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drawings/drawing4.xml" ContentType="application/vnd.openxmlformats-officedocument.drawingml.chartshapes+xml"/>
  <Override PartName="/xl/workbook.xml" ContentType="application/vnd.openxmlformats-officedocument.spreadsheetml.sheet.main+xml"/>
  <Override PartName="/xl/worksheets/sheet5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style1.xml" ContentType="application/vnd.ms-office.chartstyle+xml"/>
  <Override PartName="/xl/charts/colors1.xml" ContentType="application/vnd.ms-office.chartcolorstyle+xml"/>
  <Override PartName="/xl/worksheets/sheet1.xml" ContentType="application/vnd.openxmlformats-officedocument.spreadsheetml.worksheet+xml"/>
  <Override PartName="/xl/drawings/drawing5.xml" ContentType="application/vnd.openxmlformats-officedocument.drawing+xml"/>
  <Override PartName="/xl/worksheets/sheet4.xml" ContentType="application/vnd.openxmlformats-officedocument.spreadsheetml.worksheet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3.xml" ContentType="application/vnd.openxmlformats-officedocument.spreadsheetml.worksheet+xml"/>
  <Override PartName="/xl/worksheets/sheet22.xml" ContentType="application/vnd.openxmlformats-officedocument.spreadsheetml.worksheet+xml"/>
  <Override PartName="/xl/styles.xml" ContentType="application/vnd.openxmlformats-officedocument.spreadsheetml.styles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sharedStrings.xml" ContentType="application/vnd.openxmlformats-officedocument.spreadsheetml.sharedStrings+xml"/>
  <Override PartName="/xl/worksheets/sheet21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37.xml" ContentType="application/vnd.openxmlformats-officedocument.spreadsheetml.worksheet+xml"/>
  <Override PartName="/xl/worksheets/sheet36.xml" ContentType="application/vnd.openxmlformats-officedocument.spreadsheetml.worksheet+xml"/>
  <Override PartName="/xl/worksheets/sheet35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43.xml" ContentType="application/vnd.openxmlformats-officedocument.spreadsheetml.worksheet+xml"/>
  <Override PartName="/xl/worksheets/sheet18.xml" ContentType="application/vnd.openxmlformats-officedocument.spreadsheetml.worksheet+xml"/>
  <Override PartName="/xl/drawings/drawing1.xml" ContentType="application/vnd.openxmlformats-officedocument.drawing+xml"/>
  <Override PartName="/xl/worksheets/sheet12.xml" ContentType="application/vnd.openxmlformats-officedocument.spreadsheetml.worksheet+xml"/>
  <Override PartName="/xl/worksheets/sheet11.xml" ContentType="application/vnd.openxmlformats-officedocument.spreadsheetml.worksheet+xml"/>
  <Override PartName="/xl/worksheets/sheet10.xml" ContentType="application/vnd.openxmlformats-officedocument.spreadsheetml.worksheet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comments4.xml" ContentType="application/vnd.openxmlformats-officedocument.spreadsheetml.comments+xml"/>
  <Override PartName="/xl/comments20.xml" ContentType="application/vnd.openxmlformats-officedocument.spreadsheetml.comments+xml"/>
  <Override PartName="/xl/externalLinks/externalLink2.xml" ContentType="application/vnd.openxmlformats-officedocument.spreadsheetml.externalLink+xml"/>
  <Override PartName="/xl/comments9.xml" ContentType="application/vnd.openxmlformats-officedocument.spreadsheetml.comments+xml"/>
  <Override PartName="/xl/comments2.xml" ContentType="application/vnd.openxmlformats-officedocument.spreadsheetml.comments+xml"/>
  <Override PartName="/xl/comments1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8.xml" ContentType="application/vnd.openxmlformats-officedocument.spreadsheetml.comments+xml"/>
  <Override PartName="/xl/comments5.xml" ContentType="application/vnd.openxmlformats-officedocument.spreadsheetml.comments+xml"/>
  <Override PartName="/xl/comments3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externalLinks/externalLink4.xml" ContentType="application/vnd.openxmlformats-officedocument.spreadsheetml.externalLink+xml"/>
  <Override PartName="/xl/comments19.xml" ContentType="application/vnd.openxmlformats-officedocument.spreadsheetml.comments+xml"/>
  <Override PartName="/xl/externalLinks/externalLink3.xml" ContentType="application/vnd.openxmlformats-officedocument.spreadsheetml.externalLink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comments18.xml" ContentType="application/vnd.openxmlformats-officedocument.spreadsheetml.comments+xml"/>
  <Override PartName="/xl/externalLinks/externalLink5.xml" ContentType="application/vnd.openxmlformats-officedocument.spreadsheetml.externalLink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externalLinks/externalLink7.xml" ContentType="application/vnd.openxmlformats-officedocument.spreadsheetml.externalLink+xml"/>
  <Override PartName="/xl/comments16.xml" ContentType="application/vnd.openxmlformats-officedocument.spreadsheetml.comments+xml"/>
  <Override PartName="/xl/externalLinks/externalLink6.xml" ContentType="application/vnd.openxmlformats-officedocument.spreadsheetml.externalLink+xml"/>
  <Override PartName="/xl/comments17.xml" ContentType="application/vnd.openxmlformats-officedocument.spreadsheetml.comments+xml"/>
  <Override PartName="/xl/externalLinks/externalLink1.xml" ContentType="application/vnd.openxmlformats-officedocument.spreadsheetml.externalLink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codeName="ThisWorkbook"/>
  <mc:AlternateContent xmlns:mc="http://schemas.openxmlformats.org/markup-compatibility/2006">
    <mc:Choice Requires="x15">
      <x15ac:absPath xmlns:x15ac="http://schemas.microsoft.com/office/spreadsheetml/2010/11/ac" url="C:\Veda\VEDA_Models\Irish-TIMES_v2\Irish-TIMES_2p0_v04\"/>
    </mc:Choice>
  </mc:AlternateContent>
  <bookViews>
    <workbookView xWindow="0" yWindow="0" windowWidth="28800" windowHeight="12210" activeTab="6" xr2:uid="{00000000-000D-0000-FFFF-FFFF00000000}"/>
  </bookViews>
  <sheets>
    <sheet name="Cover" sheetId="55" r:id="rId1"/>
    <sheet name="Intro" sheetId="57" r:id="rId2"/>
    <sheet name="EB2012" sheetId="56" r:id="rId3"/>
    <sheet name="Commodities" sheetId="40" r:id="rId4"/>
    <sheet name="TRA_FuelTech" sheetId="41" r:id="rId5"/>
    <sheet name="TRA_FuelBlending" sheetId="50" r:id="rId6"/>
    <sheet name="Demands" sheetId="43" r:id="rId7"/>
    <sheet name="Emi" sheetId="42" r:id="rId8"/>
    <sheet name="CAR" sheetId="1" r:id="rId9"/>
    <sheet name="MOTO" sheetId="51" r:id="rId10"/>
    <sheet name="FREH" sheetId="2" r:id="rId11"/>
    <sheet name="PUB" sheetId="5" r:id="rId12"/>
    <sheet name="NAV" sheetId="3" r:id="rId13"/>
    <sheet name="AVI" sheetId="4" r:id="rId14"/>
    <sheet name="CAR Stock" sheetId="19" r:id="rId15"/>
    <sheet name="CAR Mileage" sheetId="20" r:id="rId16"/>
    <sheet name="CAR Passenger Kilometres" sheetId="21" r:id="rId17"/>
    <sheet name="CAR Survival Profiles" sheetId="6" r:id="rId18"/>
    <sheet name="CAR SEC" sheetId="23" r:id="rId19"/>
    <sheet name="CAR Daily Traffic Profile" sheetId="11" r:id="rId20"/>
    <sheet name="CAR On-Road Factor" sheetId="12" r:id="rId21"/>
    <sheet name="CAR Occupancy" sheetId="13" r:id="rId22"/>
    <sheet name="CAR Fuel Blending" sheetId="44" r:id="rId23"/>
    <sheet name="MOTO Registrations" sheetId="52" r:id="rId24"/>
    <sheet name="MOTO Efficiency" sheetId="53" r:id="rId25"/>
    <sheet name="MOTO Mileages" sheetId="54" r:id="rId26"/>
    <sheet name="FREH Stock" sheetId="24" r:id="rId27"/>
    <sheet name="FREH LGV vkm" sheetId="15" r:id="rId28"/>
    <sheet name="FREH LGV SEC" sheetId="18" r:id="rId29"/>
    <sheet name="FREH HGV tkm" sheetId="16" r:id="rId30"/>
    <sheet name="FREH HGV vkm" sheetId="46" r:id="rId31"/>
    <sheet name="FREH HGV SEC" sheetId="26" r:id="rId32"/>
    <sheet name="FREH Survival" sheetId="17" r:id="rId33"/>
    <sheet name="AVI SEAI Data" sheetId="32" r:id="rId34"/>
    <sheet name="AVI Passenger Kilometers" sheetId="27" r:id="rId35"/>
    <sheet name="AVI Distance between Airports" sheetId="30" r:id="rId36"/>
    <sheet name="AVI Freight" sheetId="31" r:id="rId37"/>
    <sheet name="PUB Luas Statistics" sheetId="34" r:id="rId38"/>
    <sheet name="PUB Rail Statistics" sheetId="35" r:id="rId39"/>
    <sheet name="PUB Bus Statistics" sheetId="33" r:id="rId40"/>
    <sheet name="PUB PSV" sheetId="36" r:id="rId41"/>
    <sheet name="PUB PSV Projections" sheetId="49" r:id="rId42"/>
    <sheet name="NAV Freight" sheetId="38" r:id="rId43"/>
  </sheets>
  <externalReferences>
    <externalReference r:id="rId44"/>
    <externalReference r:id="rId45"/>
    <externalReference r:id="rId46"/>
    <externalReference r:id="rId47"/>
    <externalReference r:id="rId48"/>
    <externalReference r:id="rId49"/>
    <externalReference r:id="rId50"/>
  </externalReferences>
  <definedNames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ll_TP" localSheetId="1">#REF!,#REF!,#REF!</definedName>
    <definedName name="All_TP">#REF!,#REF!,#REF!</definedName>
    <definedName name="All_US" localSheetId="1">#REF!,#REF!,#REF!</definedName>
    <definedName name="All_US">#REF!,#REF!,#REF!</definedName>
    <definedName name="Annual_Fuel_Consumption">#REF!</definedName>
    <definedName name="Beta">#REF!</definedName>
    <definedName name="body1ea" localSheetId="1">#REF!</definedName>
    <definedName name="body1ea">#REF!</definedName>
    <definedName name="body1eb" localSheetId="1">#REF!</definedName>
    <definedName name="body1eb">#REF!</definedName>
    <definedName name="body1fa" localSheetId="1">#REF!</definedName>
    <definedName name="body1fa">#REF!</definedName>
    <definedName name="body1fb" localSheetId="1">#REF!</definedName>
    <definedName name="body1fb">#REF!</definedName>
    <definedName name="body1ga" localSheetId="1">#REF!</definedName>
    <definedName name="body1ga">#REF!</definedName>
    <definedName name="body1gb" localSheetId="1">#REF!</definedName>
    <definedName name="body1gb">#REF!</definedName>
    <definedName name="body2ea" localSheetId="1">#REF!</definedName>
    <definedName name="body2ea">#REF!</definedName>
    <definedName name="body2eb" localSheetId="1">#REF!</definedName>
    <definedName name="body2eb">#REF!</definedName>
    <definedName name="body2f" localSheetId="1">#REF!</definedName>
    <definedName name="body2f">#REF!</definedName>
    <definedName name="body2fa" localSheetId="1">#REF!</definedName>
    <definedName name="body2fa">#REF!</definedName>
    <definedName name="body2fb" localSheetId="1">#REF!</definedName>
    <definedName name="body2fb">#REF!</definedName>
    <definedName name="body2ga" localSheetId="1">#REF!</definedName>
    <definedName name="body2ga">#REF!</definedName>
    <definedName name="body2gb" localSheetId="1">#REF!</definedName>
    <definedName name="body2gb">#REF!</definedName>
    <definedName name="body3ea" localSheetId="1">#REF!</definedName>
    <definedName name="body3ea">#REF!</definedName>
    <definedName name="body3eb" localSheetId="1">#REF!</definedName>
    <definedName name="body3eb">#REF!</definedName>
    <definedName name="body3fa" localSheetId="1">#REF!</definedName>
    <definedName name="body3fa">#REF!</definedName>
    <definedName name="body3fb" localSheetId="1">#REF!</definedName>
    <definedName name="body3fb">#REF!</definedName>
    <definedName name="body3ga" localSheetId="1">#REF!</definedName>
    <definedName name="body3ga">#REF!</definedName>
    <definedName name="body3gb" localSheetId="1">#REF!</definedName>
    <definedName name="body3gb">#REF!</definedName>
    <definedName name="body4ea" localSheetId="1">#REF!</definedName>
    <definedName name="body4ea">#REF!</definedName>
    <definedName name="body4eb" localSheetId="1">#REF!</definedName>
    <definedName name="body4eb">#REF!</definedName>
    <definedName name="body4f" localSheetId="1">#REF!</definedName>
    <definedName name="body4f">#REF!</definedName>
    <definedName name="body4fa" localSheetId="1">#REF!</definedName>
    <definedName name="body4fa">#REF!</definedName>
    <definedName name="body4fb" localSheetId="1">#REF!</definedName>
    <definedName name="body4fb">#REF!</definedName>
    <definedName name="body4ga" localSheetId="1">#REF!</definedName>
    <definedName name="body4ga">#REF!</definedName>
    <definedName name="body4gb" localSheetId="1">#REF!</definedName>
    <definedName name="body4gb">#REF!</definedName>
    <definedName name="Cadmium_Content_ppm_wt">#REF!</definedName>
    <definedName name="ChosenYear">[1]Cover!$G$117</definedName>
    <definedName name="Chromium_Content_ppm_wt">#REF!</definedName>
    <definedName name="Copper_Content_ppm_wt">#REF!</definedName>
    <definedName name="countrye" localSheetId="1">#REF!</definedName>
    <definedName name="countrye">#REF!</definedName>
    <definedName name="countryf" localSheetId="1">#REF!</definedName>
    <definedName name="countryf">#REF!</definedName>
    <definedName name="countryg" localSheetId="1">#REF!</definedName>
    <definedName name="countryg">#REF!</definedName>
    <definedName name="CRF_CountryName">[2]Sheet1!$C$4</definedName>
    <definedName name="data_range">'[3]CSO data'!#REF!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nergyService" localSheetId="1">[4]Tertiary!#REF!</definedName>
    <definedName name="EnergyService">[4]Tertiary!#REF!</definedName>
    <definedName name="Eng">[1]Cover!$G$111</definedName>
    <definedName name="Etiket">#REF!</definedName>
    <definedName name="Evap_Control_perc">#REF!</definedName>
    <definedName name="Evap_H_Share_perc">#REF!</definedName>
    <definedName name="Evap_R_Share_perc">#REF!</definedName>
    <definedName name="Evap_U_Share_perc">#REF!</definedName>
    <definedName name="FID_1">[5]AGR_Fuels!$A$2</definedName>
    <definedName name="Fuel_Injection_perc">#REF!</definedName>
    <definedName name="Fuel_Specifications">#REF!</definedName>
    <definedName name="H_C_Ratio">#REF!</definedName>
    <definedName name="H_Share_perc">#REF!</definedName>
    <definedName name="H_Speed_km_per_h">#REF!</definedName>
    <definedName name="Improved_Fuel_Specs">#REF!</definedName>
    <definedName name="Lead_Content_g_per_l">#REF!</definedName>
    <definedName name="Max_Temperature_oC">#REF!</definedName>
    <definedName name="Mean_Fleet_Mileage_km">#REF!</definedName>
    <definedName name="Mileage_km">#REF!</definedName>
    <definedName name="Mileage_km_per_year">#REF!</definedName>
    <definedName name="Min_Temperature_oC">#REF!</definedName>
    <definedName name="Nikel_Content_ppm_wt">#REF!</definedName>
    <definedName name="O_C_Ratio">#REF!</definedName>
    <definedName name="Population">#REF!</definedName>
    <definedName name="_xlnm.Print_Area" localSheetId="2">'EB2012'!$A$1:$AM$70</definedName>
    <definedName name="_xlnm.Print_Titles" localSheetId="2">'EB2012'!$A:$B,'EB2012'!$1:$1</definedName>
    <definedName name="qr_Profili_insmart_T20_quartieri" localSheetId="1">#REF!</definedName>
    <definedName name="qr_Profili_insmart_T20_quartieri">#REF!</definedName>
    <definedName name="R_Share_perc">#REF!</definedName>
    <definedName name="R_Speed_km_per_h">#REF!</definedName>
    <definedName name="RetBE" localSheetId="1">[6]Macro1!#REF!</definedName>
    <definedName name="RetBE">[6]Macro1!#REF!</definedName>
    <definedName name="RVP_and_beta">#REF!</definedName>
    <definedName name="RVP_kPa">[7]RVP_kPa!$A$1:$B$13</definedName>
    <definedName name="Selenium_Content_ppm_wt">#REF!</definedName>
    <definedName name="solver_adj" localSheetId="11" hidden="1">'CAR Occupancy'!$AD$10</definedName>
    <definedName name="solver_cvg" localSheetId="11" hidden="1">0.0001</definedName>
    <definedName name="solver_drv" localSheetId="11" hidden="1">1</definedName>
    <definedName name="solver_eng" localSheetId="11" hidden="1">1</definedName>
    <definedName name="solver_est" localSheetId="11" hidden="1">1</definedName>
    <definedName name="solver_itr" localSheetId="11" hidden="1">2147483647</definedName>
    <definedName name="solver_mip" localSheetId="11" hidden="1">2147483647</definedName>
    <definedName name="solver_mni" localSheetId="11" hidden="1">30</definedName>
    <definedName name="solver_mrt" localSheetId="11" hidden="1">0.075</definedName>
    <definedName name="solver_msl" localSheetId="11" hidden="1">2</definedName>
    <definedName name="solver_neg" localSheetId="11" hidden="1">1</definedName>
    <definedName name="solver_nod" localSheetId="11" hidden="1">2147483647</definedName>
    <definedName name="solver_num" localSheetId="11" hidden="1">0</definedName>
    <definedName name="solver_nwt" localSheetId="11" hidden="1">1</definedName>
    <definedName name="solver_opt" localSheetId="11" hidden="1">PUB!$M$5</definedName>
    <definedName name="solver_pre" localSheetId="11" hidden="1">0.000001</definedName>
    <definedName name="solver_rbv" localSheetId="11" hidden="1">1</definedName>
    <definedName name="solver_rlx" localSheetId="11" hidden="1">2</definedName>
    <definedName name="solver_rsd" localSheetId="11" hidden="1">0</definedName>
    <definedName name="solver_scl" localSheetId="11" hidden="1">1</definedName>
    <definedName name="solver_sho" localSheetId="11" hidden="1">2</definedName>
    <definedName name="solver_ssz" localSheetId="11" hidden="1">100</definedName>
    <definedName name="solver_tim" localSheetId="11" hidden="1">2147483647</definedName>
    <definedName name="solver_tol" localSheetId="11" hidden="1">0.01</definedName>
    <definedName name="solver_typ" localSheetId="11" hidden="1">3</definedName>
    <definedName name="solver_val" localSheetId="11" hidden="1">7.23</definedName>
    <definedName name="solver_ver" localSheetId="11" hidden="1">3</definedName>
    <definedName name="Sulphur_Content_perc_wt">#REF!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emperatures">#REF!</definedName>
    <definedName name="tiket">#REF!</definedName>
    <definedName name="TP.Electricity_and_RES" localSheetId="1">#REF!</definedName>
    <definedName name="TP.Electricity_and_RES">#REF!</definedName>
    <definedName name="TP.Petroleum" localSheetId="1">#REF!</definedName>
    <definedName name="TP.Petroleum">#REF!</definedName>
    <definedName name="TP.Solids_and_Gases" localSheetId="1">#REF!</definedName>
    <definedName name="TP.Solids_and_Gases">#REF!</definedName>
    <definedName name="U_Share_perc">#REF!</definedName>
    <definedName name="U_Speed_km_per_h">#REF!</definedName>
    <definedName name="US.Electricity_and_RES" localSheetId="1">#REF!</definedName>
    <definedName name="US.Electricity_and_RES">#REF!</definedName>
    <definedName name="US.Petroleum" localSheetId="1">#REF!</definedName>
    <definedName name="US.Petroleum">#REF!</definedName>
    <definedName name="US.Solids_and_Gases" localSheetId="1">#REF!</definedName>
    <definedName name="US.Solids_and_Gases">#REF!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yeare" localSheetId="1">#REF!</definedName>
    <definedName name="yeare">#REF!</definedName>
    <definedName name="yearf" localSheetId="1">#REF!</definedName>
    <definedName name="yearf">#REF!</definedName>
    <definedName name="yearg" localSheetId="1">#REF!</definedName>
    <definedName name="yearg">#REF!</definedName>
    <definedName name="Zinc_Content_ppm_wt">#REF!</definedName>
  </definedNames>
  <calcPr calcId="171027"/>
  <fileRecoveryPr autoRecover="0"/>
</workbook>
</file>

<file path=xl/calcChain.xml><?xml version="1.0" encoding="utf-8"?>
<calcChain xmlns="http://schemas.openxmlformats.org/spreadsheetml/2006/main">
  <c r="I5" i="43" l="1"/>
  <c r="I6" i="43"/>
  <c r="I7" i="43"/>
  <c r="I8" i="43"/>
  <c r="I9" i="43"/>
  <c r="I10" i="43"/>
  <c r="I11" i="43"/>
  <c r="I12" i="43"/>
  <c r="I13" i="43"/>
  <c r="I14" i="43"/>
  <c r="I15" i="43"/>
  <c r="I16" i="43"/>
  <c r="I17" i="43"/>
  <c r="I18" i="43"/>
  <c r="I19" i="43"/>
  <c r="I20" i="43"/>
  <c r="D17" i="41" l="1"/>
  <c r="B17" i="41"/>
  <c r="D12" i="41"/>
  <c r="N14" i="41"/>
  <c r="M14" i="41"/>
  <c r="N10" i="41"/>
  <c r="M10" i="41"/>
  <c r="B12" i="41" s="1"/>
  <c r="C31" i="3" l="1"/>
  <c r="C30" i="3"/>
  <c r="C28" i="3"/>
  <c r="C27" i="3"/>
  <c r="C22" i="41" l="1"/>
  <c r="D15" i="41"/>
  <c r="N19" i="41" l="1"/>
  <c r="N18" i="41"/>
  <c r="N17" i="41"/>
  <c r="D22" i="41"/>
  <c r="D21" i="41"/>
  <c r="D20" i="41"/>
  <c r="C21" i="41"/>
  <c r="C20" i="41"/>
  <c r="M19" i="41"/>
  <c r="B22" i="41" s="1"/>
  <c r="M18" i="41"/>
  <c r="B21" i="41" s="1"/>
  <c r="M17" i="41"/>
  <c r="B20" i="41" s="1"/>
  <c r="C31" i="4"/>
  <c r="C4" i="42"/>
  <c r="B4" i="42"/>
  <c r="B19" i="42" l="1"/>
  <c r="B18" i="42"/>
  <c r="B17" i="42"/>
  <c r="A5" i="42"/>
  <c r="A19" i="42"/>
  <c r="A18" i="42"/>
  <c r="A17" i="42"/>
  <c r="AG69" i="2" l="1"/>
  <c r="AF69" i="2"/>
  <c r="AE69" i="2"/>
  <c r="AD69" i="2"/>
  <c r="AC69" i="2"/>
  <c r="AB69" i="2"/>
  <c r="AG68" i="2"/>
  <c r="AF68" i="2"/>
  <c r="AE68" i="2"/>
  <c r="AD68" i="2"/>
  <c r="AC68" i="2"/>
  <c r="AB68" i="2"/>
  <c r="B18" i="46" l="1"/>
  <c r="I22" i="46"/>
  <c r="AG4" i="26"/>
  <c r="AG3" i="26"/>
  <c r="AG2" i="26"/>
  <c r="AG140" i="1" l="1"/>
  <c r="AF140" i="1"/>
  <c r="AE140" i="1"/>
  <c r="AD140" i="1"/>
  <c r="AC140" i="1"/>
  <c r="AB140" i="1"/>
  <c r="AA140" i="1"/>
  <c r="Z140" i="1"/>
  <c r="Y140" i="1"/>
  <c r="X140" i="1"/>
  <c r="W140" i="1"/>
  <c r="V140" i="1"/>
  <c r="U140" i="1"/>
  <c r="T140" i="1"/>
  <c r="S140" i="1"/>
  <c r="AG135" i="1"/>
  <c r="AF135" i="1"/>
  <c r="AE135" i="1"/>
  <c r="AD135" i="1"/>
  <c r="AC135" i="1"/>
  <c r="AB135" i="1"/>
  <c r="AA135" i="1"/>
  <c r="Z135" i="1"/>
  <c r="Y135" i="1"/>
  <c r="X135" i="1"/>
  <c r="W135" i="1"/>
  <c r="V135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N55" i="1"/>
  <c r="G135" i="1" l="1"/>
  <c r="F135" i="1"/>
  <c r="M15" i="41" l="1"/>
  <c r="M7" i="41"/>
  <c r="AA61" i="56"/>
  <c r="L61" i="56"/>
  <c r="H61" i="56"/>
  <c r="C61" i="56"/>
  <c r="AA60" i="56"/>
  <c r="L60" i="56"/>
  <c r="H60" i="56"/>
  <c r="C60" i="56"/>
  <c r="AK59" i="56"/>
  <c r="AA59" i="56"/>
  <c r="Z59" i="56"/>
  <c r="T59" i="56"/>
  <c r="S59" i="56"/>
  <c r="R59" i="56"/>
  <c r="H59" i="56"/>
  <c r="C59" i="56"/>
  <c r="AK58" i="56"/>
  <c r="AA58" i="56"/>
  <c r="AA57" i="56" s="1"/>
  <c r="Z58" i="56"/>
  <c r="T58" i="56"/>
  <c r="S58" i="56"/>
  <c r="R58" i="56"/>
  <c r="H58" i="56"/>
  <c r="H57" i="56" s="1"/>
  <c r="C58" i="56"/>
  <c r="AL57" i="56"/>
  <c r="AL30" i="56" s="1"/>
  <c r="AJ57" i="56"/>
  <c r="AI57" i="56"/>
  <c r="AH57" i="56"/>
  <c r="AG57" i="56"/>
  <c r="AF57" i="56"/>
  <c r="AE57" i="56"/>
  <c r="AD57" i="56"/>
  <c r="AC57" i="56"/>
  <c r="AB57" i="56"/>
  <c r="Y57" i="56"/>
  <c r="X57" i="56"/>
  <c r="W57" i="56"/>
  <c r="V57" i="56"/>
  <c r="U57" i="56"/>
  <c r="U30" i="56" s="1"/>
  <c r="Q57" i="56"/>
  <c r="P57" i="56"/>
  <c r="N57" i="56"/>
  <c r="M57" i="56"/>
  <c r="K57" i="56"/>
  <c r="J57" i="56"/>
  <c r="I57" i="56"/>
  <c r="G57" i="56"/>
  <c r="F57" i="56"/>
  <c r="E57" i="56"/>
  <c r="D57" i="56"/>
  <c r="AA56" i="56"/>
  <c r="L56" i="56"/>
  <c r="H56" i="56"/>
  <c r="C56" i="56"/>
  <c r="AA55" i="56"/>
  <c r="L55" i="56"/>
  <c r="H55" i="56"/>
  <c r="C55" i="56"/>
  <c r="AA54" i="56"/>
  <c r="L54" i="56"/>
  <c r="H54" i="56"/>
  <c r="C54" i="56"/>
  <c r="AA53" i="56"/>
  <c r="L53" i="56"/>
  <c r="H53" i="56"/>
  <c r="C53" i="56"/>
  <c r="AA52" i="56"/>
  <c r="L52" i="56"/>
  <c r="H52" i="56"/>
  <c r="C52" i="56"/>
  <c r="AA51" i="56"/>
  <c r="L51" i="56"/>
  <c r="H51" i="56"/>
  <c r="C51" i="56"/>
  <c r="AA50" i="56"/>
  <c r="L50" i="56"/>
  <c r="H50" i="56"/>
  <c r="C50" i="56"/>
  <c r="AA49" i="56"/>
  <c r="L49" i="56"/>
  <c r="H49" i="56"/>
  <c r="C49" i="56"/>
  <c r="AA48" i="56"/>
  <c r="L48" i="56"/>
  <c r="H48" i="56"/>
  <c r="C48" i="56"/>
  <c r="AM47" i="56"/>
  <c r="R40" i="2" s="1"/>
  <c r="AA47" i="56"/>
  <c r="L47" i="56"/>
  <c r="AA46" i="56"/>
  <c r="L46" i="56"/>
  <c r="H46" i="56"/>
  <c r="C46" i="56"/>
  <c r="AL45" i="56"/>
  <c r="AK45" i="56"/>
  <c r="H14" i="41" s="1"/>
  <c r="AJ45" i="56"/>
  <c r="AI45" i="56"/>
  <c r="AH45" i="56"/>
  <c r="AG45" i="56"/>
  <c r="AG30" i="56" s="1"/>
  <c r="AF45" i="56"/>
  <c r="AE45" i="56"/>
  <c r="AD45" i="56"/>
  <c r="AC45" i="56"/>
  <c r="AB45" i="56"/>
  <c r="Z45" i="56"/>
  <c r="Z30" i="56" s="1"/>
  <c r="Y45" i="56"/>
  <c r="X45" i="56"/>
  <c r="W45" i="56"/>
  <c r="V45" i="56"/>
  <c r="V30" i="56" s="1"/>
  <c r="U45" i="56"/>
  <c r="T45" i="56"/>
  <c r="S45" i="56"/>
  <c r="R45" i="56"/>
  <c r="Q45" i="56"/>
  <c r="H15" i="41" s="1"/>
  <c r="P45" i="56"/>
  <c r="P30" i="56" s="1"/>
  <c r="O45" i="56"/>
  <c r="H6" i="41" s="1"/>
  <c r="N45" i="56"/>
  <c r="N30" i="56" s="1"/>
  <c r="M45" i="56"/>
  <c r="K45" i="56"/>
  <c r="J45" i="56"/>
  <c r="I45" i="56"/>
  <c r="G45" i="56"/>
  <c r="F45" i="56"/>
  <c r="F30" i="56" s="1"/>
  <c r="E45" i="56"/>
  <c r="D45" i="56"/>
  <c r="D30" i="56" s="1"/>
  <c r="AA44" i="56"/>
  <c r="L44" i="56"/>
  <c r="H44" i="56"/>
  <c r="C44" i="56"/>
  <c r="AA43" i="56"/>
  <c r="L43" i="56"/>
  <c r="H43" i="56"/>
  <c r="C43" i="56"/>
  <c r="AA42" i="56"/>
  <c r="L42" i="56"/>
  <c r="H42" i="56"/>
  <c r="C42" i="56"/>
  <c r="AA41" i="56"/>
  <c r="L41" i="56"/>
  <c r="H41" i="56"/>
  <c r="C41" i="56"/>
  <c r="AA40" i="56"/>
  <c r="L40" i="56"/>
  <c r="H40" i="56"/>
  <c r="C40" i="56"/>
  <c r="AA39" i="56"/>
  <c r="L39" i="56"/>
  <c r="H39" i="56"/>
  <c r="C39" i="56"/>
  <c r="AA38" i="56"/>
  <c r="L38" i="56"/>
  <c r="H38" i="56"/>
  <c r="C38" i="56"/>
  <c r="AA37" i="56"/>
  <c r="L37" i="56"/>
  <c r="H37" i="56"/>
  <c r="C37" i="56"/>
  <c r="AA36" i="56"/>
  <c r="L36" i="56"/>
  <c r="H36" i="56"/>
  <c r="C36" i="56"/>
  <c r="AA35" i="56"/>
  <c r="L35" i="56"/>
  <c r="H35" i="56"/>
  <c r="C35" i="56"/>
  <c r="AA34" i="56"/>
  <c r="L34" i="56"/>
  <c r="H34" i="56"/>
  <c r="C34" i="56"/>
  <c r="AA33" i="56"/>
  <c r="L33" i="56"/>
  <c r="H33" i="56"/>
  <c r="C33" i="56"/>
  <c r="AA32" i="56"/>
  <c r="L32" i="56"/>
  <c r="L31" i="56" s="1"/>
  <c r="H32" i="56"/>
  <c r="H31" i="56" s="1"/>
  <c r="C32" i="56"/>
  <c r="AL31" i="56"/>
  <c r="AJ31" i="56"/>
  <c r="AJ30" i="56" s="1"/>
  <c r="AI31" i="56"/>
  <c r="AH31" i="56"/>
  <c r="AH30" i="56" s="1"/>
  <c r="AG31" i="56"/>
  <c r="AF31" i="56"/>
  <c r="AF30" i="56" s="1"/>
  <c r="AD31" i="56"/>
  <c r="AC31" i="56"/>
  <c r="AB31" i="56"/>
  <c r="AB30" i="56" s="1"/>
  <c r="Y31" i="56"/>
  <c r="Y30" i="56" s="1"/>
  <c r="X31" i="56"/>
  <c r="W31" i="56"/>
  <c r="V31" i="56"/>
  <c r="Q31" i="56"/>
  <c r="Q30" i="56" s="1"/>
  <c r="N31" i="56"/>
  <c r="M31" i="56"/>
  <c r="K31" i="56"/>
  <c r="K30" i="56" s="1"/>
  <c r="J31" i="56"/>
  <c r="I31" i="56"/>
  <c r="I30" i="56" s="1"/>
  <c r="AK30" i="56"/>
  <c r="AD30" i="56"/>
  <c r="AC30" i="56"/>
  <c r="R30" i="56"/>
  <c r="O30" i="56"/>
  <c r="M30" i="56"/>
  <c r="J30" i="56"/>
  <c r="E30" i="56"/>
  <c r="AA29" i="56"/>
  <c r="AA28" i="56" s="1"/>
  <c r="H29" i="56"/>
  <c r="C29" i="56"/>
  <c r="AL28" i="56"/>
  <c r="AK28" i="56"/>
  <c r="AJ28" i="56"/>
  <c r="AI28" i="56"/>
  <c r="AH28" i="56"/>
  <c r="AG28" i="56"/>
  <c r="AF28" i="56"/>
  <c r="AE28" i="56"/>
  <c r="AD28" i="56"/>
  <c r="AC28" i="56"/>
  <c r="AB28" i="56"/>
  <c r="Z28" i="56"/>
  <c r="U28" i="56"/>
  <c r="T28" i="56"/>
  <c r="S28" i="56"/>
  <c r="R28" i="56"/>
  <c r="Q28" i="56"/>
  <c r="P28" i="56"/>
  <c r="O28" i="56"/>
  <c r="N28" i="56"/>
  <c r="M28" i="56"/>
  <c r="K28" i="56"/>
  <c r="J28" i="56"/>
  <c r="I28" i="56"/>
  <c r="H28" i="56"/>
  <c r="G28" i="56"/>
  <c r="F28" i="56"/>
  <c r="E28" i="56"/>
  <c r="D28" i="56"/>
  <c r="AA26" i="56"/>
  <c r="L26" i="56"/>
  <c r="H26" i="56"/>
  <c r="C26" i="56"/>
  <c r="AA25" i="56"/>
  <c r="L25" i="56"/>
  <c r="E25" i="56"/>
  <c r="C25" i="56" s="1"/>
  <c r="AM24" i="56"/>
  <c r="AC23" i="56"/>
  <c r="AA23" i="56" s="1"/>
  <c r="AK23" i="56" s="1"/>
  <c r="AK22" i="56" s="1"/>
  <c r="AB23" i="56"/>
  <c r="AL22" i="56"/>
  <c r="AJ22" i="56"/>
  <c r="AI22" i="56"/>
  <c r="AH22" i="56"/>
  <c r="AG22" i="56"/>
  <c r="AF22" i="56"/>
  <c r="AE22" i="56"/>
  <c r="AD22" i="56"/>
  <c r="AB22" i="56"/>
  <c r="Z22" i="56"/>
  <c r="Y22" i="56"/>
  <c r="X22" i="56"/>
  <c r="W22" i="56"/>
  <c r="V22" i="56"/>
  <c r="U22" i="56"/>
  <c r="T22" i="56"/>
  <c r="S22" i="56"/>
  <c r="R22" i="56"/>
  <c r="Q22" i="56"/>
  <c r="P22" i="56"/>
  <c r="O22" i="56"/>
  <c r="N22" i="56"/>
  <c r="M22" i="56"/>
  <c r="L22" i="56" s="1"/>
  <c r="K22" i="56"/>
  <c r="J22" i="56"/>
  <c r="I22" i="56"/>
  <c r="H22" i="56" s="1"/>
  <c r="G22" i="56"/>
  <c r="F22" i="56"/>
  <c r="E22" i="56"/>
  <c r="D22" i="56"/>
  <c r="AA21" i="56"/>
  <c r="L21" i="56"/>
  <c r="H21" i="56"/>
  <c r="AA20" i="56"/>
  <c r="L20" i="56"/>
  <c r="H20" i="56"/>
  <c r="AM19" i="56"/>
  <c r="AA18" i="56"/>
  <c r="AM18" i="56" s="1"/>
  <c r="AA17" i="56"/>
  <c r="L17" i="56"/>
  <c r="H17" i="56"/>
  <c r="C17" i="56"/>
  <c r="AA16" i="56"/>
  <c r="AA15" i="56" s="1"/>
  <c r="L16" i="56"/>
  <c r="H16" i="56"/>
  <c r="C16" i="56"/>
  <c r="AL15" i="56"/>
  <c r="AK15" i="56"/>
  <c r="AJ15" i="56"/>
  <c r="AI15" i="56"/>
  <c r="AH15" i="56"/>
  <c r="AG15" i="56"/>
  <c r="AF15" i="56"/>
  <c r="AE15" i="56"/>
  <c r="AD15" i="56"/>
  <c r="AC15" i="56"/>
  <c r="AB15" i="56"/>
  <c r="Z15" i="56"/>
  <c r="Y15" i="56"/>
  <c r="X15" i="56"/>
  <c r="W15" i="56"/>
  <c r="V15" i="56"/>
  <c r="V27" i="56" s="1"/>
  <c r="V62" i="56" s="1"/>
  <c r="U15" i="56"/>
  <c r="T15" i="56"/>
  <c r="S15" i="56"/>
  <c r="R15" i="56"/>
  <c r="Q15" i="56"/>
  <c r="P15" i="56"/>
  <c r="O15" i="56"/>
  <c r="N15" i="56"/>
  <c r="M15" i="56"/>
  <c r="K15" i="56"/>
  <c r="J15" i="56"/>
  <c r="I15" i="56"/>
  <c r="G15" i="56"/>
  <c r="F15" i="56"/>
  <c r="E15" i="56"/>
  <c r="D15" i="56"/>
  <c r="AA14" i="56"/>
  <c r="L14" i="56"/>
  <c r="H14" i="56"/>
  <c r="C14" i="56"/>
  <c r="AM14" i="56" s="1"/>
  <c r="AA13" i="56"/>
  <c r="L13" i="56"/>
  <c r="H13" i="56"/>
  <c r="C13" i="56"/>
  <c r="AM13" i="56" s="1"/>
  <c r="AM12" i="56"/>
  <c r="AA11" i="56"/>
  <c r="L11" i="56"/>
  <c r="H11" i="56"/>
  <c r="C11" i="56"/>
  <c r="AA10" i="56"/>
  <c r="AA9" i="56" s="1"/>
  <c r="L10" i="56"/>
  <c r="H10" i="56"/>
  <c r="H9" i="56" s="1"/>
  <c r="C10" i="56"/>
  <c r="AL9" i="56"/>
  <c r="AK9" i="56"/>
  <c r="AJ9" i="56"/>
  <c r="AI9" i="56"/>
  <c r="AH9" i="56"/>
  <c r="AG9" i="56"/>
  <c r="AF9" i="56"/>
  <c r="AE9" i="56"/>
  <c r="AD9" i="56"/>
  <c r="AC9" i="56"/>
  <c r="AB9" i="56"/>
  <c r="Z9" i="56"/>
  <c r="Y9" i="56"/>
  <c r="X9" i="56"/>
  <c r="X27" i="56" s="1"/>
  <c r="W9" i="56"/>
  <c r="V9" i="56"/>
  <c r="U9" i="56"/>
  <c r="T9" i="56"/>
  <c r="T27" i="56" s="1"/>
  <c r="S9" i="56"/>
  <c r="R9" i="56"/>
  <c r="Q9" i="56"/>
  <c r="P9" i="56"/>
  <c r="O9" i="56"/>
  <c r="N9" i="56"/>
  <c r="N27" i="56" s="1"/>
  <c r="M9" i="56"/>
  <c r="K9" i="56"/>
  <c r="K27" i="56" s="1"/>
  <c r="J9" i="56"/>
  <c r="I9" i="56"/>
  <c r="G9" i="56"/>
  <c r="G27" i="56" s="1"/>
  <c r="F9" i="56"/>
  <c r="E9" i="56"/>
  <c r="D9" i="56"/>
  <c r="C9" i="56"/>
  <c r="Z8" i="56"/>
  <c r="R8" i="56"/>
  <c r="M8" i="56"/>
  <c r="AL7" i="56"/>
  <c r="AK7" i="56"/>
  <c r="AJ7" i="56"/>
  <c r="AI7" i="56"/>
  <c r="AI8" i="56" s="1"/>
  <c r="AH7" i="56"/>
  <c r="AH8" i="56" s="1"/>
  <c r="AG7" i="56"/>
  <c r="AF7" i="56"/>
  <c r="AE7" i="56"/>
  <c r="AE8" i="56" s="1"/>
  <c r="AD7" i="56"/>
  <c r="AD8" i="56" s="1"/>
  <c r="AC7" i="56"/>
  <c r="AC8" i="56" s="1"/>
  <c r="AB7" i="56"/>
  <c r="Z7" i="56"/>
  <c r="Y7" i="56"/>
  <c r="X7" i="56"/>
  <c r="W7" i="56"/>
  <c r="V7" i="56"/>
  <c r="V8" i="56" s="1"/>
  <c r="U7" i="56"/>
  <c r="T7" i="56"/>
  <c r="T8" i="56" s="1"/>
  <c r="S7" i="56"/>
  <c r="S8" i="56" s="1"/>
  <c r="R7" i="56"/>
  <c r="R27" i="56" s="1"/>
  <c r="Q7" i="56"/>
  <c r="P7" i="56"/>
  <c r="P8" i="56" s="1"/>
  <c r="O7" i="56"/>
  <c r="O8" i="56" s="1"/>
  <c r="N7" i="56"/>
  <c r="M7" i="56"/>
  <c r="K7" i="56"/>
  <c r="K8" i="56" s="1"/>
  <c r="J7" i="56"/>
  <c r="J27" i="56" s="1"/>
  <c r="J62" i="56" s="1"/>
  <c r="I7" i="56"/>
  <c r="G7" i="56"/>
  <c r="G8" i="56" s="1"/>
  <c r="F7" i="56"/>
  <c r="E7" i="56"/>
  <c r="E27" i="56" s="1"/>
  <c r="E62" i="56" s="1"/>
  <c r="D7" i="56"/>
  <c r="D8" i="56" s="1"/>
  <c r="AA6" i="56"/>
  <c r="L6" i="56"/>
  <c r="H6" i="56"/>
  <c r="C6" i="56"/>
  <c r="AA5" i="56"/>
  <c r="L5" i="56"/>
  <c r="H5" i="56"/>
  <c r="C5" i="56"/>
  <c r="AA4" i="56"/>
  <c r="L4" i="56"/>
  <c r="H4" i="56"/>
  <c r="C4" i="56"/>
  <c r="AA3" i="56"/>
  <c r="L3" i="56"/>
  <c r="H3" i="56"/>
  <c r="C3" i="56"/>
  <c r="AA2" i="56"/>
  <c r="L2" i="56"/>
  <c r="L7" i="56" s="1"/>
  <c r="H2" i="56"/>
  <c r="C2" i="56"/>
  <c r="C7" i="56" s="1"/>
  <c r="T62" i="56" l="1"/>
  <c r="T30" i="56"/>
  <c r="H7" i="41"/>
  <c r="AA45" i="56"/>
  <c r="F8" i="56"/>
  <c r="D27" i="56"/>
  <c r="D62" i="56" s="1"/>
  <c r="L9" i="56"/>
  <c r="AM9" i="56" s="1"/>
  <c r="AM16" i="56"/>
  <c r="C15" i="56"/>
  <c r="AM15" i="56" s="1"/>
  <c r="P27" i="56"/>
  <c r="P62" i="56" s="1"/>
  <c r="AC22" i="56"/>
  <c r="AC27" i="56" s="1"/>
  <c r="AC62" i="56" s="1"/>
  <c r="AM26" i="56"/>
  <c r="F27" i="56"/>
  <c r="F62" i="56" s="1"/>
  <c r="AD27" i="56"/>
  <c r="I8" i="56"/>
  <c r="N8" i="56"/>
  <c r="AA31" i="56"/>
  <c r="G30" i="56"/>
  <c r="G62" i="56" s="1"/>
  <c r="AM48" i="56"/>
  <c r="Q71" i="1" s="1"/>
  <c r="AM51" i="56"/>
  <c r="C45" i="56"/>
  <c r="AM45" i="56" s="1"/>
  <c r="AM54" i="56"/>
  <c r="AM55" i="56"/>
  <c r="AM56" i="56"/>
  <c r="L58" i="56"/>
  <c r="L57" i="56" s="1"/>
  <c r="L30" i="56" s="1"/>
  <c r="K62" i="56"/>
  <c r="AB27" i="56"/>
  <c r="AB62" i="56" s="1"/>
  <c r="AJ27" i="56"/>
  <c r="AJ62" i="56" s="1"/>
  <c r="AF27" i="56"/>
  <c r="AF62" i="56" s="1"/>
  <c r="AA7" i="56"/>
  <c r="AA8" i="56" s="1"/>
  <c r="AL8" i="56"/>
  <c r="AM21" i="56"/>
  <c r="AH27" i="56"/>
  <c r="AH62" i="56" s="1"/>
  <c r="AB8" i="56"/>
  <c r="AF8" i="56"/>
  <c r="AJ8" i="56"/>
  <c r="AM34" i="56"/>
  <c r="AM36" i="56"/>
  <c r="AM37" i="56"/>
  <c r="AM38" i="56"/>
  <c r="AM41" i="56"/>
  <c r="AM42" i="56"/>
  <c r="AM44" i="56"/>
  <c r="AE30" i="56"/>
  <c r="AI30" i="56"/>
  <c r="AM46" i="56"/>
  <c r="R43" i="2" s="1"/>
  <c r="H45" i="56"/>
  <c r="AM3" i="56"/>
  <c r="AM4" i="56"/>
  <c r="AM5" i="56"/>
  <c r="AM6" i="56"/>
  <c r="Z27" i="56"/>
  <c r="Z62" i="56" s="1"/>
  <c r="AM10" i="56"/>
  <c r="AM11" i="56"/>
  <c r="AM20" i="56"/>
  <c r="AL27" i="56"/>
  <c r="AL62" i="56" s="1"/>
  <c r="H30" i="56"/>
  <c r="S30" i="56"/>
  <c r="H19" i="41"/>
  <c r="L45" i="56"/>
  <c r="L59" i="56"/>
  <c r="AM60" i="56"/>
  <c r="X29" i="56"/>
  <c r="X28" i="56" s="1"/>
  <c r="X8" i="56" s="1"/>
  <c r="AM59" i="56"/>
  <c r="AA30" i="56"/>
  <c r="AM23" i="56"/>
  <c r="AM52" i="56"/>
  <c r="AM17" i="56"/>
  <c r="R62" i="56"/>
  <c r="W27" i="56"/>
  <c r="AM35" i="56"/>
  <c r="AM43" i="56"/>
  <c r="AM53" i="56"/>
  <c r="AM2" i="56"/>
  <c r="M27" i="56"/>
  <c r="M62" i="56" s="1"/>
  <c r="Q27" i="56"/>
  <c r="Q62" i="56" s="1"/>
  <c r="U27" i="56"/>
  <c r="U62" i="56" s="1"/>
  <c r="Y27" i="56"/>
  <c r="AG27" i="56"/>
  <c r="AG62" i="56" s="1"/>
  <c r="AK27" i="56"/>
  <c r="AK62" i="56" s="1"/>
  <c r="E8" i="56"/>
  <c r="J8" i="56"/>
  <c r="U8" i="56"/>
  <c r="AK8" i="56"/>
  <c r="H15" i="56"/>
  <c r="AM25" i="56"/>
  <c r="N62" i="56"/>
  <c r="S27" i="56"/>
  <c r="AD62" i="56"/>
  <c r="AI27" i="56"/>
  <c r="AI62" i="56" s="1"/>
  <c r="C28" i="56"/>
  <c r="C8" i="56" s="1"/>
  <c r="W30" i="56"/>
  <c r="AM61" i="56"/>
  <c r="H7" i="56"/>
  <c r="I27" i="56"/>
  <c r="I62" i="56" s="1"/>
  <c r="Q8" i="56"/>
  <c r="AG8" i="56"/>
  <c r="L15" i="56"/>
  <c r="C22" i="56"/>
  <c r="C27" i="56" s="1"/>
  <c r="AA22" i="56"/>
  <c r="O27" i="56"/>
  <c r="O62" i="56" s="1"/>
  <c r="AE27" i="56"/>
  <c r="X30" i="56"/>
  <c r="X62" i="56" s="1"/>
  <c r="AM32" i="56"/>
  <c r="C31" i="56"/>
  <c r="AM33" i="56"/>
  <c r="AM39" i="56"/>
  <c r="AM40" i="56"/>
  <c r="AM49" i="56"/>
  <c r="I47" i="5" s="1"/>
  <c r="AM50" i="56"/>
  <c r="AM58" i="56"/>
  <c r="C57" i="56"/>
  <c r="AM57" i="56" l="1"/>
  <c r="AA27" i="56"/>
  <c r="AA62" i="56" s="1"/>
  <c r="S62" i="56"/>
  <c r="AE62" i="56"/>
  <c r="L27" i="56"/>
  <c r="W29" i="56"/>
  <c r="H27" i="56"/>
  <c r="H62" i="56" s="1"/>
  <c r="H8" i="56"/>
  <c r="AM22" i="56"/>
  <c r="AM7" i="56"/>
  <c r="AM31" i="56"/>
  <c r="C30" i="56"/>
  <c r="AM30" i="56" s="1"/>
  <c r="Y29" i="56"/>
  <c r="Y28" i="56" s="1"/>
  <c r="Y8" i="56" s="1"/>
  <c r="Y62" i="56"/>
  <c r="L29" i="56" l="1"/>
  <c r="W28" i="56"/>
  <c r="AM27" i="56"/>
  <c r="C62" i="56"/>
  <c r="W8" i="56" l="1"/>
  <c r="W62" i="56"/>
  <c r="L28" i="56"/>
  <c r="AM29" i="56"/>
  <c r="AM28" i="56" s="1"/>
  <c r="L8" i="56" l="1"/>
  <c r="AM8" i="56" s="1"/>
  <c r="L62" i="56"/>
  <c r="AM62" i="56" s="1"/>
  <c r="F12" i="43" l="1"/>
  <c r="A12" i="43"/>
  <c r="B21" i="51" l="1"/>
  <c r="A21" i="51"/>
  <c r="B14" i="51"/>
  <c r="A14" i="51"/>
  <c r="D21" i="51"/>
  <c r="C21" i="51"/>
  <c r="D14" i="51"/>
  <c r="C14" i="51"/>
  <c r="H21" i="51"/>
  <c r="D19" i="52"/>
  <c r="F18" i="52"/>
  <c r="E19" i="52" s="1"/>
  <c r="F17" i="52"/>
  <c r="F16" i="52"/>
  <c r="F15" i="52"/>
  <c r="F14" i="52"/>
  <c r="F13" i="52"/>
  <c r="E12" i="52"/>
  <c r="D12" i="52"/>
  <c r="C12" i="52"/>
  <c r="B12" i="52"/>
  <c r="F11" i="52"/>
  <c r="F10" i="52"/>
  <c r="F9" i="52"/>
  <c r="F8" i="52"/>
  <c r="F7" i="52"/>
  <c r="E14" i="51" s="1"/>
  <c r="F6" i="52"/>
  <c r="E21" i="51"/>
  <c r="O5" i="51" l="1"/>
  <c r="L5" i="51"/>
  <c r="C12" i="43"/>
  <c r="F12" i="52"/>
  <c r="B19" i="52"/>
  <c r="C19" i="52"/>
  <c r="D19" i="41"/>
  <c r="D18" i="41"/>
  <c r="D16" i="41"/>
  <c r="N16" i="41"/>
  <c r="M16" i="41"/>
  <c r="B19" i="41" s="1"/>
  <c r="N15" i="41"/>
  <c r="B18" i="41"/>
  <c r="N13" i="41"/>
  <c r="M13" i="41"/>
  <c r="B16" i="41" s="1"/>
  <c r="C131" i="5" l="1"/>
  <c r="C130" i="5"/>
  <c r="C128" i="5"/>
  <c r="C127" i="5"/>
  <c r="C126" i="5"/>
  <c r="C124" i="5"/>
  <c r="C123" i="5"/>
  <c r="C122" i="5"/>
  <c r="C114" i="5"/>
  <c r="C113" i="5"/>
  <c r="C111" i="5"/>
  <c r="C110" i="5"/>
  <c r="C109" i="5"/>
  <c r="C107" i="5"/>
  <c r="C106" i="5"/>
  <c r="C105" i="5"/>
  <c r="C97" i="5"/>
  <c r="C96" i="5"/>
  <c r="C94" i="5"/>
  <c r="C93" i="5"/>
  <c r="C92" i="5"/>
  <c r="C90" i="5"/>
  <c r="C89" i="5"/>
  <c r="C88" i="5"/>
  <c r="C80" i="5"/>
  <c r="C79" i="5"/>
  <c r="C77" i="5"/>
  <c r="C73" i="5"/>
  <c r="C72" i="5"/>
  <c r="C71" i="5"/>
  <c r="C102" i="2"/>
  <c r="C100" i="2"/>
  <c r="C99" i="2"/>
  <c r="C97" i="2"/>
  <c r="C96" i="2"/>
  <c r="C88" i="2"/>
  <c r="C86" i="2"/>
  <c r="C85" i="2"/>
  <c r="C83" i="2"/>
  <c r="C82" i="2"/>
  <c r="C74" i="2"/>
  <c r="C72" i="2"/>
  <c r="C71" i="2"/>
  <c r="C69" i="2"/>
  <c r="C68" i="2"/>
  <c r="C60" i="2"/>
  <c r="C58" i="2"/>
  <c r="C57" i="2"/>
  <c r="C55" i="2"/>
  <c r="C54" i="2"/>
  <c r="D13" i="50"/>
  <c r="C12" i="50"/>
  <c r="C11" i="50"/>
  <c r="B11" i="50"/>
  <c r="C195" i="1"/>
  <c r="C194" i="1"/>
  <c r="C193" i="1"/>
  <c r="C192" i="1"/>
  <c r="C190" i="1"/>
  <c r="C189" i="1"/>
  <c r="C188" i="1"/>
  <c r="C187" i="1"/>
  <c r="C185" i="1"/>
  <c r="C184" i="1"/>
  <c r="C183" i="1"/>
  <c r="C182" i="1"/>
  <c r="C180" i="1"/>
  <c r="C179" i="1"/>
  <c r="C178" i="1"/>
  <c r="C177" i="1"/>
  <c r="C169" i="1"/>
  <c r="C168" i="1"/>
  <c r="C167" i="1"/>
  <c r="C166" i="1"/>
  <c r="C164" i="1"/>
  <c r="C163" i="1"/>
  <c r="C162" i="1"/>
  <c r="C161" i="1"/>
  <c r="C159" i="1"/>
  <c r="C158" i="1"/>
  <c r="C157" i="1"/>
  <c r="C156" i="1"/>
  <c r="C154" i="1"/>
  <c r="C153" i="1"/>
  <c r="C152" i="1"/>
  <c r="C151" i="1"/>
  <c r="C143" i="1"/>
  <c r="C142" i="1"/>
  <c r="C141" i="1"/>
  <c r="C140" i="1"/>
  <c r="C138" i="1"/>
  <c r="C137" i="1"/>
  <c r="C136" i="1"/>
  <c r="C135" i="1"/>
  <c r="C133" i="1"/>
  <c r="C132" i="1"/>
  <c r="C131" i="1"/>
  <c r="C130" i="1"/>
  <c r="C128" i="1"/>
  <c r="C127" i="1"/>
  <c r="C126" i="1"/>
  <c r="C125" i="1"/>
  <c r="C117" i="1"/>
  <c r="C116" i="1"/>
  <c r="C115" i="1"/>
  <c r="C114" i="1"/>
  <c r="C107" i="1"/>
  <c r="C106" i="1"/>
  <c r="C105" i="1"/>
  <c r="C104" i="1"/>
  <c r="C112" i="1"/>
  <c r="C111" i="1"/>
  <c r="C110" i="1"/>
  <c r="C109" i="1"/>
  <c r="C102" i="1"/>
  <c r="C101" i="1"/>
  <c r="C100" i="1"/>
  <c r="C99" i="1"/>
  <c r="B8" i="50"/>
  <c r="D10" i="50"/>
  <c r="D7" i="50"/>
  <c r="J8" i="50"/>
  <c r="I8" i="50"/>
  <c r="M5" i="50"/>
  <c r="L5" i="50"/>
  <c r="K5" i="50"/>
  <c r="J5" i="50"/>
  <c r="I5" i="50"/>
  <c r="C9" i="50"/>
  <c r="C8" i="50"/>
  <c r="C6" i="50"/>
  <c r="C5" i="50"/>
  <c r="B5" i="50"/>
  <c r="D34" i="3" l="1"/>
  <c r="R38" i="16" l="1"/>
  <c r="R37" i="16"/>
  <c r="R36" i="16"/>
  <c r="R35" i="16"/>
  <c r="W4" i="23" l="1"/>
  <c r="W3" i="23" s="1"/>
  <c r="V5" i="23"/>
  <c r="V4" i="23" s="1"/>
  <c r="V3" i="23" s="1"/>
  <c r="U9" i="23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V11" i="23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W11" i="23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AI262" i="21"/>
  <c r="AI378" i="21" s="1"/>
  <c r="AI263" i="21"/>
  <c r="AI379" i="21" s="1"/>
  <c r="AI291" i="21"/>
  <c r="AI407" i="21" s="1"/>
  <c r="AI292" i="21"/>
  <c r="AI408" i="21" s="1"/>
  <c r="AI320" i="21"/>
  <c r="AI436" i="21" s="1"/>
  <c r="AI321" i="21"/>
  <c r="AI437" i="21" s="1"/>
  <c r="AD4" i="20"/>
  <c r="P5" i="20"/>
  <c r="P6" i="20" s="1"/>
  <c r="P7" i="20" s="1"/>
  <c r="P8" i="20" s="1"/>
  <c r="P9" i="20" s="1"/>
  <c r="AD5" i="20"/>
  <c r="AD6" i="20"/>
  <c r="AD7" i="20"/>
  <c r="AD8" i="20"/>
  <c r="AD9" i="20"/>
  <c r="AD10" i="20"/>
  <c r="AD11" i="20"/>
  <c r="AD12" i="20"/>
  <c r="AD13" i="20"/>
  <c r="AD14" i="20"/>
  <c r="AD15" i="20"/>
  <c r="AD16" i="20"/>
  <c r="AD17" i="20"/>
  <c r="AD18" i="20"/>
  <c r="AD19" i="20"/>
  <c r="AD20" i="20"/>
  <c r="F21" i="20"/>
  <c r="M21" i="20"/>
  <c r="T21" i="20"/>
  <c r="AA21" i="20"/>
  <c r="AD21" i="20"/>
  <c r="AD22" i="20"/>
  <c r="B2" i="49"/>
  <c r="E80" i="5" s="1"/>
  <c r="B3" i="49"/>
  <c r="B7" i="49" s="1"/>
  <c r="H7" i="5"/>
  <c r="P63" i="5" s="1"/>
  <c r="E79" i="5" l="1"/>
  <c r="B6" i="49"/>
  <c r="C4" i="20"/>
  <c r="C5" i="20" s="1"/>
  <c r="C6" i="20" s="1"/>
  <c r="C7" i="20" s="1"/>
  <c r="C8" i="20" s="1"/>
  <c r="C9" i="20" s="1"/>
  <c r="C10" i="20" s="1"/>
  <c r="C11" i="20" s="1"/>
  <c r="C12" i="20" s="1"/>
  <c r="C13" i="20" s="1"/>
  <c r="C14" i="20" s="1"/>
  <c r="C15" i="20" s="1"/>
  <c r="C16" i="20" s="1"/>
  <c r="C17" i="20" s="1"/>
  <c r="C18" i="20" s="1"/>
  <c r="C19" i="20" s="1"/>
  <c r="C20" i="20" s="1"/>
  <c r="B4" i="20"/>
  <c r="B5" i="20" s="1"/>
  <c r="P10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R4" i="20"/>
  <c r="R5" i="20" s="1"/>
  <c r="R6" i="20" s="1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K4" i="20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E4" i="20"/>
  <c r="E5" i="20" s="1"/>
  <c r="E6" i="20" s="1"/>
  <c r="E7" i="20" s="1"/>
  <c r="E8" i="20" s="1"/>
  <c r="E9" i="20" s="1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W4" i="20"/>
  <c r="Q4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D4" i="20"/>
  <c r="D5" i="20" s="1"/>
  <c r="D6" i="20" s="1"/>
  <c r="D7" i="20" s="1"/>
  <c r="D8" i="20" s="1"/>
  <c r="D9" i="20" s="1"/>
  <c r="D10" i="20" s="1"/>
  <c r="D11" i="20" s="1"/>
  <c r="D12" i="20" s="1"/>
  <c r="D13" i="20" s="1"/>
  <c r="D14" i="20" s="1"/>
  <c r="D15" i="20" s="1"/>
  <c r="D16" i="20" s="1"/>
  <c r="D17" i="20" s="1"/>
  <c r="D18" i="20" s="1"/>
  <c r="D19" i="20" s="1"/>
  <c r="D20" i="20" s="1"/>
  <c r="Z4" i="20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I4" i="20"/>
  <c r="Y4" i="20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S4" i="20"/>
  <c r="S5" i="20" s="1"/>
  <c r="S6" i="20" s="1"/>
  <c r="S7" i="20" s="1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L4" i="20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B125" i="1"/>
  <c r="B126" i="1"/>
  <c r="B127" i="1"/>
  <c r="B128" i="1"/>
  <c r="B130" i="1"/>
  <c r="B131" i="1"/>
  <c r="B132" i="1"/>
  <c r="B133" i="1"/>
  <c r="B135" i="1"/>
  <c r="B136" i="1"/>
  <c r="B137" i="1"/>
  <c r="B138" i="1"/>
  <c r="B140" i="1"/>
  <c r="B141" i="1"/>
  <c r="B142" i="1"/>
  <c r="B143" i="1"/>
  <c r="B99" i="1"/>
  <c r="B100" i="1"/>
  <c r="B101" i="1"/>
  <c r="B102" i="1"/>
  <c r="B104" i="1"/>
  <c r="B105" i="1"/>
  <c r="B106" i="1"/>
  <c r="B107" i="1"/>
  <c r="B109" i="1"/>
  <c r="B110" i="1"/>
  <c r="B111" i="1"/>
  <c r="B112" i="1"/>
  <c r="B114" i="1"/>
  <c r="B115" i="1"/>
  <c r="B116" i="1"/>
  <c r="B117" i="1"/>
  <c r="M4" i="20" l="1"/>
  <c r="I5" i="20"/>
  <c r="AA4" i="20"/>
  <c r="W5" i="20"/>
  <c r="F5" i="20"/>
  <c r="B6" i="20"/>
  <c r="T4" i="20"/>
  <c r="Q5" i="20"/>
  <c r="F4" i="20"/>
  <c r="P11" i="20"/>
  <c r="J89" i="1"/>
  <c r="J88" i="1"/>
  <c r="J87" i="1"/>
  <c r="J86" i="1"/>
  <c r="J84" i="1"/>
  <c r="J83" i="1"/>
  <c r="J82" i="1"/>
  <c r="J81" i="1"/>
  <c r="J79" i="1"/>
  <c r="J78" i="1"/>
  <c r="J77" i="1"/>
  <c r="J76" i="1"/>
  <c r="J74" i="1"/>
  <c r="J73" i="1"/>
  <c r="J72" i="1"/>
  <c r="J71" i="1"/>
  <c r="Q6" i="20" l="1"/>
  <c r="T5" i="20"/>
  <c r="W6" i="20"/>
  <c r="AA5" i="20"/>
  <c r="P12" i="20"/>
  <c r="F6" i="20"/>
  <c r="B7" i="20"/>
  <c r="M5" i="20"/>
  <c r="I6" i="20"/>
  <c r="L64" i="5"/>
  <c r="L63" i="5"/>
  <c r="L61" i="5"/>
  <c r="L60" i="5"/>
  <c r="L59" i="5"/>
  <c r="L57" i="5"/>
  <c r="L56" i="5"/>
  <c r="L55" i="5"/>
  <c r="J46" i="2"/>
  <c r="J44" i="2"/>
  <c r="J43" i="2"/>
  <c r="J41" i="2"/>
  <c r="J40" i="2"/>
  <c r="AA6" i="20" l="1"/>
  <c r="W7" i="20"/>
  <c r="Q7" i="20"/>
  <c r="T6" i="20"/>
  <c r="F7" i="20"/>
  <c r="B8" i="20"/>
  <c r="M6" i="20"/>
  <c r="I7" i="20"/>
  <c r="P13" i="20"/>
  <c r="T7" i="20" l="1"/>
  <c r="Q8" i="20"/>
  <c r="I8" i="20"/>
  <c r="M7" i="20"/>
  <c r="P14" i="20"/>
  <c r="B9" i="20"/>
  <c r="F8" i="20"/>
  <c r="AA7" i="20"/>
  <c r="W8" i="20"/>
  <c r="C5" i="42"/>
  <c r="B5" i="42"/>
  <c r="L154" i="1"/>
  <c r="L153" i="1"/>
  <c r="L152" i="1"/>
  <c r="L151" i="1"/>
  <c r="J17" i="42" l="1"/>
  <c r="F17" i="42"/>
  <c r="I17" i="42"/>
  <c r="E17" i="42"/>
  <c r="H17" i="42"/>
  <c r="D17" i="42"/>
  <c r="G17" i="42"/>
  <c r="J18" i="42"/>
  <c r="F18" i="42"/>
  <c r="I18" i="42"/>
  <c r="E18" i="42"/>
  <c r="H18" i="42"/>
  <c r="D19" i="42"/>
  <c r="G18" i="42"/>
  <c r="D18" i="42"/>
  <c r="F9" i="20"/>
  <c r="B10" i="20"/>
  <c r="M8" i="20"/>
  <c r="I9" i="20"/>
  <c r="AA8" i="20"/>
  <c r="W9" i="20"/>
  <c r="P15" i="20"/>
  <c r="T8" i="20"/>
  <c r="Q9" i="20"/>
  <c r="G32" i="3"/>
  <c r="G33" i="3" s="1"/>
  <c r="G31" i="3"/>
  <c r="F32" i="3"/>
  <c r="F33" i="3" s="1"/>
  <c r="E32" i="3"/>
  <c r="E33" i="3" s="1"/>
  <c r="F31" i="3"/>
  <c r="E31" i="3"/>
  <c r="G30" i="3"/>
  <c r="F30" i="3"/>
  <c r="E30" i="3"/>
  <c r="E28" i="3"/>
  <c r="C33" i="3"/>
  <c r="C32" i="3"/>
  <c r="P16" i="20" l="1"/>
  <c r="M9" i="20"/>
  <c r="I10" i="20"/>
  <c r="Q10" i="20"/>
  <c r="T9" i="20"/>
  <c r="W10" i="20"/>
  <c r="AA9" i="20"/>
  <c r="F10" i="20"/>
  <c r="B11" i="20"/>
  <c r="M10" i="20" l="1"/>
  <c r="I11" i="20"/>
  <c r="AA10" i="20"/>
  <c r="W11" i="20"/>
  <c r="F11" i="20"/>
  <c r="B12" i="20"/>
  <c r="P17" i="20"/>
  <c r="Q11" i="20"/>
  <c r="T10" i="20"/>
  <c r="J154" i="1"/>
  <c r="J153" i="1"/>
  <c r="J152" i="1"/>
  <c r="J151" i="1"/>
  <c r="B13" i="20" l="1"/>
  <c r="F12" i="20"/>
  <c r="Q12" i="20"/>
  <c r="T11" i="20"/>
  <c r="P18" i="20"/>
  <c r="AA11" i="20"/>
  <c r="W12" i="20"/>
  <c r="I12" i="20"/>
  <c r="M11" i="20"/>
  <c r="I154" i="1"/>
  <c r="I153" i="1"/>
  <c r="I152" i="1"/>
  <c r="I151" i="1"/>
  <c r="D10" i="41"/>
  <c r="D8" i="41"/>
  <c r="N9" i="41"/>
  <c r="N8" i="41"/>
  <c r="M9" i="41"/>
  <c r="B10" i="41" s="1"/>
  <c r="M8" i="41"/>
  <c r="B8" i="41" s="1"/>
  <c r="AA12" i="20" l="1"/>
  <c r="W13" i="20"/>
  <c r="Q13" i="20"/>
  <c r="T12" i="20"/>
  <c r="P19" i="20"/>
  <c r="M12" i="20"/>
  <c r="I13" i="20"/>
  <c r="F13" i="20"/>
  <c r="B14" i="20"/>
  <c r="D5" i="43"/>
  <c r="F14" i="43"/>
  <c r="F13" i="43"/>
  <c r="E14" i="43"/>
  <c r="D14" i="43"/>
  <c r="C14" i="43"/>
  <c r="E13" i="43"/>
  <c r="D13" i="43"/>
  <c r="C13" i="43"/>
  <c r="C5" i="43"/>
  <c r="A14" i="43"/>
  <c r="A13" i="43"/>
  <c r="G28" i="3"/>
  <c r="F28" i="3"/>
  <c r="D29" i="3"/>
  <c r="B30" i="3"/>
  <c r="F14" i="20" l="1"/>
  <c r="B15" i="20"/>
  <c r="M13" i="20"/>
  <c r="I14" i="20"/>
  <c r="Q14" i="20"/>
  <c r="T13" i="20"/>
  <c r="W14" i="20"/>
  <c r="AA13" i="20"/>
  <c r="P20" i="20"/>
  <c r="B27" i="3"/>
  <c r="F15" i="20" l="1"/>
  <c r="B16" i="20"/>
  <c r="M14" i="20"/>
  <c r="I15" i="20"/>
  <c r="AA14" i="20"/>
  <c r="W15" i="20"/>
  <c r="Q15" i="20"/>
  <c r="T14" i="20"/>
  <c r="E11" i="43"/>
  <c r="D77" i="5"/>
  <c r="D76" i="5"/>
  <c r="D75" i="5"/>
  <c r="D94" i="5"/>
  <c r="D93" i="5"/>
  <c r="D92" i="5"/>
  <c r="D111" i="5"/>
  <c r="D110" i="5"/>
  <c r="D109" i="5"/>
  <c r="D128" i="5"/>
  <c r="D127" i="5"/>
  <c r="F18" i="43"/>
  <c r="F16" i="43"/>
  <c r="F17" i="43"/>
  <c r="A18" i="43"/>
  <c r="I16" i="20" l="1"/>
  <c r="M15" i="20"/>
  <c r="Q16" i="20"/>
  <c r="T15" i="20"/>
  <c r="AA15" i="20"/>
  <c r="W16" i="20"/>
  <c r="B17" i="20"/>
  <c r="F16" i="20"/>
  <c r="D124" i="5"/>
  <c r="D123" i="5"/>
  <c r="D122" i="5"/>
  <c r="D107" i="5"/>
  <c r="D106" i="5"/>
  <c r="D105" i="5"/>
  <c r="D90" i="5"/>
  <c r="D89" i="5"/>
  <c r="D88" i="5"/>
  <c r="D73" i="5"/>
  <c r="D72" i="5"/>
  <c r="D71" i="5"/>
  <c r="A16" i="43"/>
  <c r="A17" i="43"/>
  <c r="D11" i="43"/>
  <c r="C11" i="43"/>
  <c r="M46" i="2" s="1"/>
  <c r="F17" i="20" l="1"/>
  <c r="B18" i="20"/>
  <c r="Q17" i="20"/>
  <c r="T16" i="20"/>
  <c r="AA16" i="20"/>
  <c r="W17" i="20"/>
  <c r="M16" i="20"/>
  <c r="I17" i="20"/>
  <c r="F20" i="43"/>
  <c r="F19" i="43"/>
  <c r="F15" i="43"/>
  <c r="F11" i="43"/>
  <c r="A20" i="43"/>
  <c r="A19" i="43"/>
  <c r="A15" i="43"/>
  <c r="A11" i="43"/>
  <c r="M17" i="20" l="1"/>
  <c r="I18" i="20"/>
  <c r="Q18" i="20"/>
  <c r="T17" i="20"/>
  <c r="W18" i="20"/>
  <c r="AA17" i="20"/>
  <c r="F18" i="20"/>
  <c r="B19" i="20"/>
  <c r="E76" i="5"/>
  <c r="F19" i="20" l="1"/>
  <c r="B20" i="20"/>
  <c r="F20" i="20" s="1"/>
  <c r="Q19" i="20"/>
  <c r="T18" i="20"/>
  <c r="M18" i="20"/>
  <c r="I19" i="20"/>
  <c r="AA18" i="20"/>
  <c r="W19" i="20"/>
  <c r="F76" i="5"/>
  <c r="AG6" i="35"/>
  <c r="AG5" i="35"/>
  <c r="AG4" i="35"/>
  <c r="AG3" i="35"/>
  <c r="D102" i="2"/>
  <c r="B102" i="2"/>
  <c r="A102" i="2"/>
  <c r="D88" i="2"/>
  <c r="B88" i="2"/>
  <c r="A88" i="2"/>
  <c r="D74" i="2"/>
  <c r="B74" i="2"/>
  <c r="A74" i="2"/>
  <c r="D60" i="2"/>
  <c r="B60" i="2"/>
  <c r="A60" i="2"/>
  <c r="E60" i="2"/>
  <c r="E77" i="5"/>
  <c r="E75" i="5"/>
  <c r="C76" i="5"/>
  <c r="B76" i="5"/>
  <c r="A76" i="5"/>
  <c r="B127" i="5"/>
  <c r="A127" i="5"/>
  <c r="B110" i="5"/>
  <c r="A110" i="5"/>
  <c r="B93" i="5"/>
  <c r="A93" i="5"/>
  <c r="A92" i="5"/>
  <c r="F60" i="2" l="1"/>
  <c r="G60" i="2" s="1"/>
  <c r="L46" i="2"/>
  <c r="O46" i="2" s="1"/>
  <c r="E102" i="2"/>
  <c r="E88" i="2" s="1"/>
  <c r="I20" i="20"/>
  <c r="M20" i="20" s="1"/>
  <c r="M19" i="20"/>
  <c r="AA19" i="20"/>
  <c r="W20" i="20"/>
  <c r="AA20" i="20" s="1"/>
  <c r="Q20" i="20"/>
  <c r="T20" i="20" s="1"/>
  <c r="T19" i="20"/>
  <c r="F77" i="5"/>
  <c r="G77" i="5" s="1"/>
  <c r="F75" i="5"/>
  <c r="G75" i="5" s="1"/>
  <c r="G76" i="5"/>
  <c r="B25" i="34"/>
  <c r="B77" i="5"/>
  <c r="H75" i="5" l="1"/>
  <c r="H77" i="5"/>
  <c r="I77" i="5" s="1"/>
  <c r="J77" i="5" s="1"/>
  <c r="K77" i="5" s="1"/>
  <c r="L77" i="5" s="1"/>
  <c r="M77" i="5" s="1"/>
  <c r="N77" i="5" s="1"/>
  <c r="O77" i="5" s="1"/>
  <c r="P77" i="5" s="1"/>
  <c r="H76" i="5"/>
  <c r="H60" i="2"/>
  <c r="I75" i="5" l="1"/>
  <c r="J75" i="5" s="1"/>
  <c r="K75" i="5" s="1"/>
  <c r="L75" i="5" s="1"/>
  <c r="M75" i="5" s="1"/>
  <c r="N75" i="5" s="1"/>
  <c r="O75" i="5" s="1"/>
  <c r="P75" i="5" s="1"/>
  <c r="Q75" i="5" s="1"/>
  <c r="R75" i="5" s="1"/>
  <c r="S75" i="5" s="1"/>
  <c r="T75" i="5" s="1"/>
  <c r="U75" i="5" s="1"/>
  <c r="V75" i="5" s="1"/>
  <c r="I60" i="2"/>
  <c r="I76" i="5"/>
  <c r="H4" i="5"/>
  <c r="P57" i="5" s="1"/>
  <c r="B16" i="33"/>
  <c r="B13" i="5" s="1"/>
  <c r="E105" i="5"/>
  <c r="E106" i="5"/>
  <c r="D131" i="5"/>
  <c r="B131" i="5"/>
  <c r="A131" i="5"/>
  <c r="D130" i="5"/>
  <c r="B130" i="5"/>
  <c r="A130" i="5"/>
  <c r="B128" i="5"/>
  <c r="A128" i="5"/>
  <c r="D126" i="5"/>
  <c r="B126" i="5"/>
  <c r="A126" i="5"/>
  <c r="B124" i="5"/>
  <c r="A124" i="5"/>
  <c r="B123" i="5"/>
  <c r="A123" i="5"/>
  <c r="B122" i="5"/>
  <c r="A122" i="5"/>
  <c r="D114" i="5"/>
  <c r="B114" i="5"/>
  <c r="A114" i="5"/>
  <c r="D113" i="5"/>
  <c r="B113" i="5"/>
  <c r="A113" i="5"/>
  <c r="B111" i="5"/>
  <c r="A111" i="5"/>
  <c r="B109" i="5"/>
  <c r="A109" i="5"/>
  <c r="B107" i="5"/>
  <c r="A107" i="5"/>
  <c r="B106" i="5"/>
  <c r="A106" i="5"/>
  <c r="B105" i="5"/>
  <c r="A105" i="5"/>
  <c r="D97" i="5"/>
  <c r="B97" i="5"/>
  <c r="A97" i="5"/>
  <c r="D96" i="5"/>
  <c r="B96" i="5"/>
  <c r="A96" i="5"/>
  <c r="B94" i="5"/>
  <c r="A94" i="5"/>
  <c r="B92" i="5"/>
  <c r="B90" i="5"/>
  <c r="A90" i="5"/>
  <c r="B89" i="5"/>
  <c r="A89" i="5"/>
  <c r="B88" i="5"/>
  <c r="A88" i="5"/>
  <c r="D80" i="5"/>
  <c r="B75" i="5"/>
  <c r="D79" i="5"/>
  <c r="C75" i="5"/>
  <c r="B80" i="5"/>
  <c r="B79" i="5"/>
  <c r="B73" i="5"/>
  <c r="B71" i="5"/>
  <c r="B72" i="5"/>
  <c r="A80" i="5"/>
  <c r="A79" i="5"/>
  <c r="A77" i="5"/>
  <c r="A75" i="5"/>
  <c r="A73" i="5"/>
  <c r="A71" i="5"/>
  <c r="A72" i="5"/>
  <c r="J76" i="5" l="1"/>
  <c r="J60" i="2"/>
  <c r="K60" i="2" s="1"/>
  <c r="L60" i="2" s="1"/>
  <c r="M60" i="2" s="1"/>
  <c r="N60" i="2" s="1"/>
  <c r="O60" i="2" s="1"/>
  <c r="P60" i="2" s="1"/>
  <c r="Q60" i="2" s="1"/>
  <c r="W75" i="5"/>
  <c r="C7" i="5"/>
  <c r="D7" i="5"/>
  <c r="E7" i="5"/>
  <c r="F7" i="5"/>
  <c r="G7" i="5"/>
  <c r="I7" i="5"/>
  <c r="C8" i="5"/>
  <c r="D8" i="5"/>
  <c r="E8" i="5"/>
  <c r="F8" i="5"/>
  <c r="G8" i="5"/>
  <c r="H8" i="5"/>
  <c r="P64" i="5" s="1"/>
  <c r="I8" i="5"/>
  <c r="B8" i="5"/>
  <c r="B7" i="5"/>
  <c r="E56" i="49"/>
  <c r="F57" i="49" s="1"/>
  <c r="G58" i="49" s="1"/>
  <c r="H59" i="49" s="1"/>
  <c r="I60" i="49" s="1"/>
  <c r="J61" i="49" s="1"/>
  <c r="K62" i="49" s="1"/>
  <c r="L63" i="49" s="1"/>
  <c r="M64" i="49" s="1"/>
  <c r="N65" i="49" s="1"/>
  <c r="O66" i="49" s="1"/>
  <c r="P67" i="49" s="1"/>
  <c r="Q68" i="49" s="1"/>
  <c r="R69" i="49" s="1"/>
  <c r="S70" i="49" s="1"/>
  <c r="T71" i="49" s="1"/>
  <c r="U72" i="49" s="1"/>
  <c r="V73" i="49" s="1"/>
  <c r="W74" i="49" s="1"/>
  <c r="X75" i="49" s="1"/>
  <c r="Y76" i="49" s="1"/>
  <c r="Z77" i="49" s="1"/>
  <c r="AA78" i="49" s="1"/>
  <c r="AB79" i="49" s="1"/>
  <c r="F56" i="49"/>
  <c r="G57" i="49" s="1"/>
  <c r="H58" i="49" s="1"/>
  <c r="I59" i="49" s="1"/>
  <c r="J60" i="49" s="1"/>
  <c r="K61" i="49" s="1"/>
  <c r="L62" i="49" s="1"/>
  <c r="M63" i="49" s="1"/>
  <c r="N64" i="49" s="1"/>
  <c r="O65" i="49" s="1"/>
  <c r="P66" i="49" s="1"/>
  <c r="Q67" i="49" s="1"/>
  <c r="R68" i="49" s="1"/>
  <c r="S69" i="49" s="1"/>
  <c r="T70" i="49" s="1"/>
  <c r="U71" i="49" s="1"/>
  <c r="V72" i="49" s="1"/>
  <c r="W73" i="49" s="1"/>
  <c r="X74" i="49" s="1"/>
  <c r="Y75" i="49" s="1"/>
  <c r="Z76" i="49" s="1"/>
  <c r="AA77" i="49" s="1"/>
  <c r="AB78" i="49" s="1"/>
  <c r="G56" i="49"/>
  <c r="H57" i="49" s="1"/>
  <c r="I58" i="49" s="1"/>
  <c r="J59" i="49" s="1"/>
  <c r="K60" i="49" s="1"/>
  <c r="L61" i="49" s="1"/>
  <c r="M62" i="49" s="1"/>
  <c r="N63" i="49" s="1"/>
  <c r="O64" i="49" s="1"/>
  <c r="P65" i="49" s="1"/>
  <c r="Q66" i="49" s="1"/>
  <c r="R67" i="49" s="1"/>
  <c r="S68" i="49" s="1"/>
  <c r="T69" i="49" s="1"/>
  <c r="U70" i="49" s="1"/>
  <c r="V71" i="49" s="1"/>
  <c r="W72" i="49" s="1"/>
  <c r="X73" i="49" s="1"/>
  <c r="Y74" i="49" s="1"/>
  <c r="Z75" i="49" s="1"/>
  <c r="AA76" i="49" s="1"/>
  <c r="AB77" i="49" s="1"/>
  <c r="H56" i="49"/>
  <c r="I57" i="49" s="1"/>
  <c r="J58" i="49" s="1"/>
  <c r="K59" i="49" s="1"/>
  <c r="L60" i="49" s="1"/>
  <c r="M61" i="49" s="1"/>
  <c r="N62" i="49" s="1"/>
  <c r="O63" i="49" s="1"/>
  <c r="P64" i="49" s="1"/>
  <c r="Q65" i="49" s="1"/>
  <c r="R66" i="49" s="1"/>
  <c r="S67" i="49" s="1"/>
  <c r="T68" i="49" s="1"/>
  <c r="U69" i="49" s="1"/>
  <c r="V70" i="49" s="1"/>
  <c r="W71" i="49" s="1"/>
  <c r="X72" i="49" s="1"/>
  <c r="Y73" i="49" s="1"/>
  <c r="Z74" i="49" s="1"/>
  <c r="AA75" i="49" s="1"/>
  <c r="AB76" i="49" s="1"/>
  <c r="I56" i="49"/>
  <c r="J56" i="49"/>
  <c r="K57" i="49" s="1"/>
  <c r="L58" i="49" s="1"/>
  <c r="M59" i="49" s="1"/>
  <c r="N60" i="49" s="1"/>
  <c r="O61" i="49" s="1"/>
  <c r="P62" i="49" s="1"/>
  <c r="Q63" i="49" s="1"/>
  <c r="R64" i="49" s="1"/>
  <c r="S65" i="49" s="1"/>
  <c r="T66" i="49" s="1"/>
  <c r="U67" i="49" s="1"/>
  <c r="V68" i="49" s="1"/>
  <c r="W69" i="49" s="1"/>
  <c r="X70" i="49" s="1"/>
  <c r="Y71" i="49" s="1"/>
  <c r="Z72" i="49" s="1"/>
  <c r="AA73" i="49" s="1"/>
  <c r="AB74" i="49" s="1"/>
  <c r="K56" i="49"/>
  <c r="L57" i="49" s="1"/>
  <c r="M58" i="49" s="1"/>
  <c r="N59" i="49" s="1"/>
  <c r="O60" i="49" s="1"/>
  <c r="P61" i="49" s="1"/>
  <c r="Q62" i="49" s="1"/>
  <c r="R63" i="49" s="1"/>
  <c r="S64" i="49" s="1"/>
  <c r="T65" i="49" s="1"/>
  <c r="U66" i="49" s="1"/>
  <c r="V67" i="49" s="1"/>
  <c r="W68" i="49" s="1"/>
  <c r="X69" i="49" s="1"/>
  <c r="Y70" i="49" s="1"/>
  <c r="Z71" i="49" s="1"/>
  <c r="AA72" i="49" s="1"/>
  <c r="AB73" i="49" s="1"/>
  <c r="L56" i="49"/>
  <c r="M57" i="49" s="1"/>
  <c r="N58" i="49" s="1"/>
  <c r="O59" i="49" s="1"/>
  <c r="P60" i="49" s="1"/>
  <c r="Q61" i="49" s="1"/>
  <c r="R62" i="49" s="1"/>
  <c r="S63" i="49" s="1"/>
  <c r="T64" i="49" s="1"/>
  <c r="U65" i="49" s="1"/>
  <c r="V66" i="49" s="1"/>
  <c r="W67" i="49" s="1"/>
  <c r="X68" i="49" s="1"/>
  <c r="Y69" i="49" s="1"/>
  <c r="Z70" i="49" s="1"/>
  <c r="AA71" i="49" s="1"/>
  <c r="AB72" i="49" s="1"/>
  <c r="M56" i="49"/>
  <c r="N57" i="49" s="1"/>
  <c r="O58" i="49" s="1"/>
  <c r="P59" i="49" s="1"/>
  <c r="Q60" i="49" s="1"/>
  <c r="R61" i="49" s="1"/>
  <c r="S62" i="49" s="1"/>
  <c r="T63" i="49" s="1"/>
  <c r="U64" i="49" s="1"/>
  <c r="V65" i="49" s="1"/>
  <c r="W66" i="49" s="1"/>
  <c r="X67" i="49" s="1"/>
  <c r="Y68" i="49" s="1"/>
  <c r="Z69" i="49" s="1"/>
  <c r="AA70" i="49" s="1"/>
  <c r="AB71" i="49" s="1"/>
  <c r="N56" i="49"/>
  <c r="O57" i="49" s="1"/>
  <c r="P58" i="49" s="1"/>
  <c r="Q59" i="49" s="1"/>
  <c r="R60" i="49" s="1"/>
  <c r="S61" i="49" s="1"/>
  <c r="T62" i="49" s="1"/>
  <c r="U63" i="49" s="1"/>
  <c r="V64" i="49" s="1"/>
  <c r="W65" i="49" s="1"/>
  <c r="X66" i="49" s="1"/>
  <c r="Y67" i="49" s="1"/>
  <c r="Z68" i="49" s="1"/>
  <c r="AA69" i="49" s="1"/>
  <c r="AB70" i="49" s="1"/>
  <c r="O56" i="49"/>
  <c r="P57" i="49" s="1"/>
  <c r="Q58" i="49" s="1"/>
  <c r="R59" i="49" s="1"/>
  <c r="S60" i="49" s="1"/>
  <c r="T61" i="49" s="1"/>
  <c r="U62" i="49" s="1"/>
  <c r="V63" i="49" s="1"/>
  <c r="W64" i="49" s="1"/>
  <c r="X65" i="49" s="1"/>
  <c r="Y66" i="49" s="1"/>
  <c r="Z67" i="49" s="1"/>
  <c r="AA68" i="49" s="1"/>
  <c r="AB69" i="49" s="1"/>
  <c r="P56" i="49"/>
  <c r="Q57" i="49" s="1"/>
  <c r="R58" i="49" s="1"/>
  <c r="S59" i="49" s="1"/>
  <c r="T60" i="49" s="1"/>
  <c r="U61" i="49" s="1"/>
  <c r="V62" i="49" s="1"/>
  <c r="W63" i="49" s="1"/>
  <c r="X64" i="49" s="1"/>
  <c r="Y65" i="49" s="1"/>
  <c r="Z66" i="49" s="1"/>
  <c r="AA67" i="49" s="1"/>
  <c r="AB68" i="49" s="1"/>
  <c r="Q56" i="49"/>
  <c r="R57" i="49" s="1"/>
  <c r="S58" i="49" s="1"/>
  <c r="T59" i="49" s="1"/>
  <c r="U60" i="49" s="1"/>
  <c r="V61" i="49" s="1"/>
  <c r="W62" i="49" s="1"/>
  <c r="X63" i="49" s="1"/>
  <c r="Y64" i="49" s="1"/>
  <c r="Z65" i="49" s="1"/>
  <c r="AA66" i="49" s="1"/>
  <c r="AB67" i="49" s="1"/>
  <c r="R56" i="49"/>
  <c r="S57" i="49" s="1"/>
  <c r="T58" i="49" s="1"/>
  <c r="U59" i="49" s="1"/>
  <c r="V60" i="49" s="1"/>
  <c r="W61" i="49" s="1"/>
  <c r="X62" i="49" s="1"/>
  <c r="Y63" i="49" s="1"/>
  <c r="Z64" i="49" s="1"/>
  <c r="AA65" i="49" s="1"/>
  <c r="AB66" i="49" s="1"/>
  <c r="S56" i="49"/>
  <c r="T57" i="49" s="1"/>
  <c r="U58" i="49" s="1"/>
  <c r="V59" i="49" s="1"/>
  <c r="W60" i="49" s="1"/>
  <c r="X61" i="49" s="1"/>
  <c r="Y62" i="49" s="1"/>
  <c r="Z63" i="49" s="1"/>
  <c r="AA64" i="49" s="1"/>
  <c r="AB65" i="49" s="1"/>
  <c r="T56" i="49"/>
  <c r="U57" i="49" s="1"/>
  <c r="V58" i="49" s="1"/>
  <c r="W59" i="49" s="1"/>
  <c r="X60" i="49" s="1"/>
  <c r="Y61" i="49" s="1"/>
  <c r="Z62" i="49" s="1"/>
  <c r="AA63" i="49" s="1"/>
  <c r="AB64" i="49" s="1"/>
  <c r="U56" i="49"/>
  <c r="V57" i="49" s="1"/>
  <c r="W58" i="49" s="1"/>
  <c r="X59" i="49" s="1"/>
  <c r="Y60" i="49" s="1"/>
  <c r="Z61" i="49" s="1"/>
  <c r="AA62" i="49" s="1"/>
  <c r="AB63" i="49" s="1"/>
  <c r="V56" i="49"/>
  <c r="W57" i="49" s="1"/>
  <c r="X58" i="49" s="1"/>
  <c r="Y59" i="49" s="1"/>
  <c r="Z60" i="49" s="1"/>
  <c r="AA61" i="49" s="1"/>
  <c r="AB62" i="49" s="1"/>
  <c r="W56" i="49"/>
  <c r="X57" i="49" s="1"/>
  <c r="Y58" i="49" s="1"/>
  <c r="Z59" i="49" s="1"/>
  <c r="AA60" i="49" s="1"/>
  <c r="AB61" i="49" s="1"/>
  <c r="X56" i="49"/>
  <c r="Y56" i="49"/>
  <c r="Z57" i="49" s="1"/>
  <c r="AA58" i="49" s="1"/>
  <c r="AB59" i="49" s="1"/>
  <c r="Z56" i="49"/>
  <c r="AA57" i="49" s="1"/>
  <c r="AB58" i="49" s="1"/>
  <c r="AA56" i="49"/>
  <c r="AB57" i="49" s="1"/>
  <c r="AB56" i="49"/>
  <c r="J57" i="49"/>
  <c r="Y57" i="49"/>
  <c r="Z58" i="49" s="1"/>
  <c r="AA59" i="49" s="1"/>
  <c r="AB60" i="49" s="1"/>
  <c r="K58" i="49"/>
  <c r="L59" i="49" s="1"/>
  <c r="M60" i="49" s="1"/>
  <c r="N61" i="49" s="1"/>
  <c r="O62" i="49" s="1"/>
  <c r="P63" i="49" s="1"/>
  <c r="Q64" i="49" s="1"/>
  <c r="R65" i="49" s="1"/>
  <c r="S66" i="49" s="1"/>
  <c r="T67" i="49" s="1"/>
  <c r="U68" i="49" s="1"/>
  <c r="V69" i="49" s="1"/>
  <c r="W70" i="49" s="1"/>
  <c r="X71" i="49" s="1"/>
  <c r="Y72" i="49" s="1"/>
  <c r="Z73" i="49" s="1"/>
  <c r="AA74" i="49" s="1"/>
  <c r="AB75" i="49" s="1"/>
  <c r="D73" i="49"/>
  <c r="E74" i="49" s="1"/>
  <c r="F75" i="49" s="1"/>
  <c r="G76" i="49" s="1"/>
  <c r="H77" i="49" s="1"/>
  <c r="I78" i="49" s="1"/>
  <c r="J79" i="49" s="1"/>
  <c r="K80" i="49" s="1"/>
  <c r="D74" i="49"/>
  <c r="E75" i="49" s="1"/>
  <c r="F76" i="49" s="1"/>
  <c r="G77" i="49" s="1"/>
  <c r="H78" i="49" s="1"/>
  <c r="I79" i="49" s="1"/>
  <c r="J80" i="49" s="1"/>
  <c r="D75" i="49"/>
  <c r="E76" i="49" s="1"/>
  <c r="F77" i="49" s="1"/>
  <c r="G78" i="49" s="1"/>
  <c r="H79" i="49" s="1"/>
  <c r="I80" i="49" s="1"/>
  <c r="D76" i="49"/>
  <c r="E77" i="49" s="1"/>
  <c r="F78" i="49" s="1"/>
  <c r="G79" i="49" s="1"/>
  <c r="H80" i="49" s="1"/>
  <c r="D77" i="49"/>
  <c r="E78" i="49" s="1"/>
  <c r="F79" i="49" s="1"/>
  <c r="G80" i="49" s="1"/>
  <c r="D78" i="49"/>
  <c r="E79" i="49" s="1"/>
  <c r="F80" i="49" s="1"/>
  <c r="D79" i="49"/>
  <c r="E80" i="49" s="1"/>
  <c r="D80" i="49"/>
  <c r="E27" i="49"/>
  <c r="F28" i="49" s="1"/>
  <c r="G29" i="49" s="1"/>
  <c r="H30" i="49" s="1"/>
  <c r="I31" i="49" s="1"/>
  <c r="J32" i="49" s="1"/>
  <c r="K33" i="49" s="1"/>
  <c r="L34" i="49" s="1"/>
  <c r="M35" i="49" s="1"/>
  <c r="N36" i="49" s="1"/>
  <c r="O37" i="49" s="1"/>
  <c r="P38" i="49" s="1"/>
  <c r="Q39" i="49" s="1"/>
  <c r="R40" i="49" s="1"/>
  <c r="S41" i="49" s="1"/>
  <c r="T42" i="49" s="1"/>
  <c r="U43" i="49" s="1"/>
  <c r="V44" i="49" s="1"/>
  <c r="W45" i="49" s="1"/>
  <c r="X46" i="49" s="1"/>
  <c r="Y47" i="49" s="1"/>
  <c r="Z48" i="49" s="1"/>
  <c r="AA49" i="49" s="1"/>
  <c r="F27" i="49"/>
  <c r="G28" i="49" s="1"/>
  <c r="H29" i="49" s="1"/>
  <c r="I30" i="49" s="1"/>
  <c r="J31" i="49" s="1"/>
  <c r="K32" i="49" s="1"/>
  <c r="L33" i="49" s="1"/>
  <c r="M34" i="49" s="1"/>
  <c r="N35" i="49" s="1"/>
  <c r="O36" i="49" s="1"/>
  <c r="P37" i="49" s="1"/>
  <c r="Q38" i="49" s="1"/>
  <c r="R39" i="49" s="1"/>
  <c r="S40" i="49" s="1"/>
  <c r="T41" i="49" s="1"/>
  <c r="U42" i="49" s="1"/>
  <c r="V43" i="49" s="1"/>
  <c r="W44" i="49" s="1"/>
  <c r="X45" i="49" s="1"/>
  <c r="Y46" i="49" s="1"/>
  <c r="Z47" i="49" s="1"/>
  <c r="AA48" i="49" s="1"/>
  <c r="G27" i="49"/>
  <c r="H28" i="49" s="1"/>
  <c r="I29" i="49" s="1"/>
  <c r="J30" i="49" s="1"/>
  <c r="K31" i="49" s="1"/>
  <c r="L32" i="49" s="1"/>
  <c r="M33" i="49" s="1"/>
  <c r="N34" i="49" s="1"/>
  <c r="O35" i="49" s="1"/>
  <c r="P36" i="49" s="1"/>
  <c r="Q37" i="49" s="1"/>
  <c r="R38" i="49" s="1"/>
  <c r="S39" i="49" s="1"/>
  <c r="T40" i="49" s="1"/>
  <c r="U41" i="49" s="1"/>
  <c r="V42" i="49" s="1"/>
  <c r="W43" i="49" s="1"/>
  <c r="X44" i="49" s="1"/>
  <c r="Y45" i="49" s="1"/>
  <c r="Z46" i="49" s="1"/>
  <c r="AA47" i="49" s="1"/>
  <c r="H27" i="49"/>
  <c r="I28" i="49" s="1"/>
  <c r="J29" i="49" s="1"/>
  <c r="K30" i="49" s="1"/>
  <c r="L31" i="49" s="1"/>
  <c r="M32" i="49" s="1"/>
  <c r="N33" i="49" s="1"/>
  <c r="O34" i="49" s="1"/>
  <c r="P35" i="49" s="1"/>
  <c r="Q36" i="49" s="1"/>
  <c r="R37" i="49" s="1"/>
  <c r="S38" i="49" s="1"/>
  <c r="T39" i="49" s="1"/>
  <c r="U40" i="49" s="1"/>
  <c r="V41" i="49" s="1"/>
  <c r="W42" i="49" s="1"/>
  <c r="X43" i="49" s="1"/>
  <c r="Y44" i="49" s="1"/>
  <c r="Z45" i="49" s="1"/>
  <c r="AA46" i="49" s="1"/>
  <c r="I27" i="49"/>
  <c r="J28" i="49" s="1"/>
  <c r="K29" i="49" s="1"/>
  <c r="L30" i="49" s="1"/>
  <c r="M31" i="49" s="1"/>
  <c r="N32" i="49" s="1"/>
  <c r="O33" i="49" s="1"/>
  <c r="P34" i="49" s="1"/>
  <c r="Q35" i="49" s="1"/>
  <c r="R36" i="49" s="1"/>
  <c r="S37" i="49" s="1"/>
  <c r="T38" i="49" s="1"/>
  <c r="U39" i="49" s="1"/>
  <c r="V40" i="49" s="1"/>
  <c r="W41" i="49" s="1"/>
  <c r="X42" i="49" s="1"/>
  <c r="Y43" i="49" s="1"/>
  <c r="Z44" i="49" s="1"/>
  <c r="AA45" i="49" s="1"/>
  <c r="J27" i="49"/>
  <c r="K28" i="49" s="1"/>
  <c r="L29" i="49" s="1"/>
  <c r="M30" i="49" s="1"/>
  <c r="N31" i="49" s="1"/>
  <c r="O32" i="49" s="1"/>
  <c r="P33" i="49" s="1"/>
  <c r="Q34" i="49" s="1"/>
  <c r="R35" i="49" s="1"/>
  <c r="S36" i="49" s="1"/>
  <c r="T37" i="49" s="1"/>
  <c r="U38" i="49" s="1"/>
  <c r="V39" i="49" s="1"/>
  <c r="W40" i="49" s="1"/>
  <c r="X41" i="49" s="1"/>
  <c r="Y42" i="49" s="1"/>
  <c r="Z43" i="49" s="1"/>
  <c r="AA44" i="49" s="1"/>
  <c r="K27" i="49"/>
  <c r="L28" i="49" s="1"/>
  <c r="M29" i="49" s="1"/>
  <c r="N30" i="49" s="1"/>
  <c r="O31" i="49" s="1"/>
  <c r="P32" i="49" s="1"/>
  <c r="Q33" i="49" s="1"/>
  <c r="R34" i="49" s="1"/>
  <c r="S35" i="49" s="1"/>
  <c r="T36" i="49" s="1"/>
  <c r="U37" i="49" s="1"/>
  <c r="V38" i="49" s="1"/>
  <c r="W39" i="49" s="1"/>
  <c r="X40" i="49" s="1"/>
  <c r="Y41" i="49" s="1"/>
  <c r="Z42" i="49" s="1"/>
  <c r="AA43" i="49" s="1"/>
  <c r="L27" i="49"/>
  <c r="M28" i="49" s="1"/>
  <c r="N29" i="49" s="1"/>
  <c r="O30" i="49" s="1"/>
  <c r="P31" i="49" s="1"/>
  <c r="Q32" i="49" s="1"/>
  <c r="R33" i="49" s="1"/>
  <c r="S34" i="49" s="1"/>
  <c r="T35" i="49" s="1"/>
  <c r="U36" i="49" s="1"/>
  <c r="V37" i="49" s="1"/>
  <c r="W38" i="49" s="1"/>
  <c r="X39" i="49" s="1"/>
  <c r="Y40" i="49" s="1"/>
  <c r="Z41" i="49" s="1"/>
  <c r="AA42" i="49" s="1"/>
  <c r="M27" i="49"/>
  <c r="N28" i="49" s="1"/>
  <c r="O29" i="49" s="1"/>
  <c r="P30" i="49" s="1"/>
  <c r="Q31" i="49" s="1"/>
  <c r="R32" i="49" s="1"/>
  <c r="S33" i="49" s="1"/>
  <c r="T34" i="49" s="1"/>
  <c r="U35" i="49" s="1"/>
  <c r="V36" i="49" s="1"/>
  <c r="W37" i="49" s="1"/>
  <c r="X38" i="49" s="1"/>
  <c r="Y39" i="49" s="1"/>
  <c r="Z40" i="49" s="1"/>
  <c r="AA41" i="49" s="1"/>
  <c r="N27" i="49"/>
  <c r="O28" i="49" s="1"/>
  <c r="P29" i="49" s="1"/>
  <c r="Q30" i="49" s="1"/>
  <c r="R31" i="49" s="1"/>
  <c r="S32" i="49" s="1"/>
  <c r="T33" i="49" s="1"/>
  <c r="U34" i="49" s="1"/>
  <c r="V35" i="49" s="1"/>
  <c r="W36" i="49" s="1"/>
  <c r="X37" i="49" s="1"/>
  <c r="Y38" i="49" s="1"/>
  <c r="Z39" i="49" s="1"/>
  <c r="AA40" i="49" s="1"/>
  <c r="O27" i="49"/>
  <c r="P28" i="49" s="1"/>
  <c r="Q29" i="49" s="1"/>
  <c r="R30" i="49" s="1"/>
  <c r="S31" i="49" s="1"/>
  <c r="T32" i="49" s="1"/>
  <c r="U33" i="49" s="1"/>
  <c r="V34" i="49" s="1"/>
  <c r="W35" i="49" s="1"/>
  <c r="X36" i="49" s="1"/>
  <c r="Y37" i="49" s="1"/>
  <c r="Z38" i="49" s="1"/>
  <c r="AA39" i="49" s="1"/>
  <c r="P27" i="49"/>
  <c r="Q28" i="49" s="1"/>
  <c r="R29" i="49" s="1"/>
  <c r="S30" i="49" s="1"/>
  <c r="T31" i="49" s="1"/>
  <c r="U32" i="49" s="1"/>
  <c r="V33" i="49" s="1"/>
  <c r="W34" i="49" s="1"/>
  <c r="X35" i="49" s="1"/>
  <c r="Y36" i="49" s="1"/>
  <c r="Z37" i="49" s="1"/>
  <c r="AA38" i="49" s="1"/>
  <c r="Q27" i="49"/>
  <c r="R28" i="49" s="1"/>
  <c r="S29" i="49" s="1"/>
  <c r="T30" i="49" s="1"/>
  <c r="U31" i="49" s="1"/>
  <c r="V32" i="49" s="1"/>
  <c r="W33" i="49" s="1"/>
  <c r="X34" i="49" s="1"/>
  <c r="Y35" i="49" s="1"/>
  <c r="Z36" i="49" s="1"/>
  <c r="AA37" i="49" s="1"/>
  <c r="R27" i="49"/>
  <c r="S28" i="49" s="1"/>
  <c r="T29" i="49" s="1"/>
  <c r="U30" i="49" s="1"/>
  <c r="V31" i="49" s="1"/>
  <c r="W32" i="49" s="1"/>
  <c r="X33" i="49" s="1"/>
  <c r="Y34" i="49" s="1"/>
  <c r="Z35" i="49" s="1"/>
  <c r="AA36" i="49" s="1"/>
  <c r="S27" i="49"/>
  <c r="T28" i="49" s="1"/>
  <c r="U29" i="49" s="1"/>
  <c r="V30" i="49" s="1"/>
  <c r="W31" i="49" s="1"/>
  <c r="X32" i="49" s="1"/>
  <c r="Y33" i="49" s="1"/>
  <c r="Z34" i="49" s="1"/>
  <c r="AA35" i="49" s="1"/>
  <c r="T27" i="49"/>
  <c r="U28" i="49" s="1"/>
  <c r="V29" i="49" s="1"/>
  <c r="W30" i="49" s="1"/>
  <c r="X31" i="49" s="1"/>
  <c r="Y32" i="49" s="1"/>
  <c r="Z33" i="49" s="1"/>
  <c r="AA34" i="49" s="1"/>
  <c r="U27" i="49"/>
  <c r="V28" i="49" s="1"/>
  <c r="W29" i="49" s="1"/>
  <c r="X30" i="49" s="1"/>
  <c r="Y31" i="49" s="1"/>
  <c r="Z32" i="49" s="1"/>
  <c r="AA33" i="49" s="1"/>
  <c r="V27" i="49"/>
  <c r="W27" i="49"/>
  <c r="X28" i="49" s="1"/>
  <c r="Y29" i="49" s="1"/>
  <c r="Z30" i="49" s="1"/>
  <c r="AA31" i="49" s="1"/>
  <c r="X27" i="49"/>
  <c r="Y28" i="49" s="1"/>
  <c r="Z29" i="49" s="1"/>
  <c r="AA30" i="49" s="1"/>
  <c r="Y27" i="49"/>
  <c r="Z28" i="49" s="1"/>
  <c r="AA29" i="49" s="1"/>
  <c r="Z27" i="49"/>
  <c r="AA28" i="49" s="1"/>
  <c r="AA27" i="49"/>
  <c r="W28" i="49"/>
  <c r="X29" i="49" s="1"/>
  <c r="Y30" i="49" s="1"/>
  <c r="Z31" i="49" s="1"/>
  <c r="AA32" i="49" s="1"/>
  <c r="D44" i="49"/>
  <c r="E45" i="49" s="1"/>
  <c r="F46" i="49" s="1"/>
  <c r="G47" i="49" s="1"/>
  <c r="H48" i="49" s="1"/>
  <c r="I49" i="49" s="1"/>
  <c r="J50" i="49" s="1"/>
  <c r="K51" i="49" s="1"/>
  <c r="D47" i="49"/>
  <c r="E48" i="49" s="1"/>
  <c r="F49" i="49" s="1"/>
  <c r="G50" i="49" s="1"/>
  <c r="H51" i="49" s="1"/>
  <c r="AE81" i="49"/>
  <c r="AD3" i="49" s="1"/>
  <c r="AD81" i="49"/>
  <c r="AC3" i="49" s="1"/>
  <c r="AC81" i="49"/>
  <c r="AB3" i="49" s="1"/>
  <c r="AE52" i="49"/>
  <c r="AD2" i="49" s="1"/>
  <c r="AB52" i="49"/>
  <c r="AA2" i="49" s="1"/>
  <c r="X75" i="5" l="1"/>
  <c r="K76" i="5"/>
  <c r="L76" i="5" s="1"/>
  <c r="M76" i="5" s="1"/>
  <c r="N76" i="5" s="1"/>
  <c r="O76" i="5" s="1"/>
  <c r="P76" i="5" s="1"/>
  <c r="J8" i="5"/>
  <c r="J7" i="5"/>
  <c r="AC52" i="49"/>
  <c r="AB2" i="49" s="1"/>
  <c r="AD52" i="49"/>
  <c r="AC2" i="49" s="1"/>
  <c r="Y75" i="5" l="1"/>
  <c r="Z75" i="5" s="1"/>
  <c r="AA75" i="5" s="1"/>
  <c r="AB75" i="5" s="1"/>
  <c r="AC75" i="5" s="1"/>
  <c r="AD75" i="5" s="1"/>
  <c r="J39" i="33" l="1"/>
  <c r="B38" i="33"/>
  <c r="B35" i="33"/>
  <c r="C4" i="5"/>
  <c r="D4" i="5"/>
  <c r="E4" i="5"/>
  <c r="F4" i="5"/>
  <c r="G4" i="5"/>
  <c r="I4" i="5"/>
  <c r="J4" i="5"/>
  <c r="B4" i="5"/>
  <c r="C2" i="5"/>
  <c r="D2" i="5"/>
  <c r="E2" i="5"/>
  <c r="F2" i="5"/>
  <c r="G2" i="5"/>
  <c r="H2" i="5"/>
  <c r="P55" i="5" s="1"/>
  <c r="I2" i="5"/>
  <c r="J2" i="5"/>
  <c r="C3" i="5"/>
  <c r="D3" i="5"/>
  <c r="E3" i="5"/>
  <c r="F3" i="5"/>
  <c r="G3" i="5"/>
  <c r="H3" i="5"/>
  <c r="P56" i="5" s="1"/>
  <c r="I3" i="5"/>
  <c r="J3" i="5"/>
  <c r="B3" i="5"/>
  <c r="B2" i="5"/>
  <c r="C16" i="33"/>
  <c r="C13" i="5" s="1"/>
  <c r="D16" i="33"/>
  <c r="E67" i="33" s="1"/>
  <c r="E16" i="33"/>
  <c r="E68" i="33" s="1"/>
  <c r="F16" i="33"/>
  <c r="F13" i="5" s="1"/>
  <c r="G16" i="33"/>
  <c r="G13" i="5" s="1"/>
  <c r="H16" i="33"/>
  <c r="H13" i="5" s="1"/>
  <c r="I16" i="33"/>
  <c r="I13" i="5" s="1"/>
  <c r="J16" i="33"/>
  <c r="J13" i="5" s="1"/>
  <c r="B14" i="33"/>
  <c r="C14" i="33"/>
  <c r="D14" i="33"/>
  <c r="E14" i="33"/>
  <c r="F14" i="33"/>
  <c r="G14" i="33"/>
  <c r="H14" i="33"/>
  <c r="I14" i="33"/>
  <c r="J14" i="33"/>
  <c r="B15" i="33"/>
  <c r="B12" i="5" s="1"/>
  <c r="C15" i="33"/>
  <c r="C12" i="5" s="1"/>
  <c r="D15" i="33"/>
  <c r="E15" i="33"/>
  <c r="F15" i="33"/>
  <c r="G15" i="33"/>
  <c r="H15" i="33"/>
  <c r="I15" i="33"/>
  <c r="J15" i="33"/>
  <c r="C13" i="33"/>
  <c r="D13" i="33"/>
  <c r="E13" i="33"/>
  <c r="F13" i="33"/>
  <c r="B65" i="33" s="1"/>
  <c r="G13" i="33"/>
  <c r="H13" i="33"/>
  <c r="B67" i="33" s="1"/>
  <c r="I13" i="33"/>
  <c r="J13" i="33"/>
  <c r="B13" i="33"/>
  <c r="B55" i="33"/>
  <c r="E107" i="5" l="1"/>
  <c r="C16" i="43"/>
  <c r="F107" i="5"/>
  <c r="D11" i="5"/>
  <c r="H36" i="5"/>
  <c r="E88" i="5" s="1"/>
  <c r="G107" i="5"/>
  <c r="Q57" i="5"/>
  <c r="C35" i="33"/>
  <c r="D35" i="33" s="1"/>
  <c r="E35" i="33" s="1"/>
  <c r="F35" i="33" s="1"/>
  <c r="G35" i="33" s="1"/>
  <c r="H35" i="33" s="1"/>
  <c r="H39" i="33" s="1"/>
  <c r="C38" i="33"/>
  <c r="E73" i="5"/>
  <c r="I11" i="5"/>
  <c r="E11" i="5"/>
  <c r="I12" i="5"/>
  <c r="I36" i="5"/>
  <c r="F88" i="5" s="1"/>
  <c r="E12" i="5"/>
  <c r="E36" i="5"/>
  <c r="E27" i="5" s="1"/>
  <c r="J37" i="5"/>
  <c r="G89" i="5" s="1"/>
  <c r="J38" i="5"/>
  <c r="G90" i="5" s="1"/>
  <c r="F37" i="5"/>
  <c r="F38" i="5"/>
  <c r="F29" i="5" s="1"/>
  <c r="D12" i="5"/>
  <c r="D36" i="5"/>
  <c r="I37" i="5"/>
  <c r="F89" i="5" s="1"/>
  <c r="I38" i="5"/>
  <c r="F90" i="5" s="1"/>
  <c r="E37" i="5"/>
  <c r="E38" i="5"/>
  <c r="B11" i="5"/>
  <c r="G12" i="5"/>
  <c r="G36" i="5"/>
  <c r="H38" i="5"/>
  <c r="E90" i="5" s="1"/>
  <c r="H37" i="5"/>
  <c r="E89" i="5" s="1"/>
  <c r="D38" i="5"/>
  <c r="D37" i="5"/>
  <c r="B68" i="33"/>
  <c r="J11" i="5"/>
  <c r="J12" i="5"/>
  <c r="J36" i="5"/>
  <c r="G88" i="5" s="1"/>
  <c r="F36" i="5"/>
  <c r="G38" i="5"/>
  <c r="G29" i="5" s="1"/>
  <c r="G37" i="5"/>
  <c r="E13" i="5"/>
  <c r="G11" i="5"/>
  <c r="C11" i="5"/>
  <c r="B66" i="33"/>
  <c r="F12" i="5"/>
  <c r="F11" i="5"/>
  <c r="E65" i="33"/>
  <c r="D13" i="5"/>
  <c r="H12" i="5"/>
  <c r="C17" i="43" s="1"/>
  <c r="H11" i="5"/>
  <c r="E66" i="33"/>
  <c r="C15" i="43" l="1"/>
  <c r="Q55" i="5"/>
  <c r="D27" i="5"/>
  <c r="H27" i="5"/>
  <c r="Q56" i="5"/>
  <c r="E124" i="5"/>
  <c r="N57" i="5" s="1"/>
  <c r="R57" i="5" s="1"/>
  <c r="I35" i="33"/>
  <c r="K72" i="5"/>
  <c r="D38" i="33"/>
  <c r="F73" i="5"/>
  <c r="B69" i="33"/>
  <c r="H28" i="5"/>
  <c r="F28" i="5"/>
  <c r="D29" i="5"/>
  <c r="C27" i="5"/>
  <c r="B27" i="5" s="1"/>
  <c r="H29" i="5"/>
  <c r="E29" i="5"/>
  <c r="I29" i="5"/>
  <c r="J29" i="5"/>
  <c r="I28" i="5"/>
  <c r="J28" i="5"/>
  <c r="F27" i="5"/>
  <c r="G27" i="5"/>
  <c r="J27" i="5"/>
  <c r="G28" i="5"/>
  <c r="D28" i="5"/>
  <c r="E28" i="5"/>
  <c r="I27" i="5"/>
  <c r="E69" i="33"/>
  <c r="O57" i="5" l="1"/>
  <c r="S57" i="5" s="1"/>
  <c r="H42" i="33"/>
  <c r="B42" i="33"/>
  <c r="E38" i="33"/>
  <c r="E45" i="33" s="1"/>
  <c r="E51" i="33" s="1"/>
  <c r="G73" i="5"/>
  <c r="L72" i="5"/>
  <c r="I39" i="33"/>
  <c r="D42" i="33"/>
  <c r="C42" i="33"/>
  <c r="J42" i="33"/>
  <c r="E42" i="33"/>
  <c r="I42" i="33"/>
  <c r="F42" i="33"/>
  <c r="G42" i="33"/>
  <c r="D45" i="33"/>
  <c r="D51" i="33" s="1"/>
  <c r="H45" i="33"/>
  <c r="H51" i="33" s="1"/>
  <c r="I45" i="33"/>
  <c r="I51" i="33" s="1"/>
  <c r="J45" i="33"/>
  <c r="J51" i="33" s="1"/>
  <c r="B45" i="33"/>
  <c r="B51" i="33" s="1"/>
  <c r="C45" i="33"/>
  <c r="C51" i="33" s="1"/>
  <c r="D61" i="33"/>
  <c r="D68" i="33" s="1"/>
  <c r="C61" i="33"/>
  <c r="C68" i="33" s="1"/>
  <c r="D60" i="33"/>
  <c r="C60" i="33"/>
  <c r="D59" i="33"/>
  <c r="D66" i="33" s="1"/>
  <c r="C59" i="33"/>
  <c r="C66" i="33" s="1"/>
  <c r="D58" i="33"/>
  <c r="D65" i="33" s="1"/>
  <c r="C58" i="33"/>
  <c r="C65" i="33" s="1"/>
  <c r="I19" i="34"/>
  <c r="J19" i="34"/>
  <c r="I20" i="34"/>
  <c r="J20" i="34"/>
  <c r="I21" i="34"/>
  <c r="J21" i="34"/>
  <c r="I22" i="34"/>
  <c r="J22" i="34"/>
  <c r="I23" i="34"/>
  <c r="J23" i="34"/>
  <c r="I24" i="34"/>
  <c r="J24" i="34"/>
  <c r="I25" i="34"/>
  <c r="J25" i="34"/>
  <c r="I26" i="34"/>
  <c r="J26" i="34"/>
  <c r="I27" i="34"/>
  <c r="J27" i="34"/>
  <c r="I18" i="34"/>
  <c r="J18" i="34"/>
  <c r="F38" i="33" l="1"/>
  <c r="H73" i="5"/>
  <c r="B37" i="33"/>
  <c r="E72" i="5" s="1"/>
  <c r="D67" i="33"/>
  <c r="D69" i="33" s="1"/>
  <c r="B36" i="33"/>
  <c r="C67" i="33"/>
  <c r="C69" i="33" s="1"/>
  <c r="E71" i="5" l="1"/>
  <c r="E123" i="5"/>
  <c r="N56" i="5" s="1"/>
  <c r="G38" i="33"/>
  <c r="I73" i="5"/>
  <c r="F45" i="33"/>
  <c r="F51" i="33" s="1"/>
  <c r="H43" i="33"/>
  <c r="I43" i="33"/>
  <c r="J43" i="33"/>
  <c r="C36" i="33"/>
  <c r="F71" i="5" s="1"/>
  <c r="B43" i="33"/>
  <c r="B49" i="33" s="1"/>
  <c r="B39" i="33"/>
  <c r="H44" i="33"/>
  <c r="H50" i="33" s="1"/>
  <c r="I44" i="33"/>
  <c r="I50" i="33" s="1"/>
  <c r="J44" i="33"/>
  <c r="J50" i="33" s="1"/>
  <c r="C37" i="33"/>
  <c r="F72" i="5" s="1"/>
  <c r="B44" i="33"/>
  <c r="B50" i="33" s="1"/>
  <c r="O56" i="5" l="1"/>
  <c r="S56" i="5" s="1"/>
  <c r="R56" i="5"/>
  <c r="E122" i="5"/>
  <c r="N55" i="5" s="1"/>
  <c r="R55" i="5" s="1"/>
  <c r="J73" i="5"/>
  <c r="G45" i="33"/>
  <c r="G51" i="33" s="1"/>
  <c r="D36" i="33"/>
  <c r="G71" i="5" s="1"/>
  <c r="C43" i="33"/>
  <c r="C39" i="33"/>
  <c r="J46" i="33"/>
  <c r="J49" i="33"/>
  <c r="J52" i="33" s="1"/>
  <c r="D37" i="33"/>
  <c r="G72" i="5" s="1"/>
  <c r="C44" i="33"/>
  <c r="C50" i="33" s="1"/>
  <c r="I49" i="33"/>
  <c r="I52" i="33" s="1"/>
  <c r="I46" i="33"/>
  <c r="B46" i="33"/>
  <c r="B52" i="33"/>
  <c r="H46" i="33"/>
  <c r="H49" i="33"/>
  <c r="H52" i="33" s="1"/>
  <c r="B19" i="34"/>
  <c r="C19" i="34"/>
  <c r="D19" i="34"/>
  <c r="E19" i="34"/>
  <c r="F19" i="34"/>
  <c r="G19" i="34"/>
  <c r="H19" i="34"/>
  <c r="B20" i="34"/>
  <c r="C20" i="34"/>
  <c r="D20" i="34"/>
  <c r="E20" i="34"/>
  <c r="F20" i="34"/>
  <c r="G20" i="34"/>
  <c r="H20" i="34"/>
  <c r="B21" i="34"/>
  <c r="C21" i="34"/>
  <c r="D21" i="34"/>
  <c r="E21" i="34"/>
  <c r="F21" i="34"/>
  <c r="G21" i="34"/>
  <c r="H21" i="34"/>
  <c r="B22" i="34"/>
  <c r="C22" i="34"/>
  <c r="D22" i="34"/>
  <c r="E22" i="34"/>
  <c r="F22" i="34"/>
  <c r="G22" i="34"/>
  <c r="H22" i="34"/>
  <c r="B23" i="34"/>
  <c r="C23" i="34"/>
  <c r="D23" i="34"/>
  <c r="E23" i="34"/>
  <c r="F23" i="34"/>
  <c r="G23" i="34"/>
  <c r="H23" i="34"/>
  <c r="B24" i="34"/>
  <c r="C24" i="34"/>
  <c r="D24" i="34"/>
  <c r="E24" i="34"/>
  <c r="F24" i="34"/>
  <c r="G24" i="34"/>
  <c r="H24" i="34"/>
  <c r="C25" i="34"/>
  <c r="D25" i="34"/>
  <c r="E25" i="34"/>
  <c r="F25" i="34"/>
  <c r="G25" i="34"/>
  <c r="H25" i="34"/>
  <c r="B26" i="34"/>
  <c r="C26" i="34"/>
  <c r="D26" i="34"/>
  <c r="E26" i="34"/>
  <c r="F26" i="34"/>
  <c r="G26" i="34"/>
  <c r="H26" i="34"/>
  <c r="B27" i="34"/>
  <c r="C27" i="34"/>
  <c r="D27" i="34"/>
  <c r="E27" i="34"/>
  <c r="F27" i="34"/>
  <c r="G27" i="34"/>
  <c r="H27" i="34"/>
  <c r="H18" i="34"/>
  <c r="G18" i="34"/>
  <c r="F18" i="34"/>
  <c r="E18" i="34"/>
  <c r="D18" i="34"/>
  <c r="C18" i="34"/>
  <c r="B18" i="34"/>
  <c r="O55" i="5" l="1"/>
  <c r="S55" i="5" s="1"/>
  <c r="E37" i="33"/>
  <c r="H72" i="5" s="1"/>
  <c r="D44" i="33"/>
  <c r="D50" i="33" s="1"/>
  <c r="C46" i="33"/>
  <c r="C49" i="33"/>
  <c r="C52" i="33" s="1"/>
  <c r="E36" i="33"/>
  <c r="H71" i="5" s="1"/>
  <c r="D43" i="33"/>
  <c r="D39" i="33"/>
  <c r="D46" i="33" l="1"/>
  <c r="D49" i="33"/>
  <c r="D52" i="33" s="1"/>
  <c r="F36" i="33"/>
  <c r="I71" i="5" s="1"/>
  <c r="E43" i="33"/>
  <c r="E39" i="33"/>
  <c r="F37" i="33"/>
  <c r="I72" i="5" s="1"/>
  <c r="E44" i="33"/>
  <c r="E50" i="33" s="1"/>
  <c r="B20" i="46"/>
  <c r="B19" i="46"/>
  <c r="E49" i="33" l="1"/>
  <c r="E52" i="33" s="1"/>
  <c r="E46" i="33"/>
  <c r="G36" i="33"/>
  <c r="J71" i="5" s="1"/>
  <c r="F39" i="33"/>
  <c r="F43" i="33"/>
  <c r="G37" i="33"/>
  <c r="F44" i="33"/>
  <c r="F50" i="33" s="1"/>
  <c r="G44" i="33" l="1"/>
  <c r="G50" i="33" s="1"/>
  <c r="J72" i="5"/>
  <c r="G43" i="33"/>
  <c r="G39" i="33"/>
  <c r="F49" i="33"/>
  <c r="F52" i="33" s="1"/>
  <c r="F46" i="33"/>
  <c r="D31" i="4"/>
  <c r="D30" i="4"/>
  <c r="D29" i="4"/>
  <c r="G49" i="33" l="1"/>
  <c r="G52" i="33" s="1"/>
  <c r="G46" i="33"/>
  <c r="F7" i="43"/>
  <c r="F6" i="43"/>
  <c r="A7" i="43"/>
  <c r="A6" i="43"/>
  <c r="F9" i="43" l="1"/>
  <c r="A9" i="43"/>
  <c r="D100" i="2" l="1"/>
  <c r="D99" i="2"/>
  <c r="D97" i="2"/>
  <c r="D96" i="2"/>
  <c r="D86" i="2"/>
  <c r="D85" i="2"/>
  <c r="D83" i="2"/>
  <c r="D82" i="2"/>
  <c r="D72" i="2"/>
  <c r="D71" i="2"/>
  <c r="D69" i="2"/>
  <c r="D68" i="2"/>
  <c r="D58" i="2"/>
  <c r="D57" i="2"/>
  <c r="D55" i="2"/>
  <c r="D54" i="2"/>
  <c r="T10" i="44" l="1"/>
  <c r="L9" i="44"/>
  <c r="M9" i="44"/>
  <c r="N9" i="44"/>
  <c r="O9" i="44"/>
  <c r="P9" i="44"/>
  <c r="Q9" i="44"/>
  <c r="R9" i="44"/>
  <c r="S9" i="44"/>
  <c r="T9" i="44"/>
  <c r="U9" i="44"/>
  <c r="V9" i="44"/>
  <c r="W9" i="44"/>
  <c r="X9" i="44"/>
  <c r="Y9" i="44"/>
  <c r="Z9" i="44"/>
  <c r="AA9" i="44"/>
  <c r="AB9" i="44"/>
  <c r="AC9" i="44"/>
  <c r="AD9" i="44"/>
  <c r="AE9" i="44"/>
  <c r="AF9" i="44"/>
  <c r="AG9" i="44"/>
  <c r="AH9" i="44"/>
  <c r="AI9" i="44"/>
  <c r="AJ9" i="44"/>
  <c r="AK9" i="44"/>
  <c r="AL9" i="44"/>
  <c r="AM9" i="44"/>
  <c r="AN9" i="44"/>
  <c r="AO9" i="44"/>
  <c r="AP9" i="44"/>
  <c r="L10" i="44"/>
  <c r="M10" i="44"/>
  <c r="N10" i="44"/>
  <c r="O10" i="44"/>
  <c r="P10" i="44"/>
  <c r="Q10" i="44"/>
  <c r="R10" i="44"/>
  <c r="S10" i="44"/>
  <c r="C6" i="44"/>
  <c r="C9" i="44" s="1"/>
  <c r="D6" i="44"/>
  <c r="G5" i="50" s="1"/>
  <c r="E6" i="44"/>
  <c r="E9" i="44" s="1"/>
  <c r="F6" i="44"/>
  <c r="F9" i="44" s="1"/>
  <c r="G6" i="44"/>
  <c r="H5" i="50" s="1"/>
  <c r="B6" i="44"/>
  <c r="B9" i="44" s="1"/>
  <c r="B11" i="44" s="1"/>
  <c r="G7" i="44"/>
  <c r="H8" i="50" s="1"/>
  <c r="F7" i="44"/>
  <c r="F10" i="44" s="1"/>
  <c r="E7" i="44"/>
  <c r="E10" i="44" s="1"/>
  <c r="D7" i="44"/>
  <c r="G8" i="50" s="1"/>
  <c r="C7" i="44"/>
  <c r="C10" i="44" s="1"/>
  <c r="B7" i="44"/>
  <c r="B10" i="44" s="1"/>
  <c r="H7" i="44" l="1"/>
  <c r="I7" i="44" s="1"/>
  <c r="D9" i="44"/>
  <c r="D10" i="44"/>
  <c r="G9" i="44"/>
  <c r="H6" i="44"/>
  <c r="H10" i="44"/>
  <c r="G10" i="44"/>
  <c r="I6" i="44" l="1"/>
  <c r="H9" i="44"/>
  <c r="I10" i="44"/>
  <c r="J7" i="44"/>
  <c r="I9" i="44" l="1"/>
  <c r="J6" i="44"/>
  <c r="J10" i="44"/>
  <c r="K7" i="44"/>
  <c r="K10" i="44" s="1"/>
  <c r="K6" i="44" l="1"/>
  <c r="K9" i="44" s="1"/>
  <c r="J9" i="44"/>
  <c r="R11" i="44" l="1"/>
  <c r="Q11" i="44"/>
  <c r="P11" i="44"/>
  <c r="O11" i="44"/>
  <c r="N11" i="44"/>
  <c r="M11" i="44"/>
  <c r="L11" i="44"/>
  <c r="K11" i="44"/>
  <c r="J11" i="44"/>
  <c r="I11" i="44"/>
  <c r="H11" i="44"/>
  <c r="G11" i="44"/>
  <c r="F11" i="44"/>
  <c r="E11" i="44" l="1"/>
  <c r="S11" i="44"/>
  <c r="D11" i="44" l="1"/>
  <c r="T11" i="44"/>
  <c r="U10" i="44"/>
  <c r="C11" i="44" l="1"/>
  <c r="U11" i="44"/>
  <c r="V7" i="44"/>
  <c r="K8" i="50" s="1"/>
  <c r="V10" i="44" l="1"/>
  <c r="W7" i="44"/>
  <c r="W10" i="44" s="1"/>
  <c r="V11" i="44"/>
  <c r="X7" i="44" l="1"/>
  <c r="X10" i="44" s="1"/>
  <c r="W11" i="44"/>
  <c r="X11" i="44" l="1"/>
  <c r="Y7" i="44"/>
  <c r="Y10" i="44" s="1"/>
  <c r="Y11" i="44" l="1"/>
  <c r="Z7" i="44"/>
  <c r="Z10" i="44" s="1"/>
  <c r="AA7" i="44" l="1"/>
  <c r="L8" i="50" s="1"/>
  <c r="Z11" i="44"/>
  <c r="AA10" i="44" l="1"/>
  <c r="AB7" i="44"/>
  <c r="AB10" i="44" s="1"/>
  <c r="AA11" i="44"/>
  <c r="AB11" i="44" l="1"/>
  <c r="AC7" i="44"/>
  <c r="AC10" i="44" s="1"/>
  <c r="AC11" i="44" l="1"/>
  <c r="AD7" i="44"/>
  <c r="AD10" i="44" s="1"/>
  <c r="AE7" i="44" l="1"/>
  <c r="AE10" i="44" s="1"/>
  <c r="AD11" i="44"/>
  <c r="AF7" i="44" l="1"/>
  <c r="M8" i="50" s="1"/>
  <c r="AE11" i="44"/>
  <c r="AF10" i="44" l="1"/>
  <c r="AF11" i="44"/>
  <c r="AG7" i="44"/>
  <c r="AG10" i="44" s="1"/>
  <c r="AG11" i="44" l="1"/>
  <c r="AH7" i="44"/>
  <c r="AH10" i="44" s="1"/>
  <c r="AI7" i="44" l="1"/>
  <c r="AI10" i="44" s="1"/>
  <c r="AH11" i="44"/>
  <c r="AJ7" i="44" l="1"/>
  <c r="AJ10" i="44" s="1"/>
  <c r="AI11" i="44"/>
  <c r="AJ11" i="44" l="1"/>
  <c r="AK7" i="44"/>
  <c r="AK10" i="44" s="1"/>
  <c r="AK11" i="44" l="1"/>
  <c r="AL7" i="44"/>
  <c r="AL10" i="44" s="1"/>
  <c r="AM7" i="44" l="1"/>
  <c r="AM10" i="44" s="1"/>
  <c r="AL11" i="44"/>
  <c r="AN7" i="44" l="1"/>
  <c r="AN10" i="44" s="1"/>
  <c r="AM11" i="44"/>
  <c r="AN11" i="44" l="1"/>
  <c r="AO7" i="44"/>
  <c r="AO10" i="44" s="1"/>
  <c r="AO11" i="44" l="1"/>
  <c r="AP7" i="44"/>
  <c r="AP10" i="44" s="1"/>
  <c r="AP11" i="44" l="1"/>
  <c r="A97" i="2" l="1"/>
  <c r="E135" i="1" l="1"/>
  <c r="F5" i="43" l="1"/>
  <c r="F10" i="43"/>
  <c r="F8" i="43"/>
  <c r="A5" i="43"/>
  <c r="A10" i="43"/>
  <c r="A8" i="43"/>
  <c r="A8" i="42"/>
  <c r="A7" i="42"/>
  <c r="A6" i="42"/>
  <c r="D14" i="41" l="1"/>
  <c r="D7" i="41"/>
  <c r="D6" i="41"/>
  <c r="N12" i="41"/>
  <c r="N11" i="41"/>
  <c r="N7" i="41"/>
  <c r="N6" i="41"/>
  <c r="M12" i="41"/>
  <c r="B15" i="41" s="1"/>
  <c r="M11" i="41"/>
  <c r="B14" i="41" s="1"/>
  <c r="B7" i="41"/>
  <c r="M6" i="41"/>
  <c r="B6" i="41" s="1"/>
  <c r="C30" i="4" l="1"/>
  <c r="C29" i="4"/>
  <c r="B31" i="4"/>
  <c r="A31" i="4"/>
  <c r="B30" i="4"/>
  <c r="A30" i="4"/>
  <c r="B29" i="4"/>
  <c r="A29" i="4"/>
  <c r="B100" i="2"/>
  <c r="A100" i="2"/>
  <c r="B99" i="2"/>
  <c r="A99" i="2"/>
  <c r="B97" i="2"/>
  <c r="B96" i="2"/>
  <c r="A96" i="2"/>
  <c r="B86" i="2"/>
  <c r="A86" i="2"/>
  <c r="B85" i="2"/>
  <c r="A85" i="2"/>
  <c r="B83" i="2"/>
  <c r="A83" i="2"/>
  <c r="B82" i="2"/>
  <c r="A82" i="2"/>
  <c r="B72" i="2"/>
  <c r="A72" i="2"/>
  <c r="B71" i="2"/>
  <c r="A71" i="2"/>
  <c r="B69" i="2"/>
  <c r="A69" i="2"/>
  <c r="B68" i="2"/>
  <c r="A68" i="2"/>
  <c r="B58" i="2"/>
  <c r="A58" i="2"/>
  <c r="B57" i="2"/>
  <c r="A57" i="2"/>
  <c r="B55" i="2"/>
  <c r="A55" i="2"/>
  <c r="B54" i="2"/>
  <c r="A54" i="2"/>
  <c r="B195" i="1"/>
  <c r="A195" i="1"/>
  <c r="B194" i="1"/>
  <c r="A194" i="1"/>
  <c r="B193" i="1"/>
  <c r="A193" i="1"/>
  <c r="B192" i="1"/>
  <c r="A192" i="1"/>
  <c r="B190" i="1"/>
  <c r="A190" i="1"/>
  <c r="B189" i="1"/>
  <c r="A189" i="1"/>
  <c r="B188" i="1"/>
  <c r="A188" i="1"/>
  <c r="B187" i="1"/>
  <c r="A187" i="1"/>
  <c r="B185" i="1"/>
  <c r="A185" i="1"/>
  <c r="B184" i="1"/>
  <c r="A184" i="1"/>
  <c r="B183" i="1"/>
  <c r="A183" i="1"/>
  <c r="B182" i="1"/>
  <c r="A182" i="1"/>
  <c r="B169" i="1"/>
  <c r="A169" i="1"/>
  <c r="B168" i="1"/>
  <c r="A168" i="1"/>
  <c r="B167" i="1"/>
  <c r="A167" i="1"/>
  <c r="B166" i="1"/>
  <c r="A166" i="1"/>
  <c r="B164" i="1"/>
  <c r="A164" i="1"/>
  <c r="B163" i="1"/>
  <c r="A163" i="1"/>
  <c r="B162" i="1"/>
  <c r="A162" i="1"/>
  <c r="B161" i="1"/>
  <c r="A161" i="1"/>
  <c r="B159" i="1"/>
  <c r="A159" i="1"/>
  <c r="B158" i="1"/>
  <c r="A158" i="1"/>
  <c r="B157" i="1"/>
  <c r="A157" i="1"/>
  <c r="B156" i="1"/>
  <c r="A156" i="1"/>
  <c r="A117" i="1"/>
  <c r="A116" i="1"/>
  <c r="A115" i="1"/>
  <c r="A114" i="1"/>
  <c r="A112" i="1"/>
  <c r="A111" i="1"/>
  <c r="A110" i="1"/>
  <c r="A109" i="1"/>
  <c r="A107" i="1"/>
  <c r="A106" i="1"/>
  <c r="A105" i="1"/>
  <c r="A104" i="1"/>
  <c r="A102" i="1"/>
  <c r="A101" i="1"/>
  <c r="A100" i="1"/>
  <c r="A99" i="1"/>
  <c r="A143" i="1"/>
  <c r="A142" i="1"/>
  <c r="A141" i="1"/>
  <c r="A140" i="1"/>
  <c r="A138" i="1"/>
  <c r="A137" i="1"/>
  <c r="A136" i="1"/>
  <c r="A135" i="1"/>
  <c r="A133" i="1"/>
  <c r="A132" i="1"/>
  <c r="A131" i="1"/>
  <c r="A130" i="1"/>
  <c r="A128" i="1"/>
  <c r="A127" i="1"/>
  <c r="A126" i="1"/>
  <c r="A125" i="1"/>
  <c r="B180" i="1"/>
  <c r="A180" i="1"/>
  <c r="B179" i="1"/>
  <c r="A179" i="1"/>
  <c r="B178" i="1"/>
  <c r="A178" i="1"/>
  <c r="B177" i="1"/>
  <c r="A177" i="1"/>
  <c r="A151" i="1"/>
  <c r="B154" i="1"/>
  <c r="A154" i="1"/>
  <c r="B153" i="1"/>
  <c r="A153" i="1"/>
  <c r="B152" i="1"/>
  <c r="A152" i="1"/>
  <c r="B151" i="1"/>
  <c r="C55" i="1"/>
  <c r="I4" i="27" l="1"/>
  <c r="B41" i="5" l="1"/>
  <c r="G41" i="5"/>
  <c r="H41" i="5"/>
  <c r="I41" i="5"/>
  <c r="J41" i="5"/>
  <c r="B40" i="5"/>
  <c r="AD6" i="13" l="1"/>
  <c r="AA14" i="13"/>
  <c r="Z14" i="13"/>
  <c r="Y14" i="13"/>
  <c r="X14" i="13"/>
  <c r="W14" i="13"/>
  <c r="V14" i="13"/>
  <c r="U14" i="13"/>
  <c r="T14" i="13"/>
  <c r="AD7" i="13" l="1"/>
  <c r="C31" i="5"/>
  <c r="D31" i="5"/>
  <c r="E31" i="5"/>
  <c r="F31" i="5"/>
  <c r="G31" i="5"/>
  <c r="H31" i="5"/>
  <c r="I31" i="5"/>
  <c r="J31" i="5"/>
  <c r="B31" i="5"/>
  <c r="B15" i="5" l="1"/>
  <c r="B14" i="5"/>
  <c r="J40" i="5"/>
  <c r="I40" i="5"/>
  <c r="H40" i="5"/>
  <c r="G40" i="5"/>
  <c r="F40" i="5"/>
  <c r="E40" i="5"/>
  <c r="D40" i="5"/>
  <c r="C40" i="5"/>
  <c r="C6" i="5"/>
  <c r="D6" i="5"/>
  <c r="E6" i="5"/>
  <c r="F6" i="5"/>
  <c r="G6" i="5"/>
  <c r="H6" i="5"/>
  <c r="P60" i="5" s="1"/>
  <c r="I6" i="5"/>
  <c r="J6" i="5"/>
  <c r="B6" i="5"/>
  <c r="C15" i="5"/>
  <c r="D15" i="5"/>
  <c r="E15" i="5"/>
  <c r="F15" i="5"/>
  <c r="G15" i="5"/>
  <c r="H15" i="5"/>
  <c r="I15" i="5"/>
  <c r="J15" i="5"/>
  <c r="L5" i="35"/>
  <c r="C41" i="5" s="1"/>
  <c r="G110" i="5" l="1"/>
  <c r="C18" i="43"/>
  <c r="Q60" i="5"/>
  <c r="F110" i="5"/>
  <c r="E127" i="5"/>
  <c r="N60" i="5" s="1"/>
  <c r="E94" i="5"/>
  <c r="E74" i="2" s="1"/>
  <c r="Q46" i="2" s="1"/>
  <c r="E93" i="5"/>
  <c r="E128" i="5"/>
  <c r="N61" i="5" s="1"/>
  <c r="E110" i="5"/>
  <c r="F93" i="5"/>
  <c r="F94" i="5"/>
  <c r="G111" i="5"/>
  <c r="F111" i="5"/>
  <c r="E111" i="5"/>
  <c r="M5" i="35"/>
  <c r="B23" i="5"/>
  <c r="C23" i="5"/>
  <c r="D23" i="5"/>
  <c r="E23" i="5"/>
  <c r="F23" i="5"/>
  <c r="G23" i="5"/>
  <c r="H23" i="5"/>
  <c r="I23" i="5"/>
  <c r="J23" i="5"/>
  <c r="B5" i="5"/>
  <c r="C5" i="5"/>
  <c r="D5" i="5"/>
  <c r="E5" i="5"/>
  <c r="F5" i="5"/>
  <c r="G5" i="5"/>
  <c r="H5" i="5"/>
  <c r="I5" i="5"/>
  <c r="J5" i="5"/>
  <c r="C14" i="5"/>
  <c r="D14" i="5"/>
  <c r="E14" i="5"/>
  <c r="F14" i="5"/>
  <c r="G14" i="5"/>
  <c r="H14" i="5"/>
  <c r="Q59" i="5" s="1"/>
  <c r="I14" i="5"/>
  <c r="J14" i="5"/>
  <c r="O61" i="5" l="1"/>
  <c r="R60" i="5"/>
  <c r="O60" i="5"/>
  <c r="E126" i="5"/>
  <c r="N59" i="5" s="1"/>
  <c r="P59" i="5"/>
  <c r="E109" i="5"/>
  <c r="C30" i="5" s="1"/>
  <c r="C39" i="5" s="1"/>
  <c r="C19" i="43"/>
  <c r="F109" i="5"/>
  <c r="G109" i="5"/>
  <c r="D41" i="5"/>
  <c r="N5" i="35"/>
  <c r="C36" i="5"/>
  <c r="I30" i="5" l="1"/>
  <c r="I39" i="5" s="1"/>
  <c r="S60" i="5"/>
  <c r="R59" i="5"/>
  <c r="O59" i="5"/>
  <c r="S59" i="5" s="1"/>
  <c r="G30" i="5"/>
  <c r="G39" i="5" s="1"/>
  <c r="J30" i="5"/>
  <c r="J39" i="5" s="1"/>
  <c r="B30" i="5"/>
  <c r="B39" i="5" s="1"/>
  <c r="H30" i="5"/>
  <c r="H39" i="5" s="1"/>
  <c r="E30" i="5"/>
  <c r="E39" i="5" s="1"/>
  <c r="D30" i="5"/>
  <c r="D39" i="5" s="1"/>
  <c r="F30" i="5"/>
  <c r="F39" i="5" s="1"/>
  <c r="B36" i="5"/>
  <c r="O5" i="35"/>
  <c r="F41" i="5" s="1"/>
  <c r="E41" i="5"/>
  <c r="C190" i="15"/>
  <c r="C191" i="15"/>
  <c r="C192" i="15"/>
  <c r="C193" i="15"/>
  <c r="C194" i="15"/>
  <c r="C195" i="15"/>
  <c r="C189" i="15"/>
  <c r="C161" i="15"/>
  <c r="C162" i="15"/>
  <c r="C163" i="15"/>
  <c r="C164" i="15"/>
  <c r="C165" i="15"/>
  <c r="C166" i="15"/>
  <c r="C160" i="15"/>
  <c r="C132" i="15"/>
  <c r="C133" i="15"/>
  <c r="C134" i="15"/>
  <c r="C135" i="15"/>
  <c r="C136" i="15"/>
  <c r="C137" i="15"/>
  <c r="C131" i="15"/>
  <c r="C108" i="15"/>
  <c r="C103" i="15"/>
  <c r="C104" i="15"/>
  <c r="C105" i="15"/>
  <c r="C106" i="15"/>
  <c r="C107" i="15"/>
  <c r="C102" i="15"/>
  <c r="C74" i="15"/>
  <c r="C75" i="15"/>
  <c r="C76" i="15"/>
  <c r="C77" i="15"/>
  <c r="C78" i="15"/>
  <c r="C79" i="15"/>
  <c r="C73" i="15"/>
  <c r="C50" i="15"/>
  <c r="C49" i="15"/>
  <c r="C48" i="15"/>
  <c r="C47" i="15"/>
  <c r="C46" i="15"/>
  <c r="C45" i="15"/>
  <c r="C44" i="15"/>
  <c r="C80" i="15" l="1"/>
  <c r="D194" i="15"/>
  <c r="D193" i="15"/>
  <c r="D192" i="15"/>
  <c r="D191" i="15"/>
  <c r="D190" i="15"/>
  <c r="D189" i="15"/>
  <c r="AJ189" i="15" s="1"/>
  <c r="C167" i="15"/>
  <c r="D165" i="15"/>
  <c r="D164" i="15"/>
  <c r="D163" i="15"/>
  <c r="D162" i="15"/>
  <c r="D161" i="15"/>
  <c r="C138" i="15"/>
  <c r="D137" i="15"/>
  <c r="D136" i="15"/>
  <c r="D135" i="15"/>
  <c r="D134" i="15"/>
  <c r="D133" i="15"/>
  <c r="D132" i="15"/>
  <c r="C109" i="15"/>
  <c r="D107" i="15"/>
  <c r="D106" i="15"/>
  <c r="D105" i="15"/>
  <c r="D104" i="15"/>
  <c r="D103" i="15"/>
  <c r="D78" i="15"/>
  <c r="D77" i="15"/>
  <c r="D76" i="15"/>
  <c r="D75" i="15"/>
  <c r="D74" i="15"/>
  <c r="D50" i="15"/>
  <c r="D49" i="15"/>
  <c r="D48" i="15"/>
  <c r="D47" i="15"/>
  <c r="D46" i="15"/>
  <c r="D45" i="15"/>
  <c r="E77" i="15" l="1"/>
  <c r="E132" i="15"/>
  <c r="E162" i="15"/>
  <c r="E192" i="15"/>
  <c r="E48" i="15"/>
  <c r="E75" i="15"/>
  <c r="E107" i="15"/>
  <c r="E164" i="15"/>
  <c r="E190" i="15"/>
  <c r="E46" i="15"/>
  <c r="E49" i="15"/>
  <c r="E76" i="15"/>
  <c r="E104" i="15"/>
  <c r="E135" i="15"/>
  <c r="E161" i="15"/>
  <c r="E165" i="15"/>
  <c r="E191" i="15"/>
  <c r="E105" i="15"/>
  <c r="E47" i="15"/>
  <c r="E74" i="15"/>
  <c r="E78" i="15"/>
  <c r="E106" i="15"/>
  <c r="E133" i="15"/>
  <c r="E163" i="15"/>
  <c r="E189" i="15"/>
  <c r="AK189" i="15" s="1"/>
  <c r="E193" i="15"/>
  <c r="E136" i="15"/>
  <c r="E45" i="15"/>
  <c r="E103" i="15"/>
  <c r="E134" i="15"/>
  <c r="E194" i="15"/>
  <c r="C168" i="15"/>
  <c r="C139" i="15"/>
  <c r="C110" i="15"/>
  <c r="D138" i="15"/>
  <c r="E137" i="15"/>
  <c r="D108" i="15"/>
  <c r="C51" i="15"/>
  <c r="D160" i="15"/>
  <c r="AJ160" i="15" s="1"/>
  <c r="D166" i="15"/>
  <c r="D51" i="15"/>
  <c r="E50" i="15"/>
  <c r="C81" i="15"/>
  <c r="D79" i="15"/>
  <c r="D131" i="15"/>
  <c r="D73" i="15"/>
  <c r="AJ73" i="15" s="1"/>
  <c r="C196" i="15"/>
  <c r="D195" i="15"/>
  <c r="D44" i="15"/>
  <c r="D102" i="15"/>
  <c r="AJ102" i="15" s="1"/>
  <c r="C197" i="15" l="1"/>
  <c r="C140" i="15"/>
  <c r="F194" i="15"/>
  <c r="F103" i="15"/>
  <c r="F136" i="15"/>
  <c r="F163" i="15"/>
  <c r="F161" i="15"/>
  <c r="F192" i="15"/>
  <c r="E166" i="15"/>
  <c r="E138" i="15"/>
  <c r="F137" i="15"/>
  <c r="D139" i="15"/>
  <c r="D52" i="15"/>
  <c r="C111" i="15"/>
  <c r="F193" i="15"/>
  <c r="F133" i="15"/>
  <c r="F78" i="15"/>
  <c r="F47" i="15"/>
  <c r="F76" i="15"/>
  <c r="F46" i="15"/>
  <c r="F164" i="15"/>
  <c r="D109" i="15"/>
  <c r="F106" i="15"/>
  <c r="F74" i="15"/>
  <c r="F104" i="15"/>
  <c r="F49" i="15"/>
  <c r="F190" i="15"/>
  <c r="F191" i="15"/>
  <c r="F75" i="15"/>
  <c r="F132" i="15"/>
  <c r="C169" i="15"/>
  <c r="F134" i="15"/>
  <c r="F45" i="15"/>
  <c r="F189" i="15"/>
  <c r="AL189" i="15" s="1"/>
  <c r="F105" i="15"/>
  <c r="F165" i="15"/>
  <c r="F135" i="15"/>
  <c r="F107" i="15"/>
  <c r="F48" i="15"/>
  <c r="F162" i="15"/>
  <c r="F77" i="15"/>
  <c r="E160" i="15"/>
  <c r="AK160" i="15" s="1"/>
  <c r="E108" i="15"/>
  <c r="C82" i="15"/>
  <c r="C52" i="15"/>
  <c r="D167" i="15"/>
  <c r="E102" i="15"/>
  <c r="AK102" i="15" s="1"/>
  <c r="E131" i="15"/>
  <c r="E51" i="15"/>
  <c r="F50" i="15"/>
  <c r="E44" i="15"/>
  <c r="E73" i="15"/>
  <c r="AK73" i="15" s="1"/>
  <c r="D196" i="15"/>
  <c r="E195" i="15"/>
  <c r="E79" i="15"/>
  <c r="D80" i="15"/>
  <c r="F138" i="15" l="1"/>
  <c r="F166" i="15"/>
  <c r="E167" i="15"/>
  <c r="G137" i="15"/>
  <c r="F160" i="15"/>
  <c r="AL160" i="15" s="1"/>
  <c r="C53" i="15"/>
  <c r="F108" i="15"/>
  <c r="D197" i="15"/>
  <c r="G77" i="15"/>
  <c r="G48" i="15"/>
  <c r="G135" i="15"/>
  <c r="G105" i="15"/>
  <c r="G46" i="15"/>
  <c r="G47" i="15"/>
  <c r="G133" i="15"/>
  <c r="C112" i="15"/>
  <c r="E139" i="15"/>
  <c r="G45" i="15"/>
  <c r="C170" i="15"/>
  <c r="G190" i="15"/>
  <c r="G106" i="15"/>
  <c r="G192" i="15"/>
  <c r="G163" i="15"/>
  <c r="C141" i="15"/>
  <c r="E52" i="15"/>
  <c r="D168" i="15"/>
  <c r="G162" i="15"/>
  <c r="G107" i="15"/>
  <c r="G165" i="15"/>
  <c r="G164" i="15"/>
  <c r="G76" i="15"/>
  <c r="G78" i="15"/>
  <c r="G193" i="15"/>
  <c r="G75" i="15"/>
  <c r="G104" i="15"/>
  <c r="G103" i="15"/>
  <c r="D81" i="15"/>
  <c r="C83" i="15"/>
  <c r="G189" i="15"/>
  <c r="AM189" i="15" s="1"/>
  <c r="G134" i="15"/>
  <c r="G132" i="15"/>
  <c r="G191" i="15"/>
  <c r="G49" i="15"/>
  <c r="G74" i="15"/>
  <c r="D110" i="15"/>
  <c r="D53" i="15"/>
  <c r="D140" i="15"/>
  <c r="G161" i="15"/>
  <c r="G136" i="15"/>
  <c r="G194" i="15"/>
  <c r="C198" i="15"/>
  <c r="E109" i="15"/>
  <c r="F195" i="15"/>
  <c r="E196" i="15"/>
  <c r="F73" i="15"/>
  <c r="AL73" i="15" s="1"/>
  <c r="F51" i="15"/>
  <c r="G50" i="15"/>
  <c r="F131" i="15"/>
  <c r="AL131" i="15" s="1"/>
  <c r="E80" i="15"/>
  <c r="F79" i="15"/>
  <c r="F44" i="15"/>
  <c r="AL44" i="15" s="1"/>
  <c r="F102" i="15"/>
  <c r="AL102" i="15" s="1"/>
  <c r="G138" i="15" l="1"/>
  <c r="F109" i="15"/>
  <c r="E168" i="15"/>
  <c r="G166" i="15"/>
  <c r="F167" i="15"/>
  <c r="F139" i="15"/>
  <c r="H137" i="15"/>
  <c r="G160" i="15"/>
  <c r="AM160" i="15" s="1"/>
  <c r="G108" i="15"/>
  <c r="D169" i="15"/>
  <c r="H190" i="15"/>
  <c r="C113" i="15"/>
  <c r="H105" i="15"/>
  <c r="D198" i="15"/>
  <c r="E169" i="15"/>
  <c r="C199" i="15"/>
  <c r="H136" i="15"/>
  <c r="D141" i="15"/>
  <c r="D111" i="15"/>
  <c r="H49" i="15"/>
  <c r="H132" i="15"/>
  <c r="H104" i="15"/>
  <c r="H46" i="15"/>
  <c r="C54" i="15"/>
  <c r="H189" i="15"/>
  <c r="AN189" i="15" s="1"/>
  <c r="H164" i="15"/>
  <c r="H192" i="15"/>
  <c r="H47" i="15"/>
  <c r="H103" i="15"/>
  <c r="H193" i="15"/>
  <c r="H76" i="15"/>
  <c r="H165" i="15"/>
  <c r="H162" i="15"/>
  <c r="E53" i="15"/>
  <c r="H163" i="15"/>
  <c r="H106" i="15"/>
  <c r="C171" i="15"/>
  <c r="E140" i="15"/>
  <c r="H133" i="15"/>
  <c r="H135" i="15"/>
  <c r="H77" i="15"/>
  <c r="E197" i="15"/>
  <c r="C84" i="15"/>
  <c r="H78" i="15"/>
  <c r="H107" i="15"/>
  <c r="C142" i="15"/>
  <c r="H45" i="15"/>
  <c r="H48" i="15"/>
  <c r="F52" i="15"/>
  <c r="E81" i="15"/>
  <c r="E110" i="15"/>
  <c r="H194" i="15"/>
  <c r="H161" i="15"/>
  <c r="D54" i="15"/>
  <c r="H74" i="15"/>
  <c r="H191" i="15"/>
  <c r="H134" i="15"/>
  <c r="D82" i="15"/>
  <c r="H75" i="15"/>
  <c r="G167" i="15"/>
  <c r="G51" i="15"/>
  <c r="H50" i="15"/>
  <c r="F196" i="15"/>
  <c r="G195" i="15"/>
  <c r="G102" i="15"/>
  <c r="AM102" i="15" s="1"/>
  <c r="G44" i="15"/>
  <c r="AM44" i="15" s="1"/>
  <c r="G79" i="15"/>
  <c r="F80" i="15"/>
  <c r="G73" i="15"/>
  <c r="AM73" i="15" s="1"/>
  <c r="G131" i="15"/>
  <c r="AM131" i="15" s="1"/>
  <c r="H166" i="15" l="1"/>
  <c r="F110" i="15"/>
  <c r="F140" i="15"/>
  <c r="G139" i="15"/>
  <c r="F168" i="15"/>
  <c r="H138" i="15"/>
  <c r="G109" i="15"/>
  <c r="G110" i="15" s="1"/>
  <c r="I137" i="15"/>
  <c r="H108" i="15"/>
  <c r="H160" i="15"/>
  <c r="AN160" i="15" s="1"/>
  <c r="I191" i="15"/>
  <c r="F111" i="15"/>
  <c r="C143" i="15"/>
  <c r="I77" i="15"/>
  <c r="I133" i="15"/>
  <c r="C172" i="15"/>
  <c r="I163" i="15"/>
  <c r="I162" i="15"/>
  <c r="I76" i="15"/>
  <c r="I103" i="15"/>
  <c r="I192" i="15"/>
  <c r="C55" i="15"/>
  <c r="I104" i="15"/>
  <c r="I49" i="15"/>
  <c r="D142" i="15"/>
  <c r="C200" i="15"/>
  <c r="E170" i="15"/>
  <c r="I105" i="15"/>
  <c r="I190" i="15"/>
  <c r="I194" i="15"/>
  <c r="I48" i="15"/>
  <c r="E198" i="15"/>
  <c r="G52" i="15"/>
  <c r="F81" i="15"/>
  <c r="I75" i="15"/>
  <c r="D83" i="15"/>
  <c r="D55" i="15"/>
  <c r="F53" i="15"/>
  <c r="I78" i="15"/>
  <c r="I189" i="15"/>
  <c r="AO189" i="15" s="1"/>
  <c r="I134" i="15"/>
  <c r="I74" i="15"/>
  <c r="I161" i="15"/>
  <c r="E111" i="15"/>
  <c r="E82" i="15"/>
  <c r="I45" i="15"/>
  <c r="I107" i="15"/>
  <c r="C85" i="15"/>
  <c r="F197" i="15"/>
  <c r="G168" i="15"/>
  <c r="I135" i="15"/>
  <c r="E141" i="15"/>
  <c r="I106" i="15"/>
  <c r="E54" i="15"/>
  <c r="I165" i="15"/>
  <c r="I193" i="15"/>
  <c r="I47" i="15"/>
  <c r="I164" i="15"/>
  <c r="I46" i="15"/>
  <c r="I132" i="15"/>
  <c r="D112" i="15"/>
  <c r="I136" i="15"/>
  <c r="F169" i="15"/>
  <c r="D199" i="15"/>
  <c r="C114" i="15"/>
  <c r="D170" i="15"/>
  <c r="G80" i="15"/>
  <c r="H79" i="15"/>
  <c r="H102" i="15"/>
  <c r="AN102" i="15" s="1"/>
  <c r="H131" i="15"/>
  <c r="G196" i="15"/>
  <c r="H195" i="15"/>
  <c r="H109" i="15"/>
  <c r="H167" i="15"/>
  <c r="I166" i="15"/>
  <c r="H44" i="15"/>
  <c r="H73" i="15"/>
  <c r="AN73" i="15" s="1"/>
  <c r="H51" i="15"/>
  <c r="I50" i="15"/>
  <c r="G140" i="15" l="1"/>
  <c r="F141" i="15"/>
  <c r="H139" i="15"/>
  <c r="I108" i="15"/>
  <c r="J108" i="15" s="1"/>
  <c r="I138" i="15"/>
  <c r="J137" i="15"/>
  <c r="I160" i="15"/>
  <c r="AO160" i="15" s="1"/>
  <c r="C115" i="15"/>
  <c r="F170" i="15"/>
  <c r="D113" i="15"/>
  <c r="J46" i="15"/>
  <c r="J47" i="15"/>
  <c r="J165" i="15"/>
  <c r="J106" i="15"/>
  <c r="J135" i="15"/>
  <c r="G169" i="15"/>
  <c r="F198" i="15"/>
  <c r="F54" i="15"/>
  <c r="D84" i="15"/>
  <c r="J190" i="15"/>
  <c r="E171" i="15"/>
  <c r="C201" i="15"/>
  <c r="J49" i="15"/>
  <c r="C56" i="15"/>
  <c r="J103" i="15"/>
  <c r="J162" i="15"/>
  <c r="C173" i="15"/>
  <c r="J77" i="15"/>
  <c r="I139" i="15"/>
  <c r="J107" i="15"/>
  <c r="E83" i="15"/>
  <c r="J161" i="15"/>
  <c r="J134" i="15"/>
  <c r="G53" i="15"/>
  <c r="J48" i="15"/>
  <c r="F112" i="15"/>
  <c r="G81" i="15"/>
  <c r="H52" i="15"/>
  <c r="H168" i="15"/>
  <c r="G197" i="15"/>
  <c r="D171" i="15"/>
  <c r="D200" i="15"/>
  <c r="J136" i="15"/>
  <c r="J132" i="15"/>
  <c r="J164" i="15"/>
  <c r="J193" i="15"/>
  <c r="E55" i="15"/>
  <c r="E142" i="15"/>
  <c r="F142" i="15"/>
  <c r="G111" i="15"/>
  <c r="J189" i="15"/>
  <c r="AP189" i="15" s="1"/>
  <c r="J78" i="15"/>
  <c r="D56" i="15"/>
  <c r="J75" i="15"/>
  <c r="J105" i="15"/>
  <c r="G141" i="15"/>
  <c r="D143" i="15"/>
  <c r="J104" i="15"/>
  <c r="J192" i="15"/>
  <c r="J76" i="15"/>
  <c r="J163" i="15"/>
  <c r="J133" i="15"/>
  <c r="H110" i="15"/>
  <c r="C86" i="15"/>
  <c r="J45" i="15"/>
  <c r="E112" i="15"/>
  <c r="J74" i="15"/>
  <c r="F82" i="15"/>
  <c r="E199" i="15"/>
  <c r="J194" i="15"/>
  <c r="C144" i="15"/>
  <c r="J191" i="15"/>
  <c r="J166" i="15"/>
  <c r="I167" i="15"/>
  <c r="H196" i="15"/>
  <c r="I195" i="15"/>
  <c r="I102" i="15"/>
  <c r="AO102" i="15" s="1"/>
  <c r="I73" i="15"/>
  <c r="AO73" i="15" s="1"/>
  <c r="I131" i="15"/>
  <c r="I51" i="15"/>
  <c r="J50" i="15"/>
  <c r="H80" i="15"/>
  <c r="I79" i="15"/>
  <c r="I44" i="15"/>
  <c r="I109" i="15" l="1"/>
  <c r="H140" i="15"/>
  <c r="J138" i="15"/>
  <c r="K137" i="15"/>
  <c r="J160" i="15"/>
  <c r="AP160" i="15" s="1"/>
  <c r="H197" i="15"/>
  <c r="F143" i="15"/>
  <c r="E56" i="15"/>
  <c r="K164" i="15"/>
  <c r="D172" i="15"/>
  <c r="G198" i="15"/>
  <c r="H53" i="15"/>
  <c r="G54" i="15"/>
  <c r="K161" i="15"/>
  <c r="K107" i="15"/>
  <c r="H81" i="15"/>
  <c r="I110" i="15"/>
  <c r="I168" i="15"/>
  <c r="K191" i="15"/>
  <c r="K194" i="15"/>
  <c r="F83" i="15"/>
  <c r="E113" i="15"/>
  <c r="C87" i="15"/>
  <c r="K133" i="15"/>
  <c r="K76" i="15"/>
  <c r="K104" i="15"/>
  <c r="G142" i="15"/>
  <c r="K75" i="15"/>
  <c r="K78" i="15"/>
  <c r="C174" i="15"/>
  <c r="K103" i="15"/>
  <c r="K49" i="15"/>
  <c r="E172" i="15"/>
  <c r="D85" i="15"/>
  <c r="F199" i="15"/>
  <c r="K135" i="15"/>
  <c r="K165" i="15"/>
  <c r="K46" i="15"/>
  <c r="F171" i="15"/>
  <c r="K189" i="15"/>
  <c r="AQ189" i="15" s="1"/>
  <c r="G112" i="15"/>
  <c r="E143" i="15"/>
  <c r="K193" i="15"/>
  <c r="K132" i="15"/>
  <c r="D201" i="15"/>
  <c r="H169" i="15"/>
  <c r="G82" i="15"/>
  <c r="F113" i="15"/>
  <c r="K48" i="15"/>
  <c r="K134" i="15"/>
  <c r="E84" i="15"/>
  <c r="I140" i="15"/>
  <c r="K136" i="15"/>
  <c r="J139" i="15"/>
  <c r="I52" i="15"/>
  <c r="C145" i="15"/>
  <c r="E200" i="15"/>
  <c r="K74" i="15"/>
  <c r="K45" i="15"/>
  <c r="H111" i="15"/>
  <c r="K163" i="15"/>
  <c r="K192" i="15"/>
  <c r="D144" i="15"/>
  <c r="K105" i="15"/>
  <c r="D57" i="15"/>
  <c r="K77" i="15"/>
  <c r="K162" i="15"/>
  <c r="C57" i="15"/>
  <c r="C202" i="15"/>
  <c r="K190" i="15"/>
  <c r="F55" i="15"/>
  <c r="G170" i="15"/>
  <c r="K106" i="15"/>
  <c r="K47" i="15"/>
  <c r="D114" i="15"/>
  <c r="C116" i="15"/>
  <c r="I80" i="15"/>
  <c r="J79" i="15"/>
  <c r="K50" i="15"/>
  <c r="J51" i="15"/>
  <c r="J73" i="15"/>
  <c r="AP73" i="15" s="1"/>
  <c r="I196" i="15"/>
  <c r="J195" i="15"/>
  <c r="K160" i="15"/>
  <c r="AQ160" i="15" s="1"/>
  <c r="J44" i="15"/>
  <c r="J109" i="15"/>
  <c r="K108" i="15"/>
  <c r="J131" i="15"/>
  <c r="J102" i="15"/>
  <c r="AP102" i="15" s="1"/>
  <c r="J167" i="15"/>
  <c r="K166" i="15"/>
  <c r="H141" i="15" l="1"/>
  <c r="K138" i="15"/>
  <c r="L137" i="15"/>
  <c r="L106" i="15"/>
  <c r="C203" i="15"/>
  <c r="D58" i="15"/>
  <c r="L163" i="15"/>
  <c r="E201" i="15"/>
  <c r="I141" i="15"/>
  <c r="F114" i="15"/>
  <c r="L132" i="15"/>
  <c r="L135" i="15"/>
  <c r="L49" i="15"/>
  <c r="L75" i="15"/>
  <c r="L104" i="15"/>
  <c r="L133" i="15"/>
  <c r="E114" i="15"/>
  <c r="L194" i="15"/>
  <c r="I169" i="15"/>
  <c r="H82" i="15"/>
  <c r="H142" i="15"/>
  <c r="G199" i="15"/>
  <c r="L164" i="15"/>
  <c r="F144" i="15"/>
  <c r="J168" i="15"/>
  <c r="J110" i="15"/>
  <c r="J52" i="15"/>
  <c r="I53" i="15"/>
  <c r="I81" i="15"/>
  <c r="D115" i="15"/>
  <c r="F56" i="15"/>
  <c r="L162" i="15"/>
  <c r="D145" i="15"/>
  <c r="L45" i="15"/>
  <c r="L134" i="15"/>
  <c r="H170" i="15"/>
  <c r="E144" i="15"/>
  <c r="L46" i="15"/>
  <c r="C175" i="15"/>
  <c r="L161" i="15"/>
  <c r="C117" i="15"/>
  <c r="L47" i="15"/>
  <c r="G171" i="15"/>
  <c r="L190" i="15"/>
  <c r="C58" i="15"/>
  <c r="L77" i="15"/>
  <c r="L105" i="15"/>
  <c r="L192" i="15"/>
  <c r="H112" i="15"/>
  <c r="L74" i="15"/>
  <c r="C146" i="15"/>
  <c r="L136" i="15"/>
  <c r="E85" i="15"/>
  <c r="L48" i="15"/>
  <c r="G83" i="15"/>
  <c r="D202" i="15"/>
  <c r="L193" i="15"/>
  <c r="G113" i="15"/>
  <c r="F172" i="15"/>
  <c r="L165" i="15"/>
  <c r="F200" i="15"/>
  <c r="E173" i="15"/>
  <c r="L103" i="15"/>
  <c r="L78" i="15"/>
  <c r="G143" i="15"/>
  <c r="L76" i="15"/>
  <c r="C88" i="15"/>
  <c r="F84" i="15"/>
  <c r="L191" i="15"/>
  <c r="I111" i="15"/>
  <c r="L107" i="15"/>
  <c r="G55" i="15"/>
  <c r="H54" i="15"/>
  <c r="D173" i="15"/>
  <c r="E57" i="15"/>
  <c r="H198" i="15"/>
  <c r="D86" i="15"/>
  <c r="K139" i="15"/>
  <c r="I197" i="15"/>
  <c r="J140" i="15"/>
  <c r="L189" i="15"/>
  <c r="AR189" i="15" s="1"/>
  <c r="K167" i="15"/>
  <c r="L166" i="15"/>
  <c r="L160" i="15"/>
  <c r="AR160" i="15" s="1"/>
  <c r="K195" i="15"/>
  <c r="J196" i="15"/>
  <c r="K131" i="15"/>
  <c r="L50" i="15"/>
  <c r="K51" i="15"/>
  <c r="K102" i="15"/>
  <c r="AQ102" i="15" s="1"/>
  <c r="L108" i="15"/>
  <c r="K109" i="15"/>
  <c r="K44" i="15"/>
  <c r="K73" i="15"/>
  <c r="AQ73" i="15" s="1"/>
  <c r="K79" i="15"/>
  <c r="J80" i="15"/>
  <c r="M137" i="15" l="1"/>
  <c r="L138" i="15"/>
  <c r="K110" i="15"/>
  <c r="K168" i="15"/>
  <c r="H55" i="15"/>
  <c r="C89" i="15"/>
  <c r="F201" i="15"/>
  <c r="G84" i="15"/>
  <c r="H113" i="15"/>
  <c r="G172" i="15"/>
  <c r="I198" i="15"/>
  <c r="M161" i="15"/>
  <c r="M46" i="15"/>
  <c r="H171" i="15"/>
  <c r="M45" i="15"/>
  <c r="M162" i="15"/>
  <c r="D116" i="15"/>
  <c r="J53" i="15"/>
  <c r="J169" i="15"/>
  <c r="M164" i="15"/>
  <c r="H143" i="15"/>
  <c r="I170" i="15"/>
  <c r="E115" i="15"/>
  <c r="M104" i="15"/>
  <c r="M49" i="15"/>
  <c r="M132" i="15"/>
  <c r="I142" i="15"/>
  <c r="M163" i="15"/>
  <c r="C204" i="15"/>
  <c r="J81" i="15"/>
  <c r="M107" i="15"/>
  <c r="G144" i="15"/>
  <c r="M193" i="15"/>
  <c r="C147" i="15"/>
  <c r="C59" i="15"/>
  <c r="M189" i="15"/>
  <c r="AS189" i="15" s="1"/>
  <c r="J141" i="15"/>
  <c r="H199" i="15"/>
  <c r="D174" i="15"/>
  <c r="G56" i="15"/>
  <c r="I112" i="15"/>
  <c r="F85" i="15"/>
  <c r="M76" i="15"/>
  <c r="M78" i="15"/>
  <c r="E174" i="15"/>
  <c r="M165" i="15"/>
  <c r="G114" i="15"/>
  <c r="D203" i="15"/>
  <c r="M48" i="15"/>
  <c r="M136" i="15"/>
  <c r="M74" i="15"/>
  <c r="M192" i="15"/>
  <c r="M77" i="15"/>
  <c r="M190" i="15"/>
  <c r="M47" i="15"/>
  <c r="E58" i="15"/>
  <c r="M191" i="15"/>
  <c r="M103" i="15"/>
  <c r="F173" i="15"/>
  <c r="E86" i="15"/>
  <c r="M105" i="15"/>
  <c r="C118" i="15"/>
  <c r="J197" i="15"/>
  <c r="L139" i="15"/>
  <c r="K52" i="15"/>
  <c r="K140" i="15"/>
  <c r="D87" i="15"/>
  <c r="C176" i="15"/>
  <c r="E145" i="15"/>
  <c r="M134" i="15"/>
  <c r="D146" i="15"/>
  <c r="F57" i="15"/>
  <c r="I82" i="15"/>
  <c r="I54" i="15"/>
  <c r="J111" i="15"/>
  <c r="F145" i="15"/>
  <c r="G200" i="15"/>
  <c r="H83" i="15"/>
  <c r="M194" i="15"/>
  <c r="M133" i="15"/>
  <c r="M75" i="15"/>
  <c r="M135" i="15"/>
  <c r="F115" i="15"/>
  <c r="E202" i="15"/>
  <c r="D59" i="15"/>
  <c r="M106" i="15"/>
  <c r="L73" i="15"/>
  <c r="AR73" i="15" s="1"/>
  <c r="L131" i="15"/>
  <c r="M160" i="15"/>
  <c r="AS160" i="15" s="1"/>
  <c r="M166" i="15"/>
  <c r="L167" i="15"/>
  <c r="L44" i="15"/>
  <c r="L102" i="15"/>
  <c r="AR102" i="15" s="1"/>
  <c r="N137" i="15"/>
  <c r="M138" i="15"/>
  <c r="L79" i="15"/>
  <c r="K80" i="15"/>
  <c r="L109" i="15"/>
  <c r="M108" i="15"/>
  <c r="L51" i="15"/>
  <c r="M50" i="15"/>
  <c r="K196" i="15"/>
  <c r="L195" i="15"/>
  <c r="L168" i="15" l="1"/>
  <c r="J198" i="15"/>
  <c r="N189" i="15"/>
  <c r="AT189" i="15" s="1"/>
  <c r="N193" i="15"/>
  <c r="N107" i="15"/>
  <c r="C205" i="15"/>
  <c r="I143" i="15"/>
  <c r="N49" i="15"/>
  <c r="H144" i="15"/>
  <c r="J170" i="15"/>
  <c r="D117" i="15"/>
  <c r="N45" i="15"/>
  <c r="N46" i="15"/>
  <c r="I199" i="15"/>
  <c r="G173" i="15"/>
  <c r="G85" i="15"/>
  <c r="C90" i="15"/>
  <c r="K169" i="15"/>
  <c r="K197" i="15"/>
  <c r="L110" i="15"/>
  <c r="D60" i="15"/>
  <c r="F116" i="15"/>
  <c r="N75" i="15"/>
  <c r="N194" i="15"/>
  <c r="G201" i="15"/>
  <c r="J112" i="15"/>
  <c r="I83" i="15"/>
  <c r="D147" i="15"/>
  <c r="E146" i="15"/>
  <c r="D88" i="15"/>
  <c r="C119" i="15"/>
  <c r="E87" i="15"/>
  <c r="N103" i="15"/>
  <c r="E59" i="15"/>
  <c r="N190" i="15"/>
  <c r="N192" i="15"/>
  <c r="N136" i="15"/>
  <c r="D204" i="15"/>
  <c r="N165" i="15"/>
  <c r="N78" i="15"/>
  <c r="F86" i="15"/>
  <c r="G57" i="15"/>
  <c r="H200" i="15"/>
  <c r="L140" i="15"/>
  <c r="C148" i="15"/>
  <c r="G145" i="15"/>
  <c r="J82" i="15"/>
  <c r="N163" i="15"/>
  <c r="N132" i="15"/>
  <c r="N104" i="15"/>
  <c r="I171" i="15"/>
  <c r="N164" i="15"/>
  <c r="J54" i="15"/>
  <c r="N162" i="15"/>
  <c r="H172" i="15"/>
  <c r="N161" i="15"/>
  <c r="H114" i="15"/>
  <c r="F202" i="15"/>
  <c r="H56" i="15"/>
  <c r="M139" i="15"/>
  <c r="C60" i="15"/>
  <c r="E116" i="15"/>
  <c r="K81" i="15"/>
  <c r="L52" i="15"/>
  <c r="N106" i="15"/>
  <c r="E203" i="15"/>
  <c r="N135" i="15"/>
  <c r="N133" i="15"/>
  <c r="H84" i="15"/>
  <c r="F146" i="15"/>
  <c r="I55" i="15"/>
  <c r="F58" i="15"/>
  <c r="N134" i="15"/>
  <c r="C177" i="15"/>
  <c r="K141" i="15"/>
  <c r="K53" i="15"/>
  <c r="N105" i="15"/>
  <c r="F174" i="15"/>
  <c r="N191" i="15"/>
  <c r="N47" i="15"/>
  <c r="N77" i="15"/>
  <c r="N74" i="15"/>
  <c r="N48" i="15"/>
  <c r="G115" i="15"/>
  <c r="E175" i="15"/>
  <c r="N76" i="15"/>
  <c r="I113" i="15"/>
  <c r="D175" i="15"/>
  <c r="J142" i="15"/>
  <c r="K111" i="15"/>
  <c r="L80" i="15"/>
  <c r="M79" i="15"/>
  <c r="M44" i="15"/>
  <c r="N160" i="15"/>
  <c r="AT160" i="15" s="1"/>
  <c r="M73" i="15"/>
  <c r="AS73" i="15" s="1"/>
  <c r="L196" i="15"/>
  <c r="M195" i="15"/>
  <c r="M109" i="15"/>
  <c r="N108" i="15"/>
  <c r="M102" i="15"/>
  <c r="AS102" i="15" s="1"/>
  <c r="M131" i="15"/>
  <c r="N138" i="15"/>
  <c r="O137" i="15"/>
  <c r="M167" i="15"/>
  <c r="N166" i="15"/>
  <c r="M51" i="15"/>
  <c r="N50" i="15"/>
  <c r="D176" i="15" l="1"/>
  <c r="G116" i="15"/>
  <c r="O74" i="15"/>
  <c r="F175" i="15"/>
  <c r="K54" i="15"/>
  <c r="C178" i="15"/>
  <c r="F59" i="15"/>
  <c r="F147" i="15"/>
  <c r="O133" i="15"/>
  <c r="E204" i="15"/>
  <c r="L81" i="15"/>
  <c r="E117" i="15"/>
  <c r="M140" i="15"/>
  <c r="O189" i="15"/>
  <c r="AU189" i="15" s="1"/>
  <c r="J199" i="15"/>
  <c r="M168" i="15"/>
  <c r="L197" i="15"/>
  <c r="K112" i="15"/>
  <c r="O76" i="15"/>
  <c r="O47" i="15"/>
  <c r="M52" i="15"/>
  <c r="N139" i="15"/>
  <c r="M110" i="15"/>
  <c r="J143" i="15"/>
  <c r="I114" i="15"/>
  <c r="E176" i="15"/>
  <c r="O48" i="15"/>
  <c r="O77" i="15"/>
  <c r="O191" i="15"/>
  <c r="O105" i="15"/>
  <c r="K142" i="15"/>
  <c r="O134" i="15"/>
  <c r="I56" i="15"/>
  <c r="H85" i="15"/>
  <c r="O135" i="15"/>
  <c r="O106" i="15"/>
  <c r="K82" i="15"/>
  <c r="F203" i="15"/>
  <c r="O161" i="15"/>
  <c r="O162" i="15"/>
  <c r="O164" i="15"/>
  <c r="O104" i="15"/>
  <c r="O163" i="15"/>
  <c r="G146" i="15"/>
  <c r="L141" i="15"/>
  <c r="G58" i="15"/>
  <c r="O78" i="15"/>
  <c r="D205" i="15"/>
  <c r="O192" i="15"/>
  <c r="E60" i="15"/>
  <c r="E88" i="15"/>
  <c r="D89" i="15"/>
  <c r="D148" i="15"/>
  <c r="J113" i="15"/>
  <c r="O194" i="15"/>
  <c r="F117" i="15"/>
  <c r="K198" i="15"/>
  <c r="C91" i="15"/>
  <c r="G174" i="15"/>
  <c r="O46" i="15"/>
  <c r="D118" i="15"/>
  <c r="H145" i="15"/>
  <c r="I144" i="15"/>
  <c r="O107" i="15"/>
  <c r="C61" i="15"/>
  <c r="L169" i="15"/>
  <c r="L53" i="15"/>
  <c r="H57" i="15"/>
  <c r="H115" i="15"/>
  <c r="H173" i="15"/>
  <c r="J55" i="15"/>
  <c r="I172" i="15"/>
  <c r="O132" i="15"/>
  <c r="J83" i="15"/>
  <c r="C149" i="15"/>
  <c r="H201" i="15"/>
  <c r="F87" i="15"/>
  <c r="O165" i="15"/>
  <c r="O136" i="15"/>
  <c r="O190" i="15"/>
  <c r="O103" i="15"/>
  <c r="C120" i="15"/>
  <c r="E147" i="15"/>
  <c r="I84" i="15"/>
  <c r="G202" i="15"/>
  <c r="O75" i="15"/>
  <c r="D61" i="15"/>
  <c r="L111" i="15"/>
  <c r="K170" i="15"/>
  <c r="G86" i="15"/>
  <c r="I200" i="15"/>
  <c r="O45" i="15"/>
  <c r="J171" i="15"/>
  <c r="O49" i="15"/>
  <c r="C206" i="15"/>
  <c r="O193" i="15"/>
  <c r="N167" i="15"/>
  <c r="O166" i="15"/>
  <c r="N109" i="15"/>
  <c r="O108" i="15"/>
  <c r="N73" i="15"/>
  <c r="AT73" i="15" s="1"/>
  <c r="N44" i="15"/>
  <c r="AT44" i="15" s="1"/>
  <c r="M80" i="15"/>
  <c r="N79" i="15"/>
  <c r="N131" i="15"/>
  <c r="AT131" i="15" s="1"/>
  <c r="N51" i="15"/>
  <c r="O50" i="15"/>
  <c r="O138" i="15"/>
  <c r="P137" i="15"/>
  <c r="M196" i="15"/>
  <c r="N195" i="15"/>
  <c r="O160" i="15"/>
  <c r="AU160" i="15" s="1"/>
  <c r="N102" i="15"/>
  <c r="AT102" i="15" s="1"/>
  <c r="M197" i="15" l="1"/>
  <c r="N52" i="15"/>
  <c r="N168" i="15"/>
  <c r="C207" i="15"/>
  <c r="J172" i="15"/>
  <c r="I201" i="15"/>
  <c r="K171" i="15"/>
  <c r="D62" i="15"/>
  <c r="G203" i="15"/>
  <c r="E148" i="15"/>
  <c r="P103" i="15"/>
  <c r="P136" i="15"/>
  <c r="F88" i="15"/>
  <c r="C150" i="15"/>
  <c r="P132" i="15"/>
  <c r="J56" i="15"/>
  <c r="H116" i="15"/>
  <c r="L54" i="15"/>
  <c r="C62" i="15"/>
  <c r="I145" i="15"/>
  <c r="D119" i="15"/>
  <c r="G175" i="15"/>
  <c r="K199" i="15"/>
  <c r="P194" i="15"/>
  <c r="D149" i="15"/>
  <c r="E89" i="15"/>
  <c r="P192" i="15"/>
  <c r="P78" i="15"/>
  <c r="L142" i="15"/>
  <c r="P163" i="15"/>
  <c r="P164" i="15"/>
  <c r="P161" i="15"/>
  <c r="K83" i="15"/>
  <c r="P135" i="15"/>
  <c r="I57" i="15"/>
  <c r="K143" i="15"/>
  <c r="P191" i="15"/>
  <c r="P48" i="15"/>
  <c r="I115" i="15"/>
  <c r="M111" i="15"/>
  <c r="M53" i="15"/>
  <c r="P76" i="15"/>
  <c r="P189" i="15"/>
  <c r="AV189" i="15" s="1"/>
  <c r="M141" i="15"/>
  <c r="L82" i="15"/>
  <c r="O139" i="15"/>
  <c r="L198" i="15"/>
  <c r="E205" i="15"/>
  <c r="F148" i="15"/>
  <c r="C179" i="15"/>
  <c r="F176" i="15"/>
  <c r="G117" i="15"/>
  <c r="N110" i="15"/>
  <c r="P193" i="15"/>
  <c r="P49" i="15"/>
  <c r="P45" i="15"/>
  <c r="G87" i="15"/>
  <c r="L112" i="15"/>
  <c r="P75" i="15"/>
  <c r="I85" i="15"/>
  <c r="C121" i="15"/>
  <c r="P190" i="15"/>
  <c r="P165" i="15"/>
  <c r="H202" i="15"/>
  <c r="J84" i="15"/>
  <c r="I173" i="15"/>
  <c r="H174" i="15"/>
  <c r="H58" i="15"/>
  <c r="L170" i="15"/>
  <c r="P107" i="15"/>
  <c r="H146" i="15"/>
  <c r="P46" i="15"/>
  <c r="C92" i="15"/>
  <c r="F118" i="15"/>
  <c r="J114" i="15"/>
  <c r="D90" i="15"/>
  <c r="E61" i="15"/>
  <c r="D206" i="15"/>
  <c r="G59" i="15"/>
  <c r="G147" i="15"/>
  <c r="P104" i="15"/>
  <c r="P162" i="15"/>
  <c r="F204" i="15"/>
  <c r="P106" i="15"/>
  <c r="H86" i="15"/>
  <c r="P134" i="15"/>
  <c r="P105" i="15"/>
  <c r="P77" i="15"/>
  <c r="E177" i="15"/>
  <c r="J144" i="15"/>
  <c r="N140" i="15"/>
  <c r="P47" i="15"/>
  <c r="K113" i="15"/>
  <c r="E118" i="15"/>
  <c r="M81" i="15"/>
  <c r="M169" i="15"/>
  <c r="J200" i="15"/>
  <c r="P133" i="15"/>
  <c r="F60" i="15"/>
  <c r="K55" i="15"/>
  <c r="P74" i="15"/>
  <c r="D177" i="15"/>
  <c r="O73" i="15"/>
  <c r="AU73" i="15" s="1"/>
  <c r="O102" i="15"/>
  <c r="AU102" i="15" s="1"/>
  <c r="P160" i="15"/>
  <c r="AV160" i="15" s="1"/>
  <c r="P138" i="15"/>
  <c r="Q137" i="15"/>
  <c r="O131" i="15"/>
  <c r="AU131" i="15" s="1"/>
  <c r="O44" i="15"/>
  <c r="AU44" i="15" s="1"/>
  <c r="O109" i="15"/>
  <c r="P108" i="15"/>
  <c r="N196" i="15"/>
  <c r="O195" i="15"/>
  <c r="O51" i="15"/>
  <c r="P50" i="15"/>
  <c r="N80" i="15"/>
  <c r="O79" i="15"/>
  <c r="P166" i="15"/>
  <c r="O167" i="15"/>
  <c r="G118" i="15" l="1"/>
  <c r="C180" i="15"/>
  <c r="E206" i="15"/>
  <c r="L83" i="15"/>
  <c r="N81" i="15"/>
  <c r="N197" i="15"/>
  <c r="D178" i="15"/>
  <c r="K56" i="15"/>
  <c r="Q133" i="15"/>
  <c r="M170" i="15"/>
  <c r="K114" i="15"/>
  <c r="N141" i="15"/>
  <c r="E178" i="15"/>
  <c r="Q105" i="15"/>
  <c r="H87" i="15"/>
  <c r="F205" i="15"/>
  <c r="Q104" i="15"/>
  <c r="G60" i="15"/>
  <c r="E62" i="15"/>
  <c r="J115" i="15"/>
  <c r="C93" i="15"/>
  <c r="H147" i="15"/>
  <c r="L171" i="15"/>
  <c r="H175" i="15"/>
  <c r="J85" i="15"/>
  <c r="Q165" i="15"/>
  <c r="C122" i="15"/>
  <c r="Q75" i="15"/>
  <c r="G88" i="15"/>
  <c r="Q49" i="15"/>
  <c r="N111" i="15"/>
  <c r="M54" i="15"/>
  <c r="I116" i="15"/>
  <c r="Q191" i="15"/>
  <c r="I58" i="15"/>
  <c r="K84" i="15"/>
  <c r="Q164" i="15"/>
  <c r="L143" i="15"/>
  <c r="Q192" i="15"/>
  <c r="D150" i="15"/>
  <c r="K200" i="15"/>
  <c r="D120" i="15"/>
  <c r="C63" i="15"/>
  <c r="H117" i="15"/>
  <c r="Q132" i="15"/>
  <c r="F89" i="15"/>
  <c r="Q103" i="15"/>
  <c r="G204" i="15"/>
  <c r="K172" i="15"/>
  <c r="J173" i="15"/>
  <c r="N169" i="15"/>
  <c r="F177" i="15"/>
  <c r="F149" i="15"/>
  <c r="L199" i="15"/>
  <c r="O140" i="15"/>
  <c r="M142" i="15"/>
  <c r="N53" i="15"/>
  <c r="O168" i="15"/>
  <c r="O52" i="15"/>
  <c r="O110" i="15"/>
  <c r="P139" i="15"/>
  <c r="Q74" i="15"/>
  <c r="F61" i="15"/>
  <c r="J201" i="15"/>
  <c r="E119" i="15"/>
  <c r="Q47" i="15"/>
  <c r="J145" i="15"/>
  <c r="Q77" i="15"/>
  <c r="Q134" i="15"/>
  <c r="Q106" i="15"/>
  <c r="Q162" i="15"/>
  <c r="G148" i="15"/>
  <c r="D207" i="15"/>
  <c r="D91" i="15"/>
  <c r="F119" i="15"/>
  <c r="Q46" i="15"/>
  <c r="Q107" i="15"/>
  <c r="H59" i="15"/>
  <c r="I174" i="15"/>
  <c r="H203" i="15"/>
  <c r="Q190" i="15"/>
  <c r="I86" i="15"/>
  <c r="L113" i="15"/>
  <c r="Q45" i="15"/>
  <c r="Q193" i="15"/>
  <c r="Q189" i="15"/>
  <c r="AW189" i="15" s="1"/>
  <c r="Q76" i="15"/>
  <c r="M112" i="15"/>
  <c r="Q48" i="15"/>
  <c r="K144" i="15"/>
  <c r="Q135" i="15"/>
  <c r="Q161" i="15"/>
  <c r="Q163" i="15"/>
  <c r="Q78" i="15"/>
  <c r="E90" i="15"/>
  <c r="Q194" i="15"/>
  <c r="G176" i="15"/>
  <c r="I146" i="15"/>
  <c r="L55" i="15"/>
  <c r="J57" i="15"/>
  <c r="C151" i="15"/>
  <c r="Q136" i="15"/>
  <c r="E149" i="15"/>
  <c r="D63" i="15"/>
  <c r="I202" i="15"/>
  <c r="C208" i="15"/>
  <c r="M82" i="15"/>
  <c r="M198" i="15"/>
  <c r="P51" i="15"/>
  <c r="Q50" i="15"/>
  <c r="P44" i="15"/>
  <c r="Q138" i="15"/>
  <c r="R137" i="15"/>
  <c r="P102" i="15"/>
  <c r="AV102" i="15" s="1"/>
  <c r="P167" i="15"/>
  <c r="Q166" i="15"/>
  <c r="P79" i="15"/>
  <c r="O80" i="15"/>
  <c r="O196" i="15"/>
  <c r="P195" i="15"/>
  <c r="Q108" i="15"/>
  <c r="P109" i="15"/>
  <c r="P131" i="15"/>
  <c r="Q160" i="15"/>
  <c r="AW160" i="15" s="1"/>
  <c r="P73" i="15"/>
  <c r="AV73" i="15" s="1"/>
  <c r="P110" i="15" l="1"/>
  <c r="O81" i="15"/>
  <c r="M199" i="15"/>
  <c r="I203" i="15"/>
  <c r="E150" i="15"/>
  <c r="C152" i="15"/>
  <c r="L56" i="15"/>
  <c r="G177" i="15"/>
  <c r="E91" i="15"/>
  <c r="R163" i="15"/>
  <c r="R135" i="15"/>
  <c r="R48" i="15"/>
  <c r="R76" i="15"/>
  <c r="Q139" i="15"/>
  <c r="M83" i="15"/>
  <c r="D64" i="15"/>
  <c r="J58" i="15"/>
  <c r="R194" i="15"/>
  <c r="R161" i="15"/>
  <c r="M113" i="15"/>
  <c r="O197" i="15"/>
  <c r="P52" i="15"/>
  <c r="R189" i="15"/>
  <c r="AX189" i="15" s="1"/>
  <c r="R193" i="15"/>
  <c r="L114" i="15"/>
  <c r="R190" i="15"/>
  <c r="I175" i="15"/>
  <c r="R107" i="15"/>
  <c r="F120" i="15"/>
  <c r="D208" i="15"/>
  <c r="R162" i="15"/>
  <c r="R134" i="15"/>
  <c r="J146" i="15"/>
  <c r="E120" i="15"/>
  <c r="F62" i="15"/>
  <c r="P140" i="15"/>
  <c r="O53" i="15"/>
  <c r="N54" i="15"/>
  <c r="O141" i="15"/>
  <c r="F150" i="15"/>
  <c r="N170" i="15"/>
  <c r="K173" i="15"/>
  <c r="R103" i="15"/>
  <c r="R132" i="15"/>
  <c r="C64" i="15"/>
  <c r="K201" i="15"/>
  <c r="R192" i="15"/>
  <c r="R164" i="15"/>
  <c r="I59" i="15"/>
  <c r="I117" i="15"/>
  <c r="N112" i="15"/>
  <c r="G89" i="15"/>
  <c r="C123" i="15"/>
  <c r="J86" i="15"/>
  <c r="L172" i="15"/>
  <c r="C94" i="15"/>
  <c r="E63" i="15"/>
  <c r="R104" i="15"/>
  <c r="H88" i="15"/>
  <c r="E179" i="15"/>
  <c r="K115" i="15"/>
  <c r="R133" i="15"/>
  <c r="D179" i="15"/>
  <c r="N198" i="15"/>
  <c r="L84" i="15"/>
  <c r="C181" i="15"/>
  <c r="C209" i="15"/>
  <c r="R136" i="15"/>
  <c r="I147" i="15"/>
  <c r="R78" i="15"/>
  <c r="K145" i="15"/>
  <c r="P168" i="15"/>
  <c r="R45" i="15"/>
  <c r="I87" i="15"/>
  <c r="H204" i="15"/>
  <c r="H60" i="15"/>
  <c r="R46" i="15"/>
  <c r="D92" i="15"/>
  <c r="G149" i="15"/>
  <c r="R106" i="15"/>
  <c r="R77" i="15"/>
  <c r="R47" i="15"/>
  <c r="J202" i="15"/>
  <c r="R74" i="15"/>
  <c r="O111" i="15"/>
  <c r="O169" i="15"/>
  <c r="M143" i="15"/>
  <c r="L200" i="15"/>
  <c r="F178" i="15"/>
  <c r="J174" i="15"/>
  <c r="G205" i="15"/>
  <c r="F90" i="15"/>
  <c r="H118" i="15"/>
  <c r="D121" i="15"/>
  <c r="D151" i="15"/>
  <c r="L144" i="15"/>
  <c r="K85" i="15"/>
  <c r="R191" i="15"/>
  <c r="M55" i="15"/>
  <c r="R49" i="15"/>
  <c r="R75" i="15"/>
  <c r="R165" i="15"/>
  <c r="H176" i="15"/>
  <c r="H148" i="15"/>
  <c r="J116" i="15"/>
  <c r="G61" i="15"/>
  <c r="F206" i="15"/>
  <c r="R105" i="15"/>
  <c r="N142" i="15"/>
  <c r="M171" i="15"/>
  <c r="K57" i="15"/>
  <c r="N82" i="15"/>
  <c r="E207" i="15"/>
  <c r="G119" i="15"/>
  <c r="Q102" i="15"/>
  <c r="AW102" i="15" s="1"/>
  <c r="Q51" i="15"/>
  <c r="R50" i="15"/>
  <c r="R160" i="15"/>
  <c r="AX160" i="15" s="1"/>
  <c r="Q109" i="15"/>
  <c r="R108" i="15"/>
  <c r="Q79" i="15"/>
  <c r="P80" i="15"/>
  <c r="Q44" i="15"/>
  <c r="Q131" i="15"/>
  <c r="Q195" i="15"/>
  <c r="P196" i="15"/>
  <c r="Q167" i="15"/>
  <c r="R166" i="15"/>
  <c r="R138" i="15"/>
  <c r="S137" i="15"/>
  <c r="Q73" i="15"/>
  <c r="AW73" i="15" s="1"/>
  <c r="I204" i="15" l="1"/>
  <c r="E208" i="15"/>
  <c r="K58" i="15"/>
  <c r="N143" i="15"/>
  <c r="F207" i="15"/>
  <c r="J117" i="15"/>
  <c r="H177" i="15"/>
  <c r="S75" i="15"/>
  <c r="M56" i="15"/>
  <c r="K86" i="15"/>
  <c r="D152" i="15"/>
  <c r="H119" i="15"/>
  <c r="G206" i="15"/>
  <c r="F179" i="15"/>
  <c r="M144" i="15"/>
  <c r="O112" i="15"/>
  <c r="J203" i="15"/>
  <c r="S77" i="15"/>
  <c r="G150" i="15"/>
  <c r="S46" i="15"/>
  <c r="H205" i="15"/>
  <c r="S45" i="15"/>
  <c r="S78" i="15"/>
  <c r="S136" i="15"/>
  <c r="O198" i="15"/>
  <c r="S161" i="15"/>
  <c r="J59" i="15"/>
  <c r="M84" i="15"/>
  <c r="O82" i="15"/>
  <c r="D180" i="15"/>
  <c r="H89" i="15"/>
  <c r="L173" i="15"/>
  <c r="I60" i="15"/>
  <c r="C65" i="15"/>
  <c r="N171" i="15"/>
  <c r="F63" i="15"/>
  <c r="S48" i="15"/>
  <c r="C182" i="15"/>
  <c r="N199" i="15"/>
  <c r="S133" i="15"/>
  <c r="E180" i="15"/>
  <c r="S104" i="15"/>
  <c r="C95" i="15"/>
  <c r="J87" i="15"/>
  <c r="G90" i="15"/>
  <c r="I118" i="15"/>
  <c r="S164" i="15"/>
  <c r="K202" i="15"/>
  <c r="S132" i="15"/>
  <c r="K174" i="15"/>
  <c r="F151" i="15"/>
  <c r="N55" i="15"/>
  <c r="P141" i="15"/>
  <c r="E121" i="15"/>
  <c r="S134" i="15"/>
  <c r="D209" i="15"/>
  <c r="S107" i="15"/>
  <c r="S190" i="15"/>
  <c r="S193" i="15"/>
  <c r="S76" i="15"/>
  <c r="S135" i="15"/>
  <c r="E92" i="15"/>
  <c r="L57" i="15"/>
  <c r="E151" i="15"/>
  <c r="M200" i="15"/>
  <c r="Q168" i="15"/>
  <c r="Q110" i="15"/>
  <c r="L85" i="15"/>
  <c r="K116" i="15"/>
  <c r="E64" i="15"/>
  <c r="C124" i="15"/>
  <c r="N113" i="15"/>
  <c r="S192" i="15"/>
  <c r="S103" i="15"/>
  <c r="O142" i="15"/>
  <c r="O54" i="15"/>
  <c r="J147" i="15"/>
  <c r="S162" i="15"/>
  <c r="F121" i="15"/>
  <c r="I176" i="15"/>
  <c r="L115" i="15"/>
  <c r="S163" i="15"/>
  <c r="G178" i="15"/>
  <c r="C153" i="15"/>
  <c r="P197" i="15"/>
  <c r="P81" i="15"/>
  <c r="R139" i="15"/>
  <c r="Q52" i="15"/>
  <c r="G120" i="15"/>
  <c r="N83" i="15"/>
  <c r="M172" i="15"/>
  <c r="S105" i="15"/>
  <c r="G62" i="15"/>
  <c r="H149" i="15"/>
  <c r="S165" i="15"/>
  <c r="S49" i="15"/>
  <c r="S191" i="15"/>
  <c r="L145" i="15"/>
  <c r="D122" i="15"/>
  <c r="F91" i="15"/>
  <c r="J175" i="15"/>
  <c r="L201" i="15"/>
  <c r="O170" i="15"/>
  <c r="S74" i="15"/>
  <c r="S47" i="15"/>
  <c r="S106" i="15"/>
  <c r="D93" i="15"/>
  <c r="H61" i="15"/>
  <c r="I88" i="15"/>
  <c r="P169" i="15"/>
  <c r="K146" i="15"/>
  <c r="I148" i="15"/>
  <c r="C210" i="15"/>
  <c r="S189" i="15"/>
  <c r="AY189" i="15" s="1"/>
  <c r="P53" i="15"/>
  <c r="M114" i="15"/>
  <c r="S194" i="15"/>
  <c r="D65" i="15"/>
  <c r="Q140" i="15"/>
  <c r="P111" i="15"/>
  <c r="R131" i="15"/>
  <c r="Q80" i="15"/>
  <c r="R79" i="15"/>
  <c r="R102" i="15"/>
  <c r="AX102" i="15" s="1"/>
  <c r="T137" i="15"/>
  <c r="S138" i="15"/>
  <c r="R109" i="15"/>
  <c r="S108" i="15"/>
  <c r="S50" i="15"/>
  <c r="R51" i="15"/>
  <c r="R73" i="15"/>
  <c r="AX73" i="15" s="1"/>
  <c r="Q196" i="15"/>
  <c r="R195" i="15"/>
  <c r="R44" i="15"/>
  <c r="R167" i="15"/>
  <c r="S166" i="15"/>
  <c r="S160" i="15"/>
  <c r="AY160" i="15" s="1"/>
  <c r="P112" i="15" l="1"/>
  <c r="D66" i="15"/>
  <c r="M115" i="15"/>
  <c r="I149" i="15"/>
  <c r="P170" i="15"/>
  <c r="H62" i="15"/>
  <c r="T106" i="15"/>
  <c r="T74" i="15"/>
  <c r="L202" i="15"/>
  <c r="F92" i="15"/>
  <c r="L146" i="15"/>
  <c r="T49" i="15"/>
  <c r="H150" i="15"/>
  <c r="T105" i="15"/>
  <c r="N84" i="15"/>
  <c r="Q53" i="15"/>
  <c r="C154" i="15"/>
  <c r="T163" i="15"/>
  <c r="I177" i="15"/>
  <c r="T162" i="15"/>
  <c r="O55" i="15"/>
  <c r="T103" i="15"/>
  <c r="N114" i="15"/>
  <c r="E65" i="15"/>
  <c r="L86" i="15"/>
  <c r="Q169" i="15"/>
  <c r="E152" i="15"/>
  <c r="E93" i="15"/>
  <c r="T76" i="15"/>
  <c r="T190" i="15"/>
  <c r="D210" i="15"/>
  <c r="E122" i="15"/>
  <c r="N56" i="15"/>
  <c r="K175" i="15"/>
  <c r="K203" i="15"/>
  <c r="I119" i="15"/>
  <c r="J88" i="15"/>
  <c r="T104" i="15"/>
  <c r="T133" i="15"/>
  <c r="C183" i="15"/>
  <c r="F64" i="15"/>
  <c r="C66" i="15"/>
  <c r="L174" i="15"/>
  <c r="D181" i="15"/>
  <c r="M85" i="15"/>
  <c r="T161" i="15"/>
  <c r="T136" i="15"/>
  <c r="T45" i="15"/>
  <c r="T46" i="15"/>
  <c r="T77" i="15"/>
  <c r="O113" i="15"/>
  <c r="F180" i="15"/>
  <c r="H120" i="15"/>
  <c r="K87" i="15"/>
  <c r="T75" i="15"/>
  <c r="J118" i="15"/>
  <c r="N144" i="15"/>
  <c r="E209" i="15"/>
  <c r="R52" i="15"/>
  <c r="S139" i="15"/>
  <c r="Q81" i="15"/>
  <c r="Q197" i="15"/>
  <c r="Q141" i="15"/>
  <c r="T194" i="15"/>
  <c r="P54" i="15"/>
  <c r="R140" i="15"/>
  <c r="P198" i="15"/>
  <c r="R168" i="15"/>
  <c r="R110" i="15"/>
  <c r="T189" i="15"/>
  <c r="AZ189" i="15" s="1"/>
  <c r="C211" i="15"/>
  <c r="K147" i="15"/>
  <c r="I89" i="15"/>
  <c r="D94" i="15"/>
  <c r="T47" i="15"/>
  <c r="O171" i="15"/>
  <c r="J176" i="15"/>
  <c r="D123" i="15"/>
  <c r="T191" i="15"/>
  <c r="T165" i="15"/>
  <c r="G63" i="15"/>
  <c r="M173" i="15"/>
  <c r="G121" i="15"/>
  <c r="G179" i="15"/>
  <c r="L116" i="15"/>
  <c r="F122" i="15"/>
  <c r="J148" i="15"/>
  <c r="O143" i="15"/>
  <c r="T192" i="15"/>
  <c r="C125" i="15"/>
  <c r="K117" i="15"/>
  <c r="Q111" i="15"/>
  <c r="M201" i="15"/>
  <c r="L58" i="15"/>
  <c r="T135" i="15"/>
  <c r="T193" i="15"/>
  <c r="T107" i="15"/>
  <c r="T134" i="15"/>
  <c r="P142" i="15"/>
  <c r="F152" i="15"/>
  <c r="T132" i="15"/>
  <c r="T164" i="15"/>
  <c r="G91" i="15"/>
  <c r="C96" i="15"/>
  <c r="E181" i="15"/>
  <c r="N200" i="15"/>
  <c r="T48" i="15"/>
  <c r="N172" i="15"/>
  <c r="I61" i="15"/>
  <c r="H90" i="15"/>
  <c r="O83" i="15"/>
  <c r="J60" i="15"/>
  <c r="O199" i="15"/>
  <c r="T78" i="15"/>
  <c r="H206" i="15"/>
  <c r="G151" i="15"/>
  <c r="J204" i="15"/>
  <c r="M145" i="15"/>
  <c r="G207" i="15"/>
  <c r="D153" i="15"/>
  <c r="M57" i="15"/>
  <c r="H178" i="15"/>
  <c r="F208" i="15"/>
  <c r="K59" i="15"/>
  <c r="I205" i="15"/>
  <c r="P82" i="15"/>
  <c r="S167" i="15"/>
  <c r="T166" i="15"/>
  <c r="S44" i="15"/>
  <c r="S73" i="15"/>
  <c r="AY73" i="15" s="1"/>
  <c r="S109" i="15"/>
  <c r="T108" i="15"/>
  <c r="S131" i="15"/>
  <c r="S102" i="15"/>
  <c r="AY102" i="15" s="1"/>
  <c r="T160" i="15"/>
  <c r="AZ160" i="15" s="1"/>
  <c r="R196" i="15"/>
  <c r="S195" i="15"/>
  <c r="R80" i="15"/>
  <c r="S79" i="15"/>
  <c r="T50" i="15"/>
  <c r="S51" i="15"/>
  <c r="T138" i="15"/>
  <c r="U137" i="15"/>
  <c r="P83" i="15" l="1"/>
  <c r="H179" i="15"/>
  <c r="M146" i="15"/>
  <c r="U78" i="15"/>
  <c r="U164" i="15"/>
  <c r="S110" i="15"/>
  <c r="S168" i="15"/>
  <c r="E210" i="15"/>
  <c r="J119" i="15"/>
  <c r="K88" i="15"/>
  <c r="F181" i="15"/>
  <c r="U77" i="15"/>
  <c r="U45" i="15"/>
  <c r="U161" i="15"/>
  <c r="D182" i="15"/>
  <c r="C67" i="15"/>
  <c r="C184" i="15"/>
  <c r="U104" i="15"/>
  <c r="I120" i="15"/>
  <c r="K176" i="15"/>
  <c r="E123" i="15"/>
  <c r="U190" i="15"/>
  <c r="E94" i="15"/>
  <c r="Q170" i="15"/>
  <c r="E66" i="15"/>
  <c r="U103" i="15"/>
  <c r="U162" i="15"/>
  <c r="U163" i="15"/>
  <c r="Q54" i="15"/>
  <c r="U105" i="15"/>
  <c r="U49" i="15"/>
  <c r="F93" i="15"/>
  <c r="U74" i="15"/>
  <c r="H63" i="15"/>
  <c r="I150" i="15"/>
  <c r="I206" i="15"/>
  <c r="F209" i="15"/>
  <c r="M58" i="15"/>
  <c r="G208" i="15"/>
  <c r="J205" i="15"/>
  <c r="H207" i="15"/>
  <c r="O200" i="15"/>
  <c r="O84" i="15"/>
  <c r="I62" i="15"/>
  <c r="U48" i="15"/>
  <c r="E182" i="15"/>
  <c r="G92" i="15"/>
  <c r="U132" i="15"/>
  <c r="P143" i="15"/>
  <c r="U107" i="15"/>
  <c r="U135" i="15"/>
  <c r="M202" i="15"/>
  <c r="K118" i="15"/>
  <c r="U192" i="15"/>
  <c r="J149" i="15"/>
  <c r="L117" i="15"/>
  <c r="G122" i="15"/>
  <c r="G64" i="15"/>
  <c r="U191" i="15"/>
  <c r="J177" i="15"/>
  <c r="U47" i="15"/>
  <c r="I90" i="15"/>
  <c r="C212" i="15"/>
  <c r="R169" i="15"/>
  <c r="R141" i="15"/>
  <c r="U194" i="15"/>
  <c r="Q82" i="15"/>
  <c r="R53" i="15"/>
  <c r="D67" i="15"/>
  <c r="R197" i="15"/>
  <c r="T139" i="15"/>
  <c r="R81" i="15"/>
  <c r="S52" i="15"/>
  <c r="U189" i="15"/>
  <c r="BA189" i="15" s="1"/>
  <c r="Q198" i="15"/>
  <c r="N145" i="15"/>
  <c r="U75" i="15"/>
  <c r="H121" i="15"/>
  <c r="O114" i="15"/>
  <c r="U46" i="15"/>
  <c r="U136" i="15"/>
  <c r="M86" i="15"/>
  <c r="L175" i="15"/>
  <c r="F65" i="15"/>
  <c r="U133" i="15"/>
  <c r="J89" i="15"/>
  <c r="K204" i="15"/>
  <c r="N57" i="15"/>
  <c r="D211" i="15"/>
  <c r="U76" i="15"/>
  <c r="E153" i="15"/>
  <c r="L87" i="15"/>
  <c r="N115" i="15"/>
  <c r="O56" i="15"/>
  <c r="I178" i="15"/>
  <c r="C155" i="15"/>
  <c r="N85" i="15"/>
  <c r="H151" i="15"/>
  <c r="L147" i="15"/>
  <c r="L203" i="15"/>
  <c r="U106" i="15"/>
  <c r="P171" i="15"/>
  <c r="K60" i="15"/>
  <c r="D154" i="15"/>
  <c r="G152" i="15"/>
  <c r="J61" i="15"/>
  <c r="H91" i="15"/>
  <c r="N173" i="15"/>
  <c r="N201" i="15"/>
  <c r="C97" i="15"/>
  <c r="F153" i="15"/>
  <c r="U134" i="15"/>
  <c r="U193" i="15"/>
  <c r="L59" i="15"/>
  <c r="Q112" i="15"/>
  <c r="C126" i="15"/>
  <c r="O144" i="15"/>
  <c r="F123" i="15"/>
  <c r="G180" i="15"/>
  <c r="M174" i="15"/>
  <c r="U165" i="15"/>
  <c r="D124" i="15"/>
  <c r="O172" i="15"/>
  <c r="D95" i="15"/>
  <c r="K148" i="15"/>
  <c r="R111" i="15"/>
  <c r="P199" i="15"/>
  <c r="P55" i="15"/>
  <c r="Q142" i="15"/>
  <c r="S140" i="15"/>
  <c r="M116" i="15"/>
  <c r="P113" i="15"/>
  <c r="U138" i="15"/>
  <c r="V137" i="15"/>
  <c r="S80" i="15"/>
  <c r="T79" i="15"/>
  <c r="T102" i="15"/>
  <c r="AZ102" i="15" s="1"/>
  <c r="T109" i="15"/>
  <c r="U108" i="15"/>
  <c r="T44" i="15"/>
  <c r="S196" i="15"/>
  <c r="T195" i="15"/>
  <c r="U160" i="15"/>
  <c r="BA160" i="15" s="1"/>
  <c r="T131" i="15"/>
  <c r="T73" i="15"/>
  <c r="AZ73" i="15" s="1"/>
  <c r="U166" i="15"/>
  <c r="T167" i="15"/>
  <c r="T51" i="15"/>
  <c r="U50" i="15"/>
  <c r="P114" i="15" l="1"/>
  <c r="D125" i="15"/>
  <c r="D155" i="15"/>
  <c r="S197" i="15"/>
  <c r="U139" i="15"/>
  <c r="R82" i="15"/>
  <c r="R198" i="15"/>
  <c r="T110" i="15"/>
  <c r="P56" i="15"/>
  <c r="C127" i="15"/>
  <c r="M117" i="15"/>
  <c r="Q143" i="15"/>
  <c r="P200" i="15"/>
  <c r="K149" i="15"/>
  <c r="O173" i="15"/>
  <c r="V165" i="15"/>
  <c r="G181" i="15"/>
  <c r="O145" i="15"/>
  <c r="Q113" i="15"/>
  <c r="V193" i="15"/>
  <c r="F154" i="15"/>
  <c r="N202" i="15"/>
  <c r="H92" i="15"/>
  <c r="G153" i="15"/>
  <c r="K61" i="15"/>
  <c r="V106" i="15"/>
  <c r="L148" i="15"/>
  <c r="N86" i="15"/>
  <c r="I179" i="15"/>
  <c r="N116" i="15"/>
  <c r="E154" i="15"/>
  <c r="D212" i="15"/>
  <c r="K205" i="15"/>
  <c r="V133" i="15"/>
  <c r="L176" i="15"/>
  <c r="V136" i="15"/>
  <c r="O115" i="15"/>
  <c r="V75" i="15"/>
  <c r="Q199" i="15"/>
  <c r="R54" i="15"/>
  <c r="V194" i="15"/>
  <c r="R170" i="15"/>
  <c r="I91" i="15"/>
  <c r="J178" i="15"/>
  <c r="G65" i="15"/>
  <c r="L118" i="15"/>
  <c r="V192" i="15"/>
  <c r="M203" i="15"/>
  <c r="V107" i="15"/>
  <c r="V132" i="15"/>
  <c r="E183" i="15"/>
  <c r="I63" i="15"/>
  <c r="O201" i="15"/>
  <c r="J206" i="15"/>
  <c r="M59" i="15"/>
  <c r="I207" i="15"/>
  <c r="H64" i="15"/>
  <c r="F94" i="15"/>
  <c r="V105" i="15"/>
  <c r="V163" i="15"/>
  <c r="V103" i="15"/>
  <c r="Q171" i="15"/>
  <c r="V190" i="15"/>
  <c r="K177" i="15"/>
  <c r="V104" i="15"/>
  <c r="C68" i="15"/>
  <c r="V161" i="15"/>
  <c r="V77" i="15"/>
  <c r="K89" i="15"/>
  <c r="E211" i="15"/>
  <c r="S111" i="15"/>
  <c r="V164" i="15"/>
  <c r="M147" i="15"/>
  <c r="P84" i="15"/>
  <c r="R112" i="15"/>
  <c r="M175" i="15"/>
  <c r="V134" i="15"/>
  <c r="T52" i="15"/>
  <c r="T168" i="15"/>
  <c r="S81" i="15"/>
  <c r="V189" i="15"/>
  <c r="BB189" i="15" s="1"/>
  <c r="S53" i="15"/>
  <c r="T140" i="15"/>
  <c r="S141" i="15"/>
  <c r="D96" i="15"/>
  <c r="F124" i="15"/>
  <c r="L60" i="15"/>
  <c r="C98" i="15"/>
  <c r="N174" i="15"/>
  <c r="J62" i="15"/>
  <c r="P172" i="15"/>
  <c r="L204" i="15"/>
  <c r="H152" i="15"/>
  <c r="C156" i="15"/>
  <c r="O57" i="15"/>
  <c r="L88" i="15"/>
  <c r="V76" i="15"/>
  <c r="N58" i="15"/>
  <c r="J90" i="15"/>
  <c r="F66" i="15"/>
  <c r="M87" i="15"/>
  <c r="V46" i="15"/>
  <c r="H122" i="15"/>
  <c r="N146" i="15"/>
  <c r="D68" i="15"/>
  <c r="Q83" i="15"/>
  <c r="R142" i="15"/>
  <c r="C213" i="15"/>
  <c r="V47" i="15"/>
  <c r="V191" i="15"/>
  <c r="G123" i="15"/>
  <c r="J150" i="15"/>
  <c r="K119" i="15"/>
  <c r="V135" i="15"/>
  <c r="P144" i="15"/>
  <c r="G93" i="15"/>
  <c r="V48" i="15"/>
  <c r="O85" i="15"/>
  <c r="H208" i="15"/>
  <c r="G209" i="15"/>
  <c r="F210" i="15"/>
  <c r="I151" i="15"/>
  <c r="V74" i="15"/>
  <c r="V49" i="15"/>
  <c r="Q55" i="15"/>
  <c r="V162" i="15"/>
  <c r="E67" i="15"/>
  <c r="E95" i="15"/>
  <c r="E124" i="15"/>
  <c r="I121" i="15"/>
  <c r="C185" i="15"/>
  <c r="D183" i="15"/>
  <c r="V45" i="15"/>
  <c r="F182" i="15"/>
  <c r="J120" i="15"/>
  <c r="S169" i="15"/>
  <c r="V78" i="15"/>
  <c r="H180" i="15"/>
  <c r="V160" i="15"/>
  <c r="BB160" i="15" s="1"/>
  <c r="U131" i="15"/>
  <c r="T196" i="15"/>
  <c r="U195" i="15"/>
  <c r="V108" i="15"/>
  <c r="U109" i="15"/>
  <c r="V138" i="15"/>
  <c r="W137" i="15"/>
  <c r="V166" i="15"/>
  <c r="U167" i="15"/>
  <c r="U51" i="15"/>
  <c r="V50" i="15"/>
  <c r="U44" i="15"/>
  <c r="U102" i="15"/>
  <c r="BA102" i="15" s="1"/>
  <c r="U79" i="15"/>
  <c r="T80" i="15"/>
  <c r="U73" i="15"/>
  <c r="BA73" i="15" s="1"/>
  <c r="U168" i="15" l="1"/>
  <c r="H181" i="15"/>
  <c r="F183" i="15"/>
  <c r="I122" i="15"/>
  <c r="E96" i="15"/>
  <c r="W49" i="15"/>
  <c r="G210" i="15"/>
  <c r="G94" i="15"/>
  <c r="W191" i="15"/>
  <c r="Q84" i="15"/>
  <c r="W46" i="15"/>
  <c r="L205" i="15"/>
  <c r="J63" i="15"/>
  <c r="F125" i="15"/>
  <c r="S54" i="15"/>
  <c r="T169" i="15"/>
  <c r="P57" i="15"/>
  <c r="D126" i="15"/>
  <c r="S170" i="15"/>
  <c r="D184" i="15"/>
  <c r="W162" i="15"/>
  <c r="I152" i="15"/>
  <c r="O86" i="15"/>
  <c r="W135" i="15"/>
  <c r="C214" i="15"/>
  <c r="N147" i="15"/>
  <c r="F67" i="15"/>
  <c r="N59" i="15"/>
  <c r="L89" i="15"/>
  <c r="S142" i="15"/>
  <c r="T81" i="15"/>
  <c r="W78" i="15"/>
  <c r="J121" i="15"/>
  <c r="W45" i="15"/>
  <c r="E125" i="15"/>
  <c r="E68" i="15"/>
  <c r="Q56" i="15"/>
  <c r="W74" i="15"/>
  <c r="F211" i="15"/>
  <c r="H209" i="15"/>
  <c r="W48" i="15"/>
  <c r="P145" i="15"/>
  <c r="K120" i="15"/>
  <c r="G124" i="15"/>
  <c r="W47" i="15"/>
  <c r="R143" i="15"/>
  <c r="D69" i="15"/>
  <c r="H123" i="15"/>
  <c r="M88" i="15"/>
  <c r="J91" i="15"/>
  <c r="W76" i="15"/>
  <c r="O58" i="15"/>
  <c r="H153" i="15"/>
  <c r="P173" i="15"/>
  <c r="N175" i="15"/>
  <c r="L61" i="15"/>
  <c r="D97" i="15"/>
  <c r="W189" i="15"/>
  <c r="BC189" i="15" s="1"/>
  <c r="S82" i="15"/>
  <c r="T53" i="15"/>
  <c r="M176" i="15"/>
  <c r="P85" i="15"/>
  <c r="W164" i="15"/>
  <c r="E212" i="15"/>
  <c r="W77" i="15"/>
  <c r="C69" i="15"/>
  <c r="K178" i="15"/>
  <c r="Q172" i="15"/>
  <c r="W163" i="15"/>
  <c r="F95" i="15"/>
  <c r="I208" i="15"/>
  <c r="J207" i="15"/>
  <c r="I64" i="15"/>
  <c r="W132" i="15"/>
  <c r="M204" i="15"/>
  <c r="L119" i="15"/>
  <c r="J179" i="15"/>
  <c r="R171" i="15"/>
  <c r="R55" i="15"/>
  <c r="W75" i="15"/>
  <c r="W136" i="15"/>
  <c r="W133" i="15"/>
  <c r="D213" i="15"/>
  <c r="N117" i="15"/>
  <c r="N87" i="15"/>
  <c r="W106" i="15"/>
  <c r="G154" i="15"/>
  <c r="N203" i="15"/>
  <c r="W193" i="15"/>
  <c r="O146" i="15"/>
  <c r="W165" i="15"/>
  <c r="K150" i="15"/>
  <c r="Q144" i="15"/>
  <c r="R199" i="15"/>
  <c r="U140" i="15"/>
  <c r="U52" i="15"/>
  <c r="T197" i="15"/>
  <c r="T141" i="15"/>
  <c r="T111" i="15"/>
  <c r="D156" i="15"/>
  <c r="P115" i="15"/>
  <c r="V139" i="15"/>
  <c r="U110" i="15"/>
  <c r="J151" i="15"/>
  <c r="W134" i="15"/>
  <c r="R113" i="15"/>
  <c r="M148" i="15"/>
  <c r="S112" i="15"/>
  <c r="K90" i="15"/>
  <c r="W161" i="15"/>
  <c r="W104" i="15"/>
  <c r="W190" i="15"/>
  <c r="W103" i="15"/>
  <c r="W105" i="15"/>
  <c r="H65" i="15"/>
  <c r="M60" i="15"/>
  <c r="O202" i="15"/>
  <c r="E184" i="15"/>
  <c r="W107" i="15"/>
  <c r="W192" i="15"/>
  <c r="G66" i="15"/>
  <c r="I92" i="15"/>
  <c r="W194" i="15"/>
  <c r="Q200" i="15"/>
  <c r="O116" i="15"/>
  <c r="L177" i="15"/>
  <c r="K206" i="15"/>
  <c r="E155" i="15"/>
  <c r="I180" i="15"/>
  <c r="L149" i="15"/>
  <c r="K62" i="15"/>
  <c r="H93" i="15"/>
  <c r="F155" i="15"/>
  <c r="Q114" i="15"/>
  <c r="G182" i="15"/>
  <c r="O174" i="15"/>
  <c r="P201" i="15"/>
  <c r="M118" i="15"/>
  <c r="R83" i="15"/>
  <c r="S198" i="15"/>
  <c r="V73" i="15"/>
  <c r="BB73" i="15" s="1"/>
  <c r="V51" i="15"/>
  <c r="W50" i="15"/>
  <c r="W138" i="15"/>
  <c r="X137" i="15"/>
  <c r="V102" i="15"/>
  <c r="BB102" i="15" s="1"/>
  <c r="V109" i="15"/>
  <c r="W108" i="15"/>
  <c r="V131" i="15"/>
  <c r="V44" i="15"/>
  <c r="V195" i="15"/>
  <c r="U196" i="15"/>
  <c r="U80" i="15"/>
  <c r="V79" i="15"/>
  <c r="V167" i="15"/>
  <c r="W166" i="15"/>
  <c r="W160" i="15"/>
  <c r="BC160" i="15" s="1"/>
  <c r="U81" i="15" l="1"/>
  <c r="G183" i="15"/>
  <c r="K207" i="15"/>
  <c r="H66" i="15"/>
  <c r="U197" i="15"/>
  <c r="W139" i="15"/>
  <c r="P116" i="15"/>
  <c r="T112" i="15"/>
  <c r="L62" i="15"/>
  <c r="P174" i="15"/>
  <c r="O59" i="15"/>
  <c r="J92" i="15"/>
  <c r="H124" i="15"/>
  <c r="R144" i="15"/>
  <c r="G125" i="15"/>
  <c r="P146" i="15"/>
  <c r="H210" i="15"/>
  <c r="X74" i="15"/>
  <c r="E69" i="15"/>
  <c r="S143" i="15"/>
  <c r="F126" i="15"/>
  <c r="L206" i="15"/>
  <c r="P202" i="15"/>
  <c r="K63" i="15"/>
  <c r="O117" i="15"/>
  <c r="X107" i="15"/>
  <c r="V168" i="15"/>
  <c r="V110" i="15"/>
  <c r="S199" i="15"/>
  <c r="H94" i="15"/>
  <c r="L178" i="15"/>
  <c r="I93" i="15"/>
  <c r="X192" i="15"/>
  <c r="M61" i="15"/>
  <c r="X105" i="15"/>
  <c r="X190" i="15"/>
  <c r="X161" i="15"/>
  <c r="S113" i="15"/>
  <c r="R114" i="15"/>
  <c r="J152" i="15"/>
  <c r="V140" i="15"/>
  <c r="T198" i="15"/>
  <c r="U141" i="15"/>
  <c r="Q145" i="15"/>
  <c r="X165" i="15"/>
  <c r="X193" i="15"/>
  <c r="G155" i="15"/>
  <c r="N88" i="15"/>
  <c r="D214" i="15"/>
  <c r="X136" i="15"/>
  <c r="R56" i="15"/>
  <c r="J180" i="15"/>
  <c r="M205" i="15"/>
  <c r="I65" i="15"/>
  <c r="I209" i="15"/>
  <c r="X163" i="15"/>
  <c r="K179" i="15"/>
  <c r="X77" i="15"/>
  <c r="X164" i="15"/>
  <c r="M177" i="15"/>
  <c r="S83" i="15"/>
  <c r="X45" i="15"/>
  <c r="X78" i="15"/>
  <c r="N60" i="15"/>
  <c r="N148" i="15"/>
  <c r="X135" i="15"/>
  <c r="I153" i="15"/>
  <c r="D185" i="15"/>
  <c r="D127" i="15"/>
  <c r="T170" i="15"/>
  <c r="Q85" i="15"/>
  <c r="G95" i="15"/>
  <c r="X49" i="15"/>
  <c r="I123" i="15"/>
  <c r="H182" i="15"/>
  <c r="U169" i="15"/>
  <c r="M119" i="15"/>
  <c r="O175" i="15"/>
  <c r="Q115" i="15"/>
  <c r="L150" i="15"/>
  <c r="E156" i="15"/>
  <c r="Q201" i="15"/>
  <c r="E185" i="15"/>
  <c r="V52" i="15"/>
  <c r="X189" i="15"/>
  <c r="BD189" i="15" s="1"/>
  <c r="D98" i="15"/>
  <c r="N176" i="15"/>
  <c r="H154" i="15"/>
  <c r="X76" i="15"/>
  <c r="M89" i="15"/>
  <c r="X47" i="15"/>
  <c r="K121" i="15"/>
  <c r="X48" i="15"/>
  <c r="F212" i="15"/>
  <c r="Q57" i="15"/>
  <c r="E126" i="15"/>
  <c r="T82" i="15"/>
  <c r="J64" i="15"/>
  <c r="R84" i="15"/>
  <c r="F156" i="15"/>
  <c r="I181" i="15"/>
  <c r="X194" i="15"/>
  <c r="G67" i="15"/>
  <c r="O203" i="15"/>
  <c r="X103" i="15"/>
  <c r="X104" i="15"/>
  <c r="K91" i="15"/>
  <c r="M149" i="15"/>
  <c r="X134" i="15"/>
  <c r="U111" i="15"/>
  <c r="T142" i="15"/>
  <c r="U53" i="15"/>
  <c r="R200" i="15"/>
  <c r="K151" i="15"/>
  <c r="O147" i="15"/>
  <c r="N204" i="15"/>
  <c r="X106" i="15"/>
  <c r="N118" i="15"/>
  <c r="X133" i="15"/>
  <c r="X75" i="15"/>
  <c r="R172" i="15"/>
  <c r="L120" i="15"/>
  <c r="X132" i="15"/>
  <c r="J208" i="15"/>
  <c r="F96" i="15"/>
  <c r="Q173" i="15"/>
  <c r="E213" i="15"/>
  <c r="P86" i="15"/>
  <c r="T54" i="15"/>
  <c r="J122" i="15"/>
  <c r="L90" i="15"/>
  <c r="F68" i="15"/>
  <c r="O87" i="15"/>
  <c r="X162" i="15"/>
  <c r="S171" i="15"/>
  <c r="P58" i="15"/>
  <c r="S55" i="15"/>
  <c r="X46" i="15"/>
  <c r="X191" i="15"/>
  <c r="G211" i="15"/>
  <c r="E97" i="15"/>
  <c r="F184" i="15"/>
  <c r="W73" i="15"/>
  <c r="BC73" i="15" s="1"/>
  <c r="X160" i="15"/>
  <c r="BD160" i="15" s="1"/>
  <c r="W167" i="15"/>
  <c r="X166" i="15"/>
  <c r="W131" i="15"/>
  <c r="W102" i="15"/>
  <c r="BC102" i="15" s="1"/>
  <c r="W51" i="15"/>
  <c r="X50" i="15"/>
  <c r="W195" i="15"/>
  <c r="V196" i="15"/>
  <c r="W79" i="15"/>
  <c r="V80" i="15"/>
  <c r="W44" i="15"/>
  <c r="W109" i="15"/>
  <c r="X108" i="15"/>
  <c r="Y137" i="15"/>
  <c r="X138" i="15"/>
  <c r="V81" i="15" l="1"/>
  <c r="W110" i="15"/>
  <c r="V197" i="15"/>
  <c r="X139" i="15"/>
  <c r="F69" i="15"/>
  <c r="J123" i="15"/>
  <c r="P87" i="15"/>
  <c r="Y76" i="15"/>
  <c r="N177" i="15"/>
  <c r="V53" i="15"/>
  <c r="Q116" i="15"/>
  <c r="M120" i="15"/>
  <c r="H183" i="15"/>
  <c r="Y49" i="15"/>
  <c r="Q86" i="15"/>
  <c r="I154" i="15"/>
  <c r="N149" i="15"/>
  <c r="Y78" i="15"/>
  <c r="S84" i="15"/>
  <c r="Y164" i="15"/>
  <c r="K180" i="15"/>
  <c r="I210" i="15"/>
  <c r="M206" i="15"/>
  <c r="R57" i="15"/>
  <c r="G156" i="15"/>
  <c r="Y165" i="15"/>
  <c r="U142" i="15"/>
  <c r="V141" i="15"/>
  <c r="R115" i="15"/>
  <c r="Y161" i="15"/>
  <c r="Y105" i="15"/>
  <c r="Y192" i="15"/>
  <c r="L179" i="15"/>
  <c r="S200" i="15"/>
  <c r="Y107" i="15"/>
  <c r="K64" i="15"/>
  <c r="L207" i="15"/>
  <c r="S144" i="15"/>
  <c r="Y74" i="15"/>
  <c r="P147" i="15"/>
  <c r="R145" i="15"/>
  <c r="J93" i="15"/>
  <c r="P175" i="15"/>
  <c r="T113" i="15"/>
  <c r="W140" i="15"/>
  <c r="K208" i="15"/>
  <c r="E98" i="15"/>
  <c r="S56" i="15"/>
  <c r="O88" i="15"/>
  <c r="Q174" i="15"/>
  <c r="L121" i="15"/>
  <c r="N119" i="15"/>
  <c r="K152" i="15"/>
  <c r="U112" i="15"/>
  <c r="Y104" i="15"/>
  <c r="Y194" i="15"/>
  <c r="J65" i="15"/>
  <c r="F213" i="15"/>
  <c r="Y191" i="15"/>
  <c r="S172" i="15"/>
  <c r="J209" i="15"/>
  <c r="Y75" i="15"/>
  <c r="N205" i="15"/>
  <c r="U54" i="15"/>
  <c r="M150" i="15"/>
  <c r="O204" i="15"/>
  <c r="E127" i="15"/>
  <c r="K122" i="15"/>
  <c r="W52" i="15"/>
  <c r="W168" i="15"/>
  <c r="L91" i="15"/>
  <c r="T55" i="15"/>
  <c r="E214" i="15"/>
  <c r="M90" i="15"/>
  <c r="H155" i="15"/>
  <c r="Q202" i="15"/>
  <c r="L151" i="15"/>
  <c r="O176" i="15"/>
  <c r="U170" i="15"/>
  <c r="I124" i="15"/>
  <c r="G96" i="15"/>
  <c r="T171" i="15"/>
  <c r="Y135" i="15"/>
  <c r="N61" i="15"/>
  <c r="Y45" i="15"/>
  <c r="M178" i="15"/>
  <c r="Y77" i="15"/>
  <c r="Y163" i="15"/>
  <c r="I66" i="15"/>
  <c r="J181" i="15"/>
  <c r="Y136" i="15"/>
  <c r="N89" i="15"/>
  <c r="Y193" i="15"/>
  <c r="Q146" i="15"/>
  <c r="T199" i="15"/>
  <c r="J153" i="15"/>
  <c r="S114" i="15"/>
  <c r="Y190" i="15"/>
  <c r="M62" i="15"/>
  <c r="I94" i="15"/>
  <c r="H95" i="15"/>
  <c r="V169" i="15"/>
  <c r="O118" i="15"/>
  <c r="P203" i="15"/>
  <c r="F127" i="15"/>
  <c r="H211" i="15"/>
  <c r="G126" i="15"/>
  <c r="H125" i="15"/>
  <c r="O60" i="15"/>
  <c r="L63" i="15"/>
  <c r="P117" i="15"/>
  <c r="H67" i="15"/>
  <c r="G184" i="15"/>
  <c r="F185" i="15"/>
  <c r="G212" i="15"/>
  <c r="Y46" i="15"/>
  <c r="P59" i="15"/>
  <c r="Y162" i="15"/>
  <c r="F97" i="15"/>
  <c r="Y132" i="15"/>
  <c r="R173" i="15"/>
  <c r="Y133" i="15"/>
  <c r="Y106" i="15"/>
  <c r="O148" i="15"/>
  <c r="R201" i="15"/>
  <c r="T143" i="15"/>
  <c r="Y134" i="15"/>
  <c r="K92" i="15"/>
  <c r="Y103" i="15"/>
  <c r="G68" i="15"/>
  <c r="I182" i="15"/>
  <c r="R85" i="15"/>
  <c r="T83" i="15"/>
  <c r="Q58" i="15"/>
  <c r="Y48" i="15"/>
  <c r="Y47" i="15"/>
  <c r="Y189" i="15"/>
  <c r="BE189" i="15" s="1"/>
  <c r="V111" i="15"/>
  <c r="U198" i="15"/>
  <c r="U82" i="15"/>
  <c r="X51" i="15"/>
  <c r="Y50" i="15"/>
  <c r="X131" i="15"/>
  <c r="Y160" i="15"/>
  <c r="BE160" i="15" s="1"/>
  <c r="Y138" i="15"/>
  <c r="Z137" i="15"/>
  <c r="X44" i="15"/>
  <c r="X109" i="15"/>
  <c r="Y108" i="15"/>
  <c r="X167" i="15"/>
  <c r="Y166" i="15"/>
  <c r="X73" i="15"/>
  <c r="BD73" i="15" s="1"/>
  <c r="W80" i="15"/>
  <c r="X79" i="15"/>
  <c r="W196" i="15"/>
  <c r="X195" i="15"/>
  <c r="X102" i="15"/>
  <c r="BD102" i="15" s="1"/>
  <c r="W197" i="15" l="1"/>
  <c r="Z48" i="15"/>
  <c r="I183" i="15"/>
  <c r="Z134" i="15"/>
  <c r="R174" i="15"/>
  <c r="F98" i="15"/>
  <c r="G213" i="15"/>
  <c r="O61" i="15"/>
  <c r="G127" i="15"/>
  <c r="T172" i="15"/>
  <c r="O177" i="15"/>
  <c r="O205" i="15"/>
  <c r="U55" i="15"/>
  <c r="Z75" i="15"/>
  <c r="S173" i="15"/>
  <c r="F214" i="15"/>
  <c r="Z194" i="15"/>
  <c r="W81" i="15"/>
  <c r="Y139" i="15"/>
  <c r="X52" i="15"/>
  <c r="Z189" i="15"/>
  <c r="BF189" i="15" s="1"/>
  <c r="Z47" i="15"/>
  <c r="Q59" i="15"/>
  <c r="R86" i="15"/>
  <c r="G69" i="15"/>
  <c r="K93" i="15"/>
  <c r="T144" i="15"/>
  <c r="O149" i="15"/>
  <c r="Z133" i="15"/>
  <c r="Z132" i="15"/>
  <c r="Z162" i="15"/>
  <c r="Z46" i="15"/>
  <c r="H68" i="15"/>
  <c r="L64" i="15"/>
  <c r="H126" i="15"/>
  <c r="H212" i="15"/>
  <c r="G97" i="15"/>
  <c r="U171" i="15"/>
  <c r="L152" i="15"/>
  <c r="M151" i="15"/>
  <c r="N206" i="15"/>
  <c r="J210" i="15"/>
  <c r="Z191" i="15"/>
  <c r="J66" i="15"/>
  <c r="Z104" i="15"/>
  <c r="K153" i="15"/>
  <c r="L122" i="15"/>
  <c r="O89" i="15"/>
  <c r="M207" i="15"/>
  <c r="K181" i="15"/>
  <c r="S85" i="15"/>
  <c r="N150" i="15"/>
  <c r="P204" i="15"/>
  <c r="V170" i="15"/>
  <c r="I95" i="15"/>
  <c r="Z190" i="15"/>
  <c r="J154" i="15"/>
  <c r="Q147" i="15"/>
  <c r="N90" i="15"/>
  <c r="J182" i="15"/>
  <c r="Z163" i="15"/>
  <c r="M179" i="15"/>
  <c r="N62" i="15"/>
  <c r="H156" i="15"/>
  <c r="L92" i="15"/>
  <c r="W53" i="15"/>
  <c r="K123" i="15"/>
  <c r="K209" i="15"/>
  <c r="T114" i="15"/>
  <c r="J94" i="15"/>
  <c r="P148" i="15"/>
  <c r="S145" i="15"/>
  <c r="K65" i="15"/>
  <c r="S201" i="15"/>
  <c r="Z192" i="15"/>
  <c r="Z161" i="15"/>
  <c r="V142" i="15"/>
  <c r="Z165" i="15"/>
  <c r="Q87" i="15"/>
  <c r="H184" i="15"/>
  <c r="Q117" i="15"/>
  <c r="V54" i="15"/>
  <c r="Z76" i="15"/>
  <c r="J124" i="15"/>
  <c r="X140" i="15"/>
  <c r="W111" i="15"/>
  <c r="U199" i="15"/>
  <c r="Z103" i="15"/>
  <c r="Z106" i="15"/>
  <c r="G185" i="15"/>
  <c r="N120" i="15"/>
  <c r="Q175" i="15"/>
  <c r="S57" i="15"/>
  <c r="R58" i="15"/>
  <c r="I211" i="15"/>
  <c r="Z164" i="15"/>
  <c r="Z78" i="15"/>
  <c r="I155" i="15"/>
  <c r="X110" i="15"/>
  <c r="T84" i="15"/>
  <c r="R202" i="15"/>
  <c r="P60" i="15"/>
  <c r="P118" i="15"/>
  <c r="I125" i="15"/>
  <c r="Q203" i="15"/>
  <c r="U113" i="15"/>
  <c r="X168" i="15"/>
  <c r="U83" i="15"/>
  <c r="V112" i="15"/>
  <c r="O119" i="15"/>
  <c r="H96" i="15"/>
  <c r="M63" i="15"/>
  <c r="S115" i="15"/>
  <c r="T200" i="15"/>
  <c r="Z193" i="15"/>
  <c r="Z136" i="15"/>
  <c r="I67" i="15"/>
  <c r="Z77" i="15"/>
  <c r="Z45" i="15"/>
  <c r="Z135" i="15"/>
  <c r="M91" i="15"/>
  <c r="T56" i="15"/>
  <c r="W169" i="15"/>
  <c r="W141" i="15"/>
  <c r="P176" i="15"/>
  <c r="R146" i="15"/>
  <c r="Z74" i="15"/>
  <c r="L208" i="15"/>
  <c r="Z107" i="15"/>
  <c r="L180" i="15"/>
  <c r="Z105" i="15"/>
  <c r="R116" i="15"/>
  <c r="U143" i="15"/>
  <c r="Z49" i="15"/>
  <c r="M121" i="15"/>
  <c r="N178" i="15"/>
  <c r="P88" i="15"/>
  <c r="V198" i="15"/>
  <c r="V82" i="15"/>
  <c r="Y195" i="15"/>
  <c r="X196" i="15"/>
  <c r="Y109" i="15"/>
  <c r="Z108" i="15"/>
  <c r="Z138" i="15"/>
  <c r="AA137" i="15"/>
  <c r="Y73" i="15"/>
  <c r="BE73" i="15" s="1"/>
  <c r="Y131" i="15"/>
  <c r="Y102" i="15"/>
  <c r="BE102" i="15" s="1"/>
  <c r="X80" i="15"/>
  <c r="Y79" i="15"/>
  <c r="Z166" i="15"/>
  <c r="Y167" i="15"/>
  <c r="Z160" i="15"/>
  <c r="BF160" i="15" s="1"/>
  <c r="Y51" i="15"/>
  <c r="Z50" i="15"/>
  <c r="Y44" i="15"/>
  <c r="V83" i="15" l="1"/>
  <c r="R117" i="15"/>
  <c r="W142" i="15"/>
  <c r="N121" i="15"/>
  <c r="X81" i="15"/>
  <c r="X197" i="15"/>
  <c r="P89" i="15"/>
  <c r="M122" i="15"/>
  <c r="T57" i="15"/>
  <c r="AA135" i="15"/>
  <c r="AA77" i="15"/>
  <c r="AA136" i="15"/>
  <c r="T201" i="15"/>
  <c r="M64" i="15"/>
  <c r="O120" i="15"/>
  <c r="U114" i="15"/>
  <c r="I126" i="15"/>
  <c r="P61" i="15"/>
  <c r="T85" i="15"/>
  <c r="U200" i="15"/>
  <c r="X141" i="15"/>
  <c r="AA76" i="15"/>
  <c r="Q118" i="15"/>
  <c r="Q88" i="15"/>
  <c r="V143" i="15"/>
  <c r="AA192" i="15"/>
  <c r="K66" i="15"/>
  <c r="P149" i="15"/>
  <c r="T115" i="15"/>
  <c r="K124" i="15"/>
  <c r="L93" i="15"/>
  <c r="O90" i="15"/>
  <c r="K154" i="15"/>
  <c r="J67" i="15"/>
  <c r="J211" i="15"/>
  <c r="M152" i="15"/>
  <c r="U172" i="15"/>
  <c r="H213" i="15"/>
  <c r="L65" i="15"/>
  <c r="Y140" i="15"/>
  <c r="L209" i="15"/>
  <c r="V113" i="15"/>
  <c r="I212" i="15"/>
  <c r="AA106" i="15"/>
  <c r="J183" i="15"/>
  <c r="AA190" i="15"/>
  <c r="N151" i="15"/>
  <c r="AA133" i="15"/>
  <c r="T145" i="15"/>
  <c r="Q60" i="15"/>
  <c r="W82" i="15"/>
  <c r="AA194" i="15"/>
  <c r="S174" i="15"/>
  <c r="U56" i="15"/>
  <c r="G214" i="15"/>
  <c r="R175" i="15"/>
  <c r="I184" i="15"/>
  <c r="Y168" i="15"/>
  <c r="Z139" i="15"/>
  <c r="V199" i="15"/>
  <c r="U144" i="15"/>
  <c r="AA105" i="15"/>
  <c r="AA107" i="15"/>
  <c r="AA74" i="15"/>
  <c r="P177" i="15"/>
  <c r="U84" i="15"/>
  <c r="X169" i="15"/>
  <c r="I156" i="15"/>
  <c r="AA164" i="15"/>
  <c r="R59" i="15"/>
  <c r="Q176" i="15"/>
  <c r="AA103" i="15"/>
  <c r="N63" i="15"/>
  <c r="AA163" i="15"/>
  <c r="N91" i="15"/>
  <c r="J155" i="15"/>
  <c r="I96" i="15"/>
  <c r="P205" i="15"/>
  <c r="S86" i="15"/>
  <c r="M208" i="15"/>
  <c r="AA46" i="15"/>
  <c r="AA132" i="15"/>
  <c r="O150" i="15"/>
  <c r="K94" i="15"/>
  <c r="R87" i="15"/>
  <c r="AA47" i="15"/>
  <c r="AA75" i="15"/>
  <c r="O206" i="15"/>
  <c r="T173" i="15"/>
  <c r="O62" i="15"/>
  <c r="AA134" i="15"/>
  <c r="AA48" i="15"/>
  <c r="Y52" i="15"/>
  <c r="Y110" i="15"/>
  <c r="L181" i="15"/>
  <c r="R147" i="15"/>
  <c r="AA78" i="15"/>
  <c r="S58" i="15"/>
  <c r="M180" i="15"/>
  <c r="Q148" i="15"/>
  <c r="V171" i="15"/>
  <c r="K182" i="15"/>
  <c r="AA162" i="15"/>
  <c r="O178" i="15"/>
  <c r="N179" i="15"/>
  <c r="AA49" i="15"/>
  <c r="W170" i="15"/>
  <c r="M92" i="15"/>
  <c r="AA45" i="15"/>
  <c r="I68" i="15"/>
  <c r="AA193" i="15"/>
  <c r="S116" i="15"/>
  <c r="H97" i="15"/>
  <c r="Q204" i="15"/>
  <c r="P119" i="15"/>
  <c r="R203" i="15"/>
  <c r="X111" i="15"/>
  <c r="W112" i="15"/>
  <c r="J125" i="15"/>
  <c r="V55" i="15"/>
  <c r="H185" i="15"/>
  <c r="AA165" i="15"/>
  <c r="AA161" i="15"/>
  <c r="S202" i="15"/>
  <c r="S146" i="15"/>
  <c r="J95" i="15"/>
  <c r="K210" i="15"/>
  <c r="W54" i="15"/>
  <c r="L123" i="15"/>
  <c r="AA104" i="15"/>
  <c r="AA191" i="15"/>
  <c r="N207" i="15"/>
  <c r="L153" i="15"/>
  <c r="G98" i="15"/>
  <c r="H127" i="15"/>
  <c r="H69" i="15"/>
  <c r="AA189" i="15"/>
  <c r="BG189" i="15" s="1"/>
  <c r="X53" i="15"/>
  <c r="W198" i="15"/>
  <c r="Z167" i="15"/>
  <c r="AA166" i="15"/>
  <c r="Z102" i="15"/>
  <c r="BF102" i="15" s="1"/>
  <c r="Y196" i="15"/>
  <c r="Z195" i="15"/>
  <c r="Z44" i="15"/>
  <c r="AA160" i="15"/>
  <c r="BG160" i="15" s="1"/>
  <c r="Y80" i="15"/>
  <c r="Z79" i="15"/>
  <c r="Z131" i="15"/>
  <c r="Z109" i="15"/>
  <c r="AA108" i="15"/>
  <c r="AA50" i="15"/>
  <c r="Z51" i="15"/>
  <c r="Z73" i="15"/>
  <c r="BF73" i="15" s="1"/>
  <c r="AA138" i="15"/>
  <c r="AB137" i="15"/>
  <c r="L154" i="15" l="1"/>
  <c r="K211" i="15"/>
  <c r="J126" i="15"/>
  <c r="AB193" i="15"/>
  <c r="S59" i="15"/>
  <c r="T174" i="15"/>
  <c r="R60" i="15"/>
  <c r="U85" i="15"/>
  <c r="AB105" i="15"/>
  <c r="V200" i="15"/>
  <c r="I185" i="15"/>
  <c r="Y141" i="15"/>
  <c r="M153" i="15"/>
  <c r="K125" i="15"/>
  <c r="AB192" i="15"/>
  <c r="AB76" i="15"/>
  <c r="P62" i="15"/>
  <c r="AB136" i="15"/>
  <c r="M123" i="15"/>
  <c r="X54" i="15"/>
  <c r="AB48" i="15"/>
  <c r="R88" i="15"/>
  <c r="O151" i="15"/>
  <c r="AB46" i="15"/>
  <c r="S87" i="15"/>
  <c r="I97" i="15"/>
  <c r="N92" i="15"/>
  <c r="N64" i="15"/>
  <c r="Y169" i="15"/>
  <c r="S175" i="15"/>
  <c r="W83" i="15"/>
  <c r="T146" i="15"/>
  <c r="N152" i="15"/>
  <c r="J184" i="15"/>
  <c r="N122" i="15"/>
  <c r="R118" i="15"/>
  <c r="AB191" i="15"/>
  <c r="S147" i="15"/>
  <c r="AB161" i="15"/>
  <c r="X112" i="15"/>
  <c r="H98" i="15"/>
  <c r="W171" i="15"/>
  <c r="Q149" i="15"/>
  <c r="Y111" i="15"/>
  <c r="AB75" i="15"/>
  <c r="AB74" i="15"/>
  <c r="AB106" i="15"/>
  <c r="V114" i="15"/>
  <c r="H214" i="15"/>
  <c r="J68" i="15"/>
  <c r="O91" i="15"/>
  <c r="P150" i="15"/>
  <c r="Q89" i="15"/>
  <c r="U201" i="15"/>
  <c r="U115" i="15"/>
  <c r="M65" i="15"/>
  <c r="AB135" i="15"/>
  <c r="X198" i="15"/>
  <c r="AA139" i="15"/>
  <c r="Y81" i="15"/>
  <c r="Y197" i="15"/>
  <c r="Z110" i="15"/>
  <c r="AB189" i="15"/>
  <c r="BH189" i="15" s="1"/>
  <c r="N208" i="15"/>
  <c r="AB104" i="15"/>
  <c r="W55" i="15"/>
  <c r="J96" i="15"/>
  <c r="S203" i="15"/>
  <c r="AB165" i="15"/>
  <c r="V56" i="15"/>
  <c r="W113" i="15"/>
  <c r="R204" i="15"/>
  <c r="Q205" i="15"/>
  <c r="S117" i="15"/>
  <c r="I69" i="15"/>
  <c r="M93" i="15"/>
  <c r="AB49" i="15"/>
  <c r="AB162" i="15"/>
  <c r="V172" i="15"/>
  <c r="M181" i="15"/>
  <c r="AB78" i="15"/>
  <c r="L182" i="15"/>
  <c r="O63" i="15"/>
  <c r="O207" i="15"/>
  <c r="Q177" i="15"/>
  <c r="AB164" i="15"/>
  <c r="X170" i="15"/>
  <c r="P178" i="15"/>
  <c r="AB107" i="15"/>
  <c r="U145" i="15"/>
  <c r="R176" i="15"/>
  <c r="I213" i="15"/>
  <c r="L210" i="15"/>
  <c r="L66" i="15"/>
  <c r="U173" i="15"/>
  <c r="J212" i="15"/>
  <c r="K155" i="15"/>
  <c r="L94" i="15"/>
  <c r="T116" i="15"/>
  <c r="K67" i="15"/>
  <c r="V144" i="15"/>
  <c r="Q119" i="15"/>
  <c r="X142" i="15"/>
  <c r="T86" i="15"/>
  <c r="I127" i="15"/>
  <c r="O121" i="15"/>
  <c r="T202" i="15"/>
  <c r="AB77" i="15"/>
  <c r="T58" i="15"/>
  <c r="P90" i="15"/>
  <c r="Z168" i="15"/>
  <c r="L124" i="15"/>
  <c r="P120" i="15"/>
  <c r="AB45" i="15"/>
  <c r="N180" i="15"/>
  <c r="K183" i="15"/>
  <c r="R148" i="15"/>
  <c r="Z52" i="15"/>
  <c r="W199" i="15"/>
  <c r="O179" i="15"/>
  <c r="Y53" i="15"/>
  <c r="AB134" i="15"/>
  <c r="AB47" i="15"/>
  <c r="K95" i="15"/>
  <c r="AB132" i="15"/>
  <c r="M209" i="15"/>
  <c r="P206" i="15"/>
  <c r="J156" i="15"/>
  <c r="AB163" i="15"/>
  <c r="AB103" i="15"/>
  <c r="Z140" i="15"/>
  <c r="U57" i="15"/>
  <c r="AB194" i="15"/>
  <c r="Q61" i="15"/>
  <c r="AB133" i="15"/>
  <c r="AB190" i="15"/>
  <c r="X82" i="15"/>
  <c r="W143" i="15"/>
  <c r="V84" i="15"/>
  <c r="AA73" i="15"/>
  <c r="BG73" i="15" s="1"/>
  <c r="AB108" i="15"/>
  <c r="AA109" i="15"/>
  <c r="AA131" i="15"/>
  <c r="AB160" i="15"/>
  <c r="BH160" i="15" s="1"/>
  <c r="AA195" i="15"/>
  <c r="Z196" i="15"/>
  <c r="AB166" i="15"/>
  <c r="AA167" i="15"/>
  <c r="AB138" i="15"/>
  <c r="AC137" i="15"/>
  <c r="AA79" i="15"/>
  <c r="Z80" i="15"/>
  <c r="AA44" i="15"/>
  <c r="AB50" i="15"/>
  <c r="AA51" i="15"/>
  <c r="AA102" i="15"/>
  <c r="BG102" i="15" s="1"/>
  <c r="M66" i="15" l="1"/>
  <c r="P151" i="15"/>
  <c r="AC75" i="15"/>
  <c r="Q150" i="15"/>
  <c r="AC161" i="15"/>
  <c r="Z81" i="15"/>
  <c r="AA168" i="15"/>
  <c r="Z169" i="15"/>
  <c r="O122" i="15"/>
  <c r="L95" i="15"/>
  <c r="M182" i="15"/>
  <c r="P91" i="15"/>
  <c r="AC77" i="15"/>
  <c r="T87" i="15"/>
  <c r="Q120" i="15"/>
  <c r="K68" i="15"/>
  <c r="J213" i="15"/>
  <c r="L67" i="15"/>
  <c r="I214" i="15"/>
  <c r="U146" i="15"/>
  <c r="P179" i="15"/>
  <c r="AC164" i="15"/>
  <c r="O208" i="15"/>
  <c r="L183" i="15"/>
  <c r="AC162" i="15"/>
  <c r="M94" i="15"/>
  <c r="S118" i="15"/>
  <c r="R205" i="15"/>
  <c r="V57" i="15"/>
  <c r="S204" i="15"/>
  <c r="W56" i="15"/>
  <c r="N209" i="15"/>
  <c r="X199" i="15"/>
  <c r="U202" i="15"/>
  <c r="J69" i="15"/>
  <c r="V115" i="15"/>
  <c r="AC191" i="15"/>
  <c r="AA52" i="15"/>
  <c r="W144" i="15"/>
  <c r="AC190" i="15"/>
  <c r="Q62" i="15"/>
  <c r="U58" i="15"/>
  <c r="AC103" i="15"/>
  <c r="M210" i="15"/>
  <c r="K96" i="15"/>
  <c r="AC134" i="15"/>
  <c r="O180" i="15"/>
  <c r="Z53" i="15"/>
  <c r="K184" i="15"/>
  <c r="AC45" i="15"/>
  <c r="Y198" i="15"/>
  <c r="AC74" i="15"/>
  <c r="N123" i="15"/>
  <c r="N153" i="15"/>
  <c r="W84" i="15"/>
  <c r="Y170" i="15"/>
  <c r="N93" i="15"/>
  <c r="S88" i="15"/>
  <c r="O152" i="15"/>
  <c r="AC48" i="15"/>
  <c r="M124" i="15"/>
  <c r="P63" i="15"/>
  <c r="AC192" i="15"/>
  <c r="M154" i="15"/>
  <c r="AC105" i="15"/>
  <c r="R61" i="15"/>
  <c r="S60" i="15"/>
  <c r="J127" i="15"/>
  <c r="L155" i="15"/>
  <c r="Z197" i="15"/>
  <c r="AA110" i="15"/>
  <c r="L125" i="15"/>
  <c r="T59" i="15"/>
  <c r="T203" i="15"/>
  <c r="X143" i="15"/>
  <c r="V145" i="15"/>
  <c r="T117" i="15"/>
  <c r="K156" i="15"/>
  <c r="U174" i="15"/>
  <c r="L211" i="15"/>
  <c r="R177" i="15"/>
  <c r="AC107" i="15"/>
  <c r="X171" i="15"/>
  <c r="Q178" i="15"/>
  <c r="O64" i="15"/>
  <c r="AC78" i="15"/>
  <c r="V173" i="15"/>
  <c r="AC49" i="15"/>
  <c r="Q206" i="15"/>
  <c r="W114" i="15"/>
  <c r="AC165" i="15"/>
  <c r="J97" i="15"/>
  <c r="AC104" i="15"/>
  <c r="AA140" i="15"/>
  <c r="AC135" i="15"/>
  <c r="U116" i="15"/>
  <c r="Q90" i="15"/>
  <c r="O92" i="15"/>
  <c r="AC106" i="15"/>
  <c r="Y112" i="15"/>
  <c r="W172" i="15"/>
  <c r="X113" i="15"/>
  <c r="S148" i="15"/>
  <c r="AB139" i="15"/>
  <c r="V85" i="15"/>
  <c r="X83" i="15"/>
  <c r="AC133" i="15"/>
  <c r="AC194" i="15"/>
  <c r="Z141" i="15"/>
  <c r="AC163" i="15"/>
  <c r="P207" i="15"/>
  <c r="AC132" i="15"/>
  <c r="AC47" i="15"/>
  <c r="Y54" i="15"/>
  <c r="W200" i="15"/>
  <c r="R149" i="15"/>
  <c r="N181" i="15"/>
  <c r="P121" i="15"/>
  <c r="AC189" i="15"/>
  <c r="BI189" i="15" s="1"/>
  <c r="Z111" i="15"/>
  <c r="Y82" i="15"/>
  <c r="R119" i="15"/>
  <c r="J185" i="15"/>
  <c r="T147" i="15"/>
  <c r="S176" i="15"/>
  <c r="N65" i="15"/>
  <c r="I98" i="15"/>
  <c r="AC46" i="15"/>
  <c r="R89" i="15"/>
  <c r="X55" i="15"/>
  <c r="AC136" i="15"/>
  <c r="AC76" i="15"/>
  <c r="K126" i="15"/>
  <c r="Y142" i="15"/>
  <c r="V201" i="15"/>
  <c r="U86" i="15"/>
  <c r="T175" i="15"/>
  <c r="AC193" i="15"/>
  <c r="K212" i="15"/>
  <c r="AB44" i="15"/>
  <c r="AA196" i="15"/>
  <c r="AB195" i="15"/>
  <c r="AC160" i="15"/>
  <c r="BI160" i="15" s="1"/>
  <c r="AB51" i="15"/>
  <c r="AC50" i="15"/>
  <c r="AB79" i="15"/>
  <c r="AA80" i="15"/>
  <c r="AB167" i="15"/>
  <c r="AC166" i="15"/>
  <c r="AC108" i="15"/>
  <c r="AB109" i="15"/>
  <c r="AB102" i="15"/>
  <c r="BH102" i="15" s="1"/>
  <c r="AD137" i="15"/>
  <c r="AC138" i="15"/>
  <c r="AB131" i="15"/>
  <c r="AB73" i="15"/>
  <c r="BH73" i="15" s="1"/>
  <c r="AB168" i="15" l="1"/>
  <c r="W201" i="15"/>
  <c r="AD47" i="15"/>
  <c r="Z142" i="15"/>
  <c r="V86" i="15"/>
  <c r="AB140" i="15"/>
  <c r="AD135" i="15"/>
  <c r="AD104" i="15"/>
  <c r="AD165" i="15"/>
  <c r="Q207" i="15"/>
  <c r="T204" i="15"/>
  <c r="L126" i="15"/>
  <c r="Z198" i="15"/>
  <c r="L156" i="15"/>
  <c r="S61" i="15"/>
  <c r="AD105" i="15"/>
  <c r="U59" i="15"/>
  <c r="AD190" i="15"/>
  <c r="AA53" i="15"/>
  <c r="AB110" i="15"/>
  <c r="AA81" i="15"/>
  <c r="AD193" i="15"/>
  <c r="U87" i="15"/>
  <c r="Y143" i="15"/>
  <c r="AD76" i="15"/>
  <c r="X56" i="15"/>
  <c r="AD46" i="15"/>
  <c r="N66" i="15"/>
  <c r="T148" i="15"/>
  <c r="R120" i="15"/>
  <c r="Z112" i="15"/>
  <c r="X114" i="15"/>
  <c r="Y113" i="15"/>
  <c r="V174" i="15"/>
  <c r="O65" i="15"/>
  <c r="X172" i="15"/>
  <c r="R178" i="15"/>
  <c r="U175" i="15"/>
  <c r="T118" i="15"/>
  <c r="X144" i="15"/>
  <c r="AD192" i="15"/>
  <c r="M125" i="15"/>
  <c r="O153" i="15"/>
  <c r="N94" i="15"/>
  <c r="W85" i="15"/>
  <c r="N124" i="15"/>
  <c r="Y199" i="15"/>
  <c r="K185" i="15"/>
  <c r="O181" i="15"/>
  <c r="K97" i="15"/>
  <c r="V116" i="15"/>
  <c r="U203" i="15"/>
  <c r="N210" i="15"/>
  <c r="S205" i="15"/>
  <c r="R206" i="15"/>
  <c r="M95" i="15"/>
  <c r="L184" i="15"/>
  <c r="AD164" i="15"/>
  <c r="U147" i="15"/>
  <c r="L68" i="15"/>
  <c r="K69" i="15"/>
  <c r="T88" i="15"/>
  <c r="P92" i="15"/>
  <c r="L96" i="15"/>
  <c r="Z170" i="15"/>
  <c r="Z82" i="15"/>
  <c r="Q151" i="15"/>
  <c r="P152" i="15"/>
  <c r="N182" i="15"/>
  <c r="P208" i="15"/>
  <c r="AD133" i="15"/>
  <c r="Q91" i="15"/>
  <c r="AD189" i="15"/>
  <c r="BJ189" i="15" s="1"/>
  <c r="P122" i="15"/>
  <c r="R150" i="15"/>
  <c r="Y55" i="15"/>
  <c r="AD132" i="15"/>
  <c r="AD163" i="15"/>
  <c r="AD194" i="15"/>
  <c r="X84" i="15"/>
  <c r="O93" i="15"/>
  <c r="U117" i="15"/>
  <c r="AA141" i="15"/>
  <c r="J98" i="15"/>
  <c r="W115" i="15"/>
  <c r="T60" i="15"/>
  <c r="AA111" i="15"/>
  <c r="R62" i="15"/>
  <c r="AD103" i="15"/>
  <c r="Q63" i="15"/>
  <c r="W145" i="15"/>
  <c r="AD191" i="15"/>
  <c r="AB52" i="15"/>
  <c r="AC139" i="15"/>
  <c r="AA197" i="15"/>
  <c r="K213" i="15"/>
  <c r="T176" i="15"/>
  <c r="V202" i="15"/>
  <c r="K127" i="15"/>
  <c r="AD136" i="15"/>
  <c r="R90" i="15"/>
  <c r="S177" i="15"/>
  <c r="Y83" i="15"/>
  <c r="S149" i="15"/>
  <c r="W173" i="15"/>
  <c r="AD106" i="15"/>
  <c r="AD49" i="15"/>
  <c r="AD78" i="15"/>
  <c r="Q179" i="15"/>
  <c r="AD107" i="15"/>
  <c r="L212" i="15"/>
  <c r="V146" i="15"/>
  <c r="M155" i="15"/>
  <c r="P64" i="15"/>
  <c r="AD48" i="15"/>
  <c r="S89" i="15"/>
  <c r="Y171" i="15"/>
  <c r="N154" i="15"/>
  <c r="AD74" i="15"/>
  <c r="AD45" i="15"/>
  <c r="Z54" i="15"/>
  <c r="AD134" i="15"/>
  <c r="M211" i="15"/>
  <c r="X200" i="15"/>
  <c r="W57" i="15"/>
  <c r="V58" i="15"/>
  <c r="S119" i="15"/>
  <c r="AD162" i="15"/>
  <c r="O209" i="15"/>
  <c r="P180" i="15"/>
  <c r="J214" i="15"/>
  <c r="Q121" i="15"/>
  <c r="AD77" i="15"/>
  <c r="M183" i="15"/>
  <c r="O123" i="15"/>
  <c r="AA169" i="15"/>
  <c r="AD161" i="15"/>
  <c r="AD75" i="15"/>
  <c r="M67" i="15"/>
  <c r="AC73" i="15"/>
  <c r="BI73" i="15" s="1"/>
  <c r="AD138" i="15"/>
  <c r="AE137" i="15"/>
  <c r="AC109" i="15"/>
  <c r="AD108" i="15"/>
  <c r="AB80" i="15"/>
  <c r="AC79" i="15"/>
  <c r="AD160" i="15"/>
  <c r="BJ160" i="15" s="1"/>
  <c r="AC44" i="15"/>
  <c r="AC131" i="15"/>
  <c r="AC102" i="15"/>
  <c r="BI102" i="15" s="1"/>
  <c r="AC167" i="15"/>
  <c r="AD166" i="15"/>
  <c r="AC51" i="15"/>
  <c r="AD50" i="15"/>
  <c r="AB196" i="15"/>
  <c r="AC195" i="15"/>
  <c r="O210" i="15" l="1"/>
  <c r="W58" i="15"/>
  <c r="AE78" i="15"/>
  <c r="AE106" i="15"/>
  <c r="R91" i="15"/>
  <c r="T177" i="15"/>
  <c r="AA198" i="15"/>
  <c r="AC140" i="15"/>
  <c r="Q64" i="15"/>
  <c r="P93" i="15"/>
  <c r="U148" i="15"/>
  <c r="V117" i="15"/>
  <c r="O182" i="15"/>
  <c r="W86" i="15"/>
  <c r="AE192" i="15"/>
  <c r="R179" i="15"/>
  <c r="Y114" i="15"/>
  <c r="Z113" i="15"/>
  <c r="T149" i="15"/>
  <c r="AE46" i="15"/>
  <c r="U88" i="15"/>
  <c r="AA82" i="15"/>
  <c r="AE105" i="15"/>
  <c r="AE75" i="15"/>
  <c r="AA170" i="15"/>
  <c r="M184" i="15"/>
  <c r="Q122" i="15"/>
  <c r="M212" i="15"/>
  <c r="Z55" i="15"/>
  <c r="AE74" i="15"/>
  <c r="Y172" i="15"/>
  <c r="AE48" i="15"/>
  <c r="M156" i="15"/>
  <c r="S178" i="15"/>
  <c r="T61" i="15"/>
  <c r="U118" i="15"/>
  <c r="X85" i="15"/>
  <c r="AE163" i="15"/>
  <c r="Y56" i="15"/>
  <c r="P123" i="15"/>
  <c r="AE190" i="15"/>
  <c r="L127" i="15"/>
  <c r="Q208" i="15"/>
  <c r="AE104" i="15"/>
  <c r="AB141" i="15"/>
  <c r="Z143" i="15"/>
  <c r="W202" i="15"/>
  <c r="AB197" i="15"/>
  <c r="AC168" i="15"/>
  <c r="AC110" i="15"/>
  <c r="P181" i="15"/>
  <c r="AE162" i="15"/>
  <c r="V59" i="15"/>
  <c r="X201" i="15"/>
  <c r="L213" i="15"/>
  <c r="Q180" i="15"/>
  <c r="AE49" i="15"/>
  <c r="W174" i="15"/>
  <c r="Y84" i="15"/>
  <c r="AE136" i="15"/>
  <c r="V203" i="15"/>
  <c r="K214" i="15"/>
  <c r="AB53" i="15"/>
  <c r="W146" i="15"/>
  <c r="AE103" i="15"/>
  <c r="AE189" i="15"/>
  <c r="BK189" i="15" s="1"/>
  <c r="Q92" i="15"/>
  <c r="P209" i="15"/>
  <c r="P153" i="15"/>
  <c r="Z83" i="15"/>
  <c r="L97" i="15"/>
  <c r="T89" i="15"/>
  <c r="L69" i="15"/>
  <c r="AE164" i="15"/>
  <c r="M96" i="15"/>
  <c r="S206" i="15"/>
  <c r="U204" i="15"/>
  <c r="K98" i="15"/>
  <c r="N125" i="15"/>
  <c r="N95" i="15"/>
  <c r="M126" i="15"/>
  <c r="X145" i="15"/>
  <c r="U176" i="15"/>
  <c r="X173" i="15"/>
  <c r="V175" i="15"/>
  <c r="X115" i="15"/>
  <c r="R121" i="15"/>
  <c r="N67" i="15"/>
  <c r="X57" i="15"/>
  <c r="Y144" i="15"/>
  <c r="AE193" i="15"/>
  <c r="AB111" i="15"/>
  <c r="AA54" i="15"/>
  <c r="U60" i="15"/>
  <c r="S62" i="15"/>
  <c r="Z199" i="15"/>
  <c r="T205" i="15"/>
  <c r="AE165" i="15"/>
  <c r="AE135" i="15"/>
  <c r="V87" i="15"/>
  <c r="AE47" i="15"/>
  <c r="AC52" i="15"/>
  <c r="AB81" i="15"/>
  <c r="AD139" i="15"/>
  <c r="S120" i="15"/>
  <c r="AE107" i="15"/>
  <c r="S150" i="15"/>
  <c r="AE191" i="15"/>
  <c r="R63" i="15"/>
  <c r="AE133" i="15"/>
  <c r="N183" i="15"/>
  <c r="Q152" i="15"/>
  <c r="Z171" i="15"/>
  <c r="L185" i="15"/>
  <c r="R207" i="15"/>
  <c r="N211" i="15"/>
  <c r="Y200" i="15"/>
  <c r="O154" i="15"/>
  <c r="T119" i="15"/>
  <c r="O66" i="15"/>
  <c r="AE76" i="15"/>
  <c r="AE138" i="15"/>
  <c r="M68" i="15"/>
  <c r="AE161" i="15"/>
  <c r="O124" i="15"/>
  <c r="AE77" i="15"/>
  <c r="AE134" i="15"/>
  <c r="AE45" i="15"/>
  <c r="N155" i="15"/>
  <c r="S90" i="15"/>
  <c r="P65" i="15"/>
  <c r="V147" i="15"/>
  <c r="AA112" i="15"/>
  <c r="W116" i="15"/>
  <c r="AA142" i="15"/>
  <c r="O94" i="15"/>
  <c r="AE194" i="15"/>
  <c r="AE132" i="15"/>
  <c r="R151" i="15"/>
  <c r="AB169" i="15"/>
  <c r="AD131" i="15"/>
  <c r="AD51" i="15"/>
  <c r="AE50" i="15"/>
  <c r="AD44" i="15"/>
  <c r="AC80" i="15"/>
  <c r="AD79" i="15"/>
  <c r="AD102" i="15"/>
  <c r="BJ102" i="15" s="1"/>
  <c r="AC196" i="15"/>
  <c r="AD195" i="15"/>
  <c r="AD167" i="15"/>
  <c r="AE166" i="15"/>
  <c r="AE160" i="15"/>
  <c r="BK160" i="15" s="1"/>
  <c r="AD109" i="15"/>
  <c r="AE108" i="15"/>
  <c r="AD73" i="15"/>
  <c r="BJ73" i="15" s="1"/>
  <c r="AC81" i="15" l="1"/>
  <c r="AA113" i="15"/>
  <c r="P66" i="15"/>
  <c r="Z172" i="15"/>
  <c r="R64" i="15"/>
  <c r="U205" i="15"/>
  <c r="M97" i="15"/>
  <c r="L98" i="15"/>
  <c r="P154" i="15"/>
  <c r="Q93" i="15"/>
  <c r="P124" i="15"/>
  <c r="U119" i="15"/>
  <c r="AC197" i="15"/>
  <c r="O125" i="15"/>
  <c r="M69" i="15"/>
  <c r="O67" i="15"/>
  <c r="O155" i="15"/>
  <c r="N212" i="15"/>
  <c r="S151" i="15"/>
  <c r="S121" i="15"/>
  <c r="AB82" i="15"/>
  <c r="AC53" i="15"/>
  <c r="V88" i="15"/>
  <c r="Z200" i="15"/>
  <c r="U61" i="15"/>
  <c r="AB112" i="15"/>
  <c r="Y145" i="15"/>
  <c r="N68" i="15"/>
  <c r="X116" i="15"/>
  <c r="X174" i="15"/>
  <c r="X146" i="15"/>
  <c r="N96" i="15"/>
  <c r="AB54" i="15"/>
  <c r="V204" i="15"/>
  <c r="Y85" i="15"/>
  <c r="L214" i="15"/>
  <c r="V60" i="15"/>
  <c r="P182" i="15"/>
  <c r="AC169" i="15"/>
  <c r="W203" i="15"/>
  <c r="AB142" i="15"/>
  <c r="Q209" i="15"/>
  <c r="S179" i="15"/>
  <c r="M213" i="15"/>
  <c r="M185" i="15"/>
  <c r="AA83" i="15"/>
  <c r="Z114" i="15"/>
  <c r="R180" i="15"/>
  <c r="W87" i="15"/>
  <c r="V118" i="15"/>
  <c r="P94" i="15"/>
  <c r="AC141" i="15"/>
  <c r="T178" i="15"/>
  <c r="W59" i="15"/>
  <c r="AD110" i="15"/>
  <c r="N184" i="15"/>
  <c r="AE167" i="15"/>
  <c r="AE51" i="15"/>
  <c r="AB170" i="15"/>
  <c r="Q153" i="15"/>
  <c r="S207" i="15"/>
  <c r="T90" i="15"/>
  <c r="Z84" i="15"/>
  <c r="P210" i="15"/>
  <c r="Y57" i="15"/>
  <c r="X86" i="15"/>
  <c r="R152" i="15"/>
  <c r="AA143" i="15"/>
  <c r="N156" i="15"/>
  <c r="O95" i="15"/>
  <c r="W117" i="15"/>
  <c r="V148" i="15"/>
  <c r="S91" i="15"/>
  <c r="AE109" i="15"/>
  <c r="AD168" i="15"/>
  <c r="AD52" i="15"/>
  <c r="AE139" i="15"/>
  <c r="T120" i="15"/>
  <c r="Y201" i="15"/>
  <c r="R208" i="15"/>
  <c r="AD140" i="15"/>
  <c r="T206" i="15"/>
  <c r="S63" i="15"/>
  <c r="AA55" i="15"/>
  <c r="X58" i="15"/>
  <c r="R122" i="15"/>
  <c r="V176" i="15"/>
  <c r="U177" i="15"/>
  <c r="M127" i="15"/>
  <c r="N126" i="15"/>
  <c r="W147" i="15"/>
  <c r="W175" i="15"/>
  <c r="Q181" i="15"/>
  <c r="X202" i="15"/>
  <c r="AC111" i="15"/>
  <c r="AB198" i="15"/>
  <c r="Z144" i="15"/>
  <c r="T62" i="15"/>
  <c r="Y173" i="15"/>
  <c r="Z56" i="15"/>
  <c r="Q123" i="15"/>
  <c r="AA171" i="15"/>
  <c r="U89" i="15"/>
  <c r="T150" i="15"/>
  <c r="Y115" i="15"/>
  <c r="O183" i="15"/>
  <c r="U149" i="15"/>
  <c r="Q65" i="15"/>
  <c r="AA199" i="15"/>
  <c r="R92" i="15"/>
  <c r="O211" i="15"/>
  <c r="AE102" i="15"/>
  <c r="BK102" i="15" s="1"/>
  <c r="AE44" i="15"/>
  <c r="AE131" i="15"/>
  <c r="AE73" i="15"/>
  <c r="BK73" i="15" s="1"/>
  <c r="AD196" i="15"/>
  <c r="AE195" i="15"/>
  <c r="AD80" i="15"/>
  <c r="AE79" i="15"/>
  <c r="O212" i="15" l="1"/>
  <c r="T151" i="15"/>
  <c r="AB199" i="15"/>
  <c r="AA56" i="15"/>
  <c r="AD141" i="15"/>
  <c r="V149" i="15"/>
  <c r="O96" i="15"/>
  <c r="Z85" i="15"/>
  <c r="AB171" i="15"/>
  <c r="N185" i="15"/>
  <c r="V119" i="15"/>
  <c r="R181" i="15"/>
  <c r="W204" i="15"/>
  <c r="P183" i="15"/>
  <c r="Z201" i="15"/>
  <c r="AA200" i="15"/>
  <c r="U150" i="15"/>
  <c r="AA172" i="15"/>
  <c r="Z57" i="15"/>
  <c r="X203" i="15"/>
  <c r="W176" i="15"/>
  <c r="W148" i="15"/>
  <c r="V177" i="15"/>
  <c r="X59" i="15"/>
  <c r="Y202" i="15"/>
  <c r="AD169" i="15"/>
  <c r="AA144" i="15"/>
  <c r="X87" i="15"/>
  <c r="S208" i="15"/>
  <c r="AD111" i="15"/>
  <c r="AA84" i="15"/>
  <c r="V205" i="15"/>
  <c r="AC54" i="15"/>
  <c r="S122" i="15"/>
  <c r="AC198" i="15"/>
  <c r="U120" i="15"/>
  <c r="M98" i="15"/>
  <c r="R65" i="15"/>
  <c r="P67" i="15"/>
  <c r="T207" i="15"/>
  <c r="Y116" i="15"/>
  <c r="U90" i="15"/>
  <c r="T63" i="15"/>
  <c r="Z145" i="15"/>
  <c r="AC112" i="15"/>
  <c r="S64" i="15"/>
  <c r="AE140" i="15"/>
  <c r="AD53" i="15"/>
  <c r="S92" i="15"/>
  <c r="W118" i="15"/>
  <c r="P211" i="15"/>
  <c r="T91" i="15"/>
  <c r="Q154" i="15"/>
  <c r="AE52" i="15"/>
  <c r="AE168" i="15"/>
  <c r="T179" i="15"/>
  <c r="P95" i="15"/>
  <c r="W88" i="15"/>
  <c r="Z115" i="15"/>
  <c r="M214" i="15"/>
  <c r="S180" i="15"/>
  <c r="AB143" i="15"/>
  <c r="AC170" i="15"/>
  <c r="V61" i="15"/>
  <c r="X147" i="15"/>
  <c r="X117" i="15"/>
  <c r="Y146" i="15"/>
  <c r="U62" i="15"/>
  <c r="N213" i="15"/>
  <c r="O68" i="15"/>
  <c r="O126" i="15"/>
  <c r="Q94" i="15"/>
  <c r="AC82" i="15"/>
  <c r="AE80" i="15"/>
  <c r="AC142" i="15"/>
  <c r="Q210" i="15"/>
  <c r="N97" i="15"/>
  <c r="X175" i="15"/>
  <c r="N69" i="15"/>
  <c r="AB113" i="15"/>
  <c r="O156" i="15"/>
  <c r="P125" i="15"/>
  <c r="P155" i="15"/>
  <c r="AD81" i="15"/>
  <c r="AE196" i="15"/>
  <c r="AD197" i="15"/>
  <c r="R93" i="15"/>
  <c r="Q66" i="15"/>
  <c r="O184" i="15"/>
  <c r="Q124" i="15"/>
  <c r="Y174" i="15"/>
  <c r="Q182" i="15"/>
  <c r="N127" i="15"/>
  <c r="U178" i="15"/>
  <c r="R123" i="15"/>
  <c r="R209" i="15"/>
  <c r="T121" i="15"/>
  <c r="AE110" i="15"/>
  <c r="R153" i="15"/>
  <c r="Y58" i="15"/>
  <c r="W60" i="15"/>
  <c r="Y86" i="15"/>
  <c r="AB55" i="15"/>
  <c r="V89" i="15"/>
  <c r="AB83" i="15"/>
  <c r="S152" i="15"/>
  <c r="U206" i="15"/>
  <c r="Z173" i="15"/>
  <c r="AA114" i="15"/>
  <c r="N214" i="15" l="1"/>
  <c r="AC171" i="15"/>
  <c r="AE169" i="15"/>
  <c r="S93" i="15"/>
  <c r="T64" i="15"/>
  <c r="U121" i="15"/>
  <c r="AD112" i="15"/>
  <c r="X60" i="15"/>
  <c r="Z174" i="15"/>
  <c r="S153" i="15"/>
  <c r="V90" i="15"/>
  <c r="Y87" i="15"/>
  <c r="Y59" i="15"/>
  <c r="N98" i="15"/>
  <c r="AE81" i="15"/>
  <c r="W149" i="15"/>
  <c r="X204" i="15"/>
  <c r="AA173" i="15"/>
  <c r="AA201" i="15"/>
  <c r="P184" i="15"/>
  <c r="R182" i="15"/>
  <c r="Z86" i="15"/>
  <c r="V150" i="15"/>
  <c r="AA57" i="15"/>
  <c r="T152" i="15"/>
  <c r="O185" i="15"/>
  <c r="AD198" i="15"/>
  <c r="Q211" i="15"/>
  <c r="Y147" i="15"/>
  <c r="Z116" i="15"/>
  <c r="Q155" i="15"/>
  <c r="AE141" i="15"/>
  <c r="Y117" i="15"/>
  <c r="S123" i="15"/>
  <c r="X88" i="15"/>
  <c r="AE111" i="15"/>
  <c r="R210" i="15"/>
  <c r="U179" i="15"/>
  <c r="Q183" i="15"/>
  <c r="Q125" i="15"/>
  <c r="Q67" i="15"/>
  <c r="AD82" i="15"/>
  <c r="Q95" i="15"/>
  <c r="O69" i="15"/>
  <c r="U63" i="15"/>
  <c r="X118" i="15"/>
  <c r="V62" i="15"/>
  <c r="AB144" i="15"/>
  <c r="W89" i="15"/>
  <c r="T180" i="15"/>
  <c r="AE53" i="15"/>
  <c r="T92" i="15"/>
  <c r="W119" i="15"/>
  <c r="AD54" i="15"/>
  <c r="S65" i="15"/>
  <c r="Z146" i="15"/>
  <c r="U91" i="15"/>
  <c r="P68" i="15"/>
  <c r="AC199" i="15"/>
  <c r="AC55" i="15"/>
  <c r="AA85" i="15"/>
  <c r="S209" i="15"/>
  <c r="AA145" i="15"/>
  <c r="Y203" i="15"/>
  <c r="V178" i="15"/>
  <c r="T122" i="15"/>
  <c r="R124" i="15"/>
  <c r="Y175" i="15"/>
  <c r="R94" i="15"/>
  <c r="P156" i="15"/>
  <c r="O127" i="15"/>
  <c r="X148" i="15"/>
  <c r="S181" i="15"/>
  <c r="P96" i="15"/>
  <c r="P212" i="15"/>
  <c r="AC113" i="15"/>
  <c r="T208" i="15"/>
  <c r="R66" i="15"/>
  <c r="V206" i="15"/>
  <c r="AD170" i="15"/>
  <c r="AE197" i="15"/>
  <c r="P126" i="15"/>
  <c r="AA115" i="15"/>
  <c r="U207" i="15"/>
  <c r="AB84" i="15"/>
  <c r="AB56" i="15"/>
  <c r="W61" i="15"/>
  <c r="R154" i="15"/>
  <c r="AB114" i="15"/>
  <c r="X176" i="15"/>
  <c r="AC143" i="15"/>
  <c r="AC83" i="15"/>
  <c r="W177" i="15"/>
  <c r="Z58" i="15"/>
  <c r="U151" i="15"/>
  <c r="Z202" i="15"/>
  <c r="W205" i="15"/>
  <c r="V120" i="15"/>
  <c r="AB172" i="15"/>
  <c r="O97" i="15"/>
  <c r="AD142" i="15"/>
  <c r="AB200" i="15"/>
  <c r="O213" i="15"/>
  <c r="P69" i="15" l="1"/>
  <c r="T93" i="15"/>
  <c r="V151" i="15"/>
  <c r="O214" i="15"/>
  <c r="AD143" i="15"/>
  <c r="AB173" i="15"/>
  <c r="W206" i="15"/>
  <c r="U152" i="15"/>
  <c r="W178" i="15"/>
  <c r="AC144" i="15"/>
  <c r="AB115" i="15"/>
  <c r="W62" i="15"/>
  <c r="AB85" i="15"/>
  <c r="AA116" i="15"/>
  <c r="AE198" i="15"/>
  <c r="V207" i="15"/>
  <c r="T209" i="15"/>
  <c r="P213" i="15"/>
  <c r="S182" i="15"/>
  <c r="R95" i="15"/>
  <c r="R125" i="15"/>
  <c r="V179" i="15"/>
  <c r="AA146" i="15"/>
  <c r="AA86" i="15"/>
  <c r="AC200" i="15"/>
  <c r="AB145" i="15"/>
  <c r="X119" i="15"/>
  <c r="AD83" i="15"/>
  <c r="Q126" i="15"/>
  <c r="U180" i="15"/>
  <c r="AE112" i="15"/>
  <c r="S124" i="15"/>
  <c r="AE142" i="15"/>
  <c r="Z117" i="15"/>
  <c r="Q212" i="15"/>
  <c r="R183" i="15"/>
  <c r="AA202" i="15"/>
  <c r="X205" i="15"/>
  <c r="AE82" i="15"/>
  <c r="Y88" i="15"/>
  <c r="S154" i="15"/>
  <c r="X61" i="15"/>
  <c r="U122" i="15"/>
  <c r="S94" i="15"/>
  <c r="AC172" i="15"/>
  <c r="Z147" i="15"/>
  <c r="T153" i="15"/>
  <c r="U92" i="15"/>
  <c r="S66" i="15"/>
  <c r="W120" i="15"/>
  <c r="AE54" i="15"/>
  <c r="W90" i="15"/>
  <c r="AA58" i="15"/>
  <c r="Z87" i="15"/>
  <c r="AD55" i="15"/>
  <c r="T181" i="15"/>
  <c r="AB201" i="15"/>
  <c r="O98" i="15"/>
  <c r="V121" i="15"/>
  <c r="Z203" i="15"/>
  <c r="Z59" i="15"/>
  <c r="AC84" i="15"/>
  <c r="X177" i="15"/>
  <c r="R155" i="15"/>
  <c r="AB57" i="15"/>
  <c r="U208" i="15"/>
  <c r="P127" i="15"/>
  <c r="AD171" i="15"/>
  <c r="R67" i="15"/>
  <c r="AC114" i="15"/>
  <c r="P97" i="15"/>
  <c r="X149" i="15"/>
  <c r="Y176" i="15"/>
  <c r="T123" i="15"/>
  <c r="Y204" i="15"/>
  <c r="S210" i="15"/>
  <c r="AC56" i="15"/>
  <c r="V63" i="15"/>
  <c r="U64" i="15"/>
  <c r="Q96" i="15"/>
  <c r="Q68" i="15"/>
  <c r="Q184" i="15"/>
  <c r="R211" i="15"/>
  <c r="X89" i="15"/>
  <c r="Y118" i="15"/>
  <c r="Q156" i="15"/>
  <c r="Y148" i="15"/>
  <c r="AD199" i="15"/>
  <c r="P185" i="15"/>
  <c r="AA174" i="15"/>
  <c r="W150" i="15"/>
  <c r="Y60" i="15"/>
  <c r="V91" i="15"/>
  <c r="Z175" i="15"/>
  <c r="AD113" i="15"/>
  <c r="T65" i="15"/>
  <c r="AE170" i="15"/>
  <c r="W2" i="4"/>
  <c r="X2" i="4"/>
  <c r="Y2" i="4"/>
  <c r="V2" i="4"/>
  <c r="K4" i="27"/>
  <c r="X3" i="4" s="1"/>
  <c r="C4" i="27"/>
  <c r="V3" i="4"/>
  <c r="U3" i="4" s="1"/>
  <c r="J4" i="27"/>
  <c r="W3" i="4" s="1"/>
  <c r="L4" i="27"/>
  <c r="Y3" i="4" s="1"/>
  <c r="M4" i="27"/>
  <c r="C10" i="27"/>
  <c r="B17" i="27"/>
  <c r="B23" i="27"/>
  <c r="C34" i="27"/>
  <c r="C40" i="27"/>
  <c r="B47" i="27"/>
  <c r="C52" i="27"/>
  <c r="C58" i="27"/>
  <c r="C64" i="27"/>
  <c r="C70" i="27"/>
  <c r="C82" i="27"/>
  <c r="C88" i="27"/>
  <c r="C94" i="27"/>
  <c r="C100" i="27"/>
  <c r="C106" i="27"/>
  <c r="C107" i="27" s="1"/>
  <c r="C112" i="27"/>
  <c r="C118" i="27"/>
  <c r="D118" i="27" s="1"/>
  <c r="C124" i="27"/>
  <c r="C130" i="27"/>
  <c r="C131" i="27" s="1"/>
  <c r="C136" i="27"/>
  <c r="C142" i="27"/>
  <c r="D142" i="27" s="1"/>
  <c r="C148" i="27"/>
  <c r="B155" i="27"/>
  <c r="C160" i="27"/>
  <c r="C166" i="27"/>
  <c r="D166" i="27" s="1"/>
  <c r="B173" i="27"/>
  <c r="C178" i="27"/>
  <c r="C190" i="27"/>
  <c r="D190" i="27" s="1"/>
  <c r="D191" i="27" s="1"/>
  <c r="C196" i="27"/>
  <c r="C202" i="27"/>
  <c r="B209" i="27"/>
  <c r="C214" i="27"/>
  <c r="C220" i="27"/>
  <c r="C226" i="27"/>
  <c r="C232" i="27"/>
  <c r="B239" i="27"/>
  <c r="C244" i="27"/>
  <c r="C250" i="27"/>
  <c r="C262" i="27"/>
  <c r="C274" i="27"/>
  <c r="C275" i="27" s="1"/>
  <c r="C286" i="27"/>
  <c r="C298" i="27"/>
  <c r="D298" i="27" s="1"/>
  <c r="C310" i="27"/>
  <c r="C322" i="27"/>
  <c r="C323" i="27" s="1"/>
  <c r="C335" i="27"/>
  <c r="C359" i="27"/>
  <c r="D359" i="27" s="1"/>
  <c r="C371" i="27"/>
  <c r="C372" i="27" s="1"/>
  <c r="C389" i="27"/>
  <c r="C390" i="27" s="1"/>
  <c r="B414" i="27"/>
  <c r="C425" i="27"/>
  <c r="C426" i="27" s="1"/>
  <c r="C437" i="27"/>
  <c r="C438" i="27" s="1"/>
  <c r="B462" i="27"/>
  <c r="B474" i="27"/>
  <c r="C485" i="27"/>
  <c r="C486" i="27" s="1"/>
  <c r="C509" i="27"/>
  <c r="C521" i="27"/>
  <c r="C533" i="27"/>
  <c r="C545" i="27"/>
  <c r="C569" i="27"/>
  <c r="C581" i="27"/>
  <c r="C593" i="27"/>
  <c r="C594" i="27" s="1"/>
  <c r="C605" i="27"/>
  <c r="C606" i="27" s="1"/>
  <c r="C617" i="27"/>
  <c r="C618" i="27" s="1"/>
  <c r="C629" i="27"/>
  <c r="C641" i="27"/>
  <c r="C653" i="27"/>
  <c r="C665" i="27"/>
  <c r="C666" i="27" s="1"/>
  <c r="C671" i="27"/>
  <c r="D671" i="27" s="1"/>
  <c r="E671" i="27" s="1"/>
  <c r="C677" i="27"/>
  <c r="D677" i="27" s="1"/>
  <c r="C689" i="27"/>
  <c r="C701" i="27"/>
  <c r="C713" i="27"/>
  <c r="C714" i="27" s="1"/>
  <c r="C725" i="27"/>
  <c r="D725" i="27" s="1"/>
  <c r="C737" i="27"/>
  <c r="C749" i="27"/>
  <c r="C761" i="27"/>
  <c r="C773" i="27"/>
  <c r="D773" i="27" s="1"/>
  <c r="C785" i="27"/>
  <c r="C797" i="27"/>
  <c r="B810" i="27"/>
  <c r="C821" i="27"/>
  <c r="D821" i="27" s="1"/>
  <c r="C833" i="27"/>
  <c r="C845" i="27"/>
  <c r="B858" i="27"/>
  <c r="C869" i="27"/>
  <c r="D869" i="27" s="1"/>
  <c r="C881" i="27"/>
  <c r="C893" i="27"/>
  <c r="C905" i="27"/>
  <c r="C906" i="27" s="1"/>
  <c r="C917" i="27"/>
  <c r="D917" i="27" s="1"/>
  <c r="C929" i="27"/>
  <c r="C935" i="27"/>
  <c r="B942" i="27"/>
  <c r="C947" i="27"/>
  <c r="C953" i="27"/>
  <c r="C959" i="27"/>
  <c r="B966" i="27"/>
  <c r="B972" i="27"/>
  <c r="C977" i="27"/>
  <c r="D977" i="27" s="1"/>
  <c r="C983" i="27"/>
  <c r="B990" i="27"/>
  <c r="C995" i="27"/>
  <c r="C857" i="27" l="1"/>
  <c r="C858" i="27" s="1"/>
  <c r="B894" i="27"/>
  <c r="B426" i="27"/>
  <c r="B846" i="27"/>
  <c r="C809" i="27"/>
  <c r="C810" i="27" s="1"/>
  <c r="B750" i="27"/>
  <c r="B690" i="27"/>
  <c r="B582" i="27"/>
  <c r="C461" i="27"/>
  <c r="B948" i="27"/>
  <c r="B798" i="27"/>
  <c r="B738" i="27"/>
  <c r="B654" i="27"/>
  <c r="B522" i="27"/>
  <c r="C154" i="27"/>
  <c r="D154" i="27" s="1"/>
  <c r="E154" i="27" s="1"/>
  <c r="B137" i="27"/>
  <c r="B984" i="27"/>
  <c r="C971" i="27"/>
  <c r="D971" i="27" s="1"/>
  <c r="D972" i="27" s="1"/>
  <c r="B594" i="27"/>
  <c r="B534" i="27"/>
  <c r="C473" i="27"/>
  <c r="C474" i="27" s="1"/>
  <c r="B438" i="27"/>
  <c r="B101" i="27"/>
  <c r="B11" i="27"/>
  <c r="Y61" i="15"/>
  <c r="Z60" i="15"/>
  <c r="AD56" i="15"/>
  <c r="S67" i="15"/>
  <c r="AC173" i="15"/>
  <c r="AE83" i="15"/>
  <c r="AB146" i="15"/>
  <c r="V180" i="15"/>
  <c r="B960" i="27"/>
  <c r="E190" i="27"/>
  <c r="F190" i="27" s="1"/>
  <c r="F191" i="27" s="1"/>
  <c r="C172" i="27"/>
  <c r="C173" i="27" s="1"/>
  <c r="B35" i="27"/>
  <c r="C22" i="27"/>
  <c r="AA175" i="15"/>
  <c r="AD200" i="15"/>
  <c r="X90" i="15"/>
  <c r="Q185" i="15"/>
  <c r="Q97" i="15"/>
  <c r="V64" i="15"/>
  <c r="S211" i="15"/>
  <c r="T124" i="15"/>
  <c r="Q213" i="15"/>
  <c r="AE143" i="15"/>
  <c r="AE113" i="15"/>
  <c r="Q127" i="15"/>
  <c r="P214" i="15"/>
  <c r="V208" i="15"/>
  <c r="AA117" i="15"/>
  <c r="W63" i="15"/>
  <c r="AC145" i="15"/>
  <c r="U153" i="15"/>
  <c r="AB174" i="15"/>
  <c r="T94" i="15"/>
  <c r="AB58" i="15"/>
  <c r="AA59" i="15"/>
  <c r="S155" i="15"/>
  <c r="B197" i="27"/>
  <c r="B59" i="27"/>
  <c r="C46" i="27"/>
  <c r="AE171" i="15"/>
  <c r="AD114" i="15"/>
  <c r="V92" i="15"/>
  <c r="X150" i="15"/>
  <c r="AC115" i="15"/>
  <c r="AD172" i="15"/>
  <c r="U209" i="15"/>
  <c r="R156" i="15"/>
  <c r="AC85" i="15"/>
  <c r="Z204" i="15"/>
  <c r="T182" i="15"/>
  <c r="Z88" i="15"/>
  <c r="W91" i="15"/>
  <c r="W121" i="15"/>
  <c r="U93" i="15"/>
  <c r="Z148" i="15"/>
  <c r="S95" i="15"/>
  <c r="X62" i="15"/>
  <c r="Y89" i="15"/>
  <c r="X206" i="15"/>
  <c r="R184" i="15"/>
  <c r="X120" i="15"/>
  <c r="AC201" i="15"/>
  <c r="AA147" i="15"/>
  <c r="R126" i="15"/>
  <c r="T66" i="15"/>
  <c r="Z176" i="15"/>
  <c r="P98" i="15"/>
  <c r="R68" i="15"/>
  <c r="X178" i="15"/>
  <c r="V122" i="15"/>
  <c r="AB202" i="15"/>
  <c r="AE55" i="15"/>
  <c r="T154" i="15"/>
  <c r="U123" i="15"/>
  <c r="AA203" i="15"/>
  <c r="AA87" i="15"/>
  <c r="R96" i="15"/>
  <c r="B702" i="27"/>
  <c r="D665" i="27"/>
  <c r="E665" i="27" s="1"/>
  <c r="C413" i="27"/>
  <c r="D413" i="27" s="1"/>
  <c r="B251" i="27"/>
  <c r="C208" i="27"/>
  <c r="C209" i="27" s="1"/>
  <c r="B89" i="27"/>
  <c r="B71" i="27"/>
  <c r="W151" i="15"/>
  <c r="Y149" i="15"/>
  <c r="Y119" i="15"/>
  <c r="R212" i="15"/>
  <c r="Q69" i="15"/>
  <c r="U65" i="15"/>
  <c r="AC57" i="15"/>
  <c r="Y205" i="15"/>
  <c r="Y177" i="15"/>
  <c r="Z118" i="15"/>
  <c r="S125" i="15"/>
  <c r="U181" i="15"/>
  <c r="AD84" i="15"/>
  <c r="S183" i="15"/>
  <c r="T210" i="15"/>
  <c r="AE199" i="15"/>
  <c r="AB86" i="15"/>
  <c r="AB116" i="15"/>
  <c r="W179" i="15"/>
  <c r="W207" i="15"/>
  <c r="AD144" i="15"/>
  <c r="V152" i="15"/>
  <c r="W4" i="4"/>
  <c r="C215" i="27"/>
  <c r="D214" i="27"/>
  <c r="B215" i="27"/>
  <c r="B978" i="27"/>
  <c r="B906" i="27"/>
  <c r="B714" i="27"/>
  <c r="B606" i="27"/>
  <c r="B954" i="27"/>
  <c r="C941" i="27"/>
  <c r="D941" i="27" s="1"/>
  <c r="E941" i="27" s="1"/>
  <c r="B762" i="27"/>
  <c r="C238" i="27"/>
  <c r="D238" i="27" s="1"/>
  <c r="D239" i="27" s="1"/>
  <c r="B221" i="27"/>
  <c r="B203" i="27"/>
  <c r="B161" i="27"/>
  <c r="B149" i="27"/>
  <c r="B113" i="27"/>
  <c r="C762" i="27"/>
  <c r="D761" i="27"/>
  <c r="E761" i="27" s="1"/>
  <c r="C179" i="27"/>
  <c r="D178" i="27"/>
  <c r="F671" i="27"/>
  <c r="F672" i="27" s="1"/>
  <c r="E672" i="27"/>
  <c r="C35" i="27"/>
  <c r="D34" i="27"/>
  <c r="E34" i="27" s="1"/>
  <c r="F34" i="27" s="1"/>
  <c r="F35" i="27" s="1"/>
  <c r="D995" i="27"/>
  <c r="E995" i="27" s="1"/>
  <c r="F995" i="27" s="1"/>
  <c r="F996" i="27" s="1"/>
  <c r="C996" i="27"/>
  <c r="D672" i="27"/>
  <c r="B179" i="27"/>
  <c r="B996" i="27"/>
  <c r="B672" i="27"/>
  <c r="B360" i="27"/>
  <c r="B323" i="27"/>
  <c r="B245" i="27"/>
  <c r="C143" i="27"/>
  <c r="C119" i="27"/>
  <c r="B65" i="27"/>
  <c r="B5" i="27"/>
  <c r="B930" i="27"/>
  <c r="B882" i="27"/>
  <c r="B834" i="27"/>
  <c r="B786" i="27"/>
  <c r="B486" i="27"/>
  <c r="D473" i="27"/>
  <c r="D474" i="27" s="1"/>
  <c r="B275" i="27"/>
  <c r="B233" i="27"/>
  <c r="C191" i="27"/>
  <c r="B143" i="27"/>
  <c r="D130" i="27"/>
  <c r="D131" i="27" s="1"/>
  <c r="B119" i="27"/>
  <c r="D106" i="27"/>
  <c r="D107" i="27" s="1"/>
  <c r="C750" i="27"/>
  <c r="D749" i="27"/>
  <c r="E749" i="27" s="1"/>
  <c r="C702" i="27"/>
  <c r="D701" i="27"/>
  <c r="D702" i="27" s="1"/>
  <c r="C534" i="27"/>
  <c r="D533" i="27"/>
  <c r="E533" i="27" s="1"/>
  <c r="D82" i="27"/>
  <c r="C83" i="27"/>
  <c r="C984" i="27"/>
  <c r="D983" i="27"/>
  <c r="D953" i="27"/>
  <c r="C954" i="27"/>
  <c r="D569" i="27"/>
  <c r="E569" i="27" s="1"/>
  <c r="C570" i="27"/>
  <c r="C203" i="27"/>
  <c r="D202" i="27"/>
  <c r="D94" i="27"/>
  <c r="E94" i="27" s="1"/>
  <c r="C95" i="27"/>
  <c r="C5" i="27"/>
  <c r="D4" i="27"/>
  <c r="E4" i="27" s="1"/>
  <c r="C930" i="27"/>
  <c r="D929" i="27"/>
  <c r="E929" i="27" s="1"/>
  <c r="C882" i="27"/>
  <c r="D881" i="27"/>
  <c r="D882" i="27" s="1"/>
  <c r="C834" i="27"/>
  <c r="D833" i="27"/>
  <c r="E833" i="27" s="1"/>
  <c r="C786" i="27"/>
  <c r="D785" i="27"/>
  <c r="E785" i="27" s="1"/>
  <c r="D262" i="27"/>
  <c r="E262" i="27" s="1"/>
  <c r="C263" i="27"/>
  <c r="C960" i="27"/>
  <c r="D959" i="27"/>
  <c r="C894" i="27"/>
  <c r="D893" i="27"/>
  <c r="D894" i="27" s="1"/>
  <c r="C846" i="27"/>
  <c r="D845" i="27"/>
  <c r="E845" i="27" s="1"/>
  <c r="C798" i="27"/>
  <c r="D797" i="27"/>
  <c r="E797" i="27" s="1"/>
  <c r="C738" i="27"/>
  <c r="D737" i="27"/>
  <c r="E737" i="27" s="1"/>
  <c r="C690" i="27"/>
  <c r="D689" i="27"/>
  <c r="E689" i="27" s="1"/>
  <c r="C654" i="27"/>
  <c r="D653" i="27"/>
  <c r="E653" i="27" s="1"/>
  <c r="C582" i="27"/>
  <c r="D581" i="27"/>
  <c r="E581" i="27" s="1"/>
  <c r="C522" i="27"/>
  <c r="D521" i="27"/>
  <c r="E521" i="27" s="1"/>
  <c r="D310" i="27"/>
  <c r="D311" i="27" s="1"/>
  <c r="C311" i="27"/>
  <c r="C251" i="27"/>
  <c r="D250" i="27"/>
  <c r="D226" i="27"/>
  <c r="E226" i="27" s="1"/>
  <c r="C227" i="27"/>
  <c r="C71" i="27"/>
  <c r="D70" i="27"/>
  <c r="C11" i="27"/>
  <c r="D10" i="27"/>
  <c r="C989" i="27"/>
  <c r="D989" i="27" s="1"/>
  <c r="E989" i="27" s="1"/>
  <c r="C965" i="27"/>
  <c r="D965" i="27" s="1"/>
  <c r="D966" i="27" s="1"/>
  <c r="D905" i="27"/>
  <c r="E905" i="27" s="1"/>
  <c r="D857" i="27"/>
  <c r="E857" i="27" s="1"/>
  <c r="D809" i="27"/>
  <c r="E809" i="27" s="1"/>
  <c r="D713" i="27"/>
  <c r="E713" i="27" s="1"/>
  <c r="D605" i="27"/>
  <c r="D606" i="27" s="1"/>
  <c r="B546" i="27"/>
  <c r="D371" i="27"/>
  <c r="E371" i="27" s="1"/>
  <c r="V4" i="4"/>
  <c r="B227" i="27"/>
  <c r="B95" i="27"/>
  <c r="B83" i="27"/>
  <c r="Y4" i="4"/>
  <c r="B918" i="27"/>
  <c r="B870" i="27"/>
  <c r="B822" i="27"/>
  <c r="B774" i="27"/>
  <c r="B726" i="27"/>
  <c r="B678" i="27"/>
  <c r="B618" i="27"/>
  <c r="B570" i="27"/>
  <c r="B510" i="27"/>
  <c r="B336" i="27"/>
  <c r="D322" i="27"/>
  <c r="E322" i="27" s="1"/>
  <c r="B311" i="27"/>
  <c r="C299" i="27"/>
  <c r="B287" i="27"/>
  <c r="D274" i="27"/>
  <c r="E274" i="27" s="1"/>
  <c r="B263" i="27"/>
  <c r="C167" i="27"/>
  <c r="B125" i="27"/>
  <c r="B53" i="27"/>
  <c r="X4" i="4"/>
  <c r="B936" i="27"/>
  <c r="B666" i="27"/>
  <c r="B630" i="27"/>
  <c r="D617" i="27"/>
  <c r="E617" i="27" s="1"/>
  <c r="B390" i="27"/>
  <c r="B372" i="27"/>
  <c r="C360" i="27"/>
  <c r="B299" i="27"/>
  <c r="B167" i="27"/>
  <c r="B131" i="27"/>
  <c r="B107" i="27"/>
  <c r="B41" i="27"/>
  <c r="C16" i="27"/>
  <c r="D16" i="27" s="1"/>
  <c r="T3" i="4"/>
  <c r="U4" i="4"/>
  <c r="D641" i="27"/>
  <c r="C642" i="27"/>
  <c r="D947" i="27"/>
  <c r="C948" i="27"/>
  <c r="E917" i="27"/>
  <c r="D918" i="27"/>
  <c r="E869" i="27"/>
  <c r="D870" i="27"/>
  <c r="E821" i="27"/>
  <c r="D822" i="27"/>
  <c r="E773" i="27"/>
  <c r="D774" i="27"/>
  <c r="E725" i="27"/>
  <c r="D726" i="27"/>
  <c r="E677" i="27"/>
  <c r="D678" i="27"/>
  <c r="E977" i="27"/>
  <c r="D978" i="27"/>
  <c r="D935" i="27"/>
  <c r="C936" i="27"/>
  <c r="C839" i="27"/>
  <c r="B840" i="27"/>
  <c r="C743" i="27"/>
  <c r="B744" i="27"/>
  <c r="C695" i="27"/>
  <c r="B696" i="27"/>
  <c r="C647" i="27"/>
  <c r="B648" i="27"/>
  <c r="C599" i="27"/>
  <c r="B600" i="27"/>
  <c r="D509" i="27"/>
  <c r="C510" i="27"/>
  <c r="C449" i="27"/>
  <c r="B450" i="27"/>
  <c r="D232" i="27"/>
  <c r="C233" i="27"/>
  <c r="D124" i="27"/>
  <c r="C125" i="27"/>
  <c r="C918" i="27"/>
  <c r="C899" i="27"/>
  <c r="B900" i="27"/>
  <c r="C870" i="27"/>
  <c r="C851" i="27"/>
  <c r="B852" i="27"/>
  <c r="C822" i="27"/>
  <c r="C803" i="27"/>
  <c r="B804" i="27"/>
  <c r="C774" i="27"/>
  <c r="C755" i="27"/>
  <c r="B756" i="27"/>
  <c r="C726" i="27"/>
  <c r="C707" i="27"/>
  <c r="B708" i="27"/>
  <c r="C678" i="27"/>
  <c r="C563" i="27"/>
  <c r="B564" i="27"/>
  <c r="D522" i="27"/>
  <c r="C497" i="27"/>
  <c r="B498" i="27"/>
  <c r="C407" i="27"/>
  <c r="B408" i="27"/>
  <c r="C292" i="27"/>
  <c r="B293" i="27"/>
  <c r="B257" i="27"/>
  <c r="C256" i="27"/>
  <c r="D196" i="27"/>
  <c r="C197" i="27"/>
  <c r="C28" i="27"/>
  <c r="B29" i="27"/>
  <c r="C911" i="27"/>
  <c r="B912" i="27"/>
  <c r="C863" i="27"/>
  <c r="B864" i="27"/>
  <c r="C815" i="27"/>
  <c r="B816" i="27"/>
  <c r="C767" i="27"/>
  <c r="B768" i="27"/>
  <c r="C719" i="27"/>
  <c r="B720" i="27"/>
  <c r="B642" i="27"/>
  <c r="E605" i="27"/>
  <c r="C455" i="27"/>
  <c r="B456" i="27"/>
  <c r="C328" i="27"/>
  <c r="B329" i="27"/>
  <c r="B77" i="27"/>
  <c r="C76" i="27"/>
  <c r="C978" i="27"/>
  <c r="C923" i="27"/>
  <c r="B924" i="27"/>
  <c r="C875" i="27"/>
  <c r="B876" i="27"/>
  <c r="C827" i="27"/>
  <c r="B828" i="27"/>
  <c r="C779" i="27"/>
  <c r="B780" i="27"/>
  <c r="C731" i="27"/>
  <c r="B732" i="27"/>
  <c r="C683" i="27"/>
  <c r="B684" i="27"/>
  <c r="C635" i="27"/>
  <c r="B636" i="27"/>
  <c r="C630" i="27"/>
  <c r="D629" i="27"/>
  <c r="C557" i="27"/>
  <c r="B558" i="27"/>
  <c r="C503" i="27"/>
  <c r="B504" i="27"/>
  <c r="D461" i="27"/>
  <c r="C462" i="27"/>
  <c r="D425" i="27"/>
  <c r="C401" i="27"/>
  <c r="B402" i="27"/>
  <c r="E359" i="27"/>
  <c r="D360" i="27"/>
  <c r="C347" i="27"/>
  <c r="B348" i="27"/>
  <c r="D286" i="27"/>
  <c r="C287" i="27"/>
  <c r="D263" i="27"/>
  <c r="E118" i="27"/>
  <c r="D119" i="27"/>
  <c r="C887" i="27"/>
  <c r="B888" i="27"/>
  <c r="C791" i="27"/>
  <c r="B792" i="27"/>
  <c r="C672" i="27"/>
  <c r="C659" i="27"/>
  <c r="B660" i="27"/>
  <c r="C611" i="27"/>
  <c r="B612" i="27"/>
  <c r="D593" i="27"/>
  <c r="C515" i="27"/>
  <c r="B516" i="27"/>
  <c r="D485" i="27"/>
  <c r="C467" i="27"/>
  <c r="B468" i="27"/>
  <c r="D437" i="27"/>
  <c r="C419" i="27"/>
  <c r="B420" i="27"/>
  <c r="D389" i="27"/>
  <c r="D335" i="27"/>
  <c r="C336" i="27"/>
  <c r="E310" i="27"/>
  <c r="E298" i="27"/>
  <c r="D299" i="27"/>
  <c r="E214" i="27"/>
  <c r="D215" i="27"/>
  <c r="D208" i="27"/>
  <c r="B185" i="27"/>
  <c r="C184" i="27"/>
  <c r="D160" i="27"/>
  <c r="C161" i="27"/>
  <c r="C623" i="27"/>
  <c r="B624" i="27"/>
  <c r="C551" i="27"/>
  <c r="B552" i="27"/>
  <c r="C546" i="27"/>
  <c r="D545" i="27"/>
  <c r="C377" i="27"/>
  <c r="B378" i="27"/>
  <c r="C341" i="27"/>
  <c r="B342" i="27"/>
  <c r="C280" i="27"/>
  <c r="B281" i="27"/>
  <c r="D112" i="27"/>
  <c r="C113" i="27"/>
  <c r="C575" i="27"/>
  <c r="B576" i="27"/>
  <c r="C527" i="27"/>
  <c r="B528" i="27"/>
  <c r="C479" i="27"/>
  <c r="B480" i="27"/>
  <c r="C431" i="27"/>
  <c r="B432" i="27"/>
  <c r="C383" i="27"/>
  <c r="B384" i="27"/>
  <c r="C353" i="27"/>
  <c r="B354" i="27"/>
  <c r="C304" i="27"/>
  <c r="B305" i="27"/>
  <c r="D167" i="27"/>
  <c r="E166" i="27"/>
  <c r="E142" i="27"/>
  <c r="D143" i="27"/>
  <c r="D136" i="27"/>
  <c r="C137" i="27"/>
  <c r="D58" i="27"/>
  <c r="C59" i="27"/>
  <c r="D52" i="27"/>
  <c r="C53" i="27"/>
  <c r="C587" i="27"/>
  <c r="B588" i="27"/>
  <c r="C539" i="27"/>
  <c r="B540" i="27"/>
  <c r="C491" i="27"/>
  <c r="B492" i="27"/>
  <c r="C443" i="27"/>
  <c r="B444" i="27"/>
  <c r="C395" i="27"/>
  <c r="B396" i="27"/>
  <c r="D244" i="27"/>
  <c r="C245" i="27"/>
  <c r="D148" i="27"/>
  <c r="C149" i="27"/>
  <c r="D100" i="27"/>
  <c r="C101" i="27"/>
  <c r="D64" i="27"/>
  <c r="C65" i="27"/>
  <c r="C365" i="27"/>
  <c r="B366" i="27"/>
  <c r="C316" i="27"/>
  <c r="B317" i="27"/>
  <c r="C268" i="27"/>
  <c r="B269" i="27"/>
  <c r="D220" i="27"/>
  <c r="C221" i="27"/>
  <c r="D88" i="27"/>
  <c r="C89" i="27"/>
  <c r="D40" i="27"/>
  <c r="C41" i="27"/>
  <c r="B191" i="27"/>
  <c r="C972" i="27" l="1"/>
  <c r="D996" i="27"/>
  <c r="D906" i="27"/>
  <c r="D570" i="27"/>
  <c r="E942" i="27"/>
  <c r="F941" i="27"/>
  <c r="F942" i="27" s="1"/>
  <c r="F154" i="27"/>
  <c r="F155" i="27" s="1"/>
  <c r="E155" i="27"/>
  <c r="D275" i="27"/>
  <c r="D5" i="27"/>
  <c r="C414" i="27"/>
  <c r="E473" i="27"/>
  <c r="E474" i="27" s="1"/>
  <c r="C155" i="27"/>
  <c r="D155" i="27"/>
  <c r="D942" i="27"/>
  <c r="D738" i="27"/>
  <c r="C942" i="27"/>
  <c r="I9" i="27"/>
  <c r="E893" i="27"/>
  <c r="E894" i="27" s="1"/>
  <c r="D654" i="27"/>
  <c r="D858" i="27"/>
  <c r="E238" i="27"/>
  <c r="F238" i="27" s="1"/>
  <c r="F239" i="27" s="1"/>
  <c r="E971" i="27"/>
  <c r="F971" i="27" s="1"/>
  <c r="F972" i="27" s="1"/>
  <c r="E191" i="27"/>
  <c r="E881" i="27"/>
  <c r="F881" i="27" s="1"/>
  <c r="F882" i="27" s="1"/>
  <c r="D846" i="27"/>
  <c r="E106" i="27"/>
  <c r="F106" i="27" s="1"/>
  <c r="F107" i="27" s="1"/>
  <c r="E35" i="27"/>
  <c r="C990" i="27"/>
  <c r="E701" i="27"/>
  <c r="E702" i="27" s="1"/>
  <c r="D172" i="27"/>
  <c r="D173" i="27" s="1"/>
  <c r="X151" i="15"/>
  <c r="AB175" i="15"/>
  <c r="AA118" i="15"/>
  <c r="AE114" i="15"/>
  <c r="Q214" i="15"/>
  <c r="S212" i="15"/>
  <c r="X91" i="15"/>
  <c r="V181" i="15"/>
  <c r="AE84" i="15"/>
  <c r="S68" i="15"/>
  <c r="Z61" i="15"/>
  <c r="D750" i="27"/>
  <c r="D786" i="27"/>
  <c r="AD145" i="15"/>
  <c r="W180" i="15"/>
  <c r="AB87" i="15"/>
  <c r="T211" i="15"/>
  <c r="AD85" i="15"/>
  <c r="S126" i="15"/>
  <c r="Y178" i="15"/>
  <c r="AC58" i="15"/>
  <c r="Y120" i="15"/>
  <c r="AA88" i="15"/>
  <c r="U124" i="15"/>
  <c r="AE56" i="15"/>
  <c r="V123" i="15"/>
  <c r="R69" i="15"/>
  <c r="Z177" i="15"/>
  <c r="R127" i="15"/>
  <c r="AC202" i="15"/>
  <c r="R185" i="15"/>
  <c r="Y90" i="15"/>
  <c r="S96" i="15"/>
  <c r="U94" i="15"/>
  <c r="W92" i="15"/>
  <c r="T183" i="15"/>
  <c r="AA60" i="15"/>
  <c r="T95" i="15"/>
  <c r="AA176" i="15"/>
  <c r="AC146" i="15"/>
  <c r="D666" i="27"/>
  <c r="D834" i="27"/>
  <c r="W152" i="15"/>
  <c r="AC86" i="15"/>
  <c r="U210" i="15"/>
  <c r="AC116" i="15"/>
  <c r="V93" i="15"/>
  <c r="AE172" i="15"/>
  <c r="U154" i="15"/>
  <c r="W64" i="15"/>
  <c r="V209" i="15"/>
  <c r="AE144" i="15"/>
  <c r="T125" i="15"/>
  <c r="V65" i="15"/>
  <c r="C23" i="27"/>
  <c r="D22" i="27"/>
  <c r="AB147" i="15"/>
  <c r="AC174" i="15"/>
  <c r="AD57" i="15"/>
  <c r="Z205" i="15"/>
  <c r="AD173" i="15"/>
  <c r="AD115" i="15"/>
  <c r="Q98" i="15"/>
  <c r="E130" i="27"/>
  <c r="E131" i="27" s="1"/>
  <c r="D618" i="27"/>
  <c r="I11" i="27"/>
  <c r="V153" i="15"/>
  <c r="W208" i="15"/>
  <c r="AB117" i="15"/>
  <c r="AE200" i="15"/>
  <c r="S184" i="15"/>
  <c r="U182" i="15"/>
  <c r="Z119" i="15"/>
  <c r="Y206" i="15"/>
  <c r="U66" i="15"/>
  <c r="R213" i="15"/>
  <c r="Y150" i="15"/>
  <c r="R97" i="15"/>
  <c r="AA204" i="15"/>
  <c r="T155" i="15"/>
  <c r="AB203" i="15"/>
  <c r="X179" i="15"/>
  <c r="T67" i="15"/>
  <c r="AA148" i="15"/>
  <c r="X121" i="15"/>
  <c r="X207" i="15"/>
  <c r="X63" i="15"/>
  <c r="Z149" i="15"/>
  <c r="W122" i="15"/>
  <c r="Z89" i="15"/>
  <c r="C47" i="27"/>
  <c r="D46" i="27"/>
  <c r="S156" i="15"/>
  <c r="AB59" i="15"/>
  <c r="AD201" i="15"/>
  <c r="Y62" i="15"/>
  <c r="D798" i="27"/>
  <c r="D372" i="27"/>
  <c r="D582" i="27"/>
  <c r="C966" i="27"/>
  <c r="E996" i="27"/>
  <c r="D714" i="27"/>
  <c r="D762" i="27"/>
  <c r="D810" i="27"/>
  <c r="D534" i="27"/>
  <c r="D690" i="27"/>
  <c r="D930" i="27"/>
  <c r="E965" i="27"/>
  <c r="E966" i="27" s="1"/>
  <c r="C17" i="27"/>
  <c r="D323" i="27"/>
  <c r="D990" i="27"/>
  <c r="C239" i="27"/>
  <c r="E178" i="27"/>
  <c r="D179" i="27"/>
  <c r="D95" i="27"/>
  <c r="D227" i="27"/>
  <c r="D35" i="27"/>
  <c r="D11" i="27"/>
  <c r="E10" i="27"/>
  <c r="D251" i="27"/>
  <c r="E250" i="27"/>
  <c r="D960" i="27"/>
  <c r="E959" i="27"/>
  <c r="D984" i="27"/>
  <c r="E983" i="27"/>
  <c r="E82" i="27"/>
  <c r="D83" i="27"/>
  <c r="D71" i="27"/>
  <c r="E70" i="27"/>
  <c r="D203" i="27"/>
  <c r="E202" i="27"/>
  <c r="D954" i="27"/>
  <c r="E953" i="27"/>
  <c r="S3" i="4"/>
  <c r="T4" i="4"/>
  <c r="F130" i="27"/>
  <c r="F131" i="27" s="1"/>
  <c r="E232" i="27"/>
  <c r="D233" i="27"/>
  <c r="F473" i="27"/>
  <c r="F474" i="27" s="1"/>
  <c r="D599" i="27"/>
  <c r="C600" i="27"/>
  <c r="D647" i="27"/>
  <c r="C648" i="27"/>
  <c r="F689" i="27"/>
  <c r="F690" i="27" s="1"/>
  <c r="E690" i="27"/>
  <c r="F737" i="27"/>
  <c r="F738" i="27" s="1"/>
  <c r="E738" i="27"/>
  <c r="F785" i="27"/>
  <c r="F786" i="27" s="1"/>
  <c r="E786" i="27"/>
  <c r="D839" i="27"/>
  <c r="C840" i="27"/>
  <c r="F929" i="27"/>
  <c r="F930" i="27" s="1"/>
  <c r="E930" i="27"/>
  <c r="F965" i="27"/>
  <c r="F966" i="27" s="1"/>
  <c r="F977" i="27"/>
  <c r="F978" i="27" s="1"/>
  <c r="E978" i="27"/>
  <c r="F725" i="27"/>
  <c r="F726" i="27" s="1"/>
  <c r="E726" i="27"/>
  <c r="F821" i="27"/>
  <c r="F822" i="27" s="1"/>
  <c r="E822" i="27"/>
  <c r="F917" i="27"/>
  <c r="F918" i="27" s="1"/>
  <c r="E918" i="27"/>
  <c r="E641" i="27"/>
  <c r="D642" i="27"/>
  <c r="F166" i="27"/>
  <c r="F167" i="27" s="1"/>
  <c r="E167" i="27"/>
  <c r="E545" i="27"/>
  <c r="D546" i="27"/>
  <c r="D184" i="27"/>
  <c r="C185" i="27"/>
  <c r="E389" i="27"/>
  <c r="D390" i="27"/>
  <c r="D515" i="27"/>
  <c r="C516" i="27"/>
  <c r="D791" i="27"/>
  <c r="C792" i="27"/>
  <c r="F118" i="27"/>
  <c r="F119" i="27" s="1"/>
  <c r="E119" i="27"/>
  <c r="E286" i="27"/>
  <c r="D287" i="27"/>
  <c r="E360" i="27"/>
  <c r="F359" i="27"/>
  <c r="F360" i="27" s="1"/>
  <c r="D328" i="27"/>
  <c r="C329" i="27"/>
  <c r="D455" i="27"/>
  <c r="C456" i="27"/>
  <c r="F605" i="27"/>
  <c r="F606" i="27" s="1"/>
  <c r="E606" i="27"/>
  <c r="D256" i="27"/>
  <c r="C257" i="27"/>
  <c r="D707" i="27"/>
  <c r="C708" i="27"/>
  <c r="F797" i="27"/>
  <c r="F798" i="27" s="1"/>
  <c r="E798" i="27"/>
  <c r="D899" i="27"/>
  <c r="C900" i="27"/>
  <c r="E40" i="27"/>
  <c r="D41" i="27"/>
  <c r="E220" i="27"/>
  <c r="D221" i="27"/>
  <c r="C317" i="27"/>
  <c r="D316" i="27"/>
  <c r="E107" i="27"/>
  <c r="E244" i="27"/>
  <c r="D245" i="27"/>
  <c r="C444" i="27"/>
  <c r="D443" i="27"/>
  <c r="C540" i="27"/>
  <c r="D539" i="27"/>
  <c r="E16" i="27"/>
  <c r="D17" i="27"/>
  <c r="D59" i="27"/>
  <c r="E58" i="27"/>
  <c r="E136" i="27"/>
  <c r="D137" i="27"/>
  <c r="E172" i="27"/>
  <c r="C305" i="27"/>
  <c r="D304" i="27"/>
  <c r="C384" i="27"/>
  <c r="D383" i="27"/>
  <c r="C480" i="27"/>
  <c r="D479" i="27"/>
  <c r="C576" i="27"/>
  <c r="D575" i="27"/>
  <c r="F226" i="27"/>
  <c r="F227" i="27" s="1"/>
  <c r="E227" i="27"/>
  <c r="E275" i="27"/>
  <c r="F274" i="27"/>
  <c r="F275" i="27" s="1"/>
  <c r="C342" i="27"/>
  <c r="D341" i="27"/>
  <c r="D377" i="27"/>
  <c r="C378" i="27"/>
  <c r="D551" i="27"/>
  <c r="C552" i="27"/>
  <c r="C624" i="27"/>
  <c r="D623" i="27"/>
  <c r="E208" i="27"/>
  <c r="D209" i="27"/>
  <c r="F298" i="27"/>
  <c r="F299" i="27" s="1"/>
  <c r="E299" i="27"/>
  <c r="E335" i="27"/>
  <c r="D336" i="27"/>
  <c r="E437" i="27"/>
  <c r="D438" i="27"/>
  <c r="C612" i="27"/>
  <c r="D611" i="27"/>
  <c r="E425" i="27"/>
  <c r="D426" i="27"/>
  <c r="D503" i="27"/>
  <c r="C504" i="27"/>
  <c r="D683" i="27"/>
  <c r="C684" i="27"/>
  <c r="D779" i="27"/>
  <c r="C780" i="27"/>
  <c r="D875" i="27"/>
  <c r="C876" i="27"/>
  <c r="F653" i="27"/>
  <c r="F654" i="27" s="1"/>
  <c r="E654" i="27"/>
  <c r="D719" i="27"/>
  <c r="C720" i="27"/>
  <c r="D767" i="27"/>
  <c r="C768" i="27"/>
  <c r="D815" i="27"/>
  <c r="C816" i="27"/>
  <c r="D863" i="27"/>
  <c r="C864" i="27"/>
  <c r="D911" i="27"/>
  <c r="C912" i="27"/>
  <c r="D28" i="27"/>
  <c r="C29" i="27"/>
  <c r="C293" i="27"/>
  <c r="D292" i="27"/>
  <c r="D407" i="27"/>
  <c r="C408" i="27"/>
  <c r="F521" i="27"/>
  <c r="F522" i="27" s="1"/>
  <c r="E522" i="27"/>
  <c r="D563" i="27"/>
  <c r="C564" i="27"/>
  <c r="F749" i="27"/>
  <c r="F750" i="27" s="1"/>
  <c r="E750" i="27"/>
  <c r="D851" i="27"/>
  <c r="C852" i="27"/>
  <c r="E88" i="27"/>
  <c r="D89" i="27"/>
  <c r="C269" i="27"/>
  <c r="D268" i="27"/>
  <c r="C366" i="27"/>
  <c r="D365" i="27"/>
  <c r="E64" i="27"/>
  <c r="D65" i="27"/>
  <c r="E100" i="27"/>
  <c r="D101" i="27"/>
  <c r="E148" i="27"/>
  <c r="D149" i="27"/>
  <c r="C396" i="27"/>
  <c r="D395" i="27"/>
  <c r="C492" i="27"/>
  <c r="D491" i="27"/>
  <c r="C588" i="27"/>
  <c r="D587" i="27"/>
  <c r="E52" i="27"/>
  <c r="D53" i="27"/>
  <c r="F94" i="27"/>
  <c r="F95" i="27" s="1"/>
  <c r="E95" i="27"/>
  <c r="F142" i="27"/>
  <c r="F143" i="27" s="1"/>
  <c r="E143" i="27"/>
  <c r="C354" i="27"/>
  <c r="D353" i="27"/>
  <c r="C432" i="27"/>
  <c r="D431" i="27"/>
  <c r="C528" i="27"/>
  <c r="D527" i="27"/>
  <c r="E112" i="27"/>
  <c r="D113" i="27"/>
  <c r="D280" i="27"/>
  <c r="C281" i="27"/>
  <c r="E372" i="27"/>
  <c r="F371" i="27"/>
  <c r="F372" i="27" s="1"/>
  <c r="E582" i="27"/>
  <c r="F581" i="27"/>
  <c r="F582" i="27" s="1"/>
  <c r="E160" i="27"/>
  <c r="D161" i="27"/>
  <c r="F214" i="27"/>
  <c r="F215" i="27" s="1"/>
  <c r="E215" i="27"/>
  <c r="E311" i="27"/>
  <c r="F310" i="27"/>
  <c r="F311" i="27" s="1"/>
  <c r="C468" i="27"/>
  <c r="D467" i="27"/>
  <c r="E593" i="27"/>
  <c r="D594" i="27"/>
  <c r="C660" i="27"/>
  <c r="D659" i="27"/>
  <c r="E461" i="27"/>
  <c r="D462" i="27"/>
  <c r="D557" i="27"/>
  <c r="C558" i="27"/>
  <c r="D635" i="27"/>
  <c r="C636" i="27"/>
  <c r="D731" i="27"/>
  <c r="C732" i="27"/>
  <c r="D827" i="27"/>
  <c r="C828" i="27"/>
  <c r="D923" i="27"/>
  <c r="C924" i="27"/>
  <c r="F4" i="27"/>
  <c r="F5" i="27" s="1"/>
  <c r="E5" i="27"/>
  <c r="D76" i="27"/>
  <c r="C77" i="27"/>
  <c r="F713" i="27"/>
  <c r="F714" i="27" s="1"/>
  <c r="E714" i="27"/>
  <c r="F761" i="27"/>
  <c r="F762" i="27" s="1"/>
  <c r="E762" i="27"/>
  <c r="F809" i="27"/>
  <c r="F810" i="27" s="1"/>
  <c r="E810" i="27"/>
  <c r="F857" i="27"/>
  <c r="F858" i="27" s="1"/>
  <c r="E858" i="27"/>
  <c r="F905" i="27"/>
  <c r="F906" i="27" s="1"/>
  <c r="E906" i="27"/>
  <c r="E196" i="27"/>
  <c r="D197" i="27"/>
  <c r="E323" i="27"/>
  <c r="F322" i="27"/>
  <c r="F323" i="27" s="1"/>
  <c r="C498" i="27"/>
  <c r="D497" i="27"/>
  <c r="E534" i="27"/>
  <c r="F533" i="27"/>
  <c r="F534" i="27" s="1"/>
  <c r="D755" i="27"/>
  <c r="C756" i="27"/>
  <c r="F845" i="27"/>
  <c r="F846" i="27" s="1"/>
  <c r="E846" i="27"/>
  <c r="E124" i="27"/>
  <c r="D125" i="27"/>
  <c r="C450" i="27"/>
  <c r="D449" i="27"/>
  <c r="E509" i="27"/>
  <c r="D510" i="27"/>
  <c r="F617" i="27"/>
  <c r="F618" i="27" s="1"/>
  <c r="E618" i="27"/>
  <c r="F665" i="27"/>
  <c r="F666" i="27" s="1"/>
  <c r="E666" i="27"/>
  <c r="D695" i="27"/>
  <c r="C696" i="27"/>
  <c r="D743" i="27"/>
  <c r="C744" i="27"/>
  <c r="F833" i="27"/>
  <c r="F834" i="27" s="1"/>
  <c r="E834" i="27"/>
  <c r="D936" i="27"/>
  <c r="E935" i="27"/>
  <c r="F989" i="27"/>
  <c r="F990" i="27" s="1"/>
  <c r="E990" i="27"/>
  <c r="F677" i="27"/>
  <c r="F678" i="27" s="1"/>
  <c r="E678" i="27"/>
  <c r="F773" i="27"/>
  <c r="F774" i="27" s="1"/>
  <c r="E774" i="27"/>
  <c r="F869" i="27"/>
  <c r="F870" i="27" s="1"/>
  <c r="E870" i="27"/>
  <c r="D948" i="27"/>
  <c r="E947" i="27"/>
  <c r="D419" i="27"/>
  <c r="C420" i="27"/>
  <c r="E485" i="27"/>
  <c r="D486" i="27"/>
  <c r="D887" i="27"/>
  <c r="C888" i="27"/>
  <c r="E263" i="27"/>
  <c r="F262" i="27"/>
  <c r="F263" i="27" s="1"/>
  <c r="D347" i="27"/>
  <c r="C348" i="27"/>
  <c r="C402" i="27"/>
  <c r="D401" i="27"/>
  <c r="E629" i="27"/>
  <c r="D630" i="27"/>
  <c r="E413" i="27"/>
  <c r="D414" i="27"/>
  <c r="F569" i="27"/>
  <c r="F570" i="27" s="1"/>
  <c r="E570" i="27"/>
  <c r="D803" i="27"/>
  <c r="C804" i="27"/>
  <c r="F893" i="27"/>
  <c r="F894" i="27" s="1"/>
  <c r="I10" i="27" l="1"/>
  <c r="I15" i="27" s="1"/>
  <c r="E882" i="27"/>
  <c r="E972" i="27"/>
  <c r="E239" i="27"/>
  <c r="F701" i="27"/>
  <c r="F702" i="27" s="1"/>
  <c r="J11" i="27"/>
  <c r="Y151" i="15"/>
  <c r="V154" i="15"/>
  <c r="E46" i="27"/>
  <c r="D47" i="27"/>
  <c r="X180" i="15"/>
  <c r="T156" i="15"/>
  <c r="R98" i="15"/>
  <c r="R214" i="15"/>
  <c r="Y207" i="15"/>
  <c r="U183" i="15"/>
  <c r="AE201" i="15"/>
  <c r="W209" i="15"/>
  <c r="E22" i="27"/>
  <c r="D23" i="27"/>
  <c r="V66" i="15"/>
  <c r="AE145" i="15"/>
  <c r="AC147" i="15"/>
  <c r="T96" i="15"/>
  <c r="T184" i="15"/>
  <c r="U95" i="15"/>
  <c r="Y91" i="15"/>
  <c r="AC203" i="15"/>
  <c r="Z178" i="15"/>
  <c r="V124" i="15"/>
  <c r="U125" i="15"/>
  <c r="Y121" i="15"/>
  <c r="AB176" i="15"/>
  <c r="AB204" i="15"/>
  <c r="U67" i="15"/>
  <c r="S185" i="15"/>
  <c r="Y63" i="15"/>
  <c r="AB60" i="15"/>
  <c r="W123" i="15"/>
  <c r="X64" i="15"/>
  <c r="X122" i="15"/>
  <c r="T68" i="15"/>
  <c r="AD116" i="15"/>
  <c r="Z206" i="15"/>
  <c r="AC175" i="15"/>
  <c r="W65" i="15"/>
  <c r="AE173" i="15"/>
  <c r="AC117" i="15"/>
  <c r="AC87" i="15"/>
  <c r="Y179" i="15"/>
  <c r="AD86" i="15"/>
  <c r="AB88" i="15"/>
  <c r="AD146" i="15"/>
  <c r="Z62" i="15"/>
  <c r="AE85" i="15"/>
  <c r="X92" i="15"/>
  <c r="AA205" i="15"/>
  <c r="Z120" i="15"/>
  <c r="AB118" i="15"/>
  <c r="T126" i="15"/>
  <c r="C8" i="4"/>
  <c r="G8" i="4"/>
  <c r="K8" i="4"/>
  <c r="O8" i="4"/>
  <c r="S8" i="4"/>
  <c r="I8" i="4"/>
  <c r="U8" i="4"/>
  <c r="D8" i="4"/>
  <c r="H8" i="4"/>
  <c r="L8" i="4"/>
  <c r="P8" i="4"/>
  <c r="T8" i="4"/>
  <c r="Q8" i="4"/>
  <c r="B8" i="4"/>
  <c r="F8" i="4"/>
  <c r="J8" i="4"/>
  <c r="N8" i="4"/>
  <c r="R8" i="4"/>
  <c r="V8" i="4"/>
  <c r="E8" i="4"/>
  <c r="M8" i="4"/>
  <c r="AA177" i="15"/>
  <c r="AA61" i="15"/>
  <c r="W93" i="15"/>
  <c r="S97" i="15"/>
  <c r="AE57" i="15"/>
  <c r="AA89" i="15"/>
  <c r="AA119" i="15"/>
  <c r="X152" i="15"/>
  <c r="AD202" i="15"/>
  <c r="Z90" i="15"/>
  <c r="Z150" i="15"/>
  <c r="X208" i="15"/>
  <c r="AA149" i="15"/>
  <c r="I16" i="27"/>
  <c r="AD174" i="15"/>
  <c r="AD58" i="15"/>
  <c r="AB148" i="15"/>
  <c r="V210" i="15"/>
  <c r="U155" i="15"/>
  <c r="V94" i="15"/>
  <c r="U211" i="15"/>
  <c r="W153" i="15"/>
  <c r="AC59" i="15"/>
  <c r="S127" i="15"/>
  <c r="T212" i="15"/>
  <c r="W181" i="15"/>
  <c r="S69" i="15"/>
  <c r="V182" i="15"/>
  <c r="S213" i="15"/>
  <c r="AE115" i="15"/>
  <c r="J9" i="27"/>
  <c r="F178" i="27"/>
  <c r="F179" i="27" s="1"/>
  <c r="E179" i="27"/>
  <c r="F953" i="27"/>
  <c r="F954" i="27" s="1"/>
  <c r="E954" i="27"/>
  <c r="F70" i="27"/>
  <c r="F71" i="27" s="1"/>
  <c r="E71" i="27"/>
  <c r="F983" i="27"/>
  <c r="F984" i="27" s="1"/>
  <c r="E984" i="27"/>
  <c r="F250" i="27"/>
  <c r="F251" i="27" s="1"/>
  <c r="E251" i="27"/>
  <c r="F202" i="27"/>
  <c r="F203" i="27" s="1"/>
  <c r="E203" i="27"/>
  <c r="F959" i="27"/>
  <c r="F960" i="27" s="1"/>
  <c r="E960" i="27"/>
  <c r="F10" i="27"/>
  <c r="F11" i="27" s="1"/>
  <c r="E11" i="27"/>
  <c r="E83" i="27"/>
  <c r="F82" i="27"/>
  <c r="F83" i="27" s="1"/>
  <c r="R3" i="4"/>
  <c r="S4" i="4"/>
  <c r="D804" i="27"/>
  <c r="E803" i="27"/>
  <c r="E347" i="27"/>
  <c r="D348" i="27"/>
  <c r="E887" i="27"/>
  <c r="D888" i="27"/>
  <c r="E419" i="27"/>
  <c r="D420" i="27"/>
  <c r="E695" i="27"/>
  <c r="D696" i="27"/>
  <c r="E827" i="27"/>
  <c r="D828" i="27"/>
  <c r="D636" i="27"/>
  <c r="E635" i="27"/>
  <c r="E594" i="27"/>
  <c r="F593" i="27"/>
  <c r="F594" i="27" s="1"/>
  <c r="E149" i="27"/>
  <c r="F148" i="27"/>
  <c r="F149" i="27" s="1"/>
  <c r="E65" i="27"/>
  <c r="F64" i="27"/>
  <c r="F65" i="27" s="1"/>
  <c r="E851" i="27"/>
  <c r="D852" i="27"/>
  <c r="E563" i="27"/>
  <c r="D564" i="27"/>
  <c r="E28" i="27"/>
  <c r="D29" i="27"/>
  <c r="D864" i="27"/>
  <c r="E863" i="27"/>
  <c r="D504" i="27"/>
  <c r="E503" i="27"/>
  <c r="F208" i="27"/>
  <c r="F209" i="27" s="1"/>
  <c r="E209" i="27"/>
  <c r="D552" i="27"/>
  <c r="E551" i="27"/>
  <c r="E137" i="27"/>
  <c r="F136" i="27"/>
  <c r="F137" i="27" s="1"/>
  <c r="F16" i="27"/>
  <c r="F17" i="27" s="1"/>
  <c r="E17" i="27"/>
  <c r="D900" i="27"/>
  <c r="E899" i="27"/>
  <c r="E546" i="27"/>
  <c r="F545" i="27"/>
  <c r="F546" i="27" s="1"/>
  <c r="E414" i="27"/>
  <c r="F413" i="27"/>
  <c r="F414" i="27" s="1"/>
  <c r="E486" i="27"/>
  <c r="F485" i="27"/>
  <c r="F486" i="27" s="1"/>
  <c r="E743" i="27"/>
  <c r="D744" i="27"/>
  <c r="E510" i="27"/>
  <c r="F509" i="27"/>
  <c r="F510" i="27" s="1"/>
  <c r="E125" i="27"/>
  <c r="F124" i="27"/>
  <c r="F125" i="27" s="1"/>
  <c r="E755" i="27"/>
  <c r="D756" i="27"/>
  <c r="E197" i="27"/>
  <c r="F196" i="27"/>
  <c r="F197" i="27" s="1"/>
  <c r="E76" i="27"/>
  <c r="D77" i="27"/>
  <c r="D924" i="27"/>
  <c r="E923" i="27"/>
  <c r="E731" i="27"/>
  <c r="D732" i="27"/>
  <c r="E557" i="27"/>
  <c r="D558" i="27"/>
  <c r="D281" i="27"/>
  <c r="E280" i="27"/>
  <c r="E101" i="27"/>
  <c r="F100" i="27"/>
  <c r="F101" i="27" s="1"/>
  <c r="F88" i="27"/>
  <c r="F89" i="27" s="1"/>
  <c r="E89" i="27"/>
  <c r="D912" i="27"/>
  <c r="E911" i="27"/>
  <c r="D816" i="27"/>
  <c r="E815" i="27"/>
  <c r="D720" i="27"/>
  <c r="E719" i="27"/>
  <c r="D876" i="27"/>
  <c r="E875" i="27"/>
  <c r="E683" i="27"/>
  <c r="D684" i="27"/>
  <c r="F425" i="27"/>
  <c r="F426" i="27" s="1"/>
  <c r="E426" i="27"/>
  <c r="E438" i="27"/>
  <c r="F437" i="27"/>
  <c r="F438" i="27" s="1"/>
  <c r="D378" i="27"/>
  <c r="E377" i="27"/>
  <c r="E173" i="27"/>
  <c r="F172" i="27"/>
  <c r="F173" i="27" s="1"/>
  <c r="E245" i="27"/>
  <c r="F244" i="27"/>
  <c r="F245" i="27" s="1"/>
  <c r="E41" i="27"/>
  <c r="F40" i="27"/>
  <c r="F41" i="27" s="1"/>
  <c r="E256" i="27"/>
  <c r="D257" i="27"/>
  <c r="D456" i="27"/>
  <c r="E455" i="27"/>
  <c r="E515" i="27"/>
  <c r="D516" i="27"/>
  <c r="E184" i="27"/>
  <c r="D185" i="27"/>
  <c r="E839" i="27"/>
  <c r="D840" i="27"/>
  <c r="E647" i="27"/>
  <c r="D648" i="27"/>
  <c r="E936" i="27"/>
  <c r="F935" i="27"/>
  <c r="F936" i="27" s="1"/>
  <c r="E449" i="27"/>
  <c r="D450" i="27"/>
  <c r="E431" i="27"/>
  <c r="D432" i="27"/>
  <c r="D492" i="27"/>
  <c r="E491" i="27"/>
  <c r="E268" i="27"/>
  <c r="D269" i="27"/>
  <c r="D612" i="27"/>
  <c r="E611" i="27"/>
  <c r="E341" i="27"/>
  <c r="D342" i="27"/>
  <c r="E479" i="27"/>
  <c r="D480" i="27"/>
  <c r="D305" i="27"/>
  <c r="E304" i="27"/>
  <c r="D444" i="27"/>
  <c r="E443" i="27"/>
  <c r="E630" i="27"/>
  <c r="F629" i="27"/>
  <c r="F630" i="27" s="1"/>
  <c r="E462" i="27"/>
  <c r="F461" i="27"/>
  <c r="F462" i="27" s="1"/>
  <c r="E161" i="27"/>
  <c r="F160" i="27"/>
  <c r="F161" i="27" s="1"/>
  <c r="E113" i="27"/>
  <c r="F112" i="27"/>
  <c r="F113" i="27" s="1"/>
  <c r="E53" i="27"/>
  <c r="F52" i="27"/>
  <c r="F53" i="27" s="1"/>
  <c r="D408" i="27"/>
  <c r="E407" i="27"/>
  <c r="D768" i="27"/>
  <c r="E767" i="27"/>
  <c r="E779" i="27"/>
  <c r="D780" i="27"/>
  <c r="E336" i="27"/>
  <c r="F335" i="27"/>
  <c r="F336" i="27" s="1"/>
  <c r="F220" i="27"/>
  <c r="F221" i="27" s="1"/>
  <c r="E221" i="27"/>
  <c r="D708" i="27"/>
  <c r="E707" i="27"/>
  <c r="D329" i="27"/>
  <c r="E328" i="27"/>
  <c r="E287" i="27"/>
  <c r="F286" i="27"/>
  <c r="F287" i="27" s="1"/>
  <c r="E791" i="27"/>
  <c r="D792" i="27"/>
  <c r="E390" i="27"/>
  <c r="F389" i="27"/>
  <c r="F390" i="27" s="1"/>
  <c r="E642" i="27"/>
  <c r="F641" i="27"/>
  <c r="F642" i="27" s="1"/>
  <c r="E599" i="27"/>
  <c r="D600" i="27"/>
  <c r="E233" i="27"/>
  <c r="F232" i="27"/>
  <c r="F233" i="27" s="1"/>
  <c r="E401" i="27"/>
  <c r="D402" i="27"/>
  <c r="E948" i="27"/>
  <c r="F947" i="27"/>
  <c r="F948" i="27" s="1"/>
  <c r="E497" i="27"/>
  <c r="D498" i="27"/>
  <c r="D660" i="27"/>
  <c r="E659" i="27"/>
  <c r="E467" i="27"/>
  <c r="D468" i="27"/>
  <c r="E527" i="27"/>
  <c r="D528" i="27"/>
  <c r="D354" i="27"/>
  <c r="E353" i="27"/>
  <c r="E587" i="27"/>
  <c r="D588" i="27"/>
  <c r="D396" i="27"/>
  <c r="E395" i="27"/>
  <c r="E365" i="27"/>
  <c r="D366" i="27"/>
  <c r="E292" i="27"/>
  <c r="D293" i="27"/>
  <c r="D624" i="27"/>
  <c r="E623" i="27"/>
  <c r="D576" i="27"/>
  <c r="E575" i="27"/>
  <c r="E383" i="27"/>
  <c r="D384" i="27"/>
  <c r="F58" i="27"/>
  <c r="F59" i="27" s="1"/>
  <c r="E59" i="27"/>
  <c r="D540" i="27"/>
  <c r="E539" i="27"/>
  <c r="E316" i="27"/>
  <c r="D317" i="27"/>
  <c r="J10" i="27" l="1"/>
  <c r="J15" i="27" s="1"/>
  <c r="W8" i="4" s="1"/>
  <c r="S214" i="15"/>
  <c r="T213" i="15"/>
  <c r="AC60" i="15"/>
  <c r="U212" i="15"/>
  <c r="U156" i="15"/>
  <c r="AB149" i="15"/>
  <c r="AD175" i="15"/>
  <c r="AA150" i="15"/>
  <c r="Z151" i="15"/>
  <c r="W94" i="15"/>
  <c r="AA178" i="15"/>
  <c r="X93" i="15"/>
  <c r="Z63" i="15"/>
  <c r="AB89" i="15"/>
  <c r="Y180" i="15"/>
  <c r="AC118" i="15"/>
  <c r="W66" i="15"/>
  <c r="Z207" i="15"/>
  <c r="T69" i="15"/>
  <c r="X65" i="15"/>
  <c r="AB61" i="15"/>
  <c r="AB205" i="15"/>
  <c r="Y122" i="15"/>
  <c r="V125" i="15"/>
  <c r="AC204" i="15"/>
  <c r="U96" i="15"/>
  <c r="T97" i="15"/>
  <c r="AE146" i="15"/>
  <c r="F22" i="27"/>
  <c r="F23" i="27" s="1"/>
  <c r="E23" i="27"/>
  <c r="AE202" i="15"/>
  <c r="Y208" i="15"/>
  <c r="X181" i="15"/>
  <c r="V155" i="15"/>
  <c r="K11" i="27"/>
  <c r="AD203" i="15"/>
  <c r="AA120" i="15"/>
  <c r="AE58" i="15"/>
  <c r="AB119" i="15"/>
  <c r="AA206" i="15"/>
  <c r="AE116" i="15"/>
  <c r="V183" i="15"/>
  <c r="W182" i="15"/>
  <c r="W154" i="15"/>
  <c r="V95" i="15"/>
  <c r="V211" i="15"/>
  <c r="AD59" i="15"/>
  <c r="C9" i="4"/>
  <c r="G9" i="4"/>
  <c r="K9" i="4"/>
  <c r="O9" i="4"/>
  <c r="S9" i="4"/>
  <c r="V9" i="4"/>
  <c r="V10" i="4" s="1"/>
  <c r="M9" i="4"/>
  <c r="D9" i="4"/>
  <c r="H9" i="4"/>
  <c r="L9" i="4"/>
  <c r="P9" i="4"/>
  <c r="T9" i="4"/>
  <c r="I9" i="4"/>
  <c r="U9" i="4"/>
  <c r="B9" i="4"/>
  <c r="F9" i="4"/>
  <c r="J9" i="4"/>
  <c r="N9" i="4"/>
  <c r="R9" i="4"/>
  <c r="E9" i="4"/>
  <c r="Q9" i="4"/>
  <c r="X209" i="15"/>
  <c r="Z91" i="15"/>
  <c r="S98" i="15"/>
  <c r="AA62" i="15"/>
  <c r="AE86" i="15"/>
  <c r="AD147" i="15"/>
  <c r="AD87" i="15"/>
  <c r="AC88" i="15"/>
  <c r="AE174" i="15"/>
  <c r="AC176" i="15"/>
  <c r="AD117" i="15"/>
  <c r="X123" i="15"/>
  <c r="W124" i="15"/>
  <c r="Y64" i="15"/>
  <c r="U68" i="15"/>
  <c r="AB177" i="15"/>
  <c r="U126" i="15"/>
  <c r="Z179" i="15"/>
  <c r="Y92" i="15"/>
  <c r="T185" i="15"/>
  <c r="AC148" i="15"/>
  <c r="V67" i="15"/>
  <c r="W210" i="15"/>
  <c r="U184" i="15"/>
  <c r="F46" i="27"/>
  <c r="F47" i="27" s="1"/>
  <c r="E47" i="27"/>
  <c r="Y152" i="15"/>
  <c r="X153" i="15"/>
  <c r="AA90" i="15"/>
  <c r="T127" i="15"/>
  <c r="Z121" i="15"/>
  <c r="J16" i="27"/>
  <c r="W9" i="4" s="1"/>
  <c r="W10" i="4" s="1"/>
  <c r="K9" i="27"/>
  <c r="Q3" i="4"/>
  <c r="R4" i="4"/>
  <c r="F539" i="27"/>
  <c r="F540" i="27" s="1"/>
  <c r="E540" i="27"/>
  <c r="F623" i="27"/>
  <c r="F624" i="27" s="1"/>
  <c r="E624" i="27"/>
  <c r="F659" i="27"/>
  <c r="F660" i="27" s="1"/>
  <c r="E660" i="27"/>
  <c r="F328" i="27"/>
  <c r="F329" i="27" s="1"/>
  <c r="E329" i="27"/>
  <c r="E408" i="27"/>
  <c r="F407" i="27"/>
  <c r="F408" i="27" s="1"/>
  <c r="F443" i="27"/>
  <c r="F444" i="27" s="1"/>
  <c r="E444" i="27"/>
  <c r="F611" i="27"/>
  <c r="F612" i="27" s="1"/>
  <c r="E612" i="27"/>
  <c r="F491" i="27"/>
  <c r="F492" i="27" s="1"/>
  <c r="E492" i="27"/>
  <c r="E456" i="27"/>
  <c r="F455" i="27"/>
  <c r="F456" i="27" s="1"/>
  <c r="E720" i="27"/>
  <c r="F719" i="27"/>
  <c r="F720" i="27" s="1"/>
  <c r="F911" i="27"/>
  <c r="F912" i="27" s="1"/>
  <c r="E912" i="27"/>
  <c r="E924" i="27"/>
  <c r="F923" i="27"/>
  <c r="F924" i="27" s="1"/>
  <c r="F899" i="27"/>
  <c r="F900" i="27" s="1"/>
  <c r="E900" i="27"/>
  <c r="F863" i="27"/>
  <c r="F864" i="27" s="1"/>
  <c r="E864" i="27"/>
  <c r="F383" i="27"/>
  <c r="F384" i="27" s="1"/>
  <c r="E384" i="27"/>
  <c r="E366" i="27"/>
  <c r="F365" i="27"/>
  <c r="F366" i="27" s="1"/>
  <c r="F587" i="27"/>
  <c r="F588" i="27" s="1"/>
  <c r="E588" i="27"/>
  <c r="F527" i="27"/>
  <c r="F528" i="27" s="1"/>
  <c r="E528" i="27"/>
  <c r="F791" i="27"/>
  <c r="F792" i="27" s="1"/>
  <c r="E792" i="27"/>
  <c r="E780" i="27"/>
  <c r="F779" i="27"/>
  <c r="F780" i="27" s="1"/>
  <c r="F479" i="27"/>
  <c r="F480" i="27" s="1"/>
  <c r="E480" i="27"/>
  <c r="E450" i="27"/>
  <c r="F449" i="27"/>
  <c r="F450" i="27" s="1"/>
  <c r="E648" i="27"/>
  <c r="F647" i="27"/>
  <c r="F648" i="27" s="1"/>
  <c r="F184" i="27"/>
  <c r="F185" i="27" s="1"/>
  <c r="E185" i="27"/>
  <c r="E684" i="27"/>
  <c r="F683" i="27"/>
  <c r="F684" i="27" s="1"/>
  <c r="E558" i="27"/>
  <c r="F557" i="27"/>
  <c r="F558" i="27" s="1"/>
  <c r="F743" i="27"/>
  <c r="F744" i="27" s="1"/>
  <c r="E744" i="27"/>
  <c r="E564" i="27"/>
  <c r="F563" i="27"/>
  <c r="F564" i="27" s="1"/>
  <c r="E828" i="27"/>
  <c r="F827" i="27"/>
  <c r="F828" i="27" s="1"/>
  <c r="E420" i="27"/>
  <c r="F419" i="27"/>
  <c r="F420" i="27" s="1"/>
  <c r="F347" i="27"/>
  <c r="F348" i="27" s="1"/>
  <c r="E348" i="27"/>
  <c r="F575" i="27"/>
  <c r="F576" i="27" s="1"/>
  <c r="E576" i="27"/>
  <c r="F395" i="27"/>
  <c r="F396" i="27" s="1"/>
  <c r="E396" i="27"/>
  <c r="F353" i="27"/>
  <c r="F354" i="27" s="1"/>
  <c r="E354" i="27"/>
  <c r="F707" i="27"/>
  <c r="F708" i="27" s="1"/>
  <c r="E708" i="27"/>
  <c r="E768" i="27"/>
  <c r="F767" i="27"/>
  <c r="F768" i="27" s="1"/>
  <c r="F304" i="27"/>
  <c r="F305" i="27" s="1"/>
  <c r="E305" i="27"/>
  <c r="F377" i="27"/>
  <c r="F378" i="27" s="1"/>
  <c r="E378" i="27"/>
  <c r="E876" i="27"/>
  <c r="F875" i="27"/>
  <c r="F876" i="27" s="1"/>
  <c r="E816" i="27"/>
  <c r="F815" i="27"/>
  <c r="F816" i="27" s="1"/>
  <c r="F280" i="27"/>
  <c r="F281" i="27" s="1"/>
  <c r="E281" i="27"/>
  <c r="E552" i="27"/>
  <c r="F551" i="27"/>
  <c r="F552" i="27" s="1"/>
  <c r="E504" i="27"/>
  <c r="F503" i="27"/>
  <c r="F504" i="27" s="1"/>
  <c r="E636" i="27"/>
  <c r="F635" i="27"/>
  <c r="F636" i="27" s="1"/>
  <c r="F803" i="27"/>
  <c r="F804" i="27" s="1"/>
  <c r="E804" i="27"/>
  <c r="E317" i="27"/>
  <c r="F316" i="27"/>
  <c r="F317" i="27" s="1"/>
  <c r="E293" i="27"/>
  <c r="F292" i="27"/>
  <c r="F293" i="27" s="1"/>
  <c r="E468" i="27"/>
  <c r="F467" i="27"/>
  <c r="F468" i="27" s="1"/>
  <c r="E498" i="27"/>
  <c r="F497" i="27"/>
  <c r="F498" i="27" s="1"/>
  <c r="E402" i="27"/>
  <c r="F401" i="27"/>
  <c r="F402" i="27" s="1"/>
  <c r="E600" i="27"/>
  <c r="F599" i="27"/>
  <c r="F600" i="27" s="1"/>
  <c r="E342" i="27"/>
  <c r="F341" i="27"/>
  <c r="F342" i="27" s="1"/>
  <c r="E269" i="27"/>
  <c r="F268" i="27"/>
  <c r="F269" i="27" s="1"/>
  <c r="F431" i="27"/>
  <c r="F432" i="27" s="1"/>
  <c r="E432" i="27"/>
  <c r="E840" i="27"/>
  <c r="F839" i="27"/>
  <c r="F840" i="27" s="1"/>
  <c r="E516" i="27"/>
  <c r="F515" i="27"/>
  <c r="F516" i="27" s="1"/>
  <c r="F256" i="27"/>
  <c r="F257" i="27" s="1"/>
  <c r="E257" i="27"/>
  <c r="E732" i="27"/>
  <c r="F731" i="27"/>
  <c r="F732" i="27" s="1"/>
  <c r="F76" i="27"/>
  <c r="F77" i="27" s="1"/>
  <c r="E77" i="27"/>
  <c r="F755" i="27"/>
  <c r="F756" i="27" s="1"/>
  <c r="E756" i="27"/>
  <c r="F28" i="27"/>
  <c r="F29" i="27" s="1"/>
  <c r="E29" i="27"/>
  <c r="F851" i="27"/>
  <c r="F852" i="27" s="1"/>
  <c r="E852" i="27"/>
  <c r="F695" i="27"/>
  <c r="F696" i="27" s="1"/>
  <c r="E696" i="27"/>
  <c r="F887" i="27"/>
  <c r="F888" i="27" s="1"/>
  <c r="E888" i="27"/>
  <c r="M9" i="27" l="1"/>
  <c r="K10" i="27"/>
  <c r="K15" i="27" s="1"/>
  <c r="X8" i="4" s="1"/>
  <c r="C6" i="43" s="1"/>
  <c r="X154" i="15"/>
  <c r="U185" i="15"/>
  <c r="V68" i="15"/>
  <c r="Z180" i="15"/>
  <c r="AB178" i="15"/>
  <c r="Y65" i="15"/>
  <c r="X124" i="15"/>
  <c r="AC177" i="15"/>
  <c r="AC89" i="15"/>
  <c r="AD148" i="15"/>
  <c r="AA63" i="15"/>
  <c r="Z92" i="15"/>
  <c r="V184" i="15"/>
  <c r="AA207" i="15"/>
  <c r="AE59" i="15"/>
  <c r="AD204" i="15"/>
  <c r="Y209" i="15"/>
  <c r="T98" i="15"/>
  <c r="AC205" i="15"/>
  <c r="Y123" i="15"/>
  <c r="L11" i="27"/>
  <c r="L9" i="27"/>
  <c r="M11" i="27"/>
  <c r="Z122" i="15"/>
  <c r="AD60" i="15"/>
  <c r="V96" i="15"/>
  <c r="X182" i="15"/>
  <c r="AB62" i="15"/>
  <c r="W67" i="15"/>
  <c r="Y181" i="15"/>
  <c r="Z64" i="15"/>
  <c r="AA179" i="15"/>
  <c r="Z152" i="15"/>
  <c r="AD176" i="15"/>
  <c r="AC61" i="15"/>
  <c r="AA91" i="15"/>
  <c r="Y153" i="15"/>
  <c r="W211" i="15"/>
  <c r="AC149" i="15"/>
  <c r="Y93" i="15"/>
  <c r="U127" i="15"/>
  <c r="U69" i="15"/>
  <c r="W125" i="15"/>
  <c r="AD118" i="15"/>
  <c r="AE175" i="15"/>
  <c r="AD88" i="15"/>
  <c r="AE87" i="15"/>
  <c r="X210" i="15"/>
  <c r="W183" i="15"/>
  <c r="AE117" i="15"/>
  <c r="AB120" i="15"/>
  <c r="AA121" i="15"/>
  <c r="AE203" i="15"/>
  <c r="AE147" i="15"/>
  <c r="U97" i="15"/>
  <c r="V126" i="15"/>
  <c r="AB206" i="15"/>
  <c r="V212" i="15"/>
  <c r="W155" i="15"/>
  <c r="V156" i="15"/>
  <c r="X66" i="15"/>
  <c r="Z208" i="15"/>
  <c r="AC119" i="15"/>
  <c r="AB90" i="15"/>
  <c r="X94" i="15"/>
  <c r="W95" i="15"/>
  <c r="AA151" i="15"/>
  <c r="AB150" i="15"/>
  <c r="U213" i="15"/>
  <c r="T214" i="15"/>
  <c r="P3" i="4"/>
  <c r="Q4" i="4"/>
  <c r="D23" i="26"/>
  <c r="C104" i="26"/>
  <c r="C21" i="26"/>
  <c r="D22" i="26" s="1"/>
  <c r="K16" i="27" l="1"/>
  <c r="X9" i="4"/>
  <c r="C7" i="43" s="1"/>
  <c r="L10" i="27"/>
  <c r="L15" i="27" s="1"/>
  <c r="Y8" i="4" s="1"/>
  <c r="D6" i="43" s="1"/>
  <c r="AB151" i="15"/>
  <c r="W96" i="15"/>
  <c r="AB91" i="15"/>
  <c r="Z209" i="15"/>
  <c r="V213" i="15"/>
  <c r="AB207" i="15"/>
  <c r="U98" i="15"/>
  <c r="AE204" i="15"/>
  <c r="AB121" i="15"/>
  <c r="W184" i="15"/>
  <c r="X183" i="15"/>
  <c r="Y124" i="15"/>
  <c r="AD205" i="15"/>
  <c r="AA208" i="15"/>
  <c r="Z93" i="15"/>
  <c r="AD149" i="15"/>
  <c r="AC178" i="15"/>
  <c r="Y66" i="15"/>
  <c r="Z181" i="15"/>
  <c r="M10" i="27"/>
  <c r="M15" i="27" s="1"/>
  <c r="AE88" i="15"/>
  <c r="AE176" i="15"/>
  <c r="W126" i="15"/>
  <c r="AC150" i="15"/>
  <c r="Y154" i="15"/>
  <c r="AD177" i="15"/>
  <c r="AA180" i="15"/>
  <c r="Y182" i="15"/>
  <c r="AD61" i="15"/>
  <c r="U214" i="15"/>
  <c r="AA152" i="15"/>
  <c r="X95" i="15"/>
  <c r="AC120" i="15"/>
  <c r="X67" i="15"/>
  <c r="W156" i="15"/>
  <c r="V127" i="15"/>
  <c r="AE148" i="15"/>
  <c r="AA122" i="15"/>
  <c r="AE118" i="15"/>
  <c r="X211" i="15"/>
  <c r="AC62" i="15"/>
  <c r="AB63" i="15"/>
  <c r="L16" i="27"/>
  <c r="Y9" i="4" s="1"/>
  <c r="AC206" i="15"/>
  <c r="Y210" i="15"/>
  <c r="AE60" i="15"/>
  <c r="V185" i="15"/>
  <c r="AA64" i="15"/>
  <c r="AC90" i="15"/>
  <c r="X125" i="15"/>
  <c r="AB179" i="15"/>
  <c r="AD89" i="15"/>
  <c r="AD119" i="15"/>
  <c r="Y94" i="15"/>
  <c r="W212" i="15"/>
  <c r="AA92" i="15"/>
  <c r="Z153" i="15"/>
  <c r="Z65" i="15"/>
  <c r="W68" i="15"/>
  <c r="V97" i="15"/>
  <c r="Z123" i="15"/>
  <c r="V69" i="15"/>
  <c r="X155" i="15"/>
  <c r="O3" i="4"/>
  <c r="P4" i="4"/>
  <c r="X10" i="4" l="1"/>
  <c r="W13" i="4" s="1"/>
  <c r="Y13" i="4" s="1"/>
  <c r="Y10" i="4"/>
  <c r="D7" i="43"/>
  <c r="M16" i="27"/>
  <c r="AD120" i="15"/>
  <c r="Z210" i="15"/>
  <c r="V98" i="15"/>
  <c r="AA93" i="15"/>
  <c r="AB64" i="15"/>
  <c r="X96" i="15"/>
  <c r="AD62" i="15"/>
  <c r="AB180" i="15"/>
  <c r="AC91" i="15"/>
  <c r="Y211" i="15"/>
  <c r="AE177" i="15"/>
  <c r="Y125" i="15"/>
  <c r="W97" i="15"/>
  <c r="Z66" i="15"/>
  <c r="Y95" i="15"/>
  <c r="X212" i="15"/>
  <c r="AA123" i="15"/>
  <c r="X68" i="15"/>
  <c r="AA181" i="15"/>
  <c r="Y155" i="15"/>
  <c r="Z182" i="15"/>
  <c r="AC179" i="15"/>
  <c r="Z94" i="15"/>
  <c r="AD206" i="15"/>
  <c r="AB122" i="15"/>
  <c r="V214" i="15"/>
  <c r="AD90" i="15"/>
  <c r="X126" i="15"/>
  <c r="AA65" i="15"/>
  <c r="AE61" i="15"/>
  <c r="AC207" i="15"/>
  <c r="W127" i="15"/>
  <c r="AE89" i="15"/>
  <c r="AB92" i="15"/>
  <c r="AB152" i="15"/>
  <c r="X156" i="15"/>
  <c r="Z124" i="15"/>
  <c r="W69" i="15"/>
  <c r="Z154" i="15"/>
  <c r="W213" i="15"/>
  <c r="AC63" i="15"/>
  <c r="AE119" i="15"/>
  <c r="AE149" i="15"/>
  <c r="AC121" i="15"/>
  <c r="AA153" i="15"/>
  <c r="Y183" i="15"/>
  <c r="AD178" i="15"/>
  <c r="AC151" i="15"/>
  <c r="Y67" i="15"/>
  <c r="AD150" i="15"/>
  <c r="AA209" i="15"/>
  <c r="X184" i="15"/>
  <c r="W185" i="15"/>
  <c r="AE205" i="15"/>
  <c r="AB208" i="15"/>
  <c r="N3" i="4"/>
  <c r="O4" i="4"/>
  <c r="AE120" i="15" l="1"/>
  <c r="X127" i="15"/>
  <c r="Y96" i="15"/>
  <c r="AA94" i="15"/>
  <c r="AD207" i="15"/>
  <c r="Y156" i="15"/>
  <c r="W98" i="15"/>
  <c r="AE150" i="15"/>
  <c r="AC64" i="15"/>
  <c r="Z155" i="15"/>
  <c r="Z125" i="15"/>
  <c r="AB153" i="15"/>
  <c r="AE90" i="15"/>
  <c r="AC208" i="15"/>
  <c r="AA66" i="15"/>
  <c r="AD91" i="15"/>
  <c r="X69" i="15"/>
  <c r="X213" i="15"/>
  <c r="Z67" i="15"/>
  <c r="AB65" i="15"/>
  <c r="W214" i="15"/>
  <c r="AB93" i="15"/>
  <c r="AE62" i="15"/>
  <c r="AA124" i="15"/>
  <c r="Z211" i="15"/>
  <c r="AB209" i="15"/>
  <c r="AA210" i="15"/>
  <c r="Y68" i="15"/>
  <c r="AD179" i="15"/>
  <c r="AA154" i="15"/>
  <c r="AC180" i="15"/>
  <c r="AE178" i="15"/>
  <c r="AC92" i="15"/>
  <c r="AD63" i="15"/>
  <c r="AE206" i="15"/>
  <c r="X185" i="15"/>
  <c r="AD151" i="15"/>
  <c r="AC152" i="15"/>
  <c r="Y184" i="15"/>
  <c r="AC122" i="15"/>
  <c r="AB123" i="15"/>
  <c r="Z95" i="15"/>
  <c r="Z183" i="15"/>
  <c r="AA182" i="15"/>
  <c r="Y126" i="15"/>
  <c r="Y212" i="15"/>
  <c r="AB181" i="15"/>
  <c r="X97" i="15"/>
  <c r="AD121" i="15"/>
  <c r="M3" i="4"/>
  <c r="N4" i="4"/>
  <c r="C167" i="18"/>
  <c r="C168" i="18" s="1"/>
  <c r="C169" i="18" s="1"/>
  <c r="C170" i="18" s="1"/>
  <c r="C171" i="18" s="1"/>
  <c r="C172" i="18" s="1"/>
  <c r="C173" i="18" s="1"/>
  <c r="C138" i="18"/>
  <c r="C139" i="18" s="1"/>
  <c r="C140" i="18" s="1"/>
  <c r="C141" i="18" s="1"/>
  <c r="C142" i="18" s="1"/>
  <c r="C143" i="18" s="1"/>
  <c r="C144" i="18" s="1"/>
  <c r="C109" i="18"/>
  <c r="C110" i="18" s="1"/>
  <c r="C111" i="18" s="1"/>
  <c r="C112" i="18" s="1"/>
  <c r="C113" i="18" s="1"/>
  <c r="C114" i="18" s="1"/>
  <c r="C115" i="18" s="1"/>
  <c r="C3" i="18"/>
  <c r="AA67" i="15" l="1"/>
  <c r="AE91" i="15"/>
  <c r="Z126" i="15"/>
  <c r="AC65" i="15"/>
  <c r="AD208" i="15"/>
  <c r="AB182" i="15"/>
  <c r="Z184" i="15"/>
  <c r="Y185" i="15"/>
  <c r="AC181" i="15"/>
  <c r="AA211" i="15"/>
  <c r="AE63" i="15"/>
  <c r="AB66" i="15"/>
  <c r="X214" i="15"/>
  <c r="AD92" i="15"/>
  <c r="AC209" i="15"/>
  <c r="AB154" i="15"/>
  <c r="Z156" i="15"/>
  <c r="AE151" i="15"/>
  <c r="AB94" i="15"/>
  <c r="Z68" i="15"/>
  <c r="AD122" i="15"/>
  <c r="Y127" i="15"/>
  <c r="AB124" i="15"/>
  <c r="AD152" i="15"/>
  <c r="AE207" i="15"/>
  <c r="AC93" i="15"/>
  <c r="AD180" i="15"/>
  <c r="Z212" i="15"/>
  <c r="Y97" i="15"/>
  <c r="X98" i="15"/>
  <c r="Y213" i="15"/>
  <c r="AA183" i="15"/>
  <c r="Z96" i="15"/>
  <c r="AC123" i="15"/>
  <c r="AC153" i="15"/>
  <c r="AD64" i="15"/>
  <c r="AE179" i="15"/>
  <c r="AA155" i="15"/>
  <c r="Y69" i="15"/>
  <c r="AB210" i="15"/>
  <c r="AA125" i="15"/>
  <c r="AA95" i="15"/>
  <c r="AE121" i="15"/>
  <c r="L3" i="4"/>
  <c r="M4" i="4"/>
  <c r="AA96" i="15" l="1"/>
  <c r="Y214" i="15"/>
  <c r="AE208" i="15"/>
  <c r="AB155" i="15"/>
  <c r="AD93" i="15"/>
  <c r="AA212" i="15"/>
  <c r="AB183" i="15"/>
  <c r="AE92" i="15"/>
  <c r="AE122" i="15"/>
  <c r="AA156" i="15"/>
  <c r="AC124" i="15"/>
  <c r="AA184" i="15"/>
  <c r="Z213" i="15"/>
  <c r="AC94" i="15"/>
  <c r="AD153" i="15"/>
  <c r="AC210" i="15"/>
  <c r="AE64" i="15"/>
  <c r="AC182" i="15"/>
  <c r="Z185" i="15"/>
  <c r="AD209" i="15"/>
  <c r="Z127" i="15"/>
  <c r="AA68" i="15"/>
  <c r="AC154" i="15"/>
  <c r="Z97" i="15"/>
  <c r="Y98" i="15"/>
  <c r="AD181" i="15"/>
  <c r="AB125" i="15"/>
  <c r="AD123" i="15"/>
  <c r="AE152" i="15"/>
  <c r="AB67" i="15"/>
  <c r="AC66" i="15"/>
  <c r="AB211" i="15"/>
  <c r="AD65" i="15"/>
  <c r="AB95" i="15"/>
  <c r="AA126" i="15"/>
  <c r="AE180" i="15"/>
  <c r="Z69" i="15"/>
  <c r="K3" i="4"/>
  <c r="L4" i="4"/>
  <c r="D80" i="26"/>
  <c r="D53" i="26"/>
  <c r="D52" i="26"/>
  <c r="D51" i="26"/>
  <c r="D24" i="26"/>
  <c r="E25" i="26" s="1"/>
  <c r="E24" i="26"/>
  <c r="D25" i="26"/>
  <c r="E26" i="26" s="1"/>
  <c r="D26" i="26"/>
  <c r="D27" i="26"/>
  <c r="D28" i="26"/>
  <c r="D29" i="26"/>
  <c r="D30" i="26"/>
  <c r="D31" i="26"/>
  <c r="D32" i="26"/>
  <c r="D33" i="26"/>
  <c r="D34" i="26"/>
  <c r="D35" i="26"/>
  <c r="D36" i="26"/>
  <c r="D37" i="26"/>
  <c r="D38" i="26"/>
  <c r="D39" i="26"/>
  <c r="D40" i="26"/>
  <c r="D41" i="26"/>
  <c r="D42" i="26"/>
  <c r="D43" i="26"/>
  <c r="D44" i="26"/>
  <c r="D45" i="26"/>
  <c r="D46" i="26"/>
  <c r="AB212" i="15" l="1"/>
  <c r="AB68" i="15"/>
  <c r="Z98" i="15"/>
  <c r="AD210" i="15"/>
  <c r="AA185" i="15"/>
  <c r="AA127" i="15"/>
  <c r="AD66" i="15"/>
  <c r="AC67" i="15"/>
  <c r="AC211" i="15"/>
  <c r="AD154" i="15"/>
  <c r="Z214" i="15"/>
  <c r="AB96" i="15"/>
  <c r="AC95" i="15"/>
  <c r="AD124" i="15"/>
  <c r="AD182" i="15"/>
  <c r="AA69" i="15"/>
  <c r="AC183" i="15"/>
  <c r="AE93" i="15"/>
  <c r="AA213" i="15"/>
  <c r="AB156" i="15"/>
  <c r="AE181" i="15"/>
  <c r="AE153" i="15"/>
  <c r="AB126" i="15"/>
  <c r="AC155" i="15"/>
  <c r="AE65" i="15"/>
  <c r="AC125" i="15"/>
  <c r="AE123" i="15"/>
  <c r="AB184" i="15"/>
  <c r="AD94" i="15"/>
  <c r="AE209" i="15"/>
  <c r="AA97" i="15"/>
  <c r="J3" i="4"/>
  <c r="K4" i="4"/>
  <c r="E23" i="26"/>
  <c r="AB127" i="15" l="1"/>
  <c r="AA214" i="15"/>
  <c r="AD211" i="15"/>
  <c r="AB69" i="15"/>
  <c r="AA98" i="15"/>
  <c r="AD95" i="15"/>
  <c r="AE124" i="15"/>
  <c r="AE66" i="15"/>
  <c r="AC156" i="15"/>
  <c r="AC184" i="15"/>
  <c r="AD183" i="15"/>
  <c r="AC96" i="15"/>
  <c r="AD67" i="15"/>
  <c r="AE154" i="15"/>
  <c r="AE94" i="15"/>
  <c r="AE182" i="15"/>
  <c r="AC212" i="15"/>
  <c r="AE210" i="15"/>
  <c r="AB185" i="15"/>
  <c r="AC126" i="15"/>
  <c r="AD125" i="15"/>
  <c r="AB97" i="15"/>
  <c r="AD155" i="15"/>
  <c r="AC68" i="15"/>
  <c r="AB213" i="15"/>
  <c r="I3" i="4"/>
  <c r="J4" i="4"/>
  <c r="T28" i="24"/>
  <c r="AC69" i="15" l="1"/>
  <c r="AB98" i="15"/>
  <c r="AB214" i="15"/>
  <c r="AC127" i="15"/>
  <c r="AE211" i="15"/>
  <c r="AE155" i="15"/>
  <c r="AC97" i="15"/>
  <c r="AC185" i="15"/>
  <c r="AE67" i="15"/>
  <c r="AD96" i="15"/>
  <c r="AD156" i="15"/>
  <c r="AD126" i="15"/>
  <c r="AE183" i="15"/>
  <c r="AE95" i="15"/>
  <c r="AC213" i="15"/>
  <c r="AD68" i="15"/>
  <c r="AD184" i="15"/>
  <c r="AE125" i="15"/>
  <c r="AD212" i="15"/>
  <c r="H3" i="4"/>
  <c r="I4" i="4"/>
  <c r="AD185" i="15" l="1"/>
  <c r="AC214" i="15"/>
  <c r="AE126" i="15"/>
  <c r="AE184" i="15"/>
  <c r="AD97" i="15"/>
  <c r="AE156" i="15"/>
  <c r="AD213" i="15"/>
  <c r="AD69" i="15"/>
  <c r="AE96" i="15"/>
  <c r="AD127" i="15"/>
  <c r="AE68" i="15"/>
  <c r="AC98" i="15"/>
  <c r="AE212" i="15"/>
  <c r="G3" i="4"/>
  <c r="H4" i="4"/>
  <c r="AE185" i="15" l="1"/>
  <c r="AD98" i="15"/>
  <c r="AE213" i="15"/>
  <c r="AE69" i="15"/>
  <c r="AE97" i="15"/>
  <c r="AD214" i="15"/>
  <c r="AE127" i="15"/>
  <c r="F3" i="4"/>
  <c r="G4" i="4"/>
  <c r="AA2" i="26"/>
  <c r="AB2" i="26"/>
  <c r="AC2" i="26"/>
  <c r="AD2" i="26"/>
  <c r="AB3" i="26"/>
  <c r="AB9" i="26" s="1"/>
  <c r="AC3" i="26"/>
  <c r="AC9" i="26" s="1"/>
  <c r="AD3" i="26"/>
  <c r="AD9" i="26" s="1"/>
  <c r="AB4" i="26"/>
  <c r="AB10" i="26" s="1"/>
  <c r="AC4" i="26"/>
  <c r="AC10" i="26" s="1"/>
  <c r="AD4" i="26"/>
  <c r="AD10" i="26" s="1"/>
  <c r="AB8" i="26" l="1"/>
  <c r="AA8" i="26"/>
  <c r="AD8" i="26"/>
  <c r="AC8" i="26"/>
  <c r="AE98" i="15"/>
  <c r="AE214" i="15"/>
  <c r="E3" i="4"/>
  <c r="F4" i="4"/>
  <c r="AE22" i="26"/>
  <c r="AD22" i="26"/>
  <c r="AC22" i="26"/>
  <c r="AB22" i="26"/>
  <c r="AA22" i="26"/>
  <c r="AB23" i="26" s="1"/>
  <c r="AC24" i="26" s="1"/>
  <c r="AD25" i="26" s="1"/>
  <c r="AE26" i="26" s="1"/>
  <c r="Z22" i="26"/>
  <c r="AA23" i="26" s="1"/>
  <c r="AB24" i="26" s="1"/>
  <c r="Y22" i="26"/>
  <c r="X22" i="26"/>
  <c r="W22" i="26"/>
  <c r="V22" i="26"/>
  <c r="U22" i="26"/>
  <c r="T22" i="26"/>
  <c r="S22" i="26"/>
  <c r="R22" i="26"/>
  <c r="Q22" i="26"/>
  <c r="P22" i="26"/>
  <c r="O22" i="26"/>
  <c r="N22" i="26"/>
  <c r="M22" i="26"/>
  <c r="L22" i="26"/>
  <c r="K22" i="26"/>
  <c r="L23" i="26" s="1"/>
  <c r="M24" i="26" s="1"/>
  <c r="N25" i="26" s="1"/>
  <c r="O26" i="26" s="1"/>
  <c r="P27" i="26" s="1"/>
  <c r="Q28" i="26" s="1"/>
  <c r="R29" i="26" s="1"/>
  <c r="S30" i="26" s="1"/>
  <c r="T31" i="26" s="1"/>
  <c r="U32" i="26" s="1"/>
  <c r="V33" i="26" s="1"/>
  <c r="W34" i="26" s="1"/>
  <c r="X35" i="26" s="1"/>
  <c r="Y36" i="26" s="1"/>
  <c r="Z37" i="26" s="1"/>
  <c r="AA38" i="26" s="1"/>
  <c r="AB39" i="26" s="1"/>
  <c r="AC40" i="26" s="1"/>
  <c r="AD41" i="26" s="1"/>
  <c r="AE42" i="26" s="1"/>
  <c r="J22" i="26"/>
  <c r="I22" i="26"/>
  <c r="H22" i="26"/>
  <c r="G22" i="26"/>
  <c r="F22" i="26"/>
  <c r="E22" i="26"/>
  <c r="AE80" i="26"/>
  <c r="AD80" i="26"/>
  <c r="AE81" i="26" s="1"/>
  <c r="AB80" i="26"/>
  <c r="AA80" i="26"/>
  <c r="Z80" i="26"/>
  <c r="AA81" i="26" s="1"/>
  <c r="AB82" i="26" s="1"/>
  <c r="AC83" i="26" s="1"/>
  <c r="AD84" i="26" s="1"/>
  <c r="AE85" i="26" s="1"/>
  <c r="Y80" i="26"/>
  <c r="X80" i="26"/>
  <c r="W80" i="26"/>
  <c r="V80" i="26"/>
  <c r="W81" i="26" s="1"/>
  <c r="X82" i="26" s="1"/>
  <c r="Y83" i="26" s="1"/>
  <c r="Z84" i="26" s="1"/>
  <c r="AA85" i="26" s="1"/>
  <c r="AB86" i="26" s="1"/>
  <c r="AC87" i="26" s="1"/>
  <c r="AD88" i="26" s="1"/>
  <c r="AE89" i="26" s="1"/>
  <c r="U80" i="26"/>
  <c r="T80" i="26"/>
  <c r="S80" i="26"/>
  <c r="R80" i="26"/>
  <c r="S81" i="26" s="1"/>
  <c r="T82" i="26" s="1"/>
  <c r="U83" i="26" s="1"/>
  <c r="V84" i="26" s="1"/>
  <c r="W85" i="26" s="1"/>
  <c r="X86" i="26" s="1"/>
  <c r="Y87" i="26" s="1"/>
  <c r="Z88" i="26" s="1"/>
  <c r="AA89" i="26" s="1"/>
  <c r="AB90" i="26" s="1"/>
  <c r="AC91" i="26" s="1"/>
  <c r="AD92" i="26" s="1"/>
  <c r="AE93" i="26" s="1"/>
  <c r="Q80" i="26"/>
  <c r="P80" i="26"/>
  <c r="O80" i="26"/>
  <c r="N80" i="26"/>
  <c r="M80" i="26"/>
  <c r="L80" i="26"/>
  <c r="K80" i="26"/>
  <c r="J80" i="26"/>
  <c r="I80" i="26"/>
  <c r="H80" i="26"/>
  <c r="G80" i="26"/>
  <c r="F80" i="26"/>
  <c r="G81" i="26" s="1"/>
  <c r="H82" i="26" s="1"/>
  <c r="I83" i="26" s="1"/>
  <c r="J84" i="26" s="1"/>
  <c r="K85" i="26" s="1"/>
  <c r="L86" i="26" s="1"/>
  <c r="M87" i="26" s="1"/>
  <c r="N88" i="26" s="1"/>
  <c r="O89" i="26" s="1"/>
  <c r="P90" i="26" s="1"/>
  <c r="Q91" i="26" s="1"/>
  <c r="R92" i="26" s="1"/>
  <c r="S93" i="26" s="1"/>
  <c r="T94" i="26" s="1"/>
  <c r="U95" i="26" s="1"/>
  <c r="V96" i="26" s="1"/>
  <c r="W97" i="26" s="1"/>
  <c r="X98" i="26" s="1"/>
  <c r="Y99" i="26" s="1"/>
  <c r="Z100" i="26" s="1"/>
  <c r="AA101" i="26" s="1"/>
  <c r="AB102" i="26" s="1"/>
  <c r="AC103" i="26" s="1"/>
  <c r="AD104" i="26" s="1"/>
  <c r="E80" i="26"/>
  <c r="F51" i="26"/>
  <c r="G52" i="26" s="1"/>
  <c r="H53" i="26" s="1"/>
  <c r="I54" i="26" s="1"/>
  <c r="J55" i="26" s="1"/>
  <c r="K56" i="26" s="1"/>
  <c r="L57" i="26" s="1"/>
  <c r="M58" i="26" s="1"/>
  <c r="N59" i="26" s="1"/>
  <c r="O60" i="26" s="1"/>
  <c r="P61" i="26" s="1"/>
  <c r="Q62" i="26" s="1"/>
  <c r="R63" i="26" s="1"/>
  <c r="S64" i="26" s="1"/>
  <c r="T65" i="26" s="1"/>
  <c r="U66" i="26" s="1"/>
  <c r="V67" i="26" s="1"/>
  <c r="W68" i="26" s="1"/>
  <c r="X69" i="26" s="1"/>
  <c r="Y70" i="26" s="1"/>
  <c r="Z71" i="26" s="1"/>
  <c r="AA72" i="26" s="1"/>
  <c r="AB73" i="26" s="1"/>
  <c r="AC74" i="26" s="1"/>
  <c r="AD75" i="26" s="1"/>
  <c r="G51" i="26"/>
  <c r="H51" i="26"/>
  <c r="I51" i="26"/>
  <c r="J51" i="26"/>
  <c r="K52" i="26" s="1"/>
  <c r="L53" i="26" s="1"/>
  <c r="M54" i="26" s="1"/>
  <c r="N55" i="26" s="1"/>
  <c r="O56" i="26" s="1"/>
  <c r="P57" i="26" s="1"/>
  <c r="Q58" i="26" s="1"/>
  <c r="R59" i="26" s="1"/>
  <c r="S60" i="26" s="1"/>
  <c r="T61" i="26" s="1"/>
  <c r="U62" i="26" s="1"/>
  <c r="V63" i="26" s="1"/>
  <c r="W64" i="26" s="1"/>
  <c r="X65" i="26" s="1"/>
  <c r="Y66" i="26" s="1"/>
  <c r="Z67" i="26" s="1"/>
  <c r="AA68" i="26" s="1"/>
  <c r="AB69" i="26" s="1"/>
  <c r="AC70" i="26" s="1"/>
  <c r="AD71" i="26" s="1"/>
  <c r="AE72" i="26" s="1"/>
  <c r="K51" i="26"/>
  <c r="L51" i="26"/>
  <c r="M51" i="26"/>
  <c r="N51" i="26"/>
  <c r="O51" i="26"/>
  <c r="P51" i="26"/>
  <c r="Q51" i="26"/>
  <c r="R51" i="26"/>
  <c r="S51" i="26"/>
  <c r="T51" i="26"/>
  <c r="U52" i="26" s="1"/>
  <c r="V53" i="26" s="1"/>
  <c r="W54" i="26" s="1"/>
  <c r="X55" i="26" s="1"/>
  <c r="Y56" i="26" s="1"/>
  <c r="Z57" i="26" s="1"/>
  <c r="AA58" i="26" s="1"/>
  <c r="AB59" i="26" s="1"/>
  <c r="AC60" i="26" s="1"/>
  <c r="AD61" i="26" s="1"/>
  <c r="AE62" i="26" s="1"/>
  <c r="U51" i="26"/>
  <c r="V51" i="26"/>
  <c r="W51" i="26"/>
  <c r="X51" i="26"/>
  <c r="Y51" i="26"/>
  <c r="Z51" i="26"/>
  <c r="AA51" i="26"/>
  <c r="AB51" i="26"/>
  <c r="AC51" i="26"/>
  <c r="AD51" i="26"/>
  <c r="E51" i="26"/>
  <c r="F52" i="26" s="1"/>
  <c r="G53" i="26" s="1"/>
  <c r="H54" i="26" s="1"/>
  <c r="I55" i="26" s="1"/>
  <c r="J56" i="26" s="1"/>
  <c r="K57" i="26" s="1"/>
  <c r="L58" i="26" s="1"/>
  <c r="M59" i="26" s="1"/>
  <c r="N60" i="26" s="1"/>
  <c r="O61" i="26" s="1"/>
  <c r="P62" i="26" s="1"/>
  <c r="Q63" i="26" s="1"/>
  <c r="R64" i="26" s="1"/>
  <c r="S65" i="26" s="1"/>
  <c r="T66" i="26" s="1"/>
  <c r="U67" i="26" s="1"/>
  <c r="V68" i="26" s="1"/>
  <c r="W69" i="26" s="1"/>
  <c r="X70" i="26" s="1"/>
  <c r="Y71" i="26" s="1"/>
  <c r="Z72" i="26" s="1"/>
  <c r="AA73" i="26" s="1"/>
  <c r="AB74" i="26" s="1"/>
  <c r="AC75" i="26" s="1"/>
  <c r="D81" i="26"/>
  <c r="D82" i="26"/>
  <c r="D84" i="26"/>
  <c r="E85" i="26" s="1"/>
  <c r="F86" i="26" s="1"/>
  <c r="G87" i="26" s="1"/>
  <c r="H88" i="26" s="1"/>
  <c r="I89" i="26" s="1"/>
  <c r="J90" i="26" s="1"/>
  <c r="K91" i="26" s="1"/>
  <c r="L92" i="26" s="1"/>
  <c r="M93" i="26" s="1"/>
  <c r="N94" i="26" s="1"/>
  <c r="O95" i="26" s="1"/>
  <c r="P96" i="26" s="1"/>
  <c r="Q97" i="26" s="1"/>
  <c r="R98" i="26" s="1"/>
  <c r="S99" i="26" s="1"/>
  <c r="T100" i="26" s="1"/>
  <c r="U101" i="26" s="1"/>
  <c r="V102" i="26" s="1"/>
  <c r="W103" i="26" s="1"/>
  <c r="X104" i="26" s="1"/>
  <c r="D85" i="26"/>
  <c r="E86" i="26" s="1"/>
  <c r="F87" i="26" s="1"/>
  <c r="G88" i="26" s="1"/>
  <c r="H89" i="26" s="1"/>
  <c r="I90" i="26" s="1"/>
  <c r="J91" i="26" s="1"/>
  <c r="K92" i="26" s="1"/>
  <c r="L93" i="26" s="1"/>
  <c r="M94" i="26" s="1"/>
  <c r="N95" i="26" s="1"/>
  <c r="O96" i="26" s="1"/>
  <c r="P97" i="26" s="1"/>
  <c r="Q98" i="26" s="1"/>
  <c r="R99" i="26" s="1"/>
  <c r="S100" i="26" s="1"/>
  <c r="T101" i="26" s="1"/>
  <c r="U102" i="26" s="1"/>
  <c r="V103" i="26" s="1"/>
  <c r="W104" i="26" s="1"/>
  <c r="D86" i="26"/>
  <c r="E87" i="26" s="1"/>
  <c r="F88" i="26" s="1"/>
  <c r="G89" i="26" s="1"/>
  <c r="H90" i="26" s="1"/>
  <c r="I91" i="26" s="1"/>
  <c r="J92" i="26" s="1"/>
  <c r="K93" i="26" s="1"/>
  <c r="L94" i="26" s="1"/>
  <c r="M95" i="26" s="1"/>
  <c r="N96" i="26" s="1"/>
  <c r="O97" i="26" s="1"/>
  <c r="P98" i="26" s="1"/>
  <c r="Q99" i="26" s="1"/>
  <c r="R100" i="26" s="1"/>
  <c r="S101" i="26" s="1"/>
  <c r="T102" i="26" s="1"/>
  <c r="U103" i="26" s="1"/>
  <c r="V104" i="26" s="1"/>
  <c r="D87" i="26"/>
  <c r="E88" i="26" s="1"/>
  <c r="F89" i="26" s="1"/>
  <c r="G90" i="26" s="1"/>
  <c r="H91" i="26" s="1"/>
  <c r="I92" i="26" s="1"/>
  <c r="J93" i="26" s="1"/>
  <c r="K94" i="26" s="1"/>
  <c r="L95" i="26" s="1"/>
  <c r="M96" i="26" s="1"/>
  <c r="N97" i="26" s="1"/>
  <c r="O98" i="26" s="1"/>
  <c r="P99" i="26" s="1"/>
  <c r="Q100" i="26" s="1"/>
  <c r="R101" i="26" s="1"/>
  <c r="S102" i="26" s="1"/>
  <c r="T103" i="26" s="1"/>
  <c r="U104" i="26" s="1"/>
  <c r="D88" i="26"/>
  <c r="E89" i="26" s="1"/>
  <c r="F90" i="26" s="1"/>
  <c r="G91" i="26" s="1"/>
  <c r="H92" i="26" s="1"/>
  <c r="I93" i="26" s="1"/>
  <c r="J94" i="26" s="1"/>
  <c r="K95" i="26" s="1"/>
  <c r="L96" i="26" s="1"/>
  <c r="M97" i="26" s="1"/>
  <c r="N98" i="26" s="1"/>
  <c r="O99" i="26" s="1"/>
  <c r="P100" i="26" s="1"/>
  <c r="Q101" i="26" s="1"/>
  <c r="R102" i="26" s="1"/>
  <c r="S103" i="26" s="1"/>
  <c r="T104" i="26" s="1"/>
  <c r="D89" i="26"/>
  <c r="E90" i="26" s="1"/>
  <c r="F91" i="26" s="1"/>
  <c r="G92" i="26" s="1"/>
  <c r="H93" i="26" s="1"/>
  <c r="I94" i="26" s="1"/>
  <c r="J95" i="26" s="1"/>
  <c r="K96" i="26" s="1"/>
  <c r="L97" i="26" s="1"/>
  <c r="M98" i="26" s="1"/>
  <c r="N99" i="26" s="1"/>
  <c r="O100" i="26" s="1"/>
  <c r="P101" i="26" s="1"/>
  <c r="Q102" i="26" s="1"/>
  <c r="R103" i="26" s="1"/>
  <c r="S104" i="26" s="1"/>
  <c r="D90" i="26"/>
  <c r="E91" i="26" s="1"/>
  <c r="F92" i="26" s="1"/>
  <c r="G93" i="26" s="1"/>
  <c r="H94" i="26" s="1"/>
  <c r="I95" i="26" s="1"/>
  <c r="J96" i="26" s="1"/>
  <c r="K97" i="26" s="1"/>
  <c r="L98" i="26" s="1"/>
  <c r="M99" i="26" s="1"/>
  <c r="N100" i="26" s="1"/>
  <c r="O101" i="26" s="1"/>
  <c r="P102" i="26" s="1"/>
  <c r="Q103" i="26" s="1"/>
  <c r="R104" i="26" s="1"/>
  <c r="D91" i="26"/>
  <c r="E92" i="26" s="1"/>
  <c r="F93" i="26" s="1"/>
  <c r="G94" i="26" s="1"/>
  <c r="H95" i="26" s="1"/>
  <c r="I96" i="26" s="1"/>
  <c r="J97" i="26" s="1"/>
  <c r="K98" i="26" s="1"/>
  <c r="L99" i="26" s="1"/>
  <c r="M100" i="26" s="1"/>
  <c r="N101" i="26" s="1"/>
  <c r="O102" i="26" s="1"/>
  <c r="P103" i="26" s="1"/>
  <c r="Q104" i="26" s="1"/>
  <c r="D92" i="26"/>
  <c r="E93" i="26" s="1"/>
  <c r="F94" i="26" s="1"/>
  <c r="G95" i="26" s="1"/>
  <c r="H96" i="26" s="1"/>
  <c r="I97" i="26" s="1"/>
  <c r="J98" i="26" s="1"/>
  <c r="K99" i="26" s="1"/>
  <c r="L100" i="26" s="1"/>
  <c r="M101" i="26" s="1"/>
  <c r="N102" i="26" s="1"/>
  <c r="O103" i="26" s="1"/>
  <c r="P104" i="26" s="1"/>
  <c r="D93" i="26"/>
  <c r="E94" i="26" s="1"/>
  <c r="F95" i="26" s="1"/>
  <c r="G96" i="26" s="1"/>
  <c r="H97" i="26" s="1"/>
  <c r="I98" i="26" s="1"/>
  <c r="J99" i="26" s="1"/>
  <c r="K100" i="26" s="1"/>
  <c r="L101" i="26" s="1"/>
  <c r="M102" i="26" s="1"/>
  <c r="N103" i="26" s="1"/>
  <c r="O104" i="26" s="1"/>
  <c r="D94" i="26"/>
  <c r="E95" i="26" s="1"/>
  <c r="F96" i="26" s="1"/>
  <c r="G97" i="26" s="1"/>
  <c r="H98" i="26" s="1"/>
  <c r="I99" i="26" s="1"/>
  <c r="J100" i="26" s="1"/>
  <c r="K101" i="26" s="1"/>
  <c r="L102" i="26" s="1"/>
  <c r="M103" i="26" s="1"/>
  <c r="N104" i="26" s="1"/>
  <c r="D95" i="26"/>
  <c r="E96" i="26" s="1"/>
  <c r="F97" i="26" s="1"/>
  <c r="G98" i="26" s="1"/>
  <c r="H99" i="26" s="1"/>
  <c r="I100" i="26" s="1"/>
  <c r="J101" i="26" s="1"/>
  <c r="K102" i="26" s="1"/>
  <c r="L103" i="26" s="1"/>
  <c r="M104" i="26" s="1"/>
  <c r="D96" i="26"/>
  <c r="E97" i="26" s="1"/>
  <c r="F98" i="26" s="1"/>
  <c r="G99" i="26" s="1"/>
  <c r="H100" i="26" s="1"/>
  <c r="I101" i="26" s="1"/>
  <c r="J102" i="26" s="1"/>
  <c r="K103" i="26" s="1"/>
  <c r="L104" i="26" s="1"/>
  <c r="D97" i="26"/>
  <c r="E98" i="26" s="1"/>
  <c r="F99" i="26" s="1"/>
  <c r="G100" i="26" s="1"/>
  <c r="H101" i="26" s="1"/>
  <c r="I102" i="26" s="1"/>
  <c r="J103" i="26" s="1"/>
  <c r="K104" i="26" s="1"/>
  <c r="D98" i="26"/>
  <c r="E99" i="26" s="1"/>
  <c r="F100" i="26" s="1"/>
  <c r="G101" i="26" s="1"/>
  <c r="H102" i="26" s="1"/>
  <c r="I103" i="26" s="1"/>
  <c r="J104" i="26" s="1"/>
  <c r="D99" i="26"/>
  <c r="E100" i="26" s="1"/>
  <c r="F101" i="26" s="1"/>
  <c r="G102" i="26" s="1"/>
  <c r="H103" i="26" s="1"/>
  <c r="I104" i="26" s="1"/>
  <c r="D100" i="26"/>
  <c r="E101" i="26" s="1"/>
  <c r="F102" i="26" s="1"/>
  <c r="G103" i="26" s="1"/>
  <c r="H104" i="26" s="1"/>
  <c r="D101" i="26"/>
  <c r="E102" i="26" s="1"/>
  <c r="F103" i="26" s="1"/>
  <c r="G104" i="26" s="1"/>
  <c r="D102" i="26"/>
  <c r="E103" i="26" s="1"/>
  <c r="F104" i="26" s="1"/>
  <c r="D103" i="26"/>
  <c r="E104" i="26" s="1"/>
  <c r="D104" i="26"/>
  <c r="E53" i="26"/>
  <c r="D55" i="26"/>
  <c r="E56" i="26" s="1"/>
  <c r="F57" i="26" s="1"/>
  <c r="G58" i="26" s="1"/>
  <c r="H59" i="26" s="1"/>
  <c r="I60" i="26" s="1"/>
  <c r="J61" i="26" s="1"/>
  <c r="K62" i="26" s="1"/>
  <c r="L63" i="26" s="1"/>
  <c r="M64" i="26" s="1"/>
  <c r="N65" i="26" s="1"/>
  <c r="O66" i="26" s="1"/>
  <c r="P67" i="26" s="1"/>
  <c r="Q68" i="26" s="1"/>
  <c r="R69" i="26" s="1"/>
  <c r="S70" i="26" s="1"/>
  <c r="T71" i="26" s="1"/>
  <c r="U72" i="26" s="1"/>
  <c r="V73" i="26" s="1"/>
  <c r="W74" i="26" s="1"/>
  <c r="X75" i="26" s="1"/>
  <c r="D56" i="26"/>
  <c r="E57" i="26" s="1"/>
  <c r="F58" i="26" s="1"/>
  <c r="G59" i="26" s="1"/>
  <c r="H60" i="26" s="1"/>
  <c r="I61" i="26" s="1"/>
  <c r="J62" i="26" s="1"/>
  <c r="K63" i="26" s="1"/>
  <c r="D57" i="26"/>
  <c r="E58" i="26" s="1"/>
  <c r="F59" i="26" s="1"/>
  <c r="G60" i="26" s="1"/>
  <c r="H61" i="26" s="1"/>
  <c r="I62" i="26" s="1"/>
  <c r="J63" i="26" s="1"/>
  <c r="K64" i="26" s="1"/>
  <c r="L65" i="26" s="1"/>
  <c r="M66" i="26" s="1"/>
  <c r="N67" i="26" s="1"/>
  <c r="O68" i="26" s="1"/>
  <c r="P69" i="26" s="1"/>
  <c r="Q70" i="26" s="1"/>
  <c r="R71" i="26" s="1"/>
  <c r="S72" i="26" s="1"/>
  <c r="T73" i="26" s="1"/>
  <c r="U74" i="26" s="1"/>
  <c r="V75" i="26" s="1"/>
  <c r="D58" i="26"/>
  <c r="E59" i="26" s="1"/>
  <c r="F60" i="26" s="1"/>
  <c r="G61" i="26" s="1"/>
  <c r="H62" i="26" s="1"/>
  <c r="I63" i="26" s="1"/>
  <c r="J64" i="26" s="1"/>
  <c r="K65" i="26" s="1"/>
  <c r="L66" i="26" s="1"/>
  <c r="M67" i="26" s="1"/>
  <c r="N68" i="26" s="1"/>
  <c r="O69" i="26" s="1"/>
  <c r="P70" i="26" s="1"/>
  <c r="Q71" i="26" s="1"/>
  <c r="R72" i="26" s="1"/>
  <c r="S73" i="26" s="1"/>
  <c r="T74" i="26" s="1"/>
  <c r="U75" i="26" s="1"/>
  <c r="D59" i="26"/>
  <c r="E60" i="26" s="1"/>
  <c r="F61" i="26" s="1"/>
  <c r="G62" i="26" s="1"/>
  <c r="H63" i="26" s="1"/>
  <c r="I64" i="26" s="1"/>
  <c r="J65" i="26" s="1"/>
  <c r="K66" i="26" s="1"/>
  <c r="L67" i="26" s="1"/>
  <c r="M68" i="26" s="1"/>
  <c r="N69" i="26" s="1"/>
  <c r="O70" i="26" s="1"/>
  <c r="P71" i="26" s="1"/>
  <c r="Q72" i="26" s="1"/>
  <c r="R73" i="26" s="1"/>
  <c r="S74" i="26" s="1"/>
  <c r="T75" i="26" s="1"/>
  <c r="D60" i="26"/>
  <c r="E61" i="26" s="1"/>
  <c r="F62" i="26" s="1"/>
  <c r="G63" i="26" s="1"/>
  <c r="H64" i="26" s="1"/>
  <c r="I65" i="26" s="1"/>
  <c r="J66" i="26" s="1"/>
  <c r="K67" i="26" s="1"/>
  <c r="L68" i="26" s="1"/>
  <c r="M69" i="26" s="1"/>
  <c r="N70" i="26" s="1"/>
  <c r="O71" i="26" s="1"/>
  <c r="P72" i="26" s="1"/>
  <c r="Q73" i="26" s="1"/>
  <c r="R74" i="26" s="1"/>
  <c r="S75" i="26" s="1"/>
  <c r="D61" i="26"/>
  <c r="E62" i="26" s="1"/>
  <c r="F63" i="26" s="1"/>
  <c r="G64" i="26" s="1"/>
  <c r="H65" i="26" s="1"/>
  <c r="I66" i="26" s="1"/>
  <c r="J67" i="26" s="1"/>
  <c r="K68" i="26" s="1"/>
  <c r="L69" i="26" s="1"/>
  <c r="M70" i="26" s="1"/>
  <c r="N71" i="26" s="1"/>
  <c r="O72" i="26" s="1"/>
  <c r="P73" i="26" s="1"/>
  <c r="Q74" i="26" s="1"/>
  <c r="R75" i="26" s="1"/>
  <c r="D62" i="26"/>
  <c r="E63" i="26" s="1"/>
  <c r="F64" i="26" s="1"/>
  <c r="G65" i="26" s="1"/>
  <c r="H66" i="26" s="1"/>
  <c r="I67" i="26" s="1"/>
  <c r="J68" i="26" s="1"/>
  <c r="K69" i="26" s="1"/>
  <c r="L70" i="26" s="1"/>
  <c r="M71" i="26" s="1"/>
  <c r="N72" i="26" s="1"/>
  <c r="O73" i="26" s="1"/>
  <c r="P74" i="26" s="1"/>
  <c r="Q75" i="26" s="1"/>
  <c r="D63" i="26"/>
  <c r="E64" i="26" s="1"/>
  <c r="F65" i="26" s="1"/>
  <c r="G66" i="26" s="1"/>
  <c r="H67" i="26" s="1"/>
  <c r="I68" i="26" s="1"/>
  <c r="J69" i="26" s="1"/>
  <c r="K70" i="26" s="1"/>
  <c r="L71" i="26" s="1"/>
  <c r="M72" i="26" s="1"/>
  <c r="N73" i="26" s="1"/>
  <c r="O74" i="26" s="1"/>
  <c r="P75" i="26" s="1"/>
  <c r="D64" i="26"/>
  <c r="E65" i="26" s="1"/>
  <c r="F66" i="26" s="1"/>
  <c r="G67" i="26" s="1"/>
  <c r="H68" i="26" s="1"/>
  <c r="I69" i="26" s="1"/>
  <c r="J70" i="26" s="1"/>
  <c r="K71" i="26" s="1"/>
  <c r="L72" i="26" s="1"/>
  <c r="M73" i="26" s="1"/>
  <c r="N74" i="26" s="1"/>
  <c r="O75" i="26" s="1"/>
  <c r="D65" i="26"/>
  <c r="E66" i="26" s="1"/>
  <c r="F67" i="26" s="1"/>
  <c r="G68" i="26" s="1"/>
  <c r="H69" i="26" s="1"/>
  <c r="I70" i="26" s="1"/>
  <c r="J71" i="26" s="1"/>
  <c r="K72" i="26" s="1"/>
  <c r="L73" i="26" s="1"/>
  <c r="M74" i="26" s="1"/>
  <c r="N75" i="26" s="1"/>
  <c r="D66" i="26"/>
  <c r="E67" i="26" s="1"/>
  <c r="F68" i="26" s="1"/>
  <c r="G69" i="26" s="1"/>
  <c r="H70" i="26" s="1"/>
  <c r="I71" i="26" s="1"/>
  <c r="J72" i="26" s="1"/>
  <c r="K73" i="26" s="1"/>
  <c r="L74" i="26" s="1"/>
  <c r="M75" i="26" s="1"/>
  <c r="D67" i="26"/>
  <c r="E68" i="26" s="1"/>
  <c r="F69" i="26" s="1"/>
  <c r="D68" i="26"/>
  <c r="E69" i="26" s="1"/>
  <c r="F70" i="26" s="1"/>
  <c r="G71" i="26" s="1"/>
  <c r="H72" i="26" s="1"/>
  <c r="I73" i="26" s="1"/>
  <c r="J74" i="26" s="1"/>
  <c r="K75" i="26" s="1"/>
  <c r="D69" i="26"/>
  <c r="E70" i="26" s="1"/>
  <c r="F71" i="26" s="1"/>
  <c r="G72" i="26" s="1"/>
  <c r="H73" i="26" s="1"/>
  <c r="I74" i="26" s="1"/>
  <c r="J75" i="26" s="1"/>
  <c r="D70" i="26"/>
  <c r="E71" i="26" s="1"/>
  <c r="F72" i="26" s="1"/>
  <c r="G73" i="26" s="1"/>
  <c r="H74" i="26" s="1"/>
  <c r="I75" i="26" s="1"/>
  <c r="D71" i="26"/>
  <c r="E72" i="26" s="1"/>
  <c r="F73" i="26" s="1"/>
  <c r="G74" i="26" s="1"/>
  <c r="H75" i="26" s="1"/>
  <c r="D72" i="26"/>
  <c r="E73" i="26" s="1"/>
  <c r="F74" i="26" s="1"/>
  <c r="G75" i="26" s="1"/>
  <c r="D73" i="26"/>
  <c r="E74" i="26" s="1"/>
  <c r="F75" i="26" s="1"/>
  <c r="D74" i="26"/>
  <c r="E75" i="26" s="1"/>
  <c r="D75" i="26"/>
  <c r="F25" i="26"/>
  <c r="G26" i="26" s="1"/>
  <c r="H27" i="26" s="1"/>
  <c r="I28" i="26" s="1"/>
  <c r="J29" i="26" s="1"/>
  <c r="K30" i="26" s="1"/>
  <c r="L31" i="26" s="1"/>
  <c r="M32" i="26" s="1"/>
  <c r="N33" i="26" s="1"/>
  <c r="O34" i="26" s="1"/>
  <c r="P35" i="26" s="1"/>
  <c r="Q36" i="26" s="1"/>
  <c r="R37" i="26" s="1"/>
  <c r="S38" i="26" s="1"/>
  <c r="T39" i="26" s="1"/>
  <c r="U40" i="26" s="1"/>
  <c r="V41" i="26" s="1"/>
  <c r="W42" i="26" s="1"/>
  <c r="X43" i="26" s="1"/>
  <c r="Y44" i="26" s="1"/>
  <c r="Z45" i="26" s="1"/>
  <c r="AA46" i="26" s="1"/>
  <c r="F26" i="26"/>
  <c r="G27" i="26" s="1"/>
  <c r="H28" i="26" s="1"/>
  <c r="I29" i="26" s="1"/>
  <c r="J30" i="26" s="1"/>
  <c r="K31" i="26" s="1"/>
  <c r="L32" i="26" s="1"/>
  <c r="M33" i="26" s="1"/>
  <c r="N34" i="26" s="1"/>
  <c r="O35" i="26" s="1"/>
  <c r="P36" i="26" s="1"/>
  <c r="Q37" i="26" s="1"/>
  <c r="R38" i="26" s="1"/>
  <c r="S39" i="26" s="1"/>
  <c r="T40" i="26" s="1"/>
  <c r="U41" i="26" s="1"/>
  <c r="V42" i="26" s="1"/>
  <c r="W43" i="26" s="1"/>
  <c r="X44" i="26" s="1"/>
  <c r="Y45" i="26" s="1"/>
  <c r="Z46" i="26" s="1"/>
  <c r="F27" i="26"/>
  <c r="G28" i="26" s="1"/>
  <c r="H29" i="26" s="1"/>
  <c r="I30" i="26" s="1"/>
  <c r="J31" i="26" s="1"/>
  <c r="K32" i="26" s="1"/>
  <c r="L33" i="26" s="1"/>
  <c r="M34" i="26" s="1"/>
  <c r="N35" i="26" s="1"/>
  <c r="O36" i="26" s="1"/>
  <c r="P37" i="26" s="1"/>
  <c r="Q38" i="26" s="1"/>
  <c r="R39" i="26" s="1"/>
  <c r="S40" i="26" s="1"/>
  <c r="T41" i="26" s="1"/>
  <c r="U42" i="26" s="1"/>
  <c r="V43" i="26" s="1"/>
  <c r="W44" i="26" s="1"/>
  <c r="X45" i="26" s="1"/>
  <c r="Y46" i="26" s="1"/>
  <c r="E27" i="26"/>
  <c r="E28" i="26"/>
  <c r="F29" i="26" s="1"/>
  <c r="G30" i="26" s="1"/>
  <c r="H31" i="26" s="1"/>
  <c r="I32" i="26" s="1"/>
  <c r="J33" i="26" s="1"/>
  <c r="K34" i="26" s="1"/>
  <c r="L35" i="26" s="1"/>
  <c r="M36" i="26" s="1"/>
  <c r="N37" i="26" s="1"/>
  <c r="O38" i="26" s="1"/>
  <c r="P39" i="26" s="1"/>
  <c r="Q40" i="26" s="1"/>
  <c r="R41" i="26" s="1"/>
  <c r="S42" i="26" s="1"/>
  <c r="T43" i="26" s="1"/>
  <c r="U44" i="26" s="1"/>
  <c r="V45" i="26" s="1"/>
  <c r="W46" i="26" s="1"/>
  <c r="E29" i="26"/>
  <c r="F30" i="26" s="1"/>
  <c r="G31" i="26" s="1"/>
  <c r="H32" i="26" s="1"/>
  <c r="I33" i="26" s="1"/>
  <c r="J34" i="26" s="1"/>
  <c r="K35" i="26" s="1"/>
  <c r="L36" i="26" s="1"/>
  <c r="M37" i="26" s="1"/>
  <c r="N38" i="26" s="1"/>
  <c r="O39" i="26" s="1"/>
  <c r="P40" i="26" s="1"/>
  <c r="Q41" i="26" s="1"/>
  <c r="R42" i="26" s="1"/>
  <c r="S43" i="26" s="1"/>
  <c r="T44" i="26" s="1"/>
  <c r="U45" i="26" s="1"/>
  <c r="V46" i="26" s="1"/>
  <c r="E30" i="26"/>
  <c r="F31" i="26" s="1"/>
  <c r="G32" i="26" s="1"/>
  <c r="H33" i="26" s="1"/>
  <c r="I34" i="26" s="1"/>
  <c r="J35" i="26" s="1"/>
  <c r="K36" i="26" s="1"/>
  <c r="L37" i="26" s="1"/>
  <c r="M38" i="26" s="1"/>
  <c r="N39" i="26" s="1"/>
  <c r="O40" i="26" s="1"/>
  <c r="P41" i="26" s="1"/>
  <c r="Q42" i="26" s="1"/>
  <c r="R43" i="26" s="1"/>
  <c r="S44" i="26" s="1"/>
  <c r="T45" i="26" s="1"/>
  <c r="U46" i="26" s="1"/>
  <c r="E31" i="26"/>
  <c r="F32" i="26" s="1"/>
  <c r="G33" i="26" s="1"/>
  <c r="H34" i="26" s="1"/>
  <c r="I35" i="26" s="1"/>
  <c r="J36" i="26" s="1"/>
  <c r="K37" i="26" s="1"/>
  <c r="L38" i="26" s="1"/>
  <c r="M39" i="26" s="1"/>
  <c r="N40" i="26" s="1"/>
  <c r="O41" i="26" s="1"/>
  <c r="P42" i="26" s="1"/>
  <c r="Q43" i="26" s="1"/>
  <c r="R44" i="26" s="1"/>
  <c r="S45" i="26" s="1"/>
  <c r="T46" i="26" s="1"/>
  <c r="E32" i="26"/>
  <c r="F33" i="26" s="1"/>
  <c r="G34" i="26" s="1"/>
  <c r="H35" i="26" s="1"/>
  <c r="I36" i="26" s="1"/>
  <c r="J37" i="26" s="1"/>
  <c r="K38" i="26" s="1"/>
  <c r="L39" i="26" s="1"/>
  <c r="M40" i="26" s="1"/>
  <c r="N41" i="26" s="1"/>
  <c r="O42" i="26" s="1"/>
  <c r="P43" i="26" s="1"/>
  <c r="Q44" i="26" s="1"/>
  <c r="R45" i="26" s="1"/>
  <c r="S46" i="26" s="1"/>
  <c r="E33" i="26"/>
  <c r="F34" i="26" s="1"/>
  <c r="G35" i="26" s="1"/>
  <c r="H36" i="26" s="1"/>
  <c r="I37" i="26" s="1"/>
  <c r="J38" i="26" s="1"/>
  <c r="K39" i="26" s="1"/>
  <c r="L40" i="26" s="1"/>
  <c r="M41" i="26" s="1"/>
  <c r="N42" i="26" s="1"/>
  <c r="O43" i="26" s="1"/>
  <c r="P44" i="26" s="1"/>
  <c r="Q45" i="26" s="1"/>
  <c r="R46" i="26" s="1"/>
  <c r="E34" i="26"/>
  <c r="F35" i="26" s="1"/>
  <c r="G36" i="26" s="1"/>
  <c r="H37" i="26" s="1"/>
  <c r="I38" i="26" s="1"/>
  <c r="J39" i="26" s="1"/>
  <c r="K40" i="26" s="1"/>
  <c r="L41" i="26" s="1"/>
  <c r="M42" i="26" s="1"/>
  <c r="N43" i="26" s="1"/>
  <c r="O44" i="26" s="1"/>
  <c r="P45" i="26" s="1"/>
  <c r="Q46" i="26" s="1"/>
  <c r="E35" i="26"/>
  <c r="F36" i="26" s="1"/>
  <c r="G37" i="26" s="1"/>
  <c r="H38" i="26" s="1"/>
  <c r="I39" i="26" s="1"/>
  <c r="J40" i="26" s="1"/>
  <c r="K41" i="26" s="1"/>
  <c r="L42" i="26" s="1"/>
  <c r="M43" i="26" s="1"/>
  <c r="N44" i="26" s="1"/>
  <c r="O45" i="26" s="1"/>
  <c r="P46" i="26" s="1"/>
  <c r="E36" i="26"/>
  <c r="F37" i="26" s="1"/>
  <c r="G38" i="26" s="1"/>
  <c r="H39" i="26" s="1"/>
  <c r="I40" i="26" s="1"/>
  <c r="J41" i="26" s="1"/>
  <c r="K42" i="26" s="1"/>
  <c r="L43" i="26" s="1"/>
  <c r="M44" i="26" s="1"/>
  <c r="N45" i="26" s="1"/>
  <c r="O46" i="26" s="1"/>
  <c r="E37" i="26"/>
  <c r="F38" i="26" s="1"/>
  <c r="G39" i="26" s="1"/>
  <c r="H40" i="26" s="1"/>
  <c r="I41" i="26" s="1"/>
  <c r="J42" i="26" s="1"/>
  <c r="K43" i="26" s="1"/>
  <c r="L44" i="26" s="1"/>
  <c r="M45" i="26" s="1"/>
  <c r="N46" i="26" s="1"/>
  <c r="E38" i="26"/>
  <c r="F39" i="26" s="1"/>
  <c r="G40" i="26" s="1"/>
  <c r="H41" i="26" s="1"/>
  <c r="I42" i="26" s="1"/>
  <c r="J43" i="26" s="1"/>
  <c r="K44" i="26" s="1"/>
  <c r="L45" i="26" s="1"/>
  <c r="M46" i="26" s="1"/>
  <c r="E39" i="26"/>
  <c r="F40" i="26" s="1"/>
  <c r="G41" i="26" s="1"/>
  <c r="H42" i="26" s="1"/>
  <c r="I43" i="26" s="1"/>
  <c r="J44" i="26" s="1"/>
  <c r="K45" i="26" s="1"/>
  <c r="L46" i="26" s="1"/>
  <c r="E40" i="26"/>
  <c r="F41" i="26" s="1"/>
  <c r="G42" i="26" s="1"/>
  <c r="H43" i="26" s="1"/>
  <c r="I44" i="26" s="1"/>
  <c r="J45" i="26" s="1"/>
  <c r="K46" i="26" s="1"/>
  <c r="E41" i="26"/>
  <c r="F42" i="26" s="1"/>
  <c r="G43" i="26" s="1"/>
  <c r="H44" i="26" s="1"/>
  <c r="I45" i="26" s="1"/>
  <c r="J46" i="26" s="1"/>
  <c r="E42" i="26"/>
  <c r="F43" i="26" s="1"/>
  <c r="G44" i="26" s="1"/>
  <c r="H45" i="26" s="1"/>
  <c r="I46" i="26" s="1"/>
  <c r="E43" i="26"/>
  <c r="F44" i="26" s="1"/>
  <c r="G45" i="26" s="1"/>
  <c r="H46" i="26" s="1"/>
  <c r="E44" i="26"/>
  <c r="F45" i="26" s="1"/>
  <c r="G46" i="26" s="1"/>
  <c r="E45" i="26"/>
  <c r="F46" i="26" s="1"/>
  <c r="E46" i="26"/>
  <c r="D3" i="4" l="1"/>
  <c r="E4" i="4"/>
  <c r="E82" i="26"/>
  <c r="F83" i="26" s="1"/>
  <c r="G84" i="26" s="1"/>
  <c r="H85" i="26" s="1"/>
  <c r="I86" i="26" s="1"/>
  <c r="J87" i="26" s="1"/>
  <c r="K88" i="26" s="1"/>
  <c r="L89" i="26" s="1"/>
  <c r="M90" i="26" s="1"/>
  <c r="N91" i="26" s="1"/>
  <c r="O92" i="26" s="1"/>
  <c r="P93" i="26" s="1"/>
  <c r="Q94" i="26" s="1"/>
  <c r="R95" i="26" s="1"/>
  <c r="S96" i="26" s="1"/>
  <c r="T97" i="26" s="1"/>
  <c r="U98" i="26" s="1"/>
  <c r="V99" i="26" s="1"/>
  <c r="W100" i="26" s="1"/>
  <c r="X101" i="26" s="1"/>
  <c r="Y102" i="26" s="1"/>
  <c r="Z103" i="26" s="1"/>
  <c r="AA104" i="26" s="1"/>
  <c r="F28" i="26"/>
  <c r="G29" i="26" s="1"/>
  <c r="H30" i="26" s="1"/>
  <c r="I31" i="26" s="1"/>
  <c r="J32" i="26" s="1"/>
  <c r="K33" i="26" s="1"/>
  <c r="L34" i="26" s="1"/>
  <c r="M35" i="26" s="1"/>
  <c r="N36" i="26" s="1"/>
  <c r="O37" i="26" s="1"/>
  <c r="P38" i="26" s="1"/>
  <c r="Q39" i="26" s="1"/>
  <c r="R40" i="26" s="1"/>
  <c r="S41" i="26" s="1"/>
  <c r="T42" i="26" s="1"/>
  <c r="U43" i="26" s="1"/>
  <c r="V44" i="26" s="1"/>
  <c r="W45" i="26" s="1"/>
  <c r="X46" i="26" s="1"/>
  <c r="D83" i="26"/>
  <c r="E84" i="26" s="1"/>
  <c r="F85" i="26" s="1"/>
  <c r="G86" i="26" s="1"/>
  <c r="H87" i="26" s="1"/>
  <c r="I88" i="26" s="1"/>
  <c r="J89" i="26" s="1"/>
  <c r="K90" i="26" s="1"/>
  <c r="L91" i="26" s="1"/>
  <c r="M92" i="26" s="1"/>
  <c r="N93" i="26" s="1"/>
  <c r="O94" i="26" s="1"/>
  <c r="P95" i="26" s="1"/>
  <c r="Q96" i="26" s="1"/>
  <c r="R97" i="26" s="1"/>
  <c r="S98" i="26" s="1"/>
  <c r="T99" i="26" s="1"/>
  <c r="U100" i="26" s="1"/>
  <c r="V101" i="26" s="1"/>
  <c r="W102" i="26" s="1"/>
  <c r="X103" i="26" s="1"/>
  <c r="Y104" i="26" s="1"/>
  <c r="F54" i="26"/>
  <c r="G55" i="26" s="1"/>
  <c r="H56" i="26" s="1"/>
  <c r="I57" i="26" s="1"/>
  <c r="J58" i="26" s="1"/>
  <c r="K59" i="26" s="1"/>
  <c r="L60" i="26" s="1"/>
  <c r="M61" i="26" s="1"/>
  <c r="N62" i="26" s="1"/>
  <c r="O63" i="26" s="1"/>
  <c r="P64" i="26" s="1"/>
  <c r="Q65" i="26" s="1"/>
  <c r="R66" i="26" s="1"/>
  <c r="S67" i="26" s="1"/>
  <c r="T68" i="26" s="1"/>
  <c r="U69" i="26" s="1"/>
  <c r="V70" i="26" s="1"/>
  <c r="W71" i="26" s="1"/>
  <c r="X72" i="26" s="1"/>
  <c r="Y73" i="26" s="1"/>
  <c r="Z74" i="26" s="1"/>
  <c r="AA75" i="26" s="1"/>
  <c r="E83" i="26"/>
  <c r="F84" i="26" s="1"/>
  <c r="G85" i="26" s="1"/>
  <c r="H86" i="26" s="1"/>
  <c r="I87" i="26" s="1"/>
  <c r="J88" i="26" s="1"/>
  <c r="K89" i="26" s="1"/>
  <c r="L90" i="26" s="1"/>
  <c r="M91" i="26" s="1"/>
  <c r="N92" i="26" s="1"/>
  <c r="O93" i="26" s="1"/>
  <c r="P94" i="26" s="1"/>
  <c r="Q95" i="26" s="1"/>
  <c r="R96" i="26" s="1"/>
  <c r="S97" i="26" s="1"/>
  <c r="T98" i="26" s="1"/>
  <c r="U99" i="26" s="1"/>
  <c r="V100" i="26" s="1"/>
  <c r="W101" i="26" s="1"/>
  <c r="X102" i="26" s="1"/>
  <c r="Y103" i="26" s="1"/>
  <c r="Z104" i="26" s="1"/>
  <c r="E54" i="26"/>
  <c r="F55" i="26" s="1"/>
  <c r="G56" i="26" s="1"/>
  <c r="H57" i="26" s="1"/>
  <c r="I58" i="26" s="1"/>
  <c r="J59" i="26" s="1"/>
  <c r="K60" i="26" s="1"/>
  <c r="L61" i="26" s="1"/>
  <c r="M62" i="26" s="1"/>
  <c r="N63" i="26" s="1"/>
  <c r="O64" i="26" s="1"/>
  <c r="P65" i="26" s="1"/>
  <c r="Q66" i="26" s="1"/>
  <c r="R67" i="26" s="1"/>
  <c r="S68" i="26" s="1"/>
  <c r="T69" i="26" s="1"/>
  <c r="U70" i="26" s="1"/>
  <c r="V71" i="26" s="1"/>
  <c r="W72" i="26" s="1"/>
  <c r="X73" i="26" s="1"/>
  <c r="Y74" i="26" s="1"/>
  <c r="Z75" i="26" s="1"/>
  <c r="D54" i="26"/>
  <c r="L81" i="26"/>
  <c r="M82" i="26" s="1"/>
  <c r="N83" i="26" s="1"/>
  <c r="O84" i="26" s="1"/>
  <c r="P85" i="26" s="1"/>
  <c r="Q86" i="26" s="1"/>
  <c r="R87" i="26" s="1"/>
  <c r="S88" i="26" s="1"/>
  <c r="T89" i="26" s="1"/>
  <c r="U90" i="26" s="1"/>
  <c r="V91" i="26" s="1"/>
  <c r="W92" i="26" s="1"/>
  <c r="X93" i="26" s="1"/>
  <c r="Y94" i="26" s="1"/>
  <c r="Z95" i="26" s="1"/>
  <c r="AA96" i="26" s="1"/>
  <c r="AB97" i="26" s="1"/>
  <c r="AC98" i="26" s="1"/>
  <c r="AD99" i="26" s="1"/>
  <c r="AE100" i="26" s="1"/>
  <c r="P81" i="26"/>
  <c r="Q82" i="26" s="1"/>
  <c r="R83" i="26" s="1"/>
  <c r="S84" i="26" s="1"/>
  <c r="T85" i="26" s="1"/>
  <c r="U86" i="26" s="1"/>
  <c r="V87" i="26" s="1"/>
  <c r="W88" i="26" s="1"/>
  <c r="X89" i="26" s="1"/>
  <c r="Y90" i="26" s="1"/>
  <c r="Z91" i="26" s="1"/>
  <c r="AA92" i="26" s="1"/>
  <c r="AB93" i="26" s="1"/>
  <c r="AC94" i="26" s="1"/>
  <c r="AD95" i="26" s="1"/>
  <c r="AE96" i="26" s="1"/>
  <c r="T81" i="26"/>
  <c r="U82" i="26" s="1"/>
  <c r="V83" i="26" s="1"/>
  <c r="W84" i="26" s="1"/>
  <c r="X85" i="26" s="1"/>
  <c r="Y86" i="26" s="1"/>
  <c r="Z87" i="26" s="1"/>
  <c r="AA88" i="26" s="1"/>
  <c r="AB89" i="26" s="1"/>
  <c r="AC90" i="26" s="1"/>
  <c r="AD91" i="26" s="1"/>
  <c r="AE92" i="26" s="1"/>
  <c r="X81" i="26"/>
  <c r="Y82" i="26" s="1"/>
  <c r="Z83" i="26" s="1"/>
  <c r="AA84" i="26" s="1"/>
  <c r="AB85" i="26" s="1"/>
  <c r="AC86" i="26" s="1"/>
  <c r="AD87" i="26" s="1"/>
  <c r="AE88" i="26" s="1"/>
  <c r="AB81" i="26"/>
  <c r="AC82" i="26" s="1"/>
  <c r="AD83" i="26" s="1"/>
  <c r="AE84" i="26" s="1"/>
  <c r="I81" i="26"/>
  <c r="J82" i="26" s="1"/>
  <c r="K83" i="26" s="1"/>
  <c r="L84" i="26" s="1"/>
  <c r="M85" i="26" s="1"/>
  <c r="N86" i="26" s="1"/>
  <c r="O87" i="26" s="1"/>
  <c r="P88" i="26" s="1"/>
  <c r="Q89" i="26" s="1"/>
  <c r="R90" i="26" s="1"/>
  <c r="S91" i="26" s="1"/>
  <c r="T92" i="26" s="1"/>
  <c r="U93" i="26" s="1"/>
  <c r="V94" i="26" s="1"/>
  <c r="W95" i="26" s="1"/>
  <c r="X96" i="26" s="1"/>
  <c r="Y97" i="26" s="1"/>
  <c r="Z98" i="26" s="1"/>
  <c r="AA99" i="26" s="1"/>
  <c r="AB100" i="26" s="1"/>
  <c r="AC101" i="26" s="1"/>
  <c r="AD102" i="26" s="1"/>
  <c r="AE103" i="26" s="1"/>
  <c r="M81" i="26"/>
  <c r="N82" i="26" s="1"/>
  <c r="O83" i="26" s="1"/>
  <c r="P84" i="26" s="1"/>
  <c r="Q85" i="26" s="1"/>
  <c r="R86" i="26" s="1"/>
  <c r="S87" i="26" s="1"/>
  <c r="T88" i="26" s="1"/>
  <c r="U89" i="26" s="1"/>
  <c r="V90" i="26" s="1"/>
  <c r="W91" i="26" s="1"/>
  <c r="X92" i="26" s="1"/>
  <c r="Y93" i="26" s="1"/>
  <c r="Z94" i="26" s="1"/>
  <c r="AA95" i="26" s="1"/>
  <c r="AB96" i="26" s="1"/>
  <c r="AC97" i="26" s="1"/>
  <c r="AD98" i="26" s="1"/>
  <c r="AE99" i="26" s="1"/>
  <c r="Q81" i="26"/>
  <c r="R82" i="26" s="1"/>
  <c r="S83" i="26" s="1"/>
  <c r="T84" i="26" s="1"/>
  <c r="U85" i="26" s="1"/>
  <c r="V86" i="26" s="1"/>
  <c r="W87" i="26" s="1"/>
  <c r="X88" i="26" s="1"/>
  <c r="Y89" i="26" s="1"/>
  <c r="Z90" i="26" s="1"/>
  <c r="AA91" i="26" s="1"/>
  <c r="AB92" i="26" s="1"/>
  <c r="AC93" i="26" s="1"/>
  <c r="AD94" i="26" s="1"/>
  <c r="AE95" i="26" s="1"/>
  <c r="U81" i="26"/>
  <c r="V82" i="26" s="1"/>
  <c r="W83" i="26" s="1"/>
  <c r="X84" i="26" s="1"/>
  <c r="Y85" i="26" s="1"/>
  <c r="Z86" i="26" s="1"/>
  <c r="AA87" i="26" s="1"/>
  <c r="AB88" i="26" s="1"/>
  <c r="AC89" i="26" s="1"/>
  <c r="AD90" i="26" s="1"/>
  <c r="AE91" i="26" s="1"/>
  <c r="F81" i="26"/>
  <c r="G82" i="26" s="1"/>
  <c r="H83" i="26" s="1"/>
  <c r="I84" i="26" s="1"/>
  <c r="J85" i="26" s="1"/>
  <c r="K86" i="26" s="1"/>
  <c r="L87" i="26" s="1"/>
  <c r="M88" i="26" s="1"/>
  <c r="N89" i="26" s="1"/>
  <c r="O90" i="26" s="1"/>
  <c r="P91" i="26" s="1"/>
  <c r="Q92" i="26" s="1"/>
  <c r="R93" i="26" s="1"/>
  <c r="S94" i="26" s="1"/>
  <c r="T95" i="26" s="1"/>
  <c r="U96" i="26" s="1"/>
  <c r="V97" i="26" s="1"/>
  <c r="W98" i="26" s="1"/>
  <c r="X99" i="26" s="1"/>
  <c r="Y100" i="26" s="1"/>
  <c r="Z101" i="26" s="1"/>
  <c r="AA102" i="26" s="1"/>
  <c r="AB103" i="26" s="1"/>
  <c r="AC104" i="26" s="1"/>
  <c r="J81" i="26"/>
  <c r="K82" i="26" s="1"/>
  <c r="L83" i="26" s="1"/>
  <c r="M84" i="26" s="1"/>
  <c r="N85" i="26" s="1"/>
  <c r="O86" i="26" s="1"/>
  <c r="P87" i="26" s="1"/>
  <c r="Q88" i="26" s="1"/>
  <c r="R89" i="26" s="1"/>
  <c r="S90" i="26" s="1"/>
  <c r="T91" i="26" s="1"/>
  <c r="U92" i="26" s="1"/>
  <c r="V93" i="26" s="1"/>
  <c r="W94" i="26" s="1"/>
  <c r="X95" i="26" s="1"/>
  <c r="Y96" i="26" s="1"/>
  <c r="Z97" i="26" s="1"/>
  <c r="AA98" i="26" s="1"/>
  <c r="AB99" i="26" s="1"/>
  <c r="AC100" i="26" s="1"/>
  <c r="AD101" i="26" s="1"/>
  <c r="AE102" i="26" s="1"/>
  <c r="N81" i="26"/>
  <c r="O82" i="26" s="1"/>
  <c r="P83" i="26" s="1"/>
  <c r="Q84" i="26" s="1"/>
  <c r="R85" i="26" s="1"/>
  <c r="S86" i="26" s="1"/>
  <c r="T87" i="26" s="1"/>
  <c r="U88" i="26" s="1"/>
  <c r="V89" i="26" s="1"/>
  <c r="W90" i="26" s="1"/>
  <c r="X91" i="26" s="1"/>
  <c r="Y92" i="26" s="1"/>
  <c r="Z93" i="26" s="1"/>
  <c r="AA94" i="26" s="1"/>
  <c r="AB95" i="26" s="1"/>
  <c r="AC96" i="26" s="1"/>
  <c r="AD97" i="26" s="1"/>
  <c r="AE98" i="26" s="1"/>
  <c r="R81" i="26"/>
  <c r="S82" i="26" s="1"/>
  <c r="T83" i="26" s="1"/>
  <c r="U84" i="26" s="1"/>
  <c r="V85" i="26" s="1"/>
  <c r="W86" i="26" s="1"/>
  <c r="X87" i="26" s="1"/>
  <c r="Y88" i="26" s="1"/>
  <c r="Z89" i="26" s="1"/>
  <c r="AA90" i="26" s="1"/>
  <c r="AB91" i="26" s="1"/>
  <c r="AC92" i="26" s="1"/>
  <c r="AD93" i="26" s="1"/>
  <c r="AE94" i="26" s="1"/>
  <c r="V81" i="26"/>
  <c r="W82" i="26" s="1"/>
  <c r="X83" i="26" s="1"/>
  <c r="Y84" i="26" s="1"/>
  <c r="Z85" i="26" s="1"/>
  <c r="AA86" i="26" s="1"/>
  <c r="AB87" i="26" s="1"/>
  <c r="AC88" i="26" s="1"/>
  <c r="AD89" i="26" s="1"/>
  <c r="AE90" i="26" s="1"/>
  <c r="Z81" i="26"/>
  <c r="AA82" i="26" s="1"/>
  <c r="AB83" i="26" s="1"/>
  <c r="AC84" i="26" s="1"/>
  <c r="AD85" i="26" s="1"/>
  <c r="AE86" i="26" s="1"/>
  <c r="AD81" i="26"/>
  <c r="AE82" i="26" s="1"/>
  <c r="K81" i="26"/>
  <c r="L82" i="26" s="1"/>
  <c r="M83" i="26" s="1"/>
  <c r="N84" i="26" s="1"/>
  <c r="O85" i="26" s="1"/>
  <c r="P86" i="26" s="1"/>
  <c r="Q87" i="26" s="1"/>
  <c r="R88" i="26" s="1"/>
  <c r="S89" i="26" s="1"/>
  <c r="T90" i="26" s="1"/>
  <c r="U91" i="26" s="1"/>
  <c r="V92" i="26" s="1"/>
  <c r="W93" i="26" s="1"/>
  <c r="X94" i="26" s="1"/>
  <c r="Y95" i="26" s="1"/>
  <c r="Z96" i="26" s="1"/>
  <c r="AA97" i="26" s="1"/>
  <c r="AB98" i="26" s="1"/>
  <c r="AC99" i="26" s="1"/>
  <c r="AD100" i="26" s="1"/>
  <c r="AE101" i="26" s="1"/>
  <c r="O81" i="26"/>
  <c r="P82" i="26" s="1"/>
  <c r="Q83" i="26" s="1"/>
  <c r="R84" i="26" s="1"/>
  <c r="S85" i="26" s="1"/>
  <c r="T86" i="26" s="1"/>
  <c r="U87" i="26" s="1"/>
  <c r="V88" i="26" s="1"/>
  <c r="W89" i="26" s="1"/>
  <c r="X90" i="26" s="1"/>
  <c r="Y91" i="26" s="1"/>
  <c r="Z92" i="26" s="1"/>
  <c r="AA93" i="26" s="1"/>
  <c r="AB94" i="26" s="1"/>
  <c r="AC95" i="26" s="1"/>
  <c r="AD96" i="26" s="1"/>
  <c r="AE97" i="26" s="1"/>
  <c r="AC81" i="26"/>
  <c r="AD82" i="26" s="1"/>
  <c r="AE83" i="26" s="1"/>
  <c r="Z52" i="26"/>
  <c r="AA53" i="26" s="1"/>
  <c r="AB54" i="26" s="1"/>
  <c r="AC55" i="26" s="1"/>
  <c r="AD56" i="26" s="1"/>
  <c r="AE57" i="26" s="1"/>
  <c r="V52" i="26"/>
  <c r="W53" i="26" s="1"/>
  <c r="X54" i="26" s="1"/>
  <c r="Y55" i="26" s="1"/>
  <c r="Z56" i="26" s="1"/>
  <c r="AA57" i="26" s="1"/>
  <c r="AB58" i="26" s="1"/>
  <c r="AC59" i="26" s="1"/>
  <c r="AD60" i="26" s="1"/>
  <c r="AE61" i="26" s="1"/>
  <c r="R52" i="26"/>
  <c r="S53" i="26" s="1"/>
  <c r="T54" i="26" s="1"/>
  <c r="U55" i="26" s="1"/>
  <c r="V56" i="26" s="1"/>
  <c r="W57" i="26" s="1"/>
  <c r="X58" i="26" s="1"/>
  <c r="Y59" i="26" s="1"/>
  <c r="Z60" i="26" s="1"/>
  <c r="AA61" i="26" s="1"/>
  <c r="AB62" i="26" s="1"/>
  <c r="AC63" i="26" s="1"/>
  <c r="AD64" i="26" s="1"/>
  <c r="AE65" i="26" s="1"/>
  <c r="J52" i="26"/>
  <c r="K53" i="26" s="1"/>
  <c r="L54" i="26" s="1"/>
  <c r="M55" i="26" s="1"/>
  <c r="N56" i="26" s="1"/>
  <c r="O57" i="26" s="1"/>
  <c r="P58" i="26" s="1"/>
  <c r="Q59" i="26" s="1"/>
  <c r="R60" i="26" s="1"/>
  <c r="S61" i="26" s="1"/>
  <c r="T62" i="26" s="1"/>
  <c r="U63" i="26" s="1"/>
  <c r="V64" i="26" s="1"/>
  <c r="W65" i="26" s="1"/>
  <c r="X66" i="26" s="1"/>
  <c r="Y67" i="26" s="1"/>
  <c r="Z68" i="26" s="1"/>
  <c r="AA69" i="26" s="1"/>
  <c r="AB70" i="26" s="1"/>
  <c r="AC71" i="26" s="1"/>
  <c r="AD72" i="26" s="1"/>
  <c r="AE73" i="26" s="1"/>
  <c r="AC52" i="26"/>
  <c r="AD53" i="26" s="1"/>
  <c r="AE54" i="26" s="1"/>
  <c r="Y52" i="26"/>
  <c r="Z53" i="26" s="1"/>
  <c r="AA54" i="26" s="1"/>
  <c r="AB55" i="26" s="1"/>
  <c r="AC56" i="26" s="1"/>
  <c r="AD57" i="26" s="1"/>
  <c r="AE58" i="26" s="1"/>
  <c r="Q52" i="26"/>
  <c r="R53" i="26" s="1"/>
  <c r="S54" i="26" s="1"/>
  <c r="T55" i="26" s="1"/>
  <c r="U56" i="26" s="1"/>
  <c r="V57" i="26" s="1"/>
  <c r="W58" i="26" s="1"/>
  <c r="X59" i="26" s="1"/>
  <c r="Y60" i="26" s="1"/>
  <c r="Z61" i="26" s="1"/>
  <c r="AA62" i="26" s="1"/>
  <c r="AB63" i="26" s="1"/>
  <c r="AC64" i="26" s="1"/>
  <c r="AD65" i="26" s="1"/>
  <c r="AE66" i="26" s="1"/>
  <c r="I52" i="26"/>
  <c r="J53" i="26" s="1"/>
  <c r="K54" i="26" s="1"/>
  <c r="L55" i="26" s="1"/>
  <c r="M56" i="26" s="1"/>
  <c r="N57" i="26" s="1"/>
  <c r="O58" i="26" s="1"/>
  <c r="P59" i="26" s="1"/>
  <c r="Q60" i="26" s="1"/>
  <c r="R61" i="26" s="1"/>
  <c r="S62" i="26" s="1"/>
  <c r="T63" i="26" s="1"/>
  <c r="U64" i="26" s="1"/>
  <c r="V65" i="26" s="1"/>
  <c r="W66" i="26" s="1"/>
  <c r="X67" i="26" s="1"/>
  <c r="Y68" i="26" s="1"/>
  <c r="Z69" i="26" s="1"/>
  <c r="AA70" i="26" s="1"/>
  <c r="AB71" i="26" s="1"/>
  <c r="AC72" i="26" s="1"/>
  <c r="AD73" i="26" s="1"/>
  <c r="AE74" i="26" s="1"/>
  <c r="M52" i="26"/>
  <c r="N53" i="26" s="1"/>
  <c r="O54" i="26" s="1"/>
  <c r="P55" i="26" s="1"/>
  <c r="Q56" i="26" s="1"/>
  <c r="R57" i="26" s="1"/>
  <c r="S58" i="26" s="1"/>
  <c r="T59" i="26" s="1"/>
  <c r="U60" i="26" s="1"/>
  <c r="V61" i="26" s="1"/>
  <c r="W62" i="26" s="1"/>
  <c r="X63" i="26" s="1"/>
  <c r="Y64" i="26" s="1"/>
  <c r="Z65" i="26" s="1"/>
  <c r="AA66" i="26" s="1"/>
  <c r="AB67" i="26" s="1"/>
  <c r="AC68" i="26" s="1"/>
  <c r="AD69" i="26" s="1"/>
  <c r="AE70" i="26" s="1"/>
  <c r="AB52" i="26"/>
  <c r="AC53" i="26" s="1"/>
  <c r="AD54" i="26" s="1"/>
  <c r="AE55" i="26" s="1"/>
  <c r="X52" i="26"/>
  <c r="Y53" i="26" s="1"/>
  <c r="Z54" i="26" s="1"/>
  <c r="AA55" i="26" s="1"/>
  <c r="AB56" i="26" s="1"/>
  <c r="AC57" i="26" s="1"/>
  <c r="AD58" i="26" s="1"/>
  <c r="AE59" i="26" s="1"/>
  <c r="T52" i="26"/>
  <c r="U53" i="26" s="1"/>
  <c r="V54" i="26" s="1"/>
  <c r="W55" i="26" s="1"/>
  <c r="X56" i="26" s="1"/>
  <c r="Y57" i="26" s="1"/>
  <c r="Z58" i="26" s="1"/>
  <c r="AA59" i="26" s="1"/>
  <c r="AB60" i="26" s="1"/>
  <c r="AC61" i="26" s="1"/>
  <c r="AD62" i="26" s="1"/>
  <c r="AE63" i="26" s="1"/>
  <c r="P52" i="26"/>
  <c r="Q53" i="26" s="1"/>
  <c r="R54" i="26" s="1"/>
  <c r="S55" i="26" s="1"/>
  <c r="T56" i="26" s="1"/>
  <c r="U57" i="26" s="1"/>
  <c r="V58" i="26" s="1"/>
  <c r="W59" i="26" s="1"/>
  <c r="X60" i="26" s="1"/>
  <c r="Y61" i="26" s="1"/>
  <c r="Z62" i="26" s="1"/>
  <c r="AA63" i="26" s="1"/>
  <c r="AB64" i="26" s="1"/>
  <c r="AC65" i="26" s="1"/>
  <c r="AD66" i="26" s="1"/>
  <c r="AE67" i="26" s="1"/>
  <c r="L52" i="26"/>
  <c r="M53" i="26" s="1"/>
  <c r="N54" i="26" s="1"/>
  <c r="O55" i="26" s="1"/>
  <c r="P56" i="26" s="1"/>
  <c r="Q57" i="26" s="1"/>
  <c r="R58" i="26" s="1"/>
  <c r="S59" i="26" s="1"/>
  <c r="T60" i="26" s="1"/>
  <c r="U61" i="26" s="1"/>
  <c r="V62" i="26" s="1"/>
  <c r="W63" i="26" s="1"/>
  <c r="X64" i="26" s="1"/>
  <c r="Y65" i="26" s="1"/>
  <c r="Z66" i="26" s="1"/>
  <c r="AA67" i="26" s="1"/>
  <c r="AB68" i="26" s="1"/>
  <c r="AC69" i="26" s="1"/>
  <c r="AD70" i="26" s="1"/>
  <c r="AE71" i="26" s="1"/>
  <c r="H52" i="26"/>
  <c r="I53" i="26" s="1"/>
  <c r="J54" i="26" s="1"/>
  <c r="K55" i="26" s="1"/>
  <c r="L56" i="26" s="1"/>
  <c r="M57" i="26" s="1"/>
  <c r="N58" i="26" s="1"/>
  <c r="O59" i="26" s="1"/>
  <c r="P60" i="26" s="1"/>
  <c r="Q61" i="26" s="1"/>
  <c r="R62" i="26" s="1"/>
  <c r="S63" i="26" s="1"/>
  <c r="T64" i="26" s="1"/>
  <c r="U65" i="26" s="1"/>
  <c r="V66" i="26" s="1"/>
  <c r="W67" i="26" s="1"/>
  <c r="X68" i="26" s="1"/>
  <c r="Y69" i="26" s="1"/>
  <c r="Z70" i="26" s="1"/>
  <c r="AA71" i="26" s="1"/>
  <c r="AB72" i="26" s="1"/>
  <c r="AC73" i="26" s="1"/>
  <c r="AD74" i="26" s="1"/>
  <c r="AE75" i="26" s="1"/>
  <c r="AD52" i="26"/>
  <c r="AE53" i="26" s="1"/>
  <c r="N52" i="26"/>
  <c r="O53" i="26" s="1"/>
  <c r="P54" i="26" s="1"/>
  <c r="Q55" i="26" s="1"/>
  <c r="R56" i="26" s="1"/>
  <c r="AE52" i="26"/>
  <c r="AA52" i="26"/>
  <c r="AB53" i="26" s="1"/>
  <c r="AC54" i="26" s="1"/>
  <c r="AD55" i="26" s="1"/>
  <c r="AE56" i="26" s="1"/>
  <c r="W52" i="26"/>
  <c r="X53" i="26" s="1"/>
  <c r="Y54" i="26" s="1"/>
  <c r="Z55" i="26" s="1"/>
  <c r="AA56" i="26" s="1"/>
  <c r="AB57" i="26" s="1"/>
  <c r="AC58" i="26" s="1"/>
  <c r="AD59" i="26" s="1"/>
  <c r="AE60" i="26" s="1"/>
  <c r="S52" i="26"/>
  <c r="T53" i="26" s="1"/>
  <c r="U54" i="26" s="1"/>
  <c r="V55" i="26" s="1"/>
  <c r="W56" i="26" s="1"/>
  <c r="X57" i="26" s="1"/>
  <c r="Y58" i="26" s="1"/>
  <c r="Z59" i="26" s="1"/>
  <c r="AA60" i="26" s="1"/>
  <c r="AB61" i="26" s="1"/>
  <c r="AC62" i="26" s="1"/>
  <c r="AD63" i="26" s="1"/>
  <c r="AE64" i="26" s="1"/>
  <c r="O52" i="26"/>
  <c r="P53" i="26" s="1"/>
  <c r="Q54" i="26" s="1"/>
  <c r="R55" i="26" s="1"/>
  <c r="S56" i="26" s="1"/>
  <c r="T57" i="26" s="1"/>
  <c r="U58" i="26" s="1"/>
  <c r="V59" i="26" s="1"/>
  <c r="W60" i="26" s="1"/>
  <c r="X61" i="26" s="1"/>
  <c r="Y62" i="26" s="1"/>
  <c r="Z63" i="26" s="1"/>
  <c r="AA64" i="26" s="1"/>
  <c r="AB65" i="26" s="1"/>
  <c r="AC66" i="26" s="1"/>
  <c r="AD67" i="26" s="1"/>
  <c r="AE68" i="26" s="1"/>
  <c r="I23" i="26"/>
  <c r="J24" i="26" s="1"/>
  <c r="K25" i="26" s="1"/>
  <c r="L26" i="26" s="1"/>
  <c r="M27" i="26" s="1"/>
  <c r="N28" i="26" s="1"/>
  <c r="O29" i="26" s="1"/>
  <c r="P30" i="26" s="1"/>
  <c r="Q31" i="26" s="1"/>
  <c r="R32" i="26" s="1"/>
  <c r="S33" i="26" s="1"/>
  <c r="T34" i="26" s="1"/>
  <c r="U35" i="26" s="1"/>
  <c r="V36" i="26" s="1"/>
  <c r="W37" i="26" s="1"/>
  <c r="X38" i="26" s="1"/>
  <c r="Y39" i="26" s="1"/>
  <c r="Z40" i="26" s="1"/>
  <c r="AA41" i="26" s="1"/>
  <c r="AB42" i="26" s="1"/>
  <c r="AC43" i="26" s="1"/>
  <c r="AD44" i="26" s="1"/>
  <c r="AE45" i="26" s="1"/>
  <c r="M23" i="26"/>
  <c r="N24" i="26" s="1"/>
  <c r="O25" i="26" s="1"/>
  <c r="P26" i="26" s="1"/>
  <c r="Q27" i="26" s="1"/>
  <c r="R28" i="26" s="1"/>
  <c r="S29" i="26" s="1"/>
  <c r="T30" i="26" s="1"/>
  <c r="U31" i="26" s="1"/>
  <c r="V32" i="26" s="1"/>
  <c r="W33" i="26" s="1"/>
  <c r="X34" i="26" s="1"/>
  <c r="Y35" i="26" s="1"/>
  <c r="Z36" i="26" s="1"/>
  <c r="AA37" i="26" s="1"/>
  <c r="AB38" i="26" s="1"/>
  <c r="AC39" i="26" s="1"/>
  <c r="AD40" i="26" s="1"/>
  <c r="AE41" i="26" s="1"/>
  <c r="Q23" i="26"/>
  <c r="R24" i="26" s="1"/>
  <c r="S25" i="26" s="1"/>
  <c r="T26" i="26" s="1"/>
  <c r="U27" i="26" s="1"/>
  <c r="V28" i="26" s="1"/>
  <c r="W29" i="26" s="1"/>
  <c r="X30" i="26" s="1"/>
  <c r="Y31" i="26" s="1"/>
  <c r="Z32" i="26" s="1"/>
  <c r="AA33" i="26" s="1"/>
  <c r="AB34" i="26" s="1"/>
  <c r="AC35" i="26" s="1"/>
  <c r="AD36" i="26" s="1"/>
  <c r="AE37" i="26" s="1"/>
  <c r="U23" i="26"/>
  <c r="V24" i="26" s="1"/>
  <c r="W25" i="26" s="1"/>
  <c r="X26" i="26" s="1"/>
  <c r="Y27" i="26" s="1"/>
  <c r="Z28" i="26" s="1"/>
  <c r="AA29" i="26" s="1"/>
  <c r="AB30" i="26" s="1"/>
  <c r="AC31" i="26" s="1"/>
  <c r="AD32" i="26" s="1"/>
  <c r="AE33" i="26" s="1"/>
  <c r="Y23" i="26"/>
  <c r="Z24" i="26" s="1"/>
  <c r="AA25" i="26" s="1"/>
  <c r="AB26" i="26" s="1"/>
  <c r="AC27" i="26" s="1"/>
  <c r="AD28" i="26" s="1"/>
  <c r="AE29" i="26" s="1"/>
  <c r="AC23" i="26"/>
  <c r="AD24" i="26" s="1"/>
  <c r="AE25" i="26" s="1"/>
  <c r="G23" i="26"/>
  <c r="H24" i="26" s="1"/>
  <c r="I25" i="26" s="1"/>
  <c r="J26" i="26" s="1"/>
  <c r="K27" i="26" s="1"/>
  <c r="L28" i="26" s="1"/>
  <c r="M29" i="26" s="1"/>
  <c r="N30" i="26" s="1"/>
  <c r="O31" i="26" s="1"/>
  <c r="P32" i="26" s="1"/>
  <c r="Q33" i="26" s="1"/>
  <c r="R34" i="26" s="1"/>
  <c r="S35" i="26" s="1"/>
  <c r="T36" i="26" s="1"/>
  <c r="U37" i="26" s="1"/>
  <c r="V38" i="26" s="1"/>
  <c r="W39" i="26" s="1"/>
  <c r="X40" i="26" s="1"/>
  <c r="Y41" i="26" s="1"/>
  <c r="Z42" i="26" s="1"/>
  <c r="AA43" i="26" s="1"/>
  <c r="AB44" i="26" s="1"/>
  <c r="AC45" i="26" s="1"/>
  <c r="AD46" i="26" s="1"/>
  <c r="K23" i="26"/>
  <c r="L24" i="26" s="1"/>
  <c r="M25" i="26" s="1"/>
  <c r="N26" i="26" s="1"/>
  <c r="O27" i="26" s="1"/>
  <c r="P28" i="26" s="1"/>
  <c r="Q29" i="26" s="1"/>
  <c r="R30" i="26" s="1"/>
  <c r="S31" i="26" s="1"/>
  <c r="T32" i="26" s="1"/>
  <c r="U33" i="26" s="1"/>
  <c r="V34" i="26" s="1"/>
  <c r="W35" i="26" s="1"/>
  <c r="X36" i="26" s="1"/>
  <c r="Y37" i="26" s="1"/>
  <c r="Z38" i="26" s="1"/>
  <c r="AA39" i="26" s="1"/>
  <c r="AB40" i="26" s="1"/>
  <c r="AC41" i="26" s="1"/>
  <c r="AD42" i="26" s="1"/>
  <c r="AE43" i="26" s="1"/>
  <c r="O23" i="26"/>
  <c r="P24" i="26" s="1"/>
  <c r="Q25" i="26" s="1"/>
  <c r="R26" i="26" s="1"/>
  <c r="S27" i="26" s="1"/>
  <c r="T28" i="26" s="1"/>
  <c r="U29" i="26" s="1"/>
  <c r="V30" i="26" s="1"/>
  <c r="W31" i="26" s="1"/>
  <c r="X32" i="26" s="1"/>
  <c r="Y33" i="26" s="1"/>
  <c r="Z34" i="26" s="1"/>
  <c r="AA35" i="26" s="1"/>
  <c r="AB36" i="26" s="1"/>
  <c r="AC37" i="26" s="1"/>
  <c r="AD38" i="26" s="1"/>
  <c r="AE39" i="26" s="1"/>
  <c r="W23" i="26"/>
  <c r="X24" i="26" s="1"/>
  <c r="Y25" i="26" s="1"/>
  <c r="Z26" i="26" s="1"/>
  <c r="AA27" i="26" s="1"/>
  <c r="AB28" i="26" s="1"/>
  <c r="AC29" i="26" s="1"/>
  <c r="AD30" i="26" s="1"/>
  <c r="AE31" i="26" s="1"/>
  <c r="AE23" i="26"/>
  <c r="S23" i="26"/>
  <c r="T24" i="26" s="1"/>
  <c r="U25" i="26" s="1"/>
  <c r="V26" i="26" s="1"/>
  <c r="W27" i="26" s="1"/>
  <c r="X28" i="26" s="1"/>
  <c r="Y29" i="26" s="1"/>
  <c r="Z30" i="26" s="1"/>
  <c r="AA31" i="26" s="1"/>
  <c r="AB32" i="26" s="1"/>
  <c r="AC33" i="26" s="1"/>
  <c r="AD34" i="26" s="1"/>
  <c r="AE35" i="26" s="1"/>
  <c r="H23" i="26"/>
  <c r="I24" i="26" s="1"/>
  <c r="J25" i="26" s="1"/>
  <c r="K26" i="26" s="1"/>
  <c r="L27" i="26" s="1"/>
  <c r="M28" i="26" s="1"/>
  <c r="N29" i="26" s="1"/>
  <c r="O30" i="26" s="1"/>
  <c r="P31" i="26" s="1"/>
  <c r="Q32" i="26" s="1"/>
  <c r="R33" i="26" s="1"/>
  <c r="S34" i="26" s="1"/>
  <c r="T35" i="26" s="1"/>
  <c r="U36" i="26" s="1"/>
  <c r="V37" i="26" s="1"/>
  <c r="W38" i="26" s="1"/>
  <c r="X39" i="26" s="1"/>
  <c r="Y40" i="26" s="1"/>
  <c r="Z41" i="26" s="1"/>
  <c r="AA42" i="26" s="1"/>
  <c r="AB43" i="26" s="1"/>
  <c r="AC44" i="26" s="1"/>
  <c r="AD45" i="26" s="1"/>
  <c r="AE46" i="26" s="1"/>
  <c r="P23" i="26"/>
  <c r="Q24" i="26" s="1"/>
  <c r="R25" i="26" s="1"/>
  <c r="S26" i="26" s="1"/>
  <c r="T27" i="26" s="1"/>
  <c r="U28" i="26" s="1"/>
  <c r="V29" i="26" s="1"/>
  <c r="W30" i="26" s="1"/>
  <c r="X31" i="26" s="1"/>
  <c r="Y32" i="26" s="1"/>
  <c r="Z33" i="26" s="1"/>
  <c r="AA34" i="26" s="1"/>
  <c r="AB35" i="26" s="1"/>
  <c r="AC36" i="26" s="1"/>
  <c r="AD37" i="26" s="1"/>
  <c r="AE38" i="26" s="1"/>
  <c r="T23" i="26"/>
  <c r="U24" i="26" s="1"/>
  <c r="V25" i="26" s="1"/>
  <c r="W26" i="26" s="1"/>
  <c r="X27" i="26" s="1"/>
  <c r="Y28" i="26" s="1"/>
  <c r="Z29" i="26" s="1"/>
  <c r="AA30" i="26" s="1"/>
  <c r="AB31" i="26" s="1"/>
  <c r="AC32" i="26" s="1"/>
  <c r="AD33" i="26" s="1"/>
  <c r="AE34" i="26" s="1"/>
  <c r="X23" i="26"/>
  <c r="Y24" i="26" s="1"/>
  <c r="Z25" i="26" s="1"/>
  <c r="AA26" i="26" s="1"/>
  <c r="AB27" i="26" s="1"/>
  <c r="AC28" i="26" s="1"/>
  <c r="AD29" i="26" s="1"/>
  <c r="AE30" i="26" s="1"/>
  <c r="AC25" i="26"/>
  <c r="AD26" i="26" s="1"/>
  <c r="AE27" i="26" s="1"/>
  <c r="F23" i="26"/>
  <c r="J23" i="26"/>
  <c r="N23" i="26"/>
  <c r="R23" i="26"/>
  <c r="V23" i="26"/>
  <c r="Z23" i="26"/>
  <c r="AD23" i="26"/>
  <c r="H81" i="26"/>
  <c r="Y81" i="26"/>
  <c r="L64" i="26"/>
  <c r="M65" i="26" s="1"/>
  <c r="N66" i="26" s="1"/>
  <c r="O67" i="26" s="1"/>
  <c r="P68" i="26" s="1"/>
  <c r="Q69" i="26" s="1"/>
  <c r="R70" i="26" s="1"/>
  <c r="S71" i="26" s="1"/>
  <c r="T72" i="26" s="1"/>
  <c r="U73" i="26" s="1"/>
  <c r="V74" i="26" s="1"/>
  <c r="W75" i="26" s="1"/>
  <c r="G70" i="26"/>
  <c r="H71" i="26" s="1"/>
  <c r="I72" i="26" s="1"/>
  <c r="J73" i="26" s="1"/>
  <c r="K74" i="26" s="1"/>
  <c r="L75" i="26" s="1"/>
  <c r="C3" i="4" l="1"/>
  <c r="D4" i="4"/>
  <c r="E55" i="26"/>
  <c r="F56" i="26" s="1"/>
  <c r="G57" i="26" s="1"/>
  <c r="H58" i="26" s="1"/>
  <c r="I59" i="26" s="1"/>
  <c r="J60" i="26" s="1"/>
  <c r="K61" i="26" s="1"/>
  <c r="L62" i="26" s="1"/>
  <c r="M63" i="26" s="1"/>
  <c r="N64" i="26" s="1"/>
  <c r="O65" i="26" s="1"/>
  <c r="P66" i="26" s="1"/>
  <c r="Q67" i="26" s="1"/>
  <c r="R68" i="26" s="1"/>
  <c r="S69" i="26" s="1"/>
  <c r="T70" i="26" s="1"/>
  <c r="U71" i="26" s="1"/>
  <c r="V72" i="26" s="1"/>
  <c r="W73" i="26" s="1"/>
  <c r="X74" i="26" s="1"/>
  <c r="Y75" i="26" s="1"/>
  <c r="E81" i="26"/>
  <c r="E52" i="26"/>
  <c r="AE24" i="26"/>
  <c r="W24" i="26"/>
  <c r="O24" i="26"/>
  <c r="G24" i="26"/>
  <c r="AA24" i="26"/>
  <c r="S24" i="26"/>
  <c r="K24" i="26"/>
  <c r="Z82" i="26"/>
  <c r="I82" i="26"/>
  <c r="S57" i="26"/>
  <c r="B3" i="4" l="1"/>
  <c r="B4" i="4" s="1"/>
  <c r="C4" i="4"/>
  <c r="F53" i="26"/>
  <c r="F82" i="26"/>
  <c r="F24" i="26"/>
  <c r="AB25" i="26"/>
  <c r="P25" i="26"/>
  <c r="L25" i="26"/>
  <c r="H25" i="26"/>
  <c r="X25" i="26"/>
  <c r="T25" i="26"/>
  <c r="J83" i="26"/>
  <c r="AA83" i="26"/>
  <c r="T58" i="26"/>
  <c r="G54" i="26" l="1"/>
  <c r="G83" i="26"/>
  <c r="G25" i="26"/>
  <c r="I26" i="26"/>
  <c r="Q26" i="26"/>
  <c r="Y26" i="26"/>
  <c r="M26" i="26"/>
  <c r="U26" i="26"/>
  <c r="AC26" i="26"/>
  <c r="AB84" i="26"/>
  <c r="K84" i="26"/>
  <c r="U59" i="26"/>
  <c r="D168" i="18"/>
  <c r="D167" i="18"/>
  <c r="D80" i="18" s="1"/>
  <c r="D166" i="18"/>
  <c r="E167" i="18" s="1"/>
  <c r="F168" i="18" s="1"/>
  <c r="D165" i="18"/>
  <c r="D78" i="18" s="1"/>
  <c r="D164" i="18"/>
  <c r="E165" i="18" s="1"/>
  <c r="F166" i="18" s="1"/>
  <c r="G167" i="18" s="1"/>
  <c r="H168" i="18" s="1"/>
  <c r="I169" i="18" s="1"/>
  <c r="J170" i="18" s="1"/>
  <c r="K171" i="18" s="1"/>
  <c r="L172" i="18" s="1"/>
  <c r="M173" i="18" s="1"/>
  <c r="M86" i="18" s="1"/>
  <c r="D163" i="18"/>
  <c r="D162" i="18"/>
  <c r="E163" i="18" s="1"/>
  <c r="F164" i="18" s="1"/>
  <c r="G165" i="18" s="1"/>
  <c r="H166" i="18" s="1"/>
  <c r="H79" i="18" s="1"/>
  <c r="D161" i="18"/>
  <c r="D160" i="18"/>
  <c r="E161" i="18" s="1"/>
  <c r="F162" i="18" s="1"/>
  <c r="D159" i="18"/>
  <c r="E160" i="18" s="1"/>
  <c r="D158" i="18"/>
  <c r="E159" i="18" s="1"/>
  <c r="F160" i="18" s="1"/>
  <c r="G161" i="18" s="1"/>
  <c r="D157" i="18"/>
  <c r="E158" i="18" s="1"/>
  <c r="F159" i="18" s="1"/>
  <c r="G160" i="18" s="1"/>
  <c r="H161" i="18" s="1"/>
  <c r="D154" i="18"/>
  <c r="E155" i="18" s="1"/>
  <c r="F156" i="18" s="1"/>
  <c r="G157" i="18" s="1"/>
  <c r="H158" i="18" s="1"/>
  <c r="I159" i="18" s="1"/>
  <c r="J160" i="18" s="1"/>
  <c r="D153" i="18"/>
  <c r="E154" i="18" s="1"/>
  <c r="F155" i="18" s="1"/>
  <c r="D152" i="18"/>
  <c r="E153" i="18" s="1"/>
  <c r="F154" i="18" s="1"/>
  <c r="G155" i="18" s="1"/>
  <c r="H156" i="18" s="1"/>
  <c r="I157" i="18" s="1"/>
  <c r="J158" i="18" s="1"/>
  <c r="K159" i="18" s="1"/>
  <c r="L160" i="18" s="1"/>
  <c r="M161" i="18" s="1"/>
  <c r="N162" i="18" s="1"/>
  <c r="O163" i="18" s="1"/>
  <c r="P164" i="18" s="1"/>
  <c r="Q165" i="18" s="1"/>
  <c r="R166" i="18" s="1"/>
  <c r="S167" i="18" s="1"/>
  <c r="T168" i="18" s="1"/>
  <c r="U169" i="18" s="1"/>
  <c r="D151" i="18"/>
  <c r="E152" i="18" s="1"/>
  <c r="F153" i="18" s="1"/>
  <c r="G154" i="18" s="1"/>
  <c r="H155" i="18" s="1"/>
  <c r="I156" i="18" s="1"/>
  <c r="J157" i="18" s="1"/>
  <c r="K158" i="18" s="1"/>
  <c r="L159" i="18" s="1"/>
  <c r="M160" i="18" s="1"/>
  <c r="N161" i="18" s="1"/>
  <c r="O162" i="18" s="1"/>
  <c r="P163" i="18" s="1"/>
  <c r="Q164" i="18" s="1"/>
  <c r="R165" i="18" s="1"/>
  <c r="S166" i="18" s="1"/>
  <c r="T167" i="18" s="1"/>
  <c r="AB149" i="18"/>
  <c r="AB62" i="18" s="1"/>
  <c r="AA149" i="18"/>
  <c r="AA62" i="18" s="1"/>
  <c r="Z149" i="18"/>
  <c r="AA150" i="18" s="1"/>
  <c r="Y149" i="18"/>
  <c r="Z150" i="18" s="1"/>
  <c r="AA151" i="18" s="1"/>
  <c r="AB152" i="18" s="1"/>
  <c r="X149" i="18"/>
  <c r="X62" i="18" s="1"/>
  <c r="W149" i="18"/>
  <c r="W62" i="18" s="1"/>
  <c r="V149" i="18"/>
  <c r="W150" i="18" s="1"/>
  <c r="X151" i="18" s="1"/>
  <c r="Y152" i="18" s="1"/>
  <c r="U149" i="18"/>
  <c r="V150" i="18" s="1"/>
  <c r="W151" i="18" s="1"/>
  <c r="T149" i="18"/>
  <c r="T62" i="18" s="1"/>
  <c r="S149" i="18"/>
  <c r="S62" i="18" s="1"/>
  <c r="R149" i="18"/>
  <c r="S150" i="18" s="1"/>
  <c r="Q149" i="18"/>
  <c r="R150" i="18" s="1"/>
  <c r="P149" i="18"/>
  <c r="P62" i="18" s="1"/>
  <c r="O149" i="18"/>
  <c r="P150" i="18" s="1"/>
  <c r="P63" i="18" s="1"/>
  <c r="N149" i="18"/>
  <c r="O150" i="18" s="1"/>
  <c r="M149" i="18"/>
  <c r="N150" i="18" s="1"/>
  <c r="O151" i="18" s="1"/>
  <c r="P152" i="18" s="1"/>
  <c r="Q153" i="18" s="1"/>
  <c r="R154" i="18" s="1"/>
  <c r="S155" i="18" s="1"/>
  <c r="T156" i="18" s="1"/>
  <c r="U157" i="18" s="1"/>
  <c r="V158" i="18" s="1"/>
  <c r="L149" i="18"/>
  <c r="M150" i="18" s="1"/>
  <c r="M63" i="18" s="1"/>
  <c r="K149" i="18"/>
  <c r="K62" i="18" s="1"/>
  <c r="J149" i="18"/>
  <c r="K150" i="18" s="1"/>
  <c r="I149" i="18"/>
  <c r="J150" i="18" s="1"/>
  <c r="K151" i="18" s="1"/>
  <c r="L152" i="18" s="1"/>
  <c r="M153" i="18" s="1"/>
  <c r="N154" i="18" s="1"/>
  <c r="H149" i="18"/>
  <c r="H62" i="18" s="1"/>
  <c r="G149" i="18"/>
  <c r="G62" i="18" s="1"/>
  <c r="F149" i="18"/>
  <c r="G150" i="18" s="1"/>
  <c r="H151" i="18" s="1"/>
  <c r="I152" i="18" s="1"/>
  <c r="J153" i="18" s="1"/>
  <c r="K154" i="18" s="1"/>
  <c r="L155" i="18" s="1"/>
  <c r="M156" i="18" s="1"/>
  <c r="E149" i="18"/>
  <c r="F150" i="18" s="1"/>
  <c r="F63" i="18" s="1"/>
  <c r="D139" i="18"/>
  <c r="E140" i="18" s="1"/>
  <c r="F141" i="18" s="1"/>
  <c r="G142" i="18" s="1"/>
  <c r="D138" i="18"/>
  <c r="D137" i="18"/>
  <c r="D136" i="18"/>
  <c r="E137" i="18" s="1"/>
  <c r="F138" i="18" s="1"/>
  <c r="G139" i="18" s="1"/>
  <c r="H140" i="18" s="1"/>
  <c r="D135" i="18"/>
  <c r="E136" i="18" s="1"/>
  <c r="F137" i="18" s="1"/>
  <c r="G138" i="18" s="1"/>
  <c r="H139" i="18" s="1"/>
  <c r="I140" i="18" s="1"/>
  <c r="J141" i="18" s="1"/>
  <c r="K142" i="18" s="1"/>
  <c r="L143" i="18" s="1"/>
  <c r="M144" i="18" s="1"/>
  <c r="M57" i="18" s="1"/>
  <c r="D134" i="18"/>
  <c r="E135" i="18" s="1"/>
  <c r="D133" i="18"/>
  <c r="E134" i="18" s="1"/>
  <c r="F135" i="18" s="1"/>
  <c r="G136" i="18" s="1"/>
  <c r="H137" i="18" s="1"/>
  <c r="I138" i="18" s="1"/>
  <c r="J139" i="18" s="1"/>
  <c r="C44" i="18"/>
  <c r="D131" i="18"/>
  <c r="E132" i="18" s="1"/>
  <c r="F133" i="18" s="1"/>
  <c r="G134" i="18" s="1"/>
  <c r="H135" i="18" s="1"/>
  <c r="I136" i="18" s="1"/>
  <c r="I49" i="18" s="1"/>
  <c r="D130" i="18"/>
  <c r="D129" i="18"/>
  <c r="E130" i="18" s="1"/>
  <c r="F131" i="18" s="1"/>
  <c r="D128" i="18"/>
  <c r="E129" i="18" s="1"/>
  <c r="E42" i="18" s="1"/>
  <c r="D126" i="18"/>
  <c r="E127" i="18" s="1"/>
  <c r="E40" i="18" s="1"/>
  <c r="D127" i="18"/>
  <c r="C37" i="18"/>
  <c r="D124" i="18"/>
  <c r="E125" i="18" s="1"/>
  <c r="C35" i="18"/>
  <c r="D122" i="18"/>
  <c r="AB120" i="18"/>
  <c r="AB33" i="18" s="1"/>
  <c r="AA120" i="18"/>
  <c r="Z120" i="18"/>
  <c r="AA121" i="18" s="1"/>
  <c r="AB122" i="18" s="1"/>
  <c r="AB35" i="18" s="1"/>
  <c r="Y120" i="18"/>
  <c r="Y33" i="18" s="1"/>
  <c r="X120" i="18"/>
  <c r="Y121" i="18" s="1"/>
  <c r="Y34" i="18" s="1"/>
  <c r="W120" i="18"/>
  <c r="V120" i="18"/>
  <c r="V33" i="18" s="1"/>
  <c r="U120" i="18"/>
  <c r="U33" i="18" s="1"/>
  <c r="T120" i="18"/>
  <c r="U121" i="18" s="1"/>
  <c r="U34" i="18" s="1"/>
  <c r="S120" i="18"/>
  <c r="T121" i="18" s="1"/>
  <c r="R120" i="18"/>
  <c r="R33" i="18" s="1"/>
  <c r="Q120" i="18"/>
  <c r="Q33" i="18" s="1"/>
  <c r="P120" i="18"/>
  <c r="Q121" i="18" s="1"/>
  <c r="O120" i="18"/>
  <c r="P121" i="18" s="1"/>
  <c r="Q122" i="18" s="1"/>
  <c r="N120" i="18"/>
  <c r="N33" i="18" s="1"/>
  <c r="M120" i="18"/>
  <c r="M33" i="18" s="1"/>
  <c r="L120" i="18"/>
  <c r="M121" i="18" s="1"/>
  <c r="K120" i="18"/>
  <c r="J120" i="18"/>
  <c r="K121" i="18" s="1"/>
  <c r="L122" i="18" s="1"/>
  <c r="M123" i="18" s="1"/>
  <c r="N124" i="18" s="1"/>
  <c r="O125" i="18" s="1"/>
  <c r="I120" i="18"/>
  <c r="I33" i="18" s="1"/>
  <c r="H120" i="18"/>
  <c r="I121" i="18" s="1"/>
  <c r="G120" i="18"/>
  <c r="F120" i="18"/>
  <c r="F33" i="18" s="1"/>
  <c r="E120" i="18"/>
  <c r="E33" i="18" s="1"/>
  <c r="C33" i="18"/>
  <c r="D115" i="18"/>
  <c r="D28" i="18" s="1"/>
  <c r="D114" i="18"/>
  <c r="E115" i="18" s="1"/>
  <c r="E28" i="18" s="1"/>
  <c r="D113" i="18"/>
  <c r="E114" i="18" s="1"/>
  <c r="F115" i="18" s="1"/>
  <c r="F28" i="18" s="1"/>
  <c r="D112" i="18"/>
  <c r="E113" i="18" s="1"/>
  <c r="D111" i="18"/>
  <c r="C21" i="18"/>
  <c r="D108" i="18"/>
  <c r="E109" i="18" s="1"/>
  <c r="F110" i="18" s="1"/>
  <c r="D107" i="18"/>
  <c r="E108" i="18" s="1"/>
  <c r="F109" i="18" s="1"/>
  <c r="D106" i="18"/>
  <c r="E107" i="18" s="1"/>
  <c r="F108" i="18" s="1"/>
  <c r="G109" i="18" s="1"/>
  <c r="C17" i="18"/>
  <c r="D104" i="18"/>
  <c r="E105" i="18" s="1"/>
  <c r="F106" i="18" s="1"/>
  <c r="F19" i="18" s="1"/>
  <c r="D103" i="18"/>
  <c r="E104" i="18" s="1"/>
  <c r="D102" i="18"/>
  <c r="E103" i="18" s="1"/>
  <c r="D101" i="18"/>
  <c r="E102" i="18" s="1"/>
  <c r="E15" i="18" s="1"/>
  <c r="D100" i="18"/>
  <c r="E101" i="18" s="1"/>
  <c r="F102" i="18" s="1"/>
  <c r="D99" i="18"/>
  <c r="E100" i="18" s="1"/>
  <c r="F101" i="18" s="1"/>
  <c r="D98" i="18"/>
  <c r="E99" i="18" s="1"/>
  <c r="F100" i="18" s="1"/>
  <c r="G101" i="18" s="1"/>
  <c r="D97" i="18"/>
  <c r="E98" i="18" s="1"/>
  <c r="D96" i="18"/>
  <c r="E97" i="18" s="1"/>
  <c r="F98" i="18" s="1"/>
  <c r="D95" i="18"/>
  <c r="E96" i="18" s="1"/>
  <c r="D94" i="18"/>
  <c r="E95" i="18" s="1"/>
  <c r="F96" i="18" s="1"/>
  <c r="C5" i="18"/>
  <c r="AB91" i="18"/>
  <c r="AB4" i="18" s="1"/>
  <c r="AA91" i="18"/>
  <c r="AA4" i="18" s="1"/>
  <c r="Z91" i="18"/>
  <c r="Y91" i="18"/>
  <c r="Z92" i="18" s="1"/>
  <c r="X91" i="18"/>
  <c r="X4" i="18" s="1"/>
  <c r="W91" i="18"/>
  <c r="X92" i="18" s="1"/>
  <c r="V91" i="18"/>
  <c r="U91" i="18"/>
  <c r="V92" i="18" s="1"/>
  <c r="W93" i="18" s="1"/>
  <c r="T91" i="18"/>
  <c r="U92" i="18" s="1"/>
  <c r="U5" i="18" s="1"/>
  <c r="S91" i="18"/>
  <c r="R91" i="18"/>
  <c r="Q91" i="18"/>
  <c r="R92" i="18" s="1"/>
  <c r="P91" i="18"/>
  <c r="Q92" i="18" s="1"/>
  <c r="Q5" i="18" s="1"/>
  <c r="O91" i="18"/>
  <c r="O4" i="18" s="1"/>
  <c r="N91" i="18"/>
  <c r="M91" i="18"/>
  <c r="N92" i="18" s="1"/>
  <c r="L91" i="18"/>
  <c r="M92" i="18" s="1"/>
  <c r="M5" i="18" s="1"/>
  <c r="K91" i="18"/>
  <c r="K4" i="18" s="1"/>
  <c r="J91" i="18"/>
  <c r="I91" i="18"/>
  <c r="J92" i="18" s="1"/>
  <c r="H91" i="18"/>
  <c r="H4" i="18" s="1"/>
  <c r="G91" i="18"/>
  <c r="G4" i="18" s="1"/>
  <c r="F91" i="18"/>
  <c r="E91" i="18"/>
  <c r="E4" i="18" s="1"/>
  <c r="D91" i="18"/>
  <c r="E92" i="18" s="1"/>
  <c r="F93" i="18" s="1"/>
  <c r="D92" i="18"/>
  <c r="AE86" i="18"/>
  <c r="AD86" i="18"/>
  <c r="AC86" i="18"/>
  <c r="AE85" i="18"/>
  <c r="AD85" i="18"/>
  <c r="AC85" i="18"/>
  <c r="AE84" i="18"/>
  <c r="AD84" i="18"/>
  <c r="AC84" i="18"/>
  <c r="AE83" i="18"/>
  <c r="AD83" i="18"/>
  <c r="AC83" i="18"/>
  <c r="AE82" i="18"/>
  <c r="AD82" i="18"/>
  <c r="AC82" i="18"/>
  <c r="AE81" i="18"/>
  <c r="AD81" i="18"/>
  <c r="AC81" i="18"/>
  <c r="AE80" i="18"/>
  <c r="AD80" i="18"/>
  <c r="AC80" i="18"/>
  <c r="AE79" i="18"/>
  <c r="AD79" i="18"/>
  <c r="AC79" i="18"/>
  <c r="C79" i="18"/>
  <c r="AE78" i="18"/>
  <c r="AD78" i="18"/>
  <c r="AC78" i="18"/>
  <c r="AE77" i="18"/>
  <c r="AD77" i="18"/>
  <c r="AC77" i="18"/>
  <c r="AE76" i="18"/>
  <c r="AD76" i="18"/>
  <c r="AC76" i="18"/>
  <c r="C76" i="18"/>
  <c r="AE75" i="18"/>
  <c r="AD75" i="18"/>
  <c r="AC75" i="18"/>
  <c r="C75" i="18"/>
  <c r="AE74" i="18"/>
  <c r="AD74" i="18"/>
  <c r="AC74" i="18"/>
  <c r="AE73" i="18"/>
  <c r="AD73" i="18"/>
  <c r="AC73" i="18"/>
  <c r="C73" i="18"/>
  <c r="AE72" i="18"/>
  <c r="AD72" i="18"/>
  <c r="AC72" i="18"/>
  <c r="AE71" i="18"/>
  <c r="AD71" i="18"/>
  <c r="AC71" i="18"/>
  <c r="C71" i="18"/>
  <c r="AE70" i="18"/>
  <c r="AD70" i="18"/>
  <c r="AC70" i="18"/>
  <c r="U70" i="18"/>
  <c r="AE69" i="18"/>
  <c r="AD69" i="18"/>
  <c r="AC69" i="18"/>
  <c r="T69" i="18"/>
  <c r="C69" i="18"/>
  <c r="AE68" i="18"/>
  <c r="AD68" i="18"/>
  <c r="AC68" i="18"/>
  <c r="S68" i="18"/>
  <c r="AE67" i="18"/>
  <c r="AD67" i="18"/>
  <c r="AC67" i="18"/>
  <c r="R67" i="18"/>
  <c r="AE66" i="18"/>
  <c r="AD66" i="18"/>
  <c r="AC66" i="18"/>
  <c r="Q66" i="18"/>
  <c r="M66" i="18"/>
  <c r="AE65" i="18"/>
  <c r="AD65" i="18"/>
  <c r="AC65" i="18"/>
  <c r="AB65" i="18"/>
  <c r="P65" i="18"/>
  <c r="L65" i="18"/>
  <c r="C65" i="18"/>
  <c r="AE64" i="18"/>
  <c r="AD64" i="18"/>
  <c r="AC64" i="18"/>
  <c r="AA64" i="18"/>
  <c r="O64" i="18"/>
  <c r="K64" i="18"/>
  <c r="AE63" i="18"/>
  <c r="AD63" i="18"/>
  <c r="AC63" i="18"/>
  <c r="Z63" i="18"/>
  <c r="N63" i="18"/>
  <c r="J63" i="18"/>
  <c r="AE62" i="18"/>
  <c r="AD62" i="18"/>
  <c r="AC62" i="18"/>
  <c r="Y62" i="18"/>
  <c r="U62" i="18"/>
  <c r="Q62" i="18"/>
  <c r="M62" i="18"/>
  <c r="I62" i="18"/>
  <c r="E62" i="18"/>
  <c r="AE61" i="18"/>
  <c r="AD61" i="18"/>
  <c r="AC61" i="18"/>
  <c r="AB61" i="18"/>
  <c r="AA61" i="18"/>
  <c r="Z61" i="18"/>
  <c r="Y61" i="18"/>
  <c r="X61" i="18"/>
  <c r="W61" i="18"/>
  <c r="V61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F61" i="18"/>
  <c r="E61" i="18"/>
  <c r="D61" i="18"/>
  <c r="AE57" i="18"/>
  <c r="AD57" i="18"/>
  <c r="AC57" i="18"/>
  <c r="AE56" i="18"/>
  <c r="AD56" i="18"/>
  <c r="AC56" i="18"/>
  <c r="AE55" i="18"/>
  <c r="AD55" i="18"/>
  <c r="AC55" i="18"/>
  <c r="AE54" i="18"/>
  <c r="AD54" i="18"/>
  <c r="AC54" i="18"/>
  <c r="AE53" i="18"/>
  <c r="AD53" i="18"/>
  <c r="AC53" i="18"/>
  <c r="AE52" i="18"/>
  <c r="AD52" i="18"/>
  <c r="AC52" i="18"/>
  <c r="AE51" i="18"/>
  <c r="AD51" i="18"/>
  <c r="AC51" i="18"/>
  <c r="I51" i="18"/>
  <c r="AE50" i="18"/>
  <c r="AD50" i="18"/>
  <c r="AC50" i="18"/>
  <c r="C50" i="18"/>
  <c r="AE49" i="18"/>
  <c r="AD49" i="18"/>
  <c r="AC49" i="18"/>
  <c r="C49" i="18"/>
  <c r="AE48" i="18"/>
  <c r="AD48" i="18"/>
  <c r="AC48" i="18"/>
  <c r="AE47" i="18"/>
  <c r="AD47" i="18"/>
  <c r="AC47" i="18"/>
  <c r="C47" i="18"/>
  <c r="AE46" i="18"/>
  <c r="AD46" i="18"/>
  <c r="AC46" i="18"/>
  <c r="AE45" i="18"/>
  <c r="AD45" i="18"/>
  <c r="AC45" i="18"/>
  <c r="C45" i="18"/>
  <c r="AE44" i="18"/>
  <c r="AD44" i="18"/>
  <c r="AC44" i="18"/>
  <c r="AE43" i="18"/>
  <c r="AD43" i="18"/>
  <c r="AC43" i="18"/>
  <c r="C43" i="18"/>
  <c r="AE42" i="18"/>
  <c r="AD42" i="18"/>
  <c r="AC42" i="18"/>
  <c r="AE41" i="18"/>
  <c r="AD41" i="18"/>
  <c r="AC41" i="18"/>
  <c r="AE40" i="18"/>
  <c r="AD40" i="18"/>
  <c r="AC40" i="18"/>
  <c r="AE39" i="18"/>
  <c r="AD39" i="18"/>
  <c r="AC39" i="18"/>
  <c r="AE38" i="18"/>
  <c r="AD38" i="18"/>
  <c r="AC38" i="18"/>
  <c r="C38" i="18"/>
  <c r="AE37" i="18"/>
  <c r="AD37" i="18"/>
  <c r="AC37" i="18"/>
  <c r="AE36" i="18"/>
  <c r="AD36" i="18"/>
  <c r="AC36" i="18"/>
  <c r="AE35" i="18"/>
  <c r="AD35" i="18"/>
  <c r="AC35" i="18"/>
  <c r="AE34" i="18"/>
  <c r="AD34" i="18"/>
  <c r="AC34" i="18"/>
  <c r="AE33" i="18"/>
  <c r="AD33" i="18"/>
  <c r="AC33" i="18"/>
  <c r="AA33" i="18"/>
  <c r="X33" i="18"/>
  <c r="W33" i="18"/>
  <c r="S33" i="18"/>
  <c r="O33" i="18"/>
  <c r="K33" i="18"/>
  <c r="G33" i="18"/>
  <c r="AE32" i="18"/>
  <c r="AD32" i="18"/>
  <c r="AC32" i="18"/>
  <c r="AB32" i="18"/>
  <c r="AA32" i="18"/>
  <c r="Z32" i="18"/>
  <c r="Y32" i="18"/>
  <c r="X32" i="18"/>
  <c r="W32" i="18"/>
  <c r="V32" i="18"/>
  <c r="U32" i="18"/>
  <c r="T32" i="18"/>
  <c r="S32" i="18"/>
  <c r="R32" i="18"/>
  <c r="Q32" i="18"/>
  <c r="P32" i="18"/>
  <c r="O32" i="18"/>
  <c r="N32" i="18"/>
  <c r="M32" i="18"/>
  <c r="L32" i="18"/>
  <c r="K32" i="18"/>
  <c r="J32" i="18"/>
  <c r="I32" i="18"/>
  <c r="H32" i="18"/>
  <c r="G32" i="18"/>
  <c r="F32" i="18"/>
  <c r="E32" i="18"/>
  <c r="D32" i="18"/>
  <c r="AE28" i="18"/>
  <c r="AD28" i="18"/>
  <c r="AC28" i="18"/>
  <c r="C28" i="18"/>
  <c r="AE27" i="18"/>
  <c r="AD27" i="18"/>
  <c r="AC27" i="18"/>
  <c r="AE26" i="18"/>
  <c r="AD26" i="18"/>
  <c r="AC26" i="18"/>
  <c r="AE25" i="18"/>
  <c r="AD25" i="18"/>
  <c r="AC25" i="18"/>
  <c r="AE24" i="18"/>
  <c r="AD24" i="18"/>
  <c r="AC24" i="18"/>
  <c r="AE23" i="18"/>
  <c r="AD23" i="18"/>
  <c r="AC23" i="18"/>
  <c r="AE22" i="18"/>
  <c r="AD22" i="18"/>
  <c r="AC22" i="18"/>
  <c r="AE21" i="18"/>
  <c r="AD21" i="18"/>
  <c r="AC21" i="18"/>
  <c r="AE20" i="18"/>
  <c r="AD20" i="18"/>
  <c r="AC20" i="18"/>
  <c r="AE19" i="18"/>
  <c r="AD19" i="18"/>
  <c r="AC19" i="18"/>
  <c r="AE18" i="18"/>
  <c r="AD18" i="18"/>
  <c r="AC18" i="18"/>
  <c r="C18" i="18"/>
  <c r="AE17" i="18"/>
  <c r="AD17" i="18"/>
  <c r="AC17" i="18"/>
  <c r="AE16" i="18"/>
  <c r="AD16" i="18"/>
  <c r="AC16" i="18"/>
  <c r="AE15" i="18"/>
  <c r="AD15" i="18"/>
  <c r="AC15" i="18"/>
  <c r="C15" i="18"/>
  <c r="AE14" i="18"/>
  <c r="AD14" i="18"/>
  <c r="AC14" i="18"/>
  <c r="AE13" i="18"/>
  <c r="AD13" i="18"/>
  <c r="AC13" i="18"/>
  <c r="AE12" i="18"/>
  <c r="AD12" i="18"/>
  <c r="AC12" i="18"/>
  <c r="AE11" i="18"/>
  <c r="AD11" i="18"/>
  <c r="AC11" i="18"/>
  <c r="AE10" i="18"/>
  <c r="AD10" i="18"/>
  <c r="AC10" i="18"/>
  <c r="AE9" i="18"/>
  <c r="AD9" i="18"/>
  <c r="AC9" i="18"/>
  <c r="C9" i="18"/>
  <c r="AE8" i="18"/>
  <c r="AD8" i="18"/>
  <c r="AC8" i="18"/>
  <c r="AE7" i="18"/>
  <c r="AD7" i="18"/>
  <c r="AC7" i="18"/>
  <c r="C7" i="18"/>
  <c r="AE6" i="18"/>
  <c r="AD6" i="18"/>
  <c r="AC6" i="18"/>
  <c r="C6" i="18"/>
  <c r="AE5" i="18"/>
  <c r="AD5" i="18"/>
  <c r="AC5" i="18"/>
  <c r="AE4" i="18"/>
  <c r="AD4" i="18"/>
  <c r="AC4" i="18"/>
  <c r="Z4" i="18"/>
  <c r="V4" i="18"/>
  <c r="S4" i="18"/>
  <c r="R4" i="18"/>
  <c r="N4" i="18"/>
  <c r="J4" i="18"/>
  <c r="F4" i="18"/>
  <c r="AE3" i="18"/>
  <c r="AD3" i="18"/>
  <c r="AC3" i="18"/>
  <c r="AB3" i="18"/>
  <c r="AA3" i="18"/>
  <c r="Z3" i="18"/>
  <c r="Y3" i="18"/>
  <c r="X3" i="18"/>
  <c r="W3" i="18"/>
  <c r="V3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D3" i="18"/>
  <c r="Y47" i="24"/>
  <c r="X47" i="24"/>
  <c r="W47" i="24"/>
  <c r="V47" i="24"/>
  <c r="U47" i="24"/>
  <c r="T47" i="24"/>
  <c r="P47" i="24"/>
  <c r="O47" i="24"/>
  <c r="N47" i="24"/>
  <c r="M47" i="24"/>
  <c r="L47" i="24"/>
  <c r="K47" i="24"/>
  <c r="Y46" i="24"/>
  <c r="X46" i="24"/>
  <c r="W46" i="24"/>
  <c r="V46" i="24"/>
  <c r="U46" i="24"/>
  <c r="T46" i="24"/>
  <c r="P46" i="24"/>
  <c r="O46" i="24"/>
  <c r="N46" i="24"/>
  <c r="M46" i="24"/>
  <c r="L46" i="24"/>
  <c r="K46" i="24"/>
  <c r="Y45" i="24"/>
  <c r="X45" i="24"/>
  <c r="W45" i="24"/>
  <c r="V45" i="24"/>
  <c r="U45" i="24"/>
  <c r="T45" i="24"/>
  <c r="P45" i="24"/>
  <c r="O45" i="24"/>
  <c r="N45" i="24"/>
  <c r="M45" i="24"/>
  <c r="L45" i="24"/>
  <c r="K45" i="24"/>
  <c r="Y44" i="24"/>
  <c r="X44" i="24"/>
  <c r="W44" i="24"/>
  <c r="V44" i="24"/>
  <c r="U44" i="24"/>
  <c r="T44" i="24"/>
  <c r="P44" i="24"/>
  <c r="O44" i="24"/>
  <c r="N44" i="24"/>
  <c r="M44" i="24"/>
  <c r="L44" i="24"/>
  <c r="K44" i="24"/>
  <c r="Y43" i="24"/>
  <c r="X43" i="24"/>
  <c r="W43" i="24"/>
  <c r="V43" i="24"/>
  <c r="U43" i="24"/>
  <c r="T43" i="24"/>
  <c r="P43" i="24"/>
  <c r="O43" i="24"/>
  <c r="N43" i="24"/>
  <c r="M43" i="24"/>
  <c r="L43" i="24"/>
  <c r="K43" i="24"/>
  <c r="Y42" i="24"/>
  <c r="X42" i="24"/>
  <c r="W42" i="24"/>
  <c r="V42" i="24"/>
  <c r="U42" i="24"/>
  <c r="T42" i="24"/>
  <c r="P42" i="24"/>
  <c r="O42" i="24"/>
  <c r="N42" i="24"/>
  <c r="M42" i="24"/>
  <c r="L42" i="24"/>
  <c r="K42" i="24"/>
  <c r="Y41" i="24"/>
  <c r="X41" i="24"/>
  <c r="W41" i="24"/>
  <c r="V41" i="24"/>
  <c r="U41" i="24"/>
  <c r="T41" i="24"/>
  <c r="P41" i="24"/>
  <c r="O41" i="24"/>
  <c r="N41" i="24"/>
  <c r="M41" i="24"/>
  <c r="L41" i="24"/>
  <c r="K41" i="24"/>
  <c r="Y40" i="24"/>
  <c r="X40" i="24"/>
  <c r="W40" i="24"/>
  <c r="V40" i="24"/>
  <c r="U40" i="24"/>
  <c r="T40" i="24"/>
  <c r="P40" i="24"/>
  <c r="O40" i="24"/>
  <c r="N40" i="24"/>
  <c r="M40" i="24"/>
  <c r="L40" i="24"/>
  <c r="K40" i="24"/>
  <c r="Y39" i="24"/>
  <c r="X39" i="24"/>
  <c r="W39" i="24"/>
  <c r="V39" i="24"/>
  <c r="U39" i="24"/>
  <c r="T39" i="24"/>
  <c r="P39" i="24"/>
  <c r="O39" i="24"/>
  <c r="N39" i="24"/>
  <c r="M39" i="24"/>
  <c r="L39" i="24"/>
  <c r="K39" i="24"/>
  <c r="Y38" i="24"/>
  <c r="X38" i="24"/>
  <c r="W38" i="24"/>
  <c r="V38" i="24"/>
  <c r="U38" i="24"/>
  <c r="T38" i="24"/>
  <c r="P38" i="24"/>
  <c r="O38" i="24"/>
  <c r="N38" i="24"/>
  <c r="M38" i="24"/>
  <c r="L38" i="24"/>
  <c r="K38" i="24"/>
  <c r="Y37" i="24"/>
  <c r="X37" i="24"/>
  <c r="W37" i="24"/>
  <c r="V37" i="24"/>
  <c r="U37" i="24"/>
  <c r="T37" i="24"/>
  <c r="P37" i="24"/>
  <c r="O37" i="24"/>
  <c r="N37" i="24"/>
  <c r="M37" i="24"/>
  <c r="L37" i="24"/>
  <c r="K37" i="24"/>
  <c r="Y36" i="24"/>
  <c r="X36" i="24"/>
  <c r="W36" i="24"/>
  <c r="V36" i="24"/>
  <c r="U36" i="24"/>
  <c r="T36" i="24"/>
  <c r="P36" i="24"/>
  <c r="O36" i="24"/>
  <c r="N36" i="24"/>
  <c r="M36" i="24"/>
  <c r="L36" i="24"/>
  <c r="K36" i="24"/>
  <c r="Y35" i="24"/>
  <c r="X35" i="24"/>
  <c r="W35" i="24"/>
  <c r="V35" i="24"/>
  <c r="U35" i="24"/>
  <c r="T35" i="24"/>
  <c r="P35" i="24"/>
  <c r="O35" i="24"/>
  <c r="N35" i="24"/>
  <c r="M35" i="24"/>
  <c r="L35" i="24"/>
  <c r="K35" i="24"/>
  <c r="Y34" i="24"/>
  <c r="X34" i="24"/>
  <c r="W34" i="24"/>
  <c r="V34" i="24"/>
  <c r="U34" i="24"/>
  <c r="T34" i="24"/>
  <c r="P34" i="24"/>
  <c r="O34" i="24"/>
  <c r="N34" i="24"/>
  <c r="M34" i="24"/>
  <c r="L34" i="24"/>
  <c r="K34" i="24"/>
  <c r="Y33" i="24"/>
  <c r="X33" i="24"/>
  <c r="W33" i="24"/>
  <c r="V33" i="24"/>
  <c r="U33" i="24"/>
  <c r="T33" i="24"/>
  <c r="P33" i="24"/>
  <c r="O33" i="24"/>
  <c r="N33" i="24"/>
  <c r="M33" i="24"/>
  <c r="L33" i="24"/>
  <c r="K33" i="24"/>
  <c r="Y32" i="24"/>
  <c r="X32" i="24"/>
  <c r="W32" i="24"/>
  <c r="V32" i="24"/>
  <c r="U32" i="24"/>
  <c r="T32" i="24"/>
  <c r="P32" i="24"/>
  <c r="O32" i="24"/>
  <c r="N32" i="24"/>
  <c r="M32" i="24"/>
  <c r="L32" i="24"/>
  <c r="K32" i="24"/>
  <c r="Y31" i="24"/>
  <c r="X31" i="24"/>
  <c r="W31" i="24"/>
  <c r="V31" i="24"/>
  <c r="U31" i="24"/>
  <c r="T31" i="24"/>
  <c r="P31" i="24"/>
  <c r="O31" i="24"/>
  <c r="N31" i="24"/>
  <c r="M31" i="24"/>
  <c r="L31" i="24"/>
  <c r="K31" i="24"/>
  <c r="Y30" i="24"/>
  <c r="X30" i="24"/>
  <c r="W30" i="24"/>
  <c r="V30" i="24"/>
  <c r="U30" i="24"/>
  <c r="T30" i="24"/>
  <c r="P30" i="24"/>
  <c r="O30" i="24"/>
  <c r="N30" i="24"/>
  <c r="M30" i="24"/>
  <c r="L30" i="24"/>
  <c r="K30" i="24"/>
  <c r="Y29" i="24"/>
  <c r="X29" i="24"/>
  <c r="W29" i="24"/>
  <c r="V29" i="24"/>
  <c r="U29" i="24"/>
  <c r="T29" i="24"/>
  <c r="P29" i="24"/>
  <c r="O29" i="24"/>
  <c r="N29" i="24"/>
  <c r="M29" i="24"/>
  <c r="L29" i="24"/>
  <c r="K29" i="24"/>
  <c r="Y28" i="24"/>
  <c r="Y48" i="24" s="1"/>
  <c r="X28" i="24"/>
  <c r="X48" i="24" s="1"/>
  <c r="W28" i="24"/>
  <c r="C317" i="24" s="1"/>
  <c r="V28" i="24"/>
  <c r="V48" i="24" s="1"/>
  <c r="U28" i="24"/>
  <c r="U48" i="24" s="1"/>
  <c r="P28" i="24"/>
  <c r="O28" i="24"/>
  <c r="N28" i="24"/>
  <c r="M28" i="24"/>
  <c r="L28" i="24"/>
  <c r="K28" i="24"/>
  <c r="V62" i="18" l="1"/>
  <c r="K34" i="18"/>
  <c r="M4" i="18"/>
  <c r="T48" i="24"/>
  <c r="O48" i="24"/>
  <c r="L33" i="18"/>
  <c r="J62" i="18"/>
  <c r="R62" i="18"/>
  <c r="W4" i="18"/>
  <c r="T33" i="18"/>
  <c r="Z62" i="18"/>
  <c r="H33" i="18"/>
  <c r="P33" i="18"/>
  <c r="F62" i="18"/>
  <c r="N62" i="18"/>
  <c r="AA93" i="18"/>
  <c r="AB94" i="18" s="1"/>
  <c r="AB7" i="18" s="1"/>
  <c r="Z5" i="18"/>
  <c r="N122" i="18"/>
  <c r="O123" i="18" s="1"/>
  <c r="M34" i="18"/>
  <c r="N157" i="18"/>
  <c r="M69" i="18"/>
  <c r="T151" i="18"/>
  <c r="S63" i="18"/>
  <c r="W48" i="24"/>
  <c r="Q150" i="18"/>
  <c r="R151" i="18" s="1"/>
  <c r="I4" i="18"/>
  <c r="Y4" i="18"/>
  <c r="F92" i="18"/>
  <c r="U4" i="18"/>
  <c r="J33" i="18"/>
  <c r="Z33" i="18"/>
  <c r="AA34" i="18"/>
  <c r="L35" i="18"/>
  <c r="L62" i="18"/>
  <c r="Q4" i="18"/>
  <c r="M36" i="18"/>
  <c r="M48" i="24"/>
  <c r="D19" i="18"/>
  <c r="K93" i="18"/>
  <c r="J5" i="18"/>
  <c r="O93" i="18"/>
  <c r="N5" i="18"/>
  <c r="P126" i="18"/>
  <c r="O38" i="18"/>
  <c r="R123" i="18"/>
  <c r="S124" i="18" s="1"/>
  <c r="Q35" i="18"/>
  <c r="S151" i="18"/>
  <c r="R63" i="18"/>
  <c r="X152" i="18"/>
  <c r="X65" i="18" s="1"/>
  <c r="W64" i="18"/>
  <c r="R122" i="18"/>
  <c r="Q34" i="18"/>
  <c r="L151" i="18"/>
  <c r="K63" i="18"/>
  <c r="P151" i="18"/>
  <c r="Q152" i="18" s="1"/>
  <c r="O63" i="18"/>
  <c r="AB151" i="18"/>
  <c r="AB64" i="18" s="1"/>
  <c r="AA63" i="18"/>
  <c r="Z153" i="18"/>
  <c r="AA154" i="18" s="1"/>
  <c r="Y65" i="18"/>
  <c r="S93" i="18"/>
  <c r="S6" i="18" s="1"/>
  <c r="R5" i="18"/>
  <c r="L4" i="18"/>
  <c r="P4" i="18"/>
  <c r="T4" i="18"/>
  <c r="G63" i="18"/>
  <c r="H64" i="18"/>
  <c r="J66" i="18"/>
  <c r="L68" i="18"/>
  <c r="J121" i="18"/>
  <c r="V121" i="18"/>
  <c r="Q151" i="18"/>
  <c r="N48" i="24"/>
  <c r="R121" i="18"/>
  <c r="C56" i="24"/>
  <c r="AI44" i="15" s="1"/>
  <c r="K48" i="24"/>
  <c r="W63" i="18"/>
  <c r="K67" i="18"/>
  <c r="F121" i="18"/>
  <c r="N121" i="18"/>
  <c r="Z121" i="18"/>
  <c r="L48" i="24"/>
  <c r="P48" i="24"/>
  <c r="V5" i="18"/>
  <c r="O62" i="18"/>
  <c r="I65" i="18"/>
  <c r="E23" i="17"/>
  <c r="I23" i="17"/>
  <c r="AF23" i="17"/>
  <c r="AJ23" i="17"/>
  <c r="BG23" i="17"/>
  <c r="BK23" i="17"/>
  <c r="F24" i="17"/>
  <c r="J24" i="17"/>
  <c r="AG24" i="17"/>
  <c r="AK24" i="17"/>
  <c r="BH24" i="17"/>
  <c r="BL24" i="17"/>
  <c r="G25" i="17"/>
  <c r="K25" i="17"/>
  <c r="AH25" i="17"/>
  <c r="AL25" i="17"/>
  <c r="BI25" i="17"/>
  <c r="BM25" i="17"/>
  <c r="H26" i="17"/>
  <c r="L26" i="17"/>
  <c r="AI26" i="17"/>
  <c r="AM26" i="17"/>
  <c r="BJ26" i="17"/>
  <c r="BN26" i="17"/>
  <c r="I27" i="17"/>
  <c r="M27" i="17"/>
  <c r="AJ27" i="17"/>
  <c r="AN27" i="17"/>
  <c r="BK27" i="17"/>
  <c r="BO27" i="17"/>
  <c r="J28" i="17"/>
  <c r="N28" i="17"/>
  <c r="AK28" i="17"/>
  <c r="AO28" i="17"/>
  <c r="BL28" i="17"/>
  <c r="BP28" i="17"/>
  <c r="K29" i="17"/>
  <c r="O29" i="17"/>
  <c r="AL29" i="17"/>
  <c r="AP29" i="17"/>
  <c r="BM29" i="17"/>
  <c r="BQ29" i="17"/>
  <c r="L30" i="17"/>
  <c r="P30" i="17"/>
  <c r="AM30" i="17"/>
  <c r="D46" i="18"/>
  <c r="E8" i="18"/>
  <c r="E49" i="18"/>
  <c r="D39" i="18"/>
  <c r="F50" i="18"/>
  <c r="G51" i="18"/>
  <c r="E45" i="18"/>
  <c r="D48" i="18"/>
  <c r="D14" i="18"/>
  <c r="D8" i="18"/>
  <c r="F48" i="18"/>
  <c r="F72" i="18"/>
  <c r="G73" i="18"/>
  <c r="Q77" i="18"/>
  <c r="E71" i="18"/>
  <c r="T81" i="18"/>
  <c r="F73" i="18"/>
  <c r="G70" i="18"/>
  <c r="E72" i="18"/>
  <c r="G80" i="18"/>
  <c r="H71" i="18"/>
  <c r="J83" i="18"/>
  <c r="L72" i="18"/>
  <c r="O75" i="18"/>
  <c r="F79" i="18"/>
  <c r="L85" i="18"/>
  <c r="D52" i="18"/>
  <c r="G49" i="18"/>
  <c r="C12" i="18"/>
  <c r="E14" i="18"/>
  <c r="C16" i="18"/>
  <c r="D17" i="18"/>
  <c r="C20" i="18"/>
  <c r="F51" i="18"/>
  <c r="C63" i="18"/>
  <c r="F66" i="18"/>
  <c r="G67" i="18"/>
  <c r="G68" i="18"/>
  <c r="H69" i="18"/>
  <c r="J70" i="18"/>
  <c r="I72" i="18"/>
  <c r="L73" i="18"/>
  <c r="N74" i="18"/>
  <c r="O76" i="18"/>
  <c r="R78" i="18"/>
  <c r="C61" i="18"/>
  <c r="D9" i="18"/>
  <c r="E10" i="18"/>
  <c r="C64" i="18"/>
  <c r="E65" i="18"/>
  <c r="H68" i="18"/>
  <c r="I69" i="18"/>
  <c r="K72" i="18"/>
  <c r="M73" i="18"/>
  <c r="P77" i="18"/>
  <c r="S80" i="18"/>
  <c r="D93" i="18"/>
  <c r="E94" i="18" s="1"/>
  <c r="E7" i="18" s="1"/>
  <c r="D120" i="18"/>
  <c r="E121" i="18" s="1"/>
  <c r="E22" i="18"/>
  <c r="C48" i="18"/>
  <c r="C66" i="18"/>
  <c r="F67" i="18"/>
  <c r="E68" i="18"/>
  <c r="F69" i="18"/>
  <c r="I70" i="18"/>
  <c r="J71" i="18"/>
  <c r="M74" i="18"/>
  <c r="Q78" i="18"/>
  <c r="R79" i="18"/>
  <c r="H55" i="26"/>
  <c r="F105" i="18"/>
  <c r="F18" i="18" s="1"/>
  <c r="E17" i="18"/>
  <c r="BL26" i="17"/>
  <c r="BL30" i="17"/>
  <c r="BP30" i="17"/>
  <c r="M33" i="17"/>
  <c r="AN33" i="17"/>
  <c r="BO33" i="17"/>
  <c r="N34" i="17"/>
  <c r="R34" i="17"/>
  <c r="BV36" i="17"/>
  <c r="D61" i="17"/>
  <c r="H61" i="17"/>
  <c r="AE61" i="17"/>
  <c r="AI61" i="17"/>
  <c r="BF61" i="17"/>
  <c r="BJ61" i="17"/>
  <c r="E62" i="17"/>
  <c r="I62" i="17"/>
  <c r="AF62" i="17"/>
  <c r="AJ62" i="17"/>
  <c r="BG62" i="17"/>
  <c r="BK62" i="17"/>
  <c r="F63" i="17"/>
  <c r="J63" i="17"/>
  <c r="AG63" i="17"/>
  <c r="AK63" i="17"/>
  <c r="BH63" i="17"/>
  <c r="BL63" i="17"/>
  <c r="G64" i="17"/>
  <c r="K64" i="17"/>
  <c r="AH64" i="17"/>
  <c r="AL64" i="17"/>
  <c r="BI64" i="17"/>
  <c r="BM64" i="17"/>
  <c r="H65" i="17"/>
  <c r="L65" i="17"/>
  <c r="AI65" i="17"/>
  <c r="AM65" i="17"/>
  <c r="BJ65" i="17"/>
  <c r="BN65" i="17"/>
  <c r="R71" i="17"/>
  <c r="Q74" i="17"/>
  <c r="BW74" i="17"/>
  <c r="D123" i="18"/>
  <c r="E124" i="18" s="1"/>
  <c r="F125" i="18" s="1"/>
  <c r="F38" i="18" s="1"/>
  <c r="BH23" i="17"/>
  <c r="AH24" i="17"/>
  <c r="BI24" i="17"/>
  <c r="H25" i="17"/>
  <c r="AJ26" i="17"/>
  <c r="J27" i="17"/>
  <c r="AK27" i="17"/>
  <c r="BL27" i="17"/>
  <c r="L29" i="17"/>
  <c r="AN30" i="17"/>
  <c r="BP31" i="17"/>
  <c r="O32" i="17"/>
  <c r="AP32" i="17"/>
  <c r="BQ32" i="17"/>
  <c r="AR34" i="17"/>
  <c r="BS34" i="17"/>
  <c r="BT35" i="17"/>
  <c r="T37" i="17"/>
  <c r="AU37" i="17"/>
  <c r="AF61" i="17"/>
  <c r="AK62" i="17"/>
  <c r="L67" i="17"/>
  <c r="AO70" i="17"/>
  <c r="BX74" i="17"/>
  <c r="D7" i="18"/>
  <c r="D10" i="18"/>
  <c r="C14" i="18"/>
  <c r="E20" i="18"/>
  <c r="F21" i="18"/>
  <c r="C24" i="18"/>
  <c r="C25" i="18"/>
  <c r="D26" i="18"/>
  <c r="C32" i="18"/>
  <c r="C40" i="18"/>
  <c r="F46" i="18"/>
  <c r="D49" i="18"/>
  <c r="H50" i="18"/>
  <c r="C51" i="18"/>
  <c r="D64" i="18"/>
  <c r="D65" i="18"/>
  <c r="E66" i="18"/>
  <c r="D67" i="18"/>
  <c r="C70" i="18"/>
  <c r="D71" i="18"/>
  <c r="K71" i="18"/>
  <c r="C74" i="18"/>
  <c r="N75" i="18"/>
  <c r="P76" i="18"/>
  <c r="E78" i="18"/>
  <c r="S79" i="18"/>
  <c r="I82" i="18"/>
  <c r="D109" i="18"/>
  <c r="D121" i="18"/>
  <c r="E122" i="18" s="1"/>
  <c r="F130" i="18"/>
  <c r="G131" i="18" s="1"/>
  <c r="H132" i="18" s="1"/>
  <c r="J137" i="18"/>
  <c r="K138" i="18" s="1"/>
  <c r="K51" i="18" s="1"/>
  <c r="D149" i="18"/>
  <c r="E150" i="18" s="1"/>
  <c r="E5" i="18"/>
  <c r="D11" i="18"/>
  <c r="C36" i="18"/>
  <c r="E47" i="18"/>
  <c r="F77" i="18"/>
  <c r="G78" i="18"/>
  <c r="D79" i="18"/>
  <c r="H84" i="26"/>
  <c r="H26" i="26"/>
  <c r="AD27" i="26"/>
  <c r="R27" i="26"/>
  <c r="N27" i="26"/>
  <c r="V27" i="26"/>
  <c r="Z27" i="26"/>
  <c r="J27" i="26"/>
  <c r="L85" i="26"/>
  <c r="AC85" i="26"/>
  <c r="V60" i="26"/>
  <c r="G97" i="18"/>
  <c r="H98" i="18" s="1"/>
  <c r="F9" i="18"/>
  <c r="BG25" i="17"/>
  <c r="F99" i="18"/>
  <c r="G100" i="18" s="1"/>
  <c r="G13" i="18" s="1"/>
  <c r="E11" i="18"/>
  <c r="D4" i="18"/>
  <c r="F13" i="18"/>
  <c r="C22" i="18"/>
  <c r="D42" i="18"/>
  <c r="D73" i="18"/>
  <c r="D105" i="18"/>
  <c r="D125" i="18"/>
  <c r="D132" i="18"/>
  <c r="E166" i="18"/>
  <c r="E79" i="18" s="1"/>
  <c r="Q33" i="17"/>
  <c r="AP35" i="17"/>
  <c r="C61" i="17"/>
  <c r="G61" i="17"/>
  <c r="AD61" i="17"/>
  <c r="AH61" i="17"/>
  <c r="BE61" i="17"/>
  <c r="BI61" i="17"/>
  <c r="D62" i="17"/>
  <c r="H62" i="17"/>
  <c r="AE62" i="17"/>
  <c r="AI62" i="17"/>
  <c r="BF62" i="17"/>
  <c r="BJ62" i="17"/>
  <c r="E63" i="17"/>
  <c r="I63" i="17"/>
  <c r="AF63" i="17"/>
  <c r="AJ63" i="17"/>
  <c r="BG63" i="17"/>
  <c r="F64" i="17"/>
  <c r="J64" i="17"/>
  <c r="AG64" i="17"/>
  <c r="AK64" i="17"/>
  <c r="BH64" i="17"/>
  <c r="BL64" i="17"/>
  <c r="G65" i="17"/>
  <c r="K65" i="17"/>
  <c r="AH65" i="17"/>
  <c r="AL65" i="17"/>
  <c r="BI65" i="17"/>
  <c r="C23" i="18"/>
  <c r="D27" i="18"/>
  <c r="C34" i="18"/>
  <c r="C41" i="18"/>
  <c r="C46" i="18"/>
  <c r="D47" i="18"/>
  <c r="C72" i="18"/>
  <c r="C77" i="18"/>
  <c r="C80" i="18"/>
  <c r="F128" i="18"/>
  <c r="G129" i="18" s="1"/>
  <c r="H130" i="18" s="1"/>
  <c r="H43" i="18" s="1"/>
  <c r="I167" i="18"/>
  <c r="AQ30" i="17"/>
  <c r="BN30" i="17"/>
  <c r="BR30" i="17"/>
  <c r="M31" i="17"/>
  <c r="Q31" i="17"/>
  <c r="AN31" i="17"/>
  <c r="BO31" i="17"/>
  <c r="BS31" i="17"/>
  <c r="N32" i="17"/>
  <c r="R32" i="17"/>
  <c r="AO32" i="17"/>
  <c r="AS32" i="17"/>
  <c r="BP32" i="17"/>
  <c r="BT32" i="17"/>
  <c r="O33" i="17"/>
  <c r="AP33" i="17"/>
  <c r="BQ33" i="17"/>
  <c r="P34" i="17"/>
  <c r="T34" i="17"/>
  <c r="AQ34" i="17"/>
  <c r="AU34" i="17"/>
  <c r="BR34" i="17"/>
  <c r="BV34" i="17"/>
  <c r="Q35" i="17"/>
  <c r="U35" i="17"/>
  <c r="AR35" i="17"/>
  <c r="AV35" i="17"/>
  <c r="BS35" i="17"/>
  <c r="BW35" i="17"/>
  <c r="R36" i="17"/>
  <c r="V36" i="17"/>
  <c r="AS36" i="17"/>
  <c r="AW36" i="17"/>
  <c r="BT36" i="17"/>
  <c r="BX36" i="17"/>
  <c r="S37" i="17"/>
  <c r="W37" i="17"/>
  <c r="AT37" i="17"/>
  <c r="AX37" i="17"/>
  <c r="BU37" i="17"/>
  <c r="BY37" i="17"/>
  <c r="BS69" i="17"/>
  <c r="C4" i="18"/>
  <c r="C8" i="18"/>
  <c r="C10" i="18"/>
  <c r="E12" i="18"/>
  <c r="C13" i="18"/>
  <c r="D16" i="18"/>
  <c r="E18" i="18"/>
  <c r="C19" i="18"/>
  <c r="E27" i="18"/>
  <c r="C39" i="18"/>
  <c r="D41" i="18"/>
  <c r="E43" i="18"/>
  <c r="H52" i="18"/>
  <c r="I53" i="18"/>
  <c r="J54" i="18"/>
  <c r="K55" i="18"/>
  <c r="L56" i="18"/>
  <c r="D70" i="18"/>
  <c r="D72" i="18"/>
  <c r="E74" i="18"/>
  <c r="D75" i="18"/>
  <c r="E76" i="18"/>
  <c r="D77" i="18"/>
  <c r="C78" i="18"/>
  <c r="E80" i="18"/>
  <c r="H81" i="18"/>
  <c r="K84" i="18"/>
  <c r="BF23" i="17"/>
  <c r="BJ23" i="17"/>
  <c r="AR32" i="17"/>
  <c r="Y60" i="17"/>
  <c r="Z60" i="17" s="1"/>
  <c r="F28" i="24" s="1"/>
  <c r="F61" i="17"/>
  <c r="AZ60" i="17"/>
  <c r="BA60" i="17" s="1"/>
  <c r="G28" i="24" s="1"/>
  <c r="CA60" i="17"/>
  <c r="CB60" i="17" s="1"/>
  <c r="H28" i="24" s="1"/>
  <c r="C23" i="17"/>
  <c r="AD23" i="17"/>
  <c r="AH23" i="17"/>
  <c r="BE23" i="17"/>
  <c r="BI23" i="17"/>
  <c r="D24" i="17"/>
  <c r="H24" i="17"/>
  <c r="AE24" i="17"/>
  <c r="BF24" i="17"/>
  <c r="BJ24" i="17"/>
  <c r="E25" i="17"/>
  <c r="I25" i="17"/>
  <c r="AF25" i="17"/>
  <c r="AJ25" i="17"/>
  <c r="F26" i="17"/>
  <c r="J26" i="17"/>
  <c r="AG26" i="17"/>
  <c r="AK26" i="17"/>
  <c r="BH26" i="17"/>
  <c r="G27" i="17"/>
  <c r="AH27" i="17"/>
  <c r="AL27" i="17"/>
  <c r="BI27" i="17"/>
  <c r="BM27" i="17"/>
  <c r="H28" i="17"/>
  <c r="L28" i="17"/>
  <c r="AI28" i="17"/>
  <c r="BJ28" i="17"/>
  <c r="BN28" i="17"/>
  <c r="I29" i="17"/>
  <c r="AJ29" i="17"/>
  <c r="AN29" i="17"/>
  <c r="BK29" i="17"/>
  <c r="J30" i="17"/>
  <c r="N30" i="17"/>
  <c r="AK30" i="17"/>
  <c r="K31" i="17"/>
  <c r="O31" i="17"/>
  <c r="AL31" i="17"/>
  <c r="AP31" i="17"/>
  <c r="BM31" i="17"/>
  <c r="BQ31" i="17"/>
  <c r="L32" i="17"/>
  <c r="BN32" i="17"/>
  <c r="AR33" i="17"/>
  <c r="BS33" i="17"/>
  <c r="K63" i="17"/>
  <c r="AL63" i="17"/>
  <c r="BQ67" i="17"/>
  <c r="BU72" i="17"/>
  <c r="Q73" i="17"/>
  <c r="BY75" i="17"/>
  <c r="AZ22" i="17"/>
  <c r="BA22" i="17" s="1"/>
  <c r="D28" i="24" s="1"/>
  <c r="BK26" i="17"/>
  <c r="K28" i="17"/>
  <c r="K27" i="17"/>
  <c r="AM29" i="17"/>
  <c r="F23" i="17"/>
  <c r="AG23" i="17"/>
  <c r="G24" i="17"/>
  <c r="AI25" i="17"/>
  <c r="E24" i="17"/>
  <c r="AK25" i="17"/>
  <c r="BI26" i="17"/>
  <c r="M28" i="17"/>
  <c r="AK29" i="17"/>
  <c r="AP30" i="17"/>
  <c r="BN31" i="17"/>
  <c r="AI24" i="17"/>
  <c r="AI66" i="17"/>
  <c r="P33" i="17"/>
  <c r="AQ33" i="17"/>
  <c r="BR33" i="17"/>
  <c r="Q34" i="17"/>
  <c r="BP34" i="17"/>
  <c r="AT35" i="17"/>
  <c r="BU35" i="17"/>
  <c r="BR36" i="17"/>
  <c r="Q37" i="17"/>
  <c r="E61" i="17"/>
  <c r="I61" i="17"/>
  <c r="AJ61" i="17"/>
  <c r="AG62" i="17"/>
  <c r="BH62" i="17"/>
  <c r="BL62" i="17"/>
  <c r="AH63" i="17"/>
  <c r="BI63" i="17"/>
  <c r="AI64" i="17"/>
  <c r="AM64" i="17"/>
  <c r="BJ64" i="17"/>
  <c r="BK65" i="17"/>
  <c r="AO66" i="17"/>
  <c r="AP67" i="17"/>
  <c r="BM67" i="17"/>
  <c r="AQ68" i="17"/>
  <c r="BN68" i="17"/>
  <c r="BR68" i="17"/>
  <c r="M69" i="17"/>
  <c r="Q69" i="17"/>
  <c r="AN69" i="17"/>
  <c r="AR69" i="17"/>
  <c r="BO69" i="17"/>
  <c r="N70" i="17"/>
  <c r="R70" i="17"/>
  <c r="AS70" i="17"/>
  <c r="BP70" i="17"/>
  <c r="BT70" i="17"/>
  <c r="O71" i="17"/>
  <c r="AP71" i="17"/>
  <c r="BQ71" i="17"/>
  <c r="P72" i="17"/>
  <c r="T72" i="17"/>
  <c r="AQ72" i="17"/>
  <c r="AU72" i="17"/>
  <c r="BR72" i="17"/>
  <c r="BV72" i="17"/>
  <c r="U73" i="17"/>
  <c r="AR73" i="17"/>
  <c r="AV73" i="17"/>
  <c r="BS73" i="17"/>
  <c r="BW73" i="17"/>
  <c r="R74" i="17"/>
  <c r="V74" i="17"/>
  <c r="AS74" i="17"/>
  <c r="AW74" i="17"/>
  <c r="BT74" i="17"/>
  <c r="S75" i="17"/>
  <c r="W75" i="17"/>
  <c r="AT75" i="17"/>
  <c r="AX75" i="17"/>
  <c r="BU75" i="17"/>
  <c r="P35" i="17"/>
  <c r="BM68" i="17"/>
  <c r="H66" i="17"/>
  <c r="L66" i="17"/>
  <c r="AM66" i="17"/>
  <c r="BJ66" i="17"/>
  <c r="BN66" i="17"/>
  <c r="I67" i="17"/>
  <c r="AJ67" i="17"/>
  <c r="AN67" i="17"/>
  <c r="BK67" i="17"/>
  <c r="BO67" i="17"/>
  <c r="J68" i="17"/>
  <c r="N68" i="17"/>
  <c r="AK68" i="17"/>
  <c r="AO68" i="17"/>
  <c r="BL68" i="17"/>
  <c r="BP68" i="17"/>
  <c r="K69" i="17"/>
  <c r="AL69" i="17"/>
  <c r="AP69" i="17"/>
  <c r="BM69" i="17"/>
  <c r="L70" i="17"/>
  <c r="P70" i="17"/>
  <c r="AM70" i="17"/>
  <c r="BN70" i="17"/>
  <c r="BR70" i="17"/>
  <c r="M71" i="17"/>
  <c r="AN71" i="17"/>
  <c r="AR71" i="17"/>
  <c r="BO71" i="17"/>
  <c r="BS71" i="17"/>
  <c r="N72" i="17"/>
  <c r="AO72" i="17"/>
  <c r="BP72" i="17"/>
  <c r="BT72" i="17"/>
  <c r="O73" i="17"/>
  <c r="AP73" i="17"/>
  <c r="BQ73" i="17"/>
  <c r="BU73" i="17"/>
  <c r="P74" i="17"/>
  <c r="T74" i="17"/>
  <c r="AQ74" i="17"/>
  <c r="BR74" i="17"/>
  <c r="BV74" i="17"/>
  <c r="U75" i="17"/>
  <c r="AV75" i="17"/>
  <c r="BW75" i="17"/>
  <c r="I66" i="17"/>
  <c r="M66" i="17"/>
  <c r="AJ66" i="17"/>
  <c r="AN66" i="17"/>
  <c r="BK66" i="17"/>
  <c r="BO66" i="17"/>
  <c r="J67" i="17"/>
  <c r="N67" i="17"/>
  <c r="AK67" i="17"/>
  <c r="AO67" i="17"/>
  <c r="BL67" i="17"/>
  <c r="BP67" i="17"/>
  <c r="K68" i="17"/>
  <c r="O68" i="17"/>
  <c r="AL68" i="17"/>
  <c r="AP68" i="17"/>
  <c r="BQ68" i="17"/>
  <c r="L69" i="17"/>
  <c r="P69" i="17"/>
  <c r="AM69" i="17"/>
  <c r="AQ69" i="17"/>
  <c r="BN69" i="17"/>
  <c r="BR69" i="17"/>
  <c r="Q70" i="17"/>
  <c r="AR70" i="17"/>
  <c r="BS70" i="17"/>
  <c r="N71" i="17"/>
  <c r="AO71" i="17"/>
  <c r="AS71" i="17"/>
  <c r="BP71" i="17"/>
  <c r="BT71" i="17"/>
  <c r="O72" i="17"/>
  <c r="S72" i="17"/>
  <c r="AP72" i="17"/>
  <c r="AT72" i="17"/>
  <c r="BQ72" i="17"/>
  <c r="P73" i="17"/>
  <c r="T73" i="17"/>
  <c r="AQ73" i="17"/>
  <c r="AU73" i="17"/>
  <c r="BR73" i="17"/>
  <c r="BV73" i="17"/>
  <c r="U74" i="17"/>
  <c r="AR74" i="17"/>
  <c r="AV74" i="17"/>
  <c r="BS74" i="17"/>
  <c r="R75" i="17"/>
  <c r="V75" i="17"/>
  <c r="AS75" i="17"/>
  <c r="AW75" i="17"/>
  <c r="BT75" i="17"/>
  <c r="BX75" i="17"/>
  <c r="E123" i="18"/>
  <c r="D35" i="18"/>
  <c r="F97" i="18"/>
  <c r="F10" i="18" s="1"/>
  <c r="E9" i="18"/>
  <c r="D43" i="18"/>
  <c r="E131" i="18"/>
  <c r="E38" i="18"/>
  <c r="F126" i="18"/>
  <c r="F39" i="18" s="1"/>
  <c r="G156" i="18"/>
  <c r="F68" i="18"/>
  <c r="E168" i="18"/>
  <c r="E67" i="18"/>
  <c r="F114" i="18"/>
  <c r="F27" i="18" s="1"/>
  <c r="E26" i="18"/>
  <c r="D150" i="18"/>
  <c r="C62" i="18"/>
  <c r="D156" i="18"/>
  <c r="C68" i="18"/>
  <c r="E13" i="18"/>
  <c r="D15" i="18"/>
  <c r="D20" i="18"/>
  <c r="C27" i="18"/>
  <c r="C42" i="18"/>
  <c r="D44" i="18"/>
  <c r="H48" i="18"/>
  <c r="E53" i="18"/>
  <c r="G132" i="18"/>
  <c r="F44" i="18"/>
  <c r="F136" i="18"/>
  <c r="E48" i="18"/>
  <c r="F161" i="18"/>
  <c r="E73" i="18"/>
  <c r="I162" i="18"/>
  <c r="H74" i="18"/>
  <c r="E128" i="18"/>
  <c r="D40" i="18"/>
  <c r="D155" i="18"/>
  <c r="C67" i="18"/>
  <c r="D12" i="18"/>
  <c r="I141" i="18"/>
  <c r="J142" i="18" s="1"/>
  <c r="H53" i="18"/>
  <c r="C11" i="18"/>
  <c r="E21" i="18"/>
  <c r="D37" i="18"/>
  <c r="F54" i="18"/>
  <c r="D66" i="18"/>
  <c r="G163" i="18"/>
  <c r="F75" i="18"/>
  <c r="E162" i="18"/>
  <c r="D74" i="18"/>
  <c r="E169" i="18"/>
  <c r="D81" i="18"/>
  <c r="E164" i="18"/>
  <c r="D76" i="18"/>
  <c r="G94" i="18"/>
  <c r="F6" i="18"/>
  <c r="F104" i="18"/>
  <c r="E16" i="18"/>
  <c r="G110" i="18"/>
  <c r="F22" i="18"/>
  <c r="H143" i="18"/>
  <c r="G55" i="18"/>
  <c r="E93" i="18"/>
  <c r="D5" i="18"/>
  <c r="H92" i="18"/>
  <c r="L92" i="18"/>
  <c r="P92" i="18"/>
  <c r="T92" i="18"/>
  <c r="AB92" i="18"/>
  <c r="AB5" i="18" s="1"/>
  <c r="R93" i="18"/>
  <c r="F11" i="18"/>
  <c r="G99" i="18"/>
  <c r="E112" i="18"/>
  <c r="D24" i="18"/>
  <c r="O155" i="18"/>
  <c r="N67" i="18"/>
  <c r="W159" i="18"/>
  <c r="V71" i="18"/>
  <c r="U168" i="18"/>
  <c r="T80" i="18"/>
  <c r="V170" i="18"/>
  <c r="U82" i="18"/>
  <c r="G111" i="18"/>
  <c r="F23" i="18"/>
  <c r="K161" i="18"/>
  <c r="J73" i="18"/>
  <c r="Y93" i="18"/>
  <c r="X5" i="18"/>
  <c r="G22" i="18"/>
  <c r="H110" i="18"/>
  <c r="E138" i="18"/>
  <c r="D50" i="18"/>
  <c r="V93" i="18"/>
  <c r="G103" i="18"/>
  <c r="F15" i="18"/>
  <c r="G107" i="18"/>
  <c r="H102" i="18"/>
  <c r="G14" i="18"/>
  <c r="G102" i="18"/>
  <c r="F14" i="18"/>
  <c r="U122" i="18"/>
  <c r="T34" i="18"/>
  <c r="N93" i="18"/>
  <c r="X94" i="18"/>
  <c r="W6" i="18"/>
  <c r="K140" i="18"/>
  <c r="J52" i="18"/>
  <c r="E139" i="18"/>
  <c r="D51" i="18"/>
  <c r="H162" i="18"/>
  <c r="G74" i="18"/>
  <c r="J122" i="18"/>
  <c r="V122" i="18"/>
  <c r="G151" i="18"/>
  <c r="R36" i="18"/>
  <c r="G47" i="18"/>
  <c r="D13" i="18"/>
  <c r="D21" i="18"/>
  <c r="D25" i="18"/>
  <c r="C26" i="18"/>
  <c r="I34" i="18"/>
  <c r="N37" i="18"/>
  <c r="E50" i="18"/>
  <c r="G52" i="18"/>
  <c r="V63" i="18"/>
  <c r="H121" i="18"/>
  <c r="L121" i="18"/>
  <c r="X121" i="18"/>
  <c r="AB121" i="18"/>
  <c r="AB34" i="18" s="1"/>
  <c r="Z122" i="18"/>
  <c r="F103" i="18"/>
  <c r="P34" i="18"/>
  <c r="X64" i="18"/>
  <c r="I92" i="18"/>
  <c r="Y92" i="18"/>
  <c r="G121" i="18"/>
  <c r="O121" i="18"/>
  <c r="S121" i="18"/>
  <c r="W121" i="18"/>
  <c r="G169" i="18"/>
  <c r="F81" i="18"/>
  <c r="G92" i="18"/>
  <c r="K92" i="18"/>
  <c r="O92" i="18"/>
  <c r="S92" i="18"/>
  <c r="W92" i="18"/>
  <c r="AA92" i="18"/>
  <c r="N151" i="18"/>
  <c r="D110" i="18"/>
  <c r="I150" i="18"/>
  <c r="U150" i="18"/>
  <c r="Y150" i="18"/>
  <c r="H150" i="18"/>
  <c r="L150" i="18"/>
  <c r="T150" i="18"/>
  <c r="X150" i="18"/>
  <c r="AB150" i="18"/>
  <c r="AB63" i="18" s="1"/>
  <c r="AL26" i="17"/>
  <c r="N29" i="17"/>
  <c r="I24" i="17"/>
  <c r="AG25" i="17"/>
  <c r="CA22" i="17"/>
  <c r="CB22" i="17" s="1"/>
  <c r="E28" i="24" s="1"/>
  <c r="M29" i="17"/>
  <c r="M30" i="17"/>
  <c r="BO30" i="17"/>
  <c r="BO29" i="17"/>
  <c r="J25" i="17"/>
  <c r="BJ25" i="17"/>
  <c r="AH26" i="17"/>
  <c r="BN27" i="17"/>
  <c r="AL28" i="17"/>
  <c r="J29" i="17"/>
  <c r="BN29" i="17"/>
  <c r="AL30" i="17"/>
  <c r="AR31" i="17"/>
  <c r="Q32" i="17"/>
  <c r="BS32" i="17"/>
  <c r="BK63" i="17"/>
  <c r="BK64" i="17"/>
  <c r="BM65" i="17"/>
  <c r="BM66" i="17"/>
  <c r="M68" i="17"/>
  <c r="M67" i="17"/>
  <c r="O70" i="17"/>
  <c r="O69" i="17"/>
  <c r="BQ69" i="17"/>
  <c r="BQ70" i="17"/>
  <c r="AQ70" i="17"/>
  <c r="AQ71" i="17"/>
  <c r="Q71" i="17"/>
  <c r="Q72" i="17"/>
  <c r="R72" i="17"/>
  <c r="R73" i="17"/>
  <c r="AS73" i="17"/>
  <c r="AS72" i="17"/>
  <c r="S73" i="17"/>
  <c r="S74" i="17"/>
  <c r="AT73" i="17"/>
  <c r="AT74" i="17"/>
  <c r="AU75" i="17"/>
  <c r="AU74" i="17"/>
  <c r="Q75" i="17"/>
  <c r="AR75" i="17"/>
  <c r="BS75" i="17"/>
  <c r="F25" i="17"/>
  <c r="BJ27" i="17"/>
  <c r="BR31" i="17"/>
  <c r="AV36" i="17"/>
  <c r="BM26" i="17"/>
  <c r="I28" i="17"/>
  <c r="BT37" i="17"/>
  <c r="Y22" i="17"/>
  <c r="Z22" i="17" s="1"/>
  <c r="C28" i="24" s="1"/>
  <c r="AO30" i="17"/>
  <c r="AO31" i="17"/>
  <c r="D23" i="17"/>
  <c r="H23" i="17"/>
  <c r="AE23" i="17"/>
  <c r="AI23" i="17"/>
  <c r="AF24" i="17"/>
  <c r="AJ24" i="17"/>
  <c r="BG24" i="17"/>
  <c r="BK24" i="17"/>
  <c r="BH25" i="17"/>
  <c r="BL25" i="17"/>
  <c r="G26" i="17"/>
  <c r="K26" i="17"/>
  <c r="H27" i="17"/>
  <c r="L27" i="17"/>
  <c r="AI27" i="17"/>
  <c r="AM27" i="17"/>
  <c r="AJ28" i="17"/>
  <c r="AN28" i="17"/>
  <c r="BK28" i="17"/>
  <c r="BO28" i="17"/>
  <c r="AO29" i="17"/>
  <c r="BL29" i="17"/>
  <c r="BP29" i="17"/>
  <c r="K30" i="17"/>
  <c r="O30" i="17"/>
  <c r="BM30" i="17"/>
  <c r="BQ30" i="17"/>
  <c r="L31" i="17"/>
  <c r="P31" i="17"/>
  <c r="AM31" i="17"/>
  <c r="AQ31" i="17"/>
  <c r="N33" i="17"/>
  <c r="R33" i="17"/>
  <c r="AO34" i="17"/>
  <c r="AO33" i="17"/>
  <c r="AS34" i="17"/>
  <c r="AS33" i="17"/>
  <c r="BP33" i="17"/>
  <c r="BT34" i="17"/>
  <c r="BT33" i="17"/>
  <c r="O34" i="17"/>
  <c r="S34" i="17"/>
  <c r="AP34" i="17"/>
  <c r="AT34" i="17"/>
  <c r="BQ34" i="17"/>
  <c r="BQ35" i="17"/>
  <c r="BU34" i="17"/>
  <c r="T35" i="17"/>
  <c r="AQ35" i="17"/>
  <c r="AU35" i="17"/>
  <c r="BR35" i="17"/>
  <c r="BV35" i="17"/>
  <c r="Q36" i="17"/>
  <c r="U36" i="17"/>
  <c r="U37" i="17"/>
  <c r="AR36" i="17"/>
  <c r="BS36" i="17"/>
  <c r="BW36" i="17"/>
  <c r="R37" i="17"/>
  <c r="V37" i="17"/>
  <c r="AS37" i="17"/>
  <c r="AW37" i="17"/>
  <c r="BX37" i="17"/>
  <c r="G23" i="17"/>
  <c r="BK25" i="17"/>
  <c r="I26" i="17"/>
  <c r="AM28" i="17"/>
  <c r="BM28" i="17"/>
  <c r="N31" i="17"/>
  <c r="AM32" i="17"/>
  <c r="R35" i="17"/>
  <c r="AS35" i="17"/>
  <c r="AT36" i="17"/>
  <c r="BU36" i="17"/>
  <c r="BV37" i="17"/>
  <c r="O35" i="17"/>
  <c r="S35" i="17"/>
  <c r="P36" i="17"/>
  <c r="T36" i="17"/>
  <c r="AQ36" i="17"/>
  <c r="AU36" i="17"/>
  <c r="AR37" i="17"/>
  <c r="AV37" i="17"/>
  <c r="BS37" i="17"/>
  <c r="BW37" i="17"/>
  <c r="P32" i="17"/>
  <c r="AQ32" i="17"/>
  <c r="BR32" i="17"/>
  <c r="S36" i="17"/>
  <c r="G62" i="17"/>
  <c r="AH62" i="17"/>
  <c r="BL65" i="17"/>
  <c r="K66" i="17"/>
  <c r="BG61" i="17"/>
  <c r="BK61" i="17"/>
  <c r="F62" i="17"/>
  <c r="J62" i="17"/>
  <c r="G63" i="17"/>
  <c r="BM63" i="17"/>
  <c r="H64" i="17"/>
  <c r="L64" i="17"/>
  <c r="BN64" i="17"/>
  <c r="I65" i="17"/>
  <c r="M65" i="17"/>
  <c r="AJ65" i="17"/>
  <c r="AN65" i="17"/>
  <c r="BO65" i="17"/>
  <c r="J66" i="17"/>
  <c r="N66" i="17"/>
  <c r="AK66" i="17"/>
  <c r="BL66" i="17"/>
  <c r="BP66" i="17"/>
  <c r="K67" i="17"/>
  <c r="O67" i="17"/>
  <c r="AL67" i="17"/>
  <c r="L68" i="17"/>
  <c r="P68" i="17"/>
  <c r="AM68" i="17"/>
  <c r="AG61" i="17"/>
  <c r="BH61" i="17"/>
  <c r="BI62" i="17"/>
  <c r="H63" i="17"/>
  <c r="AI63" i="17"/>
  <c r="BJ63" i="17"/>
  <c r="I64" i="17"/>
  <c r="AJ64" i="17"/>
  <c r="J65" i="17"/>
  <c r="AK65" i="17"/>
  <c r="AL66" i="17"/>
  <c r="AM67" i="17"/>
  <c r="AN68" i="17"/>
  <c r="BO68" i="17"/>
  <c r="AO69" i="17"/>
  <c r="BP69" i="17"/>
  <c r="AP70" i="17"/>
  <c r="P71" i="17"/>
  <c r="BR71" i="17"/>
  <c r="BS72" i="17"/>
  <c r="BU74" i="17"/>
  <c r="BV75" i="17"/>
  <c r="BN67" i="17"/>
  <c r="N69" i="17"/>
  <c r="AR72" i="17"/>
  <c r="BT73" i="17"/>
  <c r="T75" i="17"/>
  <c r="Z66" i="18" l="1"/>
  <c r="E37" i="18"/>
  <c r="Q63" i="18"/>
  <c r="B23" i="16"/>
  <c r="T94" i="18"/>
  <c r="N35" i="18"/>
  <c r="P64" i="18"/>
  <c r="AA6" i="18"/>
  <c r="U152" i="18"/>
  <c r="T64" i="18"/>
  <c r="S152" i="18"/>
  <c r="R64" i="18"/>
  <c r="Y153" i="18"/>
  <c r="Z154" i="18" s="1"/>
  <c r="G93" i="18"/>
  <c r="F5" i="18"/>
  <c r="O158" i="18"/>
  <c r="N70" i="18"/>
  <c r="D6" i="18"/>
  <c r="J34" i="18"/>
  <c r="K122" i="18"/>
  <c r="F34" i="18"/>
  <c r="G122" i="18"/>
  <c r="S122" i="18"/>
  <c r="R34" i="18"/>
  <c r="L64" i="18"/>
  <c r="M152" i="18"/>
  <c r="P124" i="18"/>
  <c r="O36" i="18"/>
  <c r="P94" i="18"/>
  <c r="O6" i="18"/>
  <c r="R152" i="18"/>
  <c r="Q64" i="18"/>
  <c r="O122" i="18"/>
  <c r="N34" i="18"/>
  <c r="Z34" i="18"/>
  <c r="AA122" i="18"/>
  <c r="W122" i="18"/>
  <c r="V34" i="18"/>
  <c r="AB155" i="18"/>
  <c r="AB68" i="18" s="1"/>
  <c r="AA67" i="18"/>
  <c r="R153" i="18"/>
  <c r="Q65" i="18"/>
  <c r="S123" i="18"/>
  <c r="R35" i="18"/>
  <c r="T152" i="18"/>
  <c r="S64" i="18"/>
  <c r="T125" i="18"/>
  <c r="S37" i="18"/>
  <c r="P39" i="18"/>
  <c r="Q127" i="18"/>
  <c r="K6" i="18"/>
  <c r="L94" i="18"/>
  <c r="CA71" i="17"/>
  <c r="L139" i="18"/>
  <c r="L52" i="18" s="1"/>
  <c r="G106" i="18"/>
  <c r="H107" i="18" s="1"/>
  <c r="G127" i="18"/>
  <c r="H128" i="18" s="1"/>
  <c r="F95" i="18"/>
  <c r="F8" i="18" s="1"/>
  <c r="D34" i="18"/>
  <c r="G126" i="18"/>
  <c r="G39" i="18" s="1"/>
  <c r="D36" i="18"/>
  <c r="H101" i="18"/>
  <c r="H14" i="18" s="1"/>
  <c r="F12" i="18"/>
  <c r="G10" i="18"/>
  <c r="D33" i="18"/>
  <c r="J50" i="18"/>
  <c r="D62" i="18"/>
  <c r="I56" i="26"/>
  <c r="G44" i="18"/>
  <c r="CA64" i="17"/>
  <c r="F41" i="18"/>
  <c r="F167" i="18"/>
  <c r="G168" i="18" s="1"/>
  <c r="Y37" i="17"/>
  <c r="AZ31" i="17"/>
  <c r="Y25" i="17"/>
  <c r="E110" i="18"/>
  <c r="D22" i="18"/>
  <c r="F43" i="18"/>
  <c r="I131" i="18"/>
  <c r="I44" i="18" s="1"/>
  <c r="I85" i="26"/>
  <c r="I27" i="26"/>
  <c r="W28" i="26"/>
  <c r="K28" i="26"/>
  <c r="S28" i="26"/>
  <c r="AA28" i="26"/>
  <c r="O28" i="26"/>
  <c r="AE28" i="26"/>
  <c r="M86" i="26"/>
  <c r="AD86" i="26"/>
  <c r="W61" i="26"/>
  <c r="E126" i="18"/>
  <c r="D38" i="18"/>
  <c r="CA30" i="17"/>
  <c r="Y28" i="17"/>
  <c r="CA27" i="17"/>
  <c r="Y75" i="17"/>
  <c r="AZ73" i="17"/>
  <c r="Y67" i="17"/>
  <c r="Y69" i="17"/>
  <c r="CA23" i="17"/>
  <c r="CB23" i="17" s="1"/>
  <c r="J168" i="18"/>
  <c r="I80" i="18"/>
  <c r="E106" i="18"/>
  <c r="D18" i="18"/>
  <c r="Y68" i="17"/>
  <c r="CA32" i="17"/>
  <c r="CA37" i="17"/>
  <c r="AZ36" i="17"/>
  <c r="Y35" i="17"/>
  <c r="CA36" i="17"/>
  <c r="AZ35" i="17"/>
  <c r="CA34" i="17"/>
  <c r="Y34" i="17"/>
  <c r="AZ33" i="17"/>
  <c r="Y33" i="17"/>
  <c r="Y30" i="17"/>
  <c r="AZ29" i="17"/>
  <c r="AZ28" i="17"/>
  <c r="Y27" i="17"/>
  <c r="AZ24" i="17"/>
  <c r="Y23" i="17"/>
  <c r="Z23" i="17" s="1"/>
  <c r="CA69" i="17"/>
  <c r="CA31" i="17"/>
  <c r="CA24" i="17"/>
  <c r="AZ62" i="17"/>
  <c r="G98" i="18"/>
  <c r="H99" i="18" s="1"/>
  <c r="G42" i="18"/>
  <c r="Y73" i="17"/>
  <c r="Y61" i="17"/>
  <c r="Z61" i="17" s="1"/>
  <c r="F29" i="24" s="1"/>
  <c r="E133" i="18"/>
  <c r="D45" i="18"/>
  <c r="CA73" i="17"/>
  <c r="AZ72" i="17"/>
  <c r="AZ63" i="17"/>
  <c r="AZ61" i="17"/>
  <c r="BA61" i="17" s="1"/>
  <c r="AZ27" i="17"/>
  <c r="Y32" i="17"/>
  <c r="CA75" i="17"/>
  <c r="Y24" i="17"/>
  <c r="Y74" i="17"/>
  <c r="AZ71" i="17"/>
  <c r="CA68" i="17"/>
  <c r="AZ74" i="17"/>
  <c r="Y71" i="17"/>
  <c r="Y70" i="17"/>
  <c r="AZ69" i="17"/>
  <c r="CA62" i="17"/>
  <c r="AZ75" i="17"/>
  <c r="AZ30" i="17"/>
  <c r="CA67" i="17"/>
  <c r="CA70" i="17"/>
  <c r="CA74" i="17"/>
  <c r="AZ70" i="17"/>
  <c r="AZ67" i="17"/>
  <c r="CA66" i="17"/>
  <c r="Y65" i="17"/>
  <c r="CA26" i="17"/>
  <c r="CA72" i="17"/>
  <c r="AZ64" i="17"/>
  <c r="AZ68" i="17"/>
  <c r="AZ66" i="17"/>
  <c r="Y63" i="17"/>
  <c r="CA61" i="17"/>
  <c r="CB61" i="17" s="1"/>
  <c r="Y62" i="17"/>
  <c r="CA63" i="17"/>
  <c r="Y29" i="17"/>
  <c r="Y64" i="17"/>
  <c r="AZ65" i="17"/>
  <c r="Y66" i="17"/>
  <c r="CA33" i="17"/>
  <c r="CA29" i="17"/>
  <c r="Y72" i="17"/>
  <c r="CA65" i="17"/>
  <c r="AZ25" i="17"/>
  <c r="AZ26" i="17"/>
  <c r="F165" i="18"/>
  <c r="E77" i="18"/>
  <c r="F163" i="18"/>
  <c r="E75" i="18"/>
  <c r="K143" i="18"/>
  <c r="J55" i="18"/>
  <c r="G162" i="18"/>
  <c r="F74" i="18"/>
  <c r="D69" i="18"/>
  <c r="E157" i="18"/>
  <c r="H157" i="18"/>
  <c r="G69" i="18"/>
  <c r="I54" i="18"/>
  <c r="G115" i="18"/>
  <c r="G28" i="18" s="1"/>
  <c r="E156" i="18"/>
  <c r="D68" i="18"/>
  <c r="F129" i="18"/>
  <c r="E41" i="18"/>
  <c r="J163" i="18"/>
  <c r="I75" i="18"/>
  <c r="G137" i="18"/>
  <c r="F49" i="18"/>
  <c r="E151" i="18"/>
  <c r="D63" i="18"/>
  <c r="F123" i="18"/>
  <c r="E35" i="18"/>
  <c r="F169" i="18"/>
  <c r="E81" i="18"/>
  <c r="I133" i="18"/>
  <c r="H45" i="18"/>
  <c r="F132" i="18"/>
  <c r="E44" i="18"/>
  <c r="E82" i="18"/>
  <c r="F170" i="18"/>
  <c r="H164" i="18"/>
  <c r="G76" i="18"/>
  <c r="H133" i="18"/>
  <c r="G45" i="18"/>
  <c r="E36" i="18"/>
  <c r="F124" i="18"/>
  <c r="D169" i="18"/>
  <c r="C81" i="18"/>
  <c r="M151" i="18"/>
  <c r="L63" i="18"/>
  <c r="Z151" i="18"/>
  <c r="Y63" i="18"/>
  <c r="F151" i="18"/>
  <c r="E63" i="18"/>
  <c r="AB93" i="18"/>
  <c r="AA5" i="18"/>
  <c r="T93" i="18"/>
  <c r="S5" i="18"/>
  <c r="K5" i="18"/>
  <c r="L93" i="18"/>
  <c r="H122" i="18"/>
  <c r="G34" i="18"/>
  <c r="F122" i="18"/>
  <c r="E34" i="18"/>
  <c r="Y95" i="18"/>
  <c r="X7" i="18"/>
  <c r="W94" i="18"/>
  <c r="V6" i="18"/>
  <c r="L162" i="18"/>
  <c r="K74" i="18"/>
  <c r="H112" i="18"/>
  <c r="G24" i="18"/>
  <c r="V169" i="18"/>
  <c r="U81" i="18"/>
  <c r="P156" i="18"/>
  <c r="O68" i="18"/>
  <c r="S94" i="18"/>
  <c r="R6" i="18"/>
  <c r="Q93" i="18"/>
  <c r="P5" i="18"/>
  <c r="I93" i="18"/>
  <c r="H5" i="18"/>
  <c r="F94" i="18"/>
  <c r="E6" i="18"/>
  <c r="H111" i="18"/>
  <c r="G23" i="18"/>
  <c r="H95" i="18"/>
  <c r="G7" i="18"/>
  <c r="Y151" i="18"/>
  <c r="X63" i="18"/>
  <c r="T122" i="18"/>
  <c r="S34" i="18"/>
  <c r="J93" i="18"/>
  <c r="I5" i="18"/>
  <c r="I122" i="18"/>
  <c r="H34" i="18"/>
  <c r="W123" i="18"/>
  <c r="V35" i="18"/>
  <c r="F140" i="18"/>
  <c r="E52" i="18"/>
  <c r="O94" i="18"/>
  <c r="N6" i="18"/>
  <c r="H103" i="18"/>
  <c r="G15" i="18"/>
  <c r="U151" i="18"/>
  <c r="T63" i="18"/>
  <c r="V151" i="18"/>
  <c r="U63" i="18"/>
  <c r="J151" i="18"/>
  <c r="I63" i="18"/>
  <c r="D140" i="18"/>
  <c r="C52" i="18"/>
  <c r="W5" i="18"/>
  <c r="X93" i="18"/>
  <c r="O5" i="18"/>
  <c r="P93" i="18"/>
  <c r="G5" i="18"/>
  <c r="H93" i="18"/>
  <c r="H170" i="18"/>
  <c r="G82" i="18"/>
  <c r="X122" i="18"/>
  <c r="W34" i="18"/>
  <c r="P122" i="18"/>
  <c r="O34" i="18"/>
  <c r="Z93" i="18"/>
  <c r="Y5" i="18"/>
  <c r="G104" i="18"/>
  <c r="F16" i="18"/>
  <c r="AA123" i="18"/>
  <c r="Z35" i="18"/>
  <c r="K123" i="18"/>
  <c r="J35" i="18"/>
  <c r="I99" i="18"/>
  <c r="H11" i="18"/>
  <c r="H108" i="18"/>
  <c r="G20" i="18"/>
  <c r="H104" i="18"/>
  <c r="G16" i="18"/>
  <c r="U95" i="18"/>
  <c r="T7" i="18"/>
  <c r="I111" i="18"/>
  <c r="H23" i="18"/>
  <c r="W171" i="18"/>
  <c r="V83" i="18"/>
  <c r="X160" i="18"/>
  <c r="W72" i="18"/>
  <c r="F113" i="18"/>
  <c r="E25" i="18"/>
  <c r="U93" i="18"/>
  <c r="T5" i="18"/>
  <c r="M93" i="18"/>
  <c r="L5" i="18"/>
  <c r="I144" i="18"/>
  <c r="I57" i="18" s="1"/>
  <c r="H56" i="18"/>
  <c r="G105" i="18"/>
  <c r="F17" i="18"/>
  <c r="I151" i="18"/>
  <c r="H63" i="18"/>
  <c r="E111" i="18"/>
  <c r="D23" i="18"/>
  <c r="O152" i="18"/>
  <c r="N64" i="18"/>
  <c r="Y122" i="18"/>
  <c r="X34" i="18"/>
  <c r="M122" i="18"/>
  <c r="L34" i="18"/>
  <c r="H152" i="18"/>
  <c r="G64" i="18"/>
  <c r="I163" i="18"/>
  <c r="H75" i="18"/>
  <c r="L141" i="18"/>
  <c r="K53" i="18"/>
  <c r="V123" i="18"/>
  <c r="U35" i="18"/>
  <c r="I103" i="18"/>
  <c r="H15" i="18"/>
  <c r="F139" i="18"/>
  <c r="E51" i="18"/>
  <c r="Z94" i="18"/>
  <c r="Y6" i="18"/>
  <c r="H100" i="18"/>
  <c r="G12" i="18"/>
  <c r="CA25" i="17"/>
  <c r="Y31" i="17"/>
  <c r="AZ37" i="17"/>
  <c r="Y36" i="17"/>
  <c r="CA28" i="17"/>
  <c r="Y26" i="17"/>
  <c r="AZ23" i="17"/>
  <c r="BA23" i="17" s="1"/>
  <c r="AZ32" i="17"/>
  <c r="CA35" i="17"/>
  <c r="AZ34" i="17"/>
  <c r="M140" i="18" l="1"/>
  <c r="Y66" i="18"/>
  <c r="Z62" i="17"/>
  <c r="Z63" i="17" s="1"/>
  <c r="G6" i="18"/>
  <c r="H94" i="18"/>
  <c r="V153" i="18"/>
  <c r="U65" i="18"/>
  <c r="P159" i="18"/>
  <c r="O71" i="18"/>
  <c r="T153" i="18"/>
  <c r="S65" i="18"/>
  <c r="M95" i="18"/>
  <c r="L7" i="18"/>
  <c r="AB123" i="18"/>
  <c r="AB36" i="18" s="1"/>
  <c r="AA35" i="18"/>
  <c r="Q125" i="18"/>
  <c r="P37" i="18"/>
  <c r="U126" i="18"/>
  <c r="T38" i="18"/>
  <c r="T124" i="18"/>
  <c r="S36" i="18"/>
  <c r="X123" i="18"/>
  <c r="W35" i="18"/>
  <c r="S153" i="18"/>
  <c r="R65" i="18"/>
  <c r="N153" i="18"/>
  <c r="M65" i="18"/>
  <c r="Q40" i="18"/>
  <c r="R128" i="18"/>
  <c r="O35" i="18"/>
  <c r="P123" i="18"/>
  <c r="Q95" i="18"/>
  <c r="P7" i="18"/>
  <c r="T123" i="18"/>
  <c r="S35" i="18"/>
  <c r="L123" i="18"/>
  <c r="K35" i="18"/>
  <c r="U153" i="18"/>
  <c r="T65" i="18"/>
  <c r="S154" i="18"/>
  <c r="R66" i="18"/>
  <c r="H123" i="18"/>
  <c r="G35" i="18"/>
  <c r="G40" i="18"/>
  <c r="I102" i="18"/>
  <c r="J103" i="18" s="1"/>
  <c r="G96" i="18"/>
  <c r="H97" i="18" s="1"/>
  <c r="G19" i="18"/>
  <c r="J132" i="18"/>
  <c r="J45" i="18" s="1"/>
  <c r="F80" i="18"/>
  <c r="H127" i="18"/>
  <c r="J57" i="26"/>
  <c r="G11" i="18"/>
  <c r="F111" i="18"/>
  <c r="E23" i="18"/>
  <c r="J86" i="26"/>
  <c r="J28" i="26"/>
  <c r="AB29" i="26"/>
  <c r="L29" i="26"/>
  <c r="P29" i="26"/>
  <c r="T29" i="26"/>
  <c r="X29" i="26"/>
  <c r="AE87" i="26"/>
  <c r="N87" i="26"/>
  <c r="X62" i="26"/>
  <c r="J81" i="18"/>
  <c r="K169" i="18"/>
  <c r="BA62" i="17"/>
  <c r="G30" i="24" s="1"/>
  <c r="G29" i="24"/>
  <c r="F134" i="18"/>
  <c r="E46" i="18"/>
  <c r="F107" i="18"/>
  <c r="E19" i="18"/>
  <c r="F127" i="18"/>
  <c r="E39" i="18"/>
  <c r="F30" i="24"/>
  <c r="Z24" i="17"/>
  <c r="C29" i="24"/>
  <c r="BA24" i="17"/>
  <c r="D29" i="24"/>
  <c r="CB62" i="17"/>
  <c r="H29" i="24"/>
  <c r="CB24" i="17"/>
  <c r="E29" i="24"/>
  <c r="G125" i="18"/>
  <c r="F37" i="18"/>
  <c r="J134" i="18"/>
  <c r="I46" i="18"/>
  <c r="G170" i="18"/>
  <c r="F82" i="18"/>
  <c r="F152" i="18"/>
  <c r="E64" i="18"/>
  <c r="K164" i="18"/>
  <c r="J76" i="18"/>
  <c r="F157" i="18"/>
  <c r="E69" i="18"/>
  <c r="I158" i="18"/>
  <c r="H70" i="18"/>
  <c r="H163" i="18"/>
  <c r="G75" i="18"/>
  <c r="G164" i="18"/>
  <c r="F76" i="18"/>
  <c r="I165" i="18"/>
  <c r="H77" i="18"/>
  <c r="F158" i="18"/>
  <c r="E70" i="18"/>
  <c r="I134" i="18"/>
  <c r="H46" i="18"/>
  <c r="G171" i="18"/>
  <c r="F83" i="18"/>
  <c r="G133" i="18"/>
  <c r="F45" i="18"/>
  <c r="G124" i="18"/>
  <c r="F36" i="18"/>
  <c r="H138" i="18"/>
  <c r="G50" i="18"/>
  <c r="G130" i="18"/>
  <c r="F42" i="18"/>
  <c r="L144" i="18"/>
  <c r="L57" i="18" s="1"/>
  <c r="K56" i="18"/>
  <c r="G166" i="18"/>
  <c r="F78" i="18"/>
  <c r="E24" i="18"/>
  <c r="F112" i="18"/>
  <c r="E141" i="18"/>
  <c r="D53" i="18"/>
  <c r="I96" i="18"/>
  <c r="H8" i="18"/>
  <c r="J94" i="18"/>
  <c r="I6" i="18"/>
  <c r="H35" i="18"/>
  <c r="I123" i="18"/>
  <c r="U94" i="18"/>
  <c r="T6" i="18"/>
  <c r="G152" i="18"/>
  <c r="F64" i="18"/>
  <c r="V94" i="18"/>
  <c r="U6" i="18"/>
  <c r="I100" i="18"/>
  <c r="H12" i="18"/>
  <c r="X172" i="18"/>
  <c r="W84" i="18"/>
  <c r="N141" i="18"/>
  <c r="M53" i="18"/>
  <c r="V96" i="18"/>
  <c r="U8" i="18"/>
  <c r="I109" i="18"/>
  <c r="H21" i="18"/>
  <c r="I12" i="18"/>
  <c r="J100" i="18"/>
  <c r="Z67" i="18"/>
  <c r="AA155" i="18"/>
  <c r="AB124" i="18"/>
  <c r="AA36" i="18"/>
  <c r="I94" i="18"/>
  <c r="H6" i="18"/>
  <c r="Y94" i="18"/>
  <c r="X6" i="18"/>
  <c r="D141" i="18"/>
  <c r="C53" i="18"/>
  <c r="W152" i="18"/>
  <c r="V64" i="18"/>
  <c r="I129" i="18"/>
  <c r="H41" i="18"/>
  <c r="X124" i="18"/>
  <c r="W36" i="18"/>
  <c r="K94" i="18"/>
  <c r="J6" i="18"/>
  <c r="T95" i="18"/>
  <c r="S7" i="18"/>
  <c r="X95" i="18"/>
  <c r="W7" i="18"/>
  <c r="I101" i="18"/>
  <c r="H13" i="18"/>
  <c r="G140" i="18"/>
  <c r="F52" i="18"/>
  <c r="W124" i="18"/>
  <c r="V36" i="18"/>
  <c r="L54" i="18"/>
  <c r="M142" i="18"/>
  <c r="J164" i="18"/>
  <c r="I76" i="18"/>
  <c r="N123" i="18"/>
  <c r="M35" i="18"/>
  <c r="P153" i="18"/>
  <c r="O65" i="18"/>
  <c r="N94" i="18"/>
  <c r="M6" i="18"/>
  <c r="X35" i="18"/>
  <c r="Y123" i="18"/>
  <c r="G114" i="18"/>
  <c r="F26" i="18"/>
  <c r="Y161" i="18"/>
  <c r="X73" i="18"/>
  <c r="J112" i="18"/>
  <c r="I24" i="18"/>
  <c r="I105" i="18"/>
  <c r="H17" i="18"/>
  <c r="L124" i="18"/>
  <c r="K36" i="18"/>
  <c r="H105" i="18"/>
  <c r="G17" i="18"/>
  <c r="Q94" i="18"/>
  <c r="P6" i="18"/>
  <c r="K152" i="18"/>
  <c r="J64" i="18"/>
  <c r="V152" i="18"/>
  <c r="U64" i="18"/>
  <c r="I104" i="18"/>
  <c r="H16" i="18"/>
  <c r="P95" i="18"/>
  <c r="O7" i="18"/>
  <c r="G141" i="18"/>
  <c r="F53" i="18"/>
  <c r="J123" i="18"/>
  <c r="I35" i="18"/>
  <c r="U123" i="18"/>
  <c r="T35" i="18"/>
  <c r="Q157" i="18"/>
  <c r="P69" i="18"/>
  <c r="I113" i="18"/>
  <c r="H25" i="18"/>
  <c r="H169" i="18"/>
  <c r="G81" i="18"/>
  <c r="Y8" i="18"/>
  <c r="Z96" i="18"/>
  <c r="E170" i="18"/>
  <c r="D82" i="18"/>
  <c r="Z7" i="18"/>
  <c r="AA95" i="18"/>
  <c r="J104" i="18"/>
  <c r="I16" i="18"/>
  <c r="I153" i="18"/>
  <c r="H65" i="18"/>
  <c r="Z123" i="18"/>
  <c r="Y35" i="18"/>
  <c r="H106" i="18"/>
  <c r="G18" i="18"/>
  <c r="Q123" i="18"/>
  <c r="P35" i="18"/>
  <c r="I171" i="18"/>
  <c r="H83" i="18"/>
  <c r="D170" i="18"/>
  <c r="C82" i="18"/>
  <c r="J152" i="18"/>
  <c r="I64" i="18"/>
  <c r="W170" i="18"/>
  <c r="V82" i="18"/>
  <c r="M163" i="18"/>
  <c r="L75" i="18"/>
  <c r="I108" i="18"/>
  <c r="H20" i="18"/>
  <c r="G123" i="18"/>
  <c r="F35" i="18"/>
  <c r="M94" i="18"/>
  <c r="L6" i="18"/>
  <c r="N152" i="18"/>
  <c r="M64" i="18"/>
  <c r="AA94" i="18"/>
  <c r="Z6" i="18"/>
  <c r="Z152" i="18"/>
  <c r="Y64" i="18"/>
  <c r="I112" i="18"/>
  <c r="H24" i="18"/>
  <c r="F7" i="18"/>
  <c r="G95" i="18"/>
  <c r="R94" i="18"/>
  <c r="Q6" i="18"/>
  <c r="AB6" i="18"/>
  <c r="AA152" i="18"/>
  <c r="Z64" i="18"/>
  <c r="K133" i="18" l="1"/>
  <c r="L134" i="18" s="1"/>
  <c r="Q160" i="18"/>
  <c r="P72" i="18"/>
  <c r="G9" i="18"/>
  <c r="T66" i="18"/>
  <c r="U154" i="18"/>
  <c r="W154" i="18"/>
  <c r="V66" i="18"/>
  <c r="H7" i="18"/>
  <c r="I95" i="18"/>
  <c r="Q124" i="18"/>
  <c r="P36" i="18"/>
  <c r="I124" i="18"/>
  <c r="H36" i="18"/>
  <c r="V154" i="18"/>
  <c r="U66" i="18"/>
  <c r="U124" i="18"/>
  <c r="T36" i="18"/>
  <c r="O154" i="18"/>
  <c r="N66" i="18"/>
  <c r="Y124" i="18"/>
  <c r="X36" i="18"/>
  <c r="U39" i="18"/>
  <c r="V127" i="18"/>
  <c r="S129" i="18"/>
  <c r="R41" i="18"/>
  <c r="T155" i="18"/>
  <c r="S67" i="18"/>
  <c r="M124" i="18"/>
  <c r="L36" i="18"/>
  <c r="Q8" i="18"/>
  <c r="R96" i="18"/>
  <c r="T154" i="18"/>
  <c r="S66" i="18"/>
  <c r="U125" i="18"/>
  <c r="T37" i="18"/>
  <c r="Q38" i="18"/>
  <c r="R126" i="18"/>
  <c r="M8" i="18"/>
  <c r="N96" i="18"/>
  <c r="I15" i="18"/>
  <c r="H40" i="18"/>
  <c r="I128" i="18"/>
  <c r="K58" i="26"/>
  <c r="G112" i="18"/>
  <c r="F24" i="18"/>
  <c r="K87" i="26"/>
  <c r="K29" i="26"/>
  <c r="U30" i="26"/>
  <c r="Y30" i="26"/>
  <c r="Q30" i="26"/>
  <c r="AC30" i="26"/>
  <c r="M30" i="26"/>
  <c r="O88" i="26"/>
  <c r="Y63" i="26"/>
  <c r="G108" i="18"/>
  <c r="F20" i="18"/>
  <c r="BA63" i="17"/>
  <c r="G31" i="24" s="1"/>
  <c r="G128" i="18"/>
  <c r="F40" i="18"/>
  <c r="G135" i="18"/>
  <c r="F47" i="18"/>
  <c r="L170" i="18"/>
  <c r="K82" i="18"/>
  <c r="BA25" i="17"/>
  <c r="D30" i="24"/>
  <c r="Z64" i="17"/>
  <c r="F31" i="24"/>
  <c r="CB63" i="17"/>
  <c r="H30" i="24"/>
  <c r="Z25" i="17"/>
  <c r="C30" i="24"/>
  <c r="CB25" i="17"/>
  <c r="E30" i="24"/>
  <c r="H167" i="18"/>
  <c r="G79" i="18"/>
  <c r="K46" i="18"/>
  <c r="G159" i="18"/>
  <c r="F71" i="18"/>
  <c r="H165" i="18"/>
  <c r="G77" i="18"/>
  <c r="I164" i="18"/>
  <c r="H76" i="18"/>
  <c r="G158" i="18"/>
  <c r="F70" i="18"/>
  <c r="G153" i="18"/>
  <c r="F65" i="18"/>
  <c r="I139" i="18"/>
  <c r="H51" i="18"/>
  <c r="H172" i="18"/>
  <c r="G84" i="18"/>
  <c r="K135" i="18"/>
  <c r="J47" i="18"/>
  <c r="H131" i="18"/>
  <c r="G43" i="18"/>
  <c r="G37" i="18"/>
  <c r="H125" i="18"/>
  <c r="H134" i="18"/>
  <c r="G46" i="18"/>
  <c r="J135" i="18"/>
  <c r="I47" i="18"/>
  <c r="J166" i="18"/>
  <c r="I78" i="18"/>
  <c r="J159" i="18"/>
  <c r="I71" i="18"/>
  <c r="L165" i="18"/>
  <c r="K77" i="18"/>
  <c r="H171" i="18"/>
  <c r="G83" i="18"/>
  <c r="H126" i="18"/>
  <c r="G38" i="18"/>
  <c r="O153" i="18"/>
  <c r="N65" i="18"/>
  <c r="D171" i="18"/>
  <c r="C83" i="18"/>
  <c r="AA97" i="18"/>
  <c r="Z9" i="18"/>
  <c r="J105" i="18"/>
  <c r="I17" i="18"/>
  <c r="K104" i="18"/>
  <c r="J16" i="18"/>
  <c r="Z124" i="18"/>
  <c r="Y36" i="18"/>
  <c r="Y125" i="18"/>
  <c r="X37" i="18"/>
  <c r="J130" i="18"/>
  <c r="I42" i="18"/>
  <c r="D142" i="18"/>
  <c r="C54" i="18"/>
  <c r="Z95" i="18"/>
  <c r="Y7" i="18"/>
  <c r="G65" i="18"/>
  <c r="H153" i="18"/>
  <c r="J124" i="18"/>
  <c r="I36" i="18"/>
  <c r="AA153" i="18"/>
  <c r="Z65" i="18"/>
  <c r="J154" i="18"/>
  <c r="I66" i="18"/>
  <c r="K105" i="18"/>
  <c r="J17" i="18"/>
  <c r="H142" i="18"/>
  <c r="G54" i="18"/>
  <c r="L153" i="18"/>
  <c r="K65" i="18"/>
  <c r="R95" i="18"/>
  <c r="Q7" i="18"/>
  <c r="O95" i="18"/>
  <c r="N7" i="18"/>
  <c r="K165" i="18"/>
  <c r="J77" i="18"/>
  <c r="H141" i="18"/>
  <c r="G53" i="18"/>
  <c r="K95" i="18"/>
  <c r="J7" i="18"/>
  <c r="J97" i="18"/>
  <c r="I9" i="18"/>
  <c r="F142" i="18"/>
  <c r="E54" i="18"/>
  <c r="I98" i="18"/>
  <c r="H10" i="18"/>
  <c r="AB96" i="18"/>
  <c r="AB9" i="18" s="1"/>
  <c r="AA8" i="18"/>
  <c r="AB153" i="18"/>
  <c r="AA65" i="18"/>
  <c r="H96" i="18"/>
  <c r="G8" i="18"/>
  <c r="H124" i="18"/>
  <c r="G36" i="18"/>
  <c r="J109" i="18"/>
  <c r="I21" i="18"/>
  <c r="X171" i="18"/>
  <c r="W83" i="18"/>
  <c r="K153" i="18"/>
  <c r="J65" i="18"/>
  <c r="I107" i="18"/>
  <c r="H19" i="18"/>
  <c r="Z36" i="18"/>
  <c r="AA124" i="18"/>
  <c r="I170" i="18"/>
  <c r="H82" i="18"/>
  <c r="R158" i="18"/>
  <c r="Q70" i="18"/>
  <c r="V124" i="18"/>
  <c r="U36" i="18"/>
  <c r="J36" i="18"/>
  <c r="K124" i="18"/>
  <c r="O124" i="18"/>
  <c r="N36" i="18"/>
  <c r="X125" i="18"/>
  <c r="W37" i="18"/>
  <c r="J102" i="18"/>
  <c r="I14" i="18"/>
  <c r="J95" i="18"/>
  <c r="I7" i="18"/>
  <c r="AB37" i="18"/>
  <c r="J110" i="18"/>
  <c r="I22" i="18"/>
  <c r="Y173" i="18"/>
  <c r="Y86" i="18" s="1"/>
  <c r="X85" i="18"/>
  <c r="J101" i="18"/>
  <c r="I13" i="18"/>
  <c r="N95" i="18"/>
  <c r="M7" i="18"/>
  <c r="I106" i="18"/>
  <c r="H18" i="18"/>
  <c r="M125" i="18"/>
  <c r="L37" i="18"/>
  <c r="K113" i="18"/>
  <c r="J25" i="18"/>
  <c r="H115" i="18"/>
  <c r="H28" i="18" s="1"/>
  <c r="G27" i="18"/>
  <c r="AB156" i="18"/>
  <c r="AB69" i="18" s="1"/>
  <c r="AA68" i="18"/>
  <c r="S95" i="18"/>
  <c r="R7" i="18"/>
  <c r="AB95" i="18"/>
  <c r="AA7" i="18"/>
  <c r="N164" i="18"/>
  <c r="M76" i="18"/>
  <c r="E171" i="18"/>
  <c r="D83" i="18"/>
  <c r="R124" i="18"/>
  <c r="Q36" i="18"/>
  <c r="J114" i="18"/>
  <c r="I26" i="18"/>
  <c r="X153" i="18"/>
  <c r="W65" i="18"/>
  <c r="E142" i="18"/>
  <c r="D54" i="18"/>
  <c r="W97" i="18"/>
  <c r="V9" i="18"/>
  <c r="O142" i="18"/>
  <c r="N54" i="18"/>
  <c r="J113" i="18"/>
  <c r="I25" i="18"/>
  <c r="J172" i="18"/>
  <c r="I84" i="18"/>
  <c r="F171" i="18"/>
  <c r="E83" i="18"/>
  <c r="P8" i="18"/>
  <c r="Q96" i="18"/>
  <c r="W153" i="18"/>
  <c r="V65" i="18"/>
  <c r="J106" i="18"/>
  <c r="I18" i="18"/>
  <c r="Z162" i="18"/>
  <c r="Y74" i="18"/>
  <c r="Q154" i="18"/>
  <c r="P66" i="18"/>
  <c r="N143" i="18"/>
  <c r="M55" i="18"/>
  <c r="Y96" i="18"/>
  <c r="X8" i="18"/>
  <c r="U96" i="18"/>
  <c r="T8" i="18"/>
  <c r="L95" i="18"/>
  <c r="K7" i="18"/>
  <c r="K101" i="18"/>
  <c r="J13" i="18"/>
  <c r="V7" i="18"/>
  <c r="W95" i="18"/>
  <c r="U7" i="18"/>
  <c r="V95" i="18"/>
  <c r="G113" i="18"/>
  <c r="F25" i="18"/>
  <c r="V155" i="18" l="1"/>
  <c r="U67" i="18"/>
  <c r="J96" i="18"/>
  <c r="I8" i="18"/>
  <c r="R161" i="18"/>
  <c r="Q73" i="18"/>
  <c r="X155" i="18"/>
  <c r="W67" i="18"/>
  <c r="S127" i="18"/>
  <c r="R39" i="18"/>
  <c r="U155" i="18"/>
  <c r="T67" i="18"/>
  <c r="N125" i="18"/>
  <c r="M37" i="18"/>
  <c r="T130" i="18"/>
  <c r="S42" i="18"/>
  <c r="Z125" i="18"/>
  <c r="Y37" i="18"/>
  <c r="V125" i="18"/>
  <c r="U37" i="18"/>
  <c r="J125" i="18"/>
  <c r="I37" i="18"/>
  <c r="N9" i="18"/>
  <c r="O97" i="18"/>
  <c r="R9" i="18"/>
  <c r="S97" i="18"/>
  <c r="W128" i="18"/>
  <c r="V40" i="18"/>
  <c r="BA64" i="17"/>
  <c r="BA65" i="17" s="1"/>
  <c r="V126" i="18"/>
  <c r="U38" i="18"/>
  <c r="T68" i="18"/>
  <c r="U156" i="18"/>
  <c r="O67" i="18"/>
  <c r="P155" i="18"/>
  <c r="W155" i="18"/>
  <c r="V67" i="18"/>
  <c r="R125" i="18"/>
  <c r="Q37" i="18"/>
  <c r="J129" i="18"/>
  <c r="I41" i="18"/>
  <c r="L59" i="26"/>
  <c r="G25" i="18"/>
  <c r="H113" i="18"/>
  <c r="L88" i="26"/>
  <c r="L30" i="26"/>
  <c r="AD31" i="26"/>
  <c r="Z31" i="26"/>
  <c r="N31" i="26"/>
  <c r="R31" i="26"/>
  <c r="V31" i="26"/>
  <c r="P89" i="26"/>
  <c r="Z64" i="26"/>
  <c r="M171" i="18"/>
  <c r="L83" i="18"/>
  <c r="H129" i="18"/>
  <c r="G41" i="18"/>
  <c r="H136" i="18"/>
  <c r="G48" i="18"/>
  <c r="H109" i="18"/>
  <c r="G21" i="18"/>
  <c r="Z26" i="17"/>
  <c r="C31" i="24"/>
  <c r="CB64" i="17"/>
  <c r="H31" i="24"/>
  <c r="BA26" i="17"/>
  <c r="D31" i="24"/>
  <c r="CB26" i="17"/>
  <c r="E31" i="24"/>
  <c r="Z65" i="17"/>
  <c r="F32" i="24"/>
  <c r="H39" i="18"/>
  <c r="I127" i="18"/>
  <c r="M166" i="18"/>
  <c r="L78" i="18"/>
  <c r="J48" i="18"/>
  <c r="K136" i="18"/>
  <c r="L136" i="18"/>
  <c r="K48" i="18"/>
  <c r="J140" i="18"/>
  <c r="I52" i="18"/>
  <c r="H159" i="18"/>
  <c r="G71" i="18"/>
  <c r="I166" i="18"/>
  <c r="H78" i="18"/>
  <c r="M135" i="18"/>
  <c r="L47" i="18"/>
  <c r="H38" i="18"/>
  <c r="I126" i="18"/>
  <c r="I172" i="18"/>
  <c r="H84" i="18"/>
  <c r="K160" i="18"/>
  <c r="J72" i="18"/>
  <c r="K167" i="18"/>
  <c r="J79" i="18"/>
  <c r="H47" i="18"/>
  <c r="I135" i="18"/>
  <c r="I132" i="18"/>
  <c r="H44" i="18"/>
  <c r="I173" i="18"/>
  <c r="I86" i="18" s="1"/>
  <c r="H85" i="18"/>
  <c r="H154" i="18"/>
  <c r="G66" i="18"/>
  <c r="J165" i="18"/>
  <c r="I77" i="18"/>
  <c r="H160" i="18"/>
  <c r="G72" i="18"/>
  <c r="I168" i="18"/>
  <c r="H80" i="18"/>
  <c r="R97" i="18"/>
  <c r="Q9" i="18"/>
  <c r="K173" i="18"/>
  <c r="K86" i="18" s="1"/>
  <c r="J85" i="18"/>
  <c r="F172" i="18"/>
  <c r="E84" i="18"/>
  <c r="Y126" i="18"/>
  <c r="X38" i="18"/>
  <c r="W125" i="18"/>
  <c r="V37" i="18"/>
  <c r="K14" i="18"/>
  <c r="L102" i="18"/>
  <c r="J19" i="18"/>
  <c r="K107" i="18"/>
  <c r="K115" i="18"/>
  <c r="K28" i="18" s="1"/>
  <c r="J27" i="18"/>
  <c r="AB154" i="18"/>
  <c r="AB67" i="18" s="1"/>
  <c r="AA66" i="18"/>
  <c r="K125" i="18"/>
  <c r="J37" i="18"/>
  <c r="D143" i="18"/>
  <c r="C55" i="18"/>
  <c r="Z126" i="18"/>
  <c r="Y38" i="18"/>
  <c r="S125" i="18"/>
  <c r="R37" i="18"/>
  <c r="O165" i="18"/>
  <c r="N77" i="18"/>
  <c r="K103" i="18"/>
  <c r="J15" i="18"/>
  <c r="S159" i="18"/>
  <c r="R71" i="18"/>
  <c r="G143" i="18"/>
  <c r="F55" i="18"/>
  <c r="L96" i="18"/>
  <c r="K8" i="18"/>
  <c r="I143" i="18"/>
  <c r="H55" i="18"/>
  <c r="L106" i="18"/>
  <c r="K18" i="18"/>
  <c r="K155" i="18"/>
  <c r="J67" i="18"/>
  <c r="E143" i="18"/>
  <c r="D55" i="18"/>
  <c r="AA125" i="18"/>
  <c r="Z37" i="18"/>
  <c r="K106" i="18"/>
  <c r="J18" i="18"/>
  <c r="D172" i="18"/>
  <c r="C84" i="18"/>
  <c r="P154" i="18"/>
  <c r="O66" i="18"/>
  <c r="K102" i="18"/>
  <c r="J14" i="18"/>
  <c r="K111" i="18"/>
  <c r="J23" i="18"/>
  <c r="L125" i="18"/>
  <c r="K37" i="18"/>
  <c r="J171" i="18"/>
  <c r="I83" i="18"/>
  <c r="AB125" i="18"/>
  <c r="AA37" i="18"/>
  <c r="I125" i="18"/>
  <c r="H37" i="18"/>
  <c r="I97" i="18"/>
  <c r="H9" i="18"/>
  <c r="AB66" i="18"/>
  <c r="K98" i="18"/>
  <c r="J10" i="18"/>
  <c r="M154" i="18"/>
  <c r="L66" i="18"/>
  <c r="L105" i="18"/>
  <c r="K17" i="18"/>
  <c r="AA10" i="18"/>
  <c r="AB98" i="18"/>
  <c r="AB11" i="18" s="1"/>
  <c r="V97" i="18"/>
  <c r="U9" i="18"/>
  <c r="N56" i="18"/>
  <c r="O144" i="18"/>
  <c r="O57" i="18" s="1"/>
  <c r="R155" i="18"/>
  <c r="Q67" i="18"/>
  <c r="AA163" i="18"/>
  <c r="Z75" i="18"/>
  <c r="X154" i="18"/>
  <c r="W66" i="18"/>
  <c r="X98" i="18"/>
  <c r="W10" i="18"/>
  <c r="J107" i="18"/>
  <c r="I19" i="18"/>
  <c r="O96" i="18"/>
  <c r="N8" i="18"/>
  <c r="K96" i="18"/>
  <c r="J8" i="18"/>
  <c r="L154" i="18"/>
  <c r="K66" i="18"/>
  <c r="K110" i="18"/>
  <c r="J22" i="18"/>
  <c r="S96" i="18"/>
  <c r="R8" i="18"/>
  <c r="K131" i="18"/>
  <c r="J43" i="18"/>
  <c r="H114" i="18"/>
  <c r="G26" i="18"/>
  <c r="X96" i="18"/>
  <c r="W8" i="18"/>
  <c r="G172" i="18"/>
  <c r="F84" i="18"/>
  <c r="K114" i="18"/>
  <c r="J26" i="18"/>
  <c r="X66" i="18"/>
  <c r="Y154" i="18"/>
  <c r="T96" i="18"/>
  <c r="S8" i="18"/>
  <c r="L114" i="18"/>
  <c r="K26" i="18"/>
  <c r="W96" i="18"/>
  <c r="V8" i="18"/>
  <c r="M96" i="18"/>
  <c r="L8" i="18"/>
  <c r="Z97" i="18"/>
  <c r="Y9" i="18"/>
  <c r="P143" i="18"/>
  <c r="O55" i="18"/>
  <c r="F143" i="18"/>
  <c r="E55" i="18"/>
  <c r="AB8" i="18"/>
  <c r="N126" i="18"/>
  <c r="M38" i="18"/>
  <c r="P125" i="18"/>
  <c r="O37" i="18"/>
  <c r="I20" i="18"/>
  <c r="J108" i="18"/>
  <c r="Y172" i="18"/>
  <c r="X84" i="18"/>
  <c r="J99" i="18"/>
  <c r="I11" i="18"/>
  <c r="I142" i="18"/>
  <c r="H54" i="18"/>
  <c r="L166" i="18"/>
  <c r="K78" i="18"/>
  <c r="O8" i="18"/>
  <c r="P96" i="18"/>
  <c r="I154" i="18"/>
  <c r="H66" i="18"/>
  <c r="AA96" i="18"/>
  <c r="Z8" i="18"/>
  <c r="E172" i="18"/>
  <c r="D84" i="18"/>
  <c r="G32" i="24" l="1"/>
  <c r="Y156" i="18"/>
  <c r="X68" i="18"/>
  <c r="J9" i="18"/>
  <c r="K97" i="18"/>
  <c r="S162" i="18"/>
  <c r="R74" i="18"/>
  <c r="V68" i="18"/>
  <c r="W156" i="18"/>
  <c r="X156" i="18"/>
  <c r="W68" i="18"/>
  <c r="P98" i="18"/>
  <c r="O10" i="18"/>
  <c r="Q156" i="18"/>
  <c r="P68" i="18"/>
  <c r="X129" i="18"/>
  <c r="W41" i="18"/>
  <c r="W126" i="18"/>
  <c r="V38" i="18"/>
  <c r="T43" i="18"/>
  <c r="U131" i="18"/>
  <c r="V156" i="18"/>
  <c r="U68" i="18"/>
  <c r="S126" i="18"/>
  <c r="R38" i="18"/>
  <c r="W127" i="18"/>
  <c r="V39" i="18"/>
  <c r="T98" i="18"/>
  <c r="S10" i="18"/>
  <c r="V157" i="18"/>
  <c r="U69" i="18"/>
  <c r="K126" i="18"/>
  <c r="J38" i="18"/>
  <c r="AA126" i="18"/>
  <c r="Z38" i="18"/>
  <c r="O126" i="18"/>
  <c r="N38" i="18"/>
  <c r="T128" i="18"/>
  <c r="S40" i="18"/>
  <c r="J42" i="18"/>
  <c r="K130" i="18"/>
  <c r="M60" i="26"/>
  <c r="I114" i="18"/>
  <c r="H26" i="18"/>
  <c r="M89" i="26"/>
  <c r="M31" i="26"/>
  <c r="S32" i="26"/>
  <c r="AA32" i="26"/>
  <c r="W32" i="26"/>
  <c r="O32" i="26"/>
  <c r="AE32" i="26"/>
  <c r="Q90" i="26"/>
  <c r="AA65" i="26"/>
  <c r="I110" i="18"/>
  <c r="H22" i="18"/>
  <c r="H42" i="18"/>
  <c r="I130" i="18"/>
  <c r="H49" i="18"/>
  <c r="I137" i="18"/>
  <c r="M84" i="18"/>
  <c r="N172" i="18"/>
  <c r="BA66" i="17"/>
  <c r="G33" i="24"/>
  <c r="BA27" i="17"/>
  <c r="D32" i="24"/>
  <c r="Z27" i="17"/>
  <c r="C32" i="24"/>
  <c r="Z66" i="17"/>
  <c r="F33" i="24"/>
  <c r="CB27" i="17"/>
  <c r="E32" i="24"/>
  <c r="CB65" i="17"/>
  <c r="H32" i="24"/>
  <c r="J169" i="18"/>
  <c r="I81" i="18"/>
  <c r="K166" i="18"/>
  <c r="J78" i="18"/>
  <c r="L161" i="18"/>
  <c r="K73" i="18"/>
  <c r="J167" i="18"/>
  <c r="I79" i="18"/>
  <c r="K141" i="18"/>
  <c r="J53" i="18"/>
  <c r="N167" i="18"/>
  <c r="M79" i="18"/>
  <c r="J128" i="18"/>
  <c r="I40" i="18"/>
  <c r="J136" i="18"/>
  <c r="I48" i="18"/>
  <c r="J127" i="18"/>
  <c r="I39" i="18"/>
  <c r="K49" i="18"/>
  <c r="L137" i="18"/>
  <c r="I161" i="18"/>
  <c r="H73" i="18"/>
  <c r="I155" i="18"/>
  <c r="H67" i="18"/>
  <c r="I45" i="18"/>
  <c r="J133" i="18"/>
  <c r="K80" i="18"/>
  <c r="L168" i="18"/>
  <c r="I85" i="18"/>
  <c r="J173" i="18"/>
  <c r="J86" i="18" s="1"/>
  <c r="N136" i="18"/>
  <c r="M48" i="18"/>
  <c r="I160" i="18"/>
  <c r="H72" i="18"/>
  <c r="M137" i="18"/>
  <c r="L49" i="18"/>
  <c r="J143" i="18"/>
  <c r="I55" i="18"/>
  <c r="K109" i="18"/>
  <c r="J21" i="18"/>
  <c r="G144" i="18"/>
  <c r="F56" i="18"/>
  <c r="AA98" i="18"/>
  <c r="Z10" i="18"/>
  <c r="Z155" i="18"/>
  <c r="Y67" i="18"/>
  <c r="I115" i="18"/>
  <c r="I28" i="18" s="1"/>
  <c r="H27" i="18"/>
  <c r="K44" i="18"/>
  <c r="L132" i="18"/>
  <c r="S156" i="18"/>
  <c r="R68" i="18"/>
  <c r="M126" i="18"/>
  <c r="L38" i="18"/>
  <c r="L103" i="18"/>
  <c r="K15" i="18"/>
  <c r="Q155" i="18"/>
  <c r="P67" i="18"/>
  <c r="L156" i="18"/>
  <c r="K68" i="18"/>
  <c r="J144" i="18"/>
  <c r="I56" i="18"/>
  <c r="X126" i="18"/>
  <c r="W38" i="18"/>
  <c r="F173" i="18"/>
  <c r="E85" i="18"/>
  <c r="U97" i="18"/>
  <c r="T9" i="18"/>
  <c r="AB38" i="18"/>
  <c r="G173" i="18"/>
  <c r="G86" i="18" s="1"/>
  <c r="F85" i="18"/>
  <c r="M167" i="18"/>
  <c r="L79" i="18"/>
  <c r="J155" i="18"/>
  <c r="I67" i="18"/>
  <c r="Q97" i="18"/>
  <c r="P9" i="18"/>
  <c r="Z173" i="18"/>
  <c r="Z86" i="18" s="1"/>
  <c r="Y85" i="18"/>
  <c r="N97" i="18"/>
  <c r="M9" i="18"/>
  <c r="L115" i="18"/>
  <c r="L28" i="18" s="1"/>
  <c r="K27" i="18"/>
  <c r="M155" i="18"/>
  <c r="L67" i="18"/>
  <c r="K108" i="18"/>
  <c r="J20" i="18"/>
  <c r="Y155" i="18"/>
  <c r="X67" i="18"/>
  <c r="M106" i="18"/>
  <c r="L18" i="18"/>
  <c r="J98" i="18"/>
  <c r="I10" i="18"/>
  <c r="E173" i="18"/>
  <c r="D85" i="18"/>
  <c r="AB126" i="18"/>
  <c r="AB39" i="18" s="1"/>
  <c r="AA38" i="18"/>
  <c r="M97" i="18"/>
  <c r="L9" i="18"/>
  <c r="L104" i="18"/>
  <c r="K16" i="18"/>
  <c r="P166" i="18"/>
  <c r="O78" i="18"/>
  <c r="E144" i="18"/>
  <c r="D56" i="18"/>
  <c r="L108" i="18"/>
  <c r="K20" i="18"/>
  <c r="AA9" i="18"/>
  <c r="AB97" i="18"/>
  <c r="M115" i="18"/>
  <c r="M28" i="18" s="1"/>
  <c r="L27" i="18"/>
  <c r="N155" i="18"/>
  <c r="M67" i="18"/>
  <c r="AA127" i="18"/>
  <c r="Z39" i="18"/>
  <c r="L111" i="18"/>
  <c r="K23" i="18"/>
  <c r="K9" i="18"/>
  <c r="L97" i="18"/>
  <c r="O9" i="18"/>
  <c r="P97" i="18"/>
  <c r="AB164" i="18"/>
  <c r="AB77" i="18" s="1"/>
  <c r="AA76" i="18"/>
  <c r="W98" i="18"/>
  <c r="V10" i="18"/>
  <c r="K172" i="18"/>
  <c r="J84" i="18"/>
  <c r="L107" i="18"/>
  <c r="K19" i="18"/>
  <c r="F144" i="18"/>
  <c r="E56" i="18"/>
  <c r="T160" i="18"/>
  <c r="S72" i="18"/>
  <c r="L126" i="18"/>
  <c r="K38" i="18"/>
  <c r="M103" i="18"/>
  <c r="L15" i="18"/>
  <c r="K100" i="18"/>
  <c r="J12" i="18"/>
  <c r="Q126" i="18"/>
  <c r="P38" i="18"/>
  <c r="O127" i="18"/>
  <c r="N39" i="18"/>
  <c r="Q144" i="18"/>
  <c r="Q57" i="18" s="1"/>
  <c r="P56" i="18"/>
  <c r="X97" i="18"/>
  <c r="W9" i="18"/>
  <c r="H173" i="18"/>
  <c r="G85" i="18"/>
  <c r="Y97" i="18"/>
  <c r="X9" i="18"/>
  <c r="T97" i="18"/>
  <c r="S9" i="18"/>
  <c r="Y99" i="18"/>
  <c r="X11" i="18"/>
  <c r="L99" i="18"/>
  <c r="K11" i="18"/>
  <c r="J126" i="18"/>
  <c r="I38" i="18"/>
  <c r="L112" i="18"/>
  <c r="K24" i="18"/>
  <c r="D173" i="18"/>
  <c r="C85" i="18"/>
  <c r="M107" i="18"/>
  <c r="L19" i="18"/>
  <c r="H144" i="18"/>
  <c r="G56" i="18"/>
  <c r="T126" i="18"/>
  <c r="S38" i="18"/>
  <c r="D144" i="18"/>
  <c r="C56" i="18"/>
  <c r="Z127" i="18"/>
  <c r="Y39" i="18"/>
  <c r="S98" i="18"/>
  <c r="R10" i="18"/>
  <c r="T163" i="18" l="1"/>
  <c r="S75" i="18"/>
  <c r="Z157" i="18"/>
  <c r="Y69" i="18"/>
  <c r="X157" i="18"/>
  <c r="W69" i="18"/>
  <c r="K10" i="18"/>
  <c r="L98" i="18"/>
  <c r="V132" i="18"/>
  <c r="U44" i="18"/>
  <c r="O39" i="18"/>
  <c r="P127" i="18"/>
  <c r="L127" i="18"/>
  <c r="K39" i="18"/>
  <c r="U99" i="18"/>
  <c r="T11" i="18"/>
  <c r="S39" i="18"/>
  <c r="T127" i="18"/>
  <c r="Y130" i="18"/>
  <c r="X42" i="18"/>
  <c r="Q99" i="18"/>
  <c r="P11" i="18"/>
  <c r="U129" i="18"/>
  <c r="T41" i="18"/>
  <c r="AB127" i="18"/>
  <c r="AB40" i="18" s="1"/>
  <c r="AA39" i="18"/>
  <c r="W158" i="18"/>
  <c r="V70" i="18"/>
  <c r="X128" i="18"/>
  <c r="W40" i="18"/>
  <c r="W157" i="18"/>
  <c r="V69" i="18"/>
  <c r="X127" i="18"/>
  <c r="W39" i="18"/>
  <c r="R157" i="18"/>
  <c r="Q69" i="18"/>
  <c r="Y157" i="18"/>
  <c r="X69" i="18"/>
  <c r="K43" i="18"/>
  <c r="L131" i="18"/>
  <c r="G57" i="18"/>
  <c r="C57" i="18"/>
  <c r="C86" i="18"/>
  <c r="E57" i="18"/>
  <c r="F57" i="18"/>
  <c r="E86" i="18"/>
  <c r="N61" i="26"/>
  <c r="J115" i="18"/>
  <c r="J28" i="18" s="1"/>
  <c r="I27" i="18"/>
  <c r="N90" i="26"/>
  <c r="N32" i="26"/>
  <c r="P33" i="26"/>
  <c r="AB33" i="26"/>
  <c r="X33" i="26"/>
  <c r="T33" i="26"/>
  <c r="R91" i="26"/>
  <c r="AB66" i="26"/>
  <c r="N85" i="18"/>
  <c r="O173" i="18"/>
  <c r="O86" i="18" s="1"/>
  <c r="J131" i="18"/>
  <c r="I43" i="18"/>
  <c r="J138" i="18"/>
  <c r="I50" i="18"/>
  <c r="J111" i="18"/>
  <c r="I23" i="18"/>
  <c r="CB28" i="17"/>
  <c r="E33" i="24"/>
  <c r="Z28" i="17"/>
  <c r="C33" i="24"/>
  <c r="BA67" i="17"/>
  <c r="G34" i="24"/>
  <c r="H33" i="24"/>
  <c r="CB66" i="17"/>
  <c r="Z67" i="17"/>
  <c r="F34" i="24"/>
  <c r="BA28" i="17"/>
  <c r="D33" i="24"/>
  <c r="L50" i="18"/>
  <c r="M138" i="18"/>
  <c r="N138" i="18"/>
  <c r="M50" i="18"/>
  <c r="O168" i="18"/>
  <c r="N80" i="18"/>
  <c r="L167" i="18"/>
  <c r="K79" i="18"/>
  <c r="K134" i="18"/>
  <c r="J46" i="18"/>
  <c r="L81" i="18"/>
  <c r="M169" i="18"/>
  <c r="O137" i="18"/>
  <c r="N49" i="18"/>
  <c r="J156" i="18"/>
  <c r="I68" i="18"/>
  <c r="K137" i="18"/>
  <c r="J49" i="18"/>
  <c r="K168" i="18"/>
  <c r="J80" i="18"/>
  <c r="J161" i="18"/>
  <c r="I73" i="18"/>
  <c r="J162" i="18"/>
  <c r="I74" i="18"/>
  <c r="J40" i="18"/>
  <c r="K128" i="18"/>
  <c r="K129" i="18"/>
  <c r="J41" i="18"/>
  <c r="L142" i="18"/>
  <c r="K54" i="18"/>
  <c r="M162" i="18"/>
  <c r="L74" i="18"/>
  <c r="K170" i="18"/>
  <c r="J82" i="18"/>
  <c r="N108" i="18"/>
  <c r="M20" i="18"/>
  <c r="R127" i="18"/>
  <c r="Q39" i="18"/>
  <c r="U161" i="18"/>
  <c r="T73" i="18"/>
  <c r="J11" i="18"/>
  <c r="K99" i="18"/>
  <c r="Z156" i="18"/>
  <c r="Y68" i="18"/>
  <c r="Y127" i="18"/>
  <c r="X39" i="18"/>
  <c r="J57" i="18"/>
  <c r="L110" i="18"/>
  <c r="K22" i="18"/>
  <c r="M109" i="18"/>
  <c r="L21" i="18"/>
  <c r="Q167" i="18"/>
  <c r="P79" i="18"/>
  <c r="N168" i="18"/>
  <c r="M80" i="18"/>
  <c r="R156" i="18"/>
  <c r="Q68" i="18"/>
  <c r="N127" i="18"/>
  <c r="M39" i="18"/>
  <c r="M133" i="18"/>
  <c r="L45" i="18"/>
  <c r="AA128" i="18"/>
  <c r="Z40" i="18"/>
  <c r="H57" i="18"/>
  <c r="M100" i="18"/>
  <c r="L12" i="18"/>
  <c r="H86" i="18"/>
  <c r="K13" i="18"/>
  <c r="L101" i="18"/>
  <c r="M98" i="18"/>
  <c r="L10" i="18"/>
  <c r="D57" i="18"/>
  <c r="D86" i="18"/>
  <c r="M113" i="18"/>
  <c r="L25" i="18"/>
  <c r="K127" i="18"/>
  <c r="J39" i="18"/>
  <c r="Z98" i="18"/>
  <c r="Y10" i="18"/>
  <c r="N104" i="18"/>
  <c r="M16" i="18"/>
  <c r="Q98" i="18"/>
  <c r="P10" i="18"/>
  <c r="M105" i="18"/>
  <c r="L17" i="18"/>
  <c r="N98" i="18"/>
  <c r="M10" i="18"/>
  <c r="N107" i="18"/>
  <c r="M19" i="18"/>
  <c r="O98" i="18"/>
  <c r="N10" i="18"/>
  <c r="R98" i="18"/>
  <c r="Q10" i="18"/>
  <c r="F86" i="18"/>
  <c r="M104" i="18"/>
  <c r="L16" i="18"/>
  <c r="AA156" i="18"/>
  <c r="Z68" i="18"/>
  <c r="Z100" i="18"/>
  <c r="Y12" i="18"/>
  <c r="U98" i="18"/>
  <c r="T10" i="18"/>
  <c r="M108" i="18"/>
  <c r="L20" i="18"/>
  <c r="L173" i="18"/>
  <c r="L86" i="18" s="1"/>
  <c r="K85" i="18"/>
  <c r="X99" i="18"/>
  <c r="W11" i="18"/>
  <c r="O156" i="18"/>
  <c r="N68" i="18"/>
  <c r="AB10" i="18"/>
  <c r="U127" i="18"/>
  <c r="T39" i="18"/>
  <c r="P128" i="18"/>
  <c r="O40" i="18"/>
  <c r="M127" i="18"/>
  <c r="L39" i="18"/>
  <c r="M112" i="18"/>
  <c r="L24" i="18"/>
  <c r="V98" i="18"/>
  <c r="U10" i="18"/>
  <c r="T99" i="18"/>
  <c r="S11" i="18"/>
  <c r="Y98" i="18"/>
  <c r="X10" i="18"/>
  <c r="AB128" i="18"/>
  <c r="AB41" i="18" s="1"/>
  <c r="AA40" i="18"/>
  <c r="K21" i="18"/>
  <c r="L109" i="18"/>
  <c r="N156" i="18"/>
  <c r="M68" i="18"/>
  <c r="K156" i="18"/>
  <c r="J68" i="18"/>
  <c r="M157" i="18"/>
  <c r="L69" i="18"/>
  <c r="T157" i="18"/>
  <c r="S69" i="18"/>
  <c r="AA11" i="18"/>
  <c r="AB99" i="18"/>
  <c r="AB12" i="18" s="1"/>
  <c r="K144" i="18"/>
  <c r="K57" i="18" s="1"/>
  <c r="J56" i="18"/>
  <c r="AA158" i="18" l="1"/>
  <c r="Z70" i="18"/>
  <c r="M99" i="18"/>
  <c r="L11" i="18"/>
  <c r="X70" i="18"/>
  <c r="Y158" i="18"/>
  <c r="U164" i="18"/>
  <c r="T76" i="18"/>
  <c r="P40" i="18"/>
  <c r="Q128" i="18"/>
  <c r="R70" i="18"/>
  <c r="S158" i="18"/>
  <c r="W70" i="18"/>
  <c r="X158" i="18"/>
  <c r="X159" i="18"/>
  <c r="W71" i="18"/>
  <c r="V130" i="18"/>
  <c r="U42" i="18"/>
  <c r="Y43" i="18"/>
  <c r="Z131" i="18"/>
  <c r="U12" i="18"/>
  <c r="V100" i="18"/>
  <c r="U128" i="18"/>
  <c r="T40" i="18"/>
  <c r="Z158" i="18"/>
  <c r="Y70" i="18"/>
  <c r="Y128" i="18"/>
  <c r="X40" i="18"/>
  <c r="Y129" i="18"/>
  <c r="X41" i="18"/>
  <c r="R100" i="18"/>
  <c r="Q12" i="18"/>
  <c r="M128" i="18"/>
  <c r="L40" i="18"/>
  <c r="V45" i="18"/>
  <c r="W133" i="18"/>
  <c r="L44" i="18"/>
  <c r="M132" i="18"/>
  <c r="O62" i="26"/>
  <c r="O91" i="26"/>
  <c r="O33" i="26"/>
  <c r="U34" i="26"/>
  <c r="AC34" i="26"/>
  <c r="Y34" i="26"/>
  <c r="Q34" i="26"/>
  <c r="S92" i="26"/>
  <c r="AC67" i="26"/>
  <c r="K139" i="18"/>
  <c r="J51" i="18"/>
  <c r="K132" i="18"/>
  <c r="J44" i="18"/>
  <c r="K112" i="18"/>
  <c r="J24" i="18"/>
  <c r="Z68" i="17"/>
  <c r="F35" i="24"/>
  <c r="BA68" i="17"/>
  <c r="G35" i="24"/>
  <c r="CB29" i="17"/>
  <c r="E34" i="24"/>
  <c r="CB67" i="17"/>
  <c r="H34" i="24"/>
  <c r="BA29" i="17"/>
  <c r="D34" i="24"/>
  <c r="Z29" i="17"/>
  <c r="C34" i="24"/>
  <c r="L138" i="18"/>
  <c r="K50" i="18"/>
  <c r="P138" i="18"/>
  <c r="O50" i="18"/>
  <c r="L80" i="18"/>
  <c r="M168" i="18"/>
  <c r="O139" i="18"/>
  <c r="N51" i="18"/>
  <c r="L135" i="18"/>
  <c r="K47" i="18"/>
  <c r="L171" i="18"/>
  <c r="K83" i="18"/>
  <c r="M143" i="18"/>
  <c r="L55" i="18"/>
  <c r="K162" i="18"/>
  <c r="J74" i="18"/>
  <c r="L169" i="18"/>
  <c r="K81" i="18"/>
  <c r="K157" i="18"/>
  <c r="J69" i="18"/>
  <c r="M82" i="18"/>
  <c r="N170" i="18"/>
  <c r="P169" i="18"/>
  <c r="O81" i="18"/>
  <c r="M51" i="18"/>
  <c r="N139" i="18"/>
  <c r="N163" i="18"/>
  <c r="M75" i="18"/>
  <c r="L130" i="18"/>
  <c r="K42" i="18"/>
  <c r="K163" i="18"/>
  <c r="J75" i="18"/>
  <c r="K41" i="18"/>
  <c r="L129" i="18"/>
  <c r="N113" i="18"/>
  <c r="M25" i="18"/>
  <c r="Y100" i="18"/>
  <c r="X12" i="18"/>
  <c r="N109" i="18"/>
  <c r="M21" i="18"/>
  <c r="AA101" i="18"/>
  <c r="Z13" i="18"/>
  <c r="O108" i="18"/>
  <c r="N20" i="18"/>
  <c r="R40" i="18"/>
  <c r="S128" i="18"/>
  <c r="O109" i="18"/>
  <c r="N21" i="18"/>
  <c r="N105" i="18"/>
  <c r="M17" i="18"/>
  <c r="N106" i="18"/>
  <c r="M18" i="18"/>
  <c r="Q11" i="18"/>
  <c r="R99" i="18"/>
  <c r="M102" i="18"/>
  <c r="L14" i="18"/>
  <c r="N134" i="18"/>
  <c r="M46" i="18"/>
  <c r="O169" i="18"/>
  <c r="N81" i="18"/>
  <c r="Z128" i="18"/>
  <c r="Y40" i="18"/>
  <c r="O157" i="18"/>
  <c r="N69" i="18"/>
  <c r="N128" i="18"/>
  <c r="M40" i="18"/>
  <c r="V128" i="18"/>
  <c r="U40" i="18"/>
  <c r="V99" i="18"/>
  <c r="U11" i="18"/>
  <c r="N158" i="18"/>
  <c r="M70" i="18"/>
  <c r="M110" i="18"/>
  <c r="L22" i="18"/>
  <c r="T12" i="18"/>
  <c r="U100" i="18"/>
  <c r="W99" i="18"/>
  <c r="V11" i="18"/>
  <c r="Q129" i="18"/>
  <c r="P41" i="18"/>
  <c r="P157" i="18"/>
  <c r="O69" i="18"/>
  <c r="AB157" i="18"/>
  <c r="AA69" i="18"/>
  <c r="S99" i="18"/>
  <c r="R11" i="18"/>
  <c r="O99" i="18"/>
  <c r="N11" i="18"/>
  <c r="AA99" i="18"/>
  <c r="Z11" i="18"/>
  <c r="N114" i="18"/>
  <c r="M26" i="18"/>
  <c r="S157" i="18"/>
  <c r="R69" i="18"/>
  <c r="M111" i="18"/>
  <c r="L23" i="18"/>
  <c r="U158" i="18"/>
  <c r="T70" i="18"/>
  <c r="L157" i="18"/>
  <c r="K69" i="18"/>
  <c r="O105" i="18"/>
  <c r="N17" i="18"/>
  <c r="N99" i="18"/>
  <c r="M11" i="18"/>
  <c r="O128" i="18"/>
  <c r="N40" i="18"/>
  <c r="R168" i="18"/>
  <c r="Q80" i="18"/>
  <c r="AA157" i="18"/>
  <c r="Z69" i="18"/>
  <c r="Z99" i="18"/>
  <c r="Y11" i="18"/>
  <c r="L128" i="18"/>
  <c r="K40" i="18"/>
  <c r="V162" i="18"/>
  <c r="U74" i="18"/>
  <c r="P99" i="18"/>
  <c r="O11" i="18"/>
  <c r="N101" i="18"/>
  <c r="M13" i="18"/>
  <c r="AB129" i="18"/>
  <c r="AB42" i="18" s="1"/>
  <c r="AA41" i="18"/>
  <c r="N110" i="18"/>
  <c r="M22" i="18"/>
  <c r="L100" i="18"/>
  <c r="K12" i="18"/>
  <c r="V165" i="18" l="1"/>
  <c r="U77" i="18"/>
  <c r="N100" i="18"/>
  <c r="M12" i="18"/>
  <c r="Y71" i="18"/>
  <c r="Z159" i="18"/>
  <c r="AB159" i="18"/>
  <c r="AB72" i="18" s="1"/>
  <c r="AA71" i="18"/>
  <c r="Y160" i="18"/>
  <c r="X72" i="18"/>
  <c r="N129" i="18"/>
  <c r="M41" i="18"/>
  <c r="Z130" i="18"/>
  <c r="Y42" i="18"/>
  <c r="AA159" i="18"/>
  <c r="Z71" i="18"/>
  <c r="V13" i="18"/>
  <c r="W101" i="18"/>
  <c r="X71" i="18"/>
  <c r="Y159" i="18"/>
  <c r="R129" i="18"/>
  <c r="Q41" i="18"/>
  <c r="W46" i="18"/>
  <c r="X134" i="18"/>
  <c r="V43" i="18"/>
  <c r="W131" i="18"/>
  <c r="S101" i="18"/>
  <c r="R13" i="18"/>
  <c r="Z129" i="18"/>
  <c r="Y41" i="18"/>
  <c r="V129" i="18"/>
  <c r="U41" i="18"/>
  <c r="Z44" i="18"/>
  <c r="AA132" i="18"/>
  <c r="T159" i="18"/>
  <c r="S71" i="18"/>
  <c r="M45" i="18"/>
  <c r="N133" i="18"/>
  <c r="P63" i="26"/>
  <c r="P92" i="26"/>
  <c r="P34" i="26"/>
  <c r="R35" i="26"/>
  <c r="AD35" i="26"/>
  <c r="Z35" i="26"/>
  <c r="V35" i="26"/>
  <c r="T93" i="26"/>
  <c r="AD68" i="26"/>
  <c r="K25" i="18"/>
  <c r="L113" i="18"/>
  <c r="L133" i="18"/>
  <c r="K45" i="18"/>
  <c r="L140" i="18"/>
  <c r="K52" i="18"/>
  <c r="BA30" i="17"/>
  <c r="D35" i="24"/>
  <c r="CB30" i="17"/>
  <c r="E35" i="24"/>
  <c r="Z69" i="17"/>
  <c r="F36" i="24"/>
  <c r="Z30" i="17"/>
  <c r="C35" i="24"/>
  <c r="CB68" i="17"/>
  <c r="H35" i="24"/>
  <c r="BA69" i="17"/>
  <c r="G36" i="24"/>
  <c r="M130" i="18"/>
  <c r="L42" i="18"/>
  <c r="L164" i="18"/>
  <c r="K76" i="18"/>
  <c r="O164" i="18"/>
  <c r="N76" i="18"/>
  <c r="Q170" i="18"/>
  <c r="P82" i="18"/>
  <c r="L158" i="18"/>
  <c r="K70" i="18"/>
  <c r="L163" i="18"/>
  <c r="K75" i="18"/>
  <c r="M172" i="18"/>
  <c r="L84" i="18"/>
  <c r="P140" i="18"/>
  <c r="O52" i="18"/>
  <c r="Q139" i="18"/>
  <c r="P51" i="18"/>
  <c r="O140" i="18"/>
  <c r="N52" i="18"/>
  <c r="N83" i="18"/>
  <c r="O171" i="18"/>
  <c r="N169" i="18"/>
  <c r="M81" i="18"/>
  <c r="M131" i="18"/>
  <c r="L43" i="18"/>
  <c r="M170" i="18"/>
  <c r="L82" i="18"/>
  <c r="M56" i="18"/>
  <c r="N144" i="18"/>
  <c r="N57" i="18" s="1"/>
  <c r="L48" i="18"/>
  <c r="M136" i="18"/>
  <c r="M139" i="18"/>
  <c r="L51" i="18"/>
  <c r="AA100" i="18"/>
  <c r="Z12" i="18"/>
  <c r="N112" i="18"/>
  <c r="M24" i="18"/>
  <c r="T158" i="18"/>
  <c r="S70" i="18"/>
  <c r="Q158" i="18"/>
  <c r="P70" i="18"/>
  <c r="P158" i="18"/>
  <c r="O70" i="18"/>
  <c r="AB102" i="18"/>
  <c r="AB15" i="18" s="1"/>
  <c r="AA14" i="18"/>
  <c r="O102" i="18"/>
  <c r="N14" i="18"/>
  <c r="Q100" i="18"/>
  <c r="P12" i="18"/>
  <c r="O100" i="18"/>
  <c r="N12" i="18"/>
  <c r="AB100" i="18"/>
  <c r="AB13" i="18" s="1"/>
  <c r="AA12" i="18"/>
  <c r="AB70" i="18"/>
  <c r="O159" i="18"/>
  <c r="N71" i="18"/>
  <c r="AA129" i="18"/>
  <c r="Z41" i="18"/>
  <c r="P170" i="18"/>
  <c r="O82" i="18"/>
  <c r="P110" i="18"/>
  <c r="O22" i="18"/>
  <c r="Z101" i="18"/>
  <c r="Y13" i="18"/>
  <c r="O114" i="18"/>
  <c r="N26" i="18"/>
  <c r="AB158" i="18"/>
  <c r="AB71" i="18" s="1"/>
  <c r="AA70" i="18"/>
  <c r="S169" i="18"/>
  <c r="R81" i="18"/>
  <c r="M101" i="18"/>
  <c r="L13" i="18"/>
  <c r="O111" i="18"/>
  <c r="N23" i="18"/>
  <c r="M129" i="18"/>
  <c r="L41" i="18"/>
  <c r="O41" i="18"/>
  <c r="P129" i="18"/>
  <c r="P106" i="18"/>
  <c r="O18" i="18"/>
  <c r="M158" i="18"/>
  <c r="L70" i="18"/>
  <c r="P100" i="18"/>
  <c r="O12" i="18"/>
  <c r="R130" i="18"/>
  <c r="Q42" i="18"/>
  <c r="V101" i="18"/>
  <c r="U13" i="18"/>
  <c r="S100" i="18"/>
  <c r="R12" i="18"/>
  <c r="T129" i="18"/>
  <c r="S41" i="18"/>
  <c r="W163" i="18"/>
  <c r="V75" i="18"/>
  <c r="O129" i="18"/>
  <c r="N41" i="18"/>
  <c r="O135" i="18"/>
  <c r="N47" i="18"/>
  <c r="O106" i="18"/>
  <c r="N18" i="18"/>
  <c r="V159" i="18"/>
  <c r="U71" i="18"/>
  <c r="O115" i="18"/>
  <c r="N27" i="18"/>
  <c r="T100" i="18"/>
  <c r="S12" i="18"/>
  <c r="X100" i="18"/>
  <c r="W12" i="18"/>
  <c r="N111" i="18"/>
  <c r="M23" i="18"/>
  <c r="W100" i="18"/>
  <c r="V12" i="18"/>
  <c r="W129" i="18"/>
  <c r="V41" i="18"/>
  <c r="N103" i="18"/>
  <c r="M15" i="18"/>
  <c r="O107" i="18"/>
  <c r="N19" i="18"/>
  <c r="P109" i="18"/>
  <c r="O21" i="18"/>
  <c r="O110" i="18"/>
  <c r="N22" i="18"/>
  <c r="O101" i="18" l="1"/>
  <c r="N13" i="18"/>
  <c r="AA160" i="18"/>
  <c r="Z72" i="18"/>
  <c r="W166" i="18"/>
  <c r="V78" i="18"/>
  <c r="Y135" i="18"/>
  <c r="X47" i="18"/>
  <c r="Z160" i="18"/>
  <c r="Y72" i="18"/>
  <c r="U160" i="18"/>
  <c r="T72" i="18"/>
  <c r="W130" i="18"/>
  <c r="V42" i="18"/>
  <c r="T102" i="18"/>
  <c r="S14" i="18"/>
  <c r="AB160" i="18"/>
  <c r="AB73" i="18" s="1"/>
  <c r="AA72" i="18"/>
  <c r="O130" i="18"/>
  <c r="N42" i="18"/>
  <c r="AB133" i="18"/>
  <c r="AB46" i="18" s="1"/>
  <c r="AA45" i="18"/>
  <c r="X132" i="18"/>
  <c r="W44" i="18"/>
  <c r="X102" i="18"/>
  <c r="W14" i="18"/>
  <c r="AA130" i="18"/>
  <c r="Z42" i="18"/>
  <c r="R42" i="18"/>
  <c r="S130" i="18"/>
  <c r="Z43" i="18"/>
  <c r="AA131" i="18"/>
  <c r="Y73" i="18"/>
  <c r="Z161" i="18"/>
  <c r="O134" i="18"/>
  <c r="N46" i="18"/>
  <c r="Q64" i="26"/>
  <c r="Q93" i="26"/>
  <c r="Q35" i="26"/>
  <c r="W36" i="26"/>
  <c r="AE36" i="26"/>
  <c r="AA36" i="26"/>
  <c r="S36" i="26"/>
  <c r="U94" i="26"/>
  <c r="AE69" i="26"/>
  <c r="M114" i="18"/>
  <c r="L26" i="18"/>
  <c r="M141" i="18"/>
  <c r="L53" i="18"/>
  <c r="L46" i="18"/>
  <c r="M134" i="18"/>
  <c r="CB69" i="17"/>
  <c r="H36" i="24"/>
  <c r="Z70" i="17"/>
  <c r="F37" i="24"/>
  <c r="BA31" i="17"/>
  <c r="D36" i="24"/>
  <c r="BA70" i="17"/>
  <c r="G37" i="24"/>
  <c r="Z31" i="17"/>
  <c r="C36" i="24"/>
  <c r="CB31" i="17"/>
  <c r="E36" i="24"/>
  <c r="N171" i="18"/>
  <c r="M83" i="18"/>
  <c r="N140" i="18"/>
  <c r="M52" i="18"/>
  <c r="N132" i="18"/>
  <c r="M44" i="18"/>
  <c r="O84" i="18"/>
  <c r="P172" i="18"/>
  <c r="O170" i="18"/>
  <c r="N82" i="18"/>
  <c r="P141" i="18"/>
  <c r="O53" i="18"/>
  <c r="Q141" i="18"/>
  <c r="P53" i="18"/>
  <c r="M164" i="18"/>
  <c r="L76" i="18"/>
  <c r="Q83" i="18"/>
  <c r="R171" i="18"/>
  <c r="M165" i="18"/>
  <c r="L77" i="18"/>
  <c r="M49" i="18"/>
  <c r="N137" i="18"/>
  <c r="Q52" i="18"/>
  <c r="R140" i="18"/>
  <c r="M85" i="18"/>
  <c r="N173" i="18"/>
  <c r="N86" i="18" s="1"/>
  <c r="L71" i="18"/>
  <c r="M159" i="18"/>
  <c r="P165" i="18"/>
  <c r="O77" i="18"/>
  <c r="N131" i="18"/>
  <c r="M43" i="18"/>
  <c r="P111" i="18"/>
  <c r="O23" i="18"/>
  <c r="O104" i="18"/>
  <c r="N16" i="18"/>
  <c r="X130" i="18"/>
  <c r="W42" i="18"/>
  <c r="O112" i="18"/>
  <c r="N24" i="18"/>
  <c r="Y101" i="18"/>
  <c r="X13" i="18"/>
  <c r="Q101" i="18"/>
  <c r="P13" i="18"/>
  <c r="AA102" i="18"/>
  <c r="Z14" i="18"/>
  <c r="Q171" i="18"/>
  <c r="P83" i="18"/>
  <c r="U130" i="18"/>
  <c r="T42" i="18"/>
  <c r="S131" i="18"/>
  <c r="R43" i="18"/>
  <c r="Q107" i="18"/>
  <c r="P19" i="18"/>
  <c r="P22" i="18"/>
  <c r="Q110" i="18"/>
  <c r="P108" i="18"/>
  <c r="O20" i="18"/>
  <c r="Q130" i="18"/>
  <c r="P42" i="18"/>
  <c r="P115" i="18"/>
  <c r="O27" i="18"/>
  <c r="Q111" i="18"/>
  <c r="P23" i="18"/>
  <c r="P160" i="18"/>
  <c r="O72" i="18"/>
  <c r="P103" i="18"/>
  <c r="O15" i="18"/>
  <c r="R159" i="18"/>
  <c r="Q71" i="18"/>
  <c r="P136" i="18"/>
  <c r="O48" i="18"/>
  <c r="P101" i="18"/>
  <c r="O13" i="18"/>
  <c r="R101" i="18"/>
  <c r="Q13" i="18"/>
  <c r="AB101" i="18"/>
  <c r="AB14" i="18" s="1"/>
  <c r="AA13" i="18"/>
  <c r="N102" i="18"/>
  <c r="M14" i="18"/>
  <c r="U159" i="18"/>
  <c r="T71" i="18"/>
  <c r="X101" i="18"/>
  <c r="W13" i="18"/>
  <c r="O28" i="18"/>
  <c r="W160" i="18"/>
  <c r="V72" i="18"/>
  <c r="P107" i="18"/>
  <c r="O19" i="18"/>
  <c r="P130" i="18"/>
  <c r="O42" i="18"/>
  <c r="X164" i="18"/>
  <c r="W76" i="18"/>
  <c r="W102" i="18"/>
  <c r="V14" i="18"/>
  <c r="U101" i="18"/>
  <c r="T13" i="18"/>
  <c r="T101" i="18"/>
  <c r="S13" i="18"/>
  <c r="N159" i="18"/>
  <c r="M71" i="18"/>
  <c r="M42" i="18"/>
  <c r="N130" i="18"/>
  <c r="P112" i="18"/>
  <c r="O24" i="18"/>
  <c r="T170" i="18"/>
  <c r="S82" i="18"/>
  <c r="AB130" i="18"/>
  <c r="AB43" i="18" s="1"/>
  <c r="AA42" i="18"/>
  <c r="Q159" i="18"/>
  <c r="P71" i="18"/>
  <c r="O113" i="18"/>
  <c r="N25" i="18"/>
  <c r="AB161" i="18" l="1"/>
  <c r="AB74" i="18" s="1"/>
  <c r="AA73" i="18"/>
  <c r="X167" i="18"/>
  <c r="W79" i="18"/>
  <c r="O14" i="18"/>
  <c r="P102" i="18"/>
  <c r="AA162" i="18"/>
  <c r="Z74" i="18"/>
  <c r="W43" i="18"/>
  <c r="X131" i="18"/>
  <c r="AA44" i="18"/>
  <c r="AB132" i="18"/>
  <c r="AB45" i="18" s="1"/>
  <c r="T131" i="18"/>
  <c r="S43" i="18"/>
  <c r="Y103" i="18"/>
  <c r="X15" i="18"/>
  <c r="AA161" i="18"/>
  <c r="Z73" i="18"/>
  <c r="AA43" i="18"/>
  <c r="AB131" i="18"/>
  <c r="AB44" i="18" s="1"/>
  <c r="Y133" i="18"/>
  <c r="X45" i="18"/>
  <c r="P131" i="18"/>
  <c r="O43" i="18"/>
  <c r="U103" i="18"/>
  <c r="T15" i="18"/>
  <c r="V161" i="18"/>
  <c r="U73" i="18"/>
  <c r="Z136" i="18"/>
  <c r="Y48" i="18"/>
  <c r="O47" i="18"/>
  <c r="P135" i="18"/>
  <c r="R65" i="26"/>
  <c r="R94" i="26"/>
  <c r="R36" i="26"/>
  <c r="T37" i="26"/>
  <c r="AB37" i="26"/>
  <c r="X37" i="26"/>
  <c r="V95" i="26"/>
  <c r="N142" i="18"/>
  <c r="M54" i="18"/>
  <c r="N135" i="18"/>
  <c r="M47" i="18"/>
  <c r="N115" i="18"/>
  <c r="N28" i="18" s="1"/>
  <c r="M27" i="18"/>
  <c r="Z32" i="17"/>
  <c r="C37" i="24"/>
  <c r="BA32" i="17"/>
  <c r="D37" i="24"/>
  <c r="CB70" i="17"/>
  <c r="H37" i="24"/>
  <c r="CB32" i="17"/>
  <c r="E37" i="24"/>
  <c r="BA71" i="17"/>
  <c r="G38" i="24"/>
  <c r="Z71" i="17"/>
  <c r="F38" i="24"/>
  <c r="O132" i="18"/>
  <c r="N44" i="18"/>
  <c r="N166" i="18"/>
  <c r="M78" i="18"/>
  <c r="N165" i="18"/>
  <c r="M77" i="18"/>
  <c r="P54" i="18"/>
  <c r="Q142" i="18"/>
  <c r="Q173" i="18"/>
  <c r="Q86" i="18" s="1"/>
  <c r="P85" i="18"/>
  <c r="O138" i="18"/>
  <c r="N50" i="18"/>
  <c r="O141" i="18"/>
  <c r="N53" i="18"/>
  <c r="Q166" i="18"/>
  <c r="P78" i="18"/>
  <c r="Q54" i="18"/>
  <c r="R142" i="18"/>
  <c r="P171" i="18"/>
  <c r="O83" i="18"/>
  <c r="S172" i="18"/>
  <c r="R84" i="18"/>
  <c r="M72" i="18"/>
  <c r="N160" i="18"/>
  <c r="R53" i="18"/>
  <c r="S141" i="18"/>
  <c r="O133" i="18"/>
  <c r="N45" i="18"/>
  <c r="O172" i="18"/>
  <c r="N84" i="18"/>
  <c r="U102" i="18"/>
  <c r="T14" i="18"/>
  <c r="P16" i="18"/>
  <c r="Q104" i="18"/>
  <c r="Q161" i="18"/>
  <c r="P73" i="18"/>
  <c r="V131" i="18"/>
  <c r="U43" i="18"/>
  <c r="R172" i="18"/>
  <c r="Q84" i="18"/>
  <c r="R102" i="18"/>
  <c r="Q14" i="18"/>
  <c r="O17" i="18"/>
  <c r="P105" i="18"/>
  <c r="Q131" i="18"/>
  <c r="P43" i="18"/>
  <c r="X161" i="18"/>
  <c r="W73" i="18"/>
  <c r="V160" i="18"/>
  <c r="U72" i="18"/>
  <c r="Q102" i="18"/>
  <c r="P14" i="18"/>
  <c r="Q137" i="18"/>
  <c r="P49" i="18"/>
  <c r="T132" i="18"/>
  <c r="S44" i="18"/>
  <c r="Y165" i="18"/>
  <c r="X77" i="18"/>
  <c r="Q108" i="18"/>
  <c r="P20" i="18"/>
  <c r="Y102" i="18"/>
  <c r="X14" i="18"/>
  <c r="S102" i="18"/>
  <c r="R14" i="18"/>
  <c r="R111" i="18"/>
  <c r="Q23" i="18"/>
  <c r="R160" i="18"/>
  <c r="Q72" i="18"/>
  <c r="U171" i="18"/>
  <c r="T83" i="18"/>
  <c r="O131" i="18"/>
  <c r="N43" i="18"/>
  <c r="S160" i="18"/>
  <c r="R72" i="18"/>
  <c r="P28" i="18"/>
  <c r="P113" i="18"/>
  <c r="O25" i="18"/>
  <c r="X103" i="18"/>
  <c r="W15" i="18"/>
  <c r="O103" i="18"/>
  <c r="N15" i="18"/>
  <c r="P114" i="18"/>
  <c r="O26" i="18"/>
  <c r="Q113" i="18"/>
  <c r="P25" i="18"/>
  <c r="O160" i="18"/>
  <c r="N72" i="18"/>
  <c r="V102" i="18"/>
  <c r="U14" i="18"/>
  <c r="R112" i="18"/>
  <c r="Q24" i="18"/>
  <c r="R131" i="18"/>
  <c r="Q43" i="18"/>
  <c r="Q109" i="18"/>
  <c r="P21" i="18"/>
  <c r="R108" i="18"/>
  <c r="Q20" i="18"/>
  <c r="AB103" i="18"/>
  <c r="AB16" i="18" s="1"/>
  <c r="AA15" i="18"/>
  <c r="Z102" i="18"/>
  <c r="Y14" i="18"/>
  <c r="X43" i="18"/>
  <c r="Y131" i="18"/>
  <c r="P24" i="18"/>
  <c r="Q112" i="18"/>
  <c r="Y168" i="18" l="1"/>
  <c r="X80" i="18"/>
  <c r="Q103" i="18"/>
  <c r="P15" i="18"/>
  <c r="Y132" i="18"/>
  <c r="X44" i="18"/>
  <c r="Z49" i="18"/>
  <c r="AA137" i="18"/>
  <c r="V104" i="18"/>
  <c r="U16" i="18"/>
  <c r="Y46" i="18"/>
  <c r="Z134" i="18"/>
  <c r="AA74" i="18"/>
  <c r="AB162" i="18"/>
  <c r="AB75" i="18" s="1"/>
  <c r="T44" i="18"/>
  <c r="U132" i="18"/>
  <c r="W162" i="18"/>
  <c r="V74" i="18"/>
  <c r="Q132" i="18"/>
  <c r="P44" i="18"/>
  <c r="Y16" i="18"/>
  <c r="Z104" i="18"/>
  <c r="AB163" i="18"/>
  <c r="AB76" i="18" s="1"/>
  <c r="AA75" i="18"/>
  <c r="P48" i="18"/>
  <c r="Q136" i="18"/>
  <c r="S66" i="26"/>
  <c r="S95" i="26"/>
  <c r="S37" i="26"/>
  <c r="AC38" i="26"/>
  <c r="Y38" i="26"/>
  <c r="Z39" i="26" s="1"/>
  <c r="U38" i="26"/>
  <c r="W96" i="26"/>
  <c r="O143" i="18"/>
  <c r="N55" i="18"/>
  <c r="O136" i="18"/>
  <c r="N48" i="18"/>
  <c r="BA72" i="17"/>
  <c r="G39" i="24"/>
  <c r="CB71" i="17"/>
  <c r="H38" i="24"/>
  <c r="Z33" i="17"/>
  <c r="C38" i="24"/>
  <c r="Z72" i="17"/>
  <c r="F39" i="24"/>
  <c r="CB33" i="17"/>
  <c r="E38" i="24"/>
  <c r="BA33" i="17"/>
  <c r="D38" i="24"/>
  <c r="O51" i="18"/>
  <c r="P139" i="18"/>
  <c r="N79" i="18"/>
  <c r="O167" i="18"/>
  <c r="P173" i="18"/>
  <c r="P86" i="18" s="1"/>
  <c r="O85" i="18"/>
  <c r="Q172" i="18"/>
  <c r="P84" i="18"/>
  <c r="R167" i="18"/>
  <c r="Q79" i="18"/>
  <c r="R143" i="18"/>
  <c r="Q55" i="18"/>
  <c r="N73" i="18"/>
  <c r="O161" i="18"/>
  <c r="T173" i="18"/>
  <c r="T86" i="18" s="1"/>
  <c r="S85" i="18"/>
  <c r="R55" i="18"/>
  <c r="S143" i="18"/>
  <c r="P134" i="18"/>
  <c r="O46" i="18"/>
  <c r="T142" i="18"/>
  <c r="S54" i="18"/>
  <c r="P142" i="18"/>
  <c r="O54" i="18"/>
  <c r="O166" i="18"/>
  <c r="N78" i="18"/>
  <c r="P133" i="18"/>
  <c r="O45" i="18"/>
  <c r="P161" i="18"/>
  <c r="O73" i="18"/>
  <c r="Q115" i="18"/>
  <c r="P27" i="18"/>
  <c r="T161" i="18"/>
  <c r="S73" i="18"/>
  <c r="Z103" i="18"/>
  <c r="Y15" i="18"/>
  <c r="R103" i="18"/>
  <c r="Q15" i="18"/>
  <c r="V15" i="18"/>
  <c r="W103" i="18"/>
  <c r="Y104" i="18"/>
  <c r="X16" i="18"/>
  <c r="Z166" i="18"/>
  <c r="Y78" i="18"/>
  <c r="W161" i="18"/>
  <c r="V73" i="18"/>
  <c r="R110" i="18"/>
  <c r="Q22" i="18"/>
  <c r="Z132" i="18"/>
  <c r="Y44" i="18"/>
  <c r="Z15" i="18"/>
  <c r="AA103" i="18"/>
  <c r="S113" i="18"/>
  <c r="R25" i="18"/>
  <c r="P104" i="18"/>
  <c r="O16" i="18"/>
  <c r="Q114" i="18"/>
  <c r="P26" i="18"/>
  <c r="V172" i="18"/>
  <c r="U84" i="18"/>
  <c r="T103" i="18"/>
  <c r="S15" i="18"/>
  <c r="R109" i="18"/>
  <c r="Q21" i="18"/>
  <c r="U133" i="18"/>
  <c r="T45" i="18"/>
  <c r="P18" i="18"/>
  <c r="Q106" i="18"/>
  <c r="W132" i="18"/>
  <c r="V44" i="18"/>
  <c r="R162" i="18"/>
  <c r="Q74" i="18"/>
  <c r="S109" i="18"/>
  <c r="R21" i="18"/>
  <c r="R132" i="18"/>
  <c r="Q44" i="18"/>
  <c r="S173" i="18"/>
  <c r="S86" i="18" s="1"/>
  <c r="R85" i="18"/>
  <c r="R105" i="18"/>
  <c r="Q17" i="18"/>
  <c r="V103" i="18"/>
  <c r="U15" i="18"/>
  <c r="R113" i="18"/>
  <c r="Q25" i="18"/>
  <c r="S132" i="18"/>
  <c r="R44" i="18"/>
  <c r="P132" i="18"/>
  <c r="O44" i="18"/>
  <c r="S161" i="18"/>
  <c r="R73" i="18"/>
  <c r="S112" i="18"/>
  <c r="R24" i="18"/>
  <c r="R114" i="18"/>
  <c r="Q26" i="18"/>
  <c r="R138" i="18"/>
  <c r="Q50" i="18"/>
  <c r="Y162" i="18"/>
  <c r="X74" i="18"/>
  <c r="S103" i="18"/>
  <c r="R15" i="18"/>
  <c r="R104" i="18" l="1"/>
  <c r="Q16" i="18"/>
  <c r="Z169" i="18"/>
  <c r="Y81" i="18"/>
  <c r="V133" i="18"/>
  <c r="U45" i="18"/>
  <c r="Z47" i="18"/>
  <c r="AA135" i="18"/>
  <c r="Q45" i="18"/>
  <c r="R133" i="18"/>
  <c r="AB138" i="18"/>
  <c r="AB51" i="18" s="1"/>
  <c r="AA50" i="18"/>
  <c r="Z17" i="18"/>
  <c r="AA105" i="18"/>
  <c r="X163" i="18"/>
  <c r="W75" i="18"/>
  <c r="V17" i="18"/>
  <c r="W105" i="18"/>
  <c r="Y45" i="18"/>
  <c r="Z133" i="18"/>
  <c r="R137" i="18"/>
  <c r="Q49" i="18"/>
  <c r="T67" i="26"/>
  <c r="T96" i="26"/>
  <c r="T38" i="26"/>
  <c r="AA40" i="26"/>
  <c r="AB41" i="26" s="1"/>
  <c r="AC42" i="26" s="1"/>
  <c r="AD43" i="26" s="1"/>
  <c r="V39" i="26"/>
  <c r="AD39" i="26"/>
  <c r="X97" i="26"/>
  <c r="O49" i="18"/>
  <c r="P137" i="18"/>
  <c r="P144" i="18"/>
  <c r="P57" i="18" s="1"/>
  <c r="O56" i="18"/>
  <c r="CB34" i="17"/>
  <c r="E39" i="24"/>
  <c r="Z34" i="17"/>
  <c r="C39" i="24"/>
  <c r="BA73" i="17"/>
  <c r="G40" i="24"/>
  <c r="D39" i="24"/>
  <c r="BA34" i="17"/>
  <c r="Z73" i="17"/>
  <c r="F40" i="24"/>
  <c r="CB72" i="17"/>
  <c r="H39" i="24"/>
  <c r="P167" i="18"/>
  <c r="O79" i="18"/>
  <c r="S168" i="18"/>
  <c r="R80" i="18"/>
  <c r="Q140" i="18"/>
  <c r="P52" i="18"/>
  <c r="S56" i="18"/>
  <c r="T144" i="18"/>
  <c r="T57" i="18" s="1"/>
  <c r="O74" i="18"/>
  <c r="P162" i="18"/>
  <c r="O80" i="18"/>
  <c r="P168" i="18"/>
  <c r="T55" i="18"/>
  <c r="U143" i="18"/>
  <c r="Q134" i="18"/>
  <c r="P46" i="18"/>
  <c r="Q143" i="18"/>
  <c r="P55" i="18"/>
  <c r="Q135" i="18"/>
  <c r="P47" i="18"/>
  <c r="R56" i="18"/>
  <c r="S144" i="18"/>
  <c r="S57" i="18" s="1"/>
  <c r="R173" i="18"/>
  <c r="R86" i="18" s="1"/>
  <c r="Q85" i="18"/>
  <c r="Q105" i="18"/>
  <c r="P17" i="18"/>
  <c r="T114" i="18"/>
  <c r="S26" i="18"/>
  <c r="AA133" i="18"/>
  <c r="Z45" i="18"/>
  <c r="S111" i="18"/>
  <c r="R23" i="18"/>
  <c r="AA167" i="18"/>
  <c r="Z79" i="18"/>
  <c r="S104" i="18"/>
  <c r="R16" i="18"/>
  <c r="R27" i="18"/>
  <c r="S115" i="18"/>
  <c r="S114" i="18"/>
  <c r="R26" i="18"/>
  <c r="S106" i="18"/>
  <c r="R18" i="18"/>
  <c r="S133" i="18"/>
  <c r="R45" i="18"/>
  <c r="T110" i="18"/>
  <c r="S22" i="18"/>
  <c r="X133" i="18"/>
  <c r="W45" i="18"/>
  <c r="V134" i="18"/>
  <c r="U46" i="18"/>
  <c r="S110" i="18"/>
  <c r="R22" i="18"/>
  <c r="Q27" i="18"/>
  <c r="R115" i="18"/>
  <c r="AB104" i="18"/>
  <c r="AB17" i="18" s="1"/>
  <c r="AA16" i="18"/>
  <c r="U162" i="18"/>
  <c r="T74" i="18"/>
  <c r="T113" i="18"/>
  <c r="S25" i="18"/>
  <c r="Z163" i="18"/>
  <c r="Y75" i="18"/>
  <c r="Q133" i="18"/>
  <c r="P45" i="18"/>
  <c r="T133" i="18"/>
  <c r="S45" i="18"/>
  <c r="W104" i="18"/>
  <c r="V16" i="18"/>
  <c r="S163" i="18"/>
  <c r="R75" i="18"/>
  <c r="U104" i="18"/>
  <c r="T16" i="18"/>
  <c r="W173" i="18"/>
  <c r="W86" i="18" s="1"/>
  <c r="V85" i="18"/>
  <c r="X104" i="18"/>
  <c r="W16" i="18"/>
  <c r="Q28" i="18"/>
  <c r="T104" i="18"/>
  <c r="S16" i="18"/>
  <c r="S139" i="18"/>
  <c r="R51" i="18"/>
  <c r="T162" i="18"/>
  <c r="S74" i="18"/>
  <c r="Q19" i="18"/>
  <c r="R107" i="18"/>
  <c r="X162" i="18"/>
  <c r="W74" i="18"/>
  <c r="Z105" i="18"/>
  <c r="Y17" i="18"/>
  <c r="AA104" i="18"/>
  <c r="Z16" i="18"/>
  <c r="Q162" i="18"/>
  <c r="P74" i="18"/>
  <c r="AA170" i="18" l="1"/>
  <c r="Z82" i="18"/>
  <c r="R17" i="18"/>
  <c r="S105" i="18"/>
  <c r="X76" i="18"/>
  <c r="Y164" i="18"/>
  <c r="Z46" i="18"/>
  <c r="AA134" i="18"/>
  <c r="W18" i="18"/>
  <c r="X106" i="18"/>
  <c r="AB106" i="18"/>
  <c r="AB19" i="18" s="1"/>
  <c r="AA18" i="18"/>
  <c r="S134" i="18"/>
  <c r="R46" i="18"/>
  <c r="AB136" i="18"/>
  <c r="AB49" i="18" s="1"/>
  <c r="AA48" i="18"/>
  <c r="W134" i="18"/>
  <c r="V46" i="18"/>
  <c r="S138" i="18"/>
  <c r="R50" i="18"/>
  <c r="U68" i="26"/>
  <c r="U97" i="26"/>
  <c r="AE44" i="26"/>
  <c r="U39" i="26"/>
  <c r="W40" i="26"/>
  <c r="AE40" i="26"/>
  <c r="Y98" i="26"/>
  <c r="P50" i="18"/>
  <c r="Q138" i="18"/>
  <c r="Z74" i="17"/>
  <c r="F41" i="24"/>
  <c r="BA74" i="17"/>
  <c r="G41" i="24"/>
  <c r="CB35" i="17"/>
  <c r="E40" i="24"/>
  <c r="BA35" i="17"/>
  <c r="D40" i="24"/>
  <c r="CB73" i="17"/>
  <c r="H40" i="24"/>
  <c r="Z35" i="17"/>
  <c r="C40" i="24"/>
  <c r="T169" i="18"/>
  <c r="S81" i="18"/>
  <c r="R144" i="18"/>
  <c r="R57" i="18" s="1"/>
  <c r="Q56" i="18"/>
  <c r="V144" i="18"/>
  <c r="V57" i="18" s="1"/>
  <c r="U56" i="18"/>
  <c r="Q163" i="18"/>
  <c r="P75" i="18"/>
  <c r="R136" i="18"/>
  <c r="Q48" i="18"/>
  <c r="R135" i="18"/>
  <c r="Q47" i="18"/>
  <c r="Q169" i="18"/>
  <c r="P81" i="18"/>
  <c r="Q53" i="18"/>
  <c r="R141" i="18"/>
  <c r="Q168" i="18"/>
  <c r="P80" i="18"/>
  <c r="AA17" i="18"/>
  <c r="AB105" i="18"/>
  <c r="AB18" i="18" s="1"/>
  <c r="AA106" i="18"/>
  <c r="Z18" i="18"/>
  <c r="U105" i="18"/>
  <c r="T17" i="18"/>
  <c r="X105" i="18"/>
  <c r="W17" i="18"/>
  <c r="U115" i="18"/>
  <c r="T27" i="18"/>
  <c r="Y105" i="18"/>
  <c r="X17" i="18"/>
  <c r="R163" i="18"/>
  <c r="Q75" i="18"/>
  <c r="U163" i="18"/>
  <c r="T75" i="18"/>
  <c r="S108" i="18"/>
  <c r="R20" i="18"/>
  <c r="V105" i="18"/>
  <c r="U17" i="18"/>
  <c r="T164" i="18"/>
  <c r="S76" i="18"/>
  <c r="U114" i="18"/>
  <c r="T26" i="18"/>
  <c r="S28" i="18"/>
  <c r="T112" i="18"/>
  <c r="S24" i="18"/>
  <c r="R106" i="18"/>
  <c r="Q18" i="18"/>
  <c r="W135" i="18"/>
  <c r="V47" i="18"/>
  <c r="U111" i="18"/>
  <c r="T23" i="18"/>
  <c r="T107" i="18"/>
  <c r="S19" i="18"/>
  <c r="AB168" i="18"/>
  <c r="AB81" i="18" s="1"/>
  <c r="AA80" i="18"/>
  <c r="Y163" i="18"/>
  <c r="X75" i="18"/>
  <c r="R134" i="18"/>
  <c r="Q46" i="18"/>
  <c r="AA164" i="18"/>
  <c r="Z76" i="18"/>
  <c r="R28" i="18"/>
  <c r="T140" i="18"/>
  <c r="S52" i="18"/>
  <c r="U134" i="18"/>
  <c r="T46" i="18"/>
  <c r="V163" i="18"/>
  <c r="U75" i="18"/>
  <c r="T111" i="18"/>
  <c r="S23" i="18"/>
  <c r="Y134" i="18"/>
  <c r="X46" i="18"/>
  <c r="T134" i="18"/>
  <c r="S46" i="18"/>
  <c r="T115" i="18"/>
  <c r="S27" i="18"/>
  <c r="T105" i="18"/>
  <c r="S17" i="18"/>
  <c r="AB134" i="18"/>
  <c r="AB47" i="18" s="1"/>
  <c r="AA46" i="18"/>
  <c r="S18" i="18" l="1"/>
  <c r="T106" i="18"/>
  <c r="AB171" i="18"/>
  <c r="AB84" i="18" s="1"/>
  <c r="AA83" i="18"/>
  <c r="AB135" i="18"/>
  <c r="AB48" i="18" s="1"/>
  <c r="AA47" i="18"/>
  <c r="Y107" i="18"/>
  <c r="X19" i="18"/>
  <c r="Z165" i="18"/>
  <c r="Y77" i="18"/>
  <c r="X135" i="18"/>
  <c r="W47" i="18"/>
  <c r="T135" i="18"/>
  <c r="S47" i="18"/>
  <c r="T139" i="18"/>
  <c r="S51" i="18"/>
  <c r="V69" i="26"/>
  <c r="V98" i="26"/>
  <c r="V40" i="26"/>
  <c r="X41" i="26"/>
  <c r="Z99" i="26"/>
  <c r="R139" i="18"/>
  <c r="Q51" i="18"/>
  <c r="CB74" i="17"/>
  <c r="H41" i="24"/>
  <c r="CB36" i="17"/>
  <c r="E41" i="24"/>
  <c r="Z75" i="17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42" i="24"/>
  <c r="Z36" i="17"/>
  <c r="C41" i="24"/>
  <c r="BA36" i="17"/>
  <c r="D41" i="24"/>
  <c r="BA75" i="17"/>
  <c r="G43" i="24" s="1"/>
  <c r="G44" i="24" s="1"/>
  <c r="G45" i="24" s="1"/>
  <c r="G46" i="24" s="1"/>
  <c r="G47" i="24" s="1"/>
  <c r="G48" i="24" s="1"/>
  <c r="G49" i="24" s="1"/>
  <c r="G50" i="24" s="1"/>
  <c r="G51" i="24" s="1"/>
  <c r="G52" i="24" s="1"/>
  <c r="G42" i="24"/>
  <c r="R54" i="18"/>
  <c r="S142" i="18"/>
  <c r="S136" i="18"/>
  <c r="R48" i="18"/>
  <c r="U170" i="18"/>
  <c r="T82" i="18"/>
  <c r="R169" i="18"/>
  <c r="Q81" i="18"/>
  <c r="R170" i="18"/>
  <c r="Q82" i="18"/>
  <c r="S137" i="18"/>
  <c r="R49" i="18"/>
  <c r="Q76" i="18"/>
  <c r="R164" i="18"/>
  <c r="Z135" i="18"/>
  <c r="Y47" i="18"/>
  <c r="T109" i="18"/>
  <c r="S21" i="18"/>
  <c r="V164" i="18"/>
  <c r="U76" i="18"/>
  <c r="Z164" i="18"/>
  <c r="Y76" i="18"/>
  <c r="W106" i="18"/>
  <c r="V18" i="18"/>
  <c r="U141" i="18"/>
  <c r="T53" i="18"/>
  <c r="AB165" i="18"/>
  <c r="AB78" i="18" s="1"/>
  <c r="AA77" i="18"/>
  <c r="U28" i="18"/>
  <c r="AB107" i="18"/>
  <c r="AB20" i="18" s="1"/>
  <c r="AA19" i="18"/>
  <c r="T28" i="18"/>
  <c r="V135" i="18"/>
  <c r="U47" i="18"/>
  <c r="Y106" i="18"/>
  <c r="X18" i="18"/>
  <c r="W164" i="18"/>
  <c r="V76" i="18"/>
  <c r="S135" i="18"/>
  <c r="R47" i="18"/>
  <c r="V112" i="18"/>
  <c r="U24" i="18"/>
  <c r="U113" i="18"/>
  <c r="T25" i="18"/>
  <c r="V115" i="18"/>
  <c r="U27" i="18"/>
  <c r="U106" i="18"/>
  <c r="T18" i="18"/>
  <c r="U135" i="18"/>
  <c r="T47" i="18"/>
  <c r="U112" i="18"/>
  <c r="T24" i="18"/>
  <c r="T20" i="18"/>
  <c r="U108" i="18"/>
  <c r="W48" i="18"/>
  <c r="X136" i="18"/>
  <c r="S107" i="18"/>
  <c r="R19" i="18"/>
  <c r="U165" i="18"/>
  <c r="T77" i="18"/>
  <c r="S164" i="18"/>
  <c r="R76" i="18"/>
  <c r="Z106" i="18"/>
  <c r="Y18" i="18"/>
  <c r="V106" i="18"/>
  <c r="U18" i="18"/>
  <c r="T19" i="18" l="1"/>
  <c r="U107" i="18"/>
  <c r="U136" i="18"/>
  <c r="T48" i="18"/>
  <c r="Z78" i="18"/>
  <c r="AA166" i="18"/>
  <c r="Y136" i="18"/>
  <c r="X48" i="18"/>
  <c r="Y20" i="18"/>
  <c r="Z108" i="18"/>
  <c r="U140" i="18"/>
  <c r="T52" i="18"/>
  <c r="W70" i="26"/>
  <c r="W99" i="26"/>
  <c r="W41" i="26"/>
  <c r="Y42" i="26"/>
  <c r="AA100" i="26"/>
  <c r="S140" i="18"/>
  <c r="R52" i="18"/>
  <c r="BA37" i="17"/>
  <c r="D43" i="24" s="1"/>
  <c r="D44" i="24" s="1"/>
  <c r="D45" i="24" s="1"/>
  <c r="D46" i="24" s="1"/>
  <c r="D47" i="24" s="1"/>
  <c r="D48" i="24" s="1"/>
  <c r="D49" i="24" s="1"/>
  <c r="D50" i="24" s="1"/>
  <c r="D51" i="24" s="1"/>
  <c r="D52" i="24" s="1"/>
  <c r="D42" i="24"/>
  <c r="CB75" i="17"/>
  <c r="H43" i="24" s="1"/>
  <c r="H44" i="24" s="1"/>
  <c r="H45" i="24" s="1"/>
  <c r="H46" i="24" s="1"/>
  <c r="H47" i="24" s="1"/>
  <c r="H48" i="24" s="1"/>
  <c r="H49" i="24" s="1"/>
  <c r="H50" i="24" s="1"/>
  <c r="H51" i="24" s="1"/>
  <c r="H52" i="24" s="1"/>
  <c r="H42" i="24"/>
  <c r="Z37" i="17"/>
  <c r="C43" i="24" s="1"/>
  <c r="C44" i="24" s="1"/>
  <c r="C45" i="24" s="1"/>
  <c r="C46" i="24" s="1"/>
  <c r="C47" i="24" s="1"/>
  <c r="C48" i="24" s="1"/>
  <c r="C49" i="24" s="1"/>
  <c r="C50" i="24" s="1"/>
  <c r="C51" i="24" s="1"/>
  <c r="C52" i="24" s="1"/>
  <c r="C42" i="24"/>
  <c r="CB37" i="17"/>
  <c r="E43" i="24" s="1"/>
  <c r="E44" i="24" s="1"/>
  <c r="E45" i="24" s="1"/>
  <c r="E46" i="24" s="1"/>
  <c r="E47" i="24" s="1"/>
  <c r="E48" i="24" s="1"/>
  <c r="E49" i="24" s="1"/>
  <c r="E50" i="24" s="1"/>
  <c r="E51" i="24" s="1"/>
  <c r="E52" i="24" s="1"/>
  <c r="E42" i="24"/>
  <c r="T138" i="18"/>
  <c r="S50" i="18"/>
  <c r="R77" i="18"/>
  <c r="S165" i="18"/>
  <c r="S55" i="18"/>
  <c r="T143" i="18"/>
  <c r="S170" i="18"/>
  <c r="R82" i="18"/>
  <c r="S49" i="18"/>
  <c r="T137" i="18"/>
  <c r="R83" i="18"/>
  <c r="S171" i="18"/>
  <c r="V171" i="18"/>
  <c r="U83" i="18"/>
  <c r="T108" i="18"/>
  <c r="S20" i="18"/>
  <c r="V136" i="18"/>
  <c r="U48" i="18"/>
  <c r="V28" i="18"/>
  <c r="W113" i="18"/>
  <c r="V25" i="18"/>
  <c r="Y137" i="18"/>
  <c r="X49" i="18"/>
  <c r="AA165" i="18"/>
  <c r="Z77" i="18"/>
  <c r="AA136" i="18"/>
  <c r="Z48" i="18"/>
  <c r="U19" i="18"/>
  <c r="V107" i="18"/>
  <c r="Z107" i="18"/>
  <c r="Y19" i="18"/>
  <c r="T165" i="18"/>
  <c r="S77" i="18"/>
  <c r="V109" i="18"/>
  <c r="U21" i="18"/>
  <c r="W136" i="18"/>
  <c r="V48" i="18"/>
  <c r="U110" i="18"/>
  <c r="T22" i="18"/>
  <c r="AA107" i="18"/>
  <c r="Z19" i="18"/>
  <c r="X165" i="18"/>
  <c r="W77" i="18"/>
  <c r="X107" i="18"/>
  <c r="W19" i="18"/>
  <c r="V166" i="18"/>
  <c r="U78" i="18"/>
  <c r="T136" i="18"/>
  <c r="S48" i="18"/>
  <c r="W165" i="18"/>
  <c r="V77" i="18"/>
  <c r="W107" i="18"/>
  <c r="V19" i="18"/>
  <c r="V113" i="18"/>
  <c r="U25" i="18"/>
  <c r="V114" i="18"/>
  <c r="U26" i="18"/>
  <c r="V142" i="18"/>
  <c r="U54" i="18"/>
  <c r="U20" i="18" l="1"/>
  <c r="V108" i="18"/>
  <c r="Y49" i="18"/>
  <c r="Z137" i="18"/>
  <c r="U49" i="18"/>
  <c r="V137" i="18"/>
  <c r="AA109" i="18"/>
  <c r="Z21" i="18"/>
  <c r="AB167" i="18"/>
  <c r="AB80" i="18" s="1"/>
  <c r="AA79" i="18"/>
  <c r="U53" i="18"/>
  <c r="V141" i="18"/>
  <c r="X71" i="26"/>
  <c r="X100" i="26"/>
  <c r="X42" i="26"/>
  <c r="Z43" i="26"/>
  <c r="AB101" i="26"/>
  <c r="S53" i="18"/>
  <c r="T141" i="18"/>
  <c r="W172" i="18"/>
  <c r="V84" i="18"/>
  <c r="U144" i="18"/>
  <c r="U57" i="18" s="1"/>
  <c r="T56" i="18"/>
  <c r="T172" i="18"/>
  <c r="S84" i="18"/>
  <c r="T50" i="18"/>
  <c r="U138" i="18"/>
  <c r="T171" i="18"/>
  <c r="S83" i="18"/>
  <c r="S78" i="18"/>
  <c r="T166" i="18"/>
  <c r="T51" i="18"/>
  <c r="U139" i="18"/>
  <c r="X108" i="18"/>
  <c r="W20" i="18"/>
  <c r="W110" i="18"/>
  <c r="V22" i="18"/>
  <c r="AB166" i="18"/>
  <c r="AB79" i="18" s="1"/>
  <c r="AA78" i="18"/>
  <c r="U109" i="18"/>
  <c r="T21" i="18"/>
  <c r="W114" i="18"/>
  <c r="V26" i="18"/>
  <c r="X166" i="18"/>
  <c r="W78" i="18"/>
  <c r="Y166" i="18"/>
  <c r="X78" i="18"/>
  <c r="V111" i="18"/>
  <c r="U23" i="18"/>
  <c r="W26" i="18"/>
  <c r="X114" i="18"/>
  <c r="W137" i="18"/>
  <c r="V49" i="18"/>
  <c r="W143" i="18"/>
  <c r="V55" i="18"/>
  <c r="W115" i="18"/>
  <c r="V27" i="18"/>
  <c r="AB108" i="18"/>
  <c r="AB21" i="18" s="1"/>
  <c r="AA20" i="18"/>
  <c r="U166" i="18"/>
  <c r="T78" i="18"/>
  <c r="W108" i="18"/>
  <c r="V20" i="18"/>
  <c r="Z138" i="18"/>
  <c r="Y50" i="18"/>
  <c r="Y108" i="18"/>
  <c r="X20" i="18"/>
  <c r="X137" i="18"/>
  <c r="W49" i="18"/>
  <c r="U137" i="18"/>
  <c r="T49" i="18"/>
  <c r="W167" i="18"/>
  <c r="V79" i="18"/>
  <c r="AA108" i="18"/>
  <c r="Z20" i="18"/>
  <c r="AB137" i="18"/>
  <c r="AB50" i="18" s="1"/>
  <c r="AA49" i="18"/>
  <c r="V21" i="18" l="1"/>
  <c r="W109" i="18"/>
  <c r="AA22" i="18"/>
  <c r="AB110" i="18"/>
  <c r="AB23" i="18" s="1"/>
  <c r="V50" i="18"/>
  <c r="W138" i="18"/>
  <c r="Z50" i="18"/>
  <c r="AA138" i="18"/>
  <c r="V54" i="18"/>
  <c r="W142" i="18"/>
  <c r="Y72" i="26"/>
  <c r="Y101" i="26"/>
  <c r="Y43" i="26"/>
  <c r="AA44" i="26"/>
  <c r="AC102" i="26"/>
  <c r="T54" i="18"/>
  <c r="U142" i="18"/>
  <c r="U167" i="18"/>
  <c r="T79" i="18"/>
  <c r="V139" i="18"/>
  <c r="U51" i="18"/>
  <c r="U172" i="18"/>
  <c r="T84" i="18"/>
  <c r="V140" i="18"/>
  <c r="U52" i="18"/>
  <c r="U173" i="18"/>
  <c r="U86" i="18" s="1"/>
  <c r="T85" i="18"/>
  <c r="X173" i="18"/>
  <c r="X86" i="18" s="1"/>
  <c r="W85" i="18"/>
  <c r="V167" i="18"/>
  <c r="U79" i="18"/>
  <c r="W28" i="18"/>
  <c r="X138" i="18"/>
  <c r="W50" i="18"/>
  <c r="W112" i="18"/>
  <c r="V24" i="18"/>
  <c r="Y167" i="18"/>
  <c r="X79" i="18"/>
  <c r="X168" i="18"/>
  <c r="W80" i="18"/>
  <c r="Y115" i="18"/>
  <c r="X27" i="18"/>
  <c r="X50" i="18"/>
  <c r="Y138" i="18"/>
  <c r="Z109" i="18"/>
  <c r="Y21" i="18"/>
  <c r="X144" i="18"/>
  <c r="W56" i="18"/>
  <c r="Z167" i="18"/>
  <c r="Y79" i="18"/>
  <c r="X115" i="18"/>
  <c r="W27" i="18"/>
  <c r="AB109" i="18"/>
  <c r="AB22" i="18" s="1"/>
  <c r="AA21" i="18"/>
  <c r="V138" i="18"/>
  <c r="U50" i="18"/>
  <c r="X109" i="18"/>
  <c r="W21" i="18"/>
  <c r="V110" i="18"/>
  <c r="U22" i="18"/>
  <c r="X111" i="18"/>
  <c r="W23" i="18"/>
  <c r="Y109" i="18"/>
  <c r="X21" i="18"/>
  <c r="AA139" i="18"/>
  <c r="Z51" i="18"/>
  <c r="X110" i="18" l="1"/>
  <c r="W22" i="18"/>
  <c r="X139" i="18"/>
  <c r="W51" i="18"/>
  <c r="AA51" i="18"/>
  <c r="AB139" i="18"/>
  <c r="AB52" i="18" s="1"/>
  <c r="W55" i="18"/>
  <c r="X143" i="18"/>
  <c r="Z73" i="26"/>
  <c r="Z102" i="26"/>
  <c r="Z44" i="26"/>
  <c r="AB45" i="26"/>
  <c r="AD103" i="26"/>
  <c r="V143" i="18"/>
  <c r="U55" i="18"/>
  <c r="U85" i="18"/>
  <c r="V173" i="18"/>
  <c r="V86" i="18" s="1"/>
  <c r="V53" i="18"/>
  <c r="W141" i="18"/>
  <c r="V52" i="18"/>
  <c r="W140" i="18"/>
  <c r="V168" i="18"/>
  <c r="U80" i="18"/>
  <c r="Y110" i="18"/>
  <c r="X22" i="18"/>
  <c r="AB140" i="18"/>
  <c r="AB53" i="18" s="1"/>
  <c r="AA52" i="18"/>
  <c r="Y112" i="18"/>
  <c r="X24" i="18"/>
  <c r="X57" i="18"/>
  <c r="Y139" i="18"/>
  <c r="X51" i="18"/>
  <c r="Z110" i="18"/>
  <c r="Y22" i="18"/>
  <c r="AA168" i="18"/>
  <c r="Z80" i="18"/>
  <c r="AA110" i="18"/>
  <c r="Z22" i="18"/>
  <c r="V23" i="18"/>
  <c r="W111" i="18"/>
  <c r="W139" i="18"/>
  <c r="V51" i="18"/>
  <c r="X28" i="18"/>
  <c r="Z139" i="18"/>
  <c r="Y51" i="18"/>
  <c r="Y28" i="18"/>
  <c r="Z168" i="18"/>
  <c r="Y80" i="18"/>
  <c r="Y169" i="18"/>
  <c r="X81" i="18"/>
  <c r="X113" i="18"/>
  <c r="W25" i="18"/>
  <c r="W168" i="18"/>
  <c r="V80" i="18"/>
  <c r="X23" i="18" l="1"/>
  <c r="Y111" i="18"/>
  <c r="Y140" i="18"/>
  <c r="X52" i="18"/>
  <c r="Y144" i="18"/>
  <c r="Y57" i="18" s="1"/>
  <c r="X56" i="18"/>
  <c r="AA74" i="26"/>
  <c r="AA103" i="26"/>
  <c r="AA45" i="26"/>
  <c r="AC46" i="26"/>
  <c r="AE104" i="26"/>
  <c r="V56" i="18"/>
  <c r="W144" i="18"/>
  <c r="W57" i="18" s="1"/>
  <c r="X142" i="18"/>
  <c r="W54" i="18"/>
  <c r="X141" i="18"/>
  <c r="W53" i="18"/>
  <c r="W169" i="18"/>
  <c r="V81" i="18"/>
  <c r="AB111" i="18"/>
  <c r="AB24" i="18" s="1"/>
  <c r="AA23" i="18"/>
  <c r="X112" i="18"/>
  <c r="W24" i="18"/>
  <c r="AB169" i="18"/>
  <c r="AB82" i="18" s="1"/>
  <c r="AA81" i="18"/>
  <c r="Z140" i="18"/>
  <c r="Y52" i="18"/>
  <c r="X169" i="18"/>
  <c r="W81" i="18"/>
  <c r="Z170" i="18"/>
  <c r="Y82" i="18"/>
  <c r="X140" i="18"/>
  <c r="W52" i="18"/>
  <c r="AA111" i="18"/>
  <c r="Z23" i="18"/>
  <c r="Z111" i="18"/>
  <c r="Y23" i="18"/>
  <c r="Y114" i="18"/>
  <c r="X26" i="18"/>
  <c r="AA169" i="18"/>
  <c r="Z81" i="18"/>
  <c r="AA140" i="18"/>
  <c r="Z52" i="18"/>
  <c r="Z113" i="18"/>
  <c r="Y25" i="18"/>
  <c r="Z112" i="18" l="1"/>
  <c r="Y24" i="18"/>
  <c r="Z141" i="18"/>
  <c r="Y53" i="18"/>
  <c r="AB75" i="26"/>
  <c r="AA3" i="26" s="1"/>
  <c r="AA9" i="26" s="1"/>
  <c r="AB104" i="26"/>
  <c r="AA4" i="26" s="1"/>
  <c r="AA10" i="26" s="1"/>
  <c r="AB46" i="26"/>
  <c r="W82" i="18"/>
  <c r="X170" i="18"/>
  <c r="Y143" i="18"/>
  <c r="X55" i="18"/>
  <c r="Y142" i="18"/>
  <c r="X54" i="18"/>
  <c r="AA171" i="18"/>
  <c r="Z83" i="18"/>
  <c r="Y141" i="18"/>
  <c r="X53" i="18"/>
  <c r="AB141" i="18"/>
  <c r="AB54" i="18" s="1"/>
  <c r="AA53" i="18"/>
  <c r="Z115" i="18"/>
  <c r="Y27" i="18"/>
  <c r="AA112" i="18"/>
  <c r="Z24" i="18"/>
  <c r="AB112" i="18"/>
  <c r="AB25" i="18" s="1"/>
  <c r="AA24" i="18"/>
  <c r="Y170" i="18"/>
  <c r="X82" i="18"/>
  <c r="Y113" i="18"/>
  <c r="X25" i="18"/>
  <c r="AA114" i="18"/>
  <c r="Z26" i="18"/>
  <c r="AB170" i="18"/>
  <c r="AB83" i="18" s="1"/>
  <c r="AA82" i="18"/>
  <c r="AA141" i="18"/>
  <c r="Z53" i="18"/>
  <c r="AA113" i="18" l="1"/>
  <c r="Z25" i="18"/>
  <c r="Z54" i="18"/>
  <c r="AA142" i="18"/>
  <c r="Z143" i="18"/>
  <c r="Y55" i="18"/>
  <c r="Y56" i="18"/>
  <c r="Z144" i="18"/>
  <c r="Z57" i="18" s="1"/>
  <c r="Y171" i="18"/>
  <c r="X83" i="18"/>
  <c r="AB142" i="18"/>
  <c r="AB55" i="18" s="1"/>
  <c r="AA54" i="18"/>
  <c r="Z171" i="18"/>
  <c r="Y83" i="18"/>
  <c r="Z28" i="18"/>
  <c r="AB172" i="18"/>
  <c r="AB85" i="18" s="1"/>
  <c r="AA84" i="18"/>
  <c r="Z142" i="18"/>
  <c r="Y54" i="18"/>
  <c r="Z114" i="18"/>
  <c r="Y26" i="18"/>
  <c r="AB113" i="18"/>
  <c r="AB26" i="18" s="1"/>
  <c r="AA25" i="18"/>
  <c r="AA27" i="18"/>
  <c r="AB115" i="18"/>
  <c r="AB114" i="18" l="1"/>
  <c r="AB27" i="18" s="1"/>
  <c r="AA26" i="18"/>
  <c r="AB143" i="18"/>
  <c r="AB56" i="18" s="1"/>
  <c r="AA55" i="18"/>
  <c r="Y84" i="18"/>
  <c r="Z172" i="18"/>
  <c r="AA144" i="18"/>
  <c r="AA57" i="18" s="1"/>
  <c r="Z56" i="18"/>
  <c r="AB28" i="18"/>
  <c r="AA143" i="18"/>
  <c r="Z55" i="18"/>
  <c r="AA115" i="18"/>
  <c r="Z27" i="18"/>
  <c r="AA172" i="18"/>
  <c r="Z84" i="18"/>
  <c r="AA173" i="18" l="1"/>
  <c r="AA86" i="18" s="1"/>
  <c r="Z85" i="18"/>
  <c r="AA28" i="18"/>
  <c r="AB173" i="18"/>
  <c r="AA85" i="18"/>
  <c r="AB144" i="18"/>
  <c r="AA56" i="18"/>
  <c r="AB86" i="18" l="1"/>
  <c r="AB57" i="18"/>
  <c r="C391" i="24" l="1"/>
  <c r="Z347" i="24"/>
  <c r="E347" i="24"/>
  <c r="F348" i="24" s="1"/>
  <c r="G349" i="24" s="1"/>
  <c r="H350" i="24" s="1"/>
  <c r="I351" i="24" s="1"/>
  <c r="J352" i="24" s="1"/>
  <c r="K353" i="24" s="1"/>
  <c r="L354" i="24" s="1"/>
  <c r="M355" i="24" s="1"/>
  <c r="N356" i="24" s="1"/>
  <c r="O357" i="24" s="1"/>
  <c r="P358" i="24" s="1"/>
  <c r="Q359" i="24" s="1"/>
  <c r="R360" i="24" s="1"/>
  <c r="S361" i="24" s="1"/>
  <c r="T362" i="24" s="1"/>
  <c r="U363" i="24" s="1"/>
  <c r="C340" i="24"/>
  <c r="AB318" i="24"/>
  <c r="AC319" i="24" s="1"/>
  <c r="AD320" i="24" s="1"/>
  <c r="AE321" i="24" s="1"/>
  <c r="T318" i="24"/>
  <c r="C297" i="24"/>
  <c r="AI198" i="15" s="1"/>
  <c r="AE289" i="24"/>
  <c r="BK190" i="15" s="1"/>
  <c r="V289" i="24"/>
  <c r="BB190" i="15" s="1"/>
  <c r="C288" i="24"/>
  <c r="AI189" i="15" s="1"/>
  <c r="C274" i="24"/>
  <c r="AI175" i="15" s="1"/>
  <c r="M260" i="24"/>
  <c r="AS161" i="15" s="1"/>
  <c r="C260" i="24"/>
  <c r="AI161" i="15" s="1"/>
  <c r="H231" i="24"/>
  <c r="AN132" i="15" s="1"/>
  <c r="AE230" i="24"/>
  <c r="BK131" i="15" s="1"/>
  <c r="AD230" i="24"/>
  <c r="BJ131" i="15" s="1"/>
  <c r="AC230" i="24"/>
  <c r="BI131" i="15" s="1"/>
  <c r="AB230" i="24"/>
  <c r="BH131" i="15" s="1"/>
  <c r="AA230" i="24"/>
  <c r="BG131" i="15" s="1"/>
  <c r="Z230" i="24"/>
  <c r="BF131" i="15" s="1"/>
  <c r="Y230" i="24"/>
  <c r="BE131" i="15" s="1"/>
  <c r="X230" i="24"/>
  <c r="BD131" i="15" s="1"/>
  <c r="W230" i="24"/>
  <c r="BC131" i="15" s="1"/>
  <c r="V230" i="24"/>
  <c r="BB131" i="15" s="1"/>
  <c r="U230" i="24"/>
  <c r="BA131" i="15" s="1"/>
  <c r="T230" i="24"/>
  <c r="AZ131" i="15" s="1"/>
  <c r="S230" i="24"/>
  <c r="AY131" i="15" s="1"/>
  <c r="R230" i="24"/>
  <c r="AX131" i="15" s="1"/>
  <c r="Q230" i="24"/>
  <c r="AW131" i="15" s="1"/>
  <c r="P230" i="24"/>
  <c r="AV131" i="15" s="1"/>
  <c r="M230" i="24"/>
  <c r="AS131" i="15" s="1"/>
  <c r="L230" i="24"/>
  <c r="AR131" i="15" s="1"/>
  <c r="K230" i="24"/>
  <c r="AQ131" i="15" s="1"/>
  <c r="J230" i="24"/>
  <c r="AP131" i="15" s="1"/>
  <c r="I230" i="24"/>
  <c r="AO131" i="15" s="1"/>
  <c r="H230" i="24"/>
  <c r="AN131" i="15" s="1"/>
  <c r="E230" i="24"/>
  <c r="AK131" i="15" s="1"/>
  <c r="D230" i="24"/>
  <c r="AJ131" i="15" s="1"/>
  <c r="AD202" i="24"/>
  <c r="Z202" i="24"/>
  <c r="AA203" i="24" s="1"/>
  <c r="AB204" i="24" s="1"/>
  <c r="AC205" i="24" s="1"/>
  <c r="AD206" i="24" s="1"/>
  <c r="AE207" i="24" s="1"/>
  <c r="C191" i="24"/>
  <c r="C184" i="24"/>
  <c r="C180" i="24"/>
  <c r="D181" i="24" s="1"/>
  <c r="C175" i="24"/>
  <c r="D176" i="24" s="1"/>
  <c r="X173" i="24"/>
  <c r="Y174" i="24" s="1"/>
  <c r="Z175" i="24" s="1"/>
  <c r="AA176" i="24" s="1"/>
  <c r="AB177" i="24" s="1"/>
  <c r="AC178" i="24" s="1"/>
  <c r="AD179" i="24" s="1"/>
  <c r="AE180" i="24" s="1"/>
  <c r="V173" i="24"/>
  <c r="C158" i="24"/>
  <c r="C149" i="24"/>
  <c r="D150" i="24" s="1"/>
  <c r="E151" i="24" s="1"/>
  <c r="F152" i="24" s="1"/>
  <c r="G153" i="24" s="1"/>
  <c r="H154" i="24" s="1"/>
  <c r="I155" i="24" s="1"/>
  <c r="J156" i="24" s="1"/>
  <c r="K157" i="24" s="1"/>
  <c r="L158" i="24" s="1"/>
  <c r="M159" i="24" s="1"/>
  <c r="N160" i="24" s="1"/>
  <c r="AE144" i="24"/>
  <c r="N144" i="24"/>
  <c r="J144" i="24"/>
  <c r="C134" i="24"/>
  <c r="AI122" i="15" s="1"/>
  <c r="C123" i="24"/>
  <c r="AI111" i="15" s="1"/>
  <c r="C119" i="24"/>
  <c r="AI107" i="15" s="1"/>
  <c r="Z115" i="24"/>
  <c r="BF103" i="15" s="1"/>
  <c r="Y115" i="24"/>
  <c r="BE103" i="15" s="1"/>
  <c r="O115" i="24"/>
  <c r="AU103" i="15" s="1"/>
  <c r="N115" i="24"/>
  <c r="AT103" i="15" s="1"/>
  <c r="E115" i="24"/>
  <c r="AK103" i="15" s="1"/>
  <c r="C115" i="24"/>
  <c r="AI103" i="15" s="1"/>
  <c r="C99" i="24"/>
  <c r="AI87" i="15" s="1"/>
  <c r="AB86" i="24"/>
  <c r="BH74" i="15" s="1"/>
  <c r="L86" i="24"/>
  <c r="AR74" i="15" s="1"/>
  <c r="F86" i="24"/>
  <c r="AL74" i="15" s="1"/>
  <c r="C78" i="24"/>
  <c r="AI66" i="15" s="1"/>
  <c r="C74" i="24"/>
  <c r="AI62" i="15" s="1"/>
  <c r="C69" i="24"/>
  <c r="AI57" i="15" s="1"/>
  <c r="C66" i="24"/>
  <c r="AI54" i="15" s="1"/>
  <c r="AE56" i="24"/>
  <c r="BK44" i="15" s="1"/>
  <c r="AD56" i="24"/>
  <c r="BJ44" i="15" s="1"/>
  <c r="AC56" i="24"/>
  <c r="BI44" i="15" s="1"/>
  <c r="AB56" i="24"/>
  <c r="BH44" i="15" s="1"/>
  <c r="AA56" i="24"/>
  <c r="BG44" i="15" s="1"/>
  <c r="Z56" i="24"/>
  <c r="BF44" i="15" s="1"/>
  <c r="Y56" i="24"/>
  <c r="BE44" i="15" s="1"/>
  <c r="X56" i="24"/>
  <c r="BD44" i="15" s="1"/>
  <c r="W56" i="24"/>
  <c r="BC44" i="15" s="1"/>
  <c r="V56" i="24"/>
  <c r="BB44" i="15" s="1"/>
  <c r="U56" i="24"/>
  <c r="BA44" i="15" s="1"/>
  <c r="T56" i="24"/>
  <c r="AZ44" i="15" s="1"/>
  <c r="S56" i="24"/>
  <c r="AY44" i="15" s="1"/>
  <c r="R56" i="24"/>
  <c r="AX44" i="15" s="1"/>
  <c r="Q56" i="24"/>
  <c r="AW44" i="15" s="1"/>
  <c r="P56" i="24"/>
  <c r="AV44" i="15" s="1"/>
  <c r="M56" i="24"/>
  <c r="AS44" i="15" s="1"/>
  <c r="L56" i="24"/>
  <c r="AR44" i="15" s="1"/>
  <c r="K56" i="24"/>
  <c r="AQ44" i="15" s="1"/>
  <c r="J56" i="24"/>
  <c r="AP44" i="15" s="1"/>
  <c r="I56" i="24"/>
  <c r="AO44" i="15" s="1"/>
  <c r="H56" i="24"/>
  <c r="AN44" i="15" s="1"/>
  <c r="E56" i="24"/>
  <c r="AK44" i="15" s="1"/>
  <c r="D56" i="24"/>
  <c r="AJ44" i="15" s="1"/>
  <c r="Z376" i="24"/>
  <c r="G289" i="24"/>
  <c r="AM190" i="15" s="1"/>
  <c r="X260" i="24"/>
  <c r="BD161" i="15" s="1"/>
  <c r="C313" i="24"/>
  <c r="AI214" i="15" s="1"/>
  <c r="C81" i="24"/>
  <c r="AI69" i="15" s="1"/>
  <c r="C393" i="24"/>
  <c r="C364" i="24"/>
  <c r="C335" i="24"/>
  <c r="C306" i="24"/>
  <c r="AI207" i="15" s="1"/>
  <c r="C277" i="24"/>
  <c r="AI178" i="15" s="1"/>
  <c r="C248" i="24"/>
  <c r="AI149" i="15" s="1"/>
  <c r="C219" i="24"/>
  <c r="C190" i="24"/>
  <c r="C161" i="24"/>
  <c r="C132" i="24"/>
  <c r="AI120" i="15" s="1"/>
  <c r="C103" i="24"/>
  <c r="AI91" i="15" s="1"/>
  <c r="C392" i="24"/>
  <c r="C363" i="24"/>
  <c r="D364" i="24" s="1"/>
  <c r="C334" i="24"/>
  <c r="C305" i="24"/>
  <c r="AI206" i="15" s="1"/>
  <c r="C276" i="24"/>
  <c r="AI177" i="15" s="1"/>
  <c r="C247" i="24"/>
  <c r="AI148" i="15" s="1"/>
  <c r="C218" i="24"/>
  <c r="C189" i="24"/>
  <c r="C160" i="24"/>
  <c r="C131" i="24"/>
  <c r="AI119" i="15" s="1"/>
  <c r="C102" i="24"/>
  <c r="AI90" i="15" s="1"/>
  <c r="C362" i="24"/>
  <c r="D363" i="24" s="1"/>
  <c r="C333" i="24"/>
  <c r="C304" i="24"/>
  <c r="AI205" i="15" s="1"/>
  <c r="C275" i="24"/>
  <c r="AI176" i="15" s="1"/>
  <c r="Z44" i="24"/>
  <c r="C225" i="24"/>
  <c r="C188" i="24"/>
  <c r="C159" i="24"/>
  <c r="C130" i="24"/>
  <c r="AI118" i="15" s="1"/>
  <c r="C72" i="24"/>
  <c r="AI60" i="15" s="1"/>
  <c r="C390" i="24"/>
  <c r="C361" i="24"/>
  <c r="C332" i="24"/>
  <c r="C303" i="24"/>
  <c r="AI204" i="15" s="1"/>
  <c r="C245" i="24"/>
  <c r="AI146" i="15" s="1"/>
  <c r="C216" i="24"/>
  <c r="D217" i="24" s="1"/>
  <c r="C187" i="24"/>
  <c r="C129" i="24"/>
  <c r="AI117" i="15" s="1"/>
  <c r="C100" i="24"/>
  <c r="AI88" i="15" s="1"/>
  <c r="C389" i="24"/>
  <c r="C360" i="24"/>
  <c r="D361" i="24" s="1"/>
  <c r="E362" i="24" s="1"/>
  <c r="F363" i="24" s="1"/>
  <c r="G364" i="24" s="1"/>
  <c r="C331" i="24"/>
  <c r="D332" i="24" s="1"/>
  <c r="E333" i="24" s="1"/>
  <c r="F334" i="24" s="1"/>
  <c r="C302" i="24"/>
  <c r="AI203" i="15" s="1"/>
  <c r="C273" i="24"/>
  <c r="AI174" i="15" s="1"/>
  <c r="C244" i="24"/>
  <c r="AI145" i="15" s="1"/>
  <c r="C215" i="24"/>
  <c r="D216" i="24" s="1"/>
  <c r="E217" i="24" s="1"/>
  <c r="C186" i="24"/>
  <c r="C157" i="24"/>
  <c r="C128" i="24"/>
  <c r="AI116" i="15" s="1"/>
  <c r="C70" i="24"/>
  <c r="AI58" i="15" s="1"/>
  <c r="C388" i="24"/>
  <c r="C359" i="24"/>
  <c r="C330" i="24"/>
  <c r="D331" i="24" s="1"/>
  <c r="E332" i="24" s="1"/>
  <c r="F333" i="24" s="1"/>
  <c r="C301" i="24"/>
  <c r="AI202" i="15" s="1"/>
  <c r="C243" i="24"/>
  <c r="AI144" i="15" s="1"/>
  <c r="C214" i="24"/>
  <c r="D215" i="24" s="1"/>
  <c r="E216" i="24" s="1"/>
  <c r="F217" i="24" s="1"/>
  <c r="C185" i="24"/>
  <c r="D186" i="24" s="1"/>
  <c r="C156" i="24"/>
  <c r="D157" i="24" s="1"/>
  <c r="C127" i="24"/>
  <c r="AI115" i="15" s="1"/>
  <c r="C98" i="24"/>
  <c r="AI86" i="15" s="1"/>
  <c r="C387" i="24"/>
  <c r="C358" i="24"/>
  <c r="D359" i="24" s="1"/>
  <c r="E360" i="24" s="1"/>
  <c r="F361" i="24" s="1"/>
  <c r="G362" i="24" s="1"/>
  <c r="H363" i="24" s="1"/>
  <c r="I364" i="24" s="1"/>
  <c r="C329" i="24"/>
  <c r="D330" i="24" s="1"/>
  <c r="E331" i="24" s="1"/>
  <c r="F332" i="24" s="1"/>
  <c r="G333" i="24" s="1"/>
  <c r="H334" i="24" s="1"/>
  <c r="C300" i="24"/>
  <c r="AI201" i="15" s="1"/>
  <c r="C271" i="24"/>
  <c r="AI172" i="15" s="1"/>
  <c r="C242" i="24"/>
  <c r="AI143" i="15" s="1"/>
  <c r="C213" i="24"/>
  <c r="D214" i="24" s="1"/>
  <c r="E215" i="24" s="1"/>
  <c r="F216" i="24" s="1"/>
  <c r="G217" i="24" s="1"/>
  <c r="C155" i="24"/>
  <c r="D156" i="24" s="1"/>
  <c r="C126" i="24"/>
  <c r="AI114" i="15" s="1"/>
  <c r="C97" i="24"/>
  <c r="AI85" i="15" s="1"/>
  <c r="C68" i="24"/>
  <c r="AI56" i="15" s="1"/>
  <c r="C386" i="24"/>
  <c r="C357" i="24"/>
  <c r="D358" i="24" s="1"/>
  <c r="E359" i="24" s="1"/>
  <c r="F360" i="24" s="1"/>
  <c r="G361" i="24" s="1"/>
  <c r="H362" i="24" s="1"/>
  <c r="I363" i="24" s="1"/>
  <c r="J364" i="24" s="1"/>
  <c r="C328" i="24"/>
  <c r="C299" i="24"/>
  <c r="AI200" i="15" s="1"/>
  <c r="C270" i="24"/>
  <c r="AI171" i="15" s="1"/>
  <c r="C241" i="24"/>
  <c r="AI142" i="15" s="1"/>
  <c r="C212" i="24"/>
  <c r="D213" i="24" s="1"/>
  <c r="E214" i="24" s="1"/>
  <c r="F215" i="24" s="1"/>
  <c r="G216" i="24" s="1"/>
  <c r="H217" i="24" s="1"/>
  <c r="C183" i="24"/>
  <c r="D184" i="24" s="1"/>
  <c r="C154" i="24"/>
  <c r="D155" i="24" s="1"/>
  <c r="C125" i="24"/>
  <c r="AI113" i="15" s="1"/>
  <c r="C96" i="24"/>
  <c r="AI84" i="15" s="1"/>
  <c r="C67" i="24"/>
  <c r="AI55" i="15" s="1"/>
  <c r="C385" i="24"/>
  <c r="D386" i="24" s="1"/>
  <c r="C356" i="24"/>
  <c r="D357" i="24" s="1"/>
  <c r="C327" i="24"/>
  <c r="D328" i="24" s="1"/>
  <c r="E329" i="24" s="1"/>
  <c r="F330" i="24" s="1"/>
  <c r="G331" i="24" s="1"/>
  <c r="H332" i="24" s="1"/>
  <c r="I333" i="24" s="1"/>
  <c r="J334" i="24" s="1"/>
  <c r="C298" i="24"/>
  <c r="AI199" i="15" s="1"/>
  <c r="C269" i="24"/>
  <c r="AI170" i="15" s="1"/>
  <c r="C240" i="24"/>
  <c r="AI141" i="15" s="1"/>
  <c r="C211" i="24"/>
  <c r="D212" i="24" s="1"/>
  <c r="E213" i="24" s="1"/>
  <c r="F214" i="24" s="1"/>
  <c r="G215" i="24" s="1"/>
  <c r="H216" i="24" s="1"/>
  <c r="I217" i="24" s="1"/>
  <c r="C182" i="24"/>
  <c r="C153" i="24"/>
  <c r="D154" i="24" s="1"/>
  <c r="C124" i="24"/>
  <c r="AI112" i="15" s="1"/>
  <c r="C384" i="24"/>
  <c r="D385" i="24" s="1"/>
  <c r="C355" i="24"/>
  <c r="D356" i="24" s="1"/>
  <c r="E357" i="24" s="1"/>
  <c r="F358" i="24" s="1"/>
  <c r="G359" i="24" s="1"/>
  <c r="H360" i="24" s="1"/>
  <c r="I361" i="24" s="1"/>
  <c r="J362" i="24" s="1"/>
  <c r="K363" i="24" s="1"/>
  <c r="C326" i="24"/>
  <c r="C268" i="24"/>
  <c r="AI169" i="15" s="1"/>
  <c r="Z37" i="24"/>
  <c r="C210" i="24"/>
  <c r="D211" i="24" s="1"/>
  <c r="E212" i="24" s="1"/>
  <c r="F213" i="24" s="1"/>
  <c r="G214" i="24" s="1"/>
  <c r="H215" i="24" s="1"/>
  <c r="I216" i="24" s="1"/>
  <c r="J217" i="24" s="1"/>
  <c r="C181" i="24"/>
  <c r="C152" i="24"/>
  <c r="D153" i="24" s="1"/>
  <c r="E154" i="24" s="1"/>
  <c r="F155" i="24" s="1"/>
  <c r="G156" i="24" s="1"/>
  <c r="H157" i="24" s="1"/>
  <c r="I158" i="24" s="1"/>
  <c r="J159" i="24" s="1"/>
  <c r="K160" i="24" s="1"/>
  <c r="C94" i="24"/>
  <c r="AI82" i="15" s="1"/>
  <c r="C65" i="24"/>
  <c r="AI53" i="15" s="1"/>
  <c r="C383" i="24"/>
  <c r="C354" i="24"/>
  <c r="D355" i="24" s="1"/>
  <c r="E356" i="24" s="1"/>
  <c r="F357" i="24" s="1"/>
  <c r="G358" i="24" s="1"/>
  <c r="H359" i="24" s="1"/>
  <c r="I360" i="24" s="1"/>
  <c r="J361" i="24" s="1"/>
  <c r="K362" i="24" s="1"/>
  <c r="L363" i="24" s="1"/>
  <c r="M364" i="24" s="1"/>
  <c r="C325" i="24"/>
  <c r="D326" i="24" s="1"/>
  <c r="E327" i="24" s="1"/>
  <c r="F328" i="24" s="1"/>
  <c r="G329" i="24" s="1"/>
  <c r="H330" i="24" s="1"/>
  <c r="I331" i="24" s="1"/>
  <c r="J332" i="24" s="1"/>
  <c r="K333" i="24" s="1"/>
  <c r="L334" i="24" s="1"/>
  <c r="C296" i="24"/>
  <c r="AI197" i="15" s="1"/>
  <c r="C267" i="24"/>
  <c r="AI168" i="15" s="1"/>
  <c r="C238" i="24"/>
  <c r="AI139" i="15" s="1"/>
  <c r="C209" i="24"/>
  <c r="D210" i="24" s="1"/>
  <c r="E211" i="24" s="1"/>
  <c r="F212" i="24" s="1"/>
  <c r="G213" i="24" s="1"/>
  <c r="H214" i="24" s="1"/>
  <c r="I215" i="24" s="1"/>
  <c r="J216" i="24" s="1"/>
  <c r="K217" i="24" s="1"/>
  <c r="C151" i="24"/>
  <c r="D152" i="24" s="1"/>
  <c r="E153" i="24" s="1"/>
  <c r="F154" i="24" s="1"/>
  <c r="G155" i="24" s="1"/>
  <c r="H156" i="24" s="1"/>
  <c r="I157" i="24" s="1"/>
  <c r="J158" i="24" s="1"/>
  <c r="K159" i="24" s="1"/>
  <c r="L160" i="24" s="1"/>
  <c r="C122" i="24"/>
  <c r="AI110" i="15" s="1"/>
  <c r="C64" i="24"/>
  <c r="AI52" i="15" s="1"/>
  <c r="C382" i="24"/>
  <c r="D383" i="24" s="1"/>
  <c r="C353" i="24"/>
  <c r="D354" i="24" s="1"/>
  <c r="E355" i="24" s="1"/>
  <c r="F356" i="24" s="1"/>
  <c r="G357" i="24" s="1"/>
  <c r="H358" i="24" s="1"/>
  <c r="I359" i="24" s="1"/>
  <c r="J360" i="24" s="1"/>
  <c r="K361" i="24" s="1"/>
  <c r="L362" i="24" s="1"/>
  <c r="M363" i="24" s="1"/>
  <c r="N364" i="24" s="1"/>
  <c r="C324" i="24"/>
  <c r="D325" i="24" s="1"/>
  <c r="E326" i="24" s="1"/>
  <c r="F327" i="24" s="1"/>
  <c r="G328" i="24" s="1"/>
  <c r="H329" i="24" s="1"/>
  <c r="I330" i="24" s="1"/>
  <c r="J331" i="24" s="1"/>
  <c r="K332" i="24" s="1"/>
  <c r="L333" i="24" s="1"/>
  <c r="M334" i="24" s="1"/>
  <c r="C295" i="24"/>
  <c r="AI196" i="15" s="1"/>
  <c r="C266" i="24"/>
  <c r="AI167" i="15" s="1"/>
  <c r="C237" i="24"/>
  <c r="AI138" i="15" s="1"/>
  <c r="C208" i="24"/>
  <c r="D209" i="24" s="1"/>
  <c r="E210" i="24" s="1"/>
  <c r="F211" i="24" s="1"/>
  <c r="G212" i="24" s="1"/>
  <c r="H213" i="24" s="1"/>
  <c r="I214" i="24" s="1"/>
  <c r="J215" i="24" s="1"/>
  <c r="K216" i="24" s="1"/>
  <c r="L217" i="24" s="1"/>
  <c r="C179" i="24"/>
  <c r="D180" i="24" s="1"/>
  <c r="C150" i="24"/>
  <c r="C121" i="24"/>
  <c r="AI109" i="15" s="1"/>
  <c r="C92" i="24"/>
  <c r="AI80" i="15" s="1"/>
  <c r="C381" i="24"/>
  <c r="C352" i="24"/>
  <c r="D353" i="24" s="1"/>
  <c r="E354" i="24" s="1"/>
  <c r="F355" i="24" s="1"/>
  <c r="G356" i="24" s="1"/>
  <c r="H357" i="24" s="1"/>
  <c r="I358" i="24" s="1"/>
  <c r="J359" i="24" s="1"/>
  <c r="K360" i="24" s="1"/>
  <c r="L361" i="24" s="1"/>
  <c r="M362" i="24" s="1"/>
  <c r="N363" i="24" s="1"/>
  <c r="C323" i="24"/>
  <c r="D324" i="24" s="1"/>
  <c r="E325" i="24" s="1"/>
  <c r="F326" i="24" s="1"/>
  <c r="G327" i="24" s="1"/>
  <c r="H328" i="24" s="1"/>
  <c r="I329" i="24" s="1"/>
  <c r="J330" i="24" s="1"/>
  <c r="K331" i="24" s="1"/>
  <c r="L332" i="24" s="1"/>
  <c r="M333" i="24" s="1"/>
  <c r="N334" i="24" s="1"/>
  <c r="C294" i="24"/>
  <c r="AI195" i="15" s="1"/>
  <c r="C265" i="24"/>
  <c r="AI166" i="15" s="1"/>
  <c r="C236" i="24"/>
  <c r="AI137" i="15" s="1"/>
  <c r="C207" i="24"/>
  <c r="D208" i="24" s="1"/>
  <c r="C178" i="24"/>
  <c r="C120" i="24"/>
  <c r="AI108" i="15" s="1"/>
  <c r="C91" i="24"/>
  <c r="AI79" i="15" s="1"/>
  <c r="C62" i="24"/>
  <c r="AI50" i="15" s="1"/>
  <c r="C380" i="24"/>
  <c r="D381" i="24" s="1"/>
  <c r="E382" i="24" s="1"/>
  <c r="F383" i="24" s="1"/>
  <c r="G384" i="24" s="1"/>
  <c r="H385" i="24" s="1"/>
  <c r="I386" i="24" s="1"/>
  <c r="J387" i="24" s="1"/>
  <c r="K388" i="24" s="1"/>
  <c r="L389" i="24" s="1"/>
  <c r="M390" i="24" s="1"/>
  <c r="C351" i="24"/>
  <c r="D352" i="24" s="1"/>
  <c r="E353" i="24" s="1"/>
  <c r="F354" i="24" s="1"/>
  <c r="G355" i="24" s="1"/>
  <c r="H356" i="24" s="1"/>
  <c r="I357" i="24" s="1"/>
  <c r="J358" i="24" s="1"/>
  <c r="K359" i="24" s="1"/>
  <c r="L360" i="24" s="1"/>
  <c r="M361" i="24" s="1"/>
  <c r="N362" i="24" s="1"/>
  <c r="O363" i="24" s="1"/>
  <c r="C322" i="24"/>
  <c r="C293" i="24"/>
  <c r="AI194" i="15" s="1"/>
  <c r="C264" i="24"/>
  <c r="AI165" i="15" s="1"/>
  <c r="C235" i="24"/>
  <c r="AI136" i="15" s="1"/>
  <c r="C206" i="24"/>
  <c r="D207" i="24" s="1"/>
  <c r="E208" i="24" s="1"/>
  <c r="F209" i="24" s="1"/>
  <c r="G210" i="24" s="1"/>
  <c r="H211" i="24" s="1"/>
  <c r="I212" i="24" s="1"/>
  <c r="J213" i="24" s="1"/>
  <c r="K214" i="24" s="1"/>
  <c r="L215" i="24" s="1"/>
  <c r="M216" i="24" s="1"/>
  <c r="N217" i="24" s="1"/>
  <c r="C177" i="24"/>
  <c r="D178" i="24" s="1"/>
  <c r="C148" i="24"/>
  <c r="D149" i="24" s="1"/>
  <c r="E150" i="24" s="1"/>
  <c r="F151" i="24" s="1"/>
  <c r="G152" i="24" s="1"/>
  <c r="H153" i="24" s="1"/>
  <c r="I154" i="24" s="1"/>
  <c r="J155" i="24" s="1"/>
  <c r="K156" i="24" s="1"/>
  <c r="L157" i="24" s="1"/>
  <c r="M158" i="24" s="1"/>
  <c r="N159" i="24" s="1"/>
  <c r="O160" i="24" s="1"/>
  <c r="C90" i="24"/>
  <c r="AI78" i="15" s="1"/>
  <c r="C379" i="24"/>
  <c r="C350" i="24"/>
  <c r="D351" i="24" s="1"/>
  <c r="E352" i="24" s="1"/>
  <c r="F353" i="24" s="1"/>
  <c r="G354" i="24" s="1"/>
  <c r="H355" i="24" s="1"/>
  <c r="I356" i="24" s="1"/>
  <c r="J357" i="24" s="1"/>
  <c r="K358" i="24" s="1"/>
  <c r="L359" i="24" s="1"/>
  <c r="M360" i="24" s="1"/>
  <c r="N361" i="24" s="1"/>
  <c r="O362" i="24" s="1"/>
  <c r="P363" i="24" s="1"/>
  <c r="C321" i="24"/>
  <c r="D322" i="24" s="1"/>
  <c r="E323" i="24" s="1"/>
  <c r="F324" i="24" s="1"/>
  <c r="G325" i="24" s="1"/>
  <c r="H326" i="24" s="1"/>
  <c r="I327" i="24" s="1"/>
  <c r="J328" i="24" s="1"/>
  <c r="K329" i="24" s="1"/>
  <c r="L330" i="24" s="1"/>
  <c r="M331" i="24" s="1"/>
  <c r="N332" i="24" s="1"/>
  <c r="O333" i="24" s="1"/>
  <c r="P334" i="24" s="1"/>
  <c r="C292" i="24"/>
  <c r="AI193" i="15" s="1"/>
  <c r="C263" i="24"/>
  <c r="AI164" i="15" s="1"/>
  <c r="C234" i="24"/>
  <c r="AI135" i="15" s="1"/>
  <c r="C205" i="24"/>
  <c r="D206" i="24" s="1"/>
  <c r="E207" i="24" s="1"/>
  <c r="F208" i="24" s="1"/>
  <c r="G209" i="24" s="1"/>
  <c r="H210" i="24" s="1"/>
  <c r="I211" i="24" s="1"/>
  <c r="J212" i="24" s="1"/>
  <c r="K213" i="24" s="1"/>
  <c r="L214" i="24" s="1"/>
  <c r="M215" i="24" s="1"/>
  <c r="N216" i="24" s="1"/>
  <c r="O217" i="24" s="1"/>
  <c r="C176" i="24"/>
  <c r="D177" i="24" s="1"/>
  <c r="E178" i="24" s="1"/>
  <c r="F179" i="24" s="1"/>
  <c r="G180" i="24" s="1"/>
  <c r="H181" i="24" s="1"/>
  <c r="I182" i="24" s="1"/>
  <c r="J183" i="24" s="1"/>
  <c r="K184" i="24" s="1"/>
  <c r="L185" i="24" s="1"/>
  <c r="M186" i="24" s="1"/>
  <c r="N187" i="24" s="1"/>
  <c r="O188" i="24" s="1"/>
  <c r="P189" i="24" s="1"/>
  <c r="C147" i="24"/>
  <c r="D148" i="24" s="1"/>
  <c r="C118" i="24"/>
  <c r="AI106" i="15" s="1"/>
  <c r="C89" i="24"/>
  <c r="AI77" i="15" s="1"/>
  <c r="C60" i="24"/>
  <c r="AI48" i="15" s="1"/>
  <c r="C378" i="24"/>
  <c r="D379" i="24" s="1"/>
  <c r="E380" i="24" s="1"/>
  <c r="F381" i="24" s="1"/>
  <c r="G382" i="24" s="1"/>
  <c r="H383" i="24" s="1"/>
  <c r="I384" i="24" s="1"/>
  <c r="J385" i="24" s="1"/>
  <c r="K386" i="24" s="1"/>
  <c r="L387" i="24" s="1"/>
  <c r="M388" i="24" s="1"/>
  <c r="N389" i="24" s="1"/>
  <c r="O390" i="24" s="1"/>
  <c r="P391" i="24" s="1"/>
  <c r="Q392" i="24" s="1"/>
  <c r="R393" i="24" s="1"/>
  <c r="S394" i="24" s="1"/>
  <c r="T395" i="24" s="1"/>
  <c r="U396" i="24" s="1"/>
  <c r="V397" i="24" s="1"/>
  <c r="W398" i="24" s="1"/>
  <c r="X399" i="24" s="1"/>
  <c r="Y400" i="24" s="1"/>
  <c r="C349" i="24"/>
  <c r="D350" i="24" s="1"/>
  <c r="E351" i="24" s="1"/>
  <c r="F352" i="24" s="1"/>
  <c r="G353" i="24" s="1"/>
  <c r="H354" i="24" s="1"/>
  <c r="I355" i="24" s="1"/>
  <c r="J356" i="24" s="1"/>
  <c r="K357" i="24" s="1"/>
  <c r="L358" i="24" s="1"/>
  <c r="M359" i="24" s="1"/>
  <c r="N360" i="24" s="1"/>
  <c r="O361" i="24" s="1"/>
  <c r="P362" i="24" s="1"/>
  <c r="Q363" i="24" s="1"/>
  <c r="R364" i="24" s="1"/>
  <c r="C320" i="24"/>
  <c r="C291" i="24"/>
  <c r="AI192" i="15" s="1"/>
  <c r="C262" i="24"/>
  <c r="AI163" i="15" s="1"/>
  <c r="C233" i="24"/>
  <c r="AI134" i="15" s="1"/>
  <c r="C204" i="24"/>
  <c r="C146" i="24"/>
  <c r="D147" i="24" s="1"/>
  <c r="E148" i="24" s="1"/>
  <c r="F149" i="24" s="1"/>
  <c r="G150" i="24" s="1"/>
  <c r="H151" i="24" s="1"/>
  <c r="I152" i="24" s="1"/>
  <c r="J153" i="24" s="1"/>
  <c r="K154" i="24" s="1"/>
  <c r="L155" i="24" s="1"/>
  <c r="M156" i="24" s="1"/>
  <c r="N157" i="24" s="1"/>
  <c r="O158" i="24" s="1"/>
  <c r="P159" i="24" s="1"/>
  <c r="Q160" i="24" s="1"/>
  <c r="C117" i="24"/>
  <c r="AI105" i="15" s="1"/>
  <c r="C88" i="24"/>
  <c r="AI76" i="15" s="1"/>
  <c r="C377" i="24"/>
  <c r="C348" i="24"/>
  <c r="D349" i="24" s="1"/>
  <c r="C319" i="24"/>
  <c r="D320" i="24" s="1"/>
  <c r="E321" i="24" s="1"/>
  <c r="F322" i="24" s="1"/>
  <c r="G323" i="24" s="1"/>
  <c r="H324" i="24" s="1"/>
  <c r="I325" i="24" s="1"/>
  <c r="J326" i="24" s="1"/>
  <c r="K327" i="24" s="1"/>
  <c r="L328" i="24" s="1"/>
  <c r="M329" i="24" s="1"/>
  <c r="N330" i="24" s="1"/>
  <c r="O331" i="24" s="1"/>
  <c r="P332" i="24" s="1"/>
  <c r="Q333" i="24" s="1"/>
  <c r="R334" i="24" s="1"/>
  <c r="C290" i="24"/>
  <c r="AI191" i="15" s="1"/>
  <c r="C261" i="24"/>
  <c r="AI162" i="15" s="1"/>
  <c r="C232" i="24"/>
  <c r="AI133" i="15" s="1"/>
  <c r="C203" i="24"/>
  <c r="D204" i="24" s="1"/>
  <c r="E205" i="24" s="1"/>
  <c r="F206" i="24" s="1"/>
  <c r="G207" i="24" s="1"/>
  <c r="H208" i="24" s="1"/>
  <c r="I209" i="24" s="1"/>
  <c r="J210" i="24" s="1"/>
  <c r="K211" i="24" s="1"/>
  <c r="L212" i="24" s="1"/>
  <c r="M213" i="24" s="1"/>
  <c r="N214" i="24" s="1"/>
  <c r="O215" i="24" s="1"/>
  <c r="P216" i="24" s="1"/>
  <c r="Q217" i="24" s="1"/>
  <c r="C174" i="24"/>
  <c r="C145" i="24"/>
  <c r="D146" i="24" s="1"/>
  <c r="C116" i="24"/>
  <c r="AI104" i="15" s="1"/>
  <c r="C87" i="24"/>
  <c r="AI75" i="15" s="1"/>
  <c r="C58" i="24"/>
  <c r="AI46" i="15" s="1"/>
  <c r="C376" i="24"/>
  <c r="D377" i="24" s="1"/>
  <c r="C347" i="24"/>
  <c r="D348" i="24" s="1"/>
  <c r="E349" i="24" s="1"/>
  <c r="F350" i="24" s="1"/>
  <c r="G351" i="24" s="1"/>
  <c r="H352" i="24" s="1"/>
  <c r="I353" i="24" s="1"/>
  <c r="J354" i="24" s="1"/>
  <c r="K355" i="24" s="1"/>
  <c r="L356" i="24" s="1"/>
  <c r="M357" i="24" s="1"/>
  <c r="N358" i="24" s="1"/>
  <c r="O359" i="24" s="1"/>
  <c r="P360" i="24" s="1"/>
  <c r="Q361" i="24" s="1"/>
  <c r="R362" i="24" s="1"/>
  <c r="S363" i="24" s="1"/>
  <c r="C318" i="24"/>
  <c r="C289" i="24"/>
  <c r="AI190" i="15" s="1"/>
  <c r="C231" i="24"/>
  <c r="AI132" i="15" s="1"/>
  <c r="C202" i="24"/>
  <c r="D203" i="24" s="1"/>
  <c r="E204" i="24" s="1"/>
  <c r="F205" i="24" s="1"/>
  <c r="G206" i="24" s="1"/>
  <c r="H207" i="24" s="1"/>
  <c r="I208" i="24" s="1"/>
  <c r="J209" i="24" s="1"/>
  <c r="K210" i="24" s="1"/>
  <c r="L211" i="24" s="1"/>
  <c r="M212" i="24" s="1"/>
  <c r="N213" i="24" s="1"/>
  <c r="O214" i="24" s="1"/>
  <c r="P215" i="24" s="1"/>
  <c r="Q216" i="24" s="1"/>
  <c r="R217" i="24" s="1"/>
  <c r="C173" i="24"/>
  <c r="D174" i="24" s="1"/>
  <c r="C144" i="24"/>
  <c r="D145" i="24" s="1"/>
  <c r="E146" i="24" s="1"/>
  <c r="F147" i="24" s="1"/>
  <c r="G148" i="24" s="1"/>
  <c r="H149" i="24" s="1"/>
  <c r="I150" i="24" s="1"/>
  <c r="J151" i="24" s="1"/>
  <c r="K152" i="24" s="1"/>
  <c r="L153" i="24" s="1"/>
  <c r="M154" i="24" s="1"/>
  <c r="N155" i="24" s="1"/>
  <c r="O156" i="24" s="1"/>
  <c r="P157" i="24" s="1"/>
  <c r="Q158" i="24" s="1"/>
  <c r="R159" i="24" s="1"/>
  <c r="S160" i="24" s="1"/>
  <c r="C86" i="24"/>
  <c r="AI74" i="15" s="1"/>
  <c r="C375" i="24"/>
  <c r="C346" i="24"/>
  <c r="C259" i="24"/>
  <c r="AI160" i="15" s="1"/>
  <c r="C230" i="24"/>
  <c r="AI131" i="15" s="1"/>
  <c r="C201" i="24"/>
  <c r="C172" i="24"/>
  <c r="C143" i="24"/>
  <c r="C114" i="24"/>
  <c r="AI102" i="15" s="1"/>
  <c r="D267" i="24" l="1"/>
  <c r="AJ168" i="15" s="1"/>
  <c r="D98" i="24"/>
  <c r="AJ86" i="15" s="1"/>
  <c r="D291" i="24"/>
  <c r="AJ192" i="15" s="1"/>
  <c r="D89" i="24"/>
  <c r="AJ77" i="15" s="1"/>
  <c r="D234" i="24"/>
  <c r="AJ135" i="15" s="1"/>
  <c r="D119" i="24"/>
  <c r="AJ107" i="15" s="1"/>
  <c r="D235" i="24"/>
  <c r="AJ136" i="15" s="1"/>
  <c r="D122" i="24"/>
  <c r="AJ110" i="15" s="1"/>
  <c r="D238" i="24"/>
  <c r="AJ139" i="15" s="1"/>
  <c r="D297" i="24"/>
  <c r="AJ198" i="15" s="1"/>
  <c r="D66" i="24"/>
  <c r="AJ54" i="15" s="1"/>
  <c r="D299" i="24"/>
  <c r="AJ200" i="15" s="1"/>
  <c r="D68" i="24"/>
  <c r="AJ56" i="15" s="1"/>
  <c r="D69" i="24"/>
  <c r="AJ57" i="15" s="1"/>
  <c r="D128" i="24"/>
  <c r="AJ116" i="15" s="1"/>
  <c r="D246" i="24"/>
  <c r="AJ147" i="15" s="1"/>
  <c r="D132" i="24"/>
  <c r="AJ120" i="15" s="1"/>
  <c r="D70" i="24"/>
  <c r="AJ58" i="15" s="1"/>
  <c r="M87" i="24"/>
  <c r="AS75" i="15" s="1"/>
  <c r="D263" i="24"/>
  <c r="AJ164" i="15" s="1"/>
  <c r="D95" i="24"/>
  <c r="AJ83" i="15" s="1"/>
  <c r="D97" i="24"/>
  <c r="AJ85" i="15" s="1"/>
  <c r="D243" i="24"/>
  <c r="AJ144" i="15" s="1"/>
  <c r="D304" i="24"/>
  <c r="AJ205" i="15" s="1"/>
  <c r="D117" i="24"/>
  <c r="AJ105" i="15" s="1"/>
  <c r="D233" i="24"/>
  <c r="AJ134" i="15" s="1"/>
  <c r="D293" i="24"/>
  <c r="AJ194" i="15" s="1"/>
  <c r="D91" i="24"/>
  <c r="AJ79" i="15" s="1"/>
  <c r="D236" i="24"/>
  <c r="AJ137" i="15" s="1"/>
  <c r="D121" i="24"/>
  <c r="AJ109" i="15" s="1"/>
  <c r="D266" i="24"/>
  <c r="AJ167" i="15" s="1"/>
  <c r="D239" i="24"/>
  <c r="AJ140" i="15" s="1"/>
  <c r="D269" i="24"/>
  <c r="AJ170" i="15" s="1"/>
  <c r="D125" i="24"/>
  <c r="AJ113" i="15" s="1"/>
  <c r="D241" i="24"/>
  <c r="AJ142" i="15" s="1"/>
  <c r="D126" i="24"/>
  <c r="AJ114" i="15" s="1"/>
  <c r="D242" i="24"/>
  <c r="AJ143" i="15" s="1"/>
  <c r="D127" i="24"/>
  <c r="AJ115" i="15" s="1"/>
  <c r="D129" i="24"/>
  <c r="AJ117" i="15" s="1"/>
  <c r="D245" i="24"/>
  <c r="AJ146" i="15" s="1"/>
  <c r="E57" i="24"/>
  <c r="AK45" i="15" s="1"/>
  <c r="U57" i="24"/>
  <c r="BA45" i="15" s="1"/>
  <c r="D100" i="24"/>
  <c r="AJ88" i="15" s="1"/>
  <c r="D124" i="24"/>
  <c r="AJ112" i="15" s="1"/>
  <c r="Z231" i="24"/>
  <c r="BF132" i="15" s="1"/>
  <c r="W231" i="24"/>
  <c r="BC132" i="15" s="1"/>
  <c r="D88" i="24"/>
  <c r="AJ76" i="15" s="1"/>
  <c r="D118" i="24"/>
  <c r="AJ106" i="15" s="1"/>
  <c r="D237" i="24"/>
  <c r="AJ138" i="15" s="1"/>
  <c r="D130" i="24"/>
  <c r="AJ118" i="15" s="1"/>
  <c r="D120" i="24"/>
  <c r="AJ108" i="15" s="1"/>
  <c r="D87" i="24"/>
  <c r="AJ75" i="15" s="1"/>
  <c r="D232" i="24"/>
  <c r="AJ133" i="15" s="1"/>
  <c r="D90" i="24"/>
  <c r="AJ78" i="15" s="1"/>
  <c r="D265" i="24"/>
  <c r="AJ166" i="15" s="1"/>
  <c r="D295" i="24"/>
  <c r="AJ196" i="15" s="1"/>
  <c r="D93" i="24"/>
  <c r="AJ81" i="15" s="1"/>
  <c r="D123" i="24"/>
  <c r="AJ111" i="15" s="1"/>
  <c r="D268" i="24"/>
  <c r="AJ169" i="15" s="1"/>
  <c r="D301" i="24"/>
  <c r="AJ202" i="15" s="1"/>
  <c r="D99" i="24"/>
  <c r="AJ87" i="15" s="1"/>
  <c r="Y261" i="24"/>
  <c r="BE162" i="15" s="1"/>
  <c r="D116" i="24"/>
  <c r="AJ104" i="15" s="1"/>
  <c r="D261" i="24"/>
  <c r="AJ162" i="15" s="1"/>
  <c r="C136" i="24"/>
  <c r="AI124" i="15" s="1"/>
  <c r="C135" i="24"/>
  <c r="AI123" i="15" s="1"/>
  <c r="C137" i="24"/>
  <c r="AI125" i="15" s="1"/>
  <c r="C138" i="24"/>
  <c r="AI126" i="15" s="1"/>
  <c r="C139" i="24"/>
  <c r="AI127" i="15" s="1"/>
  <c r="AE231" i="24"/>
  <c r="BK132" i="15" s="1"/>
  <c r="AD231" i="24"/>
  <c r="BJ132" i="15" s="1"/>
  <c r="S231" i="24"/>
  <c r="AY132" i="15" s="1"/>
  <c r="K231" i="24"/>
  <c r="AQ132" i="15" s="1"/>
  <c r="X57" i="24"/>
  <c r="BD45" i="15" s="1"/>
  <c r="P57" i="24"/>
  <c r="AV45" i="15" s="1"/>
  <c r="H57" i="24"/>
  <c r="AN45" i="15" s="1"/>
  <c r="V231" i="24"/>
  <c r="BB132" i="15" s="1"/>
  <c r="L231" i="24"/>
  <c r="AR132" i="15" s="1"/>
  <c r="F231" i="24"/>
  <c r="AL132" i="15" s="1"/>
  <c r="Y57" i="24"/>
  <c r="BE45" i="15" s="1"/>
  <c r="Q57" i="24"/>
  <c r="AW45" i="15" s="1"/>
  <c r="I57" i="24"/>
  <c r="AO45" i="15" s="1"/>
  <c r="P231" i="24"/>
  <c r="AV132" i="15" s="1"/>
  <c r="AB57" i="24"/>
  <c r="BH45" i="15" s="1"/>
  <c r="K57" i="24"/>
  <c r="AQ45" i="15" s="1"/>
  <c r="R231" i="24"/>
  <c r="AX132" i="15" s="1"/>
  <c r="AE57" i="24"/>
  <c r="BK45" i="15" s="1"/>
  <c r="O57" i="24"/>
  <c r="AU45" i="15" s="1"/>
  <c r="S347" i="24"/>
  <c r="T348" i="24" s="1"/>
  <c r="U349" i="24" s="1"/>
  <c r="V350" i="24" s="1"/>
  <c r="W351" i="24" s="1"/>
  <c r="X352" i="24" s="1"/>
  <c r="Y353" i="24" s="1"/>
  <c r="Z354" i="24" s="1"/>
  <c r="AA355" i="24" s="1"/>
  <c r="AB356" i="24" s="1"/>
  <c r="AC357" i="24" s="1"/>
  <c r="AD358" i="24" s="1"/>
  <c r="AE359" i="24" s="1"/>
  <c r="F347" i="24"/>
  <c r="G348" i="24" s="1"/>
  <c r="H349" i="24" s="1"/>
  <c r="I350" i="24" s="1"/>
  <c r="J351" i="24" s="1"/>
  <c r="K352" i="24" s="1"/>
  <c r="L353" i="24" s="1"/>
  <c r="M354" i="24" s="1"/>
  <c r="N355" i="24" s="1"/>
  <c r="O356" i="24" s="1"/>
  <c r="P357" i="24" s="1"/>
  <c r="Q358" i="24" s="1"/>
  <c r="R359" i="24" s="1"/>
  <c r="S360" i="24" s="1"/>
  <c r="T361" i="24" s="1"/>
  <c r="U362" i="24" s="1"/>
  <c r="V363" i="24" s="1"/>
  <c r="W364" i="24" s="1"/>
  <c r="X365" i="24" s="1"/>
  <c r="Y173" i="24"/>
  <c r="Z174" i="24" s="1"/>
  <c r="AA175" i="24" s="1"/>
  <c r="AB176" i="24" s="1"/>
  <c r="AC177" i="24" s="1"/>
  <c r="AD178" i="24" s="1"/>
  <c r="AE179" i="24" s="1"/>
  <c r="R173" i="24"/>
  <c r="S174" i="24" s="1"/>
  <c r="T175" i="24" s="1"/>
  <c r="U176" i="24" s="1"/>
  <c r="V177" i="24" s="1"/>
  <c r="W178" i="24" s="1"/>
  <c r="X179" i="24" s="1"/>
  <c r="Y180" i="24" s="1"/>
  <c r="Z181" i="24" s="1"/>
  <c r="AA182" i="24" s="1"/>
  <c r="AB183" i="24" s="1"/>
  <c r="AC184" i="24" s="1"/>
  <c r="AD185" i="24" s="1"/>
  <c r="AE186" i="24" s="1"/>
  <c r="L173" i="24"/>
  <c r="M174" i="24" s="1"/>
  <c r="N175" i="24" s="1"/>
  <c r="O176" i="24" s="1"/>
  <c r="P177" i="24" s="1"/>
  <c r="Q178" i="24" s="1"/>
  <c r="R179" i="24" s="1"/>
  <c r="S180" i="24" s="1"/>
  <c r="T181" i="24" s="1"/>
  <c r="U182" i="24" s="1"/>
  <c r="V183" i="24" s="1"/>
  <c r="W184" i="24" s="1"/>
  <c r="X185" i="24" s="1"/>
  <c r="Y186" i="24" s="1"/>
  <c r="Z187" i="24" s="1"/>
  <c r="AA188" i="24" s="1"/>
  <c r="AB189" i="24" s="1"/>
  <c r="AC190" i="24" s="1"/>
  <c r="AD191" i="24" s="1"/>
  <c r="V347" i="24"/>
  <c r="W348" i="24" s="1"/>
  <c r="X349" i="24" s="1"/>
  <c r="Y350" i="24" s="1"/>
  <c r="Z351" i="24" s="1"/>
  <c r="AA352" i="24" s="1"/>
  <c r="AB353" i="24" s="1"/>
  <c r="AC354" i="24" s="1"/>
  <c r="AD355" i="24" s="1"/>
  <c r="AE356" i="24" s="1"/>
  <c r="I347" i="24"/>
  <c r="J348" i="24" s="1"/>
  <c r="K349" i="24" s="1"/>
  <c r="L350" i="24" s="1"/>
  <c r="M351" i="24" s="1"/>
  <c r="N352" i="24" s="1"/>
  <c r="O353" i="24" s="1"/>
  <c r="P354" i="24" s="1"/>
  <c r="Q355" i="24" s="1"/>
  <c r="R356" i="24" s="1"/>
  <c r="S357" i="24" s="1"/>
  <c r="T358" i="24" s="1"/>
  <c r="U359" i="24" s="1"/>
  <c r="V360" i="24" s="1"/>
  <c r="W361" i="24" s="1"/>
  <c r="X362" i="24" s="1"/>
  <c r="Y363" i="24" s="1"/>
  <c r="Z364" i="24" s="1"/>
  <c r="AA365" i="24" s="1"/>
  <c r="AB173" i="24"/>
  <c r="AC174" i="24" s="1"/>
  <c r="T173" i="24"/>
  <c r="U174" i="24" s="1"/>
  <c r="V175" i="24" s="1"/>
  <c r="W176" i="24" s="1"/>
  <c r="X177" i="24" s="1"/>
  <c r="Y178" i="24" s="1"/>
  <c r="Z179" i="24" s="1"/>
  <c r="AA180" i="24" s="1"/>
  <c r="AB181" i="24" s="1"/>
  <c r="AC182" i="24" s="1"/>
  <c r="AD183" i="24" s="1"/>
  <c r="AE184" i="24" s="1"/>
  <c r="M173" i="24"/>
  <c r="N174" i="24" s="1"/>
  <c r="O175" i="24" s="1"/>
  <c r="P176" i="24" s="1"/>
  <c r="Q177" i="24" s="1"/>
  <c r="R178" i="24" s="1"/>
  <c r="S179" i="24" s="1"/>
  <c r="T180" i="24" s="1"/>
  <c r="U181" i="24" s="1"/>
  <c r="V182" i="24" s="1"/>
  <c r="W183" i="24" s="1"/>
  <c r="X184" i="24" s="1"/>
  <c r="Y185" i="24" s="1"/>
  <c r="Z186" i="24" s="1"/>
  <c r="AA187" i="24" s="1"/>
  <c r="AB188" i="24" s="1"/>
  <c r="AC189" i="24" s="1"/>
  <c r="AD190" i="24" s="1"/>
  <c r="F173" i="24"/>
  <c r="G174" i="24" s="1"/>
  <c r="H175" i="24" s="1"/>
  <c r="I176" i="24" s="1"/>
  <c r="J177" i="24" s="1"/>
  <c r="K178" i="24" s="1"/>
  <c r="L179" i="24" s="1"/>
  <c r="M180" i="24" s="1"/>
  <c r="N181" i="24" s="1"/>
  <c r="O182" i="24" s="1"/>
  <c r="P183" i="24" s="1"/>
  <c r="Q184" i="24" s="1"/>
  <c r="R185" i="24" s="1"/>
  <c r="S186" i="24" s="1"/>
  <c r="T187" i="24" s="1"/>
  <c r="U188" i="24" s="1"/>
  <c r="V189" i="24" s="1"/>
  <c r="W190" i="24" s="1"/>
  <c r="X191" i="24" s="1"/>
  <c r="N347" i="24"/>
  <c r="O348" i="24" s="1"/>
  <c r="P349" i="24" s="1"/>
  <c r="Q350" i="24" s="1"/>
  <c r="R351" i="24" s="1"/>
  <c r="S352" i="24" s="1"/>
  <c r="T353" i="24" s="1"/>
  <c r="U354" i="24" s="1"/>
  <c r="V355" i="24" s="1"/>
  <c r="W356" i="24" s="1"/>
  <c r="X357" i="24" s="1"/>
  <c r="Y358" i="24" s="1"/>
  <c r="Z359" i="24" s="1"/>
  <c r="AA360" i="24" s="1"/>
  <c r="AB361" i="24" s="1"/>
  <c r="AC362" i="24" s="1"/>
  <c r="AD363" i="24" s="1"/>
  <c r="AE364" i="24" s="1"/>
  <c r="AC173" i="24"/>
  <c r="AD174" i="24" s="1"/>
  <c r="AE175" i="24" s="1"/>
  <c r="N173" i="24"/>
  <c r="O174" i="24" s="1"/>
  <c r="P175" i="24" s="1"/>
  <c r="Q176" i="24" s="1"/>
  <c r="R177" i="24" s="1"/>
  <c r="S178" i="24" s="1"/>
  <c r="T179" i="24" s="1"/>
  <c r="U180" i="24" s="1"/>
  <c r="V181" i="24" s="1"/>
  <c r="W182" i="24" s="1"/>
  <c r="X183" i="24" s="1"/>
  <c r="Y184" i="24" s="1"/>
  <c r="Z185" i="24" s="1"/>
  <c r="AA186" i="24" s="1"/>
  <c r="AB187" i="24" s="1"/>
  <c r="AC188" i="24" s="1"/>
  <c r="AD189" i="24" s="1"/>
  <c r="AE190" i="24" s="1"/>
  <c r="O347" i="24"/>
  <c r="P348" i="24" s="1"/>
  <c r="Q349" i="24" s="1"/>
  <c r="R350" i="24" s="1"/>
  <c r="S351" i="24" s="1"/>
  <c r="T352" i="24" s="1"/>
  <c r="U353" i="24" s="1"/>
  <c r="V354" i="24" s="1"/>
  <c r="W355" i="24" s="1"/>
  <c r="X356" i="24" s="1"/>
  <c r="Y357" i="24" s="1"/>
  <c r="Z358" i="24" s="1"/>
  <c r="AA359" i="24" s="1"/>
  <c r="AB360" i="24" s="1"/>
  <c r="AC361" i="24" s="1"/>
  <c r="AD362" i="24" s="1"/>
  <c r="AE363" i="24" s="1"/>
  <c r="AD173" i="24"/>
  <c r="AE174" i="24" s="1"/>
  <c r="Q173" i="24"/>
  <c r="R174" i="24" s="1"/>
  <c r="S175" i="24" s="1"/>
  <c r="T176" i="24" s="1"/>
  <c r="U177" i="24" s="1"/>
  <c r="V178" i="24" s="1"/>
  <c r="W179" i="24" s="1"/>
  <c r="X180" i="24" s="1"/>
  <c r="Y181" i="24" s="1"/>
  <c r="Z182" i="24" s="1"/>
  <c r="AA183" i="24" s="1"/>
  <c r="AB184" i="24" s="1"/>
  <c r="AC185" i="24" s="1"/>
  <c r="AD186" i="24" s="1"/>
  <c r="AE187" i="24" s="1"/>
  <c r="L57" i="24"/>
  <c r="AR45" i="15" s="1"/>
  <c r="G57" i="24"/>
  <c r="AM45" i="15" s="1"/>
  <c r="F116" i="24"/>
  <c r="AL104" i="15" s="1"/>
  <c r="H173" i="24"/>
  <c r="I174" i="24" s="1"/>
  <c r="J175" i="24" s="1"/>
  <c r="K176" i="24" s="1"/>
  <c r="L177" i="24" s="1"/>
  <c r="M178" i="24" s="1"/>
  <c r="N179" i="24" s="1"/>
  <c r="O180" i="24" s="1"/>
  <c r="P181" i="24" s="1"/>
  <c r="Q182" i="24" s="1"/>
  <c r="R183" i="24" s="1"/>
  <c r="S184" i="24" s="1"/>
  <c r="T185" i="24" s="1"/>
  <c r="U186" i="24" s="1"/>
  <c r="V187" i="24" s="1"/>
  <c r="W188" i="24" s="1"/>
  <c r="X189" i="24" s="1"/>
  <c r="Y190" i="24" s="1"/>
  <c r="Z191" i="24" s="1"/>
  <c r="AA231" i="24"/>
  <c r="BG132" i="15" s="1"/>
  <c r="AA347" i="24"/>
  <c r="AB348" i="24" s="1"/>
  <c r="AC349" i="24" s="1"/>
  <c r="AD350" i="24" s="1"/>
  <c r="AE351" i="24" s="1"/>
  <c r="C85" i="24"/>
  <c r="AI73" i="15" s="1"/>
  <c r="T57" i="24"/>
  <c r="AZ45" i="15" s="1"/>
  <c r="C133" i="24"/>
  <c r="AI121" i="15" s="1"/>
  <c r="I173" i="24"/>
  <c r="J174" i="24" s="1"/>
  <c r="K175" i="24" s="1"/>
  <c r="L176" i="24" s="1"/>
  <c r="M177" i="24" s="1"/>
  <c r="N178" i="24" s="1"/>
  <c r="O179" i="24" s="1"/>
  <c r="P180" i="24" s="1"/>
  <c r="Q181" i="24" s="1"/>
  <c r="R182" i="24" s="1"/>
  <c r="S183" i="24" s="1"/>
  <c r="T184" i="24" s="1"/>
  <c r="U185" i="24" s="1"/>
  <c r="V186" i="24" s="1"/>
  <c r="W187" i="24" s="1"/>
  <c r="X188" i="24" s="1"/>
  <c r="Y189" i="24" s="1"/>
  <c r="Z190" i="24" s="1"/>
  <c r="AA191" i="24" s="1"/>
  <c r="E177" i="24"/>
  <c r="F178" i="24" s="1"/>
  <c r="G179" i="24" s="1"/>
  <c r="H180" i="24" s="1"/>
  <c r="I181" i="24" s="1"/>
  <c r="J182" i="24" s="1"/>
  <c r="K183" i="24" s="1"/>
  <c r="L184" i="24" s="1"/>
  <c r="M185" i="24" s="1"/>
  <c r="N186" i="24" s="1"/>
  <c r="O187" i="24" s="1"/>
  <c r="P188" i="24" s="1"/>
  <c r="Q189" i="24" s="1"/>
  <c r="R190" i="24" s="1"/>
  <c r="S191" i="24" s="1"/>
  <c r="G231" i="24"/>
  <c r="AM132" i="15" s="1"/>
  <c r="C239" i="24"/>
  <c r="AI140" i="15" s="1"/>
  <c r="D298" i="24"/>
  <c r="AJ199" i="15" s="1"/>
  <c r="Q36" i="24"/>
  <c r="Q38" i="24"/>
  <c r="Q44" i="24"/>
  <c r="C101" i="24"/>
  <c r="AI89" i="15" s="1"/>
  <c r="C109" i="24"/>
  <c r="AI97" i="15" s="1"/>
  <c r="C104" i="24"/>
  <c r="AI92" i="15" s="1"/>
  <c r="C338" i="24"/>
  <c r="D339" i="24" s="1"/>
  <c r="E340" i="24" s="1"/>
  <c r="F341" i="24" s="1"/>
  <c r="G342" i="24" s="1"/>
  <c r="C339" i="24"/>
  <c r="AE202" i="24"/>
  <c r="S202" i="24"/>
  <c r="T203" i="24" s="1"/>
  <c r="U204" i="24" s="1"/>
  <c r="V205" i="24" s="1"/>
  <c r="W206" i="24" s="1"/>
  <c r="X207" i="24" s="1"/>
  <c r="Y208" i="24" s="1"/>
  <c r="Z209" i="24" s="1"/>
  <c r="AA210" i="24" s="1"/>
  <c r="AB211" i="24" s="1"/>
  <c r="AC212" i="24" s="1"/>
  <c r="AD213" i="24" s="1"/>
  <c r="AE214" i="24" s="1"/>
  <c r="E202" i="24"/>
  <c r="F203" i="24" s="1"/>
  <c r="G204" i="24" s="1"/>
  <c r="H205" i="24" s="1"/>
  <c r="I206" i="24" s="1"/>
  <c r="J207" i="24" s="1"/>
  <c r="K208" i="24" s="1"/>
  <c r="L209" i="24" s="1"/>
  <c r="M210" i="24" s="1"/>
  <c r="N211" i="24" s="1"/>
  <c r="O212" i="24" s="1"/>
  <c r="P213" i="24" s="1"/>
  <c r="Q214" i="24" s="1"/>
  <c r="R215" i="24" s="1"/>
  <c r="S216" i="24" s="1"/>
  <c r="T217" i="24" s="1"/>
  <c r="U218" i="24" s="1"/>
  <c r="V219" i="24" s="1"/>
  <c r="W220" i="24" s="1"/>
  <c r="X221" i="24" s="1"/>
  <c r="Y222" i="24" s="1"/>
  <c r="Z223" i="24" s="1"/>
  <c r="AA224" i="24" s="1"/>
  <c r="AB225" i="24" s="1"/>
  <c r="AC226" i="24" s="1"/>
  <c r="U202" i="24"/>
  <c r="V203" i="24" s="1"/>
  <c r="W204" i="24" s="1"/>
  <c r="X205" i="24" s="1"/>
  <c r="Y206" i="24" s="1"/>
  <c r="Z207" i="24" s="1"/>
  <c r="AA208" i="24" s="1"/>
  <c r="AB209" i="24" s="1"/>
  <c r="AC210" i="24" s="1"/>
  <c r="AD211" i="24" s="1"/>
  <c r="AE212" i="24" s="1"/>
  <c r="I202" i="24"/>
  <c r="J203" i="24" s="1"/>
  <c r="K204" i="24" s="1"/>
  <c r="L205" i="24" s="1"/>
  <c r="M206" i="24" s="1"/>
  <c r="N207" i="24" s="1"/>
  <c r="O208" i="24" s="1"/>
  <c r="P209" i="24" s="1"/>
  <c r="Q210" i="24" s="1"/>
  <c r="R211" i="24" s="1"/>
  <c r="S212" i="24" s="1"/>
  <c r="T213" i="24" s="1"/>
  <c r="U214" i="24" s="1"/>
  <c r="V215" i="24" s="1"/>
  <c r="W216" i="24" s="1"/>
  <c r="X217" i="24" s="1"/>
  <c r="Y218" i="24" s="1"/>
  <c r="Z219" i="24" s="1"/>
  <c r="AA220" i="24" s="1"/>
  <c r="AB221" i="24" s="1"/>
  <c r="AC222" i="24" s="1"/>
  <c r="AD223" i="24" s="1"/>
  <c r="AE224" i="24" s="1"/>
  <c r="AC318" i="24"/>
  <c r="AD319" i="24" s="1"/>
  <c r="AE320" i="24" s="1"/>
  <c r="M318" i="24"/>
  <c r="N319" i="24" s="1"/>
  <c r="O320" i="24" s="1"/>
  <c r="P321" i="24" s="1"/>
  <c r="Q322" i="24" s="1"/>
  <c r="R323" i="24" s="1"/>
  <c r="S324" i="24" s="1"/>
  <c r="T325" i="24" s="1"/>
  <c r="U326" i="24" s="1"/>
  <c r="V327" i="24" s="1"/>
  <c r="W328" i="24" s="1"/>
  <c r="X329" i="24" s="1"/>
  <c r="Y330" i="24" s="1"/>
  <c r="Z331" i="24" s="1"/>
  <c r="AA332" i="24" s="1"/>
  <c r="AB333" i="24" s="1"/>
  <c r="AC334" i="24" s="1"/>
  <c r="AD335" i="24" s="1"/>
  <c r="AE336" i="24" s="1"/>
  <c r="Z144" i="24"/>
  <c r="AA145" i="24" s="1"/>
  <c r="AB146" i="24" s="1"/>
  <c r="AC147" i="24" s="1"/>
  <c r="AD148" i="24" s="1"/>
  <c r="AE149" i="24" s="1"/>
  <c r="O144" i="24"/>
  <c r="P145" i="24" s="1"/>
  <c r="Q146" i="24" s="1"/>
  <c r="R147" i="24" s="1"/>
  <c r="S148" i="24" s="1"/>
  <c r="T149" i="24" s="1"/>
  <c r="U150" i="24" s="1"/>
  <c r="V151" i="24" s="1"/>
  <c r="W152" i="24" s="1"/>
  <c r="X153" i="24" s="1"/>
  <c r="Y154" i="24" s="1"/>
  <c r="Z155" i="24" s="1"/>
  <c r="AA156" i="24" s="1"/>
  <c r="AB157" i="24" s="1"/>
  <c r="AC158" i="24" s="1"/>
  <c r="AD159" i="24" s="1"/>
  <c r="AE160" i="24" s="1"/>
  <c r="F144" i="24"/>
  <c r="G145" i="24" s="1"/>
  <c r="H146" i="24" s="1"/>
  <c r="I147" i="24" s="1"/>
  <c r="J148" i="24" s="1"/>
  <c r="K149" i="24" s="1"/>
  <c r="L150" i="24" s="1"/>
  <c r="M151" i="24" s="1"/>
  <c r="N152" i="24" s="1"/>
  <c r="O153" i="24" s="1"/>
  <c r="P154" i="24" s="1"/>
  <c r="Q155" i="24" s="1"/>
  <c r="R156" i="24" s="1"/>
  <c r="S157" i="24" s="1"/>
  <c r="T158" i="24" s="1"/>
  <c r="U159" i="24" s="1"/>
  <c r="V160" i="24" s="1"/>
  <c r="W161" i="24" s="1"/>
  <c r="X162" i="24" s="1"/>
  <c r="Y163" i="24" s="1"/>
  <c r="Z164" i="24" s="1"/>
  <c r="AA165" i="24" s="1"/>
  <c r="AB166" i="24" s="1"/>
  <c r="AC167" i="24" s="1"/>
  <c r="AD168" i="24" s="1"/>
  <c r="O318" i="24"/>
  <c r="P319" i="24" s="1"/>
  <c r="Q320" i="24" s="1"/>
  <c r="R321" i="24" s="1"/>
  <c r="S322" i="24" s="1"/>
  <c r="T323" i="24" s="1"/>
  <c r="U324" i="24" s="1"/>
  <c r="V325" i="24" s="1"/>
  <c r="W326" i="24" s="1"/>
  <c r="X327" i="24" s="1"/>
  <c r="Y328" i="24" s="1"/>
  <c r="Z329" i="24" s="1"/>
  <c r="AA330" i="24" s="1"/>
  <c r="AB331" i="24" s="1"/>
  <c r="AC332" i="24" s="1"/>
  <c r="AD333" i="24" s="1"/>
  <c r="AE334" i="24" s="1"/>
  <c r="AD144" i="24"/>
  <c r="AE145" i="24" s="1"/>
  <c r="R144" i="24"/>
  <c r="S145" i="24" s="1"/>
  <c r="T146" i="24" s="1"/>
  <c r="U147" i="24" s="1"/>
  <c r="V148" i="24" s="1"/>
  <c r="W149" i="24" s="1"/>
  <c r="X150" i="24" s="1"/>
  <c r="Y151" i="24" s="1"/>
  <c r="Z152" i="24" s="1"/>
  <c r="AA153" i="24" s="1"/>
  <c r="AB154" i="24" s="1"/>
  <c r="AC155" i="24" s="1"/>
  <c r="AD156" i="24" s="1"/>
  <c r="AE157" i="24" s="1"/>
  <c r="G144" i="24"/>
  <c r="H145" i="24" s="1"/>
  <c r="I146" i="24" s="1"/>
  <c r="J147" i="24" s="1"/>
  <c r="K148" i="24" s="1"/>
  <c r="L149" i="24" s="1"/>
  <c r="M150" i="24" s="1"/>
  <c r="N151" i="24" s="1"/>
  <c r="O152" i="24" s="1"/>
  <c r="P153" i="24" s="1"/>
  <c r="Q154" i="24" s="1"/>
  <c r="R155" i="24" s="1"/>
  <c r="S156" i="24" s="1"/>
  <c r="T157" i="24" s="1"/>
  <c r="U158" i="24" s="1"/>
  <c r="V159" i="24" s="1"/>
  <c r="W160" i="24" s="1"/>
  <c r="C108" i="24"/>
  <c r="AI96" i="15" s="1"/>
  <c r="W144" i="24"/>
  <c r="X145" i="24" s="1"/>
  <c r="Y146" i="24" s="1"/>
  <c r="Z147" i="24" s="1"/>
  <c r="AA148" i="24" s="1"/>
  <c r="AB149" i="24" s="1"/>
  <c r="AC150" i="24" s="1"/>
  <c r="AD151" i="24" s="1"/>
  <c r="AE152" i="24" s="1"/>
  <c r="O202" i="24"/>
  <c r="P203" i="24" s="1"/>
  <c r="Q204" i="24" s="1"/>
  <c r="R205" i="24" s="1"/>
  <c r="S206" i="24" s="1"/>
  <c r="T207" i="24" s="1"/>
  <c r="U208" i="24" s="1"/>
  <c r="V209" i="24" s="1"/>
  <c r="W210" i="24" s="1"/>
  <c r="X211" i="24" s="1"/>
  <c r="Y212" i="24" s="1"/>
  <c r="Z213" i="24" s="1"/>
  <c r="AA214" i="24" s="1"/>
  <c r="AB215" i="24" s="1"/>
  <c r="AC216" i="24" s="1"/>
  <c r="AD217" i="24" s="1"/>
  <c r="AE218" i="24" s="1"/>
  <c r="G318" i="24"/>
  <c r="H319" i="24" s="1"/>
  <c r="I320" i="24" s="1"/>
  <c r="J321" i="24" s="1"/>
  <c r="K322" i="24" s="1"/>
  <c r="L323" i="24" s="1"/>
  <c r="M324" i="24" s="1"/>
  <c r="N325" i="24" s="1"/>
  <c r="O326" i="24" s="1"/>
  <c r="P327" i="24" s="1"/>
  <c r="Q328" i="24" s="1"/>
  <c r="R329" i="24" s="1"/>
  <c r="S330" i="24" s="1"/>
  <c r="T331" i="24" s="1"/>
  <c r="U332" i="24" s="1"/>
  <c r="V333" i="24" s="1"/>
  <c r="W334" i="24" s="1"/>
  <c r="X335" i="24" s="1"/>
  <c r="Y336" i="24" s="1"/>
  <c r="Z337" i="24" s="1"/>
  <c r="AA338" i="24" s="1"/>
  <c r="AB339" i="24" s="1"/>
  <c r="AC340" i="24" s="1"/>
  <c r="AD341" i="24" s="1"/>
  <c r="AE342" i="24" s="1"/>
  <c r="C336" i="24"/>
  <c r="D337" i="24" s="1"/>
  <c r="E338" i="24" s="1"/>
  <c r="F339" i="24" s="1"/>
  <c r="G340" i="24" s="1"/>
  <c r="H341" i="24" s="1"/>
  <c r="I342" i="24" s="1"/>
  <c r="E387" i="24"/>
  <c r="F388" i="24" s="1"/>
  <c r="G389" i="24" s="1"/>
  <c r="H390" i="24" s="1"/>
  <c r="I391" i="24" s="1"/>
  <c r="J392" i="24" s="1"/>
  <c r="K393" i="24" s="1"/>
  <c r="L394" i="24" s="1"/>
  <c r="M395" i="24" s="1"/>
  <c r="N396" i="24" s="1"/>
  <c r="O397" i="24" s="1"/>
  <c r="P398" i="24" s="1"/>
  <c r="Q399" i="24" s="1"/>
  <c r="R400" i="24" s="1"/>
  <c r="D57" i="24"/>
  <c r="AJ45" i="15" s="1"/>
  <c r="D173" i="24"/>
  <c r="E174" i="24" s="1"/>
  <c r="F175" i="24" s="1"/>
  <c r="G176" i="24" s="1"/>
  <c r="H177" i="24" s="1"/>
  <c r="I178" i="24" s="1"/>
  <c r="J179" i="24" s="1"/>
  <c r="K180" i="24" s="1"/>
  <c r="L181" i="24" s="1"/>
  <c r="M182" i="24" s="1"/>
  <c r="N183" i="24" s="1"/>
  <c r="O184" i="24" s="1"/>
  <c r="P185" i="24" s="1"/>
  <c r="Q186" i="24" s="1"/>
  <c r="R187" i="24" s="1"/>
  <c r="S188" i="24" s="1"/>
  <c r="T189" i="24" s="1"/>
  <c r="U190" i="24" s="1"/>
  <c r="V191" i="24" s="1"/>
  <c r="E175" i="24"/>
  <c r="F176" i="24" s="1"/>
  <c r="G177" i="24" s="1"/>
  <c r="H178" i="24" s="1"/>
  <c r="I179" i="24" s="1"/>
  <c r="J180" i="24" s="1"/>
  <c r="K181" i="24" s="1"/>
  <c r="L182" i="24" s="1"/>
  <c r="M183" i="24" s="1"/>
  <c r="N184" i="24" s="1"/>
  <c r="O185" i="24" s="1"/>
  <c r="P186" i="24" s="1"/>
  <c r="Q187" i="24" s="1"/>
  <c r="R188" i="24" s="1"/>
  <c r="S189" i="24" s="1"/>
  <c r="T190" i="24" s="1"/>
  <c r="U191" i="24" s="1"/>
  <c r="D59" i="24"/>
  <c r="AJ47" i="15" s="1"/>
  <c r="D63" i="24"/>
  <c r="AJ51" i="15" s="1"/>
  <c r="D179" i="24"/>
  <c r="E180" i="24" s="1"/>
  <c r="F181" i="24" s="1"/>
  <c r="G182" i="24" s="1"/>
  <c r="H183" i="24" s="1"/>
  <c r="I184" i="24" s="1"/>
  <c r="J185" i="24" s="1"/>
  <c r="K186" i="24" s="1"/>
  <c r="L187" i="24" s="1"/>
  <c r="M188" i="24" s="1"/>
  <c r="N189" i="24" s="1"/>
  <c r="O190" i="24" s="1"/>
  <c r="P191" i="24" s="1"/>
  <c r="D183" i="24"/>
  <c r="E184" i="24" s="1"/>
  <c r="F185" i="24" s="1"/>
  <c r="G186" i="24" s="1"/>
  <c r="H187" i="24" s="1"/>
  <c r="I188" i="24" s="1"/>
  <c r="J189" i="24" s="1"/>
  <c r="K190" i="24" s="1"/>
  <c r="L191" i="24" s="1"/>
  <c r="D71" i="24"/>
  <c r="AJ59" i="15" s="1"/>
  <c r="D187" i="24"/>
  <c r="E188" i="24" s="1"/>
  <c r="F189" i="24" s="1"/>
  <c r="G190" i="24" s="1"/>
  <c r="H191" i="24" s="1"/>
  <c r="D73" i="24"/>
  <c r="AJ61" i="15" s="1"/>
  <c r="H290" i="24"/>
  <c r="AN191" i="15" s="1"/>
  <c r="M57" i="24"/>
  <c r="AS45" i="15" s="1"/>
  <c r="S57" i="24"/>
  <c r="AY45" i="15" s="1"/>
  <c r="W57" i="24"/>
  <c r="BC45" i="15" s="1"/>
  <c r="AA57" i="24"/>
  <c r="BG45" i="15" s="1"/>
  <c r="D67" i="24"/>
  <c r="AJ55" i="15" s="1"/>
  <c r="AC87" i="24"/>
  <c r="BI75" i="15" s="1"/>
  <c r="C107" i="24"/>
  <c r="AI95" i="15" s="1"/>
  <c r="V144" i="24"/>
  <c r="W145" i="24" s="1"/>
  <c r="X146" i="24" s="1"/>
  <c r="Y147" i="24" s="1"/>
  <c r="Z148" i="24" s="1"/>
  <c r="AA149" i="24" s="1"/>
  <c r="AB150" i="24" s="1"/>
  <c r="AC151" i="24" s="1"/>
  <c r="AD152" i="24" s="1"/>
  <c r="AE153" i="24" s="1"/>
  <c r="D185" i="24"/>
  <c r="E186" i="24" s="1"/>
  <c r="F187" i="24" s="1"/>
  <c r="G188" i="24" s="1"/>
  <c r="H189" i="24" s="1"/>
  <c r="I190" i="24" s="1"/>
  <c r="J202" i="24"/>
  <c r="K203" i="24" s="1"/>
  <c r="L204" i="24" s="1"/>
  <c r="M205" i="24" s="1"/>
  <c r="N206" i="24" s="1"/>
  <c r="O207" i="24" s="1"/>
  <c r="P208" i="24" s="1"/>
  <c r="Q209" i="24" s="1"/>
  <c r="R210" i="24" s="1"/>
  <c r="S211" i="24" s="1"/>
  <c r="T212" i="24" s="1"/>
  <c r="U213" i="24" s="1"/>
  <c r="V214" i="24" s="1"/>
  <c r="W215" i="24" s="1"/>
  <c r="X216" i="24" s="1"/>
  <c r="Y217" i="24" s="1"/>
  <c r="Z218" i="24" s="1"/>
  <c r="AA219" i="24" s="1"/>
  <c r="AB220" i="24" s="1"/>
  <c r="AC221" i="24" s="1"/>
  <c r="AD222" i="24" s="1"/>
  <c r="AE223" i="24" s="1"/>
  <c r="W290" i="24"/>
  <c r="BC191" i="15" s="1"/>
  <c r="D290" i="24"/>
  <c r="AJ191" i="15" s="1"/>
  <c r="D175" i="24"/>
  <c r="E176" i="24" s="1"/>
  <c r="F177" i="24" s="1"/>
  <c r="G178" i="24" s="1"/>
  <c r="H179" i="24" s="1"/>
  <c r="I180" i="24" s="1"/>
  <c r="J181" i="24" s="1"/>
  <c r="K182" i="24" s="1"/>
  <c r="L183" i="24" s="1"/>
  <c r="M184" i="24" s="1"/>
  <c r="N185" i="24" s="1"/>
  <c r="O186" i="24" s="1"/>
  <c r="P187" i="24" s="1"/>
  <c r="Q188" i="24" s="1"/>
  <c r="R189" i="24" s="1"/>
  <c r="S190" i="24" s="1"/>
  <c r="T191" i="24" s="1"/>
  <c r="D292" i="24"/>
  <c r="AJ193" i="15" s="1"/>
  <c r="D61" i="24"/>
  <c r="AJ49" i="15" s="1"/>
  <c r="E179" i="24"/>
  <c r="F180" i="24" s="1"/>
  <c r="G181" i="24" s="1"/>
  <c r="H182" i="24" s="1"/>
  <c r="I183" i="24" s="1"/>
  <c r="J184" i="24" s="1"/>
  <c r="K185" i="24" s="1"/>
  <c r="L186" i="24" s="1"/>
  <c r="M187" i="24" s="1"/>
  <c r="N188" i="24" s="1"/>
  <c r="O189" i="24" s="1"/>
  <c r="P190" i="24" s="1"/>
  <c r="Q191" i="24" s="1"/>
  <c r="D294" i="24"/>
  <c r="AJ195" i="15" s="1"/>
  <c r="Q35" i="24"/>
  <c r="E181" i="24"/>
  <c r="F182" i="24" s="1"/>
  <c r="G183" i="24" s="1"/>
  <c r="H184" i="24" s="1"/>
  <c r="I185" i="24" s="1"/>
  <c r="J186" i="24" s="1"/>
  <c r="K187" i="24" s="1"/>
  <c r="L188" i="24" s="1"/>
  <c r="M189" i="24" s="1"/>
  <c r="N190" i="24" s="1"/>
  <c r="O191" i="24" s="1"/>
  <c r="D296" i="24"/>
  <c r="AJ197" i="15" s="1"/>
  <c r="D65" i="24"/>
  <c r="AJ53" i="15" s="1"/>
  <c r="E185" i="24"/>
  <c r="F186" i="24" s="1"/>
  <c r="G187" i="24" s="1"/>
  <c r="H188" i="24" s="1"/>
  <c r="I189" i="24" s="1"/>
  <c r="J190" i="24" s="1"/>
  <c r="K191" i="24" s="1"/>
  <c r="D300" i="24"/>
  <c r="AJ201" i="15" s="1"/>
  <c r="E187" i="24"/>
  <c r="F188" i="24" s="1"/>
  <c r="G189" i="24" s="1"/>
  <c r="H190" i="24" s="1"/>
  <c r="I191" i="24" s="1"/>
  <c r="D302" i="24"/>
  <c r="AJ203" i="15" s="1"/>
  <c r="Q43" i="24"/>
  <c r="D188" i="24"/>
  <c r="E189" i="24" s="1"/>
  <c r="F190" i="24" s="1"/>
  <c r="G191" i="24" s="1"/>
  <c r="AC57" i="24"/>
  <c r="BI45" i="15" s="1"/>
  <c r="V86" i="24"/>
  <c r="BB74" i="15" s="1"/>
  <c r="J115" i="24"/>
  <c r="AP103" i="15" s="1"/>
  <c r="U115" i="24"/>
  <c r="BA103" i="15" s="1"/>
  <c r="AE115" i="24"/>
  <c r="BK103" i="15" s="1"/>
  <c r="P289" i="24"/>
  <c r="AV190" i="15" s="1"/>
  <c r="E156" i="24"/>
  <c r="F157" i="24" s="1"/>
  <c r="G158" i="24" s="1"/>
  <c r="H159" i="24" s="1"/>
  <c r="I160" i="24" s="1"/>
  <c r="J161" i="24" s="1"/>
  <c r="K162" i="24" s="1"/>
  <c r="L163" i="24" s="1"/>
  <c r="M164" i="24" s="1"/>
  <c r="N165" i="24" s="1"/>
  <c r="O166" i="24" s="1"/>
  <c r="P167" i="24" s="1"/>
  <c r="Q168" i="24" s="1"/>
  <c r="D271" i="24"/>
  <c r="AJ172" i="15" s="1"/>
  <c r="D387" i="24"/>
  <c r="E388" i="24" s="1"/>
  <c r="F389" i="24" s="1"/>
  <c r="G390" i="24" s="1"/>
  <c r="H391" i="24" s="1"/>
  <c r="I392" i="24" s="1"/>
  <c r="J393" i="24" s="1"/>
  <c r="K394" i="24" s="1"/>
  <c r="L395" i="24" s="1"/>
  <c r="M396" i="24" s="1"/>
  <c r="N397" i="24" s="1"/>
  <c r="O398" i="24" s="1"/>
  <c r="P399" i="24" s="1"/>
  <c r="Q400" i="24" s="1"/>
  <c r="E158" i="24"/>
  <c r="F159" i="24" s="1"/>
  <c r="G160" i="24" s="1"/>
  <c r="Z41" i="24"/>
  <c r="D389" i="24"/>
  <c r="E390" i="24" s="1"/>
  <c r="F391" i="24" s="1"/>
  <c r="G392" i="24" s="1"/>
  <c r="H393" i="24" s="1"/>
  <c r="I394" i="24" s="1"/>
  <c r="J395" i="24" s="1"/>
  <c r="K396" i="24" s="1"/>
  <c r="L397" i="24" s="1"/>
  <c r="M398" i="24" s="1"/>
  <c r="N399" i="24" s="1"/>
  <c r="O400" i="24" s="1"/>
  <c r="D158" i="24"/>
  <c r="E159" i="24" s="1"/>
  <c r="F160" i="24" s="1"/>
  <c r="G161" i="24" s="1"/>
  <c r="H162" i="24" s="1"/>
  <c r="I163" i="24" s="1"/>
  <c r="J164" i="24" s="1"/>
  <c r="K165" i="24" s="1"/>
  <c r="L166" i="24" s="1"/>
  <c r="M167" i="24" s="1"/>
  <c r="N168" i="24" s="1"/>
  <c r="D160" i="24"/>
  <c r="E161" i="24" s="1"/>
  <c r="F162" i="24" s="1"/>
  <c r="G163" i="24" s="1"/>
  <c r="H164" i="24" s="1"/>
  <c r="I165" i="24" s="1"/>
  <c r="J166" i="24" s="1"/>
  <c r="K167" i="24" s="1"/>
  <c r="L168" i="24" s="1"/>
  <c r="D264" i="24"/>
  <c r="AJ165" i="15" s="1"/>
  <c r="D380" i="24"/>
  <c r="E381" i="24" s="1"/>
  <c r="F382" i="24" s="1"/>
  <c r="G383" i="24" s="1"/>
  <c r="H384" i="24" s="1"/>
  <c r="I385" i="24" s="1"/>
  <c r="J386" i="24" s="1"/>
  <c r="K387" i="24" s="1"/>
  <c r="L388" i="24" s="1"/>
  <c r="M389" i="24" s="1"/>
  <c r="N390" i="24" s="1"/>
  <c r="O391" i="24" s="1"/>
  <c r="P392" i="24" s="1"/>
  <c r="Q393" i="24" s="1"/>
  <c r="R394" i="24" s="1"/>
  <c r="S395" i="24" s="1"/>
  <c r="T396" i="24" s="1"/>
  <c r="U397" i="24" s="1"/>
  <c r="V398" i="24" s="1"/>
  <c r="W399" i="24" s="1"/>
  <c r="X400" i="24" s="1"/>
  <c r="D92" i="24"/>
  <c r="AJ80" i="15" s="1"/>
  <c r="D151" i="24"/>
  <c r="E152" i="24" s="1"/>
  <c r="F153" i="24" s="1"/>
  <c r="G154" i="24" s="1"/>
  <c r="H155" i="24" s="1"/>
  <c r="I156" i="24" s="1"/>
  <c r="J157" i="24" s="1"/>
  <c r="K158" i="24" s="1"/>
  <c r="L159" i="24" s="1"/>
  <c r="M160" i="24" s="1"/>
  <c r="E268" i="24"/>
  <c r="AK169" i="15" s="1"/>
  <c r="D327" i="24"/>
  <c r="E328" i="24" s="1"/>
  <c r="F329" i="24" s="1"/>
  <c r="G330" i="24" s="1"/>
  <c r="H331" i="24" s="1"/>
  <c r="I332" i="24" s="1"/>
  <c r="J333" i="24" s="1"/>
  <c r="K334" i="24" s="1"/>
  <c r="D329" i="24"/>
  <c r="E330" i="24" s="1"/>
  <c r="F331" i="24" s="1"/>
  <c r="G332" i="24" s="1"/>
  <c r="H333" i="24" s="1"/>
  <c r="I334" i="24" s="1"/>
  <c r="D272" i="24"/>
  <c r="AJ173" i="15" s="1"/>
  <c r="Q86" i="24"/>
  <c r="AW74" i="15" s="1"/>
  <c r="I115" i="24"/>
  <c r="AO103" i="15" s="1"/>
  <c r="S115" i="24"/>
  <c r="AY103" i="15" s="1"/>
  <c r="AD115" i="24"/>
  <c r="BJ103" i="15" s="1"/>
  <c r="N231" i="24"/>
  <c r="AT132" i="15" s="1"/>
  <c r="X231" i="24"/>
  <c r="BD132" i="15" s="1"/>
  <c r="D115" i="24"/>
  <c r="AJ103" i="15" s="1"/>
  <c r="D231" i="24"/>
  <c r="AJ132" i="15" s="1"/>
  <c r="K365" i="24"/>
  <c r="H365" i="24"/>
  <c r="E365" i="24"/>
  <c r="O365" i="24"/>
  <c r="D190" i="24"/>
  <c r="E191" i="24" s="1"/>
  <c r="Q190" i="24"/>
  <c r="Q364" i="24"/>
  <c r="D144" i="24"/>
  <c r="D133" i="24"/>
  <c r="AJ121" i="15" s="1"/>
  <c r="T364" i="24"/>
  <c r="U365" i="24" s="1"/>
  <c r="P364" i="24"/>
  <c r="Q365" i="24" s="1"/>
  <c r="M218" i="24"/>
  <c r="N219" i="24" s="1"/>
  <c r="O220" i="24" s="1"/>
  <c r="P221" i="24" s="1"/>
  <c r="Q222" i="24" s="1"/>
  <c r="R223" i="24" s="1"/>
  <c r="S224" i="24" s="1"/>
  <c r="T225" i="24" s="1"/>
  <c r="U226" i="24" s="1"/>
  <c r="V364" i="24"/>
  <c r="W365" i="24" s="1"/>
  <c r="O364" i="24"/>
  <c r="S218" i="24"/>
  <c r="T219" i="24" s="1"/>
  <c r="U220" i="24" s="1"/>
  <c r="V221" i="24" s="1"/>
  <c r="W222" i="24" s="1"/>
  <c r="X223" i="24" s="1"/>
  <c r="Y224" i="24" s="1"/>
  <c r="Z225" i="24" s="1"/>
  <c r="AA226" i="24" s="1"/>
  <c r="R218" i="24"/>
  <c r="S219" i="24" s="1"/>
  <c r="T220" i="24" s="1"/>
  <c r="U221" i="24" s="1"/>
  <c r="V222" i="24" s="1"/>
  <c r="W223" i="24" s="1"/>
  <c r="X224" i="24" s="1"/>
  <c r="Y225" i="24" s="1"/>
  <c r="Z226" i="24" s="1"/>
  <c r="P218" i="24"/>
  <c r="Q219" i="24" s="1"/>
  <c r="R220" i="24" s="1"/>
  <c r="S221" i="24" s="1"/>
  <c r="T222" i="24" s="1"/>
  <c r="U223" i="24" s="1"/>
  <c r="V224" i="24" s="1"/>
  <c r="W225" i="24" s="1"/>
  <c r="X226" i="24" s="1"/>
  <c r="O218" i="24"/>
  <c r="P219" i="24" s="1"/>
  <c r="Q220" i="24" s="1"/>
  <c r="R221" i="24" s="1"/>
  <c r="S222" i="24" s="1"/>
  <c r="T223" i="24" s="1"/>
  <c r="U224" i="24" s="1"/>
  <c r="V225" i="24" s="1"/>
  <c r="W226" i="24" s="1"/>
  <c r="L218" i="24"/>
  <c r="M219" i="24" s="1"/>
  <c r="N220" i="24" s="1"/>
  <c r="O221" i="24" s="1"/>
  <c r="P222" i="24" s="1"/>
  <c r="Q223" i="24" s="1"/>
  <c r="R224" i="24" s="1"/>
  <c r="S225" i="24" s="1"/>
  <c r="T226" i="24" s="1"/>
  <c r="K218" i="24"/>
  <c r="L219" i="24" s="1"/>
  <c r="M220" i="24" s="1"/>
  <c r="N221" i="24" s="1"/>
  <c r="O222" i="24" s="1"/>
  <c r="P223" i="24" s="1"/>
  <c r="Q224" i="24" s="1"/>
  <c r="R225" i="24" s="1"/>
  <c r="S226" i="24" s="1"/>
  <c r="J218" i="24"/>
  <c r="K219" i="24" s="1"/>
  <c r="L220" i="24" s="1"/>
  <c r="M221" i="24" s="1"/>
  <c r="N222" i="24" s="1"/>
  <c r="O223" i="24" s="1"/>
  <c r="P224" i="24" s="1"/>
  <c r="Q225" i="24" s="1"/>
  <c r="R226" i="24" s="1"/>
  <c r="H218" i="24"/>
  <c r="I219" i="24" s="1"/>
  <c r="J220" i="24" s="1"/>
  <c r="K221" i="24" s="1"/>
  <c r="L222" i="24" s="1"/>
  <c r="M223" i="24" s="1"/>
  <c r="N224" i="24" s="1"/>
  <c r="O225" i="24" s="1"/>
  <c r="P226" i="24" s="1"/>
  <c r="G218" i="24"/>
  <c r="H219" i="24" s="1"/>
  <c r="I220" i="24" s="1"/>
  <c r="J221" i="24" s="1"/>
  <c r="K222" i="24" s="1"/>
  <c r="L223" i="24" s="1"/>
  <c r="M224" i="24" s="1"/>
  <c r="N225" i="24" s="1"/>
  <c r="O226" i="24" s="1"/>
  <c r="D101" i="24"/>
  <c r="AJ89" i="15" s="1"/>
  <c r="E218" i="24"/>
  <c r="F219" i="24" s="1"/>
  <c r="G220" i="24" s="1"/>
  <c r="H221" i="24" s="1"/>
  <c r="I222" i="24" s="1"/>
  <c r="J223" i="24" s="1"/>
  <c r="K224" i="24" s="1"/>
  <c r="L225" i="24" s="1"/>
  <c r="M226" i="24" s="1"/>
  <c r="D103" i="24"/>
  <c r="AJ91" i="15" s="1"/>
  <c r="D219" i="24"/>
  <c r="E220" i="24" s="1"/>
  <c r="F221" i="24" s="1"/>
  <c r="G222" i="24" s="1"/>
  <c r="H223" i="24" s="1"/>
  <c r="I224" i="24" s="1"/>
  <c r="J225" i="24" s="1"/>
  <c r="K226" i="24" s="1"/>
  <c r="D104" i="24"/>
  <c r="AJ92" i="15" s="1"/>
  <c r="D220" i="24"/>
  <c r="E221" i="24" s="1"/>
  <c r="F222" i="24" s="1"/>
  <c r="G223" i="24" s="1"/>
  <c r="H224" i="24" s="1"/>
  <c r="I225" i="24" s="1"/>
  <c r="J226" i="24" s="1"/>
  <c r="D334" i="24"/>
  <c r="D341" i="24"/>
  <c r="E342" i="24" s="1"/>
  <c r="E101" i="24"/>
  <c r="AK89" i="15" s="1"/>
  <c r="I218" i="24"/>
  <c r="J219" i="24" s="1"/>
  <c r="K220" i="24" s="1"/>
  <c r="L221" i="24" s="1"/>
  <c r="M222" i="24" s="1"/>
  <c r="N223" i="24" s="1"/>
  <c r="O224" i="24" s="1"/>
  <c r="P225" i="24" s="1"/>
  <c r="Q226" i="24" s="1"/>
  <c r="G334" i="24"/>
  <c r="L364" i="24"/>
  <c r="M365" i="24" s="1"/>
  <c r="D347" i="24"/>
  <c r="Z32" i="24"/>
  <c r="N391" i="24"/>
  <c r="O392" i="24" s="1"/>
  <c r="P393" i="24" s="1"/>
  <c r="Q394" i="24" s="1"/>
  <c r="R395" i="24" s="1"/>
  <c r="S396" i="24" s="1"/>
  <c r="T397" i="24" s="1"/>
  <c r="U398" i="24" s="1"/>
  <c r="V399" i="24" s="1"/>
  <c r="W400" i="24" s="1"/>
  <c r="Q34" i="24"/>
  <c r="Z35" i="24"/>
  <c r="Z40" i="24"/>
  <c r="Q42" i="24"/>
  <c r="Z43" i="24"/>
  <c r="E364" i="24"/>
  <c r="F365" i="24" s="1"/>
  <c r="D191" i="24"/>
  <c r="D278" i="24"/>
  <c r="AJ179" i="15" s="1"/>
  <c r="C253" i="24"/>
  <c r="AI154" i="15" s="1"/>
  <c r="C249" i="24"/>
  <c r="AI150" i="15" s="1"/>
  <c r="C252" i="24"/>
  <c r="AI153" i="15" s="1"/>
  <c r="C250" i="24"/>
  <c r="AI151" i="15" s="1"/>
  <c r="C254" i="24"/>
  <c r="AI155" i="15" s="1"/>
  <c r="C368" i="24"/>
  <c r="C367" i="24"/>
  <c r="C365" i="24"/>
  <c r="C371" i="24"/>
  <c r="F57" i="24"/>
  <c r="AL45" i="15" s="1"/>
  <c r="R57" i="24"/>
  <c r="AX45" i="15" s="1"/>
  <c r="V57" i="24"/>
  <c r="BB45" i="15" s="1"/>
  <c r="Z57" i="24"/>
  <c r="BF45" i="15" s="1"/>
  <c r="AD57" i="24"/>
  <c r="BJ45" i="15" s="1"/>
  <c r="C71" i="24"/>
  <c r="AI59" i="15" s="1"/>
  <c r="D79" i="24"/>
  <c r="AJ67" i="15" s="1"/>
  <c r="O116" i="24"/>
  <c r="AU104" i="15" s="1"/>
  <c r="O145" i="24"/>
  <c r="P146" i="24" s="1"/>
  <c r="Q147" i="24" s="1"/>
  <c r="R148" i="24" s="1"/>
  <c r="S149" i="24" s="1"/>
  <c r="T150" i="24" s="1"/>
  <c r="U151" i="24" s="1"/>
  <c r="V152" i="24" s="1"/>
  <c r="W153" i="24" s="1"/>
  <c r="X154" i="24" s="1"/>
  <c r="Y155" i="24" s="1"/>
  <c r="Z156" i="24" s="1"/>
  <c r="AA157" i="24" s="1"/>
  <c r="AB158" i="24" s="1"/>
  <c r="AC159" i="24" s="1"/>
  <c r="AD160" i="24" s="1"/>
  <c r="AE161" i="24" s="1"/>
  <c r="F218" i="24"/>
  <c r="G219" i="24" s="1"/>
  <c r="H220" i="24" s="1"/>
  <c r="I221" i="24" s="1"/>
  <c r="J222" i="24" s="1"/>
  <c r="K223" i="24" s="1"/>
  <c r="L224" i="24" s="1"/>
  <c r="M225" i="24" s="1"/>
  <c r="N226" i="24" s="1"/>
  <c r="AA232" i="24"/>
  <c r="BG133" i="15" s="1"/>
  <c r="C246" i="24"/>
  <c r="AI147" i="15" s="1"/>
  <c r="N261" i="24"/>
  <c r="AT162" i="15" s="1"/>
  <c r="C272" i="24"/>
  <c r="AI173" i="15" s="1"/>
  <c r="D289" i="24"/>
  <c r="AJ190" i="15" s="1"/>
  <c r="AA377" i="24"/>
  <c r="AB378" i="24" s="1"/>
  <c r="AC379" i="24" s="1"/>
  <c r="AD380" i="24" s="1"/>
  <c r="AE381" i="24" s="1"/>
  <c r="Z30" i="24"/>
  <c r="Q32" i="24"/>
  <c r="Q33" i="24"/>
  <c r="Z33" i="24"/>
  <c r="Z38" i="24"/>
  <c r="Q40" i="24"/>
  <c r="Q41" i="24"/>
  <c r="D333" i="24"/>
  <c r="E334" i="24" s="1"/>
  <c r="D248" i="24"/>
  <c r="AJ149" i="15" s="1"/>
  <c r="D307" i="24"/>
  <c r="AJ208" i="15" s="1"/>
  <c r="Z46" i="24"/>
  <c r="C167" i="24"/>
  <c r="D168" i="24" s="1"/>
  <c r="C163" i="24"/>
  <c r="C162" i="24"/>
  <c r="C166" i="24"/>
  <c r="D167" i="24" s="1"/>
  <c r="E168" i="24" s="1"/>
  <c r="C164" i="24"/>
  <c r="C281" i="24"/>
  <c r="AI182" i="15" s="1"/>
  <c r="C284" i="24"/>
  <c r="AI185" i="15" s="1"/>
  <c r="C282" i="24"/>
  <c r="AI183" i="15" s="1"/>
  <c r="C280" i="24"/>
  <c r="AI181" i="15" s="1"/>
  <c r="C279" i="24"/>
  <c r="AI180" i="15" s="1"/>
  <c r="C278" i="24"/>
  <c r="AI179" i="15" s="1"/>
  <c r="C397" i="24"/>
  <c r="D398" i="24" s="1"/>
  <c r="E399" i="24" s="1"/>
  <c r="F400" i="24" s="1"/>
  <c r="C399" i="24"/>
  <c r="D400" i="24" s="1"/>
  <c r="C398" i="24"/>
  <c r="D399" i="24" s="1"/>
  <c r="E400" i="24" s="1"/>
  <c r="C396" i="24"/>
  <c r="D397" i="24" s="1"/>
  <c r="E398" i="24" s="1"/>
  <c r="F399" i="24" s="1"/>
  <c r="G400" i="24" s="1"/>
  <c r="C395" i="24"/>
  <c r="D396" i="24" s="1"/>
  <c r="E397" i="24" s="1"/>
  <c r="F398" i="24" s="1"/>
  <c r="G399" i="24" s="1"/>
  <c r="H400" i="24" s="1"/>
  <c r="C394" i="24"/>
  <c r="D395" i="24" s="1"/>
  <c r="E396" i="24" s="1"/>
  <c r="F397" i="24" s="1"/>
  <c r="G398" i="24" s="1"/>
  <c r="H399" i="24" s="1"/>
  <c r="I400" i="24" s="1"/>
  <c r="C400" i="24"/>
  <c r="AD260" i="24"/>
  <c r="BJ161" i="15" s="1"/>
  <c r="Z260" i="24"/>
  <c r="BF161" i="15" s="1"/>
  <c r="V260" i="24"/>
  <c r="BB161" i="15" s="1"/>
  <c r="R260" i="24"/>
  <c r="AX161" i="15" s="1"/>
  <c r="N260" i="24"/>
  <c r="AT161" i="15" s="1"/>
  <c r="J260" i="24"/>
  <c r="AP161" i="15" s="1"/>
  <c r="F260" i="24"/>
  <c r="AL161" i="15" s="1"/>
  <c r="AB260" i="24"/>
  <c r="BH161" i="15" s="1"/>
  <c r="W260" i="24"/>
  <c r="BC161" i="15" s="1"/>
  <c r="Q260" i="24"/>
  <c r="AW161" i="15" s="1"/>
  <c r="L260" i="24"/>
  <c r="AR161" i="15" s="1"/>
  <c r="G260" i="24"/>
  <c r="AM161" i="15" s="1"/>
  <c r="AE86" i="24"/>
  <c r="BK74" i="15" s="1"/>
  <c r="AA86" i="24"/>
  <c r="BG74" i="15" s="1"/>
  <c r="W86" i="24"/>
  <c r="BC74" i="15" s="1"/>
  <c r="S86" i="24"/>
  <c r="AY74" i="15" s="1"/>
  <c r="O86" i="24"/>
  <c r="AU74" i="15" s="1"/>
  <c r="K86" i="24"/>
  <c r="AQ74" i="15" s="1"/>
  <c r="G86" i="24"/>
  <c r="AM74" i="15" s="1"/>
  <c r="AA260" i="24"/>
  <c r="BG161" i="15" s="1"/>
  <c r="U260" i="24"/>
  <c r="BA161" i="15" s="1"/>
  <c r="P260" i="24"/>
  <c r="AV161" i="15" s="1"/>
  <c r="K260" i="24"/>
  <c r="AQ161" i="15" s="1"/>
  <c r="E260" i="24"/>
  <c r="AK161" i="15" s="1"/>
  <c r="AE376" i="24"/>
  <c r="AA376" i="24"/>
  <c r="W376" i="24"/>
  <c r="S376" i="24"/>
  <c r="O376" i="24"/>
  <c r="K376" i="24"/>
  <c r="G376" i="24"/>
  <c r="AD376" i="24"/>
  <c r="Y376" i="24"/>
  <c r="T376" i="24"/>
  <c r="N376" i="24"/>
  <c r="I376" i="24"/>
  <c r="AC376" i="24"/>
  <c r="V376" i="24"/>
  <c r="P376" i="24"/>
  <c r="H376" i="24"/>
  <c r="X376" i="24"/>
  <c r="M376" i="24"/>
  <c r="E376" i="24"/>
  <c r="U376" i="24"/>
  <c r="J376" i="24"/>
  <c r="R376" i="24"/>
  <c r="F376" i="24"/>
  <c r="D75" i="24"/>
  <c r="AJ63" i="15" s="1"/>
  <c r="H86" i="24"/>
  <c r="AN74" i="15" s="1"/>
  <c r="M86" i="24"/>
  <c r="AS74" i="15" s="1"/>
  <c r="R86" i="24"/>
  <c r="AX74" i="15" s="1"/>
  <c r="X86" i="24"/>
  <c r="BD74" i="15" s="1"/>
  <c r="AC86" i="24"/>
  <c r="BI74" i="15" s="1"/>
  <c r="C95" i="24"/>
  <c r="AI83" i="15" s="1"/>
  <c r="E100" i="24"/>
  <c r="AK88" i="15" s="1"/>
  <c r="AA116" i="24"/>
  <c r="BG104" i="15" s="1"/>
  <c r="E157" i="24"/>
  <c r="F158" i="24" s="1"/>
  <c r="G159" i="24" s="1"/>
  <c r="H160" i="24" s="1"/>
  <c r="AE203" i="24"/>
  <c r="D226" i="24"/>
  <c r="D260" i="24"/>
  <c r="AJ161" i="15" s="1"/>
  <c r="O260" i="24"/>
  <c r="AU161" i="15" s="1"/>
  <c r="Y260" i="24"/>
  <c r="BE161" i="15" s="1"/>
  <c r="D319" i="24"/>
  <c r="E320" i="24" s="1"/>
  <c r="F321" i="24" s="1"/>
  <c r="G322" i="24" s="1"/>
  <c r="H323" i="24" s="1"/>
  <c r="I324" i="24" s="1"/>
  <c r="J325" i="24" s="1"/>
  <c r="K326" i="24" s="1"/>
  <c r="L327" i="24" s="1"/>
  <c r="M328" i="24" s="1"/>
  <c r="N329" i="24" s="1"/>
  <c r="O330" i="24" s="1"/>
  <c r="P331" i="24" s="1"/>
  <c r="Q332" i="24" s="1"/>
  <c r="R333" i="24" s="1"/>
  <c r="S334" i="24" s="1"/>
  <c r="C369" i="24"/>
  <c r="D376" i="24"/>
  <c r="AB376" i="24"/>
  <c r="E384" i="24"/>
  <c r="F385" i="24" s="1"/>
  <c r="G386" i="24" s="1"/>
  <c r="H387" i="24" s="1"/>
  <c r="I388" i="24" s="1"/>
  <c r="J389" i="24" s="1"/>
  <c r="K390" i="24" s="1"/>
  <c r="L391" i="24" s="1"/>
  <c r="M392" i="24" s="1"/>
  <c r="N393" i="24" s="1"/>
  <c r="O394" i="24" s="1"/>
  <c r="P395" i="24" s="1"/>
  <c r="Q396" i="24" s="1"/>
  <c r="R397" i="24" s="1"/>
  <c r="S398" i="24" s="1"/>
  <c r="T399" i="24" s="1"/>
  <c r="U400" i="24" s="1"/>
  <c r="D388" i="24"/>
  <c r="E389" i="24" s="1"/>
  <c r="F390" i="24" s="1"/>
  <c r="G391" i="24" s="1"/>
  <c r="H392" i="24" s="1"/>
  <c r="I393" i="24" s="1"/>
  <c r="J394" i="24" s="1"/>
  <c r="K395" i="24" s="1"/>
  <c r="L396" i="24" s="1"/>
  <c r="M397" i="24" s="1"/>
  <c r="N398" i="24" s="1"/>
  <c r="O399" i="24" s="1"/>
  <c r="P400" i="24" s="1"/>
  <c r="D202" i="24"/>
  <c r="Z28" i="24"/>
  <c r="E378" i="24"/>
  <c r="F379" i="24" s="1"/>
  <c r="G380" i="24" s="1"/>
  <c r="H381" i="24" s="1"/>
  <c r="I382" i="24" s="1"/>
  <c r="J383" i="24" s="1"/>
  <c r="K384" i="24" s="1"/>
  <c r="L385" i="24" s="1"/>
  <c r="M386" i="24" s="1"/>
  <c r="N387" i="24" s="1"/>
  <c r="O388" i="24" s="1"/>
  <c r="P389" i="24" s="1"/>
  <c r="Q390" i="24" s="1"/>
  <c r="R391" i="24" s="1"/>
  <c r="S392" i="24" s="1"/>
  <c r="T393" i="24" s="1"/>
  <c r="U394" i="24" s="1"/>
  <c r="V395" i="24" s="1"/>
  <c r="W396" i="24" s="1"/>
  <c r="X397" i="24" s="1"/>
  <c r="Y398" i="24" s="1"/>
  <c r="Z399" i="24" s="1"/>
  <c r="AA400" i="24" s="1"/>
  <c r="Q30" i="24"/>
  <c r="Q31" i="24"/>
  <c r="Z31" i="24"/>
  <c r="E149" i="24"/>
  <c r="F150" i="24" s="1"/>
  <c r="G151" i="24" s="1"/>
  <c r="H152" i="24" s="1"/>
  <c r="I153" i="24" s="1"/>
  <c r="J154" i="24" s="1"/>
  <c r="K155" i="24" s="1"/>
  <c r="L156" i="24" s="1"/>
  <c r="M157" i="24" s="1"/>
  <c r="N158" i="24" s="1"/>
  <c r="O159" i="24" s="1"/>
  <c r="P160" i="24" s="1"/>
  <c r="D323" i="24"/>
  <c r="E324" i="24" s="1"/>
  <c r="F325" i="24" s="1"/>
  <c r="G326" i="24" s="1"/>
  <c r="H327" i="24" s="1"/>
  <c r="I328" i="24" s="1"/>
  <c r="J329" i="24" s="1"/>
  <c r="K330" i="24" s="1"/>
  <c r="L331" i="24" s="1"/>
  <c r="M332" i="24" s="1"/>
  <c r="N333" i="24" s="1"/>
  <c r="O334" i="24" s="1"/>
  <c r="Z36" i="24"/>
  <c r="E386" i="24"/>
  <c r="F387" i="24" s="1"/>
  <c r="G388" i="24" s="1"/>
  <c r="H389" i="24" s="1"/>
  <c r="I390" i="24" s="1"/>
  <c r="J391" i="24" s="1"/>
  <c r="K392" i="24" s="1"/>
  <c r="L393" i="24" s="1"/>
  <c r="M394" i="24" s="1"/>
  <c r="N395" i="24" s="1"/>
  <c r="O396" i="24" s="1"/>
  <c r="P397" i="24" s="1"/>
  <c r="Q398" i="24" s="1"/>
  <c r="R399" i="24" s="1"/>
  <c r="S400" i="24" s="1"/>
  <c r="Q39" i="24"/>
  <c r="Z39" i="24"/>
  <c r="D274" i="24"/>
  <c r="AJ175" i="15" s="1"/>
  <c r="D362" i="24"/>
  <c r="E363" i="24" s="1"/>
  <c r="F364" i="24" s="1"/>
  <c r="C223" i="24"/>
  <c r="D224" i="24" s="1"/>
  <c r="E225" i="24" s="1"/>
  <c r="F226" i="24" s="1"/>
  <c r="C222" i="24"/>
  <c r="D223" i="24" s="1"/>
  <c r="E224" i="24" s="1"/>
  <c r="F225" i="24" s="1"/>
  <c r="G226" i="24" s="1"/>
  <c r="C220" i="24"/>
  <c r="D221" i="24" s="1"/>
  <c r="E222" i="24" s="1"/>
  <c r="F223" i="24" s="1"/>
  <c r="G224" i="24" s="1"/>
  <c r="H225" i="24" s="1"/>
  <c r="I226" i="24" s="1"/>
  <c r="C226" i="24"/>
  <c r="C224" i="24"/>
  <c r="D225" i="24" s="1"/>
  <c r="E226" i="24" s="1"/>
  <c r="C217" i="24"/>
  <c r="D218" i="24" s="1"/>
  <c r="E219" i="24" s="1"/>
  <c r="F220" i="24" s="1"/>
  <c r="G221" i="24" s="1"/>
  <c r="H222" i="24" s="1"/>
  <c r="I223" i="24" s="1"/>
  <c r="J224" i="24" s="1"/>
  <c r="K225" i="24" s="1"/>
  <c r="L226" i="24" s="1"/>
  <c r="D305" i="24"/>
  <c r="AJ206" i="15" s="1"/>
  <c r="D277" i="24"/>
  <c r="AJ178" i="15" s="1"/>
  <c r="D393" i="24"/>
  <c r="E394" i="24" s="1"/>
  <c r="F395" i="24" s="1"/>
  <c r="G396" i="24" s="1"/>
  <c r="H397" i="24" s="1"/>
  <c r="I398" i="24" s="1"/>
  <c r="J399" i="24" s="1"/>
  <c r="K400" i="24" s="1"/>
  <c r="Q46" i="24"/>
  <c r="C80" i="24"/>
  <c r="AI68" i="15" s="1"/>
  <c r="C76" i="24"/>
  <c r="AI64" i="15" s="1"/>
  <c r="Q47" i="24"/>
  <c r="C197" i="24"/>
  <c r="C193" i="24"/>
  <c r="C192" i="24"/>
  <c r="C196" i="24"/>
  <c r="D197" i="24" s="1"/>
  <c r="C194" i="24"/>
  <c r="C311" i="24"/>
  <c r="AI212" i="15" s="1"/>
  <c r="C307" i="24"/>
  <c r="AI208" i="15" s="1"/>
  <c r="C312" i="24"/>
  <c r="AI213" i="15" s="1"/>
  <c r="C308" i="24"/>
  <c r="AI209" i="15" s="1"/>
  <c r="Z47" i="24"/>
  <c r="AC289" i="24"/>
  <c r="BI190" i="15" s="1"/>
  <c r="Y289" i="24"/>
  <c r="BE190" i="15" s="1"/>
  <c r="U289" i="24"/>
  <c r="BA190" i="15" s="1"/>
  <c r="Q289" i="24"/>
  <c r="AW190" i="15" s="1"/>
  <c r="M289" i="24"/>
  <c r="AS190" i="15" s="1"/>
  <c r="I289" i="24"/>
  <c r="AO190" i="15" s="1"/>
  <c r="E289" i="24"/>
  <c r="AK190" i="15" s="1"/>
  <c r="AD289" i="24"/>
  <c r="BJ190" i="15" s="1"/>
  <c r="X289" i="24"/>
  <c r="BD190" i="15" s="1"/>
  <c r="S289" i="24"/>
  <c r="AY190" i="15" s="1"/>
  <c r="N289" i="24"/>
  <c r="AT190" i="15" s="1"/>
  <c r="H289" i="24"/>
  <c r="AN190" i="15" s="1"/>
  <c r="AA289" i="24"/>
  <c r="BG190" i="15" s="1"/>
  <c r="T289" i="24"/>
  <c r="AZ190" i="15" s="1"/>
  <c r="L289" i="24"/>
  <c r="AR190" i="15" s="1"/>
  <c r="F289" i="24"/>
  <c r="AL190" i="15" s="1"/>
  <c r="AB115" i="24"/>
  <c r="BH103" i="15" s="1"/>
  <c r="X115" i="24"/>
  <c r="BD103" i="15" s="1"/>
  <c r="T115" i="24"/>
  <c r="AZ103" i="15" s="1"/>
  <c r="P115" i="24"/>
  <c r="AV103" i="15" s="1"/>
  <c r="L115" i="24"/>
  <c r="AR103" i="15" s="1"/>
  <c r="H115" i="24"/>
  <c r="AN103" i="15" s="1"/>
  <c r="Z289" i="24"/>
  <c r="BF190" i="15" s="1"/>
  <c r="R289" i="24"/>
  <c r="AX190" i="15" s="1"/>
  <c r="K289" i="24"/>
  <c r="AQ190" i="15" s="1"/>
  <c r="C61" i="24"/>
  <c r="AI49" i="15" s="1"/>
  <c r="C63" i="24"/>
  <c r="AI51" i="15" s="1"/>
  <c r="C77" i="24"/>
  <c r="AI65" i="15" s="1"/>
  <c r="C79" i="24"/>
  <c r="AI67" i="15" s="1"/>
  <c r="I86" i="24"/>
  <c r="AO74" i="15" s="1"/>
  <c r="N86" i="24"/>
  <c r="AT74" i="15" s="1"/>
  <c r="T86" i="24"/>
  <c r="AZ74" i="15" s="1"/>
  <c r="Y86" i="24"/>
  <c r="BE74" i="15" s="1"/>
  <c r="AD86" i="24"/>
  <c r="BJ74" i="15" s="1"/>
  <c r="G87" i="24"/>
  <c r="AM75" i="15" s="1"/>
  <c r="C93" i="24"/>
  <c r="AI81" i="15" s="1"/>
  <c r="F115" i="24"/>
  <c r="AL103" i="15" s="1"/>
  <c r="K115" i="24"/>
  <c r="AQ103" i="15" s="1"/>
  <c r="Q115" i="24"/>
  <c r="AW103" i="15" s="1"/>
  <c r="V115" i="24"/>
  <c r="BB103" i="15" s="1"/>
  <c r="AA115" i="24"/>
  <c r="BG103" i="15" s="1"/>
  <c r="D131" i="24"/>
  <c r="AJ119" i="15" s="1"/>
  <c r="K145" i="24"/>
  <c r="L146" i="24" s="1"/>
  <c r="M147" i="24" s="1"/>
  <c r="N148" i="24" s="1"/>
  <c r="O149" i="24" s="1"/>
  <c r="P150" i="24" s="1"/>
  <c r="Q151" i="24" s="1"/>
  <c r="R152" i="24" s="1"/>
  <c r="S153" i="24" s="1"/>
  <c r="T154" i="24" s="1"/>
  <c r="U155" i="24" s="1"/>
  <c r="V156" i="24" s="1"/>
  <c r="W157" i="24" s="1"/>
  <c r="X158" i="24" s="1"/>
  <c r="Y159" i="24" s="1"/>
  <c r="Z160" i="24" s="1"/>
  <c r="E155" i="24"/>
  <c r="F156" i="24" s="1"/>
  <c r="G157" i="24" s="1"/>
  <c r="H158" i="24" s="1"/>
  <c r="I159" i="24" s="1"/>
  <c r="J160" i="24" s="1"/>
  <c r="K161" i="24" s="1"/>
  <c r="L162" i="24" s="1"/>
  <c r="M163" i="24" s="1"/>
  <c r="N164" i="24" s="1"/>
  <c r="O165" i="24" s="1"/>
  <c r="P166" i="24" s="1"/>
  <c r="Q167" i="24" s="1"/>
  <c r="R168" i="24" s="1"/>
  <c r="D159" i="24"/>
  <c r="E160" i="24" s="1"/>
  <c r="C165" i="24"/>
  <c r="C221" i="24"/>
  <c r="D222" i="24" s="1"/>
  <c r="E223" i="24" s="1"/>
  <c r="F224" i="24" s="1"/>
  <c r="G225" i="24" s="1"/>
  <c r="H226" i="24" s="1"/>
  <c r="J231" i="24"/>
  <c r="AP132" i="15" s="1"/>
  <c r="T231" i="24"/>
  <c r="AZ132" i="15" s="1"/>
  <c r="AB231" i="24"/>
  <c r="BH132" i="15" s="1"/>
  <c r="I232" i="24"/>
  <c r="AO133" i="15" s="1"/>
  <c r="D249" i="24"/>
  <c r="AJ150" i="15" s="1"/>
  <c r="C255" i="24"/>
  <c r="AI156" i="15" s="1"/>
  <c r="H260" i="24"/>
  <c r="AN161" i="15" s="1"/>
  <c r="S260" i="24"/>
  <c r="AY161" i="15" s="1"/>
  <c r="AC260" i="24"/>
  <c r="BI161" i="15" s="1"/>
  <c r="D275" i="24"/>
  <c r="AJ176" i="15" s="1"/>
  <c r="J289" i="24"/>
  <c r="AP190" i="15" s="1"/>
  <c r="W289" i="24"/>
  <c r="BC190" i="15" s="1"/>
  <c r="U319" i="24"/>
  <c r="V320" i="24" s="1"/>
  <c r="W321" i="24" s="1"/>
  <c r="X322" i="24" s="1"/>
  <c r="Y323" i="24" s="1"/>
  <c r="Z324" i="24" s="1"/>
  <c r="AA325" i="24" s="1"/>
  <c r="AB326" i="24" s="1"/>
  <c r="AC327" i="24" s="1"/>
  <c r="AD328" i="24" s="1"/>
  <c r="AE329" i="24" s="1"/>
  <c r="AA348" i="24"/>
  <c r="AB349" i="24" s="1"/>
  <c r="AC350" i="24" s="1"/>
  <c r="AD351" i="24" s="1"/>
  <c r="AE352" i="24" s="1"/>
  <c r="E350" i="24"/>
  <c r="F351" i="24" s="1"/>
  <c r="G352" i="24" s="1"/>
  <c r="H353" i="24" s="1"/>
  <c r="I354" i="24" s="1"/>
  <c r="J355" i="24" s="1"/>
  <c r="K356" i="24" s="1"/>
  <c r="L357" i="24" s="1"/>
  <c r="M358" i="24" s="1"/>
  <c r="N359" i="24" s="1"/>
  <c r="O360" i="24" s="1"/>
  <c r="P361" i="24" s="1"/>
  <c r="Q362" i="24" s="1"/>
  <c r="R363" i="24" s="1"/>
  <c r="S364" i="24" s="1"/>
  <c r="T365" i="24" s="1"/>
  <c r="C366" i="24"/>
  <c r="L376" i="24"/>
  <c r="D390" i="24"/>
  <c r="E391" i="24" s="1"/>
  <c r="F392" i="24" s="1"/>
  <c r="G393" i="24" s="1"/>
  <c r="H394" i="24" s="1"/>
  <c r="I395" i="24" s="1"/>
  <c r="J396" i="24" s="1"/>
  <c r="K397" i="24" s="1"/>
  <c r="L398" i="24" s="1"/>
  <c r="M399" i="24" s="1"/>
  <c r="N400" i="24" s="1"/>
  <c r="Q28" i="24"/>
  <c r="D318" i="24"/>
  <c r="Q29" i="24"/>
  <c r="Z29" i="24"/>
  <c r="E147" i="24"/>
  <c r="F148" i="24" s="1"/>
  <c r="G149" i="24" s="1"/>
  <c r="H150" i="24" s="1"/>
  <c r="I151" i="24" s="1"/>
  <c r="J152" i="24" s="1"/>
  <c r="K153" i="24" s="1"/>
  <c r="L154" i="24" s="1"/>
  <c r="M155" i="24" s="1"/>
  <c r="N156" i="24" s="1"/>
  <c r="O157" i="24" s="1"/>
  <c r="P158" i="24" s="1"/>
  <c r="Q159" i="24" s="1"/>
  <c r="R160" i="24" s="1"/>
  <c r="D205" i="24"/>
  <c r="E206" i="24" s="1"/>
  <c r="F207" i="24" s="1"/>
  <c r="G208" i="24" s="1"/>
  <c r="H209" i="24" s="1"/>
  <c r="I210" i="24" s="1"/>
  <c r="J211" i="24" s="1"/>
  <c r="K212" i="24" s="1"/>
  <c r="L213" i="24" s="1"/>
  <c r="M214" i="24" s="1"/>
  <c r="N215" i="24" s="1"/>
  <c r="O216" i="24" s="1"/>
  <c r="P217" i="24" s="1"/>
  <c r="Q218" i="24" s="1"/>
  <c r="R219" i="24" s="1"/>
  <c r="S220" i="24" s="1"/>
  <c r="T221" i="24" s="1"/>
  <c r="U222" i="24" s="1"/>
  <c r="V223" i="24" s="1"/>
  <c r="W224" i="24" s="1"/>
  <c r="X225" i="24" s="1"/>
  <c r="Y226" i="24" s="1"/>
  <c r="D321" i="24"/>
  <c r="E322" i="24" s="1"/>
  <c r="F323" i="24" s="1"/>
  <c r="G324" i="24" s="1"/>
  <c r="H325" i="24" s="1"/>
  <c r="I326" i="24" s="1"/>
  <c r="J327" i="24" s="1"/>
  <c r="K328" i="24" s="1"/>
  <c r="L329" i="24" s="1"/>
  <c r="M330" i="24" s="1"/>
  <c r="N331" i="24" s="1"/>
  <c r="O332" i="24" s="1"/>
  <c r="P333" i="24" s="1"/>
  <c r="Q334" i="24" s="1"/>
  <c r="E209" i="24"/>
  <c r="F210" i="24" s="1"/>
  <c r="G211" i="24" s="1"/>
  <c r="H212" i="24" s="1"/>
  <c r="I213" i="24" s="1"/>
  <c r="J214" i="24" s="1"/>
  <c r="K215" i="24" s="1"/>
  <c r="L216" i="24" s="1"/>
  <c r="M217" i="24" s="1"/>
  <c r="N218" i="24" s="1"/>
  <c r="O219" i="24" s="1"/>
  <c r="P220" i="24" s="1"/>
  <c r="Q221" i="24" s="1"/>
  <c r="R222" i="24" s="1"/>
  <c r="S223" i="24" s="1"/>
  <c r="T224" i="24" s="1"/>
  <c r="U225" i="24" s="1"/>
  <c r="V226" i="24" s="1"/>
  <c r="Z34" i="24"/>
  <c r="Q37" i="24"/>
  <c r="D182" i="24"/>
  <c r="E183" i="24" s="1"/>
  <c r="F184" i="24" s="1"/>
  <c r="G185" i="24" s="1"/>
  <c r="H186" i="24" s="1"/>
  <c r="I187" i="24" s="1"/>
  <c r="J188" i="24" s="1"/>
  <c r="K189" i="24" s="1"/>
  <c r="L190" i="24" s="1"/>
  <c r="M191" i="24" s="1"/>
  <c r="E358" i="24"/>
  <c r="F359" i="24" s="1"/>
  <c r="G360" i="24" s="1"/>
  <c r="H361" i="24" s="1"/>
  <c r="I362" i="24" s="1"/>
  <c r="J363" i="24" s="1"/>
  <c r="K364" i="24" s="1"/>
  <c r="L365" i="24" s="1"/>
  <c r="D244" i="24"/>
  <c r="AJ145" i="15" s="1"/>
  <c r="D360" i="24"/>
  <c r="E361" i="24" s="1"/>
  <c r="F362" i="24" s="1"/>
  <c r="G363" i="24" s="1"/>
  <c r="H364" i="24" s="1"/>
  <c r="D303" i="24"/>
  <c r="AJ204" i="15" s="1"/>
  <c r="Z42" i="24"/>
  <c r="D391" i="24"/>
  <c r="E392" i="24" s="1"/>
  <c r="F393" i="24" s="1"/>
  <c r="G394" i="24" s="1"/>
  <c r="H395" i="24" s="1"/>
  <c r="I396" i="24" s="1"/>
  <c r="J397" i="24" s="1"/>
  <c r="K398" i="24" s="1"/>
  <c r="L399" i="24" s="1"/>
  <c r="M400" i="24" s="1"/>
  <c r="Q45" i="24"/>
  <c r="D306" i="24"/>
  <c r="AJ207" i="15" s="1"/>
  <c r="Z45" i="24"/>
  <c r="C110" i="24"/>
  <c r="AI98" i="15" s="1"/>
  <c r="C106" i="24"/>
  <c r="AI94" i="15" s="1"/>
  <c r="AB202" i="24"/>
  <c r="X202" i="24"/>
  <c r="T202" i="24"/>
  <c r="P202" i="24"/>
  <c r="L202" i="24"/>
  <c r="H202" i="24"/>
  <c r="AC202" i="24"/>
  <c r="W202" i="24"/>
  <c r="R202" i="24"/>
  <c r="M202" i="24"/>
  <c r="G202" i="24"/>
  <c r="AA202" i="24"/>
  <c r="V202" i="24"/>
  <c r="Q202" i="24"/>
  <c r="K202" i="24"/>
  <c r="F202" i="24"/>
  <c r="AD318" i="24"/>
  <c r="Z318" i="24"/>
  <c r="V318" i="24"/>
  <c r="R318" i="24"/>
  <c r="N318" i="24"/>
  <c r="J318" i="24"/>
  <c r="F318" i="24"/>
  <c r="AA318" i="24"/>
  <c r="U318" i="24"/>
  <c r="P318" i="24"/>
  <c r="K318" i="24"/>
  <c r="E318" i="24"/>
  <c r="Y318" i="24"/>
  <c r="S318" i="24"/>
  <c r="L318" i="24"/>
  <c r="AC144" i="24"/>
  <c r="Y144" i="24"/>
  <c r="U144" i="24"/>
  <c r="Q144" i="24"/>
  <c r="M144" i="24"/>
  <c r="I144" i="24"/>
  <c r="E144" i="24"/>
  <c r="AE318" i="24"/>
  <c r="X318" i="24"/>
  <c r="Q318" i="24"/>
  <c r="I318" i="24"/>
  <c r="AB144" i="24"/>
  <c r="X144" i="24"/>
  <c r="T144" i="24"/>
  <c r="P144" i="24"/>
  <c r="L144" i="24"/>
  <c r="H144" i="24"/>
  <c r="C57" i="24"/>
  <c r="AI45" i="15" s="1"/>
  <c r="C59" i="24"/>
  <c r="AI47" i="15" s="1"/>
  <c r="C73" i="24"/>
  <c r="AI61" i="15" s="1"/>
  <c r="C75" i="24"/>
  <c r="AI63" i="15" s="1"/>
  <c r="E86" i="24"/>
  <c r="AK74" i="15" s="1"/>
  <c r="J86" i="24"/>
  <c r="AP74" i="15" s="1"/>
  <c r="P86" i="24"/>
  <c r="AV74" i="15" s="1"/>
  <c r="U86" i="24"/>
  <c r="BA74" i="15" s="1"/>
  <c r="Z86" i="24"/>
  <c r="BF74" i="15" s="1"/>
  <c r="C105" i="24"/>
  <c r="AI93" i="15" s="1"/>
  <c r="G115" i="24"/>
  <c r="AM103" i="15" s="1"/>
  <c r="M115" i="24"/>
  <c r="AS103" i="15" s="1"/>
  <c r="R115" i="24"/>
  <c r="AX103" i="15" s="1"/>
  <c r="W115" i="24"/>
  <c r="BC103" i="15" s="1"/>
  <c r="AC115" i="24"/>
  <c r="BI103" i="15" s="1"/>
  <c r="P116" i="24"/>
  <c r="AV104" i="15" s="1"/>
  <c r="Z116" i="24"/>
  <c r="BF104" i="15" s="1"/>
  <c r="K144" i="24"/>
  <c r="S144" i="24"/>
  <c r="AA144" i="24"/>
  <c r="C168" i="24"/>
  <c r="W174" i="24"/>
  <c r="X175" i="24" s="1"/>
  <c r="Y176" i="24" s="1"/>
  <c r="Z177" i="24" s="1"/>
  <c r="AA178" i="24" s="1"/>
  <c r="AB179" i="24" s="1"/>
  <c r="AC180" i="24" s="1"/>
  <c r="AD181" i="24" s="1"/>
  <c r="AE182" i="24" s="1"/>
  <c r="E182" i="24"/>
  <c r="F183" i="24" s="1"/>
  <c r="G184" i="24" s="1"/>
  <c r="H185" i="24" s="1"/>
  <c r="I186" i="24" s="1"/>
  <c r="J187" i="24" s="1"/>
  <c r="K188" i="24" s="1"/>
  <c r="L189" i="24" s="1"/>
  <c r="M190" i="24" s="1"/>
  <c r="N191" i="24" s="1"/>
  <c r="D189" i="24"/>
  <c r="E190" i="24" s="1"/>
  <c r="C195" i="24"/>
  <c r="N202" i="24"/>
  <c r="Y202" i="24"/>
  <c r="C251" i="24"/>
  <c r="AI152" i="15" s="1"/>
  <c r="I260" i="24"/>
  <c r="AO161" i="15" s="1"/>
  <c r="T260" i="24"/>
  <c r="AZ161" i="15" s="1"/>
  <c r="AE260" i="24"/>
  <c r="BK161" i="15" s="1"/>
  <c r="D270" i="24"/>
  <c r="AJ171" i="15" s="1"/>
  <c r="C283" i="24"/>
  <c r="AI184" i="15" s="1"/>
  <c r="O289" i="24"/>
  <c r="AU190" i="15" s="1"/>
  <c r="AB289" i="24"/>
  <c r="BH190" i="15" s="1"/>
  <c r="C309" i="24"/>
  <c r="AI210" i="15" s="1"/>
  <c r="C310" i="24"/>
  <c r="AI211" i="15" s="1"/>
  <c r="H318" i="24"/>
  <c r="W318" i="24"/>
  <c r="C370" i="24"/>
  <c r="D371" i="24" s="1"/>
  <c r="Q376" i="24"/>
  <c r="D392" i="24"/>
  <c r="E393" i="24" s="1"/>
  <c r="F394" i="24" s="1"/>
  <c r="G395" i="24" s="1"/>
  <c r="H396" i="24" s="1"/>
  <c r="I397" i="24" s="1"/>
  <c r="J398" i="24" s="1"/>
  <c r="K399" i="24" s="1"/>
  <c r="L400" i="24" s="1"/>
  <c r="E231" i="24"/>
  <c r="AK132" i="15" s="1"/>
  <c r="Q231" i="24"/>
  <c r="AW132" i="15" s="1"/>
  <c r="U231" i="24"/>
  <c r="BA132" i="15" s="1"/>
  <c r="Y231" i="24"/>
  <c r="BE132" i="15" s="1"/>
  <c r="AC231" i="24"/>
  <c r="BI132" i="15" s="1"/>
  <c r="D262" i="24"/>
  <c r="AJ163" i="15" s="1"/>
  <c r="D378" i="24"/>
  <c r="E379" i="24" s="1"/>
  <c r="F380" i="24" s="1"/>
  <c r="G381" i="24" s="1"/>
  <c r="H382" i="24" s="1"/>
  <c r="I383" i="24" s="1"/>
  <c r="J384" i="24" s="1"/>
  <c r="K385" i="24" s="1"/>
  <c r="L386" i="24" s="1"/>
  <c r="M387" i="24" s="1"/>
  <c r="N388" i="24" s="1"/>
  <c r="O389" i="24" s="1"/>
  <c r="P390" i="24" s="1"/>
  <c r="Q391" i="24" s="1"/>
  <c r="R392" i="24" s="1"/>
  <c r="S393" i="24" s="1"/>
  <c r="T394" i="24" s="1"/>
  <c r="U395" i="24" s="1"/>
  <c r="V396" i="24" s="1"/>
  <c r="W397" i="24" s="1"/>
  <c r="X398" i="24" s="1"/>
  <c r="Y399" i="24" s="1"/>
  <c r="Z400" i="24" s="1"/>
  <c r="D382" i="24"/>
  <c r="E383" i="24" s="1"/>
  <c r="F384" i="24" s="1"/>
  <c r="G385" i="24" s="1"/>
  <c r="H386" i="24" s="1"/>
  <c r="I387" i="24" s="1"/>
  <c r="J388" i="24" s="1"/>
  <c r="K389" i="24" s="1"/>
  <c r="L390" i="24" s="1"/>
  <c r="M391" i="24" s="1"/>
  <c r="N392" i="24" s="1"/>
  <c r="O393" i="24" s="1"/>
  <c r="P394" i="24" s="1"/>
  <c r="Q395" i="24" s="1"/>
  <c r="R396" i="24" s="1"/>
  <c r="S397" i="24" s="1"/>
  <c r="T398" i="24" s="1"/>
  <c r="U399" i="24" s="1"/>
  <c r="V400" i="24" s="1"/>
  <c r="D384" i="24"/>
  <c r="E385" i="24" s="1"/>
  <c r="F386" i="24" s="1"/>
  <c r="G387" i="24" s="1"/>
  <c r="H388" i="24" s="1"/>
  <c r="I389" i="24" s="1"/>
  <c r="J390" i="24" s="1"/>
  <c r="K391" i="24" s="1"/>
  <c r="L392" i="24" s="1"/>
  <c r="M393" i="24" s="1"/>
  <c r="N394" i="24" s="1"/>
  <c r="O395" i="24" s="1"/>
  <c r="P396" i="24" s="1"/>
  <c r="Q397" i="24" s="1"/>
  <c r="R398" i="24" s="1"/>
  <c r="S399" i="24" s="1"/>
  <c r="T400" i="24" s="1"/>
  <c r="D276" i="24"/>
  <c r="AJ177" i="15" s="1"/>
  <c r="D394" i="24"/>
  <c r="E395" i="24" s="1"/>
  <c r="F396" i="24" s="1"/>
  <c r="G397" i="24" s="1"/>
  <c r="H398" i="24" s="1"/>
  <c r="I399" i="24" s="1"/>
  <c r="J400" i="24" s="1"/>
  <c r="C342" i="24"/>
  <c r="C337" i="24"/>
  <c r="D338" i="24" s="1"/>
  <c r="E339" i="24" s="1"/>
  <c r="F340" i="24" s="1"/>
  <c r="G341" i="24" s="1"/>
  <c r="H342" i="24" s="1"/>
  <c r="AB347" i="24"/>
  <c r="X347" i="24"/>
  <c r="T347" i="24"/>
  <c r="P347" i="24"/>
  <c r="L347" i="24"/>
  <c r="H347" i="24"/>
  <c r="AC347" i="24"/>
  <c r="W347" i="24"/>
  <c r="R347" i="24"/>
  <c r="M347" i="24"/>
  <c r="G347" i="24"/>
  <c r="AE347" i="24"/>
  <c r="Y347" i="24"/>
  <c r="Q347" i="24"/>
  <c r="J347" i="24"/>
  <c r="AE173" i="24"/>
  <c r="AA173" i="24"/>
  <c r="W173" i="24"/>
  <c r="S173" i="24"/>
  <c r="O173" i="24"/>
  <c r="K173" i="24"/>
  <c r="G173" i="24"/>
  <c r="J57" i="24"/>
  <c r="AP45" i="15" s="1"/>
  <c r="N57" i="24"/>
  <c r="AT45" i="15" s="1"/>
  <c r="E173" i="24"/>
  <c r="J173" i="24"/>
  <c r="P173" i="24"/>
  <c r="U173" i="24"/>
  <c r="Z173" i="24"/>
  <c r="O231" i="24"/>
  <c r="AU132" i="15" s="1"/>
  <c r="C341" i="24"/>
  <c r="D342" i="24" s="1"/>
  <c r="K347" i="24"/>
  <c r="U347" i="24"/>
  <c r="AD347" i="24"/>
  <c r="I231" i="24"/>
  <c r="AO132" i="15" s="1"/>
  <c r="M231" i="24"/>
  <c r="AS132" i="15" s="1"/>
  <c r="E294" i="24" l="1"/>
  <c r="AK195" i="15" s="1"/>
  <c r="E242" i="24"/>
  <c r="AK143" i="15" s="1"/>
  <c r="AI70" i="15"/>
  <c r="AI215" i="15"/>
  <c r="E305" i="24"/>
  <c r="AK206" i="15" s="1"/>
  <c r="AI186" i="15"/>
  <c r="AI99" i="15"/>
  <c r="AI128" i="15"/>
  <c r="AI157" i="15"/>
  <c r="E300" i="24"/>
  <c r="AK201" i="15" s="1"/>
  <c r="E302" i="24"/>
  <c r="E296" i="24"/>
  <c r="AK197" i="15" s="1"/>
  <c r="W232" i="24"/>
  <c r="L232" i="24"/>
  <c r="D284" i="24"/>
  <c r="AJ185" i="15" s="1"/>
  <c r="J233" i="24"/>
  <c r="AP134" i="15" s="1"/>
  <c r="K232" i="24"/>
  <c r="AQ133" i="15" s="1"/>
  <c r="D94" i="24"/>
  <c r="AJ82" i="15" s="1"/>
  <c r="D81" i="24"/>
  <c r="AJ69" i="15" s="1"/>
  <c r="E306" i="24"/>
  <c r="AK207" i="15" s="1"/>
  <c r="E275" i="24"/>
  <c r="AK176" i="15" s="1"/>
  <c r="D96" i="24"/>
  <c r="AJ84" i="15" s="1"/>
  <c r="Y232" i="24"/>
  <c r="BE133" i="15" s="1"/>
  <c r="J116" i="24"/>
  <c r="AP104" i="15" s="1"/>
  <c r="E68" i="24"/>
  <c r="AK56" i="15" s="1"/>
  <c r="E72" i="24"/>
  <c r="AK60" i="15" s="1"/>
  <c r="D105" i="24"/>
  <c r="AJ93" i="15" s="1"/>
  <c r="H232" i="24"/>
  <c r="AN133" i="15" s="1"/>
  <c r="U58" i="24"/>
  <c r="BA46" i="15" s="1"/>
  <c r="R58" i="24"/>
  <c r="AX46" i="15" s="1"/>
  <c r="V232" i="24"/>
  <c r="BB133" i="15" s="1"/>
  <c r="D74" i="24"/>
  <c r="AJ62" i="15" s="1"/>
  <c r="E245" i="24"/>
  <c r="AK146" i="15" s="1"/>
  <c r="D78" i="24"/>
  <c r="AJ66" i="15" s="1"/>
  <c r="AB233" i="24"/>
  <c r="BH134" i="15" s="1"/>
  <c r="E80" i="24"/>
  <c r="AK68" i="15" s="1"/>
  <c r="W58" i="24"/>
  <c r="BC46" i="15" s="1"/>
  <c r="D251" i="24"/>
  <c r="AJ152" i="15" s="1"/>
  <c r="E279" i="24"/>
  <c r="AK180" i="15" s="1"/>
  <c r="E272" i="24"/>
  <c r="AK173" i="15" s="1"/>
  <c r="V116" i="24"/>
  <c r="BB104" i="15" s="1"/>
  <c r="F306" i="24"/>
  <c r="AL207" i="15" s="1"/>
  <c r="F295" i="24"/>
  <c r="AL196" i="15" s="1"/>
  <c r="N58" i="24"/>
  <c r="AT46" i="15" s="1"/>
  <c r="L58" i="24"/>
  <c r="AR46" i="15" s="1"/>
  <c r="E117" i="24"/>
  <c r="AK105" i="15" s="1"/>
  <c r="E125" i="24"/>
  <c r="AK113" i="15" s="1"/>
  <c r="V58" i="24"/>
  <c r="BB46" i="15" s="1"/>
  <c r="E244" i="24"/>
  <c r="AK145" i="15" s="1"/>
  <c r="E96" i="24"/>
  <c r="AK84" i="15" s="1"/>
  <c r="E129" i="24"/>
  <c r="AK117" i="15" s="1"/>
  <c r="E67" i="24"/>
  <c r="AK55" i="15" s="1"/>
  <c r="E239" i="24"/>
  <c r="AK140" i="15" s="1"/>
  <c r="E236" i="24"/>
  <c r="AK137" i="15" s="1"/>
  <c r="E235" i="24"/>
  <c r="AK136" i="15" s="1"/>
  <c r="E277" i="24"/>
  <c r="AK178" i="15" s="1"/>
  <c r="E263" i="24"/>
  <c r="AK164" i="15" s="1"/>
  <c r="D310" i="24"/>
  <c r="AJ211" i="15" s="1"/>
  <c r="E271" i="24"/>
  <c r="AK172" i="15" s="1"/>
  <c r="D252" i="24"/>
  <c r="AJ153" i="15" s="1"/>
  <c r="D106" i="24"/>
  <c r="AJ94" i="15" s="1"/>
  <c r="D60" i="24"/>
  <c r="AJ48" i="15" s="1"/>
  <c r="E276" i="24"/>
  <c r="AK177" i="15" s="1"/>
  <c r="AC232" i="24"/>
  <c r="BI133" i="15" s="1"/>
  <c r="H88" i="24"/>
  <c r="AN76" i="15" s="1"/>
  <c r="D64" i="24"/>
  <c r="AJ52" i="15" s="1"/>
  <c r="D279" i="24"/>
  <c r="AJ180" i="15" s="1"/>
  <c r="E308" i="24"/>
  <c r="AK209" i="15" s="1"/>
  <c r="D273" i="24"/>
  <c r="AJ174" i="15" s="1"/>
  <c r="D72" i="24"/>
  <c r="AJ60" i="15" s="1"/>
  <c r="S58" i="24"/>
  <c r="AY46" i="15" s="1"/>
  <c r="D253" i="24"/>
  <c r="AJ154" i="15" s="1"/>
  <c r="E105" i="24"/>
  <c r="AK93" i="15" s="1"/>
  <c r="E102" i="24"/>
  <c r="AK90" i="15" s="1"/>
  <c r="E133" i="24"/>
  <c r="AK121" i="15" s="1"/>
  <c r="D108" i="24"/>
  <c r="AJ96" i="15" s="1"/>
  <c r="O232" i="24"/>
  <c r="AU133" i="15" s="1"/>
  <c r="R87" i="24"/>
  <c r="AX75" i="15" s="1"/>
  <c r="F269" i="24"/>
  <c r="AL170" i="15" s="1"/>
  <c r="E265" i="24"/>
  <c r="AK166" i="15" s="1"/>
  <c r="K116" i="24"/>
  <c r="AQ104" i="15" s="1"/>
  <c r="E298" i="24"/>
  <c r="AK199" i="15" s="1"/>
  <c r="E62" i="24"/>
  <c r="AK50" i="15" s="1"/>
  <c r="E291" i="24"/>
  <c r="AK192" i="15" s="1"/>
  <c r="AB58" i="24"/>
  <c r="BH46" i="15" s="1"/>
  <c r="I291" i="24"/>
  <c r="AO192" i="15" s="1"/>
  <c r="E69" i="24"/>
  <c r="AK57" i="15" s="1"/>
  <c r="E64" i="24"/>
  <c r="AK52" i="15" s="1"/>
  <c r="E58" i="24"/>
  <c r="AK46" i="15" s="1"/>
  <c r="D110" i="24"/>
  <c r="AJ98" i="15" s="1"/>
  <c r="G117" i="24"/>
  <c r="AM105" i="15" s="1"/>
  <c r="P58" i="24"/>
  <c r="AV46" i="15" s="1"/>
  <c r="AC58" i="24"/>
  <c r="BI46" i="15" s="1"/>
  <c r="Z58" i="24"/>
  <c r="BF46" i="15" s="1"/>
  <c r="I58" i="24"/>
  <c r="AO46" i="15" s="1"/>
  <c r="T232" i="24"/>
  <c r="AZ133" i="15" s="1"/>
  <c r="D139" i="24"/>
  <c r="AJ127" i="15" s="1"/>
  <c r="E269" i="24"/>
  <c r="AK170" i="15" s="1"/>
  <c r="E94" i="24"/>
  <c r="AK82" i="15" s="1"/>
  <c r="E266" i="24"/>
  <c r="AK167" i="15" s="1"/>
  <c r="E233" i="24"/>
  <c r="AK134" i="15" s="1"/>
  <c r="E238" i="24"/>
  <c r="AK139" i="15" s="1"/>
  <c r="E89" i="24"/>
  <c r="AK77" i="15" s="1"/>
  <c r="F58" i="24"/>
  <c r="AL46" i="15" s="1"/>
  <c r="E130" i="24"/>
  <c r="AK118" i="15" s="1"/>
  <c r="E243" i="24"/>
  <c r="AK144" i="15" s="1"/>
  <c r="E270" i="24"/>
  <c r="AK171" i="15" s="1"/>
  <c r="E267" i="24"/>
  <c r="AK168" i="15" s="1"/>
  <c r="E237" i="24"/>
  <c r="AK138" i="15" s="1"/>
  <c r="E118" i="24"/>
  <c r="AK106" i="15" s="1"/>
  <c r="E71" i="24"/>
  <c r="AK59" i="15" s="1"/>
  <c r="E99" i="24"/>
  <c r="AK87" i="15" s="1"/>
  <c r="J232" i="24"/>
  <c r="AP133" i="15" s="1"/>
  <c r="F232" i="24"/>
  <c r="AL133" i="15" s="1"/>
  <c r="AA117" i="24"/>
  <c r="BG105" i="15" s="1"/>
  <c r="E307" i="24"/>
  <c r="AK208" i="15" s="1"/>
  <c r="E304" i="24"/>
  <c r="AK205" i="15" s="1"/>
  <c r="E132" i="24"/>
  <c r="AK120" i="15" s="1"/>
  <c r="D62" i="24"/>
  <c r="AJ50" i="15" s="1"/>
  <c r="AB117" i="24"/>
  <c r="BH105" i="15" s="1"/>
  <c r="E76" i="24"/>
  <c r="AK64" i="15" s="1"/>
  <c r="D280" i="24"/>
  <c r="AJ181" i="15" s="1"/>
  <c r="AE58" i="24"/>
  <c r="BK46" i="15" s="1"/>
  <c r="F102" i="24"/>
  <c r="AL90" i="15" s="1"/>
  <c r="AE116" i="24"/>
  <c r="BK104" i="15" s="1"/>
  <c r="W87" i="24"/>
  <c r="BC75" i="15" s="1"/>
  <c r="E301" i="24"/>
  <c r="AK202" i="15" s="1"/>
  <c r="E66" i="24"/>
  <c r="AK54" i="15" s="1"/>
  <c r="E295" i="24"/>
  <c r="AK196" i="15" s="1"/>
  <c r="E293" i="24"/>
  <c r="AK194" i="15" s="1"/>
  <c r="X291" i="24"/>
  <c r="BD192" i="15" s="1"/>
  <c r="E60" i="24"/>
  <c r="AK48" i="15" s="1"/>
  <c r="H58" i="24"/>
  <c r="AN46" i="15" s="1"/>
  <c r="E121" i="24"/>
  <c r="AK109" i="15" s="1"/>
  <c r="E250" i="24"/>
  <c r="AK151" i="15" s="1"/>
  <c r="D313" i="24"/>
  <c r="AJ214" i="15" s="1"/>
  <c r="D282" i="24"/>
  <c r="AJ183" i="15" s="1"/>
  <c r="E249" i="24"/>
  <c r="AK150" i="15" s="1"/>
  <c r="O262" i="24"/>
  <c r="AU163" i="15" s="1"/>
  <c r="D250" i="24"/>
  <c r="AJ151" i="15" s="1"/>
  <c r="E273" i="24"/>
  <c r="AK174" i="15" s="1"/>
  <c r="Q290" i="24"/>
  <c r="AW191" i="15" s="1"/>
  <c r="X58" i="24"/>
  <c r="BD46" i="15" s="1"/>
  <c r="E74" i="24"/>
  <c r="AK62" i="15" s="1"/>
  <c r="E299" i="24"/>
  <c r="AK200" i="15" s="1"/>
  <c r="Q232" i="24"/>
  <c r="AW133" i="15" s="1"/>
  <c r="G232" i="24"/>
  <c r="AM133" i="15" s="1"/>
  <c r="Q58" i="24"/>
  <c r="AW46" i="15" s="1"/>
  <c r="AE232" i="24"/>
  <c r="BK133" i="15" s="1"/>
  <c r="E98" i="24"/>
  <c r="AK86" i="15" s="1"/>
  <c r="E264" i="24"/>
  <c r="AK165" i="15" s="1"/>
  <c r="E247" i="24"/>
  <c r="AK148" i="15" s="1"/>
  <c r="E70" i="24"/>
  <c r="AK58" i="15" s="1"/>
  <c r="E123" i="24"/>
  <c r="AK111" i="15" s="1"/>
  <c r="E120" i="24"/>
  <c r="AK108" i="15" s="1"/>
  <c r="E90" i="24"/>
  <c r="AK78" i="15" s="1"/>
  <c r="Q117" i="24"/>
  <c r="AW105" i="15" s="1"/>
  <c r="D76" i="24"/>
  <c r="AJ64" i="15" s="1"/>
  <c r="D107" i="24"/>
  <c r="AJ95" i="15" s="1"/>
  <c r="U232" i="24"/>
  <c r="BA133" i="15" s="1"/>
  <c r="D80" i="24"/>
  <c r="AJ68" i="15" s="1"/>
  <c r="D77" i="24"/>
  <c r="AJ65" i="15" s="1"/>
  <c r="E278" i="24"/>
  <c r="AK179" i="15" s="1"/>
  <c r="F101" i="24"/>
  <c r="AL89" i="15" s="1"/>
  <c r="D281" i="24"/>
  <c r="AJ182" i="15" s="1"/>
  <c r="D247" i="24"/>
  <c r="AJ148" i="15" s="1"/>
  <c r="P117" i="24"/>
  <c r="AV105" i="15" s="1"/>
  <c r="D255" i="24"/>
  <c r="AJ156" i="15" s="1"/>
  <c r="D254" i="24"/>
  <c r="AJ155" i="15" s="1"/>
  <c r="E104" i="24"/>
  <c r="AK92" i="15" s="1"/>
  <c r="D102" i="24"/>
  <c r="AJ90" i="15" s="1"/>
  <c r="T116" i="24"/>
  <c r="AZ104" i="15" s="1"/>
  <c r="E93" i="24"/>
  <c r="AK81" i="15" s="1"/>
  <c r="AD58" i="24"/>
  <c r="BJ46" i="15" s="1"/>
  <c r="E303" i="24"/>
  <c r="AK204" i="15" s="1"/>
  <c r="E297" i="24"/>
  <c r="AK198" i="15" s="1"/>
  <c r="E292" i="24"/>
  <c r="AK193" i="15" s="1"/>
  <c r="AD88" i="24"/>
  <c r="BJ76" i="15" s="1"/>
  <c r="T58" i="24"/>
  <c r="AZ46" i="15" s="1"/>
  <c r="F297" i="24"/>
  <c r="AL198" i="15" s="1"/>
  <c r="D109" i="24"/>
  <c r="AJ97" i="15" s="1"/>
  <c r="D240" i="24"/>
  <c r="AJ141" i="15" s="1"/>
  <c r="AB232" i="24"/>
  <c r="BH133" i="15" s="1"/>
  <c r="M58" i="24"/>
  <c r="AS46" i="15" s="1"/>
  <c r="S232" i="24"/>
  <c r="AY133" i="15" s="1"/>
  <c r="J58" i="24"/>
  <c r="AP46" i="15" s="1"/>
  <c r="M232" i="24"/>
  <c r="AS133" i="15" s="1"/>
  <c r="Y58" i="24"/>
  <c r="BE46" i="15" s="1"/>
  <c r="E262" i="24"/>
  <c r="AK163" i="15" s="1"/>
  <c r="Z262" i="24"/>
  <c r="BF163" i="15" s="1"/>
  <c r="E124" i="24"/>
  <c r="AK112" i="15" s="1"/>
  <c r="E91" i="24"/>
  <c r="AK79" i="15" s="1"/>
  <c r="E88" i="24"/>
  <c r="AK76" i="15" s="1"/>
  <c r="E131" i="24"/>
  <c r="AK119" i="15" s="1"/>
  <c r="E119" i="24"/>
  <c r="AK107" i="15" s="1"/>
  <c r="X232" i="24"/>
  <c r="BD133" i="15" s="1"/>
  <c r="E246" i="24"/>
  <c r="AK147" i="15" s="1"/>
  <c r="E128" i="24"/>
  <c r="AK116" i="15" s="1"/>
  <c r="E127" i="24"/>
  <c r="AK115" i="15" s="1"/>
  <c r="E126" i="24"/>
  <c r="AK114" i="15" s="1"/>
  <c r="E240" i="24"/>
  <c r="AK141" i="15" s="1"/>
  <c r="E122" i="24"/>
  <c r="AK110" i="15" s="1"/>
  <c r="E92" i="24"/>
  <c r="AK80" i="15" s="1"/>
  <c r="E234" i="24"/>
  <c r="AK135" i="15" s="1"/>
  <c r="N88" i="24"/>
  <c r="AT76" i="15" s="1"/>
  <c r="D58" i="24"/>
  <c r="AJ46" i="15" s="1"/>
  <c r="C82" i="24"/>
  <c r="C70" i="15" s="1"/>
  <c r="D86" i="24"/>
  <c r="AJ74" i="15" s="1"/>
  <c r="E232" i="24"/>
  <c r="AK133" i="15" s="1"/>
  <c r="C140" i="24"/>
  <c r="B37" i="15" s="1"/>
  <c r="G335" i="24"/>
  <c r="H336" i="24" s="1"/>
  <c r="I337" i="24" s="1"/>
  <c r="J338" i="24" s="1"/>
  <c r="K339" i="24" s="1"/>
  <c r="L340" i="24" s="1"/>
  <c r="M341" i="24" s="1"/>
  <c r="N342" i="24" s="1"/>
  <c r="S161" i="24"/>
  <c r="T162" i="24" s="1"/>
  <c r="U163" i="24" s="1"/>
  <c r="V164" i="24" s="1"/>
  <c r="W165" i="24" s="1"/>
  <c r="X166" i="24" s="1"/>
  <c r="Y167" i="24" s="1"/>
  <c r="Z168" i="24" s="1"/>
  <c r="Z48" i="24"/>
  <c r="P335" i="24"/>
  <c r="Q336" i="24" s="1"/>
  <c r="R337" i="24" s="1"/>
  <c r="S338" i="24" s="1"/>
  <c r="T339" i="24" s="1"/>
  <c r="U340" i="24" s="1"/>
  <c r="V341" i="24" s="1"/>
  <c r="W342" i="24" s="1"/>
  <c r="D163" i="24"/>
  <c r="E164" i="24" s="1"/>
  <c r="F165" i="24" s="1"/>
  <c r="G166" i="24" s="1"/>
  <c r="H167" i="24" s="1"/>
  <c r="I168" i="24" s="1"/>
  <c r="H335" i="24"/>
  <c r="I336" i="24" s="1"/>
  <c r="J337" i="24" s="1"/>
  <c r="K338" i="24" s="1"/>
  <c r="L339" i="24" s="1"/>
  <c r="M340" i="24" s="1"/>
  <c r="N341" i="24" s="1"/>
  <c r="O342" i="24" s="1"/>
  <c r="E335" i="24"/>
  <c r="F336" i="24" s="1"/>
  <c r="G337" i="24" s="1"/>
  <c r="H338" i="24" s="1"/>
  <c r="I339" i="24" s="1"/>
  <c r="J340" i="24" s="1"/>
  <c r="K341" i="24" s="1"/>
  <c r="L342" i="24" s="1"/>
  <c r="S335" i="24"/>
  <c r="T336" i="24" s="1"/>
  <c r="U337" i="24" s="1"/>
  <c r="V338" i="24" s="1"/>
  <c r="W339" i="24" s="1"/>
  <c r="X340" i="24" s="1"/>
  <c r="Y341" i="24" s="1"/>
  <c r="Z342" i="24" s="1"/>
  <c r="Q161" i="24"/>
  <c r="R162" i="24" s="1"/>
  <c r="S163" i="24" s="1"/>
  <c r="T164" i="24" s="1"/>
  <c r="U165" i="24" s="1"/>
  <c r="V166" i="24" s="1"/>
  <c r="W167" i="24" s="1"/>
  <c r="X168" i="24" s="1"/>
  <c r="I161" i="24"/>
  <c r="J162" i="24" s="1"/>
  <c r="K163" i="24" s="1"/>
  <c r="L164" i="24" s="1"/>
  <c r="M165" i="24" s="1"/>
  <c r="N166" i="24" s="1"/>
  <c r="O167" i="24" s="1"/>
  <c r="P168" i="24" s="1"/>
  <c r="D164" i="24"/>
  <c r="E165" i="24" s="1"/>
  <c r="F166" i="24" s="1"/>
  <c r="G167" i="24" s="1"/>
  <c r="H168" i="24" s="1"/>
  <c r="I335" i="24"/>
  <c r="J336" i="24" s="1"/>
  <c r="K337" i="24" s="1"/>
  <c r="L338" i="24" s="1"/>
  <c r="M339" i="24" s="1"/>
  <c r="N340" i="24" s="1"/>
  <c r="O341" i="24" s="1"/>
  <c r="P342" i="24" s="1"/>
  <c r="K335" i="24"/>
  <c r="L336" i="24" s="1"/>
  <c r="M337" i="24" s="1"/>
  <c r="N338" i="24" s="1"/>
  <c r="O339" i="24" s="1"/>
  <c r="P340" i="24" s="1"/>
  <c r="Q341" i="24" s="1"/>
  <c r="R342" i="24" s="1"/>
  <c r="M335" i="24"/>
  <c r="N336" i="24" s="1"/>
  <c r="O337" i="24" s="1"/>
  <c r="P338" i="24" s="1"/>
  <c r="Q339" i="24" s="1"/>
  <c r="R340" i="24" s="1"/>
  <c r="S341" i="24" s="1"/>
  <c r="T342" i="24" s="1"/>
  <c r="L335" i="24"/>
  <c r="M336" i="24" s="1"/>
  <c r="N337" i="24" s="1"/>
  <c r="O338" i="24" s="1"/>
  <c r="P339" i="24" s="1"/>
  <c r="Q340" i="24" s="1"/>
  <c r="R341" i="24" s="1"/>
  <c r="S342" i="24" s="1"/>
  <c r="D162" i="24"/>
  <c r="E163" i="24" s="1"/>
  <c r="F164" i="24" s="1"/>
  <c r="G165" i="24" s="1"/>
  <c r="H166" i="24" s="1"/>
  <c r="I167" i="24" s="1"/>
  <c r="J168" i="24" s="1"/>
  <c r="O161" i="24"/>
  <c r="P162" i="24" s="1"/>
  <c r="Q163" i="24" s="1"/>
  <c r="R164" i="24" s="1"/>
  <c r="S165" i="24" s="1"/>
  <c r="T166" i="24" s="1"/>
  <c r="U167" i="24" s="1"/>
  <c r="V168" i="24" s="1"/>
  <c r="O335" i="24"/>
  <c r="P336" i="24" s="1"/>
  <c r="Q337" i="24" s="1"/>
  <c r="R338" i="24" s="1"/>
  <c r="S339" i="24" s="1"/>
  <c r="T340" i="24" s="1"/>
  <c r="U341" i="24" s="1"/>
  <c r="V342" i="24" s="1"/>
  <c r="N335" i="24"/>
  <c r="O336" i="24" s="1"/>
  <c r="P337" i="24" s="1"/>
  <c r="Q338" i="24" s="1"/>
  <c r="R339" i="24" s="1"/>
  <c r="S340" i="24" s="1"/>
  <c r="T341" i="24" s="1"/>
  <c r="U342" i="24" s="1"/>
  <c r="N161" i="24"/>
  <c r="O162" i="24" s="1"/>
  <c r="P163" i="24" s="1"/>
  <c r="Q164" i="24" s="1"/>
  <c r="R165" i="24" s="1"/>
  <c r="S166" i="24" s="1"/>
  <c r="T167" i="24" s="1"/>
  <c r="U168" i="24" s="1"/>
  <c r="T161" i="24"/>
  <c r="U162" i="24" s="1"/>
  <c r="V163" i="24" s="1"/>
  <c r="W164" i="24" s="1"/>
  <c r="X165" i="24" s="1"/>
  <c r="Y166" i="24" s="1"/>
  <c r="Z167" i="24" s="1"/>
  <c r="AA168" i="24" s="1"/>
  <c r="X161" i="24"/>
  <c r="Y162" i="24" s="1"/>
  <c r="Z163" i="24" s="1"/>
  <c r="AA164" i="24" s="1"/>
  <c r="AB165" i="24" s="1"/>
  <c r="AC166" i="24" s="1"/>
  <c r="AD167" i="24" s="1"/>
  <c r="AE168" i="24" s="1"/>
  <c r="D340" i="24"/>
  <c r="E341" i="24" s="1"/>
  <c r="F342" i="24" s="1"/>
  <c r="D166" i="24"/>
  <c r="E167" i="24" s="1"/>
  <c r="F168" i="24" s="1"/>
  <c r="R335" i="24"/>
  <c r="S336" i="24" s="1"/>
  <c r="T337" i="24" s="1"/>
  <c r="U338" i="24" s="1"/>
  <c r="V339" i="24" s="1"/>
  <c r="W340" i="24" s="1"/>
  <c r="X341" i="24" s="1"/>
  <c r="Y342" i="24" s="1"/>
  <c r="F161" i="24"/>
  <c r="G162" i="24" s="1"/>
  <c r="H163" i="24" s="1"/>
  <c r="I164" i="24" s="1"/>
  <c r="J165" i="24" s="1"/>
  <c r="K166" i="24" s="1"/>
  <c r="L167" i="24" s="1"/>
  <c r="M168" i="24" s="1"/>
  <c r="AA161" i="24"/>
  <c r="AB162" i="24" s="1"/>
  <c r="AC163" i="24" s="1"/>
  <c r="AD164" i="24" s="1"/>
  <c r="AE165" i="24" s="1"/>
  <c r="D336" i="24"/>
  <c r="E337" i="24" s="1"/>
  <c r="F338" i="24" s="1"/>
  <c r="G339" i="24" s="1"/>
  <c r="H340" i="24" s="1"/>
  <c r="I341" i="24" s="1"/>
  <c r="J342" i="24" s="1"/>
  <c r="D161" i="24"/>
  <c r="E162" i="24" s="1"/>
  <c r="F163" i="24" s="1"/>
  <c r="G164" i="24" s="1"/>
  <c r="H165" i="24" s="1"/>
  <c r="I166" i="24" s="1"/>
  <c r="J167" i="24" s="1"/>
  <c r="K168" i="24" s="1"/>
  <c r="T335" i="24"/>
  <c r="U336" i="24" s="1"/>
  <c r="V337" i="24" s="1"/>
  <c r="W338" i="24" s="1"/>
  <c r="X339" i="24" s="1"/>
  <c r="Y340" i="24" s="1"/>
  <c r="Z341" i="24" s="1"/>
  <c r="AA342" i="24" s="1"/>
  <c r="D165" i="24"/>
  <c r="E166" i="24" s="1"/>
  <c r="F167" i="24" s="1"/>
  <c r="G168" i="24" s="1"/>
  <c r="F335" i="24"/>
  <c r="G336" i="24" s="1"/>
  <c r="H337" i="24" s="1"/>
  <c r="I338" i="24" s="1"/>
  <c r="J339" i="24" s="1"/>
  <c r="K340" i="24" s="1"/>
  <c r="L341" i="24" s="1"/>
  <c r="M342" i="24" s="1"/>
  <c r="P161" i="24"/>
  <c r="Q162" i="24" s="1"/>
  <c r="R163" i="24" s="1"/>
  <c r="S164" i="24" s="1"/>
  <c r="T165" i="24" s="1"/>
  <c r="U166" i="24" s="1"/>
  <c r="V167" i="24" s="1"/>
  <c r="W168" i="24" s="1"/>
  <c r="Q174" i="24"/>
  <c r="K58" i="24"/>
  <c r="AQ46" i="15" s="1"/>
  <c r="T174" i="24"/>
  <c r="K348" i="24"/>
  <c r="L349" i="24" s="1"/>
  <c r="M350" i="24" s="1"/>
  <c r="N351" i="24" s="1"/>
  <c r="O352" i="24" s="1"/>
  <c r="P353" i="24" s="1"/>
  <c r="Q354" i="24" s="1"/>
  <c r="R355" i="24" s="1"/>
  <c r="S356" i="24" s="1"/>
  <c r="T357" i="24" s="1"/>
  <c r="U358" i="24" s="1"/>
  <c r="V359" i="24" s="1"/>
  <c r="W360" i="24" s="1"/>
  <c r="X361" i="24" s="1"/>
  <c r="Y362" i="24" s="1"/>
  <c r="Z363" i="24" s="1"/>
  <c r="AA364" i="24" s="1"/>
  <c r="AB365" i="24" s="1"/>
  <c r="H348" i="24"/>
  <c r="I349" i="24" s="1"/>
  <c r="J350" i="24" s="1"/>
  <c r="K351" i="24" s="1"/>
  <c r="L352" i="24" s="1"/>
  <c r="M353" i="24" s="1"/>
  <c r="N354" i="24" s="1"/>
  <c r="O355" i="24" s="1"/>
  <c r="P356" i="24" s="1"/>
  <c r="Q357" i="24" s="1"/>
  <c r="R358" i="24" s="1"/>
  <c r="S359" i="24" s="1"/>
  <c r="T360" i="24" s="1"/>
  <c r="U361" i="24" s="1"/>
  <c r="V362" i="24" s="1"/>
  <c r="W363" i="24" s="1"/>
  <c r="X364" i="24" s="1"/>
  <c r="Y365" i="24" s="1"/>
  <c r="AD348" i="24"/>
  <c r="AE349" i="24" s="1"/>
  <c r="U348" i="24"/>
  <c r="V349" i="24" s="1"/>
  <c r="W350" i="24" s="1"/>
  <c r="X351" i="24" s="1"/>
  <c r="Y352" i="24" s="1"/>
  <c r="Z353" i="24" s="1"/>
  <c r="AA354" i="24" s="1"/>
  <c r="AB355" i="24" s="1"/>
  <c r="AC356" i="24" s="1"/>
  <c r="AD357" i="24" s="1"/>
  <c r="AE358" i="24" s="1"/>
  <c r="O203" i="24"/>
  <c r="L145" i="24"/>
  <c r="M146" i="24" s="1"/>
  <c r="N147" i="24" s="1"/>
  <c r="O148" i="24" s="1"/>
  <c r="P149" i="24" s="1"/>
  <c r="Q150" i="24" s="1"/>
  <c r="R151" i="24" s="1"/>
  <c r="S152" i="24" s="1"/>
  <c r="T153" i="24" s="1"/>
  <c r="U154" i="24" s="1"/>
  <c r="V155" i="24" s="1"/>
  <c r="W156" i="24" s="1"/>
  <c r="X157" i="24" s="1"/>
  <c r="Y158" i="24" s="1"/>
  <c r="Z159" i="24" s="1"/>
  <c r="AA160" i="24" s="1"/>
  <c r="AB161" i="24" s="1"/>
  <c r="AC162" i="24" s="1"/>
  <c r="AD163" i="24" s="1"/>
  <c r="AE164" i="24" s="1"/>
  <c r="S116" i="24"/>
  <c r="AY104" i="15" s="1"/>
  <c r="AA87" i="24"/>
  <c r="BG75" i="15" s="1"/>
  <c r="F87" i="24"/>
  <c r="AL75" i="15" s="1"/>
  <c r="M145" i="24"/>
  <c r="N146" i="24" s="1"/>
  <c r="O147" i="24" s="1"/>
  <c r="P148" i="24" s="1"/>
  <c r="Q149" i="24" s="1"/>
  <c r="R150" i="24" s="1"/>
  <c r="S151" i="24" s="1"/>
  <c r="T152" i="24" s="1"/>
  <c r="U153" i="24" s="1"/>
  <c r="V154" i="24" s="1"/>
  <c r="W155" i="24" s="1"/>
  <c r="X156" i="24" s="1"/>
  <c r="Y157" i="24" s="1"/>
  <c r="Z158" i="24" s="1"/>
  <c r="AA159" i="24" s="1"/>
  <c r="AB160" i="24" s="1"/>
  <c r="AC161" i="24" s="1"/>
  <c r="AD162" i="24" s="1"/>
  <c r="AE163" i="24" s="1"/>
  <c r="AC145" i="24"/>
  <c r="AD146" i="24" s="1"/>
  <c r="AE147" i="24" s="1"/>
  <c r="R145" i="24"/>
  <c r="M319" i="24"/>
  <c r="L319" i="24"/>
  <c r="M320" i="24" s="1"/>
  <c r="N321" i="24" s="1"/>
  <c r="O322" i="24" s="1"/>
  <c r="P323" i="24" s="1"/>
  <c r="Q324" i="24" s="1"/>
  <c r="R325" i="24" s="1"/>
  <c r="S326" i="24" s="1"/>
  <c r="T327" i="24" s="1"/>
  <c r="U328" i="24" s="1"/>
  <c r="V329" i="24" s="1"/>
  <c r="W330" i="24" s="1"/>
  <c r="X331" i="24" s="1"/>
  <c r="Y332" i="24" s="1"/>
  <c r="Z333" i="24" s="1"/>
  <c r="AA334" i="24" s="1"/>
  <c r="AB335" i="24" s="1"/>
  <c r="AC336" i="24" s="1"/>
  <c r="AD337" i="24" s="1"/>
  <c r="AE338" i="24" s="1"/>
  <c r="G319" i="24"/>
  <c r="W319" i="24"/>
  <c r="X320" i="24" s="1"/>
  <c r="Y321" i="24" s="1"/>
  <c r="Z322" i="24" s="1"/>
  <c r="AA323" i="24" s="1"/>
  <c r="AB324" i="24" s="1"/>
  <c r="AC325" i="24" s="1"/>
  <c r="AD326" i="24" s="1"/>
  <c r="AE327" i="24" s="1"/>
  <c r="L203" i="24"/>
  <c r="M204" i="24" s="1"/>
  <c r="N205" i="24" s="1"/>
  <c r="O206" i="24" s="1"/>
  <c r="P207" i="24" s="1"/>
  <c r="Q208" i="24" s="1"/>
  <c r="R209" i="24" s="1"/>
  <c r="S210" i="24" s="1"/>
  <c r="T211" i="24" s="1"/>
  <c r="U212" i="24" s="1"/>
  <c r="V213" i="24" s="1"/>
  <c r="W214" i="24" s="1"/>
  <c r="X215" i="24" s="1"/>
  <c r="Y216" i="24" s="1"/>
  <c r="Z217" i="24" s="1"/>
  <c r="AA218" i="24" s="1"/>
  <c r="AB219" i="24" s="1"/>
  <c r="AC220" i="24" s="1"/>
  <c r="AD221" i="24" s="1"/>
  <c r="AE222" i="24" s="1"/>
  <c r="H203" i="24"/>
  <c r="I204" i="24" s="1"/>
  <c r="J205" i="24" s="1"/>
  <c r="K206" i="24" s="1"/>
  <c r="L207" i="24" s="1"/>
  <c r="M208" i="24" s="1"/>
  <c r="N209" i="24" s="1"/>
  <c r="O210" i="24" s="1"/>
  <c r="P211" i="24" s="1"/>
  <c r="Q212" i="24" s="1"/>
  <c r="R213" i="24" s="1"/>
  <c r="S214" i="24" s="1"/>
  <c r="T215" i="24" s="1"/>
  <c r="U216" i="24" s="1"/>
  <c r="V217" i="24" s="1"/>
  <c r="W218" i="24" s="1"/>
  <c r="X219" i="24" s="1"/>
  <c r="Y220" i="24" s="1"/>
  <c r="Z221" i="24" s="1"/>
  <c r="AA222" i="24" s="1"/>
  <c r="AB223" i="24" s="1"/>
  <c r="AC224" i="24" s="1"/>
  <c r="AD225" i="24" s="1"/>
  <c r="AE226" i="24" s="1"/>
  <c r="AD203" i="24"/>
  <c r="U203" i="24"/>
  <c r="E319" i="24"/>
  <c r="F320" i="24" s="1"/>
  <c r="G321" i="24" s="1"/>
  <c r="H322" i="24" s="1"/>
  <c r="I323" i="24" s="1"/>
  <c r="J324" i="24" s="1"/>
  <c r="K325" i="24" s="1"/>
  <c r="L326" i="24" s="1"/>
  <c r="M327" i="24" s="1"/>
  <c r="N328" i="24" s="1"/>
  <c r="O329" i="24" s="1"/>
  <c r="P330" i="24" s="1"/>
  <c r="Q331" i="24" s="1"/>
  <c r="R332" i="24" s="1"/>
  <c r="S333" i="24" s="1"/>
  <c r="T334" i="24" s="1"/>
  <c r="U335" i="24" s="1"/>
  <c r="V336" i="24" s="1"/>
  <c r="W337" i="24" s="1"/>
  <c r="X338" i="24" s="1"/>
  <c r="Y339" i="24" s="1"/>
  <c r="Z340" i="24" s="1"/>
  <c r="AA341" i="24" s="1"/>
  <c r="AB342" i="24" s="1"/>
  <c r="M377" i="24"/>
  <c r="N378" i="24" s="1"/>
  <c r="O379" i="24" s="1"/>
  <c r="P380" i="24" s="1"/>
  <c r="Q381" i="24" s="1"/>
  <c r="R382" i="24" s="1"/>
  <c r="S383" i="24" s="1"/>
  <c r="T384" i="24" s="1"/>
  <c r="U385" i="24" s="1"/>
  <c r="V386" i="24" s="1"/>
  <c r="W387" i="24" s="1"/>
  <c r="X388" i="24" s="1"/>
  <c r="Y389" i="24" s="1"/>
  <c r="Z390" i="24" s="1"/>
  <c r="AA391" i="24" s="1"/>
  <c r="AB392" i="24" s="1"/>
  <c r="AC393" i="24" s="1"/>
  <c r="AD394" i="24" s="1"/>
  <c r="AE395" i="24" s="1"/>
  <c r="AD261" i="24"/>
  <c r="BJ162" i="15" s="1"/>
  <c r="L116" i="24"/>
  <c r="AR104" i="15" s="1"/>
  <c r="O87" i="24"/>
  <c r="AU75" i="15" s="1"/>
  <c r="L290" i="24"/>
  <c r="AR191" i="15" s="1"/>
  <c r="M116" i="24"/>
  <c r="AS104" i="15" s="1"/>
  <c r="AC116" i="24"/>
  <c r="BI104" i="15" s="1"/>
  <c r="AB290" i="24"/>
  <c r="BH191" i="15" s="1"/>
  <c r="Y290" i="24"/>
  <c r="BE191" i="15" s="1"/>
  <c r="N290" i="24"/>
  <c r="AT191" i="15" s="1"/>
  <c r="AD290" i="24"/>
  <c r="BJ191" i="15" s="1"/>
  <c r="E203" i="24"/>
  <c r="D227" i="24"/>
  <c r="AC377" i="24"/>
  <c r="AD378" i="24" s="1"/>
  <c r="AE379" i="24" s="1"/>
  <c r="P261" i="24"/>
  <c r="AV162" i="15" s="1"/>
  <c r="Y87" i="24"/>
  <c r="BE75" i="15" s="1"/>
  <c r="V377" i="24"/>
  <c r="W378" i="24" s="1"/>
  <c r="X379" i="24" s="1"/>
  <c r="Y380" i="24" s="1"/>
  <c r="Z381" i="24" s="1"/>
  <c r="AA382" i="24" s="1"/>
  <c r="AB383" i="24" s="1"/>
  <c r="AC384" i="24" s="1"/>
  <c r="AD385" i="24" s="1"/>
  <c r="AE386" i="24" s="1"/>
  <c r="I377" i="24"/>
  <c r="J378" i="24" s="1"/>
  <c r="K379" i="24" s="1"/>
  <c r="L380" i="24" s="1"/>
  <c r="M381" i="24" s="1"/>
  <c r="N382" i="24" s="1"/>
  <c r="O383" i="24" s="1"/>
  <c r="P384" i="24" s="1"/>
  <c r="Q385" i="24" s="1"/>
  <c r="R386" i="24" s="1"/>
  <c r="S387" i="24" s="1"/>
  <c r="T388" i="24" s="1"/>
  <c r="U389" i="24" s="1"/>
  <c r="V390" i="24" s="1"/>
  <c r="W391" i="24" s="1"/>
  <c r="X392" i="24" s="1"/>
  <c r="Y393" i="24" s="1"/>
  <c r="Z394" i="24" s="1"/>
  <c r="AA395" i="24" s="1"/>
  <c r="AB396" i="24" s="1"/>
  <c r="AC397" i="24" s="1"/>
  <c r="AD398" i="24" s="1"/>
  <c r="AE399" i="24" s="1"/>
  <c r="J377" i="24"/>
  <c r="K378" i="24" s="1"/>
  <c r="L379" i="24" s="1"/>
  <c r="M380" i="24" s="1"/>
  <c r="N381" i="24" s="1"/>
  <c r="O382" i="24" s="1"/>
  <c r="P383" i="24" s="1"/>
  <c r="Q384" i="24" s="1"/>
  <c r="R385" i="24" s="1"/>
  <c r="S386" i="24" s="1"/>
  <c r="T387" i="24" s="1"/>
  <c r="U388" i="24" s="1"/>
  <c r="V389" i="24" s="1"/>
  <c r="W390" i="24" s="1"/>
  <c r="X391" i="24" s="1"/>
  <c r="Y392" i="24" s="1"/>
  <c r="Z393" i="24" s="1"/>
  <c r="AA394" i="24" s="1"/>
  <c r="AB395" i="24" s="1"/>
  <c r="AC396" i="24" s="1"/>
  <c r="AD397" i="24" s="1"/>
  <c r="AE398" i="24" s="1"/>
  <c r="AE377" i="24"/>
  <c r="T377" i="24"/>
  <c r="U378" i="24" s="1"/>
  <c r="V379" i="24" s="1"/>
  <c r="W380" i="24" s="1"/>
  <c r="X381" i="24" s="1"/>
  <c r="Y382" i="24" s="1"/>
  <c r="Z383" i="24" s="1"/>
  <c r="AA384" i="24" s="1"/>
  <c r="AB385" i="24" s="1"/>
  <c r="AC386" i="24" s="1"/>
  <c r="AD387" i="24" s="1"/>
  <c r="AE388" i="24" s="1"/>
  <c r="F261" i="24"/>
  <c r="AL162" i="15" s="1"/>
  <c r="AB261" i="24"/>
  <c r="BH162" i="15" s="1"/>
  <c r="T87" i="24"/>
  <c r="AZ75" i="15" s="1"/>
  <c r="H261" i="24"/>
  <c r="AN162" i="15" s="1"/>
  <c r="AC261" i="24"/>
  <c r="BI162" i="15" s="1"/>
  <c r="S261" i="24"/>
  <c r="AY162" i="15" s="1"/>
  <c r="C314" i="24"/>
  <c r="C215" i="15" s="1"/>
  <c r="E348" i="24"/>
  <c r="D136" i="24"/>
  <c r="AJ124" i="15" s="1"/>
  <c r="C256" i="24"/>
  <c r="C157" i="15" s="1"/>
  <c r="AE348" i="24"/>
  <c r="P232" i="24"/>
  <c r="AV133" i="15" s="1"/>
  <c r="K174" i="24"/>
  <c r="L175" i="24" s="1"/>
  <c r="M176" i="24" s="1"/>
  <c r="N177" i="24" s="1"/>
  <c r="O178" i="24" s="1"/>
  <c r="P179" i="24" s="1"/>
  <c r="Q180" i="24" s="1"/>
  <c r="R181" i="24" s="1"/>
  <c r="S182" i="24" s="1"/>
  <c r="T183" i="24" s="1"/>
  <c r="U184" i="24" s="1"/>
  <c r="V185" i="24" s="1"/>
  <c r="W186" i="24" s="1"/>
  <c r="X187" i="24" s="1"/>
  <c r="Y188" i="24" s="1"/>
  <c r="Z189" i="24" s="1"/>
  <c r="AA190" i="24" s="1"/>
  <c r="AB191" i="24" s="1"/>
  <c r="H174" i="24"/>
  <c r="X174" i="24"/>
  <c r="R348" i="24"/>
  <c r="S349" i="24" s="1"/>
  <c r="T350" i="24" s="1"/>
  <c r="U351" i="24" s="1"/>
  <c r="V352" i="24" s="1"/>
  <c r="W353" i="24" s="1"/>
  <c r="X354" i="24" s="1"/>
  <c r="Y355" i="24" s="1"/>
  <c r="Z356" i="24" s="1"/>
  <c r="AA357" i="24" s="1"/>
  <c r="AB358" i="24" s="1"/>
  <c r="AC359" i="24" s="1"/>
  <c r="AD360" i="24" s="1"/>
  <c r="AE361" i="24" s="1"/>
  <c r="N348" i="24"/>
  <c r="I348" i="24"/>
  <c r="Y348" i="24"/>
  <c r="Z349" i="24" s="1"/>
  <c r="AA350" i="24" s="1"/>
  <c r="AB351" i="24" s="1"/>
  <c r="AC352" i="24" s="1"/>
  <c r="AD353" i="24" s="1"/>
  <c r="AE354" i="24" s="1"/>
  <c r="AD232" i="24"/>
  <c r="BJ133" i="15" s="1"/>
  <c r="X319" i="24"/>
  <c r="Y320" i="24" s="1"/>
  <c r="Z321" i="24" s="1"/>
  <c r="AA322" i="24" s="1"/>
  <c r="AB323" i="24" s="1"/>
  <c r="AC324" i="24" s="1"/>
  <c r="AD325" i="24" s="1"/>
  <c r="AE326" i="24" s="1"/>
  <c r="AC290" i="24"/>
  <c r="BI191" i="15" s="1"/>
  <c r="N116" i="24"/>
  <c r="AT104" i="15" s="1"/>
  <c r="V87" i="24"/>
  <c r="BB75" i="15" s="1"/>
  <c r="Q145" i="24"/>
  <c r="R146" i="24" s="1"/>
  <c r="S147" i="24" s="1"/>
  <c r="T148" i="24" s="1"/>
  <c r="U149" i="24" s="1"/>
  <c r="V150" i="24" s="1"/>
  <c r="W151" i="24" s="1"/>
  <c r="X152" i="24" s="1"/>
  <c r="Y153" i="24" s="1"/>
  <c r="Z154" i="24" s="1"/>
  <c r="AA155" i="24" s="1"/>
  <c r="AB156" i="24" s="1"/>
  <c r="AC157" i="24" s="1"/>
  <c r="AD158" i="24" s="1"/>
  <c r="AE159" i="24" s="1"/>
  <c r="J319" i="24"/>
  <c r="K320" i="24" s="1"/>
  <c r="L321" i="24" s="1"/>
  <c r="M322" i="24" s="1"/>
  <c r="N323" i="24" s="1"/>
  <c r="O324" i="24" s="1"/>
  <c r="P325" i="24" s="1"/>
  <c r="Q326" i="24" s="1"/>
  <c r="R327" i="24" s="1"/>
  <c r="S328" i="24" s="1"/>
  <c r="T329" i="24" s="1"/>
  <c r="U330" i="24" s="1"/>
  <c r="V331" i="24" s="1"/>
  <c r="W332" i="24" s="1"/>
  <c r="X333" i="24" s="1"/>
  <c r="Y334" i="24" s="1"/>
  <c r="Z335" i="24" s="1"/>
  <c r="AA336" i="24" s="1"/>
  <c r="AB337" i="24" s="1"/>
  <c r="AC338" i="24" s="1"/>
  <c r="AD339" i="24" s="1"/>
  <c r="AE340" i="24" s="1"/>
  <c r="F145" i="24"/>
  <c r="V145" i="24"/>
  <c r="T319" i="24"/>
  <c r="Q319" i="24"/>
  <c r="R320" i="24" s="1"/>
  <c r="S321" i="24" s="1"/>
  <c r="T322" i="24" s="1"/>
  <c r="U323" i="24" s="1"/>
  <c r="V324" i="24" s="1"/>
  <c r="W325" i="24" s="1"/>
  <c r="X326" i="24" s="1"/>
  <c r="Y327" i="24" s="1"/>
  <c r="Z328" i="24" s="1"/>
  <c r="AA329" i="24" s="1"/>
  <c r="AB330" i="24" s="1"/>
  <c r="AC331" i="24" s="1"/>
  <c r="AD332" i="24" s="1"/>
  <c r="AE333" i="24" s="1"/>
  <c r="K319" i="24"/>
  <c r="L320" i="24" s="1"/>
  <c r="M321" i="24" s="1"/>
  <c r="N322" i="24" s="1"/>
  <c r="O323" i="24" s="1"/>
  <c r="P324" i="24" s="1"/>
  <c r="Q325" i="24" s="1"/>
  <c r="R326" i="24" s="1"/>
  <c r="S327" i="24" s="1"/>
  <c r="T328" i="24" s="1"/>
  <c r="U329" i="24" s="1"/>
  <c r="V330" i="24" s="1"/>
  <c r="W331" i="24" s="1"/>
  <c r="X332" i="24" s="1"/>
  <c r="Y333" i="24" s="1"/>
  <c r="Z334" i="24" s="1"/>
  <c r="AA335" i="24" s="1"/>
  <c r="AB336" i="24" s="1"/>
  <c r="AC337" i="24" s="1"/>
  <c r="AD338" i="24" s="1"/>
  <c r="AE339" i="24" s="1"/>
  <c r="AA319" i="24"/>
  <c r="AB320" i="24" s="1"/>
  <c r="AC321" i="24" s="1"/>
  <c r="AD322" i="24" s="1"/>
  <c r="AE323" i="24" s="1"/>
  <c r="R203" i="24"/>
  <c r="S204" i="24" s="1"/>
  <c r="T205" i="24" s="1"/>
  <c r="U206" i="24" s="1"/>
  <c r="V207" i="24" s="1"/>
  <c r="W208" i="24" s="1"/>
  <c r="X209" i="24" s="1"/>
  <c r="Y210" i="24" s="1"/>
  <c r="Z211" i="24" s="1"/>
  <c r="AA212" i="24" s="1"/>
  <c r="AB213" i="24" s="1"/>
  <c r="AC214" i="24" s="1"/>
  <c r="AD215" i="24" s="1"/>
  <c r="AE216" i="24" s="1"/>
  <c r="N203" i="24"/>
  <c r="O204" i="24" s="1"/>
  <c r="P205" i="24" s="1"/>
  <c r="Q206" i="24" s="1"/>
  <c r="R207" i="24" s="1"/>
  <c r="S208" i="24" s="1"/>
  <c r="T209" i="24" s="1"/>
  <c r="U210" i="24" s="1"/>
  <c r="V211" i="24" s="1"/>
  <c r="W212" i="24" s="1"/>
  <c r="X213" i="24" s="1"/>
  <c r="Y214" i="24" s="1"/>
  <c r="Z215" i="24" s="1"/>
  <c r="AA216" i="24" s="1"/>
  <c r="AB217" i="24" s="1"/>
  <c r="AC218" i="24" s="1"/>
  <c r="AD219" i="24" s="1"/>
  <c r="AE220" i="24" s="1"/>
  <c r="I203" i="24"/>
  <c r="Y203" i="24"/>
  <c r="Z204" i="24" s="1"/>
  <c r="AA205" i="24" s="1"/>
  <c r="AB206" i="24" s="1"/>
  <c r="AC207" i="24" s="1"/>
  <c r="AD208" i="24" s="1"/>
  <c r="AE209" i="24" s="1"/>
  <c r="C343" i="24"/>
  <c r="X290" i="24"/>
  <c r="BD191" i="15" s="1"/>
  <c r="T261" i="24"/>
  <c r="AZ162" i="15" s="1"/>
  <c r="AD175" i="24"/>
  <c r="AB116" i="24"/>
  <c r="BH104" i="15" s="1"/>
  <c r="G116" i="24"/>
  <c r="AM104" i="15" s="1"/>
  <c r="AE87" i="24"/>
  <c r="BK75" i="15" s="1"/>
  <c r="J87" i="24"/>
  <c r="AP75" i="15" s="1"/>
  <c r="S290" i="24"/>
  <c r="AY191" i="15" s="1"/>
  <c r="Q116" i="24"/>
  <c r="AW104" i="15" s="1"/>
  <c r="G290" i="24"/>
  <c r="AM191" i="15" s="1"/>
  <c r="I290" i="24"/>
  <c r="AO191" i="15" s="1"/>
  <c r="AE290" i="24"/>
  <c r="BK191" i="15" s="1"/>
  <c r="R290" i="24"/>
  <c r="AX191" i="15" s="1"/>
  <c r="D308" i="24"/>
  <c r="AJ209" i="15" s="1"/>
  <c r="C227" i="24"/>
  <c r="D401" i="24"/>
  <c r="D105" i="26" s="1"/>
  <c r="E377" i="24"/>
  <c r="F378" i="24" s="1"/>
  <c r="G379" i="24" s="1"/>
  <c r="H380" i="24" s="1"/>
  <c r="I381" i="24" s="1"/>
  <c r="J382" i="24" s="1"/>
  <c r="K383" i="24" s="1"/>
  <c r="L384" i="24" s="1"/>
  <c r="M385" i="24" s="1"/>
  <c r="N386" i="24" s="1"/>
  <c r="O387" i="24" s="1"/>
  <c r="P388" i="24" s="1"/>
  <c r="Q389" i="24" s="1"/>
  <c r="R390" i="24" s="1"/>
  <c r="S391" i="24" s="1"/>
  <c r="T392" i="24" s="1"/>
  <c r="U393" i="24" s="1"/>
  <c r="V394" i="24" s="1"/>
  <c r="W395" i="24" s="1"/>
  <c r="X396" i="24" s="1"/>
  <c r="Y397" i="24" s="1"/>
  <c r="Z398" i="24" s="1"/>
  <c r="AA399" i="24" s="1"/>
  <c r="AB400" i="24" s="1"/>
  <c r="E261" i="24"/>
  <c r="AK162" i="15" s="1"/>
  <c r="S87" i="24"/>
  <c r="AY75" i="15" s="1"/>
  <c r="G377" i="24"/>
  <c r="H378" i="24" s="1"/>
  <c r="I379" i="24" s="1"/>
  <c r="J380" i="24" s="1"/>
  <c r="K381" i="24" s="1"/>
  <c r="L382" i="24" s="1"/>
  <c r="M383" i="24" s="1"/>
  <c r="N384" i="24" s="1"/>
  <c r="O385" i="24" s="1"/>
  <c r="P386" i="24" s="1"/>
  <c r="Q387" i="24" s="1"/>
  <c r="R388" i="24" s="1"/>
  <c r="S389" i="24" s="1"/>
  <c r="T390" i="24" s="1"/>
  <c r="U391" i="24" s="1"/>
  <c r="V392" i="24" s="1"/>
  <c r="W393" i="24" s="1"/>
  <c r="X394" i="24" s="1"/>
  <c r="Y395" i="24" s="1"/>
  <c r="Z396" i="24" s="1"/>
  <c r="AA397" i="24" s="1"/>
  <c r="AB398" i="24" s="1"/>
  <c r="AC399" i="24" s="1"/>
  <c r="AD400" i="24" s="1"/>
  <c r="F377" i="24"/>
  <c r="G378" i="24" s="1"/>
  <c r="H379" i="24" s="1"/>
  <c r="I380" i="24" s="1"/>
  <c r="J381" i="24" s="1"/>
  <c r="K382" i="24" s="1"/>
  <c r="L383" i="24" s="1"/>
  <c r="M384" i="24" s="1"/>
  <c r="N385" i="24" s="1"/>
  <c r="O386" i="24" s="1"/>
  <c r="P387" i="24" s="1"/>
  <c r="Q388" i="24" s="1"/>
  <c r="R389" i="24" s="1"/>
  <c r="S390" i="24" s="1"/>
  <c r="T391" i="24" s="1"/>
  <c r="U392" i="24" s="1"/>
  <c r="V393" i="24" s="1"/>
  <c r="W394" i="24" s="1"/>
  <c r="X395" i="24" s="1"/>
  <c r="Y396" i="24" s="1"/>
  <c r="Z397" i="24" s="1"/>
  <c r="AA398" i="24" s="1"/>
  <c r="AB399" i="24" s="1"/>
  <c r="AC400" i="24" s="1"/>
  <c r="Q377" i="24"/>
  <c r="R378" i="24" s="1"/>
  <c r="S379" i="24" s="1"/>
  <c r="T380" i="24" s="1"/>
  <c r="U381" i="24" s="1"/>
  <c r="V382" i="24" s="1"/>
  <c r="W383" i="24" s="1"/>
  <c r="X384" i="24" s="1"/>
  <c r="Y385" i="24" s="1"/>
  <c r="Z386" i="24" s="1"/>
  <c r="AA387" i="24" s="1"/>
  <c r="AB388" i="24" s="1"/>
  <c r="AC389" i="24" s="1"/>
  <c r="AD390" i="24" s="1"/>
  <c r="AE391" i="24" s="1"/>
  <c r="O377" i="24"/>
  <c r="P378" i="24" s="1"/>
  <c r="Q379" i="24" s="1"/>
  <c r="R380" i="24" s="1"/>
  <c r="S381" i="24" s="1"/>
  <c r="T382" i="24" s="1"/>
  <c r="U383" i="24" s="1"/>
  <c r="V384" i="24" s="1"/>
  <c r="W385" i="24" s="1"/>
  <c r="X386" i="24" s="1"/>
  <c r="Y387" i="24" s="1"/>
  <c r="Z388" i="24" s="1"/>
  <c r="AA389" i="24" s="1"/>
  <c r="AB390" i="24" s="1"/>
  <c r="AC391" i="24" s="1"/>
  <c r="AD392" i="24" s="1"/>
  <c r="AE393" i="24" s="1"/>
  <c r="H377" i="24"/>
  <c r="I378" i="24" s="1"/>
  <c r="J379" i="24" s="1"/>
  <c r="K380" i="24" s="1"/>
  <c r="L381" i="24" s="1"/>
  <c r="M382" i="24" s="1"/>
  <c r="N383" i="24" s="1"/>
  <c r="O384" i="24" s="1"/>
  <c r="P385" i="24" s="1"/>
  <c r="Q386" i="24" s="1"/>
  <c r="R387" i="24" s="1"/>
  <c r="S388" i="24" s="1"/>
  <c r="T389" i="24" s="1"/>
  <c r="U390" i="24" s="1"/>
  <c r="V391" i="24" s="1"/>
  <c r="W392" i="24" s="1"/>
  <c r="X393" i="24" s="1"/>
  <c r="Y394" i="24" s="1"/>
  <c r="Z395" i="24" s="1"/>
  <c r="AA396" i="24" s="1"/>
  <c r="AB397" i="24" s="1"/>
  <c r="AC398" i="24" s="1"/>
  <c r="AD399" i="24" s="1"/>
  <c r="AE400" i="24" s="1"/>
  <c r="X377" i="24"/>
  <c r="Y378" i="24" s="1"/>
  <c r="Z379" i="24" s="1"/>
  <c r="AA380" i="24" s="1"/>
  <c r="AB381" i="24" s="1"/>
  <c r="AC382" i="24" s="1"/>
  <c r="AD383" i="24" s="1"/>
  <c r="AE384" i="24" s="1"/>
  <c r="L261" i="24"/>
  <c r="AR162" i="15" s="1"/>
  <c r="H87" i="24"/>
  <c r="AN75" i="15" s="1"/>
  <c r="X87" i="24"/>
  <c r="BD75" i="15" s="1"/>
  <c r="M261" i="24"/>
  <c r="AS162" i="15" s="1"/>
  <c r="G261" i="24"/>
  <c r="AM162" i="15" s="1"/>
  <c r="W261" i="24"/>
  <c r="BC162" i="15" s="1"/>
  <c r="D134" i="24"/>
  <c r="AJ122" i="15" s="1"/>
  <c r="AA58" i="24"/>
  <c r="BG46" i="15" s="1"/>
  <c r="C372" i="24"/>
  <c r="E145" i="24"/>
  <c r="F146" i="24" s="1"/>
  <c r="G147" i="24" s="1"/>
  <c r="H148" i="24" s="1"/>
  <c r="I149" i="24" s="1"/>
  <c r="J150" i="24" s="1"/>
  <c r="K151" i="24" s="1"/>
  <c r="L152" i="24" s="1"/>
  <c r="M153" i="24" s="1"/>
  <c r="N154" i="24" s="1"/>
  <c r="O155" i="24" s="1"/>
  <c r="P156" i="24" s="1"/>
  <c r="Q157" i="24" s="1"/>
  <c r="R158" i="24" s="1"/>
  <c r="S159" i="24" s="1"/>
  <c r="T160" i="24" s="1"/>
  <c r="U161" i="24" s="1"/>
  <c r="V162" i="24" s="1"/>
  <c r="W163" i="24" s="1"/>
  <c r="X164" i="24" s="1"/>
  <c r="Y165" i="24" s="1"/>
  <c r="Z166" i="24" s="1"/>
  <c r="AA167" i="24" s="1"/>
  <c r="AB168" i="24" s="1"/>
  <c r="N232" i="24"/>
  <c r="AT133" i="15" s="1"/>
  <c r="V348" i="24"/>
  <c r="AA174" i="24"/>
  <c r="AB175" i="24" s="1"/>
  <c r="AC176" i="24" s="1"/>
  <c r="AD177" i="24" s="1"/>
  <c r="AE178" i="24" s="1"/>
  <c r="F174" i="24"/>
  <c r="L174" i="24"/>
  <c r="AB174" i="24"/>
  <c r="Z348" i="24"/>
  <c r="S348" i="24"/>
  <c r="M348" i="24"/>
  <c r="N349" i="24" s="1"/>
  <c r="O350" i="24" s="1"/>
  <c r="P351" i="24" s="1"/>
  <c r="Q352" i="24" s="1"/>
  <c r="R353" i="24" s="1"/>
  <c r="S354" i="24" s="1"/>
  <c r="T355" i="24" s="1"/>
  <c r="U356" i="24" s="1"/>
  <c r="V357" i="24" s="1"/>
  <c r="W358" i="24" s="1"/>
  <c r="X359" i="24" s="1"/>
  <c r="Y360" i="24" s="1"/>
  <c r="Z361" i="24" s="1"/>
  <c r="AA362" i="24" s="1"/>
  <c r="AB363" i="24" s="1"/>
  <c r="AC364" i="24" s="1"/>
  <c r="AD365" i="24" s="1"/>
  <c r="AC348" i="24"/>
  <c r="AD349" i="24" s="1"/>
  <c r="AE350" i="24" s="1"/>
  <c r="C285" i="24"/>
  <c r="C186" i="15" s="1"/>
  <c r="R377" i="24"/>
  <c r="S378" i="24" s="1"/>
  <c r="T379" i="24" s="1"/>
  <c r="U380" i="24" s="1"/>
  <c r="V381" i="24" s="1"/>
  <c r="W382" i="24" s="1"/>
  <c r="X383" i="24" s="1"/>
  <c r="Y384" i="24" s="1"/>
  <c r="Z385" i="24" s="1"/>
  <c r="AA386" i="24" s="1"/>
  <c r="AB387" i="24" s="1"/>
  <c r="AC388" i="24" s="1"/>
  <c r="AD389" i="24" s="1"/>
  <c r="AE390" i="24" s="1"/>
  <c r="I319" i="24"/>
  <c r="J320" i="24" s="1"/>
  <c r="K321" i="24" s="1"/>
  <c r="L322" i="24" s="1"/>
  <c r="M323" i="24" s="1"/>
  <c r="N324" i="24" s="1"/>
  <c r="O325" i="24" s="1"/>
  <c r="P326" i="24" s="1"/>
  <c r="Q327" i="24" s="1"/>
  <c r="R328" i="24" s="1"/>
  <c r="S329" i="24" s="1"/>
  <c r="T330" i="24" s="1"/>
  <c r="U331" i="24" s="1"/>
  <c r="V332" i="24" s="1"/>
  <c r="W333" i="24" s="1"/>
  <c r="X334" i="24" s="1"/>
  <c r="Y335" i="24" s="1"/>
  <c r="Z336" i="24" s="1"/>
  <c r="AA337" i="24" s="1"/>
  <c r="AB338" i="24" s="1"/>
  <c r="AC339" i="24" s="1"/>
  <c r="AD340" i="24" s="1"/>
  <c r="AE341" i="24" s="1"/>
  <c r="P290" i="24"/>
  <c r="AV191" i="15" s="1"/>
  <c r="U261" i="24"/>
  <c r="BA162" i="15" s="1"/>
  <c r="AB145" i="24"/>
  <c r="AC146" i="24" s="1"/>
  <c r="AD147" i="24" s="1"/>
  <c r="AE148" i="24" s="1"/>
  <c r="D135" i="24"/>
  <c r="AJ123" i="15" s="1"/>
  <c r="AD116" i="24"/>
  <c r="BJ104" i="15" s="1"/>
  <c r="H116" i="24"/>
  <c r="AN104" i="15" s="1"/>
  <c r="Q87" i="24"/>
  <c r="AW75" i="15" s="1"/>
  <c r="U145" i="24"/>
  <c r="V146" i="24" s="1"/>
  <c r="W147" i="24" s="1"/>
  <c r="X148" i="24" s="1"/>
  <c r="Y149" i="24" s="1"/>
  <c r="Z150" i="24" s="1"/>
  <c r="AA151" i="24" s="1"/>
  <c r="AB152" i="24" s="1"/>
  <c r="AC153" i="24" s="1"/>
  <c r="AD154" i="24" s="1"/>
  <c r="AE155" i="24" s="1"/>
  <c r="R319" i="24"/>
  <c r="S320" i="24" s="1"/>
  <c r="T321" i="24" s="1"/>
  <c r="U322" i="24" s="1"/>
  <c r="V323" i="24" s="1"/>
  <c r="W324" i="24" s="1"/>
  <c r="X325" i="24" s="1"/>
  <c r="Y326" i="24" s="1"/>
  <c r="Z327" i="24" s="1"/>
  <c r="AA328" i="24" s="1"/>
  <c r="AB329" i="24" s="1"/>
  <c r="AC330" i="24" s="1"/>
  <c r="AD331" i="24" s="1"/>
  <c r="AE332" i="24" s="1"/>
  <c r="J145" i="24"/>
  <c r="Z145" i="24"/>
  <c r="Z319" i="24"/>
  <c r="AA320" i="24" s="1"/>
  <c r="AB321" i="24" s="1"/>
  <c r="AC322" i="24" s="1"/>
  <c r="AD323" i="24" s="1"/>
  <c r="AE324" i="24" s="1"/>
  <c r="V319" i="24"/>
  <c r="W320" i="24" s="1"/>
  <c r="X321" i="24" s="1"/>
  <c r="Y322" i="24" s="1"/>
  <c r="Z323" i="24" s="1"/>
  <c r="AA324" i="24" s="1"/>
  <c r="AB325" i="24" s="1"/>
  <c r="AC326" i="24" s="1"/>
  <c r="AD327" i="24" s="1"/>
  <c r="AE328" i="24" s="1"/>
  <c r="O319" i="24"/>
  <c r="AE319" i="24"/>
  <c r="W203" i="24"/>
  <c r="X204" i="24" s="1"/>
  <c r="Y205" i="24" s="1"/>
  <c r="Z206" i="24" s="1"/>
  <c r="AA207" i="24" s="1"/>
  <c r="AB208" i="24" s="1"/>
  <c r="AC209" i="24" s="1"/>
  <c r="AD210" i="24" s="1"/>
  <c r="AE211" i="24" s="1"/>
  <c r="S203" i="24"/>
  <c r="M203" i="24"/>
  <c r="N204" i="24" s="1"/>
  <c r="O205" i="24" s="1"/>
  <c r="P206" i="24" s="1"/>
  <c r="Q207" i="24" s="1"/>
  <c r="R208" i="24" s="1"/>
  <c r="S209" i="24" s="1"/>
  <c r="T210" i="24" s="1"/>
  <c r="U211" i="24" s="1"/>
  <c r="V212" i="24" s="1"/>
  <c r="W213" i="24" s="1"/>
  <c r="X214" i="24" s="1"/>
  <c r="Y215" i="24" s="1"/>
  <c r="Z216" i="24" s="1"/>
  <c r="AA217" i="24" s="1"/>
  <c r="AB218" i="24" s="1"/>
  <c r="AC219" i="24" s="1"/>
  <c r="AD220" i="24" s="1"/>
  <c r="AE221" i="24" s="1"/>
  <c r="AC203" i="24"/>
  <c r="AD204" i="24" s="1"/>
  <c r="AE205" i="24" s="1"/>
  <c r="F308" i="24"/>
  <c r="AL209" i="15" s="1"/>
  <c r="K290" i="24"/>
  <c r="AQ191" i="15" s="1"/>
  <c r="I261" i="24"/>
  <c r="AO162" i="15" s="1"/>
  <c r="W116" i="24"/>
  <c r="BC104" i="15" s="1"/>
  <c r="Z87" i="24"/>
  <c r="BF75" i="15" s="1"/>
  <c r="AA290" i="24"/>
  <c r="BG191" i="15" s="1"/>
  <c r="U116" i="24"/>
  <c r="BA104" i="15" s="1"/>
  <c r="M290" i="24"/>
  <c r="AS191" i="15" s="1"/>
  <c r="O290" i="24"/>
  <c r="AU191" i="15" s="1"/>
  <c r="F290" i="24"/>
  <c r="AL191" i="15" s="1"/>
  <c r="V290" i="24"/>
  <c r="BB191" i="15" s="1"/>
  <c r="C401" i="24"/>
  <c r="N87" i="24"/>
  <c r="AT75" i="15" s="1"/>
  <c r="S377" i="24"/>
  <c r="T378" i="24" s="1"/>
  <c r="U379" i="24" s="1"/>
  <c r="V380" i="24" s="1"/>
  <c r="W381" i="24" s="1"/>
  <c r="X382" i="24" s="1"/>
  <c r="Y383" i="24" s="1"/>
  <c r="Z384" i="24" s="1"/>
  <c r="AA385" i="24" s="1"/>
  <c r="AB386" i="24" s="1"/>
  <c r="AC387" i="24" s="1"/>
  <c r="AD388" i="24" s="1"/>
  <c r="AE389" i="24" s="1"/>
  <c r="N377" i="24"/>
  <c r="O378" i="24" s="1"/>
  <c r="P379" i="24" s="1"/>
  <c r="Q380" i="24" s="1"/>
  <c r="R381" i="24" s="1"/>
  <c r="S382" i="24" s="1"/>
  <c r="T383" i="24" s="1"/>
  <c r="U384" i="24" s="1"/>
  <c r="V385" i="24" s="1"/>
  <c r="W386" i="24" s="1"/>
  <c r="X387" i="24" s="1"/>
  <c r="Y388" i="24" s="1"/>
  <c r="Z389" i="24" s="1"/>
  <c r="AA390" i="24" s="1"/>
  <c r="AB391" i="24" s="1"/>
  <c r="AC392" i="24" s="1"/>
  <c r="AD393" i="24" s="1"/>
  <c r="AE394" i="24" s="1"/>
  <c r="W377" i="24"/>
  <c r="X378" i="24" s="1"/>
  <c r="Y379" i="24" s="1"/>
  <c r="Z380" i="24" s="1"/>
  <c r="AA381" i="24" s="1"/>
  <c r="AB382" i="24" s="1"/>
  <c r="AC383" i="24" s="1"/>
  <c r="AD384" i="24" s="1"/>
  <c r="AE385" i="24" s="1"/>
  <c r="U377" i="24"/>
  <c r="V378" i="24" s="1"/>
  <c r="W379" i="24" s="1"/>
  <c r="X380" i="24" s="1"/>
  <c r="Y381" i="24" s="1"/>
  <c r="Z382" i="24" s="1"/>
  <c r="AA383" i="24" s="1"/>
  <c r="AB384" i="24" s="1"/>
  <c r="AC385" i="24" s="1"/>
  <c r="AD386" i="24" s="1"/>
  <c r="AE387" i="24" s="1"/>
  <c r="L377" i="24"/>
  <c r="M378" i="24" s="1"/>
  <c r="N379" i="24" s="1"/>
  <c r="O380" i="24" s="1"/>
  <c r="P381" i="24" s="1"/>
  <c r="Q382" i="24" s="1"/>
  <c r="R383" i="24" s="1"/>
  <c r="S384" i="24" s="1"/>
  <c r="T385" i="24" s="1"/>
  <c r="U386" i="24" s="1"/>
  <c r="V387" i="24" s="1"/>
  <c r="W388" i="24" s="1"/>
  <c r="X389" i="24" s="1"/>
  <c r="Y390" i="24" s="1"/>
  <c r="Z391" i="24" s="1"/>
  <c r="AA392" i="24" s="1"/>
  <c r="AB393" i="24" s="1"/>
  <c r="AC394" i="24" s="1"/>
  <c r="AD395" i="24" s="1"/>
  <c r="AE396" i="24" s="1"/>
  <c r="AB377" i="24"/>
  <c r="AC378" i="24" s="1"/>
  <c r="AD379" i="24" s="1"/>
  <c r="AE380" i="24" s="1"/>
  <c r="Q261" i="24"/>
  <c r="AW162" i="15" s="1"/>
  <c r="L87" i="24"/>
  <c r="AR75" i="15" s="1"/>
  <c r="AB87" i="24"/>
  <c r="BH75" i="15" s="1"/>
  <c r="R261" i="24"/>
  <c r="AX162" i="15" s="1"/>
  <c r="K261" i="24"/>
  <c r="AQ162" i="15" s="1"/>
  <c r="AA261" i="24"/>
  <c r="BG162" i="15" s="1"/>
  <c r="C169" i="24"/>
  <c r="AL2" i="26" s="1"/>
  <c r="D366" i="24"/>
  <c r="D365" i="24"/>
  <c r="E116" i="24"/>
  <c r="AK104" i="15" s="1"/>
  <c r="L348" i="24"/>
  <c r="M349" i="24" s="1"/>
  <c r="N350" i="24" s="1"/>
  <c r="O351" i="24" s="1"/>
  <c r="P352" i="24" s="1"/>
  <c r="Q353" i="24" s="1"/>
  <c r="R354" i="24" s="1"/>
  <c r="S355" i="24" s="1"/>
  <c r="T356" i="24" s="1"/>
  <c r="U357" i="24" s="1"/>
  <c r="V358" i="24" s="1"/>
  <c r="W359" i="24" s="1"/>
  <c r="X360" i="24" s="1"/>
  <c r="Y361" i="24" s="1"/>
  <c r="Z362" i="24" s="1"/>
  <c r="AA363" i="24" s="1"/>
  <c r="AB364" i="24" s="1"/>
  <c r="AC365" i="24" s="1"/>
  <c r="V174" i="24"/>
  <c r="O58" i="24"/>
  <c r="AU46" i="15" s="1"/>
  <c r="P174" i="24"/>
  <c r="Q175" i="24" s="1"/>
  <c r="R176" i="24" s="1"/>
  <c r="S177" i="24" s="1"/>
  <c r="T178" i="24" s="1"/>
  <c r="U179" i="24" s="1"/>
  <c r="V180" i="24" s="1"/>
  <c r="W181" i="24" s="1"/>
  <c r="X182" i="24" s="1"/>
  <c r="Y183" i="24" s="1"/>
  <c r="Z184" i="24" s="1"/>
  <c r="AA185" i="24" s="1"/>
  <c r="AB186" i="24" s="1"/>
  <c r="AC187" i="24" s="1"/>
  <c r="AD188" i="24" s="1"/>
  <c r="AE189" i="24" s="1"/>
  <c r="X348" i="24"/>
  <c r="Y349" i="24" s="1"/>
  <c r="Z350" i="24" s="1"/>
  <c r="AA351" i="24" s="1"/>
  <c r="AB352" i="24" s="1"/>
  <c r="AC353" i="24" s="1"/>
  <c r="AD354" i="24" s="1"/>
  <c r="AE355" i="24" s="1"/>
  <c r="Q348" i="24"/>
  <c r="R349" i="24" s="1"/>
  <c r="S350" i="24" s="1"/>
  <c r="T351" i="24" s="1"/>
  <c r="U352" i="24" s="1"/>
  <c r="V353" i="24" s="1"/>
  <c r="W354" i="24" s="1"/>
  <c r="X355" i="24" s="1"/>
  <c r="Y356" i="24" s="1"/>
  <c r="Z357" i="24" s="1"/>
  <c r="AA358" i="24" s="1"/>
  <c r="AB359" i="24" s="1"/>
  <c r="AC360" i="24" s="1"/>
  <c r="AD361" i="24" s="1"/>
  <c r="AE362" i="24" s="1"/>
  <c r="Q48" i="24"/>
  <c r="Z232" i="24"/>
  <c r="BF133" i="15" s="1"/>
  <c r="R232" i="24"/>
  <c r="AX133" i="15" s="1"/>
  <c r="J261" i="24"/>
  <c r="AP162" i="15" s="1"/>
  <c r="Z203" i="24"/>
  <c r="F191" i="24"/>
  <c r="T145" i="24"/>
  <c r="U146" i="24" s="1"/>
  <c r="V147" i="24" s="1"/>
  <c r="W148" i="24" s="1"/>
  <c r="X149" i="24" s="1"/>
  <c r="Y150" i="24" s="1"/>
  <c r="Z151" i="24" s="1"/>
  <c r="AA152" i="24" s="1"/>
  <c r="AB153" i="24" s="1"/>
  <c r="AC154" i="24" s="1"/>
  <c r="AD155" i="24" s="1"/>
  <c r="AE156" i="24" s="1"/>
  <c r="X116" i="24"/>
  <c r="BD104" i="15" s="1"/>
  <c r="K87" i="24"/>
  <c r="AQ75" i="15" s="1"/>
  <c r="I145" i="24"/>
  <c r="J146" i="24" s="1"/>
  <c r="K147" i="24" s="1"/>
  <c r="L148" i="24" s="1"/>
  <c r="M149" i="24" s="1"/>
  <c r="N150" i="24" s="1"/>
  <c r="O151" i="24" s="1"/>
  <c r="P152" i="24" s="1"/>
  <c r="Q153" i="24" s="1"/>
  <c r="R154" i="24" s="1"/>
  <c r="S155" i="24" s="1"/>
  <c r="T156" i="24" s="1"/>
  <c r="U157" i="24" s="1"/>
  <c r="V158" i="24" s="1"/>
  <c r="W159" i="24" s="1"/>
  <c r="X160" i="24" s="1"/>
  <c r="Y161" i="24" s="1"/>
  <c r="Z162" i="24" s="1"/>
  <c r="AA163" i="24" s="1"/>
  <c r="AB164" i="24" s="1"/>
  <c r="AC165" i="24" s="1"/>
  <c r="AD166" i="24" s="1"/>
  <c r="AE167" i="24" s="1"/>
  <c r="Y145" i="24"/>
  <c r="Z146" i="24" s="1"/>
  <c r="AA147" i="24" s="1"/>
  <c r="AB148" i="24" s="1"/>
  <c r="AC149" i="24" s="1"/>
  <c r="AD150" i="24" s="1"/>
  <c r="AE151" i="24" s="1"/>
  <c r="Y319" i="24"/>
  <c r="Z320" i="24" s="1"/>
  <c r="AA321" i="24" s="1"/>
  <c r="AB322" i="24" s="1"/>
  <c r="AC323" i="24" s="1"/>
  <c r="AD324" i="24" s="1"/>
  <c r="AE325" i="24" s="1"/>
  <c r="N145" i="24"/>
  <c r="AD145" i="24"/>
  <c r="F319" i="24"/>
  <c r="G320" i="24" s="1"/>
  <c r="H321" i="24" s="1"/>
  <c r="I322" i="24" s="1"/>
  <c r="J323" i="24" s="1"/>
  <c r="K324" i="24" s="1"/>
  <c r="L325" i="24" s="1"/>
  <c r="M326" i="24" s="1"/>
  <c r="N327" i="24" s="1"/>
  <c r="O328" i="24" s="1"/>
  <c r="P329" i="24" s="1"/>
  <c r="Q330" i="24" s="1"/>
  <c r="R331" i="24" s="1"/>
  <c r="S332" i="24" s="1"/>
  <c r="T333" i="24" s="1"/>
  <c r="U334" i="24" s="1"/>
  <c r="V335" i="24" s="1"/>
  <c r="W336" i="24" s="1"/>
  <c r="X337" i="24" s="1"/>
  <c r="Y338" i="24" s="1"/>
  <c r="Z339" i="24" s="1"/>
  <c r="AA340" i="24" s="1"/>
  <c r="AB341" i="24" s="1"/>
  <c r="AC342" i="24" s="1"/>
  <c r="AB319" i="24"/>
  <c r="S319" i="24"/>
  <c r="T320" i="24" s="1"/>
  <c r="U321" i="24" s="1"/>
  <c r="V322" i="24" s="1"/>
  <c r="W323" i="24" s="1"/>
  <c r="X324" i="24" s="1"/>
  <c r="Y325" i="24" s="1"/>
  <c r="Z326" i="24" s="1"/>
  <c r="AA327" i="24" s="1"/>
  <c r="AB328" i="24" s="1"/>
  <c r="AC329" i="24" s="1"/>
  <c r="AD330" i="24" s="1"/>
  <c r="AE331" i="24" s="1"/>
  <c r="G203" i="24"/>
  <c r="H204" i="24" s="1"/>
  <c r="I205" i="24" s="1"/>
  <c r="J206" i="24" s="1"/>
  <c r="K207" i="24" s="1"/>
  <c r="L208" i="24" s="1"/>
  <c r="M209" i="24" s="1"/>
  <c r="N210" i="24" s="1"/>
  <c r="O211" i="24" s="1"/>
  <c r="P212" i="24" s="1"/>
  <c r="Q213" i="24" s="1"/>
  <c r="R214" i="24" s="1"/>
  <c r="S215" i="24" s="1"/>
  <c r="T216" i="24" s="1"/>
  <c r="U217" i="24" s="1"/>
  <c r="V218" i="24" s="1"/>
  <c r="W219" i="24" s="1"/>
  <c r="X220" i="24" s="1"/>
  <c r="Y221" i="24" s="1"/>
  <c r="Z222" i="24" s="1"/>
  <c r="AA223" i="24" s="1"/>
  <c r="AB224" i="24" s="1"/>
  <c r="AC225" i="24" s="1"/>
  <c r="AD226" i="24" s="1"/>
  <c r="AB203" i="24"/>
  <c r="AC204" i="24" s="1"/>
  <c r="AD205" i="24" s="1"/>
  <c r="AE206" i="24" s="1"/>
  <c r="X203" i="24"/>
  <c r="Y204" i="24" s="1"/>
  <c r="Z205" i="24" s="1"/>
  <c r="AA206" i="24" s="1"/>
  <c r="AB207" i="24" s="1"/>
  <c r="AC208" i="24" s="1"/>
  <c r="AD209" i="24" s="1"/>
  <c r="AE210" i="24" s="1"/>
  <c r="Q203" i="24"/>
  <c r="R204" i="24" s="1"/>
  <c r="S205" i="24" s="1"/>
  <c r="T206" i="24" s="1"/>
  <c r="U207" i="24" s="1"/>
  <c r="V208" i="24" s="1"/>
  <c r="W209" i="24" s="1"/>
  <c r="X210" i="24" s="1"/>
  <c r="Y211" i="24" s="1"/>
  <c r="Z212" i="24" s="1"/>
  <c r="AA213" i="24" s="1"/>
  <c r="AB214" i="24" s="1"/>
  <c r="AC215" i="24" s="1"/>
  <c r="AD216" i="24" s="1"/>
  <c r="AE217" i="24" s="1"/>
  <c r="I365" i="24"/>
  <c r="L233" i="24"/>
  <c r="AR134" i="15" s="1"/>
  <c r="AE191" i="24"/>
  <c r="R116" i="24"/>
  <c r="AX104" i="15" s="1"/>
  <c r="U87" i="24"/>
  <c r="BA75" i="15" s="1"/>
  <c r="I116" i="24"/>
  <c r="AO104" i="15" s="1"/>
  <c r="Y116" i="24"/>
  <c r="BE104" i="15" s="1"/>
  <c r="U290" i="24"/>
  <c r="BA191" i="15" s="1"/>
  <c r="T290" i="24"/>
  <c r="AZ191" i="15" s="1"/>
  <c r="J290" i="24"/>
  <c r="AP191" i="15" s="1"/>
  <c r="Z290" i="24"/>
  <c r="BF191" i="15" s="1"/>
  <c r="D309" i="24"/>
  <c r="AJ210" i="15" s="1"/>
  <c r="G365" i="24"/>
  <c r="Z261" i="24"/>
  <c r="BF162" i="15" s="1"/>
  <c r="C111" i="24"/>
  <c r="AD87" i="24"/>
  <c r="BJ75" i="15" s="1"/>
  <c r="I87" i="24"/>
  <c r="AO75" i="15" s="1"/>
  <c r="K377" i="24"/>
  <c r="L378" i="24" s="1"/>
  <c r="M379" i="24" s="1"/>
  <c r="N380" i="24" s="1"/>
  <c r="O381" i="24" s="1"/>
  <c r="P382" i="24" s="1"/>
  <c r="Q383" i="24" s="1"/>
  <c r="R384" i="24" s="1"/>
  <c r="S385" i="24" s="1"/>
  <c r="T386" i="24" s="1"/>
  <c r="U387" i="24" s="1"/>
  <c r="V388" i="24" s="1"/>
  <c r="W389" i="24" s="1"/>
  <c r="X390" i="24" s="1"/>
  <c r="Y391" i="24" s="1"/>
  <c r="Z392" i="24" s="1"/>
  <c r="AA393" i="24" s="1"/>
  <c r="AB394" i="24" s="1"/>
  <c r="AC395" i="24" s="1"/>
  <c r="AD396" i="24" s="1"/>
  <c r="AE397" i="24" s="1"/>
  <c r="Y377" i="24"/>
  <c r="Z378" i="24" s="1"/>
  <c r="AA379" i="24" s="1"/>
  <c r="AB380" i="24" s="1"/>
  <c r="AC381" i="24" s="1"/>
  <c r="AD382" i="24" s="1"/>
  <c r="AE383" i="24" s="1"/>
  <c r="AD377" i="24"/>
  <c r="AE378" i="24" s="1"/>
  <c r="Z377" i="24"/>
  <c r="P377" i="24"/>
  <c r="Q378" i="24" s="1"/>
  <c r="R379" i="24" s="1"/>
  <c r="S380" i="24" s="1"/>
  <c r="T381" i="24" s="1"/>
  <c r="U382" i="24" s="1"/>
  <c r="V383" i="24" s="1"/>
  <c r="W384" i="24" s="1"/>
  <c r="X385" i="24" s="1"/>
  <c r="Y386" i="24" s="1"/>
  <c r="Z387" i="24" s="1"/>
  <c r="AA388" i="24" s="1"/>
  <c r="AB389" i="24" s="1"/>
  <c r="AC390" i="24" s="1"/>
  <c r="AD391" i="24" s="1"/>
  <c r="AE392" i="24" s="1"/>
  <c r="V261" i="24"/>
  <c r="BB162" i="15" s="1"/>
  <c r="P87" i="24"/>
  <c r="AV75" i="15" s="1"/>
  <c r="X261" i="24"/>
  <c r="BD162" i="15" s="1"/>
  <c r="O261" i="24"/>
  <c r="AU162" i="15" s="1"/>
  <c r="AE261" i="24"/>
  <c r="BK162" i="15" s="1"/>
  <c r="D283" i="24"/>
  <c r="AJ184" i="15" s="1"/>
  <c r="E290" i="24"/>
  <c r="AK191" i="15" s="1"/>
  <c r="C198" i="24"/>
  <c r="G58" i="24"/>
  <c r="AM46" i="15" s="1"/>
  <c r="J191" i="24"/>
  <c r="D335" i="24"/>
  <c r="E336" i="24" s="1"/>
  <c r="F337" i="24" s="1"/>
  <c r="G338" i="24" s="1"/>
  <c r="H339" i="24" s="1"/>
  <c r="I340" i="24" s="1"/>
  <c r="J341" i="24" s="1"/>
  <c r="K342" i="24" s="1"/>
  <c r="Q335" i="24"/>
  <c r="R336" i="24" s="1"/>
  <c r="S337" i="24" s="1"/>
  <c r="T338" i="24" s="1"/>
  <c r="U339" i="24" s="1"/>
  <c r="V340" i="24" s="1"/>
  <c r="W341" i="24" s="1"/>
  <c r="X342" i="24" s="1"/>
  <c r="P365" i="24"/>
  <c r="L161" i="24"/>
  <c r="M162" i="24" s="1"/>
  <c r="N163" i="24" s="1"/>
  <c r="O164" i="24" s="1"/>
  <c r="P165" i="24" s="1"/>
  <c r="Q166" i="24" s="1"/>
  <c r="R167" i="24" s="1"/>
  <c r="S168" i="24" s="1"/>
  <c r="E134" i="24"/>
  <c r="AK122" i="15" s="1"/>
  <c r="J335" i="24"/>
  <c r="K336" i="24" s="1"/>
  <c r="L337" i="24" s="1"/>
  <c r="M338" i="24" s="1"/>
  <c r="N339" i="24" s="1"/>
  <c r="O340" i="24" s="1"/>
  <c r="P341" i="24" s="1"/>
  <c r="Q342" i="24" s="1"/>
  <c r="H161" i="24"/>
  <c r="I162" i="24" s="1"/>
  <c r="J163" i="24" s="1"/>
  <c r="K164" i="24" s="1"/>
  <c r="L165" i="24" s="1"/>
  <c r="M166" i="24" s="1"/>
  <c r="N167" i="24" s="1"/>
  <c r="O168" i="24" s="1"/>
  <c r="M161" i="24"/>
  <c r="N162" i="24" s="1"/>
  <c r="O163" i="24" s="1"/>
  <c r="P164" i="24" s="1"/>
  <c r="Q165" i="24" s="1"/>
  <c r="R166" i="24" s="1"/>
  <c r="S167" i="24" s="1"/>
  <c r="T168" i="24" s="1"/>
  <c r="R161" i="24"/>
  <c r="S162" i="24" s="1"/>
  <c r="T163" i="24" s="1"/>
  <c r="U164" i="24" s="1"/>
  <c r="V165" i="24" s="1"/>
  <c r="W166" i="24" s="1"/>
  <c r="X167" i="24" s="1"/>
  <c r="Y168" i="24" s="1"/>
  <c r="R365" i="24"/>
  <c r="R191" i="24"/>
  <c r="J365" i="24"/>
  <c r="K366" i="24" s="1"/>
  <c r="N365" i="24"/>
  <c r="S365" i="24"/>
  <c r="E17" i="46" l="1"/>
  <c r="F243" i="24"/>
  <c r="AL144" i="15" s="1"/>
  <c r="B29" i="16"/>
  <c r="AL3" i="26"/>
  <c r="AG5" i="26" s="1"/>
  <c r="B28" i="16"/>
  <c r="AL4" i="26"/>
  <c r="B30" i="16"/>
  <c r="C30" i="16"/>
  <c r="AJ157" i="15"/>
  <c r="M233" i="24"/>
  <c r="AS134" i="15" s="1"/>
  <c r="AR133" i="15"/>
  <c r="F301" i="24"/>
  <c r="AL202" i="15" s="1"/>
  <c r="X233" i="24"/>
  <c r="BD134" i="15" s="1"/>
  <c r="BC133" i="15"/>
  <c r="AJ99" i="15"/>
  <c r="AJ70" i="15"/>
  <c r="AJ186" i="15"/>
  <c r="F303" i="24"/>
  <c r="AL204" i="15" s="1"/>
  <c r="AK203" i="15"/>
  <c r="W233" i="24"/>
  <c r="BC134" i="15" s="1"/>
  <c r="E283" i="24"/>
  <c r="AK184" i="15" s="1"/>
  <c r="G233" i="24"/>
  <c r="AM134" i="15" s="1"/>
  <c r="B32" i="15"/>
  <c r="B31" i="15"/>
  <c r="E58" i="2"/>
  <c r="C58" i="18"/>
  <c r="AH4" i="18" s="1"/>
  <c r="B36" i="15"/>
  <c r="C145" i="18"/>
  <c r="AH7" i="18" s="1"/>
  <c r="B39" i="15"/>
  <c r="B30" i="15"/>
  <c r="E57" i="2"/>
  <c r="C174" i="18"/>
  <c r="AH8" i="18" s="1"/>
  <c r="B40" i="15"/>
  <c r="B38" i="15"/>
  <c r="E55" i="2"/>
  <c r="B27" i="15"/>
  <c r="B35" i="15"/>
  <c r="E54" i="2"/>
  <c r="D82" i="24"/>
  <c r="D70" i="15" s="1"/>
  <c r="C27" i="15" s="1"/>
  <c r="U291" i="24"/>
  <c r="BA192" i="15" s="1"/>
  <c r="V88" i="24"/>
  <c r="BB76" i="15" s="1"/>
  <c r="N291" i="24"/>
  <c r="AT192" i="15" s="1"/>
  <c r="X117" i="24"/>
  <c r="BD105" i="15" s="1"/>
  <c r="AE262" i="24"/>
  <c r="BK163" i="15" s="1"/>
  <c r="O89" i="24"/>
  <c r="AU77" i="15" s="1"/>
  <c r="F263" i="24"/>
  <c r="AL164" i="15" s="1"/>
  <c r="E110" i="24"/>
  <c r="AK98" i="15" s="1"/>
  <c r="E255" i="24"/>
  <c r="AK156" i="15" s="1"/>
  <c r="V233" i="24"/>
  <c r="BB134" i="15" s="1"/>
  <c r="R118" i="24"/>
  <c r="AX106" i="15" s="1"/>
  <c r="F300" i="24"/>
  <c r="AL201" i="15" s="1"/>
  <c r="F274" i="24"/>
  <c r="AL175" i="15" s="1"/>
  <c r="F122" i="24"/>
  <c r="AL110" i="15" s="1"/>
  <c r="F67" i="24"/>
  <c r="AL55" i="15" s="1"/>
  <c r="F77" i="24"/>
  <c r="AL65" i="15" s="1"/>
  <c r="F305" i="24"/>
  <c r="AL206" i="15" s="1"/>
  <c r="Y234" i="24"/>
  <c r="BE135" i="15" s="1"/>
  <c r="F271" i="24"/>
  <c r="AL172" i="15" s="1"/>
  <c r="F95" i="24"/>
  <c r="AL83" i="15" s="1"/>
  <c r="U233" i="24"/>
  <c r="BA134" i="15" s="1"/>
  <c r="Q59" i="24"/>
  <c r="AW47" i="15" s="1"/>
  <c r="F59" i="24"/>
  <c r="AL47" i="15" s="1"/>
  <c r="F299" i="24"/>
  <c r="AL200" i="15" s="1"/>
  <c r="G270" i="24"/>
  <c r="AM171" i="15" s="1"/>
  <c r="E254" i="24"/>
  <c r="AK155" i="15" s="1"/>
  <c r="M59" i="24"/>
  <c r="AS47" i="15" s="1"/>
  <c r="F280" i="24"/>
  <c r="AL181" i="15" s="1"/>
  <c r="E79" i="24"/>
  <c r="AK67" i="15" s="1"/>
  <c r="F276" i="24"/>
  <c r="AL177" i="15" s="1"/>
  <c r="K234" i="24"/>
  <c r="AQ135" i="15" s="1"/>
  <c r="E284" i="24"/>
  <c r="AK185" i="15" s="1"/>
  <c r="E310" i="24"/>
  <c r="AK211" i="15" s="1"/>
  <c r="J262" i="24"/>
  <c r="AP163" i="15" s="1"/>
  <c r="G309" i="24"/>
  <c r="AM210" i="15" s="1"/>
  <c r="E136" i="24"/>
  <c r="AK124" i="15" s="1"/>
  <c r="AC117" i="24"/>
  <c r="BI105" i="15" s="1"/>
  <c r="AD291" i="24"/>
  <c r="BJ192" i="15" s="1"/>
  <c r="I262" i="24"/>
  <c r="AO163" i="15" s="1"/>
  <c r="Z291" i="24"/>
  <c r="BF192" i="15" s="1"/>
  <c r="M291" i="24"/>
  <c r="AS192" i="15" s="1"/>
  <c r="C87" i="18"/>
  <c r="AH5" i="18" s="1"/>
  <c r="C128" i="15"/>
  <c r="B29" i="15" s="1"/>
  <c r="E59" i="24"/>
  <c r="AK47" i="15" s="1"/>
  <c r="F93" i="24"/>
  <c r="AL81" i="15" s="1"/>
  <c r="F241" i="24"/>
  <c r="AL142" i="15" s="1"/>
  <c r="F128" i="24"/>
  <c r="AL116" i="15" s="1"/>
  <c r="F247" i="24"/>
  <c r="AL148" i="15" s="1"/>
  <c r="F120" i="24"/>
  <c r="AL108" i="15" s="1"/>
  <c r="F89" i="24"/>
  <c r="AL77" i="15" s="1"/>
  <c r="F125" i="24"/>
  <c r="AL113" i="15" s="1"/>
  <c r="F298" i="24"/>
  <c r="AL199" i="15" s="1"/>
  <c r="AE59" i="24"/>
  <c r="BK47" i="15" s="1"/>
  <c r="G102" i="24"/>
  <c r="AM90" i="15" s="1"/>
  <c r="F91" i="24"/>
  <c r="AL79" i="15" s="1"/>
  <c r="F124" i="24"/>
  <c r="AL112" i="15" s="1"/>
  <c r="F248" i="24"/>
  <c r="AL149" i="15" s="1"/>
  <c r="P263" i="24"/>
  <c r="AV164" i="15" s="1"/>
  <c r="F251" i="24"/>
  <c r="AL152" i="15" s="1"/>
  <c r="K233" i="24"/>
  <c r="AQ134" i="15" s="1"/>
  <c r="F239" i="24"/>
  <c r="AL140" i="15" s="1"/>
  <c r="J292" i="24"/>
  <c r="AP193" i="15" s="1"/>
  <c r="F292" i="24"/>
  <c r="AL193" i="15" s="1"/>
  <c r="E109" i="24"/>
  <c r="AK97" i="15" s="1"/>
  <c r="AD233" i="24"/>
  <c r="BJ134" i="15" s="1"/>
  <c r="E61" i="24"/>
  <c r="AK49" i="15" s="1"/>
  <c r="F272" i="24"/>
  <c r="AL173" i="15" s="1"/>
  <c r="F264" i="24"/>
  <c r="AL165" i="15" s="1"/>
  <c r="F236" i="24"/>
  <c r="AL137" i="15" s="1"/>
  <c r="F240" i="24"/>
  <c r="AL141" i="15" s="1"/>
  <c r="F130" i="24"/>
  <c r="AL118" i="15" s="1"/>
  <c r="F97" i="24"/>
  <c r="AL85" i="15" s="1"/>
  <c r="V59" i="24"/>
  <c r="BB47" i="15" s="1"/>
  <c r="E106" i="24"/>
  <c r="AK94" i="15" s="1"/>
  <c r="F69" i="24"/>
  <c r="AL57" i="15" s="1"/>
  <c r="K117" i="24"/>
  <c r="AQ105" i="15" s="1"/>
  <c r="E97" i="24"/>
  <c r="AK85" i="15" s="1"/>
  <c r="S291" i="24"/>
  <c r="AY192" i="15" s="1"/>
  <c r="R117" i="24"/>
  <c r="AX105" i="15" s="1"/>
  <c r="H117" i="24"/>
  <c r="AN105" i="15" s="1"/>
  <c r="Y291" i="24"/>
  <c r="BE192" i="15" s="1"/>
  <c r="AD262" i="24"/>
  <c r="BJ163" i="15" s="1"/>
  <c r="G262" i="24"/>
  <c r="AM163" i="15" s="1"/>
  <c r="O291" i="24"/>
  <c r="AU192" i="15" s="1"/>
  <c r="N233" i="24"/>
  <c r="AT134" i="15" s="1"/>
  <c r="T233" i="24"/>
  <c r="AZ134" i="15" s="1"/>
  <c r="E103" i="24"/>
  <c r="AK91" i="15" s="1"/>
  <c r="E282" i="24"/>
  <c r="AK183" i="15" s="1"/>
  <c r="F279" i="24"/>
  <c r="AL180" i="15" s="1"/>
  <c r="F99" i="24"/>
  <c r="AL87" i="15" s="1"/>
  <c r="Y59" i="24"/>
  <c r="BE47" i="15" s="1"/>
  <c r="F61" i="24"/>
  <c r="AL49" i="15" s="1"/>
  <c r="X88" i="24"/>
  <c r="BD76" i="15" s="1"/>
  <c r="E281" i="24"/>
  <c r="AK182" i="15" s="1"/>
  <c r="F238" i="24"/>
  <c r="AL139" i="15" s="1"/>
  <c r="F234" i="24"/>
  <c r="AL135" i="15" s="1"/>
  <c r="AA59" i="24"/>
  <c r="BG47" i="15" s="1"/>
  <c r="L117" i="24"/>
  <c r="AR105" i="15" s="1"/>
  <c r="F103" i="24"/>
  <c r="AL91" i="15" s="1"/>
  <c r="F309" i="24"/>
  <c r="AL210" i="15" s="1"/>
  <c r="E107" i="24"/>
  <c r="AK95" i="15" s="1"/>
  <c r="F126" i="24"/>
  <c r="AL114" i="15" s="1"/>
  <c r="AC234" i="24"/>
  <c r="BI135" i="15" s="1"/>
  <c r="E75" i="24"/>
  <c r="AK63" i="15" s="1"/>
  <c r="Q88" i="24"/>
  <c r="AW76" i="15" s="1"/>
  <c r="AE88" i="24"/>
  <c r="BK76" i="15" s="1"/>
  <c r="V291" i="24"/>
  <c r="BB192" i="15" s="1"/>
  <c r="S117" i="24"/>
  <c r="AY105" i="15" s="1"/>
  <c r="W262" i="24"/>
  <c r="BC163" i="15" s="1"/>
  <c r="Y117" i="24"/>
  <c r="BE105" i="15" s="1"/>
  <c r="K262" i="24"/>
  <c r="AQ163" i="15" s="1"/>
  <c r="AB262" i="24"/>
  <c r="BH163" i="15" s="1"/>
  <c r="O88" i="24"/>
  <c r="AU76" i="15" s="1"/>
  <c r="G291" i="24"/>
  <c r="AM192" i="15" s="1"/>
  <c r="AB291" i="24"/>
  <c r="BH192" i="15" s="1"/>
  <c r="L291" i="24"/>
  <c r="AR192" i="15" s="1"/>
  <c r="X262" i="24"/>
  <c r="BD163" i="15" s="1"/>
  <c r="I88" i="24"/>
  <c r="AO76" i="15" s="1"/>
  <c r="T88" i="24"/>
  <c r="AZ76" i="15" s="1"/>
  <c r="J291" i="24"/>
  <c r="AP192" i="15" s="1"/>
  <c r="K88" i="24"/>
  <c r="AQ76" i="15" s="1"/>
  <c r="U88" i="24"/>
  <c r="BA76" i="15" s="1"/>
  <c r="Z88" i="24"/>
  <c r="BF76" i="15" s="1"/>
  <c r="AC291" i="24"/>
  <c r="BI192" i="15" s="1"/>
  <c r="P88" i="24"/>
  <c r="AV76" i="15" s="1"/>
  <c r="Z59" i="24"/>
  <c r="BF47" i="15" s="1"/>
  <c r="K59" i="24"/>
  <c r="AQ47" i="15" s="1"/>
  <c r="N59" i="24"/>
  <c r="AT47" i="15" s="1"/>
  <c r="E241" i="24"/>
  <c r="AK142" i="15" s="1"/>
  <c r="G298" i="24"/>
  <c r="AM199" i="15" s="1"/>
  <c r="AE89" i="24"/>
  <c r="BK77" i="15" s="1"/>
  <c r="U117" i="24"/>
  <c r="BA105" i="15" s="1"/>
  <c r="F105" i="24"/>
  <c r="AL93" i="15" s="1"/>
  <c r="E248" i="24"/>
  <c r="AK149" i="15" s="1"/>
  <c r="E78" i="24"/>
  <c r="AK66" i="15" s="1"/>
  <c r="G244" i="24"/>
  <c r="AM145" i="15" s="1"/>
  <c r="E108" i="24"/>
  <c r="AK96" i="15" s="1"/>
  <c r="F265" i="24"/>
  <c r="AL166" i="15" s="1"/>
  <c r="R59" i="24"/>
  <c r="AX47" i="15" s="1"/>
  <c r="R233" i="24"/>
  <c r="AX134" i="15" s="1"/>
  <c r="F75" i="24"/>
  <c r="AL63" i="15" s="1"/>
  <c r="R291" i="24"/>
  <c r="AX192" i="15" s="1"/>
  <c r="E251" i="24"/>
  <c r="AK152" i="15" s="1"/>
  <c r="I59" i="24"/>
  <c r="AO47" i="15" s="1"/>
  <c r="Y292" i="24"/>
  <c r="BE193" i="15" s="1"/>
  <c r="F296" i="24"/>
  <c r="AL197" i="15" s="1"/>
  <c r="F302" i="24"/>
  <c r="AL203" i="15" s="1"/>
  <c r="AC118" i="24"/>
  <c r="BI106" i="15" s="1"/>
  <c r="F133" i="24"/>
  <c r="AL121" i="15" s="1"/>
  <c r="AB118" i="24"/>
  <c r="BH106" i="15" s="1"/>
  <c r="F72" i="24"/>
  <c r="AL60" i="15" s="1"/>
  <c r="F119" i="24"/>
  <c r="AL107" i="15" s="1"/>
  <c r="F268" i="24"/>
  <c r="AL169" i="15" s="1"/>
  <c r="F244" i="24"/>
  <c r="AL145" i="15" s="1"/>
  <c r="G59" i="24"/>
  <c r="AM47" i="15" s="1"/>
  <c r="F267" i="24"/>
  <c r="AL168" i="15" s="1"/>
  <c r="F270" i="24"/>
  <c r="AL171" i="15" s="1"/>
  <c r="J59" i="24"/>
  <c r="AP47" i="15" s="1"/>
  <c r="AD59" i="24"/>
  <c r="BJ47" i="15" s="1"/>
  <c r="H118" i="24"/>
  <c r="AN106" i="15" s="1"/>
  <c r="F65" i="24"/>
  <c r="AL53" i="15" s="1"/>
  <c r="F266" i="24"/>
  <c r="AL167" i="15" s="1"/>
  <c r="S88" i="24"/>
  <c r="AY76" i="15" s="1"/>
  <c r="F134" i="24"/>
  <c r="AL122" i="15" s="1"/>
  <c r="F106" i="24"/>
  <c r="AL94" i="15" s="1"/>
  <c r="T59" i="24"/>
  <c r="AZ47" i="15" s="1"/>
  <c r="E274" i="24"/>
  <c r="AK175" i="15" s="1"/>
  <c r="E280" i="24"/>
  <c r="AK181" i="15" s="1"/>
  <c r="I89" i="24"/>
  <c r="AO77" i="15" s="1"/>
  <c r="W59" i="24"/>
  <c r="BC47" i="15" s="1"/>
  <c r="F118" i="24"/>
  <c r="AL106" i="15" s="1"/>
  <c r="O59" i="24"/>
  <c r="AU47" i="15" s="1"/>
  <c r="G307" i="24"/>
  <c r="AM208" i="15" s="1"/>
  <c r="F273" i="24"/>
  <c r="AL174" i="15" s="1"/>
  <c r="E252" i="24"/>
  <c r="AK153" i="15" s="1"/>
  <c r="F81" i="24"/>
  <c r="AL69" i="15" s="1"/>
  <c r="F246" i="24"/>
  <c r="AL147" i="15" s="1"/>
  <c r="F307" i="24"/>
  <c r="AL208" i="15" s="1"/>
  <c r="J88" i="24"/>
  <c r="AP76" i="15" s="1"/>
  <c r="L88" i="24"/>
  <c r="AR76" i="15" s="1"/>
  <c r="S262" i="24"/>
  <c r="AY163" i="15" s="1"/>
  <c r="N117" i="24"/>
  <c r="AT105" i="15" s="1"/>
  <c r="AC233" i="24"/>
  <c r="BI134" i="15" s="1"/>
  <c r="U59" i="24"/>
  <c r="BA47" i="15" s="1"/>
  <c r="F94" i="24"/>
  <c r="AL82" i="15" s="1"/>
  <c r="Q118" i="24"/>
  <c r="AW106" i="15" s="1"/>
  <c r="E77" i="24"/>
  <c r="AK65" i="15" s="1"/>
  <c r="H233" i="24"/>
  <c r="AN134" i="15" s="1"/>
  <c r="F294" i="24"/>
  <c r="AL195" i="15" s="1"/>
  <c r="G103" i="24"/>
  <c r="AM91" i="15" s="1"/>
  <c r="F131" i="24"/>
  <c r="AL119" i="15" s="1"/>
  <c r="P233" i="24"/>
  <c r="AV134" i="15" s="1"/>
  <c r="E73" i="24"/>
  <c r="AK61" i="15" s="1"/>
  <c r="G296" i="24"/>
  <c r="AM197" i="15" s="1"/>
  <c r="W117" i="24"/>
  <c r="BC105" i="15" s="1"/>
  <c r="X59" i="24"/>
  <c r="BD47" i="15" s="1"/>
  <c r="E135" i="24"/>
  <c r="AK123" i="15" s="1"/>
  <c r="Y88" i="24"/>
  <c r="BE76" i="15" s="1"/>
  <c r="T291" i="24"/>
  <c r="AZ192" i="15" s="1"/>
  <c r="F135" i="24"/>
  <c r="AL123" i="15" s="1"/>
  <c r="AA291" i="24"/>
  <c r="BG192" i="15" s="1"/>
  <c r="F291" i="24"/>
  <c r="AL192" i="15" s="1"/>
  <c r="P262" i="24"/>
  <c r="AV163" i="15" s="1"/>
  <c r="AA262" i="24"/>
  <c r="BG163" i="15" s="1"/>
  <c r="K291" i="24"/>
  <c r="AQ192" i="15" s="1"/>
  <c r="L262" i="24"/>
  <c r="AR163" i="15" s="1"/>
  <c r="R262" i="24"/>
  <c r="AX163" i="15" s="1"/>
  <c r="P291" i="24"/>
  <c r="AV192" i="15" s="1"/>
  <c r="AA88" i="24"/>
  <c r="BG76" i="15" s="1"/>
  <c r="I117" i="24"/>
  <c r="AO105" i="15" s="1"/>
  <c r="V262" i="24"/>
  <c r="BB163" i="15" s="1"/>
  <c r="D256" i="24"/>
  <c r="D157" i="15" s="1"/>
  <c r="H262" i="24"/>
  <c r="AN163" i="15" s="1"/>
  <c r="M262" i="24"/>
  <c r="AS163" i="15" s="1"/>
  <c r="F262" i="24"/>
  <c r="AL163" i="15" s="1"/>
  <c r="E309" i="24"/>
  <c r="AK210" i="15" s="1"/>
  <c r="U262" i="24"/>
  <c r="BA163" i="15" s="1"/>
  <c r="T262" i="24"/>
  <c r="AZ163" i="15" s="1"/>
  <c r="AC262" i="24"/>
  <c r="BI163" i="15" s="1"/>
  <c r="Q262" i="24"/>
  <c r="AW163" i="15" s="1"/>
  <c r="AE291" i="24"/>
  <c r="BK192" i="15" s="1"/>
  <c r="AD117" i="24"/>
  <c r="BJ105" i="15" s="1"/>
  <c r="M117" i="24"/>
  <c r="AS105" i="15" s="1"/>
  <c r="AB88" i="24"/>
  <c r="BH76" i="15" s="1"/>
  <c r="F284" i="24"/>
  <c r="AL185" i="15" s="1"/>
  <c r="E87" i="24"/>
  <c r="AK75" i="15" s="1"/>
  <c r="F235" i="24"/>
  <c r="AL136" i="15" s="1"/>
  <c r="F123" i="24"/>
  <c r="AL111" i="15" s="1"/>
  <c r="F127" i="24"/>
  <c r="AL115" i="15" s="1"/>
  <c r="F129" i="24"/>
  <c r="AL117" i="15" s="1"/>
  <c r="Y233" i="24"/>
  <c r="BE134" i="15" s="1"/>
  <c r="F132" i="24"/>
  <c r="AL120" i="15" s="1"/>
  <c r="F92" i="24"/>
  <c r="AL80" i="15" s="1"/>
  <c r="AA263" i="24"/>
  <c r="BG164" i="15" s="1"/>
  <c r="F293" i="24"/>
  <c r="AL194" i="15" s="1"/>
  <c r="F304" i="24"/>
  <c r="AL205" i="15" s="1"/>
  <c r="E81" i="24"/>
  <c r="AK69" i="15" s="1"/>
  <c r="F121" i="24"/>
  <c r="AL109" i="15" s="1"/>
  <c r="F71" i="24"/>
  <c r="AL59" i="15" s="1"/>
  <c r="F250" i="24"/>
  <c r="AL151" i="15" s="1"/>
  <c r="E63" i="24"/>
  <c r="AK51" i="15" s="1"/>
  <c r="F100" i="24"/>
  <c r="AL88" i="15" s="1"/>
  <c r="F90" i="24"/>
  <c r="AL78" i="15" s="1"/>
  <c r="C99" i="15"/>
  <c r="B28" i="15" s="1"/>
  <c r="F70" i="24"/>
  <c r="AL58" i="15" s="1"/>
  <c r="AC59" i="24"/>
  <c r="BI47" i="15" s="1"/>
  <c r="F63" i="24"/>
  <c r="AL51" i="15" s="1"/>
  <c r="E65" i="24"/>
  <c r="AK53" i="15" s="1"/>
  <c r="F277" i="24"/>
  <c r="AL178" i="15" s="1"/>
  <c r="E253" i="24"/>
  <c r="AK154" i="15" s="1"/>
  <c r="F278" i="24"/>
  <c r="AL179" i="15" s="1"/>
  <c r="F237" i="24"/>
  <c r="AL138" i="15" s="1"/>
  <c r="F68" i="24"/>
  <c r="AL56" i="15" s="1"/>
  <c r="F245" i="24"/>
  <c r="AL146" i="15" s="1"/>
  <c r="S59" i="24"/>
  <c r="AY47" i="15" s="1"/>
  <c r="I233" i="24"/>
  <c r="AO134" i="15" s="1"/>
  <c r="F73" i="24"/>
  <c r="AL61" i="15" s="1"/>
  <c r="Z233" i="24"/>
  <c r="BF134" i="15" s="1"/>
  <c r="E95" i="24"/>
  <c r="AK83" i="15" s="1"/>
  <c r="D111" i="24"/>
  <c r="C36" i="15" s="1"/>
  <c r="B14" i="2"/>
  <c r="B16" i="26"/>
  <c r="C76" i="26"/>
  <c r="B3" i="26" s="1"/>
  <c r="B9" i="26" s="1"/>
  <c r="B15" i="26"/>
  <c r="B20" i="2"/>
  <c r="C47" i="26"/>
  <c r="B2" i="26" s="1"/>
  <c r="B8" i="26" s="1"/>
  <c r="B18" i="26"/>
  <c r="B17" i="26"/>
  <c r="D1" i="16" s="1"/>
  <c r="C105" i="26"/>
  <c r="B2" i="2"/>
  <c r="C29" i="18"/>
  <c r="AH3" i="18" s="1"/>
  <c r="B8" i="2"/>
  <c r="C116" i="18"/>
  <c r="AH6" i="18" s="1"/>
  <c r="F233" i="24"/>
  <c r="AL134" i="15" s="1"/>
  <c r="C17" i="26"/>
  <c r="C4" i="26"/>
  <c r="C10" i="26" s="1"/>
  <c r="AB192" i="24"/>
  <c r="O401" i="24"/>
  <c r="O105" i="26" s="1"/>
  <c r="J192" i="24"/>
  <c r="K193" i="24" s="1"/>
  <c r="G366" i="24"/>
  <c r="H367" i="24" s="1"/>
  <c r="J401" i="24"/>
  <c r="J105" i="26" s="1"/>
  <c r="AD366" i="24"/>
  <c r="AE367" i="24" s="1"/>
  <c r="AB366" i="24"/>
  <c r="D169" i="24"/>
  <c r="AA192" i="24"/>
  <c r="AB193" i="24" s="1"/>
  <c r="E401" i="24"/>
  <c r="E105" i="26" s="1"/>
  <c r="D285" i="24"/>
  <c r="D186" i="15" s="1"/>
  <c r="M366" i="24"/>
  <c r="N367" i="24" s="1"/>
  <c r="T192" i="24"/>
  <c r="Y192" i="24"/>
  <c r="O192" i="24"/>
  <c r="I366" i="24"/>
  <c r="X366" i="24"/>
  <c r="AC366" i="24"/>
  <c r="J366" i="24"/>
  <c r="K367" i="24" s="1"/>
  <c r="N192" i="24"/>
  <c r="E169" i="24"/>
  <c r="R366" i="24"/>
  <c r="T366" i="24"/>
  <c r="Q366" i="24"/>
  <c r="S366" i="24"/>
  <c r="K192" i="24"/>
  <c r="H366" i="24"/>
  <c r="G192" i="24"/>
  <c r="D311" i="24"/>
  <c r="AJ212" i="15" s="1"/>
  <c r="E366" i="24"/>
  <c r="M192" i="24"/>
  <c r="T401" i="24"/>
  <c r="T105" i="26" s="1"/>
  <c r="F137" i="24"/>
  <c r="AL125" i="15" s="1"/>
  <c r="L366" i="24"/>
  <c r="V366" i="24"/>
  <c r="G401" i="24"/>
  <c r="G105" i="26" s="1"/>
  <c r="AC192" i="24"/>
  <c r="AD193" i="24" s="1"/>
  <c r="P366" i="24"/>
  <c r="E137" i="24"/>
  <c r="AK125" i="15" s="1"/>
  <c r="Z366" i="24"/>
  <c r="Z117" i="24"/>
  <c r="BF105" i="15" s="1"/>
  <c r="AC320" i="24"/>
  <c r="AE146" i="24"/>
  <c r="S233" i="24"/>
  <c r="AY134" i="15" s="1"/>
  <c r="T204" i="24"/>
  <c r="AE117" i="24"/>
  <c r="BK105" i="15" s="1"/>
  <c r="Q401" i="24"/>
  <c r="Q105" i="26" s="1"/>
  <c r="T349" i="24"/>
  <c r="G175" i="24"/>
  <c r="P401" i="24"/>
  <c r="P105" i="26" s="1"/>
  <c r="AE176" i="24"/>
  <c r="O117" i="24"/>
  <c r="AU105" i="15" s="1"/>
  <c r="H234" i="24"/>
  <c r="AN135" i="15" s="1"/>
  <c r="I175" i="24"/>
  <c r="Q233" i="24"/>
  <c r="AW134" i="15" s="1"/>
  <c r="U401" i="24"/>
  <c r="U105" i="26" s="1"/>
  <c r="F343" i="24"/>
  <c r="N320" i="24"/>
  <c r="L59" i="24"/>
  <c r="AR47" i="15" s="1"/>
  <c r="AA378" i="24"/>
  <c r="Z401" i="24"/>
  <c r="Z105" i="26" s="1"/>
  <c r="M234" i="24"/>
  <c r="AS135" i="15" s="1"/>
  <c r="AA233" i="24"/>
  <c r="BG134" i="15" s="1"/>
  <c r="W175" i="24"/>
  <c r="F117" i="24"/>
  <c r="AL105" i="15" s="1"/>
  <c r="AC88" i="24"/>
  <c r="BI76" i="15" s="1"/>
  <c r="P320" i="24"/>
  <c r="K146" i="24"/>
  <c r="Q291" i="24"/>
  <c r="AW192" i="15" s="1"/>
  <c r="AA349" i="24"/>
  <c r="M175" i="24"/>
  <c r="O233" i="24"/>
  <c r="AU134" i="15" s="1"/>
  <c r="N262" i="24"/>
  <c r="AT163" i="15" s="1"/>
  <c r="W146" i="24"/>
  <c r="O349" i="24"/>
  <c r="S401" i="24"/>
  <c r="S105" i="26" s="1"/>
  <c r="I401" i="24"/>
  <c r="I105" i="26" s="1"/>
  <c r="F204" i="24"/>
  <c r="E227" i="24"/>
  <c r="L401" i="24"/>
  <c r="L105" i="26" s="1"/>
  <c r="S146" i="24"/>
  <c r="G88" i="24"/>
  <c r="AM76" i="15" s="1"/>
  <c r="T117" i="24"/>
  <c r="AZ105" i="15" s="1"/>
  <c r="R175" i="24"/>
  <c r="H59" i="24"/>
  <c r="AN47" i="15" s="1"/>
  <c r="Y401" i="24"/>
  <c r="Y105" i="26" s="1"/>
  <c r="X401" i="24"/>
  <c r="X105" i="26" s="1"/>
  <c r="J117" i="24"/>
  <c r="AP105" i="15" s="1"/>
  <c r="O146" i="24"/>
  <c r="P59" i="24"/>
  <c r="AV47" i="15" s="1"/>
  <c r="D192" i="24"/>
  <c r="U192" i="24"/>
  <c r="I192" i="24"/>
  <c r="K401" i="24"/>
  <c r="K105" i="26" s="1"/>
  <c r="V401" i="24"/>
  <c r="V105" i="26" s="1"/>
  <c r="R401" i="24"/>
  <c r="R105" i="26" s="1"/>
  <c r="W291" i="24"/>
  <c r="BC192" i="15" s="1"/>
  <c r="V117" i="24"/>
  <c r="BB105" i="15" s="1"/>
  <c r="U366" i="24"/>
  <c r="AE366" i="24"/>
  <c r="F192" i="24"/>
  <c r="G193" i="24" s="1"/>
  <c r="Q192" i="24"/>
  <c r="H192" i="24"/>
  <c r="AB59" i="24"/>
  <c r="BH47" i="15" s="1"/>
  <c r="W401" i="24"/>
  <c r="W105" i="26" s="1"/>
  <c r="N401" i="24"/>
  <c r="N105" i="26" s="1"/>
  <c r="H291" i="24"/>
  <c r="AN192" i="15" s="1"/>
  <c r="W88" i="24"/>
  <c r="BC76" i="15" s="1"/>
  <c r="Y175" i="24"/>
  <c r="F366" i="24"/>
  <c r="D137" i="24"/>
  <c r="AJ125" i="15" s="1"/>
  <c r="P192" i="24"/>
  <c r="Y366" i="24"/>
  <c r="W192" i="24"/>
  <c r="V204" i="24"/>
  <c r="P204" i="24"/>
  <c r="U175" i="24"/>
  <c r="O366" i="24"/>
  <c r="S192" i="24"/>
  <c r="Y262" i="24"/>
  <c r="BE163" i="15" s="1"/>
  <c r="E343" i="24"/>
  <c r="D28" i="16" s="1"/>
  <c r="AA204" i="24"/>
  <c r="R192" i="24"/>
  <c r="V192" i="24"/>
  <c r="N366" i="24"/>
  <c r="O367" i="24" s="1"/>
  <c r="M88" i="24"/>
  <c r="AS76" i="15" s="1"/>
  <c r="M401" i="24"/>
  <c r="M105" i="26" s="1"/>
  <c r="AA146" i="24"/>
  <c r="R88" i="24"/>
  <c r="AX76" i="15" s="1"/>
  <c r="AC175" i="24"/>
  <c r="W349" i="24"/>
  <c r="AE192" i="24"/>
  <c r="E192" i="24"/>
  <c r="F401" i="24"/>
  <c r="F105" i="26" s="1"/>
  <c r="J204" i="24"/>
  <c r="U320" i="24"/>
  <c r="G146" i="24"/>
  <c r="F169" i="24"/>
  <c r="AE233" i="24"/>
  <c r="BK134" i="15" s="1"/>
  <c r="J349" i="24"/>
  <c r="L192" i="24"/>
  <c r="M193" i="24" s="1"/>
  <c r="F349" i="24"/>
  <c r="H401" i="24"/>
  <c r="H105" i="26" s="1"/>
  <c r="D343" i="24"/>
  <c r="C28" i="16" s="1"/>
  <c r="AE204" i="24"/>
  <c r="H320" i="24"/>
  <c r="G343" i="24"/>
  <c r="E311" i="24"/>
  <c r="AK212" i="15" s="1"/>
  <c r="E85" i="2" l="1"/>
  <c r="Y11" i="26"/>
  <c r="Y16" i="2" s="1"/>
  <c r="Z11" i="26"/>
  <c r="Z16" i="2" s="1"/>
  <c r="AA11" i="26"/>
  <c r="AA16" i="2" s="1"/>
  <c r="AB11" i="26"/>
  <c r="AB16" i="2" s="1"/>
  <c r="AC11" i="26"/>
  <c r="AC16" i="2" s="1"/>
  <c r="AD11" i="26"/>
  <c r="AD16" i="2" s="1"/>
  <c r="L43" i="2"/>
  <c r="X234" i="24"/>
  <c r="BD135" i="15" s="1"/>
  <c r="B10" i="26"/>
  <c r="B22" i="2" s="1"/>
  <c r="B4" i="26"/>
  <c r="B15" i="2"/>
  <c r="G302" i="24"/>
  <c r="AM203" i="15" s="1"/>
  <c r="E18" i="46"/>
  <c r="E86" i="2"/>
  <c r="B21" i="2" s="1"/>
  <c r="L40" i="2"/>
  <c r="E24" i="16"/>
  <c r="E23" i="16"/>
  <c r="D30" i="16"/>
  <c r="B4" i="2"/>
  <c r="E68" i="2" s="1"/>
  <c r="N234" i="24"/>
  <c r="AT135" i="15" s="1"/>
  <c r="G304" i="24"/>
  <c r="AM205" i="15" s="1"/>
  <c r="L44" i="2"/>
  <c r="B31" i="16"/>
  <c r="E28" i="16"/>
  <c r="AK186" i="15"/>
  <c r="AK70" i="15"/>
  <c r="AK99" i="15"/>
  <c r="AK157" i="15"/>
  <c r="E97" i="2"/>
  <c r="L41" i="2" s="1"/>
  <c r="M43" i="2"/>
  <c r="D29" i="18"/>
  <c r="AI3" i="18" s="1"/>
  <c r="F311" i="24"/>
  <c r="AL212" i="15" s="1"/>
  <c r="E111" i="24"/>
  <c r="D36" i="15" s="1"/>
  <c r="E285" i="24"/>
  <c r="D39" i="15" s="1"/>
  <c r="C30" i="15"/>
  <c r="G47" i="26"/>
  <c r="F2" i="26" s="1"/>
  <c r="E47" i="26"/>
  <c r="D2" i="26" s="1"/>
  <c r="D145" i="18"/>
  <c r="AI7" i="18" s="1"/>
  <c r="C39" i="15"/>
  <c r="E96" i="2"/>
  <c r="C35" i="15"/>
  <c r="D47" i="26"/>
  <c r="C2" i="26" s="1"/>
  <c r="F47" i="26"/>
  <c r="B10" i="2"/>
  <c r="E69" i="2" s="1"/>
  <c r="D116" i="18"/>
  <c r="AI6" i="18" s="1"/>
  <c r="C38" i="15"/>
  <c r="B9" i="2"/>
  <c r="M41" i="2" s="1"/>
  <c r="B3" i="2"/>
  <c r="M40" i="2" s="1"/>
  <c r="G93" i="24"/>
  <c r="AM81" i="15" s="1"/>
  <c r="Z234" i="24"/>
  <c r="BF135" i="15" s="1"/>
  <c r="G236" i="24"/>
  <c r="AM137" i="15" s="1"/>
  <c r="N118" i="24"/>
  <c r="AT106" i="15" s="1"/>
  <c r="AD263" i="24"/>
  <c r="BJ164" i="15" s="1"/>
  <c r="H297" i="24"/>
  <c r="AN198" i="15" s="1"/>
  <c r="X60" i="24"/>
  <c r="BD48" i="15" s="1"/>
  <c r="G135" i="24"/>
  <c r="AM123" i="15" s="1"/>
  <c r="AE60" i="24"/>
  <c r="BK48" i="15" s="1"/>
  <c r="G269" i="24"/>
  <c r="AM170" i="15" s="1"/>
  <c r="L118" i="24"/>
  <c r="AR106" i="15" s="1"/>
  <c r="F107" i="24"/>
  <c r="AL95" i="15" s="1"/>
  <c r="G241" i="24"/>
  <c r="AM142" i="15" s="1"/>
  <c r="G265" i="24"/>
  <c r="AM166" i="15" s="1"/>
  <c r="F110" i="24"/>
  <c r="AL98" i="15" s="1"/>
  <c r="G92" i="24"/>
  <c r="AM80" i="15" s="1"/>
  <c r="G96" i="24"/>
  <c r="AM84" i="15" s="1"/>
  <c r="G91" i="24"/>
  <c r="AM79" i="15" s="1"/>
  <c r="F64" i="24"/>
  <c r="AL52" i="15" s="1"/>
  <c r="AB264" i="24"/>
  <c r="BH165" i="15" s="1"/>
  <c r="G133" i="24"/>
  <c r="AM121" i="15" s="1"/>
  <c r="G130" i="24"/>
  <c r="AM118" i="15" s="1"/>
  <c r="G124" i="24"/>
  <c r="AM112" i="15" s="1"/>
  <c r="F88" i="24"/>
  <c r="AL76" i="15" s="1"/>
  <c r="AC89" i="24"/>
  <c r="BI77" i="15" s="1"/>
  <c r="AE118" i="24"/>
  <c r="BK106" i="15" s="1"/>
  <c r="R263" i="24"/>
  <c r="AX164" i="15" s="1"/>
  <c r="U263" i="24"/>
  <c r="BA164" i="15" s="1"/>
  <c r="G263" i="24"/>
  <c r="AM164" i="15" s="1"/>
  <c r="I263" i="24"/>
  <c r="AO164" i="15" s="1"/>
  <c r="X118" i="24"/>
  <c r="BD106" i="15" s="1"/>
  <c r="F74" i="24"/>
  <c r="AL62" i="15" s="1"/>
  <c r="G132" i="24"/>
  <c r="AM120" i="15" s="1"/>
  <c r="M89" i="24"/>
  <c r="AS77" i="15" s="1"/>
  <c r="G308" i="24"/>
  <c r="AM209" i="15" s="1"/>
  <c r="G247" i="24"/>
  <c r="AM148" i="15" s="1"/>
  <c r="F253" i="24"/>
  <c r="AL154" i="15" s="1"/>
  <c r="H308" i="24"/>
  <c r="AN209" i="15" s="1"/>
  <c r="G119" i="24"/>
  <c r="AM107" i="15" s="1"/>
  <c r="J90" i="24"/>
  <c r="AP78" i="15" s="1"/>
  <c r="F275" i="24"/>
  <c r="AL176" i="15" s="1"/>
  <c r="G107" i="24"/>
  <c r="AM95" i="15" s="1"/>
  <c r="T89" i="24"/>
  <c r="AZ77" i="15" s="1"/>
  <c r="H305" i="24"/>
  <c r="AN206" i="15" s="1"/>
  <c r="I119" i="24"/>
  <c r="AO107" i="15" s="1"/>
  <c r="K60" i="24"/>
  <c r="AQ48" i="15" s="1"/>
  <c r="G268" i="24"/>
  <c r="AM169" i="15" s="1"/>
  <c r="G245" i="24"/>
  <c r="AM146" i="15" s="1"/>
  <c r="G120" i="24"/>
  <c r="AM108" i="15" s="1"/>
  <c r="E256" i="24"/>
  <c r="E157" i="15" s="1"/>
  <c r="D30" i="15" s="1"/>
  <c r="L263" i="24"/>
  <c r="AR164" i="15" s="1"/>
  <c r="F98" i="24"/>
  <c r="AL86" i="15" s="1"/>
  <c r="G70" i="24"/>
  <c r="AM58" i="15" s="1"/>
  <c r="W60" i="24"/>
  <c r="BC48" i="15" s="1"/>
  <c r="G131" i="24"/>
  <c r="AM119" i="15" s="1"/>
  <c r="G237" i="24"/>
  <c r="AM138" i="15" s="1"/>
  <c r="G273" i="24"/>
  <c r="AM174" i="15" s="1"/>
  <c r="AE234" i="24"/>
  <c r="BK135" i="15" s="1"/>
  <c r="G252" i="24"/>
  <c r="AM153" i="15" s="1"/>
  <c r="G125" i="24"/>
  <c r="AM113" i="15" s="1"/>
  <c r="H103" i="24"/>
  <c r="AN91" i="15" s="1"/>
  <c r="AE292" i="24"/>
  <c r="BK193" i="15" s="1"/>
  <c r="H271" i="24"/>
  <c r="AN172" i="15" s="1"/>
  <c r="G60" i="24"/>
  <c r="AM48" i="15" s="1"/>
  <c r="V234" i="24"/>
  <c r="BB135" i="15" s="1"/>
  <c r="G272" i="24"/>
  <c r="AM173" i="15" s="1"/>
  <c r="G306" i="24"/>
  <c r="AM207" i="15" s="1"/>
  <c r="G68" i="24"/>
  <c r="AM56" i="15" s="1"/>
  <c r="G275" i="24"/>
  <c r="AM176" i="15" s="1"/>
  <c r="F96" i="24"/>
  <c r="AL84" i="15" s="1"/>
  <c r="J234" i="24"/>
  <c r="AP135" i="15" s="1"/>
  <c r="G69" i="24"/>
  <c r="AM57" i="15" s="1"/>
  <c r="G279" i="24"/>
  <c r="AM180" i="15" s="1"/>
  <c r="G278" i="24"/>
  <c r="AM179" i="15" s="1"/>
  <c r="AD60" i="24"/>
  <c r="BJ48" i="15" s="1"/>
  <c r="G251" i="24"/>
  <c r="AM152" i="15" s="1"/>
  <c r="G72" i="24"/>
  <c r="AM60" i="15" s="1"/>
  <c r="G305" i="24"/>
  <c r="AM206" i="15" s="1"/>
  <c r="J118" i="24"/>
  <c r="AP106" i="15" s="1"/>
  <c r="Q292" i="24"/>
  <c r="AW193" i="15" s="1"/>
  <c r="M263" i="24"/>
  <c r="AS164" i="15" s="1"/>
  <c r="AB263" i="24"/>
  <c r="BH164" i="15" s="1"/>
  <c r="G292" i="24"/>
  <c r="AM193" i="15" s="1"/>
  <c r="G136" i="24"/>
  <c r="AM124" i="15" s="1"/>
  <c r="Z89" i="24"/>
  <c r="BF77" i="15" s="1"/>
  <c r="G295" i="24"/>
  <c r="AM196" i="15" s="1"/>
  <c r="F78" i="24"/>
  <c r="AL66" i="15" s="1"/>
  <c r="G95" i="24"/>
  <c r="AM83" i="15" s="1"/>
  <c r="AD234" i="24"/>
  <c r="BJ135" i="15" s="1"/>
  <c r="AC119" i="24"/>
  <c r="BI107" i="15" s="1"/>
  <c r="AD119" i="24"/>
  <c r="BJ107" i="15" s="1"/>
  <c r="G297" i="24"/>
  <c r="AM198" i="15" s="1"/>
  <c r="J60" i="24"/>
  <c r="AP48" i="15" s="1"/>
  <c r="S292" i="24"/>
  <c r="AY193" i="15" s="1"/>
  <c r="S234" i="24"/>
  <c r="AY135" i="15" s="1"/>
  <c r="G266" i="24"/>
  <c r="AM167" i="15" s="1"/>
  <c r="H245" i="24"/>
  <c r="AN146" i="15" s="1"/>
  <c r="F249" i="24"/>
  <c r="AL150" i="15" s="1"/>
  <c r="V118" i="24"/>
  <c r="BB106" i="15" s="1"/>
  <c r="H299" i="24"/>
  <c r="AN200" i="15" s="1"/>
  <c r="O60" i="24"/>
  <c r="AU48" i="15" s="1"/>
  <c r="AA60" i="24"/>
  <c r="BG48" i="15" s="1"/>
  <c r="AD292" i="24"/>
  <c r="BJ193" i="15" s="1"/>
  <c r="V89" i="24"/>
  <c r="BB77" i="15" s="1"/>
  <c r="K292" i="24"/>
  <c r="AQ193" i="15" s="1"/>
  <c r="J89" i="24"/>
  <c r="AP77" i="15" s="1"/>
  <c r="M292" i="24"/>
  <c r="AS193" i="15" s="1"/>
  <c r="H292" i="24"/>
  <c r="AN193" i="15" s="1"/>
  <c r="AC263" i="24"/>
  <c r="BI164" i="15" s="1"/>
  <c r="X263" i="24"/>
  <c r="BD164" i="15" s="1"/>
  <c r="T118" i="24"/>
  <c r="AZ106" i="15" s="1"/>
  <c r="F76" i="24"/>
  <c r="AL64" i="15" s="1"/>
  <c r="G127" i="24"/>
  <c r="AM115" i="15" s="1"/>
  <c r="G310" i="24"/>
  <c r="AM211" i="15" s="1"/>
  <c r="M118" i="24"/>
  <c r="AS106" i="15" s="1"/>
  <c r="G235" i="24"/>
  <c r="AM136" i="15" s="1"/>
  <c r="F282" i="24"/>
  <c r="AL183" i="15" s="1"/>
  <c r="G62" i="24"/>
  <c r="AM50" i="15" s="1"/>
  <c r="G100" i="24"/>
  <c r="AM88" i="15" s="1"/>
  <c r="F283" i="24"/>
  <c r="AL184" i="15" s="1"/>
  <c r="U234" i="24"/>
  <c r="BA135" i="15" s="1"/>
  <c r="P292" i="24"/>
  <c r="AV193" i="15" s="1"/>
  <c r="AE263" i="24"/>
  <c r="BK164" i="15" s="1"/>
  <c r="I118" i="24"/>
  <c r="AO106" i="15" s="1"/>
  <c r="T292" i="24"/>
  <c r="AZ193" i="15" s="1"/>
  <c r="G293" i="24"/>
  <c r="AM194" i="15" s="1"/>
  <c r="G240" i="24"/>
  <c r="AM141" i="15" s="1"/>
  <c r="G249" i="24"/>
  <c r="AM150" i="15" s="1"/>
  <c r="G299" i="24"/>
  <c r="AM200" i="15" s="1"/>
  <c r="G90" i="24"/>
  <c r="AM78" i="15" s="1"/>
  <c r="G248" i="24"/>
  <c r="AM149" i="15" s="1"/>
  <c r="G242" i="24"/>
  <c r="AM143" i="15" s="1"/>
  <c r="F60" i="24"/>
  <c r="AL48" i="15" s="1"/>
  <c r="N292" i="24"/>
  <c r="AT193" i="15" s="1"/>
  <c r="J263" i="24"/>
  <c r="AP164" i="15" s="1"/>
  <c r="K263" i="24"/>
  <c r="AQ164" i="15" s="1"/>
  <c r="G277" i="24"/>
  <c r="AM178" i="15" s="1"/>
  <c r="G281" i="24"/>
  <c r="AM182" i="15" s="1"/>
  <c r="S119" i="24"/>
  <c r="AY107" i="15" s="1"/>
  <c r="G264" i="24"/>
  <c r="AM165" i="15" s="1"/>
  <c r="O292" i="24"/>
  <c r="AU193" i="15" s="1"/>
  <c r="V292" i="24"/>
  <c r="BB193" i="15" s="1"/>
  <c r="K89" i="24"/>
  <c r="AQ77" i="15" s="1"/>
  <c r="G274" i="24"/>
  <c r="AM175" i="15" s="1"/>
  <c r="F281" i="24"/>
  <c r="AL182" i="15" s="1"/>
  <c r="G267" i="24"/>
  <c r="AM168" i="15" s="1"/>
  <c r="G271" i="24"/>
  <c r="AM172" i="15" s="1"/>
  <c r="G73" i="24"/>
  <c r="AM61" i="15" s="1"/>
  <c r="AD118" i="24"/>
  <c r="BJ106" i="15" s="1"/>
  <c r="F255" i="24"/>
  <c r="AL156" i="15" s="1"/>
  <c r="R60" i="24"/>
  <c r="AX48" i="15" s="1"/>
  <c r="G78" i="24"/>
  <c r="AM66" i="15" s="1"/>
  <c r="G123" i="24"/>
  <c r="AM111" i="15" s="1"/>
  <c r="G101" i="24"/>
  <c r="AM89" i="15" s="1"/>
  <c r="G128" i="24"/>
  <c r="AM116" i="15" s="1"/>
  <c r="F310" i="24"/>
  <c r="AL211" i="15" s="1"/>
  <c r="N263" i="24"/>
  <c r="AT164" i="15" s="1"/>
  <c r="Y60" i="24"/>
  <c r="BE48" i="15" s="1"/>
  <c r="Q234" i="24"/>
  <c r="AW135" i="15" s="1"/>
  <c r="T263" i="24"/>
  <c r="AZ164" i="15" s="1"/>
  <c r="P60" i="24"/>
  <c r="AV48" i="15" s="1"/>
  <c r="U60" i="24"/>
  <c r="BA48" i="15" s="1"/>
  <c r="G66" i="24"/>
  <c r="AM54" i="15" s="1"/>
  <c r="H60" i="24"/>
  <c r="AN48" i="15" s="1"/>
  <c r="Z118" i="24"/>
  <c r="BF106" i="15" s="1"/>
  <c r="G98" i="24"/>
  <c r="AM86" i="15" s="1"/>
  <c r="F62" i="24"/>
  <c r="AL50" i="15" s="1"/>
  <c r="Q264" i="24"/>
  <c r="AW165" i="15" s="1"/>
  <c r="E82" i="24"/>
  <c r="G300" i="24"/>
  <c r="AM201" i="15" s="1"/>
  <c r="Z235" i="24"/>
  <c r="BF136" i="15" s="1"/>
  <c r="G301" i="24"/>
  <c r="AM202" i="15" s="1"/>
  <c r="D58" i="18"/>
  <c r="AI4" i="18" s="1"/>
  <c r="D99" i="15"/>
  <c r="C28" i="15" s="1"/>
  <c r="AA234" i="24"/>
  <c r="BG135" i="15" s="1"/>
  <c r="G74" i="24"/>
  <c r="AM62" i="15" s="1"/>
  <c r="T60" i="24"/>
  <c r="AZ48" i="15" s="1"/>
  <c r="G246" i="24"/>
  <c r="AM147" i="15" s="1"/>
  <c r="G238" i="24"/>
  <c r="AM139" i="15" s="1"/>
  <c r="F254" i="24"/>
  <c r="AL155" i="15" s="1"/>
  <c r="F66" i="24"/>
  <c r="AL54" i="15" s="1"/>
  <c r="G64" i="24"/>
  <c r="AM52" i="15" s="1"/>
  <c r="G71" i="24"/>
  <c r="AM59" i="15" s="1"/>
  <c r="O235" i="24"/>
  <c r="AU136" i="15" s="1"/>
  <c r="G122" i="24"/>
  <c r="AM110" i="15" s="1"/>
  <c r="G294" i="24"/>
  <c r="AM195" i="15" s="1"/>
  <c r="V263" i="24"/>
  <c r="BB164" i="15" s="1"/>
  <c r="W263" i="24"/>
  <c r="BC164" i="15" s="1"/>
  <c r="AB89" i="24"/>
  <c r="BH77" i="15" s="1"/>
  <c r="S263" i="24"/>
  <c r="AY164" i="15" s="1"/>
  <c r="L292" i="24"/>
  <c r="AR193" i="15" s="1"/>
  <c r="Q263" i="24"/>
  <c r="AW164" i="15" s="1"/>
  <c r="AB292" i="24"/>
  <c r="BH193" i="15" s="1"/>
  <c r="U292" i="24"/>
  <c r="BA193" i="15" s="1"/>
  <c r="F136" i="24"/>
  <c r="AL124" i="15" s="1"/>
  <c r="H104" i="24"/>
  <c r="AN92" i="15" s="1"/>
  <c r="I234" i="24"/>
  <c r="AO135" i="15" s="1"/>
  <c r="R119" i="24"/>
  <c r="AX107" i="15" s="1"/>
  <c r="V60" i="24"/>
  <c r="BB48" i="15" s="1"/>
  <c r="O118" i="24"/>
  <c r="AU106" i="15" s="1"/>
  <c r="G134" i="24"/>
  <c r="AM122" i="15" s="1"/>
  <c r="G303" i="24"/>
  <c r="AM204" i="15" s="1"/>
  <c r="Z293" i="24"/>
  <c r="BF194" i="15" s="1"/>
  <c r="F252" i="24"/>
  <c r="AL153" i="15" s="1"/>
  <c r="G76" i="24"/>
  <c r="AM64" i="15" s="1"/>
  <c r="S60" i="24"/>
  <c r="AY48" i="15" s="1"/>
  <c r="F109" i="24"/>
  <c r="AL97" i="15" s="1"/>
  <c r="F79" i="24"/>
  <c r="AL67" i="15" s="1"/>
  <c r="G106" i="24"/>
  <c r="AM94" i="15" s="1"/>
  <c r="F242" i="24"/>
  <c r="AL143" i="15" s="1"/>
  <c r="L60" i="24"/>
  <c r="AR48" i="15" s="1"/>
  <c r="Q89" i="24"/>
  <c r="AW77" i="15" s="1"/>
  <c r="AA89" i="24"/>
  <c r="BG77" i="15" s="1"/>
  <c r="L89" i="24"/>
  <c r="AR77" i="15" s="1"/>
  <c r="U89" i="24"/>
  <c r="BA77" i="15" s="1"/>
  <c r="Y263" i="24"/>
  <c r="BE164" i="15" s="1"/>
  <c r="AC292" i="24"/>
  <c r="BI193" i="15" s="1"/>
  <c r="P89" i="24"/>
  <c r="AV77" i="15" s="1"/>
  <c r="W292" i="24"/>
  <c r="BC193" i="15" s="1"/>
  <c r="R89" i="24"/>
  <c r="AX77" i="15" s="1"/>
  <c r="AD235" i="24"/>
  <c r="BJ136" i="15" s="1"/>
  <c r="F108" i="24"/>
  <c r="AL96" i="15" s="1"/>
  <c r="G104" i="24"/>
  <c r="AM92" i="15" s="1"/>
  <c r="AB60" i="24"/>
  <c r="BH48" i="15" s="1"/>
  <c r="G239" i="24"/>
  <c r="AM140" i="15" s="1"/>
  <c r="Y89" i="24"/>
  <c r="BE77" i="15" s="1"/>
  <c r="Z60" i="24"/>
  <c r="BF48" i="15" s="1"/>
  <c r="G280" i="24"/>
  <c r="AM181" i="15" s="1"/>
  <c r="F104" i="24"/>
  <c r="AL92" i="15" s="1"/>
  <c r="O234" i="24"/>
  <c r="AU135" i="15" s="1"/>
  <c r="H263" i="24"/>
  <c r="AN164" i="15" s="1"/>
  <c r="Z292" i="24"/>
  <c r="BF193" i="15" s="1"/>
  <c r="S118" i="24"/>
  <c r="AY106" i="15" s="1"/>
  <c r="K293" i="24"/>
  <c r="AQ194" i="15" s="1"/>
  <c r="L234" i="24"/>
  <c r="AR135" i="15" s="1"/>
  <c r="G126" i="24"/>
  <c r="AM114" i="15" s="1"/>
  <c r="G121" i="24"/>
  <c r="AM109" i="15" s="1"/>
  <c r="G129" i="24"/>
  <c r="AM117" i="15" s="1"/>
  <c r="G94" i="24"/>
  <c r="AM82" i="15" s="1"/>
  <c r="AA292" i="24"/>
  <c r="BG193" i="15" s="1"/>
  <c r="H310" i="24"/>
  <c r="AN211" i="15" s="1"/>
  <c r="L235" i="24"/>
  <c r="AR136" i="15" s="1"/>
  <c r="F80" i="24"/>
  <c r="AL68" i="15" s="1"/>
  <c r="N60" i="24"/>
  <c r="AT48" i="15" s="1"/>
  <c r="W234" i="24"/>
  <c r="BC135" i="15" s="1"/>
  <c r="P90" i="24"/>
  <c r="AV78" i="15" s="1"/>
  <c r="Y118" i="24"/>
  <c r="BE106" i="15" s="1"/>
  <c r="W89" i="24"/>
  <c r="BC77" i="15" s="1"/>
  <c r="G234" i="24"/>
  <c r="AM135" i="15" s="1"/>
  <c r="C15" i="26"/>
  <c r="J17" i="26"/>
  <c r="J4" i="26"/>
  <c r="J10" i="26" s="1"/>
  <c r="X17" i="26"/>
  <c r="X4" i="26"/>
  <c r="X10" i="26" s="1"/>
  <c r="K17" i="26"/>
  <c r="K4" i="26"/>
  <c r="K10" i="26" s="1"/>
  <c r="G17" i="26"/>
  <c r="G4" i="26"/>
  <c r="G10" i="26" s="1"/>
  <c r="P17" i="26"/>
  <c r="P4" i="26"/>
  <c r="P10" i="26" s="1"/>
  <c r="S17" i="26"/>
  <c r="S4" i="26"/>
  <c r="S10" i="26" s="1"/>
  <c r="D17" i="26"/>
  <c r="D4" i="26"/>
  <c r="D10" i="26" s="1"/>
  <c r="D15" i="26"/>
  <c r="M17" i="26"/>
  <c r="M4" i="26"/>
  <c r="M10" i="26" s="1"/>
  <c r="Q17" i="26"/>
  <c r="Q4" i="26"/>
  <c r="Q10" i="26" s="1"/>
  <c r="T17" i="26"/>
  <c r="T4" i="26"/>
  <c r="T10" i="26" s="1"/>
  <c r="F17" i="26"/>
  <c r="F4" i="26"/>
  <c r="F10" i="26" s="1"/>
  <c r="I17" i="26"/>
  <c r="I4" i="26"/>
  <c r="I10" i="26" s="1"/>
  <c r="N17" i="26"/>
  <c r="N4" i="26"/>
  <c r="N10" i="26" s="1"/>
  <c r="R17" i="26"/>
  <c r="R4" i="26"/>
  <c r="R10" i="26" s="1"/>
  <c r="F15" i="26"/>
  <c r="Y17" i="26"/>
  <c r="Y4" i="26"/>
  <c r="Y10" i="26" s="1"/>
  <c r="E15" i="26"/>
  <c r="E2" i="26"/>
  <c r="O17" i="26"/>
  <c r="O4" i="26"/>
  <c r="O10" i="26" s="1"/>
  <c r="E17" i="26"/>
  <c r="E4" i="26"/>
  <c r="E10" i="26" s="1"/>
  <c r="L17" i="26"/>
  <c r="L4" i="26"/>
  <c r="L10" i="26" s="1"/>
  <c r="V17" i="26"/>
  <c r="V4" i="26"/>
  <c r="V10" i="26" s="1"/>
  <c r="U17" i="26"/>
  <c r="U4" i="26"/>
  <c r="U10" i="26" s="1"/>
  <c r="W17" i="26"/>
  <c r="W4" i="26"/>
  <c r="W10" i="26" s="1"/>
  <c r="H17" i="26"/>
  <c r="H4" i="26"/>
  <c r="H10" i="26" s="1"/>
  <c r="L193" i="24"/>
  <c r="Q367" i="24"/>
  <c r="R368" i="24" s="1"/>
  <c r="G367" i="24"/>
  <c r="S193" i="24"/>
  <c r="T194" i="24" s="1"/>
  <c r="T193" i="24"/>
  <c r="U194" i="24" s="1"/>
  <c r="Q193" i="24"/>
  <c r="I193" i="24"/>
  <c r="J194" i="24" s="1"/>
  <c r="V367" i="24"/>
  <c r="V193" i="24"/>
  <c r="W194" i="24" s="1"/>
  <c r="AA367" i="24"/>
  <c r="AC193" i="24"/>
  <c r="O193" i="24"/>
  <c r="P194" i="24" s="1"/>
  <c r="T367" i="24"/>
  <c r="U368" i="24" s="1"/>
  <c r="Y367" i="24"/>
  <c r="Z368" i="24" s="1"/>
  <c r="M367" i="24"/>
  <c r="W193" i="24"/>
  <c r="Z367" i="24"/>
  <c r="AA368" i="24" s="1"/>
  <c r="J193" i="24"/>
  <c r="I367" i="24"/>
  <c r="R367" i="24"/>
  <c r="P367" i="24"/>
  <c r="X193" i="24"/>
  <c r="R193" i="24"/>
  <c r="N193" i="24"/>
  <c r="O194" i="24" s="1"/>
  <c r="H193" i="24"/>
  <c r="P193" i="24"/>
  <c r="U193" i="24"/>
  <c r="V194" i="24" s="1"/>
  <c r="W367" i="24"/>
  <c r="AB205" i="24"/>
  <c r="D138" i="24"/>
  <c r="AJ126" i="15" s="1"/>
  <c r="AJ128" i="15" s="1"/>
  <c r="D312" i="24"/>
  <c r="AJ213" i="15" s="1"/>
  <c r="AJ215" i="15" s="1"/>
  <c r="I292" i="24"/>
  <c r="AO193" i="15" s="1"/>
  <c r="E312" i="24"/>
  <c r="AK213" i="15" s="1"/>
  <c r="P147" i="24"/>
  <c r="O263" i="24"/>
  <c r="AU164" i="15" s="1"/>
  <c r="O321" i="24"/>
  <c r="T234" i="24"/>
  <c r="AZ135" i="15" s="1"/>
  <c r="AD321" i="24"/>
  <c r="G350" i="24"/>
  <c r="V321" i="24"/>
  <c r="X350" i="24"/>
  <c r="N89" i="24"/>
  <c r="AT77" i="15" s="1"/>
  <c r="Z263" i="24"/>
  <c r="BF164" i="15" s="1"/>
  <c r="V176" i="24"/>
  <c r="X89" i="24"/>
  <c r="BD77" i="15" s="1"/>
  <c r="S176" i="24"/>
  <c r="U118" i="24"/>
  <c r="BA106" i="15" s="1"/>
  <c r="T147" i="24"/>
  <c r="X147" i="24"/>
  <c r="P234" i="24"/>
  <c r="AV135" i="15" s="1"/>
  <c r="AB350" i="24"/>
  <c r="R292" i="24"/>
  <c r="AX193" i="15" s="1"/>
  <c r="L147" i="24"/>
  <c r="AD89" i="24"/>
  <c r="BJ77" i="15" s="1"/>
  <c r="G118" i="24"/>
  <c r="AM106" i="15" s="1"/>
  <c r="AB234" i="24"/>
  <c r="BH135" i="15" s="1"/>
  <c r="N235" i="24"/>
  <c r="AT136" i="15" s="1"/>
  <c r="J176" i="24"/>
  <c r="U350" i="24"/>
  <c r="F312" i="24"/>
  <c r="AL213" i="15" s="1"/>
  <c r="I321" i="24"/>
  <c r="H343" i="24"/>
  <c r="K350" i="24"/>
  <c r="AB147" i="24"/>
  <c r="X292" i="24"/>
  <c r="BD193" i="15" s="1"/>
  <c r="E193" i="24"/>
  <c r="F194" i="24" s="1"/>
  <c r="G205" i="24"/>
  <c r="F227" i="24"/>
  <c r="F138" i="24"/>
  <c r="AL126" i="15" s="1"/>
  <c r="P350" i="24"/>
  <c r="G138" i="24"/>
  <c r="AM126" i="15" s="1"/>
  <c r="AB379" i="24"/>
  <c r="AA401" i="24"/>
  <c r="AA105" i="26" s="1"/>
  <c r="M60" i="24"/>
  <c r="AS48" i="15" s="1"/>
  <c r="P118" i="24"/>
  <c r="AV106" i="15" s="1"/>
  <c r="I368" i="24"/>
  <c r="H147" i="24"/>
  <c r="G169" i="24"/>
  <c r="F28" i="16" s="1"/>
  <c r="K205" i="24"/>
  <c r="F193" i="24"/>
  <c r="AD176" i="24"/>
  <c r="S89" i="24"/>
  <c r="AY77" i="15" s="1"/>
  <c r="Q205" i="24"/>
  <c r="W205" i="24"/>
  <c r="E138" i="24"/>
  <c r="AK126" i="15" s="1"/>
  <c r="Z176" i="24"/>
  <c r="AC60" i="24"/>
  <c r="BI48" i="15" s="1"/>
  <c r="W118" i="24"/>
  <c r="BC106" i="15" s="1"/>
  <c r="D367" i="24"/>
  <c r="D193" i="24"/>
  <c r="E194" i="24" s="1"/>
  <c r="Q60" i="24"/>
  <c r="AW48" i="15" s="1"/>
  <c r="K118" i="24"/>
  <c r="AQ106" i="15" s="1"/>
  <c r="I60" i="24"/>
  <c r="AO48" i="15" s="1"/>
  <c r="U367" i="24"/>
  <c r="V368" i="24" s="1"/>
  <c r="H89" i="24"/>
  <c r="AN77" i="15" s="1"/>
  <c r="Z193" i="24"/>
  <c r="AA194" i="24" s="1"/>
  <c r="E367" i="24"/>
  <c r="J367" i="24"/>
  <c r="N176" i="24"/>
  <c r="AC367" i="24"/>
  <c r="AD368" i="24" s="1"/>
  <c r="Q321" i="24"/>
  <c r="F367" i="24"/>
  <c r="X176" i="24"/>
  <c r="AD367" i="24"/>
  <c r="S367" i="24"/>
  <c r="T368" i="24" s="1"/>
  <c r="R234" i="24"/>
  <c r="AX135" i="15" s="1"/>
  <c r="I235" i="24"/>
  <c r="AO136" i="15" s="1"/>
  <c r="H176" i="24"/>
  <c r="U205" i="24"/>
  <c r="AA118" i="24"/>
  <c r="BG106" i="15" s="1"/>
  <c r="L367" i="24"/>
  <c r="M368" i="24" s="1"/>
  <c r="B23" i="2" l="1"/>
  <c r="M44" i="2"/>
  <c r="C9" i="43"/>
  <c r="Q40" i="2"/>
  <c r="E30" i="16"/>
  <c r="Q41" i="2"/>
  <c r="Y235" i="24"/>
  <c r="BE136" i="15" s="1"/>
  <c r="H303" i="24"/>
  <c r="AN204" i="15" s="1"/>
  <c r="B5" i="26"/>
  <c r="AL186" i="15"/>
  <c r="AL70" i="15"/>
  <c r="AL99" i="15"/>
  <c r="AL157" i="15"/>
  <c r="E58" i="18"/>
  <c r="AJ4" i="18" s="1"/>
  <c r="E145" i="18"/>
  <c r="AJ7" i="18" s="1"/>
  <c r="F256" i="24"/>
  <c r="F116" i="18" s="1"/>
  <c r="AK6" i="18" s="1"/>
  <c r="B11" i="2"/>
  <c r="O44" i="2"/>
  <c r="O43" i="2"/>
  <c r="E186" i="15"/>
  <c r="O41" i="2"/>
  <c r="C10" i="43"/>
  <c r="O40" i="2"/>
  <c r="G312" i="24"/>
  <c r="E99" i="15"/>
  <c r="D28" i="15" s="1"/>
  <c r="H47" i="26"/>
  <c r="G2" i="26" s="1"/>
  <c r="D35" i="15"/>
  <c r="E8" i="26"/>
  <c r="F8" i="26"/>
  <c r="D8" i="26"/>
  <c r="C8" i="26"/>
  <c r="E116" i="18"/>
  <c r="AJ6" i="18" s="1"/>
  <c r="D38" i="15"/>
  <c r="B5" i="2"/>
  <c r="C9" i="2"/>
  <c r="Z119" i="24"/>
  <c r="BF107" i="15" s="1"/>
  <c r="I311" i="24"/>
  <c r="AO212" i="15" s="1"/>
  <c r="I264" i="24"/>
  <c r="AO165" i="15" s="1"/>
  <c r="H240" i="24"/>
  <c r="AN141" i="15" s="1"/>
  <c r="X293" i="24"/>
  <c r="BD194" i="15" s="1"/>
  <c r="G110" i="24"/>
  <c r="AM98" i="15" s="1"/>
  <c r="H135" i="24"/>
  <c r="AN123" i="15" s="1"/>
  <c r="J235" i="24"/>
  <c r="AP136" i="15" s="1"/>
  <c r="H123" i="24"/>
  <c r="AN111" i="15" s="1"/>
  <c r="H239" i="24"/>
  <c r="AN140" i="15" s="1"/>
  <c r="AB235" i="24"/>
  <c r="BH136" i="15" s="1"/>
  <c r="H282" i="24"/>
  <c r="AN183" i="15" s="1"/>
  <c r="L293" i="24"/>
  <c r="AR194" i="15" s="1"/>
  <c r="W119" i="24"/>
  <c r="BC107" i="15" s="1"/>
  <c r="K61" i="24"/>
  <c r="AQ49" i="15" s="1"/>
  <c r="R293" i="24"/>
  <c r="AX194" i="15" s="1"/>
  <c r="H279" i="24"/>
  <c r="AN180" i="15" s="1"/>
  <c r="W235" i="24"/>
  <c r="BC136" i="15" s="1"/>
  <c r="F313" i="24"/>
  <c r="AL214" i="15" s="1"/>
  <c r="AL215" i="15" s="1"/>
  <c r="H95" i="24"/>
  <c r="AN83" i="15" s="1"/>
  <c r="H122" i="24"/>
  <c r="AN110" i="15" s="1"/>
  <c r="AD293" i="24"/>
  <c r="BJ194" i="15" s="1"/>
  <c r="V90" i="24"/>
  <c r="BB78" i="15" s="1"/>
  <c r="AB90" i="24"/>
  <c r="BH78" i="15" s="1"/>
  <c r="M61" i="24"/>
  <c r="AS49" i="15" s="1"/>
  <c r="H107" i="24"/>
  <c r="AN95" i="15" s="1"/>
  <c r="H77" i="24"/>
  <c r="AN65" i="15" s="1"/>
  <c r="AA294" i="24"/>
  <c r="BG195" i="15" s="1"/>
  <c r="G137" i="24"/>
  <c r="AM125" i="15" s="1"/>
  <c r="AC293" i="24"/>
  <c r="BI194" i="15" s="1"/>
  <c r="M293" i="24"/>
  <c r="AS194" i="15" s="1"/>
  <c r="AC90" i="24"/>
  <c r="BI78" i="15" s="1"/>
  <c r="AA236" i="24"/>
  <c r="BG137" i="15" s="1"/>
  <c r="G63" i="24"/>
  <c r="AM51" i="15" s="1"/>
  <c r="H67" i="24"/>
  <c r="AN55" i="15" s="1"/>
  <c r="Q61" i="24"/>
  <c r="AW49" i="15" s="1"/>
  <c r="R235" i="24"/>
  <c r="AX136" i="15" s="1"/>
  <c r="G311" i="24"/>
  <c r="AM212" i="15" s="1"/>
  <c r="H124" i="24"/>
  <c r="AN112" i="15" s="1"/>
  <c r="S61" i="24"/>
  <c r="AY49" i="15" s="1"/>
  <c r="AE119" i="24"/>
  <c r="BK107" i="15" s="1"/>
  <c r="H272" i="24"/>
  <c r="AN173" i="15" s="1"/>
  <c r="G282" i="24"/>
  <c r="AM183" i="15" s="1"/>
  <c r="L90" i="24"/>
  <c r="AR78" i="15" s="1"/>
  <c r="O293" i="24"/>
  <c r="AU194" i="15" s="1"/>
  <c r="H243" i="24"/>
  <c r="AN144" i="15" s="1"/>
  <c r="H91" i="24"/>
  <c r="AN79" i="15" s="1"/>
  <c r="H250" i="24"/>
  <c r="AN151" i="15" s="1"/>
  <c r="H294" i="24"/>
  <c r="AN195" i="15" s="1"/>
  <c r="J119" i="24"/>
  <c r="AP107" i="15" s="1"/>
  <c r="Q293" i="24"/>
  <c r="AW194" i="15" s="1"/>
  <c r="H63" i="24"/>
  <c r="AN51" i="15" s="1"/>
  <c r="H236" i="24"/>
  <c r="AN137" i="15" s="1"/>
  <c r="H311" i="24"/>
  <c r="AN212" i="15" s="1"/>
  <c r="G77" i="24"/>
  <c r="AM65" i="15" s="1"/>
  <c r="Y264" i="24"/>
  <c r="BE165" i="15" s="1"/>
  <c r="AE235" i="24"/>
  <c r="BK136" i="15" s="1"/>
  <c r="G79" i="24"/>
  <c r="AM67" i="15" s="1"/>
  <c r="H126" i="24"/>
  <c r="AN114" i="15" s="1"/>
  <c r="H238" i="24"/>
  <c r="AN139" i="15" s="1"/>
  <c r="X61" i="24"/>
  <c r="BD49" i="15" s="1"/>
  <c r="G99" i="24"/>
  <c r="AM87" i="15" s="1"/>
  <c r="H246" i="24"/>
  <c r="AN147" i="15" s="1"/>
  <c r="L61" i="24"/>
  <c r="AR49" i="15" s="1"/>
  <c r="I306" i="24"/>
  <c r="AO207" i="15" s="1"/>
  <c r="H108" i="24"/>
  <c r="AN96" i="15" s="1"/>
  <c r="K91" i="24"/>
  <c r="AQ79" i="15" s="1"/>
  <c r="I309" i="24"/>
  <c r="AO210" i="15" s="1"/>
  <c r="H248" i="24"/>
  <c r="AN149" i="15" s="1"/>
  <c r="N90" i="24"/>
  <c r="AT78" i="15" s="1"/>
  <c r="G75" i="24"/>
  <c r="AM63" i="15" s="1"/>
  <c r="H264" i="24"/>
  <c r="AN165" i="15" s="1"/>
  <c r="S264" i="24"/>
  <c r="AY165" i="15" s="1"/>
  <c r="AD90" i="24"/>
  <c r="BJ78" i="15" s="1"/>
  <c r="H125" i="24"/>
  <c r="AN113" i="15" s="1"/>
  <c r="H134" i="24"/>
  <c r="AN122" i="15" s="1"/>
  <c r="G65" i="24"/>
  <c r="AM53" i="15" s="1"/>
  <c r="H242" i="24"/>
  <c r="AN143" i="15" s="1"/>
  <c r="M119" i="24"/>
  <c r="AS107" i="15" s="1"/>
  <c r="H270" i="24"/>
  <c r="AN171" i="15" s="1"/>
  <c r="H136" i="24"/>
  <c r="AN124" i="15" s="1"/>
  <c r="I298" i="24"/>
  <c r="AO199" i="15" s="1"/>
  <c r="X235" i="24"/>
  <c r="BD136" i="15" s="1"/>
  <c r="L294" i="24"/>
  <c r="AR195" i="15" s="1"/>
  <c r="G105" i="24"/>
  <c r="AM93" i="15" s="1"/>
  <c r="AE236" i="24"/>
  <c r="BK137" i="15" s="1"/>
  <c r="W61" i="24"/>
  <c r="BC49" i="15" s="1"/>
  <c r="G67" i="24"/>
  <c r="AM55" i="15" s="1"/>
  <c r="H102" i="24"/>
  <c r="AN90" i="15" s="1"/>
  <c r="W293" i="24"/>
  <c r="BC194" i="15" s="1"/>
  <c r="L264" i="24"/>
  <c r="AR165" i="15" s="1"/>
  <c r="G284" i="24"/>
  <c r="AM185" i="15" s="1"/>
  <c r="AD264" i="24"/>
  <c r="BJ165" i="15" s="1"/>
  <c r="AE293" i="24"/>
  <c r="BK194" i="15" s="1"/>
  <c r="I246" i="24"/>
  <c r="AO147" i="15" s="1"/>
  <c r="AE120" i="24"/>
  <c r="BK108" i="15" s="1"/>
  <c r="AC264" i="24"/>
  <c r="BI165" i="15" s="1"/>
  <c r="H306" i="24"/>
  <c r="AN207" i="15" s="1"/>
  <c r="H70" i="24"/>
  <c r="AN58" i="15" s="1"/>
  <c r="H276" i="24"/>
  <c r="AN177" i="15" s="1"/>
  <c r="I272" i="24"/>
  <c r="AO173" i="15" s="1"/>
  <c r="H97" i="24"/>
  <c r="AN85" i="15" s="1"/>
  <c r="O119" i="24"/>
  <c r="AU107" i="15" s="1"/>
  <c r="AA235" i="24"/>
  <c r="BG136" i="15" s="1"/>
  <c r="E139" i="24"/>
  <c r="AK127" i="15" s="1"/>
  <c r="AK128" i="15" s="1"/>
  <c r="C3" i="2"/>
  <c r="X90" i="24"/>
  <c r="BD78" i="15" s="1"/>
  <c r="Q91" i="24"/>
  <c r="AW79" i="15" s="1"/>
  <c r="O61" i="24"/>
  <c r="AU49" i="15" s="1"/>
  <c r="M236" i="24"/>
  <c r="AS137" i="15" s="1"/>
  <c r="M235" i="24"/>
  <c r="AS136" i="15" s="1"/>
  <c r="AA293" i="24"/>
  <c r="BG194" i="15" s="1"/>
  <c r="P235" i="24"/>
  <c r="AV136" i="15" s="1"/>
  <c r="H281" i="24"/>
  <c r="AN182" i="15" s="1"/>
  <c r="Z90" i="24"/>
  <c r="BF78" i="15" s="1"/>
  <c r="AC61" i="24"/>
  <c r="BI49" i="15" s="1"/>
  <c r="G109" i="24"/>
  <c r="AM97" i="15" s="1"/>
  <c r="S90" i="24"/>
  <c r="AY78" i="15" s="1"/>
  <c r="P119" i="24"/>
  <c r="AV107" i="15" s="1"/>
  <c r="S120" i="24"/>
  <c r="AY108" i="15" s="1"/>
  <c r="I105" i="24"/>
  <c r="AO93" i="15" s="1"/>
  <c r="H295" i="24"/>
  <c r="AN196" i="15" s="1"/>
  <c r="P236" i="24"/>
  <c r="AV137" i="15" s="1"/>
  <c r="H65" i="24"/>
  <c r="AN53" i="15" s="1"/>
  <c r="G255" i="24"/>
  <c r="AM156" i="15" s="1"/>
  <c r="H247" i="24"/>
  <c r="AN148" i="15" s="1"/>
  <c r="H75" i="24"/>
  <c r="AN63" i="15" s="1"/>
  <c r="P293" i="24"/>
  <c r="AV194" i="15" s="1"/>
  <c r="T120" i="24"/>
  <c r="AZ108" i="15" s="1"/>
  <c r="H278" i="24"/>
  <c r="AN179" i="15" s="1"/>
  <c r="I293" i="24"/>
  <c r="AO194" i="15" s="1"/>
  <c r="K90" i="24"/>
  <c r="AQ78" i="15" s="1"/>
  <c r="W90" i="24"/>
  <c r="BC78" i="15" s="1"/>
  <c r="AB61" i="24"/>
  <c r="BH49" i="15" s="1"/>
  <c r="I300" i="24"/>
  <c r="AO201" i="15" s="1"/>
  <c r="G250" i="24"/>
  <c r="AM151" i="15" s="1"/>
  <c r="H267" i="24"/>
  <c r="AN168" i="15" s="1"/>
  <c r="T293" i="24"/>
  <c r="AZ194" i="15" s="1"/>
  <c r="H298" i="24"/>
  <c r="AN199" i="15" s="1"/>
  <c r="AD120" i="24"/>
  <c r="BJ108" i="15" s="1"/>
  <c r="AA90" i="24"/>
  <c r="BG78" i="15" s="1"/>
  <c r="H293" i="24"/>
  <c r="AN194" i="15" s="1"/>
  <c r="N264" i="24"/>
  <c r="AT165" i="15" s="1"/>
  <c r="K119" i="24"/>
  <c r="AQ107" i="15" s="1"/>
  <c r="H73" i="24"/>
  <c r="AN61" i="15" s="1"/>
  <c r="AE61" i="24"/>
  <c r="BK49" i="15" s="1"/>
  <c r="H280" i="24"/>
  <c r="AN181" i="15" s="1"/>
  <c r="K235" i="24"/>
  <c r="AQ136" i="15" s="1"/>
  <c r="G97" i="24"/>
  <c r="AM85" i="15" s="1"/>
  <c r="H69" i="24"/>
  <c r="AN57" i="15" s="1"/>
  <c r="H273" i="24"/>
  <c r="AN174" i="15" s="1"/>
  <c r="H61" i="24"/>
  <c r="AN49" i="15" s="1"/>
  <c r="AE264" i="24"/>
  <c r="BK165" i="15" s="1"/>
  <c r="H237" i="24"/>
  <c r="AN138" i="15" s="1"/>
  <c r="H94" i="24"/>
  <c r="AN82" i="15" s="1"/>
  <c r="G313" i="24"/>
  <c r="AM214" i="15" s="1"/>
  <c r="G81" i="24"/>
  <c r="AM69" i="15" s="1"/>
  <c r="T119" i="24"/>
  <c r="AZ107" i="15" s="1"/>
  <c r="AA61" i="24"/>
  <c r="BG49" i="15" s="1"/>
  <c r="H105" i="24"/>
  <c r="AN93" i="15" s="1"/>
  <c r="H72" i="24"/>
  <c r="AN60" i="15" s="1"/>
  <c r="U61" i="24"/>
  <c r="BA49" i="15" s="1"/>
  <c r="E29" i="18"/>
  <c r="AJ3" i="18" s="1"/>
  <c r="E70" i="15"/>
  <c r="D27" i="15" s="1"/>
  <c r="H265" i="24"/>
  <c r="AN166" i="15" s="1"/>
  <c r="N293" i="24"/>
  <c r="AT194" i="15" s="1"/>
  <c r="P61" i="24"/>
  <c r="AV49" i="15" s="1"/>
  <c r="T235" i="24"/>
  <c r="AZ136" i="15" s="1"/>
  <c r="H137" i="24"/>
  <c r="AN125" i="15" s="1"/>
  <c r="H252" i="24"/>
  <c r="AN153" i="15" s="1"/>
  <c r="I304" i="24"/>
  <c r="AO205" i="15" s="1"/>
  <c r="H307" i="24"/>
  <c r="AN208" i="15" s="1"/>
  <c r="H139" i="24"/>
  <c r="AN127" i="15" s="1"/>
  <c r="G139" i="24"/>
  <c r="AM127" i="15" s="1"/>
  <c r="AB293" i="24"/>
  <c r="BH194" i="15" s="1"/>
  <c r="H130" i="24"/>
  <c r="AN118" i="15" s="1"/>
  <c r="H127" i="24"/>
  <c r="AN115" i="15" s="1"/>
  <c r="Q90" i="24"/>
  <c r="AW78" i="15" s="1"/>
  <c r="Z264" i="24"/>
  <c r="BF165" i="15" s="1"/>
  <c r="M90" i="24"/>
  <c r="AS78" i="15" s="1"/>
  <c r="R90" i="24"/>
  <c r="AX78" i="15" s="1"/>
  <c r="G243" i="24"/>
  <c r="AM144" i="15" s="1"/>
  <c r="G80" i="24"/>
  <c r="AM68" i="15" s="1"/>
  <c r="T61" i="24"/>
  <c r="AZ49" i="15" s="1"/>
  <c r="G253" i="24"/>
  <c r="AM154" i="15" s="1"/>
  <c r="H304" i="24"/>
  <c r="AN205" i="15" s="1"/>
  <c r="V293" i="24"/>
  <c r="BB194" i="15" s="1"/>
  <c r="R264" i="24"/>
  <c r="AX165" i="15" s="1"/>
  <c r="T264" i="24"/>
  <c r="AZ165" i="15" s="1"/>
  <c r="X264" i="24"/>
  <c r="BD165" i="15" s="1"/>
  <c r="W264" i="24"/>
  <c r="BC165" i="15" s="1"/>
  <c r="F285" i="24"/>
  <c r="F186" i="15" s="1"/>
  <c r="H302" i="24"/>
  <c r="AN203" i="15" s="1"/>
  <c r="H301" i="24"/>
  <c r="AN202" i="15" s="1"/>
  <c r="R265" i="24"/>
  <c r="AX166" i="15" s="1"/>
  <c r="H99" i="24"/>
  <c r="AN87" i="15" s="1"/>
  <c r="AA119" i="24"/>
  <c r="BG107" i="15" s="1"/>
  <c r="I61" i="24"/>
  <c r="AO49" i="15" s="1"/>
  <c r="V61" i="24"/>
  <c r="BB49" i="15" s="1"/>
  <c r="U264" i="24"/>
  <c r="BA165" i="15" s="1"/>
  <c r="Z61" i="24"/>
  <c r="BF49" i="15" s="1"/>
  <c r="O264" i="24"/>
  <c r="AU165" i="15" s="1"/>
  <c r="H129" i="24"/>
  <c r="AN117" i="15" s="1"/>
  <c r="H79" i="24"/>
  <c r="AN67" i="15" s="1"/>
  <c r="H74" i="24"/>
  <c r="AN62" i="15" s="1"/>
  <c r="H268" i="24"/>
  <c r="AN169" i="15" s="1"/>
  <c r="H275" i="24"/>
  <c r="AN176" i="15" s="1"/>
  <c r="K264" i="24"/>
  <c r="AQ165" i="15" s="1"/>
  <c r="G61" i="24"/>
  <c r="AM49" i="15" s="1"/>
  <c r="F82" i="24"/>
  <c r="H249" i="24"/>
  <c r="AN150" i="15" s="1"/>
  <c r="H300" i="24"/>
  <c r="AN201" i="15" s="1"/>
  <c r="H241" i="24"/>
  <c r="AN142" i="15" s="1"/>
  <c r="U293" i="24"/>
  <c r="BA194" i="15" s="1"/>
  <c r="V235" i="24"/>
  <c r="BB136" i="15" s="1"/>
  <c r="H101" i="24"/>
  <c r="AN89" i="15" s="1"/>
  <c r="G283" i="24"/>
  <c r="AM184" i="15" s="1"/>
  <c r="N119" i="24"/>
  <c r="AT107" i="15" s="1"/>
  <c r="H128" i="24"/>
  <c r="AN116" i="15" s="1"/>
  <c r="U119" i="24"/>
  <c r="BA107" i="15" s="1"/>
  <c r="H96" i="24"/>
  <c r="AN84" i="15" s="1"/>
  <c r="H296" i="24"/>
  <c r="AN197" i="15" s="1"/>
  <c r="I104" i="24"/>
  <c r="AO92" i="15" s="1"/>
  <c r="H253" i="24"/>
  <c r="AN154" i="15" s="1"/>
  <c r="H274" i="24"/>
  <c r="AN175" i="15" s="1"/>
  <c r="H132" i="24"/>
  <c r="AN120" i="15" s="1"/>
  <c r="H71" i="24"/>
  <c r="AN59" i="15" s="1"/>
  <c r="M264" i="24"/>
  <c r="AS165" i="15" s="1"/>
  <c r="H121" i="24"/>
  <c r="AN109" i="15" s="1"/>
  <c r="H269" i="24"/>
  <c r="AN170" i="15" s="1"/>
  <c r="J120" i="24"/>
  <c r="AP108" i="15" s="1"/>
  <c r="U90" i="24"/>
  <c r="BA78" i="15" s="1"/>
  <c r="G276" i="24"/>
  <c r="AM177" i="15" s="1"/>
  <c r="H120" i="24"/>
  <c r="AN108" i="15" s="1"/>
  <c r="G254" i="24"/>
  <c r="AM155" i="15" s="1"/>
  <c r="H309" i="24"/>
  <c r="AN210" i="15" s="1"/>
  <c r="H133" i="24"/>
  <c r="AN121" i="15" s="1"/>
  <c r="Y119" i="24"/>
  <c r="BE107" i="15" s="1"/>
  <c r="J264" i="24"/>
  <c r="AP165" i="15" s="1"/>
  <c r="V264" i="24"/>
  <c r="BB165" i="15" s="1"/>
  <c r="G89" i="24"/>
  <c r="AM77" i="15" s="1"/>
  <c r="F111" i="24"/>
  <c r="E36" i="15" s="1"/>
  <c r="H131" i="24"/>
  <c r="AN119" i="15" s="1"/>
  <c r="AC265" i="24"/>
  <c r="BI166" i="15" s="1"/>
  <c r="H92" i="24"/>
  <c r="AN80" i="15" s="1"/>
  <c r="H93" i="24"/>
  <c r="AN81" i="15" s="1"/>
  <c r="H266" i="24"/>
  <c r="AN167" i="15" s="1"/>
  <c r="G108" i="24"/>
  <c r="AM96" i="15" s="1"/>
  <c r="Y61" i="24"/>
  <c r="BE49" i="15" s="1"/>
  <c r="H235" i="24"/>
  <c r="AN136" i="15" s="1"/>
  <c r="G15" i="26"/>
  <c r="Z17" i="26"/>
  <c r="Z4" i="26"/>
  <c r="Z10" i="26" s="1"/>
  <c r="H368" i="24"/>
  <c r="AC194" i="24"/>
  <c r="R194" i="24"/>
  <c r="L368" i="24"/>
  <c r="N368" i="24"/>
  <c r="I90" i="24"/>
  <c r="AO78" i="15" s="1"/>
  <c r="Z236" i="24"/>
  <c r="BF137" i="15" s="1"/>
  <c r="F139" i="24"/>
  <c r="AL127" i="15" s="1"/>
  <c r="AL128" i="15" s="1"/>
  <c r="L206" i="24"/>
  <c r="Q119" i="24"/>
  <c r="AW107" i="15" s="1"/>
  <c r="V351" i="24"/>
  <c r="AE90" i="24"/>
  <c r="BK78" i="15" s="1"/>
  <c r="S293" i="24"/>
  <c r="AY194" i="15" s="1"/>
  <c r="Q235" i="24"/>
  <c r="AW136" i="15" s="1"/>
  <c r="V119" i="24"/>
  <c r="BB107" i="15" s="1"/>
  <c r="Y90" i="24"/>
  <c r="BE78" i="15" s="1"/>
  <c r="Y351" i="24"/>
  <c r="AE322" i="24"/>
  <c r="AC206" i="24"/>
  <c r="V206" i="24"/>
  <c r="S235" i="24"/>
  <c r="AY136" i="15" s="1"/>
  <c r="F368" i="24"/>
  <c r="L119" i="24"/>
  <c r="AR107" i="15" s="1"/>
  <c r="E368" i="24"/>
  <c r="X119" i="24"/>
  <c r="BD107" i="15" s="1"/>
  <c r="AD61" i="24"/>
  <c r="BJ49" i="15" s="1"/>
  <c r="R206" i="24"/>
  <c r="T90" i="24"/>
  <c r="AZ78" i="15" s="1"/>
  <c r="Q351" i="24"/>
  <c r="H206" i="24"/>
  <c r="G227" i="24"/>
  <c r="J322" i="24"/>
  <c r="I343" i="24"/>
  <c r="O236" i="24"/>
  <c r="AU137" i="15" s="1"/>
  <c r="H119" i="24"/>
  <c r="AN107" i="15" s="1"/>
  <c r="H351" i="24"/>
  <c r="AB119" i="24"/>
  <c r="BH107" i="15" s="1"/>
  <c r="Y177" i="24"/>
  <c r="R322" i="24"/>
  <c r="O177" i="24"/>
  <c r="J369" i="24"/>
  <c r="D194" i="24"/>
  <c r="D368" i="24"/>
  <c r="AA177" i="24"/>
  <c r="G194" i="24"/>
  <c r="I148" i="24"/>
  <c r="H169" i="24"/>
  <c r="G28" i="16" s="1"/>
  <c r="AC380" i="24"/>
  <c r="AB401" i="24"/>
  <c r="AA17" i="26" s="1"/>
  <c r="AB368" i="24"/>
  <c r="Q368" i="24"/>
  <c r="AC148" i="24"/>
  <c r="L351" i="24"/>
  <c r="Q194" i="24"/>
  <c r="M148" i="24"/>
  <c r="AC351" i="24"/>
  <c r="U148" i="24"/>
  <c r="T177" i="24"/>
  <c r="S194" i="24"/>
  <c r="AA264" i="24"/>
  <c r="BG165" i="15" s="1"/>
  <c r="O90" i="24"/>
  <c r="AU78" i="15" s="1"/>
  <c r="U235" i="24"/>
  <c r="BA136" i="15" s="1"/>
  <c r="X368" i="24"/>
  <c r="P322" i="24"/>
  <c r="J368" i="24"/>
  <c r="K369" i="24" s="1"/>
  <c r="P264" i="24"/>
  <c r="AV165" i="15" s="1"/>
  <c r="J293" i="24"/>
  <c r="AP194" i="15" s="1"/>
  <c r="Y194" i="24"/>
  <c r="I177" i="24"/>
  <c r="J236" i="24"/>
  <c r="AP137" i="15" s="1"/>
  <c r="AE368" i="24"/>
  <c r="G368" i="24"/>
  <c r="K368" i="24"/>
  <c r="J61" i="24"/>
  <c r="AP49" i="15" s="1"/>
  <c r="R61" i="24"/>
  <c r="AX49" i="15" s="1"/>
  <c r="K194" i="24"/>
  <c r="H194" i="24"/>
  <c r="I195" i="24" s="1"/>
  <c r="D140" i="24"/>
  <c r="X206" i="24"/>
  <c r="X194" i="24"/>
  <c r="AE177" i="24"/>
  <c r="N61" i="24"/>
  <c r="AT49" i="15" s="1"/>
  <c r="I194" i="24"/>
  <c r="Y293" i="24"/>
  <c r="BE194" i="15" s="1"/>
  <c r="P368" i="24"/>
  <c r="Q369" i="24" s="1"/>
  <c r="N194" i="24"/>
  <c r="S368" i="24"/>
  <c r="K177" i="24"/>
  <c r="M194" i="24"/>
  <c r="N195" i="24" s="1"/>
  <c r="AC235" i="24"/>
  <c r="BI136" i="15" s="1"/>
  <c r="Y148" i="24"/>
  <c r="W177" i="24"/>
  <c r="W322" i="24"/>
  <c r="O368" i="24"/>
  <c r="AD194" i="24"/>
  <c r="L194" i="24"/>
  <c r="AE194" i="24"/>
  <c r="Q148" i="24"/>
  <c r="W368" i="24"/>
  <c r="E313" i="24"/>
  <c r="AK214" i="15" s="1"/>
  <c r="AK215" i="15" s="1"/>
  <c r="D314" i="24"/>
  <c r="D215" i="15" s="1"/>
  <c r="C32" i="15" s="1"/>
  <c r="F30" i="16" l="1"/>
  <c r="B11" i="26"/>
  <c r="T40" i="2"/>
  <c r="AM186" i="15"/>
  <c r="AM70" i="15"/>
  <c r="AM157" i="15"/>
  <c r="H313" i="24"/>
  <c r="AN214" i="15" s="1"/>
  <c r="AM213" i="15"/>
  <c r="AM215" i="15" s="1"/>
  <c r="AM128" i="15"/>
  <c r="AM99" i="15"/>
  <c r="F157" i="15"/>
  <c r="E30" i="15" s="1"/>
  <c r="E38" i="15"/>
  <c r="E140" i="24"/>
  <c r="G54" i="2" s="1"/>
  <c r="G314" i="24"/>
  <c r="G215" i="15" s="1"/>
  <c r="F32" i="15" s="1"/>
  <c r="G26" i="2"/>
  <c r="I26" i="2" s="1"/>
  <c r="F314" i="24"/>
  <c r="E40" i="15" s="1"/>
  <c r="G256" i="24"/>
  <c r="G116" i="18" s="1"/>
  <c r="AL6" i="18" s="1"/>
  <c r="F145" i="18"/>
  <c r="AK7" i="18" s="1"/>
  <c r="E39" i="15"/>
  <c r="I47" i="26"/>
  <c r="E35" i="15"/>
  <c r="H55" i="2"/>
  <c r="G140" i="24"/>
  <c r="F37" i="15" s="1"/>
  <c r="C40" i="15"/>
  <c r="F55" i="2"/>
  <c r="D128" i="15"/>
  <c r="C29" i="15" s="1"/>
  <c r="C37" i="15"/>
  <c r="F54" i="2"/>
  <c r="G8" i="26"/>
  <c r="D3" i="2"/>
  <c r="Z62" i="24"/>
  <c r="BF50" i="15" s="1"/>
  <c r="I93" i="24"/>
  <c r="AO81" i="15" s="1"/>
  <c r="K265" i="24"/>
  <c r="AQ166" i="15" s="1"/>
  <c r="H277" i="24"/>
  <c r="AN178" i="15" s="1"/>
  <c r="H284" i="24"/>
  <c r="AN185" i="15" s="1"/>
  <c r="U265" i="24"/>
  <c r="BA166" i="15" s="1"/>
  <c r="H254" i="24"/>
  <c r="AN155" i="15" s="1"/>
  <c r="S91" i="24"/>
  <c r="AY79" i="15" s="1"/>
  <c r="AA265" i="24"/>
  <c r="BG166" i="15" s="1"/>
  <c r="I73" i="24"/>
  <c r="AO61" i="15" s="1"/>
  <c r="I70" i="24"/>
  <c r="AO58" i="15" s="1"/>
  <c r="L120" i="24"/>
  <c r="AR108" i="15" s="1"/>
  <c r="AE121" i="24"/>
  <c r="BK109" i="15" s="1"/>
  <c r="AC62" i="24"/>
  <c r="BI50" i="15" s="1"/>
  <c r="U121" i="24"/>
  <c r="BA109" i="15" s="1"/>
  <c r="Q236" i="24"/>
  <c r="AW137" i="15" s="1"/>
  <c r="P62" i="24"/>
  <c r="AV50" i="15" s="1"/>
  <c r="Z265" i="24"/>
  <c r="BF166" i="15" s="1"/>
  <c r="K120" i="24"/>
  <c r="AQ108" i="15" s="1"/>
  <c r="T62" i="24"/>
  <c r="AZ50" i="15" s="1"/>
  <c r="I283" i="24"/>
  <c r="AO184" i="15" s="1"/>
  <c r="E314" i="24"/>
  <c r="E215" i="15" s="1"/>
  <c r="D32" i="15" s="1"/>
  <c r="D9" i="2"/>
  <c r="G87" i="18"/>
  <c r="AL5" i="18" s="1"/>
  <c r="H90" i="24"/>
  <c r="AN78" i="15" s="1"/>
  <c r="G111" i="24"/>
  <c r="F36" i="15" s="1"/>
  <c r="N265" i="24"/>
  <c r="AT166" i="15" s="1"/>
  <c r="I133" i="24"/>
  <c r="AO121" i="15" s="1"/>
  <c r="I254" i="24"/>
  <c r="AO155" i="15" s="1"/>
  <c r="I97" i="24"/>
  <c r="AO85" i="15" s="1"/>
  <c r="V120" i="24"/>
  <c r="BB108" i="15" s="1"/>
  <c r="O120" i="24"/>
  <c r="AU108" i="15" s="1"/>
  <c r="V294" i="24"/>
  <c r="BB195" i="15" s="1"/>
  <c r="I301" i="24"/>
  <c r="AO202" i="15" s="1"/>
  <c r="L265" i="24"/>
  <c r="AR166" i="15" s="1"/>
  <c r="I269" i="24"/>
  <c r="AO170" i="15" s="1"/>
  <c r="I80" i="24"/>
  <c r="AO68" i="15" s="1"/>
  <c r="P265" i="24"/>
  <c r="AV166" i="15" s="1"/>
  <c r="V265" i="24"/>
  <c r="BB166" i="15" s="1"/>
  <c r="J62" i="24"/>
  <c r="AP50" i="15" s="1"/>
  <c r="I100" i="24"/>
  <c r="AO88" i="15" s="1"/>
  <c r="I302" i="24"/>
  <c r="AO203" i="15" s="1"/>
  <c r="I131" i="24"/>
  <c r="AO119" i="15" s="1"/>
  <c r="I308" i="24"/>
  <c r="AO209" i="15" s="1"/>
  <c r="I253" i="24"/>
  <c r="AO154" i="15" s="1"/>
  <c r="U236" i="24"/>
  <c r="BA137" i="15" s="1"/>
  <c r="O294" i="24"/>
  <c r="AU195" i="15" s="1"/>
  <c r="I76" i="24"/>
  <c r="AO64" i="15" s="1"/>
  <c r="Q237" i="24"/>
  <c r="AW138" i="15" s="1"/>
  <c r="J106" i="24"/>
  <c r="AP94" i="15" s="1"/>
  <c r="Q120" i="24"/>
  <c r="AW108" i="15" s="1"/>
  <c r="H110" i="24"/>
  <c r="AN98" i="15" s="1"/>
  <c r="I277" i="24"/>
  <c r="AO178" i="15" s="1"/>
  <c r="I307" i="24"/>
  <c r="AO208" i="15" s="1"/>
  <c r="X294" i="24"/>
  <c r="BD195" i="15" s="1"/>
  <c r="H68" i="24"/>
  <c r="AN56" i="15" s="1"/>
  <c r="I135" i="24"/>
  <c r="AO123" i="15" s="1"/>
  <c r="G285" i="24"/>
  <c r="G186" i="15" s="1"/>
  <c r="H76" i="24"/>
  <c r="AN64" i="15" s="1"/>
  <c r="I249" i="24"/>
  <c r="AO150" i="15" s="1"/>
  <c r="L92" i="24"/>
  <c r="AR80" i="15" s="1"/>
  <c r="J307" i="24"/>
  <c r="AP208" i="15" s="1"/>
  <c r="I247" i="24"/>
  <c r="AO148" i="15" s="1"/>
  <c r="Y62" i="24"/>
  <c r="BE50" i="15" s="1"/>
  <c r="I127" i="24"/>
  <c r="AO115" i="15" s="1"/>
  <c r="H80" i="24"/>
  <c r="AN68" i="15" s="1"/>
  <c r="I312" i="24"/>
  <c r="AO213" i="15" s="1"/>
  <c r="H312" i="24"/>
  <c r="AN213" i="15" s="1"/>
  <c r="I78" i="24"/>
  <c r="AO66" i="15" s="1"/>
  <c r="N62" i="24"/>
  <c r="AT50" i="15" s="1"/>
  <c r="W91" i="24"/>
  <c r="BC79" i="15" s="1"/>
  <c r="X236" i="24"/>
  <c r="BD137" i="15" s="1"/>
  <c r="S294" i="24"/>
  <c r="AY195" i="15" s="1"/>
  <c r="X120" i="24"/>
  <c r="BD108" i="15" s="1"/>
  <c r="AC236" i="24"/>
  <c r="BI137" i="15" s="1"/>
  <c r="I124" i="24"/>
  <c r="AO112" i="15" s="1"/>
  <c r="I136" i="24"/>
  <c r="AO124" i="15" s="1"/>
  <c r="Y294" i="24"/>
  <c r="BE195" i="15" s="1"/>
  <c r="J265" i="24"/>
  <c r="AP166" i="15" s="1"/>
  <c r="AA120" i="24"/>
  <c r="BG108" i="15" s="1"/>
  <c r="H255" i="24"/>
  <c r="AN156" i="15" s="1"/>
  <c r="I122" i="24"/>
  <c r="AO110" i="15" s="1"/>
  <c r="H62" i="24"/>
  <c r="AN50" i="15" s="1"/>
  <c r="G82" i="24"/>
  <c r="I75" i="24"/>
  <c r="AO63" i="15" s="1"/>
  <c r="X265" i="24"/>
  <c r="BD166" i="15" s="1"/>
  <c r="W294" i="24"/>
  <c r="BC195" i="15" s="1"/>
  <c r="H81" i="24"/>
  <c r="AN69" i="15" s="1"/>
  <c r="U294" i="24"/>
  <c r="BA195" i="15" s="1"/>
  <c r="J299" i="24"/>
  <c r="AP200" i="15" s="1"/>
  <c r="I243" i="24"/>
  <c r="AO144" i="15" s="1"/>
  <c r="AE91" i="24"/>
  <c r="BK79" i="15" s="1"/>
  <c r="I64" i="24"/>
  <c r="AO52" i="15" s="1"/>
  <c r="I244" i="24"/>
  <c r="AO145" i="15" s="1"/>
  <c r="I273" i="24"/>
  <c r="AO174" i="15" s="1"/>
  <c r="R62" i="24"/>
  <c r="AX50" i="15" s="1"/>
  <c r="AD91" i="24"/>
  <c r="BJ79" i="15" s="1"/>
  <c r="I96" i="24"/>
  <c r="AO84" i="15" s="1"/>
  <c r="J312" i="24"/>
  <c r="AP213" i="15" s="1"/>
  <c r="F58" i="18"/>
  <c r="AK4" i="18" s="1"/>
  <c r="F99" i="15"/>
  <c r="E28" i="15" s="1"/>
  <c r="W265" i="24"/>
  <c r="BC166" i="15" s="1"/>
  <c r="I72" i="24"/>
  <c r="AO60" i="15" s="1"/>
  <c r="I275" i="24"/>
  <c r="AO176" i="15" s="1"/>
  <c r="J105" i="24"/>
  <c r="AP93" i="15" s="1"/>
  <c r="I297" i="24"/>
  <c r="AO198" i="15" s="1"/>
  <c r="I129" i="24"/>
  <c r="AO117" i="15" s="1"/>
  <c r="W236" i="24"/>
  <c r="BC137" i="15" s="1"/>
  <c r="I242" i="24"/>
  <c r="AO143" i="15" s="1"/>
  <c r="I250" i="24"/>
  <c r="AO151" i="15" s="1"/>
  <c r="I276" i="24"/>
  <c r="AO177" i="15" s="1"/>
  <c r="I130" i="24"/>
  <c r="AO118" i="15" s="1"/>
  <c r="AA62" i="24"/>
  <c r="BG50" i="15" s="1"/>
  <c r="W62" i="24"/>
  <c r="BC50" i="15" s="1"/>
  <c r="AB120" i="24"/>
  <c r="BH108" i="15" s="1"/>
  <c r="S266" i="24"/>
  <c r="AY167" i="15" s="1"/>
  <c r="I303" i="24"/>
  <c r="AO204" i="15" s="1"/>
  <c r="I128" i="24"/>
  <c r="AO116" i="15" s="1"/>
  <c r="AC294" i="24"/>
  <c r="BI195" i="15" s="1"/>
  <c r="J305" i="24"/>
  <c r="AP206" i="15" s="1"/>
  <c r="I138" i="24"/>
  <c r="AO126" i="15" s="1"/>
  <c r="Q62" i="24"/>
  <c r="AW50" i="15" s="1"/>
  <c r="I266" i="24"/>
  <c r="AO167" i="15" s="1"/>
  <c r="I248" i="24"/>
  <c r="AO149" i="15" s="1"/>
  <c r="I66" i="24"/>
  <c r="AO54" i="15" s="1"/>
  <c r="I296" i="24"/>
  <c r="AO197" i="15" s="1"/>
  <c r="T121" i="24"/>
  <c r="AZ109" i="15" s="1"/>
  <c r="J273" i="24"/>
  <c r="AP174" i="15" s="1"/>
  <c r="I71" i="24"/>
  <c r="AO59" i="15" s="1"/>
  <c r="AD265" i="24"/>
  <c r="BJ166" i="15" s="1"/>
  <c r="J247" i="24"/>
  <c r="AP148" i="15" s="1"/>
  <c r="AE265" i="24"/>
  <c r="BK166" i="15" s="1"/>
  <c r="M265" i="24"/>
  <c r="AS166" i="15" s="1"/>
  <c r="I103" i="24"/>
  <c r="AO91" i="15" s="1"/>
  <c r="X62" i="24"/>
  <c r="BD50" i="15" s="1"/>
  <c r="I265" i="24"/>
  <c r="AO166" i="15" s="1"/>
  <c r="O91" i="24"/>
  <c r="AU79" i="15" s="1"/>
  <c r="J310" i="24"/>
  <c r="AP211" i="15" s="1"/>
  <c r="I109" i="24"/>
  <c r="AO97" i="15" s="1"/>
  <c r="M62" i="24"/>
  <c r="AS50" i="15" s="1"/>
  <c r="H100" i="24"/>
  <c r="AN88" i="15" s="1"/>
  <c r="I239" i="24"/>
  <c r="AO140" i="15" s="1"/>
  <c r="H138" i="24"/>
  <c r="AN126" i="15" s="1"/>
  <c r="AN128" i="15" s="1"/>
  <c r="AB295" i="24"/>
  <c r="BH196" i="15" s="1"/>
  <c r="I108" i="24"/>
  <c r="AO96" i="15" s="1"/>
  <c r="AC91" i="24"/>
  <c r="BI79" i="15" s="1"/>
  <c r="AE294" i="24"/>
  <c r="BK195" i="15" s="1"/>
  <c r="I280" i="24"/>
  <c r="AO181" i="15" s="1"/>
  <c r="L62" i="24"/>
  <c r="AR50" i="15" s="1"/>
  <c r="M294" i="24"/>
  <c r="AS195" i="15" s="1"/>
  <c r="I240" i="24"/>
  <c r="AO141" i="15" s="1"/>
  <c r="K236" i="24"/>
  <c r="AQ137" i="15" s="1"/>
  <c r="I241" i="24"/>
  <c r="AO142" i="15" s="1"/>
  <c r="F140" i="24"/>
  <c r="E2" i="2" s="1"/>
  <c r="I267" i="24"/>
  <c r="AO168" i="15" s="1"/>
  <c r="I132" i="24"/>
  <c r="AO120" i="15" s="1"/>
  <c r="I134" i="24"/>
  <c r="AO122" i="15" s="1"/>
  <c r="K121" i="24"/>
  <c r="AQ109" i="15" s="1"/>
  <c r="AB62" i="24"/>
  <c r="BH50" i="15" s="1"/>
  <c r="I95" i="24"/>
  <c r="AO83" i="15" s="1"/>
  <c r="I62" i="24"/>
  <c r="AO50" i="15" s="1"/>
  <c r="L236" i="24"/>
  <c r="AR137" i="15" s="1"/>
  <c r="I294" i="24"/>
  <c r="AO195" i="15" s="1"/>
  <c r="H251" i="24"/>
  <c r="AN152" i="15" s="1"/>
  <c r="L91" i="24"/>
  <c r="AR79" i="15" s="1"/>
  <c r="AA91" i="24"/>
  <c r="BG79" i="15" s="1"/>
  <c r="N236" i="24"/>
  <c r="AT137" i="15" s="1"/>
  <c r="Y91" i="24"/>
  <c r="BE79" i="15" s="1"/>
  <c r="P120" i="24"/>
  <c r="AV108" i="15" s="1"/>
  <c r="M295" i="24"/>
  <c r="AS196" i="15" s="1"/>
  <c r="I271" i="24"/>
  <c r="AO172" i="15" s="1"/>
  <c r="I251" i="24"/>
  <c r="AO152" i="15" s="1"/>
  <c r="M91" i="24"/>
  <c r="AS79" i="15" s="1"/>
  <c r="H64" i="24"/>
  <c r="AN52" i="15" s="1"/>
  <c r="AD294" i="24"/>
  <c r="BJ195" i="15" s="1"/>
  <c r="H109" i="24"/>
  <c r="AN97" i="15" s="1"/>
  <c r="I94" i="24"/>
  <c r="AO82" i="15" s="1"/>
  <c r="AD266" i="24"/>
  <c r="BJ167" i="15" s="1"/>
  <c r="Z120" i="24"/>
  <c r="BF108" i="15" s="1"/>
  <c r="I310" i="24"/>
  <c r="AO211" i="15" s="1"/>
  <c r="I121" i="24"/>
  <c r="AO109" i="15" s="1"/>
  <c r="V91" i="24"/>
  <c r="BB79" i="15" s="1"/>
  <c r="I270" i="24"/>
  <c r="AO171" i="15" s="1"/>
  <c r="I102" i="24"/>
  <c r="AO90" i="15" s="1"/>
  <c r="F29" i="18"/>
  <c r="AK3" i="18" s="1"/>
  <c r="F70" i="15"/>
  <c r="E27" i="15" s="1"/>
  <c r="Y265" i="24"/>
  <c r="BE166" i="15" s="1"/>
  <c r="S265" i="24"/>
  <c r="AY166" i="15" s="1"/>
  <c r="I305" i="24"/>
  <c r="AO206" i="15" s="1"/>
  <c r="U62" i="24"/>
  <c r="BA50" i="15" s="1"/>
  <c r="H244" i="24"/>
  <c r="AN145" i="15" s="1"/>
  <c r="N91" i="24"/>
  <c r="AT79" i="15" s="1"/>
  <c r="R91" i="24"/>
  <c r="AX79" i="15" s="1"/>
  <c r="V62" i="24"/>
  <c r="BB50" i="15" s="1"/>
  <c r="I106" i="24"/>
  <c r="AO94" i="15" s="1"/>
  <c r="U120" i="24"/>
  <c r="BA108" i="15" s="1"/>
  <c r="I238" i="24"/>
  <c r="AO139" i="15" s="1"/>
  <c r="I274" i="24"/>
  <c r="AO175" i="15" s="1"/>
  <c r="H98" i="24"/>
  <c r="AN86" i="15" s="1"/>
  <c r="I281" i="24"/>
  <c r="AO182" i="15" s="1"/>
  <c r="I74" i="24"/>
  <c r="AO62" i="15" s="1"/>
  <c r="O265" i="24"/>
  <c r="AU166" i="15" s="1"/>
  <c r="AB91" i="24"/>
  <c r="BH79" i="15" s="1"/>
  <c r="I299" i="24"/>
  <c r="AO200" i="15" s="1"/>
  <c r="I268" i="24"/>
  <c r="AO169" i="15" s="1"/>
  <c r="J301" i="24"/>
  <c r="AP202" i="15" s="1"/>
  <c r="X91" i="24"/>
  <c r="BD79" i="15" s="1"/>
  <c r="J294" i="24"/>
  <c r="AP195" i="15" s="1"/>
  <c r="I279" i="24"/>
  <c r="AO180" i="15" s="1"/>
  <c r="Q294" i="24"/>
  <c r="AW195" i="15" s="1"/>
  <c r="T91" i="24"/>
  <c r="AZ79" i="15" s="1"/>
  <c r="AD62" i="24"/>
  <c r="BJ50" i="15" s="1"/>
  <c r="I282" i="24"/>
  <c r="AO183" i="15" s="1"/>
  <c r="AB294" i="24"/>
  <c r="BH195" i="15" s="1"/>
  <c r="N237" i="24"/>
  <c r="AT138" i="15" s="1"/>
  <c r="R92" i="24"/>
  <c r="AX80" i="15" s="1"/>
  <c r="AB236" i="24"/>
  <c r="BH137" i="15" s="1"/>
  <c r="I98" i="24"/>
  <c r="AO86" i="15" s="1"/>
  <c r="H106" i="24"/>
  <c r="AN94" i="15" s="1"/>
  <c r="Y236" i="24"/>
  <c r="BE137" i="15" s="1"/>
  <c r="I137" i="24"/>
  <c r="AO125" i="15" s="1"/>
  <c r="N120" i="24"/>
  <c r="AT108" i="15" s="1"/>
  <c r="H66" i="24"/>
  <c r="AN54" i="15" s="1"/>
  <c r="I126" i="24"/>
  <c r="AO114" i="15" s="1"/>
  <c r="T265" i="24"/>
  <c r="AZ166" i="15" s="1"/>
  <c r="H78" i="24"/>
  <c r="AN66" i="15" s="1"/>
  <c r="I237" i="24"/>
  <c r="AO138" i="15" s="1"/>
  <c r="R294" i="24"/>
  <c r="AX195" i="15" s="1"/>
  <c r="I295" i="24"/>
  <c r="AO196" i="15" s="1"/>
  <c r="I92" i="24"/>
  <c r="AO80" i="15" s="1"/>
  <c r="P294" i="24"/>
  <c r="AV195" i="15" s="1"/>
  <c r="H283" i="24"/>
  <c r="AN184" i="15" s="1"/>
  <c r="I125" i="24"/>
  <c r="AO113" i="15" s="1"/>
  <c r="S236" i="24"/>
  <c r="AY137" i="15" s="1"/>
  <c r="I68" i="24"/>
  <c r="AO56" i="15" s="1"/>
  <c r="AB237" i="24"/>
  <c r="BH138" i="15" s="1"/>
  <c r="N294" i="24"/>
  <c r="AT195" i="15" s="1"/>
  <c r="I123" i="24"/>
  <c r="AO111" i="15" s="1"/>
  <c r="C8" i="2"/>
  <c r="D174" i="18"/>
  <c r="AI8" i="18" s="1"/>
  <c r="C2" i="2"/>
  <c r="D87" i="18"/>
  <c r="AI5" i="18" s="1"/>
  <c r="E8" i="2"/>
  <c r="F174" i="18"/>
  <c r="AK8" i="18" s="1"/>
  <c r="I236" i="24"/>
  <c r="AO137" i="15" s="1"/>
  <c r="H15" i="26"/>
  <c r="H2" i="26"/>
  <c r="L369" i="24"/>
  <c r="P195" i="24"/>
  <c r="X369" i="24"/>
  <c r="Y370" i="24" s="1"/>
  <c r="Z371" i="24" s="1"/>
  <c r="AE195" i="24"/>
  <c r="T369" i="24"/>
  <c r="J195" i="24"/>
  <c r="K196" i="24" s="1"/>
  <c r="L197" i="24" s="1"/>
  <c r="H369" i="24"/>
  <c r="I370" i="24" s="1"/>
  <c r="J371" i="24" s="1"/>
  <c r="Y369" i="24"/>
  <c r="Z370" i="24" s="1"/>
  <c r="AA371" i="24" s="1"/>
  <c r="T195" i="24"/>
  <c r="R369" i="24"/>
  <c r="E369" i="24"/>
  <c r="U195" i="24"/>
  <c r="Q195" i="24"/>
  <c r="AE369" i="24"/>
  <c r="I369" i="24"/>
  <c r="J370" i="24" s="1"/>
  <c r="K371" i="24" s="1"/>
  <c r="O369" i="24"/>
  <c r="V369" i="24"/>
  <c r="K195" i="24"/>
  <c r="M195" i="24"/>
  <c r="N196" i="24" s="1"/>
  <c r="O197" i="24" s="1"/>
  <c r="Y195" i="24"/>
  <c r="Z196" i="24" s="1"/>
  <c r="AA197" i="24" s="1"/>
  <c r="L195" i="24"/>
  <c r="AB195" i="24"/>
  <c r="F369" i="24"/>
  <c r="AA369" i="24"/>
  <c r="AB370" i="24" s="1"/>
  <c r="AC371" i="24" s="1"/>
  <c r="V195" i="24"/>
  <c r="P369" i="24"/>
  <c r="O195" i="24"/>
  <c r="Z195" i="24"/>
  <c r="AA196" i="24" s="1"/>
  <c r="AB197" i="24" s="1"/>
  <c r="R195" i="24"/>
  <c r="AC369" i="24"/>
  <c r="E195" i="24"/>
  <c r="G195" i="24"/>
  <c r="H196" i="24" s="1"/>
  <c r="I197" i="24" s="1"/>
  <c r="AD195" i="24"/>
  <c r="W369" i="24"/>
  <c r="S369" i="24"/>
  <c r="S62" i="24"/>
  <c r="AY50" i="15" s="1"/>
  <c r="K294" i="24"/>
  <c r="AQ195" i="15" s="1"/>
  <c r="V236" i="24"/>
  <c r="BB137" i="15" s="1"/>
  <c r="AB265" i="24"/>
  <c r="BH166" i="15" s="1"/>
  <c r="M352" i="24"/>
  <c r="J149" i="24"/>
  <c r="I169" i="24"/>
  <c r="H28" i="16" s="1"/>
  <c r="AB178" i="24"/>
  <c r="S323" i="24"/>
  <c r="R352" i="24"/>
  <c r="T236" i="24"/>
  <c r="AZ137" i="15" s="1"/>
  <c r="AD207" i="24"/>
  <c r="Z352" i="24"/>
  <c r="X323" i="24"/>
  <c r="Z149" i="24"/>
  <c r="J178" i="24"/>
  <c r="Q323" i="24"/>
  <c r="V149" i="24"/>
  <c r="N149" i="24"/>
  <c r="AC120" i="24"/>
  <c r="BI108" i="15" s="1"/>
  <c r="I352" i="24"/>
  <c r="I120" i="24"/>
  <c r="AO108" i="15" s="1"/>
  <c r="U91" i="24"/>
  <c r="BA79" i="15" s="1"/>
  <c r="AE62" i="24"/>
  <c r="BK50" i="15" s="1"/>
  <c r="W120" i="24"/>
  <c r="BC108" i="15" s="1"/>
  <c r="T294" i="24"/>
  <c r="AZ195" i="15" s="1"/>
  <c r="J91" i="24"/>
  <c r="AP79" i="15" s="1"/>
  <c r="L178" i="24"/>
  <c r="O62" i="24"/>
  <c r="AU50" i="15" s="1"/>
  <c r="K62" i="24"/>
  <c r="AQ50" i="15" s="1"/>
  <c r="Q265" i="24"/>
  <c r="AW166" i="15" s="1"/>
  <c r="P91" i="24"/>
  <c r="AV79" i="15" s="1"/>
  <c r="AD149" i="24"/>
  <c r="AD381" i="24"/>
  <c r="AC401" i="24"/>
  <c r="AB17" i="26" s="1"/>
  <c r="H195" i="24"/>
  <c r="P178" i="24"/>
  <c r="Z178" i="24"/>
  <c r="K323" i="24"/>
  <c r="J343" i="24"/>
  <c r="I207" i="24"/>
  <c r="H227" i="24"/>
  <c r="G369" i="24"/>
  <c r="W207" i="24"/>
  <c r="W352" i="24"/>
  <c r="M207" i="24"/>
  <c r="AA237" i="24"/>
  <c r="BG138" i="15" s="1"/>
  <c r="R149" i="24"/>
  <c r="X178" i="24"/>
  <c r="AD236" i="24"/>
  <c r="BJ137" i="15" s="1"/>
  <c r="Z294" i="24"/>
  <c r="BF195" i="15" s="1"/>
  <c r="Y207" i="24"/>
  <c r="K237" i="24"/>
  <c r="AQ138" i="15" s="1"/>
  <c r="U178" i="24"/>
  <c r="AD352" i="24"/>
  <c r="D195" i="24"/>
  <c r="D369" i="24"/>
  <c r="U369" i="24"/>
  <c r="AB369" i="24"/>
  <c r="AC370" i="24" s="1"/>
  <c r="AD371" i="24" s="1"/>
  <c r="X195" i="24"/>
  <c r="P237" i="24"/>
  <c r="AV138" i="15" s="1"/>
  <c r="S195" i="24"/>
  <c r="S207" i="24"/>
  <c r="Y120" i="24"/>
  <c r="BE108" i="15" s="1"/>
  <c r="M120" i="24"/>
  <c r="AS108" i="15" s="1"/>
  <c r="W195" i="24"/>
  <c r="Z91" i="24"/>
  <c r="BF79" i="15" s="1"/>
  <c r="R236" i="24"/>
  <c r="AX137" i="15" s="1"/>
  <c r="M369" i="24"/>
  <c r="R120" i="24"/>
  <c r="AX108" i="15" s="1"/>
  <c r="F195" i="24"/>
  <c r="N369" i="24"/>
  <c r="B16" i="2" l="1"/>
  <c r="B12" i="26"/>
  <c r="AH8" i="26"/>
  <c r="AH9" i="26" s="1"/>
  <c r="AH10" i="26" s="1"/>
  <c r="H140" i="24"/>
  <c r="G37" i="15" s="1"/>
  <c r="G30" i="16"/>
  <c r="D2" i="2"/>
  <c r="E128" i="15"/>
  <c r="D29" i="15" s="1"/>
  <c r="G96" i="2" s="1"/>
  <c r="E174" i="18"/>
  <c r="AJ8" i="18" s="1"/>
  <c r="D10" i="2" s="1"/>
  <c r="G69" i="2" s="1"/>
  <c r="AN70" i="15"/>
  <c r="E87" i="18"/>
  <c r="AJ5" i="18" s="1"/>
  <c r="D4" i="2" s="1"/>
  <c r="AN215" i="15"/>
  <c r="AN99" i="15"/>
  <c r="AN157" i="15"/>
  <c r="AN186" i="15"/>
  <c r="F8" i="2"/>
  <c r="D8" i="2"/>
  <c r="F87" i="18"/>
  <c r="AK5" i="18" s="1"/>
  <c r="D37" i="15"/>
  <c r="F40" i="15"/>
  <c r="H256" i="24"/>
  <c r="G38" i="15" s="1"/>
  <c r="G174" i="18"/>
  <c r="AL8" i="18" s="1"/>
  <c r="F215" i="15"/>
  <c r="E32" i="15" s="1"/>
  <c r="G157" i="15"/>
  <c r="F30" i="15" s="1"/>
  <c r="D11" i="2"/>
  <c r="F2" i="2"/>
  <c r="I55" i="2"/>
  <c r="F96" i="2"/>
  <c r="H285" i="24"/>
  <c r="H145" i="18" s="1"/>
  <c r="AM7" i="18" s="1"/>
  <c r="G128" i="15"/>
  <c r="F29" i="15" s="1"/>
  <c r="F38" i="15"/>
  <c r="E4" i="2"/>
  <c r="H68" i="2" s="1"/>
  <c r="E10" i="2"/>
  <c r="H69" i="2" s="1"/>
  <c r="C10" i="2"/>
  <c r="F128" i="15"/>
  <c r="E29" i="15" s="1"/>
  <c r="E37" i="15"/>
  <c r="G145" i="18"/>
  <c r="AL7" i="18" s="1"/>
  <c r="F39" i="15"/>
  <c r="H54" i="2"/>
  <c r="J47" i="26"/>
  <c r="I2" i="26" s="1"/>
  <c r="H8" i="26"/>
  <c r="C4" i="2"/>
  <c r="F35" i="15"/>
  <c r="I54" i="2"/>
  <c r="D40" i="15"/>
  <c r="G55" i="2"/>
  <c r="E9" i="2"/>
  <c r="E3" i="2"/>
  <c r="J93" i="24"/>
  <c r="AP81" i="15" s="1"/>
  <c r="I79" i="24"/>
  <c r="AO67" i="15" s="1"/>
  <c r="Z237" i="24"/>
  <c r="BF138" i="15" s="1"/>
  <c r="I99" i="24"/>
  <c r="AO87" i="15" s="1"/>
  <c r="J239" i="24"/>
  <c r="AP140" i="15" s="1"/>
  <c r="J103" i="24"/>
  <c r="AP91" i="15" s="1"/>
  <c r="AC63" i="24"/>
  <c r="BI51" i="15" s="1"/>
  <c r="J268" i="24"/>
  <c r="AP169" i="15" s="1"/>
  <c r="J241" i="24"/>
  <c r="AP142" i="15" s="1"/>
  <c r="M63" i="24"/>
  <c r="AS51" i="15" s="1"/>
  <c r="J109" i="24"/>
  <c r="AP97" i="15" s="1"/>
  <c r="K274" i="24"/>
  <c r="AQ175" i="15" s="1"/>
  <c r="K306" i="24"/>
  <c r="AQ207" i="15" s="1"/>
  <c r="J243" i="24"/>
  <c r="AP144" i="15" s="1"/>
  <c r="K106" i="24"/>
  <c r="AQ94" i="15" s="1"/>
  <c r="J248" i="24"/>
  <c r="AP149" i="15" s="1"/>
  <c r="J81" i="24"/>
  <c r="AP69" i="15" s="1"/>
  <c r="W295" i="24"/>
  <c r="BC196" i="15" s="1"/>
  <c r="W121" i="24"/>
  <c r="BC109" i="15" s="1"/>
  <c r="I91" i="24"/>
  <c r="AO79" i="15" s="1"/>
  <c r="H111" i="24"/>
  <c r="G36" i="15" s="1"/>
  <c r="M121" i="24"/>
  <c r="AS109" i="15" s="1"/>
  <c r="T92" i="24"/>
  <c r="AZ80" i="15" s="1"/>
  <c r="AC238" i="24"/>
  <c r="BI139" i="15" s="1"/>
  <c r="T237" i="24"/>
  <c r="AZ138" i="15" s="1"/>
  <c r="AC237" i="24"/>
  <c r="BI138" i="15" s="1"/>
  <c r="O238" i="24"/>
  <c r="AU139" i="15" s="1"/>
  <c r="J283" i="24"/>
  <c r="AP184" i="15" s="1"/>
  <c r="U92" i="24"/>
  <c r="BA80" i="15" s="1"/>
  <c r="J280" i="24"/>
  <c r="AP181" i="15" s="1"/>
  <c r="Y92" i="24"/>
  <c r="BE80" i="15" s="1"/>
  <c r="J269" i="24"/>
  <c r="AP170" i="15" s="1"/>
  <c r="AC92" i="24"/>
  <c r="BI80" i="15" s="1"/>
  <c r="O92" i="24"/>
  <c r="AU80" i="15" s="1"/>
  <c r="V63" i="24"/>
  <c r="BB51" i="15" s="1"/>
  <c r="T266" i="24"/>
  <c r="AZ167" i="15" s="1"/>
  <c r="W92" i="24"/>
  <c r="BC80" i="15" s="1"/>
  <c r="J311" i="24"/>
  <c r="AP212" i="15" s="1"/>
  <c r="I65" i="24"/>
  <c r="AO53" i="15" s="1"/>
  <c r="J252" i="24"/>
  <c r="AP153" i="15" s="1"/>
  <c r="Q121" i="24"/>
  <c r="AW109" i="15" s="1"/>
  <c r="O237" i="24"/>
  <c r="AU138" i="15" s="1"/>
  <c r="M92" i="24"/>
  <c r="AS80" i="15" s="1"/>
  <c r="J295" i="24"/>
  <c r="AP196" i="15" s="1"/>
  <c r="J135" i="24"/>
  <c r="AP123" i="15" s="1"/>
  <c r="I139" i="24"/>
  <c r="AO127" i="15" s="1"/>
  <c r="AO128" i="15" s="1"/>
  <c r="J240" i="24"/>
  <c r="AP141" i="15" s="1"/>
  <c r="N63" i="24"/>
  <c r="AT51" i="15" s="1"/>
  <c r="K311" i="24"/>
  <c r="AQ212" i="15" s="1"/>
  <c r="J266" i="24"/>
  <c r="AP167" i="15" s="1"/>
  <c r="J297" i="24"/>
  <c r="AP198" i="15" s="1"/>
  <c r="J249" i="24"/>
  <c r="AP150" i="15" s="1"/>
  <c r="J304" i="24"/>
  <c r="AP205" i="15" s="1"/>
  <c r="AC121" i="24"/>
  <c r="BI109" i="15" s="1"/>
  <c r="AB63" i="24"/>
  <c r="BH51" i="15" s="1"/>
  <c r="J277" i="24"/>
  <c r="AP178" i="15" s="1"/>
  <c r="AE92" i="24"/>
  <c r="BK80" i="15" s="1"/>
  <c r="J274" i="24"/>
  <c r="AP175" i="15" s="1"/>
  <c r="J65" i="24"/>
  <c r="AP53" i="15" s="1"/>
  <c r="J244" i="24"/>
  <c r="AP145" i="15" s="1"/>
  <c r="Y266" i="24"/>
  <c r="BE167" i="15" s="1"/>
  <c r="G29" i="18"/>
  <c r="AL3" i="18" s="1"/>
  <c r="G70" i="15"/>
  <c r="F27" i="15" s="1"/>
  <c r="J123" i="24"/>
  <c r="AP111" i="15" s="1"/>
  <c r="K266" i="24"/>
  <c r="AQ167" i="15" s="1"/>
  <c r="J137" i="24"/>
  <c r="AP125" i="15" s="1"/>
  <c r="AD237" i="24"/>
  <c r="BJ138" i="15" s="1"/>
  <c r="T295" i="24"/>
  <c r="AZ196" i="15" s="1"/>
  <c r="X92" i="24"/>
  <c r="BD80" i="15" s="1"/>
  <c r="J79" i="24"/>
  <c r="AP67" i="15" s="1"/>
  <c r="J313" i="24"/>
  <c r="AP214" i="15" s="1"/>
  <c r="J136" i="24"/>
  <c r="AP124" i="15" s="1"/>
  <c r="Y295" i="24"/>
  <c r="BE196" i="15" s="1"/>
  <c r="J278" i="24"/>
  <c r="AP179" i="15" s="1"/>
  <c r="R121" i="24"/>
  <c r="AX109" i="15" s="1"/>
  <c r="R238" i="24"/>
  <c r="AX139" i="15" s="1"/>
  <c r="J309" i="24"/>
  <c r="AP210" i="15" s="1"/>
  <c r="L121" i="24"/>
  <c r="AR109" i="15" s="1"/>
  <c r="R237" i="24"/>
  <c r="AX138" i="15" s="1"/>
  <c r="L266" i="24"/>
  <c r="AR167" i="15" s="1"/>
  <c r="AA63" i="24"/>
  <c r="BG51" i="15" s="1"/>
  <c r="I284" i="24"/>
  <c r="AO185" i="15" s="1"/>
  <c r="S295" i="24"/>
  <c r="AY196" i="15" s="1"/>
  <c r="J127" i="24"/>
  <c r="AP115" i="15" s="1"/>
  <c r="J75" i="24"/>
  <c r="AP63" i="15" s="1"/>
  <c r="J107" i="24"/>
  <c r="AP95" i="15" s="1"/>
  <c r="AE267" i="24"/>
  <c r="BK168" i="15" s="1"/>
  <c r="N296" i="24"/>
  <c r="AT197" i="15" s="1"/>
  <c r="J104" i="24"/>
  <c r="AP92" i="15" s="1"/>
  <c r="AE266" i="24"/>
  <c r="BK167" i="15" s="1"/>
  <c r="R63" i="24"/>
  <c r="AX51" i="15" s="1"/>
  <c r="J129" i="24"/>
  <c r="AP117" i="15" s="1"/>
  <c r="J130" i="24"/>
  <c r="AP118" i="15" s="1"/>
  <c r="J73" i="24"/>
  <c r="AP61" i="15" s="1"/>
  <c r="V295" i="24"/>
  <c r="BB196" i="15" s="1"/>
  <c r="I313" i="24"/>
  <c r="AO214" i="15" s="1"/>
  <c r="AO215" i="15" s="1"/>
  <c r="J128" i="24"/>
  <c r="AP116" i="15" s="1"/>
  <c r="I77" i="24"/>
  <c r="AO65" i="15" s="1"/>
  <c r="V237" i="24"/>
  <c r="BB138" i="15" s="1"/>
  <c r="J101" i="24"/>
  <c r="AP89" i="15" s="1"/>
  <c r="AD63" i="24"/>
  <c r="BJ51" i="15" s="1"/>
  <c r="J74" i="24"/>
  <c r="AP62" i="15" s="1"/>
  <c r="V266" i="24"/>
  <c r="BB167" i="15" s="1"/>
  <c r="O295" i="24"/>
  <c r="AU196" i="15" s="1"/>
  <c r="J69" i="24"/>
  <c r="AP57" i="15" s="1"/>
  <c r="J126" i="24"/>
  <c r="AP114" i="15" s="1"/>
  <c r="J138" i="24"/>
  <c r="AP126" i="15" s="1"/>
  <c r="J99" i="24"/>
  <c r="AP87" i="15" s="1"/>
  <c r="S93" i="24"/>
  <c r="AY81" i="15" s="1"/>
  <c r="AC295" i="24"/>
  <c r="BI196" i="15" s="1"/>
  <c r="AE63" i="24"/>
  <c r="BK51" i="15" s="1"/>
  <c r="R295" i="24"/>
  <c r="AX196" i="15" s="1"/>
  <c r="K295" i="24"/>
  <c r="AQ196" i="15" s="1"/>
  <c r="K302" i="24"/>
  <c r="AQ203" i="15" s="1"/>
  <c r="J300" i="24"/>
  <c r="AP201" i="15" s="1"/>
  <c r="S92" i="24"/>
  <c r="AY80" i="15" s="1"/>
  <c r="I245" i="24"/>
  <c r="AO146" i="15" s="1"/>
  <c r="J306" i="24"/>
  <c r="AP207" i="15" s="1"/>
  <c r="Z266" i="24"/>
  <c r="BF167" i="15" s="1"/>
  <c r="J271" i="24"/>
  <c r="AP172" i="15" s="1"/>
  <c r="J122" i="24"/>
  <c r="AP110" i="15" s="1"/>
  <c r="AA121" i="24"/>
  <c r="BG109" i="15" s="1"/>
  <c r="H314" i="24"/>
  <c r="H215" i="15" s="1"/>
  <c r="G32" i="15" s="1"/>
  <c r="AE295" i="24"/>
  <c r="BK196" i="15" s="1"/>
  <c r="N92" i="24"/>
  <c r="AT80" i="15" s="1"/>
  <c r="Z92" i="24"/>
  <c r="BF80" i="15" s="1"/>
  <c r="AB92" i="24"/>
  <c r="BH80" i="15" s="1"/>
  <c r="I252" i="24"/>
  <c r="AO153" i="15" s="1"/>
  <c r="M237" i="24"/>
  <c r="AS138" i="15" s="1"/>
  <c r="I101" i="24"/>
  <c r="AO89" i="15" s="1"/>
  <c r="P92" i="24"/>
  <c r="AV80" i="15" s="1"/>
  <c r="U122" i="24"/>
  <c r="BA110" i="15" s="1"/>
  <c r="J67" i="24"/>
  <c r="AP55" i="15" s="1"/>
  <c r="J139" i="24"/>
  <c r="AP127" i="15" s="1"/>
  <c r="T267" i="24"/>
  <c r="AZ168" i="15" s="1"/>
  <c r="X63" i="24"/>
  <c r="BD51" i="15" s="1"/>
  <c r="J131" i="24"/>
  <c r="AP119" i="15" s="1"/>
  <c r="J97" i="24"/>
  <c r="AP85" i="15" s="1"/>
  <c r="S63" i="24"/>
  <c r="AY51" i="15" s="1"/>
  <c r="J245" i="24"/>
  <c r="AP146" i="15" s="1"/>
  <c r="K300" i="24"/>
  <c r="AQ201" i="15" s="1"/>
  <c r="X295" i="24"/>
  <c r="BD196" i="15" s="1"/>
  <c r="I63" i="24"/>
  <c r="AO51" i="15" s="1"/>
  <c r="AB121" i="24"/>
  <c r="BH109" i="15" s="1"/>
  <c r="Z295" i="24"/>
  <c r="BF196" i="15" s="1"/>
  <c r="J125" i="24"/>
  <c r="AP113" i="15" s="1"/>
  <c r="Y121" i="24"/>
  <c r="BE109" i="15" s="1"/>
  <c r="Y237" i="24"/>
  <c r="BE138" i="15" s="1"/>
  <c r="O63" i="24"/>
  <c r="AU51" i="15" s="1"/>
  <c r="I69" i="24"/>
  <c r="AO57" i="15" s="1"/>
  <c r="J308" i="24"/>
  <c r="AP209" i="15" s="1"/>
  <c r="K107" i="24"/>
  <c r="AQ95" i="15" s="1"/>
  <c r="J77" i="24"/>
  <c r="AP65" i="15" s="1"/>
  <c r="J134" i="24"/>
  <c r="AP122" i="15" s="1"/>
  <c r="O266" i="24"/>
  <c r="AU167" i="15" s="1"/>
  <c r="U63" i="24"/>
  <c r="BA51" i="15" s="1"/>
  <c r="AA266" i="24"/>
  <c r="BG167" i="15" s="1"/>
  <c r="Q63" i="24"/>
  <c r="AW51" i="15" s="1"/>
  <c r="I278" i="24"/>
  <c r="AO179" i="15" s="1"/>
  <c r="J94" i="24"/>
  <c r="AP82" i="15" s="1"/>
  <c r="O121" i="24"/>
  <c r="AU109" i="15" s="1"/>
  <c r="I110" i="24"/>
  <c r="AO98" i="15" s="1"/>
  <c r="J63" i="24"/>
  <c r="AP51" i="15" s="1"/>
  <c r="J242" i="24"/>
  <c r="AP143" i="15" s="1"/>
  <c r="J110" i="24"/>
  <c r="AP98" i="15" s="1"/>
  <c r="F3" i="2"/>
  <c r="M93" i="24"/>
  <c r="AS81" i="15" s="1"/>
  <c r="W266" i="24"/>
  <c r="BC167" i="15" s="1"/>
  <c r="M266" i="24"/>
  <c r="AS167" i="15" s="1"/>
  <c r="J255" i="24"/>
  <c r="AP156" i="15" s="1"/>
  <c r="H87" i="18"/>
  <c r="AM5" i="18" s="1"/>
  <c r="J124" i="24"/>
  <c r="AP112" i="15" s="1"/>
  <c r="Q295" i="24"/>
  <c r="AW196" i="15" s="1"/>
  <c r="J296" i="24"/>
  <c r="AP197" i="15" s="1"/>
  <c r="J238" i="24"/>
  <c r="AP139" i="15" s="1"/>
  <c r="U266" i="24"/>
  <c r="BA167" i="15" s="1"/>
  <c r="I67" i="24"/>
  <c r="AO55" i="15" s="1"/>
  <c r="I107" i="24"/>
  <c r="AO95" i="15" s="1"/>
  <c r="P266" i="24"/>
  <c r="AV167" i="15" s="1"/>
  <c r="J282" i="24"/>
  <c r="AP183" i="15" s="1"/>
  <c r="J275" i="24"/>
  <c r="AP176" i="15" s="1"/>
  <c r="V121" i="24"/>
  <c r="BB109" i="15" s="1"/>
  <c r="W63" i="24"/>
  <c r="BC51" i="15" s="1"/>
  <c r="J95" i="24"/>
  <c r="AP83" i="15" s="1"/>
  <c r="J272" i="24"/>
  <c r="AP173" i="15" s="1"/>
  <c r="H82" i="24"/>
  <c r="J96" i="24"/>
  <c r="AP84" i="15" s="1"/>
  <c r="L122" i="24"/>
  <c r="AR110" i="15" s="1"/>
  <c r="J133" i="24"/>
  <c r="AP121" i="15" s="1"/>
  <c r="L237" i="24"/>
  <c r="AR138" i="15" s="1"/>
  <c r="N295" i="24"/>
  <c r="AT196" i="15" s="1"/>
  <c r="J281" i="24"/>
  <c r="AP182" i="15" s="1"/>
  <c r="AD92" i="24"/>
  <c r="BJ80" i="15" s="1"/>
  <c r="AC296" i="24"/>
  <c r="BI197" i="15" s="1"/>
  <c r="Y63" i="24"/>
  <c r="BE51" i="15" s="1"/>
  <c r="N266" i="24"/>
  <c r="AT167" i="15" s="1"/>
  <c r="K248" i="24"/>
  <c r="AQ149" i="15" s="1"/>
  <c r="J72" i="24"/>
  <c r="AP60" i="15" s="1"/>
  <c r="J267" i="24"/>
  <c r="AP168" i="15" s="1"/>
  <c r="AD295" i="24"/>
  <c r="BJ196" i="15" s="1"/>
  <c r="J251" i="24"/>
  <c r="AP152" i="15" s="1"/>
  <c r="X237" i="24"/>
  <c r="BD138" i="15" s="1"/>
  <c r="J298" i="24"/>
  <c r="AP199" i="15" s="1"/>
  <c r="J276" i="24"/>
  <c r="AP177" i="15" s="1"/>
  <c r="X266" i="24"/>
  <c r="BD167" i="15" s="1"/>
  <c r="K313" i="24"/>
  <c r="AQ214" i="15" s="1"/>
  <c r="J76" i="24"/>
  <c r="AP64" i="15" s="1"/>
  <c r="I81" i="24"/>
  <c r="AO69" i="15" s="1"/>
  <c r="Z63" i="24"/>
  <c r="BF51" i="15" s="1"/>
  <c r="K308" i="24"/>
  <c r="AQ209" i="15" s="1"/>
  <c r="J250" i="24"/>
  <c r="AP151" i="15" s="1"/>
  <c r="P295" i="24"/>
  <c r="AV196" i="15" s="1"/>
  <c r="J254" i="24"/>
  <c r="AP155" i="15" s="1"/>
  <c r="J132" i="24"/>
  <c r="AP120" i="15" s="1"/>
  <c r="J303" i="24"/>
  <c r="AP204" i="15" s="1"/>
  <c r="K63" i="24"/>
  <c r="AQ51" i="15" s="1"/>
  <c r="Q266" i="24"/>
  <c r="AW167" i="15" s="1"/>
  <c r="J270" i="24"/>
  <c r="AP171" i="15" s="1"/>
  <c r="J302" i="24"/>
  <c r="AP203" i="15" s="1"/>
  <c r="P121" i="24"/>
  <c r="AV109" i="15" s="1"/>
  <c r="J98" i="24"/>
  <c r="AP86" i="15" s="1"/>
  <c r="G58" i="18"/>
  <c r="AL4" i="18" s="1"/>
  <c r="G99" i="15"/>
  <c r="F28" i="15" s="1"/>
  <c r="J284" i="24"/>
  <c r="AP185" i="15" s="1"/>
  <c r="V122" i="24"/>
  <c r="BB110" i="15" s="1"/>
  <c r="J71" i="24"/>
  <c r="AP59" i="15" s="1"/>
  <c r="AB266" i="24"/>
  <c r="BH167" i="15" s="1"/>
  <c r="I255" i="24"/>
  <c r="AO156" i="15" s="1"/>
  <c r="AO157" i="15" s="1"/>
  <c r="J237" i="24"/>
  <c r="AP138" i="15" s="1"/>
  <c r="I15" i="26"/>
  <c r="H370" i="24"/>
  <c r="I371" i="24" s="1"/>
  <c r="I372" i="24" s="1"/>
  <c r="Q370" i="24"/>
  <c r="R371" i="24" s="1"/>
  <c r="W370" i="24"/>
  <c r="X371" i="24" s="1"/>
  <c r="L196" i="24"/>
  <c r="M197" i="24" s="1"/>
  <c r="N370" i="24"/>
  <c r="O371" i="24" s="1"/>
  <c r="U370" i="24"/>
  <c r="V371" i="24" s="1"/>
  <c r="J196" i="24"/>
  <c r="K197" i="24" s="1"/>
  <c r="R196" i="24"/>
  <c r="S197" i="24" s="1"/>
  <c r="L370" i="24"/>
  <c r="M371" i="24" s="1"/>
  <c r="W196" i="24"/>
  <c r="X197" i="24" s="1"/>
  <c r="AE196" i="24"/>
  <c r="K370" i="24"/>
  <c r="L371" i="24" s="1"/>
  <c r="P196" i="24"/>
  <c r="Q197" i="24" s="1"/>
  <c r="X196" i="24"/>
  <c r="Y197" i="24" s="1"/>
  <c r="T196" i="24"/>
  <c r="U197" i="24" s="1"/>
  <c r="V370" i="24"/>
  <c r="W371" i="24" s="1"/>
  <c r="S370" i="24"/>
  <c r="T371" i="24" s="1"/>
  <c r="F196" i="24"/>
  <c r="G197" i="24" s="1"/>
  <c r="M196" i="24"/>
  <c r="N197" i="24" s="1"/>
  <c r="O370" i="24"/>
  <c r="P371" i="24" s="1"/>
  <c r="Y196" i="24"/>
  <c r="Z197" i="24" s="1"/>
  <c r="M370" i="24"/>
  <c r="N371" i="24" s="1"/>
  <c r="U196" i="24"/>
  <c r="V197" i="24" s="1"/>
  <c r="AD370" i="24"/>
  <c r="AE371" i="24" s="1"/>
  <c r="S121" i="24"/>
  <c r="AY109" i="15" s="1"/>
  <c r="S237" i="24"/>
  <c r="AY138" i="15" s="1"/>
  <c r="V179" i="24"/>
  <c r="AA295" i="24"/>
  <c r="BG196" i="15" s="1"/>
  <c r="S150" i="24"/>
  <c r="N208" i="24"/>
  <c r="AE382" i="24"/>
  <c r="AE401" i="24" s="1"/>
  <c r="AD17" i="26" s="1"/>
  <c r="AD401" i="24"/>
  <c r="AC17" i="26" s="1"/>
  <c r="R266" i="24"/>
  <c r="AX167" i="15" s="1"/>
  <c r="M179" i="24"/>
  <c r="J353" i="24"/>
  <c r="K179" i="24"/>
  <c r="AE208" i="24"/>
  <c r="AC266" i="24"/>
  <c r="BI167" i="15" s="1"/>
  <c r="L295" i="24"/>
  <c r="AR196" i="15" s="1"/>
  <c r="N121" i="24"/>
  <c r="AT109" i="15" s="1"/>
  <c r="T208" i="24"/>
  <c r="Q238" i="24"/>
  <c r="AW139" i="15" s="1"/>
  <c r="E370" i="24"/>
  <c r="F371" i="24" s="1"/>
  <c r="Y179" i="24"/>
  <c r="L324" i="24"/>
  <c r="K343" i="24"/>
  <c r="AA179" i="24"/>
  <c r="Q92" i="24"/>
  <c r="AW80" i="15" s="1"/>
  <c r="U295" i="24"/>
  <c r="BA196" i="15" s="1"/>
  <c r="O150" i="24"/>
  <c r="AA150" i="24"/>
  <c r="AA353" i="24"/>
  <c r="S353" i="24"/>
  <c r="AC179" i="24"/>
  <c r="G196" i="24"/>
  <c r="AA92" i="24"/>
  <c r="BG80" i="15" s="1"/>
  <c r="E196" i="24"/>
  <c r="AE353" i="24"/>
  <c r="Z208" i="24"/>
  <c r="AB238" i="24"/>
  <c r="BH139" i="15" s="1"/>
  <c r="X353" i="24"/>
  <c r="X208" i="24"/>
  <c r="I196" i="24"/>
  <c r="AE150" i="24"/>
  <c r="P63" i="24"/>
  <c r="AV51" i="15" s="1"/>
  <c r="K92" i="24"/>
  <c r="AQ80" i="15" s="1"/>
  <c r="J121" i="24"/>
  <c r="AP109" i="15" s="1"/>
  <c r="AD121" i="24"/>
  <c r="BJ109" i="15" s="1"/>
  <c r="R324" i="24"/>
  <c r="U237" i="24"/>
  <c r="BA138" i="15" s="1"/>
  <c r="T324" i="24"/>
  <c r="N353" i="24"/>
  <c r="W237" i="24"/>
  <c r="BC138" i="15" s="1"/>
  <c r="Z121" i="24"/>
  <c r="BF109" i="15" s="1"/>
  <c r="D196" i="24"/>
  <c r="E197" i="24" s="1"/>
  <c r="D370" i="24"/>
  <c r="E371" i="24" s="1"/>
  <c r="L238" i="24"/>
  <c r="AR139" i="15" s="1"/>
  <c r="AE237" i="24"/>
  <c r="BK138" i="15" s="1"/>
  <c r="J208" i="24"/>
  <c r="I227" i="24"/>
  <c r="V196" i="24"/>
  <c r="W197" i="24" s="1"/>
  <c r="Q179" i="24"/>
  <c r="S196" i="24"/>
  <c r="T197" i="24" s="1"/>
  <c r="L63" i="24"/>
  <c r="AR51" i="15" s="1"/>
  <c r="Q196" i="24"/>
  <c r="R197" i="24" s="1"/>
  <c r="X121" i="24"/>
  <c r="BD109" i="15" s="1"/>
  <c r="G370" i="24"/>
  <c r="H371" i="24" s="1"/>
  <c r="V92" i="24"/>
  <c r="BB80" i="15" s="1"/>
  <c r="F370" i="24"/>
  <c r="W150" i="24"/>
  <c r="R370" i="24"/>
  <c r="S371" i="24" s="1"/>
  <c r="Y324" i="24"/>
  <c r="T370" i="24"/>
  <c r="U371" i="24" s="1"/>
  <c r="X370" i="24"/>
  <c r="Y371" i="24" s="1"/>
  <c r="P370" i="24"/>
  <c r="Q371" i="24" s="1"/>
  <c r="AC196" i="24"/>
  <c r="AD197" i="24" s="1"/>
  <c r="K150" i="24"/>
  <c r="J169" i="24"/>
  <c r="I28" i="16" s="1"/>
  <c r="T63" i="24"/>
  <c r="AZ51" i="15" s="1"/>
  <c r="O196" i="24"/>
  <c r="P197" i="24" s="1"/>
  <c r="H30" i="16" l="1"/>
  <c r="AO99" i="15"/>
  <c r="C5" i="2"/>
  <c r="F68" i="2"/>
  <c r="C11" i="2"/>
  <c r="F69" i="2"/>
  <c r="D5" i="2"/>
  <c r="G68" i="2"/>
  <c r="H128" i="15"/>
  <c r="G29" i="15" s="1"/>
  <c r="B17" i="2"/>
  <c r="G27" i="2"/>
  <c r="I27" i="2" s="1"/>
  <c r="H157" i="15"/>
  <c r="G30" i="15" s="1"/>
  <c r="H116" i="18"/>
  <c r="AM6" i="18" s="1"/>
  <c r="AO186" i="15"/>
  <c r="AO70" i="15"/>
  <c r="AP128" i="15"/>
  <c r="F4" i="2"/>
  <c r="I68" i="2" s="1"/>
  <c r="AP215" i="15"/>
  <c r="G39" i="15"/>
  <c r="F10" i="2"/>
  <c r="I69" i="2" s="1"/>
  <c r="H96" i="2"/>
  <c r="H186" i="15"/>
  <c r="J55" i="2"/>
  <c r="E5" i="2"/>
  <c r="E11" i="2"/>
  <c r="G2" i="2"/>
  <c r="I140" i="24"/>
  <c r="H37" i="15" s="1"/>
  <c r="I256" i="24"/>
  <c r="I116" i="18" s="1"/>
  <c r="AN6" i="18" s="1"/>
  <c r="I8" i="26"/>
  <c r="I76" i="26"/>
  <c r="H3" i="26" s="1"/>
  <c r="K58" i="2"/>
  <c r="G35" i="15"/>
  <c r="J54" i="2"/>
  <c r="H174" i="18"/>
  <c r="AM8" i="18" s="1"/>
  <c r="G10" i="2" s="1"/>
  <c r="J69" i="2" s="1"/>
  <c r="G40" i="15"/>
  <c r="I96" i="2"/>
  <c r="K47" i="26"/>
  <c r="F9" i="2"/>
  <c r="F11" i="2" s="1"/>
  <c r="F5" i="2"/>
  <c r="J279" i="24"/>
  <c r="K126" i="24"/>
  <c r="AQ114" i="15" s="1"/>
  <c r="AB122" i="24"/>
  <c r="BH110" i="15" s="1"/>
  <c r="L303" i="24"/>
  <c r="AR204" i="15" s="1"/>
  <c r="K100" i="24"/>
  <c r="AQ88" i="15" s="1"/>
  <c r="K130" i="24"/>
  <c r="AQ118" i="15" s="1"/>
  <c r="M122" i="24"/>
  <c r="AS110" i="15" s="1"/>
  <c r="K305" i="24"/>
  <c r="AQ206" i="15" s="1"/>
  <c r="P238" i="24"/>
  <c r="AV139" i="15" s="1"/>
  <c r="U267" i="24"/>
  <c r="BA168" i="15" s="1"/>
  <c r="K281" i="24"/>
  <c r="AQ182" i="15" s="1"/>
  <c r="K244" i="24"/>
  <c r="AQ145" i="15" s="1"/>
  <c r="K72" i="24"/>
  <c r="AQ60" i="15" s="1"/>
  <c r="K99" i="24"/>
  <c r="AQ87" i="15" s="1"/>
  <c r="K303" i="24"/>
  <c r="AQ204" i="15" s="1"/>
  <c r="R267" i="24"/>
  <c r="AX168" i="15" s="1"/>
  <c r="K304" i="24"/>
  <c r="AQ205" i="15" s="1"/>
  <c r="K255" i="24"/>
  <c r="AQ156" i="15" s="1"/>
  <c r="K251" i="24"/>
  <c r="AQ152" i="15" s="1"/>
  <c r="AA64" i="24"/>
  <c r="BG52" i="15" s="1"/>
  <c r="K77" i="24"/>
  <c r="AQ65" i="15" s="1"/>
  <c r="Y267" i="24"/>
  <c r="BE168" i="15" s="1"/>
  <c r="K299" i="24"/>
  <c r="AQ200" i="15" s="1"/>
  <c r="K252" i="24"/>
  <c r="AQ153" i="15" s="1"/>
  <c r="K268" i="24"/>
  <c r="AQ169" i="15" s="1"/>
  <c r="L249" i="24"/>
  <c r="AR150" i="15" s="1"/>
  <c r="Z64" i="24"/>
  <c r="BF52" i="15" s="1"/>
  <c r="AE93" i="24"/>
  <c r="BK81" i="15" s="1"/>
  <c r="O296" i="24"/>
  <c r="AU197" i="15" s="1"/>
  <c r="K134" i="24"/>
  <c r="AQ122" i="15" s="1"/>
  <c r="K97" i="24"/>
  <c r="AQ85" i="15" s="1"/>
  <c r="K273" i="24"/>
  <c r="AQ174" i="15" s="1"/>
  <c r="X64" i="24"/>
  <c r="BD52" i="15" s="1"/>
  <c r="J108" i="24"/>
  <c r="AP96" i="15" s="1"/>
  <c r="V267" i="24"/>
  <c r="BB168" i="15" s="1"/>
  <c r="K297" i="24"/>
  <c r="AQ198" i="15" s="1"/>
  <c r="K125" i="24"/>
  <c r="AQ113" i="15" s="1"/>
  <c r="N267" i="24"/>
  <c r="AT168" i="15" s="1"/>
  <c r="N94" i="24"/>
  <c r="AT82" i="15" s="1"/>
  <c r="R64" i="24"/>
  <c r="AX52" i="15" s="1"/>
  <c r="V64" i="24"/>
  <c r="BB52" i="15" s="1"/>
  <c r="L108" i="24"/>
  <c r="AR96" i="15" s="1"/>
  <c r="J64" i="24"/>
  <c r="AP52" i="15" s="1"/>
  <c r="L301" i="24"/>
  <c r="AR202" i="15" s="1"/>
  <c r="T64" i="24"/>
  <c r="AZ52" i="15" s="1"/>
  <c r="K132" i="24"/>
  <c r="AQ120" i="15" s="1"/>
  <c r="U268" i="24"/>
  <c r="BA169" i="15" s="1"/>
  <c r="K68" i="24"/>
  <c r="AQ56" i="15" s="1"/>
  <c r="Q93" i="24"/>
  <c r="AW81" i="15" s="1"/>
  <c r="N238" i="24"/>
  <c r="AT139" i="15" s="1"/>
  <c r="AC93" i="24"/>
  <c r="BI81" i="15" s="1"/>
  <c r="O93" i="24"/>
  <c r="AU81" i="15" s="1"/>
  <c r="K102" i="24"/>
  <c r="AQ90" i="15" s="1"/>
  <c r="S239" i="24"/>
  <c r="AY140" i="15" s="1"/>
  <c r="K279" i="24"/>
  <c r="AQ180" i="15" s="1"/>
  <c r="K137" i="24"/>
  <c r="AQ125" i="15" s="1"/>
  <c r="K80" i="24"/>
  <c r="AQ68" i="15" s="1"/>
  <c r="U296" i="24"/>
  <c r="BA197" i="15" s="1"/>
  <c r="K124" i="24"/>
  <c r="AQ112" i="15" s="1"/>
  <c r="Z267" i="24"/>
  <c r="BF168" i="15" s="1"/>
  <c r="K267" i="24"/>
  <c r="AQ168" i="15" s="1"/>
  <c r="O64" i="24"/>
  <c r="AU52" i="15" s="1"/>
  <c r="K312" i="24"/>
  <c r="AQ213" i="15" s="1"/>
  <c r="K284" i="24"/>
  <c r="AQ185" i="15" s="1"/>
  <c r="U93" i="24"/>
  <c r="BA81" i="15" s="1"/>
  <c r="K240" i="24"/>
  <c r="AQ141" i="15" s="1"/>
  <c r="L309" i="24"/>
  <c r="AR210" i="15" s="1"/>
  <c r="P122" i="24"/>
  <c r="AV110" i="15" s="1"/>
  <c r="J70" i="24"/>
  <c r="AP58" i="15" s="1"/>
  <c r="AC122" i="24"/>
  <c r="BI110" i="15" s="1"/>
  <c r="K307" i="24"/>
  <c r="AQ208" i="15" s="1"/>
  <c r="P296" i="24"/>
  <c r="AV197" i="15" s="1"/>
  <c r="K66" i="24"/>
  <c r="AQ54" i="15" s="1"/>
  <c r="K298" i="24"/>
  <c r="AQ199" i="15" s="1"/>
  <c r="K270" i="24"/>
  <c r="AQ171" i="15" s="1"/>
  <c r="AD238" i="24"/>
  <c r="BJ139" i="15" s="1"/>
  <c r="J92" i="24"/>
  <c r="AP80" i="15" s="1"/>
  <c r="AP99" i="15" s="1"/>
  <c r="I111" i="24"/>
  <c r="H36" i="15" s="1"/>
  <c r="L275" i="24"/>
  <c r="AR176" i="15" s="1"/>
  <c r="AA238" i="24"/>
  <c r="BG139" i="15" s="1"/>
  <c r="AC267" i="24"/>
  <c r="BI168" i="15" s="1"/>
  <c r="W123" i="24"/>
  <c r="BC111" i="15" s="1"/>
  <c r="Q122" i="24"/>
  <c r="AW110" i="15" s="1"/>
  <c r="K271" i="24"/>
  <c r="AQ172" i="15" s="1"/>
  <c r="L64" i="24"/>
  <c r="AR52" i="15" s="1"/>
  <c r="K133" i="24"/>
  <c r="AQ121" i="15" s="1"/>
  <c r="Q296" i="24"/>
  <c r="AW197" i="15" s="1"/>
  <c r="K277" i="24"/>
  <c r="AQ178" i="15" s="1"/>
  <c r="Y238" i="24"/>
  <c r="BE139" i="15" s="1"/>
  <c r="AE296" i="24"/>
  <c r="BK197" i="15" s="1"/>
  <c r="K73" i="24"/>
  <c r="AQ61" i="15" s="1"/>
  <c r="O267" i="24"/>
  <c r="AU168" i="15" s="1"/>
  <c r="AD297" i="24"/>
  <c r="BJ198" i="15" s="1"/>
  <c r="K282" i="24"/>
  <c r="AQ183" i="15" s="1"/>
  <c r="M238" i="24"/>
  <c r="AS139" i="15" s="1"/>
  <c r="M123" i="24"/>
  <c r="AS111" i="15" s="1"/>
  <c r="K96" i="24"/>
  <c r="AQ84" i="15" s="1"/>
  <c r="W122" i="24"/>
  <c r="BC110" i="15" s="1"/>
  <c r="K283" i="24"/>
  <c r="AQ184" i="15" s="1"/>
  <c r="J68" i="24"/>
  <c r="AP56" i="15" s="1"/>
  <c r="K239" i="24"/>
  <c r="AQ140" i="15" s="1"/>
  <c r="R296" i="24"/>
  <c r="AX197" i="15" s="1"/>
  <c r="X267" i="24"/>
  <c r="BD168" i="15" s="1"/>
  <c r="K243" i="24"/>
  <c r="AQ144" i="15" s="1"/>
  <c r="AB267" i="24"/>
  <c r="BH168" i="15" s="1"/>
  <c r="P267" i="24"/>
  <c r="AV168" i="15" s="1"/>
  <c r="K78" i="24"/>
  <c r="AQ66" i="15" s="1"/>
  <c r="K309" i="24"/>
  <c r="AQ210" i="15" s="1"/>
  <c r="Y296" i="24"/>
  <c r="BE197" i="15" s="1"/>
  <c r="K246" i="24"/>
  <c r="AQ147" i="15" s="1"/>
  <c r="K98" i="24"/>
  <c r="AQ86" i="15" s="1"/>
  <c r="Y64" i="24"/>
  <c r="BE52" i="15" s="1"/>
  <c r="V123" i="24"/>
  <c r="BB111" i="15" s="1"/>
  <c r="J102" i="24"/>
  <c r="AP90" i="15" s="1"/>
  <c r="J253" i="24"/>
  <c r="AP154" i="15" s="1"/>
  <c r="AA93" i="24"/>
  <c r="BG81" i="15" s="1"/>
  <c r="K139" i="24"/>
  <c r="AQ127" i="15" s="1"/>
  <c r="K310" i="24"/>
  <c r="AQ211" i="15" s="1"/>
  <c r="S122" i="24"/>
  <c r="AY110" i="15" s="1"/>
  <c r="Z296" i="24"/>
  <c r="BF197" i="15" s="1"/>
  <c r="Y93" i="24"/>
  <c r="BE81" i="15" s="1"/>
  <c r="AE238" i="24"/>
  <c r="BK139" i="15" s="1"/>
  <c r="L267" i="24"/>
  <c r="AR168" i="15" s="1"/>
  <c r="I285" i="24"/>
  <c r="I186" i="15" s="1"/>
  <c r="K241" i="24"/>
  <c r="AQ142" i="15" s="1"/>
  <c r="K136" i="24"/>
  <c r="AQ124" i="15" s="1"/>
  <c r="G8" i="2"/>
  <c r="N122" i="24"/>
  <c r="AT110" i="15" s="1"/>
  <c r="K104" i="24"/>
  <c r="AQ92" i="15" s="1"/>
  <c r="J100" i="24"/>
  <c r="AP88" i="15" s="1"/>
  <c r="H29" i="18"/>
  <c r="AM3" i="18" s="1"/>
  <c r="H70" i="15"/>
  <c r="G27" i="15" s="1"/>
  <c r="Q267" i="24"/>
  <c r="AW168" i="15" s="1"/>
  <c r="K64" i="24"/>
  <c r="AQ52" i="15" s="1"/>
  <c r="Z238" i="24"/>
  <c r="BF139" i="15" s="1"/>
  <c r="K272" i="24"/>
  <c r="AQ173" i="15" s="1"/>
  <c r="T93" i="24"/>
  <c r="AZ81" i="15" s="1"/>
  <c r="S296" i="24"/>
  <c r="AY197" i="15" s="1"/>
  <c r="AD296" i="24"/>
  <c r="BJ197" i="15" s="1"/>
  <c r="K127" i="24"/>
  <c r="AQ115" i="15" s="1"/>
  <c r="K75" i="24"/>
  <c r="AQ63" i="15" s="1"/>
  <c r="J78" i="24"/>
  <c r="AP66" i="15" s="1"/>
  <c r="K74" i="24"/>
  <c r="AQ62" i="15" s="1"/>
  <c r="O297" i="24"/>
  <c r="AU198" i="15" s="1"/>
  <c r="K108" i="24"/>
  <c r="AQ96" i="15" s="1"/>
  <c r="K128" i="24"/>
  <c r="AQ116" i="15" s="1"/>
  <c r="M267" i="24"/>
  <c r="AS168" i="15" s="1"/>
  <c r="AC64" i="24"/>
  <c r="BI52" i="15" s="1"/>
  <c r="L312" i="24"/>
  <c r="AR213" i="15" s="1"/>
  <c r="K296" i="24"/>
  <c r="AQ197" i="15" s="1"/>
  <c r="J314" i="24"/>
  <c r="J215" i="15" s="1"/>
  <c r="K253" i="24"/>
  <c r="AQ154" i="15" s="1"/>
  <c r="P93" i="24"/>
  <c r="AV81" i="15" s="1"/>
  <c r="AD239" i="24"/>
  <c r="BJ140" i="15" s="1"/>
  <c r="X296" i="24"/>
  <c r="BD197" i="15" s="1"/>
  <c r="K249" i="24"/>
  <c r="AQ150" i="15" s="1"/>
  <c r="N64" i="24"/>
  <c r="AT52" i="15" s="1"/>
  <c r="K269" i="24"/>
  <c r="AQ170" i="15" s="1"/>
  <c r="K94" i="24"/>
  <c r="AQ82" i="15" s="1"/>
  <c r="K276" i="24"/>
  <c r="AQ177" i="15" s="1"/>
  <c r="I82" i="24"/>
  <c r="K95" i="24"/>
  <c r="AQ83" i="15" s="1"/>
  <c r="K135" i="24"/>
  <c r="AQ123" i="15" s="1"/>
  <c r="P64" i="24"/>
  <c r="AV52" i="15" s="1"/>
  <c r="Z122" i="24"/>
  <c r="BF110" i="15" s="1"/>
  <c r="AA296" i="24"/>
  <c r="BG197" i="15" s="1"/>
  <c r="K123" i="24"/>
  <c r="AQ111" i="15" s="1"/>
  <c r="AA267" i="24"/>
  <c r="BG168" i="15" s="1"/>
  <c r="J246" i="24"/>
  <c r="AP147" i="15" s="1"/>
  <c r="AP157" i="15" s="1"/>
  <c r="K301" i="24"/>
  <c r="AQ202" i="15" s="1"/>
  <c r="L296" i="24"/>
  <c r="AR197" i="15" s="1"/>
  <c r="T94" i="24"/>
  <c r="AZ82" i="15" s="1"/>
  <c r="K70" i="24"/>
  <c r="AQ58" i="15" s="1"/>
  <c r="W267" i="24"/>
  <c r="BC168" i="15" s="1"/>
  <c r="AE64" i="24"/>
  <c r="BK52" i="15" s="1"/>
  <c r="W238" i="24"/>
  <c r="BC139" i="15" s="1"/>
  <c r="K129" i="24"/>
  <c r="AQ117" i="15" s="1"/>
  <c r="W296" i="24"/>
  <c r="BC197" i="15" s="1"/>
  <c r="K131" i="24"/>
  <c r="AQ119" i="15" s="1"/>
  <c r="S64" i="24"/>
  <c r="AY52" i="15" s="1"/>
  <c r="K105" i="24"/>
  <c r="AQ93" i="15" s="1"/>
  <c r="K76" i="24"/>
  <c r="AQ64" i="15" s="1"/>
  <c r="T296" i="24"/>
  <c r="AZ197" i="15" s="1"/>
  <c r="AB64" i="24"/>
  <c r="BH52" i="15" s="1"/>
  <c r="S238" i="24"/>
  <c r="AY139" i="15" s="1"/>
  <c r="K138" i="24"/>
  <c r="AQ126" i="15" s="1"/>
  <c r="K245" i="24"/>
  <c r="AQ146" i="15" s="1"/>
  <c r="K275" i="24"/>
  <c r="AQ176" i="15" s="1"/>
  <c r="K278" i="24"/>
  <c r="AQ179" i="15" s="1"/>
  <c r="AD122" i="24"/>
  <c r="BJ110" i="15" s="1"/>
  <c r="K250" i="24"/>
  <c r="AQ151" i="15" s="1"/>
  <c r="I314" i="24"/>
  <c r="I215" i="15" s="1"/>
  <c r="H32" i="15" s="1"/>
  <c r="N93" i="24"/>
  <c r="AT81" i="15" s="1"/>
  <c r="R122" i="24"/>
  <c r="AX110" i="15" s="1"/>
  <c r="J66" i="24"/>
  <c r="AP54" i="15" s="1"/>
  <c r="X93" i="24"/>
  <c r="BD81" i="15" s="1"/>
  <c r="W64" i="24"/>
  <c r="BC52" i="15" s="1"/>
  <c r="AD93" i="24"/>
  <c r="BJ81" i="15" s="1"/>
  <c r="Z93" i="24"/>
  <c r="BF81" i="15" s="1"/>
  <c r="V93" i="24"/>
  <c r="BB81" i="15" s="1"/>
  <c r="P239" i="24"/>
  <c r="AV140" i="15" s="1"/>
  <c r="U238" i="24"/>
  <c r="BA139" i="15" s="1"/>
  <c r="H58" i="18"/>
  <c r="AM4" i="18" s="1"/>
  <c r="H99" i="15"/>
  <c r="G28" i="15" s="1"/>
  <c r="X122" i="24"/>
  <c r="BD110" i="15" s="1"/>
  <c r="L107" i="24"/>
  <c r="AR95" i="15" s="1"/>
  <c r="L307" i="24"/>
  <c r="AR208" i="15" s="1"/>
  <c r="K110" i="24"/>
  <c r="AQ98" i="15" s="1"/>
  <c r="K242" i="24"/>
  <c r="AQ143" i="15" s="1"/>
  <c r="AD64" i="24"/>
  <c r="BJ52" i="15" s="1"/>
  <c r="J80" i="24"/>
  <c r="AP68" i="15" s="1"/>
  <c r="K238" i="24"/>
  <c r="AQ139" i="15" s="1"/>
  <c r="J15" i="26"/>
  <c r="J2" i="26"/>
  <c r="H16" i="26"/>
  <c r="H20" i="2"/>
  <c r="H21" i="2" s="1"/>
  <c r="H372" i="24"/>
  <c r="E372" i="24"/>
  <c r="D198" i="24"/>
  <c r="U64" i="24"/>
  <c r="BA52" i="15" s="1"/>
  <c r="Z325" i="24"/>
  <c r="G371" i="24"/>
  <c r="G372" i="24" s="1"/>
  <c r="F372" i="24"/>
  <c r="R180" i="24"/>
  <c r="R93" i="24"/>
  <c r="AX81" i="15" s="1"/>
  <c r="M325" i="24"/>
  <c r="L343" i="24"/>
  <c r="U209" i="24"/>
  <c r="M296" i="24"/>
  <c r="AS197" i="15" s="1"/>
  <c r="M64" i="24"/>
  <c r="AS52" i="15" s="1"/>
  <c r="X238" i="24"/>
  <c r="BD139" i="15" s="1"/>
  <c r="U325" i="24"/>
  <c r="S325" i="24"/>
  <c r="K122" i="24"/>
  <c r="AQ110" i="15" s="1"/>
  <c r="J140" i="24"/>
  <c r="Q64" i="24"/>
  <c r="AW52" i="15" s="1"/>
  <c r="J197" i="24"/>
  <c r="J198" i="24" s="1"/>
  <c r="I198" i="24"/>
  <c r="H29" i="16" s="1"/>
  <c r="H31" i="16" s="1"/>
  <c r="Y354" i="24"/>
  <c r="AA209" i="24"/>
  <c r="F197" i="24"/>
  <c r="F198" i="24" s="1"/>
  <c r="E198" i="24"/>
  <c r="H197" i="24"/>
  <c r="H198" i="24" s="1"/>
  <c r="G198" i="24"/>
  <c r="T354" i="24"/>
  <c r="AB151" i="24"/>
  <c r="K354" i="24"/>
  <c r="J372" i="24"/>
  <c r="S267" i="24"/>
  <c r="AY168" i="15" s="1"/>
  <c r="O209" i="24"/>
  <c r="AB296" i="24"/>
  <c r="BH197" i="15" s="1"/>
  <c r="T238" i="24"/>
  <c r="AZ139" i="15" s="1"/>
  <c r="L151" i="24"/>
  <c r="K169" i="24"/>
  <c r="J28" i="16" s="1"/>
  <c r="Y122" i="24"/>
  <c r="BE110" i="15" s="1"/>
  <c r="V296" i="24"/>
  <c r="BB197" i="15" s="1"/>
  <c r="AB180" i="24"/>
  <c r="Z180" i="24"/>
  <c r="R239" i="24"/>
  <c r="AX140" i="15" s="1"/>
  <c r="O122" i="24"/>
  <c r="AU110" i="15" s="1"/>
  <c r="AD267" i="24"/>
  <c r="BJ168" i="15" s="1"/>
  <c r="X151" i="24"/>
  <c r="W93" i="24"/>
  <c r="BC81" i="15" s="1"/>
  <c r="K209" i="24"/>
  <c r="J227" i="24"/>
  <c r="M239" i="24"/>
  <c r="AS140" i="15" s="1"/>
  <c r="AA122" i="24"/>
  <c r="BG110" i="15" s="1"/>
  <c r="O354" i="24"/>
  <c r="V238" i="24"/>
  <c r="BB139" i="15" s="1"/>
  <c r="AE122" i="24"/>
  <c r="BK110" i="15" s="1"/>
  <c r="L93" i="24"/>
  <c r="AR81" i="15" s="1"/>
  <c r="Y209" i="24"/>
  <c r="AC239" i="24"/>
  <c r="BI140" i="15" s="1"/>
  <c r="AB93" i="24"/>
  <c r="BH81" i="15" s="1"/>
  <c r="AD180" i="24"/>
  <c r="AB354" i="24"/>
  <c r="P151" i="24"/>
  <c r="D372" i="24"/>
  <c r="L180" i="24"/>
  <c r="K198" i="24"/>
  <c r="N180" i="24"/>
  <c r="T151" i="24"/>
  <c r="W180" i="24"/>
  <c r="T122" i="24"/>
  <c r="AZ110" i="15" s="1"/>
  <c r="I30" i="16" l="1"/>
  <c r="D29" i="16"/>
  <c r="D31" i="16" s="1"/>
  <c r="F29" i="16"/>
  <c r="F31" i="16" s="1"/>
  <c r="G29" i="16"/>
  <c r="G31" i="16" s="1"/>
  <c r="C29" i="16"/>
  <c r="C31" i="16" s="1"/>
  <c r="C5" i="26"/>
  <c r="AP70" i="15"/>
  <c r="AQ215" i="15"/>
  <c r="E29" i="16"/>
  <c r="E31" i="16" s="1"/>
  <c r="I29" i="16"/>
  <c r="I31" i="16" s="1"/>
  <c r="AQ128" i="15"/>
  <c r="J285" i="24"/>
  <c r="J145" i="18" s="1"/>
  <c r="AO7" i="18" s="1"/>
  <c r="AP180" i="15"/>
  <c r="AP186" i="15" s="1"/>
  <c r="G3" i="2"/>
  <c r="I87" i="18"/>
  <c r="AN5" i="18" s="1"/>
  <c r="J256" i="24"/>
  <c r="J157" i="15" s="1"/>
  <c r="I30" i="15" s="1"/>
  <c r="I157" i="15"/>
  <c r="H30" i="15" s="1"/>
  <c r="G4" i="2"/>
  <c r="H2" i="2"/>
  <c r="I128" i="15"/>
  <c r="H29" i="15" s="1"/>
  <c r="I32" i="15"/>
  <c r="H38" i="15"/>
  <c r="K57" i="2"/>
  <c r="C31" i="15"/>
  <c r="F97" i="2" s="1"/>
  <c r="F105" i="2" s="1"/>
  <c r="F57" i="2"/>
  <c r="D76" i="26"/>
  <c r="C3" i="26" s="1"/>
  <c r="F58" i="2"/>
  <c r="D31" i="15"/>
  <c r="G97" i="2" s="1"/>
  <c r="G57" i="2"/>
  <c r="G76" i="26"/>
  <c r="F3" i="26" s="1"/>
  <c r="F5" i="26" s="1"/>
  <c r="I58" i="2"/>
  <c r="E76" i="26"/>
  <c r="D3" i="26" s="1"/>
  <c r="D5" i="26" s="1"/>
  <c r="G58" i="2"/>
  <c r="H35" i="15"/>
  <c r="K54" i="2"/>
  <c r="J96" i="2"/>
  <c r="J128" i="15"/>
  <c r="I29" i="15" s="1"/>
  <c r="I37" i="15"/>
  <c r="F76" i="26"/>
  <c r="H58" i="2"/>
  <c r="H9" i="26"/>
  <c r="H22" i="2" s="1"/>
  <c r="H23" i="2" s="1"/>
  <c r="J174" i="18"/>
  <c r="AO8" i="18" s="1"/>
  <c r="I40" i="15"/>
  <c r="E31" i="15"/>
  <c r="H97" i="2" s="1"/>
  <c r="H57" i="2"/>
  <c r="H76" i="26"/>
  <c r="J58" i="2"/>
  <c r="J8" i="26"/>
  <c r="I145" i="18"/>
  <c r="AN7" i="18" s="1"/>
  <c r="H39" i="15"/>
  <c r="K55" i="2"/>
  <c r="G31" i="15"/>
  <c r="J97" i="2" s="1"/>
  <c r="J57" i="2"/>
  <c r="L47" i="26"/>
  <c r="K2" i="26" s="1"/>
  <c r="I8" i="2"/>
  <c r="I174" i="18"/>
  <c r="AN8" i="18" s="1"/>
  <c r="H40" i="15"/>
  <c r="J76" i="26"/>
  <c r="I3" i="26" s="1"/>
  <c r="L58" i="2"/>
  <c r="F31" i="15"/>
  <c r="I97" i="2" s="1"/>
  <c r="I57" i="2"/>
  <c r="I39" i="15"/>
  <c r="L57" i="2"/>
  <c r="G9" i="2"/>
  <c r="G11" i="2" s="1"/>
  <c r="H9" i="2"/>
  <c r="AA94" i="24"/>
  <c r="BG82" i="15" s="1"/>
  <c r="O94" i="24"/>
  <c r="AU82" i="15" s="1"/>
  <c r="L139" i="24"/>
  <c r="AR127" i="15" s="1"/>
  <c r="T123" i="24"/>
  <c r="AZ111" i="15" s="1"/>
  <c r="W124" i="24"/>
  <c r="BC112" i="15" s="1"/>
  <c r="P268" i="24"/>
  <c r="AV169" i="15" s="1"/>
  <c r="R297" i="24"/>
  <c r="AX198" i="15" s="1"/>
  <c r="AD268" i="24"/>
  <c r="BJ169" i="15" s="1"/>
  <c r="L271" i="24"/>
  <c r="AR172" i="15" s="1"/>
  <c r="K71" i="24"/>
  <c r="AQ59" i="15" s="1"/>
  <c r="L313" i="24"/>
  <c r="AR214" i="15" s="1"/>
  <c r="L125" i="24"/>
  <c r="AR113" i="15" s="1"/>
  <c r="L280" i="24"/>
  <c r="AR181" i="15" s="1"/>
  <c r="K109" i="24"/>
  <c r="AQ97" i="15" s="1"/>
  <c r="M250" i="24"/>
  <c r="AS151" i="15" s="1"/>
  <c r="L253" i="24"/>
  <c r="AR154" i="15" s="1"/>
  <c r="AB65" i="24"/>
  <c r="BH53" i="15" s="1"/>
  <c r="S268" i="24"/>
  <c r="AY169" i="15" s="1"/>
  <c r="L282" i="24"/>
  <c r="AR183" i="15" s="1"/>
  <c r="H14" i="2"/>
  <c r="H31" i="15"/>
  <c r="AE65" i="24"/>
  <c r="BK53" i="15" s="1"/>
  <c r="M108" i="24"/>
  <c r="AS96" i="15" s="1"/>
  <c r="L251" i="24"/>
  <c r="AR152" i="15" s="1"/>
  <c r="L279" i="24"/>
  <c r="AR180" i="15" s="1"/>
  <c r="L246" i="24"/>
  <c r="AR147" i="15" s="1"/>
  <c r="T239" i="24"/>
  <c r="AZ140" i="15" s="1"/>
  <c r="U297" i="24"/>
  <c r="BA198" i="15" s="1"/>
  <c r="L106" i="24"/>
  <c r="AR94" i="15" s="1"/>
  <c r="L132" i="24"/>
  <c r="AR120" i="15" s="1"/>
  <c r="L130" i="24"/>
  <c r="AR118" i="15" s="1"/>
  <c r="L71" i="24"/>
  <c r="AR59" i="15" s="1"/>
  <c r="M297" i="24"/>
  <c r="AS198" i="15" s="1"/>
  <c r="K247" i="24"/>
  <c r="AQ148" i="15" s="1"/>
  <c r="L124" i="24"/>
  <c r="AR112" i="15" s="1"/>
  <c r="AA123" i="24"/>
  <c r="BG111" i="15" s="1"/>
  <c r="L136" i="24"/>
  <c r="AR124" i="15" s="1"/>
  <c r="I29" i="18"/>
  <c r="AN3" i="18" s="1"/>
  <c r="I70" i="15"/>
  <c r="H27" i="15" s="1"/>
  <c r="H8" i="2"/>
  <c r="L270" i="24"/>
  <c r="AR171" i="15" s="1"/>
  <c r="L250" i="24"/>
  <c r="AR151" i="15" s="1"/>
  <c r="AE240" i="24"/>
  <c r="BK141" i="15" s="1"/>
  <c r="L254" i="24"/>
  <c r="AR155" i="15" s="1"/>
  <c r="M313" i="24"/>
  <c r="AS214" i="15" s="1"/>
  <c r="L65" i="24"/>
  <c r="AR53" i="15" s="1"/>
  <c r="L242" i="24"/>
  <c r="AR143" i="15" s="1"/>
  <c r="M268" i="24"/>
  <c r="AS169" i="15" s="1"/>
  <c r="Z94" i="24"/>
  <c r="BF82" i="15" s="1"/>
  <c r="Z65" i="24"/>
  <c r="BF53" i="15" s="1"/>
  <c r="L247" i="24"/>
  <c r="AR148" i="15" s="1"/>
  <c r="L310" i="24"/>
  <c r="AR211" i="15" s="1"/>
  <c r="Q268" i="24"/>
  <c r="AW169" i="15" s="1"/>
  <c r="L244" i="24"/>
  <c r="AR145" i="15" s="1"/>
  <c r="S297" i="24"/>
  <c r="AY198" i="15" s="1"/>
  <c r="K69" i="24"/>
  <c r="AQ57" i="15" s="1"/>
  <c r="X123" i="24"/>
  <c r="BD111" i="15" s="1"/>
  <c r="N124" i="24"/>
  <c r="AT112" i="15" s="1"/>
  <c r="L283" i="24"/>
  <c r="AR184" i="15" s="1"/>
  <c r="AB239" i="24"/>
  <c r="BH140" i="15" s="1"/>
  <c r="L241" i="24"/>
  <c r="AR142" i="15" s="1"/>
  <c r="P94" i="24"/>
  <c r="AV82" i="15" s="1"/>
  <c r="O239" i="24"/>
  <c r="AU140" i="15" s="1"/>
  <c r="L69" i="24"/>
  <c r="AR57" i="15" s="1"/>
  <c r="L133" i="24"/>
  <c r="AR121" i="15" s="1"/>
  <c r="M302" i="24"/>
  <c r="AS203" i="15" s="1"/>
  <c r="M109" i="24"/>
  <c r="AS97" i="15" s="1"/>
  <c r="S65" i="24"/>
  <c r="AY53" i="15" s="1"/>
  <c r="L135" i="24"/>
  <c r="AR123" i="15" s="1"/>
  <c r="L73" i="24"/>
  <c r="AR61" i="15" s="1"/>
  <c r="L131" i="24"/>
  <c r="AR119" i="15" s="1"/>
  <c r="M304" i="24"/>
  <c r="AS205" i="15" s="1"/>
  <c r="L127" i="24"/>
  <c r="AR115" i="15" s="1"/>
  <c r="Q240" i="24"/>
  <c r="AW141" i="15" s="1"/>
  <c r="K67" i="24"/>
  <c r="AQ55" i="15" s="1"/>
  <c r="K254" i="24"/>
  <c r="AQ155" i="15" s="1"/>
  <c r="L278" i="24"/>
  <c r="AR179" i="15" s="1"/>
  <c r="R123" i="24"/>
  <c r="AX111" i="15" s="1"/>
  <c r="K93" i="24"/>
  <c r="AQ81" i="15" s="1"/>
  <c r="J111" i="24"/>
  <c r="I36" i="15" s="1"/>
  <c r="L308" i="24"/>
  <c r="AR209" i="15" s="1"/>
  <c r="L268" i="24"/>
  <c r="AR169" i="15" s="1"/>
  <c r="O268" i="24"/>
  <c r="AU169" i="15" s="1"/>
  <c r="L274" i="24"/>
  <c r="AR175" i="15" s="1"/>
  <c r="L100" i="24"/>
  <c r="AR88" i="15" s="1"/>
  <c r="Q239" i="24"/>
  <c r="AW140" i="15" s="1"/>
  <c r="N123" i="24"/>
  <c r="AT111" i="15" s="1"/>
  <c r="S240" i="24"/>
  <c r="AY141" i="15" s="1"/>
  <c r="K81" i="24"/>
  <c r="AQ69" i="15" s="1"/>
  <c r="L243" i="24"/>
  <c r="AR144" i="15" s="1"/>
  <c r="M308" i="24"/>
  <c r="AS209" i="15" s="1"/>
  <c r="AE123" i="24"/>
  <c r="BK111" i="15" s="1"/>
  <c r="L276" i="24"/>
  <c r="AR177" i="15" s="1"/>
  <c r="AC65" i="24"/>
  <c r="BI53" i="15" s="1"/>
  <c r="L77" i="24"/>
  <c r="AR65" i="15" s="1"/>
  <c r="T65" i="24"/>
  <c r="AZ53" i="15" s="1"/>
  <c r="X297" i="24"/>
  <c r="BD198" i="15" s="1"/>
  <c r="X239" i="24"/>
  <c r="BD140" i="15" s="1"/>
  <c r="X268" i="24"/>
  <c r="BD169" i="15" s="1"/>
  <c r="U95" i="24"/>
  <c r="BA83" i="15" s="1"/>
  <c r="L302" i="24"/>
  <c r="AR203" i="15" s="1"/>
  <c r="AB268" i="24"/>
  <c r="BH169" i="15" s="1"/>
  <c r="AB297" i="24"/>
  <c r="BH198" i="15" s="1"/>
  <c r="Q65" i="24"/>
  <c r="AW53" i="15" s="1"/>
  <c r="L96" i="24"/>
  <c r="AR84" i="15" s="1"/>
  <c r="L95" i="24"/>
  <c r="AR83" i="15" s="1"/>
  <c r="O65" i="24"/>
  <c r="AU53" i="15" s="1"/>
  <c r="Y297" i="24"/>
  <c r="BE198" i="15" s="1"/>
  <c r="Q94" i="24"/>
  <c r="AW82" i="15" s="1"/>
  <c r="J82" i="24"/>
  <c r="L137" i="24"/>
  <c r="AR125" i="15" s="1"/>
  <c r="L99" i="24"/>
  <c r="AR87" i="15" s="1"/>
  <c r="Z297" i="24"/>
  <c r="BF198" i="15" s="1"/>
  <c r="L79" i="24"/>
  <c r="AR67" i="15" s="1"/>
  <c r="AC268" i="24"/>
  <c r="BI169" i="15" s="1"/>
  <c r="Y268" i="24"/>
  <c r="BE169" i="15" s="1"/>
  <c r="L240" i="24"/>
  <c r="AR141" i="15" s="1"/>
  <c r="L97" i="24"/>
  <c r="AR85" i="15" s="1"/>
  <c r="N239" i="24"/>
  <c r="AT140" i="15" s="1"/>
  <c r="AE298" i="24"/>
  <c r="BK199" i="15" s="1"/>
  <c r="L134" i="24"/>
  <c r="AR122" i="15" s="1"/>
  <c r="M276" i="24"/>
  <c r="AS177" i="15" s="1"/>
  <c r="M310" i="24"/>
  <c r="AS211" i="15" s="1"/>
  <c r="V94" i="24"/>
  <c r="BB82" i="15" s="1"/>
  <c r="P65" i="24"/>
  <c r="AV53" i="15" s="1"/>
  <c r="L138" i="24"/>
  <c r="AR126" i="15" s="1"/>
  <c r="L103" i="24"/>
  <c r="AR91" i="15" s="1"/>
  <c r="AD94" i="24"/>
  <c r="BJ82" i="15" s="1"/>
  <c r="R94" i="24"/>
  <c r="AX82" i="15" s="1"/>
  <c r="V269" i="24"/>
  <c r="BB170" i="15" s="1"/>
  <c r="U65" i="24"/>
  <c r="BA53" i="15" s="1"/>
  <c r="K65" i="24"/>
  <c r="AQ53" i="15" s="1"/>
  <c r="W65" i="24"/>
  <c r="BC53" i="15" s="1"/>
  <c r="L101" i="24"/>
  <c r="AR89" i="15" s="1"/>
  <c r="AC123" i="24"/>
  <c r="BI111" i="15" s="1"/>
  <c r="K280" i="24"/>
  <c r="AQ181" i="15" s="1"/>
  <c r="AQ186" i="15" s="1"/>
  <c r="X65" i="24"/>
  <c r="BD53" i="15" s="1"/>
  <c r="N268" i="24"/>
  <c r="AT169" i="15" s="1"/>
  <c r="L109" i="24"/>
  <c r="AR97" i="15" s="1"/>
  <c r="L75" i="24"/>
  <c r="AR63" i="15" s="1"/>
  <c r="L76" i="24"/>
  <c r="AR64" i="15" s="1"/>
  <c r="AE297" i="24"/>
  <c r="BK198" i="15" s="1"/>
  <c r="U94" i="24"/>
  <c r="BA82" i="15" s="1"/>
  <c r="AA239" i="24"/>
  <c r="BG140" i="15" s="1"/>
  <c r="L105" i="24"/>
  <c r="AR93" i="15" s="1"/>
  <c r="L284" i="24"/>
  <c r="AR185" i="15" s="1"/>
  <c r="M65" i="24"/>
  <c r="AS53" i="15" s="1"/>
  <c r="L67" i="24"/>
  <c r="AR55" i="15" s="1"/>
  <c r="L81" i="24"/>
  <c r="AR69" i="15" s="1"/>
  <c r="L298" i="24"/>
  <c r="AR199" i="15" s="1"/>
  <c r="Z268" i="24"/>
  <c r="BF169" i="15" s="1"/>
  <c r="Y123" i="24"/>
  <c r="BE111" i="15" s="1"/>
  <c r="V239" i="24"/>
  <c r="BB140" i="15" s="1"/>
  <c r="W94" i="24"/>
  <c r="BC82" i="15" s="1"/>
  <c r="AE94" i="24"/>
  <c r="BK82" i="15" s="1"/>
  <c r="Y94" i="24"/>
  <c r="BE82" i="15" s="1"/>
  <c r="S123" i="24"/>
  <c r="AY111" i="15" s="1"/>
  <c r="L277" i="24"/>
  <c r="AR178" i="15" s="1"/>
  <c r="L297" i="24"/>
  <c r="AR198" i="15" s="1"/>
  <c r="K314" i="24"/>
  <c r="K215" i="15" s="1"/>
  <c r="AD65" i="24"/>
  <c r="BJ53" i="15" s="1"/>
  <c r="L129" i="24"/>
  <c r="AR117" i="15" s="1"/>
  <c r="P298" i="24"/>
  <c r="AV199" i="15" s="1"/>
  <c r="K79" i="24"/>
  <c r="AQ67" i="15" s="1"/>
  <c r="L128" i="24"/>
  <c r="AR116" i="15" s="1"/>
  <c r="T297" i="24"/>
  <c r="AZ198" i="15" s="1"/>
  <c r="L273" i="24"/>
  <c r="AR174" i="15" s="1"/>
  <c r="R268" i="24"/>
  <c r="AX169" i="15" s="1"/>
  <c r="K101" i="24"/>
  <c r="AQ89" i="15" s="1"/>
  <c r="O123" i="24"/>
  <c r="AU111" i="15" s="1"/>
  <c r="AA297" i="24"/>
  <c r="BG198" i="15" s="1"/>
  <c r="L311" i="24"/>
  <c r="AR212" i="15" s="1"/>
  <c r="AB94" i="24"/>
  <c r="BH82" i="15" s="1"/>
  <c r="K103" i="24"/>
  <c r="AQ91" i="15" s="1"/>
  <c r="L74" i="24"/>
  <c r="AR62" i="15" s="1"/>
  <c r="Z239" i="24"/>
  <c r="BF140" i="15" s="1"/>
  <c r="L272" i="24"/>
  <c r="AR173" i="15" s="1"/>
  <c r="X124" i="24"/>
  <c r="BD112" i="15" s="1"/>
  <c r="I58" i="18"/>
  <c r="AN4" i="18" s="1"/>
  <c r="I99" i="15"/>
  <c r="H28" i="15" s="1"/>
  <c r="AE239" i="24"/>
  <c r="BK140" i="15" s="1"/>
  <c r="L299" i="24"/>
  <c r="AR200" i="15" s="1"/>
  <c r="Q297" i="24"/>
  <c r="AW198" i="15" s="1"/>
  <c r="AD123" i="24"/>
  <c r="BJ111" i="15" s="1"/>
  <c r="Q123" i="24"/>
  <c r="AW111" i="15" s="1"/>
  <c r="AA268" i="24"/>
  <c r="BG169" i="15" s="1"/>
  <c r="V297" i="24"/>
  <c r="BB198" i="15" s="1"/>
  <c r="T240" i="24"/>
  <c r="AZ141" i="15" s="1"/>
  <c r="O95" i="24"/>
  <c r="AU83" i="15" s="1"/>
  <c r="L126" i="24"/>
  <c r="AR114" i="15" s="1"/>
  <c r="W268" i="24"/>
  <c r="BC169" i="15" s="1"/>
  <c r="Y65" i="24"/>
  <c r="BE53" i="15" s="1"/>
  <c r="L98" i="24"/>
  <c r="AR86" i="15" s="1"/>
  <c r="P297" i="24"/>
  <c r="AV198" i="15" s="1"/>
  <c r="AA65" i="24"/>
  <c r="BG53" i="15" s="1"/>
  <c r="L269" i="24"/>
  <c r="AR170" i="15" s="1"/>
  <c r="L300" i="24"/>
  <c r="AR201" i="15" s="1"/>
  <c r="L78" i="24"/>
  <c r="AR66" i="15" s="1"/>
  <c r="L252" i="24"/>
  <c r="AR153" i="15" s="1"/>
  <c r="L305" i="24"/>
  <c r="AR206" i="15" s="1"/>
  <c r="L304" i="24"/>
  <c r="AR205" i="15" s="1"/>
  <c r="L245" i="24"/>
  <c r="AR146" i="15" s="1"/>
  <c r="V268" i="24"/>
  <c r="BB169" i="15" s="1"/>
  <c r="L306" i="24"/>
  <c r="AR207" i="15" s="1"/>
  <c r="I18" i="26"/>
  <c r="J87" i="18"/>
  <c r="AO5" i="18" s="1"/>
  <c r="I14" i="2"/>
  <c r="L239" i="24"/>
  <c r="AR140" i="15" s="1"/>
  <c r="G14" i="2"/>
  <c r="G18" i="26"/>
  <c r="D18" i="26"/>
  <c r="D14" i="2"/>
  <c r="H18" i="26"/>
  <c r="C16" i="26"/>
  <c r="C20" i="2"/>
  <c r="C21" i="2" s="1"/>
  <c r="E14" i="2"/>
  <c r="E18" i="26"/>
  <c r="K15" i="26"/>
  <c r="E16" i="26"/>
  <c r="E3" i="26"/>
  <c r="E5" i="26" s="1"/>
  <c r="E20" i="2"/>
  <c r="E21" i="2" s="1"/>
  <c r="C18" i="26"/>
  <c r="C14" i="2"/>
  <c r="G16" i="26"/>
  <c r="G3" i="26"/>
  <c r="G20" i="2"/>
  <c r="G21" i="2" s="1"/>
  <c r="I16" i="26"/>
  <c r="I20" i="2"/>
  <c r="I21" i="2" s="1"/>
  <c r="F14" i="2"/>
  <c r="F18" i="26"/>
  <c r="F16" i="26"/>
  <c r="F20" i="2"/>
  <c r="F21" i="2" s="1"/>
  <c r="D16" i="26"/>
  <c r="D20" i="2"/>
  <c r="D21" i="2" s="1"/>
  <c r="AD240" i="24"/>
  <c r="BJ141" i="15" s="1"/>
  <c r="U355" i="24"/>
  <c r="Z355" i="24"/>
  <c r="R65" i="24"/>
  <c r="AX53" i="15" s="1"/>
  <c r="T326" i="24"/>
  <c r="Y239" i="24"/>
  <c r="BE140" i="15" s="1"/>
  <c r="X181" i="24"/>
  <c r="O181" i="24"/>
  <c r="AC355" i="24"/>
  <c r="AC94" i="24"/>
  <c r="BI82" i="15" s="1"/>
  <c r="M94" i="24"/>
  <c r="AS82" i="15" s="1"/>
  <c r="W239" i="24"/>
  <c r="BC140" i="15" s="1"/>
  <c r="AB123" i="24"/>
  <c r="BH111" i="15" s="1"/>
  <c r="L210" i="24"/>
  <c r="K227" i="24"/>
  <c r="Y152" i="24"/>
  <c r="P123" i="24"/>
  <c r="AV111" i="15" s="1"/>
  <c r="AA181" i="24"/>
  <c r="W297" i="24"/>
  <c r="BC198" i="15" s="1"/>
  <c r="M152" i="24"/>
  <c r="L169" i="24"/>
  <c r="K28" i="16" s="1"/>
  <c r="AC297" i="24"/>
  <c r="BI198" i="15" s="1"/>
  <c r="T268" i="24"/>
  <c r="AZ169" i="15" s="1"/>
  <c r="N297" i="24"/>
  <c r="AT198" i="15" s="1"/>
  <c r="N326" i="24"/>
  <c r="M343" i="24"/>
  <c r="S181" i="24"/>
  <c r="AA326" i="24"/>
  <c r="Z210" i="24"/>
  <c r="AC152" i="24"/>
  <c r="AB210" i="24"/>
  <c r="L123" i="24"/>
  <c r="AR111" i="15" s="1"/>
  <c r="K140" i="24"/>
  <c r="V326" i="24"/>
  <c r="U123" i="24"/>
  <c r="BA111" i="15" s="1"/>
  <c r="U152" i="24"/>
  <c r="M181" i="24"/>
  <c r="L198" i="24"/>
  <c r="Q152" i="24"/>
  <c r="AE181" i="24"/>
  <c r="P355" i="24"/>
  <c r="N240" i="24"/>
  <c r="AT141" i="15" s="1"/>
  <c r="X94" i="24"/>
  <c r="BD82" i="15" s="1"/>
  <c r="AE268" i="24"/>
  <c r="BK169" i="15" s="1"/>
  <c r="AC181" i="24"/>
  <c r="Z123" i="24"/>
  <c r="BF111" i="15" s="1"/>
  <c r="U239" i="24"/>
  <c r="BA140" i="15" s="1"/>
  <c r="P210" i="24"/>
  <c r="L355" i="24"/>
  <c r="K372" i="24"/>
  <c r="J29" i="16" s="1"/>
  <c r="N65" i="24"/>
  <c r="AT53" i="15" s="1"/>
  <c r="V210" i="24"/>
  <c r="S94" i="24"/>
  <c r="AY82" i="15" s="1"/>
  <c r="V65" i="24"/>
  <c r="BB53" i="15" s="1"/>
  <c r="D11" i="26" l="1"/>
  <c r="D16" i="2" s="1"/>
  <c r="D17" i="2" s="1"/>
  <c r="F11" i="26"/>
  <c r="F16" i="2" s="1"/>
  <c r="F17" i="2" s="1"/>
  <c r="E11" i="26"/>
  <c r="E16" i="2" s="1"/>
  <c r="E17" i="2" s="1"/>
  <c r="I15" i="2"/>
  <c r="C11" i="26"/>
  <c r="C16" i="2" s="1"/>
  <c r="J30" i="16"/>
  <c r="F15" i="2"/>
  <c r="G15" i="2"/>
  <c r="J186" i="15"/>
  <c r="I31" i="15" s="1"/>
  <c r="J31" i="16"/>
  <c r="E15" i="2"/>
  <c r="D15" i="2"/>
  <c r="AQ70" i="15"/>
  <c r="C17" i="2"/>
  <c r="C15" i="2"/>
  <c r="J116" i="18"/>
  <c r="AO6" i="18" s="1"/>
  <c r="H15" i="2"/>
  <c r="G5" i="2"/>
  <c r="J68" i="2"/>
  <c r="G5" i="26" s="1"/>
  <c r="AQ99" i="15"/>
  <c r="AQ157" i="15"/>
  <c r="AR215" i="15"/>
  <c r="AR128" i="15"/>
  <c r="L55" i="2"/>
  <c r="I38" i="15"/>
  <c r="L97" i="2" s="1"/>
  <c r="I2" i="2"/>
  <c r="K256" i="24"/>
  <c r="K157" i="15" s="1"/>
  <c r="J30" i="15" s="1"/>
  <c r="H10" i="2"/>
  <c r="K69" i="2" s="1"/>
  <c r="M57" i="2"/>
  <c r="C9" i="26"/>
  <c r="C12" i="26" s="1"/>
  <c r="D9" i="26"/>
  <c r="I9" i="26"/>
  <c r="E9" i="26"/>
  <c r="K174" i="18"/>
  <c r="AP8" i="18" s="1"/>
  <c r="J40" i="15"/>
  <c r="I35" i="15"/>
  <c r="L54" i="2"/>
  <c r="K76" i="26"/>
  <c r="J3" i="26" s="1"/>
  <c r="M58" i="2"/>
  <c r="M47" i="26"/>
  <c r="K97" i="2"/>
  <c r="I10" i="2"/>
  <c r="L69" i="2" s="1"/>
  <c r="K128" i="15"/>
  <c r="J29" i="15" s="1"/>
  <c r="J37" i="15"/>
  <c r="K8" i="26"/>
  <c r="F9" i="26"/>
  <c r="F12" i="26" s="1"/>
  <c r="G9" i="26"/>
  <c r="G22" i="2" s="1"/>
  <c r="G23" i="2" s="1"/>
  <c r="H4" i="2"/>
  <c r="K68" i="2" s="1"/>
  <c r="H5" i="26" s="1"/>
  <c r="K96" i="2"/>
  <c r="H11" i="2"/>
  <c r="H3" i="2"/>
  <c r="I9" i="2"/>
  <c r="M305" i="24"/>
  <c r="AS206" i="15" s="1"/>
  <c r="X269" i="24"/>
  <c r="BD170" i="15" s="1"/>
  <c r="AA240" i="24"/>
  <c r="BG141" i="15" s="1"/>
  <c r="M129" i="24"/>
  <c r="AS117" i="15" s="1"/>
  <c r="AE66" i="24"/>
  <c r="BK54" i="15" s="1"/>
  <c r="AA269" i="24"/>
  <c r="BG170" i="15" s="1"/>
  <c r="N66" i="24"/>
  <c r="AT54" i="15" s="1"/>
  <c r="M97" i="24"/>
  <c r="AS85" i="15" s="1"/>
  <c r="M101" i="24"/>
  <c r="AS89" i="15" s="1"/>
  <c r="L94" i="24"/>
  <c r="AR82" i="15" s="1"/>
  <c r="K111" i="24"/>
  <c r="J36" i="15" s="1"/>
  <c r="N110" i="24"/>
  <c r="AT98" i="15" s="1"/>
  <c r="L70" i="24"/>
  <c r="AR58" i="15" s="1"/>
  <c r="AA66" i="24"/>
  <c r="BG54" i="15" s="1"/>
  <c r="M137" i="24"/>
  <c r="AS125" i="15" s="1"/>
  <c r="M131" i="24"/>
  <c r="AS119" i="15" s="1"/>
  <c r="M283" i="24"/>
  <c r="AS184" i="15" s="1"/>
  <c r="V240" i="24"/>
  <c r="BB141" i="15" s="1"/>
  <c r="AC95" i="24"/>
  <c r="BI83" i="15" s="1"/>
  <c r="AB298" i="24"/>
  <c r="BH199" i="15" s="1"/>
  <c r="L102" i="24"/>
  <c r="AR90" i="15" s="1"/>
  <c r="M298" i="24"/>
  <c r="AS199" i="15" s="1"/>
  <c r="L314" i="24"/>
  <c r="L215" i="15" s="1"/>
  <c r="T124" i="24"/>
  <c r="AZ112" i="15" s="1"/>
  <c r="W240" i="24"/>
  <c r="BC141" i="15" s="1"/>
  <c r="AB240" i="24"/>
  <c r="BH141" i="15" s="1"/>
  <c r="M76" i="24"/>
  <c r="AS64" i="15" s="1"/>
  <c r="O269" i="24"/>
  <c r="AU170" i="15" s="1"/>
  <c r="L281" i="24"/>
  <c r="L66" i="24"/>
  <c r="AR54" i="15" s="1"/>
  <c r="AR70" i="15" s="1"/>
  <c r="W270" i="24"/>
  <c r="BC171" i="15" s="1"/>
  <c r="AE95" i="24"/>
  <c r="BK83" i="15" s="1"/>
  <c r="W95" i="24"/>
  <c r="BC83" i="15" s="1"/>
  <c r="N277" i="24"/>
  <c r="AT178" i="15" s="1"/>
  <c r="M98" i="24"/>
  <c r="AS86" i="15" s="1"/>
  <c r="Z269" i="24"/>
  <c r="BF170" i="15" s="1"/>
  <c r="M80" i="24"/>
  <c r="AS68" i="15" s="1"/>
  <c r="M100" i="24"/>
  <c r="AS88" i="15" s="1"/>
  <c r="N309" i="24"/>
  <c r="AT210" i="15" s="1"/>
  <c r="M275" i="24"/>
  <c r="AS176" i="15" s="1"/>
  <c r="M269" i="24"/>
  <c r="AS170" i="15" s="1"/>
  <c r="N305" i="24"/>
  <c r="AT206" i="15" s="1"/>
  <c r="M74" i="24"/>
  <c r="AS62" i="15" s="1"/>
  <c r="T66" i="24"/>
  <c r="AZ54" i="15" s="1"/>
  <c r="N303" i="24"/>
  <c r="AT204" i="15" s="1"/>
  <c r="M70" i="24"/>
  <c r="AS58" i="15" s="1"/>
  <c r="Q95" i="24"/>
  <c r="AW83" i="15" s="1"/>
  <c r="K82" i="24"/>
  <c r="M271" i="24"/>
  <c r="AS172" i="15" s="1"/>
  <c r="Q269" i="24"/>
  <c r="AW170" i="15" s="1"/>
  <c r="U124" i="24"/>
  <c r="BA112" i="15" s="1"/>
  <c r="P95" i="24"/>
  <c r="AV83" i="15" s="1"/>
  <c r="M253" i="24"/>
  <c r="AS154" i="15" s="1"/>
  <c r="M99" i="24"/>
  <c r="AS87" i="15" s="1"/>
  <c r="W298" i="24"/>
  <c r="BC199" i="15" s="1"/>
  <c r="R298" i="24"/>
  <c r="AX199" i="15" s="1"/>
  <c r="Q299" i="24"/>
  <c r="AW200" i="15" s="1"/>
  <c r="M110" i="24"/>
  <c r="AS98" i="15" s="1"/>
  <c r="M135" i="24"/>
  <c r="AS123" i="15" s="1"/>
  <c r="R95" i="24"/>
  <c r="AX83" i="15" s="1"/>
  <c r="M303" i="24"/>
  <c r="AS204" i="15" s="1"/>
  <c r="M78" i="24"/>
  <c r="AS66" i="15" s="1"/>
  <c r="O124" i="24"/>
  <c r="AU112" i="15" s="1"/>
  <c r="M309" i="24"/>
  <c r="AS210" i="15" s="1"/>
  <c r="L68" i="24"/>
  <c r="AR56" i="15" s="1"/>
  <c r="AC240" i="24"/>
  <c r="BI141" i="15" s="1"/>
  <c r="AC66" i="24"/>
  <c r="BI54" i="15" s="1"/>
  <c r="N251" i="24"/>
  <c r="AT152" i="15" s="1"/>
  <c r="M281" i="24"/>
  <c r="AS182" i="15" s="1"/>
  <c r="M272" i="24"/>
  <c r="AS173" i="15" s="1"/>
  <c r="S298" i="24"/>
  <c r="AY199" i="15" s="1"/>
  <c r="J18" i="26"/>
  <c r="J32" i="15"/>
  <c r="L104" i="24"/>
  <c r="AR92" i="15" s="1"/>
  <c r="P124" i="24"/>
  <c r="AV112" i="15" s="1"/>
  <c r="M278" i="24"/>
  <c r="AS179" i="15" s="1"/>
  <c r="Z95" i="24"/>
  <c r="BF83" i="15" s="1"/>
  <c r="X95" i="24"/>
  <c r="BD83" i="15" s="1"/>
  <c r="Z124" i="24"/>
  <c r="BF112" i="15" s="1"/>
  <c r="M106" i="24"/>
  <c r="AS94" i="15" s="1"/>
  <c r="V95" i="24"/>
  <c r="BB83" i="15" s="1"/>
  <c r="M77" i="24"/>
  <c r="AS65" i="15" s="1"/>
  <c r="Y66" i="24"/>
  <c r="BE54" i="15" s="1"/>
  <c r="AD124" i="24"/>
  <c r="BJ112" i="15" s="1"/>
  <c r="X66" i="24"/>
  <c r="BD54" i="15" s="1"/>
  <c r="V66" i="24"/>
  <c r="BB54" i="15" s="1"/>
  <c r="S95" i="24"/>
  <c r="AY83" i="15" s="1"/>
  <c r="M104" i="24"/>
  <c r="AS92" i="15" s="1"/>
  <c r="Q66" i="24"/>
  <c r="AW54" i="15" s="1"/>
  <c r="N311" i="24"/>
  <c r="AT212" i="15" s="1"/>
  <c r="O240" i="24"/>
  <c r="AU141" i="15" s="1"/>
  <c r="M241" i="24"/>
  <c r="AS142" i="15" s="1"/>
  <c r="AD269" i="24"/>
  <c r="BJ170" i="15" s="1"/>
  <c r="AA298" i="24"/>
  <c r="BG199" i="15" s="1"/>
  <c r="P269" i="24"/>
  <c r="AV170" i="15" s="1"/>
  <c r="M128" i="24"/>
  <c r="AS116" i="15" s="1"/>
  <c r="M132" i="24"/>
  <c r="AS120" i="15" s="1"/>
  <c r="M136" i="24"/>
  <c r="AS124" i="15" s="1"/>
  <c r="M134" i="24"/>
  <c r="AS122" i="15" s="1"/>
  <c r="P240" i="24"/>
  <c r="AV141" i="15" s="1"/>
  <c r="M284" i="24"/>
  <c r="AS185" i="15" s="1"/>
  <c r="M66" i="24"/>
  <c r="AS54" i="15" s="1"/>
  <c r="M255" i="24"/>
  <c r="AS156" i="15" s="1"/>
  <c r="M251" i="24"/>
  <c r="AS152" i="15" s="1"/>
  <c r="X125" i="24"/>
  <c r="BD113" i="15" s="1"/>
  <c r="AB95" i="24"/>
  <c r="BH83" i="15" s="1"/>
  <c r="K285" i="24"/>
  <c r="W269" i="24"/>
  <c r="BC170" i="15" s="1"/>
  <c r="M301" i="24"/>
  <c r="AS202" i="15" s="1"/>
  <c r="AB66" i="24"/>
  <c r="BH54" i="15" s="1"/>
  <c r="P96" i="24"/>
  <c r="AV84" i="15" s="1"/>
  <c r="R124" i="24"/>
  <c r="AX112" i="15" s="1"/>
  <c r="Y125" i="24"/>
  <c r="BE113" i="15" s="1"/>
  <c r="M312" i="24"/>
  <c r="AS213" i="15" s="1"/>
  <c r="M274" i="24"/>
  <c r="AS175" i="15" s="1"/>
  <c r="M138" i="24"/>
  <c r="AS126" i="15" s="1"/>
  <c r="P66" i="24"/>
  <c r="AV54" i="15" s="1"/>
  <c r="AC298" i="24"/>
  <c r="BI199" i="15" s="1"/>
  <c r="Y269" i="24"/>
  <c r="BE170" i="15" s="1"/>
  <c r="Y298" i="24"/>
  <c r="BE199" i="15" s="1"/>
  <c r="M277" i="24"/>
  <c r="AS178" i="15" s="1"/>
  <c r="M279" i="24"/>
  <c r="AS180" i="15" s="1"/>
  <c r="O125" i="24"/>
  <c r="AU113" i="15" s="1"/>
  <c r="M245" i="24"/>
  <c r="AS146" i="15" s="1"/>
  <c r="M311" i="24"/>
  <c r="AS212" i="15" s="1"/>
  <c r="N269" i="24"/>
  <c r="AT170" i="15" s="1"/>
  <c r="M125" i="24"/>
  <c r="AS113" i="15" s="1"/>
  <c r="N298" i="24"/>
  <c r="AT199" i="15" s="1"/>
  <c r="M107" i="24"/>
  <c r="AS95" i="15" s="1"/>
  <c r="U240" i="24"/>
  <c r="BA141" i="15" s="1"/>
  <c r="M280" i="24"/>
  <c r="AS181" i="15" s="1"/>
  <c r="N109" i="24"/>
  <c r="AT97" i="15" s="1"/>
  <c r="M307" i="24"/>
  <c r="AS208" i="15" s="1"/>
  <c r="M246" i="24"/>
  <c r="AS147" i="15" s="1"/>
  <c r="M306" i="24"/>
  <c r="AS207" i="15" s="1"/>
  <c r="M79" i="24"/>
  <c r="AS67" i="15" s="1"/>
  <c r="M270" i="24"/>
  <c r="AS171" i="15" s="1"/>
  <c r="Q298" i="24"/>
  <c r="AW199" i="15" s="1"/>
  <c r="Z66" i="24"/>
  <c r="BF54" i="15" s="1"/>
  <c r="M127" i="24"/>
  <c r="AS115" i="15" s="1"/>
  <c r="U241" i="24"/>
  <c r="BA142" i="15" s="1"/>
  <c r="AB269" i="24"/>
  <c r="BH170" i="15" s="1"/>
  <c r="AE124" i="24"/>
  <c r="BK112" i="15" s="1"/>
  <c r="M300" i="24"/>
  <c r="AS201" i="15" s="1"/>
  <c r="M273" i="24"/>
  <c r="AS174" i="15" s="1"/>
  <c r="M75" i="24"/>
  <c r="AS63" i="15" s="1"/>
  <c r="S269" i="24"/>
  <c r="AY170" i="15" s="1"/>
  <c r="U298" i="24"/>
  <c r="BA199" i="15" s="1"/>
  <c r="L80" i="24"/>
  <c r="AR68" i="15" s="1"/>
  <c r="M130" i="24"/>
  <c r="AS118" i="15" s="1"/>
  <c r="M299" i="24"/>
  <c r="AS200" i="15" s="1"/>
  <c r="M68" i="24"/>
  <c r="AS56" i="15" s="1"/>
  <c r="M102" i="24"/>
  <c r="AS90" i="15" s="1"/>
  <c r="M139" i="24"/>
  <c r="AS127" i="15" s="1"/>
  <c r="J29" i="18"/>
  <c r="AO3" i="18" s="1"/>
  <c r="J70" i="15"/>
  <c r="I27" i="15" s="1"/>
  <c r="Z298" i="24"/>
  <c r="BF199" i="15" s="1"/>
  <c r="M96" i="24"/>
  <c r="AS84" i="15" s="1"/>
  <c r="R66" i="24"/>
  <c r="AX54" i="15" s="1"/>
  <c r="AC269" i="24"/>
  <c r="BI170" i="15" s="1"/>
  <c r="V96" i="24"/>
  <c r="BB84" i="15" s="1"/>
  <c r="Y240" i="24"/>
  <c r="BE141" i="15" s="1"/>
  <c r="U66" i="24"/>
  <c r="BA54" i="15" s="1"/>
  <c r="AD66" i="24"/>
  <c r="BJ54" i="15" s="1"/>
  <c r="M244" i="24"/>
  <c r="AS145" i="15" s="1"/>
  <c r="T241" i="24"/>
  <c r="AZ142" i="15" s="1"/>
  <c r="R240" i="24"/>
  <c r="AX141" i="15" s="1"/>
  <c r="J58" i="18"/>
  <c r="AO4" i="18" s="1"/>
  <c r="J99" i="15"/>
  <c r="I28" i="15" s="1"/>
  <c r="S124" i="24"/>
  <c r="AY112" i="15" s="1"/>
  <c r="L255" i="24"/>
  <c r="AR156" i="15" s="1"/>
  <c r="R241" i="24"/>
  <c r="AX142" i="15" s="1"/>
  <c r="M242" i="24"/>
  <c r="AS143" i="15" s="1"/>
  <c r="Y124" i="24"/>
  <c r="BE112" i="15" s="1"/>
  <c r="T298" i="24"/>
  <c r="AZ199" i="15" s="1"/>
  <c r="R269" i="24"/>
  <c r="AX170" i="15" s="1"/>
  <c r="M248" i="24"/>
  <c r="AS149" i="15" s="1"/>
  <c r="AA95" i="24"/>
  <c r="BG83" i="15" s="1"/>
  <c r="M243" i="24"/>
  <c r="AS144" i="15" s="1"/>
  <c r="AB124" i="24"/>
  <c r="BH112" i="15" s="1"/>
  <c r="L248" i="24"/>
  <c r="M72" i="24"/>
  <c r="AS60" i="15" s="1"/>
  <c r="M133" i="24"/>
  <c r="AS121" i="15" s="1"/>
  <c r="V298" i="24"/>
  <c r="BB199" i="15" s="1"/>
  <c r="M247" i="24"/>
  <c r="AS148" i="15" s="1"/>
  <c r="M252" i="24"/>
  <c r="AS153" i="15" s="1"/>
  <c r="T269" i="24"/>
  <c r="AZ170" i="15" s="1"/>
  <c r="M254" i="24"/>
  <c r="AS155" i="15" s="1"/>
  <c r="L110" i="24"/>
  <c r="AR98" i="15" s="1"/>
  <c r="M126" i="24"/>
  <c r="AS114" i="15" s="1"/>
  <c r="L72" i="24"/>
  <c r="AR60" i="15" s="1"/>
  <c r="AE269" i="24"/>
  <c r="BK170" i="15" s="1"/>
  <c r="K87" i="18"/>
  <c r="AP5" i="18" s="1"/>
  <c r="F22" i="2"/>
  <c r="F23" i="2" s="1"/>
  <c r="M240" i="24"/>
  <c r="AS141" i="15" s="1"/>
  <c r="L15" i="26"/>
  <c r="L2" i="26"/>
  <c r="D22" i="2"/>
  <c r="D23" i="2" s="1"/>
  <c r="J16" i="26"/>
  <c r="J20" i="2"/>
  <c r="J21" i="2" s="1"/>
  <c r="J14" i="2"/>
  <c r="E22" i="2"/>
  <c r="E23" i="2" s="1"/>
  <c r="W66" i="24"/>
  <c r="BC54" i="15" s="1"/>
  <c r="W211" i="24"/>
  <c r="M356" i="24"/>
  <c r="L372" i="24"/>
  <c r="K29" i="16" s="1"/>
  <c r="AD182" i="24"/>
  <c r="AE183" i="24" s="1"/>
  <c r="Y95" i="24"/>
  <c r="BE83" i="15" s="1"/>
  <c r="Q356" i="24"/>
  <c r="R153" i="24"/>
  <c r="V153" i="24"/>
  <c r="W327" i="24"/>
  <c r="AC211" i="24"/>
  <c r="AA211" i="24"/>
  <c r="T182" i="24"/>
  <c r="O298" i="24"/>
  <c r="AU199" i="15" s="1"/>
  <c r="AD298" i="24"/>
  <c r="BJ199" i="15" s="1"/>
  <c r="X298" i="24"/>
  <c r="BD199" i="15" s="1"/>
  <c r="Q124" i="24"/>
  <c r="AW112" i="15" s="1"/>
  <c r="M211" i="24"/>
  <c r="L227" i="24"/>
  <c r="X240" i="24"/>
  <c r="BD141" i="15" s="1"/>
  <c r="AD95" i="24"/>
  <c r="BJ83" i="15" s="1"/>
  <c r="P182" i="24"/>
  <c r="Z240" i="24"/>
  <c r="BF141" i="15" s="1"/>
  <c r="S66" i="24"/>
  <c r="AY54" i="15" s="1"/>
  <c r="V356" i="24"/>
  <c r="T95" i="24"/>
  <c r="AZ83" i="15" s="1"/>
  <c r="O66" i="24"/>
  <c r="AU54" i="15" s="1"/>
  <c r="Q211" i="24"/>
  <c r="AA124" i="24"/>
  <c r="BG112" i="15" s="1"/>
  <c r="O241" i="24"/>
  <c r="AU142" i="15" s="1"/>
  <c r="N182" i="24"/>
  <c r="M198" i="24"/>
  <c r="V124" i="24"/>
  <c r="BB112" i="15" s="1"/>
  <c r="M124" i="24"/>
  <c r="AS112" i="15" s="1"/>
  <c r="L140" i="24"/>
  <c r="AD153" i="24"/>
  <c r="AB327" i="24"/>
  <c r="O327" i="24"/>
  <c r="N343" i="24"/>
  <c r="U269" i="24"/>
  <c r="BA170" i="15" s="1"/>
  <c r="N153" i="24"/>
  <c r="M169" i="24"/>
  <c r="L28" i="16" s="1"/>
  <c r="AB182" i="24"/>
  <c r="Z153" i="24"/>
  <c r="AC124" i="24"/>
  <c r="BI112" i="15" s="1"/>
  <c r="N95" i="24"/>
  <c r="AT83" i="15" s="1"/>
  <c r="AD356" i="24"/>
  <c r="Y182" i="24"/>
  <c r="U327" i="24"/>
  <c r="AA356" i="24"/>
  <c r="AE241" i="24"/>
  <c r="BK142" i="15" s="1"/>
  <c r="H11" i="26" l="1"/>
  <c r="E12" i="26"/>
  <c r="D12" i="26"/>
  <c r="K30" i="16"/>
  <c r="K31" i="16" s="1"/>
  <c r="J15" i="2"/>
  <c r="G11" i="26"/>
  <c r="G16" i="2" s="1"/>
  <c r="G17" i="2" s="1"/>
  <c r="C22" i="2"/>
  <c r="C23" i="2" s="1"/>
  <c r="K116" i="18"/>
  <c r="AP6" i="18" s="1"/>
  <c r="AR99" i="15"/>
  <c r="AS215" i="15"/>
  <c r="M55" i="2"/>
  <c r="I22" i="2"/>
  <c r="I23" i="2" s="1"/>
  <c r="AS128" i="15"/>
  <c r="L256" i="24"/>
  <c r="AR149" i="15"/>
  <c r="AR157" i="15" s="1"/>
  <c r="L285" i="24"/>
  <c r="K8" i="2" s="1"/>
  <c r="AR182" i="15"/>
  <c r="AR186" i="15" s="1"/>
  <c r="I11" i="2"/>
  <c r="L157" i="15"/>
  <c r="K30" i="15" s="1"/>
  <c r="J38" i="15"/>
  <c r="K186" i="15"/>
  <c r="J31" i="15" s="1"/>
  <c r="G12" i="26"/>
  <c r="H5" i="2"/>
  <c r="N57" i="2"/>
  <c r="I4" i="2"/>
  <c r="L68" i="2" s="1"/>
  <c r="I5" i="26" s="1"/>
  <c r="L8" i="26"/>
  <c r="L128" i="15"/>
  <c r="K29" i="15" s="1"/>
  <c r="K37" i="15"/>
  <c r="L96" i="2"/>
  <c r="L174" i="18"/>
  <c r="AQ8" i="18" s="1"/>
  <c r="K40" i="15"/>
  <c r="L76" i="26"/>
  <c r="K3" i="26" s="1"/>
  <c r="N58" i="2"/>
  <c r="J9" i="26"/>
  <c r="J35" i="15"/>
  <c r="M54" i="2"/>
  <c r="N47" i="26"/>
  <c r="M2" i="26" s="1"/>
  <c r="K38" i="15"/>
  <c r="N55" i="2"/>
  <c r="J2" i="2"/>
  <c r="K145" i="18"/>
  <c r="AP7" i="18" s="1"/>
  <c r="J10" i="2" s="1"/>
  <c r="M69" i="2" s="1"/>
  <c r="J39" i="15"/>
  <c r="M314" i="24"/>
  <c r="M215" i="15" s="1"/>
  <c r="J9" i="2"/>
  <c r="I3" i="2"/>
  <c r="O110" i="24"/>
  <c r="AU98" i="15" s="1"/>
  <c r="O299" i="24"/>
  <c r="AU200" i="15" s="1"/>
  <c r="N280" i="24"/>
  <c r="AT181" i="15" s="1"/>
  <c r="AC96" i="24"/>
  <c r="BI84" i="15" s="1"/>
  <c r="N133" i="24"/>
  <c r="AT121" i="15" s="1"/>
  <c r="AE270" i="24"/>
  <c r="BK171" i="15" s="1"/>
  <c r="T96" i="24"/>
  <c r="AZ84" i="15" s="1"/>
  <c r="Z67" i="24"/>
  <c r="BF55" i="15" s="1"/>
  <c r="AA125" i="24"/>
  <c r="BG113" i="15" s="1"/>
  <c r="Q125" i="24"/>
  <c r="AW113" i="15" s="1"/>
  <c r="N282" i="24"/>
  <c r="AT183" i="15" s="1"/>
  <c r="P125" i="24"/>
  <c r="AV113" i="15" s="1"/>
  <c r="R300" i="24"/>
  <c r="AX201" i="15" s="1"/>
  <c r="V125" i="24"/>
  <c r="BB113" i="15" s="1"/>
  <c r="N253" i="24"/>
  <c r="AT154" i="15" s="1"/>
  <c r="W299" i="24"/>
  <c r="BC200" i="15" s="1"/>
  <c r="N73" i="24"/>
  <c r="AT61" i="15" s="1"/>
  <c r="AC125" i="24"/>
  <c r="BI113" i="15" s="1"/>
  <c r="AB96" i="24"/>
  <c r="BH84" i="15" s="1"/>
  <c r="S270" i="24"/>
  <c r="AY171" i="15" s="1"/>
  <c r="Z125" i="24"/>
  <c r="BF113" i="15" s="1"/>
  <c r="S242" i="24"/>
  <c r="AY143" i="15" s="1"/>
  <c r="T125" i="24"/>
  <c r="AZ113" i="15" s="1"/>
  <c r="S241" i="24"/>
  <c r="AY142" i="15" s="1"/>
  <c r="N245" i="24"/>
  <c r="AT146" i="15" s="1"/>
  <c r="V67" i="24"/>
  <c r="BB55" i="15" s="1"/>
  <c r="W97" i="24"/>
  <c r="BC85" i="15" s="1"/>
  <c r="S67" i="24"/>
  <c r="AY55" i="15" s="1"/>
  <c r="AA299" i="24"/>
  <c r="BG200" i="15" s="1"/>
  <c r="N300" i="24"/>
  <c r="AT201" i="15" s="1"/>
  <c r="M81" i="24"/>
  <c r="AS69" i="15" s="1"/>
  <c r="T270" i="24"/>
  <c r="AZ171" i="15" s="1"/>
  <c r="N274" i="24"/>
  <c r="AT175" i="15" s="1"/>
  <c r="V242" i="24"/>
  <c r="BB143" i="15" s="1"/>
  <c r="AA67" i="24"/>
  <c r="BG55" i="15" s="1"/>
  <c r="N271" i="24"/>
  <c r="AT172" i="15" s="1"/>
  <c r="N307" i="24"/>
  <c r="AT208" i="15" s="1"/>
  <c r="N308" i="24"/>
  <c r="AT209" i="15" s="1"/>
  <c r="N139" i="24"/>
  <c r="AT127" i="15" s="1"/>
  <c r="N275" i="24"/>
  <c r="AT176" i="15" s="1"/>
  <c r="Z126" i="24"/>
  <c r="BF114" i="15" s="1"/>
  <c r="Q97" i="24"/>
  <c r="AW85" i="15" s="1"/>
  <c r="N302" i="24"/>
  <c r="AT203" i="15" s="1"/>
  <c r="Y126" i="24"/>
  <c r="BE114" i="15" s="1"/>
  <c r="N135" i="24"/>
  <c r="AT123" i="15" s="1"/>
  <c r="J8" i="2"/>
  <c r="T299" i="24"/>
  <c r="AZ200" i="15" s="1"/>
  <c r="R270" i="24"/>
  <c r="AX171" i="15" s="1"/>
  <c r="K29" i="18"/>
  <c r="AP3" i="18" s="1"/>
  <c r="K70" i="15"/>
  <c r="J27" i="15" s="1"/>
  <c r="N71" i="24"/>
  <c r="AT59" i="15" s="1"/>
  <c r="U67" i="24"/>
  <c r="BA55" i="15" s="1"/>
  <c r="O306" i="24"/>
  <c r="AU207" i="15" s="1"/>
  <c r="N270" i="24"/>
  <c r="AT171" i="15" s="1"/>
  <c r="O310" i="24"/>
  <c r="AU211" i="15" s="1"/>
  <c r="N81" i="24"/>
  <c r="AT69" i="15" s="1"/>
  <c r="N99" i="24"/>
  <c r="AT87" i="15" s="1"/>
  <c r="X96" i="24"/>
  <c r="BD84" i="15" s="1"/>
  <c r="X271" i="24"/>
  <c r="BD172" i="15" s="1"/>
  <c r="M282" i="24"/>
  <c r="N77" i="24"/>
  <c r="AT65" i="15" s="1"/>
  <c r="X241" i="24"/>
  <c r="BD142" i="15" s="1"/>
  <c r="N284" i="24"/>
  <c r="AT185" i="15" s="1"/>
  <c r="N138" i="24"/>
  <c r="AT126" i="15" s="1"/>
  <c r="M71" i="24"/>
  <c r="AS59" i="15" s="1"/>
  <c r="O67" i="24"/>
  <c r="AU55" i="15" s="1"/>
  <c r="AB241" i="24"/>
  <c r="BH142" i="15" s="1"/>
  <c r="N306" i="24"/>
  <c r="AT207" i="15" s="1"/>
  <c r="N246" i="24"/>
  <c r="AT147" i="15" s="1"/>
  <c r="AD67" i="24"/>
  <c r="BJ55" i="15" s="1"/>
  <c r="N136" i="24"/>
  <c r="AT124" i="15" s="1"/>
  <c r="N254" i="24"/>
  <c r="AT155" i="15" s="1"/>
  <c r="AC299" i="24"/>
  <c r="BI200" i="15" s="1"/>
  <c r="M95" i="24"/>
  <c r="AS83" i="15" s="1"/>
  <c r="L111" i="24"/>
  <c r="K36" i="15" s="1"/>
  <c r="N248" i="24"/>
  <c r="AT149" i="15" s="1"/>
  <c r="N134" i="24"/>
  <c r="AT122" i="15" s="1"/>
  <c r="M249" i="24"/>
  <c r="N244" i="24"/>
  <c r="AT145" i="15" s="1"/>
  <c r="N249" i="24"/>
  <c r="AT150" i="15" s="1"/>
  <c r="U299" i="24"/>
  <c r="BA200" i="15" s="1"/>
  <c r="N243" i="24"/>
  <c r="AT144" i="15" s="1"/>
  <c r="U242" i="24"/>
  <c r="BA143" i="15" s="1"/>
  <c r="AE67" i="24"/>
  <c r="BK55" i="15" s="1"/>
  <c r="Z241" i="24"/>
  <c r="BF142" i="15" s="1"/>
  <c r="AD270" i="24"/>
  <c r="BJ171" i="15" s="1"/>
  <c r="N97" i="24"/>
  <c r="AT85" i="15" s="1"/>
  <c r="N69" i="24"/>
  <c r="AT57" i="15" s="1"/>
  <c r="N131" i="24"/>
  <c r="AT119" i="15" s="1"/>
  <c r="V299" i="24"/>
  <c r="BB200" i="15" s="1"/>
  <c r="N76" i="24"/>
  <c r="AT64" i="15" s="1"/>
  <c r="N301" i="24"/>
  <c r="AT202" i="15" s="1"/>
  <c r="AC270" i="24"/>
  <c r="BI171" i="15" s="1"/>
  <c r="N128" i="24"/>
  <c r="AT116" i="15" s="1"/>
  <c r="R299" i="24"/>
  <c r="AX200" i="15" s="1"/>
  <c r="N80" i="24"/>
  <c r="AT68" i="15" s="1"/>
  <c r="N247" i="24"/>
  <c r="AT148" i="15" s="1"/>
  <c r="N312" i="24"/>
  <c r="AT213" i="15" s="1"/>
  <c r="S125" i="24"/>
  <c r="AY113" i="15" s="1"/>
  <c r="AC67" i="24"/>
  <c r="BI55" i="15" s="1"/>
  <c r="X270" i="24"/>
  <c r="BD171" i="15" s="1"/>
  <c r="O312" i="24"/>
  <c r="AU213" i="15" s="1"/>
  <c r="N273" i="24"/>
  <c r="AT174" i="15" s="1"/>
  <c r="N272" i="24"/>
  <c r="AT173" i="15" s="1"/>
  <c r="R96" i="24"/>
  <c r="AX84" i="15" s="1"/>
  <c r="O304" i="24"/>
  <c r="AU205" i="15" s="1"/>
  <c r="N75" i="24"/>
  <c r="AT63" i="15" s="1"/>
  <c r="N101" i="24"/>
  <c r="AT89" i="15" s="1"/>
  <c r="AA270" i="24"/>
  <c r="BG171" i="15" s="1"/>
  <c r="O278" i="24"/>
  <c r="AU179" i="15" s="1"/>
  <c r="M67" i="24"/>
  <c r="AS55" i="15" s="1"/>
  <c r="L82" i="24"/>
  <c r="P270" i="24"/>
  <c r="AV171" i="15" s="1"/>
  <c r="AC241" i="24"/>
  <c r="BI142" i="15" s="1"/>
  <c r="U125" i="24"/>
  <c r="BA113" i="15" s="1"/>
  <c r="W241" i="24"/>
  <c r="BC142" i="15" s="1"/>
  <c r="N132" i="24"/>
  <c r="AT120" i="15" s="1"/>
  <c r="AB67" i="24"/>
  <c r="BH55" i="15" s="1"/>
  <c r="N98" i="24"/>
  <c r="AT86" i="15" s="1"/>
  <c r="AB270" i="24"/>
  <c r="BH171" i="15" s="1"/>
  <c r="N130" i="24"/>
  <c r="AT118" i="15" s="1"/>
  <c r="Y270" i="24"/>
  <c r="BE171" i="15" s="1"/>
  <c r="M73" i="24"/>
  <c r="AS61" i="15" s="1"/>
  <c r="U270" i="24"/>
  <c r="BA171" i="15" s="1"/>
  <c r="V241" i="24"/>
  <c r="BB142" i="15" s="1"/>
  <c r="O270" i="24"/>
  <c r="AU171" i="15" s="1"/>
  <c r="Z299" i="24"/>
  <c r="BF200" i="15" s="1"/>
  <c r="AD299" i="24"/>
  <c r="BJ200" i="15" s="1"/>
  <c r="N313" i="24"/>
  <c r="AT214" i="15" s="1"/>
  <c r="Q270" i="24"/>
  <c r="AW171" i="15" s="1"/>
  <c r="P241" i="24"/>
  <c r="AV142" i="15" s="1"/>
  <c r="R67" i="24"/>
  <c r="AX55" i="15" s="1"/>
  <c r="Y67" i="24"/>
  <c r="BE55" i="15" s="1"/>
  <c r="W96" i="24"/>
  <c r="BC84" i="15" s="1"/>
  <c r="AA96" i="24"/>
  <c r="BG84" i="15" s="1"/>
  <c r="M69" i="24"/>
  <c r="AS57" i="15" s="1"/>
  <c r="N304" i="24"/>
  <c r="AT205" i="15" s="1"/>
  <c r="X299" i="24"/>
  <c r="BD200" i="15" s="1"/>
  <c r="N276" i="24"/>
  <c r="AT177" i="15" s="1"/>
  <c r="N299" i="24"/>
  <c r="AT200" i="15" s="1"/>
  <c r="K18" i="26"/>
  <c r="K32" i="15"/>
  <c r="N127" i="24"/>
  <c r="AT115" i="15" s="1"/>
  <c r="N255" i="24"/>
  <c r="AT156" i="15" s="1"/>
  <c r="N103" i="24"/>
  <c r="AT91" i="15" s="1"/>
  <c r="N281" i="24"/>
  <c r="AT182" i="15" s="1"/>
  <c r="N108" i="24"/>
  <c r="AT96" i="15" s="1"/>
  <c r="N126" i="24"/>
  <c r="AT114" i="15" s="1"/>
  <c r="P126" i="24"/>
  <c r="AV114" i="15" s="1"/>
  <c r="N278" i="24"/>
  <c r="AT179" i="15" s="1"/>
  <c r="Z270" i="24"/>
  <c r="BF171" i="15" s="1"/>
  <c r="Q67" i="24"/>
  <c r="AW55" i="15" s="1"/>
  <c r="N252" i="24"/>
  <c r="AT153" i="15" s="1"/>
  <c r="N67" i="24"/>
  <c r="AT55" i="15" s="1"/>
  <c r="Q241" i="24"/>
  <c r="AW142" i="15" s="1"/>
  <c r="N137" i="24"/>
  <c r="AT125" i="15" s="1"/>
  <c r="N129" i="24"/>
  <c r="AT117" i="15" s="1"/>
  <c r="AB299" i="24"/>
  <c r="BH200" i="15" s="1"/>
  <c r="N242" i="24"/>
  <c r="AT143" i="15" s="1"/>
  <c r="N105" i="24"/>
  <c r="AT93" i="15" s="1"/>
  <c r="W67" i="24"/>
  <c r="BC55" i="15" s="1"/>
  <c r="AE125" i="24"/>
  <c r="BK113" i="15" s="1"/>
  <c r="N78" i="24"/>
  <c r="AT66" i="15" s="1"/>
  <c r="N107" i="24"/>
  <c r="AT95" i="15" s="1"/>
  <c r="Y96" i="24"/>
  <c r="BE84" i="15" s="1"/>
  <c r="N279" i="24"/>
  <c r="AT180" i="15" s="1"/>
  <c r="M105" i="24"/>
  <c r="AS93" i="15" s="1"/>
  <c r="O252" i="24"/>
  <c r="AU153" i="15" s="1"/>
  <c r="AD241" i="24"/>
  <c r="BJ142" i="15" s="1"/>
  <c r="N310" i="24"/>
  <c r="AT211" i="15" s="1"/>
  <c r="N79" i="24"/>
  <c r="AT67" i="15" s="1"/>
  <c r="S96" i="24"/>
  <c r="AY84" i="15" s="1"/>
  <c r="S299" i="24"/>
  <c r="AY200" i="15" s="1"/>
  <c r="N100" i="24"/>
  <c r="AT88" i="15" s="1"/>
  <c r="Q96" i="24"/>
  <c r="AW84" i="15" s="1"/>
  <c r="M103" i="24"/>
  <c r="AS91" i="15" s="1"/>
  <c r="AD96" i="24"/>
  <c r="BJ84" i="15" s="1"/>
  <c r="K58" i="18"/>
  <c r="AP4" i="18" s="1"/>
  <c r="K99" i="15"/>
  <c r="J28" i="15" s="1"/>
  <c r="N102" i="24"/>
  <c r="AT90" i="15" s="1"/>
  <c r="L87" i="18"/>
  <c r="AQ5" i="18" s="1"/>
  <c r="K14" i="2"/>
  <c r="L116" i="18"/>
  <c r="AQ6" i="18" s="1"/>
  <c r="N241" i="24"/>
  <c r="AT142" i="15" s="1"/>
  <c r="K16" i="26"/>
  <c r="K20" i="2"/>
  <c r="K21" i="2" s="1"/>
  <c r="M15" i="26"/>
  <c r="V328" i="24"/>
  <c r="AE357" i="24"/>
  <c r="AD125" i="24"/>
  <c r="BJ113" i="15" s="1"/>
  <c r="AC183" i="24"/>
  <c r="V270" i="24"/>
  <c r="BB171" i="15" s="1"/>
  <c r="AC328" i="24"/>
  <c r="N125" i="24"/>
  <c r="AT113" i="15" s="1"/>
  <c r="M140" i="24"/>
  <c r="L37" i="15" s="1"/>
  <c r="O183" i="24"/>
  <c r="N198" i="24"/>
  <c r="R357" i="24"/>
  <c r="AB125" i="24"/>
  <c r="BH113" i="15" s="1"/>
  <c r="P67" i="24"/>
  <c r="AV55" i="15" s="1"/>
  <c r="W357" i="24"/>
  <c r="AA241" i="24"/>
  <c r="BG142" i="15" s="1"/>
  <c r="AE96" i="24"/>
  <c r="BK84" i="15" s="1"/>
  <c r="N212" i="24"/>
  <c r="M227" i="24"/>
  <c r="Y299" i="24"/>
  <c r="BE200" i="15" s="1"/>
  <c r="P299" i="24"/>
  <c r="AV200" i="15" s="1"/>
  <c r="AB212" i="24"/>
  <c r="X328" i="24"/>
  <c r="S154" i="24"/>
  <c r="X212" i="24"/>
  <c r="AB357" i="24"/>
  <c r="Z183" i="24"/>
  <c r="O96" i="24"/>
  <c r="AU84" i="15" s="1"/>
  <c r="AA154" i="24"/>
  <c r="O154" i="24"/>
  <c r="N169" i="24"/>
  <c r="M28" i="16" s="1"/>
  <c r="P328" i="24"/>
  <c r="O343" i="24"/>
  <c r="AE154" i="24"/>
  <c r="W125" i="24"/>
  <c r="BC113" i="15" s="1"/>
  <c r="P242" i="24"/>
  <c r="AV143" i="15" s="1"/>
  <c r="Z96" i="24"/>
  <c r="BF84" i="15" s="1"/>
  <c r="R212" i="24"/>
  <c r="U96" i="24"/>
  <c r="BA84" i="15" s="1"/>
  <c r="T67" i="24"/>
  <c r="AZ55" i="15" s="1"/>
  <c r="Q183" i="24"/>
  <c r="Y241" i="24"/>
  <c r="BE142" i="15" s="1"/>
  <c r="R125" i="24"/>
  <c r="AX113" i="15" s="1"/>
  <c r="AE299" i="24"/>
  <c r="BK200" i="15" s="1"/>
  <c r="U183" i="24"/>
  <c r="AD212" i="24"/>
  <c r="W154" i="24"/>
  <c r="N357" i="24"/>
  <c r="M372" i="24"/>
  <c r="L29" i="16" s="1"/>
  <c r="X67" i="24"/>
  <c r="BD55" i="15" s="1"/>
  <c r="I11" i="26" l="1"/>
  <c r="H16" i="2"/>
  <c r="H17" i="2" s="1"/>
  <c r="H12" i="26"/>
  <c r="K15" i="2"/>
  <c r="AS99" i="15"/>
  <c r="L30" i="16"/>
  <c r="L31" i="16" s="1"/>
  <c r="L186" i="15"/>
  <c r="K31" i="15" s="1"/>
  <c r="N28" i="16"/>
  <c r="L145" i="18"/>
  <c r="AQ7" i="18" s="1"/>
  <c r="AT128" i="15"/>
  <c r="M256" i="24"/>
  <c r="M157" i="15" s="1"/>
  <c r="L30" i="15" s="1"/>
  <c r="AS150" i="15"/>
  <c r="AS157" i="15" s="1"/>
  <c r="K39" i="15"/>
  <c r="AT215" i="15"/>
  <c r="AS70" i="15"/>
  <c r="M285" i="24"/>
  <c r="M186" i="15" s="1"/>
  <c r="L31" i="15" s="1"/>
  <c r="AS183" i="15"/>
  <c r="AS186" i="15" s="1"/>
  <c r="J22" i="2"/>
  <c r="J23" i="2" s="1"/>
  <c r="N97" i="2"/>
  <c r="M97" i="2"/>
  <c r="K2" i="2"/>
  <c r="J11" i="2"/>
  <c r="I5" i="2"/>
  <c r="O57" i="2"/>
  <c r="K9" i="2"/>
  <c r="M145" i="18"/>
  <c r="AR7" i="18" s="1"/>
  <c r="K9" i="26"/>
  <c r="K10" i="2"/>
  <c r="N69" i="2" s="1"/>
  <c r="N314" i="24"/>
  <c r="N215" i="15" s="1"/>
  <c r="M8" i="26"/>
  <c r="O47" i="26"/>
  <c r="N2" i="26" s="1"/>
  <c r="L38" i="15"/>
  <c r="M96" i="2"/>
  <c r="M76" i="26"/>
  <c r="L3" i="26" s="1"/>
  <c r="O58" i="2"/>
  <c r="K35" i="15"/>
  <c r="N54" i="2"/>
  <c r="J4" i="2"/>
  <c r="M68" i="2" s="1"/>
  <c r="J5" i="26" s="1"/>
  <c r="M174" i="18"/>
  <c r="AR8" i="18" s="1"/>
  <c r="L40" i="15"/>
  <c r="J3" i="2"/>
  <c r="R97" i="24"/>
  <c r="AX85" i="15" s="1"/>
  <c r="O305" i="24"/>
  <c r="AU206" i="15" s="1"/>
  <c r="P271" i="24"/>
  <c r="AV172" i="15" s="1"/>
  <c r="V126" i="24"/>
  <c r="BB114" i="15" s="1"/>
  <c r="O102" i="24"/>
  <c r="AU90" i="15" s="1"/>
  <c r="P313" i="24"/>
  <c r="AV214" i="15" s="1"/>
  <c r="V300" i="24"/>
  <c r="BB201" i="15" s="1"/>
  <c r="T97" i="24"/>
  <c r="AZ85" i="15" s="1"/>
  <c r="O311" i="24"/>
  <c r="AU212" i="15" s="1"/>
  <c r="P253" i="24"/>
  <c r="AV154" i="15" s="1"/>
  <c r="O280" i="24"/>
  <c r="AU181" i="15" s="1"/>
  <c r="O108" i="24"/>
  <c r="AU96" i="15" s="1"/>
  <c r="O106" i="24"/>
  <c r="AU94" i="15" s="1"/>
  <c r="AC300" i="24"/>
  <c r="BI201" i="15" s="1"/>
  <c r="O138" i="24"/>
  <c r="AU126" i="15" s="1"/>
  <c r="O68" i="24"/>
  <c r="AU56" i="15" s="1"/>
  <c r="R68" i="24"/>
  <c r="AX56" i="15" s="1"/>
  <c r="O279" i="24"/>
  <c r="AU180" i="15" s="1"/>
  <c r="O127" i="24"/>
  <c r="AU115" i="15" s="1"/>
  <c r="O282" i="24"/>
  <c r="AU183" i="15" s="1"/>
  <c r="AE300" i="24"/>
  <c r="BK201" i="15" s="1"/>
  <c r="N74" i="24"/>
  <c r="AT62" i="15" s="1"/>
  <c r="O131" i="24"/>
  <c r="AU119" i="15" s="1"/>
  <c r="O99" i="24"/>
  <c r="AU87" i="15" s="1"/>
  <c r="N68" i="24"/>
  <c r="AT56" i="15" s="1"/>
  <c r="M82" i="24"/>
  <c r="AB271" i="24"/>
  <c r="BH172" i="15" s="1"/>
  <c r="O76" i="24"/>
  <c r="AU64" i="15" s="1"/>
  <c r="S97" i="24"/>
  <c r="AY85" i="15" s="1"/>
  <c r="O274" i="24"/>
  <c r="AU175" i="15" s="1"/>
  <c r="Y271" i="24"/>
  <c r="BE172" i="15" s="1"/>
  <c r="T126" i="24"/>
  <c r="AZ114" i="15" s="1"/>
  <c r="O248" i="24"/>
  <c r="AU149" i="15" s="1"/>
  <c r="S300" i="24"/>
  <c r="AY201" i="15" s="1"/>
  <c r="AD271" i="24"/>
  <c r="BJ172" i="15" s="1"/>
  <c r="O77" i="24"/>
  <c r="AU65" i="15" s="1"/>
  <c r="O132" i="24"/>
  <c r="AU120" i="15" s="1"/>
  <c r="O98" i="24"/>
  <c r="AU86" i="15" s="1"/>
  <c r="AA242" i="24"/>
  <c r="BG143" i="15" s="1"/>
  <c r="V243" i="24"/>
  <c r="BB144" i="15" s="1"/>
  <c r="O135" i="24"/>
  <c r="AU123" i="15" s="1"/>
  <c r="L58" i="18"/>
  <c r="AQ4" i="18" s="1"/>
  <c r="L99" i="15"/>
  <c r="K28" i="15" s="1"/>
  <c r="AD300" i="24"/>
  <c r="BJ201" i="15" s="1"/>
  <c r="O137" i="24"/>
  <c r="AU125" i="15" s="1"/>
  <c r="O247" i="24"/>
  <c r="AU148" i="15" s="1"/>
  <c r="Y242" i="24"/>
  <c r="BE143" i="15" s="1"/>
  <c r="N283" i="24"/>
  <c r="Y97" i="24"/>
  <c r="BE85" i="15" s="1"/>
  <c r="O271" i="24"/>
  <c r="AU172" i="15" s="1"/>
  <c r="V68" i="24"/>
  <c r="BB56" i="15" s="1"/>
  <c r="O136" i="24"/>
  <c r="AU124" i="15" s="1"/>
  <c r="O303" i="24"/>
  <c r="AU204" i="15" s="1"/>
  <c r="AA127" i="24"/>
  <c r="BG115" i="15" s="1"/>
  <c r="O308" i="24"/>
  <c r="AU209" i="15" s="1"/>
  <c r="AB68" i="24"/>
  <c r="BH56" i="15" s="1"/>
  <c r="O275" i="24"/>
  <c r="AU176" i="15" s="1"/>
  <c r="T68" i="24"/>
  <c r="AZ56" i="15" s="1"/>
  <c r="W68" i="24"/>
  <c r="BC56" i="15" s="1"/>
  <c r="T242" i="24"/>
  <c r="AZ143" i="15" s="1"/>
  <c r="T243" i="24"/>
  <c r="AZ144" i="15" s="1"/>
  <c r="T271" i="24"/>
  <c r="AZ172" i="15" s="1"/>
  <c r="AD126" i="24"/>
  <c r="BJ114" i="15" s="1"/>
  <c r="X300" i="24"/>
  <c r="BD201" i="15" s="1"/>
  <c r="S301" i="24"/>
  <c r="AY202" i="15" s="1"/>
  <c r="O283" i="24"/>
  <c r="AU184" i="15" s="1"/>
  <c r="AB126" i="24"/>
  <c r="BH114" i="15" s="1"/>
  <c r="U97" i="24"/>
  <c r="BA85" i="15" s="1"/>
  <c r="AD97" i="24"/>
  <c r="BJ85" i="15" s="1"/>
  <c r="P300" i="24"/>
  <c r="AV201" i="15" s="1"/>
  <c r="AE97" i="24"/>
  <c r="BK85" i="15" s="1"/>
  <c r="AB97" i="24"/>
  <c r="BH85" i="15" s="1"/>
  <c r="Q242" i="24"/>
  <c r="AW143" i="15" s="1"/>
  <c r="Q271" i="24"/>
  <c r="AW172" i="15" s="1"/>
  <c r="AB242" i="24"/>
  <c r="BH143" i="15" s="1"/>
  <c r="M87" i="18"/>
  <c r="AR5" i="18" s="1"/>
  <c r="M128" i="15"/>
  <c r="L29" i="15" s="1"/>
  <c r="O80" i="24"/>
  <c r="AU68" i="15" s="1"/>
  <c r="AE242" i="24"/>
  <c r="BK143" i="15" s="1"/>
  <c r="N106" i="24"/>
  <c r="AT94" i="15" s="1"/>
  <c r="Z97" i="24"/>
  <c r="BF85" i="15" s="1"/>
  <c r="O79" i="24"/>
  <c r="AU67" i="15" s="1"/>
  <c r="X68" i="24"/>
  <c r="BD56" i="15" s="1"/>
  <c r="O243" i="24"/>
  <c r="AU144" i="15" s="1"/>
  <c r="O130" i="24"/>
  <c r="AU118" i="15" s="1"/>
  <c r="R242" i="24"/>
  <c r="AX143" i="15" s="1"/>
  <c r="O253" i="24"/>
  <c r="AU154" i="15" s="1"/>
  <c r="AA271" i="24"/>
  <c r="BG172" i="15" s="1"/>
  <c r="Q127" i="24"/>
  <c r="AW115" i="15" s="1"/>
  <c r="O109" i="24"/>
  <c r="AU97" i="15" s="1"/>
  <c r="O104" i="24"/>
  <c r="AU92" i="15" s="1"/>
  <c r="O128" i="24"/>
  <c r="AU116" i="15" s="1"/>
  <c r="AA300" i="24"/>
  <c r="BG201" i="15" s="1"/>
  <c r="V271" i="24"/>
  <c r="BB172" i="15" s="1"/>
  <c r="Z271" i="24"/>
  <c r="BF172" i="15" s="1"/>
  <c r="AC271" i="24"/>
  <c r="BI172" i="15" s="1"/>
  <c r="L29" i="18"/>
  <c r="AQ3" i="18" s="1"/>
  <c r="L70" i="15"/>
  <c r="K27" i="15" s="1"/>
  <c r="P279" i="24"/>
  <c r="AV180" i="15" s="1"/>
  <c r="P305" i="24"/>
  <c r="AV206" i="15" s="1"/>
  <c r="O273" i="24"/>
  <c r="AU174" i="15" s="1"/>
  <c r="AD68" i="24"/>
  <c r="BJ56" i="15" s="1"/>
  <c r="O81" i="24"/>
  <c r="AU69" i="15" s="1"/>
  <c r="O129" i="24"/>
  <c r="AU117" i="15" s="1"/>
  <c r="O302" i="24"/>
  <c r="AU203" i="15" s="1"/>
  <c r="W300" i="24"/>
  <c r="BC201" i="15" s="1"/>
  <c r="O70" i="24"/>
  <c r="AU58" i="15" s="1"/>
  <c r="AE271" i="24"/>
  <c r="BK172" i="15" s="1"/>
  <c r="N96" i="24"/>
  <c r="AT84" i="15" s="1"/>
  <c r="M111" i="24"/>
  <c r="L36" i="15" s="1"/>
  <c r="O255" i="24"/>
  <c r="AU156" i="15" s="1"/>
  <c r="AE68" i="24"/>
  <c r="BK56" i="15" s="1"/>
  <c r="N72" i="24"/>
  <c r="AT60" i="15" s="1"/>
  <c r="O78" i="24"/>
  <c r="AU66" i="15" s="1"/>
  <c r="Y272" i="24"/>
  <c r="BE173" i="15" s="1"/>
  <c r="O100" i="24"/>
  <c r="AU88" i="15" s="1"/>
  <c r="P311" i="24"/>
  <c r="AV212" i="15" s="1"/>
  <c r="P307" i="24"/>
  <c r="AV208" i="15" s="1"/>
  <c r="O72" i="24"/>
  <c r="AU60" i="15" s="1"/>
  <c r="Z127" i="24"/>
  <c r="BF115" i="15" s="1"/>
  <c r="R98" i="24"/>
  <c r="AX86" i="15" s="1"/>
  <c r="O276" i="24"/>
  <c r="AU177" i="15" s="1"/>
  <c r="O309" i="24"/>
  <c r="AU210" i="15" s="1"/>
  <c r="O272" i="24"/>
  <c r="AU173" i="15" s="1"/>
  <c r="W243" i="24"/>
  <c r="BC144" i="15" s="1"/>
  <c r="AB300" i="24"/>
  <c r="BH201" i="15" s="1"/>
  <c r="X98" i="24"/>
  <c r="BD86" i="15" s="1"/>
  <c r="O246" i="24"/>
  <c r="AU147" i="15" s="1"/>
  <c r="U126" i="24"/>
  <c r="BA114" i="15" s="1"/>
  <c r="AA126" i="24"/>
  <c r="BG114" i="15" s="1"/>
  <c r="AC97" i="24"/>
  <c r="BI85" i="15" s="1"/>
  <c r="O74" i="24"/>
  <c r="AU62" i="15" s="1"/>
  <c r="O254" i="24"/>
  <c r="AU155" i="15" s="1"/>
  <c r="W126" i="24"/>
  <c r="BC114" i="15" s="1"/>
  <c r="Q126" i="24"/>
  <c r="AW114" i="15" s="1"/>
  <c r="R126" i="24"/>
  <c r="AX114" i="15" s="1"/>
  <c r="AA68" i="24"/>
  <c r="BG56" i="15" s="1"/>
  <c r="O281" i="24"/>
  <c r="AU182" i="15" s="1"/>
  <c r="O103" i="24"/>
  <c r="AU91" i="15" s="1"/>
  <c r="T300" i="24"/>
  <c r="AZ201" i="15" s="1"/>
  <c r="O277" i="24"/>
  <c r="AU178" i="15" s="1"/>
  <c r="Z68" i="24"/>
  <c r="BF56" i="15" s="1"/>
  <c r="O133" i="24"/>
  <c r="AU121" i="15" s="1"/>
  <c r="O313" i="24"/>
  <c r="AU214" i="15" s="1"/>
  <c r="O245" i="24"/>
  <c r="AU146" i="15" s="1"/>
  <c r="AC242" i="24"/>
  <c r="BI143" i="15" s="1"/>
  <c r="U300" i="24"/>
  <c r="BA201" i="15" s="1"/>
  <c r="L18" i="26"/>
  <c r="L32" i="15"/>
  <c r="N104" i="24"/>
  <c r="AT92" i="15" s="1"/>
  <c r="O101" i="24"/>
  <c r="AU89" i="15" s="1"/>
  <c r="O300" i="24"/>
  <c r="AU201" i="15" s="1"/>
  <c r="Y300" i="24"/>
  <c r="BE201" i="15" s="1"/>
  <c r="N70" i="24"/>
  <c r="AT58" i="15" s="1"/>
  <c r="X97" i="24"/>
  <c r="BD85" i="15" s="1"/>
  <c r="S68" i="24"/>
  <c r="AY56" i="15" s="1"/>
  <c r="R271" i="24"/>
  <c r="AX172" i="15" s="1"/>
  <c r="W242" i="24"/>
  <c r="BC143" i="15" s="1"/>
  <c r="AC68" i="24"/>
  <c r="BI56" i="15" s="1"/>
  <c r="X242" i="24"/>
  <c r="BD143" i="15" s="1"/>
  <c r="AD242" i="24"/>
  <c r="BJ143" i="15" s="1"/>
  <c r="O244" i="24"/>
  <c r="AU145" i="15" s="1"/>
  <c r="O250" i="24"/>
  <c r="AU151" i="15" s="1"/>
  <c r="N250" i="24"/>
  <c r="AT151" i="15" s="1"/>
  <c r="AT157" i="15" s="1"/>
  <c r="O249" i="24"/>
  <c r="AU150" i="15" s="1"/>
  <c r="O307" i="24"/>
  <c r="AU208" i="15" s="1"/>
  <c r="P68" i="24"/>
  <c r="AV56" i="15" s="1"/>
  <c r="O139" i="24"/>
  <c r="AU127" i="15" s="1"/>
  <c r="S271" i="24"/>
  <c r="AY172" i="15" s="1"/>
  <c r="U271" i="24"/>
  <c r="BA172" i="15" s="1"/>
  <c r="O301" i="24"/>
  <c r="AU202" i="15" s="1"/>
  <c r="O134" i="24"/>
  <c r="AU122" i="15" s="1"/>
  <c r="K22" i="2"/>
  <c r="K23" i="2" s="1"/>
  <c r="L14" i="2"/>
  <c r="M116" i="18"/>
  <c r="AR6" i="18" s="1"/>
  <c r="O242" i="24"/>
  <c r="AU143" i="15" s="1"/>
  <c r="L16" i="26"/>
  <c r="L20" i="2"/>
  <c r="L21" i="2" s="1"/>
  <c r="N15" i="26"/>
  <c r="O358" i="24"/>
  <c r="N372" i="24"/>
  <c r="M29" i="16" s="1"/>
  <c r="AE213" i="24"/>
  <c r="Z242" i="24"/>
  <c r="BF143" i="15" s="1"/>
  <c r="U68" i="24"/>
  <c r="BA56" i="15" s="1"/>
  <c r="S213" i="24"/>
  <c r="Q243" i="24"/>
  <c r="AW144" i="15" s="1"/>
  <c r="P155" i="24"/>
  <c r="O169" i="24"/>
  <c r="P97" i="24"/>
  <c r="AV85" i="15" s="1"/>
  <c r="AC358" i="24"/>
  <c r="T155" i="24"/>
  <c r="AC213" i="24"/>
  <c r="Z300" i="24"/>
  <c r="BF201" i="15" s="1"/>
  <c r="X358" i="24"/>
  <c r="AC126" i="24"/>
  <c r="BI114" i="15" s="1"/>
  <c r="P184" i="24"/>
  <c r="O198" i="24"/>
  <c r="AD329" i="24"/>
  <c r="AD184" i="24"/>
  <c r="AE185" i="24" s="1"/>
  <c r="Y68" i="24"/>
  <c r="BE56" i="15" s="1"/>
  <c r="X155" i="24"/>
  <c r="V184" i="24"/>
  <c r="S126" i="24"/>
  <c r="AY114" i="15" s="1"/>
  <c r="R184" i="24"/>
  <c r="V97" i="24"/>
  <c r="BB85" i="15" s="1"/>
  <c r="AA97" i="24"/>
  <c r="BG85" i="15" s="1"/>
  <c r="X126" i="24"/>
  <c r="BD114" i="15" s="1"/>
  <c r="Q329" i="24"/>
  <c r="P343" i="24"/>
  <c r="AB155" i="24"/>
  <c r="AA184" i="24"/>
  <c r="Y213" i="24"/>
  <c r="Y329" i="24"/>
  <c r="Q300" i="24"/>
  <c r="AW201" i="15" s="1"/>
  <c r="O213" i="24"/>
  <c r="N227" i="24"/>
  <c r="Q68" i="24"/>
  <c r="AW56" i="15" s="1"/>
  <c r="S358" i="24"/>
  <c r="O126" i="24"/>
  <c r="AU114" i="15" s="1"/>
  <c r="N140" i="24"/>
  <c r="M37" i="15" s="1"/>
  <c r="W271" i="24"/>
  <c r="BC172" i="15" s="1"/>
  <c r="AE126" i="24"/>
  <c r="BK114" i="15" s="1"/>
  <c r="W329" i="24"/>
  <c r="J11" i="26" l="1"/>
  <c r="M30" i="16"/>
  <c r="I16" i="2"/>
  <c r="I17" i="2" s="1"/>
  <c r="I12" i="26"/>
  <c r="M31" i="16"/>
  <c r="L15" i="2"/>
  <c r="AT70" i="15"/>
  <c r="O55" i="2"/>
  <c r="L8" i="2"/>
  <c r="L39" i="15"/>
  <c r="O97" i="2" s="1"/>
  <c r="AT99" i="15"/>
  <c r="AU128" i="15"/>
  <c r="AU215" i="15"/>
  <c r="N285" i="24"/>
  <c r="N145" i="18" s="1"/>
  <c r="AS7" i="18" s="1"/>
  <c r="AT184" i="15"/>
  <c r="AT186" i="15" s="1"/>
  <c r="L2" i="2"/>
  <c r="N96" i="2"/>
  <c r="AC243" i="24"/>
  <c r="BI144" i="15" s="1"/>
  <c r="K11" i="2"/>
  <c r="J5" i="2"/>
  <c r="P57" i="2"/>
  <c r="N8" i="26"/>
  <c r="P47" i="26"/>
  <c r="O2" i="26" s="1"/>
  <c r="N76" i="26"/>
  <c r="M3" i="26" s="1"/>
  <c r="P58" i="2"/>
  <c r="L35" i="15"/>
  <c r="O54" i="2"/>
  <c r="L10" i="2"/>
  <c r="O69" i="2" s="1"/>
  <c r="L9" i="26"/>
  <c r="K4" i="2"/>
  <c r="N68" i="2" s="1"/>
  <c r="K5" i="26" s="1"/>
  <c r="N82" i="24"/>
  <c r="N70" i="15" s="1"/>
  <c r="M27" i="15" s="1"/>
  <c r="N174" i="18"/>
  <c r="AS8" i="18" s="1"/>
  <c r="M40" i="15"/>
  <c r="K3" i="2"/>
  <c r="L9" i="2"/>
  <c r="X243" i="24"/>
  <c r="BD144" i="15" s="1"/>
  <c r="AD243" i="24"/>
  <c r="BJ144" i="15" s="1"/>
  <c r="AA69" i="24"/>
  <c r="BG57" i="15" s="1"/>
  <c r="R127" i="24"/>
  <c r="AX115" i="15" s="1"/>
  <c r="Y99" i="24"/>
  <c r="BE87" i="15" s="1"/>
  <c r="S99" i="24"/>
  <c r="AY87" i="15" s="1"/>
  <c r="Q280" i="24"/>
  <c r="AW181" i="15" s="1"/>
  <c r="W272" i="24"/>
  <c r="BC173" i="15" s="1"/>
  <c r="R272" i="24"/>
  <c r="AX173" i="15" s="1"/>
  <c r="Q301" i="24"/>
  <c r="AW202" i="15" s="1"/>
  <c r="P284" i="24"/>
  <c r="AV185" i="15" s="1"/>
  <c r="U243" i="24"/>
  <c r="BA144" i="15" s="1"/>
  <c r="AC69" i="24"/>
  <c r="BI57" i="15" s="1"/>
  <c r="Z243" i="24"/>
  <c r="BF144" i="15" s="1"/>
  <c r="N87" i="18"/>
  <c r="AS5" i="18" s="1"/>
  <c r="N128" i="15"/>
  <c r="M29" i="15" s="1"/>
  <c r="P308" i="24"/>
  <c r="AV209" i="15" s="1"/>
  <c r="O251" i="24"/>
  <c r="P245" i="24"/>
  <c r="AV146" i="15" s="1"/>
  <c r="S272" i="24"/>
  <c r="AY173" i="15" s="1"/>
  <c r="Y98" i="24"/>
  <c r="BE86" i="15" s="1"/>
  <c r="Z301" i="24"/>
  <c r="BF202" i="15" s="1"/>
  <c r="Q312" i="24"/>
  <c r="AW213" i="15" s="1"/>
  <c r="P105" i="24"/>
  <c r="AV93" i="15" s="1"/>
  <c r="R128" i="24"/>
  <c r="AX116" i="15" s="1"/>
  <c r="P254" i="24"/>
  <c r="AV155" i="15" s="1"/>
  <c r="P131" i="24"/>
  <c r="AV119" i="15" s="1"/>
  <c r="Y69" i="24"/>
  <c r="BE57" i="15" s="1"/>
  <c r="AA98" i="24"/>
  <c r="BG86" i="15" s="1"/>
  <c r="P304" i="24"/>
  <c r="AV205" i="15" s="1"/>
  <c r="W69" i="24"/>
  <c r="BC57" i="15" s="1"/>
  <c r="M29" i="18"/>
  <c r="AR3" i="18" s="1"/>
  <c r="M70" i="15"/>
  <c r="L27" i="15" s="1"/>
  <c r="P100" i="24"/>
  <c r="AV88" i="15" s="1"/>
  <c r="O75" i="24"/>
  <c r="AU63" i="15" s="1"/>
  <c r="P107" i="24"/>
  <c r="AV95" i="15" s="1"/>
  <c r="P281" i="24"/>
  <c r="AV182" i="15" s="1"/>
  <c r="W127" i="24"/>
  <c r="BC115" i="15" s="1"/>
  <c r="P302" i="24"/>
  <c r="AV203" i="15" s="1"/>
  <c r="U301" i="24"/>
  <c r="BA202" i="15" s="1"/>
  <c r="AB69" i="24"/>
  <c r="BH57" i="15" s="1"/>
  <c r="P255" i="24"/>
  <c r="AV156" i="15" s="1"/>
  <c r="AD98" i="24"/>
  <c r="BJ86" i="15" s="1"/>
  <c r="V127" i="24"/>
  <c r="BB115" i="15" s="1"/>
  <c r="X244" i="24"/>
  <c r="BD145" i="15" s="1"/>
  <c r="P73" i="24"/>
  <c r="AV61" i="15" s="1"/>
  <c r="Z273" i="24"/>
  <c r="BF174" i="15" s="1"/>
  <c r="O97" i="24"/>
  <c r="AU85" i="15" s="1"/>
  <c r="N111" i="24"/>
  <c r="M36" i="15" s="1"/>
  <c r="P71" i="24"/>
  <c r="AV59" i="15" s="1"/>
  <c r="P303" i="24"/>
  <c r="AV204" i="15" s="1"/>
  <c r="P274" i="24"/>
  <c r="AV175" i="15" s="1"/>
  <c r="AD272" i="24"/>
  <c r="BJ173" i="15" s="1"/>
  <c r="P99" i="24"/>
  <c r="AV87" i="15" s="1"/>
  <c r="U127" i="24"/>
  <c r="BA115" i="15" s="1"/>
  <c r="P283" i="24"/>
  <c r="AV184" i="15" s="1"/>
  <c r="P306" i="24"/>
  <c r="AV207" i="15" s="1"/>
  <c r="P135" i="24"/>
  <c r="AV123" i="15" s="1"/>
  <c r="T272" i="24"/>
  <c r="AZ173" i="15" s="1"/>
  <c r="Q69" i="24"/>
  <c r="AW57" i="15" s="1"/>
  <c r="P250" i="24"/>
  <c r="AV151" i="15" s="1"/>
  <c r="P251" i="24"/>
  <c r="AV152" i="15" s="1"/>
  <c r="T69" i="24"/>
  <c r="AZ57" i="15" s="1"/>
  <c r="O71" i="24"/>
  <c r="AU59" i="15" s="1"/>
  <c r="P301" i="24"/>
  <c r="AV202" i="15" s="1"/>
  <c r="O314" i="24"/>
  <c r="O215" i="15" s="1"/>
  <c r="O105" i="24"/>
  <c r="AU93" i="15" s="1"/>
  <c r="P134" i="24"/>
  <c r="AV122" i="15" s="1"/>
  <c r="P282" i="24"/>
  <c r="AV183" i="15" s="1"/>
  <c r="O73" i="24"/>
  <c r="AU61" i="15" s="1"/>
  <c r="P129" i="24"/>
  <c r="AV117" i="15" s="1"/>
  <c r="P110" i="24"/>
  <c r="AV98" i="15" s="1"/>
  <c r="AB272" i="24"/>
  <c r="BH173" i="15" s="1"/>
  <c r="S243" i="24"/>
  <c r="AY144" i="15" s="1"/>
  <c r="P244" i="24"/>
  <c r="AV145" i="15" s="1"/>
  <c r="P80" i="24"/>
  <c r="AV68" i="15" s="1"/>
  <c r="O107" i="24"/>
  <c r="AU95" i="15" s="1"/>
  <c r="P81" i="24"/>
  <c r="AV69" i="15" s="1"/>
  <c r="P309" i="24"/>
  <c r="AV210" i="15" s="1"/>
  <c r="AB128" i="24"/>
  <c r="BH116" i="15" s="1"/>
  <c r="P137" i="24"/>
  <c r="AV125" i="15" s="1"/>
  <c r="P272" i="24"/>
  <c r="AV173" i="15" s="1"/>
  <c r="O69" i="24"/>
  <c r="AU57" i="15" s="1"/>
  <c r="P132" i="24"/>
  <c r="AV120" i="15" s="1"/>
  <c r="P69" i="24"/>
  <c r="AV57" i="15" s="1"/>
  <c r="AD301" i="24"/>
  <c r="BJ202" i="15" s="1"/>
  <c r="P109" i="24"/>
  <c r="AV97" i="15" s="1"/>
  <c r="Q254" i="24"/>
  <c r="AW155" i="15" s="1"/>
  <c r="U98" i="24"/>
  <c r="BA86" i="15" s="1"/>
  <c r="W301" i="24"/>
  <c r="BC202" i="15" s="1"/>
  <c r="P103" i="24"/>
  <c r="AV91" i="15" s="1"/>
  <c r="Y243" i="24"/>
  <c r="BE144" i="15" s="1"/>
  <c r="P310" i="24"/>
  <c r="AV211" i="15" s="1"/>
  <c r="AC98" i="24"/>
  <c r="BI86" i="15" s="1"/>
  <c r="V98" i="24"/>
  <c r="BB86" i="15" s="1"/>
  <c r="Y301" i="24"/>
  <c r="BE202" i="15" s="1"/>
  <c r="U272" i="24"/>
  <c r="BA173" i="15" s="1"/>
  <c r="U69" i="24"/>
  <c r="BA57" i="15" s="1"/>
  <c r="Z98" i="24"/>
  <c r="BF86" i="15" s="1"/>
  <c r="P138" i="24"/>
  <c r="AV126" i="15" s="1"/>
  <c r="W244" i="24"/>
  <c r="BC145" i="15" s="1"/>
  <c r="P78" i="24"/>
  <c r="AV66" i="15" s="1"/>
  <c r="T301" i="24"/>
  <c r="AZ202" i="15" s="1"/>
  <c r="P275" i="24"/>
  <c r="AV176" i="15" s="1"/>
  <c r="P77" i="24"/>
  <c r="AV65" i="15" s="1"/>
  <c r="P280" i="24"/>
  <c r="AV181" i="15" s="1"/>
  <c r="M18" i="26"/>
  <c r="M32" i="15"/>
  <c r="N256" i="24"/>
  <c r="N116" i="18" s="1"/>
  <c r="AS6" i="18" s="1"/>
  <c r="V272" i="24"/>
  <c r="BB173" i="15" s="1"/>
  <c r="AE243" i="24"/>
  <c r="BK144" i="15" s="1"/>
  <c r="AD69" i="24"/>
  <c r="BJ57" i="15" s="1"/>
  <c r="P102" i="24"/>
  <c r="AV90" i="15" s="1"/>
  <c r="V301" i="24"/>
  <c r="BB202" i="15" s="1"/>
  <c r="P246" i="24"/>
  <c r="AV147" i="15" s="1"/>
  <c r="P278" i="24"/>
  <c r="AV179" i="15" s="1"/>
  <c r="P104" i="24"/>
  <c r="AV92" i="15" s="1"/>
  <c r="S127" i="24"/>
  <c r="AY115" i="15" s="1"/>
  <c r="X127" i="24"/>
  <c r="BD115" i="15" s="1"/>
  <c r="P75" i="24"/>
  <c r="AV63" i="15" s="1"/>
  <c r="AB127" i="24"/>
  <c r="BH115" i="15" s="1"/>
  <c r="P247" i="24"/>
  <c r="AV148" i="15" s="1"/>
  <c r="AC301" i="24"/>
  <c r="BI202" i="15" s="1"/>
  <c r="P273" i="24"/>
  <c r="AV174" i="15" s="1"/>
  <c r="P277" i="24"/>
  <c r="AV178" i="15" s="1"/>
  <c r="AA128" i="24"/>
  <c r="BG116" i="15" s="1"/>
  <c r="Q308" i="24"/>
  <c r="AW209" i="15" s="1"/>
  <c r="P101" i="24"/>
  <c r="AV89" i="15" s="1"/>
  <c r="P79" i="24"/>
  <c r="AV67" i="15" s="1"/>
  <c r="M58" i="18"/>
  <c r="AR4" i="18" s="1"/>
  <c r="M99" i="15"/>
  <c r="L28" i="15" s="1"/>
  <c r="X301" i="24"/>
  <c r="BD202" i="15" s="1"/>
  <c r="P130" i="24"/>
  <c r="AV118" i="15" s="1"/>
  <c r="AE69" i="24"/>
  <c r="BK57" i="15" s="1"/>
  <c r="Q306" i="24"/>
  <c r="AW207" i="15" s="1"/>
  <c r="AA272" i="24"/>
  <c r="BG173" i="15" s="1"/>
  <c r="AB301" i="24"/>
  <c r="BH202" i="15" s="1"/>
  <c r="R243" i="24"/>
  <c r="AX144" i="15" s="1"/>
  <c r="AE98" i="24"/>
  <c r="BK86" i="15" s="1"/>
  <c r="AC127" i="24"/>
  <c r="BI115" i="15" s="1"/>
  <c r="T302" i="24"/>
  <c r="AZ203" i="15" s="1"/>
  <c r="AE127" i="24"/>
  <c r="BK115" i="15" s="1"/>
  <c r="U244" i="24"/>
  <c r="BA145" i="15" s="1"/>
  <c r="X69" i="24"/>
  <c r="BD57" i="15" s="1"/>
  <c r="P276" i="24"/>
  <c r="AV177" i="15" s="1"/>
  <c r="O284" i="24"/>
  <c r="AU185" i="15" s="1"/>
  <c r="AU186" i="15" s="1"/>
  <c r="P248" i="24"/>
  <c r="AV149" i="15" s="1"/>
  <c r="AE301" i="24"/>
  <c r="BK202" i="15" s="1"/>
  <c r="P136" i="24"/>
  <c r="AV124" i="15" s="1"/>
  <c r="AB243" i="24"/>
  <c r="BH144" i="15" s="1"/>
  <c r="P133" i="24"/>
  <c r="AV121" i="15" s="1"/>
  <c r="AE272" i="24"/>
  <c r="BK173" i="15" s="1"/>
  <c r="P249" i="24"/>
  <c r="AV150" i="15" s="1"/>
  <c r="Z272" i="24"/>
  <c r="BF173" i="15" s="1"/>
  <c r="T98" i="24"/>
  <c r="AZ86" i="15" s="1"/>
  <c r="AC272" i="24"/>
  <c r="BI173" i="15" s="1"/>
  <c r="P128" i="24"/>
  <c r="AV116" i="15" s="1"/>
  <c r="S69" i="24"/>
  <c r="AY57" i="15" s="1"/>
  <c r="P139" i="24"/>
  <c r="AV127" i="15" s="1"/>
  <c r="P312" i="24"/>
  <c r="AV213" i="15" s="1"/>
  <c r="Q272" i="24"/>
  <c r="AW173" i="15" s="1"/>
  <c r="S98" i="24"/>
  <c r="AY86" i="15" s="1"/>
  <c r="P243" i="24"/>
  <c r="AV144" i="15" s="1"/>
  <c r="M14" i="2"/>
  <c r="M16" i="26"/>
  <c r="M20" i="2"/>
  <c r="M21" i="2" s="1"/>
  <c r="O15" i="26"/>
  <c r="AE330" i="24"/>
  <c r="AD127" i="24"/>
  <c r="BJ115" i="15" s="1"/>
  <c r="AA301" i="24"/>
  <c r="BG202" i="15" s="1"/>
  <c r="U156" i="24"/>
  <c r="Q98" i="24"/>
  <c r="AW86" i="15" s="1"/>
  <c r="R244" i="24"/>
  <c r="AX145" i="15" s="1"/>
  <c r="V69" i="24"/>
  <c r="BB57" i="15" s="1"/>
  <c r="X330" i="24"/>
  <c r="X272" i="24"/>
  <c r="BD173" i="15" s="1"/>
  <c r="T359" i="24"/>
  <c r="R301" i="24"/>
  <c r="AX202" i="15" s="1"/>
  <c r="Z214" i="24"/>
  <c r="AC156" i="24"/>
  <c r="Y127" i="24"/>
  <c r="BE115" i="15" s="1"/>
  <c r="W98" i="24"/>
  <c r="BC86" i="15" s="1"/>
  <c r="T127" i="24"/>
  <c r="AZ115" i="15" s="1"/>
  <c r="Y156" i="24"/>
  <c r="Q185" i="24"/>
  <c r="P198" i="24"/>
  <c r="Y359" i="24"/>
  <c r="AD214" i="24"/>
  <c r="AD359" i="24"/>
  <c r="Q156" i="24"/>
  <c r="P169" i="24"/>
  <c r="O28" i="16" s="1"/>
  <c r="T214" i="24"/>
  <c r="AA243" i="24"/>
  <c r="BG144" i="15" s="1"/>
  <c r="P127" i="24"/>
  <c r="AV115" i="15" s="1"/>
  <c r="O140" i="24"/>
  <c r="R69" i="24"/>
  <c r="AX57" i="15" s="1"/>
  <c r="P214" i="24"/>
  <c r="O227" i="24"/>
  <c r="Z330" i="24"/>
  <c r="AB185" i="24"/>
  <c r="R330" i="24"/>
  <c r="Q343" i="24"/>
  <c r="AB98" i="24"/>
  <c r="BH86" i="15" s="1"/>
  <c r="S185" i="24"/>
  <c r="W185" i="24"/>
  <c r="Z69" i="24"/>
  <c r="BF57" i="15" s="1"/>
  <c r="P359" i="24"/>
  <c r="O372" i="24"/>
  <c r="N29" i="16" s="1"/>
  <c r="N30" i="16" l="1"/>
  <c r="K11" i="26"/>
  <c r="AD244" i="24"/>
  <c r="BJ145" i="15" s="1"/>
  <c r="J16" i="2"/>
  <c r="J17" i="2" s="1"/>
  <c r="J12" i="26"/>
  <c r="N31" i="16"/>
  <c r="M15" i="2"/>
  <c r="AV128" i="15"/>
  <c r="AU70" i="15"/>
  <c r="M39" i="15"/>
  <c r="N186" i="15"/>
  <c r="M31" i="15" s="1"/>
  <c r="AV215" i="15"/>
  <c r="O256" i="24"/>
  <c r="N38" i="15" s="1"/>
  <c r="AU152" i="15"/>
  <c r="AU157" i="15" s="1"/>
  <c r="AU99" i="15"/>
  <c r="N29" i="18"/>
  <c r="AS3" i="18" s="1"/>
  <c r="AV186" i="15"/>
  <c r="N157" i="15"/>
  <c r="M30" i="15" s="1"/>
  <c r="L22" i="2"/>
  <c r="L23" i="2" s="1"/>
  <c r="O82" i="24"/>
  <c r="N35" i="15" s="1"/>
  <c r="Q57" i="2"/>
  <c r="L11" i="2"/>
  <c r="L3" i="2"/>
  <c r="K5" i="2"/>
  <c r="M2" i="2"/>
  <c r="L4" i="2"/>
  <c r="O68" i="2" s="1"/>
  <c r="L5" i="26" s="1"/>
  <c r="O76" i="26"/>
  <c r="Q58" i="2"/>
  <c r="O128" i="15"/>
  <c r="N29" i="15" s="1"/>
  <c r="N37" i="15"/>
  <c r="M35" i="15"/>
  <c r="P54" i="2"/>
  <c r="Q47" i="26"/>
  <c r="P2" i="26" s="1"/>
  <c r="M9" i="26"/>
  <c r="M8" i="2"/>
  <c r="M38" i="15"/>
  <c r="P55" i="2"/>
  <c r="O8" i="26"/>
  <c r="M10" i="2"/>
  <c r="P69" i="2" s="1"/>
  <c r="O174" i="18"/>
  <c r="AT8" i="18" s="1"/>
  <c r="N40" i="15"/>
  <c r="O96" i="2"/>
  <c r="M9" i="2"/>
  <c r="T70" i="24"/>
  <c r="AZ58" i="15" s="1"/>
  <c r="AD273" i="24"/>
  <c r="BJ174" i="15" s="1"/>
  <c r="AA273" i="24"/>
  <c r="BG174" i="15" s="1"/>
  <c r="AC244" i="24"/>
  <c r="BI145" i="15" s="1"/>
  <c r="S244" i="24"/>
  <c r="AY145" i="15" s="1"/>
  <c r="Y302" i="24"/>
  <c r="BE203" i="15" s="1"/>
  <c r="Q278" i="24"/>
  <c r="AW179" i="15" s="1"/>
  <c r="Q105" i="24"/>
  <c r="AW93" i="15" s="1"/>
  <c r="R255" i="24"/>
  <c r="AX156" i="15" s="1"/>
  <c r="Q283" i="24"/>
  <c r="AW184" i="15" s="1"/>
  <c r="Q307" i="24"/>
  <c r="AW208" i="15" s="1"/>
  <c r="AE273" i="24"/>
  <c r="BK174" i="15" s="1"/>
  <c r="Q303" i="24"/>
  <c r="AW204" i="15" s="1"/>
  <c r="Q108" i="24"/>
  <c r="AW96" i="15" s="1"/>
  <c r="X70" i="24"/>
  <c r="BD58" i="15" s="1"/>
  <c r="S129" i="24"/>
  <c r="AY117" i="15" s="1"/>
  <c r="Q309" i="24"/>
  <c r="AW210" i="15" s="1"/>
  <c r="N18" i="26"/>
  <c r="N32" i="15"/>
  <c r="Q313" i="24"/>
  <c r="AW214" i="15" s="1"/>
  <c r="R309" i="24"/>
  <c r="AX210" i="15" s="1"/>
  <c r="W273" i="24"/>
  <c r="BC174" i="15" s="1"/>
  <c r="Q281" i="24"/>
  <c r="AW182" i="15" s="1"/>
  <c r="Q276" i="24"/>
  <c r="AW177" i="15" s="1"/>
  <c r="Q79" i="24"/>
  <c r="AW67" i="15" s="1"/>
  <c r="V70" i="24"/>
  <c r="BB58" i="15" s="1"/>
  <c r="Z302" i="24"/>
  <c r="BF203" i="15" s="1"/>
  <c r="AD99" i="24"/>
  <c r="BJ87" i="15" s="1"/>
  <c r="Q70" i="24"/>
  <c r="AW58" i="15" s="1"/>
  <c r="P70" i="24"/>
  <c r="AV58" i="15" s="1"/>
  <c r="Q310" i="24"/>
  <c r="AW211" i="15" s="1"/>
  <c r="P108" i="24"/>
  <c r="AV96" i="15" s="1"/>
  <c r="Q245" i="24"/>
  <c r="AW146" i="15" s="1"/>
  <c r="AC273" i="24"/>
  <c r="BI174" i="15" s="1"/>
  <c r="Q130" i="24"/>
  <c r="AW118" i="15" s="1"/>
  <c r="Q302" i="24"/>
  <c r="AW203" i="15" s="1"/>
  <c r="U70" i="24"/>
  <c r="BA58" i="15" s="1"/>
  <c r="Q251" i="24"/>
  <c r="AW152" i="15" s="1"/>
  <c r="N58" i="18"/>
  <c r="AS4" i="18" s="1"/>
  <c r="N99" i="15"/>
  <c r="M28" i="15" s="1"/>
  <c r="AA274" i="24"/>
  <c r="BG175" i="15" s="1"/>
  <c r="Y245" i="24"/>
  <c r="BE146" i="15" s="1"/>
  <c r="AE99" i="24"/>
  <c r="BK87" i="15" s="1"/>
  <c r="AC70" i="24"/>
  <c r="BI58" i="15" s="1"/>
  <c r="X128" i="24"/>
  <c r="BD116" i="15" s="1"/>
  <c r="AA302" i="24"/>
  <c r="BG203" i="15" s="1"/>
  <c r="T273" i="24"/>
  <c r="AZ174" i="15" s="1"/>
  <c r="P252" i="24"/>
  <c r="P314" i="24"/>
  <c r="P215" i="15" s="1"/>
  <c r="AA244" i="24"/>
  <c r="BG145" i="15" s="1"/>
  <c r="V244" i="24"/>
  <c r="BB145" i="15" s="1"/>
  <c r="R302" i="24"/>
  <c r="AX203" i="15" s="1"/>
  <c r="Z100" i="24"/>
  <c r="BF88" i="15" s="1"/>
  <c r="AB70" i="24"/>
  <c r="BH58" i="15" s="1"/>
  <c r="Y244" i="24"/>
  <c r="BE145" i="15" s="1"/>
  <c r="T99" i="24"/>
  <c r="AZ87" i="15" s="1"/>
  <c r="Y128" i="24"/>
  <c r="BE116" i="15" s="1"/>
  <c r="X302" i="24"/>
  <c r="BD203" i="15" s="1"/>
  <c r="P106" i="24"/>
  <c r="AV94" i="15" s="1"/>
  <c r="X273" i="24"/>
  <c r="BD174" i="15" s="1"/>
  <c r="Z128" i="24"/>
  <c r="BF116" i="15" s="1"/>
  <c r="O285" i="24"/>
  <c r="Q55" i="2" s="1"/>
  <c r="Q78" i="24"/>
  <c r="AW66" i="15" s="1"/>
  <c r="U302" i="24"/>
  <c r="BA203" i="15" s="1"/>
  <c r="X245" i="24"/>
  <c r="BD146" i="15" s="1"/>
  <c r="AA99" i="24"/>
  <c r="BG87" i="15" s="1"/>
  <c r="V273" i="24"/>
  <c r="BB174" i="15" s="1"/>
  <c r="W99" i="24"/>
  <c r="BC87" i="15" s="1"/>
  <c r="O70" i="15"/>
  <c r="N27" i="15" s="1"/>
  <c r="Q133" i="24"/>
  <c r="AW121" i="15" s="1"/>
  <c r="Q273" i="24"/>
  <c r="AW174" i="15" s="1"/>
  <c r="AC129" i="24"/>
  <c r="BI117" i="15" s="1"/>
  <c r="Q81" i="24"/>
  <c r="AW69" i="15" s="1"/>
  <c r="T244" i="24"/>
  <c r="AZ145" i="15" s="1"/>
  <c r="Q135" i="24"/>
  <c r="AW123" i="15" s="1"/>
  <c r="P72" i="24"/>
  <c r="AV60" i="15" s="1"/>
  <c r="Q252" i="24"/>
  <c r="AW153" i="15" s="1"/>
  <c r="R70" i="24"/>
  <c r="AX58" i="15" s="1"/>
  <c r="P98" i="24"/>
  <c r="AV86" i="15" s="1"/>
  <c r="AV99" i="15" s="1"/>
  <c r="O111" i="24"/>
  <c r="N36" i="15" s="1"/>
  <c r="Q74" i="24"/>
  <c r="AW62" i="15" s="1"/>
  <c r="W128" i="24"/>
  <c r="BC116" i="15" s="1"/>
  <c r="V302" i="24"/>
  <c r="BB203" i="15" s="1"/>
  <c r="Z99" i="24"/>
  <c r="BF87" i="15" s="1"/>
  <c r="Q246" i="24"/>
  <c r="AW147" i="15" s="1"/>
  <c r="AD70" i="24"/>
  <c r="BJ58" i="15" s="1"/>
  <c r="P285" i="24"/>
  <c r="P186" i="15" s="1"/>
  <c r="O31" i="15" s="1"/>
  <c r="T100" i="24"/>
  <c r="AZ88" i="15" s="1"/>
  <c r="S128" i="24"/>
  <c r="AY116" i="15" s="1"/>
  <c r="AE244" i="24"/>
  <c r="BK145" i="15" s="1"/>
  <c r="Y70" i="24"/>
  <c r="BE58" i="15" s="1"/>
  <c r="AD128" i="24"/>
  <c r="BJ116" i="15" s="1"/>
  <c r="AB273" i="24"/>
  <c r="BH174" i="15" s="1"/>
  <c r="Q80" i="24"/>
  <c r="AW68" i="15" s="1"/>
  <c r="AD302" i="24"/>
  <c r="BJ203" i="15" s="1"/>
  <c r="AC128" i="24"/>
  <c r="BI116" i="15" s="1"/>
  <c r="Q247" i="24"/>
  <c r="AW148" i="15" s="1"/>
  <c r="Q103" i="24"/>
  <c r="AW91" i="15" s="1"/>
  <c r="Z244" i="24"/>
  <c r="BF145" i="15" s="1"/>
  <c r="AE302" i="24"/>
  <c r="BK203" i="15" s="1"/>
  <c r="U273" i="24"/>
  <c r="BA174" i="15" s="1"/>
  <c r="V128" i="24"/>
  <c r="BB116" i="15" s="1"/>
  <c r="Q304" i="24"/>
  <c r="AW205" i="15" s="1"/>
  <c r="Q101" i="24"/>
  <c r="AW89" i="15" s="1"/>
  <c r="AB99" i="24"/>
  <c r="BH87" i="15" s="1"/>
  <c r="Q132" i="24"/>
  <c r="AW120" i="15" s="1"/>
  <c r="R313" i="24"/>
  <c r="AX214" i="15" s="1"/>
  <c r="AB244" i="24"/>
  <c r="BH145" i="15" s="1"/>
  <c r="Q249" i="24"/>
  <c r="AW150" i="15" s="1"/>
  <c r="R273" i="24"/>
  <c r="AX174" i="15" s="1"/>
  <c r="Q129" i="24"/>
  <c r="AW117" i="15" s="1"/>
  <c r="U99" i="24"/>
  <c r="BA87" i="15" s="1"/>
  <c r="Q250" i="24"/>
  <c r="AW151" i="15" s="1"/>
  <c r="Q134" i="24"/>
  <c r="AW122" i="15" s="1"/>
  <c r="Q137" i="24"/>
  <c r="AW125" i="15" s="1"/>
  <c r="Q277" i="24"/>
  <c r="AW178" i="15" s="1"/>
  <c r="V245" i="24"/>
  <c r="BB146" i="15" s="1"/>
  <c r="U303" i="24"/>
  <c r="BA204" i="15" s="1"/>
  <c r="AC302" i="24"/>
  <c r="BI203" i="15" s="1"/>
  <c r="R307" i="24"/>
  <c r="AX208" i="15" s="1"/>
  <c r="Q131" i="24"/>
  <c r="AW119" i="15" s="1"/>
  <c r="Q102" i="24"/>
  <c r="AW90" i="15" s="1"/>
  <c r="AB129" i="24"/>
  <c r="BH117" i="15" s="1"/>
  <c r="Q274" i="24"/>
  <c r="AW175" i="15" s="1"/>
  <c r="Q248" i="24"/>
  <c r="AW149" i="15" s="1"/>
  <c r="Q76" i="24"/>
  <c r="AW64" i="15" s="1"/>
  <c r="T128" i="24"/>
  <c r="AZ116" i="15" s="1"/>
  <c r="Q279" i="24"/>
  <c r="AW180" i="15" s="1"/>
  <c r="W302" i="24"/>
  <c r="BC203" i="15" s="1"/>
  <c r="AE70" i="24"/>
  <c r="BK58" i="15" s="1"/>
  <c r="Q139" i="24"/>
  <c r="AW127" i="15" s="1"/>
  <c r="Q311" i="24"/>
  <c r="AW212" i="15" s="1"/>
  <c r="Q104" i="24"/>
  <c r="AW92" i="15" s="1"/>
  <c r="V99" i="24"/>
  <c r="BB87" i="15" s="1"/>
  <c r="Q110" i="24"/>
  <c r="AW98" i="15" s="1"/>
  <c r="Q138" i="24"/>
  <c r="AW126" i="15" s="1"/>
  <c r="P74" i="24"/>
  <c r="AV62" i="15" s="1"/>
  <c r="Q136" i="24"/>
  <c r="AW124" i="15" s="1"/>
  <c r="Q284" i="24"/>
  <c r="AW185" i="15" s="1"/>
  <c r="Q100" i="24"/>
  <c r="AW88" i="15" s="1"/>
  <c r="Q275" i="24"/>
  <c r="AW176" i="15" s="1"/>
  <c r="Q72" i="24"/>
  <c r="AW60" i="15" s="1"/>
  <c r="Q282" i="24"/>
  <c r="AW183" i="15" s="1"/>
  <c r="P76" i="24"/>
  <c r="AV64" i="15" s="1"/>
  <c r="Q305" i="24"/>
  <c r="AW206" i="15" s="1"/>
  <c r="Z70" i="24"/>
  <c r="BF58" i="15" s="1"/>
  <c r="Q255" i="24"/>
  <c r="AW156" i="15" s="1"/>
  <c r="Q106" i="24"/>
  <c r="AW94" i="15" s="1"/>
  <c r="S273" i="24"/>
  <c r="AY174" i="15" s="1"/>
  <c r="R281" i="24"/>
  <c r="AX182" i="15" s="1"/>
  <c r="O87" i="18"/>
  <c r="AT5" i="18" s="1"/>
  <c r="N14" i="2"/>
  <c r="Q244" i="24"/>
  <c r="AW145" i="15" s="1"/>
  <c r="P15" i="26"/>
  <c r="N16" i="26"/>
  <c r="N3" i="26"/>
  <c r="N20" i="2"/>
  <c r="N21" i="2" s="1"/>
  <c r="Q360" i="24"/>
  <c r="P372" i="24"/>
  <c r="O29" i="16" s="1"/>
  <c r="X186" i="24"/>
  <c r="Y187" i="24" s="1"/>
  <c r="Z188" i="24" s="1"/>
  <c r="AA189" i="24" s="1"/>
  <c r="AB190" i="24" s="1"/>
  <c r="AC191" i="24" s="1"/>
  <c r="AD192" i="24" s="1"/>
  <c r="AE193" i="24" s="1"/>
  <c r="AC99" i="24"/>
  <c r="BI87" i="15" s="1"/>
  <c r="AC186" i="24"/>
  <c r="AD187" i="24" s="1"/>
  <c r="AE188" i="24" s="1"/>
  <c r="Q215" i="24"/>
  <c r="P227" i="24"/>
  <c r="Q128" i="24"/>
  <c r="AW116" i="15" s="1"/>
  <c r="P140" i="24"/>
  <c r="U215" i="24"/>
  <c r="V216" i="24" s="1"/>
  <c r="AE360" i="24"/>
  <c r="Z360" i="24"/>
  <c r="Z157" i="24"/>
  <c r="X99" i="24"/>
  <c r="BD87" i="15" s="1"/>
  <c r="AD157" i="24"/>
  <c r="S302" i="24"/>
  <c r="AY203" i="15" s="1"/>
  <c r="U360" i="24"/>
  <c r="Y331" i="24"/>
  <c r="S245" i="24"/>
  <c r="AY146" i="15" s="1"/>
  <c r="V157" i="24"/>
  <c r="AE128" i="24"/>
  <c r="BK116" i="15" s="1"/>
  <c r="AA70" i="24"/>
  <c r="BG58" i="15" s="1"/>
  <c r="T186" i="24"/>
  <c r="U187" i="24" s="1"/>
  <c r="S331" i="24"/>
  <c r="R343" i="24"/>
  <c r="AA331" i="24"/>
  <c r="S70" i="24"/>
  <c r="AY58" i="15" s="1"/>
  <c r="R157" i="24"/>
  <c r="Q169" i="24"/>
  <c r="P28" i="16" s="1"/>
  <c r="AE215" i="24"/>
  <c r="R186" i="24"/>
  <c r="Q198" i="24"/>
  <c r="U128" i="24"/>
  <c r="BA116" i="15" s="1"/>
  <c r="AA215" i="24"/>
  <c r="Y273" i="24"/>
  <c r="BE174" i="15" s="1"/>
  <c r="W70" i="24"/>
  <c r="BC58" i="15" s="1"/>
  <c r="R99" i="24"/>
  <c r="AX87" i="15" s="1"/>
  <c r="AB302" i="24"/>
  <c r="BH203" i="15" s="1"/>
  <c r="L11" i="26" l="1"/>
  <c r="N2" i="2"/>
  <c r="O29" i="18"/>
  <c r="AT3" i="18" s="1"/>
  <c r="O157" i="15"/>
  <c r="N30" i="15" s="1"/>
  <c r="O30" i="16"/>
  <c r="N15" i="2"/>
  <c r="O31" i="16"/>
  <c r="O116" i="18"/>
  <c r="AT6" i="18" s="1"/>
  <c r="AE245" i="24"/>
  <c r="BK146" i="15" s="1"/>
  <c r="K16" i="2"/>
  <c r="K17" i="2" s="1"/>
  <c r="K12" i="26"/>
  <c r="AV70" i="15"/>
  <c r="AW186" i="15"/>
  <c r="N8" i="2"/>
  <c r="P256" i="24"/>
  <c r="P157" i="15" s="1"/>
  <c r="O30" i="15" s="1"/>
  <c r="AV153" i="15"/>
  <c r="AV157" i="15" s="1"/>
  <c r="AW215" i="15"/>
  <c r="AW128" i="15"/>
  <c r="P97" i="2"/>
  <c r="O186" i="15"/>
  <c r="N31" i="15" s="1"/>
  <c r="L5" i="2"/>
  <c r="P96" i="2"/>
  <c r="M22" i="2"/>
  <c r="M23" i="2" s="1"/>
  <c r="R57" i="2"/>
  <c r="M4" i="2"/>
  <c r="P68" i="2" s="1"/>
  <c r="M5" i="26" s="1"/>
  <c r="P128" i="15"/>
  <c r="O29" i="15" s="1"/>
  <c r="O37" i="15"/>
  <c r="M11" i="2"/>
  <c r="Q54" i="2"/>
  <c r="P76" i="26"/>
  <c r="O3" i="26" s="1"/>
  <c r="R58" i="2"/>
  <c r="R47" i="26"/>
  <c r="P8" i="26"/>
  <c r="O145" i="18"/>
  <c r="AT7" i="18" s="1"/>
  <c r="N39" i="15"/>
  <c r="N9" i="26"/>
  <c r="P174" i="18"/>
  <c r="AU8" i="18" s="1"/>
  <c r="O40" i="15"/>
  <c r="P145" i="18"/>
  <c r="AU7" i="18" s="1"/>
  <c r="O39" i="15"/>
  <c r="N9" i="2"/>
  <c r="M3" i="2"/>
  <c r="N3" i="2"/>
  <c r="V129" i="24"/>
  <c r="BB117" i="15" s="1"/>
  <c r="AA71" i="24"/>
  <c r="BG59" i="15" s="1"/>
  <c r="R101" i="24"/>
  <c r="AX89" i="15" s="1"/>
  <c r="R275" i="24"/>
  <c r="AX176" i="15" s="1"/>
  <c r="V304" i="24"/>
  <c r="BB205" i="15" s="1"/>
  <c r="R104" i="24"/>
  <c r="AX92" i="15" s="1"/>
  <c r="AE129" i="24"/>
  <c r="BK117" i="15" s="1"/>
  <c r="R252" i="24"/>
  <c r="AX153" i="15" s="1"/>
  <c r="AD274" i="24"/>
  <c r="BJ175" i="15" s="1"/>
  <c r="S310" i="24"/>
  <c r="AY211" i="15" s="1"/>
  <c r="T130" i="24"/>
  <c r="AZ118" i="15" s="1"/>
  <c r="R284" i="24"/>
  <c r="AX185" i="15" s="1"/>
  <c r="O18" i="26"/>
  <c r="O32" i="15"/>
  <c r="AA129" i="24"/>
  <c r="BG117" i="15" s="1"/>
  <c r="S282" i="24"/>
  <c r="AY183" i="15" s="1"/>
  <c r="R139" i="24"/>
  <c r="AX127" i="15" s="1"/>
  <c r="R312" i="24"/>
  <c r="AX213" i="15" s="1"/>
  <c r="R135" i="24"/>
  <c r="AX123" i="15" s="1"/>
  <c r="R102" i="24"/>
  <c r="AX90" i="15" s="1"/>
  <c r="R247" i="24"/>
  <c r="AX148" i="15" s="1"/>
  <c r="W303" i="24"/>
  <c r="BC204" i="15" s="1"/>
  <c r="Q99" i="24"/>
  <c r="AW87" i="15" s="1"/>
  <c r="AW99" i="15" s="1"/>
  <c r="P111" i="24"/>
  <c r="O36" i="15" s="1"/>
  <c r="R253" i="24"/>
  <c r="AX154" i="15" s="1"/>
  <c r="R136" i="24"/>
  <c r="AX124" i="15" s="1"/>
  <c r="AD130" i="24"/>
  <c r="BJ118" i="15" s="1"/>
  <c r="R134" i="24"/>
  <c r="AX122" i="15" s="1"/>
  <c r="X100" i="24"/>
  <c r="BD88" i="15" s="1"/>
  <c r="AB100" i="24"/>
  <c r="BH88" i="15" s="1"/>
  <c r="V303" i="24"/>
  <c r="BB204" i="15" s="1"/>
  <c r="U100" i="24"/>
  <c r="BA88" i="15" s="1"/>
  <c r="AC71" i="24"/>
  <c r="BI59" i="15" s="1"/>
  <c r="S303" i="24"/>
  <c r="AY204" i="15" s="1"/>
  <c r="AB245" i="24"/>
  <c r="BH146" i="15" s="1"/>
  <c r="R71" i="24"/>
  <c r="AX59" i="15" s="1"/>
  <c r="AA303" i="24"/>
  <c r="BG204" i="15" s="1"/>
  <c r="R80" i="24"/>
  <c r="AX68" i="15" s="1"/>
  <c r="R282" i="24"/>
  <c r="AX183" i="15" s="1"/>
  <c r="R279" i="24"/>
  <c r="AX180" i="15" s="1"/>
  <c r="T245" i="24"/>
  <c r="AZ146" i="15" s="1"/>
  <c r="AB274" i="24"/>
  <c r="BH175" i="15" s="1"/>
  <c r="U71" i="24"/>
  <c r="BA59" i="15" s="1"/>
  <c r="Q77" i="24"/>
  <c r="AW65" i="15" s="1"/>
  <c r="W100" i="24"/>
  <c r="BC88" i="15" s="1"/>
  <c r="R280" i="24"/>
  <c r="AX181" i="15" s="1"/>
  <c r="R103" i="24"/>
  <c r="AX91" i="15" s="1"/>
  <c r="R278" i="24"/>
  <c r="AX179" i="15" s="1"/>
  <c r="R81" i="24"/>
  <c r="AX69" i="15" s="1"/>
  <c r="Q107" i="24"/>
  <c r="AW95" i="15" s="1"/>
  <c r="Z129" i="24"/>
  <c r="BF117" i="15" s="1"/>
  <c r="Y129" i="24"/>
  <c r="BE117" i="15" s="1"/>
  <c r="AB275" i="24"/>
  <c r="BH176" i="15" s="1"/>
  <c r="R303" i="24"/>
  <c r="AX204" i="15" s="1"/>
  <c r="Q314" i="24"/>
  <c r="Q215" i="15" s="1"/>
  <c r="Q109" i="24"/>
  <c r="AW97" i="15" s="1"/>
  <c r="Q71" i="24"/>
  <c r="AW59" i="15" s="1"/>
  <c r="R109" i="24"/>
  <c r="AX97" i="15" s="1"/>
  <c r="R249" i="24"/>
  <c r="AX150" i="15" s="1"/>
  <c r="R138" i="24"/>
  <c r="AX126" i="15" s="1"/>
  <c r="S274" i="24"/>
  <c r="AY175" i="15" s="1"/>
  <c r="AA100" i="24"/>
  <c r="BG88" i="15" s="1"/>
  <c r="O58" i="18"/>
  <c r="AT4" i="18" s="1"/>
  <c r="N4" i="2" s="1"/>
  <c r="Q68" i="2" s="1"/>
  <c r="O99" i="15"/>
  <c r="N28" i="15" s="1"/>
  <c r="Q96" i="2" s="1"/>
  <c r="S71" i="24"/>
  <c r="AY59" i="15" s="1"/>
  <c r="Q73" i="24"/>
  <c r="AW61" i="15" s="1"/>
  <c r="R274" i="24"/>
  <c r="AX175" i="15" s="1"/>
  <c r="Q285" i="24"/>
  <c r="Q186" i="15" s="1"/>
  <c r="P31" i="15" s="1"/>
  <c r="W274" i="24"/>
  <c r="BC175" i="15" s="1"/>
  <c r="Y246" i="24"/>
  <c r="BE147" i="15" s="1"/>
  <c r="R79" i="24"/>
  <c r="AX67" i="15" s="1"/>
  <c r="Z245" i="24"/>
  <c r="BF146" i="15" s="1"/>
  <c r="AA101" i="24"/>
  <c r="BG89" i="15" s="1"/>
  <c r="W245" i="24"/>
  <c r="BC146" i="15" s="1"/>
  <c r="P82" i="24"/>
  <c r="AE100" i="24"/>
  <c r="BK88" i="15" s="1"/>
  <c r="W71" i="24"/>
  <c r="BC59" i="15" s="1"/>
  <c r="R277" i="24"/>
  <c r="AX178" i="15" s="1"/>
  <c r="R106" i="24"/>
  <c r="AX94" i="15" s="1"/>
  <c r="Z303" i="24"/>
  <c r="BF204" i="15" s="1"/>
  <c r="AD245" i="24"/>
  <c r="BJ146" i="15" s="1"/>
  <c r="AE274" i="24"/>
  <c r="BK175" i="15" s="1"/>
  <c r="R107" i="24"/>
  <c r="AX95" i="15" s="1"/>
  <c r="R73" i="24"/>
  <c r="AX61" i="15" s="1"/>
  <c r="R137" i="24"/>
  <c r="AX125" i="15" s="1"/>
  <c r="R77" i="24"/>
  <c r="AX65" i="15" s="1"/>
  <c r="S308" i="24"/>
  <c r="AY209" i="15" s="1"/>
  <c r="V100" i="24"/>
  <c r="BB88" i="15" s="1"/>
  <c r="AC245" i="24"/>
  <c r="BI146" i="15" s="1"/>
  <c r="R133" i="24"/>
  <c r="AX121" i="15" s="1"/>
  <c r="W129" i="24"/>
  <c r="BC117" i="15" s="1"/>
  <c r="AD129" i="24"/>
  <c r="BJ117" i="15" s="1"/>
  <c r="U101" i="24"/>
  <c r="BA89" i="15" s="1"/>
  <c r="AE71" i="24"/>
  <c r="BK59" i="15" s="1"/>
  <c r="R75" i="24"/>
  <c r="AX63" i="15" s="1"/>
  <c r="U274" i="24"/>
  <c r="BA175" i="15" s="1"/>
  <c r="T274" i="24"/>
  <c r="AZ175" i="15" s="1"/>
  <c r="R306" i="24"/>
  <c r="AX207" i="15" s="1"/>
  <c r="R283" i="24"/>
  <c r="AX184" i="15" s="1"/>
  <c r="R276" i="24"/>
  <c r="AX177" i="15" s="1"/>
  <c r="Q75" i="24"/>
  <c r="AW63" i="15" s="1"/>
  <c r="R105" i="24"/>
  <c r="AX93" i="15" s="1"/>
  <c r="X303" i="24"/>
  <c r="BD204" i="15" s="1"/>
  <c r="U129" i="24"/>
  <c r="BA117" i="15" s="1"/>
  <c r="AC130" i="24"/>
  <c r="BI118" i="15" s="1"/>
  <c r="R132" i="24"/>
  <c r="AX120" i="15" s="1"/>
  <c r="AD303" i="24"/>
  <c r="BJ204" i="15" s="1"/>
  <c r="W246" i="24"/>
  <c r="BC147" i="15" s="1"/>
  <c r="R251" i="24"/>
  <c r="AX152" i="15" s="1"/>
  <c r="R130" i="24"/>
  <c r="AX118" i="15" s="1"/>
  <c r="R250" i="24"/>
  <c r="AX151" i="15" s="1"/>
  <c r="AC100" i="24"/>
  <c r="BI88" i="15" s="1"/>
  <c r="R305" i="24"/>
  <c r="AX206" i="15" s="1"/>
  <c r="V274" i="24"/>
  <c r="BB175" i="15" s="1"/>
  <c r="AA245" i="24"/>
  <c r="BG146" i="15" s="1"/>
  <c r="R248" i="24"/>
  <c r="AX149" i="15" s="1"/>
  <c r="AE303" i="24"/>
  <c r="BK204" i="15" s="1"/>
  <c r="AC274" i="24"/>
  <c r="BI175" i="15" s="1"/>
  <c r="Z71" i="24"/>
  <c r="BF59" i="15" s="1"/>
  <c r="T129" i="24"/>
  <c r="AZ117" i="15" s="1"/>
  <c r="X129" i="24"/>
  <c r="BD117" i="15" s="1"/>
  <c r="U245" i="24"/>
  <c r="BA146" i="15" s="1"/>
  <c r="Y274" i="24"/>
  <c r="BE175" i="15" s="1"/>
  <c r="Y303" i="24"/>
  <c r="BE204" i="15" s="1"/>
  <c r="Q253" i="24"/>
  <c r="AB303" i="24"/>
  <c r="BH204" i="15" s="1"/>
  <c r="AD71" i="24"/>
  <c r="BJ59" i="15" s="1"/>
  <c r="Z246" i="24"/>
  <c r="BF147" i="15" s="1"/>
  <c r="V71" i="24"/>
  <c r="BB59" i="15" s="1"/>
  <c r="R131" i="24"/>
  <c r="AX119" i="15" s="1"/>
  <c r="R246" i="24"/>
  <c r="AX147" i="15" s="1"/>
  <c r="R311" i="24"/>
  <c r="AX212" i="15" s="1"/>
  <c r="X274" i="24"/>
  <c r="BD175" i="15" s="1"/>
  <c r="R310" i="24"/>
  <c r="AX211" i="15" s="1"/>
  <c r="Y71" i="24"/>
  <c r="BE59" i="15" s="1"/>
  <c r="R304" i="24"/>
  <c r="AX205" i="15" s="1"/>
  <c r="R308" i="24"/>
  <c r="AX209" i="15" s="1"/>
  <c r="P87" i="18"/>
  <c r="AU5" i="18" s="1"/>
  <c r="P116" i="18"/>
  <c r="AU6" i="18" s="1"/>
  <c r="R245" i="24"/>
  <c r="AX146" i="15" s="1"/>
  <c r="N22" i="2"/>
  <c r="N23" i="2" s="1"/>
  <c r="Q15" i="26"/>
  <c r="Q2" i="26"/>
  <c r="O14" i="2"/>
  <c r="O16" i="26"/>
  <c r="O20" i="2"/>
  <c r="O21" i="2" s="1"/>
  <c r="AC303" i="24"/>
  <c r="BI204" i="15" s="1"/>
  <c r="X71" i="24"/>
  <c r="BD59" i="15" s="1"/>
  <c r="AB216" i="24"/>
  <c r="AB332" i="24"/>
  <c r="V188" i="24"/>
  <c r="W189" i="24" s="1"/>
  <c r="X190" i="24" s="1"/>
  <c r="Y191" i="24" s="1"/>
  <c r="Z192" i="24" s="1"/>
  <c r="AA193" i="24" s="1"/>
  <c r="AB194" i="24" s="1"/>
  <c r="AC195" i="24" s="1"/>
  <c r="AD196" i="24" s="1"/>
  <c r="T246" i="24"/>
  <c r="AZ147" i="15" s="1"/>
  <c r="V361" i="24"/>
  <c r="AE158" i="24"/>
  <c r="AA158" i="24"/>
  <c r="R129" i="24"/>
  <c r="AX117" i="15" s="1"/>
  <c r="Q140" i="24"/>
  <c r="S100" i="24"/>
  <c r="AY88" i="15" s="1"/>
  <c r="Z274" i="24"/>
  <c r="BF175" i="15" s="1"/>
  <c r="S187" i="24"/>
  <c r="R198" i="24"/>
  <c r="S158" i="24"/>
  <c r="R169" i="24"/>
  <c r="Q28" i="16" s="1"/>
  <c r="T71" i="24"/>
  <c r="AZ59" i="15" s="1"/>
  <c r="T332" i="24"/>
  <c r="S343" i="24"/>
  <c r="AB71" i="24"/>
  <c r="BH59" i="15" s="1"/>
  <c r="W158" i="24"/>
  <c r="Z332" i="24"/>
  <c r="T303" i="24"/>
  <c r="AZ204" i="15" s="1"/>
  <c r="Y100" i="24"/>
  <c r="BE88" i="15" s="1"/>
  <c r="AA361" i="24"/>
  <c r="AB362" i="24" s="1"/>
  <c r="W217" i="24"/>
  <c r="R216" i="24"/>
  <c r="Q227" i="24"/>
  <c r="AD100" i="24"/>
  <c r="BJ88" i="15" s="1"/>
  <c r="R361" i="24"/>
  <c r="Q372" i="24"/>
  <c r="P29" i="16" s="1"/>
  <c r="N10" i="2" l="1"/>
  <c r="Q69" i="2" s="1"/>
  <c r="N5" i="26" s="1"/>
  <c r="L16" i="2"/>
  <c r="L17" i="2" s="1"/>
  <c r="L12" i="26"/>
  <c r="O38" i="15"/>
  <c r="M11" i="26"/>
  <c r="P30" i="16"/>
  <c r="P31" i="16" s="1"/>
  <c r="O15" i="2"/>
  <c r="AX215" i="15"/>
  <c r="O8" i="2"/>
  <c r="AW70" i="15"/>
  <c r="AB130" i="24"/>
  <c r="BH118" i="15" s="1"/>
  <c r="R55" i="2"/>
  <c r="Q256" i="24"/>
  <c r="Q157" i="15" s="1"/>
  <c r="P30" i="15" s="1"/>
  <c r="AW154" i="15"/>
  <c r="AW157" i="15" s="1"/>
  <c r="AX128" i="15"/>
  <c r="AX186" i="15"/>
  <c r="Q97" i="2"/>
  <c r="R97" i="2"/>
  <c r="M5" i="2"/>
  <c r="S57" i="2"/>
  <c r="W130" i="24"/>
  <c r="BC118" i="15" s="1"/>
  <c r="Q128" i="15"/>
  <c r="P29" i="15" s="1"/>
  <c r="P37" i="15"/>
  <c r="Q8" i="26"/>
  <c r="O10" i="2"/>
  <c r="R69" i="2" s="1"/>
  <c r="Q145" i="18"/>
  <c r="AV7" i="18" s="1"/>
  <c r="P39" i="15"/>
  <c r="O9" i="26"/>
  <c r="Q76" i="26"/>
  <c r="P3" i="26" s="1"/>
  <c r="S58" i="2"/>
  <c r="S47" i="26"/>
  <c r="P8" i="2"/>
  <c r="P38" i="15"/>
  <c r="O2" i="2"/>
  <c r="R54" i="2"/>
  <c r="O35" i="15"/>
  <c r="Q174" i="18"/>
  <c r="AV8" i="18" s="1"/>
  <c r="P40" i="15"/>
  <c r="N5" i="2"/>
  <c r="Z72" i="24"/>
  <c r="BF60" i="15" s="1"/>
  <c r="S312" i="24"/>
  <c r="AY213" i="15" s="1"/>
  <c r="S132" i="24"/>
  <c r="AY120" i="15" s="1"/>
  <c r="AA247" i="24"/>
  <c r="BG148" i="15" s="1"/>
  <c r="AC304" i="24"/>
  <c r="BI205" i="15" s="1"/>
  <c r="Z304" i="24"/>
  <c r="BF205" i="15" s="1"/>
  <c r="V246" i="24"/>
  <c r="BB147" i="15" s="1"/>
  <c r="S306" i="24"/>
  <c r="AY207" i="15" s="1"/>
  <c r="S106" i="24"/>
  <c r="AY94" i="15" s="1"/>
  <c r="V275" i="24"/>
  <c r="BB176" i="15" s="1"/>
  <c r="X246" i="24"/>
  <c r="BD147" i="15" s="1"/>
  <c r="AA246" i="24"/>
  <c r="BG147" i="15" s="1"/>
  <c r="Z247" i="24"/>
  <c r="BF148" i="15" s="1"/>
  <c r="S139" i="24"/>
  <c r="AY127" i="15" s="1"/>
  <c r="R110" i="24"/>
  <c r="AX98" i="15" s="1"/>
  <c r="S304" i="24"/>
  <c r="AY205" i="15" s="1"/>
  <c r="R314" i="24"/>
  <c r="R215" i="15" s="1"/>
  <c r="Z130" i="24"/>
  <c r="BF118" i="15" s="1"/>
  <c r="R108" i="24"/>
  <c r="AX96" i="15" s="1"/>
  <c r="S279" i="24"/>
  <c r="AY180" i="15" s="1"/>
  <c r="S281" i="24"/>
  <c r="AY182" i="15" s="1"/>
  <c r="R78" i="24"/>
  <c r="AX66" i="15" s="1"/>
  <c r="AC275" i="24"/>
  <c r="BI176" i="15" s="1"/>
  <c r="S280" i="24"/>
  <c r="AY181" i="15" s="1"/>
  <c r="S81" i="24"/>
  <c r="AY69" i="15" s="1"/>
  <c r="AC246" i="24"/>
  <c r="BI147" i="15" s="1"/>
  <c r="AD72" i="24"/>
  <c r="BJ60" i="15" s="1"/>
  <c r="W304" i="24"/>
  <c r="BC205" i="15" s="1"/>
  <c r="Y101" i="24"/>
  <c r="BE89" i="15" s="1"/>
  <c r="AE131" i="24"/>
  <c r="BK119" i="15" s="1"/>
  <c r="S254" i="24"/>
  <c r="AY155" i="15" s="1"/>
  <c r="S313" i="24"/>
  <c r="AY214" i="15" s="1"/>
  <c r="T311" i="24"/>
  <c r="AZ212" i="15" s="1"/>
  <c r="S253" i="24"/>
  <c r="AY154" i="15" s="1"/>
  <c r="S105" i="24"/>
  <c r="AY93" i="15" s="1"/>
  <c r="AB72" i="24"/>
  <c r="BH60" i="15" s="1"/>
  <c r="AC131" i="24"/>
  <c r="BI119" i="15" s="1"/>
  <c r="O9" i="2"/>
  <c r="U130" i="24"/>
  <c r="BA118" i="15" s="1"/>
  <c r="AD275" i="24"/>
  <c r="BJ176" i="15" s="1"/>
  <c r="S249" i="24"/>
  <c r="AY150" i="15" s="1"/>
  <c r="S251" i="24"/>
  <c r="AY152" i="15" s="1"/>
  <c r="S252" i="24"/>
  <c r="AY153" i="15" s="1"/>
  <c r="AE304" i="24"/>
  <c r="BK205" i="15" s="1"/>
  <c r="AD131" i="24"/>
  <c r="BJ119" i="15" s="1"/>
  <c r="Y304" i="24"/>
  <c r="BE205" i="15" s="1"/>
  <c r="AE130" i="24"/>
  <c r="BK118" i="15" s="1"/>
  <c r="S134" i="24"/>
  <c r="AY122" i="15" s="1"/>
  <c r="W101" i="24"/>
  <c r="BC89" i="15" s="1"/>
  <c r="S78" i="24"/>
  <c r="AY66" i="15" s="1"/>
  <c r="S74" i="24"/>
  <c r="AY62" i="15" s="1"/>
  <c r="AA304" i="24"/>
  <c r="BG205" i="15" s="1"/>
  <c r="S278" i="24"/>
  <c r="AY179" i="15" s="1"/>
  <c r="S275" i="24"/>
  <c r="AY176" i="15" s="1"/>
  <c r="R285" i="24"/>
  <c r="R186" i="15" s="1"/>
  <c r="Q31" i="15" s="1"/>
  <c r="T72" i="24"/>
  <c r="AZ60" i="15" s="1"/>
  <c r="AB101" i="24"/>
  <c r="BH89" i="15" s="1"/>
  <c r="S110" i="24"/>
  <c r="AY98" i="15" s="1"/>
  <c r="S72" i="24"/>
  <c r="AY60" i="15" s="1"/>
  <c r="S135" i="24"/>
  <c r="AY123" i="15" s="1"/>
  <c r="P58" i="18"/>
  <c r="AU4" i="18" s="1"/>
  <c r="P99" i="15"/>
  <c r="O28" i="15" s="1"/>
  <c r="X304" i="24"/>
  <c r="BD205" i="15" s="1"/>
  <c r="S103" i="24"/>
  <c r="AY91" i="15" s="1"/>
  <c r="T283" i="24"/>
  <c r="AZ184" i="15" s="1"/>
  <c r="S102" i="24"/>
  <c r="AY90" i="15" s="1"/>
  <c r="S305" i="24"/>
  <c r="AY206" i="15" s="1"/>
  <c r="S311" i="24"/>
  <c r="AY212" i="15" s="1"/>
  <c r="Y275" i="24"/>
  <c r="BE176" i="15" s="1"/>
  <c r="S247" i="24"/>
  <c r="AY148" i="15" s="1"/>
  <c r="W72" i="24"/>
  <c r="BC60" i="15" s="1"/>
  <c r="AE72" i="24"/>
  <c r="BK60" i="15" s="1"/>
  <c r="R254" i="24"/>
  <c r="AX155" i="15" s="1"/>
  <c r="AX157" i="15" s="1"/>
  <c r="Z275" i="24"/>
  <c r="BF176" i="15" s="1"/>
  <c r="Y130" i="24"/>
  <c r="BE118" i="15" s="1"/>
  <c r="W275" i="24"/>
  <c r="BC176" i="15" s="1"/>
  <c r="AD101" i="24"/>
  <c r="BJ89" i="15" s="1"/>
  <c r="S277" i="24"/>
  <c r="AY178" i="15" s="1"/>
  <c r="S307" i="24"/>
  <c r="AY208" i="15" s="1"/>
  <c r="U275" i="24"/>
  <c r="BA176" i="15" s="1"/>
  <c r="T309" i="24"/>
  <c r="AZ210" i="15" s="1"/>
  <c r="S138" i="24"/>
  <c r="AY126" i="15" s="1"/>
  <c r="P29" i="18"/>
  <c r="AU3" i="18" s="1"/>
  <c r="P70" i="15"/>
  <c r="O27" i="15" s="1"/>
  <c r="AB102" i="24"/>
  <c r="BH90" i="15" s="1"/>
  <c r="S80" i="24"/>
  <c r="AY68" i="15" s="1"/>
  <c r="X275" i="24"/>
  <c r="BD176" i="15" s="1"/>
  <c r="O3" i="2"/>
  <c r="AC276" i="24"/>
  <c r="BI177" i="15" s="1"/>
  <c r="AA130" i="24"/>
  <c r="BG118" i="15" s="1"/>
  <c r="S104" i="24"/>
  <c r="AY92" i="15" s="1"/>
  <c r="X101" i="24"/>
  <c r="BD89" i="15" s="1"/>
  <c r="V72" i="24"/>
  <c r="BB60" i="15" s="1"/>
  <c r="U246" i="24"/>
  <c r="BA147" i="15" s="1"/>
  <c r="S283" i="24"/>
  <c r="AY184" i="15" s="1"/>
  <c r="AB304" i="24"/>
  <c r="BH205" i="15" s="1"/>
  <c r="T304" i="24"/>
  <c r="AZ205" i="15" s="1"/>
  <c r="V101" i="24"/>
  <c r="BB89" i="15" s="1"/>
  <c r="AC101" i="24"/>
  <c r="BI89" i="15" s="1"/>
  <c r="S137" i="24"/>
  <c r="AY125" i="15" s="1"/>
  <c r="U131" i="24"/>
  <c r="BA119" i="15" s="1"/>
  <c r="AE275" i="24"/>
  <c r="BK176" i="15" s="1"/>
  <c r="W305" i="24"/>
  <c r="BC206" i="15" s="1"/>
  <c r="X131" i="24"/>
  <c r="BD119" i="15" s="1"/>
  <c r="P18" i="26"/>
  <c r="P32" i="15"/>
  <c r="S309" i="24"/>
  <c r="AY210" i="15" s="1"/>
  <c r="AA72" i="24"/>
  <c r="BG60" i="15" s="1"/>
  <c r="AB246" i="24"/>
  <c r="BH147" i="15" s="1"/>
  <c r="S131" i="24"/>
  <c r="AY119" i="15" s="1"/>
  <c r="X247" i="24"/>
  <c r="BD148" i="15" s="1"/>
  <c r="S133" i="24"/>
  <c r="AY121" i="15" s="1"/>
  <c r="V130" i="24"/>
  <c r="BB118" i="15" s="1"/>
  <c r="R76" i="24"/>
  <c r="AX64" i="15" s="1"/>
  <c r="S284" i="24"/>
  <c r="AY185" i="15" s="1"/>
  <c r="S76" i="24"/>
  <c r="AY64" i="15" s="1"/>
  <c r="V102" i="24"/>
  <c r="BB90" i="15" s="1"/>
  <c r="X130" i="24"/>
  <c r="BD118" i="15" s="1"/>
  <c r="AD246" i="24"/>
  <c r="BJ147" i="15" s="1"/>
  <c r="S108" i="24"/>
  <c r="AY96" i="15" s="1"/>
  <c r="AE246" i="24"/>
  <c r="BK147" i="15" s="1"/>
  <c r="S107" i="24"/>
  <c r="AY95" i="15" s="1"/>
  <c r="X72" i="24"/>
  <c r="BD60" i="15" s="1"/>
  <c r="R74" i="24"/>
  <c r="AX62" i="15" s="1"/>
  <c r="T275" i="24"/>
  <c r="AZ176" i="15" s="1"/>
  <c r="S250" i="24"/>
  <c r="AY151" i="15" s="1"/>
  <c r="R72" i="24"/>
  <c r="AX60" i="15" s="1"/>
  <c r="Q82" i="24"/>
  <c r="R100" i="24"/>
  <c r="AX88" i="15" s="1"/>
  <c r="Q111" i="24"/>
  <c r="P36" i="15" s="1"/>
  <c r="S248" i="24"/>
  <c r="AY149" i="15" s="1"/>
  <c r="S136" i="24"/>
  <c r="AY124" i="15" s="1"/>
  <c r="S276" i="24"/>
  <c r="AY177" i="15" s="1"/>
  <c r="P14" i="2"/>
  <c r="Q87" i="18"/>
  <c r="AV5" i="18" s="1"/>
  <c r="O22" i="2"/>
  <c r="O23" i="2" s="1"/>
  <c r="S246" i="24"/>
  <c r="AY147" i="15" s="1"/>
  <c r="R15" i="26"/>
  <c r="R2" i="26"/>
  <c r="P16" i="26"/>
  <c r="P20" i="2"/>
  <c r="P21" i="2" s="1"/>
  <c r="S362" i="24"/>
  <c r="R372" i="24"/>
  <c r="Q29" i="16" s="1"/>
  <c r="S217" i="24"/>
  <c r="R227" i="24"/>
  <c r="AC363" i="24"/>
  <c r="U304" i="24"/>
  <c r="BA205" i="15" s="1"/>
  <c r="X159" i="24"/>
  <c r="U333" i="24"/>
  <c r="T343" i="24"/>
  <c r="T159" i="24"/>
  <c r="S169" i="24"/>
  <c r="R28" i="16" s="1"/>
  <c r="T101" i="24"/>
  <c r="AZ89" i="15" s="1"/>
  <c r="AB159" i="24"/>
  <c r="W362" i="24"/>
  <c r="AE197" i="24"/>
  <c r="AE198" i="24" s="1"/>
  <c r="AD198" i="24"/>
  <c r="Y72" i="24"/>
  <c r="BE60" i="15" s="1"/>
  <c r="AE101" i="24"/>
  <c r="BK89" i="15" s="1"/>
  <c r="X218" i="24"/>
  <c r="Y219" i="24" s="1"/>
  <c r="Z220" i="24" s="1"/>
  <c r="AA221" i="24" s="1"/>
  <c r="AB222" i="24" s="1"/>
  <c r="AC223" i="24" s="1"/>
  <c r="AD224" i="24" s="1"/>
  <c r="Z101" i="24"/>
  <c r="BF89" i="15" s="1"/>
  <c r="AA333" i="24"/>
  <c r="AC72" i="24"/>
  <c r="BI60" i="15" s="1"/>
  <c r="U72" i="24"/>
  <c r="BA60" i="15" s="1"/>
  <c r="T188" i="24"/>
  <c r="S198" i="24"/>
  <c r="AA275" i="24"/>
  <c r="BG176" i="15" s="1"/>
  <c r="S130" i="24"/>
  <c r="AY118" i="15" s="1"/>
  <c r="R140" i="24"/>
  <c r="Q37" i="15" s="1"/>
  <c r="U247" i="24"/>
  <c r="BA148" i="15" s="1"/>
  <c r="AC333" i="24"/>
  <c r="AC217" i="24"/>
  <c r="AD304" i="24"/>
  <c r="BJ205" i="15" s="1"/>
  <c r="N11" i="26" l="1"/>
  <c r="M16" i="2"/>
  <c r="M17" i="2" s="1"/>
  <c r="M12" i="26"/>
  <c r="AX70" i="15"/>
  <c r="N11" i="2"/>
  <c r="Q116" i="18"/>
  <c r="AV6" i="18" s="1"/>
  <c r="P15" i="2"/>
  <c r="S55" i="2"/>
  <c r="T57" i="2"/>
  <c r="Q30" i="16"/>
  <c r="Q31" i="16" s="1"/>
  <c r="AY128" i="15"/>
  <c r="AY215" i="15"/>
  <c r="AY186" i="15"/>
  <c r="AX99" i="15"/>
  <c r="S97" i="2"/>
  <c r="O11" i="2"/>
  <c r="R96" i="2"/>
  <c r="T47" i="26"/>
  <c r="R8" i="26"/>
  <c r="P35" i="15"/>
  <c r="S54" i="2"/>
  <c r="R174" i="18"/>
  <c r="AW8" i="18" s="1"/>
  <c r="Q40" i="15"/>
  <c r="P9" i="26"/>
  <c r="O4" i="2"/>
  <c r="R76" i="26"/>
  <c r="Q3" i="26" s="1"/>
  <c r="T58" i="2"/>
  <c r="P10" i="2"/>
  <c r="S69" i="2" s="1"/>
  <c r="R145" i="18"/>
  <c r="AW7" i="18" s="1"/>
  <c r="Q39" i="15"/>
  <c r="P9" i="2"/>
  <c r="Q58" i="18"/>
  <c r="AV4" i="18" s="1"/>
  <c r="Q99" i="15"/>
  <c r="P28" i="15" s="1"/>
  <c r="T109" i="24"/>
  <c r="AZ97" i="15" s="1"/>
  <c r="Y131" i="24"/>
  <c r="BE119" i="15" s="1"/>
  <c r="T77" i="24"/>
  <c r="AZ65" i="15" s="1"/>
  <c r="S77" i="24"/>
  <c r="AY65" i="15" s="1"/>
  <c r="T132" i="24"/>
  <c r="AZ120" i="15" s="1"/>
  <c r="AB73" i="24"/>
  <c r="BH61" i="15" s="1"/>
  <c r="T284" i="24"/>
  <c r="AZ185" i="15" s="1"/>
  <c r="AB131" i="24"/>
  <c r="BH119" i="15" s="1"/>
  <c r="T139" i="24"/>
  <c r="AZ127" i="15" s="1"/>
  <c r="Z131" i="24"/>
  <c r="BF119" i="15" s="1"/>
  <c r="S255" i="24"/>
  <c r="AY156" i="15" s="1"/>
  <c r="AY157" i="15" s="1"/>
  <c r="X73" i="24"/>
  <c r="BD61" i="15" s="1"/>
  <c r="T73" i="24"/>
  <c r="AZ61" i="15" s="1"/>
  <c r="AC102" i="24"/>
  <c r="BI90" i="15" s="1"/>
  <c r="T135" i="24"/>
  <c r="AZ123" i="15" s="1"/>
  <c r="AC73" i="24"/>
  <c r="BI61" i="15" s="1"/>
  <c r="T254" i="24"/>
  <c r="AZ155" i="15" s="1"/>
  <c r="T305" i="24"/>
  <c r="AZ206" i="15" s="1"/>
  <c r="S314" i="24"/>
  <c r="S215" i="15" s="1"/>
  <c r="AB247" i="24"/>
  <c r="BH148" i="15" s="1"/>
  <c r="W276" i="24"/>
  <c r="BC177" i="15" s="1"/>
  <c r="T313" i="24"/>
  <c r="AZ214" i="15" s="1"/>
  <c r="R256" i="24"/>
  <c r="R157" i="15" s="1"/>
  <c r="Q30" i="15" s="1"/>
  <c r="T137" i="24"/>
  <c r="AZ125" i="15" s="1"/>
  <c r="S73" i="24"/>
  <c r="AY61" i="15" s="1"/>
  <c r="U276" i="24"/>
  <c r="BA177" i="15" s="1"/>
  <c r="Y73" i="24"/>
  <c r="BE61" i="15" s="1"/>
  <c r="X306" i="24"/>
  <c r="BD207" i="15" s="1"/>
  <c r="V132" i="24"/>
  <c r="BB120" i="15" s="1"/>
  <c r="AD102" i="24"/>
  <c r="BJ90" i="15" s="1"/>
  <c r="U305" i="24"/>
  <c r="BA206" i="15" s="1"/>
  <c r="W73" i="24"/>
  <c r="BC61" i="15" s="1"/>
  <c r="T105" i="24"/>
  <c r="AZ93" i="15" s="1"/>
  <c r="Y276" i="24"/>
  <c r="BE177" i="15" s="1"/>
  <c r="AC103" i="24"/>
  <c r="BI91" i="15" s="1"/>
  <c r="V276" i="24"/>
  <c r="BB177" i="15" s="1"/>
  <c r="T278" i="24"/>
  <c r="AZ179" i="15" s="1"/>
  <c r="Z276" i="24"/>
  <c r="BF177" i="15" s="1"/>
  <c r="T306" i="24"/>
  <c r="AZ207" i="15" s="1"/>
  <c r="U284" i="24"/>
  <c r="BA185" i="15" s="1"/>
  <c r="Y305" i="24"/>
  <c r="BE206" i="15" s="1"/>
  <c r="T136" i="24"/>
  <c r="AZ124" i="15" s="1"/>
  <c r="T276" i="24"/>
  <c r="AZ177" i="15" s="1"/>
  <c r="S285" i="24"/>
  <c r="S186" i="15" s="1"/>
  <c r="R31" i="15" s="1"/>
  <c r="AB305" i="24"/>
  <c r="BH206" i="15" s="1"/>
  <c r="T79" i="24"/>
  <c r="AZ67" i="15" s="1"/>
  <c r="Z305" i="24"/>
  <c r="BF206" i="15" s="1"/>
  <c r="T252" i="24"/>
  <c r="AZ153" i="15" s="1"/>
  <c r="AE276" i="24"/>
  <c r="BK177" i="15" s="1"/>
  <c r="U312" i="24"/>
  <c r="BA213" i="15" s="1"/>
  <c r="X305" i="24"/>
  <c r="BD206" i="15" s="1"/>
  <c r="AD247" i="24"/>
  <c r="BJ148" i="15" s="1"/>
  <c r="T281" i="24"/>
  <c r="AZ182" i="15" s="1"/>
  <c r="S79" i="24"/>
  <c r="AY67" i="15" s="1"/>
  <c r="T280" i="24"/>
  <c r="AZ181" i="15" s="1"/>
  <c r="AA131" i="24"/>
  <c r="BG119" i="15" s="1"/>
  <c r="T307" i="24"/>
  <c r="AZ208" i="15" s="1"/>
  <c r="AA305" i="24"/>
  <c r="BG206" i="15" s="1"/>
  <c r="AB248" i="24"/>
  <c r="BH149" i="15" s="1"/>
  <c r="T277" i="24"/>
  <c r="AZ178" i="15" s="1"/>
  <c r="T249" i="24"/>
  <c r="AZ150" i="15" s="1"/>
  <c r="S101" i="24"/>
  <c r="AY89" i="15" s="1"/>
  <c r="R111" i="24"/>
  <c r="Q36" i="15" s="1"/>
  <c r="AE247" i="24"/>
  <c r="BK148" i="15" s="1"/>
  <c r="W103" i="24"/>
  <c r="BC91" i="15" s="1"/>
  <c r="W131" i="24"/>
  <c r="BC119" i="15" s="1"/>
  <c r="Y248" i="24"/>
  <c r="BE149" i="15" s="1"/>
  <c r="AC247" i="24"/>
  <c r="BI148" i="15" s="1"/>
  <c r="T310" i="24"/>
  <c r="AZ211" i="15" s="1"/>
  <c r="T138" i="24"/>
  <c r="AZ126" i="15" s="1"/>
  <c r="AD277" i="24"/>
  <c r="BJ178" i="15" s="1"/>
  <c r="X276" i="24"/>
  <c r="BD177" i="15" s="1"/>
  <c r="AA276" i="24"/>
  <c r="BG177" i="15" s="1"/>
  <c r="T248" i="24"/>
  <c r="AZ149" i="15" s="1"/>
  <c r="R82" i="24"/>
  <c r="U73" i="24"/>
  <c r="BA61" i="15" s="1"/>
  <c r="AD132" i="24"/>
  <c r="BJ120" i="15" s="1"/>
  <c r="T106" i="24"/>
  <c r="AZ94" i="15" s="1"/>
  <c r="AA248" i="24"/>
  <c r="BG149" i="15" s="1"/>
  <c r="Y247" i="24"/>
  <c r="BE148" i="15" s="1"/>
  <c r="Q18" i="26"/>
  <c r="Q32" i="15"/>
  <c r="R87" i="18"/>
  <c r="AW5" i="18" s="1"/>
  <c r="R128" i="15"/>
  <c r="Q29" i="15" s="1"/>
  <c r="P2" i="2"/>
  <c r="Q29" i="18"/>
  <c r="AV3" i="18" s="1"/>
  <c r="Q70" i="15"/>
  <c r="P27" i="15" s="1"/>
  <c r="T251" i="24"/>
  <c r="AZ152" i="15" s="1"/>
  <c r="S75" i="24"/>
  <c r="AY63" i="15" s="1"/>
  <c r="T108" i="24"/>
  <c r="AZ96" i="15" s="1"/>
  <c r="T134" i="24"/>
  <c r="AZ122" i="15" s="1"/>
  <c r="Y132" i="24"/>
  <c r="BE120" i="15" s="1"/>
  <c r="W102" i="24"/>
  <c r="BC90" i="15" s="1"/>
  <c r="AC305" i="24"/>
  <c r="BI206" i="15" s="1"/>
  <c r="V247" i="24"/>
  <c r="BB148" i="15" s="1"/>
  <c r="Y102" i="24"/>
  <c r="BE90" i="15" s="1"/>
  <c r="T81" i="24"/>
  <c r="AZ69" i="15" s="1"/>
  <c r="U310" i="24"/>
  <c r="BA211" i="15" s="1"/>
  <c r="T308" i="24"/>
  <c r="AZ209" i="15" s="1"/>
  <c r="AE102" i="24"/>
  <c r="BK90" i="15" s="1"/>
  <c r="T312" i="24"/>
  <c r="AZ213" i="15" s="1"/>
  <c r="T103" i="24"/>
  <c r="AZ91" i="15" s="1"/>
  <c r="T104" i="24"/>
  <c r="AZ92" i="15" s="1"/>
  <c r="T279" i="24"/>
  <c r="AZ180" i="15" s="1"/>
  <c r="T75" i="24"/>
  <c r="AZ63" i="15" s="1"/>
  <c r="X102" i="24"/>
  <c r="BD90" i="15" s="1"/>
  <c r="AE132" i="24"/>
  <c r="BK120" i="15" s="1"/>
  <c r="T253" i="24"/>
  <c r="AZ154" i="15" s="1"/>
  <c r="T250" i="24"/>
  <c r="AZ151" i="15" s="1"/>
  <c r="V131" i="24"/>
  <c r="BB119" i="15" s="1"/>
  <c r="T255" i="24"/>
  <c r="AZ156" i="15" s="1"/>
  <c r="Z102" i="24"/>
  <c r="BF90" i="15" s="1"/>
  <c r="AE73" i="24"/>
  <c r="BK61" i="15" s="1"/>
  <c r="AD276" i="24"/>
  <c r="BJ177" i="15" s="1"/>
  <c r="T282" i="24"/>
  <c r="AZ183" i="15" s="1"/>
  <c r="S109" i="24"/>
  <c r="AY97" i="15" s="1"/>
  <c r="T107" i="24"/>
  <c r="AZ95" i="15" s="1"/>
  <c r="W247" i="24"/>
  <c r="BC148" i="15" s="1"/>
  <c r="AD305" i="24"/>
  <c r="BJ206" i="15" s="1"/>
  <c r="T133" i="24"/>
  <c r="AZ121" i="15" s="1"/>
  <c r="AA73" i="24"/>
  <c r="BG61" i="15" s="1"/>
  <c r="R116" i="18"/>
  <c r="AW6" i="18" s="1"/>
  <c r="T247" i="24"/>
  <c r="AZ148" i="15" s="1"/>
  <c r="S256" i="24"/>
  <c r="S15" i="26"/>
  <c r="S2" i="26"/>
  <c r="Q16" i="26"/>
  <c r="Q20" i="2"/>
  <c r="Q21" i="2" s="1"/>
  <c r="Q14" i="2"/>
  <c r="AD218" i="24"/>
  <c r="AE219" i="24" s="1"/>
  <c r="AC227" i="24"/>
  <c r="V248" i="24"/>
  <c r="BB149" i="15" s="1"/>
  <c r="AB276" i="24"/>
  <c r="BH177" i="15" s="1"/>
  <c r="V73" i="24"/>
  <c r="BB61" i="15" s="1"/>
  <c r="AB334" i="24"/>
  <c r="AE225" i="24"/>
  <c r="Z73" i="24"/>
  <c r="BF61" i="15" s="1"/>
  <c r="AC160" i="24"/>
  <c r="AD161" i="24" s="1"/>
  <c r="AE162" i="24" s="1"/>
  <c r="U160" i="24"/>
  <c r="T169" i="24"/>
  <c r="S28" i="16" s="1"/>
  <c r="Y160" i="24"/>
  <c r="AD364" i="24"/>
  <c r="T363" i="24"/>
  <c r="S372" i="24"/>
  <c r="R29" i="16" s="1"/>
  <c r="AE305" i="24"/>
  <c r="BK206" i="15" s="1"/>
  <c r="AD334" i="24"/>
  <c r="T131" i="24"/>
  <c r="AZ119" i="15" s="1"/>
  <c r="S140" i="24"/>
  <c r="U189" i="24"/>
  <c r="T198" i="24"/>
  <c r="AD73" i="24"/>
  <c r="BJ61" i="15" s="1"/>
  <c r="AA102" i="24"/>
  <c r="BG90" i="15" s="1"/>
  <c r="X363" i="24"/>
  <c r="Y364" i="24" s="1"/>
  <c r="Z365" i="24" s="1"/>
  <c r="AA366" i="24" s="1"/>
  <c r="AB367" i="24" s="1"/>
  <c r="AC368" i="24" s="1"/>
  <c r="AD369" i="24" s="1"/>
  <c r="AE370" i="24" s="1"/>
  <c r="U102" i="24"/>
  <c r="BA90" i="15" s="1"/>
  <c r="V334" i="24"/>
  <c r="U343" i="24"/>
  <c r="V305" i="24"/>
  <c r="BB206" i="15" s="1"/>
  <c r="T218" i="24"/>
  <c r="S227" i="24"/>
  <c r="R31" i="16" l="1"/>
  <c r="Q15" i="2"/>
  <c r="P22" i="2"/>
  <c r="P23" i="2" s="1"/>
  <c r="N16" i="2"/>
  <c r="N17" i="2" s="1"/>
  <c r="N12" i="26"/>
  <c r="R30" i="16"/>
  <c r="O5" i="2"/>
  <c r="R68" i="2"/>
  <c r="O5" i="26" s="1"/>
  <c r="AY99" i="15"/>
  <c r="AY70" i="15"/>
  <c r="AZ157" i="15"/>
  <c r="AZ186" i="15"/>
  <c r="AZ215" i="15"/>
  <c r="AZ128" i="15"/>
  <c r="S96" i="2"/>
  <c r="S157" i="15"/>
  <c r="R30" i="15" s="1"/>
  <c r="T54" i="2"/>
  <c r="P11" i="2"/>
  <c r="S128" i="15"/>
  <c r="R29" i="15" s="1"/>
  <c r="R37" i="15"/>
  <c r="S8" i="26"/>
  <c r="Q10" i="2"/>
  <c r="T69" i="2" s="1"/>
  <c r="P4" i="2"/>
  <c r="S68" i="2" s="1"/>
  <c r="P5" i="26" s="1"/>
  <c r="Q8" i="2"/>
  <c r="Q38" i="15"/>
  <c r="T97" i="2" s="1"/>
  <c r="T55" i="2"/>
  <c r="Q9" i="26"/>
  <c r="R8" i="2"/>
  <c r="R38" i="15"/>
  <c r="U55" i="2"/>
  <c r="Q2" i="2"/>
  <c r="Q35" i="15"/>
  <c r="U47" i="26"/>
  <c r="T2" i="26" s="1"/>
  <c r="S76" i="26"/>
  <c r="R3" i="26" s="1"/>
  <c r="U58" i="2"/>
  <c r="S145" i="18"/>
  <c r="AX7" i="18" s="1"/>
  <c r="R39" i="15"/>
  <c r="S174" i="18"/>
  <c r="AX8" i="18" s="1"/>
  <c r="R40" i="15"/>
  <c r="Q9" i="2"/>
  <c r="P3" i="2"/>
  <c r="U106" i="24"/>
  <c r="BA94" i="15" s="1"/>
  <c r="Z74" i="24"/>
  <c r="BF62" i="15" s="1"/>
  <c r="U74" i="24"/>
  <c r="BA62" i="15" s="1"/>
  <c r="U110" i="24"/>
  <c r="BA98" i="15" s="1"/>
  <c r="X248" i="24"/>
  <c r="BD149" i="15" s="1"/>
  <c r="T110" i="24"/>
  <c r="AZ98" i="15" s="1"/>
  <c r="U251" i="24"/>
  <c r="BA152" i="15" s="1"/>
  <c r="U76" i="24"/>
  <c r="BA64" i="15" s="1"/>
  <c r="U105" i="24"/>
  <c r="BA93" i="15" s="1"/>
  <c r="U309" i="24"/>
  <c r="BA210" i="15" s="1"/>
  <c r="W248" i="24"/>
  <c r="BC149" i="15" s="1"/>
  <c r="X103" i="24"/>
  <c r="BD91" i="15" s="1"/>
  <c r="U135" i="24"/>
  <c r="BA123" i="15" s="1"/>
  <c r="T76" i="24"/>
  <c r="AZ64" i="15" s="1"/>
  <c r="Z248" i="24"/>
  <c r="BF149" i="15" s="1"/>
  <c r="AE278" i="24"/>
  <c r="BK179" i="15" s="1"/>
  <c r="U311" i="24"/>
  <c r="BA212" i="15" s="1"/>
  <c r="Z249" i="24"/>
  <c r="BF150" i="15" s="1"/>
  <c r="R58" i="18"/>
  <c r="AW4" i="18" s="1"/>
  <c r="R99" i="15"/>
  <c r="Q28" i="15" s="1"/>
  <c r="U250" i="24"/>
  <c r="BA151" i="15" s="1"/>
  <c r="U253" i="24"/>
  <c r="BA154" i="15" s="1"/>
  <c r="U80" i="24"/>
  <c r="BA68" i="15" s="1"/>
  <c r="AA277" i="24"/>
  <c r="BG178" i="15" s="1"/>
  <c r="U138" i="24"/>
  <c r="BA126" i="15" s="1"/>
  <c r="AC248" i="24"/>
  <c r="BI149" i="15" s="1"/>
  <c r="U306" i="24"/>
  <c r="BA207" i="15" s="1"/>
  <c r="T314" i="24"/>
  <c r="T215" i="15" s="1"/>
  <c r="AD74" i="24"/>
  <c r="BJ62" i="15" s="1"/>
  <c r="AD103" i="24"/>
  <c r="BJ91" i="15" s="1"/>
  <c r="U283" i="24"/>
  <c r="BA184" i="15" s="1"/>
  <c r="R29" i="18"/>
  <c r="AW3" i="18" s="1"/>
  <c r="R70" i="15"/>
  <c r="Q27" i="15" s="1"/>
  <c r="AB132" i="24"/>
  <c r="BH120" i="15" s="1"/>
  <c r="V313" i="24"/>
  <c r="BB214" i="15" s="1"/>
  <c r="AD104" i="24"/>
  <c r="BJ92" i="15" s="1"/>
  <c r="W133" i="24"/>
  <c r="BC121" i="15" s="1"/>
  <c r="T74" i="24"/>
  <c r="AZ62" i="15" s="1"/>
  <c r="T285" i="24"/>
  <c r="T186" i="15" s="1"/>
  <c r="S31" i="15" s="1"/>
  <c r="U78" i="24"/>
  <c r="BA66" i="15" s="1"/>
  <c r="R18" i="26"/>
  <c r="R32" i="15"/>
  <c r="AE277" i="24"/>
  <c r="BK178" i="15" s="1"/>
  <c r="U107" i="24"/>
  <c r="BA95" i="15" s="1"/>
  <c r="V74" i="24"/>
  <c r="BB62" i="15" s="1"/>
  <c r="U249" i="24"/>
  <c r="BA150" i="15" s="1"/>
  <c r="U139" i="24"/>
  <c r="BA127" i="15" s="1"/>
  <c r="X104" i="24"/>
  <c r="BD92" i="15" s="1"/>
  <c r="AC249" i="24"/>
  <c r="BI150" i="15" s="1"/>
  <c r="U308" i="24"/>
  <c r="BA209" i="15" s="1"/>
  <c r="U281" i="24"/>
  <c r="BA182" i="15" s="1"/>
  <c r="U282" i="24"/>
  <c r="BA183" i="15" s="1"/>
  <c r="Y306" i="24"/>
  <c r="BE207" i="15" s="1"/>
  <c r="U277" i="24"/>
  <c r="BA178" i="15" s="1"/>
  <c r="Z306" i="24"/>
  <c r="BF207" i="15" s="1"/>
  <c r="U307" i="24"/>
  <c r="BA208" i="15" s="1"/>
  <c r="W277" i="24"/>
  <c r="BC178" i="15" s="1"/>
  <c r="Z277" i="24"/>
  <c r="BF178" i="15" s="1"/>
  <c r="X74" i="24"/>
  <c r="BD62" i="15" s="1"/>
  <c r="AE103" i="24"/>
  <c r="BK91" i="15" s="1"/>
  <c r="Y307" i="24"/>
  <c r="BE208" i="15" s="1"/>
  <c r="V277" i="24"/>
  <c r="BB178" i="15" s="1"/>
  <c r="S82" i="24"/>
  <c r="Y74" i="24"/>
  <c r="BE62" i="15" s="1"/>
  <c r="AA132" i="24"/>
  <c r="BG120" i="15" s="1"/>
  <c r="AC132" i="24"/>
  <c r="BI120" i="15" s="1"/>
  <c r="AC74" i="24"/>
  <c r="BI62" i="15" s="1"/>
  <c r="T78" i="24"/>
  <c r="AZ66" i="15" s="1"/>
  <c r="Z132" i="24"/>
  <c r="BF120" i="15" s="1"/>
  <c r="U134" i="24"/>
  <c r="BA122" i="15" s="1"/>
  <c r="U313" i="24"/>
  <c r="BA214" i="15" s="1"/>
  <c r="AE133" i="24"/>
  <c r="BK121" i="15" s="1"/>
  <c r="AB277" i="24"/>
  <c r="BH178" i="15" s="1"/>
  <c r="AB306" i="24"/>
  <c r="BH207" i="15" s="1"/>
  <c r="T80" i="24"/>
  <c r="AZ68" i="15" s="1"/>
  <c r="AE248" i="24"/>
  <c r="BK149" i="15" s="1"/>
  <c r="U137" i="24"/>
  <c r="BA125" i="15" s="1"/>
  <c r="V306" i="24"/>
  <c r="BB207" i="15" s="1"/>
  <c r="U133" i="24"/>
  <c r="BA121" i="15" s="1"/>
  <c r="AB74" i="24"/>
  <c r="BH62" i="15" s="1"/>
  <c r="AE306" i="24"/>
  <c r="BK207" i="15" s="1"/>
  <c r="U108" i="24"/>
  <c r="BA96" i="15" s="1"/>
  <c r="AA103" i="24"/>
  <c r="BG91" i="15" s="1"/>
  <c r="W132" i="24"/>
  <c r="BC120" i="15" s="1"/>
  <c r="U254" i="24"/>
  <c r="BA155" i="15" s="1"/>
  <c r="Y103" i="24"/>
  <c r="BE91" i="15" s="1"/>
  <c r="U280" i="24"/>
  <c r="BA181" i="15" s="1"/>
  <c r="U104" i="24"/>
  <c r="BA92" i="15" s="1"/>
  <c r="V311" i="24"/>
  <c r="BB212" i="15" s="1"/>
  <c r="Z103" i="24"/>
  <c r="BF91" i="15" s="1"/>
  <c r="AD306" i="24"/>
  <c r="BJ207" i="15" s="1"/>
  <c r="Z133" i="24"/>
  <c r="BF121" i="15" s="1"/>
  <c r="U109" i="24"/>
  <c r="BA97" i="15" s="1"/>
  <c r="U252" i="24"/>
  <c r="BA153" i="15" s="1"/>
  <c r="AB249" i="24"/>
  <c r="BH150" i="15" s="1"/>
  <c r="Y277" i="24"/>
  <c r="BE178" i="15" s="1"/>
  <c r="AD248" i="24"/>
  <c r="BJ149" i="15" s="1"/>
  <c r="X132" i="24"/>
  <c r="BD120" i="15" s="1"/>
  <c r="T102" i="24"/>
  <c r="AZ90" i="15" s="1"/>
  <c r="S111" i="24"/>
  <c r="R36" i="15" s="1"/>
  <c r="U278" i="24"/>
  <c r="BA179" i="15" s="1"/>
  <c r="AA306" i="24"/>
  <c r="BG207" i="15" s="1"/>
  <c r="AC306" i="24"/>
  <c r="BI207" i="15" s="1"/>
  <c r="U279" i="24"/>
  <c r="BA180" i="15" s="1"/>
  <c r="X277" i="24"/>
  <c r="BD178" i="15" s="1"/>
  <c r="U255" i="24"/>
  <c r="BA156" i="15" s="1"/>
  <c r="U136" i="24"/>
  <c r="BA124" i="15" s="1"/>
  <c r="S87" i="18"/>
  <c r="AX5" i="18" s="1"/>
  <c r="S116" i="18"/>
  <c r="AX6" i="18" s="1"/>
  <c r="U248" i="24"/>
  <c r="BA149" i="15" s="1"/>
  <c r="T256" i="24"/>
  <c r="T157" i="15" s="1"/>
  <c r="S30" i="15" s="1"/>
  <c r="R16" i="26"/>
  <c r="R20" i="2"/>
  <c r="R21" i="2" s="1"/>
  <c r="T15" i="26"/>
  <c r="R14" i="2"/>
  <c r="W306" i="24"/>
  <c r="BC207" i="15" s="1"/>
  <c r="V103" i="24"/>
  <c r="BB91" i="15" s="1"/>
  <c r="AE74" i="24"/>
  <c r="BK62" i="15" s="1"/>
  <c r="U132" i="24"/>
  <c r="BA120" i="15" s="1"/>
  <c r="T140" i="24"/>
  <c r="AE365" i="24"/>
  <c r="AE372" i="24" s="1"/>
  <c r="AD16" i="26" s="1"/>
  <c r="AD372" i="24"/>
  <c r="AC16" i="26" s="1"/>
  <c r="V161" i="24"/>
  <c r="U169" i="24"/>
  <c r="T28" i="16" s="1"/>
  <c r="AA74" i="24"/>
  <c r="BG62" i="15" s="1"/>
  <c r="AC335" i="24"/>
  <c r="AC277" i="24"/>
  <c r="BI178" i="15" s="1"/>
  <c r="AD227" i="24"/>
  <c r="U219" i="24"/>
  <c r="T227" i="24"/>
  <c r="W335" i="24"/>
  <c r="V343" i="24"/>
  <c r="AB103" i="24"/>
  <c r="BH91" i="15" s="1"/>
  <c r="V190" i="24"/>
  <c r="U198" i="24"/>
  <c r="AE335" i="24"/>
  <c r="U364" i="24"/>
  <c r="T372" i="24"/>
  <c r="S29" i="16" s="1"/>
  <c r="Z161" i="24"/>
  <c r="AA162" i="24" s="1"/>
  <c r="AB163" i="24" s="1"/>
  <c r="AC164" i="24" s="1"/>
  <c r="AD165" i="24" s="1"/>
  <c r="AE227" i="24"/>
  <c r="W74" i="24"/>
  <c r="BC62" i="15" s="1"/>
  <c r="W249" i="24"/>
  <c r="BC150" i="15" s="1"/>
  <c r="AC372" i="24"/>
  <c r="AB16" i="26" s="1"/>
  <c r="R15" i="2" l="1"/>
  <c r="O11" i="26"/>
  <c r="S30" i="16"/>
  <c r="S31" i="16" s="1"/>
  <c r="P11" i="26"/>
  <c r="AZ70" i="15"/>
  <c r="BA186" i="15"/>
  <c r="BA128" i="15"/>
  <c r="BA157" i="15"/>
  <c r="AZ99" i="15"/>
  <c r="BA215" i="15"/>
  <c r="Q22" i="2"/>
  <c r="Q23" i="2" s="1"/>
  <c r="Q11" i="2"/>
  <c r="U97" i="2"/>
  <c r="P5" i="2"/>
  <c r="R35" i="15"/>
  <c r="Q4" i="2"/>
  <c r="T68" i="2" s="1"/>
  <c r="Q5" i="26" s="1"/>
  <c r="V47" i="26"/>
  <c r="U2" i="26" s="1"/>
  <c r="T128" i="15"/>
  <c r="S29" i="15" s="1"/>
  <c r="S37" i="15"/>
  <c r="R9" i="26"/>
  <c r="R22" i="2" s="1"/>
  <c r="R23" i="2" s="1"/>
  <c r="R10" i="2"/>
  <c r="U69" i="2" s="1"/>
  <c r="R2" i="2"/>
  <c r="T76" i="26"/>
  <c r="S3" i="26" s="1"/>
  <c r="V58" i="2"/>
  <c r="T8" i="26"/>
  <c r="T145" i="18"/>
  <c r="AY7" i="18" s="1"/>
  <c r="S39" i="15"/>
  <c r="S8" i="2"/>
  <c r="V55" i="2"/>
  <c r="S38" i="15"/>
  <c r="T96" i="2"/>
  <c r="T174" i="18"/>
  <c r="AY8" i="18" s="1"/>
  <c r="S40" i="15"/>
  <c r="Q3" i="2"/>
  <c r="R9" i="2"/>
  <c r="V309" i="24"/>
  <c r="BB210" i="15" s="1"/>
  <c r="V79" i="24"/>
  <c r="BB67" i="15" s="1"/>
  <c r="V312" i="24"/>
  <c r="BB213" i="15" s="1"/>
  <c r="U77" i="24"/>
  <c r="BA65" i="15" s="1"/>
  <c r="Y249" i="24"/>
  <c r="BE150" i="15" s="1"/>
  <c r="T82" i="24"/>
  <c r="AA75" i="24"/>
  <c r="BG63" i="15" s="1"/>
  <c r="AD307" i="24"/>
  <c r="BJ208" i="15" s="1"/>
  <c r="V279" i="24"/>
  <c r="BB180" i="15" s="1"/>
  <c r="Z278" i="24"/>
  <c r="BF179" i="15" s="1"/>
  <c r="V253" i="24"/>
  <c r="BB154" i="15" s="1"/>
  <c r="AA134" i="24"/>
  <c r="BG122" i="15" s="1"/>
  <c r="AA104" i="24"/>
  <c r="BG92" i="15" s="1"/>
  <c r="V105" i="24"/>
  <c r="BB93" i="15" s="1"/>
  <c r="Z104" i="24"/>
  <c r="BF92" i="15" s="1"/>
  <c r="X133" i="24"/>
  <c r="BD121" i="15" s="1"/>
  <c r="V109" i="24"/>
  <c r="BB97" i="15" s="1"/>
  <c r="U81" i="24"/>
  <c r="BA69" i="15" s="1"/>
  <c r="AC278" i="24"/>
  <c r="BI179" i="15" s="1"/>
  <c r="U79" i="24"/>
  <c r="BA67" i="15" s="1"/>
  <c r="AD133" i="24"/>
  <c r="BJ121" i="15" s="1"/>
  <c r="Z75" i="24"/>
  <c r="BF63" i="15" s="1"/>
  <c r="V308" i="24"/>
  <c r="BB209" i="15" s="1"/>
  <c r="V278" i="24"/>
  <c r="BB179" i="15" s="1"/>
  <c r="U285" i="24"/>
  <c r="U186" i="15" s="1"/>
  <c r="T31" i="15" s="1"/>
  <c r="V283" i="24"/>
  <c r="BB184" i="15" s="1"/>
  <c r="Y105" i="24"/>
  <c r="BE93" i="15" s="1"/>
  <c r="V250" i="24"/>
  <c r="BB151" i="15" s="1"/>
  <c r="V108" i="24"/>
  <c r="BB96" i="15" s="1"/>
  <c r="U75" i="24"/>
  <c r="BA63" i="15" s="1"/>
  <c r="AE105" i="24"/>
  <c r="BK93" i="15" s="1"/>
  <c r="V284" i="24"/>
  <c r="BB185" i="15" s="1"/>
  <c r="V307" i="24"/>
  <c r="BB208" i="15" s="1"/>
  <c r="BB215" i="15" s="1"/>
  <c r="U314" i="24"/>
  <c r="U215" i="15" s="1"/>
  <c r="V139" i="24"/>
  <c r="BB127" i="15" s="1"/>
  <c r="AB278" i="24"/>
  <c r="BH179" i="15" s="1"/>
  <c r="V254" i="24"/>
  <c r="BB155" i="15" s="1"/>
  <c r="AA249" i="24"/>
  <c r="BG150" i="15" s="1"/>
  <c r="V310" i="24"/>
  <c r="BB211" i="15" s="1"/>
  <c r="V77" i="24"/>
  <c r="BB65" i="15" s="1"/>
  <c r="V137" i="24"/>
  <c r="BB125" i="15" s="1"/>
  <c r="W278" i="24"/>
  <c r="BC179" i="15" s="1"/>
  <c r="AE104" i="24"/>
  <c r="BK92" i="15" s="1"/>
  <c r="S58" i="18"/>
  <c r="AX4" i="18" s="1"/>
  <c r="S99" i="15"/>
  <c r="R28" i="15" s="1"/>
  <c r="AE249" i="24"/>
  <c r="BK150" i="15" s="1"/>
  <c r="W312" i="24"/>
  <c r="BC213" i="15" s="1"/>
  <c r="W307" i="24"/>
  <c r="BC208" i="15" s="1"/>
  <c r="V135" i="24"/>
  <c r="BB123" i="15" s="1"/>
  <c r="S29" i="18"/>
  <c r="AX3" i="18" s="1"/>
  <c r="S70" i="15"/>
  <c r="R27" i="15" s="1"/>
  <c r="Z308" i="24"/>
  <c r="BF209" i="15" s="1"/>
  <c r="Y75" i="24"/>
  <c r="BE63" i="15" s="1"/>
  <c r="W75" i="24"/>
  <c r="BC63" i="15" s="1"/>
  <c r="AC133" i="24"/>
  <c r="BI121" i="15" s="1"/>
  <c r="AE75" i="24"/>
  <c r="BK63" i="15" s="1"/>
  <c r="V136" i="24"/>
  <c r="BB124" i="15" s="1"/>
  <c r="X249" i="24"/>
  <c r="BD150" i="15" s="1"/>
  <c r="V75" i="24"/>
  <c r="BB63" i="15" s="1"/>
  <c r="V107" i="24"/>
  <c r="BB95" i="15" s="1"/>
  <c r="S18" i="26"/>
  <c r="S32" i="15"/>
  <c r="Y278" i="24"/>
  <c r="BE179" i="15" s="1"/>
  <c r="U103" i="24"/>
  <c r="BA91" i="15" s="1"/>
  <c r="BA99" i="15" s="1"/>
  <c r="T111" i="24"/>
  <c r="S36" i="15" s="1"/>
  <c r="Y133" i="24"/>
  <c r="BE121" i="15" s="1"/>
  <c r="AC75" i="24"/>
  <c r="BI63" i="15" s="1"/>
  <c r="AA278" i="24"/>
  <c r="BG179" i="15" s="1"/>
  <c r="Y104" i="24"/>
  <c r="BE92" i="15" s="1"/>
  <c r="V280" i="24"/>
  <c r="BB181" i="15" s="1"/>
  <c r="AB307" i="24"/>
  <c r="BH208" i="15" s="1"/>
  <c r="AC250" i="24"/>
  <c r="BI151" i="15" s="1"/>
  <c r="V110" i="24"/>
  <c r="BB98" i="15" s="1"/>
  <c r="AE307" i="24"/>
  <c r="BK208" i="15" s="1"/>
  <c r="V281" i="24"/>
  <c r="BB182" i="15" s="1"/>
  <c r="V255" i="24"/>
  <c r="BB156" i="15" s="1"/>
  <c r="AB104" i="24"/>
  <c r="BH92" i="15" s="1"/>
  <c r="V134" i="24"/>
  <c r="BB122" i="15" s="1"/>
  <c r="V138" i="24"/>
  <c r="BB126" i="15" s="1"/>
  <c r="AC307" i="24"/>
  <c r="BI208" i="15" s="1"/>
  <c r="AA133" i="24"/>
  <c r="BG121" i="15" s="1"/>
  <c r="AD75" i="24"/>
  <c r="BJ63" i="15" s="1"/>
  <c r="AB133" i="24"/>
  <c r="BH121" i="15" s="1"/>
  <c r="X278" i="24"/>
  <c r="BD179" i="15" s="1"/>
  <c r="AA307" i="24"/>
  <c r="BG208" i="15" s="1"/>
  <c r="Z307" i="24"/>
  <c r="BF208" i="15" s="1"/>
  <c r="V282" i="24"/>
  <c r="BB183" i="15" s="1"/>
  <c r="AD250" i="24"/>
  <c r="BJ151" i="15" s="1"/>
  <c r="X134" i="24"/>
  <c r="BD122" i="15" s="1"/>
  <c r="AD249" i="24"/>
  <c r="BJ150" i="15" s="1"/>
  <c r="V81" i="24"/>
  <c r="BB69" i="15" s="1"/>
  <c r="V251" i="24"/>
  <c r="BB152" i="15" s="1"/>
  <c r="AA250" i="24"/>
  <c r="BG151" i="15" s="1"/>
  <c r="V106" i="24"/>
  <c r="BB94" i="15" s="1"/>
  <c r="V252" i="24"/>
  <c r="BB153" i="15" s="1"/>
  <c r="T87" i="18"/>
  <c r="AY5" i="18" s="1"/>
  <c r="T116" i="18"/>
  <c r="AY6" i="18" s="1"/>
  <c r="V249" i="24"/>
  <c r="BB150" i="15" s="1"/>
  <c r="U256" i="24"/>
  <c r="U157" i="15" s="1"/>
  <c r="T30" i="15" s="1"/>
  <c r="S16" i="26"/>
  <c r="S20" i="2"/>
  <c r="S21" i="2" s="1"/>
  <c r="S14" i="2"/>
  <c r="U15" i="26"/>
  <c r="AE166" i="24"/>
  <c r="AE169" i="24" s="1"/>
  <c r="AD169" i="24"/>
  <c r="AC104" i="24"/>
  <c r="BI92" i="15" s="1"/>
  <c r="AD278" i="24"/>
  <c r="BJ179" i="15" s="1"/>
  <c r="AB75" i="24"/>
  <c r="BH63" i="15" s="1"/>
  <c r="X307" i="24"/>
  <c r="BD208" i="15" s="1"/>
  <c r="X75" i="24"/>
  <c r="BD63" i="15" s="1"/>
  <c r="V220" i="24"/>
  <c r="U227" i="24"/>
  <c r="V365" i="24"/>
  <c r="U372" i="24"/>
  <c r="T29" i="16" s="1"/>
  <c r="W191" i="24"/>
  <c r="V198" i="24"/>
  <c r="AD336" i="24"/>
  <c r="W162" i="24"/>
  <c r="V169" i="24"/>
  <c r="U28" i="16" s="1"/>
  <c r="V133" i="24"/>
  <c r="BB121" i="15" s="1"/>
  <c r="U140" i="24"/>
  <c r="W104" i="24"/>
  <c r="BC92" i="15" s="1"/>
  <c r="X250" i="24"/>
  <c r="BD151" i="15" s="1"/>
  <c r="X336" i="24"/>
  <c r="W343" i="24"/>
  <c r="Q11" i="26" l="1"/>
  <c r="P16" i="2"/>
  <c r="P17" i="2" s="1"/>
  <c r="P12" i="26"/>
  <c r="S15" i="2"/>
  <c r="T30" i="16"/>
  <c r="T31" i="16" s="1"/>
  <c r="O16" i="2"/>
  <c r="O17" i="2" s="1"/>
  <c r="O12" i="26"/>
  <c r="BB157" i="15"/>
  <c r="BB186" i="15"/>
  <c r="BB128" i="15"/>
  <c r="BA70" i="15"/>
  <c r="R11" i="2"/>
  <c r="U96" i="2"/>
  <c r="U82" i="24"/>
  <c r="U29" i="18" s="1"/>
  <c r="AZ3" i="18" s="1"/>
  <c r="Q5" i="2"/>
  <c r="V97" i="2"/>
  <c r="W47" i="26"/>
  <c r="V2" i="26" s="1"/>
  <c r="U128" i="15"/>
  <c r="T29" i="15" s="1"/>
  <c r="T37" i="15"/>
  <c r="T8" i="2"/>
  <c r="T38" i="15"/>
  <c r="W55" i="2"/>
  <c r="U174" i="18"/>
  <c r="AZ8" i="18" s="1"/>
  <c r="T40" i="15"/>
  <c r="U145" i="18"/>
  <c r="AZ7" i="18" s="1"/>
  <c r="T39" i="15"/>
  <c r="U8" i="26"/>
  <c r="S9" i="26"/>
  <c r="S10" i="2"/>
  <c r="V69" i="2" s="1"/>
  <c r="R4" i="2"/>
  <c r="U68" i="2" s="1"/>
  <c r="R5" i="26" s="1"/>
  <c r="S35" i="15"/>
  <c r="U76" i="26"/>
  <c r="T3" i="26" s="1"/>
  <c r="W58" i="2"/>
  <c r="R3" i="2"/>
  <c r="S9" i="2"/>
  <c r="X279" i="24"/>
  <c r="BD180" i="15" s="1"/>
  <c r="AB250" i="24"/>
  <c r="BH151" i="15" s="1"/>
  <c r="AD14" i="2"/>
  <c r="W253" i="24"/>
  <c r="BC154" i="15" s="1"/>
  <c r="AB251" i="24"/>
  <c r="BH152" i="15" s="1"/>
  <c r="Y135" i="24"/>
  <c r="BE123" i="15" s="1"/>
  <c r="AE251" i="24"/>
  <c r="BK152" i="15" s="1"/>
  <c r="AA308" i="24"/>
  <c r="BG209" i="15" s="1"/>
  <c r="W135" i="24"/>
  <c r="BC123" i="15" s="1"/>
  <c r="AC308" i="24"/>
  <c r="BI209" i="15" s="1"/>
  <c r="Z105" i="24"/>
  <c r="BF93" i="15" s="1"/>
  <c r="AD76" i="24"/>
  <c r="BJ64" i="15" s="1"/>
  <c r="W137" i="24"/>
  <c r="BC125" i="15" s="1"/>
  <c r="AD134" i="24"/>
  <c r="BJ122" i="15" s="1"/>
  <c r="W308" i="24"/>
  <c r="BC209" i="15" s="1"/>
  <c r="V314" i="24"/>
  <c r="V215" i="15" s="1"/>
  <c r="W109" i="24"/>
  <c r="BC97" i="15" s="1"/>
  <c r="Z106" i="24"/>
  <c r="BF94" i="15" s="1"/>
  <c r="AE134" i="24"/>
  <c r="BK122" i="15" s="1"/>
  <c r="Y134" i="24"/>
  <c r="BE122" i="15" s="1"/>
  <c r="W106" i="24"/>
  <c r="BC94" i="15" s="1"/>
  <c r="AB135" i="24"/>
  <c r="BH123" i="15" s="1"/>
  <c r="AB76" i="24"/>
  <c r="BH64" i="15" s="1"/>
  <c r="V285" i="24"/>
  <c r="V186" i="15" s="1"/>
  <c r="U31" i="15" s="1"/>
  <c r="AE250" i="24"/>
  <c r="BK151" i="15" s="1"/>
  <c r="AB134" i="24"/>
  <c r="BH122" i="15" s="1"/>
  <c r="AC105" i="24"/>
  <c r="BI93" i="15" s="1"/>
  <c r="T58" i="18"/>
  <c r="AY4" i="18" s="1"/>
  <c r="T99" i="15"/>
  <c r="S28" i="15" s="1"/>
  <c r="Z279" i="24"/>
  <c r="BF180" i="15" s="1"/>
  <c r="W108" i="24"/>
  <c r="BC96" i="15" s="1"/>
  <c r="X76" i="24"/>
  <c r="BD64" i="15" s="1"/>
  <c r="W136" i="24"/>
  <c r="BC124" i="15" s="1"/>
  <c r="W78" i="24"/>
  <c r="BC66" i="15" s="1"/>
  <c r="AC279" i="24"/>
  <c r="BI180" i="15" s="1"/>
  <c r="S2" i="2"/>
  <c r="Y279" i="24"/>
  <c r="BE180" i="15" s="1"/>
  <c r="AE76" i="24"/>
  <c r="BK64" i="15" s="1"/>
  <c r="AD308" i="24"/>
  <c r="BJ209" i="15" s="1"/>
  <c r="AD251" i="24"/>
  <c r="BJ152" i="15" s="1"/>
  <c r="V104" i="24"/>
  <c r="BB92" i="15" s="1"/>
  <c r="BB99" i="15" s="1"/>
  <c r="U111" i="24"/>
  <c r="T36" i="15" s="1"/>
  <c r="Z76" i="24"/>
  <c r="BF64" i="15" s="1"/>
  <c r="X308" i="24"/>
  <c r="BD209" i="15" s="1"/>
  <c r="W138" i="24"/>
  <c r="BC126" i="15" s="1"/>
  <c r="W311" i="24"/>
  <c r="BC212" i="15" s="1"/>
  <c r="W255" i="24"/>
  <c r="BC156" i="15" s="1"/>
  <c r="S3" i="2"/>
  <c r="W284" i="24"/>
  <c r="BC185" i="15" s="1"/>
  <c r="W279" i="24"/>
  <c r="BC180" i="15" s="1"/>
  <c r="AA76" i="24"/>
  <c r="BG64" i="15" s="1"/>
  <c r="W110" i="24"/>
  <c r="BC98" i="15" s="1"/>
  <c r="AA279" i="24"/>
  <c r="BG180" i="15" s="1"/>
  <c r="AE308" i="24"/>
  <c r="BK209" i="15" s="1"/>
  <c r="T29" i="18"/>
  <c r="AY3" i="18" s="1"/>
  <c r="T70" i="15"/>
  <c r="S27" i="15" s="1"/>
  <c r="V78" i="24"/>
  <c r="BB66" i="15" s="1"/>
  <c r="W80" i="24"/>
  <c r="BC68" i="15" s="1"/>
  <c r="AC14" i="2"/>
  <c r="AC134" i="24"/>
  <c r="BI122" i="15" s="1"/>
  <c r="W282" i="24"/>
  <c r="BC183" i="15" s="1"/>
  <c r="W280" i="24"/>
  <c r="BC181" i="15" s="1"/>
  <c r="Z250" i="24"/>
  <c r="BF151" i="15" s="1"/>
  <c r="W310" i="24"/>
  <c r="BC211" i="15" s="1"/>
  <c r="T18" i="26"/>
  <c r="T32" i="15"/>
  <c r="W107" i="24"/>
  <c r="BC95" i="15" s="1"/>
  <c r="W252" i="24"/>
  <c r="BC153" i="15" s="1"/>
  <c r="W283" i="24"/>
  <c r="BC184" i="15" s="1"/>
  <c r="AB308" i="24"/>
  <c r="BH209" i="15" s="1"/>
  <c r="W139" i="24"/>
  <c r="BC127" i="15" s="1"/>
  <c r="W281" i="24"/>
  <c r="BC182" i="15" s="1"/>
  <c r="AB279" i="24"/>
  <c r="BH180" i="15" s="1"/>
  <c r="Z134" i="24"/>
  <c r="BF122" i="15" s="1"/>
  <c r="W76" i="24"/>
  <c r="BC64" i="15" s="1"/>
  <c r="Y250" i="24"/>
  <c r="BE151" i="15" s="1"/>
  <c r="AA309" i="24"/>
  <c r="BG210" i="15" s="1"/>
  <c r="X313" i="24"/>
  <c r="BD214" i="15" s="1"/>
  <c r="V76" i="24"/>
  <c r="BB64" i="15" s="1"/>
  <c r="BB70" i="15" s="1"/>
  <c r="W251" i="24"/>
  <c r="BC152" i="15" s="1"/>
  <c r="W309" i="24"/>
  <c r="BC210" i="15" s="1"/>
  <c r="V80" i="24"/>
  <c r="BB68" i="15" s="1"/>
  <c r="AD279" i="24"/>
  <c r="BJ180" i="15" s="1"/>
  <c r="AA105" i="24"/>
  <c r="BG93" i="15" s="1"/>
  <c r="AB105" i="24"/>
  <c r="BH93" i="15" s="1"/>
  <c r="W254" i="24"/>
  <c r="BC155" i="15" s="1"/>
  <c r="W313" i="24"/>
  <c r="BC214" i="15" s="1"/>
  <c r="S22" i="2"/>
  <c r="S23" i="2" s="1"/>
  <c r="U87" i="18"/>
  <c r="AZ5" i="18" s="1"/>
  <c r="U116" i="18"/>
  <c r="AZ6" i="18" s="1"/>
  <c r="W250" i="24"/>
  <c r="BC151" i="15" s="1"/>
  <c r="V256" i="24"/>
  <c r="V157" i="15" s="1"/>
  <c r="U30" i="15" s="1"/>
  <c r="T16" i="26"/>
  <c r="T20" i="2"/>
  <c r="T21" i="2" s="1"/>
  <c r="V15" i="26"/>
  <c r="AC18" i="26"/>
  <c r="AD18" i="26"/>
  <c r="T14" i="2"/>
  <c r="Y337" i="24"/>
  <c r="X343" i="24"/>
  <c r="X105" i="24"/>
  <c r="BD93" i="15" s="1"/>
  <c r="X163" i="24"/>
  <c r="W169" i="24"/>
  <c r="V28" i="16" s="1"/>
  <c r="X192" i="24"/>
  <c r="W198" i="24"/>
  <c r="W221" i="24"/>
  <c r="V227" i="24"/>
  <c r="Y308" i="24"/>
  <c r="BE209" i="15" s="1"/>
  <c r="AE279" i="24"/>
  <c r="BK180" i="15" s="1"/>
  <c r="Y251" i="24"/>
  <c r="BE152" i="15" s="1"/>
  <c r="W134" i="24"/>
  <c r="BC122" i="15" s="1"/>
  <c r="V140" i="24"/>
  <c r="AE337" i="24"/>
  <c r="AE343" i="24" s="1"/>
  <c r="W366" i="24"/>
  <c r="V372" i="24"/>
  <c r="U29" i="16" s="1"/>
  <c r="Y76" i="24"/>
  <c r="BE64" i="15" s="1"/>
  <c r="AC76" i="24"/>
  <c r="BI64" i="15" s="1"/>
  <c r="AD105" i="24"/>
  <c r="BJ93" i="15" s="1"/>
  <c r="AC17" i="2" l="1"/>
  <c r="AC15" i="2"/>
  <c r="AD17" i="2"/>
  <c r="AD15" i="2"/>
  <c r="Q16" i="2"/>
  <c r="Q17" i="2" s="1"/>
  <c r="Q12" i="26"/>
  <c r="T15" i="2"/>
  <c r="U31" i="16"/>
  <c r="U30" i="16"/>
  <c r="BC215" i="15"/>
  <c r="R11" i="26"/>
  <c r="BC128" i="15"/>
  <c r="BC157" i="15"/>
  <c r="BC186" i="15"/>
  <c r="V96" i="2"/>
  <c r="U70" i="15"/>
  <c r="T27" i="15" s="1"/>
  <c r="T35" i="15"/>
  <c r="T2" i="2"/>
  <c r="W97" i="2"/>
  <c r="S11" i="2"/>
  <c r="U8" i="2"/>
  <c r="U38" i="15"/>
  <c r="X55" i="2"/>
  <c r="S4" i="2"/>
  <c r="V174" i="18"/>
  <c r="BA8" i="18" s="1"/>
  <c r="U40" i="15"/>
  <c r="V76" i="26"/>
  <c r="U3" i="26" s="1"/>
  <c r="X58" i="2"/>
  <c r="V8" i="26"/>
  <c r="V145" i="18"/>
  <c r="BA7" i="18" s="1"/>
  <c r="U39" i="15"/>
  <c r="V128" i="15"/>
  <c r="U29" i="15" s="1"/>
  <c r="U37" i="15"/>
  <c r="X47" i="26"/>
  <c r="T9" i="26"/>
  <c r="T10" i="2"/>
  <c r="W69" i="2" s="1"/>
  <c r="R5" i="2"/>
  <c r="T9" i="2"/>
  <c r="T3" i="2"/>
  <c r="X81" i="24"/>
  <c r="BD69" i="15" s="1"/>
  <c r="AB280" i="24"/>
  <c r="BH181" i="15" s="1"/>
  <c r="X309" i="24"/>
  <c r="BD210" i="15" s="1"/>
  <c r="W314" i="24"/>
  <c r="W215" i="15" s="1"/>
  <c r="AD309" i="24"/>
  <c r="BJ210" i="15" s="1"/>
  <c r="Z136" i="24"/>
  <c r="BF124" i="15" s="1"/>
  <c r="X255" i="24"/>
  <c r="BD156" i="15" s="1"/>
  <c r="AB106" i="24"/>
  <c r="BH94" i="15" s="1"/>
  <c r="W81" i="24"/>
  <c r="BC69" i="15" s="1"/>
  <c r="AB310" i="24"/>
  <c r="BH211" i="15" s="1"/>
  <c r="AC309" i="24"/>
  <c r="BI210" i="15" s="1"/>
  <c r="X253" i="24"/>
  <c r="BD154" i="15" s="1"/>
  <c r="AA251" i="24"/>
  <c r="BG152" i="15" s="1"/>
  <c r="X312" i="24"/>
  <c r="BD213" i="15" s="1"/>
  <c r="U58" i="18"/>
  <c r="AZ4" i="18" s="1"/>
  <c r="T4" i="2" s="1"/>
  <c r="W68" i="2" s="1"/>
  <c r="T5" i="26" s="1"/>
  <c r="U99" i="15"/>
  <c r="T28" i="15" s="1"/>
  <c r="AE252" i="24"/>
  <c r="BK153" i="15" s="1"/>
  <c r="AD280" i="24"/>
  <c r="BJ181" i="15" s="1"/>
  <c r="X137" i="24"/>
  <c r="BD125" i="15" s="1"/>
  <c r="X109" i="24"/>
  <c r="BD97" i="15" s="1"/>
  <c r="AC136" i="24"/>
  <c r="BI124" i="15" s="1"/>
  <c r="Z135" i="24"/>
  <c r="BF123" i="15" s="1"/>
  <c r="X110" i="24"/>
  <c r="BD98" i="15" s="1"/>
  <c r="X254" i="24"/>
  <c r="BD155" i="15" s="1"/>
  <c r="AB77" i="24"/>
  <c r="BH65" i="15" s="1"/>
  <c r="AA77" i="24"/>
  <c r="BG65" i="15" s="1"/>
  <c r="AE309" i="24"/>
  <c r="BK210" i="15" s="1"/>
  <c r="Z280" i="24"/>
  <c r="BF181" i="15" s="1"/>
  <c r="AE77" i="24"/>
  <c r="BK65" i="15" s="1"/>
  <c r="X252" i="24"/>
  <c r="BD153" i="15" s="1"/>
  <c r="X77" i="24"/>
  <c r="BD65" i="15" s="1"/>
  <c r="AC280" i="24"/>
  <c r="BI181" i="15" s="1"/>
  <c r="X283" i="24"/>
  <c r="BD184" i="15" s="1"/>
  <c r="W79" i="24"/>
  <c r="BC67" i="15" s="1"/>
  <c r="X280" i="24"/>
  <c r="BD181" i="15" s="1"/>
  <c r="W285" i="24"/>
  <c r="W186" i="15" s="1"/>
  <c r="V31" i="15" s="1"/>
  <c r="Y309" i="24"/>
  <c r="BE210" i="15" s="1"/>
  <c r="AE135" i="24"/>
  <c r="BK123" i="15" s="1"/>
  <c r="AA106" i="24"/>
  <c r="BG94" i="15" s="1"/>
  <c r="X136" i="24"/>
  <c r="BD124" i="15" s="1"/>
  <c r="AC251" i="24"/>
  <c r="BI152" i="15" s="1"/>
  <c r="X310" i="24"/>
  <c r="BD211" i="15" s="1"/>
  <c r="W77" i="24"/>
  <c r="BC65" i="15" s="1"/>
  <c r="V82" i="24"/>
  <c r="AA135" i="24"/>
  <c r="BG123" i="15" s="1"/>
  <c r="X282" i="24"/>
  <c r="BD183" i="15" s="1"/>
  <c r="AC135" i="24"/>
  <c r="BI123" i="15" s="1"/>
  <c r="AB309" i="24"/>
  <c r="BH210" i="15" s="1"/>
  <c r="Y280" i="24"/>
  <c r="BE181" i="15" s="1"/>
  <c r="U18" i="26"/>
  <c r="U32" i="15"/>
  <c r="AC106" i="24"/>
  <c r="BI94" i="15" s="1"/>
  <c r="AE280" i="24"/>
  <c r="BK181" i="15" s="1"/>
  <c r="Z251" i="24"/>
  <c r="BF152" i="15" s="1"/>
  <c r="X284" i="24"/>
  <c r="BD185" i="15" s="1"/>
  <c r="X108" i="24"/>
  <c r="BD96" i="15" s="1"/>
  <c r="X311" i="24"/>
  <c r="BD212" i="15" s="1"/>
  <c r="X281" i="24"/>
  <c r="BD182" i="15" s="1"/>
  <c r="AD135" i="24"/>
  <c r="BJ123" i="15" s="1"/>
  <c r="X139" i="24"/>
  <c r="BD127" i="15" s="1"/>
  <c r="W105" i="24"/>
  <c r="BC93" i="15" s="1"/>
  <c r="BC99" i="15" s="1"/>
  <c r="V111" i="24"/>
  <c r="U36" i="15" s="1"/>
  <c r="X79" i="24"/>
  <c r="BD67" i="15" s="1"/>
  <c r="Y77" i="24"/>
  <c r="BE65" i="15" s="1"/>
  <c r="AA280" i="24"/>
  <c r="BG181" i="15" s="1"/>
  <c r="AD106" i="24"/>
  <c r="BJ94" i="15" s="1"/>
  <c r="AC77" i="24"/>
  <c r="BI65" i="15" s="1"/>
  <c r="X107" i="24"/>
  <c r="BD95" i="15" s="1"/>
  <c r="AA107" i="24"/>
  <c r="BG95" i="15" s="1"/>
  <c r="X138" i="24"/>
  <c r="BD126" i="15" s="1"/>
  <c r="AC252" i="24"/>
  <c r="BI153" i="15" s="1"/>
  <c r="V87" i="18"/>
  <c r="BA5" i="18" s="1"/>
  <c r="V116" i="18"/>
  <c r="BA6" i="18" s="1"/>
  <c r="X251" i="24"/>
  <c r="BD152" i="15" s="1"/>
  <c r="W256" i="24"/>
  <c r="AD15" i="26"/>
  <c r="AD20" i="2"/>
  <c r="W15" i="26"/>
  <c r="W2" i="26"/>
  <c r="U16" i="26"/>
  <c r="U20" i="2"/>
  <c r="U21" i="2" s="1"/>
  <c r="U14" i="2"/>
  <c r="AD77" i="24"/>
  <c r="BJ65" i="15" s="1"/>
  <c r="X367" i="24"/>
  <c r="W372" i="24"/>
  <c r="V29" i="16" s="1"/>
  <c r="X135" i="24"/>
  <c r="BD123" i="15" s="1"/>
  <c r="W140" i="24"/>
  <c r="X222" i="24"/>
  <c r="W227" i="24"/>
  <c r="Y164" i="24"/>
  <c r="X169" i="24"/>
  <c r="W28" i="16" s="1"/>
  <c r="Z338" i="24"/>
  <c r="Y343" i="24"/>
  <c r="AE106" i="24"/>
  <c r="BK94" i="15" s="1"/>
  <c r="Z77" i="24"/>
  <c r="BF65" i="15" s="1"/>
  <c r="Z252" i="24"/>
  <c r="BF153" i="15" s="1"/>
  <c r="Z309" i="24"/>
  <c r="BF210" i="15" s="1"/>
  <c r="Y193" i="24"/>
  <c r="X198" i="24"/>
  <c r="Y106" i="24"/>
  <c r="BE94" i="15" s="1"/>
  <c r="T11" i="26" l="1"/>
  <c r="T16" i="2" s="1"/>
  <c r="T17" i="2" s="1"/>
  <c r="T12" i="26"/>
  <c r="BD186" i="15"/>
  <c r="BD157" i="15"/>
  <c r="BD215" i="15"/>
  <c r="R16" i="2"/>
  <c r="R17" i="2" s="1"/>
  <c r="R12" i="26"/>
  <c r="U15" i="2"/>
  <c r="V30" i="16"/>
  <c r="V31" i="16" s="1"/>
  <c r="AD21" i="2"/>
  <c r="AD23" i="2" s="1"/>
  <c r="S5" i="2"/>
  <c r="V68" i="2"/>
  <c r="S5" i="26" s="1"/>
  <c r="BC70" i="15"/>
  <c r="BD128" i="15"/>
  <c r="Y55" i="2"/>
  <c r="W96" i="2"/>
  <c r="U2" i="2"/>
  <c r="W157" i="15"/>
  <c r="V30" i="15" s="1"/>
  <c r="T22" i="2"/>
  <c r="T23" i="2" s="1"/>
  <c r="X97" i="2"/>
  <c r="W145" i="18"/>
  <c r="BB7" i="18" s="1"/>
  <c r="V39" i="15"/>
  <c r="W174" i="18"/>
  <c r="BB8" i="18" s="1"/>
  <c r="V40" i="15"/>
  <c r="U10" i="2"/>
  <c r="X69" i="2" s="1"/>
  <c r="U35" i="15"/>
  <c r="Y47" i="26"/>
  <c r="X2" i="26" s="1"/>
  <c r="W76" i="26"/>
  <c r="V3" i="26" s="1"/>
  <c r="Y58" i="2"/>
  <c r="U9" i="26"/>
  <c r="W128" i="15"/>
  <c r="V29" i="15" s="1"/>
  <c r="V37" i="15"/>
  <c r="AD12" i="26"/>
  <c r="W8" i="26"/>
  <c r="V8" i="2"/>
  <c r="V38" i="15"/>
  <c r="W82" i="24"/>
  <c r="T11" i="2"/>
  <c r="T5" i="2"/>
  <c r="U3" i="2"/>
  <c r="U9" i="2"/>
  <c r="AE107" i="24"/>
  <c r="BK95" i="15" s="1"/>
  <c r="Z78" i="24"/>
  <c r="BF66" i="15" s="1"/>
  <c r="V58" i="18"/>
  <c r="BA4" i="18" s="1"/>
  <c r="V99" i="15"/>
  <c r="U28" i="15" s="1"/>
  <c r="Y282" i="24"/>
  <c r="BE183" i="15" s="1"/>
  <c r="Y109" i="24"/>
  <c r="BE97" i="15" s="1"/>
  <c r="V29" i="18"/>
  <c r="BA3" i="18" s="1"/>
  <c r="V70" i="15"/>
  <c r="U27" i="15" s="1"/>
  <c r="Y311" i="24"/>
  <c r="BE212" i="15" s="1"/>
  <c r="Y137" i="24"/>
  <c r="BE125" i="15" s="1"/>
  <c r="Y284" i="24"/>
  <c r="BE185" i="15" s="1"/>
  <c r="Y253" i="24"/>
  <c r="BE154" i="15" s="1"/>
  <c r="AC78" i="24"/>
  <c r="BI66" i="15" s="1"/>
  <c r="AD137" i="24"/>
  <c r="BJ125" i="15" s="1"/>
  <c r="Y313" i="24"/>
  <c r="BE214" i="15" s="1"/>
  <c r="AD136" i="24"/>
  <c r="BJ124" i="15" s="1"/>
  <c r="Z310" i="24"/>
  <c r="BF211" i="15" s="1"/>
  <c r="X80" i="24"/>
  <c r="BD68" i="15" s="1"/>
  <c r="Y138" i="24"/>
  <c r="BE126" i="15" s="1"/>
  <c r="AB252" i="24"/>
  <c r="BH153" i="15" s="1"/>
  <c r="AE310" i="24"/>
  <c r="BK211" i="15" s="1"/>
  <c r="V18" i="26"/>
  <c r="V32" i="15"/>
  <c r="AD253" i="24"/>
  <c r="BJ154" i="15" s="1"/>
  <c r="AB108" i="24"/>
  <c r="BH96" i="15" s="1"/>
  <c r="AD78" i="24"/>
  <c r="BJ66" i="15" s="1"/>
  <c r="AA252" i="24"/>
  <c r="BG153" i="15" s="1"/>
  <c r="AC310" i="24"/>
  <c r="BI211" i="15" s="1"/>
  <c r="Y283" i="24"/>
  <c r="BE184" i="15" s="1"/>
  <c r="AA281" i="24"/>
  <c r="BG182" i="15" s="1"/>
  <c r="AB78" i="24"/>
  <c r="BH66" i="15" s="1"/>
  <c r="Y110" i="24"/>
  <c r="BE98" i="15" s="1"/>
  <c r="Y254" i="24"/>
  <c r="BE155" i="15" s="1"/>
  <c r="AC311" i="24"/>
  <c r="BI212" i="15" s="1"/>
  <c r="AC107" i="24"/>
  <c r="BI95" i="15" s="1"/>
  <c r="AA137" i="24"/>
  <c r="BG125" i="15" s="1"/>
  <c r="X285" i="24"/>
  <c r="X186" i="15" s="1"/>
  <c r="W31" i="15" s="1"/>
  <c r="Y108" i="24"/>
  <c r="BE96" i="15" s="1"/>
  <c r="Z281" i="24"/>
  <c r="BF182" i="15" s="1"/>
  <c r="AB136" i="24"/>
  <c r="BH124" i="15" s="1"/>
  <c r="AD281" i="24"/>
  <c r="BJ182" i="15" s="1"/>
  <c r="AE281" i="24"/>
  <c r="BK182" i="15" s="1"/>
  <c r="AD310" i="24"/>
  <c r="BJ211" i="15" s="1"/>
  <c r="AE78" i="24"/>
  <c r="BK66" i="15" s="1"/>
  <c r="Y139" i="24"/>
  <c r="BE127" i="15" s="1"/>
  <c r="AB281" i="24"/>
  <c r="BH182" i="15" s="1"/>
  <c r="Y80" i="24"/>
  <c r="BE68" i="15" s="1"/>
  <c r="X106" i="24"/>
  <c r="BD94" i="15" s="1"/>
  <c r="BD99" i="15" s="1"/>
  <c r="W111" i="24"/>
  <c r="V36" i="15" s="1"/>
  <c r="AE136" i="24"/>
  <c r="BK124" i="15" s="1"/>
  <c r="Y312" i="24"/>
  <c r="BE213" i="15" s="1"/>
  <c r="AD107" i="24"/>
  <c r="BJ95" i="15" s="1"/>
  <c r="X78" i="24"/>
  <c r="BD66" i="15" s="1"/>
  <c r="AD252" i="24"/>
  <c r="BJ153" i="15" s="1"/>
  <c r="AB107" i="24"/>
  <c r="BH95" i="15" s="1"/>
  <c r="Y281" i="24"/>
  <c r="BE182" i="15" s="1"/>
  <c r="Y78" i="24"/>
  <c r="BE66" i="15" s="1"/>
  <c r="Y255" i="24"/>
  <c r="BE156" i="15" s="1"/>
  <c r="AA136" i="24"/>
  <c r="BG124" i="15" s="1"/>
  <c r="Y310" i="24"/>
  <c r="BE211" i="15" s="1"/>
  <c r="X314" i="24"/>
  <c r="X215" i="15" s="1"/>
  <c r="AC281" i="24"/>
  <c r="BI182" i="15" s="1"/>
  <c r="W87" i="18"/>
  <c r="BB5" i="18" s="1"/>
  <c r="U22" i="2"/>
  <c r="U23" i="2" s="1"/>
  <c r="W116" i="18"/>
  <c r="BB6" i="18" s="1"/>
  <c r="Y252" i="24"/>
  <c r="BE153" i="15" s="1"/>
  <c r="X256" i="24"/>
  <c r="X157" i="15" s="1"/>
  <c r="W30" i="15" s="1"/>
  <c r="X15" i="26"/>
  <c r="V16" i="26"/>
  <c r="V20" i="2"/>
  <c r="V21" i="2" s="1"/>
  <c r="V14" i="2"/>
  <c r="Z194" i="24"/>
  <c r="Y198" i="24"/>
  <c r="AA253" i="24"/>
  <c r="BG154" i="15" s="1"/>
  <c r="Z165" i="24"/>
  <c r="Y169" i="24"/>
  <c r="X28" i="16" s="1"/>
  <c r="Y136" i="24"/>
  <c r="BE124" i="15" s="1"/>
  <c r="X140" i="24"/>
  <c r="Z107" i="24"/>
  <c r="BF95" i="15" s="1"/>
  <c r="AA310" i="24"/>
  <c r="BG211" i="15" s="1"/>
  <c r="AA78" i="24"/>
  <c r="BG66" i="15" s="1"/>
  <c r="AA339" i="24"/>
  <c r="Z343" i="24"/>
  <c r="Y223" i="24"/>
  <c r="X227" i="24"/>
  <c r="Y368" i="24"/>
  <c r="X372" i="24"/>
  <c r="W29" i="16" s="1"/>
  <c r="W31" i="16" l="1"/>
  <c r="V15" i="2"/>
  <c r="S11" i="26"/>
  <c r="W30" i="16"/>
  <c r="BD70" i="15"/>
  <c r="BE128" i="15"/>
  <c r="BE186" i="15"/>
  <c r="BE215" i="15"/>
  <c r="BE157" i="15"/>
  <c r="U4" i="2"/>
  <c r="X68" i="2" s="1"/>
  <c r="U5" i="26" s="1"/>
  <c r="X82" i="24"/>
  <c r="X70" i="15" s="1"/>
  <c r="W27" i="15" s="1"/>
  <c r="V2" i="2"/>
  <c r="Y314" i="24"/>
  <c r="Y215" i="15" s="1"/>
  <c r="Y97" i="2"/>
  <c r="U11" i="2"/>
  <c r="X76" i="26"/>
  <c r="W3" i="26" s="1"/>
  <c r="X128" i="15"/>
  <c r="W29" i="15" s="1"/>
  <c r="W37" i="15"/>
  <c r="W35" i="15"/>
  <c r="V35" i="15"/>
  <c r="V9" i="26"/>
  <c r="W8" i="2"/>
  <c r="W38" i="15"/>
  <c r="X174" i="18"/>
  <c r="BC8" i="18" s="1"/>
  <c r="W40" i="15"/>
  <c r="X145" i="18"/>
  <c r="BC7" i="18" s="1"/>
  <c r="W39" i="15"/>
  <c r="X96" i="2"/>
  <c r="W70" i="15"/>
  <c r="V27" i="15" s="1"/>
  <c r="Z47" i="26"/>
  <c r="Y2" i="26" s="1"/>
  <c r="X8" i="26"/>
  <c r="V10" i="2"/>
  <c r="Y69" i="2" s="1"/>
  <c r="W29" i="18"/>
  <c r="BB3" i="18" s="1"/>
  <c r="V9" i="2"/>
  <c r="V3" i="2"/>
  <c r="U5" i="2"/>
  <c r="AD282" i="24"/>
  <c r="BJ183" i="15" s="1"/>
  <c r="Z282" i="24"/>
  <c r="BF183" i="15" s="1"/>
  <c r="AE108" i="24"/>
  <c r="BK96" i="15" s="1"/>
  <c r="AC137" i="24"/>
  <c r="BI125" i="15" s="1"/>
  <c r="AB282" i="24"/>
  <c r="BH183" i="15" s="1"/>
  <c r="Y81" i="24"/>
  <c r="BE69" i="15" s="1"/>
  <c r="AB137" i="24"/>
  <c r="BH125" i="15" s="1"/>
  <c r="Y107" i="24"/>
  <c r="BE95" i="15" s="1"/>
  <c r="BE99" i="15" s="1"/>
  <c r="X111" i="24"/>
  <c r="W36" i="15" s="1"/>
  <c r="AC282" i="24"/>
  <c r="BI183" i="15" s="1"/>
  <c r="AE311" i="24"/>
  <c r="BK212" i="15" s="1"/>
  <c r="Y285" i="24"/>
  <c r="Y186" i="15" s="1"/>
  <c r="X31" i="15" s="1"/>
  <c r="Z109" i="24"/>
  <c r="BF97" i="15" s="1"/>
  <c r="Z284" i="24"/>
  <c r="BF185" i="15" s="1"/>
  <c r="Z139" i="24"/>
  <c r="BF127" i="15" s="1"/>
  <c r="AE137" i="24"/>
  <c r="BK125" i="15" s="1"/>
  <c r="Z254" i="24"/>
  <c r="BF155" i="15" s="1"/>
  <c r="Z138" i="24"/>
  <c r="BF126" i="15" s="1"/>
  <c r="AE253" i="24"/>
  <c r="BK154" i="15" s="1"/>
  <c r="AD311" i="24"/>
  <c r="BJ212" i="15" s="1"/>
  <c r="AE79" i="24"/>
  <c r="BK67" i="15" s="1"/>
  <c r="AC253" i="24"/>
  <c r="BI154" i="15" s="1"/>
  <c r="Z79" i="24"/>
  <c r="BF67" i="15" s="1"/>
  <c r="Y79" i="24"/>
  <c r="BE67" i="15" s="1"/>
  <c r="AE282" i="24"/>
  <c r="BK183" i="15" s="1"/>
  <c r="AD108" i="24"/>
  <c r="BJ96" i="15" s="1"/>
  <c r="Z255" i="24"/>
  <c r="BF156" i="15" s="1"/>
  <c r="AC79" i="24"/>
  <c r="BI67" i="15" s="1"/>
  <c r="AB253" i="24"/>
  <c r="BH154" i="15" s="1"/>
  <c r="AC109" i="24"/>
  <c r="BI97" i="15" s="1"/>
  <c r="AA311" i="24"/>
  <c r="BG212" i="15" s="1"/>
  <c r="Z283" i="24"/>
  <c r="BF184" i="15" s="1"/>
  <c r="X29" i="18"/>
  <c r="BC3" i="18" s="1"/>
  <c r="AE254" i="24"/>
  <c r="BK155" i="15" s="1"/>
  <c r="AC108" i="24"/>
  <c r="BI96" i="15" s="1"/>
  <c r="Z313" i="24"/>
  <c r="BF214" i="15" s="1"/>
  <c r="W18" i="26"/>
  <c r="W32" i="15"/>
  <c r="Z311" i="24"/>
  <c r="BF212" i="15" s="1"/>
  <c r="W58" i="18"/>
  <c r="BB4" i="18" s="1"/>
  <c r="W99" i="15"/>
  <c r="V28" i="15" s="1"/>
  <c r="Z81" i="24"/>
  <c r="BF69" i="15" s="1"/>
  <c r="AA282" i="24"/>
  <c r="BG183" i="15" s="1"/>
  <c r="AB138" i="24"/>
  <c r="BH126" i="15" s="1"/>
  <c r="AD312" i="24"/>
  <c r="BJ213" i="15" s="1"/>
  <c r="AE138" i="24"/>
  <c r="BK126" i="15" s="1"/>
  <c r="AD79" i="24"/>
  <c r="BJ67" i="15" s="1"/>
  <c r="Z312" i="24"/>
  <c r="BF213" i="15" s="1"/>
  <c r="Z110" i="24"/>
  <c r="BF98" i="15" s="1"/>
  <c r="AA79" i="24"/>
  <c r="BG67" i="15" s="1"/>
  <c r="W14" i="2"/>
  <c r="W2" i="2"/>
  <c r="X87" i="18"/>
  <c r="BC5" i="18" s="1"/>
  <c r="X116" i="18"/>
  <c r="BC6" i="18" s="1"/>
  <c r="Z253" i="24"/>
  <c r="BF154" i="15" s="1"/>
  <c r="Y256" i="24"/>
  <c r="Y157" i="15" s="1"/>
  <c r="X30" i="15" s="1"/>
  <c r="W16" i="26"/>
  <c r="W20" i="2"/>
  <c r="W21" i="2" s="1"/>
  <c r="Y15" i="26"/>
  <c r="Z224" i="24"/>
  <c r="Y227" i="24"/>
  <c r="AB79" i="24"/>
  <c r="BH67" i="15" s="1"/>
  <c r="AA108" i="24"/>
  <c r="BG96" i="15" s="1"/>
  <c r="AA166" i="24"/>
  <c r="Z169" i="24"/>
  <c r="Y28" i="16" s="1"/>
  <c r="AA195" i="24"/>
  <c r="Z198" i="24"/>
  <c r="Z369" i="24"/>
  <c r="Y372" i="24"/>
  <c r="X29" i="16" s="1"/>
  <c r="AB340" i="24"/>
  <c r="AA343" i="24"/>
  <c r="AB311" i="24"/>
  <c r="BH212" i="15" s="1"/>
  <c r="Z137" i="24"/>
  <c r="BF125" i="15" s="1"/>
  <c r="Y140" i="24"/>
  <c r="AB254" i="24"/>
  <c r="BH155" i="15" s="1"/>
  <c r="X30" i="16" l="1"/>
  <c r="X31" i="16" s="1"/>
  <c r="U11" i="26"/>
  <c r="S16" i="2"/>
  <c r="S17" i="2" s="1"/>
  <c r="S12" i="26"/>
  <c r="W15" i="2"/>
  <c r="BF186" i="15"/>
  <c r="BE70" i="15"/>
  <c r="BF215" i="15"/>
  <c r="BF157" i="15"/>
  <c r="BF128" i="15"/>
  <c r="Z97" i="2"/>
  <c r="X40" i="15"/>
  <c r="Y174" i="18"/>
  <c r="BD8" i="18" s="1"/>
  <c r="Y82" i="24"/>
  <c r="X35" i="15" s="1"/>
  <c r="Z285" i="24"/>
  <c r="Z186" i="15" s="1"/>
  <c r="Y31" i="15" s="1"/>
  <c r="V22" i="2"/>
  <c r="V23" i="2" s="1"/>
  <c r="Y128" i="15"/>
  <c r="X29" i="15" s="1"/>
  <c r="X37" i="15"/>
  <c r="Y76" i="26"/>
  <c r="X3" i="26" s="1"/>
  <c r="Y96" i="2"/>
  <c r="W9" i="26"/>
  <c r="W10" i="2"/>
  <c r="Z69" i="2" s="1"/>
  <c r="Y8" i="26"/>
  <c r="V4" i="2"/>
  <c r="V11" i="2"/>
  <c r="AA47" i="26"/>
  <c r="Z2" i="26" s="1"/>
  <c r="X8" i="2"/>
  <c r="X38" i="15"/>
  <c r="Y145" i="18"/>
  <c r="BD7" i="18" s="1"/>
  <c r="X39" i="15"/>
  <c r="W9" i="2"/>
  <c r="AD138" i="24"/>
  <c r="BJ126" i="15" s="1"/>
  <c r="X18" i="26"/>
  <c r="X32" i="15"/>
  <c r="AB80" i="24"/>
  <c r="BH68" i="15" s="1"/>
  <c r="AC139" i="24"/>
  <c r="BI127" i="15" s="1"/>
  <c r="AB283" i="24"/>
  <c r="BH184" i="15" s="1"/>
  <c r="AA312" i="24"/>
  <c r="BG213" i="15" s="1"/>
  <c r="Z314" i="24"/>
  <c r="Z215" i="15" s="1"/>
  <c r="AE312" i="24"/>
  <c r="BK213" i="15" s="1"/>
  <c r="X58" i="18"/>
  <c r="BC4" i="18" s="1"/>
  <c r="X99" i="15"/>
  <c r="W28" i="15" s="1"/>
  <c r="Z96" i="2" s="1"/>
  <c r="AC138" i="24"/>
  <c r="BI126" i="15" s="1"/>
  <c r="AC283" i="24"/>
  <c r="BI184" i="15" s="1"/>
  <c r="AA283" i="24"/>
  <c r="BG184" i="15" s="1"/>
  <c r="AD110" i="24"/>
  <c r="BJ98" i="15" s="1"/>
  <c r="AA110" i="24"/>
  <c r="BG98" i="15" s="1"/>
  <c r="AE313" i="24"/>
  <c r="BK214" i="15" s="1"/>
  <c r="BK215" i="15" s="1"/>
  <c r="AB312" i="24"/>
  <c r="BH213" i="15" s="1"/>
  <c r="W3" i="2"/>
  <c r="AA80" i="24"/>
  <c r="BG68" i="15" s="1"/>
  <c r="AA139" i="24"/>
  <c r="BG127" i="15" s="1"/>
  <c r="Z108" i="24"/>
  <c r="BF96" i="15" s="1"/>
  <c r="BF99" i="15" s="1"/>
  <c r="Y111" i="24"/>
  <c r="X36" i="15" s="1"/>
  <c r="AE283" i="24"/>
  <c r="BK184" i="15" s="1"/>
  <c r="AD80" i="24"/>
  <c r="BJ68" i="15" s="1"/>
  <c r="AE109" i="24"/>
  <c r="BK97" i="15" s="1"/>
  <c r="AD254" i="24"/>
  <c r="BJ155" i="15" s="1"/>
  <c r="AA255" i="24"/>
  <c r="BG156" i="15" s="1"/>
  <c r="AA313" i="24"/>
  <c r="BG214" i="15" s="1"/>
  <c r="AE80" i="24"/>
  <c r="BK68" i="15" s="1"/>
  <c r="AD109" i="24"/>
  <c r="BJ97" i="15" s="1"/>
  <c r="AA284" i="24"/>
  <c r="BG185" i="15" s="1"/>
  <c r="BG186" i="15" s="1"/>
  <c r="AC254" i="24"/>
  <c r="BI155" i="15" s="1"/>
  <c r="Z80" i="24"/>
  <c r="AD283" i="24"/>
  <c r="BJ184" i="15" s="1"/>
  <c r="Y87" i="18"/>
  <c r="BD5" i="18" s="1"/>
  <c r="Y116" i="18"/>
  <c r="BD6" i="18" s="1"/>
  <c r="AA254" i="24"/>
  <c r="BG155" i="15" s="1"/>
  <c r="Z256" i="24"/>
  <c r="Z157" i="15" s="1"/>
  <c r="Y30" i="15" s="1"/>
  <c r="Z15" i="26"/>
  <c r="X16" i="26"/>
  <c r="X20" i="2"/>
  <c r="X21" i="2" s="1"/>
  <c r="X14" i="2"/>
  <c r="AA138" i="24"/>
  <c r="BG126" i="15" s="1"/>
  <c r="Z140" i="24"/>
  <c r="AC341" i="24"/>
  <c r="AB343" i="24"/>
  <c r="AB196" i="24"/>
  <c r="AA198" i="24"/>
  <c r="AB109" i="24"/>
  <c r="BH97" i="15" s="1"/>
  <c r="AA225" i="24"/>
  <c r="Z227" i="24"/>
  <c r="Y30" i="16" s="1"/>
  <c r="AC255" i="24"/>
  <c r="BI156" i="15" s="1"/>
  <c r="AC312" i="24"/>
  <c r="BI213" i="15" s="1"/>
  <c r="AA370" i="24"/>
  <c r="Z372" i="24"/>
  <c r="Y29" i="16" s="1"/>
  <c r="AB167" i="24"/>
  <c r="AA169" i="24"/>
  <c r="Z28" i="16" s="1"/>
  <c r="AC80" i="24"/>
  <c r="BI68" i="15" s="1"/>
  <c r="X15" i="2" l="1"/>
  <c r="Y31" i="16"/>
  <c r="V5" i="2"/>
  <c r="Y68" i="2"/>
  <c r="V5" i="26" s="1"/>
  <c r="U16" i="2"/>
  <c r="U17" i="2" s="1"/>
  <c r="U12" i="26"/>
  <c r="W22" i="2"/>
  <c r="W23" i="2" s="1"/>
  <c r="BG215" i="15"/>
  <c r="BG128" i="15"/>
  <c r="BI128" i="15"/>
  <c r="BI157" i="15"/>
  <c r="BG157" i="15"/>
  <c r="AE314" i="24"/>
  <c r="AE215" i="15" s="1"/>
  <c r="AD32" i="15" s="1"/>
  <c r="BJ99" i="15"/>
  <c r="Z82" i="24"/>
  <c r="Z29" i="18" s="1"/>
  <c r="BE3" i="18" s="1"/>
  <c r="BF68" i="15"/>
  <c r="BF70" i="15" s="1"/>
  <c r="Z145" i="18"/>
  <c r="BE7" i="18" s="1"/>
  <c r="Y39" i="15"/>
  <c r="AA97" i="2"/>
  <c r="W11" i="2"/>
  <c r="Y29" i="18"/>
  <c r="BD3" i="18" s="1"/>
  <c r="Y70" i="15"/>
  <c r="X27" i="15" s="1"/>
  <c r="Y35" i="15"/>
  <c r="Z76" i="26"/>
  <c r="Y3" i="26" s="1"/>
  <c r="X2" i="2"/>
  <c r="AC140" i="24"/>
  <c r="AB37" i="15" s="1"/>
  <c r="Z8" i="26"/>
  <c r="X10" i="2"/>
  <c r="AA69" i="2" s="1"/>
  <c r="W4" i="2"/>
  <c r="Z128" i="15"/>
  <c r="Y29" i="15" s="1"/>
  <c r="Y37" i="15"/>
  <c r="X9" i="26"/>
  <c r="X22" i="2" s="1"/>
  <c r="X23" i="2" s="1"/>
  <c r="Y8" i="2"/>
  <c r="Y38" i="15"/>
  <c r="Z174" i="18"/>
  <c r="BE8" i="18" s="1"/>
  <c r="Y40" i="15"/>
  <c r="X9" i="2"/>
  <c r="Y9" i="2"/>
  <c r="Y11" i="2" s="1"/>
  <c r="AB313" i="24"/>
  <c r="BH214" i="15" s="1"/>
  <c r="BH215" i="15" s="1"/>
  <c r="AA314" i="24"/>
  <c r="AA215" i="15" s="1"/>
  <c r="AC284" i="24"/>
  <c r="Y18" i="26"/>
  <c r="Y32" i="15"/>
  <c r="AE284" i="24"/>
  <c r="BK185" i="15" s="1"/>
  <c r="BK186" i="15" s="1"/>
  <c r="AD255" i="24"/>
  <c r="BJ156" i="15" s="1"/>
  <c r="BJ157" i="15" s="1"/>
  <c r="AE110" i="24"/>
  <c r="BK98" i="15" s="1"/>
  <c r="BK99" i="15" s="1"/>
  <c r="AD111" i="24"/>
  <c r="AC36" i="15" s="1"/>
  <c r="AA109" i="24"/>
  <c r="BG97" i="15" s="1"/>
  <c r="BG99" i="15" s="1"/>
  <c r="Z111" i="24"/>
  <c r="Y36" i="15" s="1"/>
  <c r="Z70" i="15"/>
  <c r="Y27" i="15" s="1"/>
  <c r="AB284" i="24"/>
  <c r="BH185" i="15" s="1"/>
  <c r="BH186" i="15" s="1"/>
  <c r="AA81" i="24"/>
  <c r="BG69" i="15" s="1"/>
  <c r="BG70" i="15" s="1"/>
  <c r="X3" i="2"/>
  <c r="AB81" i="24"/>
  <c r="BH69" i="15" s="1"/>
  <c r="BH70" i="15" s="1"/>
  <c r="AD284" i="24"/>
  <c r="BJ185" i="15" s="1"/>
  <c r="BJ186" i="15" s="1"/>
  <c r="AC81" i="24"/>
  <c r="BI69" i="15" s="1"/>
  <c r="BI70" i="15" s="1"/>
  <c r="AE139" i="24"/>
  <c r="BK127" i="15" s="1"/>
  <c r="BK128" i="15" s="1"/>
  <c r="AC256" i="24"/>
  <c r="AC157" i="15" s="1"/>
  <c r="AC313" i="24"/>
  <c r="BI214" i="15" s="1"/>
  <c r="BI215" i="15" s="1"/>
  <c r="AA285" i="24"/>
  <c r="AA186" i="15" s="1"/>
  <c r="Z31" i="15" s="1"/>
  <c r="AE255" i="24"/>
  <c r="BK156" i="15" s="1"/>
  <c r="BK157" i="15" s="1"/>
  <c r="AE81" i="24"/>
  <c r="BK69" i="15" s="1"/>
  <c r="BK70" i="15" s="1"/>
  <c r="Y58" i="18"/>
  <c r="BD4" i="18" s="1"/>
  <c r="Y99" i="15"/>
  <c r="X28" i="15" s="1"/>
  <c r="AD139" i="24"/>
  <c r="BJ127" i="15" s="1"/>
  <c r="BJ128" i="15" s="1"/>
  <c r="Z87" i="18"/>
  <c r="BE5" i="18" s="1"/>
  <c r="Z116" i="18"/>
  <c r="BE6" i="18" s="1"/>
  <c r="AB255" i="24"/>
  <c r="BH156" i="15" s="1"/>
  <c r="BH157" i="15" s="1"/>
  <c r="AA256" i="24"/>
  <c r="AA157" i="15" s="1"/>
  <c r="Z30" i="15" s="1"/>
  <c r="Y16" i="26"/>
  <c r="Y20" i="2"/>
  <c r="Y21" i="2" s="1"/>
  <c r="AA15" i="26"/>
  <c r="Y14" i="2"/>
  <c r="AC168" i="24"/>
  <c r="AC169" i="24" s="1"/>
  <c r="AB169" i="24"/>
  <c r="AD313" i="24"/>
  <c r="BJ214" i="15" s="1"/>
  <c r="BJ215" i="15" s="1"/>
  <c r="AB226" i="24"/>
  <c r="AB227" i="24" s="1"/>
  <c r="AA227" i="24"/>
  <c r="Z30" i="16" s="1"/>
  <c r="AC197" i="24"/>
  <c r="AC198" i="24" s="1"/>
  <c r="AB198" i="24"/>
  <c r="AB139" i="24"/>
  <c r="BH127" i="15" s="1"/>
  <c r="BH128" i="15" s="1"/>
  <c r="AA140" i="24"/>
  <c r="AD81" i="24"/>
  <c r="BJ69" i="15" s="1"/>
  <c r="BJ70" i="15" s="1"/>
  <c r="AB371" i="24"/>
  <c r="AB372" i="24" s="1"/>
  <c r="AA16" i="26" s="1"/>
  <c r="AA372" i="24"/>
  <c r="Z29" i="16" s="1"/>
  <c r="Z31" i="16" s="1"/>
  <c r="AC110" i="24"/>
  <c r="BI98" i="15" s="1"/>
  <c r="BI99" i="15" s="1"/>
  <c r="AD342" i="24"/>
  <c r="AD343" i="24" s="1"/>
  <c r="AC343" i="24"/>
  <c r="W5" i="2" l="1"/>
  <c r="Z68" i="2"/>
  <c r="W5" i="26" s="1"/>
  <c r="V11" i="26"/>
  <c r="Y15" i="2"/>
  <c r="Y17" i="2" s="1"/>
  <c r="AE174" i="18"/>
  <c r="BJ8" i="18" s="1"/>
  <c r="AC285" i="24"/>
  <c r="AB39" i="15" s="1"/>
  <c r="BI185" i="15"/>
  <c r="BI186" i="15" s="1"/>
  <c r="Y2" i="2"/>
  <c r="AD40" i="15"/>
  <c r="AC128" i="15"/>
  <c r="AB29" i="15" s="1"/>
  <c r="AB97" i="2"/>
  <c r="AC87" i="18"/>
  <c r="BH5" i="18" s="1"/>
  <c r="AC82" i="24"/>
  <c r="AB35" i="15" s="1"/>
  <c r="X11" i="2"/>
  <c r="AC314" i="24"/>
  <c r="AB40" i="15" s="1"/>
  <c r="AA96" i="2"/>
  <c r="AC70" i="15"/>
  <c r="AB27" i="15" s="1"/>
  <c r="AA145" i="18"/>
  <c r="BF7" i="18" s="1"/>
  <c r="Z39" i="15"/>
  <c r="AA174" i="18"/>
  <c r="BF8" i="18" s="1"/>
  <c r="Z40" i="15"/>
  <c r="Z38" i="15"/>
  <c r="AC116" i="18"/>
  <c r="BH6" i="18" s="1"/>
  <c r="AB38" i="15"/>
  <c r="AA76" i="26"/>
  <c r="Z3" i="26" s="1"/>
  <c r="AA128" i="15"/>
  <c r="Z29" i="15" s="1"/>
  <c r="Z37" i="15"/>
  <c r="AE82" i="24"/>
  <c r="AE70" i="15" s="1"/>
  <c r="AD27" i="15" s="1"/>
  <c r="AC145" i="18"/>
  <c r="BH7" i="18" s="1"/>
  <c r="AB30" i="15"/>
  <c r="Y9" i="26"/>
  <c r="Y22" i="2" s="1"/>
  <c r="Y23" i="2" s="1"/>
  <c r="X4" i="2"/>
  <c r="Y3" i="2"/>
  <c r="Y5" i="2" s="1"/>
  <c r="Z9" i="2"/>
  <c r="Z11" i="2" s="1"/>
  <c r="AC111" i="24"/>
  <c r="AB36" i="15" s="1"/>
  <c r="AB3" i="2"/>
  <c r="AB5" i="2" s="1"/>
  <c r="AB140" i="24"/>
  <c r="AA37" i="15" s="1"/>
  <c r="AA82" i="24"/>
  <c r="Z2" i="2" s="1"/>
  <c r="Z58" i="18"/>
  <c r="BE4" i="18" s="1"/>
  <c r="Z99" i="15"/>
  <c r="Y28" i="15" s="1"/>
  <c r="AB96" i="2" s="1"/>
  <c r="AE111" i="24"/>
  <c r="AD36" i="15" s="1"/>
  <c r="AE285" i="24"/>
  <c r="AE186" i="15" s="1"/>
  <c r="AD31" i="15" s="1"/>
  <c r="AB285" i="24"/>
  <c r="AB186" i="15" s="1"/>
  <c r="AA31" i="15" s="1"/>
  <c r="AB314" i="24"/>
  <c r="AB215" i="15" s="1"/>
  <c r="AA32" i="15" s="1"/>
  <c r="AE140" i="24"/>
  <c r="AD37" i="15" s="1"/>
  <c r="Z8" i="2"/>
  <c r="AE256" i="24"/>
  <c r="AE157" i="15" s="1"/>
  <c r="AD30" i="15" s="1"/>
  <c r="AB82" i="24"/>
  <c r="AB110" i="24"/>
  <c r="BH98" i="15" s="1"/>
  <c r="BH99" i="15" s="1"/>
  <c r="AA111" i="24"/>
  <c r="Z36" i="15" s="1"/>
  <c r="AD58" i="18"/>
  <c r="BI4" i="18" s="1"/>
  <c r="AD99" i="15"/>
  <c r="AC28" i="15" s="1"/>
  <c r="AD256" i="24"/>
  <c r="AD157" i="15" s="1"/>
  <c r="AC30" i="15" s="1"/>
  <c r="AD82" i="24"/>
  <c r="AD29" i="18" s="1"/>
  <c r="BI3" i="18" s="1"/>
  <c r="AD314" i="24"/>
  <c r="AD215" i="15" s="1"/>
  <c r="AC32" i="15" s="1"/>
  <c r="Z18" i="26"/>
  <c r="Z32" i="15"/>
  <c r="AE29" i="18"/>
  <c r="BJ3" i="18" s="1"/>
  <c r="AD140" i="24"/>
  <c r="AC37" i="15" s="1"/>
  <c r="AD285" i="24"/>
  <c r="AD186" i="15" s="1"/>
  <c r="AC31" i="15" s="1"/>
  <c r="AB18" i="26"/>
  <c r="Z14" i="2"/>
  <c r="Y12" i="26"/>
  <c r="AC29" i="18"/>
  <c r="BH3" i="18" s="1"/>
  <c r="AA87" i="18"/>
  <c r="BF5" i="18" s="1"/>
  <c r="AA116" i="18"/>
  <c r="BF6" i="18" s="1"/>
  <c r="AB256" i="24"/>
  <c r="AB157" i="15" s="1"/>
  <c r="AA30" i="15" s="1"/>
  <c r="AC15" i="26"/>
  <c r="AC20" i="2"/>
  <c r="AA18" i="26"/>
  <c r="AA12" i="26" s="1"/>
  <c r="AB14" i="2"/>
  <c r="AB15" i="26"/>
  <c r="AB20" i="2"/>
  <c r="Z16" i="26"/>
  <c r="Z20" i="2"/>
  <c r="Z21" i="2" s="1"/>
  <c r="AA14" i="2"/>
  <c r="AA20" i="2"/>
  <c r="R466" i="23"/>
  <c r="S467" i="23" s="1"/>
  <c r="T468" i="23" s="1"/>
  <c r="U469" i="23" s="1"/>
  <c r="V470" i="23" s="1"/>
  <c r="W471" i="23" s="1"/>
  <c r="X472" i="23" s="1"/>
  <c r="Y473" i="23" s="1"/>
  <c r="Z474" i="23" s="1"/>
  <c r="AA475" i="23" s="1"/>
  <c r="AB476" i="23" s="1"/>
  <c r="AC477" i="23" s="1"/>
  <c r="AD478" i="23" s="1"/>
  <c r="AE479" i="23" s="1"/>
  <c r="AE466" i="23"/>
  <c r="AD466" i="23"/>
  <c r="AE467" i="23" s="1"/>
  <c r="AC466" i="23"/>
  <c r="AD467" i="23" s="1"/>
  <c r="AE468" i="23" s="1"/>
  <c r="AB466" i="23"/>
  <c r="AC467" i="23" s="1"/>
  <c r="AD468" i="23" s="1"/>
  <c r="AE469" i="23" s="1"/>
  <c r="Z466" i="23"/>
  <c r="AA467" i="23" s="1"/>
  <c r="AB468" i="23" s="1"/>
  <c r="AC469" i="23" s="1"/>
  <c r="AD470" i="23" s="1"/>
  <c r="AE471" i="23" s="1"/>
  <c r="Y466" i="23"/>
  <c r="Z467" i="23" s="1"/>
  <c r="AA468" i="23" s="1"/>
  <c r="AB469" i="23" s="1"/>
  <c r="AC470" i="23" s="1"/>
  <c r="AD471" i="23" s="1"/>
  <c r="AE472" i="23" s="1"/>
  <c r="X466" i="23"/>
  <c r="V466" i="23"/>
  <c r="W467" i="23" s="1"/>
  <c r="X468" i="23" s="1"/>
  <c r="Y469" i="23" s="1"/>
  <c r="Z470" i="23" s="1"/>
  <c r="AA471" i="23" s="1"/>
  <c r="AB472" i="23" s="1"/>
  <c r="AC473" i="23" s="1"/>
  <c r="AD474" i="23" s="1"/>
  <c r="AE475" i="23" s="1"/>
  <c r="U466" i="23"/>
  <c r="V467" i="23" s="1"/>
  <c r="W468" i="23" s="1"/>
  <c r="X469" i="23" s="1"/>
  <c r="Y470" i="23" s="1"/>
  <c r="Z471" i="23" s="1"/>
  <c r="AA472" i="23" s="1"/>
  <c r="AB473" i="23" s="1"/>
  <c r="AC474" i="23" s="1"/>
  <c r="AD475" i="23" s="1"/>
  <c r="AE476" i="23" s="1"/>
  <c r="Q466" i="23"/>
  <c r="R467" i="23" s="1"/>
  <c r="S468" i="23" s="1"/>
  <c r="T469" i="23" s="1"/>
  <c r="U470" i="23" s="1"/>
  <c r="V471" i="23" s="1"/>
  <c r="W472" i="23" s="1"/>
  <c r="X473" i="23" s="1"/>
  <c r="Y474" i="23" s="1"/>
  <c r="Z475" i="23" s="1"/>
  <c r="AA476" i="23" s="1"/>
  <c r="AB477" i="23" s="1"/>
  <c r="AC478" i="23" s="1"/>
  <c r="AD479" i="23" s="1"/>
  <c r="AE480" i="23" s="1"/>
  <c r="P466" i="23"/>
  <c r="Q467" i="23" s="1"/>
  <c r="R468" i="23" s="1"/>
  <c r="S469" i="23" s="1"/>
  <c r="T470" i="23" s="1"/>
  <c r="U471" i="23" s="1"/>
  <c r="V472" i="23" s="1"/>
  <c r="W473" i="23" s="1"/>
  <c r="X474" i="23" s="1"/>
  <c r="Y475" i="23" s="1"/>
  <c r="Z476" i="23" s="1"/>
  <c r="AA477" i="23" s="1"/>
  <c r="AB478" i="23" s="1"/>
  <c r="AC479" i="23" s="1"/>
  <c r="AD480" i="23" s="1"/>
  <c r="AE481" i="23" s="1"/>
  <c r="N466" i="23"/>
  <c r="O467" i="23" s="1"/>
  <c r="P468" i="23" s="1"/>
  <c r="Q469" i="23" s="1"/>
  <c r="R470" i="23" s="1"/>
  <c r="S471" i="23" s="1"/>
  <c r="T472" i="23" s="1"/>
  <c r="U473" i="23" s="1"/>
  <c r="V474" i="23" s="1"/>
  <c r="W475" i="23" s="1"/>
  <c r="X476" i="23" s="1"/>
  <c r="Y477" i="23" s="1"/>
  <c r="Z478" i="23" s="1"/>
  <c r="AA479" i="23" s="1"/>
  <c r="AB480" i="23" s="1"/>
  <c r="AC481" i="23" s="1"/>
  <c r="AD482" i="23" s="1"/>
  <c r="AE483" i="23" s="1"/>
  <c r="M466" i="23"/>
  <c r="N467" i="23" s="1"/>
  <c r="O468" i="23" s="1"/>
  <c r="P469" i="23" s="1"/>
  <c r="Q470" i="23" s="1"/>
  <c r="R471" i="23" s="1"/>
  <c r="S472" i="23" s="1"/>
  <c r="T473" i="23" s="1"/>
  <c r="U474" i="23" s="1"/>
  <c r="V475" i="23" s="1"/>
  <c r="W476" i="23" s="1"/>
  <c r="X477" i="23" s="1"/>
  <c r="Y478" i="23" s="1"/>
  <c r="Z479" i="23" s="1"/>
  <c r="AA480" i="23" s="1"/>
  <c r="AB481" i="23" s="1"/>
  <c r="AC482" i="23" s="1"/>
  <c r="AD483" i="23" s="1"/>
  <c r="AE484" i="23" s="1"/>
  <c r="L466" i="23"/>
  <c r="J466" i="23"/>
  <c r="K467" i="23" s="1"/>
  <c r="L468" i="23" s="1"/>
  <c r="M469" i="23" s="1"/>
  <c r="N470" i="23" s="1"/>
  <c r="O471" i="23" s="1"/>
  <c r="P472" i="23" s="1"/>
  <c r="Q473" i="23" s="1"/>
  <c r="R474" i="23" s="1"/>
  <c r="S475" i="23" s="1"/>
  <c r="T476" i="23" s="1"/>
  <c r="U477" i="23" s="1"/>
  <c r="V478" i="23" s="1"/>
  <c r="W479" i="23" s="1"/>
  <c r="X480" i="23" s="1"/>
  <c r="Y481" i="23" s="1"/>
  <c r="Z482" i="23" s="1"/>
  <c r="AA483" i="23" s="1"/>
  <c r="AB484" i="23" s="1"/>
  <c r="AC485" i="23" s="1"/>
  <c r="AD486" i="23" s="1"/>
  <c r="AE487" i="23" s="1"/>
  <c r="I466" i="23"/>
  <c r="J467" i="23" s="1"/>
  <c r="K468" i="23" s="1"/>
  <c r="L469" i="23" s="1"/>
  <c r="M470" i="23" s="1"/>
  <c r="N471" i="23" s="1"/>
  <c r="O472" i="23" s="1"/>
  <c r="P473" i="23" s="1"/>
  <c r="Q474" i="23" s="1"/>
  <c r="R475" i="23" s="1"/>
  <c r="S476" i="23" s="1"/>
  <c r="T477" i="23" s="1"/>
  <c r="U478" i="23" s="1"/>
  <c r="V479" i="23" s="1"/>
  <c r="W480" i="23" s="1"/>
  <c r="X481" i="23" s="1"/>
  <c r="Y482" i="23" s="1"/>
  <c r="Z483" i="23" s="1"/>
  <c r="AA484" i="23" s="1"/>
  <c r="AB485" i="23" s="1"/>
  <c r="AC486" i="23" s="1"/>
  <c r="AD487" i="23" s="1"/>
  <c r="AE488" i="23" s="1"/>
  <c r="F466" i="23"/>
  <c r="G467" i="23" s="1"/>
  <c r="H468" i="23" s="1"/>
  <c r="I469" i="23" s="1"/>
  <c r="J470" i="23" s="1"/>
  <c r="K471" i="23" s="1"/>
  <c r="L472" i="23" s="1"/>
  <c r="M473" i="23" s="1"/>
  <c r="N474" i="23" s="1"/>
  <c r="O475" i="23" s="1"/>
  <c r="P476" i="23" s="1"/>
  <c r="Q477" i="23" s="1"/>
  <c r="R478" i="23" s="1"/>
  <c r="S479" i="23" s="1"/>
  <c r="T480" i="23" s="1"/>
  <c r="U481" i="23" s="1"/>
  <c r="V482" i="23" s="1"/>
  <c r="W483" i="23" s="1"/>
  <c r="X484" i="23" s="1"/>
  <c r="Y485" i="23" s="1"/>
  <c r="Z486" i="23" s="1"/>
  <c r="AA487" i="23" s="1"/>
  <c r="AB488" i="23" s="1"/>
  <c r="AC489" i="23" s="1"/>
  <c r="AD490" i="23" s="1"/>
  <c r="E466" i="23"/>
  <c r="F467" i="23" s="1"/>
  <c r="G468" i="23" s="1"/>
  <c r="H469" i="23" s="1"/>
  <c r="I470" i="23" s="1"/>
  <c r="J471" i="23" s="1"/>
  <c r="K472" i="23" s="1"/>
  <c r="L473" i="23" s="1"/>
  <c r="M474" i="23" s="1"/>
  <c r="N475" i="23" s="1"/>
  <c r="O476" i="23" s="1"/>
  <c r="P477" i="23" s="1"/>
  <c r="Q478" i="23" s="1"/>
  <c r="R479" i="23" s="1"/>
  <c r="S480" i="23" s="1"/>
  <c r="T481" i="23" s="1"/>
  <c r="U482" i="23" s="1"/>
  <c r="V483" i="23" s="1"/>
  <c r="W484" i="23" s="1"/>
  <c r="X485" i="23" s="1"/>
  <c r="Y486" i="23" s="1"/>
  <c r="Z487" i="23" s="1"/>
  <c r="AA488" i="23" s="1"/>
  <c r="AB489" i="23" s="1"/>
  <c r="AC490" i="23" s="1"/>
  <c r="L437" i="23"/>
  <c r="M438" i="23" s="1"/>
  <c r="N439" i="23" s="1"/>
  <c r="O440" i="23" s="1"/>
  <c r="P441" i="23" s="1"/>
  <c r="Q442" i="23" s="1"/>
  <c r="R443" i="23" s="1"/>
  <c r="S444" i="23" s="1"/>
  <c r="T445" i="23" s="1"/>
  <c r="U446" i="23" s="1"/>
  <c r="V447" i="23" s="1"/>
  <c r="W448" i="23" s="1"/>
  <c r="X449" i="23" s="1"/>
  <c r="Y450" i="23" s="1"/>
  <c r="Z451" i="23" s="1"/>
  <c r="AA452" i="23" s="1"/>
  <c r="AB453" i="23" s="1"/>
  <c r="AC454" i="23" s="1"/>
  <c r="AD455" i="23" s="1"/>
  <c r="AE456" i="23" s="1"/>
  <c r="AE437" i="23"/>
  <c r="AD437" i="23"/>
  <c r="AE438" i="23" s="1"/>
  <c r="AC437" i="23"/>
  <c r="AD438" i="23" s="1"/>
  <c r="AE439" i="23" s="1"/>
  <c r="AB437" i="23"/>
  <c r="AC438" i="23" s="1"/>
  <c r="AD439" i="23" s="1"/>
  <c r="AE440" i="23" s="1"/>
  <c r="AA437" i="23"/>
  <c r="AB438" i="23" s="1"/>
  <c r="AC439" i="23" s="1"/>
  <c r="AD440" i="23" s="1"/>
  <c r="AE441" i="23" s="1"/>
  <c r="Z437" i="23"/>
  <c r="AA438" i="23" s="1"/>
  <c r="AB439" i="23" s="1"/>
  <c r="AC440" i="23" s="1"/>
  <c r="AD441" i="23" s="1"/>
  <c r="AE442" i="23" s="1"/>
  <c r="Y437" i="23"/>
  <c r="Z438" i="23" s="1"/>
  <c r="AA439" i="23" s="1"/>
  <c r="AB440" i="23" s="1"/>
  <c r="AC441" i="23" s="1"/>
  <c r="AD442" i="23" s="1"/>
  <c r="AE443" i="23" s="1"/>
  <c r="X437" i="23"/>
  <c r="Y438" i="23" s="1"/>
  <c r="Z439" i="23" s="1"/>
  <c r="AA440" i="23" s="1"/>
  <c r="AB441" i="23" s="1"/>
  <c r="AC442" i="23" s="1"/>
  <c r="AD443" i="23" s="1"/>
  <c r="AE444" i="23" s="1"/>
  <c r="V437" i="23"/>
  <c r="W438" i="23" s="1"/>
  <c r="X439" i="23" s="1"/>
  <c r="Y440" i="23" s="1"/>
  <c r="Z441" i="23" s="1"/>
  <c r="AA442" i="23" s="1"/>
  <c r="AB443" i="23" s="1"/>
  <c r="AC444" i="23" s="1"/>
  <c r="AD445" i="23" s="1"/>
  <c r="AE446" i="23" s="1"/>
  <c r="U437" i="23"/>
  <c r="V438" i="23" s="1"/>
  <c r="W439" i="23" s="1"/>
  <c r="X440" i="23" s="1"/>
  <c r="Y441" i="23" s="1"/>
  <c r="Z442" i="23" s="1"/>
  <c r="AA443" i="23" s="1"/>
  <c r="AB444" i="23" s="1"/>
  <c r="AC445" i="23" s="1"/>
  <c r="AD446" i="23" s="1"/>
  <c r="AE447" i="23" s="1"/>
  <c r="T437" i="23"/>
  <c r="U438" i="23" s="1"/>
  <c r="V439" i="23" s="1"/>
  <c r="W440" i="23" s="1"/>
  <c r="X441" i="23" s="1"/>
  <c r="Y442" i="23" s="1"/>
  <c r="Z443" i="23" s="1"/>
  <c r="AA444" i="23" s="1"/>
  <c r="AB445" i="23" s="1"/>
  <c r="AC446" i="23" s="1"/>
  <c r="AD447" i="23" s="1"/>
  <c r="AE448" i="23" s="1"/>
  <c r="S437" i="23"/>
  <c r="T438" i="23" s="1"/>
  <c r="U439" i="23" s="1"/>
  <c r="V440" i="23" s="1"/>
  <c r="W441" i="23" s="1"/>
  <c r="X442" i="23" s="1"/>
  <c r="Y443" i="23" s="1"/>
  <c r="Z444" i="23" s="1"/>
  <c r="AA445" i="23" s="1"/>
  <c r="AB446" i="23" s="1"/>
  <c r="AC447" i="23" s="1"/>
  <c r="AD448" i="23" s="1"/>
  <c r="AE449" i="23" s="1"/>
  <c r="Q437" i="23"/>
  <c r="R438" i="23" s="1"/>
  <c r="S439" i="23" s="1"/>
  <c r="T440" i="23" s="1"/>
  <c r="U441" i="23" s="1"/>
  <c r="V442" i="23" s="1"/>
  <c r="W443" i="23" s="1"/>
  <c r="X444" i="23" s="1"/>
  <c r="Y445" i="23" s="1"/>
  <c r="Z446" i="23" s="1"/>
  <c r="AA447" i="23" s="1"/>
  <c r="AB448" i="23" s="1"/>
  <c r="AC449" i="23" s="1"/>
  <c r="AD450" i="23" s="1"/>
  <c r="AE451" i="23" s="1"/>
  <c r="P437" i="23"/>
  <c r="Q438" i="23" s="1"/>
  <c r="R439" i="23" s="1"/>
  <c r="S440" i="23" s="1"/>
  <c r="T441" i="23" s="1"/>
  <c r="U442" i="23" s="1"/>
  <c r="V443" i="23" s="1"/>
  <c r="W444" i="23" s="1"/>
  <c r="X445" i="23" s="1"/>
  <c r="Y446" i="23" s="1"/>
  <c r="Z447" i="23" s="1"/>
  <c r="AA448" i="23" s="1"/>
  <c r="AB449" i="23" s="1"/>
  <c r="AC450" i="23" s="1"/>
  <c r="AD451" i="23" s="1"/>
  <c r="AE452" i="23" s="1"/>
  <c r="O437" i="23"/>
  <c r="P438" i="23" s="1"/>
  <c r="Q439" i="23" s="1"/>
  <c r="R440" i="23" s="1"/>
  <c r="S441" i="23" s="1"/>
  <c r="T442" i="23" s="1"/>
  <c r="U443" i="23" s="1"/>
  <c r="V444" i="23" s="1"/>
  <c r="W445" i="23" s="1"/>
  <c r="X446" i="23" s="1"/>
  <c r="Y447" i="23" s="1"/>
  <c r="Z448" i="23" s="1"/>
  <c r="AA449" i="23" s="1"/>
  <c r="AB450" i="23" s="1"/>
  <c r="AC451" i="23" s="1"/>
  <c r="AD452" i="23" s="1"/>
  <c r="AE453" i="23" s="1"/>
  <c r="N437" i="23"/>
  <c r="O438" i="23" s="1"/>
  <c r="P439" i="23" s="1"/>
  <c r="Q440" i="23" s="1"/>
  <c r="R441" i="23" s="1"/>
  <c r="S442" i="23" s="1"/>
  <c r="T443" i="23" s="1"/>
  <c r="U444" i="23" s="1"/>
  <c r="V445" i="23" s="1"/>
  <c r="W446" i="23" s="1"/>
  <c r="X447" i="23" s="1"/>
  <c r="Y448" i="23" s="1"/>
  <c r="Z449" i="23" s="1"/>
  <c r="AA450" i="23" s="1"/>
  <c r="AB451" i="23" s="1"/>
  <c r="AC452" i="23" s="1"/>
  <c r="AD453" i="23" s="1"/>
  <c r="AE454" i="23" s="1"/>
  <c r="K437" i="23"/>
  <c r="L438" i="23" s="1"/>
  <c r="M439" i="23" s="1"/>
  <c r="N440" i="23" s="1"/>
  <c r="O441" i="23" s="1"/>
  <c r="P442" i="23" s="1"/>
  <c r="Q443" i="23" s="1"/>
  <c r="R444" i="23" s="1"/>
  <c r="S445" i="23" s="1"/>
  <c r="T446" i="23" s="1"/>
  <c r="U447" i="23" s="1"/>
  <c r="V448" i="23" s="1"/>
  <c r="W449" i="23" s="1"/>
  <c r="X450" i="23" s="1"/>
  <c r="Y451" i="23" s="1"/>
  <c r="Z452" i="23" s="1"/>
  <c r="AA453" i="23" s="1"/>
  <c r="AB454" i="23" s="1"/>
  <c r="AC455" i="23" s="1"/>
  <c r="AD456" i="23" s="1"/>
  <c r="AE457" i="23" s="1"/>
  <c r="I437" i="23"/>
  <c r="J438" i="23" s="1"/>
  <c r="K439" i="23" s="1"/>
  <c r="L440" i="23" s="1"/>
  <c r="M441" i="23" s="1"/>
  <c r="N442" i="23" s="1"/>
  <c r="O443" i="23" s="1"/>
  <c r="P444" i="23" s="1"/>
  <c r="Q445" i="23" s="1"/>
  <c r="R446" i="23" s="1"/>
  <c r="S447" i="23" s="1"/>
  <c r="T448" i="23" s="1"/>
  <c r="U449" i="23" s="1"/>
  <c r="V450" i="23" s="1"/>
  <c r="W451" i="23" s="1"/>
  <c r="X452" i="23" s="1"/>
  <c r="Y453" i="23" s="1"/>
  <c r="Z454" i="23" s="1"/>
  <c r="AA455" i="23" s="1"/>
  <c r="AB456" i="23" s="1"/>
  <c r="AC457" i="23" s="1"/>
  <c r="AD458" i="23" s="1"/>
  <c r="AE459" i="23" s="1"/>
  <c r="H437" i="23"/>
  <c r="I438" i="23" s="1"/>
  <c r="J439" i="23" s="1"/>
  <c r="K440" i="23" s="1"/>
  <c r="L441" i="23" s="1"/>
  <c r="M442" i="23" s="1"/>
  <c r="N443" i="23" s="1"/>
  <c r="O444" i="23" s="1"/>
  <c r="P445" i="23" s="1"/>
  <c r="Q446" i="23" s="1"/>
  <c r="R447" i="23" s="1"/>
  <c r="S448" i="23" s="1"/>
  <c r="T449" i="23" s="1"/>
  <c r="U450" i="23" s="1"/>
  <c r="V451" i="23" s="1"/>
  <c r="W452" i="23" s="1"/>
  <c r="X453" i="23" s="1"/>
  <c r="Y454" i="23" s="1"/>
  <c r="Z455" i="23" s="1"/>
  <c r="AA456" i="23" s="1"/>
  <c r="AB457" i="23" s="1"/>
  <c r="AC458" i="23" s="1"/>
  <c r="AD459" i="23" s="1"/>
  <c r="AE460" i="23" s="1"/>
  <c r="G437" i="23"/>
  <c r="H438" i="23" s="1"/>
  <c r="F437" i="23"/>
  <c r="G438" i="23" s="1"/>
  <c r="H439" i="23" s="1"/>
  <c r="I440" i="23" s="1"/>
  <c r="J441" i="23" s="1"/>
  <c r="K442" i="23" s="1"/>
  <c r="L443" i="23" s="1"/>
  <c r="M444" i="23" s="1"/>
  <c r="N445" i="23" s="1"/>
  <c r="O446" i="23" s="1"/>
  <c r="P447" i="23" s="1"/>
  <c r="Q448" i="23" s="1"/>
  <c r="R449" i="23" s="1"/>
  <c r="S450" i="23" s="1"/>
  <c r="T451" i="23" s="1"/>
  <c r="U452" i="23" s="1"/>
  <c r="V453" i="23" s="1"/>
  <c r="W454" i="23" s="1"/>
  <c r="X455" i="23" s="1"/>
  <c r="Y456" i="23" s="1"/>
  <c r="Z457" i="23" s="1"/>
  <c r="AA458" i="23" s="1"/>
  <c r="AB459" i="23" s="1"/>
  <c r="AC460" i="23" s="1"/>
  <c r="AD461" i="23" s="1"/>
  <c r="E437" i="23"/>
  <c r="F438" i="23" s="1"/>
  <c r="G439" i="23" s="1"/>
  <c r="H440" i="23" s="1"/>
  <c r="I441" i="23" s="1"/>
  <c r="J442" i="23" s="1"/>
  <c r="K443" i="23" s="1"/>
  <c r="L444" i="23" s="1"/>
  <c r="M445" i="23" s="1"/>
  <c r="N446" i="23" s="1"/>
  <c r="O447" i="23" s="1"/>
  <c r="P448" i="23" s="1"/>
  <c r="Q449" i="23" s="1"/>
  <c r="R450" i="23" s="1"/>
  <c r="S451" i="23" s="1"/>
  <c r="T452" i="23" s="1"/>
  <c r="U453" i="23" s="1"/>
  <c r="V454" i="23" s="1"/>
  <c r="W455" i="23" s="1"/>
  <c r="X456" i="23" s="1"/>
  <c r="Y457" i="23" s="1"/>
  <c r="Z458" i="23" s="1"/>
  <c r="AA459" i="23" s="1"/>
  <c r="AB460" i="23" s="1"/>
  <c r="AC461" i="23" s="1"/>
  <c r="AE408" i="23"/>
  <c r="AD408" i="23"/>
  <c r="AE409" i="23" s="1"/>
  <c r="AC408" i="23"/>
  <c r="AD409" i="23" s="1"/>
  <c r="AE410" i="23" s="1"/>
  <c r="AB408" i="23"/>
  <c r="AC409" i="23" s="1"/>
  <c r="AD410" i="23" s="1"/>
  <c r="AE411" i="23" s="1"/>
  <c r="Y408" i="23"/>
  <c r="Z409" i="23" s="1"/>
  <c r="AA410" i="23" s="1"/>
  <c r="AB411" i="23" s="1"/>
  <c r="AC412" i="23" s="1"/>
  <c r="AD413" i="23" s="1"/>
  <c r="AE414" i="23" s="1"/>
  <c r="X408" i="23"/>
  <c r="Y409" i="23" s="1"/>
  <c r="Z410" i="23" s="1"/>
  <c r="AA411" i="23" s="1"/>
  <c r="AB412" i="23" s="1"/>
  <c r="AC413" i="23" s="1"/>
  <c r="AD414" i="23" s="1"/>
  <c r="AE415" i="23" s="1"/>
  <c r="U408" i="23"/>
  <c r="V409" i="23" s="1"/>
  <c r="W410" i="23" s="1"/>
  <c r="X411" i="23" s="1"/>
  <c r="Y412" i="23" s="1"/>
  <c r="Z413" i="23" s="1"/>
  <c r="AA414" i="23" s="1"/>
  <c r="AB415" i="23" s="1"/>
  <c r="AC416" i="23" s="1"/>
  <c r="AD417" i="23" s="1"/>
  <c r="AE418" i="23" s="1"/>
  <c r="Q408" i="23"/>
  <c r="R409" i="23" s="1"/>
  <c r="S410" i="23" s="1"/>
  <c r="T411" i="23" s="1"/>
  <c r="U412" i="23" s="1"/>
  <c r="V413" i="23" s="1"/>
  <c r="W414" i="23" s="1"/>
  <c r="X415" i="23" s="1"/>
  <c r="Y416" i="23" s="1"/>
  <c r="Z417" i="23" s="1"/>
  <c r="AA418" i="23" s="1"/>
  <c r="AB419" i="23" s="1"/>
  <c r="AC420" i="23" s="1"/>
  <c r="AD421" i="23" s="1"/>
  <c r="AE422" i="23" s="1"/>
  <c r="P408" i="23"/>
  <c r="Q409" i="23" s="1"/>
  <c r="R410" i="23" s="1"/>
  <c r="S411" i="23" s="1"/>
  <c r="T412" i="23" s="1"/>
  <c r="U413" i="23" s="1"/>
  <c r="V414" i="23" s="1"/>
  <c r="W415" i="23" s="1"/>
  <c r="X416" i="23" s="1"/>
  <c r="Y417" i="23" s="1"/>
  <c r="Z418" i="23" s="1"/>
  <c r="AA419" i="23" s="1"/>
  <c r="AB420" i="23" s="1"/>
  <c r="AC421" i="23" s="1"/>
  <c r="AD422" i="23" s="1"/>
  <c r="AE423" i="23" s="1"/>
  <c r="N408" i="23"/>
  <c r="O409" i="23" s="1"/>
  <c r="P410" i="23" s="1"/>
  <c r="Q411" i="23" s="1"/>
  <c r="R412" i="23" s="1"/>
  <c r="S413" i="23" s="1"/>
  <c r="T414" i="23" s="1"/>
  <c r="U415" i="23" s="1"/>
  <c r="V416" i="23" s="1"/>
  <c r="W417" i="23" s="1"/>
  <c r="X418" i="23" s="1"/>
  <c r="Y419" i="23" s="1"/>
  <c r="Z420" i="23" s="1"/>
  <c r="AA421" i="23" s="1"/>
  <c r="AB422" i="23" s="1"/>
  <c r="AC423" i="23" s="1"/>
  <c r="AD424" i="23" s="1"/>
  <c r="AE425" i="23" s="1"/>
  <c r="M408" i="23"/>
  <c r="N409" i="23" s="1"/>
  <c r="O410" i="23" s="1"/>
  <c r="P411" i="23" s="1"/>
  <c r="Q412" i="23" s="1"/>
  <c r="R413" i="23" s="1"/>
  <c r="S414" i="23" s="1"/>
  <c r="T415" i="23" s="1"/>
  <c r="U416" i="23" s="1"/>
  <c r="V417" i="23" s="1"/>
  <c r="W418" i="23" s="1"/>
  <c r="X419" i="23" s="1"/>
  <c r="Y420" i="23" s="1"/>
  <c r="Z421" i="23" s="1"/>
  <c r="AA422" i="23" s="1"/>
  <c r="AB423" i="23" s="1"/>
  <c r="AC424" i="23" s="1"/>
  <c r="AD425" i="23" s="1"/>
  <c r="AE426" i="23" s="1"/>
  <c r="L408" i="23"/>
  <c r="M409" i="23" s="1"/>
  <c r="N410" i="23" s="1"/>
  <c r="O411" i="23" s="1"/>
  <c r="P412" i="23" s="1"/>
  <c r="Q413" i="23" s="1"/>
  <c r="R414" i="23" s="1"/>
  <c r="S415" i="23" s="1"/>
  <c r="T416" i="23" s="1"/>
  <c r="U417" i="23" s="1"/>
  <c r="V418" i="23" s="1"/>
  <c r="W419" i="23" s="1"/>
  <c r="X420" i="23" s="1"/>
  <c r="Y421" i="23" s="1"/>
  <c r="Z422" i="23" s="1"/>
  <c r="AA423" i="23" s="1"/>
  <c r="AB424" i="23" s="1"/>
  <c r="AC425" i="23" s="1"/>
  <c r="AD426" i="23" s="1"/>
  <c r="AE427" i="23" s="1"/>
  <c r="I408" i="23"/>
  <c r="J409" i="23" s="1"/>
  <c r="K410" i="23" s="1"/>
  <c r="L411" i="23" s="1"/>
  <c r="M412" i="23" s="1"/>
  <c r="N413" i="23" s="1"/>
  <c r="O414" i="23" s="1"/>
  <c r="P415" i="23" s="1"/>
  <c r="Q416" i="23" s="1"/>
  <c r="R417" i="23" s="1"/>
  <c r="S418" i="23" s="1"/>
  <c r="T419" i="23" s="1"/>
  <c r="U420" i="23" s="1"/>
  <c r="V421" i="23" s="1"/>
  <c r="W422" i="23" s="1"/>
  <c r="X423" i="23" s="1"/>
  <c r="Y424" i="23" s="1"/>
  <c r="Z425" i="23" s="1"/>
  <c r="AA426" i="23" s="1"/>
  <c r="AB427" i="23" s="1"/>
  <c r="AC428" i="23" s="1"/>
  <c r="AD429" i="23" s="1"/>
  <c r="AE430" i="23" s="1"/>
  <c r="H408" i="23"/>
  <c r="E408" i="23"/>
  <c r="F409" i="23" s="1"/>
  <c r="G410" i="23" s="1"/>
  <c r="H411" i="23" s="1"/>
  <c r="I412" i="23" s="1"/>
  <c r="J413" i="23" s="1"/>
  <c r="K414" i="23" s="1"/>
  <c r="L415" i="23" s="1"/>
  <c r="M416" i="23" s="1"/>
  <c r="N417" i="23" s="1"/>
  <c r="O418" i="23" s="1"/>
  <c r="P419" i="23" s="1"/>
  <c r="Q420" i="23" s="1"/>
  <c r="R421" i="23" s="1"/>
  <c r="S422" i="23" s="1"/>
  <c r="T423" i="23" s="1"/>
  <c r="U424" i="23" s="1"/>
  <c r="V425" i="23" s="1"/>
  <c r="W426" i="23" s="1"/>
  <c r="X427" i="23" s="1"/>
  <c r="Y428" i="23" s="1"/>
  <c r="Z429" i="23" s="1"/>
  <c r="AA430" i="23" s="1"/>
  <c r="AB431" i="23" s="1"/>
  <c r="AC432" i="23" s="1"/>
  <c r="D403" i="23"/>
  <c r="D402" i="23"/>
  <c r="E403" i="23" s="1"/>
  <c r="D401" i="23"/>
  <c r="E402" i="23" s="1"/>
  <c r="F403" i="23" s="1"/>
  <c r="D400" i="23"/>
  <c r="E401" i="23" s="1"/>
  <c r="F402" i="23" s="1"/>
  <c r="G403" i="23" s="1"/>
  <c r="D399" i="23"/>
  <c r="E400" i="23" s="1"/>
  <c r="F401" i="23" s="1"/>
  <c r="G402" i="23" s="1"/>
  <c r="H403" i="23" s="1"/>
  <c r="D398" i="23"/>
  <c r="E399" i="23" s="1"/>
  <c r="F400" i="23" s="1"/>
  <c r="G401" i="23" s="1"/>
  <c r="H402" i="23" s="1"/>
  <c r="I403" i="23" s="1"/>
  <c r="D397" i="23"/>
  <c r="E398" i="23" s="1"/>
  <c r="F399" i="23" s="1"/>
  <c r="G400" i="23" s="1"/>
  <c r="H401" i="23" s="1"/>
  <c r="I402" i="23" s="1"/>
  <c r="J403" i="23" s="1"/>
  <c r="D396" i="23"/>
  <c r="E397" i="23" s="1"/>
  <c r="F398" i="23" s="1"/>
  <c r="G399" i="23" s="1"/>
  <c r="H400" i="23" s="1"/>
  <c r="I401" i="23" s="1"/>
  <c r="J402" i="23" s="1"/>
  <c r="K403" i="23" s="1"/>
  <c r="D395" i="23"/>
  <c r="E396" i="23" s="1"/>
  <c r="F397" i="23" s="1"/>
  <c r="G398" i="23" s="1"/>
  <c r="H399" i="23" s="1"/>
  <c r="I400" i="23" s="1"/>
  <c r="J401" i="23" s="1"/>
  <c r="K402" i="23" s="1"/>
  <c r="L403" i="23" s="1"/>
  <c r="D394" i="23"/>
  <c r="E395" i="23" s="1"/>
  <c r="F396" i="23" s="1"/>
  <c r="G397" i="23" s="1"/>
  <c r="H398" i="23" s="1"/>
  <c r="I399" i="23" s="1"/>
  <c r="J400" i="23" s="1"/>
  <c r="K401" i="23" s="1"/>
  <c r="L402" i="23" s="1"/>
  <c r="M403" i="23" s="1"/>
  <c r="D393" i="23"/>
  <c r="E394" i="23" s="1"/>
  <c r="F395" i="23" s="1"/>
  <c r="G396" i="23" s="1"/>
  <c r="H397" i="23" s="1"/>
  <c r="I398" i="23" s="1"/>
  <c r="J399" i="23" s="1"/>
  <c r="K400" i="23" s="1"/>
  <c r="L401" i="23" s="1"/>
  <c r="M402" i="23" s="1"/>
  <c r="N403" i="23" s="1"/>
  <c r="D392" i="23"/>
  <c r="E393" i="23" s="1"/>
  <c r="F394" i="23" s="1"/>
  <c r="G395" i="23" s="1"/>
  <c r="H396" i="23" s="1"/>
  <c r="I397" i="23" s="1"/>
  <c r="J398" i="23" s="1"/>
  <c r="K399" i="23" s="1"/>
  <c r="L400" i="23" s="1"/>
  <c r="M401" i="23" s="1"/>
  <c r="N402" i="23" s="1"/>
  <c r="O403" i="23" s="1"/>
  <c r="D391" i="23"/>
  <c r="E392" i="23" s="1"/>
  <c r="F393" i="23" s="1"/>
  <c r="G394" i="23" s="1"/>
  <c r="H395" i="23" s="1"/>
  <c r="I396" i="23" s="1"/>
  <c r="J397" i="23" s="1"/>
  <c r="K398" i="23" s="1"/>
  <c r="L399" i="23" s="1"/>
  <c r="M400" i="23" s="1"/>
  <c r="N401" i="23" s="1"/>
  <c r="O402" i="23" s="1"/>
  <c r="P403" i="23" s="1"/>
  <c r="D390" i="23"/>
  <c r="E391" i="23" s="1"/>
  <c r="F392" i="23" s="1"/>
  <c r="G393" i="23" s="1"/>
  <c r="H394" i="23" s="1"/>
  <c r="I395" i="23" s="1"/>
  <c r="J396" i="23" s="1"/>
  <c r="K397" i="23" s="1"/>
  <c r="L398" i="23" s="1"/>
  <c r="M399" i="23" s="1"/>
  <c r="N400" i="23" s="1"/>
  <c r="O401" i="23" s="1"/>
  <c r="P402" i="23" s="1"/>
  <c r="Q403" i="23" s="1"/>
  <c r="D389" i="23"/>
  <c r="E390" i="23" s="1"/>
  <c r="F391" i="23" s="1"/>
  <c r="G392" i="23" s="1"/>
  <c r="H393" i="23" s="1"/>
  <c r="I394" i="23" s="1"/>
  <c r="J395" i="23" s="1"/>
  <c r="K396" i="23" s="1"/>
  <c r="L397" i="23" s="1"/>
  <c r="M398" i="23" s="1"/>
  <c r="N399" i="23" s="1"/>
  <c r="O400" i="23" s="1"/>
  <c r="P401" i="23" s="1"/>
  <c r="Q402" i="23" s="1"/>
  <c r="R403" i="23" s="1"/>
  <c r="D388" i="23"/>
  <c r="E389" i="23" s="1"/>
  <c r="F390" i="23" s="1"/>
  <c r="G391" i="23" s="1"/>
  <c r="H392" i="23" s="1"/>
  <c r="I393" i="23" s="1"/>
  <c r="J394" i="23" s="1"/>
  <c r="K395" i="23" s="1"/>
  <c r="L396" i="23" s="1"/>
  <c r="M397" i="23" s="1"/>
  <c r="N398" i="23" s="1"/>
  <c r="O399" i="23" s="1"/>
  <c r="P400" i="23" s="1"/>
  <c r="Q401" i="23" s="1"/>
  <c r="R402" i="23" s="1"/>
  <c r="S403" i="23" s="1"/>
  <c r="D387" i="23"/>
  <c r="E388" i="23" s="1"/>
  <c r="F389" i="23" s="1"/>
  <c r="G390" i="23" s="1"/>
  <c r="H391" i="23" s="1"/>
  <c r="I392" i="23" s="1"/>
  <c r="J393" i="23" s="1"/>
  <c r="K394" i="23" s="1"/>
  <c r="L395" i="23" s="1"/>
  <c r="M396" i="23" s="1"/>
  <c r="N397" i="23" s="1"/>
  <c r="O398" i="23" s="1"/>
  <c r="P399" i="23" s="1"/>
  <c r="Q400" i="23" s="1"/>
  <c r="R401" i="23" s="1"/>
  <c r="S402" i="23" s="1"/>
  <c r="T403" i="23" s="1"/>
  <c r="D386" i="23"/>
  <c r="E387" i="23" s="1"/>
  <c r="F388" i="23" s="1"/>
  <c r="G389" i="23" s="1"/>
  <c r="H390" i="23" s="1"/>
  <c r="I391" i="23" s="1"/>
  <c r="J392" i="23" s="1"/>
  <c r="K393" i="23" s="1"/>
  <c r="L394" i="23" s="1"/>
  <c r="M395" i="23" s="1"/>
  <c r="N396" i="23" s="1"/>
  <c r="O397" i="23" s="1"/>
  <c r="P398" i="23" s="1"/>
  <c r="Q399" i="23" s="1"/>
  <c r="R400" i="23" s="1"/>
  <c r="S401" i="23" s="1"/>
  <c r="T402" i="23" s="1"/>
  <c r="U403" i="23" s="1"/>
  <c r="D385" i="23"/>
  <c r="E386" i="23" s="1"/>
  <c r="F387" i="23" s="1"/>
  <c r="G388" i="23" s="1"/>
  <c r="H389" i="23" s="1"/>
  <c r="I390" i="23" s="1"/>
  <c r="J391" i="23" s="1"/>
  <c r="K392" i="23" s="1"/>
  <c r="L393" i="23" s="1"/>
  <c r="M394" i="23" s="1"/>
  <c r="N395" i="23" s="1"/>
  <c r="O396" i="23" s="1"/>
  <c r="P397" i="23" s="1"/>
  <c r="Q398" i="23" s="1"/>
  <c r="R399" i="23" s="1"/>
  <c r="S400" i="23" s="1"/>
  <c r="T401" i="23" s="1"/>
  <c r="U402" i="23" s="1"/>
  <c r="V403" i="23" s="1"/>
  <c r="D384" i="23"/>
  <c r="E385" i="23" s="1"/>
  <c r="F386" i="23" s="1"/>
  <c r="G387" i="23" s="1"/>
  <c r="H388" i="23" s="1"/>
  <c r="I389" i="23" s="1"/>
  <c r="J390" i="23" s="1"/>
  <c r="K391" i="23" s="1"/>
  <c r="L392" i="23" s="1"/>
  <c r="M393" i="23" s="1"/>
  <c r="N394" i="23" s="1"/>
  <c r="O395" i="23" s="1"/>
  <c r="P396" i="23" s="1"/>
  <c r="Q397" i="23" s="1"/>
  <c r="R398" i="23" s="1"/>
  <c r="S399" i="23" s="1"/>
  <c r="T400" i="23" s="1"/>
  <c r="U401" i="23" s="1"/>
  <c r="V402" i="23" s="1"/>
  <c r="W403" i="23" s="1"/>
  <c r="D383" i="23"/>
  <c r="E384" i="23" s="1"/>
  <c r="F385" i="23" s="1"/>
  <c r="G386" i="23" s="1"/>
  <c r="H387" i="23" s="1"/>
  <c r="I388" i="23" s="1"/>
  <c r="J389" i="23" s="1"/>
  <c r="K390" i="23" s="1"/>
  <c r="L391" i="23" s="1"/>
  <c r="M392" i="23" s="1"/>
  <c r="N393" i="23" s="1"/>
  <c r="O394" i="23" s="1"/>
  <c r="P395" i="23" s="1"/>
  <c r="Q396" i="23" s="1"/>
  <c r="R397" i="23" s="1"/>
  <c r="S398" i="23" s="1"/>
  <c r="T399" i="23" s="1"/>
  <c r="U400" i="23" s="1"/>
  <c r="V401" i="23" s="1"/>
  <c r="W402" i="23" s="1"/>
  <c r="X403" i="23" s="1"/>
  <c r="D382" i="23"/>
  <c r="E383" i="23" s="1"/>
  <c r="F384" i="23" s="1"/>
  <c r="G385" i="23" s="1"/>
  <c r="H386" i="23" s="1"/>
  <c r="I387" i="23" s="1"/>
  <c r="J388" i="23" s="1"/>
  <c r="K389" i="23" s="1"/>
  <c r="L390" i="23" s="1"/>
  <c r="M391" i="23" s="1"/>
  <c r="N392" i="23" s="1"/>
  <c r="O393" i="23" s="1"/>
  <c r="P394" i="23" s="1"/>
  <c r="Q395" i="23" s="1"/>
  <c r="R396" i="23" s="1"/>
  <c r="S397" i="23" s="1"/>
  <c r="T398" i="23" s="1"/>
  <c r="U399" i="23" s="1"/>
  <c r="V400" i="23" s="1"/>
  <c r="W401" i="23" s="1"/>
  <c r="X402" i="23" s="1"/>
  <c r="Y403" i="23" s="1"/>
  <c r="D381" i="23"/>
  <c r="E382" i="23" s="1"/>
  <c r="F383" i="23" s="1"/>
  <c r="G384" i="23" s="1"/>
  <c r="H385" i="23" s="1"/>
  <c r="I386" i="23" s="1"/>
  <c r="J387" i="23" s="1"/>
  <c r="K388" i="23" s="1"/>
  <c r="L389" i="23" s="1"/>
  <c r="M390" i="23" s="1"/>
  <c r="N391" i="23" s="1"/>
  <c r="O392" i="23" s="1"/>
  <c r="P393" i="23" s="1"/>
  <c r="Q394" i="23" s="1"/>
  <c r="R395" i="23" s="1"/>
  <c r="S396" i="23" s="1"/>
  <c r="T397" i="23" s="1"/>
  <c r="U398" i="23" s="1"/>
  <c r="V399" i="23" s="1"/>
  <c r="W400" i="23" s="1"/>
  <c r="X401" i="23" s="1"/>
  <c r="Y402" i="23" s="1"/>
  <c r="Z403" i="23" s="1"/>
  <c r="D380" i="23"/>
  <c r="E381" i="23" s="1"/>
  <c r="F382" i="23" s="1"/>
  <c r="G383" i="23" s="1"/>
  <c r="H384" i="23" s="1"/>
  <c r="I385" i="23" s="1"/>
  <c r="J386" i="23" s="1"/>
  <c r="K387" i="23" s="1"/>
  <c r="L388" i="23" s="1"/>
  <c r="M389" i="23" s="1"/>
  <c r="N390" i="23" s="1"/>
  <c r="O391" i="23" s="1"/>
  <c r="P392" i="23" s="1"/>
  <c r="Q393" i="23" s="1"/>
  <c r="R394" i="23" s="1"/>
  <c r="S395" i="23" s="1"/>
  <c r="T396" i="23" s="1"/>
  <c r="U397" i="23" s="1"/>
  <c r="V398" i="23" s="1"/>
  <c r="W399" i="23" s="1"/>
  <c r="X400" i="23" s="1"/>
  <c r="Y401" i="23" s="1"/>
  <c r="Z402" i="23" s="1"/>
  <c r="AA403" i="23" s="1"/>
  <c r="V379" i="23"/>
  <c r="D379" i="23"/>
  <c r="E380" i="23" s="1"/>
  <c r="F381" i="23" s="1"/>
  <c r="G382" i="23" s="1"/>
  <c r="H383" i="23" s="1"/>
  <c r="I384" i="23" s="1"/>
  <c r="J385" i="23" s="1"/>
  <c r="K386" i="23" s="1"/>
  <c r="L387" i="23" s="1"/>
  <c r="M388" i="23" s="1"/>
  <c r="N389" i="23" s="1"/>
  <c r="O390" i="23" s="1"/>
  <c r="P391" i="23" s="1"/>
  <c r="Q392" i="23" s="1"/>
  <c r="R393" i="23" s="1"/>
  <c r="S394" i="23" s="1"/>
  <c r="T395" i="23" s="1"/>
  <c r="U396" i="23" s="1"/>
  <c r="V397" i="23" s="1"/>
  <c r="W398" i="23" s="1"/>
  <c r="X399" i="23" s="1"/>
  <c r="Y400" i="23" s="1"/>
  <c r="Z401" i="23" s="1"/>
  <c r="AA402" i="23" s="1"/>
  <c r="AB403" i="23" s="1"/>
  <c r="AE379" i="23"/>
  <c r="AD379" i="23"/>
  <c r="AE380" i="23" s="1"/>
  <c r="AC379" i="23"/>
  <c r="AD380" i="23" s="1"/>
  <c r="AE381" i="23" s="1"/>
  <c r="AA379" i="23"/>
  <c r="AB380" i="23" s="1"/>
  <c r="AC381" i="23" s="1"/>
  <c r="AD382" i="23" s="1"/>
  <c r="AE383" i="23" s="1"/>
  <c r="Z379" i="23"/>
  <c r="AA380" i="23" s="1"/>
  <c r="AB381" i="23" s="1"/>
  <c r="AC382" i="23" s="1"/>
  <c r="AD383" i="23" s="1"/>
  <c r="AE384" i="23" s="1"/>
  <c r="W379" i="23"/>
  <c r="X380" i="23" s="1"/>
  <c r="Y381" i="23" s="1"/>
  <c r="Z382" i="23" s="1"/>
  <c r="AA383" i="23" s="1"/>
  <c r="AB384" i="23" s="1"/>
  <c r="AC385" i="23" s="1"/>
  <c r="AD386" i="23" s="1"/>
  <c r="AE387" i="23" s="1"/>
  <c r="U379" i="23"/>
  <c r="V380" i="23" s="1"/>
  <c r="W381" i="23" s="1"/>
  <c r="X382" i="23" s="1"/>
  <c r="Y383" i="23" s="1"/>
  <c r="Z384" i="23" s="1"/>
  <c r="AA385" i="23" s="1"/>
  <c r="AB386" i="23" s="1"/>
  <c r="AC387" i="23" s="1"/>
  <c r="AD388" i="23" s="1"/>
  <c r="AE389" i="23" s="1"/>
  <c r="T379" i="23"/>
  <c r="U380" i="23" s="1"/>
  <c r="V381" i="23" s="1"/>
  <c r="W382" i="23" s="1"/>
  <c r="X383" i="23" s="1"/>
  <c r="Y384" i="23" s="1"/>
  <c r="Z385" i="23" s="1"/>
  <c r="AA386" i="23" s="1"/>
  <c r="AB387" i="23" s="1"/>
  <c r="AC388" i="23" s="1"/>
  <c r="AD389" i="23" s="1"/>
  <c r="AE390" i="23" s="1"/>
  <c r="S379" i="23"/>
  <c r="T380" i="23" s="1"/>
  <c r="U381" i="23" s="1"/>
  <c r="V382" i="23" s="1"/>
  <c r="W383" i="23" s="1"/>
  <c r="X384" i="23" s="1"/>
  <c r="Y385" i="23" s="1"/>
  <c r="Z386" i="23" s="1"/>
  <c r="AA387" i="23" s="1"/>
  <c r="AB388" i="23" s="1"/>
  <c r="AC389" i="23" s="1"/>
  <c r="AD390" i="23" s="1"/>
  <c r="AE391" i="23" s="1"/>
  <c r="R379" i="23"/>
  <c r="S380" i="23" s="1"/>
  <c r="T381" i="23" s="1"/>
  <c r="U382" i="23" s="1"/>
  <c r="V383" i="23" s="1"/>
  <c r="W384" i="23" s="1"/>
  <c r="X385" i="23" s="1"/>
  <c r="Y386" i="23" s="1"/>
  <c r="Z387" i="23" s="1"/>
  <c r="AA388" i="23" s="1"/>
  <c r="AB389" i="23" s="1"/>
  <c r="AC390" i="23" s="1"/>
  <c r="AD391" i="23" s="1"/>
  <c r="AE392" i="23" s="1"/>
  <c r="Q379" i="23"/>
  <c r="R380" i="23" s="1"/>
  <c r="S381" i="23" s="1"/>
  <c r="T382" i="23" s="1"/>
  <c r="U383" i="23" s="1"/>
  <c r="V384" i="23" s="1"/>
  <c r="W385" i="23" s="1"/>
  <c r="X386" i="23" s="1"/>
  <c r="Y387" i="23" s="1"/>
  <c r="Z388" i="23" s="1"/>
  <c r="AA389" i="23" s="1"/>
  <c r="AB390" i="23" s="1"/>
  <c r="AC391" i="23" s="1"/>
  <c r="AD392" i="23" s="1"/>
  <c r="AE393" i="23" s="1"/>
  <c r="O379" i="23"/>
  <c r="P380" i="23" s="1"/>
  <c r="Q381" i="23" s="1"/>
  <c r="R382" i="23" s="1"/>
  <c r="S383" i="23" s="1"/>
  <c r="T384" i="23" s="1"/>
  <c r="U385" i="23" s="1"/>
  <c r="V386" i="23" s="1"/>
  <c r="W387" i="23" s="1"/>
  <c r="X388" i="23" s="1"/>
  <c r="Y389" i="23" s="1"/>
  <c r="Z390" i="23" s="1"/>
  <c r="AA391" i="23" s="1"/>
  <c r="AB392" i="23" s="1"/>
  <c r="AC393" i="23" s="1"/>
  <c r="AD394" i="23" s="1"/>
  <c r="AE395" i="23" s="1"/>
  <c r="N379" i="23"/>
  <c r="O380" i="23" s="1"/>
  <c r="P381" i="23" s="1"/>
  <c r="Q382" i="23" s="1"/>
  <c r="R383" i="23" s="1"/>
  <c r="S384" i="23" s="1"/>
  <c r="T385" i="23" s="1"/>
  <c r="U386" i="23" s="1"/>
  <c r="V387" i="23" s="1"/>
  <c r="W388" i="23" s="1"/>
  <c r="X389" i="23" s="1"/>
  <c r="Y390" i="23" s="1"/>
  <c r="Z391" i="23" s="1"/>
  <c r="AA392" i="23" s="1"/>
  <c r="AB393" i="23" s="1"/>
  <c r="AC394" i="23" s="1"/>
  <c r="AD395" i="23" s="1"/>
  <c r="AE396" i="23" s="1"/>
  <c r="M379" i="23"/>
  <c r="N380" i="23" s="1"/>
  <c r="K379" i="23"/>
  <c r="L380" i="23" s="1"/>
  <c r="M381" i="23" s="1"/>
  <c r="N382" i="23" s="1"/>
  <c r="O383" i="23" s="1"/>
  <c r="P384" i="23" s="1"/>
  <c r="Q385" i="23" s="1"/>
  <c r="R386" i="23" s="1"/>
  <c r="S387" i="23" s="1"/>
  <c r="T388" i="23" s="1"/>
  <c r="U389" i="23" s="1"/>
  <c r="V390" i="23" s="1"/>
  <c r="W391" i="23" s="1"/>
  <c r="X392" i="23" s="1"/>
  <c r="Y393" i="23" s="1"/>
  <c r="Z394" i="23" s="1"/>
  <c r="AA395" i="23" s="1"/>
  <c r="AB396" i="23" s="1"/>
  <c r="AC397" i="23" s="1"/>
  <c r="AD398" i="23" s="1"/>
  <c r="AE399" i="23" s="1"/>
  <c r="J379" i="23"/>
  <c r="K380" i="23" s="1"/>
  <c r="L381" i="23" s="1"/>
  <c r="M382" i="23" s="1"/>
  <c r="N383" i="23" s="1"/>
  <c r="O384" i="23" s="1"/>
  <c r="P385" i="23" s="1"/>
  <c r="Q386" i="23" s="1"/>
  <c r="R387" i="23" s="1"/>
  <c r="S388" i="23" s="1"/>
  <c r="T389" i="23" s="1"/>
  <c r="U390" i="23" s="1"/>
  <c r="V391" i="23" s="1"/>
  <c r="W392" i="23" s="1"/>
  <c r="X393" i="23" s="1"/>
  <c r="Y394" i="23" s="1"/>
  <c r="Z395" i="23" s="1"/>
  <c r="AA396" i="23" s="1"/>
  <c r="AB397" i="23" s="1"/>
  <c r="AC398" i="23" s="1"/>
  <c r="AD399" i="23" s="1"/>
  <c r="AE400" i="23" s="1"/>
  <c r="H379" i="23"/>
  <c r="I380" i="23" s="1"/>
  <c r="J381" i="23" s="1"/>
  <c r="K382" i="23" s="1"/>
  <c r="L383" i="23" s="1"/>
  <c r="M384" i="23" s="1"/>
  <c r="N385" i="23" s="1"/>
  <c r="O386" i="23" s="1"/>
  <c r="P387" i="23" s="1"/>
  <c r="Q388" i="23" s="1"/>
  <c r="R389" i="23" s="1"/>
  <c r="S390" i="23" s="1"/>
  <c r="T391" i="23" s="1"/>
  <c r="U392" i="23" s="1"/>
  <c r="V393" i="23" s="1"/>
  <c r="W394" i="23" s="1"/>
  <c r="X395" i="23" s="1"/>
  <c r="Y396" i="23" s="1"/>
  <c r="Z397" i="23" s="1"/>
  <c r="AA398" i="23" s="1"/>
  <c r="AB399" i="23" s="1"/>
  <c r="AC400" i="23" s="1"/>
  <c r="AD401" i="23" s="1"/>
  <c r="AE402" i="23" s="1"/>
  <c r="G379" i="23"/>
  <c r="H380" i="23" s="1"/>
  <c r="I381" i="23" s="1"/>
  <c r="J382" i="23" s="1"/>
  <c r="K383" i="23" s="1"/>
  <c r="L384" i="23" s="1"/>
  <c r="M385" i="23" s="1"/>
  <c r="N386" i="23" s="1"/>
  <c r="O387" i="23" s="1"/>
  <c r="P388" i="23" s="1"/>
  <c r="Q389" i="23" s="1"/>
  <c r="R390" i="23" s="1"/>
  <c r="S391" i="23" s="1"/>
  <c r="T392" i="23" s="1"/>
  <c r="U393" i="23" s="1"/>
  <c r="V394" i="23" s="1"/>
  <c r="W395" i="23" s="1"/>
  <c r="X396" i="23" s="1"/>
  <c r="Y397" i="23" s="1"/>
  <c r="Z398" i="23" s="1"/>
  <c r="AA399" i="23" s="1"/>
  <c r="AB400" i="23" s="1"/>
  <c r="AC401" i="23" s="1"/>
  <c r="AD402" i="23" s="1"/>
  <c r="AE403" i="23" s="1"/>
  <c r="F379" i="23"/>
  <c r="G380" i="23" s="1"/>
  <c r="H381" i="23" s="1"/>
  <c r="I382" i="23" s="1"/>
  <c r="J383" i="23" s="1"/>
  <c r="K384" i="23" s="1"/>
  <c r="L385" i="23" s="1"/>
  <c r="M386" i="23" s="1"/>
  <c r="N387" i="23" s="1"/>
  <c r="O388" i="23" s="1"/>
  <c r="P389" i="23" s="1"/>
  <c r="Q390" i="23" s="1"/>
  <c r="R391" i="23" s="1"/>
  <c r="S392" i="23" s="1"/>
  <c r="T393" i="23" s="1"/>
  <c r="U394" i="23" s="1"/>
  <c r="V395" i="23" s="1"/>
  <c r="W396" i="23" s="1"/>
  <c r="X397" i="23" s="1"/>
  <c r="Y398" i="23" s="1"/>
  <c r="Z399" i="23" s="1"/>
  <c r="AA400" i="23" s="1"/>
  <c r="AB401" i="23" s="1"/>
  <c r="AC402" i="23" s="1"/>
  <c r="AD403" i="23" s="1"/>
  <c r="E379" i="23"/>
  <c r="F380" i="23" s="1"/>
  <c r="G381" i="23" s="1"/>
  <c r="H382" i="23" s="1"/>
  <c r="I383" i="23" s="1"/>
  <c r="J384" i="23" s="1"/>
  <c r="K385" i="23" s="1"/>
  <c r="L386" i="23" s="1"/>
  <c r="M387" i="23" s="1"/>
  <c r="N388" i="23" s="1"/>
  <c r="O389" i="23" s="1"/>
  <c r="P390" i="23" s="1"/>
  <c r="Q391" i="23" s="1"/>
  <c r="R392" i="23" s="1"/>
  <c r="S393" i="23" s="1"/>
  <c r="T394" i="23" s="1"/>
  <c r="U395" i="23" s="1"/>
  <c r="V396" i="23" s="1"/>
  <c r="W397" i="23" s="1"/>
  <c r="X398" i="23" s="1"/>
  <c r="Y399" i="23" s="1"/>
  <c r="Z400" i="23" s="1"/>
  <c r="AA401" i="23" s="1"/>
  <c r="AB402" i="23" s="1"/>
  <c r="AC403" i="23" s="1"/>
  <c r="D374" i="23"/>
  <c r="D373" i="23"/>
  <c r="E374" i="23" s="1"/>
  <c r="D372" i="23"/>
  <c r="E373" i="23" s="1"/>
  <c r="F374" i="23" s="1"/>
  <c r="D371" i="23"/>
  <c r="E372" i="23" s="1"/>
  <c r="F373" i="23" s="1"/>
  <c r="G374" i="23" s="1"/>
  <c r="D370" i="23"/>
  <c r="E371" i="23" s="1"/>
  <c r="F372" i="23" s="1"/>
  <c r="G373" i="23" s="1"/>
  <c r="H374" i="23" s="1"/>
  <c r="D369" i="23"/>
  <c r="E370" i="23" s="1"/>
  <c r="F371" i="23" s="1"/>
  <c r="G372" i="23" s="1"/>
  <c r="H373" i="23" s="1"/>
  <c r="I374" i="23" s="1"/>
  <c r="D368" i="23"/>
  <c r="E369" i="23" s="1"/>
  <c r="F370" i="23" s="1"/>
  <c r="G371" i="23" s="1"/>
  <c r="H372" i="23" s="1"/>
  <c r="I373" i="23" s="1"/>
  <c r="J374" i="23" s="1"/>
  <c r="D367" i="23"/>
  <c r="E368" i="23" s="1"/>
  <c r="F369" i="23" s="1"/>
  <c r="G370" i="23" s="1"/>
  <c r="H371" i="23" s="1"/>
  <c r="I372" i="23" s="1"/>
  <c r="J373" i="23" s="1"/>
  <c r="K374" i="23" s="1"/>
  <c r="D366" i="23"/>
  <c r="E367" i="23" s="1"/>
  <c r="F368" i="23" s="1"/>
  <c r="G369" i="23" s="1"/>
  <c r="H370" i="23" s="1"/>
  <c r="I371" i="23" s="1"/>
  <c r="J372" i="23" s="1"/>
  <c r="K373" i="23" s="1"/>
  <c r="L374" i="23" s="1"/>
  <c r="D365" i="23"/>
  <c r="E366" i="23" s="1"/>
  <c r="F367" i="23" s="1"/>
  <c r="G368" i="23" s="1"/>
  <c r="H369" i="23" s="1"/>
  <c r="I370" i="23" s="1"/>
  <c r="J371" i="23" s="1"/>
  <c r="K372" i="23" s="1"/>
  <c r="L373" i="23" s="1"/>
  <c r="M374" i="23" s="1"/>
  <c r="D364" i="23"/>
  <c r="E365" i="23" s="1"/>
  <c r="F366" i="23" s="1"/>
  <c r="G367" i="23" s="1"/>
  <c r="H368" i="23" s="1"/>
  <c r="I369" i="23" s="1"/>
  <c r="J370" i="23" s="1"/>
  <c r="K371" i="23" s="1"/>
  <c r="L372" i="23" s="1"/>
  <c r="M373" i="23" s="1"/>
  <c r="N374" i="23" s="1"/>
  <c r="D363" i="23"/>
  <c r="E364" i="23" s="1"/>
  <c r="F365" i="23" s="1"/>
  <c r="G366" i="23" s="1"/>
  <c r="H367" i="23" s="1"/>
  <c r="I368" i="23" s="1"/>
  <c r="J369" i="23" s="1"/>
  <c r="K370" i="23" s="1"/>
  <c r="L371" i="23" s="1"/>
  <c r="M372" i="23" s="1"/>
  <c r="N373" i="23" s="1"/>
  <c r="O374" i="23" s="1"/>
  <c r="D362" i="23"/>
  <c r="E363" i="23" s="1"/>
  <c r="F364" i="23" s="1"/>
  <c r="G365" i="23" s="1"/>
  <c r="H366" i="23" s="1"/>
  <c r="I367" i="23" s="1"/>
  <c r="J368" i="23" s="1"/>
  <c r="K369" i="23" s="1"/>
  <c r="L370" i="23" s="1"/>
  <c r="M371" i="23" s="1"/>
  <c r="N372" i="23" s="1"/>
  <c r="O373" i="23" s="1"/>
  <c r="P374" i="23" s="1"/>
  <c r="D361" i="23"/>
  <c r="E362" i="23" s="1"/>
  <c r="F363" i="23" s="1"/>
  <c r="G364" i="23" s="1"/>
  <c r="H365" i="23" s="1"/>
  <c r="I366" i="23" s="1"/>
  <c r="J367" i="23" s="1"/>
  <c r="K368" i="23" s="1"/>
  <c r="L369" i="23" s="1"/>
  <c r="M370" i="23" s="1"/>
  <c r="N371" i="23" s="1"/>
  <c r="O372" i="23" s="1"/>
  <c r="P373" i="23" s="1"/>
  <c r="Q374" i="23" s="1"/>
  <c r="D360" i="23"/>
  <c r="E361" i="23" s="1"/>
  <c r="F362" i="23" s="1"/>
  <c r="G363" i="23" s="1"/>
  <c r="H364" i="23" s="1"/>
  <c r="I365" i="23" s="1"/>
  <c r="J366" i="23" s="1"/>
  <c r="K367" i="23" s="1"/>
  <c r="L368" i="23" s="1"/>
  <c r="M369" i="23" s="1"/>
  <c r="N370" i="23" s="1"/>
  <c r="O371" i="23" s="1"/>
  <c r="P372" i="23" s="1"/>
  <c r="Q373" i="23" s="1"/>
  <c r="R374" i="23" s="1"/>
  <c r="D359" i="23"/>
  <c r="E360" i="23" s="1"/>
  <c r="F361" i="23" s="1"/>
  <c r="G362" i="23" s="1"/>
  <c r="H363" i="23" s="1"/>
  <c r="I364" i="23" s="1"/>
  <c r="J365" i="23" s="1"/>
  <c r="K366" i="23" s="1"/>
  <c r="L367" i="23" s="1"/>
  <c r="M368" i="23" s="1"/>
  <c r="N369" i="23" s="1"/>
  <c r="O370" i="23" s="1"/>
  <c r="P371" i="23" s="1"/>
  <c r="Q372" i="23" s="1"/>
  <c r="R373" i="23" s="1"/>
  <c r="S374" i="23" s="1"/>
  <c r="D358" i="23"/>
  <c r="E359" i="23" s="1"/>
  <c r="F360" i="23" s="1"/>
  <c r="G361" i="23" s="1"/>
  <c r="H362" i="23" s="1"/>
  <c r="I363" i="23" s="1"/>
  <c r="J364" i="23" s="1"/>
  <c r="K365" i="23" s="1"/>
  <c r="L366" i="23" s="1"/>
  <c r="M367" i="23" s="1"/>
  <c r="N368" i="23" s="1"/>
  <c r="O369" i="23" s="1"/>
  <c r="P370" i="23" s="1"/>
  <c r="Q371" i="23" s="1"/>
  <c r="R372" i="23" s="1"/>
  <c r="S373" i="23" s="1"/>
  <c r="T374" i="23" s="1"/>
  <c r="AE350" i="23"/>
  <c r="AC350" i="23"/>
  <c r="AD351" i="23" s="1"/>
  <c r="AE352" i="23" s="1"/>
  <c r="AB350" i="23"/>
  <c r="AC351" i="23" s="1"/>
  <c r="AD352" i="23" s="1"/>
  <c r="AE353" i="23" s="1"/>
  <c r="AA350" i="23"/>
  <c r="X350" i="23"/>
  <c r="Y351" i="23" s="1"/>
  <c r="Z352" i="23" s="1"/>
  <c r="AA353" i="23" s="1"/>
  <c r="AB354" i="23" s="1"/>
  <c r="AC355" i="23" s="1"/>
  <c r="AD356" i="23" s="1"/>
  <c r="AE357" i="23" s="1"/>
  <c r="W350" i="23"/>
  <c r="X351" i="23" s="1"/>
  <c r="Y352" i="23" s="1"/>
  <c r="Z353" i="23" s="1"/>
  <c r="AA354" i="23" s="1"/>
  <c r="AB355" i="23" s="1"/>
  <c r="AC356" i="23" s="1"/>
  <c r="AD357" i="23" s="1"/>
  <c r="AE358" i="23" s="1"/>
  <c r="T350" i="23"/>
  <c r="U351" i="23" s="1"/>
  <c r="V352" i="23" s="1"/>
  <c r="W353" i="23" s="1"/>
  <c r="X354" i="23" s="1"/>
  <c r="Y355" i="23" s="1"/>
  <c r="Z356" i="23" s="1"/>
  <c r="AA357" i="23" s="1"/>
  <c r="AB358" i="23" s="1"/>
  <c r="AC359" i="23" s="1"/>
  <c r="AD360" i="23" s="1"/>
  <c r="AE361" i="23" s="1"/>
  <c r="S350" i="23"/>
  <c r="T351" i="23" s="1"/>
  <c r="U352" i="23" s="1"/>
  <c r="V353" i="23" s="1"/>
  <c r="W354" i="23" s="1"/>
  <c r="X355" i="23" s="1"/>
  <c r="Y356" i="23" s="1"/>
  <c r="Z357" i="23" s="1"/>
  <c r="AA358" i="23" s="1"/>
  <c r="AB359" i="23" s="1"/>
  <c r="AC360" i="23" s="1"/>
  <c r="AD361" i="23" s="1"/>
  <c r="AE362" i="23" s="1"/>
  <c r="P350" i="23"/>
  <c r="Q351" i="23" s="1"/>
  <c r="R352" i="23" s="1"/>
  <c r="S353" i="23" s="1"/>
  <c r="T354" i="23" s="1"/>
  <c r="U355" i="23" s="1"/>
  <c r="V356" i="23" s="1"/>
  <c r="W357" i="23" s="1"/>
  <c r="X358" i="23" s="1"/>
  <c r="Y359" i="23" s="1"/>
  <c r="Z360" i="23" s="1"/>
  <c r="AA361" i="23" s="1"/>
  <c r="AB362" i="23" s="1"/>
  <c r="AC363" i="23" s="1"/>
  <c r="AD364" i="23" s="1"/>
  <c r="AE365" i="23" s="1"/>
  <c r="O350" i="23"/>
  <c r="P351" i="23" s="1"/>
  <c r="Q352" i="23" s="1"/>
  <c r="R353" i="23" s="1"/>
  <c r="S354" i="23" s="1"/>
  <c r="T355" i="23" s="1"/>
  <c r="U356" i="23" s="1"/>
  <c r="V357" i="23" s="1"/>
  <c r="W358" i="23" s="1"/>
  <c r="X359" i="23" s="1"/>
  <c r="Y360" i="23" s="1"/>
  <c r="Z361" i="23" s="1"/>
  <c r="AA362" i="23" s="1"/>
  <c r="AB363" i="23" s="1"/>
  <c r="AC364" i="23" s="1"/>
  <c r="AD365" i="23" s="1"/>
  <c r="AE366" i="23" s="1"/>
  <c r="L350" i="23"/>
  <c r="M351" i="23" s="1"/>
  <c r="N352" i="23" s="1"/>
  <c r="O353" i="23" s="1"/>
  <c r="P354" i="23" s="1"/>
  <c r="Q355" i="23" s="1"/>
  <c r="R356" i="23" s="1"/>
  <c r="S357" i="23" s="1"/>
  <c r="T358" i="23" s="1"/>
  <c r="U359" i="23" s="1"/>
  <c r="V360" i="23" s="1"/>
  <c r="W361" i="23" s="1"/>
  <c r="X362" i="23" s="1"/>
  <c r="Y363" i="23" s="1"/>
  <c r="Z364" i="23" s="1"/>
  <c r="AA365" i="23" s="1"/>
  <c r="AB366" i="23" s="1"/>
  <c r="AC367" i="23" s="1"/>
  <c r="AD368" i="23" s="1"/>
  <c r="AE369" i="23" s="1"/>
  <c r="K350" i="23"/>
  <c r="H350" i="23"/>
  <c r="I351" i="23" s="1"/>
  <c r="J352" i="23" s="1"/>
  <c r="K353" i="23" s="1"/>
  <c r="L354" i="23" s="1"/>
  <c r="M355" i="23" s="1"/>
  <c r="N356" i="23" s="1"/>
  <c r="O357" i="23" s="1"/>
  <c r="P358" i="23" s="1"/>
  <c r="Q359" i="23" s="1"/>
  <c r="R360" i="23" s="1"/>
  <c r="S361" i="23" s="1"/>
  <c r="T362" i="23" s="1"/>
  <c r="U363" i="23" s="1"/>
  <c r="V364" i="23" s="1"/>
  <c r="W365" i="23" s="1"/>
  <c r="X366" i="23" s="1"/>
  <c r="Y367" i="23" s="1"/>
  <c r="Z368" i="23" s="1"/>
  <c r="AA369" i="23" s="1"/>
  <c r="AB370" i="23" s="1"/>
  <c r="AC371" i="23" s="1"/>
  <c r="AD372" i="23" s="1"/>
  <c r="AE373" i="23" s="1"/>
  <c r="G350" i="23"/>
  <c r="H351" i="23" s="1"/>
  <c r="I352" i="23" s="1"/>
  <c r="J353" i="23" s="1"/>
  <c r="K354" i="23" s="1"/>
  <c r="L355" i="23" s="1"/>
  <c r="M356" i="23" s="1"/>
  <c r="N357" i="23" s="1"/>
  <c r="O358" i="23" s="1"/>
  <c r="P359" i="23" s="1"/>
  <c r="Q360" i="23" s="1"/>
  <c r="R361" i="23" s="1"/>
  <c r="S362" i="23" s="1"/>
  <c r="T363" i="23" s="1"/>
  <c r="U364" i="23" s="1"/>
  <c r="V365" i="23" s="1"/>
  <c r="W366" i="23" s="1"/>
  <c r="X367" i="23" s="1"/>
  <c r="Y368" i="23" s="1"/>
  <c r="Z369" i="23" s="1"/>
  <c r="AA370" i="23" s="1"/>
  <c r="AB371" i="23" s="1"/>
  <c r="AC372" i="23" s="1"/>
  <c r="AD373" i="23" s="1"/>
  <c r="AE374" i="23" s="1"/>
  <c r="C348" i="23"/>
  <c r="C464" i="23" s="1"/>
  <c r="D345" i="23"/>
  <c r="D344" i="23"/>
  <c r="E345" i="23" s="1"/>
  <c r="D343" i="23"/>
  <c r="E344" i="23" s="1"/>
  <c r="F345" i="23" s="1"/>
  <c r="D342" i="23"/>
  <c r="E343" i="23" s="1"/>
  <c r="F344" i="23" s="1"/>
  <c r="G345" i="23" s="1"/>
  <c r="D341" i="23"/>
  <c r="E342" i="23" s="1"/>
  <c r="F343" i="23" s="1"/>
  <c r="G344" i="23" s="1"/>
  <c r="H345" i="23" s="1"/>
  <c r="D340" i="23"/>
  <c r="E341" i="23" s="1"/>
  <c r="F342" i="23" s="1"/>
  <c r="G343" i="23" s="1"/>
  <c r="H344" i="23" s="1"/>
  <c r="I345" i="23" s="1"/>
  <c r="D339" i="23"/>
  <c r="E340" i="23" s="1"/>
  <c r="F341" i="23" s="1"/>
  <c r="G342" i="23" s="1"/>
  <c r="H343" i="23" s="1"/>
  <c r="I344" i="23" s="1"/>
  <c r="J345" i="23" s="1"/>
  <c r="D338" i="23"/>
  <c r="E339" i="23" s="1"/>
  <c r="F340" i="23" s="1"/>
  <c r="G341" i="23" s="1"/>
  <c r="H342" i="23" s="1"/>
  <c r="I343" i="23" s="1"/>
  <c r="J344" i="23" s="1"/>
  <c r="K345" i="23" s="1"/>
  <c r="D337" i="23"/>
  <c r="E338" i="23" s="1"/>
  <c r="F339" i="23" s="1"/>
  <c r="G340" i="23" s="1"/>
  <c r="H341" i="23" s="1"/>
  <c r="I342" i="23" s="1"/>
  <c r="J343" i="23" s="1"/>
  <c r="K344" i="23" s="1"/>
  <c r="L345" i="23" s="1"/>
  <c r="D336" i="23"/>
  <c r="E337" i="23" s="1"/>
  <c r="F338" i="23" s="1"/>
  <c r="G339" i="23" s="1"/>
  <c r="H340" i="23" s="1"/>
  <c r="I341" i="23" s="1"/>
  <c r="J342" i="23" s="1"/>
  <c r="K343" i="23" s="1"/>
  <c r="L344" i="23" s="1"/>
  <c r="M345" i="23" s="1"/>
  <c r="D335" i="23"/>
  <c r="E336" i="23" s="1"/>
  <c r="F337" i="23" s="1"/>
  <c r="G338" i="23" s="1"/>
  <c r="H339" i="23" s="1"/>
  <c r="I340" i="23" s="1"/>
  <c r="J341" i="23" s="1"/>
  <c r="K342" i="23" s="1"/>
  <c r="L343" i="23" s="1"/>
  <c r="M344" i="23" s="1"/>
  <c r="N345" i="23" s="1"/>
  <c r="D334" i="23"/>
  <c r="E335" i="23" s="1"/>
  <c r="F336" i="23" s="1"/>
  <c r="G337" i="23" s="1"/>
  <c r="H338" i="23" s="1"/>
  <c r="I339" i="23" s="1"/>
  <c r="J340" i="23" s="1"/>
  <c r="K341" i="23" s="1"/>
  <c r="L342" i="23" s="1"/>
  <c r="M343" i="23" s="1"/>
  <c r="N344" i="23" s="1"/>
  <c r="O345" i="23" s="1"/>
  <c r="D333" i="23"/>
  <c r="E334" i="23" s="1"/>
  <c r="F335" i="23" s="1"/>
  <c r="G336" i="23" s="1"/>
  <c r="H337" i="23" s="1"/>
  <c r="I338" i="23" s="1"/>
  <c r="J339" i="23" s="1"/>
  <c r="K340" i="23" s="1"/>
  <c r="L341" i="23" s="1"/>
  <c r="M342" i="23" s="1"/>
  <c r="N343" i="23" s="1"/>
  <c r="O344" i="23" s="1"/>
  <c r="P345" i="23" s="1"/>
  <c r="D332" i="23"/>
  <c r="E333" i="23" s="1"/>
  <c r="F334" i="23" s="1"/>
  <c r="G335" i="23" s="1"/>
  <c r="H336" i="23" s="1"/>
  <c r="I337" i="23" s="1"/>
  <c r="J338" i="23" s="1"/>
  <c r="K339" i="23" s="1"/>
  <c r="L340" i="23" s="1"/>
  <c r="M341" i="23" s="1"/>
  <c r="N342" i="23" s="1"/>
  <c r="O343" i="23" s="1"/>
  <c r="P344" i="23" s="1"/>
  <c r="Q345" i="23" s="1"/>
  <c r="D331" i="23"/>
  <c r="E332" i="23" s="1"/>
  <c r="F333" i="23" s="1"/>
  <c r="G334" i="23" s="1"/>
  <c r="H335" i="23" s="1"/>
  <c r="I336" i="23" s="1"/>
  <c r="J337" i="23" s="1"/>
  <c r="K338" i="23" s="1"/>
  <c r="L339" i="23" s="1"/>
  <c r="M340" i="23" s="1"/>
  <c r="N341" i="23" s="1"/>
  <c r="O342" i="23" s="1"/>
  <c r="P343" i="23" s="1"/>
  <c r="Q344" i="23" s="1"/>
  <c r="R345" i="23" s="1"/>
  <c r="D330" i="23"/>
  <c r="E331" i="23" s="1"/>
  <c r="F332" i="23" s="1"/>
  <c r="G333" i="23" s="1"/>
  <c r="H334" i="23" s="1"/>
  <c r="I335" i="23" s="1"/>
  <c r="J336" i="23" s="1"/>
  <c r="K337" i="23" s="1"/>
  <c r="L338" i="23" s="1"/>
  <c r="M339" i="23" s="1"/>
  <c r="N340" i="23" s="1"/>
  <c r="O341" i="23" s="1"/>
  <c r="P342" i="23" s="1"/>
  <c r="Q343" i="23" s="1"/>
  <c r="R344" i="23" s="1"/>
  <c r="S345" i="23" s="1"/>
  <c r="D329" i="23"/>
  <c r="E330" i="23" s="1"/>
  <c r="F331" i="23" s="1"/>
  <c r="G332" i="23" s="1"/>
  <c r="H333" i="23" s="1"/>
  <c r="I334" i="23" s="1"/>
  <c r="J335" i="23" s="1"/>
  <c r="K336" i="23" s="1"/>
  <c r="L337" i="23" s="1"/>
  <c r="M338" i="23" s="1"/>
  <c r="N339" i="23" s="1"/>
  <c r="O340" i="23" s="1"/>
  <c r="P341" i="23" s="1"/>
  <c r="Q342" i="23" s="1"/>
  <c r="R343" i="23" s="1"/>
  <c r="S344" i="23" s="1"/>
  <c r="T345" i="23" s="1"/>
  <c r="D328" i="23"/>
  <c r="E329" i="23" s="1"/>
  <c r="F330" i="23" s="1"/>
  <c r="G331" i="23" s="1"/>
  <c r="H332" i="23" s="1"/>
  <c r="I333" i="23" s="1"/>
  <c r="J334" i="23" s="1"/>
  <c r="K335" i="23" s="1"/>
  <c r="L336" i="23" s="1"/>
  <c r="M337" i="23" s="1"/>
  <c r="N338" i="23" s="1"/>
  <c r="O339" i="23" s="1"/>
  <c r="P340" i="23" s="1"/>
  <c r="Q341" i="23" s="1"/>
  <c r="R342" i="23" s="1"/>
  <c r="S343" i="23" s="1"/>
  <c r="T344" i="23" s="1"/>
  <c r="U345" i="23" s="1"/>
  <c r="Q321" i="23"/>
  <c r="R322" i="23" s="1"/>
  <c r="S323" i="23" s="1"/>
  <c r="T324" i="23" s="1"/>
  <c r="U325" i="23" s="1"/>
  <c r="V326" i="23" s="1"/>
  <c r="W327" i="23" s="1"/>
  <c r="X328" i="23" s="1"/>
  <c r="Y329" i="23" s="1"/>
  <c r="Z330" i="23" s="1"/>
  <c r="AA331" i="23" s="1"/>
  <c r="AB332" i="23" s="1"/>
  <c r="AC333" i="23" s="1"/>
  <c r="AD334" i="23" s="1"/>
  <c r="AE335" i="23" s="1"/>
  <c r="AE321" i="23"/>
  <c r="AD321" i="23"/>
  <c r="AE322" i="23" s="1"/>
  <c r="AC321" i="23"/>
  <c r="AD322" i="23" s="1"/>
  <c r="AE323" i="23" s="1"/>
  <c r="Z321" i="23"/>
  <c r="AA322" i="23" s="1"/>
  <c r="AB323" i="23" s="1"/>
  <c r="AC324" i="23" s="1"/>
  <c r="AD325" i="23" s="1"/>
  <c r="AE326" i="23" s="1"/>
  <c r="Y321" i="23"/>
  <c r="Z322" i="23" s="1"/>
  <c r="AA323" i="23" s="1"/>
  <c r="AB324" i="23" s="1"/>
  <c r="AC325" i="23" s="1"/>
  <c r="AD326" i="23" s="1"/>
  <c r="AE327" i="23" s="1"/>
  <c r="X321" i="23"/>
  <c r="V321" i="23"/>
  <c r="W322" i="23" s="1"/>
  <c r="X323" i="23" s="1"/>
  <c r="Y324" i="23" s="1"/>
  <c r="Z325" i="23" s="1"/>
  <c r="AA326" i="23" s="1"/>
  <c r="AB327" i="23" s="1"/>
  <c r="AC328" i="23" s="1"/>
  <c r="AD329" i="23" s="1"/>
  <c r="AE330" i="23" s="1"/>
  <c r="U321" i="23"/>
  <c r="V322" i="23" s="1"/>
  <c r="W323" i="23" s="1"/>
  <c r="X324" i="23" s="1"/>
  <c r="Y325" i="23" s="1"/>
  <c r="Z326" i="23" s="1"/>
  <c r="AA327" i="23" s="1"/>
  <c r="AB328" i="23" s="1"/>
  <c r="AC329" i="23" s="1"/>
  <c r="AD330" i="23" s="1"/>
  <c r="AE331" i="23" s="1"/>
  <c r="R321" i="23"/>
  <c r="S322" i="23" s="1"/>
  <c r="T323" i="23" s="1"/>
  <c r="U324" i="23" s="1"/>
  <c r="V325" i="23" s="1"/>
  <c r="W326" i="23" s="1"/>
  <c r="X327" i="23" s="1"/>
  <c r="Y328" i="23" s="1"/>
  <c r="Z329" i="23" s="1"/>
  <c r="AA330" i="23" s="1"/>
  <c r="AB331" i="23" s="1"/>
  <c r="AC332" i="23" s="1"/>
  <c r="AD333" i="23" s="1"/>
  <c r="AE334" i="23" s="1"/>
  <c r="P321" i="23"/>
  <c r="N321" i="23"/>
  <c r="O322" i="23" s="1"/>
  <c r="P323" i="23" s="1"/>
  <c r="Q324" i="23" s="1"/>
  <c r="R325" i="23" s="1"/>
  <c r="S326" i="23" s="1"/>
  <c r="T327" i="23" s="1"/>
  <c r="U328" i="23" s="1"/>
  <c r="V329" i="23" s="1"/>
  <c r="W330" i="23" s="1"/>
  <c r="X331" i="23" s="1"/>
  <c r="Y332" i="23" s="1"/>
  <c r="Z333" i="23" s="1"/>
  <c r="AA334" i="23" s="1"/>
  <c r="AB335" i="23" s="1"/>
  <c r="AC336" i="23" s="1"/>
  <c r="AD337" i="23" s="1"/>
  <c r="AE338" i="23" s="1"/>
  <c r="M321" i="23"/>
  <c r="N322" i="23" s="1"/>
  <c r="O323" i="23" s="1"/>
  <c r="P324" i="23" s="1"/>
  <c r="Q325" i="23" s="1"/>
  <c r="R326" i="23" s="1"/>
  <c r="S327" i="23" s="1"/>
  <c r="T328" i="23" s="1"/>
  <c r="U329" i="23" s="1"/>
  <c r="V330" i="23" s="1"/>
  <c r="W331" i="23" s="1"/>
  <c r="X332" i="23" s="1"/>
  <c r="Y333" i="23" s="1"/>
  <c r="Z334" i="23" s="1"/>
  <c r="AA335" i="23" s="1"/>
  <c r="AB336" i="23" s="1"/>
  <c r="AC337" i="23" s="1"/>
  <c r="AD338" i="23" s="1"/>
  <c r="AE339" i="23" s="1"/>
  <c r="L321" i="23"/>
  <c r="J321" i="23"/>
  <c r="K322" i="23" s="1"/>
  <c r="L323" i="23" s="1"/>
  <c r="M324" i="23" s="1"/>
  <c r="N325" i="23" s="1"/>
  <c r="O326" i="23" s="1"/>
  <c r="P327" i="23" s="1"/>
  <c r="Q328" i="23" s="1"/>
  <c r="R329" i="23" s="1"/>
  <c r="S330" i="23" s="1"/>
  <c r="T331" i="23" s="1"/>
  <c r="U332" i="23" s="1"/>
  <c r="V333" i="23" s="1"/>
  <c r="W334" i="23" s="1"/>
  <c r="X335" i="23" s="1"/>
  <c r="Y336" i="23" s="1"/>
  <c r="Z337" i="23" s="1"/>
  <c r="AA338" i="23" s="1"/>
  <c r="AB339" i="23" s="1"/>
  <c r="AC340" i="23" s="1"/>
  <c r="AD341" i="23" s="1"/>
  <c r="AE342" i="23" s="1"/>
  <c r="I321" i="23"/>
  <c r="J322" i="23" s="1"/>
  <c r="K323" i="23" s="1"/>
  <c r="L324" i="23" s="1"/>
  <c r="M325" i="23" s="1"/>
  <c r="N326" i="23" s="1"/>
  <c r="O327" i="23" s="1"/>
  <c r="P328" i="23" s="1"/>
  <c r="Q329" i="23" s="1"/>
  <c r="R330" i="23" s="1"/>
  <c r="S331" i="23" s="1"/>
  <c r="T332" i="23" s="1"/>
  <c r="U333" i="23" s="1"/>
  <c r="V334" i="23" s="1"/>
  <c r="W335" i="23" s="1"/>
  <c r="X336" i="23" s="1"/>
  <c r="Y337" i="23" s="1"/>
  <c r="Z338" i="23" s="1"/>
  <c r="AA339" i="23" s="1"/>
  <c r="AB340" i="23" s="1"/>
  <c r="AC341" i="23" s="1"/>
  <c r="AD342" i="23" s="1"/>
  <c r="AE343" i="23" s="1"/>
  <c r="F321" i="23"/>
  <c r="G322" i="23" s="1"/>
  <c r="H323" i="23" s="1"/>
  <c r="I324" i="23" s="1"/>
  <c r="J325" i="23" s="1"/>
  <c r="K326" i="23" s="1"/>
  <c r="L327" i="23" s="1"/>
  <c r="M328" i="23" s="1"/>
  <c r="N329" i="23" s="1"/>
  <c r="O330" i="23" s="1"/>
  <c r="P331" i="23" s="1"/>
  <c r="Q332" i="23" s="1"/>
  <c r="R333" i="23" s="1"/>
  <c r="S334" i="23" s="1"/>
  <c r="T335" i="23" s="1"/>
  <c r="U336" i="23" s="1"/>
  <c r="V337" i="23" s="1"/>
  <c r="W338" i="23" s="1"/>
  <c r="X339" i="23" s="1"/>
  <c r="Y340" i="23" s="1"/>
  <c r="Z341" i="23" s="1"/>
  <c r="AA342" i="23" s="1"/>
  <c r="AB343" i="23" s="1"/>
  <c r="AC344" i="23" s="1"/>
  <c r="AD345" i="23" s="1"/>
  <c r="E321" i="23"/>
  <c r="F322" i="23" s="1"/>
  <c r="G323" i="23" s="1"/>
  <c r="H324" i="23" s="1"/>
  <c r="I325" i="23" s="1"/>
  <c r="J326" i="23" s="1"/>
  <c r="K327" i="23" s="1"/>
  <c r="L328" i="23" s="1"/>
  <c r="M329" i="23" s="1"/>
  <c r="N330" i="23" s="1"/>
  <c r="O331" i="23" s="1"/>
  <c r="P332" i="23" s="1"/>
  <c r="Q333" i="23" s="1"/>
  <c r="R334" i="23" s="1"/>
  <c r="S335" i="23" s="1"/>
  <c r="T336" i="23" s="1"/>
  <c r="U337" i="23" s="1"/>
  <c r="V338" i="23" s="1"/>
  <c r="W339" i="23" s="1"/>
  <c r="X340" i="23" s="1"/>
  <c r="Y341" i="23" s="1"/>
  <c r="Z342" i="23" s="1"/>
  <c r="AA343" i="23" s="1"/>
  <c r="AB344" i="23" s="1"/>
  <c r="AC345" i="23" s="1"/>
  <c r="C319" i="23"/>
  <c r="C435" i="23" s="1"/>
  <c r="D316" i="23"/>
  <c r="D315" i="23"/>
  <c r="E316" i="23" s="1"/>
  <c r="D314" i="23"/>
  <c r="E315" i="23" s="1"/>
  <c r="F316" i="23" s="1"/>
  <c r="D313" i="23"/>
  <c r="E314" i="23" s="1"/>
  <c r="F315" i="23" s="1"/>
  <c r="G316" i="23" s="1"/>
  <c r="D312" i="23"/>
  <c r="E313" i="23" s="1"/>
  <c r="F314" i="23" s="1"/>
  <c r="G315" i="23" s="1"/>
  <c r="H316" i="23" s="1"/>
  <c r="D311" i="23"/>
  <c r="E312" i="23" s="1"/>
  <c r="F313" i="23" s="1"/>
  <c r="G314" i="23" s="1"/>
  <c r="H315" i="23" s="1"/>
  <c r="I316" i="23" s="1"/>
  <c r="D310" i="23"/>
  <c r="E311" i="23" s="1"/>
  <c r="F312" i="23" s="1"/>
  <c r="G313" i="23" s="1"/>
  <c r="H314" i="23" s="1"/>
  <c r="I315" i="23" s="1"/>
  <c r="J316" i="23" s="1"/>
  <c r="D309" i="23"/>
  <c r="E310" i="23" s="1"/>
  <c r="F311" i="23" s="1"/>
  <c r="G312" i="23" s="1"/>
  <c r="H313" i="23" s="1"/>
  <c r="I314" i="23" s="1"/>
  <c r="J315" i="23" s="1"/>
  <c r="K316" i="23" s="1"/>
  <c r="D308" i="23"/>
  <c r="E309" i="23" s="1"/>
  <c r="F310" i="23" s="1"/>
  <c r="G311" i="23" s="1"/>
  <c r="H312" i="23" s="1"/>
  <c r="I313" i="23" s="1"/>
  <c r="J314" i="23" s="1"/>
  <c r="K315" i="23" s="1"/>
  <c r="L316" i="23" s="1"/>
  <c r="D307" i="23"/>
  <c r="E308" i="23" s="1"/>
  <c r="F309" i="23" s="1"/>
  <c r="G310" i="23" s="1"/>
  <c r="H311" i="23" s="1"/>
  <c r="I312" i="23" s="1"/>
  <c r="J313" i="23" s="1"/>
  <c r="K314" i="23" s="1"/>
  <c r="L315" i="23" s="1"/>
  <c r="M316" i="23" s="1"/>
  <c r="D306" i="23"/>
  <c r="E307" i="23" s="1"/>
  <c r="F308" i="23" s="1"/>
  <c r="G309" i="23" s="1"/>
  <c r="H310" i="23" s="1"/>
  <c r="I311" i="23" s="1"/>
  <c r="J312" i="23" s="1"/>
  <c r="K313" i="23" s="1"/>
  <c r="L314" i="23" s="1"/>
  <c r="M315" i="23" s="1"/>
  <c r="N316" i="23" s="1"/>
  <c r="D305" i="23"/>
  <c r="E306" i="23" s="1"/>
  <c r="F307" i="23" s="1"/>
  <c r="G308" i="23" s="1"/>
  <c r="H309" i="23" s="1"/>
  <c r="I310" i="23" s="1"/>
  <c r="J311" i="23" s="1"/>
  <c r="K312" i="23" s="1"/>
  <c r="L313" i="23" s="1"/>
  <c r="M314" i="23" s="1"/>
  <c r="N315" i="23" s="1"/>
  <c r="O316" i="23" s="1"/>
  <c r="D304" i="23"/>
  <c r="E305" i="23" s="1"/>
  <c r="F306" i="23" s="1"/>
  <c r="G307" i="23" s="1"/>
  <c r="H308" i="23" s="1"/>
  <c r="I309" i="23" s="1"/>
  <c r="J310" i="23" s="1"/>
  <c r="K311" i="23" s="1"/>
  <c r="L312" i="23" s="1"/>
  <c r="M313" i="23" s="1"/>
  <c r="N314" i="23" s="1"/>
  <c r="O315" i="23" s="1"/>
  <c r="P316" i="23" s="1"/>
  <c r="D303" i="23"/>
  <c r="E304" i="23" s="1"/>
  <c r="F305" i="23" s="1"/>
  <c r="G306" i="23" s="1"/>
  <c r="H307" i="23" s="1"/>
  <c r="I308" i="23" s="1"/>
  <c r="J309" i="23" s="1"/>
  <c r="K310" i="23" s="1"/>
  <c r="L311" i="23" s="1"/>
  <c r="M312" i="23" s="1"/>
  <c r="N313" i="23" s="1"/>
  <c r="O314" i="23" s="1"/>
  <c r="P315" i="23" s="1"/>
  <c r="Q316" i="23" s="1"/>
  <c r="AE292" i="23"/>
  <c r="AD292" i="23"/>
  <c r="AE293" i="23" s="1"/>
  <c r="AC292" i="23"/>
  <c r="AD293" i="23" s="1"/>
  <c r="AE294" i="23" s="1"/>
  <c r="AB292" i="23"/>
  <c r="AC293" i="23" s="1"/>
  <c r="AD294" i="23" s="1"/>
  <c r="AE295" i="23" s="1"/>
  <c r="AA292" i="23"/>
  <c r="AB293" i="23" s="1"/>
  <c r="AC294" i="23" s="1"/>
  <c r="AD295" i="23" s="1"/>
  <c r="AE296" i="23" s="1"/>
  <c r="Z292" i="23"/>
  <c r="AA293" i="23" s="1"/>
  <c r="AB294" i="23" s="1"/>
  <c r="AC295" i="23" s="1"/>
  <c r="AD296" i="23" s="1"/>
  <c r="AE297" i="23" s="1"/>
  <c r="Y292" i="23"/>
  <c r="Z293" i="23" s="1"/>
  <c r="AA294" i="23" s="1"/>
  <c r="AB295" i="23" s="1"/>
  <c r="AC296" i="23" s="1"/>
  <c r="AD297" i="23" s="1"/>
  <c r="AE298" i="23" s="1"/>
  <c r="W292" i="23"/>
  <c r="X293" i="23" s="1"/>
  <c r="Y294" i="23" s="1"/>
  <c r="Z295" i="23" s="1"/>
  <c r="AA296" i="23" s="1"/>
  <c r="AB297" i="23" s="1"/>
  <c r="AC298" i="23" s="1"/>
  <c r="AD299" i="23" s="1"/>
  <c r="AE300" i="23" s="1"/>
  <c r="U292" i="23"/>
  <c r="V293" i="23" s="1"/>
  <c r="W294" i="23" s="1"/>
  <c r="X295" i="23" s="1"/>
  <c r="Y296" i="23" s="1"/>
  <c r="Z297" i="23" s="1"/>
  <c r="AA298" i="23" s="1"/>
  <c r="AB299" i="23" s="1"/>
  <c r="AC300" i="23" s="1"/>
  <c r="AD301" i="23" s="1"/>
  <c r="AE302" i="23" s="1"/>
  <c r="R292" i="23"/>
  <c r="S293" i="23" s="1"/>
  <c r="T294" i="23" s="1"/>
  <c r="U295" i="23" s="1"/>
  <c r="V296" i="23" s="1"/>
  <c r="W297" i="23" s="1"/>
  <c r="X298" i="23" s="1"/>
  <c r="Y299" i="23" s="1"/>
  <c r="Z300" i="23" s="1"/>
  <c r="AA301" i="23" s="1"/>
  <c r="AB302" i="23" s="1"/>
  <c r="AC303" i="23" s="1"/>
  <c r="AD304" i="23" s="1"/>
  <c r="AE305" i="23" s="1"/>
  <c r="Q292" i="23"/>
  <c r="R293" i="23" s="1"/>
  <c r="S294" i="23" s="1"/>
  <c r="T295" i="23" s="1"/>
  <c r="U296" i="23" s="1"/>
  <c r="V297" i="23" s="1"/>
  <c r="W298" i="23" s="1"/>
  <c r="X299" i="23" s="1"/>
  <c r="Y300" i="23" s="1"/>
  <c r="Z301" i="23" s="1"/>
  <c r="AA302" i="23" s="1"/>
  <c r="AB303" i="23" s="1"/>
  <c r="AC304" i="23" s="1"/>
  <c r="AD305" i="23" s="1"/>
  <c r="AE306" i="23" s="1"/>
  <c r="P292" i="23"/>
  <c r="Q293" i="23" s="1"/>
  <c r="R294" i="23" s="1"/>
  <c r="S295" i="23" s="1"/>
  <c r="T296" i="23" s="1"/>
  <c r="U297" i="23" s="1"/>
  <c r="V298" i="23" s="1"/>
  <c r="W299" i="23" s="1"/>
  <c r="X300" i="23" s="1"/>
  <c r="Y301" i="23" s="1"/>
  <c r="Z302" i="23" s="1"/>
  <c r="AA303" i="23" s="1"/>
  <c r="AB304" i="23" s="1"/>
  <c r="AC305" i="23" s="1"/>
  <c r="AD306" i="23" s="1"/>
  <c r="AE307" i="23" s="1"/>
  <c r="O292" i="23"/>
  <c r="P293" i="23" s="1"/>
  <c r="Q294" i="23" s="1"/>
  <c r="R295" i="23" s="1"/>
  <c r="S296" i="23" s="1"/>
  <c r="T297" i="23" s="1"/>
  <c r="U298" i="23" s="1"/>
  <c r="V299" i="23" s="1"/>
  <c r="W300" i="23" s="1"/>
  <c r="X301" i="23" s="1"/>
  <c r="Y302" i="23" s="1"/>
  <c r="Z303" i="23" s="1"/>
  <c r="AA304" i="23" s="1"/>
  <c r="AB305" i="23" s="1"/>
  <c r="AC306" i="23" s="1"/>
  <c r="AD307" i="23" s="1"/>
  <c r="AE308" i="23" s="1"/>
  <c r="N292" i="23"/>
  <c r="O293" i="23" s="1"/>
  <c r="P294" i="23" s="1"/>
  <c r="M292" i="23"/>
  <c r="N293" i="23" s="1"/>
  <c r="O294" i="23" s="1"/>
  <c r="P295" i="23" s="1"/>
  <c r="Q296" i="23" s="1"/>
  <c r="R297" i="23" s="1"/>
  <c r="S298" i="23" s="1"/>
  <c r="T299" i="23" s="1"/>
  <c r="U300" i="23" s="1"/>
  <c r="V301" i="23" s="1"/>
  <c r="W302" i="23" s="1"/>
  <c r="X303" i="23" s="1"/>
  <c r="Y304" i="23" s="1"/>
  <c r="Z305" i="23" s="1"/>
  <c r="AA306" i="23" s="1"/>
  <c r="AB307" i="23" s="1"/>
  <c r="AC308" i="23" s="1"/>
  <c r="AD309" i="23" s="1"/>
  <c r="AE310" i="23" s="1"/>
  <c r="L292" i="23"/>
  <c r="M293" i="23" s="1"/>
  <c r="N294" i="23" s="1"/>
  <c r="O295" i="23" s="1"/>
  <c r="P296" i="23" s="1"/>
  <c r="Q297" i="23" s="1"/>
  <c r="R298" i="23" s="1"/>
  <c r="S299" i="23" s="1"/>
  <c r="T300" i="23" s="1"/>
  <c r="U301" i="23" s="1"/>
  <c r="V302" i="23" s="1"/>
  <c r="W303" i="23" s="1"/>
  <c r="X304" i="23" s="1"/>
  <c r="Y305" i="23" s="1"/>
  <c r="Z306" i="23" s="1"/>
  <c r="AA307" i="23" s="1"/>
  <c r="AB308" i="23" s="1"/>
  <c r="AC309" i="23" s="1"/>
  <c r="AD310" i="23" s="1"/>
  <c r="AE311" i="23" s="1"/>
  <c r="K292" i="23"/>
  <c r="L293" i="23" s="1"/>
  <c r="M294" i="23" s="1"/>
  <c r="N295" i="23" s="1"/>
  <c r="O296" i="23" s="1"/>
  <c r="P297" i="23" s="1"/>
  <c r="Q298" i="23" s="1"/>
  <c r="R299" i="23" s="1"/>
  <c r="S300" i="23" s="1"/>
  <c r="T301" i="23" s="1"/>
  <c r="U302" i="23" s="1"/>
  <c r="V303" i="23" s="1"/>
  <c r="W304" i="23" s="1"/>
  <c r="X305" i="23" s="1"/>
  <c r="Y306" i="23" s="1"/>
  <c r="Z307" i="23" s="1"/>
  <c r="AA308" i="23" s="1"/>
  <c r="AB309" i="23" s="1"/>
  <c r="AC310" i="23" s="1"/>
  <c r="AD311" i="23" s="1"/>
  <c r="AE312" i="23" s="1"/>
  <c r="J292" i="23"/>
  <c r="I292" i="23"/>
  <c r="J293" i="23" s="1"/>
  <c r="K294" i="23" s="1"/>
  <c r="L295" i="23" s="1"/>
  <c r="M296" i="23" s="1"/>
  <c r="N297" i="23" s="1"/>
  <c r="O298" i="23" s="1"/>
  <c r="P299" i="23" s="1"/>
  <c r="Q300" i="23" s="1"/>
  <c r="R301" i="23" s="1"/>
  <c r="S302" i="23" s="1"/>
  <c r="T303" i="23" s="1"/>
  <c r="U304" i="23" s="1"/>
  <c r="V305" i="23" s="1"/>
  <c r="W306" i="23" s="1"/>
  <c r="X307" i="23" s="1"/>
  <c r="Y308" i="23" s="1"/>
  <c r="Z309" i="23" s="1"/>
  <c r="AA310" i="23" s="1"/>
  <c r="AB311" i="23" s="1"/>
  <c r="AC312" i="23" s="1"/>
  <c r="AD313" i="23" s="1"/>
  <c r="AE314" i="23" s="1"/>
  <c r="G292" i="23"/>
  <c r="H293" i="23" s="1"/>
  <c r="I294" i="23" s="1"/>
  <c r="J295" i="23" s="1"/>
  <c r="K296" i="23" s="1"/>
  <c r="L297" i="23" s="1"/>
  <c r="M298" i="23" s="1"/>
  <c r="N299" i="23" s="1"/>
  <c r="O300" i="23" s="1"/>
  <c r="P301" i="23" s="1"/>
  <c r="Q302" i="23" s="1"/>
  <c r="R303" i="23" s="1"/>
  <c r="S304" i="23" s="1"/>
  <c r="T305" i="23" s="1"/>
  <c r="U306" i="23" s="1"/>
  <c r="V307" i="23" s="1"/>
  <c r="W308" i="23" s="1"/>
  <c r="X309" i="23" s="1"/>
  <c r="Y310" i="23" s="1"/>
  <c r="Z311" i="23" s="1"/>
  <c r="AA312" i="23" s="1"/>
  <c r="AB313" i="23" s="1"/>
  <c r="AC314" i="23" s="1"/>
  <c r="AD315" i="23" s="1"/>
  <c r="AE316" i="23" s="1"/>
  <c r="F292" i="23"/>
  <c r="G293" i="23" s="1"/>
  <c r="H294" i="23" s="1"/>
  <c r="I295" i="23" s="1"/>
  <c r="J296" i="23" s="1"/>
  <c r="K297" i="23" s="1"/>
  <c r="L298" i="23" s="1"/>
  <c r="M299" i="23" s="1"/>
  <c r="N300" i="23" s="1"/>
  <c r="O301" i="23" s="1"/>
  <c r="P302" i="23" s="1"/>
  <c r="Q303" i="23" s="1"/>
  <c r="R304" i="23" s="1"/>
  <c r="S305" i="23" s="1"/>
  <c r="T306" i="23" s="1"/>
  <c r="U307" i="23" s="1"/>
  <c r="V308" i="23" s="1"/>
  <c r="W309" i="23" s="1"/>
  <c r="X310" i="23" s="1"/>
  <c r="Y311" i="23" s="1"/>
  <c r="Z312" i="23" s="1"/>
  <c r="AA313" i="23" s="1"/>
  <c r="AB314" i="23" s="1"/>
  <c r="AC315" i="23" s="1"/>
  <c r="AD316" i="23" s="1"/>
  <c r="E292" i="23"/>
  <c r="F293" i="23" s="1"/>
  <c r="G294" i="23" s="1"/>
  <c r="H295" i="23" s="1"/>
  <c r="I296" i="23" s="1"/>
  <c r="J297" i="23" s="1"/>
  <c r="K298" i="23" s="1"/>
  <c r="L299" i="23" s="1"/>
  <c r="M300" i="23" s="1"/>
  <c r="N301" i="23" s="1"/>
  <c r="O302" i="23" s="1"/>
  <c r="P303" i="23" s="1"/>
  <c r="Q304" i="23" s="1"/>
  <c r="R305" i="23" s="1"/>
  <c r="S306" i="23" s="1"/>
  <c r="T307" i="23" s="1"/>
  <c r="U308" i="23" s="1"/>
  <c r="V309" i="23" s="1"/>
  <c r="W310" i="23" s="1"/>
  <c r="X311" i="23" s="1"/>
  <c r="Y312" i="23" s="1"/>
  <c r="Z313" i="23" s="1"/>
  <c r="AA314" i="23" s="1"/>
  <c r="AB315" i="23" s="1"/>
  <c r="AC316" i="23" s="1"/>
  <c r="C290" i="23"/>
  <c r="C406" i="23" s="1"/>
  <c r="D287" i="23"/>
  <c r="D286" i="23"/>
  <c r="E287" i="23" s="1"/>
  <c r="D285" i="23"/>
  <c r="E286" i="23" s="1"/>
  <c r="F287" i="23" s="1"/>
  <c r="D284" i="23"/>
  <c r="E285" i="23" s="1"/>
  <c r="F286" i="23" s="1"/>
  <c r="G287" i="23" s="1"/>
  <c r="D283" i="23"/>
  <c r="E284" i="23" s="1"/>
  <c r="F285" i="23" s="1"/>
  <c r="G286" i="23" s="1"/>
  <c r="H287" i="23" s="1"/>
  <c r="D282" i="23"/>
  <c r="E283" i="23" s="1"/>
  <c r="F284" i="23" s="1"/>
  <c r="G285" i="23" s="1"/>
  <c r="H286" i="23" s="1"/>
  <c r="I287" i="23" s="1"/>
  <c r="D281" i="23"/>
  <c r="E282" i="23" s="1"/>
  <c r="F283" i="23" s="1"/>
  <c r="G284" i="23" s="1"/>
  <c r="H285" i="23" s="1"/>
  <c r="I286" i="23" s="1"/>
  <c r="J287" i="23" s="1"/>
  <c r="D280" i="23"/>
  <c r="E281" i="23" s="1"/>
  <c r="F282" i="23" s="1"/>
  <c r="G283" i="23" s="1"/>
  <c r="H284" i="23" s="1"/>
  <c r="I285" i="23" s="1"/>
  <c r="J286" i="23" s="1"/>
  <c r="K287" i="23" s="1"/>
  <c r="D279" i="23"/>
  <c r="E280" i="23" s="1"/>
  <c r="F281" i="23" s="1"/>
  <c r="G282" i="23" s="1"/>
  <c r="H283" i="23" s="1"/>
  <c r="I284" i="23" s="1"/>
  <c r="J285" i="23" s="1"/>
  <c r="K286" i="23" s="1"/>
  <c r="L287" i="23" s="1"/>
  <c r="D278" i="23"/>
  <c r="E279" i="23" s="1"/>
  <c r="F280" i="23" s="1"/>
  <c r="G281" i="23" s="1"/>
  <c r="H282" i="23" s="1"/>
  <c r="I283" i="23" s="1"/>
  <c r="J284" i="23" s="1"/>
  <c r="K285" i="23" s="1"/>
  <c r="L286" i="23" s="1"/>
  <c r="M287" i="23" s="1"/>
  <c r="D277" i="23"/>
  <c r="E278" i="23" s="1"/>
  <c r="F279" i="23" s="1"/>
  <c r="G280" i="23" s="1"/>
  <c r="H281" i="23" s="1"/>
  <c r="I282" i="23" s="1"/>
  <c r="J283" i="23" s="1"/>
  <c r="K284" i="23" s="1"/>
  <c r="L285" i="23" s="1"/>
  <c r="M286" i="23" s="1"/>
  <c r="N287" i="23" s="1"/>
  <c r="D276" i="23"/>
  <c r="E277" i="23" s="1"/>
  <c r="F278" i="23" s="1"/>
  <c r="G279" i="23" s="1"/>
  <c r="H280" i="23" s="1"/>
  <c r="I281" i="23" s="1"/>
  <c r="J282" i="23" s="1"/>
  <c r="K283" i="23" s="1"/>
  <c r="L284" i="23" s="1"/>
  <c r="M285" i="23" s="1"/>
  <c r="N286" i="23" s="1"/>
  <c r="O287" i="23" s="1"/>
  <c r="D275" i="23"/>
  <c r="E276" i="23" s="1"/>
  <c r="F277" i="23" s="1"/>
  <c r="G278" i="23" s="1"/>
  <c r="H279" i="23" s="1"/>
  <c r="I280" i="23" s="1"/>
  <c r="J281" i="23" s="1"/>
  <c r="K282" i="23" s="1"/>
  <c r="L283" i="23" s="1"/>
  <c r="M284" i="23" s="1"/>
  <c r="N285" i="23" s="1"/>
  <c r="O286" i="23" s="1"/>
  <c r="P287" i="23" s="1"/>
  <c r="D274" i="23"/>
  <c r="E275" i="23" s="1"/>
  <c r="F276" i="23" s="1"/>
  <c r="G277" i="23" s="1"/>
  <c r="H278" i="23" s="1"/>
  <c r="I279" i="23" s="1"/>
  <c r="J280" i="23" s="1"/>
  <c r="K281" i="23" s="1"/>
  <c r="L282" i="23" s="1"/>
  <c r="M283" i="23" s="1"/>
  <c r="N284" i="23" s="1"/>
  <c r="O285" i="23" s="1"/>
  <c r="P286" i="23" s="1"/>
  <c r="Q287" i="23" s="1"/>
  <c r="D273" i="23"/>
  <c r="E274" i="23" s="1"/>
  <c r="F275" i="23" s="1"/>
  <c r="G276" i="23" s="1"/>
  <c r="H277" i="23" s="1"/>
  <c r="I278" i="23" s="1"/>
  <c r="J279" i="23" s="1"/>
  <c r="K280" i="23" s="1"/>
  <c r="L281" i="23" s="1"/>
  <c r="M282" i="23" s="1"/>
  <c r="N283" i="23" s="1"/>
  <c r="O284" i="23" s="1"/>
  <c r="P285" i="23" s="1"/>
  <c r="Q286" i="23" s="1"/>
  <c r="R287" i="23" s="1"/>
  <c r="D272" i="23"/>
  <c r="E273" i="23" s="1"/>
  <c r="F274" i="23" s="1"/>
  <c r="G275" i="23" s="1"/>
  <c r="H276" i="23" s="1"/>
  <c r="I277" i="23" s="1"/>
  <c r="J278" i="23" s="1"/>
  <c r="K279" i="23" s="1"/>
  <c r="L280" i="23" s="1"/>
  <c r="M281" i="23" s="1"/>
  <c r="N282" i="23" s="1"/>
  <c r="O283" i="23" s="1"/>
  <c r="P284" i="23" s="1"/>
  <c r="Q285" i="23" s="1"/>
  <c r="R286" i="23" s="1"/>
  <c r="S287" i="23" s="1"/>
  <c r="D271" i="23"/>
  <c r="E272" i="23" s="1"/>
  <c r="F273" i="23" s="1"/>
  <c r="G274" i="23" s="1"/>
  <c r="H275" i="23" s="1"/>
  <c r="I276" i="23" s="1"/>
  <c r="J277" i="23" s="1"/>
  <c r="K278" i="23" s="1"/>
  <c r="L279" i="23" s="1"/>
  <c r="M280" i="23" s="1"/>
  <c r="N281" i="23" s="1"/>
  <c r="O282" i="23" s="1"/>
  <c r="P283" i="23" s="1"/>
  <c r="Q284" i="23" s="1"/>
  <c r="R285" i="23" s="1"/>
  <c r="S286" i="23" s="1"/>
  <c r="T287" i="23" s="1"/>
  <c r="D270" i="23"/>
  <c r="E271" i="23" s="1"/>
  <c r="F272" i="23" s="1"/>
  <c r="G273" i="23" s="1"/>
  <c r="H274" i="23" s="1"/>
  <c r="I275" i="23" s="1"/>
  <c r="J276" i="23" s="1"/>
  <c r="K277" i="23" s="1"/>
  <c r="L278" i="23" s="1"/>
  <c r="M279" i="23" s="1"/>
  <c r="N280" i="23" s="1"/>
  <c r="O281" i="23" s="1"/>
  <c r="P282" i="23" s="1"/>
  <c r="Q283" i="23" s="1"/>
  <c r="R284" i="23" s="1"/>
  <c r="S285" i="23" s="1"/>
  <c r="T286" i="23" s="1"/>
  <c r="U287" i="23" s="1"/>
  <c r="D269" i="23"/>
  <c r="E270" i="23" s="1"/>
  <c r="F271" i="23" s="1"/>
  <c r="G272" i="23" s="1"/>
  <c r="H273" i="23" s="1"/>
  <c r="I274" i="23" s="1"/>
  <c r="J275" i="23" s="1"/>
  <c r="K276" i="23" s="1"/>
  <c r="L277" i="23" s="1"/>
  <c r="M278" i="23" s="1"/>
  <c r="N279" i="23" s="1"/>
  <c r="O280" i="23" s="1"/>
  <c r="P281" i="23" s="1"/>
  <c r="Q282" i="23" s="1"/>
  <c r="R283" i="23" s="1"/>
  <c r="S284" i="23" s="1"/>
  <c r="T285" i="23" s="1"/>
  <c r="U286" i="23" s="1"/>
  <c r="V287" i="23" s="1"/>
  <c r="D268" i="23"/>
  <c r="E269" i="23" s="1"/>
  <c r="F270" i="23" s="1"/>
  <c r="G271" i="23" s="1"/>
  <c r="H272" i="23" s="1"/>
  <c r="I273" i="23" s="1"/>
  <c r="J274" i="23" s="1"/>
  <c r="K275" i="23" s="1"/>
  <c r="L276" i="23" s="1"/>
  <c r="M277" i="23" s="1"/>
  <c r="N278" i="23" s="1"/>
  <c r="O279" i="23" s="1"/>
  <c r="P280" i="23" s="1"/>
  <c r="Q281" i="23" s="1"/>
  <c r="R282" i="23" s="1"/>
  <c r="S283" i="23" s="1"/>
  <c r="T284" i="23" s="1"/>
  <c r="U285" i="23" s="1"/>
  <c r="V286" i="23" s="1"/>
  <c r="W287" i="23" s="1"/>
  <c r="D267" i="23"/>
  <c r="E268" i="23" s="1"/>
  <c r="F269" i="23" s="1"/>
  <c r="G270" i="23" s="1"/>
  <c r="H271" i="23" s="1"/>
  <c r="I272" i="23" s="1"/>
  <c r="J273" i="23" s="1"/>
  <c r="K274" i="23" s="1"/>
  <c r="L275" i="23" s="1"/>
  <c r="M276" i="23" s="1"/>
  <c r="N277" i="23" s="1"/>
  <c r="O278" i="23" s="1"/>
  <c r="P279" i="23" s="1"/>
  <c r="Q280" i="23" s="1"/>
  <c r="R281" i="23" s="1"/>
  <c r="S282" i="23" s="1"/>
  <c r="T283" i="23" s="1"/>
  <c r="U284" i="23" s="1"/>
  <c r="V285" i="23" s="1"/>
  <c r="W286" i="23" s="1"/>
  <c r="X287" i="23" s="1"/>
  <c r="D266" i="23"/>
  <c r="E267" i="23" s="1"/>
  <c r="F268" i="23" s="1"/>
  <c r="G269" i="23" s="1"/>
  <c r="H270" i="23" s="1"/>
  <c r="I271" i="23" s="1"/>
  <c r="J272" i="23" s="1"/>
  <c r="K273" i="23" s="1"/>
  <c r="L274" i="23" s="1"/>
  <c r="M275" i="23" s="1"/>
  <c r="N276" i="23" s="1"/>
  <c r="O277" i="23" s="1"/>
  <c r="P278" i="23" s="1"/>
  <c r="Q279" i="23" s="1"/>
  <c r="R280" i="23" s="1"/>
  <c r="S281" i="23" s="1"/>
  <c r="T282" i="23" s="1"/>
  <c r="U283" i="23" s="1"/>
  <c r="V284" i="23" s="1"/>
  <c r="W285" i="23" s="1"/>
  <c r="X286" i="23" s="1"/>
  <c r="Y287" i="23" s="1"/>
  <c r="D265" i="23"/>
  <c r="E266" i="23" s="1"/>
  <c r="F267" i="23" s="1"/>
  <c r="G268" i="23" s="1"/>
  <c r="H269" i="23" s="1"/>
  <c r="I270" i="23" s="1"/>
  <c r="J271" i="23" s="1"/>
  <c r="K272" i="23" s="1"/>
  <c r="L273" i="23" s="1"/>
  <c r="M274" i="23" s="1"/>
  <c r="N275" i="23" s="1"/>
  <c r="O276" i="23" s="1"/>
  <c r="P277" i="23" s="1"/>
  <c r="Q278" i="23" s="1"/>
  <c r="R279" i="23" s="1"/>
  <c r="S280" i="23" s="1"/>
  <c r="T281" i="23" s="1"/>
  <c r="U282" i="23" s="1"/>
  <c r="V283" i="23" s="1"/>
  <c r="W284" i="23" s="1"/>
  <c r="X285" i="23" s="1"/>
  <c r="Y286" i="23" s="1"/>
  <c r="Z287" i="23" s="1"/>
  <c r="D264" i="23"/>
  <c r="E265" i="23" s="1"/>
  <c r="F266" i="23" s="1"/>
  <c r="G267" i="23" s="1"/>
  <c r="H268" i="23" s="1"/>
  <c r="I269" i="23" s="1"/>
  <c r="J270" i="23" s="1"/>
  <c r="K271" i="23" s="1"/>
  <c r="L272" i="23" s="1"/>
  <c r="M273" i="23" s="1"/>
  <c r="N274" i="23" s="1"/>
  <c r="O275" i="23" s="1"/>
  <c r="P276" i="23" s="1"/>
  <c r="Q277" i="23" s="1"/>
  <c r="R278" i="23" s="1"/>
  <c r="S279" i="23" s="1"/>
  <c r="T280" i="23" s="1"/>
  <c r="U281" i="23" s="1"/>
  <c r="V282" i="23" s="1"/>
  <c r="W283" i="23" s="1"/>
  <c r="X284" i="23" s="1"/>
  <c r="Y285" i="23" s="1"/>
  <c r="Z286" i="23" s="1"/>
  <c r="AA287" i="23" s="1"/>
  <c r="D263" i="23"/>
  <c r="E264" i="23" s="1"/>
  <c r="F265" i="23" s="1"/>
  <c r="G266" i="23" s="1"/>
  <c r="H267" i="23" s="1"/>
  <c r="I268" i="23" s="1"/>
  <c r="J269" i="23" s="1"/>
  <c r="K270" i="23" s="1"/>
  <c r="L271" i="23" s="1"/>
  <c r="M272" i="23" s="1"/>
  <c r="N273" i="23" s="1"/>
  <c r="O274" i="23" s="1"/>
  <c r="P275" i="23" s="1"/>
  <c r="Q276" i="23" s="1"/>
  <c r="R277" i="23" s="1"/>
  <c r="S278" i="23" s="1"/>
  <c r="T279" i="23" s="1"/>
  <c r="U280" i="23" s="1"/>
  <c r="V281" i="23" s="1"/>
  <c r="W282" i="23" s="1"/>
  <c r="X283" i="23" s="1"/>
  <c r="Y284" i="23" s="1"/>
  <c r="Z285" i="23" s="1"/>
  <c r="AA286" i="23" s="1"/>
  <c r="AB287" i="23" s="1"/>
  <c r="AE263" i="23"/>
  <c r="AD263" i="23"/>
  <c r="AE264" i="23" s="1"/>
  <c r="AC263" i="23"/>
  <c r="AD264" i="23" s="1"/>
  <c r="AE265" i="23" s="1"/>
  <c r="AB263" i="23"/>
  <c r="AC264" i="23" s="1"/>
  <c r="AD265" i="23" s="1"/>
  <c r="AE266" i="23" s="1"/>
  <c r="AA263" i="23"/>
  <c r="AB264" i="23" s="1"/>
  <c r="AC265" i="23" s="1"/>
  <c r="AD266" i="23" s="1"/>
  <c r="AE267" i="23" s="1"/>
  <c r="Z263" i="23"/>
  <c r="AA264" i="23" s="1"/>
  <c r="AB265" i="23" s="1"/>
  <c r="AC266" i="23" s="1"/>
  <c r="AD267" i="23" s="1"/>
  <c r="AE268" i="23" s="1"/>
  <c r="Y263" i="23"/>
  <c r="Z264" i="23" s="1"/>
  <c r="AA265" i="23" s="1"/>
  <c r="AB266" i="23" s="1"/>
  <c r="AC267" i="23" s="1"/>
  <c r="AD268" i="23" s="1"/>
  <c r="AE269" i="23" s="1"/>
  <c r="X263" i="23"/>
  <c r="Y264" i="23" s="1"/>
  <c r="Z265" i="23" s="1"/>
  <c r="AA266" i="23" s="1"/>
  <c r="AB267" i="23" s="1"/>
  <c r="AC268" i="23" s="1"/>
  <c r="AD269" i="23" s="1"/>
  <c r="AE270" i="23" s="1"/>
  <c r="W263" i="23"/>
  <c r="X264" i="23" s="1"/>
  <c r="Y265" i="23" s="1"/>
  <c r="Z266" i="23" s="1"/>
  <c r="AA267" i="23" s="1"/>
  <c r="AB268" i="23" s="1"/>
  <c r="AC269" i="23" s="1"/>
  <c r="AD270" i="23" s="1"/>
  <c r="AE271" i="23" s="1"/>
  <c r="V263" i="23"/>
  <c r="W264" i="23" s="1"/>
  <c r="X265" i="23" s="1"/>
  <c r="Y266" i="23" s="1"/>
  <c r="Z267" i="23" s="1"/>
  <c r="AA268" i="23" s="1"/>
  <c r="AB269" i="23" s="1"/>
  <c r="AC270" i="23" s="1"/>
  <c r="AD271" i="23" s="1"/>
  <c r="AE272" i="23" s="1"/>
  <c r="U263" i="23"/>
  <c r="V264" i="23" s="1"/>
  <c r="W265" i="23" s="1"/>
  <c r="X266" i="23" s="1"/>
  <c r="Y267" i="23" s="1"/>
  <c r="Z268" i="23" s="1"/>
  <c r="AA269" i="23" s="1"/>
  <c r="AB270" i="23" s="1"/>
  <c r="AC271" i="23" s="1"/>
  <c r="AD272" i="23" s="1"/>
  <c r="AE273" i="23" s="1"/>
  <c r="T263" i="23"/>
  <c r="U264" i="23" s="1"/>
  <c r="V265" i="23" s="1"/>
  <c r="W266" i="23" s="1"/>
  <c r="X267" i="23" s="1"/>
  <c r="Y268" i="23" s="1"/>
  <c r="Z269" i="23" s="1"/>
  <c r="AA270" i="23" s="1"/>
  <c r="AB271" i="23" s="1"/>
  <c r="AC272" i="23" s="1"/>
  <c r="AD273" i="23" s="1"/>
  <c r="AE274" i="23" s="1"/>
  <c r="S263" i="23"/>
  <c r="T264" i="23" s="1"/>
  <c r="U265" i="23" s="1"/>
  <c r="V266" i="23" s="1"/>
  <c r="W267" i="23" s="1"/>
  <c r="X268" i="23" s="1"/>
  <c r="Y269" i="23" s="1"/>
  <c r="Z270" i="23" s="1"/>
  <c r="AA271" i="23" s="1"/>
  <c r="AB272" i="23" s="1"/>
  <c r="AC273" i="23" s="1"/>
  <c r="AD274" i="23" s="1"/>
  <c r="AE275" i="23" s="1"/>
  <c r="R263" i="23"/>
  <c r="S264" i="23" s="1"/>
  <c r="T265" i="23" s="1"/>
  <c r="U266" i="23" s="1"/>
  <c r="V267" i="23" s="1"/>
  <c r="W268" i="23" s="1"/>
  <c r="X269" i="23" s="1"/>
  <c r="Y270" i="23" s="1"/>
  <c r="Z271" i="23" s="1"/>
  <c r="AA272" i="23" s="1"/>
  <c r="AB273" i="23" s="1"/>
  <c r="AC274" i="23" s="1"/>
  <c r="AD275" i="23" s="1"/>
  <c r="AE276" i="23" s="1"/>
  <c r="Q263" i="23"/>
  <c r="R264" i="23" s="1"/>
  <c r="S265" i="23" s="1"/>
  <c r="T266" i="23" s="1"/>
  <c r="U267" i="23" s="1"/>
  <c r="V268" i="23" s="1"/>
  <c r="W269" i="23" s="1"/>
  <c r="X270" i="23" s="1"/>
  <c r="Y271" i="23" s="1"/>
  <c r="Z272" i="23" s="1"/>
  <c r="AA273" i="23" s="1"/>
  <c r="AB274" i="23" s="1"/>
  <c r="AC275" i="23" s="1"/>
  <c r="AD276" i="23" s="1"/>
  <c r="AE277" i="23" s="1"/>
  <c r="P263" i="23"/>
  <c r="Q264" i="23" s="1"/>
  <c r="R265" i="23" s="1"/>
  <c r="S266" i="23" s="1"/>
  <c r="T267" i="23" s="1"/>
  <c r="U268" i="23" s="1"/>
  <c r="V269" i="23" s="1"/>
  <c r="W270" i="23" s="1"/>
  <c r="X271" i="23" s="1"/>
  <c r="Y272" i="23" s="1"/>
  <c r="Z273" i="23" s="1"/>
  <c r="AA274" i="23" s="1"/>
  <c r="AB275" i="23" s="1"/>
  <c r="AC276" i="23" s="1"/>
  <c r="AD277" i="23" s="1"/>
  <c r="AE278" i="23" s="1"/>
  <c r="O263" i="23"/>
  <c r="P264" i="23" s="1"/>
  <c r="Q265" i="23" s="1"/>
  <c r="R266" i="23" s="1"/>
  <c r="S267" i="23" s="1"/>
  <c r="T268" i="23" s="1"/>
  <c r="U269" i="23" s="1"/>
  <c r="V270" i="23" s="1"/>
  <c r="W271" i="23" s="1"/>
  <c r="X272" i="23" s="1"/>
  <c r="Y273" i="23" s="1"/>
  <c r="Z274" i="23" s="1"/>
  <c r="AA275" i="23" s="1"/>
  <c r="AB276" i="23" s="1"/>
  <c r="AC277" i="23" s="1"/>
  <c r="AD278" i="23" s="1"/>
  <c r="AE279" i="23" s="1"/>
  <c r="N263" i="23"/>
  <c r="O264" i="23" s="1"/>
  <c r="P265" i="23" s="1"/>
  <c r="Q266" i="23" s="1"/>
  <c r="R267" i="23" s="1"/>
  <c r="S268" i="23" s="1"/>
  <c r="T269" i="23" s="1"/>
  <c r="U270" i="23" s="1"/>
  <c r="V271" i="23" s="1"/>
  <c r="W272" i="23" s="1"/>
  <c r="X273" i="23" s="1"/>
  <c r="Y274" i="23" s="1"/>
  <c r="Z275" i="23" s="1"/>
  <c r="AA276" i="23" s="1"/>
  <c r="AB277" i="23" s="1"/>
  <c r="AC278" i="23" s="1"/>
  <c r="AD279" i="23" s="1"/>
  <c r="AE280" i="23" s="1"/>
  <c r="M263" i="23"/>
  <c r="N264" i="23" s="1"/>
  <c r="O265" i="23" s="1"/>
  <c r="P266" i="23" s="1"/>
  <c r="Q267" i="23" s="1"/>
  <c r="R268" i="23" s="1"/>
  <c r="S269" i="23" s="1"/>
  <c r="T270" i="23" s="1"/>
  <c r="U271" i="23" s="1"/>
  <c r="V272" i="23" s="1"/>
  <c r="W273" i="23" s="1"/>
  <c r="X274" i="23" s="1"/>
  <c r="Y275" i="23" s="1"/>
  <c r="Z276" i="23" s="1"/>
  <c r="AA277" i="23" s="1"/>
  <c r="AB278" i="23" s="1"/>
  <c r="AC279" i="23" s="1"/>
  <c r="AD280" i="23" s="1"/>
  <c r="AE281" i="23" s="1"/>
  <c r="L263" i="23"/>
  <c r="M264" i="23" s="1"/>
  <c r="N265" i="23" s="1"/>
  <c r="O266" i="23" s="1"/>
  <c r="P267" i="23" s="1"/>
  <c r="Q268" i="23" s="1"/>
  <c r="R269" i="23" s="1"/>
  <c r="S270" i="23" s="1"/>
  <c r="T271" i="23" s="1"/>
  <c r="U272" i="23" s="1"/>
  <c r="V273" i="23" s="1"/>
  <c r="W274" i="23" s="1"/>
  <c r="X275" i="23" s="1"/>
  <c r="Y276" i="23" s="1"/>
  <c r="Z277" i="23" s="1"/>
  <c r="AA278" i="23" s="1"/>
  <c r="AB279" i="23" s="1"/>
  <c r="AC280" i="23" s="1"/>
  <c r="AD281" i="23" s="1"/>
  <c r="AE282" i="23" s="1"/>
  <c r="K263" i="23"/>
  <c r="L264" i="23" s="1"/>
  <c r="M265" i="23" s="1"/>
  <c r="N266" i="23" s="1"/>
  <c r="O267" i="23" s="1"/>
  <c r="P268" i="23" s="1"/>
  <c r="Q269" i="23" s="1"/>
  <c r="R270" i="23" s="1"/>
  <c r="S271" i="23" s="1"/>
  <c r="T272" i="23" s="1"/>
  <c r="U273" i="23" s="1"/>
  <c r="V274" i="23" s="1"/>
  <c r="W275" i="23" s="1"/>
  <c r="X276" i="23" s="1"/>
  <c r="Y277" i="23" s="1"/>
  <c r="Z278" i="23" s="1"/>
  <c r="AA279" i="23" s="1"/>
  <c r="AB280" i="23" s="1"/>
  <c r="AC281" i="23" s="1"/>
  <c r="AD282" i="23" s="1"/>
  <c r="AE283" i="23" s="1"/>
  <c r="J263" i="23"/>
  <c r="K264" i="23" s="1"/>
  <c r="L265" i="23" s="1"/>
  <c r="M266" i="23" s="1"/>
  <c r="N267" i="23" s="1"/>
  <c r="O268" i="23" s="1"/>
  <c r="P269" i="23" s="1"/>
  <c r="Q270" i="23" s="1"/>
  <c r="R271" i="23" s="1"/>
  <c r="S272" i="23" s="1"/>
  <c r="T273" i="23" s="1"/>
  <c r="U274" i="23" s="1"/>
  <c r="V275" i="23" s="1"/>
  <c r="W276" i="23" s="1"/>
  <c r="X277" i="23" s="1"/>
  <c r="Y278" i="23" s="1"/>
  <c r="Z279" i="23" s="1"/>
  <c r="AA280" i="23" s="1"/>
  <c r="AB281" i="23" s="1"/>
  <c r="AC282" i="23" s="1"/>
  <c r="AD283" i="23" s="1"/>
  <c r="AE284" i="23" s="1"/>
  <c r="I263" i="23"/>
  <c r="J264" i="23" s="1"/>
  <c r="K265" i="23" s="1"/>
  <c r="L266" i="23" s="1"/>
  <c r="M267" i="23" s="1"/>
  <c r="N268" i="23" s="1"/>
  <c r="O269" i="23" s="1"/>
  <c r="P270" i="23" s="1"/>
  <c r="Q271" i="23" s="1"/>
  <c r="R272" i="23" s="1"/>
  <c r="S273" i="23" s="1"/>
  <c r="T274" i="23" s="1"/>
  <c r="U275" i="23" s="1"/>
  <c r="V276" i="23" s="1"/>
  <c r="W277" i="23" s="1"/>
  <c r="X278" i="23" s="1"/>
  <c r="Y279" i="23" s="1"/>
  <c r="Z280" i="23" s="1"/>
  <c r="AA281" i="23" s="1"/>
  <c r="AB282" i="23" s="1"/>
  <c r="AC283" i="23" s="1"/>
  <c r="AD284" i="23" s="1"/>
  <c r="AE285" i="23" s="1"/>
  <c r="H263" i="23"/>
  <c r="I264" i="23" s="1"/>
  <c r="J265" i="23" s="1"/>
  <c r="K266" i="23" s="1"/>
  <c r="L267" i="23" s="1"/>
  <c r="M268" i="23" s="1"/>
  <c r="N269" i="23" s="1"/>
  <c r="O270" i="23" s="1"/>
  <c r="P271" i="23" s="1"/>
  <c r="Q272" i="23" s="1"/>
  <c r="R273" i="23" s="1"/>
  <c r="S274" i="23" s="1"/>
  <c r="T275" i="23" s="1"/>
  <c r="U276" i="23" s="1"/>
  <c r="V277" i="23" s="1"/>
  <c r="W278" i="23" s="1"/>
  <c r="X279" i="23" s="1"/>
  <c r="Y280" i="23" s="1"/>
  <c r="Z281" i="23" s="1"/>
  <c r="AA282" i="23" s="1"/>
  <c r="AB283" i="23" s="1"/>
  <c r="AC284" i="23" s="1"/>
  <c r="AD285" i="23" s="1"/>
  <c r="AE286" i="23" s="1"/>
  <c r="G263" i="23"/>
  <c r="H264" i="23" s="1"/>
  <c r="I265" i="23" s="1"/>
  <c r="J266" i="23" s="1"/>
  <c r="K267" i="23" s="1"/>
  <c r="L268" i="23" s="1"/>
  <c r="M269" i="23" s="1"/>
  <c r="N270" i="23" s="1"/>
  <c r="O271" i="23" s="1"/>
  <c r="P272" i="23" s="1"/>
  <c r="Q273" i="23" s="1"/>
  <c r="R274" i="23" s="1"/>
  <c r="S275" i="23" s="1"/>
  <c r="T276" i="23" s="1"/>
  <c r="U277" i="23" s="1"/>
  <c r="V278" i="23" s="1"/>
  <c r="W279" i="23" s="1"/>
  <c r="X280" i="23" s="1"/>
  <c r="Y281" i="23" s="1"/>
  <c r="Z282" i="23" s="1"/>
  <c r="AA283" i="23" s="1"/>
  <c r="AB284" i="23" s="1"/>
  <c r="AC285" i="23" s="1"/>
  <c r="AD286" i="23" s="1"/>
  <c r="AE287" i="23" s="1"/>
  <c r="F263" i="23"/>
  <c r="G264" i="23" s="1"/>
  <c r="H265" i="23" s="1"/>
  <c r="I266" i="23" s="1"/>
  <c r="J267" i="23" s="1"/>
  <c r="K268" i="23" s="1"/>
  <c r="L269" i="23" s="1"/>
  <c r="M270" i="23" s="1"/>
  <c r="N271" i="23" s="1"/>
  <c r="O272" i="23" s="1"/>
  <c r="P273" i="23" s="1"/>
  <c r="Q274" i="23" s="1"/>
  <c r="R275" i="23" s="1"/>
  <c r="S276" i="23" s="1"/>
  <c r="T277" i="23" s="1"/>
  <c r="U278" i="23" s="1"/>
  <c r="V279" i="23" s="1"/>
  <c r="W280" i="23" s="1"/>
  <c r="X281" i="23" s="1"/>
  <c r="Y282" i="23" s="1"/>
  <c r="Z283" i="23" s="1"/>
  <c r="AA284" i="23" s="1"/>
  <c r="AB285" i="23" s="1"/>
  <c r="AC286" i="23" s="1"/>
  <c r="AD287" i="23" s="1"/>
  <c r="E263" i="23"/>
  <c r="F264" i="23" s="1"/>
  <c r="G265" i="23" s="1"/>
  <c r="H266" i="23" s="1"/>
  <c r="I267" i="23" s="1"/>
  <c r="J268" i="23" s="1"/>
  <c r="K269" i="23" s="1"/>
  <c r="L270" i="23" s="1"/>
  <c r="M271" i="23" s="1"/>
  <c r="N272" i="23" s="1"/>
  <c r="O273" i="23" s="1"/>
  <c r="P274" i="23" s="1"/>
  <c r="Q275" i="23" s="1"/>
  <c r="R276" i="23" s="1"/>
  <c r="S277" i="23" s="1"/>
  <c r="T278" i="23" s="1"/>
  <c r="U279" i="23" s="1"/>
  <c r="V280" i="23" s="1"/>
  <c r="W281" i="23" s="1"/>
  <c r="X282" i="23" s="1"/>
  <c r="Y283" i="23" s="1"/>
  <c r="Z284" i="23" s="1"/>
  <c r="AA285" i="23" s="1"/>
  <c r="AB286" i="23" s="1"/>
  <c r="AC287" i="23" s="1"/>
  <c r="W234" i="23"/>
  <c r="X235" i="23" s="1"/>
  <c r="Y236" i="23" s="1"/>
  <c r="Z237" i="23" s="1"/>
  <c r="AA238" i="23" s="1"/>
  <c r="AB239" i="23" s="1"/>
  <c r="AC240" i="23" s="1"/>
  <c r="AD241" i="23" s="1"/>
  <c r="AE242" i="23" s="1"/>
  <c r="K234" i="23"/>
  <c r="L235" i="23" s="1"/>
  <c r="M236" i="23" s="1"/>
  <c r="N237" i="23" s="1"/>
  <c r="O238" i="23" s="1"/>
  <c r="P239" i="23" s="1"/>
  <c r="Q240" i="23" s="1"/>
  <c r="R241" i="23" s="1"/>
  <c r="S242" i="23" s="1"/>
  <c r="T243" i="23" s="1"/>
  <c r="U244" i="23" s="1"/>
  <c r="V245" i="23" s="1"/>
  <c r="W246" i="23" s="1"/>
  <c r="X247" i="23" s="1"/>
  <c r="Y248" i="23" s="1"/>
  <c r="Z249" i="23" s="1"/>
  <c r="AA250" i="23" s="1"/>
  <c r="AB251" i="23" s="1"/>
  <c r="AC252" i="23" s="1"/>
  <c r="AD253" i="23" s="1"/>
  <c r="AE254" i="23" s="1"/>
  <c r="AE234" i="23"/>
  <c r="AD234" i="23"/>
  <c r="AE235" i="23" s="1"/>
  <c r="AC234" i="23"/>
  <c r="AD235" i="23" s="1"/>
  <c r="AE236" i="23" s="1"/>
  <c r="AB234" i="23"/>
  <c r="AC235" i="23" s="1"/>
  <c r="AD236" i="23" s="1"/>
  <c r="AE237" i="23" s="1"/>
  <c r="AA234" i="23"/>
  <c r="AB235" i="23" s="1"/>
  <c r="AC236" i="23" s="1"/>
  <c r="AD237" i="23" s="1"/>
  <c r="AE238" i="23" s="1"/>
  <c r="Z234" i="23"/>
  <c r="X234" i="23"/>
  <c r="Y235" i="23" s="1"/>
  <c r="Z236" i="23" s="1"/>
  <c r="AA237" i="23" s="1"/>
  <c r="AB238" i="23" s="1"/>
  <c r="AC239" i="23" s="1"/>
  <c r="AD240" i="23" s="1"/>
  <c r="AE241" i="23" s="1"/>
  <c r="T234" i="23"/>
  <c r="U235" i="23" s="1"/>
  <c r="V236" i="23" s="1"/>
  <c r="W237" i="23" s="1"/>
  <c r="X238" i="23" s="1"/>
  <c r="Y239" i="23" s="1"/>
  <c r="Z240" i="23" s="1"/>
  <c r="AA241" i="23" s="1"/>
  <c r="AB242" i="23" s="1"/>
  <c r="AC243" i="23" s="1"/>
  <c r="AD244" i="23" s="1"/>
  <c r="AE245" i="23" s="1"/>
  <c r="S234" i="23"/>
  <c r="T235" i="23" s="1"/>
  <c r="U236" i="23" s="1"/>
  <c r="V237" i="23" s="1"/>
  <c r="W238" i="23" s="1"/>
  <c r="X239" i="23" s="1"/>
  <c r="Y240" i="23" s="1"/>
  <c r="Z241" i="23" s="1"/>
  <c r="AA242" i="23" s="1"/>
  <c r="AB243" i="23" s="1"/>
  <c r="AC244" i="23" s="1"/>
  <c r="AD245" i="23" s="1"/>
  <c r="AE246" i="23" s="1"/>
  <c r="R234" i="23"/>
  <c r="S235" i="23" s="1"/>
  <c r="T236" i="23" s="1"/>
  <c r="U237" i="23" s="1"/>
  <c r="V238" i="23" s="1"/>
  <c r="W239" i="23" s="1"/>
  <c r="X240" i="23" s="1"/>
  <c r="Y241" i="23" s="1"/>
  <c r="Z242" i="23" s="1"/>
  <c r="AA243" i="23" s="1"/>
  <c r="AB244" i="23" s="1"/>
  <c r="AC245" i="23" s="1"/>
  <c r="AD246" i="23" s="1"/>
  <c r="AE247" i="23" s="1"/>
  <c r="P234" i="23"/>
  <c r="Q235" i="23" s="1"/>
  <c r="R236" i="23" s="1"/>
  <c r="S237" i="23" s="1"/>
  <c r="T238" i="23" s="1"/>
  <c r="U239" i="23" s="1"/>
  <c r="V240" i="23" s="1"/>
  <c r="W241" i="23" s="1"/>
  <c r="X242" i="23" s="1"/>
  <c r="Y243" i="23" s="1"/>
  <c r="Z244" i="23" s="1"/>
  <c r="AA245" i="23" s="1"/>
  <c r="AB246" i="23" s="1"/>
  <c r="AC247" i="23" s="1"/>
  <c r="AD248" i="23" s="1"/>
  <c r="AE249" i="23" s="1"/>
  <c r="O234" i="23"/>
  <c r="P235" i="23" s="1"/>
  <c r="Q236" i="23" s="1"/>
  <c r="R237" i="23" s="1"/>
  <c r="S238" i="23" s="1"/>
  <c r="T239" i="23" s="1"/>
  <c r="U240" i="23" s="1"/>
  <c r="V241" i="23" s="1"/>
  <c r="W242" i="23" s="1"/>
  <c r="X243" i="23" s="1"/>
  <c r="Y244" i="23" s="1"/>
  <c r="Z245" i="23" s="1"/>
  <c r="AA246" i="23" s="1"/>
  <c r="AB247" i="23" s="1"/>
  <c r="AC248" i="23" s="1"/>
  <c r="AD249" i="23" s="1"/>
  <c r="AE250" i="23" s="1"/>
  <c r="N234" i="23"/>
  <c r="L234" i="23"/>
  <c r="M235" i="23" s="1"/>
  <c r="N236" i="23" s="1"/>
  <c r="O237" i="23" s="1"/>
  <c r="P238" i="23" s="1"/>
  <c r="Q239" i="23" s="1"/>
  <c r="R240" i="23" s="1"/>
  <c r="S241" i="23" s="1"/>
  <c r="T242" i="23" s="1"/>
  <c r="U243" i="23" s="1"/>
  <c r="V244" i="23" s="1"/>
  <c r="W245" i="23" s="1"/>
  <c r="X246" i="23" s="1"/>
  <c r="Y247" i="23" s="1"/>
  <c r="Z248" i="23" s="1"/>
  <c r="AA249" i="23" s="1"/>
  <c r="AB250" i="23" s="1"/>
  <c r="AC251" i="23" s="1"/>
  <c r="AD252" i="23" s="1"/>
  <c r="AE253" i="23" s="1"/>
  <c r="H234" i="23"/>
  <c r="I235" i="23" s="1"/>
  <c r="J236" i="23" s="1"/>
  <c r="K237" i="23" s="1"/>
  <c r="L238" i="23" s="1"/>
  <c r="M239" i="23" s="1"/>
  <c r="N240" i="23" s="1"/>
  <c r="O241" i="23" s="1"/>
  <c r="P242" i="23" s="1"/>
  <c r="Q243" i="23" s="1"/>
  <c r="R244" i="23" s="1"/>
  <c r="S245" i="23" s="1"/>
  <c r="T246" i="23" s="1"/>
  <c r="U247" i="23" s="1"/>
  <c r="V248" i="23" s="1"/>
  <c r="W249" i="23" s="1"/>
  <c r="X250" i="23" s="1"/>
  <c r="Y251" i="23" s="1"/>
  <c r="Z252" i="23" s="1"/>
  <c r="AA253" i="23" s="1"/>
  <c r="AB254" i="23" s="1"/>
  <c r="AC255" i="23" s="1"/>
  <c r="AD256" i="23" s="1"/>
  <c r="AE257" i="23" s="1"/>
  <c r="G234" i="23"/>
  <c r="H235" i="23" s="1"/>
  <c r="I236" i="23" s="1"/>
  <c r="J237" i="23" s="1"/>
  <c r="K238" i="23" s="1"/>
  <c r="L239" i="23" s="1"/>
  <c r="M240" i="23" s="1"/>
  <c r="N241" i="23" s="1"/>
  <c r="O242" i="23" s="1"/>
  <c r="P243" i="23" s="1"/>
  <c r="Q244" i="23" s="1"/>
  <c r="R245" i="23" s="1"/>
  <c r="S246" i="23" s="1"/>
  <c r="T247" i="23" s="1"/>
  <c r="U248" i="23" s="1"/>
  <c r="V249" i="23" s="1"/>
  <c r="W250" i="23" s="1"/>
  <c r="X251" i="23" s="1"/>
  <c r="Y252" i="23" s="1"/>
  <c r="Z253" i="23" s="1"/>
  <c r="AA254" i="23" s="1"/>
  <c r="AB255" i="23" s="1"/>
  <c r="AC256" i="23" s="1"/>
  <c r="AD257" i="23" s="1"/>
  <c r="AE258" i="23" s="1"/>
  <c r="AE205" i="23"/>
  <c r="AD205" i="23"/>
  <c r="AE206" i="23" s="1"/>
  <c r="AC205" i="23"/>
  <c r="AD206" i="23" s="1"/>
  <c r="AE207" i="23" s="1"/>
  <c r="AB205" i="23"/>
  <c r="AC206" i="23" s="1"/>
  <c r="AD207" i="23" s="1"/>
  <c r="AE208" i="23" s="1"/>
  <c r="Z205" i="23"/>
  <c r="AA206" i="23" s="1"/>
  <c r="AB207" i="23" s="1"/>
  <c r="AC208" i="23" s="1"/>
  <c r="AD209" i="23" s="1"/>
  <c r="AE210" i="23" s="1"/>
  <c r="Y205" i="23"/>
  <c r="Z206" i="23" s="1"/>
  <c r="AA207" i="23" s="1"/>
  <c r="AB208" i="23" s="1"/>
  <c r="AC209" i="23" s="1"/>
  <c r="AD210" i="23" s="1"/>
  <c r="AE211" i="23" s="1"/>
  <c r="X205" i="23"/>
  <c r="Y206" i="23" s="1"/>
  <c r="Z207" i="23" s="1"/>
  <c r="AA208" i="23" s="1"/>
  <c r="AB209" i="23" s="1"/>
  <c r="AC210" i="23" s="1"/>
  <c r="AD211" i="23" s="1"/>
  <c r="AE212" i="23" s="1"/>
  <c r="V205" i="23"/>
  <c r="W206" i="23" s="1"/>
  <c r="X207" i="23" s="1"/>
  <c r="Y208" i="23" s="1"/>
  <c r="Z209" i="23" s="1"/>
  <c r="AA210" i="23" s="1"/>
  <c r="AB211" i="23" s="1"/>
  <c r="AC212" i="23" s="1"/>
  <c r="AD213" i="23" s="1"/>
  <c r="AE214" i="23" s="1"/>
  <c r="U205" i="23"/>
  <c r="V206" i="23" s="1"/>
  <c r="W207" i="23" s="1"/>
  <c r="X208" i="23" s="1"/>
  <c r="Y209" i="23" s="1"/>
  <c r="Z210" i="23" s="1"/>
  <c r="AA211" i="23" s="1"/>
  <c r="AB212" i="23" s="1"/>
  <c r="AC213" i="23" s="1"/>
  <c r="AD214" i="23" s="1"/>
  <c r="AE215" i="23" s="1"/>
  <c r="T205" i="23"/>
  <c r="U206" i="23" s="1"/>
  <c r="V207" i="23" s="1"/>
  <c r="W208" i="23" s="1"/>
  <c r="X209" i="23" s="1"/>
  <c r="Y210" i="23" s="1"/>
  <c r="Z211" i="23" s="1"/>
  <c r="AA212" i="23" s="1"/>
  <c r="AB213" i="23" s="1"/>
  <c r="AC214" i="23" s="1"/>
  <c r="AD215" i="23" s="1"/>
  <c r="AE216" i="23" s="1"/>
  <c r="S205" i="23"/>
  <c r="T206" i="23" s="1"/>
  <c r="U207" i="23" s="1"/>
  <c r="V208" i="23" s="1"/>
  <c r="W209" i="23" s="1"/>
  <c r="X210" i="23" s="1"/>
  <c r="Y211" i="23" s="1"/>
  <c r="Z212" i="23" s="1"/>
  <c r="AA213" i="23" s="1"/>
  <c r="AB214" i="23" s="1"/>
  <c r="AC215" i="23" s="1"/>
  <c r="AD216" i="23" s="1"/>
  <c r="AE217" i="23" s="1"/>
  <c r="Q205" i="23"/>
  <c r="R206" i="23" s="1"/>
  <c r="S207" i="23" s="1"/>
  <c r="T208" i="23" s="1"/>
  <c r="U209" i="23" s="1"/>
  <c r="V210" i="23" s="1"/>
  <c r="W211" i="23" s="1"/>
  <c r="X212" i="23" s="1"/>
  <c r="Y213" i="23" s="1"/>
  <c r="Z214" i="23" s="1"/>
  <c r="AA215" i="23" s="1"/>
  <c r="AB216" i="23" s="1"/>
  <c r="AC217" i="23" s="1"/>
  <c r="AD218" i="23" s="1"/>
  <c r="AE219" i="23" s="1"/>
  <c r="P205" i="23"/>
  <c r="Q206" i="23" s="1"/>
  <c r="R207" i="23" s="1"/>
  <c r="S208" i="23" s="1"/>
  <c r="T209" i="23" s="1"/>
  <c r="U210" i="23" s="1"/>
  <c r="V211" i="23" s="1"/>
  <c r="W212" i="23" s="1"/>
  <c r="X213" i="23" s="1"/>
  <c r="Y214" i="23" s="1"/>
  <c r="Z215" i="23" s="1"/>
  <c r="AA216" i="23" s="1"/>
  <c r="AB217" i="23" s="1"/>
  <c r="AC218" i="23" s="1"/>
  <c r="AD219" i="23" s="1"/>
  <c r="AE220" i="23" s="1"/>
  <c r="O205" i="23"/>
  <c r="P206" i="23" s="1"/>
  <c r="Q207" i="23" s="1"/>
  <c r="R208" i="23" s="1"/>
  <c r="S209" i="23" s="1"/>
  <c r="T210" i="23" s="1"/>
  <c r="U211" i="23" s="1"/>
  <c r="V212" i="23" s="1"/>
  <c r="W213" i="23" s="1"/>
  <c r="X214" i="23" s="1"/>
  <c r="Y215" i="23" s="1"/>
  <c r="Z216" i="23" s="1"/>
  <c r="AA217" i="23" s="1"/>
  <c r="AB218" i="23" s="1"/>
  <c r="AC219" i="23" s="1"/>
  <c r="AD220" i="23" s="1"/>
  <c r="AE221" i="23" s="1"/>
  <c r="N205" i="23"/>
  <c r="O206" i="23" s="1"/>
  <c r="P207" i="23" s="1"/>
  <c r="Q208" i="23" s="1"/>
  <c r="R209" i="23" s="1"/>
  <c r="S210" i="23" s="1"/>
  <c r="T211" i="23" s="1"/>
  <c r="U212" i="23" s="1"/>
  <c r="V213" i="23" s="1"/>
  <c r="W214" i="23" s="1"/>
  <c r="X215" i="23" s="1"/>
  <c r="Y216" i="23" s="1"/>
  <c r="Z217" i="23" s="1"/>
  <c r="AA218" i="23" s="1"/>
  <c r="AB219" i="23" s="1"/>
  <c r="AC220" i="23" s="1"/>
  <c r="AD221" i="23" s="1"/>
  <c r="AE222" i="23" s="1"/>
  <c r="L205" i="23"/>
  <c r="M206" i="23" s="1"/>
  <c r="N207" i="23" s="1"/>
  <c r="O208" i="23" s="1"/>
  <c r="P209" i="23" s="1"/>
  <c r="Q210" i="23" s="1"/>
  <c r="R211" i="23" s="1"/>
  <c r="S212" i="23" s="1"/>
  <c r="T213" i="23" s="1"/>
  <c r="U214" i="23" s="1"/>
  <c r="V215" i="23" s="1"/>
  <c r="W216" i="23" s="1"/>
  <c r="X217" i="23" s="1"/>
  <c r="Y218" i="23" s="1"/>
  <c r="Z219" i="23" s="1"/>
  <c r="AA220" i="23" s="1"/>
  <c r="AB221" i="23" s="1"/>
  <c r="AC222" i="23" s="1"/>
  <c r="AD223" i="23" s="1"/>
  <c r="AE224" i="23" s="1"/>
  <c r="K205" i="23"/>
  <c r="L206" i="23" s="1"/>
  <c r="M207" i="23" s="1"/>
  <c r="N208" i="23" s="1"/>
  <c r="O209" i="23" s="1"/>
  <c r="P210" i="23" s="1"/>
  <c r="Q211" i="23" s="1"/>
  <c r="R212" i="23" s="1"/>
  <c r="S213" i="23" s="1"/>
  <c r="T214" i="23" s="1"/>
  <c r="U215" i="23" s="1"/>
  <c r="V216" i="23" s="1"/>
  <c r="W217" i="23" s="1"/>
  <c r="X218" i="23" s="1"/>
  <c r="Y219" i="23" s="1"/>
  <c r="Z220" i="23" s="1"/>
  <c r="AA221" i="23" s="1"/>
  <c r="AB222" i="23" s="1"/>
  <c r="AC223" i="23" s="1"/>
  <c r="AD224" i="23" s="1"/>
  <c r="AE225" i="23" s="1"/>
  <c r="J205" i="23"/>
  <c r="K206" i="23" s="1"/>
  <c r="L207" i="23" s="1"/>
  <c r="M208" i="23" s="1"/>
  <c r="N209" i="23" s="1"/>
  <c r="O210" i="23" s="1"/>
  <c r="P211" i="23" s="1"/>
  <c r="Q212" i="23" s="1"/>
  <c r="R213" i="23" s="1"/>
  <c r="S214" i="23" s="1"/>
  <c r="T215" i="23" s="1"/>
  <c r="U216" i="23" s="1"/>
  <c r="V217" i="23" s="1"/>
  <c r="W218" i="23" s="1"/>
  <c r="X219" i="23" s="1"/>
  <c r="Y220" i="23" s="1"/>
  <c r="Z221" i="23" s="1"/>
  <c r="AA222" i="23" s="1"/>
  <c r="AB223" i="23" s="1"/>
  <c r="AC224" i="23" s="1"/>
  <c r="AD225" i="23" s="1"/>
  <c r="AE226" i="23" s="1"/>
  <c r="I205" i="23"/>
  <c r="J206" i="23" s="1"/>
  <c r="K207" i="23" s="1"/>
  <c r="L208" i="23" s="1"/>
  <c r="M209" i="23" s="1"/>
  <c r="N210" i="23" s="1"/>
  <c r="O211" i="23" s="1"/>
  <c r="P212" i="23" s="1"/>
  <c r="Q213" i="23" s="1"/>
  <c r="R214" i="23" s="1"/>
  <c r="S215" i="23" s="1"/>
  <c r="T216" i="23" s="1"/>
  <c r="U217" i="23" s="1"/>
  <c r="V218" i="23" s="1"/>
  <c r="W219" i="23" s="1"/>
  <c r="X220" i="23" s="1"/>
  <c r="Y221" i="23" s="1"/>
  <c r="Z222" i="23" s="1"/>
  <c r="AA223" i="23" s="1"/>
  <c r="AB224" i="23" s="1"/>
  <c r="AC225" i="23" s="1"/>
  <c r="AD226" i="23" s="1"/>
  <c r="AE227" i="23" s="1"/>
  <c r="H205" i="23"/>
  <c r="I206" i="23" s="1"/>
  <c r="J207" i="23" s="1"/>
  <c r="K208" i="23" s="1"/>
  <c r="L209" i="23" s="1"/>
  <c r="M210" i="23" s="1"/>
  <c r="N211" i="23" s="1"/>
  <c r="O212" i="23" s="1"/>
  <c r="P213" i="23" s="1"/>
  <c r="Q214" i="23" s="1"/>
  <c r="R215" i="23" s="1"/>
  <c r="S216" i="23" s="1"/>
  <c r="T217" i="23" s="1"/>
  <c r="U218" i="23" s="1"/>
  <c r="V219" i="23" s="1"/>
  <c r="W220" i="23" s="1"/>
  <c r="X221" i="23" s="1"/>
  <c r="Y222" i="23" s="1"/>
  <c r="Z223" i="23" s="1"/>
  <c r="AA224" i="23" s="1"/>
  <c r="AB225" i="23" s="1"/>
  <c r="AC226" i="23" s="1"/>
  <c r="AD227" i="23" s="1"/>
  <c r="AE228" i="23" s="1"/>
  <c r="F205" i="23"/>
  <c r="G206" i="23" s="1"/>
  <c r="H207" i="23" s="1"/>
  <c r="I208" i="23" s="1"/>
  <c r="J209" i="23" s="1"/>
  <c r="K210" i="23" s="1"/>
  <c r="L211" i="23" s="1"/>
  <c r="M212" i="23" s="1"/>
  <c r="N213" i="23" s="1"/>
  <c r="O214" i="23" s="1"/>
  <c r="P215" i="23" s="1"/>
  <c r="Q216" i="23" s="1"/>
  <c r="R217" i="23" s="1"/>
  <c r="S218" i="23" s="1"/>
  <c r="T219" i="23" s="1"/>
  <c r="U220" i="23" s="1"/>
  <c r="V221" i="23" s="1"/>
  <c r="W222" i="23" s="1"/>
  <c r="X223" i="23" s="1"/>
  <c r="Y224" i="23" s="1"/>
  <c r="Z225" i="23" s="1"/>
  <c r="AA226" i="23" s="1"/>
  <c r="AB227" i="23" s="1"/>
  <c r="AC228" i="23" s="1"/>
  <c r="AD229" i="23" s="1"/>
  <c r="E205" i="23"/>
  <c r="F206" i="23" s="1"/>
  <c r="G207" i="23" s="1"/>
  <c r="H208" i="23" s="1"/>
  <c r="I209" i="23" s="1"/>
  <c r="J210" i="23" s="1"/>
  <c r="K211" i="23" s="1"/>
  <c r="L212" i="23" s="1"/>
  <c r="M213" i="23" s="1"/>
  <c r="N214" i="23" s="1"/>
  <c r="O215" i="23" s="1"/>
  <c r="P216" i="23" s="1"/>
  <c r="Q217" i="23" s="1"/>
  <c r="R218" i="23" s="1"/>
  <c r="S219" i="23" s="1"/>
  <c r="T220" i="23" s="1"/>
  <c r="U221" i="23" s="1"/>
  <c r="V222" i="23" s="1"/>
  <c r="W223" i="23" s="1"/>
  <c r="X224" i="23" s="1"/>
  <c r="Y225" i="23" s="1"/>
  <c r="Z226" i="23" s="1"/>
  <c r="AA227" i="23" s="1"/>
  <c r="AB228" i="23" s="1"/>
  <c r="AC229" i="23" s="1"/>
  <c r="O176" i="23"/>
  <c r="P177" i="23" s="1"/>
  <c r="Q178" i="23" s="1"/>
  <c r="R179" i="23" s="1"/>
  <c r="S180" i="23" s="1"/>
  <c r="T181" i="23" s="1"/>
  <c r="U182" i="23" s="1"/>
  <c r="V183" i="23" s="1"/>
  <c r="W184" i="23" s="1"/>
  <c r="X185" i="23" s="1"/>
  <c r="Y186" i="23" s="1"/>
  <c r="Z187" i="23" s="1"/>
  <c r="AA188" i="23" s="1"/>
  <c r="AB189" i="23" s="1"/>
  <c r="AC190" i="23" s="1"/>
  <c r="AD191" i="23" s="1"/>
  <c r="AE192" i="23" s="1"/>
  <c r="AE176" i="23"/>
  <c r="AD176" i="23"/>
  <c r="AE177" i="23" s="1"/>
  <c r="AC176" i="23"/>
  <c r="AD177" i="23" s="1"/>
  <c r="AE178" i="23" s="1"/>
  <c r="AA176" i="23"/>
  <c r="AB177" i="23" s="1"/>
  <c r="AC178" i="23" s="1"/>
  <c r="AD179" i="23" s="1"/>
  <c r="AE180" i="23" s="1"/>
  <c r="W176" i="23"/>
  <c r="X177" i="23" s="1"/>
  <c r="Y178" i="23" s="1"/>
  <c r="Z179" i="23" s="1"/>
  <c r="AA180" i="23" s="1"/>
  <c r="AB181" i="23" s="1"/>
  <c r="AC182" i="23" s="1"/>
  <c r="AD183" i="23" s="1"/>
  <c r="AE184" i="23" s="1"/>
  <c r="V176" i="23"/>
  <c r="S176" i="23"/>
  <c r="T177" i="23" s="1"/>
  <c r="U178" i="23" s="1"/>
  <c r="V179" i="23" s="1"/>
  <c r="W180" i="23" s="1"/>
  <c r="X181" i="23" s="1"/>
  <c r="Y182" i="23" s="1"/>
  <c r="Z183" i="23" s="1"/>
  <c r="AA184" i="23" s="1"/>
  <c r="AB185" i="23" s="1"/>
  <c r="AC186" i="23" s="1"/>
  <c r="AD187" i="23" s="1"/>
  <c r="AE188" i="23" s="1"/>
  <c r="R176" i="23"/>
  <c r="S177" i="23" s="1"/>
  <c r="T178" i="23" s="1"/>
  <c r="U179" i="23" s="1"/>
  <c r="V180" i="23" s="1"/>
  <c r="W181" i="23" s="1"/>
  <c r="X182" i="23" s="1"/>
  <c r="Y183" i="23" s="1"/>
  <c r="Z184" i="23" s="1"/>
  <c r="AA185" i="23" s="1"/>
  <c r="AB186" i="23" s="1"/>
  <c r="AC187" i="23" s="1"/>
  <c r="AD188" i="23" s="1"/>
  <c r="AE189" i="23" s="1"/>
  <c r="P176" i="23"/>
  <c r="Q177" i="23" s="1"/>
  <c r="R178" i="23" s="1"/>
  <c r="S179" i="23" s="1"/>
  <c r="T180" i="23" s="1"/>
  <c r="U181" i="23" s="1"/>
  <c r="V182" i="23" s="1"/>
  <c r="W183" i="23" s="1"/>
  <c r="X184" i="23" s="1"/>
  <c r="Y185" i="23" s="1"/>
  <c r="Z186" i="23" s="1"/>
  <c r="AA187" i="23" s="1"/>
  <c r="AB188" i="23" s="1"/>
  <c r="AC189" i="23" s="1"/>
  <c r="AD190" i="23" s="1"/>
  <c r="AE191" i="23" s="1"/>
  <c r="N176" i="23"/>
  <c r="O177" i="23" s="1"/>
  <c r="P178" i="23" s="1"/>
  <c r="Q179" i="23" s="1"/>
  <c r="R180" i="23" s="1"/>
  <c r="S181" i="23" s="1"/>
  <c r="T182" i="23" s="1"/>
  <c r="U183" i="23" s="1"/>
  <c r="V184" i="23" s="1"/>
  <c r="W185" i="23" s="1"/>
  <c r="X186" i="23" s="1"/>
  <c r="Y187" i="23" s="1"/>
  <c r="Z188" i="23" s="1"/>
  <c r="AA189" i="23" s="1"/>
  <c r="AB190" i="23" s="1"/>
  <c r="AC191" i="23" s="1"/>
  <c r="AD192" i="23" s="1"/>
  <c r="AE193" i="23" s="1"/>
  <c r="K176" i="23"/>
  <c r="L177" i="23" s="1"/>
  <c r="M178" i="23" s="1"/>
  <c r="N179" i="23" s="1"/>
  <c r="O180" i="23" s="1"/>
  <c r="P181" i="23" s="1"/>
  <c r="Q182" i="23" s="1"/>
  <c r="R183" i="23" s="1"/>
  <c r="S184" i="23" s="1"/>
  <c r="T185" i="23" s="1"/>
  <c r="U186" i="23" s="1"/>
  <c r="V187" i="23" s="1"/>
  <c r="W188" i="23" s="1"/>
  <c r="X189" i="23" s="1"/>
  <c r="Y190" i="23" s="1"/>
  <c r="Z191" i="23" s="1"/>
  <c r="AA192" i="23" s="1"/>
  <c r="AB193" i="23" s="1"/>
  <c r="AC194" i="23" s="1"/>
  <c r="AD195" i="23" s="1"/>
  <c r="AE196" i="23" s="1"/>
  <c r="G176" i="23"/>
  <c r="H177" i="23" s="1"/>
  <c r="I178" i="23" s="1"/>
  <c r="J179" i="23" s="1"/>
  <c r="K180" i="23" s="1"/>
  <c r="L181" i="23" s="1"/>
  <c r="M182" i="23" s="1"/>
  <c r="N183" i="23" s="1"/>
  <c r="O184" i="23" s="1"/>
  <c r="P185" i="23" s="1"/>
  <c r="Q186" i="23" s="1"/>
  <c r="R187" i="23" s="1"/>
  <c r="S188" i="23" s="1"/>
  <c r="T189" i="23" s="1"/>
  <c r="U190" i="23" s="1"/>
  <c r="V191" i="23" s="1"/>
  <c r="W192" i="23" s="1"/>
  <c r="X193" i="23" s="1"/>
  <c r="Y194" i="23" s="1"/>
  <c r="Z195" i="23" s="1"/>
  <c r="AA196" i="23" s="1"/>
  <c r="AB197" i="23" s="1"/>
  <c r="AC198" i="23" s="1"/>
  <c r="AD199" i="23" s="1"/>
  <c r="AE200" i="23" s="1"/>
  <c r="F176" i="23"/>
  <c r="D170" i="23"/>
  <c r="E171" i="23" s="1"/>
  <c r="D169" i="23"/>
  <c r="E170" i="23" s="1"/>
  <c r="F171" i="23" s="1"/>
  <c r="AE147" i="23"/>
  <c r="AD147" i="23"/>
  <c r="AE148" i="23" s="1"/>
  <c r="AC147" i="23"/>
  <c r="AD148" i="23" s="1"/>
  <c r="AE149" i="23" s="1"/>
  <c r="Z147" i="23"/>
  <c r="AA148" i="23" s="1"/>
  <c r="AB149" i="23" s="1"/>
  <c r="AC150" i="23" s="1"/>
  <c r="AD151" i="23" s="1"/>
  <c r="AE152" i="23" s="1"/>
  <c r="W147" i="23"/>
  <c r="X148" i="23" s="1"/>
  <c r="Y149" i="23" s="1"/>
  <c r="Z150" i="23" s="1"/>
  <c r="AA151" i="23" s="1"/>
  <c r="AB152" i="23" s="1"/>
  <c r="AC153" i="23" s="1"/>
  <c r="AD154" i="23" s="1"/>
  <c r="AE155" i="23" s="1"/>
  <c r="V147" i="23"/>
  <c r="W148" i="23" s="1"/>
  <c r="X149" i="23" s="1"/>
  <c r="Y150" i="23" s="1"/>
  <c r="Z151" i="23" s="1"/>
  <c r="AA152" i="23" s="1"/>
  <c r="AB153" i="23" s="1"/>
  <c r="AC154" i="23" s="1"/>
  <c r="AD155" i="23" s="1"/>
  <c r="AE156" i="23" s="1"/>
  <c r="S147" i="23"/>
  <c r="T148" i="23" s="1"/>
  <c r="U149" i="23" s="1"/>
  <c r="V150" i="23" s="1"/>
  <c r="W151" i="23" s="1"/>
  <c r="X152" i="23" s="1"/>
  <c r="Y153" i="23" s="1"/>
  <c r="Z154" i="23" s="1"/>
  <c r="AA155" i="23" s="1"/>
  <c r="AB156" i="23" s="1"/>
  <c r="AC157" i="23" s="1"/>
  <c r="AD158" i="23" s="1"/>
  <c r="AE159" i="23" s="1"/>
  <c r="R147" i="23"/>
  <c r="S148" i="23" s="1"/>
  <c r="T149" i="23" s="1"/>
  <c r="U150" i="23" s="1"/>
  <c r="V151" i="23" s="1"/>
  <c r="W152" i="23" s="1"/>
  <c r="X153" i="23" s="1"/>
  <c r="Y154" i="23" s="1"/>
  <c r="Z155" i="23" s="1"/>
  <c r="AA156" i="23" s="1"/>
  <c r="AB157" i="23" s="1"/>
  <c r="AC158" i="23" s="1"/>
  <c r="AD159" i="23" s="1"/>
  <c r="AE160" i="23" s="1"/>
  <c r="O147" i="23"/>
  <c r="P148" i="23" s="1"/>
  <c r="Q149" i="23" s="1"/>
  <c r="R150" i="23" s="1"/>
  <c r="S151" i="23" s="1"/>
  <c r="T152" i="23" s="1"/>
  <c r="U153" i="23" s="1"/>
  <c r="V154" i="23" s="1"/>
  <c r="W155" i="23" s="1"/>
  <c r="X156" i="23" s="1"/>
  <c r="Y157" i="23" s="1"/>
  <c r="Z158" i="23" s="1"/>
  <c r="AA159" i="23" s="1"/>
  <c r="AB160" i="23" s="1"/>
  <c r="AC161" i="23" s="1"/>
  <c r="AD162" i="23" s="1"/>
  <c r="AE163" i="23" s="1"/>
  <c r="N147" i="23"/>
  <c r="O148" i="23" s="1"/>
  <c r="P149" i="23" s="1"/>
  <c r="Q150" i="23" s="1"/>
  <c r="R151" i="23" s="1"/>
  <c r="S152" i="23" s="1"/>
  <c r="T153" i="23" s="1"/>
  <c r="U154" i="23" s="1"/>
  <c r="V155" i="23" s="1"/>
  <c r="W156" i="23" s="1"/>
  <c r="X157" i="23" s="1"/>
  <c r="Y158" i="23" s="1"/>
  <c r="Z159" i="23" s="1"/>
  <c r="AA160" i="23" s="1"/>
  <c r="AB161" i="23" s="1"/>
  <c r="AC162" i="23" s="1"/>
  <c r="AD163" i="23" s="1"/>
  <c r="AE164" i="23" s="1"/>
  <c r="M147" i="23"/>
  <c r="J147" i="23"/>
  <c r="K148" i="23" s="1"/>
  <c r="L149" i="23" s="1"/>
  <c r="M150" i="23" s="1"/>
  <c r="N151" i="23" s="1"/>
  <c r="O152" i="23" s="1"/>
  <c r="P153" i="23" s="1"/>
  <c r="Q154" i="23" s="1"/>
  <c r="R155" i="23" s="1"/>
  <c r="S156" i="23" s="1"/>
  <c r="T157" i="23" s="1"/>
  <c r="U158" i="23" s="1"/>
  <c r="V159" i="23" s="1"/>
  <c r="W160" i="23" s="1"/>
  <c r="X161" i="23" s="1"/>
  <c r="Y162" i="23" s="1"/>
  <c r="Z163" i="23" s="1"/>
  <c r="AA164" i="23" s="1"/>
  <c r="AB165" i="23" s="1"/>
  <c r="AC166" i="23" s="1"/>
  <c r="AD167" i="23" s="1"/>
  <c r="AE168" i="23" s="1"/>
  <c r="G147" i="23"/>
  <c r="H148" i="23" s="1"/>
  <c r="I149" i="23" s="1"/>
  <c r="J150" i="23" s="1"/>
  <c r="K151" i="23" s="1"/>
  <c r="L152" i="23" s="1"/>
  <c r="M153" i="23" s="1"/>
  <c r="N154" i="23" s="1"/>
  <c r="O155" i="23" s="1"/>
  <c r="P156" i="23" s="1"/>
  <c r="Q157" i="23" s="1"/>
  <c r="R158" i="23" s="1"/>
  <c r="S159" i="23" s="1"/>
  <c r="T160" i="23" s="1"/>
  <c r="U161" i="23" s="1"/>
  <c r="V162" i="23" s="1"/>
  <c r="W163" i="23" s="1"/>
  <c r="X164" i="23" s="1"/>
  <c r="Y165" i="23" s="1"/>
  <c r="Z166" i="23" s="1"/>
  <c r="AA167" i="23" s="1"/>
  <c r="AB168" i="23" s="1"/>
  <c r="AC169" i="23" s="1"/>
  <c r="AD170" i="23" s="1"/>
  <c r="AE171" i="23" s="1"/>
  <c r="F147" i="23"/>
  <c r="G148" i="23" s="1"/>
  <c r="H149" i="23" s="1"/>
  <c r="I150" i="23" s="1"/>
  <c r="J151" i="23" s="1"/>
  <c r="K152" i="23" s="1"/>
  <c r="L153" i="23" s="1"/>
  <c r="M154" i="23" s="1"/>
  <c r="N155" i="23" s="1"/>
  <c r="O156" i="23" s="1"/>
  <c r="P157" i="23" s="1"/>
  <c r="Q158" i="23" s="1"/>
  <c r="R159" i="23" s="1"/>
  <c r="S160" i="23" s="1"/>
  <c r="T161" i="23" s="1"/>
  <c r="U162" i="23" s="1"/>
  <c r="V163" i="23" s="1"/>
  <c r="W164" i="23" s="1"/>
  <c r="X165" i="23" s="1"/>
  <c r="Y166" i="23" s="1"/>
  <c r="Z167" i="23" s="1"/>
  <c r="AA168" i="23" s="1"/>
  <c r="AB169" i="23" s="1"/>
  <c r="AC170" i="23" s="1"/>
  <c r="AD171" i="23" s="1"/>
  <c r="AE118" i="23"/>
  <c r="AD118" i="23"/>
  <c r="AE119" i="23" s="1"/>
  <c r="AC118" i="23"/>
  <c r="AD119" i="23" s="1"/>
  <c r="AE120" i="23" s="1"/>
  <c r="Y118" i="23"/>
  <c r="Z119" i="23" s="1"/>
  <c r="AA120" i="23" s="1"/>
  <c r="AB121" i="23" s="1"/>
  <c r="AC122" i="23" s="1"/>
  <c r="AD123" i="23" s="1"/>
  <c r="AE124" i="23" s="1"/>
  <c r="U118" i="23"/>
  <c r="V119" i="23" s="1"/>
  <c r="W120" i="23" s="1"/>
  <c r="X121" i="23" s="1"/>
  <c r="Y122" i="23" s="1"/>
  <c r="Z123" i="23" s="1"/>
  <c r="AA124" i="23" s="1"/>
  <c r="AB125" i="23" s="1"/>
  <c r="AC126" i="23" s="1"/>
  <c r="AD127" i="23" s="1"/>
  <c r="AE128" i="23" s="1"/>
  <c r="T118" i="23"/>
  <c r="U119" i="23" s="1"/>
  <c r="V120" i="23" s="1"/>
  <c r="W121" i="23" s="1"/>
  <c r="X122" i="23" s="1"/>
  <c r="Y123" i="23" s="1"/>
  <c r="Z124" i="23" s="1"/>
  <c r="AA125" i="23" s="1"/>
  <c r="AB126" i="23" s="1"/>
  <c r="AC127" i="23" s="1"/>
  <c r="AD128" i="23" s="1"/>
  <c r="AE129" i="23" s="1"/>
  <c r="Q118" i="23"/>
  <c r="R119" i="23" s="1"/>
  <c r="S120" i="23" s="1"/>
  <c r="T121" i="23" s="1"/>
  <c r="U122" i="23" s="1"/>
  <c r="V123" i="23" s="1"/>
  <c r="W124" i="23" s="1"/>
  <c r="X125" i="23" s="1"/>
  <c r="Y126" i="23" s="1"/>
  <c r="Z127" i="23" s="1"/>
  <c r="AA128" i="23" s="1"/>
  <c r="AB129" i="23" s="1"/>
  <c r="AC130" i="23" s="1"/>
  <c r="AD131" i="23" s="1"/>
  <c r="AE132" i="23" s="1"/>
  <c r="P118" i="23"/>
  <c r="Q119" i="23" s="1"/>
  <c r="R120" i="23" s="1"/>
  <c r="S121" i="23" s="1"/>
  <c r="T122" i="23" s="1"/>
  <c r="U123" i="23" s="1"/>
  <c r="V124" i="23" s="1"/>
  <c r="W125" i="23" s="1"/>
  <c r="X126" i="23" s="1"/>
  <c r="Y127" i="23" s="1"/>
  <c r="Z128" i="23" s="1"/>
  <c r="AA129" i="23" s="1"/>
  <c r="AB130" i="23" s="1"/>
  <c r="AC131" i="23" s="1"/>
  <c r="AD132" i="23" s="1"/>
  <c r="AE133" i="23" s="1"/>
  <c r="M118" i="23"/>
  <c r="N119" i="23" s="1"/>
  <c r="O120" i="23" s="1"/>
  <c r="P121" i="23" s="1"/>
  <c r="Q122" i="23" s="1"/>
  <c r="R123" i="23" s="1"/>
  <c r="S124" i="23" s="1"/>
  <c r="T125" i="23" s="1"/>
  <c r="U126" i="23" s="1"/>
  <c r="V127" i="23" s="1"/>
  <c r="W128" i="23" s="1"/>
  <c r="X129" i="23" s="1"/>
  <c r="Y130" i="23" s="1"/>
  <c r="Z131" i="23" s="1"/>
  <c r="AA132" i="23" s="1"/>
  <c r="AB133" i="23" s="1"/>
  <c r="AC134" i="23" s="1"/>
  <c r="AD135" i="23" s="1"/>
  <c r="AE136" i="23" s="1"/>
  <c r="I118" i="23"/>
  <c r="J119" i="23" s="1"/>
  <c r="K120" i="23" s="1"/>
  <c r="L121" i="23" s="1"/>
  <c r="M122" i="23" s="1"/>
  <c r="N123" i="23" s="1"/>
  <c r="O124" i="23" s="1"/>
  <c r="P125" i="23" s="1"/>
  <c r="Q126" i="23" s="1"/>
  <c r="R127" i="23" s="1"/>
  <c r="S128" i="23" s="1"/>
  <c r="T129" i="23" s="1"/>
  <c r="U130" i="23" s="1"/>
  <c r="V131" i="23" s="1"/>
  <c r="W132" i="23" s="1"/>
  <c r="X133" i="23" s="1"/>
  <c r="Y134" i="23" s="1"/>
  <c r="Z135" i="23" s="1"/>
  <c r="AA136" i="23" s="1"/>
  <c r="AB137" i="23" s="1"/>
  <c r="AC138" i="23" s="1"/>
  <c r="AD139" i="23" s="1"/>
  <c r="AE140" i="23" s="1"/>
  <c r="E118" i="23"/>
  <c r="F119" i="23" s="1"/>
  <c r="G120" i="23" s="1"/>
  <c r="H121" i="23" s="1"/>
  <c r="I122" i="23" s="1"/>
  <c r="J123" i="23" s="1"/>
  <c r="K124" i="23" s="1"/>
  <c r="L125" i="23" s="1"/>
  <c r="M126" i="23" s="1"/>
  <c r="N127" i="23" s="1"/>
  <c r="O128" i="23" s="1"/>
  <c r="P129" i="23" s="1"/>
  <c r="Q130" i="23" s="1"/>
  <c r="R131" i="23" s="1"/>
  <c r="S132" i="23" s="1"/>
  <c r="T133" i="23" s="1"/>
  <c r="U134" i="23" s="1"/>
  <c r="V135" i="23" s="1"/>
  <c r="W136" i="23" s="1"/>
  <c r="X137" i="23" s="1"/>
  <c r="Y138" i="23" s="1"/>
  <c r="Z139" i="23" s="1"/>
  <c r="AA140" i="23" s="1"/>
  <c r="AB141" i="23" s="1"/>
  <c r="AC142" i="23" s="1"/>
  <c r="AE89" i="23"/>
  <c r="AD89" i="23"/>
  <c r="AE90" i="23" s="1"/>
  <c r="AC89" i="23"/>
  <c r="AD90" i="23" s="1"/>
  <c r="AE91" i="23" s="1"/>
  <c r="AB89" i="23"/>
  <c r="AC90" i="23" s="1"/>
  <c r="AD91" i="23" s="1"/>
  <c r="AE92" i="23" s="1"/>
  <c r="X89" i="23"/>
  <c r="Y90" i="23" s="1"/>
  <c r="Z91" i="23" s="1"/>
  <c r="AA92" i="23" s="1"/>
  <c r="AB93" i="23" s="1"/>
  <c r="AC94" i="23" s="1"/>
  <c r="AD95" i="23" s="1"/>
  <c r="AE96" i="23" s="1"/>
  <c r="U89" i="23"/>
  <c r="V90" i="23" s="1"/>
  <c r="W91" i="23" s="1"/>
  <c r="X92" i="23" s="1"/>
  <c r="Y93" i="23" s="1"/>
  <c r="Z94" i="23" s="1"/>
  <c r="AA95" i="23" s="1"/>
  <c r="AB96" i="23" s="1"/>
  <c r="AC97" i="23" s="1"/>
  <c r="AD98" i="23" s="1"/>
  <c r="AE99" i="23" s="1"/>
  <c r="T89" i="23"/>
  <c r="U90" i="23" s="1"/>
  <c r="V91" i="23" s="1"/>
  <c r="W92" i="23" s="1"/>
  <c r="X93" i="23" s="1"/>
  <c r="Y94" i="23" s="1"/>
  <c r="Z95" i="23" s="1"/>
  <c r="AA96" i="23" s="1"/>
  <c r="AB97" i="23" s="1"/>
  <c r="AC98" i="23" s="1"/>
  <c r="AD99" i="23" s="1"/>
  <c r="AE100" i="23" s="1"/>
  <c r="Q89" i="23"/>
  <c r="R90" i="23" s="1"/>
  <c r="S91" i="23" s="1"/>
  <c r="T92" i="23" s="1"/>
  <c r="U93" i="23" s="1"/>
  <c r="V94" i="23" s="1"/>
  <c r="W95" i="23" s="1"/>
  <c r="X96" i="23" s="1"/>
  <c r="Y97" i="23" s="1"/>
  <c r="Z98" i="23" s="1"/>
  <c r="AA99" i="23" s="1"/>
  <c r="AB100" i="23" s="1"/>
  <c r="AC101" i="23" s="1"/>
  <c r="AD102" i="23" s="1"/>
  <c r="AE103" i="23" s="1"/>
  <c r="P89" i="23"/>
  <c r="L89" i="23"/>
  <c r="M90" i="23" s="1"/>
  <c r="N91" i="23" s="1"/>
  <c r="O92" i="23" s="1"/>
  <c r="P93" i="23" s="1"/>
  <c r="Q94" i="23" s="1"/>
  <c r="R95" i="23" s="1"/>
  <c r="S96" i="23" s="1"/>
  <c r="T97" i="23" s="1"/>
  <c r="U98" i="23" s="1"/>
  <c r="V99" i="23" s="1"/>
  <c r="W100" i="23" s="1"/>
  <c r="X101" i="23" s="1"/>
  <c r="Y102" i="23" s="1"/>
  <c r="Z103" i="23" s="1"/>
  <c r="AA104" i="23" s="1"/>
  <c r="AB105" i="23" s="1"/>
  <c r="AC106" i="23" s="1"/>
  <c r="AD107" i="23" s="1"/>
  <c r="AE108" i="23" s="1"/>
  <c r="H89" i="23"/>
  <c r="I90" i="23" s="1"/>
  <c r="J91" i="23" s="1"/>
  <c r="K92" i="23" s="1"/>
  <c r="L93" i="23" s="1"/>
  <c r="M94" i="23" s="1"/>
  <c r="N95" i="23" s="1"/>
  <c r="O96" i="23" s="1"/>
  <c r="P97" i="23" s="1"/>
  <c r="Q98" i="23" s="1"/>
  <c r="R99" i="23" s="1"/>
  <c r="S100" i="23" s="1"/>
  <c r="T101" i="23" s="1"/>
  <c r="U102" i="23" s="1"/>
  <c r="V103" i="23" s="1"/>
  <c r="W104" i="23" s="1"/>
  <c r="X105" i="23" s="1"/>
  <c r="Y106" i="23" s="1"/>
  <c r="Z107" i="23" s="1"/>
  <c r="AA108" i="23" s="1"/>
  <c r="AB109" i="23" s="1"/>
  <c r="AC110" i="23" s="1"/>
  <c r="AD111" i="23" s="1"/>
  <c r="AE112" i="23" s="1"/>
  <c r="E89" i="23"/>
  <c r="F90" i="23" s="1"/>
  <c r="G91" i="23" s="1"/>
  <c r="H92" i="23" s="1"/>
  <c r="I93" i="23" s="1"/>
  <c r="J94" i="23" s="1"/>
  <c r="K95" i="23" s="1"/>
  <c r="L96" i="23" s="1"/>
  <c r="M97" i="23" s="1"/>
  <c r="N98" i="23" s="1"/>
  <c r="O99" i="23" s="1"/>
  <c r="P100" i="23" s="1"/>
  <c r="Q101" i="23" s="1"/>
  <c r="R102" i="23" s="1"/>
  <c r="S103" i="23" s="1"/>
  <c r="T104" i="23" s="1"/>
  <c r="U105" i="23" s="1"/>
  <c r="V106" i="23" s="1"/>
  <c r="W107" i="23" s="1"/>
  <c r="X108" i="23" s="1"/>
  <c r="Y109" i="23" s="1"/>
  <c r="Z110" i="23" s="1"/>
  <c r="AA111" i="23" s="1"/>
  <c r="AB112" i="23" s="1"/>
  <c r="AC113" i="23" s="1"/>
  <c r="AE60" i="23"/>
  <c r="AD60" i="23"/>
  <c r="AE61" i="23" s="1"/>
  <c r="AC60" i="23"/>
  <c r="AD61" i="23" s="1"/>
  <c r="AE62" i="23" s="1"/>
  <c r="AB60" i="23"/>
  <c r="AC61" i="23" s="1"/>
  <c r="AD62" i="23" s="1"/>
  <c r="AE63" i="23" s="1"/>
  <c r="X60" i="23"/>
  <c r="Y61" i="23" s="1"/>
  <c r="Z62" i="23" s="1"/>
  <c r="AA63" i="23" s="1"/>
  <c r="AB64" i="23" s="1"/>
  <c r="AC65" i="23" s="1"/>
  <c r="AD66" i="23" s="1"/>
  <c r="AE67" i="23" s="1"/>
  <c r="W60" i="23"/>
  <c r="T60" i="23"/>
  <c r="U61" i="23" s="1"/>
  <c r="V62" i="23" s="1"/>
  <c r="W63" i="23" s="1"/>
  <c r="X64" i="23" s="1"/>
  <c r="Y65" i="23" s="1"/>
  <c r="Z66" i="23" s="1"/>
  <c r="AA67" i="23" s="1"/>
  <c r="AB68" i="23" s="1"/>
  <c r="AC69" i="23" s="1"/>
  <c r="AD70" i="23" s="1"/>
  <c r="AE71" i="23" s="1"/>
  <c r="S60" i="23"/>
  <c r="T61" i="23" s="1"/>
  <c r="U62" i="23" s="1"/>
  <c r="V63" i="23" s="1"/>
  <c r="W64" i="23" s="1"/>
  <c r="X65" i="23" s="1"/>
  <c r="Y66" i="23" s="1"/>
  <c r="Z67" i="23" s="1"/>
  <c r="AA68" i="23" s="1"/>
  <c r="AB69" i="23" s="1"/>
  <c r="AC70" i="23" s="1"/>
  <c r="AD71" i="23" s="1"/>
  <c r="AE72" i="23" s="1"/>
  <c r="P60" i="23"/>
  <c r="Q61" i="23" s="1"/>
  <c r="R62" i="23" s="1"/>
  <c r="S63" i="23" s="1"/>
  <c r="T64" i="23" s="1"/>
  <c r="U65" i="23" s="1"/>
  <c r="V66" i="23" s="1"/>
  <c r="W67" i="23" s="1"/>
  <c r="X68" i="23" s="1"/>
  <c r="Y69" i="23" s="1"/>
  <c r="Z70" i="23" s="1"/>
  <c r="AA71" i="23" s="1"/>
  <c r="AB72" i="23" s="1"/>
  <c r="AC73" i="23" s="1"/>
  <c r="AD74" i="23" s="1"/>
  <c r="AE75" i="23" s="1"/>
  <c r="L60" i="23"/>
  <c r="M61" i="23" s="1"/>
  <c r="N62" i="23" s="1"/>
  <c r="O63" i="23" s="1"/>
  <c r="P64" i="23" s="1"/>
  <c r="Q65" i="23" s="1"/>
  <c r="R66" i="23" s="1"/>
  <c r="S67" i="23" s="1"/>
  <c r="T68" i="23" s="1"/>
  <c r="U69" i="23" s="1"/>
  <c r="V70" i="23" s="1"/>
  <c r="W71" i="23" s="1"/>
  <c r="X72" i="23" s="1"/>
  <c r="Y73" i="23" s="1"/>
  <c r="Z74" i="23" s="1"/>
  <c r="AA75" i="23" s="1"/>
  <c r="AB76" i="23" s="1"/>
  <c r="AC77" i="23" s="1"/>
  <c r="AD78" i="23" s="1"/>
  <c r="AE79" i="23" s="1"/>
  <c r="H60" i="23"/>
  <c r="I61" i="23" s="1"/>
  <c r="J62" i="23" s="1"/>
  <c r="K63" i="23" s="1"/>
  <c r="L64" i="23" s="1"/>
  <c r="M65" i="23" s="1"/>
  <c r="N66" i="23" s="1"/>
  <c r="O67" i="23" s="1"/>
  <c r="P68" i="23" s="1"/>
  <c r="Q69" i="23" s="1"/>
  <c r="R70" i="23" s="1"/>
  <c r="S71" i="23" s="1"/>
  <c r="T72" i="23" s="1"/>
  <c r="U73" i="23" s="1"/>
  <c r="V74" i="23" s="1"/>
  <c r="W75" i="23" s="1"/>
  <c r="X76" i="23" s="1"/>
  <c r="Y77" i="23" s="1"/>
  <c r="Z78" i="23" s="1"/>
  <c r="AA79" i="23" s="1"/>
  <c r="AB80" i="23" s="1"/>
  <c r="AC81" i="23" s="1"/>
  <c r="AD82" i="23" s="1"/>
  <c r="AE83" i="23" s="1"/>
  <c r="G60" i="23"/>
  <c r="AE31" i="23"/>
  <c r="AD31" i="23"/>
  <c r="AE32" i="23" s="1"/>
  <c r="AC31" i="23"/>
  <c r="AD32" i="23" s="1"/>
  <c r="AE33" i="23" s="1"/>
  <c r="AA31" i="23"/>
  <c r="AB32" i="23" s="1"/>
  <c r="AC33" i="23" s="1"/>
  <c r="AD34" i="23" s="1"/>
  <c r="AE35" i="23" s="1"/>
  <c r="Z31" i="23"/>
  <c r="W31" i="23"/>
  <c r="X32" i="23" s="1"/>
  <c r="Y33" i="23" s="1"/>
  <c r="Z34" i="23" s="1"/>
  <c r="AA35" i="23" s="1"/>
  <c r="AB36" i="23" s="1"/>
  <c r="AC37" i="23" s="1"/>
  <c r="AD38" i="23" s="1"/>
  <c r="AE39" i="23" s="1"/>
  <c r="S31" i="23"/>
  <c r="T32" i="23" s="1"/>
  <c r="U33" i="23" s="1"/>
  <c r="V34" i="23" s="1"/>
  <c r="W35" i="23" s="1"/>
  <c r="X36" i="23" s="1"/>
  <c r="Y37" i="23" s="1"/>
  <c r="Z38" i="23" s="1"/>
  <c r="AA39" i="23" s="1"/>
  <c r="AB40" i="23" s="1"/>
  <c r="AC41" i="23" s="1"/>
  <c r="AD42" i="23" s="1"/>
  <c r="AE43" i="23" s="1"/>
  <c r="O31" i="23"/>
  <c r="P32" i="23" s="1"/>
  <c r="Q33" i="23" s="1"/>
  <c r="R34" i="23" s="1"/>
  <c r="S35" i="23" s="1"/>
  <c r="T36" i="23" s="1"/>
  <c r="U37" i="23" s="1"/>
  <c r="V38" i="23" s="1"/>
  <c r="W39" i="23" s="1"/>
  <c r="X40" i="23" s="1"/>
  <c r="Y41" i="23" s="1"/>
  <c r="Z42" i="23" s="1"/>
  <c r="AA43" i="23" s="1"/>
  <c r="AB44" i="23" s="1"/>
  <c r="AC45" i="23" s="1"/>
  <c r="AD46" i="23" s="1"/>
  <c r="AE47" i="23" s="1"/>
  <c r="N31" i="23"/>
  <c r="O32" i="23" s="1"/>
  <c r="P33" i="23" s="1"/>
  <c r="Q34" i="23" s="1"/>
  <c r="R35" i="23" s="1"/>
  <c r="S36" i="23" s="1"/>
  <c r="T37" i="23" s="1"/>
  <c r="U38" i="23" s="1"/>
  <c r="V39" i="23" s="1"/>
  <c r="W40" i="23" s="1"/>
  <c r="X41" i="23" s="1"/>
  <c r="Y42" i="23" s="1"/>
  <c r="Z43" i="23" s="1"/>
  <c r="AA44" i="23" s="1"/>
  <c r="AB45" i="23" s="1"/>
  <c r="AC46" i="23" s="1"/>
  <c r="AD47" i="23" s="1"/>
  <c r="AE48" i="23" s="1"/>
  <c r="K31" i="23"/>
  <c r="L32" i="23" s="1"/>
  <c r="M33" i="23" s="1"/>
  <c r="N34" i="23" s="1"/>
  <c r="O35" i="23" s="1"/>
  <c r="P36" i="23" s="1"/>
  <c r="Q37" i="23" s="1"/>
  <c r="R38" i="23" s="1"/>
  <c r="S39" i="23" s="1"/>
  <c r="T40" i="23" s="1"/>
  <c r="U41" i="23" s="1"/>
  <c r="V42" i="23" s="1"/>
  <c r="W43" i="23" s="1"/>
  <c r="X44" i="23" s="1"/>
  <c r="Y45" i="23" s="1"/>
  <c r="Z46" i="23" s="1"/>
  <c r="AA47" i="23" s="1"/>
  <c r="AB48" i="23" s="1"/>
  <c r="AC49" i="23" s="1"/>
  <c r="AD50" i="23" s="1"/>
  <c r="AE51" i="23" s="1"/>
  <c r="J31" i="23"/>
  <c r="G31" i="23"/>
  <c r="H32" i="23" s="1"/>
  <c r="I33" i="23" s="1"/>
  <c r="J34" i="23" s="1"/>
  <c r="K35" i="23" s="1"/>
  <c r="L36" i="23" s="1"/>
  <c r="M37" i="23" s="1"/>
  <c r="N38" i="23" s="1"/>
  <c r="O39" i="23" s="1"/>
  <c r="P40" i="23" s="1"/>
  <c r="Q41" i="23" s="1"/>
  <c r="R42" i="23" s="1"/>
  <c r="S43" i="23" s="1"/>
  <c r="T44" i="23" s="1"/>
  <c r="U45" i="23" s="1"/>
  <c r="V46" i="23" s="1"/>
  <c r="W47" i="23" s="1"/>
  <c r="X48" i="23" s="1"/>
  <c r="Y49" i="23" s="1"/>
  <c r="Z50" i="23" s="1"/>
  <c r="AA51" i="23" s="1"/>
  <c r="AB52" i="23" s="1"/>
  <c r="AC53" i="23" s="1"/>
  <c r="AD54" i="23" s="1"/>
  <c r="AE55" i="23" s="1"/>
  <c r="C321" i="21"/>
  <c r="C437" i="21" s="1"/>
  <c r="C292" i="21"/>
  <c r="C408" i="21" s="1"/>
  <c r="C263" i="21"/>
  <c r="C379" i="21" s="1"/>
  <c r="C342" i="20"/>
  <c r="C458" i="20" s="1"/>
  <c r="C313" i="20"/>
  <c r="C429" i="20" s="1"/>
  <c r="C284" i="20"/>
  <c r="C400" i="20" s="1"/>
  <c r="L50" i="19"/>
  <c r="K50" i="19"/>
  <c r="J50" i="19"/>
  <c r="I50" i="19"/>
  <c r="D50" i="19"/>
  <c r="D455" i="19" s="1"/>
  <c r="E50" i="19"/>
  <c r="D484" i="19" s="1"/>
  <c r="F50" i="19"/>
  <c r="C50" i="19"/>
  <c r="D426" i="19" s="1"/>
  <c r="AE401" i="19"/>
  <c r="AD401" i="19"/>
  <c r="AC401" i="19"/>
  <c r="AB401" i="19"/>
  <c r="AA401" i="19"/>
  <c r="Z401" i="19"/>
  <c r="Y401" i="19"/>
  <c r="X401" i="19"/>
  <c r="W401" i="19"/>
  <c r="V401" i="19"/>
  <c r="U401" i="19"/>
  <c r="T401" i="19"/>
  <c r="S401" i="19"/>
  <c r="R401" i="19"/>
  <c r="Q401" i="19"/>
  <c r="P401" i="19"/>
  <c r="O401" i="19"/>
  <c r="N401" i="19"/>
  <c r="M401" i="19"/>
  <c r="L401" i="19"/>
  <c r="K401" i="19"/>
  <c r="J401" i="19"/>
  <c r="I401" i="19"/>
  <c r="H401" i="19"/>
  <c r="G401" i="19"/>
  <c r="F401" i="19"/>
  <c r="E401" i="19"/>
  <c r="D401" i="19"/>
  <c r="C310" i="19"/>
  <c r="C309" i="19"/>
  <c r="C308" i="19"/>
  <c r="C307" i="19"/>
  <c r="C306" i="19"/>
  <c r="C305" i="19"/>
  <c r="C304" i="19"/>
  <c r="C303" i="19"/>
  <c r="AE285" i="19"/>
  <c r="AD285" i="19"/>
  <c r="AC285" i="19"/>
  <c r="AB285" i="19"/>
  <c r="AA285" i="19"/>
  <c r="Z285" i="19"/>
  <c r="Y285" i="19"/>
  <c r="X285" i="19"/>
  <c r="W285" i="19"/>
  <c r="V285" i="19"/>
  <c r="U285" i="19"/>
  <c r="T285" i="19"/>
  <c r="S285" i="19"/>
  <c r="R285" i="19"/>
  <c r="Q285" i="19"/>
  <c r="P285" i="19"/>
  <c r="O285" i="19"/>
  <c r="N285" i="19"/>
  <c r="M285" i="19"/>
  <c r="L285" i="19"/>
  <c r="K285" i="19"/>
  <c r="J285" i="19"/>
  <c r="I285" i="19"/>
  <c r="H285" i="19"/>
  <c r="G285" i="19"/>
  <c r="F285" i="19"/>
  <c r="E285" i="19"/>
  <c r="D285" i="19"/>
  <c r="AE53" i="19"/>
  <c r="AD53" i="19"/>
  <c r="AC53" i="19"/>
  <c r="AB53" i="19"/>
  <c r="AA53" i="19"/>
  <c r="Z53" i="19"/>
  <c r="Y53" i="19"/>
  <c r="X53" i="19"/>
  <c r="W53" i="19"/>
  <c r="V53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D53" i="19"/>
  <c r="AB15" i="2" l="1"/>
  <c r="AB17" i="2" s="1"/>
  <c r="X5" i="2"/>
  <c r="AA68" i="2"/>
  <c r="X5" i="26" s="1"/>
  <c r="V16" i="2"/>
  <c r="V17" i="2" s="1"/>
  <c r="V12" i="26"/>
  <c r="AC186" i="15"/>
  <c r="AB31" i="15" s="1"/>
  <c r="AE97" i="2" s="1"/>
  <c r="AA23" i="2"/>
  <c r="AA21" i="2"/>
  <c r="AB21" i="2"/>
  <c r="AB23" i="2" s="1"/>
  <c r="AC23" i="2"/>
  <c r="AC21" i="2"/>
  <c r="Z15" i="2"/>
  <c r="Z17" i="2" s="1"/>
  <c r="W11" i="26"/>
  <c r="AA15" i="2"/>
  <c r="AA17" i="2" s="1"/>
  <c r="AB8" i="2"/>
  <c r="AC215" i="15"/>
  <c r="AB32" i="15" s="1"/>
  <c r="AC174" i="18"/>
  <c r="BH8" i="18" s="1"/>
  <c r="AB2" i="2"/>
  <c r="AD2" i="2"/>
  <c r="AC2" i="2"/>
  <c r="AB174" i="18"/>
  <c r="BG8" i="18" s="1"/>
  <c r="AA40" i="15"/>
  <c r="AD145" i="18"/>
  <c r="BI7" i="18" s="1"/>
  <c r="AC39" i="15"/>
  <c r="AD174" i="18"/>
  <c r="BI8" i="18" s="1"/>
  <c r="AC40" i="15"/>
  <c r="AD116" i="18"/>
  <c r="BI6" i="18" s="1"/>
  <c r="AC38" i="15"/>
  <c r="AA35" i="15"/>
  <c r="AB145" i="18"/>
  <c r="BG7" i="18" s="1"/>
  <c r="AA39" i="15"/>
  <c r="Z35" i="15"/>
  <c r="AB12" i="26"/>
  <c r="AC12" i="26"/>
  <c r="AE145" i="18"/>
  <c r="BJ7" i="18" s="1"/>
  <c r="AD39" i="15"/>
  <c r="AD35" i="15"/>
  <c r="Z9" i="26"/>
  <c r="Z12" i="26" s="1"/>
  <c r="AA8" i="2"/>
  <c r="AA38" i="15"/>
  <c r="AD70" i="15"/>
  <c r="AC27" i="15" s="1"/>
  <c r="AC35" i="15"/>
  <c r="AD38" i="15"/>
  <c r="AA9" i="2"/>
  <c r="AA11" i="2" s="1"/>
  <c r="AD9" i="2"/>
  <c r="AD11" i="2" s="1"/>
  <c r="Z3" i="2"/>
  <c r="Z5" i="2" s="1"/>
  <c r="AB9" i="2"/>
  <c r="AB11" i="2" s="1"/>
  <c r="AC3" i="2"/>
  <c r="AC5" i="2" s="1"/>
  <c r="AD3" i="2"/>
  <c r="AD5" i="2" s="1"/>
  <c r="AA58" i="18"/>
  <c r="BF4" i="18" s="1"/>
  <c r="AA99" i="15"/>
  <c r="Z28" i="15" s="1"/>
  <c r="AC9" i="2"/>
  <c r="AC11" i="2" s="1"/>
  <c r="AE58" i="18"/>
  <c r="BJ4" i="18" s="1"/>
  <c r="AE99" i="15"/>
  <c r="AD28" i="15" s="1"/>
  <c r="AB87" i="18"/>
  <c r="BG5" i="18" s="1"/>
  <c r="AB128" i="15"/>
  <c r="AA29" i="15" s="1"/>
  <c r="AC8" i="2"/>
  <c r="AA3" i="2"/>
  <c r="AA5" i="2" s="1"/>
  <c r="AB111" i="24"/>
  <c r="AA36" i="15" s="1"/>
  <c r="AE87" i="18"/>
  <c r="BJ5" i="18" s="1"/>
  <c r="AE128" i="15"/>
  <c r="AD29" i="15" s="1"/>
  <c r="AA29" i="18"/>
  <c r="BF3" i="18" s="1"/>
  <c r="AA70" i="15"/>
  <c r="Z27" i="15" s="1"/>
  <c r="AC96" i="2" s="1"/>
  <c r="AD87" i="18"/>
  <c r="BI5" i="18" s="1"/>
  <c r="AD128" i="15"/>
  <c r="AC29" i="15" s="1"/>
  <c r="AB29" i="18"/>
  <c r="BG3" i="18" s="1"/>
  <c r="AB70" i="15"/>
  <c r="AA27" i="15" s="1"/>
  <c r="AE116" i="18"/>
  <c r="BJ6" i="18" s="1"/>
  <c r="AD8" i="2"/>
  <c r="AC58" i="18"/>
  <c r="BH4" i="18" s="1"/>
  <c r="AC99" i="15"/>
  <c r="AB28" i="15" s="1"/>
  <c r="AE96" i="2" s="1"/>
  <c r="AB116" i="18"/>
  <c r="BG6" i="18" s="1"/>
  <c r="D368" i="19"/>
  <c r="D397" i="19"/>
  <c r="D513" i="19"/>
  <c r="G177" i="23"/>
  <c r="H178" i="23" s="1"/>
  <c r="I179" i="23" s="1"/>
  <c r="J180" i="23" s="1"/>
  <c r="K181" i="23" s="1"/>
  <c r="L182" i="23" s="1"/>
  <c r="M183" i="23" s="1"/>
  <c r="N184" i="23" s="1"/>
  <c r="O185" i="23" s="1"/>
  <c r="P186" i="23" s="1"/>
  <c r="Q187" i="23" s="1"/>
  <c r="R188" i="23" s="1"/>
  <c r="S189" i="23" s="1"/>
  <c r="T190" i="23" s="1"/>
  <c r="U191" i="23" s="1"/>
  <c r="V192" i="23" s="1"/>
  <c r="W193" i="23" s="1"/>
  <c r="X194" i="23" s="1"/>
  <c r="Y195" i="23" s="1"/>
  <c r="Z196" i="23" s="1"/>
  <c r="AA197" i="23" s="1"/>
  <c r="AB198" i="23" s="1"/>
  <c r="AC199" i="23" s="1"/>
  <c r="AD200" i="23" s="1"/>
  <c r="W177" i="23"/>
  <c r="X178" i="23" s="1"/>
  <c r="Y179" i="23" s="1"/>
  <c r="Z180" i="23" s="1"/>
  <c r="AA181" i="23" s="1"/>
  <c r="AB182" i="23" s="1"/>
  <c r="AC183" i="23" s="1"/>
  <c r="AD184" i="23" s="1"/>
  <c r="AE185" i="23" s="1"/>
  <c r="O235" i="23"/>
  <c r="P236" i="23" s="1"/>
  <c r="Q237" i="23" s="1"/>
  <c r="R238" i="23" s="1"/>
  <c r="S239" i="23" s="1"/>
  <c r="T240" i="23" s="1"/>
  <c r="U241" i="23" s="1"/>
  <c r="V242" i="23" s="1"/>
  <c r="W243" i="23" s="1"/>
  <c r="X244" i="23" s="1"/>
  <c r="Y245" i="23" s="1"/>
  <c r="Z246" i="23" s="1"/>
  <c r="AA247" i="23" s="1"/>
  <c r="AB248" i="23" s="1"/>
  <c r="AC249" i="23" s="1"/>
  <c r="AD250" i="23" s="1"/>
  <c r="AE251" i="23" s="1"/>
  <c r="AA235" i="23"/>
  <c r="Q295" i="23"/>
  <c r="R296" i="23" s="1"/>
  <c r="S297" i="23" s="1"/>
  <c r="T298" i="23" s="1"/>
  <c r="U299" i="23" s="1"/>
  <c r="V300" i="23" s="1"/>
  <c r="W301" i="23" s="1"/>
  <c r="X302" i="23" s="1"/>
  <c r="Y303" i="23" s="1"/>
  <c r="Z304" i="23" s="1"/>
  <c r="AA305" i="23" s="1"/>
  <c r="AB306" i="23" s="1"/>
  <c r="AC307" i="23" s="1"/>
  <c r="AD308" i="23" s="1"/>
  <c r="AE309" i="23" s="1"/>
  <c r="E31" i="23"/>
  <c r="F32" i="23" s="1"/>
  <c r="G33" i="23" s="1"/>
  <c r="H34" i="23" s="1"/>
  <c r="I35" i="23" s="1"/>
  <c r="J36" i="23" s="1"/>
  <c r="K37" i="23" s="1"/>
  <c r="L38" i="23" s="1"/>
  <c r="M39" i="23" s="1"/>
  <c r="N40" i="23" s="1"/>
  <c r="O41" i="23" s="1"/>
  <c r="P42" i="23" s="1"/>
  <c r="Q43" i="23" s="1"/>
  <c r="R44" i="23" s="1"/>
  <c r="S45" i="23" s="1"/>
  <c r="T46" i="23" s="1"/>
  <c r="U47" i="23" s="1"/>
  <c r="V48" i="23" s="1"/>
  <c r="W49" i="23" s="1"/>
  <c r="X50" i="23" s="1"/>
  <c r="Y51" i="23" s="1"/>
  <c r="Z52" i="23" s="1"/>
  <c r="AA53" i="23" s="1"/>
  <c r="AB54" i="23" s="1"/>
  <c r="AC55" i="23" s="1"/>
  <c r="I31" i="23"/>
  <c r="J32" i="23" s="1"/>
  <c r="K33" i="23" s="1"/>
  <c r="L34" i="23" s="1"/>
  <c r="M35" i="23" s="1"/>
  <c r="N36" i="23" s="1"/>
  <c r="O37" i="23" s="1"/>
  <c r="P38" i="23" s="1"/>
  <c r="Q39" i="23" s="1"/>
  <c r="R40" i="23" s="1"/>
  <c r="S41" i="23" s="1"/>
  <c r="T42" i="23" s="1"/>
  <c r="U43" i="23" s="1"/>
  <c r="V44" i="23" s="1"/>
  <c r="W45" i="23" s="1"/>
  <c r="X46" i="23" s="1"/>
  <c r="Y47" i="23" s="1"/>
  <c r="Z48" i="23" s="1"/>
  <c r="AA49" i="23" s="1"/>
  <c r="AB50" i="23" s="1"/>
  <c r="AC51" i="23" s="1"/>
  <c r="AD52" i="23" s="1"/>
  <c r="AE53" i="23" s="1"/>
  <c r="M31" i="23"/>
  <c r="Q31" i="23"/>
  <c r="R32" i="23" s="1"/>
  <c r="S33" i="23" s="1"/>
  <c r="T34" i="23" s="1"/>
  <c r="U35" i="23" s="1"/>
  <c r="V36" i="23" s="1"/>
  <c r="W37" i="23" s="1"/>
  <c r="X38" i="23" s="1"/>
  <c r="Y39" i="23" s="1"/>
  <c r="Z40" i="23" s="1"/>
  <c r="AA41" i="23" s="1"/>
  <c r="AB42" i="23" s="1"/>
  <c r="AC43" i="23" s="1"/>
  <c r="AD44" i="23" s="1"/>
  <c r="AE45" i="23" s="1"/>
  <c r="Y31" i="23"/>
  <c r="Z32" i="23" s="1"/>
  <c r="AA33" i="23" s="1"/>
  <c r="AB34" i="23" s="1"/>
  <c r="AC35" i="23" s="1"/>
  <c r="AD36" i="23" s="1"/>
  <c r="AE37" i="23" s="1"/>
  <c r="K32" i="23"/>
  <c r="L33" i="23" s="1"/>
  <c r="M34" i="23" s="1"/>
  <c r="N35" i="23" s="1"/>
  <c r="O36" i="23" s="1"/>
  <c r="P37" i="23" s="1"/>
  <c r="Q38" i="23" s="1"/>
  <c r="R39" i="23" s="1"/>
  <c r="S40" i="23" s="1"/>
  <c r="T41" i="23" s="1"/>
  <c r="U42" i="23" s="1"/>
  <c r="V43" i="23" s="1"/>
  <c r="W44" i="23" s="1"/>
  <c r="X45" i="23" s="1"/>
  <c r="Y46" i="23" s="1"/>
  <c r="Z47" i="23" s="1"/>
  <c r="AA48" i="23" s="1"/>
  <c r="AB49" i="23" s="1"/>
  <c r="AC50" i="23" s="1"/>
  <c r="AD51" i="23" s="1"/>
  <c r="AE52" i="23" s="1"/>
  <c r="U31" i="23"/>
  <c r="V32" i="23" s="1"/>
  <c r="W33" i="23" s="1"/>
  <c r="X34" i="23" s="1"/>
  <c r="Y35" i="23" s="1"/>
  <c r="Z36" i="23" s="1"/>
  <c r="AA37" i="23" s="1"/>
  <c r="AB38" i="23" s="1"/>
  <c r="AC39" i="23" s="1"/>
  <c r="AD40" i="23" s="1"/>
  <c r="AE41" i="23" s="1"/>
  <c r="F60" i="23"/>
  <c r="J60" i="23"/>
  <c r="K61" i="23" s="1"/>
  <c r="L62" i="23" s="1"/>
  <c r="M63" i="23" s="1"/>
  <c r="N64" i="23" s="1"/>
  <c r="O65" i="23" s="1"/>
  <c r="P66" i="23" s="1"/>
  <c r="Q67" i="23" s="1"/>
  <c r="R68" i="23" s="1"/>
  <c r="S69" i="23" s="1"/>
  <c r="T70" i="23" s="1"/>
  <c r="U71" i="23" s="1"/>
  <c r="V72" i="23" s="1"/>
  <c r="W73" i="23" s="1"/>
  <c r="X74" i="23" s="1"/>
  <c r="Y75" i="23" s="1"/>
  <c r="Z76" i="23" s="1"/>
  <c r="AA77" i="23" s="1"/>
  <c r="AB78" i="23" s="1"/>
  <c r="AC79" i="23" s="1"/>
  <c r="AD80" i="23" s="1"/>
  <c r="AE81" i="23" s="1"/>
  <c r="R60" i="23"/>
  <c r="S61" i="23" s="1"/>
  <c r="T62" i="23" s="1"/>
  <c r="U63" i="23" s="1"/>
  <c r="V64" i="23" s="1"/>
  <c r="W65" i="23" s="1"/>
  <c r="X66" i="23" s="1"/>
  <c r="Y67" i="23" s="1"/>
  <c r="Z68" i="23" s="1"/>
  <c r="AA69" i="23" s="1"/>
  <c r="AB70" i="23" s="1"/>
  <c r="AC71" i="23" s="1"/>
  <c r="AD72" i="23" s="1"/>
  <c r="AE73" i="23" s="1"/>
  <c r="V60" i="23"/>
  <c r="Z60" i="23"/>
  <c r="AA61" i="23" s="1"/>
  <c r="AB62" i="23" s="1"/>
  <c r="AC63" i="23" s="1"/>
  <c r="AD64" i="23" s="1"/>
  <c r="AE65" i="23" s="1"/>
  <c r="N60" i="23"/>
  <c r="O61" i="23" s="1"/>
  <c r="P62" i="23" s="1"/>
  <c r="Q63" i="23" s="1"/>
  <c r="R64" i="23" s="1"/>
  <c r="S65" i="23" s="1"/>
  <c r="T66" i="23" s="1"/>
  <c r="U67" i="23" s="1"/>
  <c r="V68" i="23" s="1"/>
  <c r="W69" i="23" s="1"/>
  <c r="X70" i="23" s="1"/>
  <c r="Y71" i="23" s="1"/>
  <c r="Z72" i="23" s="1"/>
  <c r="AA73" i="23" s="1"/>
  <c r="AB74" i="23" s="1"/>
  <c r="AC75" i="23" s="1"/>
  <c r="AD76" i="23" s="1"/>
  <c r="AE77" i="23" s="1"/>
  <c r="H61" i="23"/>
  <c r="I62" i="23" s="1"/>
  <c r="J63" i="23" s="1"/>
  <c r="K64" i="23" s="1"/>
  <c r="L65" i="23" s="1"/>
  <c r="M66" i="23" s="1"/>
  <c r="N67" i="23" s="1"/>
  <c r="O68" i="23" s="1"/>
  <c r="P69" i="23" s="1"/>
  <c r="Q70" i="23" s="1"/>
  <c r="R71" i="23" s="1"/>
  <c r="S72" i="23" s="1"/>
  <c r="T73" i="23" s="1"/>
  <c r="U74" i="23" s="1"/>
  <c r="V75" i="23" s="1"/>
  <c r="W76" i="23" s="1"/>
  <c r="X77" i="23" s="1"/>
  <c r="Y78" i="23" s="1"/>
  <c r="Z79" i="23" s="1"/>
  <c r="AA80" i="23" s="1"/>
  <c r="AB81" i="23" s="1"/>
  <c r="AC82" i="23" s="1"/>
  <c r="AD83" i="23" s="1"/>
  <c r="AE84" i="23" s="1"/>
  <c r="X61" i="23"/>
  <c r="Y62" i="23" s="1"/>
  <c r="Z63" i="23" s="1"/>
  <c r="AA64" i="23" s="1"/>
  <c r="AB65" i="23" s="1"/>
  <c r="AC66" i="23" s="1"/>
  <c r="AD67" i="23" s="1"/>
  <c r="AE68" i="23" s="1"/>
  <c r="G89" i="23"/>
  <c r="O89" i="23"/>
  <c r="S89" i="23"/>
  <c r="W89" i="23"/>
  <c r="Q90" i="23"/>
  <c r="R91" i="23" s="1"/>
  <c r="S92" i="23" s="1"/>
  <c r="T93" i="23" s="1"/>
  <c r="U94" i="23" s="1"/>
  <c r="V95" i="23" s="1"/>
  <c r="W96" i="23" s="1"/>
  <c r="X97" i="23" s="1"/>
  <c r="Y98" i="23" s="1"/>
  <c r="Z99" i="23" s="1"/>
  <c r="AA100" i="23" s="1"/>
  <c r="AB101" i="23" s="1"/>
  <c r="AC102" i="23" s="1"/>
  <c r="AD103" i="23" s="1"/>
  <c r="AE104" i="23" s="1"/>
  <c r="AA89" i="23"/>
  <c r="N148" i="23"/>
  <c r="O149" i="23" s="1"/>
  <c r="P150" i="23" s="1"/>
  <c r="Q151" i="23" s="1"/>
  <c r="R152" i="23" s="1"/>
  <c r="S153" i="23" s="1"/>
  <c r="T154" i="23" s="1"/>
  <c r="U155" i="23" s="1"/>
  <c r="V156" i="23" s="1"/>
  <c r="W157" i="23" s="1"/>
  <c r="X158" i="23" s="1"/>
  <c r="Y159" i="23" s="1"/>
  <c r="Z160" i="23" s="1"/>
  <c r="AA161" i="23" s="1"/>
  <c r="AB162" i="23" s="1"/>
  <c r="AC163" i="23" s="1"/>
  <c r="AD164" i="23" s="1"/>
  <c r="AE165" i="23" s="1"/>
  <c r="I439" i="23"/>
  <c r="J440" i="23" s="1"/>
  <c r="K441" i="23" s="1"/>
  <c r="L442" i="23" s="1"/>
  <c r="M443" i="23" s="1"/>
  <c r="N444" i="23" s="1"/>
  <c r="O445" i="23" s="1"/>
  <c r="P446" i="23" s="1"/>
  <c r="Q447" i="23" s="1"/>
  <c r="R448" i="23" s="1"/>
  <c r="S449" i="23" s="1"/>
  <c r="T450" i="23" s="1"/>
  <c r="U451" i="23" s="1"/>
  <c r="V452" i="23" s="1"/>
  <c r="W453" i="23" s="1"/>
  <c r="X454" i="23" s="1"/>
  <c r="Y455" i="23" s="1"/>
  <c r="Z456" i="23" s="1"/>
  <c r="AA457" i="23" s="1"/>
  <c r="AB458" i="23" s="1"/>
  <c r="AC459" i="23" s="1"/>
  <c r="AD460" i="23" s="1"/>
  <c r="AE461" i="23" s="1"/>
  <c r="AA32" i="23"/>
  <c r="AB33" i="23" s="1"/>
  <c r="AC34" i="23" s="1"/>
  <c r="AD35" i="23" s="1"/>
  <c r="AE36" i="23" s="1"/>
  <c r="K89" i="23"/>
  <c r="K293" i="23"/>
  <c r="L294" i="23" s="1"/>
  <c r="M295" i="23" s="1"/>
  <c r="N296" i="23" s="1"/>
  <c r="O297" i="23" s="1"/>
  <c r="P298" i="23" s="1"/>
  <c r="Q299" i="23" s="1"/>
  <c r="R300" i="23" s="1"/>
  <c r="S301" i="23" s="1"/>
  <c r="T302" i="23" s="1"/>
  <c r="U303" i="23" s="1"/>
  <c r="V304" i="23" s="1"/>
  <c r="W305" i="23" s="1"/>
  <c r="X306" i="23" s="1"/>
  <c r="Y307" i="23" s="1"/>
  <c r="Z308" i="23" s="1"/>
  <c r="AA309" i="23" s="1"/>
  <c r="AB310" i="23" s="1"/>
  <c r="AC311" i="23" s="1"/>
  <c r="AD312" i="23" s="1"/>
  <c r="AE313" i="23" s="1"/>
  <c r="N118" i="23"/>
  <c r="O119" i="23" s="1"/>
  <c r="P120" i="23" s="1"/>
  <c r="Q121" i="23" s="1"/>
  <c r="R122" i="23" s="1"/>
  <c r="S123" i="23" s="1"/>
  <c r="T124" i="23" s="1"/>
  <c r="U125" i="23" s="1"/>
  <c r="V126" i="23" s="1"/>
  <c r="W127" i="23" s="1"/>
  <c r="X128" i="23" s="1"/>
  <c r="Y129" i="23" s="1"/>
  <c r="Z130" i="23" s="1"/>
  <c r="AA131" i="23" s="1"/>
  <c r="AB132" i="23" s="1"/>
  <c r="AC133" i="23" s="1"/>
  <c r="AD134" i="23" s="1"/>
  <c r="AE135" i="23" s="1"/>
  <c r="I147" i="23"/>
  <c r="Y147" i="23"/>
  <c r="L176" i="23"/>
  <c r="M177" i="23" s="1"/>
  <c r="N178" i="23" s="1"/>
  <c r="O179" i="23" s="1"/>
  <c r="P180" i="23" s="1"/>
  <c r="Q181" i="23" s="1"/>
  <c r="R182" i="23" s="1"/>
  <c r="S183" i="23" s="1"/>
  <c r="T184" i="23" s="1"/>
  <c r="U185" i="23" s="1"/>
  <c r="V186" i="23" s="1"/>
  <c r="W187" i="23" s="1"/>
  <c r="X188" i="23" s="1"/>
  <c r="Y189" i="23" s="1"/>
  <c r="Z190" i="23" s="1"/>
  <c r="AA191" i="23" s="1"/>
  <c r="AB192" i="23" s="1"/>
  <c r="AC193" i="23" s="1"/>
  <c r="AD194" i="23" s="1"/>
  <c r="AE195" i="23" s="1"/>
  <c r="AB176" i="23"/>
  <c r="AC177" i="23" s="1"/>
  <c r="AD178" i="23" s="1"/>
  <c r="AE179" i="23" s="1"/>
  <c r="R205" i="23"/>
  <c r="J234" i="23"/>
  <c r="M322" i="23"/>
  <c r="L351" i="23"/>
  <c r="M352" i="23" s="1"/>
  <c r="N353" i="23" s="1"/>
  <c r="O354" i="23" s="1"/>
  <c r="P355" i="23" s="1"/>
  <c r="Q356" i="23" s="1"/>
  <c r="R357" i="23" s="1"/>
  <c r="S358" i="23" s="1"/>
  <c r="T359" i="23" s="1"/>
  <c r="U360" i="23" s="1"/>
  <c r="V361" i="23" s="1"/>
  <c r="W362" i="23" s="1"/>
  <c r="X363" i="23" s="1"/>
  <c r="Y364" i="23" s="1"/>
  <c r="Z365" i="23" s="1"/>
  <c r="AA366" i="23" s="1"/>
  <c r="AB367" i="23" s="1"/>
  <c r="AC368" i="23" s="1"/>
  <c r="AD369" i="23" s="1"/>
  <c r="AE370" i="23" s="1"/>
  <c r="AB351" i="23"/>
  <c r="I409" i="23"/>
  <c r="J410" i="23" s="1"/>
  <c r="K411" i="23" s="1"/>
  <c r="L412" i="23" s="1"/>
  <c r="M413" i="23" s="1"/>
  <c r="N414" i="23" s="1"/>
  <c r="O415" i="23" s="1"/>
  <c r="P416" i="23" s="1"/>
  <c r="Q417" i="23" s="1"/>
  <c r="R418" i="23" s="1"/>
  <c r="S419" i="23" s="1"/>
  <c r="T420" i="23" s="1"/>
  <c r="U421" i="23" s="1"/>
  <c r="V422" i="23" s="1"/>
  <c r="W423" i="23" s="1"/>
  <c r="X424" i="23" s="1"/>
  <c r="Y425" i="23" s="1"/>
  <c r="Z426" i="23" s="1"/>
  <c r="AA427" i="23" s="1"/>
  <c r="AB428" i="23" s="1"/>
  <c r="AC429" i="23" s="1"/>
  <c r="AD430" i="23" s="1"/>
  <c r="AE431" i="23" s="1"/>
  <c r="G466" i="23"/>
  <c r="H467" i="23" s="1"/>
  <c r="I468" i="23" s="1"/>
  <c r="J469" i="23" s="1"/>
  <c r="K470" i="23" s="1"/>
  <c r="L471" i="23" s="1"/>
  <c r="M472" i="23" s="1"/>
  <c r="N473" i="23" s="1"/>
  <c r="O474" i="23" s="1"/>
  <c r="P475" i="23" s="1"/>
  <c r="Q476" i="23" s="1"/>
  <c r="R477" i="23" s="1"/>
  <c r="S478" i="23" s="1"/>
  <c r="T479" i="23" s="1"/>
  <c r="U480" i="23" s="1"/>
  <c r="V481" i="23" s="1"/>
  <c r="W482" i="23" s="1"/>
  <c r="X483" i="23" s="1"/>
  <c r="Y484" i="23" s="1"/>
  <c r="Z485" i="23" s="1"/>
  <c r="AA486" i="23" s="1"/>
  <c r="AB487" i="23" s="1"/>
  <c r="AC488" i="23" s="1"/>
  <c r="AD489" i="23" s="1"/>
  <c r="AE490" i="23" s="1"/>
  <c r="K466" i="23"/>
  <c r="L467" i="23" s="1"/>
  <c r="M468" i="23" s="1"/>
  <c r="N469" i="23" s="1"/>
  <c r="O470" i="23" s="1"/>
  <c r="P471" i="23" s="1"/>
  <c r="Q472" i="23" s="1"/>
  <c r="R473" i="23" s="1"/>
  <c r="S474" i="23" s="1"/>
  <c r="T475" i="23" s="1"/>
  <c r="U476" i="23" s="1"/>
  <c r="V477" i="23" s="1"/>
  <c r="W478" i="23" s="1"/>
  <c r="X479" i="23" s="1"/>
  <c r="Y480" i="23" s="1"/>
  <c r="Z481" i="23" s="1"/>
  <c r="AA482" i="23" s="1"/>
  <c r="AB483" i="23" s="1"/>
  <c r="AC484" i="23" s="1"/>
  <c r="AD485" i="23" s="1"/>
  <c r="AE486" i="23" s="1"/>
  <c r="O466" i="23"/>
  <c r="P467" i="23" s="1"/>
  <c r="Q468" i="23" s="1"/>
  <c r="R469" i="23" s="1"/>
  <c r="S470" i="23" s="1"/>
  <c r="T471" i="23" s="1"/>
  <c r="U472" i="23" s="1"/>
  <c r="V473" i="23" s="1"/>
  <c r="W474" i="23" s="1"/>
  <c r="X475" i="23" s="1"/>
  <c r="Y476" i="23" s="1"/>
  <c r="Z477" i="23" s="1"/>
  <c r="AA478" i="23" s="1"/>
  <c r="AB479" i="23" s="1"/>
  <c r="AC480" i="23" s="1"/>
  <c r="AD481" i="23" s="1"/>
  <c r="AE482" i="23" s="1"/>
  <c r="S466" i="23"/>
  <c r="T467" i="23" s="1"/>
  <c r="U468" i="23" s="1"/>
  <c r="V469" i="23" s="1"/>
  <c r="W470" i="23" s="1"/>
  <c r="X471" i="23" s="1"/>
  <c r="Y472" i="23" s="1"/>
  <c r="Z473" i="23" s="1"/>
  <c r="AA474" i="23" s="1"/>
  <c r="AB475" i="23" s="1"/>
  <c r="AC476" i="23" s="1"/>
  <c r="AD477" i="23" s="1"/>
  <c r="AE478" i="23" s="1"/>
  <c r="W466" i="23"/>
  <c r="X467" i="23" s="1"/>
  <c r="Y468" i="23" s="1"/>
  <c r="Z469" i="23" s="1"/>
  <c r="AA470" i="23" s="1"/>
  <c r="AB471" i="23" s="1"/>
  <c r="AC472" i="23" s="1"/>
  <c r="AD473" i="23" s="1"/>
  <c r="AE474" i="23" s="1"/>
  <c r="AA466" i="23"/>
  <c r="AB467" i="23" s="1"/>
  <c r="AC468" i="23" s="1"/>
  <c r="AD469" i="23" s="1"/>
  <c r="AE470" i="23" s="1"/>
  <c r="F31" i="23"/>
  <c r="V31" i="23"/>
  <c r="O60" i="23"/>
  <c r="G118" i="23"/>
  <c r="H119" i="23" s="1"/>
  <c r="I120" i="23" s="1"/>
  <c r="J121" i="23" s="1"/>
  <c r="K122" i="23" s="1"/>
  <c r="L123" i="23" s="1"/>
  <c r="M124" i="23" s="1"/>
  <c r="N125" i="23" s="1"/>
  <c r="O126" i="23" s="1"/>
  <c r="P127" i="23" s="1"/>
  <c r="Q128" i="23" s="1"/>
  <c r="R129" i="23" s="1"/>
  <c r="S130" i="23" s="1"/>
  <c r="T131" i="23" s="1"/>
  <c r="U132" i="23" s="1"/>
  <c r="V133" i="23" s="1"/>
  <c r="W134" i="23" s="1"/>
  <c r="X135" i="23" s="1"/>
  <c r="Y136" i="23" s="1"/>
  <c r="Z137" i="23" s="1"/>
  <c r="AA138" i="23" s="1"/>
  <c r="AB139" i="23" s="1"/>
  <c r="AC140" i="23" s="1"/>
  <c r="AD141" i="23" s="1"/>
  <c r="AE142" i="23" s="1"/>
  <c r="K118" i="23"/>
  <c r="L119" i="23" s="1"/>
  <c r="M120" i="23" s="1"/>
  <c r="N121" i="23" s="1"/>
  <c r="O122" i="23" s="1"/>
  <c r="P123" i="23" s="1"/>
  <c r="Q124" i="23" s="1"/>
  <c r="R125" i="23" s="1"/>
  <c r="S126" i="23" s="1"/>
  <c r="T127" i="23" s="1"/>
  <c r="U128" i="23" s="1"/>
  <c r="V129" i="23" s="1"/>
  <c r="W130" i="23" s="1"/>
  <c r="X131" i="23" s="1"/>
  <c r="Y132" i="23" s="1"/>
  <c r="Z133" i="23" s="1"/>
  <c r="AA134" i="23" s="1"/>
  <c r="AB135" i="23" s="1"/>
  <c r="AC136" i="23" s="1"/>
  <c r="AD137" i="23" s="1"/>
  <c r="AE138" i="23" s="1"/>
  <c r="O118" i="23"/>
  <c r="S118" i="23"/>
  <c r="W118" i="23"/>
  <c r="X119" i="23" s="1"/>
  <c r="Y120" i="23" s="1"/>
  <c r="Z121" i="23" s="1"/>
  <c r="AA122" i="23" s="1"/>
  <c r="AB123" i="23" s="1"/>
  <c r="AC124" i="23" s="1"/>
  <c r="AD125" i="23" s="1"/>
  <c r="AE126" i="23" s="1"/>
  <c r="AA118" i="23"/>
  <c r="AB119" i="23" s="1"/>
  <c r="AC120" i="23" s="1"/>
  <c r="AD121" i="23" s="1"/>
  <c r="AE122" i="23" s="1"/>
  <c r="J118" i="23"/>
  <c r="K119" i="23" s="1"/>
  <c r="L120" i="23" s="1"/>
  <c r="M121" i="23" s="1"/>
  <c r="N122" i="23" s="1"/>
  <c r="O123" i="23" s="1"/>
  <c r="P124" i="23" s="1"/>
  <c r="Q125" i="23" s="1"/>
  <c r="R126" i="23" s="1"/>
  <c r="S127" i="23" s="1"/>
  <c r="T128" i="23" s="1"/>
  <c r="U129" i="23" s="1"/>
  <c r="V130" i="23" s="1"/>
  <c r="W131" i="23" s="1"/>
  <c r="X132" i="23" s="1"/>
  <c r="Y133" i="23" s="1"/>
  <c r="Z134" i="23" s="1"/>
  <c r="AA135" i="23" s="1"/>
  <c r="AB136" i="23" s="1"/>
  <c r="AC137" i="23" s="1"/>
  <c r="AD138" i="23" s="1"/>
  <c r="AE139" i="23" s="1"/>
  <c r="Z118" i="23"/>
  <c r="AA119" i="23" s="1"/>
  <c r="AB120" i="23" s="1"/>
  <c r="AC121" i="23" s="1"/>
  <c r="AD122" i="23" s="1"/>
  <c r="AE123" i="23" s="1"/>
  <c r="E147" i="23"/>
  <c r="U147" i="23"/>
  <c r="E176" i="23"/>
  <c r="I176" i="23"/>
  <c r="J177" i="23" s="1"/>
  <c r="K178" i="23" s="1"/>
  <c r="L179" i="23" s="1"/>
  <c r="M180" i="23" s="1"/>
  <c r="N181" i="23" s="1"/>
  <c r="O182" i="23" s="1"/>
  <c r="P183" i="23" s="1"/>
  <c r="Q184" i="23" s="1"/>
  <c r="R185" i="23" s="1"/>
  <c r="S186" i="23" s="1"/>
  <c r="T187" i="23" s="1"/>
  <c r="U188" i="23" s="1"/>
  <c r="V189" i="23" s="1"/>
  <c r="W190" i="23" s="1"/>
  <c r="X191" i="23" s="1"/>
  <c r="Y192" i="23" s="1"/>
  <c r="Z193" i="23" s="1"/>
  <c r="AA194" i="23" s="1"/>
  <c r="AB195" i="23" s="1"/>
  <c r="AC196" i="23" s="1"/>
  <c r="AD197" i="23" s="1"/>
  <c r="AE198" i="23" s="1"/>
  <c r="M176" i="23"/>
  <c r="N177" i="23" s="1"/>
  <c r="O178" i="23" s="1"/>
  <c r="P179" i="23" s="1"/>
  <c r="Q180" i="23" s="1"/>
  <c r="R181" i="23" s="1"/>
  <c r="S182" i="23" s="1"/>
  <c r="T183" i="23" s="1"/>
  <c r="U184" i="23" s="1"/>
  <c r="V185" i="23" s="1"/>
  <c r="W186" i="23" s="1"/>
  <c r="X187" i="23" s="1"/>
  <c r="Y188" i="23" s="1"/>
  <c r="Z189" i="23" s="1"/>
  <c r="AA190" i="23" s="1"/>
  <c r="AB191" i="23" s="1"/>
  <c r="AC192" i="23" s="1"/>
  <c r="AD193" i="23" s="1"/>
  <c r="AE194" i="23" s="1"/>
  <c r="Q176" i="23"/>
  <c r="U176" i="23"/>
  <c r="Y176" i="23"/>
  <c r="Z177" i="23" s="1"/>
  <c r="AA178" i="23" s="1"/>
  <c r="AB179" i="23" s="1"/>
  <c r="AC180" i="23" s="1"/>
  <c r="AD181" i="23" s="1"/>
  <c r="AE182" i="23" s="1"/>
  <c r="H176" i="23"/>
  <c r="X176" i="23"/>
  <c r="Y177" i="23" s="1"/>
  <c r="Z178" i="23" s="1"/>
  <c r="AA179" i="23" s="1"/>
  <c r="AB180" i="23" s="1"/>
  <c r="AC181" i="23" s="1"/>
  <c r="AD182" i="23" s="1"/>
  <c r="AE183" i="23" s="1"/>
  <c r="AA205" i="23"/>
  <c r="F234" i="23"/>
  <c r="V292" i="23"/>
  <c r="T321" i="23"/>
  <c r="R31" i="23"/>
  <c r="K60" i="23"/>
  <c r="AA60" i="23"/>
  <c r="M89" i="23"/>
  <c r="N90" i="23" s="1"/>
  <c r="O91" i="23" s="1"/>
  <c r="P92" i="23" s="1"/>
  <c r="Q93" i="23" s="1"/>
  <c r="R94" i="23" s="1"/>
  <c r="S95" i="23" s="1"/>
  <c r="T96" i="23" s="1"/>
  <c r="U97" i="23" s="1"/>
  <c r="V98" i="23" s="1"/>
  <c r="W99" i="23" s="1"/>
  <c r="X100" i="23" s="1"/>
  <c r="Y101" i="23" s="1"/>
  <c r="Z102" i="23" s="1"/>
  <c r="AA103" i="23" s="1"/>
  <c r="AB104" i="23" s="1"/>
  <c r="AC105" i="23" s="1"/>
  <c r="AD106" i="23" s="1"/>
  <c r="AE107" i="23" s="1"/>
  <c r="F118" i="23"/>
  <c r="L118" i="23"/>
  <c r="V118" i="23"/>
  <c r="W119" i="23" s="1"/>
  <c r="X120" i="23" s="1"/>
  <c r="Y121" i="23" s="1"/>
  <c r="Z122" i="23" s="1"/>
  <c r="AA123" i="23" s="1"/>
  <c r="AB124" i="23" s="1"/>
  <c r="AC125" i="23" s="1"/>
  <c r="AD126" i="23" s="1"/>
  <c r="AE127" i="23" s="1"/>
  <c r="AB118" i="23"/>
  <c r="AC119" i="23" s="1"/>
  <c r="AD120" i="23" s="1"/>
  <c r="AE121" i="23" s="1"/>
  <c r="K147" i="23"/>
  <c r="Q147" i="23"/>
  <c r="AA147" i="23"/>
  <c r="AB148" i="23" s="1"/>
  <c r="AC149" i="23" s="1"/>
  <c r="AD150" i="23" s="1"/>
  <c r="AE151" i="23" s="1"/>
  <c r="C170" i="23"/>
  <c r="J176" i="23"/>
  <c r="T176" i="23"/>
  <c r="U177" i="23" s="1"/>
  <c r="V178" i="23" s="1"/>
  <c r="W179" i="23" s="1"/>
  <c r="X180" i="23" s="1"/>
  <c r="Y181" i="23" s="1"/>
  <c r="Z182" i="23" s="1"/>
  <c r="AA183" i="23" s="1"/>
  <c r="AB184" i="23" s="1"/>
  <c r="AC185" i="23" s="1"/>
  <c r="AD186" i="23" s="1"/>
  <c r="AE187" i="23" s="1"/>
  <c r="Z176" i="23"/>
  <c r="G205" i="23"/>
  <c r="H206" i="23" s="1"/>
  <c r="W205" i="23"/>
  <c r="X206" i="23" s="1"/>
  <c r="Y207" i="23" s="1"/>
  <c r="Z208" i="23" s="1"/>
  <c r="AA209" i="23" s="1"/>
  <c r="AB210" i="23" s="1"/>
  <c r="AC211" i="23" s="1"/>
  <c r="AD212" i="23" s="1"/>
  <c r="AE213" i="23" s="1"/>
  <c r="S292" i="23"/>
  <c r="T293" i="23" s="1"/>
  <c r="U294" i="23" s="1"/>
  <c r="V295" i="23" s="1"/>
  <c r="W296" i="23" s="1"/>
  <c r="X297" i="23" s="1"/>
  <c r="Y298" i="23" s="1"/>
  <c r="Z299" i="23" s="1"/>
  <c r="AA300" i="23" s="1"/>
  <c r="AB301" i="23" s="1"/>
  <c r="AC302" i="23" s="1"/>
  <c r="AD303" i="23" s="1"/>
  <c r="AE304" i="23" s="1"/>
  <c r="H321" i="23"/>
  <c r="AB321" i="23"/>
  <c r="AC322" i="23" s="1"/>
  <c r="AD323" i="23" s="1"/>
  <c r="AE324" i="23" s="1"/>
  <c r="Q322" i="23"/>
  <c r="R323" i="23" s="1"/>
  <c r="S324" i="23" s="1"/>
  <c r="T325" i="23" s="1"/>
  <c r="U326" i="23" s="1"/>
  <c r="V327" i="23" s="1"/>
  <c r="W328" i="23" s="1"/>
  <c r="X329" i="23" s="1"/>
  <c r="Y330" i="23" s="1"/>
  <c r="Z331" i="23" s="1"/>
  <c r="AA332" i="23" s="1"/>
  <c r="AB333" i="23" s="1"/>
  <c r="AC334" i="23" s="1"/>
  <c r="AD335" i="23" s="1"/>
  <c r="AE336" i="23" s="1"/>
  <c r="Y322" i="23"/>
  <c r="E350" i="23"/>
  <c r="F351" i="23" s="1"/>
  <c r="G352" i="23" s="1"/>
  <c r="H353" i="23" s="1"/>
  <c r="I354" i="23" s="1"/>
  <c r="J355" i="23" s="1"/>
  <c r="K356" i="23" s="1"/>
  <c r="L357" i="23" s="1"/>
  <c r="M358" i="23" s="1"/>
  <c r="N359" i="23" s="1"/>
  <c r="O360" i="23" s="1"/>
  <c r="P361" i="23" s="1"/>
  <c r="Q362" i="23" s="1"/>
  <c r="R363" i="23" s="1"/>
  <c r="S364" i="23" s="1"/>
  <c r="T365" i="23" s="1"/>
  <c r="U366" i="23" s="1"/>
  <c r="V367" i="23" s="1"/>
  <c r="W368" i="23" s="1"/>
  <c r="X369" i="23" s="1"/>
  <c r="Y370" i="23" s="1"/>
  <c r="Z371" i="23" s="1"/>
  <c r="AA372" i="23" s="1"/>
  <c r="AB373" i="23" s="1"/>
  <c r="AC374" i="23" s="1"/>
  <c r="I350" i="23"/>
  <c r="U350" i="23"/>
  <c r="V351" i="23" s="1"/>
  <c r="W352" i="23" s="1"/>
  <c r="X353" i="23" s="1"/>
  <c r="Y354" i="23" s="1"/>
  <c r="Z355" i="23" s="1"/>
  <c r="AA356" i="23" s="1"/>
  <c r="AB357" i="23" s="1"/>
  <c r="AC358" i="23" s="1"/>
  <c r="AD359" i="23" s="1"/>
  <c r="AE360" i="23" s="1"/>
  <c r="Y350" i="23"/>
  <c r="Z351" i="23" s="1"/>
  <c r="AA352" i="23" s="1"/>
  <c r="AB353" i="23" s="1"/>
  <c r="AC354" i="23" s="1"/>
  <c r="AD355" i="23" s="1"/>
  <c r="AE356" i="23" s="1"/>
  <c r="Q350" i="23"/>
  <c r="R351" i="23" s="1"/>
  <c r="S352" i="23" s="1"/>
  <c r="T353" i="23" s="1"/>
  <c r="U354" i="23" s="1"/>
  <c r="V355" i="23" s="1"/>
  <c r="W356" i="23" s="1"/>
  <c r="X357" i="23" s="1"/>
  <c r="Y358" i="23" s="1"/>
  <c r="Z359" i="23" s="1"/>
  <c r="AA360" i="23" s="1"/>
  <c r="AB361" i="23" s="1"/>
  <c r="AC362" i="23" s="1"/>
  <c r="AD363" i="23" s="1"/>
  <c r="AE364" i="23" s="1"/>
  <c r="L379" i="23"/>
  <c r="X379" i="23"/>
  <c r="Y380" i="23" s="1"/>
  <c r="Z381" i="23" s="1"/>
  <c r="AA382" i="23" s="1"/>
  <c r="AB383" i="23" s="1"/>
  <c r="AC384" i="23" s="1"/>
  <c r="AD385" i="23" s="1"/>
  <c r="AE386" i="23" s="1"/>
  <c r="AB379" i="23"/>
  <c r="AC380" i="23" s="1"/>
  <c r="AD381" i="23" s="1"/>
  <c r="AE382" i="23" s="1"/>
  <c r="P379" i="23"/>
  <c r="Q380" i="23" s="1"/>
  <c r="O381" i="23"/>
  <c r="P382" i="23" s="1"/>
  <c r="Q383" i="23" s="1"/>
  <c r="R384" i="23" s="1"/>
  <c r="S385" i="23" s="1"/>
  <c r="T386" i="23" s="1"/>
  <c r="U387" i="23" s="1"/>
  <c r="V388" i="23" s="1"/>
  <c r="W389" i="23" s="1"/>
  <c r="X390" i="23" s="1"/>
  <c r="Y391" i="23" s="1"/>
  <c r="Z392" i="23" s="1"/>
  <c r="AA393" i="23" s="1"/>
  <c r="AB394" i="23" s="1"/>
  <c r="AC395" i="23" s="1"/>
  <c r="AD396" i="23" s="1"/>
  <c r="AE397" i="23" s="1"/>
  <c r="W380" i="23"/>
  <c r="X381" i="23" s="1"/>
  <c r="F408" i="23"/>
  <c r="G409" i="23" s="1"/>
  <c r="H410" i="23" s="1"/>
  <c r="I411" i="23" s="1"/>
  <c r="J412" i="23" s="1"/>
  <c r="K413" i="23" s="1"/>
  <c r="L414" i="23" s="1"/>
  <c r="M415" i="23" s="1"/>
  <c r="N416" i="23" s="1"/>
  <c r="O417" i="23" s="1"/>
  <c r="P418" i="23" s="1"/>
  <c r="Q419" i="23" s="1"/>
  <c r="R420" i="23" s="1"/>
  <c r="S421" i="23" s="1"/>
  <c r="T422" i="23" s="1"/>
  <c r="U423" i="23" s="1"/>
  <c r="V424" i="23" s="1"/>
  <c r="W425" i="23" s="1"/>
  <c r="X426" i="23" s="1"/>
  <c r="Y427" i="23" s="1"/>
  <c r="Z428" i="23" s="1"/>
  <c r="AA429" i="23" s="1"/>
  <c r="AB430" i="23" s="1"/>
  <c r="AC431" i="23" s="1"/>
  <c r="AD432" i="23" s="1"/>
  <c r="J408" i="23"/>
  <c r="R408" i="23"/>
  <c r="Z408" i="23"/>
  <c r="AA409" i="23" s="1"/>
  <c r="AB410" i="23" s="1"/>
  <c r="AC411" i="23" s="1"/>
  <c r="AD412" i="23" s="1"/>
  <c r="AE413" i="23" s="1"/>
  <c r="H31" i="23"/>
  <c r="I32" i="23" s="1"/>
  <c r="J33" i="23" s="1"/>
  <c r="K34" i="23" s="1"/>
  <c r="L35" i="23" s="1"/>
  <c r="M36" i="23" s="1"/>
  <c r="N37" i="23" s="1"/>
  <c r="O38" i="23" s="1"/>
  <c r="P39" i="23" s="1"/>
  <c r="Q40" i="23" s="1"/>
  <c r="R41" i="23" s="1"/>
  <c r="S42" i="23" s="1"/>
  <c r="T43" i="23" s="1"/>
  <c r="U44" i="23" s="1"/>
  <c r="V45" i="23" s="1"/>
  <c r="W46" i="23" s="1"/>
  <c r="X47" i="23" s="1"/>
  <c r="Y48" i="23" s="1"/>
  <c r="Z49" i="23" s="1"/>
  <c r="AA50" i="23" s="1"/>
  <c r="AB51" i="23" s="1"/>
  <c r="AC52" i="23" s="1"/>
  <c r="AD53" i="23" s="1"/>
  <c r="AE54" i="23" s="1"/>
  <c r="L31" i="23"/>
  <c r="M32" i="23" s="1"/>
  <c r="N33" i="23" s="1"/>
  <c r="O34" i="23" s="1"/>
  <c r="P35" i="23" s="1"/>
  <c r="Q36" i="23" s="1"/>
  <c r="R37" i="23" s="1"/>
  <c r="S38" i="23" s="1"/>
  <c r="T39" i="23" s="1"/>
  <c r="U40" i="23" s="1"/>
  <c r="V41" i="23" s="1"/>
  <c r="W42" i="23" s="1"/>
  <c r="X43" i="23" s="1"/>
  <c r="Y44" i="23" s="1"/>
  <c r="Z45" i="23" s="1"/>
  <c r="AA46" i="23" s="1"/>
  <c r="AB47" i="23" s="1"/>
  <c r="AC48" i="23" s="1"/>
  <c r="AD49" i="23" s="1"/>
  <c r="AE50" i="23" s="1"/>
  <c r="P31" i="23"/>
  <c r="Q32" i="23" s="1"/>
  <c r="R33" i="23" s="1"/>
  <c r="S34" i="23" s="1"/>
  <c r="T35" i="23" s="1"/>
  <c r="U36" i="23" s="1"/>
  <c r="V37" i="23" s="1"/>
  <c r="W38" i="23" s="1"/>
  <c r="X39" i="23" s="1"/>
  <c r="Y40" i="23" s="1"/>
  <c r="Z41" i="23" s="1"/>
  <c r="AA42" i="23" s="1"/>
  <c r="AB43" i="23" s="1"/>
  <c r="AC44" i="23" s="1"/>
  <c r="AD45" i="23" s="1"/>
  <c r="AE46" i="23" s="1"/>
  <c r="T31" i="23"/>
  <c r="U32" i="23" s="1"/>
  <c r="V33" i="23" s="1"/>
  <c r="W34" i="23" s="1"/>
  <c r="X35" i="23" s="1"/>
  <c r="Y36" i="23" s="1"/>
  <c r="Z37" i="23" s="1"/>
  <c r="AA38" i="23" s="1"/>
  <c r="AB39" i="23" s="1"/>
  <c r="AC40" i="23" s="1"/>
  <c r="AD41" i="23" s="1"/>
  <c r="AE42" i="23" s="1"/>
  <c r="X31" i="23"/>
  <c r="Y32" i="23" s="1"/>
  <c r="Z33" i="23" s="1"/>
  <c r="AA34" i="23" s="1"/>
  <c r="AB35" i="23" s="1"/>
  <c r="AC36" i="23" s="1"/>
  <c r="AD37" i="23" s="1"/>
  <c r="AE38" i="23" s="1"/>
  <c r="AB31" i="23"/>
  <c r="AC32" i="23" s="1"/>
  <c r="AD33" i="23" s="1"/>
  <c r="AE34" i="23" s="1"/>
  <c r="E60" i="23"/>
  <c r="F61" i="23" s="1"/>
  <c r="G62" i="23" s="1"/>
  <c r="H63" i="23" s="1"/>
  <c r="I64" i="23" s="1"/>
  <c r="J65" i="23" s="1"/>
  <c r="K66" i="23" s="1"/>
  <c r="L67" i="23" s="1"/>
  <c r="M68" i="23" s="1"/>
  <c r="N69" i="23" s="1"/>
  <c r="O70" i="23" s="1"/>
  <c r="P71" i="23" s="1"/>
  <c r="Q72" i="23" s="1"/>
  <c r="R73" i="23" s="1"/>
  <c r="S74" i="23" s="1"/>
  <c r="T75" i="23" s="1"/>
  <c r="U76" i="23" s="1"/>
  <c r="V77" i="23" s="1"/>
  <c r="W78" i="23" s="1"/>
  <c r="X79" i="23" s="1"/>
  <c r="Y80" i="23" s="1"/>
  <c r="Z81" i="23" s="1"/>
  <c r="AA82" i="23" s="1"/>
  <c r="AB83" i="23" s="1"/>
  <c r="AC84" i="23" s="1"/>
  <c r="I60" i="23"/>
  <c r="J61" i="23" s="1"/>
  <c r="K62" i="23" s="1"/>
  <c r="L63" i="23" s="1"/>
  <c r="M64" i="23" s="1"/>
  <c r="N65" i="23" s="1"/>
  <c r="O66" i="23" s="1"/>
  <c r="P67" i="23" s="1"/>
  <c r="Q68" i="23" s="1"/>
  <c r="R69" i="23" s="1"/>
  <c r="S70" i="23" s="1"/>
  <c r="T71" i="23" s="1"/>
  <c r="U72" i="23" s="1"/>
  <c r="V73" i="23" s="1"/>
  <c r="W74" i="23" s="1"/>
  <c r="X75" i="23" s="1"/>
  <c r="Y76" i="23" s="1"/>
  <c r="Z77" i="23" s="1"/>
  <c r="AA78" i="23" s="1"/>
  <c r="AB79" i="23" s="1"/>
  <c r="AC80" i="23" s="1"/>
  <c r="AD81" i="23" s="1"/>
  <c r="AE82" i="23" s="1"/>
  <c r="M60" i="23"/>
  <c r="N61" i="23" s="1"/>
  <c r="O62" i="23" s="1"/>
  <c r="P63" i="23" s="1"/>
  <c r="Q64" i="23" s="1"/>
  <c r="R65" i="23" s="1"/>
  <c r="S66" i="23" s="1"/>
  <c r="T67" i="23" s="1"/>
  <c r="U68" i="23" s="1"/>
  <c r="V69" i="23" s="1"/>
  <c r="W70" i="23" s="1"/>
  <c r="X71" i="23" s="1"/>
  <c r="Y72" i="23" s="1"/>
  <c r="Z73" i="23" s="1"/>
  <c r="AA74" i="23" s="1"/>
  <c r="AB75" i="23" s="1"/>
  <c r="AC76" i="23" s="1"/>
  <c r="AD77" i="23" s="1"/>
  <c r="AE78" i="23" s="1"/>
  <c r="Q60" i="23"/>
  <c r="R61" i="23" s="1"/>
  <c r="S62" i="23" s="1"/>
  <c r="T63" i="23" s="1"/>
  <c r="U64" i="23" s="1"/>
  <c r="V65" i="23" s="1"/>
  <c r="W66" i="23" s="1"/>
  <c r="X67" i="23" s="1"/>
  <c r="Y68" i="23" s="1"/>
  <c r="Z69" i="23" s="1"/>
  <c r="AA70" i="23" s="1"/>
  <c r="AB71" i="23" s="1"/>
  <c r="AC72" i="23" s="1"/>
  <c r="AD73" i="23" s="1"/>
  <c r="AE74" i="23" s="1"/>
  <c r="U60" i="23"/>
  <c r="V61" i="23" s="1"/>
  <c r="W62" i="23" s="1"/>
  <c r="X63" i="23" s="1"/>
  <c r="Y64" i="23" s="1"/>
  <c r="Z65" i="23" s="1"/>
  <c r="AA66" i="23" s="1"/>
  <c r="AB67" i="23" s="1"/>
  <c r="AC68" i="23" s="1"/>
  <c r="AD69" i="23" s="1"/>
  <c r="AE70" i="23" s="1"/>
  <c r="Y60" i="23"/>
  <c r="Z61" i="23" s="1"/>
  <c r="AA62" i="23" s="1"/>
  <c r="AB63" i="23" s="1"/>
  <c r="AC64" i="23" s="1"/>
  <c r="AD65" i="23" s="1"/>
  <c r="AE66" i="23" s="1"/>
  <c r="F89" i="23"/>
  <c r="G90" i="23" s="1"/>
  <c r="H91" i="23" s="1"/>
  <c r="I92" i="23" s="1"/>
  <c r="J93" i="23" s="1"/>
  <c r="K94" i="23" s="1"/>
  <c r="L95" i="23" s="1"/>
  <c r="M96" i="23" s="1"/>
  <c r="N97" i="23" s="1"/>
  <c r="O98" i="23" s="1"/>
  <c r="P99" i="23" s="1"/>
  <c r="Q100" i="23" s="1"/>
  <c r="R101" i="23" s="1"/>
  <c r="S102" i="23" s="1"/>
  <c r="T103" i="23" s="1"/>
  <c r="U104" i="23" s="1"/>
  <c r="V105" i="23" s="1"/>
  <c r="W106" i="23" s="1"/>
  <c r="X107" i="23" s="1"/>
  <c r="Y108" i="23" s="1"/>
  <c r="Z109" i="23" s="1"/>
  <c r="AA110" i="23" s="1"/>
  <c r="AB111" i="23" s="1"/>
  <c r="AC112" i="23" s="1"/>
  <c r="AD113" i="23" s="1"/>
  <c r="J89" i="23"/>
  <c r="K90" i="23" s="1"/>
  <c r="L91" i="23" s="1"/>
  <c r="M92" i="23" s="1"/>
  <c r="N93" i="23" s="1"/>
  <c r="O94" i="23" s="1"/>
  <c r="P95" i="23" s="1"/>
  <c r="Q96" i="23" s="1"/>
  <c r="R97" i="23" s="1"/>
  <c r="S98" i="23" s="1"/>
  <c r="T99" i="23" s="1"/>
  <c r="U100" i="23" s="1"/>
  <c r="V101" i="23" s="1"/>
  <c r="W102" i="23" s="1"/>
  <c r="X103" i="23" s="1"/>
  <c r="Y104" i="23" s="1"/>
  <c r="Z105" i="23" s="1"/>
  <c r="AA106" i="23" s="1"/>
  <c r="AB107" i="23" s="1"/>
  <c r="AC108" i="23" s="1"/>
  <c r="AD109" i="23" s="1"/>
  <c r="AE110" i="23" s="1"/>
  <c r="N89" i="23"/>
  <c r="O90" i="23" s="1"/>
  <c r="P91" i="23" s="1"/>
  <c r="Q92" i="23" s="1"/>
  <c r="R93" i="23" s="1"/>
  <c r="S94" i="23" s="1"/>
  <c r="T95" i="23" s="1"/>
  <c r="U96" i="23" s="1"/>
  <c r="V97" i="23" s="1"/>
  <c r="W98" i="23" s="1"/>
  <c r="X99" i="23" s="1"/>
  <c r="Y100" i="23" s="1"/>
  <c r="Z101" i="23" s="1"/>
  <c r="AA102" i="23" s="1"/>
  <c r="AB103" i="23" s="1"/>
  <c r="AC104" i="23" s="1"/>
  <c r="AD105" i="23" s="1"/>
  <c r="AE106" i="23" s="1"/>
  <c r="R89" i="23"/>
  <c r="S90" i="23" s="1"/>
  <c r="T91" i="23" s="1"/>
  <c r="U92" i="23" s="1"/>
  <c r="V93" i="23" s="1"/>
  <c r="W94" i="23" s="1"/>
  <c r="X95" i="23" s="1"/>
  <c r="Y96" i="23" s="1"/>
  <c r="Z97" i="23" s="1"/>
  <c r="AA98" i="23" s="1"/>
  <c r="AB99" i="23" s="1"/>
  <c r="AC100" i="23" s="1"/>
  <c r="AD101" i="23" s="1"/>
  <c r="AE102" i="23" s="1"/>
  <c r="V89" i="23"/>
  <c r="W90" i="23" s="1"/>
  <c r="X91" i="23" s="1"/>
  <c r="Y92" i="23" s="1"/>
  <c r="Z93" i="23" s="1"/>
  <c r="AA94" i="23" s="1"/>
  <c r="AB95" i="23" s="1"/>
  <c r="AC96" i="23" s="1"/>
  <c r="AD97" i="23" s="1"/>
  <c r="AE98" i="23" s="1"/>
  <c r="Z89" i="23"/>
  <c r="AA90" i="23" s="1"/>
  <c r="AB91" i="23" s="1"/>
  <c r="AC92" i="23" s="1"/>
  <c r="AD93" i="23" s="1"/>
  <c r="AE94" i="23" s="1"/>
  <c r="I89" i="23"/>
  <c r="Y89" i="23"/>
  <c r="Z90" i="23" s="1"/>
  <c r="AA91" i="23" s="1"/>
  <c r="AB92" i="23" s="1"/>
  <c r="AC93" i="23" s="1"/>
  <c r="AD94" i="23" s="1"/>
  <c r="AE95" i="23" s="1"/>
  <c r="H118" i="23"/>
  <c r="R118" i="23"/>
  <c r="S119" i="23" s="1"/>
  <c r="T120" i="23" s="1"/>
  <c r="U121" i="23" s="1"/>
  <c r="V122" i="23" s="1"/>
  <c r="W123" i="23" s="1"/>
  <c r="X124" i="23" s="1"/>
  <c r="Y125" i="23" s="1"/>
  <c r="Z126" i="23" s="1"/>
  <c r="AA127" i="23" s="1"/>
  <c r="AB128" i="23" s="1"/>
  <c r="AC129" i="23" s="1"/>
  <c r="AD130" i="23" s="1"/>
  <c r="AE131" i="23" s="1"/>
  <c r="X118" i="23"/>
  <c r="H147" i="23"/>
  <c r="I148" i="23" s="1"/>
  <c r="J149" i="23" s="1"/>
  <c r="K150" i="23" s="1"/>
  <c r="L151" i="23" s="1"/>
  <c r="M152" i="23" s="1"/>
  <c r="N153" i="23" s="1"/>
  <c r="O154" i="23" s="1"/>
  <c r="P155" i="23" s="1"/>
  <c r="Q156" i="23" s="1"/>
  <c r="R157" i="23" s="1"/>
  <c r="S158" i="23" s="1"/>
  <c r="T159" i="23" s="1"/>
  <c r="U160" i="23" s="1"/>
  <c r="V161" i="23" s="1"/>
  <c r="W162" i="23" s="1"/>
  <c r="X163" i="23" s="1"/>
  <c r="Y164" i="23" s="1"/>
  <c r="Z165" i="23" s="1"/>
  <c r="AA166" i="23" s="1"/>
  <c r="AB167" i="23" s="1"/>
  <c r="AC168" i="23" s="1"/>
  <c r="AD169" i="23" s="1"/>
  <c r="AE170" i="23" s="1"/>
  <c r="L147" i="23"/>
  <c r="M148" i="23" s="1"/>
  <c r="N149" i="23" s="1"/>
  <c r="O150" i="23" s="1"/>
  <c r="P151" i="23" s="1"/>
  <c r="Q152" i="23" s="1"/>
  <c r="R153" i="23" s="1"/>
  <c r="S154" i="23" s="1"/>
  <c r="T155" i="23" s="1"/>
  <c r="U156" i="23" s="1"/>
  <c r="V157" i="23" s="1"/>
  <c r="W158" i="23" s="1"/>
  <c r="X159" i="23" s="1"/>
  <c r="Y160" i="23" s="1"/>
  <c r="Z161" i="23" s="1"/>
  <c r="AA162" i="23" s="1"/>
  <c r="AB163" i="23" s="1"/>
  <c r="AC164" i="23" s="1"/>
  <c r="AD165" i="23" s="1"/>
  <c r="AE166" i="23" s="1"/>
  <c r="P147" i="23"/>
  <c r="Q148" i="23" s="1"/>
  <c r="R149" i="23" s="1"/>
  <c r="S150" i="23" s="1"/>
  <c r="T151" i="23" s="1"/>
  <c r="U152" i="23" s="1"/>
  <c r="V153" i="23" s="1"/>
  <c r="W154" i="23" s="1"/>
  <c r="X155" i="23" s="1"/>
  <c r="Y156" i="23" s="1"/>
  <c r="Z157" i="23" s="1"/>
  <c r="AA158" i="23" s="1"/>
  <c r="AB159" i="23" s="1"/>
  <c r="AC160" i="23" s="1"/>
  <c r="AD161" i="23" s="1"/>
  <c r="AE162" i="23" s="1"/>
  <c r="T147" i="23"/>
  <c r="U148" i="23" s="1"/>
  <c r="V149" i="23" s="1"/>
  <c r="W150" i="23" s="1"/>
  <c r="X151" i="23" s="1"/>
  <c r="Y152" i="23" s="1"/>
  <c r="Z153" i="23" s="1"/>
  <c r="AA154" i="23" s="1"/>
  <c r="AB155" i="23" s="1"/>
  <c r="AC156" i="23" s="1"/>
  <c r="AD157" i="23" s="1"/>
  <c r="AE158" i="23" s="1"/>
  <c r="X147" i="23"/>
  <c r="Y148" i="23" s="1"/>
  <c r="Z149" i="23" s="1"/>
  <c r="AA150" i="23" s="1"/>
  <c r="AB151" i="23" s="1"/>
  <c r="AC152" i="23" s="1"/>
  <c r="AD153" i="23" s="1"/>
  <c r="AE154" i="23" s="1"/>
  <c r="AB147" i="23"/>
  <c r="AC148" i="23" s="1"/>
  <c r="AD149" i="23" s="1"/>
  <c r="AE150" i="23" s="1"/>
  <c r="M205" i="23"/>
  <c r="N206" i="23" s="1"/>
  <c r="O207" i="23" s="1"/>
  <c r="P208" i="23" s="1"/>
  <c r="Q209" i="23" s="1"/>
  <c r="R210" i="23" s="1"/>
  <c r="S211" i="23" s="1"/>
  <c r="T212" i="23" s="1"/>
  <c r="U213" i="23" s="1"/>
  <c r="V214" i="23" s="1"/>
  <c r="W215" i="23" s="1"/>
  <c r="X216" i="23" s="1"/>
  <c r="Y217" i="23" s="1"/>
  <c r="Z218" i="23" s="1"/>
  <c r="AA219" i="23" s="1"/>
  <c r="AB220" i="23" s="1"/>
  <c r="AC221" i="23" s="1"/>
  <c r="AD222" i="23" s="1"/>
  <c r="AE223" i="23" s="1"/>
  <c r="E234" i="23"/>
  <c r="F235" i="23" s="1"/>
  <c r="G236" i="23" s="1"/>
  <c r="H237" i="23" s="1"/>
  <c r="I238" i="23" s="1"/>
  <c r="J239" i="23" s="1"/>
  <c r="K240" i="23" s="1"/>
  <c r="L241" i="23" s="1"/>
  <c r="M242" i="23" s="1"/>
  <c r="N243" i="23" s="1"/>
  <c r="O244" i="23" s="1"/>
  <c r="P245" i="23" s="1"/>
  <c r="Q246" i="23" s="1"/>
  <c r="R247" i="23" s="1"/>
  <c r="S248" i="23" s="1"/>
  <c r="T249" i="23" s="1"/>
  <c r="U250" i="23" s="1"/>
  <c r="V251" i="23" s="1"/>
  <c r="W252" i="23" s="1"/>
  <c r="X253" i="23" s="1"/>
  <c r="Y254" i="23" s="1"/>
  <c r="Z255" i="23" s="1"/>
  <c r="AA256" i="23" s="1"/>
  <c r="AB257" i="23" s="1"/>
  <c r="AC258" i="23" s="1"/>
  <c r="I234" i="23"/>
  <c r="M234" i="23"/>
  <c r="N235" i="23" s="1"/>
  <c r="O236" i="23" s="1"/>
  <c r="P237" i="23" s="1"/>
  <c r="Q238" i="23" s="1"/>
  <c r="R239" i="23" s="1"/>
  <c r="S240" i="23" s="1"/>
  <c r="T241" i="23" s="1"/>
  <c r="U242" i="23" s="1"/>
  <c r="V243" i="23" s="1"/>
  <c r="W244" i="23" s="1"/>
  <c r="X245" i="23" s="1"/>
  <c r="Y246" i="23" s="1"/>
  <c r="Z247" i="23" s="1"/>
  <c r="AA248" i="23" s="1"/>
  <c r="AB249" i="23" s="1"/>
  <c r="AC250" i="23" s="1"/>
  <c r="AD251" i="23" s="1"/>
  <c r="AE252" i="23" s="1"/>
  <c r="Q234" i="23"/>
  <c r="U234" i="23"/>
  <c r="V235" i="23" s="1"/>
  <c r="W236" i="23" s="1"/>
  <c r="X237" i="23" s="1"/>
  <c r="Y238" i="23" s="1"/>
  <c r="Z239" i="23" s="1"/>
  <c r="AA240" i="23" s="1"/>
  <c r="AB241" i="23" s="1"/>
  <c r="AC242" i="23" s="1"/>
  <c r="AD243" i="23" s="1"/>
  <c r="AE244" i="23" s="1"/>
  <c r="Y234" i="23"/>
  <c r="V234" i="23"/>
  <c r="H292" i="23"/>
  <c r="X292" i="23"/>
  <c r="T292" i="23"/>
  <c r="M350" i="23"/>
  <c r="N351" i="23" s="1"/>
  <c r="O352" i="23" s="1"/>
  <c r="P353" i="23" s="1"/>
  <c r="Q354" i="23" s="1"/>
  <c r="R355" i="23" s="1"/>
  <c r="S356" i="23" s="1"/>
  <c r="T357" i="23" s="1"/>
  <c r="U358" i="23" s="1"/>
  <c r="V359" i="23" s="1"/>
  <c r="W360" i="23" s="1"/>
  <c r="X361" i="23" s="1"/>
  <c r="Y362" i="23" s="1"/>
  <c r="Z363" i="23" s="1"/>
  <c r="AA364" i="23" s="1"/>
  <c r="AB365" i="23" s="1"/>
  <c r="AC366" i="23" s="1"/>
  <c r="AD367" i="23" s="1"/>
  <c r="AE368" i="23" s="1"/>
  <c r="V408" i="23"/>
  <c r="W409" i="23" s="1"/>
  <c r="X410" i="23" s="1"/>
  <c r="Y411" i="23" s="1"/>
  <c r="Z412" i="23" s="1"/>
  <c r="AA413" i="23" s="1"/>
  <c r="AB414" i="23" s="1"/>
  <c r="AC415" i="23" s="1"/>
  <c r="AD416" i="23" s="1"/>
  <c r="AE417" i="23" s="1"/>
  <c r="F350" i="23"/>
  <c r="G351" i="23" s="1"/>
  <c r="H352" i="23" s="1"/>
  <c r="I353" i="23" s="1"/>
  <c r="J354" i="23" s="1"/>
  <c r="K355" i="23" s="1"/>
  <c r="L356" i="23" s="1"/>
  <c r="M357" i="23" s="1"/>
  <c r="N358" i="23" s="1"/>
  <c r="O359" i="23" s="1"/>
  <c r="P360" i="23" s="1"/>
  <c r="Q361" i="23" s="1"/>
  <c r="R362" i="23" s="1"/>
  <c r="S363" i="23" s="1"/>
  <c r="T364" i="23" s="1"/>
  <c r="U365" i="23" s="1"/>
  <c r="V366" i="23" s="1"/>
  <c r="W367" i="23" s="1"/>
  <c r="X368" i="23" s="1"/>
  <c r="Y369" i="23" s="1"/>
  <c r="Z370" i="23" s="1"/>
  <c r="AA371" i="23" s="1"/>
  <c r="AB372" i="23" s="1"/>
  <c r="AC373" i="23" s="1"/>
  <c r="AD374" i="23" s="1"/>
  <c r="J350" i="23"/>
  <c r="N350" i="23"/>
  <c r="O351" i="23" s="1"/>
  <c r="R350" i="23"/>
  <c r="V350" i="23"/>
  <c r="Z350" i="23"/>
  <c r="AD350" i="23"/>
  <c r="AE351" i="23" s="1"/>
  <c r="I379" i="23"/>
  <c r="Y379" i="23"/>
  <c r="Y467" i="23"/>
  <c r="Z468" i="23" s="1"/>
  <c r="AA469" i="23" s="1"/>
  <c r="AB470" i="23" s="1"/>
  <c r="AC471" i="23" s="1"/>
  <c r="AD472" i="23" s="1"/>
  <c r="AE473" i="23" s="1"/>
  <c r="G321" i="23"/>
  <c r="H322" i="23" s="1"/>
  <c r="I323" i="23" s="1"/>
  <c r="J324" i="23" s="1"/>
  <c r="K325" i="23" s="1"/>
  <c r="L326" i="23" s="1"/>
  <c r="M327" i="23" s="1"/>
  <c r="N328" i="23" s="1"/>
  <c r="O329" i="23" s="1"/>
  <c r="P330" i="23" s="1"/>
  <c r="Q331" i="23" s="1"/>
  <c r="R332" i="23" s="1"/>
  <c r="S333" i="23" s="1"/>
  <c r="T334" i="23" s="1"/>
  <c r="U335" i="23" s="1"/>
  <c r="V336" i="23" s="1"/>
  <c r="W337" i="23" s="1"/>
  <c r="X338" i="23" s="1"/>
  <c r="Y339" i="23" s="1"/>
  <c r="Z340" i="23" s="1"/>
  <c r="AA341" i="23" s="1"/>
  <c r="AB342" i="23" s="1"/>
  <c r="AC343" i="23" s="1"/>
  <c r="AD344" i="23" s="1"/>
  <c r="AE345" i="23" s="1"/>
  <c r="K321" i="23"/>
  <c r="O321" i="23"/>
  <c r="P322" i="23" s="1"/>
  <c r="Q323" i="23" s="1"/>
  <c r="R324" i="23" s="1"/>
  <c r="S325" i="23" s="1"/>
  <c r="T326" i="23" s="1"/>
  <c r="U327" i="23" s="1"/>
  <c r="V328" i="23" s="1"/>
  <c r="W329" i="23" s="1"/>
  <c r="X330" i="23" s="1"/>
  <c r="Y331" i="23" s="1"/>
  <c r="Z332" i="23" s="1"/>
  <c r="AA333" i="23" s="1"/>
  <c r="AB334" i="23" s="1"/>
  <c r="AC335" i="23" s="1"/>
  <c r="AD336" i="23" s="1"/>
  <c r="AE337" i="23" s="1"/>
  <c r="S321" i="23"/>
  <c r="T322" i="23" s="1"/>
  <c r="U323" i="23" s="1"/>
  <c r="V324" i="23" s="1"/>
  <c r="W325" i="23" s="1"/>
  <c r="X326" i="23" s="1"/>
  <c r="Y327" i="23" s="1"/>
  <c r="Z328" i="23" s="1"/>
  <c r="AA329" i="23" s="1"/>
  <c r="AB330" i="23" s="1"/>
  <c r="AC331" i="23" s="1"/>
  <c r="AD332" i="23" s="1"/>
  <c r="AE333" i="23" s="1"/>
  <c r="W321" i="23"/>
  <c r="X322" i="23" s="1"/>
  <c r="Y323" i="23" s="1"/>
  <c r="Z324" i="23" s="1"/>
  <c r="AA325" i="23" s="1"/>
  <c r="AB326" i="23" s="1"/>
  <c r="AC327" i="23" s="1"/>
  <c r="AD328" i="23" s="1"/>
  <c r="AE329" i="23" s="1"/>
  <c r="AA321" i="23"/>
  <c r="AB322" i="23" s="1"/>
  <c r="AC323" i="23" s="1"/>
  <c r="AD324" i="23" s="1"/>
  <c r="AE325" i="23" s="1"/>
  <c r="T408" i="23"/>
  <c r="W437" i="23"/>
  <c r="X438" i="23" s="1"/>
  <c r="Y439" i="23" s="1"/>
  <c r="M467" i="23"/>
  <c r="G408" i="23"/>
  <c r="K408" i="23"/>
  <c r="L409" i="23" s="1"/>
  <c r="O408" i="23"/>
  <c r="S408" i="23"/>
  <c r="T409" i="23" s="1"/>
  <c r="U410" i="23" s="1"/>
  <c r="V411" i="23" s="1"/>
  <c r="W412" i="23" s="1"/>
  <c r="X413" i="23" s="1"/>
  <c r="Y414" i="23" s="1"/>
  <c r="Z415" i="23" s="1"/>
  <c r="AA416" i="23" s="1"/>
  <c r="AB417" i="23" s="1"/>
  <c r="AC418" i="23" s="1"/>
  <c r="AD419" i="23" s="1"/>
  <c r="AE420" i="23" s="1"/>
  <c r="W408" i="23"/>
  <c r="AA408" i="23"/>
  <c r="AB409" i="23" s="1"/>
  <c r="AC410" i="23" s="1"/>
  <c r="AD411" i="23" s="1"/>
  <c r="AE412" i="23" s="1"/>
  <c r="J437" i="23"/>
  <c r="R437" i="23"/>
  <c r="M437" i="23"/>
  <c r="N438" i="23" s="1"/>
  <c r="O439" i="23" s="1"/>
  <c r="P440" i="23" s="1"/>
  <c r="Q441" i="23" s="1"/>
  <c r="R442" i="23" s="1"/>
  <c r="S443" i="23" s="1"/>
  <c r="T444" i="23" s="1"/>
  <c r="U445" i="23" s="1"/>
  <c r="V446" i="23" s="1"/>
  <c r="W447" i="23" s="1"/>
  <c r="X448" i="23" s="1"/>
  <c r="Y449" i="23" s="1"/>
  <c r="Z450" i="23" s="1"/>
  <c r="AA451" i="23" s="1"/>
  <c r="AB452" i="23" s="1"/>
  <c r="AC453" i="23" s="1"/>
  <c r="AD454" i="23" s="1"/>
  <c r="AE455" i="23" s="1"/>
  <c r="T466" i="23"/>
  <c r="H466" i="23"/>
  <c r="D339" i="19"/>
  <c r="Z22" i="2" l="1"/>
  <c r="Z23" i="2" s="1"/>
  <c r="X11" i="26"/>
  <c r="W16" i="2"/>
  <c r="W17" i="2" s="1"/>
  <c r="W12" i="26"/>
  <c r="AD97" i="2"/>
  <c r="AG96" i="2"/>
  <c r="AG97" i="2"/>
  <c r="AF96" i="2"/>
  <c r="AF97" i="2"/>
  <c r="AB99" i="15"/>
  <c r="AA28" i="15" s="1"/>
  <c r="AD96" i="2" s="1"/>
  <c r="AB58" i="18"/>
  <c r="BG4" i="18" s="1"/>
  <c r="AA2" i="2"/>
  <c r="W32" i="23"/>
  <c r="P409" i="23"/>
  <c r="U409" i="23"/>
  <c r="S351" i="23"/>
  <c r="Y119" i="23"/>
  <c r="J90" i="23"/>
  <c r="K91" i="23" s="1"/>
  <c r="L92" i="23" s="1"/>
  <c r="M93" i="23" s="1"/>
  <c r="N94" i="23" s="1"/>
  <c r="O95" i="23" s="1"/>
  <c r="P96" i="23" s="1"/>
  <c r="Q97" i="23" s="1"/>
  <c r="R98" i="23" s="1"/>
  <c r="S99" i="23" s="1"/>
  <c r="T100" i="23" s="1"/>
  <c r="U101" i="23" s="1"/>
  <c r="V102" i="23" s="1"/>
  <c r="W103" i="23" s="1"/>
  <c r="X104" i="23" s="1"/>
  <c r="Y105" i="23" s="1"/>
  <c r="Z106" i="23" s="1"/>
  <c r="AA107" i="23" s="1"/>
  <c r="AB108" i="23" s="1"/>
  <c r="AC109" i="23" s="1"/>
  <c r="AD110" i="23" s="1"/>
  <c r="AE111" i="23" s="1"/>
  <c r="K409" i="23"/>
  <c r="L410" i="23" s="1"/>
  <c r="M411" i="23" s="1"/>
  <c r="N412" i="23" s="1"/>
  <c r="O413" i="23" s="1"/>
  <c r="P414" i="23" s="1"/>
  <c r="Q415" i="23" s="1"/>
  <c r="R416" i="23" s="1"/>
  <c r="S417" i="23" s="1"/>
  <c r="T418" i="23" s="1"/>
  <c r="U419" i="23" s="1"/>
  <c r="V420" i="23" s="1"/>
  <c r="W421" i="23" s="1"/>
  <c r="X422" i="23" s="1"/>
  <c r="Y423" i="23" s="1"/>
  <c r="Z424" i="23" s="1"/>
  <c r="AA425" i="23" s="1"/>
  <c r="AB426" i="23" s="1"/>
  <c r="AC427" i="23" s="1"/>
  <c r="AD428" i="23" s="1"/>
  <c r="AE429" i="23" s="1"/>
  <c r="J351" i="23"/>
  <c r="K352" i="23" s="1"/>
  <c r="L353" i="23" s="1"/>
  <c r="M354" i="23" s="1"/>
  <c r="N355" i="23" s="1"/>
  <c r="O356" i="23" s="1"/>
  <c r="P357" i="23" s="1"/>
  <c r="Q358" i="23" s="1"/>
  <c r="R359" i="23" s="1"/>
  <c r="S360" i="23" s="1"/>
  <c r="T361" i="23" s="1"/>
  <c r="U362" i="23" s="1"/>
  <c r="V363" i="23" s="1"/>
  <c r="W364" i="23" s="1"/>
  <c r="X365" i="23" s="1"/>
  <c r="Y366" i="23" s="1"/>
  <c r="Z367" i="23" s="1"/>
  <c r="AA368" i="23" s="1"/>
  <c r="AB369" i="23" s="1"/>
  <c r="AC370" i="23" s="1"/>
  <c r="AD371" i="23" s="1"/>
  <c r="AE372" i="23" s="1"/>
  <c r="Z323" i="23"/>
  <c r="I177" i="23"/>
  <c r="J178" i="23" s="1"/>
  <c r="K179" i="23" s="1"/>
  <c r="L180" i="23" s="1"/>
  <c r="M181" i="23" s="1"/>
  <c r="N182" i="23" s="1"/>
  <c r="O183" i="23" s="1"/>
  <c r="P184" i="23" s="1"/>
  <c r="Q185" i="23" s="1"/>
  <c r="R186" i="23" s="1"/>
  <c r="S187" i="23" s="1"/>
  <c r="T188" i="23" s="1"/>
  <c r="U189" i="23" s="1"/>
  <c r="V190" i="23" s="1"/>
  <c r="W191" i="23" s="1"/>
  <c r="X192" i="23" s="1"/>
  <c r="Y193" i="23" s="1"/>
  <c r="Z194" i="23" s="1"/>
  <c r="AA195" i="23" s="1"/>
  <c r="AB196" i="23" s="1"/>
  <c r="AC197" i="23" s="1"/>
  <c r="AD198" i="23" s="1"/>
  <c r="AE199" i="23" s="1"/>
  <c r="N323" i="23"/>
  <c r="Z235" i="23"/>
  <c r="J235" i="23"/>
  <c r="K236" i="23" s="1"/>
  <c r="L237" i="23" s="1"/>
  <c r="M238" i="23" s="1"/>
  <c r="N239" i="23" s="1"/>
  <c r="O240" i="23" s="1"/>
  <c r="P241" i="23" s="1"/>
  <c r="Q242" i="23" s="1"/>
  <c r="R243" i="23" s="1"/>
  <c r="S244" i="23" s="1"/>
  <c r="T245" i="23" s="1"/>
  <c r="U246" i="23" s="1"/>
  <c r="V247" i="23" s="1"/>
  <c r="W248" i="23" s="1"/>
  <c r="X249" i="23" s="1"/>
  <c r="Y250" i="23" s="1"/>
  <c r="Z251" i="23" s="1"/>
  <c r="AA252" i="23" s="1"/>
  <c r="AB253" i="23" s="1"/>
  <c r="AC254" i="23" s="1"/>
  <c r="AD255" i="23" s="1"/>
  <c r="AE256" i="23" s="1"/>
  <c r="X409" i="23"/>
  <c r="H409" i="23"/>
  <c r="AA351" i="23"/>
  <c r="K351" i="23"/>
  <c r="U293" i="23"/>
  <c r="L148" i="23"/>
  <c r="G119" i="23"/>
  <c r="H120" i="23" s="1"/>
  <c r="I121" i="23" s="1"/>
  <c r="J122" i="23" s="1"/>
  <c r="K123" i="23" s="1"/>
  <c r="L124" i="23" s="1"/>
  <c r="M125" i="23" s="1"/>
  <c r="N126" i="23" s="1"/>
  <c r="O127" i="23" s="1"/>
  <c r="P128" i="23" s="1"/>
  <c r="Q129" i="23" s="1"/>
  <c r="R130" i="23" s="1"/>
  <c r="S131" i="23" s="1"/>
  <c r="T132" i="23" s="1"/>
  <c r="U133" i="23" s="1"/>
  <c r="V134" i="23" s="1"/>
  <c r="W135" i="23" s="1"/>
  <c r="X136" i="23" s="1"/>
  <c r="Y137" i="23" s="1"/>
  <c r="Z138" i="23" s="1"/>
  <c r="AA139" i="23" s="1"/>
  <c r="AB140" i="23" s="1"/>
  <c r="AC141" i="23" s="1"/>
  <c r="AD142" i="23" s="1"/>
  <c r="W293" i="23"/>
  <c r="R381" i="23"/>
  <c r="AB206" i="23"/>
  <c r="AC207" i="23" s="1"/>
  <c r="AD208" i="23" s="1"/>
  <c r="AE209" i="23" s="1"/>
  <c r="R235" i="23"/>
  <c r="S409" i="23"/>
  <c r="Y382" i="23"/>
  <c r="Z383" i="23" s="1"/>
  <c r="AA384" i="23" s="1"/>
  <c r="AB385" i="23" s="1"/>
  <c r="AC386" i="23" s="1"/>
  <c r="AD387" i="23" s="1"/>
  <c r="AE388" i="23" s="1"/>
  <c r="G235" i="23"/>
  <c r="N32" i="23"/>
  <c r="J380" i="23"/>
  <c r="AA177" i="23"/>
  <c r="D171" i="23"/>
  <c r="C171" i="23"/>
  <c r="I467" i="23"/>
  <c r="L322" i="23"/>
  <c r="I293" i="23"/>
  <c r="W235" i="23"/>
  <c r="M380" i="23"/>
  <c r="I322" i="23"/>
  <c r="I207" i="23"/>
  <c r="K177" i="23"/>
  <c r="R148" i="23"/>
  <c r="M119" i="23"/>
  <c r="L61" i="23"/>
  <c r="V177" i="23"/>
  <c r="F177" i="23"/>
  <c r="T119" i="23"/>
  <c r="P61" i="23"/>
  <c r="S206" i="23"/>
  <c r="X90" i="23"/>
  <c r="P90" i="23"/>
  <c r="W61" i="23"/>
  <c r="S32" i="23"/>
  <c r="U322" i="23"/>
  <c r="R177" i="23"/>
  <c r="V148" i="23"/>
  <c r="P119" i="23"/>
  <c r="G32" i="23"/>
  <c r="AC352" i="23"/>
  <c r="K235" i="23"/>
  <c r="Z148" i="23"/>
  <c r="AB90" i="23"/>
  <c r="AC91" i="23" s="1"/>
  <c r="AD92" i="23" s="1"/>
  <c r="AE93" i="23" s="1"/>
  <c r="T90" i="23"/>
  <c r="AB236" i="23"/>
  <c r="AC237" i="23" s="1"/>
  <c r="AD238" i="23" s="1"/>
  <c r="AE239" i="23" s="1"/>
  <c r="K438" i="23"/>
  <c r="Z440" i="23"/>
  <c r="U467" i="23"/>
  <c r="S438" i="23"/>
  <c r="M410" i="23"/>
  <c r="N468" i="23"/>
  <c r="Z380" i="23"/>
  <c r="W351" i="23"/>
  <c r="P352" i="23"/>
  <c r="Y293" i="23"/>
  <c r="I119" i="23"/>
  <c r="AB61" i="23"/>
  <c r="AC62" i="23" s="1"/>
  <c r="AD63" i="23" s="1"/>
  <c r="AE64" i="23" s="1"/>
  <c r="F148" i="23"/>
  <c r="J148" i="23"/>
  <c r="L90" i="23"/>
  <c r="H90" i="23"/>
  <c r="G61" i="23"/>
  <c r="X16" i="2" l="1"/>
  <c r="X17" i="2" s="1"/>
  <c r="X12" i="26"/>
  <c r="I91" i="23"/>
  <c r="M91" i="23"/>
  <c r="J120" i="23"/>
  <c r="N411" i="23"/>
  <c r="L439" i="23"/>
  <c r="X62" i="23"/>
  <c r="Q91" i="23"/>
  <c r="AB178" i="23"/>
  <c r="AC179" i="23" s="1"/>
  <c r="AD180" i="23" s="1"/>
  <c r="AE181" i="23" s="1"/>
  <c r="AB352" i="23"/>
  <c r="Q353" i="23"/>
  <c r="U91" i="23"/>
  <c r="L236" i="23"/>
  <c r="AD353" i="23"/>
  <c r="Q120" i="23"/>
  <c r="S178" i="23"/>
  <c r="T33" i="23"/>
  <c r="Y91" i="23"/>
  <c r="U120" i="23"/>
  <c r="W178" i="23"/>
  <c r="M62" i="23"/>
  <c r="S149" i="23"/>
  <c r="J208" i="23"/>
  <c r="N381" i="23"/>
  <c r="J294" i="23"/>
  <c r="O33" i="23"/>
  <c r="S236" i="23"/>
  <c r="S382" i="23"/>
  <c r="Y410" i="23"/>
  <c r="AA236" i="23"/>
  <c r="Q410" i="23"/>
  <c r="H62" i="23"/>
  <c r="K149" i="23"/>
  <c r="Z294" i="23"/>
  <c r="AA381" i="23"/>
  <c r="T439" i="23"/>
  <c r="AA441" i="23"/>
  <c r="AA149" i="23"/>
  <c r="H33" i="23"/>
  <c r="W149" i="23"/>
  <c r="V323" i="23"/>
  <c r="Q62" i="23"/>
  <c r="N120" i="23"/>
  <c r="J323" i="23"/>
  <c r="M323" i="23"/>
  <c r="K381" i="23"/>
  <c r="H236" i="23"/>
  <c r="V410" i="23"/>
  <c r="X33" i="23"/>
  <c r="O469" i="23"/>
  <c r="V294" i="23"/>
  <c r="T352" i="23"/>
  <c r="G149" i="23"/>
  <c r="X352" i="23"/>
  <c r="V468" i="23"/>
  <c r="T207" i="23"/>
  <c r="G178" i="23"/>
  <c r="L178" i="23"/>
  <c r="X236" i="23"/>
  <c r="J468" i="23"/>
  <c r="T410" i="23"/>
  <c r="X294" i="23"/>
  <c r="M149" i="23"/>
  <c r="L352" i="23"/>
  <c r="I410" i="23"/>
  <c r="O324" i="23"/>
  <c r="AA324" i="23"/>
  <c r="Z120" i="23"/>
  <c r="H150" i="23" l="1"/>
  <c r="AB325" i="23"/>
  <c r="AC326" i="23" s="1"/>
  <c r="AD327" i="23" s="1"/>
  <c r="AE328" i="23" s="1"/>
  <c r="J411" i="23"/>
  <c r="N150" i="23"/>
  <c r="U411" i="23"/>
  <c r="H179" i="23"/>
  <c r="W469" i="23"/>
  <c r="U353" i="23"/>
  <c r="P470" i="23"/>
  <c r="W411" i="23"/>
  <c r="O121" i="23"/>
  <c r="W324" i="23"/>
  <c r="I34" i="23"/>
  <c r="AB442" i="23"/>
  <c r="AC443" i="23" s="1"/>
  <c r="AD444" i="23" s="1"/>
  <c r="AE445" i="23" s="1"/>
  <c r="L150" i="23"/>
  <c r="R411" i="23"/>
  <c r="Z411" i="23"/>
  <c r="T237" i="23"/>
  <c r="K295" i="23"/>
  <c r="K209" i="23"/>
  <c r="N63" i="23"/>
  <c r="V121" i="23"/>
  <c r="U34" i="23"/>
  <c r="R121" i="23"/>
  <c r="M237" i="23"/>
  <c r="R354" i="23"/>
  <c r="Y63" i="23"/>
  <c r="T150" i="23"/>
  <c r="O412" i="23"/>
  <c r="N92" i="23"/>
  <c r="AA121" i="23"/>
  <c r="P325" i="23"/>
  <c r="M353" i="23"/>
  <c r="Y295" i="23"/>
  <c r="K469" i="23"/>
  <c r="M179" i="23"/>
  <c r="U208" i="23"/>
  <c r="Y353" i="23"/>
  <c r="W295" i="23"/>
  <c r="Y34" i="23"/>
  <c r="I237" i="23"/>
  <c r="R63" i="23"/>
  <c r="X150" i="23"/>
  <c r="AB150" i="23"/>
  <c r="AC151" i="23" s="1"/>
  <c r="AD152" i="23" s="1"/>
  <c r="AE153" i="23" s="1"/>
  <c r="U440" i="23"/>
  <c r="AA295" i="23"/>
  <c r="I63" i="23"/>
  <c r="AB237" i="23"/>
  <c r="AC238" i="23" s="1"/>
  <c r="AD239" i="23" s="1"/>
  <c r="AE240" i="23" s="1"/>
  <c r="T383" i="23"/>
  <c r="P34" i="23"/>
  <c r="O382" i="23"/>
  <c r="X179" i="23"/>
  <c r="Z92" i="23"/>
  <c r="T179" i="23"/>
  <c r="AE354" i="23"/>
  <c r="V92" i="23"/>
  <c r="AC353" i="23"/>
  <c r="R92" i="23"/>
  <c r="L382" i="23"/>
  <c r="K324" i="23"/>
  <c r="Y237" i="23"/>
  <c r="N324" i="23"/>
  <c r="AB382" i="23"/>
  <c r="AC383" i="23" s="1"/>
  <c r="AD384" i="23" s="1"/>
  <c r="AE385" i="23" s="1"/>
  <c r="M440" i="23"/>
  <c r="K121" i="23"/>
  <c r="J92" i="23"/>
  <c r="K93" i="23" l="1"/>
  <c r="O325" i="23"/>
  <c r="L325" i="23"/>
  <c r="S93" i="23"/>
  <c r="AD354" i="23"/>
  <c r="AA93" i="23"/>
  <c r="U384" i="23"/>
  <c r="V441" i="23"/>
  <c r="J238" i="23"/>
  <c r="X296" i="23"/>
  <c r="L470" i="23"/>
  <c r="AB122" i="23"/>
  <c r="AC123" i="23" s="1"/>
  <c r="AD124" i="23" s="1"/>
  <c r="AE125" i="23" s="1"/>
  <c r="P413" i="23"/>
  <c r="S355" i="23"/>
  <c r="W122" i="23"/>
  <c r="X412" i="23"/>
  <c r="V354" i="23"/>
  <c r="I180" i="23"/>
  <c r="O151" i="23"/>
  <c r="N441" i="23"/>
  <c r="P383" i="23"/>
  <c r="J64" i="23"/>
  <c r="Y151" i="23"/>
  <c r="V209" i="23"/>
  <c r="N354" i="23"/>
  <c r="Z64" i="23"/>
  <c r="S122" i="23"/>
  <c r="L210" i="23"/>
  <c r="U238" i="23"/>
  <c r="S412" i="23"/>
  <c r="X325" i="23"/>
  <c r="L122" i="23"/>
  <c r="Z238" i="23"/>
  <c r="M383" i="23"/>
  <c r="W93" i="23"/>
  <c r="U180" i="23"/>
  <c r="Y180" i="23"/>
  <c r="Q35" i="23"/>
  <c r="AB296" i="23"/>
  <c r="AC297" i="23" s="1"/>
  <c r="AD298" i="23" s="1"/>
  <c r="AE299" i="23" s="1"/>
  <c r="S64" i="23"/>
  <c r="Z35" i="23"/>
  <c r="Z354" i="23"/>
  <c r="N180" i="23"/>
  <c r="Z296" i="23"/>
  <c r="Q326" i="23"/>
  <c r="O93" i="23"/>
  <c r="U151" i="23"/>
  <c r="N238" i="23"/>
  <c r="V35" i="23"/>
  <c r="O64" i="23"/>
  <c r="L296" i="23"/>
  <c r="AA412" i="23"/>
  <c r="M151" i="23"/>
  <c r="J35" i="23"/>
  <c r="P122" i="23"/>
  <c r="Q471" i="23"/>
  <c r="X470" i="23"/>
  <c r="V412" i="23"/>
  <c r="K412" i="23"/>
  <c r="I151" i="23"/>
  <c r="O442" i="23" l="1"/>
  <c r="J181" i="23"/>
  <c r="Y413" i="23"/>
  <c r="T356" i="23"/>
  <c r="Y297" i="23"/>
  <c r="W442" i="23"/>
  <c r="P326" i="23"/>
  <c r="L413" i="23"/>
  <c r="Y471" i="23"/>
  <c r="N152" i="23"/>
  <c r="M297" i="23"/>
  <c r="W36" i="23"/>
  <c r="P94" i="23"/>
  <c r="AA355" i="23"/>
  <c r="T65" i="23"/>
  <c r="R36" i="23"/>
  <c r="V181" i="23"/>
  <c r="AA239" i="23"/>
  <c r="Y326" i="23"/>
  <c r="V239" i="23"/>
  <c r="T123" i="23"/>
  <c r="O355" i="23"/>
  <c r="Z152" i="23"/>
  <c r="Q384" i="23"/>
  <c r="J152" i="23"/>
  <c r="W413" i="23"/>
  <c r="R472" i="23"/>
  <c r="K36" i="23"/>
  <c r="AB413" i="23"/>
  <c r="AC414" i="23" s="1"/>
  <c r="AD415" i="23" s="1"/>
  <c r="AE416" i="23" s="1"/>
  <c r="P65" i="23"/>
  <c r="O239" i="23"/>
  <c r="V152" i="23"/>
  <c r="R327" i="23"/>
  <c r="O181" i="23"/>
  <c r="AA36" i="23"/>
  <c r="Z181" i="23"/>
  <c r="X94" i="23"/>
  <c r="N384" i="23"/>
  <c r="M123" i="23"/>
  <c r="T413" i="23"/>
  <c r="M211" i="23"/>
  <c r="AA65" i="23"/>
  <c r="W210" i="23"/>
  <c r="K65" i="23"/>
  <c r="AB94" i="23"/>
  <c r="AC95" i="23" s="1"/>
  <c r="AD96" i="23" s="1"/>
  <c r="AE97" i="23" s="1"/>
  <c r="T94" i="23"/>
  <c r="Q123" i="23"/>
  <c r="AA297" i="23"/>
  <c r="P152" i="23"/>
  <c r="W355" i="23"/>
  <c r="X123" i="23"/>
  <c r="Q414" i="23"/>
  <c r="M471" i="23"/>
  <c r="K239" i="23"/>
  <c r="V385" i="23"/>
  <c r="AE355" i="23"/>
  <c r="M326" i="23"/>
  <c r="L94" i="23"/>
  <c r="R415" i="23" l="1"/>
  <c r="X443" i="23"/>
  <c r="X356" i="23"/>
  <c r="U95" i="23"/>
  <c r="AB66" i="23"/>
  <c r="AC67" i="23" s="1"/>
  <c r="AD68" i="23" s="1"/>
  <c r="AE69" i="23" s="1"/>
  <c r="O385" i="23"/>
  <c r="P182" i="23"/>
  <c r="Q66" i="23"/>
  <c r="X414" i="23"/>
  <c r="P356" i="23"/>
  <c r="AB240" i="23"/>
  <c r="AC241" i="23" s="1"/>
  <c r="AD242" i="23" s="1"/>
  <c r="AE243" i="23" s="1"/>
  <c r="U66" i="23"/>
  <c r="Q95" i="23"/>
  <c r="O153" i="23"/>
  <c r="U357" i="23"/>
  <c r="M95" i="23"/>
  <c r="L240" i="23"/>
  <c r="AB298" i="23"/>
  <c r="AC299" i="23" s="1"/>
  <c r="AD300" i="23" s="1"/>
  <c r="AE301" i="23" s="1"/>
  <c r="L66" i="23"/>
  <c r="U414" i="23"/>
  <c r="AA182" i="23"/>
  <c r="W153" i="23"/>
  <c r="L37" i="23"/>
  <c r="R385" i="23"/>
  <c r="W240" i="23"/>
  <c r="W182" i="23"/>
  <c r="X37" i="23"/>
  <c r="M414" i="23"/>
  <c r="K182" i="23"/>
  <c r="N327" i="23"/>
  <c r="W386" i="23"/>
  <c r="N472" i="23"/>
  <c r="Y124" i="23"/>
  <c r="Q153" i="23"/>
  <c r="R124" i="23"/>
  <c r="X211" i="23"/>
  <c r="N212" i="23"/>
  <c r="N124" i="23"/>
  <c r="Y95" i="23"/>
  <c r="AB37" i="23"/>
  <c r="AC38" i="23" s="1"/>
  <c r="AD39" i="23" s="1"/>
  <c r="AE40" i="23" s="1"/>
  <c r="S328" i="23"/>
  <c r="P240" i="23"/>
  <c r="S473" i="23"/>
  <c r="K153" i="23"/>
  <c r="AA153" i="23"/>
  <c r="U124" i="23"/>
  <c r="Z327" i="23"/>
  <c r="S37" i="23"/>
  <c r="AB356" i="23"/>
  <c r="N298" i="23"/>
  <c r="Z472" i="23"/>
  <c r="Q327" i="23"/>
  <c r="Z298" i="23"/>
  <c r="Z414" i="23"/>
  <c r="P443" i="23"/>
  <c r="AA415" i="23" l="1"/>
  <c r="R328" i="23"/>
  <c r="O299" i="23"/>
  <c r="AC357" i="23"/>
  <c r="V125" i="23"/>
  <c r="L154" i="23"/>
  <c r="Q241" i="23"/>
  <c r="O125" i="23"/>
  <c r="Y212" i="23"/>
  <c r="R154" i="23"/>
  <c r="O473" i="23"/>
  <c r="O328" i="23"/>
  <c r="N415" i="23"/>
  <c r="X183" i="23"/>
  <c r="S386" i="23"/>
  <c r="X154" i="23"/>
  <c r="V415" i="23"/>
  <c r="N96" i="23"/>
  <c r="P154" i="23"/>
  <c r="V67" i="23"/>
  <c r="Q357" i="23"/>
  <c r="R67" i="23"/>
  <c r="P386" i="23"/>
  <c r="V96" i="23"/>
  <c r="Y444" i="23"/>
  <c r="Q444" i="23"/>
  <c r="AA299" i="23"/>
  <c r="AA473" i="23"/>
  <c r="T38" i="23"/>
  <c r="AA328" i="23"/>
  <c r="AB154" i="23"/>
  <c r="AC155" i="23" s="1"/>
  <c r="AD156" i="23" s="1"/>
  <c r="AE157" i="23" s="1"/>
  <c r="T474" i="23"/>
  <c r="T329" i="23"/>
  <c r="Z96" i="23"/>
  <c r="O213" i="23"/>
  <c r="S125" i="23"/>
  <c r="Z125" i="23"/>
  <c r="X387" i="23"/>
  <c r="L183" i="23"/>
  <c r="Y38" i="23"/>
  <c r="X241" i="23"/>
  <c r="M38" i="23"/>
  <c r="AB183" i="23"/>
  <c r="AC184" i="23" s="1"/>
  <c r="AD185" i="23" s="1"/>
  <c r="AE186" i="23" s="1"/>
  <c r="M67" i="23"/>
  <c r="M241" i="23"/>
  <c r="V358" i="23"/>
  <c r="R96" i="23"/>
  <c r="Y415" i="23"/>
  <c r="Q183" i="23"/>
  <c r="Y357" i="23"/>
  <c r="S416" i="23"/>
  <c r="Z358" i="23" l="1"/>
  <c r="W359" i="23"/>
  <c r="N39" i="23"/>
  <c r="Y388" i="23"/>
  <c r="AA97" i="23"/>
  <c r="AB329" i="23"/>
  <c r="AC330" i="23" s="1"/>
  <c r="AD331" i="23" s="1"/>
  <c r="AE332" i="23" s="1"/>
  <c r="AB300" i="23"/>
  <c r="AC301" i="23" s="1"/>
  <c r="AD302" i="23" s="1"/>
  <c r="AE303" i="23" s="1"/>
  <c r="Q387" i="23"/>
  <c r="Q155" i="23"/>
  <c r="T387" i="23"/>
  <c r="P474" i="23"/>
  <c r="R242" i="23"/>
  <c r="AD358" i="23"/>
  <c r="Z416" i="23"/>
  <c r="N68" i="23"/>
  <c r="Z39" i="23"/>
  <c r="T126" i="23"/>
  <c r="U475" i="23"/>
  <c r="Z445" i="23"/>
  <c r="R358" i="23"/>
  <c r="W416" i="23"/>
  <c r="O416" i="23"/>
  <c r="Z213" i="23"/>
  <c r="W126" i="23"/>
  <c r="S329" i="23"/>
  <c r="T417" i="23"/>
  <c r="R184" i="23"/>
  <c r="S97" i="23"/>
  <c r="N242" i="23"/>
  <c r="Y242" i="23"/>
  <c r="M184" i="23"/>
  <c r="AA126" i="23"/>
  <c r="P214" i="23"/>
  <c r="U330" i="23"/>
  <c r="U39" i="23"/>
  <c r="AB474" i="23"/>
  <c r="AC475" i="23" s="1"/>
  <c r="AD476" i="23" s="1"/>
  <c r="AE477" i="23" s="1"/>
  <c r="R445" i="23"/>
  <c r="W97" i="23"/>
  <c r="S68" i="23"/>
  <c r="W68" i="23"/>
  <c r="O97" i="23"/>
  <c r="Y155" i="23"/>
  <c r="Y184" i="23"/>
  <c r="P329" i="23"/>
  <c r="Q330" i="23" s="1"/>
  <c r="S155" i="23"/>
  <c r="P126" i="23"/>
  <c r="M155" i="23"/>
  <c r="P300" i="23"/>
  <c r="AB416" i="23"/>
  <c r="AC417" i="23" s="1"/>
  <c r="AD418" i="23" s="1"/>
  <c r="AE419" i="23" s="1"/>
  <c r="Q301" i="23" l="1"/>
  <c r="T156" i="23"/>
  <c r="P98" i="23"/>
  <c r="S446" i="23"/>
  <c r="Q215" i="23"/>
  <c r="O243" i="23"/>
  <c r="T330" i="23"/>
  <c r="X417" i="23"/>
  <c r="AA40" i="23"/>
  <c r="Z389" i="23"/>
  <c r="AA417" i="23"/>
  <c r="N156" i="23"/>
  <c r="Z185" i="23"/>
  <c r="T69" i="23"/>
  <c r="V40" i="23"/>
  <c r="N185" i="23"/>
  <c r="S185" i="23"/>
  <c r="AA214" i="23"/>
  <c r="AA446" i="23"/>
  <c r="V476" i="23"/>
  <c r="S243" i="23"/>
  <c r="U388" i="23"/>
  <c r="R388" i="23"/>
  <c r="X360" i="23"/>
  <c r="Q127" i="23"/>
  <c r="R331" i="23"/>
  <c r="Z156" i="23"/>
  <c r="X69" i="23"/>
  <c r="X98" i="23"/>
  <c r="V331" i="23"/>
  <c r="AB127" i="23"/>
  <c r="AC128" i="23" s="1"/>
  <c r="AD129" i="23" s="1"/>
  <c r="AE130" i="23" s="1"/>
  <c r="Z243" i="23"/>
  <c r="T98" i="23"/>
  <c r="U418" i="23"/>
  <c r="V419" i="23" s="1"/>
  <c r="X127" i="23"/>
  <c r="P417" i="23"/>
  <c r="S359" i="23"/>
  <c r="U127" i="23"/>
  <c r="O69" i="23"/>
  <c r="AE359" i="23"/>
  <c r="Q475" i="23"/>
  <c r="R156" i="23"/>
  <c r="AB98" i="23"/>
  <c r="AC99" i="23" s="1"/>
  <c r="AD100" i="23" s="1"/>
  <c r="AE101" i="23" s="1"/>
  <c r="O40" i="23"/>
  <c r="AA359" i="23"/>
  <c r="Y128" i="23" l="1"/>
  <c r="P244" i="23"/>
  <c r="S157" i="23"/>
  <c r="AA157" i="23"/>
  <c r="Y361" i="23"/>
  <c r="W477" i="23"/>
  <c r="O186" i="23"/>
  <c r="O157" i="23"/>
  <c r="Y418" i="23"/>
  <c r="T447" i="23"/>
  <c r="P41" i="23"/>
  <c r="V128" i="23"/>
  <c r="T360" i="23"/>
  <c r="U99" i="23"/>
  <c r="Y99" i="23"/>
  <c r="R128" i="23"/>
  <c r="V389" i="23"/>
  <c r="AB215" i="23"/>
  <c r="AC216" i="23" s="1"/>
  <c r="AD217" i="23" s="1"/>
  <c r="AE218" i="23" s="1"/>
  <c r="U70" i="23"/>
  <c r="AA390" i="23"/>
  <c r="U157" i="23"/>
  <c r="AB360" i="23"/>
  <c r="R476" i="23"/>
  <c r="P70" i="23"/>
  <c r="Q418" i="23"/>
  <c r="W420" i="23"/>
  <c r="AA244" i="23"/>
  <c r="W332" i="23"/>
  <c r="Y70" i="23"/>
  <c r="S332" i="23"/>
  <c r="T333" i="23" s="1"/>
  <c r="U334" i="23" s="1"/>
  <c r="V335" i="23" s="1"/>
  <c r="W336" i="23" s="1"/>
  <c r="X337" i="23" s="1"/>
  <c r="Y338" i="23" s="1"/>
  <c r="Z339" i="23" s="1"/>
  <c r="AA340" i="23" s="1"/>
  <c r="AB341" i="23" s="1"/>
  <c r="AC342" i="23" s="1"/>
  <c r="AD343" i="23" s="1"/>
  <c r="AE344" i="23" s="1"/>
  <c r="S389" i="23"/>
  <c r="T244" i="23"/>
  <c r="AB447" i="23"/>
  <c r="AC448" i="23" s="1"/>
  <c r="AD449" i="23" s="1"/>
  <c r="AE450" i="23" s="1"/>
  <c r="T186" i="23"/>
  <c r="W41" i="23"/>
  <c r="AA186" i="23"/>
  <c r="AB418" i="23"/>
  <c r="AC419" i="23" s="1"/>
  <c r="AD420" i="23" s="1"/>
  <c r="AE421" i="23" s="1"/>
  <c r="AB41" i="23"/>
  <c r="AC42" i="23" s="1"/>
  <c r="AD43" i="23" s="1"/>
  <c r="AE44" i="23" s="1"/>
  <c r="U331" i="23"/>
  <c r="R216" i="23"/>
  <c r="Q99" i="23"/>
  <c r="R302" i="23"/>
  <c r="S303" i="23" l="1"/>
  <c r="S217" i="23"/>
  <c r="AB187" i="23"/>
  <c r="AC188" i="23" s="1"/>
  <c r="AD189" i="23" s="1"/>
  <c r="AE190" i="23" s="1"/>
  <c r="U187" i="23"/>
  <c r="U245" i="23"/>
  <c r="Z71" i="23"/>
  <c r="AB245" i="23"/>
  <c r="AC246" i="23" s="1"/>
  <c r="AD247" i="23" s="1"/>
  <c r="AE248" i="23" s="1"/>
  <c r="R419" i="23"/>
  <c r="Q71" i="23"/>
  <c r="AC361" i="23"/>
  <c r="AB391" i="23"/>
  <c r="AC392" i="23" s="1"/>
  <c r="AD393" i="23" s="1"/>
  <c r="AE394" i="23" s="1"/>
  <c r="S129" i="23"/>
  <c r="V100" i="23"/>
  <c r="W129" i="23"/>
  <c r="X130" i="23" s="1"/>
  <c r="U448" i="23"/>
  <c r="P158" i="23"/>
  <c r="X478" i="23"/>
  <c r="AB158" i="23"/>
  <c r="AC159" i="23" s="1"/>
  <c r="AD160" i="23" s="1"/>
  <c r="AE161" i="23" s="1"/>
  <c r="Q245" i="23"/>
  <c r="R100" i="23"/>
  <c r="V332" i="23"/>
  <c r="X42" i="23"/>
  <c r="T390" i="23"/>
  <c r="X333" i="23"/>
  <c r="X421" i="23"/>
  <c r="S477" i="23"/>
  <c r="V158" i="23"/>
  <c r="V71" i="23"/>
  <c r="W390" i="23"/>
  <c r="Z100" i="23"/>
  <c r="AA101" i="23" s="1"/>
  <c r="U361" i="23"/>
  <c r="Q42" i="23"/>
  <c r="Z419" i="23"/>
  <c r="P187" i="23"/>
  <c r="Z362" i="23"/>
  <c r="T158" i="23"/>
  <c r="U159" i="23" s="1"/>
  <c r="V160" i="23" s="1"/>
  <c r="W161" i="23" s="1"/>
  <c r="X162" i="23" s="1"/>
  <c r="Y163" i="23" s="1"/>
  <c r="Z164" i="23" s="1"/>
  <c r="AA165" i="23" s="1"/>
  <c r="AB166" i="23" s="1"/>
  <c r="AC167" i="23" s="1"/>
  <c r="AD168" i="23" s="1"/>
  <c r="AE169" i="23" s="1"/>
  <c r="Z129" i="23"/>
  <c r="Q188" i="23" l="1"/>
  <c r="R43" i="23"/>
  <c r="T478" i="23"/>
  <c r="Y422" i="23"/>
  <c r="Z423" i="23" s="1"/>
  <c r="AA424" i="23" s="1"/>
  <c r="AB425" i="23" s="1"/>
  <c r="AC426" i="23" s="1"/>
  <c r="AD427" i="23" s="1"/>
  <c r="AE428" i="23" s="1"/>
  <c r="R246" i="23"/>
  <c r="Y479" i="23"/>
  <c r="V449" i="23"/>
  <c r="W101" i="23"/>
  <c r="R72" i="23"/>
  <c r="AB102" i="23"/>
  <c r="AC103" i="23" s="1"/>
  <c r="AD104" i="23" s="1"/>
  <c r="AE105" i="23" s="1"/>
  <c r="U391" i="23"/>
  <c r="V188" i="23"/>
  <c r="W72" i="23"/>
  <c r="W333" i="23"/>
  <c r="X334" i="23" s="1"/>
  <c r="Y335" i="23" s="1"/>
  <c r="Z336" i="23" s="1"/>
  <c r="AA337" i="23" s="1"/>
  <c r="AB338" i="23" s="1"/>
  <c r="AC339" i="23" s="1"/>
  <c r="AD340" i="23" s="1"/>
  <c r="AE341" i="23" s="1"/>
  <c r="T218" i="23"/>
  <c r="AA130" i="23"/>
  <c r="AB131" i="23" s="1"/>
  <c r="AC132" i="23" s="1"/>
  <c r="AD133" i="23" s="1"/>
  <c r="AE134" i="23" s="1"/>
  <c r="AA363" i="23"/>
  <c r="AA420" i="23"/>
  <c r="AB421" i="23" s="1"/>
  <c r="AC422" i="23" s="1"/>
  <c r="AD423" i="23" s="1"/>
  <c r="AE424" i="23" s="1"/>
  <c r="V362" i="23"/>
  <c r="X391" i="23"/>
  <c r="W159" i="23"/>
  <c r="Y334" i="23"/>
  <c r="Y43" i="23"/>
  <c r="Z44" i="23" s="1"/>
  <c r="S101" i="23"/>
  <c r="Q159" i="23"/>
  <c r="Y131" i="23"/>
  <c r="Z132" i="23" s="1"/>
  <c r="AA133" i="23" s="1"/>
  <c r="AB134" i="23" s="1"/>
  <c r="AC135" i="23" s="1"/>
  <c r="AD136" i="23" s="1"/>
  <c r="AE137" i="23" s="1"/>
  <c r="T130" i="23"/>
  <c r="AD362" i="23"/>
  <c r="AE363" i="23" s="1"/>
  <c r="S420" i="23"/>
  <c r="AA72" i="23"/>
  <c r="V246" i="23"/>
  <c r="T304" i="23"/>
  <c r="X73" i="23" l="1"/>
  <c r="Z480" i="23"/>
  <c r="U305" i="23"/>
  <c r="AB73" i="23"/>
  <c r="AC74" i="23" s="1"/>
  <c r="AD75" i="23" s="1"/>
  <c r="AE76" i="23" s="1"/>
  <c r="T102" i="23"/>
  <c r="Z335" i="23"/>
  <c r="X160" i="23"/>
  <c r="Y161" i="23" s="1"/>
  <c r="W363" i="23"/>
  <c r="AB364" i="23"/>
  <c r="W247" i="23"/>
  <c r="T421" i="23"/>
  <c r="U131" i="23"/>
  <c r="R160" i="23"/>
  <c r="AA45" i="23"/>
  <c r="Y392" i="23"/>
  <c r="U219" i="23"/>
  <c r="V392" i="23"/>
  <c r="X102" i="23"/>
  <c r="Y103" i="23" s="1"/>
  <c r="S44" i="23"/>
  <c r="W189" i="23"/>
  <c r="S73" i="23"/>
  <c r="W450" i="23"/>
  <c r="S247" i="23"/>
  <c r="U479" i="23"/>
  <c r="R189" i="23"/>
  <c r="S161" i="23" l="1"/>
  <c r="V480" i="23"/>
  <c r="X451" i="23"/>
  <c r="X190" i="23"/>
  <c r="Z104" i="23"/>
  <c r="AA105" i="23" s="1"/>
  <c r="V220" i="23"/>
  <c r="U422" i="23"/>
  <c r="AC365" i="23"/>
  <c r="AD366" i="23" s="1"/>
  <c r="AE367" i="23" s="1"/>
  <c r="Z162" i="23"/>
  <c r="AA163" i="23" s="1"/>
  <c r="U103" i="23"/>
  <c r="V306" i="23"/>
  <c r="S190" i="23"/>
  <c r="T248" i="23"/>
  <c r="T74" i="23"/>
  <c r="T45" i="23"/>
  <c r="W393" i="23"/>
  <c r="Z393" i="23"/>
  <c r="AB46" i="23"/>
  <c r="AC47" i="23" s="1"/>
  <c r="AD48" i="23" s="1"/>
  <c r="AE49" i="23" s="1"/>
  <c r="V132" i="23"/>
  <c r="X248" i="23"/>
  <c r="X364" i="23"/>
  <c r="AA336" i="23"/>
  <c r="AB337" i="23" s="1"/>
  <c r="AC338" i="23" s="1"/>
  <c r="AD339" i="23" s="1"/>
  <c r="AE340" i="23" s="1"/>
  <c r="AA481" i="23"/>
  <c r="Y74" i="23"/>
  <c r="Z75" i="23" l="1"/>
  <c r="Y249" i="23"/>
  <c r="X394" i="23"/>
  <c r="U75" i="23"/>
  <c r="T191" i="23"/>
  <c r="W307" i="23"/>
  <c r="AB164" i="23"/>
  <c r="AC165" i="23" s="1"/>
  <c r="AD166" i="23" s="1"/>
  <c r="AE167" i="23" s="1"/>
  <c r="V423" i="23"/>
  <c r="W221" i="23"/>
  <c r="Y191" i="23"/>
  <c r="Z192" i="23" s="1"/>
  <c r="W481" i="23"/>
  <c r="AB482" i="23"/>
  <c r="AC483" i="23" s="1"/>
  <c r="AD484" i="23" s="1"/>
  <c r="AE485" i="23" s="1"/>
  <c r="Y365" i="23"/>
  <c r="W133" i="23"/>
  <c r="AA394" i="23"/>
  <c r="U46" i="23"/>
  <c r="U249" i="23"/>
  <c r="V104" i="23"/>
  <c r="AB106" i="23"/>
  <c r="AC107" i="23" s="1"/>
  <c r="AD108" i="23" s="1"/>
  <c r="AE109" i="23" s="1"/>
  <c r="Y452" i="23"/>
  <c r="T162" i="23"/>
  <c r="X134" i="23" l="1"/>
  <c r="Z453" i="23"/>
  <c r="V47" i="23"/>
  <c r="AA193" i="23"/>
  <c r="AB194" i="23" s="1"/>
  <c r="AC195" i="23" s="1"/>
  <c r="AD196" i="23" s="1"/>
  <c r="AE197" i="23" s="1"/>
  <c r="W424" i="23"/>
  <c r="X308" i="23"/>
  <c r="V76" i="23"/>
  <c r="Z250" i="23"/>
  <c r="U163" i="23"/>
  <c r="W105" i="23"/>
  <c r="V250" i="23"/>
  <c r="AB395" i="23"/>
  <c r="AC396" i="23" s="1"/>
  <c r="AD397" i="23" s="1"/>
  <c r="AE398" i="23" s="1"/>
  <c r="Z366" i="23"/>
  <c r="X482" i="23"/>
  <c r="X222" i="23"/>
  <c r="U192" i="23"/>
  <c r="Y395" i="23"/>
  <c r="AA76" i="23"/>
  <c r="AB77" i="23" l="1"/>
  <c r="AC78" i="23" s="1"/>
  <c r="AD79" i="23" s="1"/>
  <c r="AE80" i="23" s="1"/>
  <c r="V193" i="23"/>
  <c r="Y483" i="23"/>
  <c r="X106" i="23"/>
  <c r="Y309" i="23"/>
  <c r="AA251" i="23"/>
  <c r="AA454" i="23"/>
  <c r="Z396" i="23"/>
  <c r="Y223" i="23"/>
  <c r="AA367" i="23"/>
  <c r="W251" i="23"/>
  <c r="V164" i="23"/>
  <c r="W77" i="23"/>
  <c r="X425" i="23"/>
  <c r="W48" i="23"/>
  <c r="Y135" i="23"/>
  <c r="Z136" i="23" l="1"/>
  <c r="X49" i="23"/>
  <c r="X78" i="23"/>
  <c r="X252" i="23"/>
  <c r="Z224" i="23"/>
  <c r="AB455" i="23"/>
  <c r="AC456" i="23" s="1"/>
  <c r="AD457" i="23" s="1"/>
  <c r="AE458" i="23" s="1"/>
  <c r="Y107" i="23"/>
  <c r="W194" i="23"/>
  <c r="Y426" i="23"/>
  <c r="W165" i="23"/>
  <c r="AB368" i="23"/>
  <c r="AA397" i="23"/>
  <c r="AB252" i="23"/>
  <c r="AC253" i="23" s="1"/>
  <c r="AD254" i="23" s="1"/>
  <c r="AE255" i="23" s="1"/>
  <c r="Z310" i="23"/>
  <c r="Z484" i="23"/>
  <c r="AA311" i="23" l="1"/>
  <c r="AB398" i="23"/>
  <c r="AC399" i="23" s="1"/>
  <c r="AD400" i="23" s="1"/>
  <c r="AE401" i="23" s="1"/>
  <c r="X166" i="23"/>
  <c r="Z108" i="23"/>
  <c r="Y253" i="23"/>
  <c r="Y50" i="23"/>
  <c r="AA485" i="23"/>
  <c r="AC369" i="23"/>
  <c r="Z427" i="23"/>
  <c r="X195" i="23"/>
  <c r="AA225" i="23"/>
  <c r="Y79" i="23"/>
  <c r="AA137" i="23"/>
  <c r="Z80" i="23" l="1"/>
  <c r="AA428" i="23"/>
  <c r="AB486" i="23"/>
  <c r="AC487" i="23" s="1"/>
  <c r="AD488" i="23" s="1"/>
  <c r="AE489" i="23" s="1"/>
  <c r="Z254" i="23"/>
  <c r="AB138" i="23"/>
  <c r="AC139" i="23" s="1"/>
  <c r="AD140" i="23" s="1"/>
  <c r="AE141" i="23" s="1"/>
  <c r="AB226" i="23"/>
  <c r="AC227" i="23" s="1"/>
  <c r="AD228" i="23" s="1"/>
  <c r="AE229" i="23" s="1"/>
  <c r="Y196" i="23"/>
  <c r="AD370" i="23"/>
  <c r="Z51" i="23"/>
  <c r="AA109" i="23"/>
  <c r="Y167" i="23"/>
  <c r="AB312" i="23"/>
  <c r="AC313" i="23" s="1"/>
  <c r="AD314" i="23" s="1"/>
  <c r="AE315" i="23" s="1"/>
  <c r="AB110" i="23" l="1"/>
  <c r="AC111" i="23" s="1"/>
  <c r="AD112" i="23" s="1"/>
  <c r="AE113" i="23" s="1"/>
  <c r="AE371" i="23"/>
  <c r="AA255" i="23"/>
  <c r="Z168" i="23"/>
  <c r="AA52" i="23"/>
  <c r="Z197" i="23"/>
  <c r="AB429" i="23"/>
  <c r="AC430" i="23" s="1"/>
  <c r="AD431" i="23" s="1"/>
  <c r="AE432" i="23" s="1"/>
  <c r="AA81" i="23"/>
  <c r="AB82" i="23" l="1"/>
  <c r="AC83" i="23" s="1"/>
  <c r="AD84" i="23" s="1"/>
  <c r="AB53" i="23"/>
  <c r="AC54" i="23" s="1"/>
  <c r="AD55" i="23" s="1"/>
  <c r="AA198" i="23"/>
  <c r="AA169" i="23"/>
  <c r="AB256" i="23"/>
  <c r="AC257" i="23" s="1"/>
  <c r="AD258" i="23" s="1"/>
  <c r="AB170" i="23" l="1"/>
  <c r="AC171" i="23" s="1"/>
  <c r="AB199" i="23"/>
  <c r="AC200" i="23" s="1"/>
  <c r="K3" i="16" l="1"/>
  <c r="K20" i="16"/>
  <c r="K16" i="16"/>
  <c r="K12" i="16"/>
  <c r="K8" i="16"/>
  <c r="K4" i="16"/>
  <c r="K21" i="16"/>
  <c r="K17" i="16"/>
  <c r="K13" i="16"/>
  <c r="K9" i="16"/>
  <c r="K5" i="16"/>
  <c r="K18" i="16"/>
  <c r="K14" i="16"/>
  <c r="K10" i="16"/>
  <c r="K6" i="16"/>
  <c r="K19" i="16"/>
  <c r="K15" i="16"/>
  <c r="K11" i="16"/>
  <c r="K7" i="16"/>
  <c r="M14" i="13" l="1"/>
  <c r="L14" i="13"/>
  <c r="K14" i="13"/>
  <c r="J14" i="13"/>
  <c r="I14" i="13"/>
  <c r="H14" i="13"/>
  <c r="G14" i="13"/>
  <c r="F14" i="13"/>
  <c r="P6" i="13"/>
  <c r="P7" i="13" l="1"/>
  <c r="I58" i="1" s="1"/>
  <c r="D55" i="1"/>
  <c r="E55" i="1"/>
  <c r="F55" i="1"/>
  <c r="G55" i="1"/>
  <c r="H55" i="1"/>
  <c r="I55" i="1"/>
  <c r="J55" i="1"/>
  <c r="K55" i="1"/>
  <c r="L55" i="1"/>
  <c r="M55" i="1"/>
  <c r="O55" i="1"/>
  <c r="BG33" i="23" l="1"/>
  <c r="E151" i="1"/>
  <c r="G30" i="2"/>
  <c r="P55" i="1"/>
  <c r="BH40" i="23"/>
  <c r="BI37" i="23"/>
  <c r="BJ35" i="23"/>
  <c r="BJ43" i="23"/>
  <c r="AV42" i="23"/>
  <c r="BG44" i="23"/>
  <c r="AV38" i="23"/>
  <c r="BH42" i="23"/>
  <c r="BI39" i="23"/>
  <c r="BH31" i="23"/>
  <c r="BJ38" i="23"/>
  <c r="BG41" i="23"/>
  <c r="AL38" i="23"/>
  <c r="BJ33" i="23"/>
  <c r="BG42" i="23"/>
  <c r="BE38" i="23"/>
  <c r="BI35" i="23"/>
  <c r="AX42" i="23"/>
  <c r="AN38" i="23"/>
  <c r="BI45" i="23"/>
  <c r="AT38" i="23"/>
  <c r="BF38" i="23"/>
  <c r="AZ42" i="23"/>
  <c r="BJ31" i="23"/>
  <c r="AY42" i="23"/>
  <c r="AW38" i="23"/>
  <c r="BI31" i="23"/>
  <c r="BJ40" i="23"/>
  <c r="BH37" i="23"/>
  <c r="BE42" i="23"/>
  <c r="BH43" i="23"/>
  <c r="BJ36" i="23"/>
  <c r="BH45" i="23"/>
  <c r="AX38" i="23"/>
  <c r="AH38" i="23"/>
  <c r="BF41" i="23"/>
  <c r="AO38" i="23"/>
  <c r="BJ45" i="23"/>
  <c r="BH39" i="23"/>
  <c r="BH33" i="23"/>
  <c r="AW42" i="23"/>
  <c r="BI40" i="23"/>
  <c r="AU38" i="23"/>
  <c r="AM38" i="23"/>
  <c r="BG37" i="23"/>
  <c r="BI33" i="23"/>
  <c r="BF42" i="23"/>
  <c r="BD38" i="23"/>
  <c r="BH35" i="23"/>
  <c r="BI43" i="23"/>
  <c r="BG39" i="23"/>
  <c r="E162" i="1"/>
  <c r="I42" i="5"/>
  <c r="I43" i="5"/>
  <c r="E43" i="5"/>
  <c r="E42" i="5"/>
  <c r="BC38" i="23"/>
  <c r="BG35" i="23"/>
  <c r="C42" i="5"/>
  <c r="C43" i="5"/>
  <c r="D42" i="5"/>
  <c r="D43" i="5"/>
  <c r="E154" i="1"/>
  <c r="G42" i="5"/>
  <c r="G43" i="5"/>
  <c r="F42" i="5"/>
  <c r="F43" i="5"/>
  <c r="B43" i="5"/>
  <c r="B42" i="5"/>
  <c r="E169" i="1"/>
  <c r="E113" i="5"/>
  <c r="E114" i="5"/>
  <c r="B14" i="49"/>
  <c r="C14" i="49" s="1"/>
  <c r="D14" i="49" s="1"/>
  <c r="E14" i="49" s="1"/>
  <c r="F14" i="49" s="1"/>
  <c r="G14" i="49" s="1"/>
  <c r="H14" i="49" s="1"/>
  <c r="I14" i="49" s="1"/>
  <c r="J14" i="49" s="1"/>
  <c r="K14" i="49" s="1"/>
  <c r="L14" i="49" s="1"/>
  <c r="M14" i="49" s="1"/>
  <c r="N14" i="49" s="1"/>
  <c r="O14" i="49" s="1"/>
  <c r="P14" i="49" s="1"/>
  <c r="Q14" i="49" s="1"/>
  <c r="R14" i="49" s="1"/>
  <c r="S14" i="49" s="1"/>
  <c r="T14" i="49" s="1"/>
  <c r="U14" i="49" s="1"/>
  <c r="B15" i="49"/>
  <c r="C15" i="49" s="1"/>
  <c r="D15" i="49" s="1"/>
  <c r="E15" i="49" s="1"/>
  <c r="F15" i="49" s="1"/>
  <c r="G15" i="49" s="1"/>
  <c r="H15" i="49" s="1"/>
  <c r="I15" i="49" s="1"/>
  <c r="J15" i="49" s="1"/>
  <c r="K15" i="49" s="1"/>
  <c r="L15" i="49" s="1"/>
  <c r="M15" i="49" s="1"/>
  <c r="N15" i="49" s="1"/>
  <c r="O15" i="49" s="1"/>
  <c r="P15" i="49" s="1"/>
  <c r="Q15" i="49" s="1"/>
  <c r="R15" i="49" s="1"/>
  <c r="S15" i="49" s="1"/>
  <c r="T15" i="49" s="1"/>
  <c r="U15" i="49" s="1"/>
  <c r="B16" i="5"/>
  <c r="B17" i="5"/>
  <c r="J17" i="5"/>
  <c r="H17" i="5"/>
  <c r="Q64" i="5" s="1"/>
  <c r="G17" i="5"/>
  <c r="F17" i="5"/>
  <c r="E17" i="5"/>
  <c r="D17" i="5"/>
  <c r="D33" i="5" s="1"/>
  <c r="C17" i="5"/>
  <c r="I16" i="5"/>
  <c r="H16" i="5"/>
  <c r="Q63" i="5" s="1"/>
  <c r="G16" i="5"/>
  <c r="F16" i="5"/>
  <c r="E16" i="5"/>
  <c r="E32" i="5" s="1"/>
  <c r="D16" i="5"/>
  <c r="D32" i="5" s="1"/>
  <c r="C16" i="5"/>
  <c r="I17" i="5"/>
  <c r="J16" i="5"/>
  <c r="B10" i="49"/>
  <c r="B11" i="49"/>
  <c r="AP38" i="23"/>
  <c r="BB38" i="23"/>
  <c r="BJ39" i="23"/>
  <c r="BJ34" i="23"/>
  <c r="BJ30" i="23"/>
  <c r="BG43" i="23"/>
  <c r="BJ41" i="23"/>
  <c r="BI38" i="23"/>
  <c r="AS38" i="23"/>
  <c r="BI36" i="23"/>
  <c r="BI32" i="23"/>
  <c r="BJ44" i="23"/>
  <c r="BB42" i="23"/>
  <c r="BF40" i="23"/>
  <c r="AZ38" i="23"/>
  <c r="AJ38" i="23"/>
  <c r="BH34" i="23"/>
  <c r="BH30" i="23"/>
  <c r="BI42" i="23"/>
  <c r="BH41" i="23"/>
  <c r="BG38" i="23"/>
  <c r="AQ38" i="23"/>
  <c r="BG36" i="23"/>
  <c r="BG32" i="23"/>
  <c r="E152" i="1"/>
  <c r="E167" i="1"/>
  <c r="BG31" i="23"/>
  <c r="E156" i="1"/>
  <c r="E168" i="1"/>
  <c r="BD42" i="23"/>
  <c r="BH44" i="23"/>
  <c r="BJ37" i="23"/>
  <c r="BJ32" i="23"/>
  <c r="BG45" i="23"/>
  <c r="BC42" i="23"/>
  <c r="BG40" i="23"/>
  <c r="BA38" i="23"/>
  <c r="AK38" i="23"/>
  <c r="BI34" i="23"/>
  <c r="BI30" i="23"/>
  <c r="BJ42" i="23"/>
  <c r="BI41" i="23"/>
  <c r="BH38" i="23"/>
  <c r="AR38" i="23"/>
  <c r="BH36" i="23"/>
  <c r="BH32" i="23"/>
  <c r="BI44" i="23"/>
  <c r="BA42" i="23"/>
  <c r="BE40" i="23"/>
  <c r="AY38" i="23"/>
  <c r="AI38" i="23"/>
  <c r="BG34" i="23"/>
  <c r="BG30" i="23"/>
  <c r="E161" i="1"/>
  <c r="E159" i="1"/>
  <c r="E153" i="1"/>
  <c r="E166" i="1"/>
  <c r="E158" i="1"/>
  <c r="E164" i="1"/>
  <c r="E157" i="1"/>
  <c r="E163" i="1"/>
  <c r="C408" i="23"/>
  <c r="D409" i="23" s="1"/>
  <c r="E410" i="23" s="1"/>
  <c r="F411" i="23" s="1"/>
  <c r="G412" i="23" s="1"/>
  <c r="H413" i="23" s="1"/>
  <c r="I414" i="23" s="1"/>
  <c r="J415" i="23" s="1"/>
  <c r="K416" i="23" s="1"/>
  <c r="L417" i="23" s="1"/>
  <c r="M418" i="23" s="1"/>
  <c r="N419" i="23" s="1"/>
  <c r="O420" i="23" s="1"/>
  <c r="P421" i="23" s="1"/>
  <c r="Q422" i="23" s="1"/>
  <c r="R423" i="23" s="1"/>
  <c r="S424" i="23" s="1"/>
  <c r="T425" i="23" s="1"/>
  <c r="U426" i="23" s="1"/>
  <c r="V427" i="23" s="1"/>
  <c r="W428" i="23" s="1"/>
  <c r="X429" i="23" s="1"/>
  <c r="Y430" i="23" s="1"/>
  <c r="Z431" i="23" s="1"/>
  <c r="AA432" i="23" s="1"/>
  <c r="C409" i="23"/>
  <c r="D410" i="23" s="1"/>
  <c r="E411" i="23" s="1"/>
  <c r="F412" i="23" s="1"/>
  <c r="G413" i="23" s="1"/>
  <c r="H414" i="23" s="1"/>
  <c r="I415" i="23" s="1"/>
  <c r="J416" i="23" s="1"/>
  <c r="K417" i="23" s="1"/>
  <c r="L418" i="23" s="1"/>
  <c r="M419" i="23" s="1"/>
  <c r="N420" i="23" s="1"/>
  <c r="O421" i="23" s="1"/>
  <c r="P422" i="23" s="1"/>
  <c r="Q423" i="23" s="1"/>
  <c r="R424" i="23" s="1"/>
  <c r="S425" i="23" s="1"/>
  <c r="T426" i="23" s="1"/>
  <c r="U427" i="23" s="1"/>
  <c r="V428" i="23" s="1"/>
  <c r="W429" i="23" s="1"/>
  <c r="X430" i="23" s="1"/>
  <c r="Y431" i="23" s="1"/>
  <c r="Z432" i="23" s="1"/>
  <c r="C410" i="23"/>
  <c r="D411" i="23" s="1"/>
  <c r="E412" i="23" s="1"/>
  <c r="F413" i="23" s="1"/>
  <c r="G414" i="23" s="1"/>
  <c r="H415" i="23" s="1"/>
  <c r="I416" i="23" s="1"/>
  <c r="J417" i="23" s="1"/>
  <c r="K418" i="23" s="1"/>
  <c r="L419" i="23" s="1"/>
  <c r="M420" i="23" s="1"/>
  <c r="N421" i="23" s="1"/>
  <c r="O422" i="23" s="1"/>
  <c r="P423" i="23" s="1"/>
  <c r="Q424" i="23" s="1"/>
  <c r="R425" i="23" s="1"/>
  <c r="S426" i="23" s="1"/>
  <c r="T427" i="23" s="1"/>
  <c r="U428" i="23" s="1"/>
  <c r="V429" i="23" s="1"/>
  <c r="W430" i="23" s="1"/>
  <c r="X431" i="23" s="1"/>
  <c r="Y432" i="23" s="1"/>
  <c r="C411" i="23"/>
  <c r="D412" i="23" s="1"/>
  <c r="E413" i="23" s="1"/>
  <c r="F414" i="23" s="1"/>
  <c r="G415" i="23" s="1"/>
  <c r="H416" i="23" s="1"/>
  <c r="I417" i="23" s="1"/>
  <c r="J418" i="23" s="1"/>
  <c r="K419" i="23" s="1"/>
  <c r="L420" i="23" s="1"/>
  <c r="M421" i="23" s="1"/>
  <c r="N422" i="23" s="1"/>
  <c r="O423" i="23" s="1"/>
  <c r="P424" i="23" s="1"/>
  <c r="Q425" i="23" s="1"/>
  <c r="R426" i="23" s="1"/>
  <c r="S427" i="23" s="1"/>
  <c r="T428" i="23" s="1"/>
  <c r="U429" i="23" s="1"/>
  <c r="V430" i="23" s="1"/>
  <c r="W431" i="23" s="1"/>
  <c r="X432" i="23" s="1"/>
  <c r="C407" i="23"/>
  <c r="D408" i="23" s="1"/>
  <c r="E409" i="23" s="1"/>
  <c r="F410" i="23" s="1"/>
  <c r="G411" i="23" s="1"/>
  <c r="H412" i="23" s="1"/>
  <c r="I413" i="23" s="1"/>
  <c r="J414" i="23" s="1"/>
  <c r="K415" i="23" s="1"/>
  <c r="L416" i="23" s="1"/>
  <c r="M417" i="23" s="1"/>
  <c r="N418" i="23" s="1"/>
  <c r="O419" i="23" s="1"/>
  <c r="P420" i="23" s="1"/>
  <c r="Q421" i="23" s="1"/>
  <c r="R422" i="23" s="1"/>
  <c r="S423" i="23" s="1"/>
  <c r="T424" i="23" s="1"/>
  <c r="U425" i="23" s="1"/>
  <c r="V426" i="23" s="1"/>
  <c r="W427" i="23" s="1"/>
  <c r="X428" i="23" s="1"/>
  <c r="Y429" i="23" s="1"/>
  <c r="Z430" i="23" s="1"/>
  <c r="AA431" i="23" s="1"/>
  <c r="AB432" i="23" s="1"/>
  <c r="AF143" i="1" l="1"/>
  <c r="H30" i="2"/>
  <c r="AG143" i="1"/>
  <c r="AF142" i="1"/>
  <c r="AF141" i="1"/>
  <c r="AE138" i="1"/>
  <c r="AF137" i="1"/>
  <c r="AB137" i="1"/>
  <c r="AD136" i="1"/>
  <c r="AF133" i="1"/>
  <c r="AF132" i="1"/>
  <c r="AF131" i="1"/>
  <c r="AF130" i="1"/>
  <c r="AF128" i="1"/>
  <c r="AF127" i="1"/>
  <c r="AF126" i="1"/>
  <c r="AF125" i="1"/>
  <c r="AE143" i="1"/>
  <c r="AE142" i="1"/>
  <c r="AE141" i="1"/>
  <c r="AD138" i="1"/>
  <c r="AE137" i="1"/>
  <c r="AG136" i="1"/>
  <c r="AE128" i="1"/>
  <c r="AE125" i="1"/>
  <c r="AD143" i="1"/>
  <c r="AD142" i="1"/>
  <c r="AD141" i="1"/>
  <c r="AG138" i="1"/>
  <c r="AC138" i="1"/>
  <c r="AD137" i="1"/>
  <c r="AF136" i="1"/>
  <c r="AD133" i="1"/>
  <c r="AD132" i="1"/>
  <c r="AD131" i="1"/>
  <c r="AD130" i="1"/>
  <c r="AD128" i="1"/>
  <c r="AD127" i="1"/>
  <c r="AD126" i="1"/>
  <c r="AD125" i="1"/>
  <c r="AG142" i="1"/>
  <c r="AG141" i="1"/>
  <c r="AF138" i="1"/>
  <c r="AG137" i="1"/>
  <c r="AC137" i="1"/>
  <c r="AE136" i="1"/>
  <c r="AG133" i="1"/>
  <c r="AG132" i="1"/>
  <c r="AG131" i="1"/>
  <c r="AG130" i="1"/>
  <c r="AG128" i="1"/>
  <c r="AG127" i="1"/>
  <c r="AG126" i="1"/>
  <c r="AG125" i="1"/>
  <c r="AE133" i="1"/>
  <c r="AE132" i="1"/>
  <c r="AE131" i="1"/>
  <c r="AE130" i="1"/>
  <c r="AE127" i="1"/>
  <c r="AE126" i="1"/>
  <c r="F30" i="2"/>
  <c r="F72" i="2"/>
  <c r="F71" i="2"/>
  <c r="B33" i="5"/>
  <c r="AB22" i="1"/>
  <c r="AB16" i="1"/>
  <c r="AB10" i="1"/>
  <c r="AC22" i="1"/>
  <c r="AA10" i="1"/>
  <c r="AD16" i="1"/>
  <c r="C20" i="43"/>
  <c r="AC16" i="1"/>
  <c r="AA22" i="1"/>
  <c r="AD22" i="1"/>
  <c r="AC10" i="1"/>
  <c r="G44" i="5"/>
  <c r="G33" i="5"/>
  <c r="B32" i="5"/>
  <c r="I32" i="5"/>
  <c r="F33" i="5"/>
  <c r="E44" i="5"/>
  <c r="C33" i="5"/>
  <c r="C32" i="5"/>
  <c r="G32" i="5"/>
  <c r="F44" i="5"/>
  <c r="C44" i="5"/>
  <c r="E33" i="5"/>
  <c r="AD10" i="1"/>
  <c r="B19" i="49"/>
  <c r="H42" i="5" s="1"/>
  <c r="H32" i="5" s="1"/>
  <c r="I33" i="5"/>
  <c r="F32" i="5"/>
  <c r="J43" i="5"/>
  <c r="G97" i="5" s="1"/>
  <c r="F97" i="5"/>
  <c r="AA16" i="1"/>
  <c r="B44" i="5"/>
  <c r="D44" i="5"/>
  <c r="J42" i="5"/>
  <c r="J32" i="5" s="1"/>
  <c r="F96" i="5"/>
  <c r="I44" i="5"/>
  <c r="B18" i="49"/>
  <c r="H43" i="5" s="1"/>
  <c r="C412" i="23"/>
  <c r="D413" i="23" s="1"/>
  <c r="E414" i="23" s="1"/>
  <c r="F415" i="23" s="1"/>
  <c r="G416" i="23" s="1"/>
  <c r="H417" i="23" s="1"/>
  <c r="I418" i="23" s="1"/>
  <c r="J419" i="23" s="1"/>
  <c r="K420" i="23" s="1"/>
  <c r="L421" i="23" s="1"/>
  <c r="M422" i="23" s="1"/>
  <c r="N423" i="23" s="1"/>
  <c r="O424" i="23" s="1"/>
  <c r="P425" i="23" s="1"/>
  <c r="Q426" i="23" s="1"/>
  <c r="R427" i="23" s="1"/>
  <c r="S428" i="23" s="1"/>
  <c r="T429" i="23" s="1"/>
  <c r="U430" i="23" s="1"/>
  <c r="V431" i="23" s="1"/>
  <c r="W432" i="23" s="1"/>
  <c r="M8" i="12"/>
  <c r="Z7" i="11"/>
  <c r="Z6" i="11"/>
  <c r="Z5" i="11"/>
  <c r="Z4" i="11"/>
  <c r="Z3" i="11"/>
  <c r="Z2" i="11"/>
  <c r="C218" i="23"/>
  <c r="D219" i="23" s="1"/>
  <c r="E220" i="23" s="1"/>
  <c r="F221" i="23" s="1"/>
  <c r="G222" i="23" s="1"/>
  <c r="H223" i="23" s="1"/>
  <c r="I224" i="23" s="1"/>
  <c r="J225" i="23" s="1"/>
  <c r="K226" i="23" s="1"/>
  <c r="L227" i="23" s="1"/>
  <c r="M228" i="23" s="1"/>
  <c r="N229" i="23" s="1"/>
  <c r="C220" i="23"/>
  <c r="D221" i="23" s="1"/>
  <c r="E222" i="23" s="1"/>
  <c r="F223" i="23" s="1"/>
  <c r="G224" i="23" s="1"/>
  <c r="H225" i="23" s="1"/>
  <c r="I226" i="23" s="1"/>
  <c r="J227" i="23" s="1"/>
  <c r="K228" i="23" s="1"/>
  <c r="L229" i="23" s="1"/>
  <c r="C222" i="23"/>
  <c r="D223" i="23" s="1"/>
  <c r="E224" i="23" s="1"/>
  <c r="F225" i="23" s="1"/>
  <c r="G226" i="23" s="1"/>
  <c r="H227" i="23" s="1"/>
  <c r="I228" i="23" s="1"/>
  <c r="J229" i="23" s="1"/>
  <c r="C226" i="23"/>
  <c r="D227" i="23" s="1"/>
  <c r="E228" i="23" s="1"/>
  <c r="F229" i="23" s="1"/>
  <c r="C153" i="23"/>
  <c r="D154" i="23" s="1"/>
  <c r="E155" i="23" s="1"/>
  <c r="F156" i="23" s="1"/>
  <c r="G157" i="23" s="1"/>
  <c r="H158" i="23" s="1"/>
  <c r="I159" i="23" s="1"/>
  <c r="J160" i="23" s="1"/>
  <c r="K161" i="23" s="1"/>
  <c r="L162" i="23" s="1"/>
  <c r="M163" i="23" s="1"/>
  <c r="N164" i="23" s="1"/>
  <c r="O165" i="23" s="1"/>
  <c r="P166" i="23" s="1"/>
  <c r="Q167" i="23" s="1"/>
  <c r="R168" i="23" s="1"/>
  <c r="S169" i="23" s="1"/>
  <c r="T170" i="23" s="1"/>
  <c r="U171" i="23" s="1"/>
  <c r="C163" i="23"/>
  <c r="D164" i="23" s="1"/>
  <c r="E165" i="23" s="1"/>
  <c r="F166" i="23" s="1"/>
  <c r="G167" i="23" s="1"/>
  <c r="H168" i="23" s="1"/>
  <c r="I169" i="23" s="1"/>
  <c r="J170" i="23" s="1"/>
  <c r="K171" i="23" s="1"/>
  <c r="C89" i="23"/>
  <c r="D90" i="23" s="1"/>
  <c r="E91" i="23" s="1"/>
  <c r="F92" i="23" s="1"/>
  <c r="G93" i="23" s="1"/>
  <c r="H94" i="23" s="1"/>
  <c r="I95" i="23" s="1"/>
  <c r="J96" i="23" s="1"/>
  <c r="K97" i="23" s="1"/>
  <c r="L98" i="23" s="1"/>
  <c r="M99" i="23" s="1"/>
  <c r="N100" i="23" s="1"/>
  <c r="O101" i="23" s="1"/>
  <c r="P102" i="23" s="1"/>
  <c r="Q103" i="23" s="1"/>
  <c r="R104" i="23" s="1"/>
  <c r="S105" i="23" s="1"/>
  <c r="T106" i="23" s="1"/>
  <c r="U107" i="23" s="1"/>
  <c r="V108" i="23" s="1"/>
  <c r="W109" i="23" s="1"/>
  <c r="X110" i="23" s="1"/>
  <c r="Y111" i="23" s="1"/>
  <c r="Z112" i="23" s="1"/>
  <c r="AA113" i="23" s="1"/>
  <c r="C65" i="23"/>
  <c r="D66" i="23" s="1"/>
  <c r="E67" i="23" s="1"/>
  <c r="F68" i="23" s="1"/>
  <c r="G69" i="23" s="1"/>
  <c r="H70" i="23" s="1"/>
  <c r="I71" i="23" s="1"/>
  <c r="J72" i="23" s="1"/>
  <c r="K73" i="23" s="1"/>
  <c r="L74" i="23" s="1"/>
  <c r="M75" i="23" s="1"/>
  <c r="N76" i="23" s="1"/>
  <c r="O77" i="23" s="1"/>
  <c r="P78" i="23" s="1"/>
  <c r="Q79" i="23" s="1"/>
  <c r="R80" i="23" s="1"/>
  <c r="S81" i="23" s="1"/>
  <c r="T82" i="23" s="1"/>
  <c r="U83" i="23" s="1"/>
  <c r="V84" i="23" s="1"/>
  <c r="C125" i="23"/>
  <c r="D126" i="23" s="1"/>
  <c r="E127" i="23" s="1"/>
  <c r="F128" i="23" s="1"/>
  <c r="G129" i="23" s="1"/>
  <c r="H130" i="23" s="1"/>
  <c r="I131" i="23" s="1"/>
  <c r="J132" i="23" s="1"/>
  <c r="K133" i="23" s="1"/>
  <c r="L134" i="23" s="1"/>
  <c r="M135" i="23" s="1"/>
  <c r="N136" i="23" s="1"/>
  <c r="O137" i="23" s="1"/>
  <c r="P138" i="23" s="1"/>
  <c r="Q139" i="23" s="1"/>
  <c r="R140" i="23" s="1"/>
  <c r="S141" i="23" s="1"/>
  <c r="T142" i="23" s="1"/>
  <c r="C97" i="23"/>
  <c r="D98" i="23" s="1"/>
  <c r="E99" i="23" s="1"/>
  <c r="F100" i="23" s="1"/>
  <c r="G101" i="23" s="1"/>
  <c r="H102" i="23" s="1"/>
  <c r="I103" i="23" s="1"/>
  <c r="J104" i="23" s="1"/>
  <c r="K105" i="23" s="1"/>
  <c r="L106" i="23" s="1"/>
  <c r="M107" i="23" s="1"/>
  <c r="N108" i="23" s="1"/>
  <c r="O109" i="23" s="1"/>
  <c r="P110" i="23" s="1"/>
  <c r="Q111" i="23" s="1"/>
  <c r="R112" i="23" s="1"/>
  <c r="S113" i="23" s="1"/>
  <c r="C71" i="23"/>
  <c r="D72" i="23" s="1"/>
  <c r="E73" i="23" s="1"/>
  <c r="F74" i="23" s="1"/>
  <c r="G75" i="23" s="1"/>
  <c r="H76" i="23" s="1"/>
  <c r="I77" i="23" s="1"/>
  <c r="J78" i="23" s="1"/>
  <c r="K79" i="23" s="1"/>
  <c r="L80" i="23" s="1"/>
  <c r="M81" i="23" s="1"/>
  <c r="N82" i="23" s="1"/>
  <c r="O83" i="23" s="1"/>
  <c r="P84" i="23" s="1"/>
  <c r="C103" i="23"/>
  <c r="D104" i="23" s="1"/>
  <c r="E105" i="23" s="1"/>
  <c r="F106" i="23" s="1"/>
  <c r="G107" i="23" s="1"/>
  <c r="H108" i="23" s="1"/>
  <c r="I109" i="23" s="1"/>
  <c r="J110" i="23" s="1"/>
  <c r="K111" i="23" s="1"/>
  <c r="L112" i="23" s="1"/>
  <c r="M113" i="23" s="1"/>
  <c r="C105" i="23"/>
  <c r="D106" i="23" s="1"/>
  <c r="E107" i="23" s="1"/>
  <c r="F108" i="23" s="1"/>
  <c r="G109" i="23" s="1"/>
  <c r="H110" i="23" s="1"/>
  <c r="I111" i="23" s="1"/>
  <c r="J112" i="23" s="1"/>
  <c r="K113" i="23" s="1"/>
  <c r="C107" i="23"/>
  <c r="D108" i="23" s="1"/>
  <c r="E109" i="23" s="1"/>
  <c r="F110" i="23" s="1"/>
  <c r="G111" i="23" s="1"/>
  <c r="H112" i="23" s="1"/>
  <c r="I113" i="23" s="1"/>
  <c r="C111" i="23"/>
  <c r="C35" i="23"/>
  <c r="D36" i="23" s="1"/>
  <c r="E37" i="23" s="1"/>
  <c r="F38" i="23" s="1"/>
  <c r="G39" i="23" s="1"/>
  <c r="H40" i="23" s="1"/>
  <c r="I41" i="23" s="1"/>
  <c r="J42" i="23" s="1"/>
  <c r="K43" i="23" s="1"/>
  <c r="L44" i="23" s="1"/>
  <c r="M45" i="23" s="1"/>
  <c r="N46" i="23" s="1"/>
  <c r="O47" i="23" s="1"/>
  <c r="P48" i="23" s="1"/>
  <c r="Q49" i="23" s="1"/>
  <c r="R50" i="23" s="1"/>
  <c r="S51" i="23" s="1"/>
  <c r="T52" i="23" s="1"/>
  <c r="U53" i="23" s="1"/>
  <c r="V54" i="23" s="1"/>
  <c r="W55" i="23" s="1"/>
  <c r="C45" i="23"/>
  <c r="D46" i="23" s="1"/>
  <c r="E47" i="23" s="1"/>
  <c r="F48" i="23" s="1"/>
  <c r="G49" i="23" s="1"/>
  <c r="H50" i="23" s="1"/>
  <c r="I51" i="23" s="1"/>
  <c r="J52" i="23" s="1"/>
  <c r="K53" i="23" s="1"/>
  <c r="L54" i="23" s="1"/>
  <c r="M55" i="23" s="1"/>
  <c r="C53" i="23"/>
  <c r="C42" i="23"/>
  <c r="D43" i="23" s="1"/>
  <c r="E44" i="23" s="1"/>
  <c r="F45" i="23" s="1"/>
  <c r="G46" i="23" s="1"/>
  <c r="H47" i="23" s="1"/>
  <c r="I48" i="23" s="1"/>
  <c r="J49" i="23" s="1"/>
  <c r="K50" i="23" s="1"/>
  <c r="L51" i="23" s="1"/>
  <c r="M52" i="23" s="1"/>
  <c r="N53" i="23" s="1"/>
  <c r="O54" i="23" s="1"/>
  <c r="P55" i="23" s="1"/>
  <c r="C72" i="23"/>
  <c r="D73" i="23" s="1"/>
  <c r="E74" i="23" s="1"/>
  <c r="F75" i="23" s="1"/>
  <c r="G76" i="23" s="1"/>
  <c r="H77" i="23" s="1"/>
  <c r="I78" i="23" s="1"/>
  <c r="J79" i="23" s="1"/>
  <c r="K80" i="23" s="1"/>
  <c r="L81" i="23" s="1"/>
  <c r="M82" i="23" s="1"/>
  <c r="N83" i="23" s="1"/>
  <c r="O84" i="23" s="1"/>
  <c r="C101" i="23"/>
  <c r="D102" i="23" s="1"/>
  <c r="E103" i="23" s="1"/>
  <c r="F104" i="23" s="1"/>
  <c r="G105" i="23" s="1"/>
  <c r="H106" i="23" s="1"/>
  <c r="I107" i="23" s="1"/>
  <c r="J108" i="23" s="1"/>
  <c r="K109" i="23" s="1"/>
  <c r="L110" i="23" s="1"/>
  <c r="M111" i="23" s="1"/>
  <c r="N112" i="23" s="1"/>
  <c r="O113" i="23" s="1"/>
  <c r="C130" i="23"/>
  <c r="D131" i="23" s="1"/>
  <c r="E132" i="23" s="1"/>
  <c r="F133" i="23" s="1"/>
  <c r="G134" i="23" s="1"/>
  <c r="H135" i="23" s="1"/>
  <c r="I136" i="23" s="1"/>
  <c r="J137" i="23" s="1"/>
  <c r="K138" i="23" s="1"/>
  <c r="L139" i="23" s="1"/>
  <c r="M140" i="23" s="1"/>
  <c r="N141" i="23" s="1"/>
  <c r="O142" i="23" s="1"/>
  <c r="C43" i="23"/>
  <c r="D44" i="23" s="1"/>
  <c r="E45" i="23" s="1"/>
  <c r="F46" i="23" s="1"/>
  <c r="G47" i="23" s="1"/>
  <c r="H48" i="23" s="1"/>
  <c r="I49" i="23" s="1"/>
  <c r="J50" i="23" s="1"/>
  <c r="K51" i="23" s="1"/>
  <c r="L52" i="23" s="1"/>
  <c r="M53" i="23" s="1"/>
  <c r="N54" i="23" s="1"/>
  <c r="O55" i="23" s="1"/>
  <c r="C73" i="23"/>
  <c r="D74" i="23" s="1"/>
  <c r="E75" i="23" s="1"/>
  <c r="F76" i="23" s="1"/>
  <c r="G77" i="23" s="1"/>
  <c r="H78" i="23" s="1"/>
  <c r="I79" i="23" s="1"/>
  <c r="J80" i="23" s="1"/>
  <c r="K81" i="23" s="1"/>
  <c r="L82" i="23" s="1"/>
  <c r="M83" i="23" s="1"/>
  <c r="N84" i="23" s="1"/>
  <c r="C102" i="23"/>
  <c r="D103" i="23" s="1"/>
  <c r="E104" i="23" s="1"/>
  <c r="F105" i="23" s="1"/>
  <c r="G106" i="23" s="1"/>
  <c r="H107" i="23" s="1"/>
  <c r="I108" i="23" s="1"/>
  <c r="J109" i="23" s="1"/>
  <c r="K110" i="23" s="1"/>
  <c r="L111" i="23" s="1"/>
  <c r="M112" i="23" s="1"/>
  <c r="N113" i="23" s="1"/>
  <c r="C131" i="23"/>
  <c r="D132" i="23" s="1"/>
  <c r="E133" i="23" s="1"/>
  <c r="F134" i="23" s="1"/>
  <c r="G135" i="23" s="1"/>
  <c r="H136" i="23" s="1"/>
  <c r="I137" i="23" s="1"/>
  <c r="J138" i="23" s="1"/>
  <c r="K139" i="23" s="1"/>
  <c r="L140" i="23" s="1"/>
  <c r="M141" i="23" s="1"/>
  <c r="N142" i="23" s="1"/>
  <c r="C44" i="23"/>
  <c r="D45" i="23" s="1"/>
  <c r="E46" i="23" s="1"/>
  <c r="F47" i="23" s="1"/>
  <c r="G48" i="23" s="1"/>
  <c r="H49" i="23" s="1"/>
  <c r="I50" i="23" s="1"/>
  <c r="J51" i="23" s="1"/>
  <c r="K52" i="23" s="1"/>
  <c r="L53" i="23" s="1"/>
  <c r="M54" i="23" s="1"/>
  <c r="N55" i="23" s="1"/>
  <c r="C74" i="23"/>
  <c r="D75" i="23" s="1"/>
  <c r="E76" i="23" s="1"/>
  <c r="F77" i="23" s="1"/>
  <c r="G78" i="23" s="1"/>
  <c r="H79" i="23" s="1"/>
  <c r="I80" i="23" s="1"/>
  <c r="J81" i="23" s="1"/>
  <c r="K82" i="23" s="1"/>
  <c r="L83" i="23" s="1"/>
  <c r="M84" i="23" s="1"/>
  <c r="C132" i="23"/>
  <c r="D133" i="23" s="1"/>
  <c r="E134" i="23" s="1"/>
  <c r="F135" i="23" s="1"/>
  <c r="G136" i="23" s="1"/>
  <c r="H137" i="23" s="1"/>
  <c r="I138" i="23" s="1"/>
  <c r="J139" i="23" s="1"/>
  <c r="K140" i="23" s="1"/>
  <c r="L141" i="23" s="1"/>
  <c r="M142" i="23" s="1"/>
  <c r="C75" i="23"/>
  <c r="D76" i="23" s="1"/>
  <c r="E77" i="23" s="1"/>
  <c r="F78" i="23" s="1"/>
  <c r="G79" i="23" s="1"/>
  <c r="H80" i="23" s="1"/>
  <c r="I81" i="23" s="1"/>
  <c r="J82" i="23" s="1"/>
  <c r="K83" i="23" s="1"/>
  <c r="L84" i="23" s="1"/>
  <c r="C104" i="23"/>
  <c r="D105" i="23" s="1"/>
  <c r="E106" i="23" s="1"/>
  <c r="F107" i="23" s="1"/>
  <c r="G108" i="23" s="1"/>
  <c r="H109" i="23" s="1"/>
  <c r="I110" i="23" s="1"/>
  <c r="J111" i="23" s="1"/>
  <c r="K112" i="23" s="1"/>
  <c r="L113" i="23" s="1"/>
  <c r="C133" i="23"/>
  <c r="D134" i="23" s="1"/>
  <c r="E135" i="23" s="1"/>
  <c r="F136" i="23" s="1"/>
  <c r="G137" i="23" s="1"/>
  <c r="H138" i="23" s="1"/>
  <c r="I139" i="23" s="1"/>
  <c r="J140" i="23" s="1"/>
  <c r="K141" i="23" s="1"/>
  <c r="L142" i="23" s="1"/>
  <c r="C46" i="23"/>
  <c r="D47" i="23" s="1"/>
  <c r="E48" i="23" s="1"/>
  <c r="F49" i="23" s="1"/>
  <c r="G50" i="23" s="1"/>
  <c r="H51" i="23" s="1"/>
  <c r="I52" i="23" s="1"/>
  <c r="J53" i="23" s="1"/>
  <c r="K54" i="23" s="1"/>
  <c r="L55" i="23" s="1"/>
  <c r="C76" i="23"/>
  <c r="D77" i="23" s="1"/>
  <c r="E78" i="23" s="1"/>
  <c r="F79" i="23" s="1"/>
  <c r="G80" i="23" s="1"/>
  <c r="H81" i="23" s="1"/>
  <c r="I82" i="23" s="1"/>
  <c r="J83" i="23" s="1"/>
  <c r="K84" i="23" s="1"/>
  <c r="C134" i="23"/>
  <c r="D135" i="23" s="1"/>
  <c r="E136" i="23" s="1"/>
  <c r="F137" i="23" s="1"/>
  <c r="G138" i="23" s="1"/>
  <c r="H139" i="23" s="1"/>
  <c r="I140" i="23" s="1"/>
  <c r="J141" i="23" s="1"/>
  <c r="K142" i="23" s="1"/>
  <c r="C47" i="23"/>
  <c r="D48" i="23" s="1"/>
  <c r="E49" i="23" s="1"/>
  <c r="F50" i="23" s="1"/>
  <c r="G51" i="23" s="1"/>
  <c r="H52" i="23" s="1"/>
  <c r="I53" i="23" s="1"/>
  <c r="J54" i="23" s="1"/>
  <c r="K55" i="23" s="1"/>
  <c r="C77" i="23"/>
  <c r="D78" i="23" s="1"/>
  <c r="E79" i="23" s="1"/>
  <c r="F80" i="23" s="1"/>
  <c r="G81" i="23" s="1"/>
  <c r="H82" i="23" s="1"/>
  <c r="I83" i="23" s="1"/>
  <c r="J84" i="23" s="1"/>
  <c r="C106" i="23"/>
  <c r="D107" i="23" s="1"/>
  <c r="E108" i="23" s="1"/>
  <c r="F109" i="23" s="1"/>
  <c r="G110" i="23" s="1"/>
  <c r="H111" i="23" s="1"/>
  <c r="I112" i="23" s="1"/>
  <c r="J113" i="23" s="1"/>
  <c r="C135" i="23"/>
  <c r="D136" i="23" s="1"/>
  <c r="E137" i="23" s="1"/>
  <c r="F138" i="23" s="1"/>
  <c r="G139" i="23" s="1"/>
  <c r="H140" i="23" s="1"/>
  <c r="I141" i="23" s="1"/>
  <c r="J142" i="23" s="1"/>
  <c r="C48" i="23"/>
  <c r="D49" i="23" s="1"/>
  <c r="E50" i="23" s="1"/>
  <c r="F51" i="23" s="1"/>
  <c r="G52" i="23" s="1"/>
  <c r="H53" i="23" s="1"/>
  <c r="I54" i="23" s="1"/>
  <c r="J55" i="23" s="1"/>
  <c r="C78" i="23"/>
  <c r="D79" i="23" s="1"/>
  <c r="E80" i="23" s="1"/>
  <c r="F81" i="23" s="1"/>
  <c r="G82" i="23" s="1"/>
  <c r="H83" i="23" s="1"/>
  <c r="I84" i="23" s="1"/>
  <c r="C136" i="23"/>
  <c r="D137" i="23" s="1"/>
  <c r="E138" i="23" s="1"/>
  <c r="F139" i="23" s="1"/>
  <c r="G140" i="23" s="1"/>
  <c r="H141" i="23" s="1"/>
  <c r="I142" i="23" s="1"/>
  <c r="C49" i="23"/>
  <c r="D50" i="23" s="1"/>
  <c r="E51" i="23" s="1"/>
  <c r="F52" i="23" s="1"/>
  <c r="G53" i="23" s="1"/>
  <c r="H54" i="23" s="1"/>
  <c r="I55" i="23" s="1"/>
  <c r="C79" i="23"/>
  <c r="D80" i="23" s="1"/>
  <c r="E81" i="23" s="1"/>
  <c r="F82" i="23" s="1"/>
  <c r="G83" i="23" s="1"/>
  <c r="H84" i="23" s="1"/>
  <c r="C108" i="23"/>
  <c r="D109" i="23" s="1"/>
  <c r="E110" i="23" s="1"/>
  <c r="F111" i="23" s="1"/>
  <c r="G112" i="23" s="1"/>
  <c r="H113" i="23" s="1"/>
  <c r="C137" i="23"/>
  <c r="D138" i="23" s="1"/>
  <c r="E139" i="23" s="1"/>
  <c r="F140" i="23" s="1"/>
  <c r="G141" i="23" s="1"/>
  <c r="H142" i="23" s="1"/>
  <c r="C50" i="23"/>
  <c r="D51" i="23" s="1"/>
  <c r="E52" i="23" s="1"/>
  <c r="F53" i="23" s="1"/>
  <c r="G54" i="23" s="1"/>
  <c r="H55" i="23" s="1"/>
  <c r="C80" i="23"/>
  <c r="D81" i="23" s="1"/>
  <c r="E82" i="23" s="1"/>
  <c r="F83" i="23" s="1"/>
  <c r="G84" i="23" s="1"/>
  <c r="C109" i="23"/>
  <c r="D110" i="23" s="1"/>
  <c r="E111" i="23" s="1"/>
  <c r="F112" i="23" s="1"/>
  <c r="G113" i="23" s="1"/>
  <c r="C138" i="23"/>
  <c r="D139" i="23" s="1"/>
  <c r="E140" i="23" s="1"/>
  <c r="F141" i="23" s="1"/>
  <c r="G142" i="23" s="1"/>
  <c r="C51" i="23"/>
  <c r="D52" i="23" s="1"/>
  <c r="E53" i="23" s="1"/>
  <c r="F54" i="23" s="1"/>
  <c r="G55" i="23" s="1"/>
  <c r="C81" i="23"/>
  <c r="D82" i="23" s="1"/>
  <c r="E83" i="23" s="1"/>
  <c r="F84" i="23" s="1"/>
  <c r="C110" i="23"/>
  <c r="D111" i="23" s="1"/>
  <c r="E112" i="23" s="1"/>
  <c r="F113" i="23" s="1"/>
  <c r="C139" i="23"/>
  <c r="D140" i="23" s="1"/>
  <c r="E141" i="23" s="1"/>
  <c r="F142" i="23" s="1"/>
  <c r="C52" i="23"/>
  <c r="D53" i="23" s="1"/>
  <c r="E54" i="23" s="1"/>
  <c r="F55" i="23" s="1"/>
  <c r="C82" i="23"/>
  <c r="C140" i="23"/>
  <c r="C159" i="23"/>
  <c r="D160" i="23" s="1"/>
  <c r="E161" i="23" s="1"/>
  <c r="F162" i="23" s="1"/>
  <c r="G163" i="23" s="1"/>
  <c r="H164" i="23" s="1"/>
  <c r="I165" i="23" s="1"/>
  <c r="J166" i="23" s="1"/>
  <c r="K167" i="23" s="1"/>
  <c r="L168" i="23" s="1"/>
  <c r="M169" i="23" s="1"/>
  <c r="N170" i="23" s="1"/>
  <c r="O171" i="23" s="1"/>
  <c r="C188" i="23"/>
  <c r="D189" i="23" s="1"/>
  <c r="E190" i="23" s="1"/>
  <c r="F191" i="23" s="1"/>
  <c r="G192" i="23" s="1"/>
  <c r="H193" i="23" s="1"/>
  <c r="I194" i="23" s="1"/>
  <c r="J195" i="23" s="1"/>
  <c r="K196" i="23" s="1"/>
  <c r="L197" i="23" s="1"/>
  <c r="M198" i="23" s="1"/>
  <c r="N199" i="23" s="1"/>
  <c r="O200" i="23" s="1"/>
  <c r="C217" i="23"/>
  <c r="D218" i="23" s="1"/>
  <c r="E219" i="23" s="1"/>
  <c r="F220" i="23" s="1"/>
  <c r="G221" i="23" s="1"/>
  <c r="H222" i="23" s="1"/>
  <c r="I223" i="23" s="1"/>
  <c r="J224" i="23" s="1"/>
  <c r="K225" i="23" s="1"/>
  <c r="L226" i="23" s="1"/>
  <c r="M227" i="23" s="1"/>
  <c r="N228" i="23" s="1"/>
  <c r="O229" i="23" s="1"/>
  <c r="C246" i="23"/>
  <c r="D247" i="23" s="1"/>
  <c r="E248" i="23" s="1"/>
  <c r="F249" i="23" s="1"/>
  <c r="G250" i="23" s="1"/>
  <c r="H251" i="23" s="1"/>
  <c r="I252" i="23" s="1"/>
  <c r="J253" i="23" s="1"/>
  <c r="K254" i="23" s="1"/>
  <c r="L255" i="23" s="1"/>
  <c r="M256" i="23" s="1"/>
  <c r="N257" i="23" s="1"/>
  <c r="O258" i="23" s="1"/>
  <c r="C160" i="23"/>
  <c r="D161" i="23" s="1"/>
  <c r="E162" i="23" s="1"/>
  <c r="F163" i="23" s="1"/>
  <c r="G164" i="23" s="1"/>
  <c r="H165" i="23" s="1"/>
  <c r="I166" i="23" s="1"/>
  <c r="J167" i="23" s="1"/>
  <c r="K168" i="23" s="1"/>
  <c r="L169" i="23" s="1"/>
  <c r="M170" i="23" s="1"/>
  <c r="N171" i="23" s="1"/>
  <c r="C189" i="23"/>
  <c r="D190" i="23" s="1"/>
  <c r="E191" i="23" s="1"/>
  <c r="F192" i="23" s="1"/>
  <c r="G193" i="23" s="1"/>
  <c r="H194" i="23" s="1"/>
  <c r="I195" i="23" s="1"/>
  <c r="J196" i="23" s="1"/>
  <c r="K197" i="23" s="1"/>
  <c r="L198" i="23" s="1"/>
  <c r="M199" i="23" s="1"/>
  <c r="N200" i="23" s="1"/>
  <c r="C247" i="23"/>
  <c r="D248" i="23" s="1"/>
  <c r="E249" i="23" s="1"/>
  <c r="F250" i="23" s="1"/>
  <c r="G251" i="23" s="1"/>
  <c r="H252" i="23" s="1"/>
  <c r="I253" i="23" s="1"/>
  <c r="J254" i="23" s="1"/>
  <c r="K255" i="23" s="1"/>
  <c r="L256" i="23" s="1"/>
  <c r="M257" i="23" s="1"/>
  <c r="N258" i="23" s="1"/>
  <c r="C161" i="23"/>
  <c r="D162" i="23" s="1"/>
  <c r="E163" i="23" s="1"/>
  <c r="F164" i="23" s="1"/>
  <c r="G165" i="23" s="1"/>
  <c r="H166" i="23" s="1"/>
  <c r="I167" i="23" s="1"/>
  <c r="J168" i="23" s="1"/>
  <c r="K169" i="23" s="1"/>
  <c r="L170" i="23" s="1"/>
  <c r="M171" i="23" s="1"/>
  <c r="C190" i="23"/>
  <c r="D191" i="23" s="1"/>
  <c r="E192" i="23" s="1"/>
  <c r="F193" i="23" s="1"/>
  <c r="G194" i="23" s="1"/>
  <c r="H195" i="23" s="1"/>
  <c r="I196" i="23" s="1"/>
  <c r="J197" i="23" s="1"/>
  <c r="K198" i="23" s="1"/>
  <c r="L199" i="23" s="1"/>
  <c r="M200" i="23" s="1"/>
  <c r="C219" i="23"/>
  <c r="D220" i="23" s="1"/>
  <c r="E221" i="23" s="1"/>
  <c r="F222" i="23" s="1"/>
  <c r="G223" i="23" s="1"/>
  <c r="H224" i="23" s="1"/>
  <c r="I225" i="23" s="1"/>
  <c r="J226" i="23" s="1"/>
  <c r="K227" i="23" s="1"/>
  <c r="L228" i="23" s="1"/>
  <c r="M229" i="23" s="1"/>
  <c r="C248" i="23"/>
  <c r="D249" i="23" s="1"/>
  <c r="E250" i="23" s="1"/>
  <c r="F251" i="23" s="1"/>
  <c r="G252" i="23" s="1"/>
  <c r="H253" i="23" s="1"/>
  <c r="I254" i="23" s="1"/>
  <c r="J255" i="23" s="1"/>
  <c r="K256" i="23" s="1"/>
  <c r="L257" i="23" s="1"/>
  <c r="M258" i="23" s="1"/>
  <c r="C162" i="23"/>
  <c r="D163" i="23" s="1"/>
  <c r="E164" i="23" s="1"/>
  <c r="F165" i="23" s="1"/>
  <c r="G166" i="23" s="1"/>
  <c r="H167" i="23" s="1"/>
  <c r="I168" i="23" s="1"/>
  <c r="J169" i="23" s="1"/>
  <c r="K170" i="23" s="1"/>
  <c r="L171" i="23" s="1"/>
  <c r="C191" i="23"/>
  <c r="D192" i="23" s="1"/>
  <c r="E193" i="23" s="1"/>
  <c r="F194" i="23" s="1"/>
  <c r="G195" i="23" s="1"/>
  <c r="H196" i="23" s="1"/>
  <c r="I197" i="23" s="1"/>
  <c r="J198" i="23" s="1"/>
  <c r="K199" i="23" s="1"/>
  <c r="L200" i="23" s="1"/>
  <c r="C249" i="23"/>
  <c r="D250" i="23" s="1"/>
  <c r="E251" i="23" s="1"/>
  <c r="F252" i="23" s="1"/>
  <c r="G253" i="23" s="1"/>
  <c r="H254" i="23" s="1"/>
  <c r="I255" i="23" s="1"/>
  <c r="J256" i="23" s="1"/>
  <c r="K257" i="23" s="1"/>
  <c r="L258" i="23" s="1"/>
  <c r="C192" i="23"/>
  <c r="D193" i="23" s="1"/>
  <c r="E194" i="23" s="1"/>
  <c r="F195" i="23" s="1"/>
  <c r="G196" i="23" s="1"/>
  <c r="H197" i="23" s="1"/>
  <c r="I198" i="23" s="1"/>
  <c r="J199" i="23" s="1"/>
  <c r="K200" i="23" s="1"/>
  <c r="C221" i="23"/>
  <c r="D222" i="23" s="1"/>
  <c r="E223" i="23" s="1"/>
  <c r="F224" i="23" s="1"/>
  <c r="G225" i="23" s="1"/>
  <c r="H226" i="23" s="1"/>
  <c r="I227" i="23" s="1"/>
  <c r="J228" i="23" s="1"/>
  <c r="K229" i="23" s="1"/>
  <c r="C250" i="23"/>
  <c r="D251" i="23" s="1"/>
  <c r="E252" i="23" s="1"/>
  <c r="F253" i="23" s="1"/>
  <c r="G254" i="23" s="1"/>
  <c r="H255" i="23" s="1"/>
  <c r="I256" i="23" s="1"/>
  <c r="J257" i="23" s="1"/>
  <c r="K258" i="23" s="1"/>
  <c r="C164" i="23"/>
  <c r="D165" i="23" s="1"/>
  <c r="E166" i="23" s="1"/>
  <c r="F167" i="23" s="1"/>
  <c r="G168" i="23" s="1"/>
  <c r="H169" i="23" s="1"/>
  <c r="I170" i="23" s="1"/>
  <c r="J171" i="23" s="1"/>
  <c r="C193" i="23"/>
  <c r="D194" i="23" s="1"/>
  <c r="E195" i="23" s="1"/>
  <c r="F196" i="23" s="1"/>
  <c r="G197" i="23" s="1"/>
  <c r="H198" i="23" s="1"/>
  <c r="I199" i="23" s="1"/>
  <c r="J200" i="23" s="1"/>
  <c r="C251" i="23"/>
  <c r="D252" i="23" s="1"/>
  <c r="E253" i="23" s="1"/>
  <c r="F254" i="23" s="1"/>
  <c r="G255" i="23" s="1"/>
  <c r="H256" i="23" s="1"/>
  <c r="I257" i="23" s="1"/>
  <c r="J258" i="23" s="1"/>
  <c r="C165" i="23"/>
  <c r="D166" i="23" s="1"/>
  <c r="E167" i="23" s="1"/>
  <c r="F168" i="23" s="1"/>
  <c r="G169" i="23" s="1"/>
  <c r="H170" i="23" s="1"/>
  <c r="I171" i="23" s="1"/>
  <c r="C194" i="23"/>
  <c r="D195" i="23" s="1"/>
  <c r="E196" i="23" s="1"/>
  <c r="F197" i="23" s="1"/>
  <c r="G198" i="23" s="1"/>
  <c r="H199" i="23" s="1"/>
  <c r="I200" i="23" s="1"/>
  <c r="C223" i="23"/>
  <c r="D224" i="23" s="1"/>
  <c r="E225" i="23" s="1"/>
  <c r="F226" i="23" s="1"/>
  <c r="G227" i="23" s="1"/>
  <c r="H228" i="23" s="1"/>
  <c r="I229" i="23" s="1"/>
  <c r="C252" i="23"/>
  <c r="D253" i="23" s="1"/>
  <c r="E254" i="23" s="1"/>
  <c r="F255" i="23" s="1"/>
  <c r="G256" i="23" s="1"/>
  <c r="H257" i="23" s="1"/>
  <c r="I258" i="23" s="1"/>
  <c r="C166" i="23"/>
  <c r="D167" i="23" s="1"/>
  <c r="E168" i="23" s="1"/>
  <c r="F169" i="23" s="1"/>
  <c r="G170" i="23" s="1"/>
  <c r="H171" i="23" s="1"/>
  <c r="C195" i="23"/>
  <c r="D196" i="23" s="1"/>
  <c r="E197" i="23" s="1"/>
  <c r="F198" i="23" s="1"/>
  <c r="G199" i="23" s="1"/>
  <c r="H200" i="23" s="1"/>
  <c r="C224" i="23"/>
  <c r="D225" i="23" s="1"/>
  <c r="E226" i="23" s="1"/>
  <c r="F227" i="23" s="1"/>
  <c r="G228" i="23" s="1"/>
  <c r="H229" i="23" s="1"/>
  <c r="C253" i="23"/>
  <c r="D254" i="23" s="1"/>
  <c r="E255" i="23" s="1"/>
  <c r="F256" i="23" s="1"/>
  <c r="G257" i="23" s="1"/>
  <c r="H258" i="23" s="1"/>
  <c r="C167" i="23"/>
  <c r="D168" i="23" s="1"/>
  <c r="E169" i="23" s="1"/>
  <c r="F170" i="23" s="1"/>
  <c r="G171" i="23" s="1"/>
  <c r="C196" i="23"/>
  <c r="D197" i="23" s="1"/>
  <c r="E198" i="23" s="1"/>
  <c r="F199" i="23" s="1"/>
  <c r="G200" i="23" s="1"/>
  <c r="C225" i="23"/>
  <c r="D226" i="23" s="1"/>
  <c r="E227" i="23" s="1"/>
  <c r="F228" i="23" s="1"/>
  <c r="G229" i="23" s="1"/>
  <c r="C254" i="23"/>
  <c r="D255" i="23" s="1"/>
  <c r="E256" i="23" s="1"/>
  <c r="F257" i="23" s="1"/>
  <c r="G258" i="23" s="1"/>
  <c r="C197" i="23"/>
  <c r="D198" i="23" s="1"/>
  <c r="E199" i="23" s="1"/>
  <c r="F200" i="23" s="1"/>
  <c r="C255" i="23"/>
  <c r="D256" i="23" s="1"/>
  <c r="E257" i="23" s="1"/>
  <c r="F258" i="23" s="1"/>
  <c r="C198" i="23"/>
  <c r="C227" i="23"/>
  <c r="C256" i="23"/>
  <c r="C442" i="23"/>
  <c r="D443" i="23" s="1"/>
  <c r="E444" i="23" s="1"/>
  <c r="F445" i="23" s="1"/>
  <c r="G446" i="23" s="1"/>
  <c r="H447" i="23" s="1"/>
  <c r="I448" i="23" s="1"/>
  <c r="J449" i="23" s="1"/>
  <c r="K450" i="23" s="1"/>
  <c r="L451" i="23" s="1"/>
  <c r="M452" i="23" s="1"/>
  <c r="N453" i="23" s="1"/>
  <c r="O454" i="23" s="1"/>
  <c r="P455" i="23" s="1"/>
  <c r="Q456" i="23" s="1"/>
  <c r="R457" i="23" s="1"/>
  <c r="S458" i="23" s="1"/>
  <c r="T459" i="23" s="1"/>
  <c r="U460" i="23" s="1"/>
  <c r="V461" i="23" s="1"/>
  <c r="C441" i="23"/>
  <c r="D442" i="23" s="1"/>
  <c r="E443" i="23" s="1"/>
  <c r="F444" i="23" s="1"/>
  <c r="G445" i="23" s="1"/>
  <c r="H446" i="23" s="1"/>
  <c r="I447" i="23" s="1"/>
  <c r="J448" i="23" s="1"/>
  <c r="K449" i="23" s="1"/>
  <c r="L450" i="23" s="1"/>
  <c r="M451" i="23" s="1"/>
  <c r="N452" i="23" s="1"/>
  <c r="O453" i="23" s="1"/>
  <c r="P454" i="23" s="1"/>
  <c r="Q455" i="23" s="1"/>
  <c r="R456" i="23" s="1"/>
  <c r="S457" i="23" s="1"/>
  <c r="T458" i="23" s="1"/>
  <c r="U459" i="23" s="1"/>
  <c r="V460" i="23" s="1"/>
  <c r="W461" i="23" s="1"/>
  <c r="C440" i="23"/>
  <c r="D441" i="23" s="1"/>
  <c r="E442" i="23" s="1"/>
  <c r="F443" i="23" s="1"/>
  <c r="G444" i="23" s="1"/>
  <c r="H445" i="23" s="1"/>
  <c r="I446" i="23" s="1"/>
  <c r="J447" i="23" s="1"/>
  <c r="K448" i="23" s="1"/>
  <c r="L449" i="23" s="1"/>
  <c r="M450" i="23" s="1"/>
  <c r="N451" i="23" s="1"/>
  <c r="O452" i="23" s="1"/>
  <c r="P453" i="23" s="1"/>
  <c r="Q454" i="23" s="1"/>
  <c r="R455" i="23" s="1"/>
  <c r="S456" i="23" s="1"/>
  <c r="T457" i="23" s="1"/>
  <c r="U458" i="23" s="1"/>
  <c r="V459" i="23" s="1"/>
  <c r="W460" i="23" s="1"/>
  <c r="X461" i="23" s="1"/>
  <c r="C439" i="23"/>
  <c r="D440" i="23" s="1"/>
  <c r="E441" i="23" s="1"/>
  <c r="F442" i="23" s="1"/>
  <c r="G443" i="23" s="1"/>
  <c r="H444" i="23" s="1"/>
  <c r="I445" i="23" s="1"/>
  <c r="J446" i="23" s="1"/>
  <c r="K447" i="23" s="1"/>
  <c r="L448" i="23" s="1"/>
  <c r="M449" i="23" s="1"/>
  <c r="N450" i="23" s="1"/>
  <c r="O451" i="23" s="1"/>
  <c r="P452" i="23" s="1"/>
  <c r="Q453" i="23" s="1"/>
  <c r="R454" i="23" s="1"/>
  <c r="S455" i="23" s="1"/>
  <c r="T456" i="23" s="1"/>
  <c r="U457" i="23" s="1"/>
  <c r="V458" i="23" s="1"/>
  <c r="W459" i="23" s="1"/>
  <c r="X460" i="23" s="1"/>
  <c r="Y461" i="23" s="1"/>
  <c r="C471" i="23"/>
  <c r="D472" i="23" s="1"/>
  <c r="E473" i="23" s="1"/>
  <c r="F474" i="23" s="1"/>
  <c r="G475" i="23" s="1"/>
  <c r="H476" i="23" s="1"/>
  <c r="I477" i="23" s="1"/>
  <c r="J478" i="23" s="1"/>
  <c r="K479" i="23" s="1"/>
  <c r="L480" i="23" s="1"/>
  <c r="M481" i="23" s="1"/>
  <c r="N482" i="23" s="1"/>
  <c r="O483" i="23" s="1"/>
  <c r="P484" i="23" s="1"/>
  <c r="Q485" i="23" s="1"/>
  <c r="R486" i="23" s="1"/>
  <c r="S487" i="23" s="1"/>
  <c r="T488" i="23" s="1"/>
  <c r="U489" i="23" s="1"/>
  <c r="V490" i="23" s="1"/>
  <c r="C470" i="23"/>
  <c r="D471" i="23" s="1"/>
  <c r="E472" i="23" s="1"/>
  <c r="F473" i="23" s="1"/>
  <c r="G474" i="23" s="1"/>
  <c r="H475" i="23" s="1"/>
  <c r="I476" i="23" s="1"/>
  <c r="J477" i="23" s="1"/>
  <c r="K478" i="23" s="1"/>
  <c r="L479" i="23" s="1"/>
  <c r="M480" i="23" s="1"/>
  <c r="N481" i="23" s="1"/>
  <c r="O482" i="23" s="1"/>
  <c r="P483" i="23" s="1"/>
  <c r="Q484" i="23" s="1"/>
  <c r="R485" i="23" s="1"/>
  <c r="S486" i="23" s="1"/>
  <c r="T487" i="23" s="1"/>
  <c r="U488" i="23" s="1"/>
  <c r="V489" i="23" s="1"/>
  <c r="W490" i="23" s="1"/>
  <c r="C469" i="23"/>
  <c r="D470" i="23" s="1"/>
  <c r="E471" i="23" s="1"/>
  <c r="F472" i="23" s="1"/>
  <c r="G473" i="23" s="1"/>
  <c r="H474" i="23" s="1"/>
  <c r="I475" i="23" s="1"/>
  <c r="J476" i="23" s="1"/>
  <c r="K477" i="23" s="1"/>
  <c r="L478" i="23" s="1"/>
  <c r="M479" i="23" s="1"/>
  <c r="N480" i="23" s="1"/>
  <c r="O481" i="23" s="1"/>
  <c r="P482" i="23" s="1"/>
  <c r="Q483" i="23" s="1"/>
  <c r="R484" i="23" s="1"/>
  <c r="S485" i="23" s="1"/>
  <c r="T486" i="23" s="1"/>
  <c r="U487" i="23" s="1"/>
  <c r="V488" i="23" s="1"/>
  <c r="W489" i="23" s="1"/>
  <c r="X490" i="23" s="1"/>
  <c r="C468" i="23"/>
  <c r="D469" i="23" s="1"/>
  <c r="E470" i="23" s="1"/>
  <c r="F471" i="23" s="1"/>
  <c r="G472" i="23" s="1"/>
  <c r="H473" i="23" s="1"/>
  <c r="I474" i="23" s="1"/>
  <c r="J475" i="23" s="1"/>
  <c r="K476" i="23" s="1"/>
  <c r="L477" i="23" s="1"/>
  <c r="M478" i="23" s="1"/>
  <c r="N479" i="23" s="1"/>
  <c r="O480" i="23" s="1"/>
  <c r="P481" i="23" s="1"/>
  <c r="Q482" i="23" s="1"/>
  <c r="R483" i="23" s="1"/>
  <c r="S484" i="23" s="1"/>
  <c r="T485" i="23" s="1"/>
  <c r="U486" i="23" s="1"/>
  <c r="V487" i="23" s="1"/>
  <c r="W488" i="23" s="1"/>
  <c r="X489" i="23" s="1"/>
  <c r="Y490" i="23" s="1"/>
  <c r="C325" i="23"/>
  <c r="D326" i="23" s="1"/>
  <c r="E327" i="23" s="1"/>
  <c r="F328" i="23" s="1"/>
  <c r="G329" i="23" s="1"/>
  <c r="H330" i="23" s="1"/>
  <c r="I331" i="23" s="1"/>
  <c r="J332" i="23" s="1"/>
  <c r="K333" i="23" s="1"/>
  <c r="L334" i="23" s="1"/>
  <c r="M335" i="23" s="1"/>
  <c r="N336" i="23" s="1"/>
  <c r="O337" i="23" s="1"/>
  <c r="P338" i="23" s="1"/>
  <c r="Q339" i="23" s="1"/>
  <c r="R340" i="23" s="1"/>
  <c r="S341" i="23" s="1"/>
  <c r="T342" i="23" s="1"/>
  <c r="U343" i="23" s="1"/>
  <c r="V344" i="23" s="1"/>
  <c r="W345" i="23" s="1"/>
  <c r="C326" i="23"/>
  <c r="D327" i="23" s="1"/>
  <c r="E328" i="23" s="1"/>
  <c r="F329" i="23" s="1"/>
  <c r="G330" i="23" s="1"/>
  <c r="H331" i="23" s="1"/>
  <c r="I332" i="23" s="1"/>
  <c r="J333" i="23" s="1"/>
  <c r="K334" i="23" s="1"/>
  <c r="L335" i="23" s="1"/>
  <c r="M336" i="23" s="1"/>
  <c r="N337" i="23" s="1"/>
  <c r="O338" i="23" s="1"/>
  <c r="P339" i="23" s="1"/>
  <c r="Q340" i="23" s="1"/>
  <c r="R341" i="23" s="1"/>
  <c r="S342" i="23" s="1"/>
  <c r="T343" i="23" s="1"/>
  <c r="U344" i="23" s="1"/>
  <c r="V345" i="23" s="1"/>
  <c r="C321" i="23"/>
  <c r="D322" i="23" s="1"/>
  <c r="E323" i="23" s="1"/>
  <c r="F324" i="23" s="1"/>
  <c r="G325" i="23" s="1"/>
  <c r="H326" i="23" s="1"/>
  <c r="I327" i="23" s="1"/>
  <c r="J328" i="23" s="1"/>
  <c r="K329" i="23" s="1"/>
  <c r="L330" i="23" s="1"/>
  <c r="M331" i="23" s="1"/>
  <c r="N332" i="23" s="1"/>
  <c r="O333" i="23" s="1"/>
  <c r="P334" i="23" s="1"/>
  <c r="Q335" i="23" s="1"/>
  <c r="R336" i="23" s="1"/>
  <c r="S337" i="23" s="1"/>
  <c r="T338" i="23" s="1"/>
  <c r="U339" i="23" s="1"/>
  <c r="V340" i="23" s="1"/>
  <c r="W341" i="23" s="1"/>
  <c r="X342" i="23" s="1"/>
  <c r="Y343" i="23" s="1"/>
  <c r="Z344" i="23" s="1"/>
  <c r="AA345" i="23" s="1"/>
  <c r="C350" i="23"/>
  <c r="D351" i="23" s="1"/>
  <c r="E352" i="23" s="1"/>
  <c r="F353" i="23" s="1"/>
  <c r="G354" i="23" s="1"/>
  <c r="H355" i="23" s="1"/>
  <c r="I356" i="23" s="1"/>
  <c r="J357" i="23" s="1"/>
  <c r="K358" i="23" s="1"/>
  <c r="L359" i="23" s="1"/>
  <c r="M360" i="23" s="1"/>
  <c r="N361" i="23" s="1"/>
  <c r="O362" i="23" s="1"/>
  <c r="P363" i="23" s="1"/>
  <c r="Q364" i="23" s="1"/>
  <c r="R365" i="23" s="1"/>
  <c r="S366" i="23" s="1"/>
  <c r="T367" i="23" s="1"/>
  <c r="U368" i="23" s="1"/>
  <c r="V369" i="23" s="1"/>
  <c r="W370" i="23" s="1"/>
  <c r="X371" i="23" s="1"/>
  <c r="Y372" i="23" s="1"/>
  <c r="Z373" i="23" s="1"/>
  <c r="AA374" i="23" s="1"/>
  <c r="C322" i="23"/>
  <c r="D323" i="23" s="1"/>
  <c r="E324" i="23" s="1"/>
  <c r="F325" i="23" s="1"/>
  <c r="G326" i="23" s="1"/>
  <c r="H327" i="23" s="1"/>
  <c r="I328" i="23" s="1"/>
  <c r="J329" i="23" s="1"/>
  <c r="K330" i="23" s="1"/>
  <c r="L331" i="23" s="1"/>
  <c r="M332" i="23" s="1"/>
  <c r="N333" i="23" s="1"/>
  <c r="O334" i="23" s="1"/>
  <c r="P335" i="23" s="1"/>
  <c r="Q336" i="23" s="1"/>
  <c r="R337" i="23" s="1"/>
  <c r="S338" i="23" s="1"/>
  <c r="T339" i="23" s="1"/>
  <c r="U340" i="23" s="1"/>
  <c r="V341" i="23" s="1"/>
  <c r="W342" i="23" s="1"/>
  <c r="X343" i="23" s="1"/>
  <c r="Y344" i="23" s="1"/>
  <c r="Z345" i="23" s="1"/>
  <c r="C351" i="23"/>
  <c r="D352" i="23" s="1"/>
  <c r="E353" i="23" s="1"/>
  <c r="F354" i="23" s="1"/>
  <c r="G355" i="23" s="1"/>
  <c r="H356" i="23" s="1"/>
  <c r="I357" i="23" s="1"/>
  <c r="J358" i="23" s="1"/>
  <c r="K359" i="23" s="1"/>
  <c r="L360" i="23" s="1"/>
  <c r="M361" i="23" s="1"/>
  <c r="N362" i="23" s="1"/>
  <c r="O363" i="23" s="1"/>
  <c r="P364" i="23" s="1"/>
  <c r="Q365" i="23" s="1"/>
  <c r="R366" i="23" s="1"/>
  <c r="S367" i="23" s="1"/>
  <c r="T368" i="23" s="1"/>
  <c r="U369" i="23" s="1"/>
  <c r="V370" i="23" s="1"/>
  <c r="W371" i="23" s="1"/>
  <c r="X372" i="23" s="1"/>
  <c r="Y373" i="23" s="1"/>
  <c r="Z374" i="23" s="1"/>
  <c r="C323" i="23"/>
  <c r="D324" i="23" s="1"/>
  <c r="E325" i="23" s="1"/>
  <c r="F326" i="23" s="1"/>
  <c r="G327" i="23" s="1"/>
  <c r="H328" i="23" s="1"/>
  <c r="I329" i="23" s="1"/>
  <c r="J330" i="23" s="1"/>
  <c r="K331" i="23" s="1"/>
  <c r="L332" i="23" s="1"/>
  <c r="M333" i="23" s="1"/>
  <c r="N334" i="23" s="1"/>
  <c r="O335" i="23" s="1"/>
  <c r="P336" i="23" s="1"/>
  <c r="Q337" i="23" s="1"/>
  <c r="R338" i="23" s="1"/>
  <c r="S339" i="23" s="1"/>
  <c r="T340" i="23" s="1"/>
  <c r="U341" i="23" s="1"/>
  <c r="V342" i="23" s="1"/>
  <c r="W343" i="23" s="1"/>
  <c r="X344" i="23" s="1"/>
  <c r="Y345" i="23" s="1"/>
  <c r="C352" i="23"/>
  <c r="D353" i="23" s="1"/>
  <c r="E354" i="23" s="1"/>
  <c r="F355" i="23" s="1"/>
  <c r="G356" i="23" s="1"/>
  <c r="H357" i="23" s="1"/>
  <c r="I358" i="23" s="1"/>
  <c r="J359" i="23" s="1"/>
  <c r="K360" i="23" s="1"/>
  <c r="L361" i="23" s="1"/>
  <c r="M362" i="23" s="1"/>
  <c r="N363" i="23" s="1"/>
  <c r="O364" i="23" s="1"/>
  <c r="P365" i="23" s="1"/>
  <c r="Q366" i="23" s="1"/>
  <c r="R367" i="23" s="1"/>
  <c r="S368" i="23" s="1"/>
  <c r="T369" i="23" s="1"/>
  <c r="U370" i="23" s="1"/>
  <c r="V371" i="23" s="1"/>
  <c r="W372" i="23" s="1"/>
  <c r="X373" i="23" s="1"/>
  <c r="Y374" i="23" s="1"/>
  <c r="C324" i="23"/>
  <c r="D325" i="23" s="1"/>
  <c r="E326" i="23" s="1"/>
  <c r="F327" i="23" s="1"/>
  <c r="G328" i="23" s="1"/>
  <c r="H329" i="23" s="1"/>
  <c r="I330" i="23" s="1"/>
  <c r="J331" i="23" s="1"/>
  <c r="K332" i="23" s="1"/>
  <c r="L333" i="23" s="1"/>
  <c r="M334" i="23" s="1"/>
  <c r="N335" i="23" s="1"/>
  <c r="O336" i="23" s="1"/>
  <c r="P337" i="23" s="1"/>
  <c r="Q338" i="23" s="1"/>
  <c r="R339" i="23" s="1"/>
  <c r="S340" i="23" s="1"/>
  <c r="T341" i="23" s="1"/>
  <c r="U342" i="23" s="1"/>
  <c r="V343" i="23" s="1"/>
  <c r="W344" i="23" s="1"/>
  <c r="X345" i="23" s="1"/>
  <c r="C353" i="23"/>
  <c r="D354" i="23" s="1"/>
  <c r="E355" i="23" s="1"/>
  <c r="F356" i="23" s="1"/>
  <c r="G357" i="23" s="1"/>
  <c r="H358" i="23" s="1"/>
  <c r="I359" i="23" s="1"/>
  <c r="J360" i="23" s="1"/>
  <c r="K361" i="23" s="1"/>
  <c r="L362" i="23" s="1"/>
  <c r="M363" i="23" s="1"/>
  <c r="N364" i="23" s="1"/>
  <c r="O365" i="23" s="1"/>
  <c r="P366" i="23" s="1"/>
  <c r="Q367" i="23" s="1"/>
  <c r="R368" i="23" s="1"/>
  <c r="S369" i="23" s="1"/>
  <c r="T370" i="23" s="1"/>
  <c r="U371" i="23" s="1"/>
  <c r="V372" i="23" s="1"/>
  <c r="W373" i="23" s="1"/>
  <c r="X374" i="23" s="1"/>
  <c r="C354" i="23"/>
  <c r="D355" i="23" s="1"/>
  <c r="E356" i="23" s="1"/>
  <c r="F357" i="23" s="1"/>
  <c r="G358" i="23" s="1"/>
  <c r="H359" i="23" s="1"/>
  <c r="I360" i="23" s="1"/>
  <c r="J361" i="23" s="1"/>
  <c r="K362" i="23" s="1"/>
  <c r="L363" i="23" s="1"/>
  <c r="M364" i="23" s="1"/>
  <c r="N365" i="23" s="1"/>
  <c r="O366" i="23" s="1"/>
  <c r="P367" i="23" s="1"/>
  <c r="Q368" i="23" s="1"/>
  <c r="R369" i="23" s="1"/>
  <c r="S370" i="23" s="1"/>
  <c r="T371" i="23" s="1"/>
  <c r="U372" i="23" s="1"/>
  <c r="V373" i="23" s="1"/>
  <c r="W374" i="23" s="1"/>
  <c r="C355" i="23"/>
  <c r="D356" i="23" s="1"/>
  <c r="E357" i="23" s="1"/>
  <c r="F358" i="23" s="1"/>
  <c r="G359" i="23" s="1"/>
  <c r="H360" i="23" s="1"/>
  <c r="I361" i="23" s="1"/>
  <c r="J362" i="23" s="1"/>
  <c r="K363" i="23" s="1"/>
  <c r="L364" i="23" s="1"/>
  <c r="M365" i="23" s="1"/>
  <c r="N366" i="23" s="1"/>
  <c r="O367" i="23" s="1"/>
  <c r="P368" i="23" s="1"/>
  <c r="Q369" i="23" s="1"/>
  <c r="R370" i="23" s="1"/>
  <c r="S371" i="23" s="1"/>
  <c r="T372" i="23" s="1"/>
  <c r="U373" i="23" s="1"/>
  <c r="V374" i="23" s="1"/>
  <c r="C356" i="23"/>
  <c r="D357" i="23" s="1"/>
  <c r="E358" i="23" s="1"/>
  <c r="F359" i="23" s="1"/>
  <c r="G360" i="23" s="1"/>
  <c r="H361" i="23" s="1"/>
  <c r="I362" i="23" s="1"/>
  <c r="J363" i="23" s="1"/>
  <c r="K364" i="23" s="1"/>
  <c r="L365" i="23" s="1"/>
  <c r="M366" i="23" s="1"/>
  <c r="N367" i="23" s="1"/>
  <c r="O368" i="23" s="1"/>
  <c r="P369" i="23" s="1"/>
  <c r="Q370" i="23" s="1"/>
  <c r="R371" i="23" s="1"/>
  <c r="S372" i="23" s="1"/>
  <c r="T373" i="23" s="1"/>
  <c r="U374" i="23" s="1"/>
  <c r="C349" i="23"/>
  <c r="D350" i="23" s="1"/>
  <c r="E351" i="23" s="1"/>
  <c r="F352" i="23" s="1"/>
  <c r="G353" i="23" s="1"/>
  <c r="H354" i="23" s="1"/>
  <c r="I355" i="23" s="1"/>
  <c r="J356" i="23" s="1"/>
  <c r="K357" i="23" s="1"/>
  <c r="L358" i="23" s="1"/>
  <c r="M359" i="23" s="1"/>
  <c r="N360" i="23" s="1"/>
  <c r="O361" i="23" s="1"/>
  <c r="P362" i="23" s="1"/>
  <c r="Q363" i="23" s="1"/>
  <c r="R364" i="23" s="1"/>
  <c r="S365" i="23" s="1"/>
  <c r="T366" i="23" s="1"/>
  <c r="U367" i="23" s="1"/>
  <c r="V368" i="23" s="1"/>
  <c r="W369" i="23" s="1"/>
  <c r="X370" i="23" s="1"/>
  <c r="Y371" i="23" s="1"/>
  <c r="Z372" i="23" s="1"/>
  <c r="AA373" i="23" s="1"/>
  <c r="AB374" i="23" s="1"/>
  <c r="C320" i="23"/>
  <c r="D321" i="23" s="1"/>
  <c r="E322" i="23" s="1"/>
  <c r="F323" i="23" s="1"/>
  <c r="G324" i="23" s="1"/>
  <c r="H325" i="23" s="1"/>
  <c r="I326" i="23" s="1"/>
  <c r="J327" i="23" s="1"/>
  <c r="K328" i="23" s="1"/>
  <c r="L329" i="23" s="1"/>
  <c r="M330" i="23" s="1"/>
  <c r="N331" i="23" s="1"/>
  <c r="O332" i="23" s="1"/>
  <c r="P333" i="23" s="1"/>
  <c r="Q334" i="23" s="1"/>
  <c r="R335" i="23" s="1"/>
  <c r="S336" i="23" s="1"/>
  <c r="T337" i="23" s="1"/>
  <c r="U338" i="23" s="1"/>
  <c r="V339" i="23" s="1"/>
  <c r="W340" i="23" s="1"/>
  <c r="X341" i="23" s="1"/>
  <c r="Y342" i="23" s="1"/>
  <c r="Z343" i="23" s="1"/>
  <c r="AA344" i="23" s="1"/>
  <c r="AB345" i="23" s="1"/>
  <c r="C245" i="23"/>
  <c r="D246" i="23" s="1"/>
  <c r="E247" i="23" s="1"/>
  <c r="F248" i="23" s="1"/>
  <c r="G249" i="23" s="1"/>
  <c r="H250" i="23" s="1"/>
  <c r="I251" i="23" s="1"/>
  <c r="J252" i="23" s="1"/>
  <c r="K253" i="23" s="1"/>
  <c r="L254" i="23" s="1"/>
  <c r="M255" i="23" s="1"/>
  <c r="N256" i="23" s="1"/>
  <c r="O257" i="23" s="1"/>
  <c r="P258" i="23" s="1"/>
  <c r="C216" i="23"/>
  <c r="D217" i="23" s="1"/>
  <c r="E218" i="23" s="1"/>
  <c r="F219" i="23" s="1"/>
  <c r="G220" i="23" s="1"/>
  <c r="H221" i="23" s="1"/>
  <c r="I222" i="23" s="1"/>
  <c r="J223" i="23" s="1"/>
  <c r="K224" i="23" s="1"/>
  <c r="L225" i="23" s="1"/>
  <c r="M226" i="23" s="1"/>
  <c r="N227" i="23" s="1"/>
  <c r="O228" i="23" s="1"/>
  <c r="P229" i="23" s="1"/>
  <c r="C187" i="23"/>
  <c r="D188" i="23" s="1"/>
  <c r="E189" i="23" s="1"/>
  <c r="F190" i="23" s="1"/>
  <c r="G191" i="23" s="1"/>
  <c r="H192" i="23" s="1"/>
  <c r="I193" i="23" s="1"/>
  <c r="J194" i="23" s="1"/>
  <c r="K195" i="23" s="1"/>
  <c r="L196" i="23" s="1"/>
  <c r="M197" i="23" s="1"/>
  <c r="N198" i="23" s="1"/>
  <c r="O199" i="23" s="1"/>
  <c r="P200" i="23" s="1"/>
  <c r="C158" i="23"/>
  <c r="D159" i="23" s="1"/>
  <c r="E160" i="23" s="1"/>
  <c r="F161" i="23" s="1"/>
  <c r="G162" i="23" s="1"/>
  <c r="H163" i="23" s="1"/>
  <c r="I164" i="23" s="1"/>
  <c r="J165" i="23" s="1"/>
  <c r="K166" i="23" s="1"/>
  <c r="L167" i="23" s="1"/>
  <c r="M168" i="23" s="1"/>
  <c r="N169" i="23" s="1"/>
  <c r="O170" i="23" s="1"/>
  <c r="P171" i="23" s="1"/>
  <c r="C129" i="23"/>
  <c r="D130" i="23" s="1"/>
  <c r="E131" i="23" s="1"/>
  <c r="F132" i="23" s="1"/>
  <c r="G133" i="23" s="1"/>
  <c r="H134" i="23" s="1"/>
  <c r="I135" i="23" s="1"/>
  <c r="J136" i="23" s="1"/>
  <c r="K137" i="23" s="1"/>
  <c r="L138" i="23" s="1"/>
  <c r="M139" i="23" s="1"/>
  <c r="N140" i="23" s="1"/>
  <c r="O141" i="23" s="1"/>
  <c r="P142" i="23" s="1"/>
  <c r="C100" i="23"/>
  <c r="D101" i="23" s="1"/>
  <c r="E102" i="23" s="1"/>
  <c r="F103" i="23" s="1"/>
  <c r="G104" i="23" s="1"/>
  <c r="H105" i="23" s="1"/>
  <c r="I106" i="23" s="1"/>
  <c r="J107" i="23" s="1"/>
  <c r="K108" i="23" s="1"/>
  <c r="L109" i="23" s="1"/>
  <c r="M110" i="23" s="1"/>
  <c r="N111" i="23" s="1"/>
  <c r="O112" i="23" s="1"/>
  <c r="P113" i="23" s="1"/>
  <c r="C41" i="23"/>
  <c r="D42" i="23" s="1"/>
  <c r="E43" i="23" s="1"/>
  <c r="F44" i="23" s="1"/>
  <c r="G45" i="23" s="1"/>
  <c r="H46" i="23" s="1"/>
  <c r="I47" i="23" s="1"/>
  <c r="J48" i="23" s="1"/>
  <c r="K49" i="23" s="1"/>
  <c r="L50" i="23" s="1"/>
  <c r="M51" i="23" s="1"/>
  <c r="N52" i="23" s="1"/>
  <c r="O53" i="23" s="1"/>
  <c r="P54" i="23" s="1"/>
  <c r="Q55" i="23" s="1"/>
  <c r="C244" i="23"/>
  <c r="D245" i="23" s="1"/>
  <c r="E246" i="23" s="1"/>
  <c r="F247" i="23" s="1"/>
  <c r="G248" i="23" s="1"/>
  <c r="H249" i="23" s="1"/>
  <c r="I250" i="23" s="1"/>
  <c r="J251" i="23" s="1"/>
  <c r="K252" i="23" s="1"/>
  <c r="L253" i="23" s="1"/>
  <c r="M254" i="23" s="1"/>
  <c r="N255" i="23" s="1"/>
  <c r="O256" i="23" s="1"/>
  <c r="P257" i="23" s="1"/>
  <c r="Q258" i="23" s="1"/>
  <c r="C215" i="23"/>
  <c r="D216" i="23" s="1"/>
  <c r="E217" i="23" s="1"/>
  <c r="F218" i="23" s="1"/>
  <c r="G219" i="23" s="1"/>
  <c r="H220" i="23" s="1"/>
  <c r="I221" i="23" s="1"/>
  <c r="J222" i="23" s="1"/>
  <c r="K223" i="23" s="1"/>
  <c r="L224" i="23" s="1"/>
  <c r="M225" i="23" s="1"/>
  <c r="N226" i="23" s="1"/>
  <c r="O227" i="23" s="1"/>
  <c r="P228" i="23" s="1"/>
  <c r="Q229" i="23" s="1"/>
  <c r="C186" i="23"/>
  <c r="D187" i="23" s="1"/>
  <c r="E188" i="23" s="1"/>
  <c r="F189" i="23" s="1"/>
  <c r="G190" i="23" s="1"/>
  <c r="H191" i="23" s="1"/>
  <c r="I192" i="23" s="1"/>
  <c r="J193" i="23" s="1"/>
  <c r="K194" i="23" s="1"/>
  <c r="L195" i="23" s="1"/>
  <c r="M196" i="23" s="1"/>
  <c r="N197" i="23" s="1"/>
  <c r="O198" i="23" s="1"/>
  <c r="P199" i="23" s="1"/>
  <c r="Q200" i="23" s="1"/>
  <c r="C157" i="23"/>
  <c r="D158" i="23" s="1"/>
  <c r="E159" i="23" s="1"/>
  <c r="F160" i="23" s="1"/>
  <c r="G161" i="23" s="1"/>
  <c r="H162" i="23" s="1"/>
  <c r="I163" i="23" s="1"/>
  <c r="J164" i="23" s="1"/>
  <c r="K165" i="23" s="1"/>
  <c r="L166" i="23" s="1"/>
  <c r="M167" i="23" s="1"/>
  <c r="N168" i="23" s="1"/>
  <c r="O169" i="23" s="1"/>
  <c r="P170" i="23" s="1"/>
  <c r="Q171" i="23" s="1"/>
  <c r="C128" i="23"/>
  <c r="D129" i="23" s="1"/>
  <c r="E130" i="23" s="1"/>
  <c r="F131" i="23" s="1"/>
  <c r="G132" i="23" s="1"/>
  <c r="H133" i="23" s="1"/>
  <c r="I134" i="23" s="1"/>
  <c r="J135" i="23" s="1"/>
  <c r="K136" i="23" s="1"/>
  <c r="L137" i="23" s="1"/>
  <c r="M138" i="23" s="1"/>
  <c r="N139" i="23" s="1"/>
  <c r="O140" i="23" s="1"/>
  <c r="P141" i="23" s="1"/>
  <c r="Q142" i="23" s="1"/>
  <c r="C99" i="23"/>
  <c r="D100" i="23" s="1"/>
  <c r="E101" i="23" s="1"/>
  <c r="F102" i="23" s="1"/>
  <c r="G103" i="23" s="1"/>
  <c r="H104" i="23" s="1"/>
  <c r="I105" i="23" s="1"/>
  <c r="J106" i="23" s="1"/>
  <c r="K107" i="23" s="1"/>
  <c r="L108" i="23" s="1"/>
  <c r="M109" i="23" s="1"/>
  <c r="N110" i="23" s="1"/>
  <c r="O111" i="23" s="1"/>
  <c r="P112" i="23" s="1"/>
  <c r="Q113" i="23" s="1"/>
  <c r="C70" i="23"/>
  <c r="D71" i="23" s="1"/>
  <c r="E72" i="23" s="1"/>
  <c r="F73" i="23" s="1"/>
  <c r="G74" i="23" s="1"/>
  <c r="H75" i="23" s="1"/>
  <c r="I76" i="23" s="1"/>
  <c r="J77" i="23" s="1"/>
  <c r="K78" i="23" s="1"/>
  <c r="L79" i="23" s="1"/>
  <c r="M80" i="23" s="1"/>
  <c r="N81" i="23" s="1"/>
  <c r="O82" i="23" s="1"/>
  <c r="P83" i="23" s="1"/>
  <c r="Q84" i="23" s="1"/>
  <c r="C40" i="23"/>
  <c r="D41" i="23" s="1"/>
  <c r="E42" i="23" s="1"/>
  <c r="F43" i="23" s="1"/>
  <c r="G44" i="23" s="1"/>
  <c r="H45" i="23" s="1"/>
  <c r="I46" i="23" s="1"/>
  <c r="J47" i="23" s="1"/>
  <c r="K48" i="23" s="1"/>
  <c r="L49" i="23" s="1"/>
  <c r="M50" i="23" s="1"/>
  <c r="N51" i="23" s="1"/>
  <c r="O52" i="23" s="1"/>
  <c r="P53" i="23" s="1"/>
  <c r="Q54" i="23" s="1"/>
  <c r="R55" i="23" s="1"/>
  <c r="C301" i="23"/>
  <c r="D302" i="23" s="1"/>
  <c r="E303" i="23" s="1"/>
  <c r="F304" i="23" s="1"/>
  <c r="G305" i="23" s="1"/>
  <c r="H306" i="23" s="1"/>
  <c r="I307" i="23" s="1"/>
  <c r="J308" i="23" s="1"/>
  <c r="K309" i="23" s="1"/>
  <c r="L310" i="23" s="1"/>
  <c r="M311" i="23" s="1"/>
  <c r="N312" i="23" s="1"/>
  <c r="O313" i="23" s="1"/>
  <c r="P314" i="23" s="1"/>
  <c r="Q315" i="23" s="1"/>
  <c r="R316" i="23" s="1"/>
  <c r="C243" i="23"/>
  <c r="D244" i="23" s="1"/>
  <c r="E245" i="23" s="1"/>
  <c r="F246" i="23" s="1"/>
  <c r="G247" i="23" s="1"/>
  <c r="H248" i="23" s="1"/>
  <c r="I249" i="23" s="1"/>
  <c r="J250" i="23" s="1"/>
  <c r="K251" i="23" s="1"/>
  <c r="L252" i="23" s="1"/>
  <c r="M253" i="23" s="1"/>
  <c r="N254" i="23" s="1"/>
  <c r="O255" i="23" s="1"/>
  <c r="P256" i="23" s="1"/>
  <c r="Q257" i="23" s="1"/>
  <c r="R258" i="23" s="1"/>
  <c r="C214" i="23"/>
  <c r="D215" i="23" s="1"/>
  <c r="E216" i="23" s="1"/>
  <c r="F217" i="23" s="1"/>
  <c r="G218" i="23" s="1"/>
  <c r="H219" i="23" s="1"/>
  <c r="I220" i="23" s="1"/>
  <c r="J221" i="23" s="1"/>
  <c r="K222" i="23" s="1"/>
  <c r="L223" i="23" s="1"/>
  <c r="M224" i="23" s="1"/>
  <c r="N225" i="23" s="1"/>
  <c r="O226" i="23" s="1"/>
  <c r="P227" i="23" s="1"/>
  <c r="Q228" i="23" s="1"/>
  <c r="R229" i="23" s="1"/>
  <c r="C185" i="23"/>
  <c r="D186" i="23" s="1"/>
  <c r="E187" i="23" s="1"/>
  <c r="F188" i="23" s="1"/>
  <c r="G189" i="23" s="1"/>
  <c r="H190" i="23" s="1"/>
  <c r="I191" i="23" s="1"/>
  <c r="J192" i="23" s="1"/>
  <c r="K193" i="23" s="1"/>
  <c r="L194" i="23" s="1"/>
  <c r="M195" i="23" s="1"/>
  <c r="N196" i="23" s="1"/>
  <c r="O197" i="23" s="1"/>
  <c r="P198" i="23" s="1"/>
  <c r="Q199" i="23" s="1"/>
  <c r="R200" i="23" s="1"/>
  <c r="C156" i="23"/>
  <c r="D157" i="23" s="1"/>
  <c r="E158" i="23" s="1"/>
  <c r="F159" i="23" s="1"/>
  <c r="G160" i="23" s="1"/>
  <c r="H161" i="23" s="1"/>
  <c r="I162" i="23" s="1"/>
  <c r="J163" i="23" s="1"/>
  <c r="K164" i="23" s="1"/>
  <c r="L165" i="23" s="1"/>
  <c r="M166" i="23" s="1"/>
  <c r="N167" i="23" s="1"/>
  <c r="O168" i="23" s="1"/>
  <c r="P169" i="23" s="1"/>
  <c r="Q170" i="23" s="1"/>
  <c r="R171" i="23" s="1"/>
  <c r="C127" i="23"/>
  <c r="D128" i="23" s="1"/>
  <c r="E129" i="23" s="1"/>
  <c r="F130" i="23" s="1"/>
  <c r="G131" i="23" s="1"/>
  <c r="H132" i="23" s="1"/>
  <c r="I133" i="23" s="1"/>
  <c r="J134" i="23" s="1"/>
  <c r="K135" i="23" s="1"/>
  <c r="L136" i="23" s="1"/>
  <c r="M137" i="23" s="1"/>
  <c r="N138" i="23" s="1"/>
  <c r="O139" i="23" s="1"/>
  <c r="P140" i="23" s="1"/>
  <c r="Q141" i="23" s="1"/>
  <c r="R142" i="23" s="1"/>
  <c r="C98" i="23"/>
  <c r="D99" i="23" s="1"/>
  <c r="E100" i="23" s="1"/>
  <c r="F101" i="23" s="1"/>
  <c r="G102" i="23" s="1"/>
  <c r="H103" i="23" s="1"/>
  <c r="I104" i="23" s="1"/>
  <c r="J105" i="23" s="1"/>
  <c r="K106" i="23" s="1"/>
  <c r="L107" i="23" s="1"/>
  <c r="M108" i="23" s="1"/>
  <c r="N109" i="23" s="1"/>
  <c r="O110" i="23" s="1"/>
  <c r="P111" i="23" s="1"/>
  <c r="Q112" i="23" s="1"/>
  <c r="R113" i="23" s="1"/>
  <c r="C69" i="23"/>
  <c r="D70" i="23" s="1"/>
  <c r="E71" i="23" s="1"/>
  <c r="F72" i="23" s="1"/>
  <c r="G73" i="23" s="1"/>
  <c r="H74" i="23" s="1"/>
  <c r="I75" i="23" s="1"/>
  <c r="J76" i="23" s="1"/>
  <c r="K77" i="23" s="1"/>
  <c r="L78" i="23" s="1"/>
  <c r="M79" i="23" s="1"/>
  <c r="N80" i="23" s="1"/>
  <c r="O81" i="23" s="1"/>
  <c r="P82" i="23" s="1"/>
  <c r="Q83" i="23" s="1"/>
  <c r="R84" i="23" s="1"/>
  <c r="C39" i="23"/>
  <c r="D40" i="23" s="1"/>
  <c r="E41" i="23" s="1"/>
  <c r="F42" i="23" s="1"/>
  <c r="G43" i="23" s="1"/>
  <c r="H44" i="23" s="1"/>
  <c r="I45" i="23" s="1"/>
  <c r="J46" i="23" s="1"/>
  <c r="K47" i="23" s="1"/>
  <c r="L48" i="23" s="1"/>
  <c r="M49" i="23" s="1"/>
  <c r="N50" i="23" s="1"/>
  <c r="O51" i="23" s="1"/>
  <c r="P52" i="23" s="1"/>
  <c r="Q53" i="23" s="1"/>
  <c r="R54" i="23" s="1"/>
  <c r="S55" i="23" s="1"/>
  <c r="C300" i="23"/>
  <c r="D301" i="23" s="1"/>
  <c r="E302" i="23" s="1"/>
  <c r="F303" i="23" s="1"/>
  <c r="G304" i="23" s="1"/>
  <c r="H305" i="23" s="1"/>
  <c r="I306" i="23" s="1"/>
  <c r="J307" i="23" s="1"/>
  <c r="K308" i="23" s="1"/>
  <c r="L309" i="23" s="1"/>
  <c r="M310" i="23" s="1"/>
  <c r="N311" i="23" s="1"/>
  <c r="O312" i="23" s="1"/>
  <c r="P313" i="23" s="1"/>
  <c r="Q314" i="23" s="1"/>
  <c r="R315" i="23" s="1"/>
  <c r="S316" i="23" s="1"/>
  <c r="C242" i="23"/>
  <c r="D243" i="23" s="1"/>
  <c r="E244" i="23" s="1"/>
  <c r="F245" i="23" s="1"/>
  <c r="G246" i="23" s="1"/>
  <c r="H247" i="23" s="1"/>
  <c r="I248" i="23" s="1"/>
  <c r="J249" i="23" s="1"/>
  <c r="K250" i="23" s="1"/>
  <c r="L251" i="23" s="1"/>
  <c r="M252" i="23" s="1"/>
  <c r="N253" i="23" s="1"/>
  <c r="O254" i="23" s="1"/>
  <c r="P255" i="23" s="1"/>
  <c r="Q256" i="23" s="1"/>
  <c r="R257" i="23" s="1"/>
  <c r="S258" i="23" s="1"/>
  <c r="C213" i="23"/>
  <c r="D214" i="23" s="1"/>
  <c r="E215" i="23" s="1"/>
  <c r="F216" i="23" s="1"/>
  <c r="G217" i="23" s="1"/>
  <c r="H218" i="23" s="1"/>
  <c r="I219" i="23" s="1"/>
  <c r="J220" i="23" s="1"/>
  <c r="K221" i="23" s="1"/>
  <c r="L222" i="23" s="1"/>
  <c r="M223" i="23" s="1"/>
  <c r="N224" i="23" s="1"/>
  <c r="O225" i="23" s="1"/>
  <c r="P226" i="23" s="1"/>
  <c r="Q227" i="23" s="1"/>
  <c r="R228" i="23" s="1"/>
  <c r="S229" i="23" s="1"/>
  <c r="C184" i="23"/>
  <c r="D185" i="23" s="1"/>
  <c r="E186" i="23" s="1"/>
  <c r="F187" i="23" s="1"/>
  <c r="G188" i="23" s="1"/>
  <c r="H189" i="23" s="1"/>
  <c r="I190" i="23" s="1"/>
  <c r="J191" i="23" s="1"/>
  <c r="K192" i="23" s="1"/>
  <c r="L193" i="23" s="1"/>
  <c r="M194" i="23" s="1"/>
  <c r="N195" i="23" s="1"/>
  <c r="O196" i="23" s="1"/>
  <c r="P197" i="23" s="1"/>
  <c r="Q198" i="23" s="1"/>
  <c r="R199" i="23" s="1"/>
  <c r="S200" i="23" s="1"/>
  <c r="C155" i="23"/>
  <c r="D156" i="23" s="1"/>
  <c r="E157" i="23" s="1"/>
  <c r="F158" i="23" s="1"/>
  <c r="G159" i="23" s="1"/>
  <c r="H160" i="23" s="1"/>
  <c r="I161" i="23" s="1"/>
  <c r="J162" i="23" s="1"/>
  <c r="K163" i="23" s="1"/>
  <c r="L164" i="23" s="1"/>
  <c r="M165" i="23" s="1"/>
  <c r="N166" i="23" s="1"/>
  <c r="O167" i="23" s="1"/>
  <c r="P168" i="23" s="1"/>
  <c r="Q169" i="23" s="1"/>
  <c r="R170" i="23" s="1"/>
  <c r="S171" i="23" s="1"/>
  <c r="C126" i="23"/>
  <c r="D127" i="23" s="1"/>
  <c r="E128" i="23" s="1"/>
  <c r="F129" i="23" s="1"/>
  <c r="G130" i="23" s="1"/>
  <c r="H131" i="23" s="1"/>
  <c r="I132" i="23" s="1"/>
  <c r="J133" i="23" s="1"/>
  <c r="K134" i="23" s="1"/>
  <c r="L135" i="23" s="1"/>
  <c r="M136" i="23" s="1"/>
  <c r="N137" i="23" s="1"/>
  <c r="O138" i="23" s="1"/>
  <c r="P139" i="23" s="1"/>
  <c r="Q140" i="23" s="1"/>
  <c r="R141" i="23" s="1"/>
  <c r="S142" i="23" s="1"/>
  <c r="C68" i="23"/>
  <c r="D69" i="23" s="1"/>
  <c r="E70" i="23" s="1"/>
  <c r="F71" i="23" s="1"/>
  <c r="G72" i="23" s="1"/>
  <c r="H73" i="23" s="1"/>
  <c r="I74" i="23" s="1"/>
  <c r="J75" i="23" s="1"/>
  <c r="K76" i="23" s="1"/>
  <c r="L77" i="23" s="1"/>
  <c r="M78" i="23" s="1"/>
  <c r="N79" i="23" s="1"/>
  <c r="O80" i="23" s="1"/>
  <c r="P81" i="23" s="1"/>
  <c r="Q82" i="23" s="1"/>
  <c r="R83" i="23" s="1"/>
  <c r="S84" i="23" s="1"/>
  <c r="C38" i="23"/>
  <c r="D39" i="23" s="1"/>
  <c r="E40" i="23" s="1"/>
  <c r="F41" i="23" s="1"/>
  <c r="G42" i="23" s="1"/>
  <c r="H43" i="23" s="1"/>
  <c r="I44" i="23" s="1"/>
  <c r="J45" i="23" s="1"/>
  <c r="K46" i="23" s="1"/>
  <c r="L47" i="23" s="1"/>
  <c r="M48" i="23" s="1"/>
  <c r="N49" i="23" s="1"/>
  <c r="O50" i="23" s="1"/>
  <c r="P51" i="23" s="1"/>
  <c r="Q52" i="23" s="1"/>
  <c r="R53" i="23" s="1"/>
  <c r="S54" i="23" s="1"/>
  <c r="T55" i="23" s="1"/>
  <c r="C299" i="23"/>
  <c r="D300" i="23" s="1"/>
  <c r="E301" i="23" s="1"/>
  <c r="F302" i="23" s="1"/>
  <c r="G303" i="23" s="1"/>
  <c r="H304" i="23" s="1"/>
  <c r="I305" i="23" s="1"/>
  <c r="J306" i="23" s="1"/>
  <c r="K307" i="23" s="1"/>
  <c r="L308" i="23" s="1"/>
  <c r="M309" i="23" s="1"/>
  <c r="N310" i="23" s="1"/>
  <c r="O311" i="23" s="1"/>
  <c r="P312" i="23" s="1"/>
  <c r="Q313" i="23" s="1"/>
  <c r="R314" i="23" s="1"/>
  <c r="S315" i="23" s="1"/>
  <c r="T316" i="23" s="1"/>
  <c r="C241" i="23"/>
  <c r="D242" i="23" s="1"/>
  <c r="E243" i="23" s="1"/>
  <c r="F244" i="23" s="1"/>
  <c r="G245" i="23" s="1"/>
  <c r="H246" i="23" s="1"/>
  <c r="I247" i="23" s="1"/>
  <c r="J248" i="23" s="1"/>
  <c r="K249" i="23" s="1"/>
  <c r="L250" i="23" s="1"/>
  <c r="M251" i="23" s="1"/>
  <c r="N252" i="23" s="1"/>
  <c r="O253" i="23" s="1"/>
  <c r="P254" i="23" s="1"/>
  <c r="Q255" i="23" s="1"/>
  <c r="R256" i="23" s="1"/>
  <c r="S257" i="23" s="1"/>
  <c r="T258" i="23" s="1"/>
  <c r="C212" i="23"/>
  <c r="D213" i="23" s="1"/>
  <c r="E214" i="23" s="1"/>
  <c r="F215" i="23" s="1"/>
  <c r="G216" i="23" s="1"/>
  <c r="H217" i="23" s="1"/>
  <c r="I218" i="23" s="1"/>
  <c r="J219" i="23" s="1"/>
  <c r="K220" i="23" s="1"/>
  <c r="L221" i="23" s="1"/>
  <c r="M222" i="23" s="1"/>
  <c r="N223" i="23" s="1"/>
  <c r="O224" i="23" s="1"/>
  <c r="P225" i="23" s="1"/>
  <c r="Q226" i="23" s="1"/>
  <c r="R227" i="23" s="1"/>
  <c r="S228" i="23" s="1"/>
  <c r="T229" i="23" s="1"/>
  <c r="C183" i="23"/>
  <c r="D184" i="23" s="1"/>
  <c r="E185" i="23" s="1"/>
  <c r="F186" i="23" s="1"/>
  <c r="G187" i="23" s="1"/>
  <c r="H188" i="23" s="1"/>
  <c r="I189" i="23" s="1"/>
  <c r="J190" i="23" s="1"/>
  <c r="K191" i="23" s="1"/>
  <c r="L192" i="23" s="1"/>
  <c r="M193" i="23" s="1"/>
  <c r="N194" i="23" s="1"/>
  <c r="O195" i="23" s="1"/>
  <c r="P196" i="23" s="1"/>
  <c r="Q197" i="23" s="1"/>
  <c r="R198" i="23" s="1"/>
  <c r="S199" i="23" s="1"/>
  <c r="T200" i="23" s="1"/>
  <c r="C154" i="23"/>
  <c r="D155" i="23" s="1"/>
  <c r="E156" i="23" s="1"/>
  <c r="F157" i="23" s="1"/>
  <c r="G158" i="23" s="1"/>
  <c r="H159" i="23" s="1"/>
  <c r="I160" i="23" s="1"/>
  <c r="J161" i="23" s="1"/>
  <c r="K162" i="23" s="1"/>
  <c r="L163" i="23" s="1"/>
  <c r="M164" i="23" s="1"/>
  <c r="N165" i="23" s="1"/>
  <c r="O166" i="23" s="1"/>
  <c r="P167" i="23" s="1"/>
  <c r="Q168" i="23" s="1"/>
  <c r="R169" i="23" s="1"/>
  <c r="S170" i="23" s="1"/>
  <c r="T171" i="23" s="1"/>
  <c r="C96" i="23"/>
  <c r="D97" i="23" s="1"/>
  <c r="E98" i="23" s="1"/>
  <c r="F99" i="23" s="1"/>
  <c r="G100" i="23" s="1"/>
  <c r="H101" i="23" s="1"/>
  <c r="I102" i="23" s="1"/>
  <c r="J103" i="23" s="1"/>
  <c r="K104" i="23" s="1"/>
  <c r="L105" i="23" s="1"/>
  <c r="M106" i="23" s="1"/>
  <c r="N107" i="23" s="1"/>
  <c r="O108" i="23" s="1"/>
  <c r="P109" i="23" s="1"/>
  <c r="Q110" i="23" s="1"/>
  <c r="R111" i="23" s="1"/>
  <c r="S112" i="23" s="1"/>
  <c r="T113" i="23" s="1"/>
  <c r="C67" i="23"/>
  <c r="D68" i="23" s="1"/>
  <c r="E69" i="23" s="1"/>
  <c r="F70" i="23" s="1"/>
  <c r="G71" i="23" s="1"/>
  <c r="H72" i="23" s="1"/>
  <c r="I73" i="23" s="1"/>
  <c r="J74" i="23" s="1"/>
  <c r="K75" i="23" s="1"/>
  <c r="L76" i="23" s="1"/>
  <c r="M77" i="23" s="1"/>
  <c r="N78" i="23" s="1"/>
  <c r="O79" i="23" s="1"/>
  <c r="P80" i="23" s="1"/>
  <c r="Q81" i="23" s="1"/>
  <c r="R82" i="23" s="1"/>
  <c r="S83" i="23" s="1"/>
  <c r="T84" i="23" s="1"/>
  <c r="C37" i="23"/>
  <c r="D38" i="23" s="1"/>
  <c r="E39" i="23" s="1"/>
  <c r="F40" i="23" s="1"/>
  <c r="G41" i="23" s="1"/>
  <c r="H42" i="23" s="1"/>
  <c r="I43" i="23" s="1"/>
  <c r="J44" i="23" s="1"/>
  <c r="K45" i="23" s="1"/>
  <c r="L46" i="23" s="1"/>
  <c r="M47" i="23" s="1"/>
  <c r="N48" i="23" s="1"/>
  <c r="O49" i="23" s="1"/>
  <c r="P50" i="23" s="1"/>
  <c r="Q51" i="23" s="1"/>
  <c r="R52" i="23" s="1"/>
  <c r="S53" i="23" s="1"/>
  <c r="T54" i="23" s="1"/>
  <c r="U55" i="23" s="1"/>
  <c r="C298" i="23"/>
  <c r="D299" i="23" s="1"/>
  <c r="E300" i="23" s="1"/>
  <c r="F301" i="23" s="1"/>
  <c r="G302" i="23" s="1"/>
  <c r="H303" i="23" s="1"/>
  <c r="I304" i="23" s="1"/>
  <c r="J305" i="23" s="1"/>
  <c r="K306" i="23" s="1"/>
  <c r="L307" i="23" s="1"/>
  <c r="M308" i="23" s="1"/>
  <c r="N309" i="23" s="1"/>
  <c r="O310" i="23" s="1"/>
  <c r="P311" i="23" s="1"/>
  <c r="Q312" i="23" s="1"/>
  <c r="R313" i="23" s="1"/>
  <c r="S314" i="23" s="1"/>
  <c r="T315" i="23" s="1"/>
  <c r="U316" i="23" s="1"/>
  <c r="C240" i="23"/>
  <c r="D241" i="23" s="1"/>
  <c r="E242" i="23" s="1"/>
  <c r="F243" i="23" s="1"/>
  <c r="G244" i="23" s="1"/>
  <c r="H245" i="23" s="1"/>
  <c r="I246" i="23" s="1"/>
  <c r="J247" i="23" s="1"/>
  <c r="K248" i="23" s="1"/>
  <c r="L249" i="23" s="1"/>
  <c r="M250" i="23" s="1"/>
  <c r="N251" i="23" s="1"/>
  <c r="O252" i="23" s="1"/>
  <c r="P253" i="23" s="1"/>
  <c r="Q254" i="23" s="1"/>
  <c r="R255" i="23" s="1"/>
  <c r="S256" i="23" s="1"/>
  <c r="T257" i="23" s="1"/>
  <c r="U258" i="23" s="1"/>
  <c r="C211" i="23"/>
  <c r="D212" i="23" s="1"/>
  <c r="E213" i="23" s="1"/>
  <c r="F214" i="23" s="1"/>
  <c r="G215" i="23" s="1"/>
  <c r="H216" i="23" s="1"/>
  <c r="I217" i="23" s="1"/>
  <c r="J218" i="23" s="1"/>
  <c r="K219" i="23" s="1"/>
  <c r="L220" i="23" s="1"/>
  <c r="M221" i="23" s="1"/>
  <c r="N222" i="23" s="1"/>
  <c r="O223" i="23" s="1"/>
  <c r="P224" i="23" s="1"/>
  <c r="Q225" i="23" s="1"/>
  <c r="R226" i="23" s="1"/>
  <c r="S227" i="23" s="1"/>
  <c r="T228" i="23" s="1"/>
  <c r="U229" i="23" s="1"/>
  <c r="C182" i="23"/>
  <c r="D183" i="23" s="1"/>
  <c r="E184" i="23" s="1"/>
  <c r="F185" i="23" s="1"/>
  <c r="G186" i="23" s="1"/>
  <c r="H187" i="23" s="1"/>
  <c r="I188" i="23" s="1"/>
  <c r="J189" i="23" s="1"/>
  <c r="K190" i="23" s="1"/>
  <c r="L191" i="23" s="1"/>
  <c r="M192" i="23" s="1"/>
  <c r="N193" i="23" s="1"/>
  <c r="O194" i="23" s="1"/>
  <c r="P195" i="23" s="1"/>
  <c r="Q196" i="23" s="1"/>
  <c r="R197" i="23" s="1"/>
  <c r="S198" i="23" s="1"/>
  <c r="T199" i="23" s="1"/>
  <c r="U200" i="23" s="1"/>
  <c r="C124" i="23"/>
  <c r="D125" i="23" s="1"/>
  <c r="E126" i="23" s="1"/>
  <c r="F127" i="23" s="1"/>
  <c r="G128" i="23" s="1"/>
  <c r="H129" i="23" s="1"/>
  <c r="I130" i="23" s="1"/>
  <c r="J131" i="23" s="1"/>
  <c r="K132" i="23" s="1"/>
  <c r="L133" i="23" s="1"/>
  <c r="M134" i="23" s="1"/>
  <c r="N135" i="23" s="1"/>
  <c r="O136" i="23" s="1"/>
  <c r="P137" i="23" s="1"/>
  <c r="Q138" i="23" s="1"/>
  <c r="R139" i="23" s="1"/>
  <c r="S140" i="23" s="1"/>
  <c r="T141" i="23" s="1"/>
  <c r="U142" i="23" s="1"/>
  <c r="C95" i="23"/>
  <c r="D96" i="23" s="1"/>
  <c r="E97" i="23" s="1"/>
  <c r="F98" i="23" s="1"/>
  <c r="G99" i="23" s="1"/>
  <c r="H100" i="23" s="1"/>
  <c r="I101" i="23" s="1"/>
  <c r="J102" i="23" s="1"/>
  <c r="K103" i="23" s="1"/>
  <c r="L104" i="23" s="1"/>
  <c r="M105" i="23" s="1"/>
  <c r="N106" i="23" s="1"/>
  <c r="O107" i="23" s="1"/>
  <c r="P108" i="23" s="1"/>
  <c r="Q109" i="23" s="1"/>
  <c r="R110" i="23" s="1"/>
  <c r="S111" i="23" s="1"/>
  <c r="T112" i="23" s="1"/>
  <c r="U113" i="23" s="1"/>
  <c r="C66" i="23"/>
  <c r="D67" i="23" s="1"/>
  <c r="E68" i="23" s="1"/>
  <c r="F69" i="23" s="1"/>
  <c r="G70" i="23" s="1"/>
  <c r="H71" i="23" s="1"/>
  <c r="I72" i="23" s="1"/>
  <c r="J73" i="23" s="1"/>
  <c r="K74" i="23" s="1"/>
  <c r="L75" i="23" s="1"/>
  <c r="M76" i="23" s="1"/>
  <c r="N77" i="23" s="1"/>
  <c r="O78" i="23" s="1"/>
  <c r="P79" i="23" s="1"/>
  <c r="Q80" i="23" s="1"/>
  <c r="R81" i="23" s="1"/>
  <c r="S82" i="23" s="1"/>
  <c r="T83" i="23" s="1"/>
  <c r="U84" i="23" s="1"/>
  <c r="C36" i="23"/>
  <c r="D37" i="23" s="1"/>
  <c r="E38" i="23" s="1"/>
  <c r="F39" i="23" s="1"/>
  <c r="G40" i="23" s="1"/>
  <c r="H41" i="23" s="1"/>
  <c r="I42" i="23" s="1"/>
  <c r="J43" i="23" s="1"/>
  <c r="K44" i="23" s="1"/>
  <c r="L45" i="23" s="1"/>
  <c r="M46" i="23" s="1"/>
  <c r="N47" i="23" s="1"/>
  <c r="O48" i="23" s="1"/>
  <c r="P49" i="23" s="1"/>
  <c r="Q50" i="23" s="1"/>
  <c r="R51" i="23" s="1"/>
  <c r="S52" i="23" s="1"/>
  <c r="T53" i="23" s="1"/>
  <c r="U54" i="23" s="1"/>
  <c r="V55" i="23" s="1"/>
  <c r="C297" i="23"/>
  <c r="D298" i="23" s="1"/>
  <c r="E299" i="23" s="1"/>
  <c r="F300" i="23" s="1"/>
  <c r="G301" i="23" s="1"/>
  <c r="H302" i="23" s="1"/>
  <c r="I303" i="23" s="1"/>
  <c r="J304" i="23" s="1"/>
  <c r="K305" i="23" s="1"/>
  <c r="L306" i="23" s="1"/>
  <c r="M307" i="23" s="1"/>
  <c r="N308" i="23" s="1"/>
  <c r="O309" i="23" s="1"/>
  <c r="P310" i="23" s="1"/>
  <c r="Q311" i="23" s="1"/>
  <c r="R312" i="23" s="1"/>
  <c r="S313" i="23" s="1"/>
  <c r="T314" i="23" s="1"/>
  <c r="U315" i="23" s="1"/>
  <c r="V316" i="23" s="1"/>
  <c r="C239" i="23"/>
  <c r="D240" i="23" s="1"/>
  <c r="E241" i="23" s="1"/>
  <c r="F242" i="23" s="1"/>
  <c r="G243" i="23" s="1"/>
  <c r="H244" i="23" s="1"/>
  <c r="I245" i="23" s="1"/>
  <c r="J246" i="23" s="1"/>
  <c r="K247" i="23" s="1"/>
  <c r="L248" i="23" s="1"/>
  <c r="M249" i="23" s="1"/>
  <c r="N250" i="23" s="1"/>
  <c r="O251" i="23" s="1"/>
  <c r="P252" i="23" s="1"/>
  <c r="Q253" i="23" s="1"/>
  <c r="R254" i="23" s="1"/>
  <c r="S255" i="23" s="1"/>
  <c r="T256" i="23" s="1"/>
  <c r="U257" i="23" s="1"/>
  <c r="V258" i="23" s="1"/>
  <c r="C210" i="23"/>
  <c r="D211" i="23" s="1"/>
  <c r="E212" i="23" s="1"/>
  <c r="F213" i="23" s="1"/>
  <c r="G214" i="23" s="1"/>
  <c r="H215" i="23" s="1"/>
  <c r="I216" i="23" s="1"/>
  <c r="J217" i="23" s="1"/>
  <c r="K218" i="23" s="1"/>
  <c r="L219" i="23" s="1"/>
  <c r="M220" i="23" s="1"/>
  <c r="N221" i="23" s="1"/>
  <c r="O222" i="23" s="1"/>
  <c r="P223" i="23" s="1"/>
  <c r="Q224" i="23" s="1"/>
  <c r="R225" i="23" s="1"/>
  <c r="S226" i="23" s="1"/>
  <c r="T227" i="23" s="1"/>
  <c r="U228" i="23" s="1"/>
  <c r="V229" i="23" s="1"/>
  <c r="C181" i="23"/>
  <c r="D182" i="23" s="1"/>
  <c r="E183" i="23" s="1"/>
  <c r="F184" i="23" s="1"/>
  <c r="G185" i="23" s="1"/>
  <c r="H186" i="23" s="1"/>
  <c r="I187" i="23" s="1"/>
  <c r="J188" i="23" s="1"/>
  <c r="K189" i="23" s="1"/>
  <c r="L190" i="23" s="1"/>
  <c r="M191" i="23" s="1"/>
  <c r="N192" i="23" s="1"/>
  <c r="O193" i="23" s="1"/>
  <c r="P194" i="23" s="1"/>
  <c r="Q195" i="23" s="1"/>
  <c r="R196" i="23" s="1"/>
  <c r="S197" i="23" s="1"/>
  <c r="T198" i="23" s="1"/>
  <c r="U199" i="23" s="1"/>
  <c r="V200" i="23" s="1"/>
  <c r="C152" i="23"/>
  <c r="D153" i="23" s="1"/>
  <c r="E154" i="23" s="1"/>
  <c r="F155" i="23" s="1"/>
  <c r="G156" i="23" s="1"/>
  <c r="H157" i="23" s="1"/>
  <c r="I158" i="23" s="1"/>
  <c r="J159" i="23" s="1"/>
  <c r="K160" i="23" s="1"/>
  <c r="L161" i="23" s="1"/>
  <c r="M162" i="23" s="1"/>
  <c r="N163" i="23" s="1"/>
  <c r="O164" i="23" s="1"/>
  <c r="P165" i="23" s="1"/>
  <c r="Q166" i="23" s="1"/>
  <c r="R167" i="23" s="1"/>
  <c r="S168" i="23" s="1"/>
  <c r="T169" i="23" s="1"/>
  <c r="U170" i="23" s="1"/>
  <c r="V171" i="23" s="1"/>
  <c r="C123" i="23"/>
  <c r="D124" i="23" s="1"/>
  <c r="E125" i="23" s="1"/>
  <c r="F126" i="23" s="1"/>
  <c r="G127" i="23" s="1"/>
  <c r="H128" i="23" s="1"/>
  <c r="I129" i="23" s="1"/>
  <c r="J130" i="23" s="1"/>
  <c r="K131" i="23" s="1"/>
  <c r="L132" i="23" s="1"/>
  <c r="M133" i="23" s="1"/>
  <c r="N134" i="23" s="1"/>
  <c r="O135" i="23" s="1"/>
  <c r="P136" i="23" s="1"/>
  <c r="Q137" i="23" s="1"/>
  <c r="R138" i="23" s="1"/>
  <c r="S139" i="23" s="1"/>
  <c r="T140" i="23" s="1"/>
  <c r="U141" i="23" s="1"/>
  <c r="V142" i="23" s="1"/>
  <c r="C94" i="23"/>
  <c r="D95" i="23" s="1"/>
  <c r="E96" i="23" s="1"/>
  <c r="F97" i="23" s="1"/>
  <c r="G98" i="23" s="1"/>
  <c r="H99" i="23" s="1"/>
  <c r="I100" i="23" s="1"/>
  <c r="J101" i="23" s="1"/>
  <c r="K102" i="23" s="1"/>
  <c r="L103" i="23" s="1"/>
  <c r="M104" i="23" s="1"/>
  <c r="N105" i="23" s="1"/>
  <c r="O106" i="23" s="1"/>
  <c r="P107" i="23" s="1"/>
  <c r="Q108" i="23" s="1"/>
  <c r="R109" i="23" s="1"/>
  <c r="S110" i="23" s="1"/>
  <c r="T111" i="23" s="1"/>
  <c r="U112" i="23" s="1"/>
  <c r="V113" i="23" s="1"/>
  <c r="C296" i="23"/>
  <c r="D297" i="23" s="1"/>
  <c r="E298" i="23" s="1"/>
  <c r="F299" i="23" s="1"/>
  <c r="G300" i="23" s="1"/>
  <c r="H301" i="23" s="1"/>
  <c r="I302" i="23" s="1"/>
  <c r="J303" i="23" s="1"/>
  <c r="K304" i="23" s="1"/>
  <c r="L305" i="23" s="1"/>
  <c r="M306" i="23" s="1"/>
  <c r="N307" i="23" s="1"/>
  <c r="O308" i="23" s="1"/>
  <c r="P309" i="23" s="1"/>
  <c r="Q310" i="23" s="1"/>
  <c r="R311" i="23" s="1"/>
  <c r="S312" i="23" s="1"/>
  <c r="T313" i="23" s="1"/>
  <c r="U314" i="23" s="1"/>
  <c r="V315" i="23" s="1"/>
  <c r="W316" i="23" s="1"/>
  <c r="C238" i="23"/>
  <c r="D239" i="23" s="1"/>
  <c r="E240" i="23" s="1"/>
  <c r="F241" i="23" s="1"/>
  <c r="G242" i="23" s="1"/>
  <c r="H243" i="23" s="1"/>
  <c r="I244" i="23" s="1"/>
  <c r="J245" i="23" s="1"/>
  <c r="K246" i="23" s="1"/>
  <c r="L247" i="23" s="1"/>
  <c r="M248" i="23" s="1"/>
  <c r="N249" i="23" s="1"/>
  <c r="O250" i="23" s="1"/>
  <c r="P251" i="23" s="1"/>
  <c r="Q252" i="23" s="1"/>
  <c r="R253" i="23" s="1"/>
  <c r="S254" i="23" s="1"/>
  <c r="T255" i="23" s="1"/>
  <c r="U256" i="23" s="1"/>
  <c r="V257" i="23" s="1"/>
  <c r="W258" i="23" s="1"/>
  <c r="C209" i="23"/>
  <c r="D210" i="23" s="1"/>
  <c r="E211" i="23" s="1"/>
  <c r="F212" i="23" s="1"/>
  <c r="G213" i="23" s="1"/>
  <c r="H214" i="23" s="1"/>
  <c r="I215" i="23" s="1"/>
  <c r="J216" i="23" s="1"/>
  <c r="K217" i="23" s="1"/>
  <c r="L218" i="23" s="1"/>
  <c r="M219" i="23" s="1"/>
  <c r="N220" i="23" s="1"/>
  <c r="O221" i="23" s="1"/>
  <c r="P222" i="23" s="1"/>
  <c r="Q223" i="23" s="1"/>
  <c r="R224" i="23" s="1"/>
  <c r="S225" i="23" s="1"/>
  <c r="T226" i="23" s="1"/>
  <c r="U227" i="23" s="1"/>
  <c r="V228" i="23" s="1"/>
  <c r="W229" i="23" s="1"/>
  <c r="C180" i="23"/>
  <c r="D181" i="23" s="1"/>
  <c r="E182" i="23" s="1"/>
  <c r="F183" i="23" s="1"/>
  <c r="G184" i="23" s="1"/>
  <c r="H185" i="23" s="1"/>
  <c r="I186" i="23" s="1"/>
  <c r="J187" i="23" s="1"/>
  <c r="K188" i="23" s="1"/>
  <c r="L189" i="23" s="1"/>
  <c r="M190" i="23" s="1"/>
  <c r="N191" i="23" s="1"/>
  <c r="O192" i="23" s="1"/>
  <c r="P193" i="23" s="1"/>
  <c r="Q194" i="23" s="1"/>
  <c r="R195" i="23" s="1"/>
  <c r="S196" i="23" s="1"/>
  <c r="T197" i="23" s="1"/>
  <c r="U198" i="23" s="1"/>
  <c r="V199" i="23" s="1"/>
  <c r="W200" i="23" s="1"/>
  <c r="C151" i="23"/>
  <c r="D152" i="23" s="1"/>
  <c r="E153" i="23" s="1"/>
  <c r="F154" i="23" s="1"/>
  <c r="G155" i="23" s="1"/>
  <c r="H156" i="23" s="1"/>
  <c r="I157" i="23" s="1"/>
  <c r="J158" i="23" s="1"/>
  <c r="K159" i="23" s="1"/>
  <c r="L160" i="23" s="1"/>
  <c r="M161" i="23" s="1"/>
  <c r="N162" i="23" s="1"/>
  <c r="O163" i="23" s="1"/>
  <c r="P164" i="23" s="1"/>
  <c r="Q165" i="23" s="1"/>
  <c r="R166" i="23" s="1"/>
  <c r="S167" i="23" s="1"/>
  <c r="T168" i="23" s="1"/>
  <c r="U169" i="23" s="1"/>
  <c r="V170" i="23" s="1"/>
  <c r="W171" i="23" s="1"/>
  <c r="C122" i="23"/>
  <c r="D123" i="23" s="1"/>
  <c r="E124" i="23" s="1"/>
  <c r="F125" i="23" s="1"/>
  <c r="G126" i="23" s="1"/>
  <c r="H127" i="23" s="1"/>
  <c r="I128" i="23" s="1"/>
  <c r="J129" i="23" s="1"/>
  <c r="K130" i="23" s="1"/>
  <c r="L131" i="23" s="1"/>
  <c r="M132" i="23" s="1"/>
  <c r="N133" i="23" s="1"/>
  <c r="O134" i="23" s="1"/>
  <c r="P135" i="23" s="1"/>
  <c r="Q136" i="23" s="1"/>
  <c r="R137" i="23" s="1"/>
  <c r="S138" i="23" s="1"/>
  <c r="T139" i="23" s="1"/>
  <c r="U140" i="23" s="1"/>
  <c r="V141" i="23" s="1"/>
  <c r="W142" i="23" s="1"/>
  <c r="C93" i="23"/>
  <c r="D94" i="23" s="1"/>
  <c r="E95" i="23" s="1"/>
  <c r="F96" i="23" s="1"/>
  <c r="G97" i="23" s="1"/>
  <c r="H98" i="23" s="1"/>
  <c r="I99" i="23" s="1"/>
  <c r="J100" i="23" s="1"/>
  <c r="K101" i="23" s="1"/>
  <c r="L102" i="23" s="1"/>
  <c r="M103" i="23" s="1"/>
  <c r="N104" i="23" s="1"/>
  <c r="O105" i="23" s="1"/>
  <c r="P106" i="23" s="1"/>
  <c r="Q107" i="23" s="1"/>
  <c r="R108" i="23" s="1"/>
  <c r="S109" i="23" s="1"/>
  <c r="T110" i="23" s="1"/>
  <c r="U111" i="23" s="1"/>
  <c r="V112" i="23" s="1"/>
  <c r="W113" i="23" s="1"/>
  <c r="C64" i="23"/>
  <c r="D65" i="23" s="1"/>
  <c r="E66" i="23" s="1"/>
  <c r="F67" i="23" s="1"/>
  <c r="G68" i="23" s="1"/>
  <c r="H69" i="23" s="1"/>
  <c r="I70" i="23" s="1"/>
  <c r="J71" i="23" s="1"/>
  <c r="K72" i="23" s="1"/>
  <c r="L73" i="23" s="1"/>
  <c r="M74" i="23" s="1"/>
  <c r="N75" i="23" s="1"/>
  <c r="O76" i="23" s="1"/>
  <c r="P77" i="23" s="1"/>
  <c r="Q78" i="23" s="1"/>
  <c r="R79" i="23" s="1"/>
  <c r="S80" i="23" s="1"/>
  <c r="T81" i="23" s="1"/>
  <c r="U82" i="23" s="1"/>
  <c r="V83" i="23" s="1"/>
  <c r="W84" i="23" s="1"/>
  <c r="C34" i="23"/>
  <c r="D35" i="23" s="1"/>
  <c r="E36" i="23" s="1"/>
  <c r="F37" i="23" s="1"/>
  <c r="G38" i="23" s="1"/>
  <c r="H39" i="23" s="1"/>
  <c r="I40" i="23" s="1"/>
  <c r="J41" i="23" s="1"/>
  <c r="K42" i="23" s="1"/>
  <c r="L43" i="23" s="1"/>
  <c r="M44" i="23" s="1"/>
  <c r="N45" i="23" s="1"/>
  <c r="O46" i="23" s="1"/>
  <c r="P47" i="23" s="1"/>
  <c r="Q48" i="23" s="1"/>
  <c r="R49" i="23" s="1"/>
  <c r="S50" i="23" s="1"/>
  <c r="T51" i="23" s="1"/>
  <c r="U52" i="23" s="1"/>
  <c r="V53" i="23" s="1"/>
  <c r="W54" i="23" s="1"/>
  <c r="X55" i="23" s="1"/>
  <c r="C295" i="23"/>
  <c r="D296" i="23" s="1"/>
  <c r="E297" i="23" s="1"/>
  <c r="F298" i="23" s="1"/>
  <c r="G299" i="23" s="1"/>
  <c r="H300" i="23" s="1"/>
  <c r="I301" i="23" s="1"/>
  <c r="J302" i="23" s="1"/>
  <c r="K303" i="23" s="1"/>
  <c r="L304" i="23" s="1"/>
  <c r="M305" i="23" s="1"/>
  <c r="N306" i="23" s="1"/>
  <c r="O307" i="23" s="1"/>
  <c r="P308" i="23" s="1"/>
  <c r="Q309" i="23" s="1"/>
  <c r="R310" i="23" s="1"/>
  <c r="S311" i="23" s="1"/>
  <c r="T312" i="23" s="1"/>
  <c r="U313" i="23" s="1"/>
  <c r="V314" i="23" s="1"/>
  <c r="W315" i="23" s="1"/>
  <c r="X316" i="23" s="1"/>
  <c r="C237" i="23"/>
  <c r="D238" i="23" s="1"/>
  <c r="E239" i="23" s="1"/>
  <c r="F240" i="23" s="1"/>
  <c r="G241" i="23" s="1"/>
  <c r="H242" i="23" s="1"/>
  <c r="I243" i="23" s="1"/>
  <c r="J244" i="23" s="1"/>
  <c r="K245" i="23" s="1"/>
  <c r="L246" i="23" s="1"/>
  <c r="M247" i="23" s="1"/>
  <c r="N248" i="23" s="1"/>
  <c r="O249" i="23" s="1"/>
  <c r="P250" i="23" s="1"/>
  <c r="Q251" i="23" s="1"/>
  <c r="R252" i="23" s="1"/>
  <c r="S253" i="23" s="1"/>
  <c r="T254" i="23" s="1"/>
  <c r="U255" i="23" s="1"/>
  <c r="V256" i="23" s="1"/>
  <c r="W257" i="23" s="1"/>
  <c r="X258" i="23" s="1"/>
  <c r="C208" i="23"/>
  <c r="D209" i="23" s="1"/>
  <c r="E210" i="23" s="1"/>
  <c r="F211" i="23" s="1"/>
  <c r="G212" i="23" s="1"/>
  <c r="H213" i="23" s="1"/>
  <c r="I214" i="23" s="1"/>
  <c r="J215" i="23" s="1"/>
  <c r="K216" i="23" s="1"/>
  <c r="L217" i="23" s="1"/>
  <c r="M218" i="23" s="1"/>
  <c r="N219" i="23" s="1"/>
  <c r="O220" i="23" s="1"/>
  <c r="P221" i="23" s="1"/>
  <c r="Q222" i="23" s="1"/>
  <c r="R223" i="23" s="1"/>
  <c r="S224" i="23" s="1"/>
  <c r="T225" i="23" s="1"/>
  <c r="U226" i="23" s="1"/>
  <c r="V227" i="23" s="1"/>
  <c r="W228" i="23" s="1"/>
  <c r="X229" i="23" s="1"/>
  <c r="C179" i="23"/>
  <c r="D180" i="23" s="1"/>
  <c r="E181" i="23" s="1"/>
  <c r="F182" i="23" s="1"/>
  <c r="G183" i="23" s="1"/>
  <c r="H184" i="23" s="1"/>
  <c r="I185" i="23" s="1"/>
  <c r="J186" i="23" s="1"/>
  <c r="K187" i="23" s="1"/>
  <c r="L188" i="23" s="1"/>
  <c r="M189" i="23" s="1"/>
  <c r="N190" i="23" s="1"/>
  <c r="O191" i="23" s="1"/>
  <c r="P192" i="23" s="1"/>
  <c r="Q193" i="23" s="1"/>
  <c r="R194" i="23" s="1"/>
  <c r="S195" i="23" s="1"/>
  <c r="T196" i="23" s="1"/>
  <c r="U197" i="23" s="1"/>
  <c r="V198" i="23" s="1"/>
  <c r="W199" i="23" s="1"/>
  <c r="X200" i="23" s="1"/>
  <c r="C150" i="23"/>
  <c r="D151" i="23" s="1"/>
  <c r="E152" i="23" s="1"/>
  <c r="F153" i="23" s="1"/>
  <c r="G154" i="23" s="1"/>
  <c r="H155" i="23" s="1"/>
  <c r="I156" i="23" s="1"/>
  <c r="J157" i="23" s="1"/>
  <c r="K158" i="23" s="1"/>
  <c r="L159" i="23" s="1"/>
  <c r="M160" i="23" s="1"/>
  <c r="N161" i="23" s="1"/>
  <c r="O162" i="23" s="1"/>
  <c r="P163" i="23" s="1"/>
  <c r="Q164" i="23" s="1"/>
  <c r="R165" i="23" s="1"/>
  <c r="S166" i="23" s="1"/>
  <c r="T167" i="23" s="1"/>
  <c r="U168" i="23" s="1"/>
  <c r="V169" i="23" s="1"/>
  <c r="W170" i="23" s="1"/>
  <c r="X171" i="23" s="1"/>
  <c r="C121" i="23"/>
  <c r="D122" i="23" s="1"/>
  <c r="E123" i="23" s="1"/>
  <c r="F124" i="23" s="1"/>
  <c r="G125" i="23" s="1"/>
  <c r="H126" i="23" s="1"/>
  <c r="I127" i="23" s="1"/>
  <c r="J128" i="23" s="1"/>
  <c r="K129" i="23" s="1"/>
  <c r="L130" i="23" s="1"/>
  <c r="M131" i="23" s="1"/>
  <c r="N132" i="23" s="1"/>
  <c r="O133" i="23" s="1"/>
  <c r="P134" i="23" s="1"/>
  <c r="Q135" i="23" s="1"/>
  <c r="R136" i="23" s="1"/>
  <c r="S137" i="23" s="1"/>
  <c r="T138" i="23" s="1"/>
  <c r="U139" i="23" s="1"/>
  <c r="V140" i="23" s="1"/>
  <c r="W141" i="23" s="1"/>
  <c r="X142" i="23" s="1"/>
  <c r="C92" i="23"/>
  <c r="D93" i="23" s="1"/>
  <c r="E94" i="23" s="1"/>
  <c r="F95" i="23" s="1"/>
  <c r="G96" i="23" s="1"/>
  <c r="H97" i="23" s="1"/>
  <c r="I98" i="23" s="1"/>
  <c r="J99" i="23" s="1"/>
  <c r="K100" i="23" s="1"/>
  <c r="L101" i="23" s="1"/>
  <c r="M102" i="23" s="1"/>
  <c r="N103" i="23" s="1"/>
  <c r="O104" i="23" s="1"/>
  <c r="P105" i="23" s="1"/>
  <c r="Q106" i="23" s="1"/>
  <c r="R107" i="23" s="1"/>
  <c r="S108" i="23" s="1"/>
  <c r="T109" i="23" s="1"/>
  <c r="U110" i="23" s="1"/>
  <c r="V111" i="23" s="1"/>
  <c r="W112" i="23" s="1"/>
  <c r="X113" i="23" s="1"/>
  <c r="C63" i="23"/>
  <c r="D64" i="23" s="1"/>
  <c r="E65" i="23" s="1"/>
  <c r="F66" i="23" s="1"/>
  <c r="G67" i="23" s="1"/>
  <c r="H68" i="23" s="1"/>
  <c r="I69" i="23" s="1"/>
  <c r="J70" i="23" s="1"/>
  <c r="K71" i="23" s="1"/>
  <c r="L72" i="23" s="1"/>
  <c r="M73" i="23" s="1"/>
  <c r="N74" i="23" s="1"/>
  <c r="O75" i="23" s="1"/>
  <c r="P76" i="23" s="1"/>
  <c r="Q77" i="23" s="1"/>
  <c r="R78" i="23" s="1"/>
  <c r="S79" i="23" s="1"/>
  <c r="T80" i="23" s="1"/>
  <c r="U81" i="23" s="1"/>
  <c r="V82" i="23" s="1"/>
  <c r="W83" i="23" s="1"/>
  <c r="X84" i="23" s="1"/>
  <c r="C33" i="23"/>
  <c r="D34" i="23" s="1"/>
  <c r="E35" i="23" s="1"/>
  <c r="F36" i="23" s="1"/>
  <c r="G37" i="23" s="1"/>
  <c r="H38" i="23" s="1"/>
  <c r="I39" i="23" s="1"/>
  <c r="J40" i="23" s="1"/>
  <c r="K41" i="23" s="1"/>
  <c r="L42" i="23" s="1"/>
  <c r="M43" i="23" s="1"/>
  <c r="N44" i="23" s="1"/>
  <c r="O45" i="23" s="1"/>
  <c r="P46" i="23" s="1"/>
  <c r="Q47" i="23" s="1"/>
  <c r="R48" i="23" s="1"/>
  <c r="S49" i="23" s="1"/>
  <c r="T50" i="23" s="1"/>
  <c r="U51" i="23" s="1"/>
  <c r="V52" i="23" s="1"/>
  <c r="W53" i="23" s="1"/>
  <c r="X54" i="23" s="1"/>
  <c r="Y55" i="23" s="1"/>
  <c r="C294" i="23"/>
  <c r="D295" i="23" s="1"/>
  <c r="E296" i="23" s="1"/>
  <c r="F297" i="23" s="1"/>
  <c r="G298" i="23" s="1"/>
  <c r="H299" i="23" s="1"/>
  <c r="I300" i="23" s="1"/>
  <c r="J301" i="23" s="1"/>
  <c r="K302" i="23" s="1"/>
  <c r="L303" i="23" s="1"/>
  <c r="M304" i="23" s="1"/>
  <c r="N305" i="23" s="1"/>
  <c r="O306" i="23" s="1"/>
  <c r="P307" i="23" s="1"/>
  <c r="Q308" i="23" s="1"/>
  <c r="R309" i="23" s="1"/>
  <c r="S310" i="23" s="1"/>
  <c r="T311" i="23" s="1"/>
  <c r="U312" i="23" s="1"/>
  <c r="V313" i="23" s="1"/>
  <c r="W314" i="23" s="1"/>
  <c r="X315" i="23" s="1"/>
  <c r="Y316" i="23" s="1"/>
  <c r="C236" i="23"/>
  <c r="D237" i="23" s="1"/>
  <c r="E238" i="23" s="1"/>
  <c r="F239" i="23" s="1"/>
  <c r="G240" i="23" s="1"/>
  <c r="H241" i="23" s="1"/>
  <c r="I242" i="23" s="1"/>
  <c r="J243" i="23" s="1"/>
  <c r="K244" i="23" s="1"/>
  <c r="L245" i="23" s="1"/>
  <c r="M246" i="23" s="1"/>
  <c r="N247" i="23" s="1"/>
  <c r="O248" i="23" s="1"/>
  <c r="P249" i="23" s="1"/>
  <c r="Q250" i="23" s="1"/>
  <c r="R251" i="23" s="1"/>
  <c r="S252" i="23" s="1"/>
  <c r="T253" i="23" s="1"/>
  <c r="U254" i="23" s="1"/>
  <c r="V255" i="23" s="1"/>
  <c r="W256" i="23" s="1"/>
  <c r="X257" i="23" s="1"/>
  <c r="Y258" i="23" s="1"/>
  <c r="C207" i="23"/>
  <c r="D208" i="23" s="1"/>
  <c r="E209" i="23" s="1"/>
  <c r="F210" i="23" s="1"/>
  <c r="G211" i="23" s="1"/>
  <c r="H212" i="23" s="1"/>
  <c r="I213" i="23" s="1"/>
  <c r="J214" i="23" s="1"/>
  <c r="K215" i="23" s="1"/>
  <c r="L216" i="23" s="1"/>
  <c r="M217" i="23" s="1"/>
  <c r="N218" i="23" s="1"/>
  <c r="O219" i="23" s="1"/>
  <c r="P220" i="23" s="1"/>
  <c r="Q221" i="23" s="1"/>
  <c r="R222" i="23" s="1"/>
  <c r="S223" i="23" s="1"/>
  <c r="T224" i="23" s="1"/>
  <c r="U225" i="23" s="1"/>
  <c r="V226" i="23" s="1"/>
  <c r="W227" i="23" s="1"/>
  <c r="X228" i="23" s="1"/>
  <c r="Y229" i="23" s="1"/>
  <c r="C178" i="23"/>
  <c r="D179" i="23" s="1"/>
  <c r="E180" i="23" s="1"/>
  <c r="F181" i="23" s="1"/>
  <c r="G182" i="23" s="1"/>
  <c r="H183" i="23" s="1"/>
  <c r="I184" i="23" s="1"/>
  <c r="J185" i="23" s="1"/>
  <c r="K186" i="23" s="1"/>
  <c r="L187" i="23" s="1"/>
  <c r="M188" i="23" s="1"/>
  <c r="N189" i="23" s="1"/>
  <c r="O190" i="23" s="1"/>
  <c r="P191" i="23" s="1"/>
  <c r="Q192" i="23" s="1"/>
  <c r="R193" i="23" s="1"/>
  <c r="S194" i="23" s="1"/>
  <c r="T195" i="23" s="1"/>
  <c r="U196" i="23" s="1"/>
  <c r="V197" i="23" s="1"/>
  <c r="W198" i="23" s="1"/>
  <c r="X199" i="23" s="1"/>
  <c r="Y200" i="23" s="1"/>
  <c r="C149" i="23"/>
  <c r="D150" i="23" s="1"/>
  <c r="E151" i="23" s="1"/>
  <c r="F152" i="23" s="1"/>
  <c r="G153" i="23" s="1"/>
  <c r="H154" i="23" s="1"/>
  <c r="I155" i="23" s="1"/>
  <c r="J156" i="23" s="1"/>
  <c r="K157" i="23" s="1"/>
  <c r="L158" i="23" s="1"/>
  <c r="M159" i="23" s="1"/>
  <c r="N160" i="23" s="1"/>
  <c r="O161" i="23" s="1"/>
  <c r="P162" i="23" s="1"/>
  <c r="Q163" i="23" s="1"/>
  <c r="R164" i="23" s="1"/>
  <c r="S165" i="23" s="1"/>
  <c r="T166" i="23" s="1"/>
  <c r="U167" i="23" s="1"/>
  <c r="V168" i="23" s="1"/>
  <c r="W169" i="23" s="1"/>
  <c r="X170" i="23" s="1"/>
  <c r="Y171" i="23" s="1"/>
  <c r="C120" i="23"/>
  <c r="D121" i="23" s="1"/>
  <c r="E122" i="23" s="1"/>
  <c r="F123" i="23" s="1"/>
  <c r="G124" i="23" s="1"/>
  <c r="H125" i="23" s="1"/>
  <c r="I126" i="23" s="1"/>
  <c r="J127" i="23" s="1"/>
  <c r="K128" i="23" s="1"/>
  <c r="L129" i="23" s="1"/>
  <c r="M130" i="23" s="1"/>
  <c r="N131" i="23" s="1"/>
  <c r="O132" i="23" s="1"/>
  <c r="P133" i="23" s="1"/>
  <c r="Q134" i="23" s="1"/>
  <c r="R135" i="23" s="1"/>
  <c r="S136" i="23" s="1"/>
  <c r="T137" i="23" s="1"/>
  <c r="U138" i="23" s="1"/>
  <c r="V139" i="23" s="1"/>
  <c r="W140" i="23" s="1"/>
  <c r="X141" i="23" s="1"/>
  <c r="Y142" i="23" s="1"/>
  <c r="C91" i="23"/>
  <c r="D92" i="23" s="1"/>
  <c r="E93" i="23" s="1"/>
  <c r="F94" i="23" s="1"/>
  <c r="G95" i="23" s="1"/>
  <c r="H96" i="23" s="1"/>
  <c r="I97" i="23" s="1"/>
  <c r="J98" i="23" s="1"/>
  <c r="K99" i="23" s="1"/>
  <c r="L100" i="23" s="1"/>
  <c r="M101" i="23" s="1"/>
  <c r="N102" i="23" s="1"/>
  <c r="O103" i="23" s="1"/>
  <c r="P104" i="23" s="1"/>
  <c r="Q105" i="23" s="1"/>
  <c r="R106" i="23" s="1"/>
  <c r="S107" i="23" s="1"/>
  <c r="T108" i="23" s="1"/>
  <c r="U109" i="23" s="1"/>
  <c r="V110" i="23" s="1"/>
  <c r="W111" i="23" s="1"/>
  <c r="X112" i="23" s="1"/>
  <c r="Y113" i="23" s="1"/>
  <c r="C62" i="23"/>
  <c r="D63" i="23" s="1"/>
  <c r="E64" i="23" s="1"/>
  <c r="F65" i="23" s="1"/>
  <c r="G66" i="23" s="1"/>
  <c r="H67" i="23" s="1"/>
  <c r="I68" i="23" s="1"/>
  <c r="J69" i="23" s="1"/>
  <c r="K70" i="23" s="1"/>
  <c r="L71" i="23" s="1"/>
  <c r="M72" i="23" s="1"/>
  <c r="N73" i="23" s="1"/>
  <c r="O74" i="23" s="1"/>
  <c r="P75" i="23" s="1"/>
  <c r="Q76" i="23" s="1"/>
  <c r="R77" i="23" s="1"/>
  <c r="S78" i="23" s="1"/>
  <c r="T79" i="23" s="1"/>
  <c r="U80" i="23" s="1"/>
  <c r="V81" i="23" s="1"/>
  <c r="W82" i="23" s="1"/>
  <c r="X83" i="23" s="1"/>
  <c r="Y84" i="23" s="1"/>
  <c r="C32" i="23"/>
  <c r="D33" i="23" s="1"/>
  <c r="E34" i="23" s="1"/>
  <c r="F35" i="23" s="1"/>
  <c r="G36" i="23" s="1"/>
  <c r="H37" i="23" s="1"/>
  <c r="I38" i="23" s="1"/>
  <c r="J39" i="23" s="1"/>
  <c r="K40" i="23" s="1"/>
  <c r="L41" i="23" s="1"/>
  <c r="M42" i="23" s="1"/>
  <c r="N43" i="23" s="1"/>
  <c r="O44" i="23" s="1"/>
  <c r="P45" i="23" s="1"/>
  <c r="Q46" i="23" s="1"/>
  <c r="R47" i="23" s="1"/>
  <c r="S48" i="23" s="1"/>
  <c r="T49" i="23" s="1"/>
  <c r="U50" i="23" s="1"/>
  <c r="V51" i="23" s="1"/>
  <c r="W52" i="23" s="1"/>
  <c r="X53" i="23" s="1"/>
  <c r="Y54" i="23" s="1"/>
  <c r="Z55" i="23" s="1"/>
  <c r="C293" i="23"/>
  <c r="D294" i="23" s="1"/>
  <c r="E295" i="23" s="1"/>
  <c r="F296" i="23" s="1"/>
  <c r="G297" i="23" s="1"/>
  <c r="H298" i="23" s="1"/>
  <c r="I299" i="23" s="1"/>
  <c r="J300" i="23" s="1"/>
  <c r="K301" i="23" s="1"/>
  <c r="L302" i="23" s="1"/>
  <c r="M303" i="23" s="1"/>
  <c r="N304" i="23" s="1"/>
  <c r="O305" i="23" s="1"/>
  <c r="P306" i="23" s="1"/>
  <c r="Q307" i="23" s="1"/>
  <c r="R308" i="23" s="1"/>
  <c r="S309" i="23" s="1"/>
  <c r="T310" i="23" s="1"/>
  <c r="U311" i="23" s="1"/>
  <c r="V312" i="23" s="1"/>
  <c r="W313" i="23" s="1"/>
  <c r="X314" i="23" s="1"/>
  <c r="Y315" i="23" s="1"/>
  <c r="Z316" i="23" s="1"/>
  <c r="C235" i="23"/>
  <c r="D236" i="23" s="1"/>
  <c r="E237" i="23" s="1"/>
  <c r="F238" i="23" s="1"/>
  <c r="G239" i="23" s="1"/>
  <c r="H240" i="23" s="1"/>
  <c r="I241" i="23" s="1"/>
  <c r="J242" i="23" s="1"/>
  <c r="K243" i="23" s="1"/>
  <c r="L244" i="23" s="1"/>
  <c r="M245" i="23" s="1"/>
  <c r="N246" i="23" s="1"/>
  <c r="O247" i="23" s="1"/>
  <c r="P248" i="23" s="1"/>
  <c r="Q249" i="23" s="1"/>
  <c r="R250" i="23" s="1"/>
  <c r="S251" i="23" s="1"/>
  <c r="T252" i="23" s="1"/>
  <c r="U253" i="23" s="1"/>
  <c r="V254" i="23" s="1"/>
  <c r="W255" i="23" s="1"/>
  <c r="X256" i="23" s="1"/>
  <c r="Y257" i="23" s="1"/>
  <c r="Z258" i="23" s="1"/>
  <c r="C206" i="23"/>
  <c r="D207" i="23" s="1"/>
  <c r="E208" i="23" s="1"/>
  <c r="F209" i="23" s="1"/>
  <c r="G210" i="23" s="1"/>
  <c r="H211" i="23" s="1"/>
  <c r="I212" i="23" s="1"/>
  <c r="J213" i="23" s="1"/>
  <c r="K214" i="23" s="1"/>
  <c r="L215" i="23" s="1"/>
  <c r="M216" i="23" s="1"/>
  <c r="N217" i="23" s="1"/>
  <c r="O218" i="23" s="1"/>
  <c r="P219" i="23" s="1"/>
  <c r="Q220" i="23" s="1"/>
  <c r="R221" i="23" s="1"/>
  <c r="S222" i="23" s="1"/>
  <c r="T223" i="23" s="1"/>
  <c r="U224" i="23" s="1"/>
  <c r="V225" i="23" s="1"/>
  <c r="W226" i="23" s="1"/>
  <c r="X227" i="23" s="1"/>
  <c r="Y228" i="23" s="1"/>
  <c r="Z229" i="23" s="1"/>
  <c r="C177" i="23"/>
  <c r="D178" i="23" s="1"/>
  <c r="E179" i="23" s="1"/>
  <c r="F180" i="23" s="1"/>
  <c r="G181" i="23" s="1"/>
  <c r="H182" i="23" s="1"/>
  <c r="I183" i="23" s="1"/>
  <c r="J184" i="23" s="1"/>
  <c r="K185" i="23" s="1"/>
  <c r="L186" i="23" s="1"/>
  <c r="M187" i="23" s="1"/>
  <c r="N188" i="23" s="1"/>
  <c r="O189" i="23" s="1"/>
  <c r="P190" i="23" s="1"/>
  <c r="Q191" i="23" s="1"/>
  <c r="R192" i="23" s="1"/>
  <c r="S193" i="23" s="1"/>
  <c r="T194" i="23" s="1"/>
  <c r="U195" i="23" s="1"/>
  <c r="V196" i="23" s="1"/>
  <c r="W197" i="23" s="1"/>
  <c r="X198" i="23" s="1"/>
  <c r="Y199" i="23" s="1"/>
  <c r="Z200" i="23" s="1"/>
  <c r="C148" i="23"/>
  <c r="D149" i="23" s="1"/>
  <c r="E150" i="23" s="1"/>
  <c r="F151" i="23" s="1"/>
  <c r="G152" i="23" s="1"/>
  <c r="H153" i="23" s="1"/>
  <c r="I154" i="23" s="1"/>
  <c r="J155" i="23" s="1"/>
  <c r="K156" i="23" s="1"/>
  <c r="L157" i="23" s="1"/>
  <c r="M158" i="23" s="1"/>
  <c r="N159" i="23" s="1"/>
  <c r="O160" i="23" s="1"/>
  <c r="P161" i="23" s="1"/>
  <c r="Q162" i="23" s="1"/>
  <c r="R163" i="23" s="1"/>
  <c r="S164" i="23" s="1"/>
  <c r="T165" i="23" s="1"/>
  <c r="U166" i="23" s="1"/>
  <c r="V167" i="23" s="1"/>
  <c r="W168" i="23" s="1"/>
  <c r="X169" i="23" s="1"/>
  <c r="Y170" i="23" s="1"/>
  <c r="Z171" i="23" s="1"/>
  <c r="C119" i="23"/>
  <c r="D120" i="23" s="1"/>
  <c r="E121" i="23" s="1"/>
  <c r="F122" i="23" s="1"/>
  <c r="G123" i="23" s="1"/>
  <c r="H124" i="23" s="1"/>
  <c r="I125" i="23" s="1"/>
  <c r="J126" i="23" s="1"/>
  <c r="K127" i="23" s="1"/>
  <c r="L128" i="23" s="1"/>
  <c r="M129" i="23" s="1"/>
  <c r="N130" i="23" s="1"/>
  <c r="O131" i="23" s="1"/>
  <c r="P132" i="23" s="1"/>
  <c r="Q133" i="23" s="1"/>
  <c r="R134" i="23" s="1"/>
  <c r="S135" i="23" s="1"/>
  <c r="T136" i="23" s="1"/>
  <c r="U137" i="23" s="1"/>
  <c r="V138" i="23" s="1"/>
  <c r="W139" i="23" s="1"/>
  <c r="X140" i="23" s="1"/>
  <c r="Y141" i="23" s="1"/>
  <c r="Z142" i="23" s="1"/>
  <c r="C90" i="23"/>
  <c r="D91" i="23" s="1"/>
  <c r="E92" i="23" s="1"/>
  <c r="F93" i="23" s="1"/>
  <c r="G94" i="23" s="1"/>
  <c r="H95" i="23" s="1"/>
  <c r="I96" i="23" s="1"/>
  <c r="J97" i="23" s="1"/>
  <c r="K98" i="23" s="1"/>
  <c r="L99" i="23" s="1"/>
  <c r="M100" i="23" s="1"/>
  <c r="N101" i="23" s="1"/>
  <c r="O102" i="23" s="1"/>
  <c r="P103" i="23" s="1"/>
  <c r="Q104" i="23" s="1"/>
  <c r="R105" i="23" s="1"/>
  <c r="S106" i="23" s="1"/>
  <c r="T107" i="23" s="1"/>
  <c r="U108" i="23" s="1"/>
  <c r="V109" i="23" s="1"/>
  <c r="W110" i="23" s="1"/>
  <c r="X111" i="23" s="1"/>
  <c r="Y112" i="23" s="1"/>
  <c r="Z113" i="23" s="1"/>
  <c r="C61" i="23"/>
  <c r="D62" i="23" s="1"/>
  <c r="E63" i="23" s="1"/>
  <c r="F64" i="23" s="1"/>
  <c r="G65" i="23" s="1"/>
  <c r="H66" i="23" s="1"/>
  <c r="I67" i="23" s="1"/>
  <c r="J68" i="23" s="1"/>
  <c r="K69" i="23" s="1"/>
  <c r="L70" i="23" s="1"/>
  <c r="M71" i="23" s="1"/>
  <c r="N72" i="23" s="1"/>
  <c r="O73" i="23" s="1"/>
  <c r="P74" i="23" s="1"/>
  <c r="Q75" i="23" s="1"/>
  <c r="R76" i="23" s="1"/>
  <c r="S77" i="23" s="1"/>
  <c r="T78" i="23" s="1"/>
  <c r="U79" i="23" s="1"/>
  <c r="V80" i="23" s="1"/>
  <c r="W81" i="23" s="1"/>
  <c r="X82" i="23" s="1"/>
  <c r="Y83" i="23" s="1"/>
  <c r="Z84" i="23" s="1"/>
  <c r="C31" i="23"/>
  <c r="D32" i="23" s="1"/>
  <c r="E33" i="23" s="1"/>
  <c r="F34" i="23" s="1"/>
  <c r="G35" i="23" s="1"/>
  <c r="H36" i="23" s="1"/>
  <c r="I37" i="23" s="1"/>
  <c r="J38" i="23" s="1"/>
  <c r="K39" i="23" s="1"/>
  <c r="L40" i="23" s="1"/>
  <c r="M41" i="23" s="1"/>
  <c r="N42" i="23" s="1"/>
  <c r="O43" i="23" s="1"/>
  <c r="P44" i="23" s="1"/>
  <c r="Q45" i="23" s="1"/>
  <c r="R46" i="23" s="1"/>
  <c r="S47" i="23" s="1"/>
  <c r="T48" i="23" s="1"/>
  <c r="U49" i="23" s="1"/>
  <c r="V50" i="23" s="1"/>
  <c r="W51" i="23" s="1"/>
  <c r="X52" i="23" s="1"/>
  <c r="Y53" i="23" s="1"/>
  <c r="Z54" i="23" s="1"/>
  <c r="AA55" i="23" s="1"/>
  <c r="C292" i="23"/>
  <c r="D293" i="23" s="1"/>
  <c r="E294" i="23" s="1"/>
  <c r="F295" i="23" s="1"/>
  <c r="G296" i="23" s="1"/>
  <c r="H297" i="23" s="1"/>
  <c r="I298" i="23" s="1"/>
  <c r="J299" i="23" s="1"/>
  <c r="K300" i="23" s="1"/>
  <c r="L301" i="23" s="1"/>
  <c r="M302" i="23" s="1"/>
  <c r="N303" i="23" s="1"/>
  <c r="O304" i="23" s="1"/>
  <c r="P305" i="23" s="1"/>
  <c r="Q306" i="23" s="1"/>
  <c r="R307" i="23" s="1"/>
  <c r="S308" i="23" s="1"/>
  <c r="T309" i="23" s="1"/>
  <c r="U310" i="23" s="1"/>
  <c r="V311" i="23" s="1"/>
  <c r="W312" i="23" s="1"/>
  <c r="X313" i="23" s="1"/>
  <c r="Y314" i="23" s="1"/>
  <c r="Z315" i="23" s="1"/>
  <c r="AA316" i="23" s="1"/>
  <c r="C234" i="23"/>
  <c r="D235" i="23" s="1"/>
  <c r="E236" i="23" s="1"/>
  <c r="F237" i="23" s="1"/>
  <c r="G238" i="23" s="1"/>
  <c r="H239" i="23" s="1"/>
  <c r="I240" i="23" s="1"/>
  <c r="J241" i="23" s="1"/>
  <c r="K242" i="23" s="1"/>
  <c r="L243" i="23" s="1"/>
  <c r="M244" i="23" s="1"/>
  <c r="N245" i="23" s="1"/>
  <c r="O246" i="23" s="1"/>
  <c r="P247" i="23" s="1"/>
  <c r="Q248" i="23" s="1"/>
  <c r="R249" i="23" s="1"/>
  <c r="S250" i="23" s="1"/>
  <c r="T251" i="23" s="1"/>
  <c r="U252" i="23" s="1"/>
  <c r="V253" i="23" s="1"/>
  <c r="W254" i="23" s="1"/>
  <c r="X255" i="23" s="1"/>
  <c r="Y256" i="23" s="1"/>
  <c r="Z257" i="23" s="1"/>
  <c r="AA258" i="23" s="1"/>
  <c r="C205" i="23"/>
  <c r="D206" i="23" s="1"/>
  <c r="E207" i="23" s="1"/>
  <c r="F208" i="23" s="1"/>
  <c r="G209" i="23" s="1"/>
  <c r="H210" i="23" s="1"/>
  <c r="I211" i="23" s="1"/>
  <c r="J212" i="23" s="1"/>
  <c r="K213" i="23" s="1"/>
  <c r="L214" i="23" s="1"/>
  <c r="M215" i="23" s="1"/>
  <c r="N216" i="23" s="1"/>
  <c r="O217" i="23" s="1"/>
  <c r="P218" i="23" s="1"/>
  <c r="Q219" i="23" s="1"/>
  <c r="R220" i="23" s="1"/>
  <c r="S221" i="23" s="1"/>
  <c r="T222" i="23" s="1"/>
  <c r="U223" i="23" s="1"/>
  <c r="V224" i="23" s="1"/>
  <c r="W225" i="23" s="1"/>
  <c r="X226" i="23" s="1"/>
  <c r="Y227" i="23" s="1"/>
  <c r="Z228" i="23" s="1"/>
  <c r="AA229" i="23" s="1"/>
  <c r="C176" i="23"/>
  <c r="D177" i="23" s="1"/>
  <c r="E178" i="23" s="1"/>
  <c r="F179" i="23" s="1"/>
  <c r="G180" i="23" s="1"/>
  <c r="H181" i="23" s="1"/>
  <c r="I182" i="23" s="1"/>
  <c r="J183" i="23" s="1"/>
  <c r="K184" i="23" s="1"/>
  <c r="L185" i="23" s="1"/>
  <c r="M186" i="23" s="1"/>
  <c r="N187" i="23" s="1"/>
  <c r="O188" i="23" s="1"/>
  <c r="P189" i="23" s="1"/>
  <c r="Q190" i="23" s="1"/>
  <c r="R191" i="23" s="1"/>
  <c r="S192" i="23" s="1"/>
  <c r="T193" i="23" s="1"/>
  <c r="U194" i="23" s="1"/>
  <c r="V195" i="23" s="1"/>
  <c r="W196" i="23" s="1"/>
  <c r="X197" i="23" s="1"/>
  <c r="Y198" i="23" s="1"/>
  <c r="Z199" i="23" s="1"/>
  <c r="AA200" i="23" s="1"/>
  <c r="C147" i="23"/>
  <c r="D148" i="23" s="1"/>
  <c r="E149" i="23" s="1"/>
  <c r="F150" i="23" s="1"/>
  <c r="G151" i="23" s="1"/>
  <c r="H152" i="23" s="1"/>
  <c r="I153" i="23" s="1"/>
  <c r="J154" i="23" s="1"/>
  <c r="K155" i="23" s="1"/>
  <c r="L156" i="23" s="1"/>
  <c r="M157" i="23" s="1"/>
  <c r="N158" i="23" s="1"/>
  <c r="O159" i="23" s="1"/>
  <c r="P160" i="23" s="1"/>
  <c r="Q161" i="23" s="1"/>
  <c r="R162" i="23" s="1"/>
  <c r="S163" i="23" s="1"/>
  <c r="T164" i="23" s="1"/>
  <c r="U165" i="23" s="1"/>
  <c r="V166" i="23" s="1"/>
  <c r="W167" i="23" s="1"/>
  <c r="X168" i="23" s="1"/>
  <c r="Y169" i="23" s="1"/>
  <c r="Z170" i="23" s="1"/>
  <c r="AA171" i="23" s="1"/>
  <c r="C118" i="23"/>
  <c r="D119" i="23" s="1"/>
  <c r="E120" i="23" s="1"/>
  <c r="F121" i="23" s="1"/>
  <c r="G122" i="23" s="1"/>
  <c r="H123" i="23" s="1"/>
  <c r="I124" i="23" s="1"/>
  <c r="J125" i="23" s="1"/>
  <c r="K126" i="23" s="1"/>
  <c r="L127" i="23" s="1"/>
  <c r="M128" i="23" s="1"/>
  <c r="N129" i="23" s="1"/>
  <c r="O130" i="23" s="1"/>
  <c r="P131" i="23" s="1"/>
  <c r="Q132" i="23" s="1"/>
  <c r="R133" i="23" s="1"/>
  <c r="S134" i="23" s="1"/>
  <c r="T135" i="23" s="1"/>
  <c r="U136" i="23" s="1"/>
  <c r="V137" i="23" s="1"/>
  <c r="W138" i="23" s="1"/>
  <c r="X139" i="23" s="1"/>
  <c r="Y140" i="23" s="1"/>
  <c r="Z141" i="23" s="1"/>
  <c r="AA142" i="23" s="1"/>
  <c r="C60" i="23"/>
  <c r="D61" i="23" s="1"/>
  <c r="E62" i="23" s="1"/>
  <c r="F63" i="23" s="1"/>
  <c r="G64" i="23" s="1"/>
  <c r="H65" i="23" s="1"/>
  <c r="I66" i="23" s="1"/>
  <c r="J67" i="23" s="1"/>
  <c r="K68" i="23" s="1"/>
  <c r="L69" i="23" s="1"/>
  <c r="M70" i="23" s="1"/>
  <c r="N71" i="23" s="1"/>
  <c r="O72" i="23" s="1"/>
  <c r="P73" i="23" s="1"/>
  <c r="Q74" i="23" s="1"/>
  <c r="R75" i="23" s="1"/>
  <c r="S76" i="23" s="1"/>
  <c r="T77" i="23" s="1"/>
  <c r="U78" i="23" s="1"/>
  <c r="V79" i="23" s="1"/>
  <c r="W80" i="23" s="1"/>
  <c r="X81" i="23" s="1"/>
  <c r="Y82" i="23" s="1"/>
  <c r="Z83" i="23" s="1"/>
  <c r="AA84" i="23" s="1"/>
  <c r="C30" i="23"/>
  <c r="D31" i="23" s="1"/>
  <c r="E32" i="23" s="1"/>
  <c r="F33" i="23" s="1"/>
  <c r="G34" i="23" s="1"/>
  <c r="H35" i="23" s="1"/>
  <c r="I36" i="23" s="1"/>
  <c r="J37" i="23" s="1"/>
  <c r="K38" i="23" s="1"/>
  <c r="L39" i="23" s="1"/>
  <c r="M40" i="23" s="1"/>
  <c r="N41" i="23" s="1"/>
  <c r="O42" i="23" s="1"/>
  <c r="P43" i="23" s="1"/>
  <c r="Q44" i="23" s="1"/>
  <c r="R45" i="23" s="1"/>
  <c r="S46" i="23" s="1"/>
  <c r="T47" i="23" s="1"/>
  <c r="U48" i="23" s="1"/>
  <c r="V49" i="23" s="1"/>
  <c r="W50" i="23" s="1"/>
  <c r="X51" i="23" s="1"/>
  <c r="Y52" i="23" s="1"/>
  <c r="Z53" i="23" s="1"/>
  <c r="AA54" i="23" s="1"/>
  <c r="AB55" i="23" s="1"/>
  <c r="C291" i="23"/>
  <c r="D292" i="23" s="1"/>
  <c r="E293" i="23" s="1"/>
  <c r="F294" i="23" s="1"/>
  <c r="G295" i="23" s="1"/>
  <c r="H296" i="23" s="1"/>
  <c r="I297" i="23" s="1"/>
  <c r="J298" i="23" s="1"/>
  <c r="K299" i="23" s="1"/>
  <c r="L300" i="23" s="1"/>
  <c r="M301" i="23" s="1"/>
  <c r="N302" i="23" s="1"/>
  <c r="O303" i="23" s="1"/>
  <c r="P304" i="23" s="1"/>
  <c r="Q305" i="23" s="1"/>
  <c r="R306" i="23" s="1"/>
  <c r="S307" i="23" s="1"/>
  <c r="T308" i="23" s="1"/>
  <c r="U309" i="23" s="1"/>
  <c r="V310" i="23" s="1"/>
  <c r="W311" i="23" s="1"/>
  <c r="X312" i="23" s="1"/>
  <c r="Y313" i="23" s="1"/>
  <c r="Z314" i="23" s="1"/>
  <c r="AA315" i="23" s="1"/>
  <c r="AB316" i="23" s="1"/>
  <c r="C204" i="23"/>
  <c r="D205" i="23" s="1"/>
  <c r="E206" i="23" s="1"/>
  <c r="F207" i="23" s="1"/>
  <c r="G208" i="23" s="1"/>
  <c r="H209" i="23" s="1"/>
  <c r="I210" i="23" s="1"/>
  <c r="J211" i="23" s="1"/>
  <c r="K212" i="23" s="1"/>
  <c r="L213" i="23" s="1"/>
  <c r="M214" i="23" s="1"/>
  <c r="N215" i="23" s="1"/>
  <c r="O216" i="23" s="1"/>
  <c r="P217" i="23" s="1"/>
  <c r="Q218" i="23" s="1"/>
  <c r="R219" i="23" s="1"/>
  <c r="S220" i="23" s="1"/>
  <c r="T221" i="23" s="1"/>
  <c r="U222" i="23" s="1"/>
  <c r="V223" i="23" s="1"/>
  <c r="W224" i="23" s="1"/>
  <c r="X225" i="23" s="1"/>
  <c r="Y226" i="23" s="1"/>
  <c r="Z227" i="23" s="1"/>
  <c r="AA228" i="23" s="1"/>
  <c r="AB229" i="23" s="1"/>
  <c r="C175" i="23"/>
  <c r="D176" i="23" s="1"/>
  <c r="E177" i="23" s="1"/>
  <c r="F178" i="23" s="1"/>
  <c r="G179" i="23" s="1"/>
  <c r="H180" i="23" s="1"/>
  <c r="I181" i="23" s="1"/>
  <c r="J182" i="23" s="1"/>
  <c r="K183" i="23" s="1"/>
  <c r="L184" i="23" s="1"/>
  <c r="M185" i="23" s="1"/>
  <c r="N186" i="23" s="1"/>
  <c r="O187" i="23" s="1"/>
  <c r="P188" i="23" s="1"/>
  <c r="Q189" i="23" s="1"/>
  <c r="R190" i="23" s="1"/>
  <c r="S191" i="23" s="1"/>
  <c r="T192" i="23" s="1"/>
  <c r="U193" i="23" s="1"/>
  <c r="V194" i="23" s="1"/>
  <c r="W195" i="23" s="1"/>
  <c r="X196" i="23" s="1"/>
  <c r="Y197" i="23" s="1"/>
  <c r="Z198" i="23" s="1"/>
  <c r="AA199" i="23" s="1"/>
  <c r="AB200" i="23" s="1"/>
  <c r="C146" i="23"/>
  <c r="D147" i="23" s="1"/>
  <c r="E148" i="23" s="1"/>
  <c r="F149" i="23" s="1"/>
  <c r="G150" i="23" s="1"/>
  <c r="H151" i="23" s="1"/>
  <c r="I152" i="23" s="1"/>
  <c r="J153" i="23" s="1"/>
  <c r="K154" i="23" s="1"/>
  <c r="L155" i="23" s="1"/>
  <c r="M156" i="23" s="1"/>
  <c r="N157" i="23" s="1"/>
  <c r="O158" i="23" s="1"/>
  <c r="P159" i="23" s="1"/>
  <c r="Q160" i="23" s="1"/>
  <c r="R161" i="23" s="1"/>
  <c r="S162" i="23" s="1"/>
  <c r="T163" i="23" s="1"/>
  <c r="U164" i="23" s="1"/>
  <c r="V165" i="23" s="1"/>
  <c r="W166" i="23" s="1"/>
  <c r="X167" i="23" s="1"/>
  <c r="Y168" i="23" s="1"/>
  <c r="Z169" i="23" s="1"/>
  <c r="AA170" i="23" s="1"/>
  <c r="AB171" i="23" s="1"/>
  <c r="C233" i="23"/>
  <c r="D234" i="23" s="1"/>
  <c r="E235" i="23" s="1"/>
  <c r="F236" i="23" s="1"/>
  <c r="G237" i="23" s="1"/>
  <c r="H238" i="23" s="1"/>
  <c r="I239" i="23" s="1"/>
  <c r="J240" i="23" s="1"/>
  <c r="K241" i="23" s="1"/>
  <c r="L242" i="23" s="1"/>
  <c r="M243" i="23" s="1"/>
  <c r="N244" i="23" s="1"/>
  <c r="O245" i="23" s="1"/>
  <c r="P246" i="23" s="1"/>
  <c r="Q247" i="23" s="1"/>
  <c r="R248" i="23" s="1"/>
  <c r="S249" i="23" s="1"/>
  <c r="T250" i="23" s="1"/>
  <c r="U251" i="23" s="1"/>
  <c r="V252" i="23" s="1"/>
  <c r="W253" i="23" s="1"/>
  <c r="X254" i="23" s="1"/>
  <c r="Y255" i="23" s="1"/>
  <c r="Z256" i="23" s="1"/>
  <c r="AA257" i="23" s="1"/>
  <c r="AB258" i="23" s="1"/>
  <c r="C117" i="23"/>
  <c r="D118" i="23" s="1"/>
  <c r="E119" i="23" s="1"/>
  <c r="F120" i="23" s="1"/>
  <c r="G121" i="23" s="1"/>
  <c r="H122" i="23" s="1"/>
  <c r="I123" i="23" s="1"/>
  <c r="J124" i="23" s="1"/>
  <c r="K125" i="23" s="1"/>
  <c r="L126" i="23" s="1"/>
  <c r="M127" i="23" s="1"/>
  <c r="N128" i="23" s="1"/>
  <c r="O129" i="23" s="1"/>
  <c r="P130" i="23" s="1"/>
  <c r="Q131" i="23" s="1"/>
  <c r="R132" i="23" s="1"/>
  <c r="S133" i="23" s="1"/>
  <c r="T134" i="23" s="1"/>
  <c r="U135" i="23" s="1"/>
  <c r="V136" i="23" s="1"/>
  <c r="W137" i="23" s="1"/>
  <c r="X138" i="23" s="1"/>
  <c r="Y139" i="23" s="1"/>
  <c r="Z140" i="23" s="1"/>
  <c r="AA141" i="23" s="1"/>
  <c r="AB142" i="23" s="1"/>
  <c r="C88" i="23"/>
  <c r="D89" i="23" s="1"/>
  <c r="E90" i="23" s="1"/>
  <c r="F91" i="23" s="1"/>
  <c r="G92" i="23" s="1"/>
  <c r="H93" i="23" s="1"/>
  <c r="I94" i="23" s="1"/>
  <c r="J95" i="23" s="1"/>
  <c r="K96" i="23" s="1"/>
  <c r="L97" i="23" s="1"/>
  <c r="M98" i="23" s="1"/>
  <c r="N99" i="23" s="1"/>
  <c r="O100" i="23" s="1"/>
  <c r="P101" i="23" s="1"/>
  <c r="Q102" i="23" s="1"/>
  <c r="R103" i="23" s="1"/>
  <c r="S104" i="23" s="1"/>
  <c r="T105" i="23" s="1"/>
  <c r="U106" i="23" s="1"/>
  <c r="V107" i="23" s="1"/>
  <c r="W108" i="23" s="1"/>
  <c r="X109" i="23" s="1"/>
  <c r="Y110" i="23" s="1"/>
  <c r="Z111" i="23" s="1"/>
  <c r="AA112" i="23" s="1"/>
  <c r="AB113" i="23" s="1"/>
  <c r="C59" i="23"/>
  <c r="D60" i="23" s="1"/>
  <c r="E61" i="23" s="1"/>
  <c r="F62" i="23" s="1"/>
  <c r="G63" i="23" s="1"/>
  <c r="H64" i="23" s="1"/>
  <c r="I65" i="23" s="1"/>
  <c r="J66" i="23" s="1"/>
  <c r="K67" i="23" s="1"/>
  <c r="L68" i="23" s="1"/>
  <c r="M69" i="23" s="1"/>
  <c r="N70" i="23" s="1"/>
  <c r="O71" i="23" s="1"/>
  <c r="P72" i="23" s="1"/>
  <c r="Q73" i="23" s="1"/>
  <c r="R74" i="23" s="1"/>
  <c r="S75" i="23" s="1"/>
  <c r="T76" i="23" s="1"/>
  <c r="U77" i="23" s="1"/>
  <c r="V78" i="23" s="1"/>
  <c r="W79" i="23" s="1"/>
  <c r="X80" i="23" s="1"/>
  <c r="Y81" i="23" s="1"/>
  <c r="Z82" i="23" s="1"/>
  <c r="AA83" i="23" s="1"/>
  <c r="AB84" i="23" s="1"/>
  <c r="C431" i="19"/>
  <c r="C460" i="19"/>
  <c r="C489" i="19"/>
  <c r="C432" i="19"/>
  <c r="C461" i="19"/>
  <c r="C490" i="19"/>
  <c r="C433" i="19"/>
  <c r="C462" i="19"/>
  <c r="C491" i="19"/>
  <c r="C434" i="19"/>
  <c r="C463" i="19"/>
  <c r="C492" i="19"/>
  <c r="C435" i="19"/>
  <c r="C464" i="19"/>
  <c r="C493" i="19"/>
  <c r="C436" i="19"/>
  <c r="C465" i="19"/>
  <c r="C494" i="19"/>
  <c r="C437" i="19"/>
  <c r="C466" i="19"/>
  <c r="C495" i="19"/>
  <c r="C438" i="19"/>
  <c r="C467" i="19"/>
  <c r="C496" i="19"/>
  <c r="C439" i="19"/>
  <c r="C468" i="19"/>
  <c r="C497" i="19"/>
  <c r="C440" i="19"/>
  <c r="C469" i="19"/>
  <c r="C498" i="19"/>
  <c r="C441" i="19"/>
  <c r="C470" i="19"/>
  <c r="C499" i="19"/>
  <c r="C442" i="19"/>
  <c r="C471" i="19"/>
  <c r="C500" i="19"/>
  <c r="C443" i="19"/>
  <c r="C472" i="19"/>
  <c r="C501" i="19"/>
  <c r="C444" i="19"/>
  <c r="C473" i="19"/>
  <c r="C502" i="19"/>
  <c r="C445" i="19"/>
  <c r="C474" i="19"/>
  <c r="C503" i="19"/>
  <c r="C315" i="19"/>
  <c r="C344" i="19"/>
  <c r="C373" i="19"/>
  <c r="C316" i="19"/>
  <c r="C345" i="19"/>
  <c r="C374" i="19"/>
  <c r="C317" i="19"/>
  <c r="C346" i="19"/>
  <c r="C375" i="19"/>
  <c r="C318" i="19"/>
  <c r="C347" i="19"/>
  <c r="C376" i="19"/>
  <c r="C319" i="19"/>
  <c r="C348" i="19"/>
  <c r="C377" i="19"/>
  <c r="C320" i="19"/>
  <c r="C349" i="19"/>
  <c r="C378" i="19"/>
  <c r="C321" i="19"/>
  <c r="C350" i="19"/>
  <c r="C379" i="19"/>
  <c r="C322" i="19"/>
  <c r="C351" i="19"/>
  <c r="C380" i="19"/>
  <c r="C323" i="19"/>
  <c r="C352" i="19"/>
  <c r="C381" i="19"/>
  <c r="C324" i="19"/>
  <c r="C353" i="19"/>
  <c r="C382" i="19"/>
  <c r="C325" i="19"/>
  <c r="C354" i="19"/>
  <c r="C383" i="19"/>
  <c r="C326" i="19"/>
  <c r="C355" i="19"/>
  <c r="C384" i="19"/>
  <c r="C327" i="19"/>
  <c r="C356" i="19"/>
  <c r="C385" i="19"/>
  <c r="C328" i="19"/>
  <c r="C357" i="19"/>
  <c r="C386" i="19"/>
  <c r="C329" i="19"/>
  <c r="C358" i="19"/>
  <c r="C387" i="19"/>
  <c r="C199" i="19"/>
  <c r="C257" i="19"/>
  <c r="C171" i="19"/>
  <c r="C200" i="19"/>
  <c r="C258" i="19"/>
  <c r="C201" i="19"/>
  <c r="C230" i="19"/>
  <c r="C259" i="19"/>
  <c r="C202" i="19"/>
  <c r="C231" i="19"/>
  <c r="C260" i="19"/>
  <c r="C203" i="19"/>
  <c r="C232" i="19"/>
  <c r="C261" i="19"/>
  <c r="C204" i="19"/>
  <c r="C233" i="19"/>
  <c r="C262" i="19"/>
  <c r="C176" i="19"/>
  <c r="C205" i="19"/>
  <c r="C263" i="19"/>
  <c r="C206" i="19"/>
  <c r="C235" i="19"/>
  <c r="C264" i="19"/>
  <c r="C207" i="19"/>
  <c r="C236" i="19"/>
  <c r="C265" i="19"/>
  <c r="C208" i="19"/>
  <c r="C237" i="19"/>
  <c r="C266" i="19"/>
  <c r="C209" i="19"/>
  <c r="C238" i="19"/>
  <c r="C267" i="19"/>
  <c r="C210" i="19"/>
  <c r="C239" i="19"/>
  <c r="C268" i="19"/>
  <c r="C211" i="19"/>
  <c r="C240" i="19"/>
  <c r="C269" i="19"/>
  <c r="C212" i="19"/>
  <c r="C241" i="19"/>
  <c r="C270" i="19"/>
  <c r="C213" i="19"/>
  <c r="C242" i="19"/>
  <c r="C271" i="19"/>
  <c r="C227" i="19"/>
  <c r="C83" i="19"/>
  <c r="C141" i="19"/>
  <c r="C84" i="19"/>
  <c r="C113" i="19"/>
  <c r="C142" i="19"/>
  <c r="C85" i="19"/>
  <c r="C114" i="19"/>
  <c r="C143" i="19"/>
  <c r="C86" i="19"/>
  <c r="C115" i="19"/>
  <c r="C144" i="19"/>
  <c r="C87" i="19"/>
  <c r="C116" i="19"/>
  <c r="C145" i="19"/>
  <c r="C88" i="19"/>
  <c r="C117" i="19"/>
  <c r="C146" i="19"/>
  <c r="C60" i="19"/>
  <c r="C89" i="19"/>
  <c r="C118" i="19"/>
  <c r="C90" i="19"/>
  <c r="C119" i="19"/>
  <c r="C148" i="19"/>
  <c r="C91" i="19"/>
  <c r="C120" i="19"/>
  <c r="C149" i="19"/>
  <c r="C63" i="19"/>
  <c r="C121" i="19"/>
  <c r="C150" i="19"/>
  <c r="C93" i="19"/>
  <c r="C122" i="19"/>
  <c r="C151" i="19"/>
  <c r="C94" i="19"/>
  <c r="C123" i="19"/>
  <c r="C152" i="19"/>
  <c r="C95" i="19"/>
  <c r="C124" i="19"/>
  <c r="C153" i="19"/>
  <c r="C96" i="19"/>
  <c r="C125" i="19"/>
  <c r="C154" i="19"/>
  <c r="C97" i="19"/>
  <c r="C126" i="19"/>
  <c r="C155" i="19"/>
  <c r="AU144" i="6"/>
  <c r="AK138" i="6"/>
  <c r="BA113" i="6"/>
  <c r="DG64" i="6"/>
  <c r="DC64" i="6"/>
  <c r="CY64" i="6"/>
  <c r="R75" i="6"/>
  <c r="X73" i="6"/>
  <c r="R72" i="6"/>
  <c r="V71" i="6"/>
  <c r="L69" i="6"/>
  <c r="R65" i="6"/>
  <c r="L29" i="6"/>
  <c r="Y35" i="6"/>
  <c r="T35" i="6"/>
  <c r="DE141" i="6"/>
  <c r="AS144" i="6"/>
  <c r="AX106" i="6"/>
  <c r="AX109" i="6"/>
  <c r="AE72" i="2" l="1"/>
  <c r="AA72" i="2"/>
  <c r="W72" i="2"/>
  <c r="S72" i="2"/>
  <c r="O72" i="2"/>
  <c r="K72" i="2"/>
  <c r="AG71" i="2"/>
  <c r="AC71" i="2"/>
  <c r="AD72" i="2"/>
  <c r="Z72" i="2"/>
  <c r="V72" i="2"/>
  <c r="R72" i="2"/>
  <c r="N72" i="2"/>
  <c r="J72" i="2"/>
  <c r="AF71" i="2"/>
  <c r="AB71" i="2"/>
  <c r="AG72" i="2"/>
  <c r="AC72" i="2"/>
  <c r="Y72" i="2"/>
  <c r="U72" i="2"/>
  <c r="Q72" i="2"/>
  <c r="M72" i="2"/>
  <c r="I72" i="2"/>
  <c r="AE71" i="2"/>
  <c r="G72" i="2"/>
  <c r="AF72" i="2"/>
  <c r="AB72" i="2"/>
  <c r="X72" i="2"/>
  <c r="T72" i="2"/>
  <c r="P72" i="2"/>
  <c r="L72" i="2"/>
  <c r="H72" i="2"/>
  <c r="AD71" i="2"/>
  <c r="G71" i="2"/>
  <c r="H71" i="2"/>
  <c r="I71" i="2"/>
  <c r="K71" i="2"/>
  <c r="J71" i="2"/>
  <c r="L71" i="2"/>
  <c r="M71" i="2"/>
  <c r="N71" i="2"/>
  <c r="O71" i="2"/>
  <c r="P71" i="2"/>
  <c r="Q71" i="2"/>
  <c r="S71" i="2"/>
  <c r="R71" i="2"/>
  <c r="T71" i="2"/>
  <c r="U71" i="2"/>
  <c r="W71" i="2"/>
  <c r="V71" i="2"/>
  <c r="X71" i="2"/>
  <c r="Y71" i="2"/>
  <c r="Z71" i="2"/>
  <c r="AA71" i="2"/>
  <c r="E72" i="2"/>
  <c r="Q44" i="2" s="1"/>
  <c r="E71" i="2"/>
  <c r="Q43" i="2" s="1"/>
  <c r="T43" i="2" s="1"/>
  <c r="E96" i="5"/>
  <c r="J33" i="5"/>
  <c r="H44" i="5"/>
  <c r="H47" i="5" s="1"/>
  <c r="J47" i="5" s="1"/>
  <c r="G96" i="5"/>
  <c r="J44" i="5"/>
  <c r="E97" i="5"/>
  <c r="H33" i="5"/>
  <c r="AS23" i="6"/>
  <c r="BE34" i="6"/>
  <c r="AS145" i="6"/>
  <c r="BU105" i="6"/>
  <c r="CP105" i="6" s="1"/>
  <c r="BU137" i="6"/>
  <c r="DA102" i="6"/>
  <c r="CW137" i="6"/>
  <c r="DA139" i="6"/>
  <c r="DE143" i="6"/>
  <c r="M33" i="6"/>
  <c r="AT101" i="6"/>
  <c r="AO138" i="6"/>
  <c r="AW143" i="6"/>
  <c r="DA143" i="6"/>
  <c r="M30" i="6"/>
  <c r="AK25" i="6"/>
  <c r="AW30" i="6"/>
  <c r="AW33" i="6"/>
  <c r="BU24" i="6"/>
  <c r="BU25" i="6"/>
  <c r="BY28" i="6"/>
  <c r="CC33" i="6"/>
  <c r="CG37" i="6"/>
  <c r="DE28" i="6"/>
  <c r="DI28" i="6"/>
  <c r="DA29" i="6"/>
  <c r="DM31" i="6"/>
  <c r="DE32" i="6"/>
  <c r="DI37" i="6"/>
  <c r="DQ37" i="6"/>
  <c r="DB66" i="6"/>
  <c r="AP99" i="6"/>
  <c r="AT99" i="6"/>
  <c r="AT102" i="6"/>
  <c r="AX103" i="6"/>
  <c r="AP105" i="6"/>
  <c r="AT105" i="6"/>
  <c r="AT107" i="6"/>
  <c r="AX107" i="6"/>
  <c r="AX111" i="6"/>
  <c r="AX112" i="6"/>
  <c r="BF112" i="6"/>
  <c r="AS138" i="6"/>
  <c r="AS140" i="6"/>
  <c r="AO141" i="6"/>
  <c r="AO142" i="6"/>
  <c r="AW147" i="6"/>
  <c r="AW149" i="6"/>
  <c r="AW150" i="6"/>
  <c r="BQ100" i="6"/>
  <c r="BU100" i="6"/>
  <c r="BU101" i="6"/>
  <c r="BU102" i="6"/>
  <c r="BU140" i="6"/>
  <c r="BU141" i="6"/>
  <c r="DE99" i="6"/>
  <c r="CW101" i="6"/>
  <c r="DA104" i="6"/>
  <c r="CW138" i="6"/>
  <c r="CW139" i="6"/>
  <c r="DA140" i="6"/>
  <c r="DE144" i="6"/>
  <c r="DE145" i="6"/>
  <c r="CY62" i="6"/>
  <c r="DA62" i="6"/>
  <c r="DE62" i="6"/>
  <c r="C413" i="23"/>
  <c r="D414" i="23" s="1"/>
  <c r="E415" i="23" s="1"/>
  <c r="F416" i="23" s="1"/>
  <c r="G417" i="23" s="1"/>
  <c r="H418" i="23" s="1"/>
  <c r="I419" i="23" s="1"/>
  <c r="J420" i="23" s="1"/>
  <c r="K421" i="23" s="1"/>
  <c r="L422" i="23" s="1"/>
  <c r="M423" i="23" s="1"/>
  <c r="N424" i="23" s="1"/>
  <c r="O425" i="23" s="1"/>
  <c r="P426" i="23" s="1"/>
  <c r="Q427" i="23" s="1"/>
  <c r="R428" i="23" s="1"/>
  <c r="S429" i="23" s="1"/>
  <c r="T430" i="23" s="1"/>
  <c r="U431" i="23" s="1"/>
  <c r="V432" i="23" s="1"/>
  <c r="C443" i="23"/>
  <c r="D444" i="23" s="1"/>
  <c r="E445" i="23" s="1"/>
  <c r="F446" i="23" s="1"/>
  <c r="G447" i="23" s="1"/>
  <c r="H448" i="23" s="1"/>
  <c r="I449" i="23" s="1"/>
  <c r="J450" i="23" s="1"/>
  <c r="K451" i="23" s="1"/>
  <c r="L452" i="23" s="1"/>
  <c r="M453" i="23" s="1"/>
  <c r="N454" i="23" s="1"/>
  <c r="O455" i="23" s="1"/>
  <c r="P456" i="23" s="1"/>
  <c r="Q457" i="23" s="1"/>
  <c r="R458" i="23" s="1"/>
  <c r="S459" i="23" s="1"/>
  <c r="T460" i="23" s="1"/>
  <c r="U461" i="23" s="1"/>
  <c r="C83" i="23"/>
  <c r="D83" i="23"/>
  <c r="E84" i="23" s="1"/>
  <c r="C257" i="23"/>
  <c r="D257" i="23"/>
  <c r="E258" i="23" s="1"/>
  <c r="C112" i="23"/>
  <c r="D112" i="23"/>
  <c r="E113" i="23" s="1"/>
  <c r="M25" i="6"/>
  <c r="C466" i="23"/>
  <c r="D467" i="23" s="1"/>
  <c r="E468" i="23" s="1"/>
  <c r="F469" i="23" s="1"/>
  <c r="G470" i="23" s="1"/>
  <c r="H471" i="23" s="1"/>
  <c r="I472" i="23" s="1"/>
  <c r="J473" i="23" s="1"/>
  <c r="K474" i="23" s="1"/>
  <c r="L475" i="23" s="1"/>
  <c r="M476" i="23" s="1"/>
  <c r="N477" i="23" s="1"/>
  <c r="O478" i="23" s="1"/>
  <c r="P479" i="23" s="1"/>
  <c r="Q480" i="23" s="1"/>
  <c r="R481" i="23" s="1"/>
  <c r="S482" i="23" s="1"/>
  <c r="T483" i="23" s="1"/>
  <c r="U484" i="23" s="1"/>
  <c r="V485" i="23" s="1"/>
  <c r="W486" i="23" s="1"/>
  <c r="X487" i="23" s="1"/>
  <c r="Y488" i="23" s="1"/>
  <c r="Z489" i="23" s="1"/>
  <c r="AA490" i="23" s="1"/>
  <c r="C467" i="23"/>
  <c r="D468" i="23" s="1"/>
  <c r="E469" i="23" s="1"/>
  <c r="F470" i="23" s="1"/>
  <c r="G471" i="23" s="1"/>
  <c r="H472" i="23" s="1"/>
  <c r="I473" i="23" s="1"/>
  <c r="J474" i="23" s="1"/>
  <c r="K475" i="23" s="1"/>
  <c r="L476" i="23" s="1"/>
  <c r="M477" i="23" s="1"/>
  <c r="N478" i="23" s="1"/>
  <c r="O479" i="23" s="1"/>
  <c r="P480" i="23" s="1"/>
  <c r="Q481" i="23" s="1"/>
  <c r="R482" i="23" s="1"/>
  <c r="S483" i="23" s="1"/>
  <c r="T484" i="23" s="1"/>
  <c r="U485" i="23" s="1"/>
  <c r="V486" i="23" s="1"/>
  <c r="W487" i="23" s="1"/>
  <c r="X488" i="23" s="1"/>
  <c r="Y489" i="23" s="1"/>
  <c r="Z490" i="23" s="1"/>
  <c r="C228" i="23"/>
  <c r="D228" i="23"/>
  <c r="E229" i="23" s="1"/>
  <c r="C54" i="23"/>
  <c r="D54" i="23"/>
  <c r="E55" i="23" s="1"/>
  <c r="C472" i="23"/>
  <c r="D473" i="23" s="1"/>
  <c r="E474" i="23" s="1"/>
  <c r="F475" i="23" s="1"/>
  <c r="G476" i="23" s="1"/>
  <c r="H477" i="23" s="1"/>
  <c r="I478" i="23" s="1"/>
  <c r="J479" i="23" s="1"/>
  <c r="K480" i="23" s="1"/>
  <c r="L481" i="23" s="1"/>
  <c r="M482" i="23" s="1"/>
  <c r="N483" i="23" s="1"/>
  <c r="O484" i="23" s="1"/>
  <c r="P485" i="23" s="1"/>
  <c r="Q486" i="23" s="1"/>
  <c r="R487" i="23" s="1"/>
  <c r="S488" i="23" s="1"/>
  <c r="T489" i="23" s="1"/>
  <c r="U490" i="23" s="1"/>
  <c r="D199" i="23"/>
  <c r="E200" i="23" s="1"/>
  <c r="C199" i="23"/>
  <c r="D141" i="23"/>
  <c r="E142" i="23" s="1"/>
  <c r="C141" i="23"/>
  <c r="DF24" i="6"/>
  <c r="AT71" i="6"/>
  <c r="AQ102" i="6"/>
  <c r="Q35" i="6"/>
  <c r="Y36" i="6"/>
  <c r="AS30" i="6"/>
  <c r="BY27" i="6"/>
  <c r="BU29" i="6"/>
  <c r="DE30" i="6"/>
  <c r="AP102" i="6"/>
  <c r="AT103" i="6"/>
  <c r="AT104" i="6"/>
  <c r="AT109" i="6"/>
  <c r="BF113" i="6"/>
  <c r="AO140" i="6"/>
  <c r="AS142" i="6"/>
  <c r="BU99" i="6"/>
  <c r="BY99" i="6"/>
  <c r="CI72" i="6"/>
  <c r="DO75" i="6"/>
  <c r="AU108" i="6"/>
  <c r="BC113" i="6"/>
  <c r="AP139" i="6"/>
  <c r="AP68" i="6"/>
  <c r="BB72" i="6"/>
  <c r="DK67" i="6"/>
  <c r="AL138" i="6"/>
  <c r="BR101" i="6"/>
  <c r="E23" i="6"/>
  <c r="M24" i="6"/>
  <c r="M27" i="6"/>
  <c r="U31" i="6"/>
  <c r="Q32" i="6"/>
  <c r="U34" i="6"/>
  <c r="U35" i="6"/>
  <c r="AW27" i="6"/>
  <c r="AW28" i="6"/>
  <c r="BA37" i="6"/>
  <c r="BY24" i="6"/>
  <c r="CC27" i="6"/>
  <c r="CC29" i="6"/>
  <c r="CG31" i="6"/>
  <c r="BY32" i="6"/>
  <c r="CG33" i="6"/>
  <c r="CC34" i="6"/>
  <c r="CC35" i="6"/>
  <c r="CC36" i="6"/>
  <c r="DI27" i="6"/>
  <c r="DE33" i="6"/>
  <c r="DQ34" i="6"/>
  <c r="DQ36" i="6"/>
  <c r="AL102" i="6"/>
  <c r="AP106" i="6"/>
  <c r="BJ106" i="6" s="1"/>
  <c r="AX110" i="6"/>
  <c r="BB110" i="6"/>
  <c r="BB111" i="6"/>
  <c r="AK137" i="6"/>
  <c r="AW146" i="6"/>
  <c r="AW148" i="6"/>
  <c r="BQ101" i="6"/>
  <c r="BQ139" i="6"/>
  <c r="BU139" i="6"/>
  <c r="DA99" i="6"/>
  <c r="DA100" i="6"/>
  <c r="DA103" i="6"/>
  <c r="DA137" i="6"/>
  <c r="DA142" i="6"/>
  <c r="DE142" i="6"/>
  <c r="Z75" i="6"/>
  <c r="AT65" i="6"/>
  <c r="AX65" i="6"/>
  <c r="AP66" i="6"/>
  <c r="AX66" i="6"/>
  <c r="AT68" i="6"/>
  <c r="AX69" i="6"/>
  <c r="AT70" i="6"/>
  <c r="BB70" i="6"/>
  <c r="BB71" i="6"/>
  <c r="AT72" i="6"/>
  <c r="BF73" i="6"/>
  <c r="AX75" i="6"/>
  <c r="BB75" i="6"/>
  <c r="BS64" i="6"/>
  <c r="CI75" i="6"/>
  <c r="DC65" i="6"/>
  <c r="DC68" i="6"/>
  <c r="DK71" i="6"/>
  <c r="DG72" i="6"/>
  <c r="DK72" i="6"/>
  <c r="DS75" i="6"/>
  <c r="L138" i="6"/>
  <c r="L140" i="6"/>
  <c r="AM99" i="6"/>
  <c r="AU102" i="6"/>
  <c r="AU104" i="6"/>
  <c r="AU106" i="6"/>
  <c r="AY109" i="6"/>
  <c r="BC111" i="6"/>
  <c r="BG112" i="6"/>
  <c r="AY113" i="6"/>
  <c r="BG113" i="6"/>
  <c r="AT147" i="6"/>
  <c r="AT148" i="6"/>
  <c r="BR140" i="6"/>
  <c r="CX100" i="6"/>
  <c r="CX138" i="6"/>
  <c r="CX139" i="6"/>
  <c r="DB144" i="6"/>
  <c r="DF144" i="6"/>
  <c r="DB28" i="6"/>
  <c r="DR36" i="6"/>
  <c r="N62" i="6"/>
  <c r="V69" i="6"/>
  <c r="R73" i="6"/>
  <c r="AT62" i="6"/>
  <c r="AL63" i="6"/>
  <c r="AP63" i="6"/>
  <c r="AT63" i="6"/>
  <c r="AL64" i="6"/>
  <c r="AT64" i="6"/>
  <c r="AP64" i="6"/>
  <c r="AP65" i="6"/>
  <c r="AT66" i="6"/>
  <c r="AP67" i="6"/>
  <c r="AT67" i="6"/>
  <c r="AX67" i="6"/>
  <c r="AX68" i="6"/>
  <c r="AT69" i="6"/>
  <c r="BB69" i="6"/>
  <c r="AX70" i="6"/>
  <c r="AX71" i="6"/>
  <c r="AX72" i="6"/>
  <c r="AX73" i="6"/>
  <c r="BB73" i="6"/>
  <c r="AX74" i="6"/>
  <c r="BB74" i="6"/>
  <c r="BF74" i="6"/>
  <c r="BF75" i="6"/>
  <c r="CE66" i="6"/>
  <c r="CE69" i="6"/>
  <c r="CI71" i="6"/>
  <c r="DC66" i="6"/>
  <c r="DG66" i="6"/>
  <c r="DG67" i="6"/>
  <c r="DK69" i="6"/>
  <c r="DG70" i="6"/>
  <c r="DO73" i="6"/>
  <c r="DK74" i="6"/>
  <c r="L137" i="6"/>
  <c r="AM101" i="6"/>
  <c r="AY104" i="6"/>
  <c r="AQ106" i="6"/>
  <c r="AU110" i="6"/>
  <c r="AT142" i="6"/>
  <c r="AP143" i="6"/>
  <c r="AT144" i="6"/>
  <c r="BR137" i="6"/>
  <c r="CX99" i="6"/>
  <c r="DA64" i="6"/>
  <c r="DE64" i="6"/>
  <c r="C82" i="19"/>
  <c r="C68" i="19"/>
  <c r="C67" i="19"/>
  <c r="C66" i="19"/>
  <c r="C65" i="19"/>
  <c r="C64" i="19"/>
  <c r="C62" i="19"/>
  <c r="C61" i="19"/>
  <c r="C59" i="19"/>
  <c r="C58" i="19"/>
  <c r="C57" i="19"/>
  <c r="C56" i="19"/>
  <c r="C55" i="19"/>
  <c r="C54" i="19"/>
  <c r="C73" i="19"/>
  <c r="C77" i="19"/>
  <c r="D78" i="19" s="1"/>
  <c r="C75" i="19"/>
  <c r="C71" i="19"/>
  <c r="C78" i="19"/>
  <c r="C76" i="19"/>
  <c r="C70" i="19"/>
  <c r="C72" i="19"/>
  <c r="C69" i="19"/>
  <c r="C74" i="19"/>
  <c r="C256" i="19"/>
  <c r="C234" i="19"/>
  <c r="C229" i="19"/>
  <c r="C228" i="19"/>
  <c r="C314" i="19"/>
  <c r="C340" i="19" s="1"/>
  <c r="E110" i="1" s="1"/>
  <c r="C430" i="19"/>
  <c r="C456" i="19" s="1"/>
  <c r="E115" i="1" s="1"/>
  <c r="C416" i="19"/>
  <c r="C415" i="19"/>
  <c r="C414" i="19"/>
  <c r="C413" i="19"/>
  <c r="C412" i="19"/>
  <c r="C411" i="19"/>
  <c r="C410" i="19"/>
  <c r="C409" i="19"/>
  <c r="C408" i="19"/>
  <c r="C407" i="19"/>
  <c r="C406" i="19"/>
  <c r="C405" i="19"/>
  <c r="C404" i="19"/>
  <c r="C403" i="19"/>
  <c r="C402" i="19"/>
  <c r="C301" i="19"/>
  <c r="C188" i="19"/>
  <c r="C190" i="19"/>
  <c r="C185" i="19"/>
  <c r="C187" i="19"/>
  <c r="C191" i="19"/>
  <c r="C192" i="19"/>
  <c r="C193" i="19"/>
  <c r="D194" i="19" s="1"/>
  <c r="C189" i="19"/>
  <c r="C186" i="19"/>
  <c r="C194" i="19"/>
  <c r="C53" i="19"/>
  <c r="C372" i="19"/>
  <c r="C398" i="19" s="1"/>
  <c r="E112" i="1" s="1"/>
  <c r="C298" i="19"/>
  <c r="D299" i="19" s="1"/>
  <c r="C295" i="19"/>
  <c r="D296" i="19" s="1"/>
  <c r="E297" i="19" s="1"/>
  <c r="F298" i="19" s="1"/>
  <c r="G299" i="19" s="1"/>
  <c r="C292" i="19"/>
  <c r="D293" i="19" s="1"/>
  <c r="E294" i="19" s="1"/>
  <c r="F295" i="19" s="1"/>
  <c r="G296" i="19" s="1"/>
  <c r="H297" i="19" s="1"/>
  <c r="I298" i="19" s="1"/>
  <c r="J299" i="19" s="1"/>
  <c r="C289" i="19"/>
  <c r="D290" i="19" s="1"/>
  <c r="E291" i="19" s="1"/>
  <c r="F292" i="19" s="1"/>
  <c r="G293" i="19" s="1"/>
  <c r="H294" i="19" s="1"/>
  <c r="I295" i="19" s="1"/>
  <c r="J296" i="19" s="1"/>
  <c r="K297" i="19" s="1"/>
  <c r="L298" i="19" s="1"/>
  <c r="M299" i="19" s="1"/>
  <c r="C287" i="19"/>
  <c r="D288" i="19" s="1"/>
  <c r="E289" i="19" s="1"/>
  <c r="F290" i="19" s="1"/>
  <c r="G291" i="19" s="1"/>
  <c r="H292" i="19" s="1"/>
  <c r="I293" i="19" s="1"/>
  <c r="J294" i="19" s="1"/>
  <c r="K295" i="19" s="1"/>
  <c r="L296" i="19" s="1"/>
  <c r="M297" i="19" s="1"/>
  <c r="N298" i="19" s="1"/>
  <c r="O299" i="19" s="1"/>
  <c r="BT61" i="6"/>
  <c r="BV61" i="6"/>
  <c r="C112" i="19"/>
  <c r="C134" i="19"/>
  <c r="C133" i="19"/>
  <c r="C129" i="19"/>
  <c r="C128" i="19"/>
  <c r="C131" i="19"/>
  <c r="C136" i="19"/>
  <c r="C127" i="19"/>
  <c r="C132" i="19"/>
  <c r="C135" i="19"/>
  <c r="D136" i="19" s="1"/>
  <c r="C130" i="19"/>
  <c r="C285" i="19"/>
  <c r="C198" i="19"/>
  <c r="C184" i="19"/>
  <c r="C183" i="19"/>
  <c r="C182" i="19"/>
  <c r="C181" i="19"/>
  <c r="C180" i="19"/>
  <c r="C179" i="19"/>
  <c r="C178" i="19"/>
  <c r="C177" i="19"/>
  <c r="C175" i="19"/>
  <c r="C174" i="19"/>
  <c r="C173" i="19"/>
  <c r="C172" i="19"/>
  <c r="C170" i="19"/>
  <c r="C488" i="19"/>
  <c r="C514" i="19" s="1"/>
  <c r="E117" i="1" s="1"/>
  <c r="C250" i="19"/>
  <c r="C251" i="19"/>
  <c r="D252" i="19" s="1"/>
  <c r="C247" i="19"/>
  <c r="C246" i="19"/>
  <c r="C248" i="19"/>
  <c r="C249" i="19"/>
  <c r="C252" i="19"/>
  <c r="C243" i="19"/>
  <c r="C245" i="19"/>
  <c r="C244" i="19"/>
  <c r="C147" i="19"/>
  <c r="C157" i="19"/>
  <c r="C163" i="19"/>
  <c r="C156" i="19"/>
  <c r="C161" i="19"/>
  <c r="C159" i="19"/>
  <c r="C162" i="19"/>
  <c r="C165" i="19"/>
  <c r="C158" i="19"/>
  <c r="C160" i="19"/>
  <c r="C164" i="19"/>
  <c r="D165" i="19" s="1"/>
  <c r="C300" i="19"/>
  <c r="C299" i="19"/>
  <c r="C297" i="19"/>
  <c r="D298" i="19" s="1"/>
  <c r="E299" i="19" s="1"/>
  <c r="C296" i="19"/>
  <c r="D297" i="19" s="1"/>
  <c r="E298" i="19" s="1"/>
  <c r="F299" i="19" s="1"/>
  <c r="C294" i="19"/>
  <c r="D295" i="19" s="1"/>
  <c r="E296" i="19" s="1"/>
  <c r="F297" i="19" s="1"/>
  <c r="G298" i="19" s="1"/>
  <c r="H299" i="19" s="1"/>
  <c r="C293" i="19"/>
  <c r="D294" i="19" s="1"/>
  <c r="E295" i="19" s="1"/>
  <c r="F296" i="19" s="1"/>
  <c r="G297" i="19" s="1"/>
  <c r="H298" i="19" s="1"/>
  <c r="I299" i="19" s="1"/>
  <c r="C291" i="19"/>
  <c r="D292" i="19" s="1"/>
  <c r="E293" i="19" s="1"/>
  <c r="F294" i="19" s="1"/>
  <c r="G295" i="19" s="1"/>
  <c r="H296" i="19" s="1"/>
  <c r="I297" i="19" s="1"/>
  <c r="J298" i="19" s="1"/>
  <c r="K299" i="19" s="1"/>
  <c r="C290" i="19"/>
  <c r="D291" i="19" s="1"/>
  <c r="E292" i="19" s="1"/>
  <c r="F293" i="19" s="1"/>
  <c r="G294" i="19" s="1"/>
  <c r="H295" i="19" s="1"/>
  <c r="I296" i="19" s="1"/>
  <c r="J297" i="19" s="1"/>
  <c r="K298" i="19" s="1"/>
  <c r="L299" i="19" s="1"/>
  <c r="C288" i="19"/>
  <c r="D289" i="19" s="1"/>
  <c r="E290" i="19" s="1"/>
  <c r="F291" i="19" s="1"/>
  <c r="G292" i="19" s="1"/>
  <c r="H293" i="19" s="1"/>
  <c r="I294" i="19" s="1"/>
  <c r="J295" i="19" s="1"/>
  <c r="K296" i="19" s="1"/>
  <c r="L297" i="19" s="1"/>
  <c r="M298" i="19" s="1"/>
  <c r="N299" i="19" s="1"/>
  <c r="C286" i="19"/>
  <c r="D287" i="19" s="1"/>
  <c r="E288" i="19" s="1"/>
  <c r="F289" i="19" s="1"/>
  <c r="G290" i="19" s="1"/>
  <c r="H291" i="19" s="1"/>
  <c r="I292" i="19" s="1"/>
  <c r="J293" i="19" s="1"/>
  <c r="K294" i="19" s="1"/>
  <c r="L295" i="19" s="1"/>
  <c r="M296" i="19" s="1"/>
  <c r="N297" i="19" s="1"/>
  <c r="O298" i="19" s="1"/>
  <c r="P299" i="19" s="1"/>
  <c r="C277" i="19"/>
  <c r="D305" i="19" s="1"/>
  <c r="C281" i="19"/>
  <c r="D309" i="19" s="1"/>
  <c r="C280" i="19"/>
  <c r="C273" i="19"/>
  <c r="C275" i="19"/>
  <c r="C276" i="19"/>
  <c r="D304" i="19" s="1"/>
  <c r="C279" i="19"/>
  <c r="D307" i="19" s="1"/>
  <c r="E308" i="19" s="1"/>
  <c r="C272" i="19"/>
  <c r="C278" i="19"/>
  <c r="D306" i="19" s="1"/>
  <c r="C274" i="19"/>
  <c r="BP61" i="6"/>
  <c r="BX61" i="6"/>
  <c r="BR61" i="6"/>
  <c r="C111" i="19"/>
  <c r="C92" i="19"/>
  <c r="C101" i="19"/>
  <c r="C99" i="19"/>
  <c r="C102" i="19"/>
  <c r="C105" i="19"/>
  <c r="C104" i="19"/>
  <c r="C100" i="19"/>
  <c r="C106" i="19"/>
  <c r="D107" i="19" s="1"/>
  <c r="C103" i="19"/>
  <c r="C107" i="19"/>
  <c r="C98" i="19"/>
  <c r="C169" i="19"/>
  <c r="T286" i="19"/>
  <c r="U287" i="19" s="1"/>
  <c r="V288" i="19" s="1"/>
  <c r="W289" i="19" s="1"/>
  <c r="X290" i="19" s="1"/>
  <c r="Y291" i="19" s="1"/>
  <c r="Z292" i="19" s="1"/>
  <c r="AA293" i="19" s="1"/>
  <c r="AB294" i="19" s="1"/>
  <c r="AC295" i="19" s="1"/>
  <c r="AD296" i="19" s="1"/>
  <c r="AE297" i="19" s="1"/>
  <c r="J286" i="19"/>
  <c r="K287" i="19" s="1"/>
  <c r="L288" i="19" s="1"/>
  <c r="M289" i="19" s="1"/>
  <c r="N290" i="19" s="1"/>
  <c r="O291" i="19" s="1"/>
  <c r="P292" i="19" s="1"/>
  <c r="Q293" i="19" s="1"/>
  <c r="R294" i="19" s="1"/>
  <c r="S295" i="19" s="1"/>
  <c r="T296" i="19" s="1"/>
  <c r="U297" i="19" s="1"/>
  <c r="V298" i="19" s="1"/>
  <c r="W299" i="19" s="1"/>
  <c r="X300" i="19" s="1"/>
  <c r="Y301" i="19" s="1"/>
  <c r="Z286" i="19"/>
  <c r="AA287" i="19" s="1"/>
  <c r="AB288" i="19" s="1"/>
  <c r="AC289" i="19" s="1"/>
  <c r="AD290" i="19" s="1"/>
  <c r="AE291" i="19" s="1"/>
  <c r="G286" i="19"/>
  <c r="H287" i="19" s="1"/>
  <c r="I288" i="19" s="1"/>
  <c r="J289" i="19" s="1"/>
  <c r="K290" i="19" s="1"/>
  <c r="L291" i="19" s="1"/>
  <c r="M292" i="19" s="1"/>
  <c r="N293" i="19" s="1"/>
  <c r="O294" i="19" s="1"/>
  <c r="P295" i="19" s="1"/>
  <c r="Q296" i="19" s="1"/>
  <c r="R297" i="19" s="1"/>
  <c r="S298" i="19" s="1"/>
  <c r="T299" i="19" s="1"/>
  <c r="E286" i="19"/>
  <c r="F287" i="19" s="1"/>
  <c r="G288" i="19" s="1"/>
  <c r="H289" i="19" s="1"/>
  <c r="I290" i="19" s="1"/>
  <c r="J291" i="19" s="1"/>
  <c r="K292" i="19" s="1"/>
  <c r="L293" i="19" s="1"/>
  <c r="M294" i="19" s="1"/>
  <c r="N295" i="19" s="1"/>
  <c r="O296" i="19" s="1"/>
  <c r="P297" i="19" s="1"/>
  <c r="Q298" i="19" s="1"/>
  <c r="R299" i="19" s="1"/>
  <c r="U286" i="19"/>
  <c r="V287" i="19" s="1"/>
  <c r="W288" i="19" s="1"/>
  <c r="X289" i="19" s="1"/>
  <c r="Y290" i="19" s="1"/>
  <c r="Z291" i="19" s="1"/>
  <c r="AA292" i="19" s="1"/>
  <c r="AB293" i="19" s="1"/>
  <c r="AC294" i="19" s="1"/>
  <c r="AD295" i="19" s="1"/>
  <c r="AE296" i="19" s="1"/>
  <c r="X286" i="19"/>
  <c r="Y287" i="19" s="1"/>
  <c r="Z288" i="19" s="1"/>
  <c r="AA289" i="19" s="1"/>
  <c r="AB290" i="19" s="1"/>
  <c r="AC291" i="19" s="1"/>
  <c r="AD292" i="19" s="1"/>
  <c r="AE293" i="19" s="1"/>
  <c r="N286" i="19"/>
  <c r="O287" i="19" s="1"/>
  <c r="P288" i="19" s="1"/>
  <c r="Q289" i="19" s="1"/>
  <c r="R290" i="19" s="1"/>
  <c r="S291" i="19" s="1"/>
  <c r="T292" i="19" s="1"/>
  <c r="U293" i="19" s="1"/>
  <c r="V294" i="19" s="1"/>
  <c r="W295" i="19" s="1"/>
  <c r="X296" i="19" s="1"/>
  <c r="Y297" i="19" s="1"/>
  <c r="Z298" i="19" s="1"/>
  <c r="AA299" i="19" s="1"/>
  <c r="AE286" i="19"/>
  <c r="I286" i="19"/>
  <c r="J287" i="19" s="1"/>
  <c r="K288" i="19" s="1"/>
  <c r="L289" i="19" s="1"/>
  <c r="M290" i="19" s="1"/>
  <c r="N291" i="19" s="1"/>
  <c r="O292" i="19" s="1"/>
  <c r="P293" i="19" s="1"/>
  <c r="Q294" i="19" s="1"/>
  <c r="R295" i="19" s="1"/>
  <c r="S296" i="19" s="1"/>
  <c r="T297" i="19" s="1"/>
  <c r="U298" i="19" s="1"/>
  <c r="V299" i="19" s="1"/>
  <c r="W300" i="19" s="1"/>
  <c r="X301" i="19" s="1"/>
  <c r="K286" i="19"/>
  <c r="L287" i="19" s="1"/>
  <c r="M288" i="19" s="1"/>
  <c r="N289" i="19" s="1"/>
  <c r="O290" i="19" s="1"/>
  <c r="P291" i="19" s="1"/>
  <c r="Q292" i="19" s="1"/>
  <c r="R293" i="19" s="1"/>
  <c r="S294" i="19" s="1"/>
  <c r="T295" i="19" s="1"/>
  <c r="U296" i="19" s="1"/>
  <c r="V297" i="19" s="1"/>
  <c r="W298" i="19" s="1"/>
  <c r="X299" i="19" s="1"/>
  <c r="AB286" i="19"/>
  <c r="AC287" i="19" s="1"/>
  <c r="AD288" i="19" s="1"/>
  <c r="AE289" i="19" s="1"/>
  <c r="R286" i="19"/>
  <c r="S287" i="19" s="1"/>
  <c r="T288" i="19" s="1"/>
  <c r="U289" i="19" s="1"/>
  <c r="V290" i="19" s="1"/>
  <c r="W291" i="19" s="1"/>
  <c r="X292" i="19" s="1"/>
  <c r="Y293" i="19" s="1"/>
  <c r="Z294" i="19" s="1"/>
  <c r="AA295" i="19" s="1"/>
  <c r="AB296" i="19" s="1"/>
  <c r="AC297" i="19" s="1"/>
  <c r="AD298" i="19" s="1"/>
  <c r="AE299" i="19" s="1"/>
  <c r="W286" i="19"/>
  <c r="X287" i="19" s="1"/>
  <c r="Y288" i="19" s="1"/>
  <c r="Z289" i="19" s="1"/>
  <c r="AA290" i="19" s="1"/>
  <c r="AB291" i="19" s="1"/>
  <c r="AC292" i="19" s="1"/>
  <c r="AD293" i="19" s="1"/>
  <c r="AE294" i="19" s="1"/>
  <c r="M286" i="19"/>
  <c r="N287" i="19" s="1"/>
  <c r="O288" i="19" s="1"/>
  <c r="P289" i="19" s="1"/>
  <c r="Q290" i="19" s="1"/>
  <c r="R291" i="19" s="1"/>
  <c r="S292" i="19" s="1"/>
  <c r="T293" i="19" s="1"/>
  <c r="U294" i="19" s="1"/>
  <c r="V295" i="19" s="1"/>
  <c r="W296" i="19" s="1"/>
  <c r="X297" i="19" s="1"/>
  <c r="Y298" i="19" s="1"/>
  <c r="Z299" i="19" s="1"/>
  <c r="S286" i="19"/>
  <c r="T287" i="19" s="1"/>
  <c r="U288" i="19" s="1"/>
  <c r="V289" i="19" s="1"/>
  <c r="W290" i="19" s="1"/>
  <c r="X291" i="19" s="1"/>
  <c r="Y292" i="19" s="1"/>
  <c r="Z293" i="19" s="1"/>
  <c r="AA294" i="19" s="1"/>
  <c r="AB295" i="19" s="1"/>
  <c r="AC296" i="19" s="1"/>
  <c r="AD297" i="19" s="1"/>
  <c r="AE298" i="19" s="1"/>
  <c r="P286" i="19"/>
  <c r="Q287" i="19" s="1"/>
  <c r="R288" i="19" s="1"/>
  <c r="S289" i="19" s="1"/>
  <c r="T290" i="19" s="1"/>
  <c r="U291" i="19" s="1"/>
  <c r="V292" i="19" s="1"/>
  <c r="W293" i="19" s="1"/>
  <c r="X294" i="19" s="1"/>
  <c r="Y295" i="19" s="1"/>
  <c r="Z296" i="19" s="1"/>
  <c r="AA297" i="19" s="1"/>
  <c r="AB298" i="19" s="1"/>
  <c r="AC299" i="19" s="1"/>
  <c r="F286" i="19"/>
  <c r="G287" i="19" s="1"/>
  <c r="H288" i="19" s="1"/>
  <c r="I289" i="19" s="1"/>
  <c r="J290" i="19" s="1"/>
  <c r="K291" i="19" s="1"/>
  <c r="L292" i="19" s="1"/>
  <c r="M293" i="19" s="1"/>
  <c r="N294" i="19" s="1"/>
  <c r="O295" i="19" s="1"/>
  <c r="P296" i="19" s="1"/>
  <c r="Q297" i="19" s="1"/>
  <c r="R298" i="19" s="1"/>
  <c r="S299" i="19" s="1"/>
  <c r="T300" i="19" s="1"/>
  <c r="U301" i="19" s="1"/>
  <c r="V286" i="19"/>
  <c r="W287" i="19" s="1"/>
  <c r="X288" i="19" s="1"/>
  <c r="Y289" i="19" s="1"/>
  <c r="Z290" i="19" s="1"/>
  <c r="AA291" i="19" s="1"/>
  <c r="AB292" i="19" s="1"/>
  <c r="AC293" i="19" s="1"/>
  <c r="AD294" i="19" s="1"/>
  <c r="AE295" i="19" s="1"/>
  <c r="O286" i="19"/>
  <c r="P287" i="19" s="1"/>
  <c r="Q288" i="19" s="1"/>
  <c r="R289" i="19" s="1"/>
  <c r="S290" i="19" s="1"/>
  <c r="T291" i="19" s="1"/>
  <c r="U292" i="19" s="1"/>
  <c r="V293" i="19" s="1"/>
  <c r="W294" i="19" s="1"/>
  <c r="X295" i="19" s="1"/>
  <c r="Y296" i="19" s="1"/>
  <c r="Z297" i="19" s="1"/>
  <c r="AA298" i="19" s="1"/>
  <c r="AB299" i="19" s="1"/>
  <c r="Q286" i="19"/>
  <c r="R287" i="19" s="1"/>
  <c r="S288" i="19" s="1"/>
  <c r="T289" i="19" s="1"/>
  <c r="U290" i="19" s="1"/>
  <c r="V291" i="19" s="1"/>
  <c r="W292" i="19" s="1"/>
  <c r="X293" i="19" s="1"/>
  <c r="Y294" i="19" s="1"/>
  <c r="Z295" i="19" s="1"/>
  <c r="AA296" i="19" s="1"/>
  <c r="AB297" i="19" s="1"/>
  <c r="AC298" i="19" s="1"/>
  <c r="AD299" i="19" s="1"/>
  <c r="L286" i="19"/>
  <c r="M287" i="19" s="1"/>
  <c r="N288" i="19" s="1"/>
  <c r="O289" i="19" s="1"/>
  <c r="P290" i="19" s="1"/>
  <c r="Q291" i="19" s="1"/>
  <c r="R292" i="19" s="1"/>
  <c r="S293" i="19" s="1"/>
  <c r="T294" i="19" s="1"/>
  <c r="U295" i="19" s="1"/>
  <c r="V296" i="19" s="1"/>
  <c r="W297" i="19" s="1"/>
  <c r="X298" i="19" s="1"/>
  <c r="Y299" i="19" s="1"/>
  <c r="Z300" i="19" s="1"/>
  <c r="AA301" i="19" s="1"/>
  <c r="AA286" i="19"/>
  <c r="AB287" i="19" s="1"/>
  <c r="AC288" i="19" s="1"/>
  <c r="AD289" i="19" s="1"/>
  <c r="AE290" i="19" s="1"/>
  <c r="H286" i="19"/>
  <c r="I287" i="19" s="1"/>
  <c r="J288" i="19" s="1"/>
  <c r="K289" i="19" s="1"/>
  <c r="L290" i="19" s="1"/>
  <c r="M291" i="19" s="1"/>
  <c r="N292" i="19" s="1"/>
  <c r="O293" i="19" s="1"/>
  <c r="P294" i="19" s="1"/>
  <c r="Q295" i="19" s="1"/>
  <c r="R296" i="19" s="1"/>
  <c r="S297" i="19" s="1"/>
  <c r="T298" i="19" s="1"/>
  <c r="U299" i="19" s="1"/>
  <c r="AD286" i="19"/>
  <c r="Y286" i="19"/>
  <c r="Z287" i="19" s="1"/>
  <c r="AA288" i="19" s="1"/>
  <c r="AB289" i="19" s="1"/>
  <c r="AC290" i="19" s="1"/>
  <c r="AD291" i="19" s="1"/>
  <c r="AE292" i="19" s="1"/>
  <c r="AC286" i="19"/>
  <c r="C343" i="19"/>
  <c r="C369" i="19" s="1"/>
  <c r="E111" i="1" s="1"/>
  <c r="C459" i="19"/>
  <c r="C485" i="19" s="1"/>
  <c r="E116" i="1" s="1"/>
  <c r="C219" i="19"/>
  <c r="C216" i="19"/>
  <c r="C220" i="19"/>
  <c r="C215" i="19"/>
  <c r="C217" i="19"/>
  <c r="C223" i="19"/>
  <c r="C214" i="19"/>
  <c r="C218" i="19"/>
  <c r="C221" i="19"/>
  <c r="C222" i="19"/>
  <c r="D223" i="19" s="1"/>
  <c r="I29" i="6"/>
  <c r="M32" i="6"/>
  <c r="AO23" i="6"/>
  <c r="AO26" i="6"/>
  <c r="AS32" i="6"/>
  <c r="BA33" i="6"/>
  <c r="AW35" i="6"/>
  <c r="BY23" i="6"/>
  <c r="BY25" i="6"/>
  <c r="CG30" i="6"/>
  <c r="CK35" i="6"/>
  <c r="CK36" i="6"/>
  <c r="DM30" i="6"/>
  <c r="DI33" i="6"/>
  <c r="DM33" i="6"/>
  <c r="DI34" i="6"/>
  <c r="DM37" i="6"/>
  <c r="Q73" i="6"/>
  <c r="BE72" i="6"/>
  <c r="AL101" i="6"/>
  <c r="AP104" i="6"/>
  <c r="AT106" i="6"/>
  <c r="BB107" i="6"/>
  <c r="BB108" i="6"/>
  <c r="BB109" i="6"/>
  <c r="BF111" i="6"/>
  <c r="BB113" i="6"/>
  <c r="AK139" i="6"/>
  <c r="AO139" i="6"/>
  <c r="AS141" i="6"/>
  <c r="AO143" i="6"/>
  <c r="AS143" i="6"/>
  <c r="AS147" i="6"/>
  <c r="BQ99" i="6"/>
  <c r="BU103" i="6"/>
  <c r="BQ137" i="6"/>
  <c r="BQ138" i="6"/>
  <c r="DA101" i="6"/>
  <c r="AV34" i="6"/>
  <c r="BP24" i="6"/>
  <c r="DD25" i="6"/>
  <c r="DM69" i="6"/>
  <c r="AM61" i="6"/>
  <c r="AQ61" i="6"/>
  <c r="AM62" i="6"/>
  <c r="BX62" i="6"/>
  <c r="AR31" i="6"/>
  <c r="BT27" i="6"/>
  <c r="DH32" i="6"/>
  <c r="AR63" i="6"/>
  <c r="V31" i="6"/>
  <c r="BG37" i="6"/>
  <c r="X37" i="6"/>
  <c r="AR25" i="6"/>
  <c r="CB27" i="6"/>
  <c r="DD30" i="6"/>
  <c r="DL34" i="6"/>
  <c r="DT37" i="6"/>
  <c r="T68" i="6"/>
  <c r="I24" i="6"/>
  <c r="M26" i="6"/>
  <c r="Q36" i="6"/>
  <c r="Y37" i="6"/>
  <c r="AO24" i="6"/>
  <c r="AS25" i="6"/>
  <c r="AS29" i="6"/>
  <c r="AW29" i="6"/>
  <c r="AS33" i="6"/>
  <c r="BA34" i="6"/>
  <c r="AW36" i="6"/>
  <c r="BQ23" i="6"/>
  <c r="BY26" i="6"/>
  <c r="BY31" i="6"/>
  <c r="CC32" i="6"/>
  <c r="CG34" i="6"/>
  <c r="CC37" i="6"/>
  <c r="DA23" i="6"/>
  <c r="DA26" i="6"/>
  <c r="DI32" i="6"/>
  <c r="DM32" i="6"/>
  <c r="DM36" i="6"/>
  <c r="I62" i="6"/>
  <c r="AL99" i="6"/>
  <c r="AL100" i="6"/>
  <c r="AP100" i="6"/>
  <c r="AT100" i="6"/>
  <c r="AP101" i="6"/>
  <c r="AP103" i="6"/>
  <c r="AX104" i="6"/>
  <c r="AX105" i="6"/>
  <c r="AT108" i="6"/>
  <c r="AX108" i="6"/>
  <c r="AT110" i="6"/>
  <c r="BJ110" i="6" s="1"/>
  <c r="BB112" i="6"/>
  <c r="AX113" i="6"/>
  <c r="AO137" i="6"/>
  <c r="AS139" i="6"/>
  <c r="AW144" i="6"/>
  <c r="AW145" i="6"/>
  <c r="AS146" i="6"/>
  <c r="AW151" i="6"/>
  <c r="BJ151" i="6" s="1"/>
  <c r="BU104" i="6"/>
  <c r="BU138" i="6"/>
  <c r="CW99" i="6"/>
  <c r="CW100" i="6"/>
  <c r="DA105" i="6"/>
  <c r="DV105" i="6" s="1"/>
  <c r="DA138" i="6"/>
  <c r="DA141" i="6"/>
  <c r="DE146" i="6"/>
  <c r="DE147" i="6"/>
  <c r="DC62" i="6"/>
  <c r="X34" i="6"/>
  <c r="X36" i="6"/>
  <c r="CF34" i="6"/>
  <c r="CF36" i="6"/>
  <c r="DH34" i="6"/>
  <c r="H63" i="6"/>
  <c r="BY67" i="6"/>
  <c r="K23" i="6"/>
  <c r="W37" i="6"/>
  <c r="CE32" i="6"/>
  <c r="CI35" i="6"/>
  <c r="DG25" i="6"/>
  <c r="DO33" i="6"/>
  <c r="W75" i="6"/>
  <c r="L24" i="6"/>
  <c r="AN24" i="6"/>
  <c r="AZ32" i="6"/>
  <c r="BT24" i="6"/>
  <c r="BX31" i="6"/>
  <c r="CV23" i="6"/>
  <c r="T73" i="6"/>
  <c r="I23" i="6"/>
  <c r="I25" i="6"/>
  <c r="I26" i="6"/>
  <c r="Q27" i="6"/>
  <c r="Q29" i="6"/>
  <c r="Q30" i="6"/>
  <c r="M31" i="6"/>
  <c r="Q33" i="6"/>
  <c r="U33" i="6"/>
  <c r="Q34" i="6"/>
  <c r="Y34" i="6"/>
  <c r="U36" i="6"/>
  <c r="U37" i="6"/>
  <c r="AK24" i="6"/>
  <c r="AO25" i="6"/>
  <c r="AS26" i="6"/>
  <c r="AO27" i="6"/>
  <c r="AS31" i="6"/>
  <c r="AW37" i="6"/>
  <c r="BE37" i="6"/>
  <c r="BU26" i="6"/>
  <c r="CC28" i="6"/>
  <c r="BY33" i="6"/>
  <c r="CK37" i="6"/>
  <c r="DE29" i="6"/>
  <c r="CX64" i="6"/>
  <c r="DB64" i="6"/>
  <c r="DF64" i="6"/>
  <c r="DE63" i="6"/>
  <c r="DC63" i="6"/>
  <c r="DA63" i="6"/>
  <c r="CY63" i="6"/>
  <c r="G27" i="6"/>
  <c r="O35" i="6"/>
  <c r="AM26" i="6"/>
  <c r="AY32" i="6"/>
  <c r="CA29" i="6"/>
  <c r="CI36" i="6"/>
  <c r="CY26" i="6"/>
  <c r="DC27" i="6"/>
  <c r="S72" i="6"/>
  <c r="O29" i="6"/>
  <c r="AU32" i="6"/>
  <c r="BW27" i="6"/>
  <c r="CE30" i="6"/>
  <c r="DK31" i="6"/>
  <c r="DO37" i="6"/>
  <c r="P27" i="6"/>
  <c r="L31" i="6"/>
  <c r="AZ29" i="6"/>
  <c r="CW24" i="6"/>
  <c r="DA24" i="6"/>
  <c r="K26" i="6"/>
  <c r="S33" i="6"/>
  <c r="AU26" i="6"/>
  <c r="BC32" i="6"/>
  <c r="CE37" i="6"/>
  <c r="K25" i="6"/>
  <c r="K27" i="6"/>
  <c r="S28" i="6"/>
  <c r="S30" i="6"/>
  <c r="O31" i="6"/>
  <c r="W32" i="6"/>
  <c r="W33" i="6"/>
  <c r="S34" i="6"/>
  <c r="S35" i="6"/>
  <c r="AA36" i="6"/>
  <c r="AA37" i="6"/>
  <c r="AM23" i="6"/>
  <c r="AM24" i="6"/>
  <c r="AU24" i="6"/>
  <c r="AU27" i="6"/>
  <c r="AU28" i="6"/>
  <c r="AQ29" i="6"/>
  <c r="AY29" i="6"/>
  <c r="AY35" i="6"/>
  <c r="AY37" i="6"/>
  <c r="BW23" i="6"/>
  <c r="BW25" i="6"/>
  <c r="BW28" i="6"/>
  <c r="BW30" i="6"/>
  <c r="CA31" i="6"/>
  <c r="CI32" i="6"/>
  <c r="CE33" i="6"/>
  <c r="CM37" i="6"/>
  <c r="CY23" i="6"/>
  <c r="DC28" i="6"/>
  <c r="DK28" i="6"/>
  <c r="DC31" i="6"/>
  <c r="DK34" i="6"/>
  <c r="DS36" i="6"/>
  <c r="O68" i="6"/>
  <c r="BC71" i="6"/>
  <c r="CJ72" i="6"/>
  <c r="CJ73" i="6"/>
  <c r="C23" i="6"/>
  <c r="K24" i="6"/>
  <c r="G25" i="6"/>
  <c r="O26" i="6"/>
  <c r="O27" i="6"/>
  <c r="O28" i="6"/>
  <c r="K29" i="6"/>
  <c r="S29" i="6"/>
  <c r="O30" i="6"/>
  <c r="K31" i="6"/>
  <c r="W34" i="6"/>
  <c r="W35" i="6"/>
  <c r="S37" i="6"/>
  <c r="AU25" i="6"/>
  <c r="AU29" i="6"/>
  <c r="AU30" i="6"/>
  <c r="AU31" i="6"/>
  <c r="AY33" i="6"/>
  <c r="AY34" i="6"/>
  <c r="AU35" i="6"/>
  <c r="BC37" i="6"/>
  <c r="BS23" i="6"/>
  <c r="BW24" i="6"/>
  <c r="BS25" i="6"/>
  <c r="BS26" i="6"/>
  <c r="BS27" i="6"/>
  <c r="CA30" i="6"/>
  <c r="CA33" i="6"/>
  <c r="CA34" i="6"/>
  <c r="CE36" i="6"/>
  <c r="CI37" i="6"/>
  <c r="DC26" i="6"/>
  <c r="DG28" i="6"/>
  <c r="DK30" i="6"/>
  <c r="DG31" i="6"/>
  <c r="DK33" i="6"/>
  <c r="DG34" i="6"/>
  <c r="DK36" i="6"/>
  <c r="DO36" i="6"/>
  <c r="DH65" i="6"/>
  <c r="DH73" i="6"/>
  <c r="AM140" i="6"/>
  <c r="L28" i="6"/>
  <c r="AT61" i="6"/>
  <c r="AL62" i="6"/>
  <c r="O70" i="6"/>
  <c r="O72" i="6"/>
  <c r="O73" i="6"/>
  <c r="W74" i="6"/>
  <c r="BX65" i="6"/>
  <c r="BX68" i="6"/>
  <c r="CV61" i="6"/>
  <c r="DH68" i="6"/>
  <c r="AV104" i="6"/>
  <c r="CX24" i="6"/>
  <c r="DG24" i="6"/>
  <c r="W71" i="6"/>
  <c r="CB69" i="6"/>
  <c r="BS103" i="6"/>
  <c r="CY100" i="6"/>
  <c r="H24" i="6"/>
  <c r="L26" i="6"/>
  <c r="L27" i="6"/>
  <c r="H28" i="6"/>
  <c r="P28" i="6"/>
  <c r="P29" i="6"/>
  <c r="P32" i="6"/>
  <c r="T32" i="6"/>
  <c r="P33" i="6"/>
  <c r="X33" i="6"/>
  <c r="P34" i="6"/>
  <c r="P35" i="6"/>
  <c r="T36" i="6"/>
  <c r="T37" i="6"/>
  <c r="AR23" i="6"/>
  <c r="AR24" i="6"/>
  <c r="AN26" i="6"/>
  <c r="AR26" i="6"/>
  <c r="AN27" i="6"/>
  <c r="AR29" i="6"/>
  <c r="AV30" i="6"/>
  <c r="AZ30" i="6"/>
  <c r="AV31" i="6"/>
  <c r="AR32" i="6"/>
  <c r="AV32" i="6"/>
  <c r="AZ34" i="6"/>
  <c r="AV35" i="6"/>
  <c r="BD35" i="6"/>
  <c r="AV36" i="6"/>
  <c r="AZ36" i="6"/>
  <c r="BD36" i="6"/>
  <c r="BD37" i="6"/>
  <c r="BH37" i="6"/>
  <c r="BT23" i="6"/>
  <c r="BX23" i="6"/>
  <c r="BX24" i="6"/>
  <c r="CB25" i="6"/>
  <c r="BX26" i="6"/>
  <c r="BX28" i="6"/>
  <c r="CB29" i="6"/>
  <c r="BX30" i="6"/>
  <c r="CB30" i="6"/>
  <c r="CF31" i="6"/>
  <c r="CF32" i="6"/>
  <c r="CB33" i="6"/>
  <c r="CF33" i="6"/>
  <c r="CB35" i="6"/>
  <c r="CF35" i="6"/>
  <c r="CB36" i="6"/>
  <c r="CJ36" i="6"/>
  <c r="CF37" i="6"/>
  <c r="CJ37" i="6"/>
  <c r="CN37" i="6"/>
  <c r="DH26" i="6"/>
  <c r="CZ27" i="6"/>
  <c r="DD27" i="6"/>
  <c r="DD28" i="6"/>
  <c r="DH28" i="6"/>
  <c r="DD29" i="6"/>
  <c r="DH31" i="6"/>
  <c r="DD32" i="6"/>
  <c r="DH33" i="6"/>
  <c r="DP33" i="6"/>
  <c r="DP34" i="6"/>
  <c r="DL35" i="6"/>
  <c r="DP35" i="6"/>
  <c r="DL36" i="6"/>
  <c r="DP36" i="6"/>
  <c r="DL37" i="6"/>
  <c r="DP37" i="6"/>
  <c r="D62" i="6"/>
  <c r="P63" i="6"/>
  <c r="H64" i="6"/>
  <c r="S68" i="6"/>
  <c r="W72" i="6"/>
  <c r="AA74" i="6"/>
  <c r="AY74" i="6"/>
  <c r="DD68" i="6"/>
  <c r="AJ99" i="6"/>
  <c r="CU137" i="6"/>
  <c r="M23" i="6"/>
  <c r="AR106" i="6"/>
  <c r="AV108" i="6"/>
  <c r="BD113" i="6"/>
  <c r="AU142" i="6"/>
  <c r="AU149" i="6"/>
  <c r="BS100" i="6"/>
  <c r="BS141" i="6"/>
  <c r="CZ24" i="6"/>
  <c r="AR105" i="6"/>
  <c r="BD112" i="6"/>
  <c r="AU146" i="6"/>
  <c r="DA25" i="6"/>
  <c r="P69" i="6"/>
  <c r="T72" i="6"/>
  <c r="AJ61" i="6"/>
  <c r="AN61" i="6"/>
  <c r="AJ62" i="6"/>
  <c r="AN62" i="6"/>
  <c r="BQ62" i="6"/>
  <c r="BY69" i="6"/>
  <c r="CC69" i="6"/>
  <c r="DM70" i="6"/>
  <c r="AZ107" i="6"/>
  <c r="AU147" i="6"/>
  <c r="AY150" i="6"/>
  <c r="BS139" i="6"/>
  <c r="BS140" i="6"/>
  <c r="CY103" i="6"/>
  <c r="CY137" i="6"/>
  <c r="CY139" i="6"/>
  <c r="J29" i="6"/>
  <c r="BJ22" i="6"/>
  <c r="BK22" i="6" s="1"/>
  <c r="AP27" i="6"/>
  <c r="J64" i="6"/>
  <c r="J66" i="6"/>
  <c r="BE74" i="6"/>
  <c r="BU61" i="6"/>
  <c r="AU145" i="6"/>
  <c r="AY148" i="6"/>
  <c r="CY99" i="6"/>
  <c r="CY101" i="6"/>
  <c r="CY102" i="6"/>
  <c r="CY138" i="6"/>
  <c r="DA61" i="6"/>
  <c r="F23" i="6"/>
  <c r="F24" i="6"/>
  <c r="N25" i="6"/>
  <c r="J26" i="6"/>
  <c r="N27" i="6"/>
  <c r="J28" i="6"/>
  <c r="R28" i="6"/>
  <c r="R31" i="6"/>
  <c r="R32" i="6"/>
  <c r="R33" i="6"/>
  <c r="N34" i="6"/>
  <c r="R34" i="6"/>
  <c r="V34" i="6"/>
  <c r="R36" i="6"/>
  <c r="V36" i="6"/>
  <c r="AT23" i="6"/>
  <c r="AT25" i="6"/>
  <c r="CX26" i="6"/>
  <c r="DJ29" i="6"/>
  <c r="DF30" i="6"/>
  <c r="DJ32" i="6"/>
  <c r="DN33" i="6"/>
  <c r="DR35" i="6"/>
  <c r="F62" i="6"/>
  <c r="J67" i="6"/>
  <c r="M68" i="6"/>
  <c r="Y75" i="6"/>
  <c r="AO63" i="6"/>
  <c r="AW65" i="6"/>
  <c r="BA68" i="6"/>
  <c r="BV62" i="6"/>
  <c r="BZ69" i="6"/>
  <c r="BZ70" i="6"/>
  <c r="CL75" i="6"/>
  <c r="DF72" i="6"/>
  <c r="M67" i="6"/>
  <c r="X74" i="6"/>
  <c r="BY71" i="6"/>
  <c r="CG72" i="6"/>
  <c r="CK73" i="6"/>
  <c r="DA67" i="6"/>
  <c r="DI70" i="6"/>
  <c r="N140" i="6"/>
  <c r="N141" i="6"/>
  <c r="AR102" i="6"/>
  <c r="AN104" i="6"/>
  <c r="BJ104" i="6" s="1"/>
  <c r="P68" i="6"/>
  <c r="T71" i="6"/>
  <c r="X75" i="6"/>
  <c r="CG73" i="6"/>
  <c r="CC74" i="6"/>
  <c r="CW62" i="6"/>
  <c r="CW61" i="6"/>
  <c r="DE66" i="6"/>
  <c r="DE70" i="6"/>
  <c r="DE71" i="6"/>
  <c r="DM72" i="6"/>
  <c r="N148" i="6"/>
  <c r="AN101" i="6"/>
  <c r="AV101" i="6"/>
  <c r="AR103" i="6"/>
  <c r="AV103" i="6"/>
  <c r="AV106" i="6"/>
  <c r="BD110" i="6"/>
  <c r="AV111" i="6"/>
  <c r="AV112" i="6"/>
  <c r="BJ112" i="6" s="1"/>
  <c r="AQ138" i="6"/>
  <c r="AQ144" i="6"/>
  <c r="AQ143" i="6"/>
  <c r="AQ145" i="6"/>
  <c r="AU148" i="6"/>
  <c r="BS99" i="6"/>
  <c r="BS101" i="6"/>
  <c r="BS102" i="6"/>
  <c r="BO137" i="6"/>
  <c r="CU99" i="6"/>
  <c r="DV99" i="6" s="1"/>
  <c r="CY140" i="6"/>
  <c r="CY141" i="6"/>
  <c r="N24" i="6"/>
  <c r="F26" i="6"/>
  <c r="J27" i="6"/>
  <c r="N28" i="6"/>
  <c r="N31" i="6"/>
  <c r="AT24" i="6"/>
  <c r="AP25" i="6"/>
  <c r="AP26" i="6"/>
  <c r="DF26" i="6"/>
  <c r="DJ27" i="6"/>
  <c r="DB30" i="6"/>
  <c r="DF32" i="6"/>
  <c r="DN32" i="6"/>
  <c r="DF34" i="6"/>
  <c r="DJ36" i="6"/>
  <c r="DJ37" i="6"/>
  <c r="N64" i="6"/>
  <c r="N63" i="6"/>
  <c r="R66" i="6"/>
  <c r="N67" i="6"/>
  <c r="Q69" i="6"/>
  <c r="AS63" i="6"/>
  <c r="AO65" i="6"/>
  <c r="AS69" i="6"/>
  <c r="AW71" i="6"/>
  <c r="AW74" i="6"/>
  <c r="BV65" i="6"/>
  <c r="CD70" i="6"/>
  <c r="CX61" i="6"/>
  <c r="DB67" i="6"/>
  <c r="DF71" i="6"/>
  <c r="DN72" i="6"/>
  <c r="O143" i="6"/>
  <c r="O149" i="6"/>
  <c r="AD149" i="6" s="1"/>
  <c r="AS99" i="6"/>
  <c r="AS102" i="6"/>
  <c r="AW106" i="6"/>
  <c r="AS107" i="6"/>
  <c r="BA108" i="6"/>
  <c r="AW112" i="6"/>
  <c r="AN141" i="6"/>
  <c r="AN142" i="6"/>
  <c r="AR146" i="6"/>
  <c r="AV146" i="6"/>
  <c r="BT104" i="6"/>
  <c r="CP111" i="6"/>
  <c r="CP143" i="6"/>
  <c r="DV98" i="6"/>
  <c r="DW98" i="6" s="1"/>
  <c r="CZ103" i="6"/>
  <c r="CZ140" i="6"/>
  <c r="CZ142" i="6"/>
  <c r="DD143" i="6"/>
  <c r="DV151" i="6"/>
  <c r="DR73" i="6"/>
  <c r="DR74" i="6"/>
  <c r="G23" i="6"/>
  <c r="G24" i="6"/>
  <c r="O25" i="6"/>
  <c r="G26" i="6"/>
  <c r="K28" i="6"/>
  <c r="K30" i="6"/>
  <c r="S31" i="6"/>
  <c r="O32" i="6"/>
  <c r="S32" i="6"/>
  <c r="O33" i="6"/>
  <c r="O34" i="6"/>
  <c r="S36" i="6"/>
  <c r="W36" i="6"/>
  <c r="AQ23" i="6"/>
  <c r="AQ24" i="6"/>
  <c r="AM25" i="6"/>
  <c r="AQ25" i="6"/>
  <c r="AQ26" i="6"/>
  <c r="AM27" i="6"/>
  <c r="AQ27" i="6"/>
  <c r="AQ28" i="6"/>
  <c r="AY28" i="6"/>
  <c r="AQ30" i="6"/>
  <c r="AY30" i="6"/>
  <c r="AQ31" i="6"/>
  <c r="AY31" i="6"/>
  <c r="AU33" i="6"/>
  <c r="BC33" i="6"/>
  <c r="AU34" i="6"/>
  <c r="BC34" i="6"/>
  <c r="BC35" i="6"/>
  <c r="AY36" i="6"/>
  <c r="BC36" i="6"/>
  <c r="BG36" i="6"/>
  <c r="BS24" i="6"/>
  <c r="CA24" i="6"/>
  <c r="CA25" i="6"/>
  <c r="BW26" i="6"/>
  <c r="CA26" i="6"/>
  <c r="CA27" i="6"/>
  <c r="CE28" i="6"/>
  <c r="BW29" i="6"/>
  <c r="CE29" i="6"/>
  <c r="BW31" i="6"/>
  <c r="CE31" i="6"/>
  <c r="CA32" i="6"/>
  <c r="CI33" i="6"/>
  <c r="CE34" i="6"/>
  <c r="CI34" i="6"/>
  <c r="CA35" i="6"/>
  <c r="CE35" i="6"/>
  <c r="CM36" i="6"/>
  <c r="DD24" i="6"/>
  <c r="DD23" i="6"/>
  <c r="DC25" i="6"/>
  <c r="DG26" i="6"/>
  <c r="CY27" i="6"/>
  <c r="DG27" i="6"/>
  <c r="DC29" i="6"/>
  <c r="DK29" i="6"/>
  <c r="DC30" i="6"/>
  <c r="DG30" i="6"/>
  <c r="DG32" i="6"/>
  <c r="DK32" i="6"/>
  <c r="DO32" i="6"/>
  <c r="DG33" i="6"/>
  <c r="DO34" i="6"/>
  <c r="DG35" i="6"/>
  <c r="DK35" i="6"/>
  <c r="DO35" i="6"/>
  <c r="DK37" i="6"/>
  <c r="DS37" i="6"/>
  <c r="G62" i="6"/>
  <c r="K62" i="6"/>
  <c r="O65" i="6"/>
  <c r="E24" i="6"/>
  <c r="Q26" i="6"/>
  <c r="I27" i="6"/>
  <c r="U30" i="6"/>
  <c r="U32" i="6"/>
  <c r="AS24" i="6"/>
  <c r="BA32" i="6"/>
  <c r="AW34" i="6"/>
  <c r="BA35" i="6"/>
  <c r="BE35" i="6"/>
  <c r="CC26" i="6"/>
  <c r="AD60" i="6"/>
  <c r="AE60" i="6" s="1"/>
  <c r="M61" i="6"/>
  <c r="I63" i="6"/>
  <c r="T67" i="6"/>
  <c r="L68" i="6"/>
  <c r="CZ64" i="6"/>
  <c r="DD64" i="6"/>
  <c r="H65" i="6"/>
  <c r="P65" i="6"/>
  <c r="O66" i="6"/>
  <c r="S66" i="6"/>
  <c r="K67" i="6"/>
  <c r="R67" i="6"/>
  <c r="J68" i="6"/>
  <c r="N68" i="6"/>
  <c r="E61" i="6"/>
  <c r="BA71" i="6"/>
  <c r="BR64" i="6"/>
  <c r="CD65" i="6"/>
  <c r="BZ67" i="6"/>
  <c r="CD74" i="6"/>
  <c r="DF65" i="6"/>
  <c r="DN70" i="6"/>
  <c r="DJ73" i="6"/>
  <c r="O142" i="6"/>
  <c r="AD142" i="6" s="1"/>
  <c r="AK100" i="6"/>
  <c r="AS104" i="6"/>
  <c r="AV150" i="6"/>
  <c r="BP137" i="6"/>
  <c r="CZ139" i="6"/>
  <c r="DH144" i="6"/>
  <c r="DD146" i="6"/>
  <c r="DB23" i="6"/>
  <c r="AS61" i="6"/>
  <c r="AO62" i="6"/>
  <c r="AR65" i="6"/>
  <c r="AR66" i="6"/>
  <c r="AR69" i="6"/>
  <c r="AS68" i="6"/>
  <c r="BA69" i="6"/>
  <c r="AW73" i="6"/>
  <c r="CL73" i="6"/>
  <c r="DJ66" i="6"/>
  <c r="DJ69" i="6"/>
  <c r="O144" i="6"/>
  <c r="BE113" i="6"/>
  <c r="AJ138" i="6"/>
  <c r="AR144" i="6"/>
  <c r="CZ102" i="6"/>
  <c r="Q64" i="6"/>
  <c r="AO67" i="6"/>
  <c r="CD66" i="6"/>
  <c r="CL74" i="6"/>
  <c r="DJ72" i="6"/>
  <c r="DR75" i="6"/>
  <c r="AS100" i="6"/>
  <c r="AN138" i="6"/>
  <c r="AV143" i="6"/>
  <c r="BT99" i="6"/>
  <c r="CV137" i="6"/>
  <c r="DH143" i="6"/>
  <c r="AL61" i="6"/>
  <c r="AV25" i="6"/>
  <c r="AZ31" i="6"/>
  <c r="CV24" i="6"/>
  <c r="CW25" i="6"/>
  <c r="CZ25" i="6"/>
  <c r="G65" i="6"/>
  <c r="K65" i="6"/>
  <c r="AI61" i="6"/>
  <c r="AQ62" i="6"/>
  <c r="BP62" i="6"/>
  <c r="BT62" i="6"/>
  <c r="DF66" i="6"/>
  <c r="U72" i="6"/>
  <c r="Q74" i="6"/>
  <c r="AK62" i="6"/>
  <c r="AK61" i="6"/>
  <c r="AR62" i="6"/>
  <c r="AN63" i="6"/>
  <c r="AV63" i="6"/>
  <c r="AN64" i="6"/>
  <c r="AV64" i="6"/>
  <c r="AN65" i="6"/>
  <c r="AV65" i="6"/>
  <c r="AR67" i="6"/>
  <c r="AZ67" i="6"/>
  <c r="AR68" i="6"/>
  <c r="AZ68" i="6"/>
  <c r="AV69" i="6"/>
  <c r="AZ70" i="6"/>
  <c r="AV71" i="6"/>
  <c r="AZ71" i="6"/>
  <c r="BD71" i="6"/>
  <c r="AV72" i="6"/>
  <c r="AV73" i="6"/>
  <c r="AZ73" i="6"/>
  <c r="BD73" i="6"/>
  <c r="AV74" i="6"/>
  <c r="AZ75" i="6"/>
  <c r="BD75" i="6"/>
  <c r="BH75" i="6"/>
  <c r="BQ63" i="6"/>
  <c r="BY63" i="6"/>
  <c r="L66" i="6"/>
  <c r="R68" i="6"/>
  <c r="N69" i="6"/>
  <c r="N71" i="6"/>
  <c r="V73" i="6"/>
  <c r="Z74" i="6"/>
  <c r="Z73" i="6"/>
  <c r="V74" i="6"/>
  <c r="AP61" i="6"/>
  <c r="AP62" i="6"/>
  <c r="AS62" i="6"/>
  <c r="AO64" i="6"/>
  <c r="AS64" i="6"/>
  <c r="AW64" i="6"/>
  <c r="AS65" i="6"/>
  <c r="AO66" i="6"/>
  <c r="AS66" i="6"/>
  <c r="AW66" i="6"/>
  <c r="AS67" i="6"/>
  <c r="AW67" i="6"/>
  <c r="AW68" i="6"/>
  <c r="AW69" i="6"/>
  <c r="AS70" i="6"/>
  <c r="AW70" i="6"/>
  <c r="BA70" i="6"/>
  <c r="AS71" i="6"/>
  <c r="AW72" i="6"/>
  <c r="BA72" i="6"/>
  <c r="BA73" i="6"/>
  <c r="BE73" i="6"/>
  <c r="BA74" i="6"/>
  <c r="AW75" i="6"/>
  <c r="BA75" i="6"/>
  <c r="BE75" i="6"/>
  <c r="BZ61" i="6"/>
  <c r="BZ62" i="6"/>
  <c r="BR63" i="6"/>
  <c r="BV63" i="6"/>
  <c r="BZ63" i="6"/>
  <c r="BV64" i="6"/>
  <c r="BZ64" i="6"/>
  <c r="BZ65" i="6"/>
  <c r="BV66" i="6"/>
  <c r="BZ66" i="6"/>
  <c r="BV67" i="6"/>
  <c r="CD67" i="6"/>
  <c r="BV68" i="6"/>
  <c r="BZ68" i="6"/>
  <c r="CD68" i="6"/>
  <c r="CD69" i="6"/>
  <c r="CH69" i="6"/>
  <c r="CH70" i="6"/>
  <c r="BZ71" i="6"/>
  <c r="CD71" i="6"/>
  <c r="CH71" i="6"/>
  <c r="BZ72" i="6"/>
  <c r="CD72" i="6"/>
  <c r="CH72" i="6"/>
  <c r="CD73" i="6"/>
  <c r="CH73" i="6"/>
  <c r="CH74" i="6"/>
  <c r="CD75" i="6"/>
  <c r="CH75" i="6"/>
  <c r="DB61" i="6"/>
  <c r="DF61" i="6"/>
  <c r="DB65" i="6"/>
  <c r="DJ65" i="6"/>
  <c r="DJ67" i="6"/>
  <c r="DF68" i="6"/>
  <c r="DF69" i="6"/>
  <c r="DF70" i="6"/>
  <c r="DJ71" i="6"/>
  <c r="DN73" i="6"/>
  <c r="DN74" i="6"/>
  <c r="DN75" i="6"/>
  <c r="K137" i="6"/>
  <c r="O147" i="6"/>
  <c r="O148" i="6"/>
  <c r="AO99" i="6"/>
  <c r="AO100" i="6"/>
  <c r="AK101" i="6"/>
  <c r="AW102" i="6"/>
  <c r="AS103" i="6"/>
  <c r="AO104" i="6"/>
  <c r="AW104" i="6"/>
  <c r="AW105" i="6"/>
  <c r="BA107" i="6"/>
  <c r="AW108" i="6"/>
  <c r="BA110" i="6"/>
  <c r="AW111" i="6"/>
  <c r="BA112" i="6"/>
  <c r="BE112" i="6"/>
  <c r="AN137" i="6"/>
  <c r="AR139" i="6"/>
  <c r="AN140" i="6"/>
  <c r="AR141" i="6"/>
  <c r="AV142" i="6"/>
  <c r="AV144" i="6"/>
  <c r="AR145" i="6"/>
  <c r="AV149" i="6"/>
  <c r="BT103" i="6"/>
  <c r="CV99" i="6"/>
  <c r="CZ99" i="6"/>
  <c r="CV100" i="6"/>
  <c r="CZ100" i="6"/>
  <c r="CZ101" i="6"/>
  <c r="CZ104" i="6"/>
  <c r="CZ137" i="6"/>
  <c r="CV138" i="6"/>
  <c r="CZ138" i="6"/>
  <c r="CZ141" i="6"/>
  <c r="DH141" i="6"/>
  <c r="DD142" i="6"/>
  <c r="DH142" i="6"/>
  <c r="DD144" i="6"/>
  <c r="DD145" i="6"/>
  <c r="DH145" i="6"/>
  <c r="DB63" i="6"/>
  <c r="DB62" i="6"/>
  <c r="CX63" i="6"/>
  <c r="CX62" i="6"/>
  <c r="F61" i="6"/>
  <c r="J61" i="6"/>
  <c r="N61" i="6"/>
  <c r="J62" i="6"/>
  <c r="F63" i="6"/>
  <c r="J63" i="6"/>
  <c r="Q65" i="6"/>
  <c r="O67" i="6"/>
  <c r="S67" i="6"/>
  <c r="K69" i="6"/>
  <c r="K68" i="6"/>
  <c r="O69" i="6"/>
  <c r="S70" i="6"/>
  <c r="W70" i="6"/>
  <c r="O71" i="6"/>
  <c r="S71" i="6"/>
  <c r="BR62" i="6"/>
  <c r="H66" i="6"/>
  <c r="R70" i="6"/>
  <c r="R74" i="6"/>
  <c r="AK63" i="6"/>
  <c r="DF67" i="6"/>
  <c r="DB68" i="6"/>
  <c r="DJ68" i="6"/>
  <c r="DN69" i="6"/>
  <c r="DJ70" i="6"/>
  <c r="DN71" i="6"/>
  <c r="DJ74" i="6"/>
  <c r="DJ75" i="6"/>
  <c r="O145" i="6"/>
  <c r="S145" i="6"/>
  <c r="O146" i="6"/>
  <c r="AO101" i="6"/>
  <c r="AO103" i="6"/>
  <c r="AW103" i="6"/>
  <c r="BA106" i="6"/>
  <c r="AS108" i="6"/>
  <c r="AW109" i="6"/>
  <c r="AW110" i="6"/>
  <c r="BE110" i="6"/>
  <c r="AW113" i="6"/>
  <c r="BJ113" i="6" s="1"/>
  <c r="AJ137" i="6"/>
  <c r="AR137" i="6"/>
  <c r="AR138" i="6"/>
  <c r="AN139" i="6"/>
  <c r="AR140" i="6"/>
  <c r="AR142" i="6"/>
  <c r="AR143" i="6"/>
  <c r="AV145" i="6"/>
  <c r="AV147" i="6"/>
  <c r="AV148" i="6"/>
  <c r="BT100" i="6"/>
  <c r="BT101" i="6"/>
  <c r="BT102" i="6"/>
  <c r="BP138" i="6"/>
  <c r="DF62" i="6"/>
  <c r="V75" i="6"/>
  <c r="L67" i="6"/>
  <c r="D23" i="6"/>
  <c r="H23" i="6"/>
  <c r="L23" i="6"/>
  <c r="D24" i="6"/>
  <c r="H25" i="6"/>
  <c r="L25" i="6"/>
  <c r="P25" i="6"/>
  <c r="H26" i="6"/>
  <c r="P26" i="6"/>
  <c r="H27" i="6"/>
  <c r="T29" i="6"/>
  <c r="L30" i="6"/>
  <c r="P30" i="6"/>
  <c r="T30" i="6"/>
  <c r="P31" i="6"/>
  <c r="T31" i="6"/>
  <c r="L32" i="6"/>
  <c r="T33" i="6"/>
  <c r="T34" i="6"/>
  <c r="X35" i="6"/>
  <c r="P36" i="6"/>
  <c r="AB37" i="6"/>
  <c r="AJ23" i="6"/>
  <c r="AN23" i="6"/>
  <c r="AJ24" i="6"/>
  <c r="AN25" i="6"/>
  <c r="AV26" i="6"/>
  <c r="AR27" i="6"/>
  <c r="AV27" i="6"/>
  <c r="AN28" i="6"/>
  <c r="AR28" i="6"/>
  <c r="AV28" i="6"/>
  <c r="AV29" i="6"/>
  <c r="AR30" i="6"/>
  <c r="AV33" i="6"/>
  <c r="AZ33" i="6"/>
  <c r="BD33" i="6"/>
  <c r="BD34" i="6"/>
  <c r="AZ35" i="6"/>
  <c r="AZ37" i="6"/>
  <c r="BP23" i="6"/>
  <c r="BT25" i="6"/>
  <c r="BX25" i="6"/>
  <c r="BT26" i="6"/>
  <c r="CB26" i="6"/>
  <c r="BX27" i="6"/>
  <c r="BT28" i="6"/>
  <c r="CB28" i="6"/>
  <c r="BX29" i="6"/>
  <c r="CF29" i="6"/>
  <c r="CF30" i="6"/>
  <c r="CB31" i="6"/>
  <c r="BX32" i="6"/>
  <c r="CB32" i="6"/>
  <c r="CJ33" i="6"/>
  <c r="CB34" i="6"/>
  <c r="CJ34" i="6"/>
  <c r="CJ35" i="6"/>
  <c r="CZ23" i="6"/>
  <c r="DE23" i="6"/>
  <c r="DE24" i="6"/>
  <c r="DH25" i="6"/>
  <c r="CZ26" i="6"/>
  <c r="DD26" i="6"/>
  <c r="DH27" i="6"/>
  <c r="CZ28" i="6"/>
  <c r="DH29" i="6"/>
  <c r="DL29" i="6"/>
  <c r="DH30" i="6"/>
  <c r="DL30" i="6"/>
  <c r="DD31" i="6"/>
  <c r="DL31" i="6"/>
  <c r="DL32" i="6"/>
  <c r="DL33" i="6"/>
  <c r="DH35" i="6"/>
  <c r="DH36" i="6"/>
  <c r="C61" i="6"/>
  <c r="G61" i="6"/>
  <c r="K61" i="6"/>
  <c r="O62" i="6"/>
  <c r="G63" i="6"/>
  <c r="K63" i="6"/>
  <c r="O63" i="6"/>
  <c r="E25" i="6"/>
  <c r="I28" i="6"/>
  <c r="M28" i="6"/>
  <c r="Q28" i="6"/>
  <c r="M29" i="6"/>
  <c r="Q31" i="6"/>
  <c r="Q37" i="6"/>
  <c r="AK23" i="6"/>
  <c r="AW26" i="6"/>
  <c r="AS27" i="6"/>
  <c r="AO28" i="6"/>
  <c r="AS28" i="6"/>
  <c r="AO29" i="6"/>
  <c r="BA30" i="6"/>
  <c r="AW31" i="6"/>
  <c r="BA31" i="6"/>
  <c r="AW32" i="6"/>
  <c r="BA36" i="6"/>
  <c r="BE36" i="6"/>
  <c r="BU23" i="6"/>
  <c r="BQ24" i="6"/>
  <c r="BQ25" i="6"/>
  <c r="BU27" i="6"/>
  <c r="BU28" i="6"/>
  <c r="BY29" i="6"/>
  <c r="BY30" i="6"/>
  <c r="CC30" i="6"/>
  <c r="CC31" i="6"/>
  <c r="CG32" i="6"/>
  <c r="CK34" i="6"/>
  <c r="CG35" i="6"/>
  <c r="CG36" i="6"/>
  <c r="CW23" i="6"/>
  <c r="DE25" i="6"/>
  <c r="DE26" i="6"/>
  <c r="DI26" i="6"/>
  <c r="DA27" i="6"/>
  <c r="DE27" i="6"/>
  <c r="DA28" i="6"/>
  <c r="DI29" i="6"/>
  <c r="DI30" i="6"/>
  <c r="DE31" i="6"/>
  <c r="DI31" i="6"/>
  <c r="DM34" i="6"/>
  <c r="DI35" i="6"/>
  <c r="DM35" i="6"/>
  <c r="DQ35" i="6"/>
  <c r="DI36" i="6"/>
  <c r="M63" i="6"/>
  <c r="I64" i="6"/>
  <c r="K66" i="6"/>
  <c r="P73" i="6"/>
  <c r="P74" i="6"/>
  <c r="AA75" i="6"/>
  <c r="AQ63" i="6"/>
  <c r="AQ68" i="6"/>
  <c r="CB66" i="6"/>
  <c r="DV60" i="6"/>
  <c r="DW60" i="6" s="1"/>
  <c r="DH64" i="6"/>
  <c r="DD67" i="6"/>
  <c r="DL68" i="6"/>
  <c r="DH69" i="6"/>
  <c r="DH71" i="6"/>
  <c r="DP71" i="6"/>
  <c r="DL74" i="6"/>
  <c r="AD98" i="6"/>
  <c r="AE98" i="6" s="1"/>
  <c r="AD100" i="6"/>
  <c r="AD22" i="6"/>
  <c r="AE22" i="6" s="1"/>
  <c r="F25" i="6"/>
  <c r="J25" i="6"/>
  <c r="N26" i="6"/>
  <c r="R27" i="6"/>
  <c r="N29" i="6"/>
  <c r="R29" i="6"/>
  <c r="J30" i="6"/>
  <c r="N30" i="6"/>
  <c r="R30" i="6"/>
  <c r="N32" i="6"/>
  <c r="V32" i="6"/>
  <c r="N33" i="6"/>
  <c r="V33" i="6"/>
  <c r="R35" i="6"/>
  <c r="V35" i="6"/>
  <c r="Z35" i="6"/>
  <c r="Z36" i="6"/>
  <c r="R37" i="6"/>
  <c r="V37" i="6"/>
  <c r="AL23" i="6"/>
  <c r="AP23" i="6"/>
  <c r="AL25" i="6"/>
  <c r="AL26" i="6"/>
  <c r="AT26" i="6"/>
  <c r="CP22" i="6"/>
  <c r="CQ22" i="6" s="1"/>
  <c r="BZ27" i="6"/>
  <c r="CD37" i="6"/>
  <c r="DV22" i="6"/>
  <c r="DW22" i="6" s="1"/>
  <c r="DF23" i="6"/>
  <c r="CX25" i="6"/>
  <c r="DF25" i="6"/>
  <c r="DB26" i="6"/>
  <c r="DB27" i="6"/>
  <c r="DF27" i="6"/>
  <c r="DF28" i="6"/>
  <c r="DJ28" i="6"/>
  <c r="DB29" i="6"/>
  <c r="DF29" i="6"/>
  <c r="DJ30" i="6"/>
  <c r="DF31" i="6"/>
  <c r="DJ31" i="6"/>
  <c r="DF33" i="6"/>
  <c r="DJ33" i="6"/>
  <c r="DJ34" i="6"/>
  <c r="DN34" i="6"/>
  <c r="DJ35" i="6"/>
  <c r="DN35" i="6"/>
  <c r="DN37" i="6"/>
  <c r="DR37" i="6"/>
  <c r="H61" i="6"/>
  <c r="H62" i="6"/>
  <c r="BY65" i="6"/>
  <c r="BY66" i="6"/>
  <c r="BU67" i="6"/>
  <c r="CC67" i="6"/>
  <c r="CC68" i="6"/>
  <c r="CC71" i="6"/>
  <c r="CK72" i="6"/>
  <c r="CK74" i="6"/>
  <c r="CC75" i="6"/>
  <c r="DA65" i="6"/>
  <c r="DA66" i="6"/>
  <c r="DE67" i="6"/>
  <c r="DI67" i="6"/>
  <c r="DI68" i="6"/>
  <c r="DQ72" i="6"/>
  <c r="DM73" i="6"/>
  <c r="DQ73" i="6"/>
  <c r="DQ74" i="6"/>
  <c r="DI75" i="6"/>
  <c r="DM75" i="6"/>
  <c r="N145" i="6"/>
  <c r="N146" i="6"/>
  <c r="N147" i="6"/>
  <c r="AN99" i="6"/>
  <c r="AN100" i="6"/>
  <c r="AR100" i="6"/>
  <c r="AN103" i="6"/>
  <c r="AR104" i="6"/>
  <c r="AV105" i="6"/>
  <c r="AR107" i="6"/>
  <c r="AV107" i="6"/>
  <c r="AV109" i="6"/>
  <c r="AZ109" i="6"/>
  <c r="AV110" i="6"/>
  <c r="AZ111" i="6"/>
  <c r="BD111" i="6"/>
  <c r="AZ113" i="6"/>
  <c r="BH113" i="6"/>
  <c r="AI137" i="6"/>
  <c r="AQ137" i="6"/>
  <c r="AM138" i="6"/>
  <c r="AQ139" i="6"/>
  <c r="AQ140" i="6"/>
  <c r="AQ141" i="6"/>
  <c r="M62" i="6"/>
  <c r="P64" i="6"/>
  <c r="J65" i="6"/>
  <c r="G99" i="6"/>
  <c r="AD99" i="6" s="1"/>
  <c r="DD63" i="6"/>
  <c r="AD101" i="6"/>
  <c r="AD105" i="6"/>
  <c r="AD111" i="6"/>
  <c r="AD112" i="6"/>
  <c r="AD139" i="6"/>
  <c r="AQ100" i="6"/>
  <c r="AQ104" i="6"/>
  <c r="AQ107" i="6"/>
  <c r="BJ107" i="6" s="1"/>
  <c r="AY107" i="6"/>
  <c r="AY111" i="6"/>
  <c r="BJ136" i="6"/>
  <c r="BK136" i="6" s="1"/>
  <c r="AL140" i="6"/>
  <c r="AT146" i="6"/>
  <c r="BR99" i="6"/>
  <c r="CP107" i="6"/>
  <c r="CP113" i="6"/>
  <c r="CP142" i="6"/>
  <c r="CP145" i="6"/>
  <c r="CP147" i="6"/>
  <c r="CP148" i="6"/>
  <c r="CP149" i="6"/>
  <c r="CP150" i="6"/>
  <c r="DV107" i="6"/>
  <c r="DV108" i="6"/>
  <c r="DV109" i="6"/>
  <c r="DV112" i="6"/>
  <c r="DV113" i="6"/>
  <c r="DV136" i="6"/>
  <c r="DW136" i="6" s="1"/>
  <c r="DB141" i="6"/>
  <c r="DV149" i="6"/>
  <c r="DV150" i="6"/>
  <c r="U68" i="6"/>
  <c r="U69" i="6"/>
  <c r="Q70" i="6"/>
  <c r="U70" i="6"/>
  <c r="M71" i="6"/>
  <c r="X72" i="6"/>
  <c r="X71" i="6"/>
  <c r="BT63" i="6"/>
  <c r="BX63" i="6"/>
  <c r="CB63" i="6"/>
  <c r="BT64" i="6"/>
  <c r="BX64" i="6"/>
  <c r="CB64" i="6"/>
  <c r="BT65" i="6"/>
  <c r="CB65" i="6"/>
  <c r="BT66" i="6"/>
  <c r="BX66" i="6"/>
  <c r="BX67" i="6"/>
  <c r="CB67" i="6"/>
  <c r="CF67" i="6"/>
  <c r="CB68" i="6"/>
  <c r="CF68" i="6"/>
  <c r="BX69" i="6"/>
  <c r="CF69" i="6"/>
  <c r="BX70" i="6"/>
  <c r="CB70" i="6"/>
  <c r="CF70" i="6"/>
  <c r="CB71" i="6"/>
  <c r="CF71" i="6"/>
  <c r="CJ71" i="6"/>
  <c r="CB72" i="6"/>
  <c r="CF72" i="6"/>
  <c r="CB73" i="6"/>
  <c r="CF73" i="6"/>
  <c r="CB74" i="6"/>
  <c r="CF74" i="6"/>
  <c r="CJ74" i="6"/>
  <c r="CF75" i="6"/>
  <c r="CJ75" i="6"/>
  <c r="CN75" i="6"/>
  <c r="CZ62" i="6"/>
  <c r="CZ61" i="6"/>
  <c r="DD62" i="6"/>
  <c r="DD61" i="6"/>
  <c r="CV62" i="6"/>
  <c r="CZ65" i="6"/>
  <c r="DD65" i="6"/>
  <c r="CZ66" i="6"/>
  <c r="DD66" i="6"/>
  <c r="DH66" i="6"/>
  <c r="DH67" i="6"/>
  <c r="DL67" i="6"/>
  <c r="DD69" i="6"/>
  <c r="DL69" i="6"/>
  <c r="DD70" i="6"/>
  <c r="DH70" i="6"/>
  <c r="DL70" i="6"/>
  <c r="DL71" i="6"/>
  <c r="DH72" i="6"/>
  <c r="DL72" i="6"/>
  <c r="DP72" i="6"/>
  <c r="DL73" i="6"/>
  <c r="DP73" i="6"/>
  <c r="DH74" i="6"/>
  <c r="DP74" i="6"/>
  <c r="DL75" i="6"/>
  <c r="DP75" i="6"/>
  <c r="DT75" i="6"/>
  <c r="M138" i="6"/>
  <c r="Y151" i="6"/>
  <c r="AD151" i="6" s="1"/>
  <c r="AI99" i="6"/>
  <c r="AQ99" i="6"/>
  <c r="AM100" i="6"/>
  <c r="AU100" i="6"/>
  <c r="AQ101" i="6"/>
  <c r="AU101" i="6"/>
  <c r="AM102" i="6"/>
  <c r="AM103" i="6"/>
  <c r="AQ103" i="6"/>
  <c r="AU103" i="6"/>
  <c r="AQ105" i="6"/>
  <c r="AU105" i="6"/>
  <c r="AY105" i="6"/>
  <c r="AY106" i="6"/>
  <c r="AU107" i="6"/>
  <c r="AY108" i="6"/>
  <c r="BC108" i="6"/>
  <c r="AU109" i="6"/>
  <c r="BC109" i="6"/>
  <c r="AY110" i="6"/>
  <c r="BC110" i="6"/>
  <c r="AU111" i="6"/>
  <c r="BJ111" i="6" s="1"/>
  <c r="AY112" i="6"/>
  <c r="BC112" i="6"/>
  <c r="AL137" i="6"/>
  <c r="AP137" i="6"/>
  <c r="AP138" i="6"/>
  <c r="AL139" i="6"/>
  <c r="AP140" i="6"/>
  <c r="AP141" i="6"/>
  <c r="AT141" i="6"/>
  <c r="AP142" i="6"/>
  <c r="AT143" i="6"/>
  <c r="AP144" i="6"/>
  <c r="AT145" i="6"/>
  <c r="BR100" i="6"/>
  <c r="BR102" i="6"/>
  <c r="BV106" i="6"/>
  <c r="CP106" i="6" s="1"/>
  <c r="BR138" i="6"/>
  <c r="BR139" i="6"/>
  <c r="CX101" i="6"/>
  <c r="CX102" i="6"/>
  <c r="DB106" i="6"/>
  <c r="DV106" i="6" s="1"/>
  <c r="CX137" i="6"/>
  <c r="DB137" i="6"/>
  <c r="DB138" i="6"/>
  <c r="DB139" i="6"/>
  <c r="CX140" i="6"/>
  <c r="DB140" i="6"/>
  <c r="DB142" i="6"/>
  <c r="DB143" i="6"/>
  <c r="DF145" i="6"/>
  <c r="DF146" i="6"/>
  <c r="DF147" i="6"/>
  <c r="DF148" i="6"/>
  <c r="DV148" i="6" s="1"/>
  <c r="AD106" i="6"/>
  <c r="J23" i="6"/>
  <c r="J24" i="6"/>
  <c r="N23" i="6"/>
  <c r="Z37" i="6"/>
  <c r="AL24" i="6"/>
  <c r="AP24" i="6"/>
  <c r="AT27" i="6"/>
  <c r="AX27" i="6"/>
  <c r="AP28" i="6"/>
  <c r="O64" i="6"/>
  <c r="DE61" i="6"/>
  <c r="K64" i="6"/>
  <c r="AU143" i="6"/>
  <c r="AO61" i="6"/>
  <c r="O24" i="6"/>
  <c r="AI23" i="6"/>
  <c r="BO23" i="6"/>
  <c r="CA28" i="6"/>
  <c r="CU23" i="6"/>
  <c r="DG29" i="6"/>
  <c r="I61" i="6"/>
  <c r="L63" i="6"/>
  <c r="L64" i="6"/>
  <c r="L65" i="6"/>
  <c r="N66" i="6"/>
  <c r="N65" i="6"/>
  <c r="Q66" i="6"/>
  <c r="BB32" i="6"/>
  <c r="BZ23" i="6"/>
  <c r="BV25" i="6"/>
  <c r="CD29" i="6"/>
  <c r="BZ34" i="6"/>
  <c r="DB25" i="6"/>
  <c r="DN31" i="6"/>
  <c r="DN36" i="6"/>
  <c r="D61" i="6"/>
  <c r="G64" i="6"/>
  <c r="I66" i="6"/>
  <c r="R69" i="6"/>
  <c r="N70" i="6"/>
  <c r="V70" i="6"/>
  <c r="U71" i="6"/>
  <c r="AB75" i="6"/>
  <c r="AR64" i="6"/>
  <c r="AN66" i="6"/>
  <c r="AV66" i="6"/>
  <c r="AV67" i="6"/>
  <c r="AV68" i="6"/>
  <c r="AZ69" i="6"/>
  <c r="AR70" i="6"/>
  <c r="AV70" i="6"/>
  <c r="AZ72" i="6"/>
  <c r="BD72" i="6"/>
  <c r="AZ74" i="6"/>
  <c r="BD74" i="6"/>
  <c r="BY61" i="6"/>
  <c r="BY62" i="6"/>
  <c r="BU63" i="6"/>
  <c r="BU64" i="6"/>
  <c r="BY64" i="6"/>
  <c r="CC64" i="6"/>
  <c r="BU65" i="6"/>
  <c r="CC65" i="6"/>
  <c r="BU66" i="6"/>
  <c r="CC66" i="6"/>
  <c r="BY68" i="6"/>
  <c r="CG68" i="6"/>
  <c r="CG69" i="6"/>
  <c r="BY70" i="6"/>
  <c r="CC70" i="6"/>
  <c r="CG70" i="6"/>
  <c r="CG71" i="6"/>
  <c r="CC72" i="6"/>
  <c r="CC73" i="6"/>
  <c r="CG74" i="6"/>
  <c r="CG75" i="6"/>
  <c r="CK75" i="6"/>
  <c r="DI64" i="6"/>
  <c r="DE65" i="6"/>
  <c r="DI65" i="6"/>
  <c r="DI66" i="6"/>
  <c r="DE68" i="6"/>
  <c r="DM68" i="6"/>
  <c r="DE69" i="6"/>
  <c r="DI69" i="6"/>
  <c r="DI71" i="6"/>
  <c r="DM71" i="6"/>
  <c r="DI72" i="6"/>
  <c r="DI73" i="6"/>
  <c r="DI74" i="6"/>
  <c r="DM74" i="6"/>
  <c r="DQ75" i="6"/>
  <c r="AD110" i="6"/>
  <c r="N143" i="6"/>
  <c r="N144" i="6"/>
  <c r="R144" i="6"/>
  <c r="AR99" i="6"/>
  <c r="AJ100" i="6"/>
  <c r="AR101" i="6"/>
  <c r="AN102" i="6"/>
  <c r="AV102" i="6"/>
  <c r="AZ105" i="6"/>
  <c r="AZ106" i="6"/>
  <c r="AR108" i="6"/>
  <c r="AZ108" i="6"/>
  <c r="BD109" i="6"/>
  <c r="AZ110" i="6"/>
  <c r="AZ112" i="6"/>
  <c r="AM137" i="6"/>
  <c r="AM139" i="6"/>
  <c r="AM141" i="6"/>
  <c r="AQ142" i="6"/>
  <c r="R71" i="6"/>
  <c r="I65" i="6"/>
  <c r="V72" i="6"/>
  <c r="Q75" i="6"/>
  <c r="Q67" i="6"/>
  <c r="L70" i="6"/>
  <c r="P70" i="6"/>
  <c r="DB24" i="6"/>
  <c r="F64" i="6"/>
  <c r="S69" i="6"/>
  <c r="Y72" i="6"/>
  <c r="U73" i="6"/>
  <c r="AM65" i="6"/>
  <c r="BC70" i="6"/>
  <c r="BS61" i="6"/>
  <c r="BW61" i="6"/>
  <c r="BQ61" i="6"/>
  <c r="BU62" i="6"/>
  <c r="BS62" i="6"/>
  <c r="BW62" i="6"/>
  <c r="CM75" i="6"/>
  <c r="CU61" i="6"/>
  <c r="CY61" i="6"/>
  <c r="DC61" i="6"/>
  <c r="DG62" i="6"/>
  <c r="CY65" i="6"/>
  <c r="DG65" i="6"/>
  <c r="DK66" i="6"/>
  <c r="DC67" i="6"/>
  <c r="DG68" i="6"/>
  <c r="DK68" i="6"/>
  <c r="DC69" i="6"/>
  <c r="DG69" i="6"/>
  <c r="DK70" i="6"/>
  <c r="DO70" i="6"/>
  <c r="DG71" i="6"/>
  <c r="DO71" i="6"/>
  <c r="DO72" i="6"/>
  <c r="DG73" i="6"/>
  <c r="DK73" i="6"/>
  <c r="DO74" i="6"/>
  <c r="DS74" i="6"/>
  <c r="DK75" i="6"/>
  <c r="AD102" i="6"/>
  <c r="AD103" i="6"/>
  <c r="AD104" i="6"/>
  <c r="AD107" i="6"/>
  <c r="AD108" i="6"/>
  <c r="AD109" i="6"/>
  <c r="AD113" i="6"/>
  <c r="AD136" i="6"/>
  <c r="AE136" i="6" s="1"/>
  <c r="CW63" i="6"/>
  <c r="DF63" i="6"/>
  <c r="O140" i="6"/>
  <c r="AD150" i="6"/>
  <c r="BJ98" i="6"/>
  <c r="BK98" i="6" s="1"/>
  <c r="AK99" i="6"/>
  <c r="AS101" i="6"/>
  <c r="AO102" i="6"/>
  <c r="AO105" i="6"/>
  <c r="BJ105" i="6" s="1"/>
  <c r="AS105" i="6"/>
  <c r="AS106" i="6"/>
  <c r="AW107" i="6"/>
  <c r="AS109" i="6"/>
  <c r="BJ109" i="6" s="1"/>
  <c r="BA109" i="6"/>
  <c r="BA111" i="6"/>
  <c r="BE111" i="6"/>
  <c r="CP98" i="6"/>
  <c r="CQ98" i="6" s="1"/>
  <c r="CP108" i="6"/>
  <c r="CP109" i="6"/>
  <c r="CP110" i="6"/>
  <c r="CP112" i="6"/>
  <c r="CP136" i="6"/>
  <c r="CQ136" i="6" s="1"/>
  <c r="CP144" i="6"/>
  <c r="CP146" i="6"/>
  <c r="CP151" i="6"/>
  <c r="DV110" i="6"/>
  <c r="DV111" i="6"/>
  <c r="DG63" i="6"/>
  <c r="AP29" i="6"/>
  <c r="AT30" i="6"/>
  <c r="AT31" i="6"/>
  <c r="AX32" i="6"/>
  <c r="AT33" i="6"/>
  <c r="AT34" i="6"/>
  <c r="AX35" i="6"/>
  <c r="AX36" i="6"/>
  <c r="AX37" i="6"/>
  <c r="BZ24" i="6"/>
  <c r="BZ26" i="6"/>
  <c r="BV27" i="6"/>
  <c r="BV28" i="6"/>
  <c r="BV29" i="6"/>
  <c r="BV30" i="6"/>
  <c r="CD32" i="6"/>
  <c r="BZ33" i="6"/>
  <c r="CD34" i="6"/>
  <c r="AT28" i="6"/>
  <c r="AT29" i="6"/>
  <c r="AP30" i="6"/>
  <c r="BB31" i="6"/>
  <c r="AX33" i="6"/>
  <c r="AX34" i="6"/>
  <c r="BF35" i="6"/>
  <c r="BF36" i="6"/>
  <c r="BF37" i="6"/>
  <c r="BV23" i="6"/>
  <c r="BV24" i="6"/>
  <c r="BZ25" i="6"/>
  <c r="BV26" i="6"/>
  <c r="CD27" i="6"/>
  <c r="CD28" i="6"/>
  <c r="CD30" i="6"/>
  <c r="BZ31" i="6"/>
  <c r="BZ32" i="6"/>
  <c r="CD33" i="6"/>
  <c r="CD35" i="6"/>
  <c r="CD36" i="6"/>
  <c r="AX28" i="6"/>
  <c r="AX29" i="6"/>
  <c r="AX30" i="6"/>
  <c r="AX31" i="6"/>
  <c r="AT32" i="6"/>
  <c r="BB33" i="6"/>
  <c r="BB34" i="6"/>
  <c r="BB35" i="6"/>
  <c r="BB36" i="6"/>
  <c r="BB37" i="6"/>
  <c r="BR23" i="6"/>
  <c r="BR24" i="6"/>
  <c r="BR25" i="6"/>
  <c r="BR26" i="6"/>
  <c r="BZ28" i="6"/>
  <c r="BZ29" i="6"/>
  <c r="BZ30" i="6"/>
  <c r="CD31" i="6"/>
  <c r="CH31" i="6"/>
  <c r="CH32" i="6"/>
  <c r="CH33" i="6"/>
  <c r="CH34" i="6"/>
  <c r="CH35" i="6"/>
  <c r="CL35" i="6"/>
  <c r="CH36" i="6"/>
  <c r="CL36" i="6"/>
  <c r="CH37" i="6"/>
  <c r="CL37" i="6"/>
  <c r="CX23" i="6"/>
  <c r="DC24" i="6"/>
  <c r="DC23" i="6"/>
  <c r="CY24" i="6"/>
  <c r="CY25" i="6"/>
  <c r="L62" i="6"/>
  <c r="L61" i="6"/>
  <c r="P66" i="6"/>
  <c r="P67" i="6"/>
  <c r="T70" i="6"/>
  <c r="T69" i="6"/>
  <c r="P71" i="6"/>
  <c r="P72" i="6"/>
  <c r="Y73" i="6"/>
  <c r="Y74" i="6"/>
  <c r="AR61" i="6"/>
  <c r="BJ60" i="6"/>
  <c r="BK60" i="6" s="1"/>
  <c r="J27" i="1" s="1"/>
  <c r="AU62" i="6"/>
  <c r="AM63" i="6"/>
  <c r="AU63" i="6"/>
  <c r="AM64" i="6"/>
  <c r="AQ64" i="6"/>
  <c r="AU64" i="6"/>
  <c r="AQ65" i="6"/>
  <c r="AU65" i="6"/>
  <c r="AQ66" i="6"/>
  <c r="AU66" i="6"/>
  <c r="AY66" i="6"/>
  <c r="AQ67" i="6"/>
  <c r="AU67" i="6"/>
  <c r="AY67" i="6"/>
  <c r="AU68" i="6"/>
  <c r="AY68" i="6"/>
  <c r="AQ69" i="6"/>
  <c r="AU69" i="6"/>
  <c r="AY69" i="6"/>
  <c r="AU70" i="6"/>
  <c r="AY70" i="6"/>
  <c r="AU71" i="6"/>
  <c r="AY71" i="6"/>
  <c r="AU72" i="6"/>
  <c r="AY72" i="6"/>
  <c r="BC72" i="6"/>
  <c r="AU73" i="6"/>
  <c r="AY73" i="6"/>
  <c r="BC73" i="6"/>
  <c r="BC74" i="6"/>
  <c r="BG74" i="6"/>
  <c r="AY75" i="6"/>
  <c r="BC75" i="6"/>
  <c r="BG75" i="6"/>
  <c r="CP60" i="6"/>
  <c r="CQ60" i="6" s="1"/>
  <c r="K27" i="1" s="1"/>
  <c r="BO61" i="6"/>
  <c r="CA62" i="6"/>
  <c r="BS63" i="6"/>
  <c r="BW63" i="6"/>
  <c r="CA63" i="6"/>
  <c r="BW64" i="6"/>
  <c r="CA64" i="6"/>
  <c r="BS65" i="6"/>
  <c r="BW65" i="6"/>
  <c r="CA65" i="6"/>
  <c r="BW66" i="6"/>
  <c r="CA66" i="6"/>
  <c r="BW67" i="6"/>
  <c r="CA67" i="6"/>
  <c r="CE67" i="6"/>
  <c r="BW68" i="6"/>
  <c r="CA68" i="6"/>
  <c r="CE68" i="6"/>
  <c r="BW69" i="6"/>
  <c r="CA69" i="6"/>
  <c r="CA70" i="6"/>
  <c r="CE70" i="6"/>
  <c r="CI70" i="6"/>
  <c r="CA71" i="6"/>
  <c r="CE71" i="6"/>
  <c r="CA72" i="6"/>
  <c r="CE72" i="6"/>
  <c r="CA73" i="6"/>
  <c r="CE73" i="6"/>
  <c r="CI73" i="6"/>
  <c r="CE74" i="6"/>
  <c r="CE75" i="6"/>
  <c r="CI74" i="6"/>
  <c r="CM74" i="6"/>
  <c r="O141" i="6"/>
  <c r="W73" i="6"/>
  <c r="E62" i="6"/>
  <c r="E63" i="6"/>
  <c r="I67" i="6"/>
  <c r="Q68" i="6"/>
  <c r="G137" i="6"/>
  <c r="M69" i="6"/>
  <c r="Q72" i="6"/>
  <c r="Q71" i="6"/>
  <c r="N72" i="6"/>
  <c r="U75" i="6"/>
  <c r="U74" i="6"/>
  <c r="DH63" i="6"/>
  <c r="CZ63" i="6"/>
  <c r="C465" i="23" l="1"/>
  <c r="D466" i="23" s="1"/>
  <c r="E467" i="23" s="1"/>
  <c r="F468" i="23" s="1"/>
  <c r="G469" i="23" s="1"/>
  <c r="H470" i="23" s="1"/>
  <c r="I471" i="23" s="1"/>
  <c r="J472" i="23" s="1"/>
  <c r="K473" i="23" s="1"/>
  <c r="L474" i="23" s="1"/>
  <c r="M475" i="23" s="1"/>
  <c r="N476" i="23" s="1"/>
  <c r="O477" i="23" s="1"/>
  <c r="P478" i="23" s="1"/>
  <c r="Q479" i="23" s="1"/>
  <c r="R480" i="23" s="1"/>
  <c r="S481" i="23" s="1"/>
  <c r="T482" i="23" s="1"/>
  <c r="U483" i="23" s="1"/>
  <c r="V484" i="23" s="1"/>
  <c r="W485" i="23" s="1"/>
  <c r="X486" i="23" s="1"/>
  <c r="Y487" i="23" s="1"/>
  <c r="Z488" i="23" s="1"/>
  <c r="AA489" i="23" s="1"/>
  <c r="AB490" i="23" s="1"/>
  <c r="DV104" i="6"/>
  <c r="CP141" i="6"/>
  <c r="CP140" i="6"/>
  <c r="C198" i="20"/>
  <c r="C82" i="20"/>
  <c r="C25" i="20"/>
  <c r="C227" i="20"/>
  <c r="C346" i="23"/>
  <c r="E137" i="1" s="1"/>
  <c r="C140" i="20"/>
  <c r="C169" i="20"/>
  <c r="C375" i="23"/>
  <c r="E138" i="1" s="1"/>
  <c r="C317" i="23"/>
  <c r="E136" i="1" s="1"/>
  <c r="C53" i="20"/>
  <c r="C414" i="23"/>
  <c r="D415" i="23" s="1"/>
  <c r="E416" i="23" s="1"/>
  <c r="F417" i="23" s="1"/>
  <c r="G418" i="23" s="1"/>
  <c r="H419" i="23" s="1"/>
  <c r="I420" i="23" s="1"/>
  <c r="J421" i="23" s="1"/>
  <c r="K422" i="23" s="1"/>
  <c r="L423" i="23" s="1"/>
  <c r="M424" i="23" s="1"/>
  <c r="N425" i="23" s="1"/>
  <c r="O426" i="23" s="1"/>
  <c r="P427" i="23" s="1"/>
  <c r="Q428" i="23" s="1"/>
  <c r="R429" i="23" s="1"/>
  <c r="S430" i="23" s="1"/>
  <c r="T431" i="23" s="1"/>
  <c r="U432" i="23" s="1"/>
  <c r="C200" i="23"/>
  <c r="D200" i="23"/>
  <c r="D113" i="23"/>
  <c r="C113" i="23"/>
  <c r="C473" i="23"/>
  <c r="D474" i="23" s="1"/>
  <c r="E475" i="23" s="1"/>
  <c r="F476" i="23" s="1"/>
  <c r="G477" i="23" s="1"/>
  <c r="H478" i="23" s="1"/>
  <c r="I479" i="23" s="1"/>
  <c r="J480" i="23" s="1"/>
  <c r="K481" i="23" s="1"/>
  <c r="L482" i="23" s="1"/>
  <c r="M483" i="23" s="1"/>
  <c r="N484" i="23" s="1"/>
  <c r="O485" i="23" s="1"/>
  <c r="P486" i="23" s="1"/>
  <c r="Q487" i="23" s="1"/>
  <c r="R488" i="23" s="1"/>
  <c r="S489" i="23" s="1"/>
  <c r="T490" i="23" s="1"/>
  <c r="C229" i="23"/>
  <c r="D229" i="23"/>
  <c r="C84" i="23"/>
  <c r="D84" i="23"/>
  <c r="D55" i="23"/>
  <c r="C55" i="23"/>
  <c r="C437" i="23"/>
  <c r="D438" i="23" s="1"/>
  <c r="E439" i="23" s="1"/>
  <c r="F440" i="23" s="1"/>
  <c r="G441" i="23" s="1"/>
  <c r="H442" i="23" s="1"/>
  <c r="I443" i="23" s="1"/>
  <c r="J444" i="23" s="1"/>
  <c r="K445" i="23" s="1"/>
  <c r="L446" i="23" s="1"/>
  <c r="M447" i="23" s="1"/>
  <c r="N448" i="23" s="1"/>
  <c r="O449" i="23" s="1"/>
  <c r="P450" i="23" s="1"/>
  <c r="Q451" i="23" s="1"/>
  <c r="R452" i="23" s="1"/>
  <c r="S453" i="23" s="1"/>
  <c r="T454" i="23" s="1"/>
  <c r="U455" i="23" s="1"/>
  <c r="V456" i="23" s="1"/>
  <c r="W457" i="23" s="1"/>
  <c r="X458" i="23" s="1"/>
  <c r="Y459" i="23" s="1"/>
  <c r="Z460" i="23" s="1"/>
  <c r="AA461" i="23" s="1"/>
  <c r="C438" i="23"/>
  <c r="D439" i="23" s="1"/>
  <c r="E440" i="23" s="1"/>
  <c r="F441" i="23" s="1"/>
  <c r="G442" i="23" s="1"/>
  <c r="H443" i="23" s="1"/>
  <c r="I444" i="23" s="1"/>
  <c r="J445" i="23" s="1"/>
  <c r="K446" i="23" s="1"/>
  <c r="L447" i="23" s="1"/>
  <c r="M448" i="23" s="1"/>
  <c r="N449" i="23" s="1"/>
  <c r="O450" i="23" s="1"/>
  <c r="P451" i="23" s="1"/>
  <c r="Q452" i="23" s="1"/>
  <c r="R453" i="23" s="1"/>
  <c r="S454" i="23" s="1"/>
  <c r="T455" i="23" s="1"/>
  <c r="U456" i="23" s="1"/>
  <c r="V457" i="23" s="1"/>
  <c r="W458" i="23" s="1"/>
  <c r="X459" i="23" s="1"/>
  <c r="Y460" i="23" s="1"/>
  <c r="Z461" i="23" s="1"/>
  <c r="C142" i="23"/>
  <c r="D142" i="23"/>
  <c r="C258" i="23"/>
  <c r="D258" i="23"/>
  <c r="C444" i="23"/>
  <c r="D445" i="23" s="1"/>
  <c r="E446" i="23" s="1"/>
  <c r="F447" i="23" s="1"/>
  <c r="G448" i="23" s="1"/>
  <c r="H449" i="23" s="1"/>
  <c r="I450" i="23" s="1"/>
  <c r="J451" i="23" s="1"/>
  <c r="K452" i="23" s="1"/>
  <c r="L453" i="23" s="1"/>
  <c r="M454" i="23" s="1"/>
  <c r="N455" i="23" s="1"/>
  <c r="O456" i="23" s="1"/>
  <c r="P457" i="23" s="1"/>
  <c r="Q458" i="23" s="1"/>
  <c r="R459" i="23" s="1"/>
  <c r="S460" i="23" s="1"/>
  <c r="T461" i="23" s="1"/>
  <c r="BJ149" i="6"/>
  <c r="BJ150" i="6"/>
  <c r="F309" i="19"/>
  <c r="AD138" i="6"/>
  <c r="BJ147" i="6"/>
  <c r="AD137" i="6"/>
  <c r="AE137" i="6" s="1"/>
  <c r="D302" i="19"/>
  <c r="E303" i="19" s="1"/>
  <c r="F304" i="19" s="1"/>
  <c r="G305" i="19" s="1"/>
  <c r="H306" i="19" s="1"/>
  <c r="I307" i="19" s="1"/>
  <c r="J308" i="19" s="1"/>
  <c r="K309" i="19" s="1"/>
  <c r="P300" i="19"/>
  <c r="Q301" i="19" s="1"/>
  <c r="R302" i="19" s="1"/>
  <c r="S303" i="19" s="1"/>
  <c r="T304" i="19" s="1"/>
  <c r="U305" i="19" s="1"/>
  <c r="V306" i="19" s="1"/>
  <c r="W307" i="19" s="1"/>
  <c r="X308" i="19" s="1"/>
  <c r="Y309" i="19" s="1"/>
  <c r="K300" i="19"/>
  <c r="L301" i="19" s="1"/>
  <c r="M302" i="19" s="1"/>
  <c r="N303" i="19" s="1"/>
  <c r="O304" i="19" s="1"/>
  <c r="P305" i="19" s="1"/>
  <c r="Q306" i="19" s="1"/>
  <c r="E300" i="19"/>
  <c r="F301" i="19" s="1"/>
  <c r="G302" i="19" s="1"/>
  <c r="H303" i="19" s="1"/>
  <c r="I304" i="19" s="1"/>
  <c r="J305" i="19" s="1"/>
  <c r="K306" i="19" s="1"/>
  <c r="L307" i="19" s="1"/>
  <c r="M308" i="19" s="1"/>
  <c r="N309" i="19" s="1"/>
  <c r="C253" i="19"/>
  <c r="E106" i="1" s="1"/>
  <c r="AE300" i="19"/>
  <c r="AD300" i="19"/>
  <c r="AE301" i="19" s="1"/>
  <c r="S300" i="19"/>
  <c r="T301" i="19" s="1"/>
  <c r="U302" i="19" s="1"/>
  <c r="V303" i="19" s="1"/>
  <c r="W304" i="19" s="1"/>
  <c r="X305" i="19" s="1"/>
  <c r="Y306" i="19" s="1"/>
  <c r="Z307" i="19" s="1"/>
  <c r="AA308" i="19" s="1"/>
  <c r="AB309" i="19" s="1"/>
  <c r="Q300" i="19"/>
  <c r="R301" i="19" s="1"/>
  <c r="S302" i="19" s="1"/>
  <c r="T303" i="19" s="1"/>
  <c r="U304" i="19" s="1"/>
  <c r="V305" i="19" s="1"/>
  <c r="W306" i="19" s="1"/>
  <c r="X307" i="19" s="1"/>
  <c r="Y308" i="19" s="1"/>
  <c r="Z309" i="19" s="1"/>
  <c r="M300" i="19"/>
  <c r="N301" i="19" s="1"/>
  <c r="O302" i="19" s="1"/>
  <c r="P303" i="19" s="1"/>
  <c r="Q304" i="19" s="1"/>
  <c r="R305" i="19" s="1"/>
  <c r="S306" i="19" s="1"/>
  <c r="J300" i="19"/>
  <c r="K301" i="19" s="1"/>
  <c r="L302" i="19" s="1"/>
  <c r="M303" i="19" s="1"/>
  <c r="N304" i="19" s="1"/>
  <c r="O305" i="19" s="1"/>
  <c r="P306" i="19" s="1"/>
  <c r="Q307" i="19" s="1"/>
  <c r="R308" i="19" s="1"/>
  <c r="S309" i="19" s="1"/>
  <c r="G300" i="19"/>
  <c r="H301" i="19" s="1"/>
  <c r="I302" i="19" s="1"/>
  <c r="J303" i="19" s="1"/>
  <c r="K304" i="19" s="1"/>
  <c r="L305" i="19" s="1"/>
  <c r="M306" i="19" s="1"/>
  <c r="N307" i="19" s="1"/>
  <c r="O308" i="19" s="1"/>
  <c r="P309" i="19" s="1"/>
  <c r="D300" i="19"/>
  <c r="E301" i="19" s="1"/>
  <c r="F302" i="19" s="1"/>
  <c r="G303" i="19" s="1"/>
  <c r="H304" i="19" s="1"/>
  <c r="I305" i="19" s="1"/>
  <c r="J306" i="19" s="1"/>
  <c r="K307" i="19" s="1"/>
  <c r="L308" i="19" s="1"/>
  <c r="M309" i="19" s="1"/>
  <c r="V300" i="19"/>
  <c r="W301" i="19" s="1"/>
  <c r="X302" i="19" s="1"/>
  <c r="Y303" i="19" s="1"/>
  <c r="Z304" i="19" s="1"/>
  <c r="AA305" i="19" s="1"/>
  <c r="AB306" i="19" s="1"/>
  <c r="AC307" i="19" s="1"/>
  <c r="AD308" i="19" s="1"/>
  <c r="AE309" i="19" s="1"/>
  <c r="AC300" i="19"/>
  <c r="AD301" i="19" s="1"/>
  <c r="AE302" i="19" s="1"/>
  <c r="AB300" i="19"/>
  <c r="AC301" i="19" s="1"/>
  <c r="AD302" i="19" s="1"/>
  <c r="AE303" i="19" s="1"/>
  <c r="U300" i="19"/>
  <c r="V301" i="19" s="1"/>
  <c r="W302" i="19" s="1"/>
  <c r="X303" i="19" s="1"/>
  <c r="Y304" i="19" s="1"/>
  <c r="Z305" i="19" s="1"/>
  <c r="AA306" i="19" s="1"/>
  <c r="AB307" i="19" s="1"/>
  <c r="AC308" i="19" s="1"/>
  <c r="AD309" i="19" s="1"/>
  <c r="C66" i="49"/>
  <c r="D67" i="49" s="1"/>
  <c r="E68" i="49" s="1"/>
  <c r="F69" i="49" s="1"/>
  <c r="G70" i="49" s="1"/>
  <c r="H71" i="49" s="1"/>
  <c r="I72" i="49" s="1"/>
  <c r="J73" i="49" s="1"/>
  <c r="K74" i="49" s="1"/>
  <c r="L75" i="49" s="1"/>
  <c r="M76" i="49" s="1"/>
  <c r="N77" i="49" s="1"/>
  <c r="O78" i="49" s="1"/>
  <c r="P79" i="49" s="1"/>
  <c r="Q80" i="49" s="1"/>
  <c r="N300" i="19"/>
  <c r="O301" i="19" s="1"/>
  <c r="P302" i="19" s="1"/>
  <c r="Q303" i="19" s="1"/>
  <c r="R304" i="19" s="1"/>
  <c r="S305" i="19" s="1"/>
  <c r="T306" i="19" s="1"/>
  <c r="U307" i="19" s="1"/>
  <c r="V308" i="19" s="1"/>
  <c r="W309" i="19" s="1"/>
  <c r="H300" i="19"/>
  <c r="I301" i="19" s="1"/>
  <c r="J302" i="19" s="1"/>
  <c r="K303" i="19" s="1"/>
  <c r="L304" i="19" s="1"/>
  <c r="M305" i="19" s="1"/>
  <c r="N306" i="19" s="1"/>
  <c r="O307" i="19" s="1"/>
  <c r="P308" i="19" s="1"/>
  <c r="Q309" i="19" s="1"/>
  <c r="AA300" i="19"/>
  <c r="AB301" i="19" s="1"/>
  <c r="AC302" i="19" s="1"/>
  <c r="AD303" i="19" s="1"/>
  <c r="AE304" i="19" s="1"/>
  <c r="Y300" i="19"/>
  <c r="Z301" i="19" s="1"/>
  <c r="AA302" i="19" s="1"/>
  <c r="AB303" i="19" s="1"/>
  <c r="AC304" i="19" s="1"/>
  <c r="AD305" i="19" s="1"/>
  <c r="AE306" i="19" s="1"/>
  <c r="O300" i="19"/>
  <c r="P301" i="19" s="1"/>
  <c r="Q302" i="19" s="1"/>
  <c r="R303" i="19" s="1"/>
  <c r="S304" i="19" s="1"/>
  <c r="T305" i="19" s="1"/>
  <c r="U306" i="19" s="1"/>
  <c r="V307" i="19" s="1"/>
  <c r="W308" i="19" s="1"/>
  <c r="X309" i="19" s="1"/>
  <c r="L300" i="19"/>
  <c r="M301" i="19" s="1"/>
  <c r="N302" i="19" s="1"/>
  <c r="O303" i="19" s="1"/>
  <c r="P304" i="19" s="1"/>
  <c r="Q305" i="19" s="1"/>
  <c r="R306" i="19" s="1"/>
  <c r="S307" i="19" s="1"/>
  <c r="T308" i="19" s="1"/>
  <c r="U309" i="19" s="1"/>
  <c r="I300" i="19"/>
  <c r="J301" i="19" s="1"/>
  <c r="K302" i="19" s="1"/>
  <c r="L303" i="19" s="1"/>
  <c r="M304" i="19" s="1"/>
  <c r="N305" i="19" s="1"/>
  <c r="O306" i="19" s="1"/>
  <c r="P307" i="19" s="1"/>
  <c r="Q308" i="19" s="1"/>
  <c r="R309" i="19" s="1"/>
  <c r="F300" i="19"/>
  <c r="G301" i="19" s="1"/>
  <c r="H302" i="19" s="1"/>
  <c r="I303" i="19" s="1"/>
  <c r="J304" i="19" s="1"/>
  <c r="K305" i="19" s="1"/>
  <c r="L306" i="19" s="1"/>
  <c r="M307" i="19" s="1"/>
  <c r="N308" i="19" s="1"/>
  <c r="O309" i="19" s="1"/>
  <c r="D301" i="19"/>
  <c r="E302" i="19" s="1"/>
  <c r="F303" i="19" s="1"/>
  <c r="G304" i="19" s="1"/>
  <c r="H305" i="19" s="1"/>
  <c r="I306" i="19" s="1"/>
  <c r="J307" i="19" s="1"/>
  <c r="K308" i="19" s="1"/>
  <c r="L309" i="19" s="1"/>
  <c r="D308" i="19"/>
  <c r="E309" i="19" s="1"/>
  <c r="D281" i="19"/>
  <c r="T307" i="19"/>
  <c r="U308" i="19" s="1"/>
  <c r="V309" i="19" s="1"/>
  <c r="R307" i="19"/>
  <c r="S308" i="19" s="1"/>
  <c r="T309" i="19" s="1"/>
  <c r="F27" i="1"/>
  <c r="F25" i="19" s="1"/>
  <c r="C27" i="1"/>
  <c r="C25" i="19" s="1"/>
  <c r="AB302" i="19"/>
  <c r="AC303" i="19" s="1"/>
  <c r="AD304" i="19" s="1"/>
  <c r="AE305" i="19" s="1"/>
  <c r="V302" i="19"/>
  <c r="W303" i="19" s="1"/>
  <c r="X304" i="19" s="1"/>
  <c r="Y305" i="19" s="1"/>
  <c r="Z306" i="19" s="1"/>
  <c r="AA307" i="19" s="1"/>
  <c r="AB308" i="19" s="1"/>
  <c r="AC309" i="19" s="1"/>
  <c r="Y302" i="19"/>
  <c r="Z303" i="19" s="1"/>
  <c r="AA304" i="19" s="1"/>
  <c r="AB305" i="19" s="1"/>
  <c r="AC306" i="19" s="1"/>
  <c r="AD307" i="19" s="1"/>
  <c r="AE308" i="19" s="1"/>
  <c r="Z302" i="19"/>
  <c r="AA303" i="19" s="1"/>
  <c r="AB304" i="19" s="1"/>
  <c r="AC305" i="19" s="1"/>
  <c r="AD306" i="19" s="1"/>
  <c r="AE307" i="19" s="1"/>
  <c r="C195" i="19"/>
  <c r="E104" i="1" s="1"/>
  <c r="C224" i="19"/>
  <c r="E105" i="1" s="1"/>
  <c r="C140" i="19"/>
  <c r="C401" i="19"/>
  <c r="C427" i="19" s="1"/>
  <c r="E114" i="1" s="1"/>
  <c r="C79" i="19"/>
  <c r="E99" i="1" s="1"/>
  <c r="C282" i="19"/>
  <c r="E107" i="1" s="1"/>
  <c r="I27" i="1"/>
  <c r="I25" i="19" s="1"/>
  <c r="AE287" i="19"/>
  <c r="C302" i="19"/>
  <c r="D303" i="19" s="1"/>
  <c r="E304" i="19" s="1"/>
  <c r="F305" i="19" s="1"/>
  <c r="G306" i="19" s="1"/>
  <c r="H307" i="19" s="1"/>
  <c r="I308" i="19" s="1"/>
  <c r="J309" i="19" s="1"/>
  <c r="K310" i="19" s="1"/>
  <c r="L27" i="1"/>
  <c r="L25" i="19" s="1"/>
  <c r="C137" i="19"/>
  <c r="E305" i="19"/>
  <c r="F306" i="19" s="1"/>
  <c r="G307" i="19" s="1"/>
  <c r="H308" i="19" s="1"/>
  <c r="I309" i="19" s="1"/>
  <c r="E27" i="1"/>
  <c r="E25" i="19" s="1"/>
  <c r="D27" i="1"/>
  <c r="D25" i="19" s="1"/>
  <c r="AD287" i="19"/>
  <c r="AE288" i="19" s="1"/>
  <c r="E307" i="19"/>
  <c r="F308" i="19" s="1"/>
  <c r="G309" i="19" s="1"/>
  <c r="E306" i="19"/>
  <c r="F307" i="19" s="1"/>
  <c r="G308" i="19" s="1"/>
  <c r="H309" i="19" s="1"/>
  <c r="C108" i="19"/>
  <c r="CP103" i="6"/>
  <c r="DV147" i="6"/>
  <c r="CP104" i="6"/>
  <c r="DV103" i="6"/>
  <c r="DV32" i="6"/>
  <c r="CP139" i="6"/>
  <c r="CP100" i="6"/>
  <c r="AD146" i="6"/>
  <c r="AE99" i="6"/>
  <c r="AE100" i="6" s="1"/>
  <c r="AE101" i="6" s="1"/>
  <c r="AE102" i="6" s="1"/>
  <c r="AE103" i="6" s="1"/>
  <c r="AE104" i="6" s="1"/>
  <c r="AE105" i="6" s="1"/>
  <c r="AE106" i="6" s="1"/>
  <c r="AE107" i="6" s="1"/>
  <c r="AE108" i="6" s="1"/>
  <c r="AE109" i="6" s="1"/>
  <c r="AE110" i="6" s="1"/>
  <c r="AE111" i="6" s="1"/>
  <c r="AE112" i="6" s="1"/>
  <c r="AE113" i="6" s="1"/>
  <c r="DV33" i="6"/>
  <c r="CP101" i="6"/>
  <c r="AD148" i="6"/>
  <c r="DV139" i="6"/>
  <c r="CP137" i="6"/>
  <c r="CQ137" i="6" s="1"/>
  <c r="BJ148" i="6"/>
  <c r="DV146" i="6"/>
  <c r="DV101" i="6"/>
  <c r="AD147" i="6"/>
  <c r="DV36" i="6"/>
  <c r="BJ25" i="6"/>
  <c r="AD26" i="6"/>
  <c r="DW99" i="6"/>
  <c r="AD140" i="6"/>
  <c r="DV28" i="6"/>
  <c r="AD144" i="6"/>
  <c r="BJ27" i="6"/>
  <c r="CP99" i="6"/>
  <c r="CQ99" i="6" s="1"/>
  <c r="AD30" i="6"/>
  <c r="DV26" i="6"/>
  <c r="DV102" i="6"/>
  <c r="BJ144" i="6"/>
  <c r="BJ146" i="6"/>
  <c r="AD36" i="6"/>
  <c r="AD28" i="6"/>
  <c r="AD27" i="6"/>
  <c r="DV144" i="6"/>
  <c r="AD23" i="6"/>
  <c r="AE23" i="6" s="1"/>
  <c r="BJ26" i="6"/>
  <c r="AD32" i="6"/>
  <c r="DV67" i="6"/>
  <c r="DV35" i="6"/>
  <c r="AD24" i="6"/>
  <c r="AD145" i="6"/>
  <c r="AD141" i="6"/>
  <c r="CP62" i="6"/>
  <c r="CP26" i="6"/>
  <c r="AD143" i="6"/>
  <c r="DV64" i="6"/>
  <c r="CP138" i="6"/>
  <c r="AD35" i="6"/>
  <c r="AD34" i="6"/>
  <c r="BJ32" i="6"/>
  <c r="DV75" i="6"/>
  <c r="CP37" i="6"/>
  <c r="DV145" i="6"/>
  <c r="DV143" i="6"/>
  <c r="DV37" i="6"/>
  <c r="DV34" i="6"/>
  <c r="AD33" i="6"/>
  <c r="BJ62" i="6"/>
  <c r="DV66" i="6"/>
  <c r="DV73" i="6"/>
  <c r="AD70" i="6"/>
  <c r="DV71" i="6"/>
  <c r="DV31" i="6"/>
  <c r="DV137" i="6"/>
  <c r="DW137" i="6" s="1"/>
  <c r="BJ143" i="6"/>
  <c r="DV62" i="6"/>
  <c r="BJ137" i="6"/>
  <c r="BK137" i="6" s="1"/>
  <c r="BJ23" i="6"/>
  <c r="BK23" i="6" s="1"/>
  <c r="AD31" i="6"/>
  <c r="BJ101" i="6"/>
  <c r="DV100" i="6"/>
  <c r="DV25" i="6"/>
  <c r="DV29" i="6"/>
  <c r="DV27" i="6"/>
  <c r="AD29" i="6"/>
  <c r="AD61" i="6"/>
  <c r="AE61" i="6" s="1"/>
  <c r="DV30" i="6"/>
  <c r="DV141" i="6"/>
  <c r="BJ140" i="6"/>
  <c r="AD65" i="6"/>
  <c r="AD73" i="6"/>
  <c r="CP25" i="6"/>
  <c r="DV65" i="6"/>
  <c r="DV61" i="6"/>
  <c r="DW61" i="6" s="1"/>
  <c r="L28" i="1" s="1"/>
  <c r="CP102" i="6"/>
  <c r="AD74" i="6"/>
  <c r="AD63" i="6"/>
  <c r="CP24" i="6"/>
  <c r="BJ31" i="6"/>
  <c r="BJ29" i="6"/>
  <c r="BJ108" i="6"/>
  <c r="BJ142" i="6"/>
  <c r="BJ103" i="6"/>
  <c r="AD25" i="6"/>
  <c r="DV63" i="6"/>
  <c r="AD62" i="6"/>
  <c r="AD66" i="6"/>
  <c r="BJ28" i="6"/>
  <c r="BJ141" i="6"/>
  <c r="CP64" i="6"/>
  <c r="BJ70" i="6"/>
  <c r="AD37" i="6"/>
  <c r="DV142" i="6"/>
  <c r="DV138" i="6"/>
  <c r="BJ145" i="6"/>
  <c r="BJ138" i="6"/>
  <c r="BJ102" i="6"/>
  <c r="DV69" i="6"/>
  <c r="AD75" i="6"/>
  <c r="CP67" i="6"/>
  <c r="CP61" i="6"/>
  <c r="CQ61" i="6" s="1"/>
  <c r="K28" i="1" s="1"/>
  <c r="BJ72" i="6"/>
  <c r="DV23" i="6"/>
  <c r="DW23" i="6" s="1"/>
  <c r="DV68" i="6"/>
  <c r="CP75" i="6"/>
  <c r="CP73" i="6"/>
  <c r="CP71" i="6"/>
  <c r="CP68" i="6"/>
  <c r="CP65" i="6"/>
  <c r="BJ74" i="6"/>
  <c r="BJ73" i="6"/>
  <c r="BJ68" i="6"/>
  <c r="BJ65" i="6"/>
  <c r="BJ61" i="6"/>
  <c r="BK61" i="6" s="1"/>
  <c r="J28" i="1" s="1"/>
  <c r="AD64" i="6"/>
  <c r="DV140" i="6"/>
  <c r="BJ99" i="6"/>
  <c r="BK99" i="6" s="1"/>
  <c r="DV74" i="6"/>
  <c r="CP70" i="6"/>
  <c r="BJ75" i="6"/>
  <c r="BJ67" i="6"/>
  <c r="BJ64" i="6"/>
  <c r="BJ100" i="6"/>
  <c r="AD72" i="6"/>
  <c r="AD68" i="6"/>
  <c r="AD67" i="6"/>
  <c r="BJ71" i="6"/>
  <c r="CP34" i="6"/>
  <c r="BJ24" i="6"/>
  <c r="BJ139" i="6"/>
  <c r="DV72" i="6"/>
  <c r="DV70" i="6"/>
  <c r="BJ34" i="6"/>
  <c r="J25" i="19"/>
  <c r="CP36" i="6"/>
  <c r="BJ30" i="6"/>
  <c r="CP30" i="6"/>
  <c r="BJ35" i="6"/>
  <c r="K25" i="19"/>
  <c r="CP29" i="6"/>
  <c r="CP74" i="6"/>
  <c r="CP69" i="6"/>
  <c r="CP66" i="6"/>
  <c r="CP63" i="6"/>
  <c r="BJ63" i="6"/>
  <c r="DV24" i="6"/>
  <c r="CP23" i="6"/>
  <c r="CQ23" i="6" s="1"/>
  <c r="E28" i="1" s="1"/>
  <c r="CP31" i="6"/>
  <c r="CP33" i="6"/>
  <c r="CP28" i="6"/>
  <c r="BJ37" i="6"/>
  <c r="BJ33" i="6"/>
  <c r="CP32" i="6"/>
  <c r="AD69" i="6"/>
  <c r="CP72" i="6"/>
  <c r="BJ69" i="6"/>
  <c r="BJ66" i="6"/>
  <c r="AD71" i="6"/>
  <c r="CP35" i="6"/>
  <c r="CP27" i="6"/>
  <c r="BJ36" i="6"/>
  <c r="C56" i="23" l="1"/>
  <c r="C58" i="49"/>
  <c r="D59" i="49" s="1"/>
  <c r="E60" i="49" s="1"/>
  <c r="F61" i="49" s="1"/>
  <c r="G62" i="49" s="1"/>
  <c r="H63" i="49" s="1"/>
  <c r="I64" i="49" s="1"/>
  <c r="J65" i="49" s="1"/>
  <c r="K66" i="49" s="1"/>
  <c r="L67" i="49" s="1"/>
  <c r="M68" i="49" s="1"/>
  <c r="N69" i="49" s="1"/>
  <c r="O70" i="49" s="1"/>
  <c r="P71" i="49" s="1"/>
  <c r="Q72" i="49" s="1"/>
  <c r="R73" i="49" s="1"/>
  <c r="S74" i="49" s="1"/>
  <c r="T75" i="49" s="1"/>
  <c r="U76" i="49" s="1"/>
  <c r="V77" i="49" s="1"/>
  <c r="W78" i="49" s="1"/>
  <c r="X79" i="49" s="1"/>
  <c r="Y80" i="49" s="1"/>
  <c r="C70" i="49"/>
  <c r="D71" i="49" s="1"/>
  <c r="E72" i="49" s="1"/>
  <c r="F73" i="49" s="1"/>
  <c r="G74" i="49" s="1"/>
  <c r="H75" i="49" s="1"/>
  <c r="I76" i="49" s="1"/>
  <c r="J77" i="49" s="1"/>
  <c r="K78" i="49" s="1"/>
  <c r="L79" i="49" s="1"/>
  <c r="M80" i="49" s="1"/>
  <c r="C55" i="49"/>
  <c r="D56" i="49" s="1"/>
  <c r="C67" i="49"/>
  <c r="D68" i="49" s="1"/>
  <c r="E69" i="49" s="1"/>
  <c r="F70" i="49" s="1"/>
  <c r="G71" i="49" s="1"/>
  <c r="H72" i="49" s="1"/>
  <c r="I73" i="49" s="1"/>
  <c r="J74" i="49" s="1"/>
  <c r="K75" i="49" s="1"/>
  <c r="L76" i="49" s="1"/>
  <c r="M77" i="49" s="1"/>
  <c r="N78" i="49" s="1"/>
  <c r="O79" i="49" s="1"/>
  <c r="P80" i="49" s="1"/>
  <c r="C61" i="49"/>
  <c r="D62" i="49" s="1"/>
  <c r="E63" i="49" s="1"/>
  <c r="F64" i="49" s="1"/>
  <c r="G65" i="49" s="1"/>
  <c r="H66" i="49" s="1"/>
  <c r="I67" i="49" s="1"/>
  <c r="J68" i="49" s="1"/>
  <c r="K69" i="49" s="1"/>
  <c r="L70" i="49" s="1"/>
  <c r="M71" i="49" s="1"/>
  <c r="N72" i="49" s="1"/>
  <c r="O73" i="49" s="1"/>
  <c r="P74" i="49" s="1"/>
  <c r="Q75" i="49" s="1"/>
  <c r="R76" i="49" s="1"/>
  <c r="S77" i="49" s="1"/>
  <c r="T78" i="49" s="1"/>
  <c r="U79" i="49" s="1"/>
  <c r="V80" i="49" s="1"/>
  <c r="C71" i="49"/>
  <c r="D72" i="49" s="1"/>
  <c r="E73" i="49" s="1"/>
  <c r="F74" i="49" s="1"/>
  <c r="G75" i="49" s="1"/>
  <c r="H76" i="49" s="1"/>
  <c r="I77" i="49" s="1"/>
  <c r="J78" i="49" s="1"/>
  <c r="K79" i="49" s="1"/>
  <c r="L80" i="49" s="1"/>
  <c r="C65" i="49"/>
  <c r="D66" i="49" s="1"/>
  <c r="E67" i="49" s="1"/>
  <c r="F68" i="49" s="1"/>
  <c r="G69" i="49" s="1"/>
  <c r="H70" i="49" s="1"/>
  <c r="I71" i="49" s="1"/>
  <c r="J72" i="49" s="1"/>
  <c r="K73" i="49" s="1"/>
  <c r="L74" i="49" s="1"/>
  <c r="M75" i="49" s="1"/>
  <c r="N76" i="49" s="1"/>
  <c r="O77" i="49" s="1"/>
  <c r="P78" i="49" s="1"/>
  <c r="Q79" i="49" s="1"/>
  <c r="R80" i="49" s="1"/>
  <c r="C59" i="49"/>
  <c r="D60" i="49" s="1"/>
  <c r="E61" i="49" s="1"/>
  <c r="F62" i="49" s="1"/>
  <c r="G63" i="49" s="1"/>
  <c r="H64" i="49" s="1"/>
  <c r="I65" i="49" s="1"/>
  <c r="J66" i="49" s="1"/>
  <c r="K67" i="49" s="1"/>
  <c r="L68" i="49" s="1"/>
  <c r="M69" i="49" s="1"/>
  <c r="N70" i="49" s="1"/>
  <c r="O71" i="49" s="1"/>
  <c r="P72" i="49" s="1"/>
  <c r="Q73" i="49" s="1"/>
  <c r="R74" i="49" s="1"/>
  <c r="S75" i="49" s="1"/>
  <c r="T76" i="49" s="1"/>
  <c r="U77" i="49" s="1"/>
  <c r="V78" i="49" s="1"/>
  <c r="W79" i="49" s="1"/>
  <c r="X80" i="49" s="1"/>
  <c r="C57" i="49"/>
  <c r="D58" i="49" s="1"/>
  <c r="E59" i="49" s="1"/>
  <c r="F60" i="49" s="1"/>
  <c r="G61" i="49" s="1"/>
  <c r="H62" i="49" s="1"/>
  <c r="I63" i="49" s="1"/>
  <c r="J64" i="49" s="1"/>
  <c r="K65" i="49" s="1"/>
  <c r="L66" i="49" s="1"/>
  <c r="M67" i="49" s="1"/>
  <c r="N68" i="49" s="1"/>
  <c r="O69" i="49" s="1"/>
  <c r="P70" i="49" s="1"/>
  <c r="Q71" i="49" s="1"/>
  <c r="R72" i="49" s="1"/>
  <c r="S73" i="49" s="1"/>
  <c r="T74" i="49" s="1"/>
  <c r="U75" i="49" s="1"/>
  <c r="V76" i="49" s="1"/>
  <c r="W77" i="49" s="1"/>
  <c r="X78" i="49" s="1"/>
  <c r="Y79" i="49" s="1"/>
  <c r="Z80" i="49" s="1"/>
  <c r="C63" i="49"/>
  <c r="D64" i="49" s="1"/>
  <c r="E65" i="49" s="1"/>
  <c r="F66" i="49" s="1"/>
  <c r="G67" i="49" s="1"/>
  <c r="H68" i="49" s="1"/>
  <c r="I69" i="49" s="1"/>
  <c r="J70" i="49" s="1"/>
  <c r="K71" i="49" s="1"/>
  <c r="L72" i="49" s="1"/>
  <c r="M73" i="49" s="1"/>
  <c r="N74" i="49" s="1"/>
  <c r="O75" i="49" s="1"/>
  <c r="P76" i="49" s="1"/>
  <c r="Q77" i="49" s="1"/>
  <c r="R78" i="49" s="1"/>
  <c r="S79" i="49" s="1"/>
  <c r="T80" i="49" s="1"/>
  <c r="C64" i="49"/>
  <c r="D65" i="49" s="1"/>
  <c r="E66" i="49" s="1"/>
  <c r="F67" i="49" s="1"/>
  <c r="G68" i="49" s="1"/>
  <c r="H69" i="49" s="1"/>
  <c r="I70" i="49" s="1"/>
  <c r="J71" i="49" s="1"/>
  <c r="K72" i="49" s="1"/>
  <c r="L73" i="49" s="1"/>
  <c r="M74" i="49" s="1"/>
  <c r="N75" i="49" s="1"/>
  <c r="O76" i="49" s="1"/>
  <c r="P77" i="49" s="1"/>
  <c r="Q78" i="49" s="1"/>
  <c r="R79" i="49" s="1"/>
  <c r="S80" i="49" s="1"/>
  <c r="C68" i="49"/>
  <c r="D69" i="49" s="1"/>
  <c r="E70" i="49" s="1"/>
  <c r="F71" i="49" s="1"/>
  <c r="G72" i="49" s="1"/>
  <c r="H73" i="49" s="1"/>
  <c r="I74" i="49" s="1"/>
  <c r="J75" i="49" s="1"/>
  <c r="K76" i="49" s="1"/>
  <c r="L77" i="49" s="1"/>
  <c r="M78" i="49" s="1"/>
  <c r="N79" i="49" s="1"/>
  <c r="O80" i="49" s="1"/>
  <c r="C56" i="49"/>
  <c r="D57" i="49" s="1"/>
  <c r="E58" i="49" s="1"/>
  <c r="F59" i="49" s="1"/>
  <c r="G60" i="49" s="1"/>
  <c r="H61" i="49" s="1"/>
  <c r="I62" i="49" s="1"/>
  <c r="J63" i="49" s="1"/>
  <c r="K64" i="49" s="1"/>
  <c r="L65" i="49" s="1"/>
  <c r="M66" i="49" s="1"/>
  <c r="N67" i="49" s="1"/>
  <c r="O68" i="49" s="1"/>
  <c r="P69" i="49" s="1"/>
  <c r="Q70" i="49" s="1"/>
  <c r="R71" i="49" s="1"/>
  <c r="S72" i="49" s="1"/>
  <c r="T73" i="49" s="1"/>
  <c r="U74" i="49" s="1"/>
  <c r="V75" i="49" s="1"/>
  <c r="W76" i="49" s="1"/>
  <c r="X77" i="49" s="1"/>
  <c r="Y78" i="49" s="1"/>
  <c r="Z79" i="49" s="1"/>
  <c r="AA80" i="49" s="1"/>
  <c r="C69" i="49"/>
  <c r="D70" i="49" s="1"/>
  <c r="E71" i="49" s="1"/>
  <c r="F72" i="49" s="1"/>
  <c r="G73" i="49" s="1"/>
  <c r="H74" i="49" s="1"/>
  <c r="I75" i="49" s="1"/>
  <c r="J76" i="49" s="1"/>
  <c r="K77" i="49" s="1"/>
  <c r="L78" i="49" s="1"/>
  <c r="M79" i="49" s="1"/>
  <c r="N80" i="49" s="1"/>
  <c r="C60" i="49"/>
  <c r="D61" i="49" s="1"/>
  <c r="E62" i="49" s="1"/>
  <c r="F63" i="49" s="1"/>
  <c r="G64" i="49" s="1"/>
  <c r="H65" i="49" s="1"/>
  <c r="I66" i="49" s="1"/>
  <c r="J67" i="49" s="1"/>
  <c r="K68" i="49" s="1"/>
  <c r="L69" i="49" s="1"/>
  <c r="M70" i="49" s="1"/>
  <c r="N71" i="49" s="1"/>
  <c r="O72" i="49" s="1"/>
  <c r="P73" i="49" s="1"/>
  <c r="Q74" i="49" s="1"/>
  <c r="R75" i="49" s="1"/>
  <c r="S76" i="49" s="1"/>
  <c r="T77" i="49" s="1"/>
  <c r="U78" i="49" s="1"/>
  <c r="V79" i="49" s="1"/>
  <c r="W80" i="49" s="1"/>
  <c r="C62" i="49"/>
  <c r="D63" i="49" s="1"/>
  <c r="E64" i="49" s="1"/>
  <c r="F65" i="49" s="1"/>
  <c r="G66" i="49" s="1"/>
  <c r="H67" i="49" s="1"/>
  <c r="I68" i="49" s="1"/>
  <c r="J69" i="49" s="1"/>
  <c r="K70" i="49" s="1"/>
  <c r="L71" i="49" s="1"/>
  <c r="M72" i="49" s="1"/>
  <c r="N73" i="49" s="1"/>
  <c r="O74" i="49" s="1"/>
  <c r="P75" i="49" s="1"/>
  <c r="Q76" i="49" s="1"/>
  <c r="R77" i="49" s="1"/>
  <c r="S78" i="49" s="1"/>
  <c r="T79" i="49" s="1"/>
  <c r="U80" i="49" s="1"/>
  <c r="C436" i="23"/>
  <c r="D437" i="23" s="1"/>
  <c r="E438" i="23" s="1"/>
  <c r="F439" i="23" s="1"/>
  <c r="G440" i="23" s="1"/>
  <c r="H441" i="23" s="1"/>
  <c r="I442" i="23" s="1"/>
  <c r="J443" i="23" s="1"/>
  <c r="K444" i="23" s="1"/>
  <c r="L445" i="23" s="1"/>
  <c r="M446" i="23" s="1"/>
  <c r="N447" i="23" s="1"/>
  <c r="O448" i="23" s="1"/>
  <c r="P449" i="23" s="1"/>
  <c r="Q450" i="23" s="1"/>
  <c r="R451" i="23" s="1"/>
  <c r="S452" i="23" s="1"/>
  <c r="T453" i="23" s="1"/>
  <c r="U454" i="23" s="1"/>
  <c r="V455" i="23" s="1"/>
  <c r="W456" i="23" s="1"/>
  <c r="X457" i="23" s="1"/>
  <c r="Y458" i="23" s="1"/>
  <c r="Z459" i="23" s="1"/>
  <c r="AA460" i="23" s="1"/>
  <c r="AB461" i="23" s="1"/>
  <c r="AH39" i="23"/>
  <c r="AH41" i="23"/>
  <c r="AH40" i="23"/>
  <c r="C85" i="23"/>
  <c r="E126" i="1" s="1"/>
  <c r="E100" i="1"/>
  <c r="E101" i="1"/>
  <c r="C172" i="23"/>
  <c r="E130" i="1" s="1"/>
  <c r="C285" i="20"/>
  <c r="D53" i="20"/>
  <c r="C32" i="21"/>
  <c r="AI32" i="21" s="1"/>
  <c r="C141" i="20"/>
  <c r="C257" i="20"/>
  <c r="D25" i="20"/>
  <c r="C4" i="21"/>
  <c r="AI4" i="21" s="1"/>
  <c r="D198" i="20"/>
  <c r="C177" i="21"/>
  <c r="AI177" i="21" s="1"/>
  <c r="C27" i="49"/>
  <c r="D28" i="49" s="1"/>
  <c r="E29" i="49" s="1"/>
  <c r="F30" i="49" s="1"/>
  <c r="G31" i="49" s="1"/>
  <c r="H32" i="49" s="1"/>
  <c r="I33" i="49" s="1"/>
  <c r="J34" i="49" s="1"/>
  <c r="K35" i="49" s="1"/>
  <c r="L36" i="49" s="1"/>
  <c r="M37" i="49" s="1"/>
  <c r="N38" i="49" s="1"/>
  <c r="O39" i="49" s="1"/>
  <c r="P40" i="49" s="1"/>
  <c r="Q41" i="49" s="1"/>
  <c r="R42" i="49" s="1"/>
  <c r="S43" i="49" s="1"/>
  <c r="T44" i="49" s="1"/>
  <c r="U45" i="49" s="1"/>
  <c r="V46" i="49" s="1"/>
  <c r="W47" i="49" s="1"/>
  <c r="X48" i="49" s="1"/>
  <c r="Y49" i="49" s="1"/>
  <c r="Z50" i="49" s="1"/>
  <c r="AA51" i="49" s="1"/>
  <c r="C230" i="23"/>
  <c r="E132" i="1" s="1"/>
  <c r="C54" i="20"/>
  <c r="D169" i="20"/>
  <c r="C148" i="21"/>
  <c r="AI148" i="21" s="1"/>
  <c r="C26" i="20"/>
  <c r="C199" i="20"/>
  <c r="C170" i="20"/>
  <c r="D227" i="20"/>
  <c r="C206" i="21"/>
  <c r="AI206" i="21" s="1"/>
  <c r="C314" i="20"/>
  <c r="D82" i="20"/>
  <c r="C61" i="21"/>
  <c r="AI61" i="21" s="1"/>
  <c r="D140" i="20"/>
  <c r="C119" i="21"/>
  <c r="AI119" i="21" s="1"/>
  <c r="C228" i="20"/>
  <c r="C83" i="20"/>
  <c r="C201" i="23"/>
  <c r="E131" i="1" s="1"/>
  <c r="C415" i="23"/>
  <c r="C114" i="23"/>
  <c r="E127" i="1" s="1"/>
  <c r="AE138" i="6"/>
  <c r="AE139" i="6" s="1"/>
  <c r="AE140" i="6" s="1"/>
  <c r="AE141" i="6" s="1"/>
  <c r="AE142" i="6" s="1"/>
  <c r="AE143" i="6" s="1"/>
  <c r="AE144" i="6" s="1"/>
  <c r="AE145" i="6" s="1"/>
  <c r="AE146" i="6" s="1"/>
  <c r="AE147" i="6" s="1"/>
  <c r="AE148" i="6" s="1"/>
  <c r="AE149" i="6" s="1"/>
  <c r="AE150" i="6" s="1"/>
  <c r="AE151" i="6" s="1"/>
  <c r="C445" i="23"/>
  <c r="C474" i="23"/>
  <c r="G310" i="19"/>
  <c r="C166" i="19"/>
  <c r="C143" i="23" s="1"/>
  <c r="E128" i="1" s="1"/>
  <c r="C259" i="23"/>
  <c r="E133" i="1" s="1"/>
  <c r="B20" i="1"/>
  <c r="C404" i="23"/>
  <c r="B8" i="1"/>
  <c r="S310" i="19"/>
  <c r="AA310" i="19"/>
  <c r="CQ100" i="6"/>
  <c r="CQ101" i="6" s="1"/>
  <c r="CQ102" i="6" s="1"/>
  <c r="CQ103" i="6" s="1"/>
  <c r="CQ104" i="6" s="1"/>
  <c r="CQ105" i="6" s="1"/>
  <c r="CQ106" i="6" s="1"/>
  <c r="CQ107" i="6" s="1"/>
  <c r="CQ108" i="6" s="1"/>
  <c r="CQ109" i="6" s="1"/>
  <c r="CQ110" i="6" s="1"/>
  <c r="CQ111" i="6" s="1"/>
  <c r="CQ112" i="6" s="1"/>
  <c r="CQ113" i="6" s="1"/>
  <c r="H310" i="19"/>
  <c r="AD310" i="19"/>
  <c r="AD311" i="19" s="1"/>
  <c r="M310" i="19"/>
  <c r="Y310" i="19"/>
  <c r="X310" i="19"/>
  <c r="T310" i="19"/>
  <c r="Z310" i="19"/>
  <c r="C311" i="19"/>
  <c r="E109" i="1" s="1"/>
  <c r="Q310" i="19"/>
  <c r="V310" i="19"/>
  <c r="J310" i="19"/>
  <c r="W310" i="19"/>
  <c r="R310" i="19"/>
  <c r="P310" i="19"/>
  <c r="I310" i="19"/>
  <c r="L310" i="19"/>
  <c r="AC310" i="19"/>
  <c r="AC311" i="19" s="1"/>
  <c r="AE310" i="19"/>
  <c r="AE311" i="19" s="1"/>
  <c r="O310" i="19"/>
  <c r="N310" i="19"/>
  <c r="F28" i="1"/>
  <c r="F26" i="19" s="1"/>
  <c r="E310" i="19"/>
  <c r="D310" i="19"/>
  <c r="C28" i="1"/>
  <c r="C26" i="19" s="1"/>
  <c r="I28" i="1"/>
  <c r="I26" i="19" s="1"/>
  <c r="D28" i="1"/>
  <c r="D26" i="19" s="1"/>
  <c r="U310" i="19"/>
  <c r="F310" i="19"/>
  <c r="DW100" i="6"/>
  <c r="DW101" i="6" s="1"/>
  <c r="DW102" i="6" s="1"/>
  <c r="DW103" i="6" s="1"/>
  <c r="DW104" i="6" s="1"/>
  <c r="DW105" i="6" s="1"/>
  <c r="DW106" i="6" s="1"/>
  <c r="DW107" i="6" s="1"/>
  <c r="DW108" i="6" s="1"/>
  <c r="DW109" i="6" s="1"/>
  <c r="DW110" i="6" s="1"/>
  <c r="DW111" i="6" s="1"/>
  <c r="DW112" i="6" s="1"/>
  <c r="DW113" i="6" s="1"/>
  <c r="AE24" i="6"/>
  <c r="CQ138" i="6"/>
  <c r="CQ139" i="6" s="1"/>
  <c r="CQ140" i="6" s="1"/>
  <c r="CQ141" i="6" s="1"/>
  <c r="CQ142" i="6" s="1"/>
  <c r="CQ143" i="6" s="1"/>
  <c r="CQ144" i="6" s="1"/>
  <c r="CQ145" i="6" s="1"/>
  <c r="CQ146" i="6" s="1"/>
  <c r="CQ147" i="6" s="1"/>
  <c r="CQ148" i="6" s="1"/>
  <c r="CQ149" i="6" s="1"/>
  <c r="CQ150" i="6" s="1"/>
  <c r="CQ151" i="6" s="1"/>
  <c r="DW62" i="6"/>
  <c r="AE62" i="6"/>
  <c r="L26" i="19"/>
  <c r="BK24" i="6"/>
  <c r="DW138" i="6"/>
  <c r="DW139" i="6" s="1"/>
  <c r="DW140" i="6" s="1"/>
  <c r="DW141" i="6" s="1"/>
  <c r="DW142" i="6" s="1"/>
  <c r="DW143" i="6" s="1"/>
  <c r="DW144" i="6" s="1"/>
  <c r="DW145" i="6" s="1"/>
  <c r="DW146" i="6" s="1"/>
  <c r="DW147" i="6" s="1"/>
  <c r="DW148" i="6" s="1"/>
  <c r="DW149" i="6" s="1"/>
  <c r="DW150" i="6" s="1"/>
  <c r="DW151" i="6" s="1"/>
  <c r="BK138" i="6"/>
  <c r="BK139" i="6" s="1"/>
  <c r="BK140" i="6" s="1"/>
  <c r="BK141" i="6" s="1"/>
  <c r="BK142" i="6" s="1"/>
  <c r="BK143" i="6" s="1"/>
  <c r="BK144" i="6" s="1"/>
  <c r="BK145" i="6" s="1"/>
  <c r="BK146" i="6" s="1"/>
  <c r="BK147" i="6" s="1"/>
  <c r="BK148" i="6" s="1"/>
  <c r="BK149" i="6" s="1"/>
  <c r="BK150" i="6" s="1"/>
  <c r="BK151" i="6" s="1"/>
  <c r="DW24" i="6"/>
  <c r="BK100" i="6"/>
  <c r="BK101" i="6" s="1"/>
  <c r="BK102" i="6" s="1"/>
  <c r="BK103" i="6" s="1"/>
  <c r="BK104" i="6" s="1"/>
  <c r="BK105" i="6" s="1"/>
  <c r="BK106" i="6" s="1"/>
  <c r="BK107" i="6" s="1"/>
  <c r="BK108" i="6" s="1"/>
  <c r="BK109" i="6" s="1"/>
  <c r="BK110" i="6" s="1"/>
  <c r="BK111" i="6" s="1"/>
  <c r="BK112" i="6" s="1"/>
  <c r="BK113" i="6" s="1"/>
  <c r="CQ62" i="6"/>
  <c r="K29" i="1" s="1"/>
  <c r="K26" i="19"/>
  <c r="BK62" i="6"/>
  <c r="J29" i="1" s="1"/>
  <c r="J26" i="19"/>
  <c r="E26" i="19"/>
  <c r="CQ24" i="6"/>
  <c r="E29" i="1" s="1"/>
  <c r="AH30" i="23" l="1"/>
  <c r="E125" i="1"/>
  <c r="E140" i="1" s="1"/>
  <c r="B16" i="1"/>
  <c r="B2" i="1"/>
  <c r="E57" i="49"/>
  <c r="D81" i="49"/>
  <c r="C81" i="49"/>
  <c r="AA489" i="19"/>
  <c r="C48" i="49"/>
  <c r="D49" i="49" s="1"/>
  <c r="E50" i="49" s="1"/>
  <c r="F51" i="49" s="1"/>
  <c r="C44" i="49"/>
  <c r="D45" i="49" s="1"/>
  <c r="E46" i="49" s="1"/>
  <c r="F47" i="49" s="1"/>
  <c r="G48" i="49" s="1"/>
  <c r="H49" i="49" s="1"/>
  <c r="I50" i="49" s="1"/>
  <c r="J51" i="49" s="1"/>
  <c r="C45" i="49"/>
  <c r="D46" i="49" s="1"/>
  <c r="E47" i="49" s="1"/>
  <c r="F48" i="49" s="1"/>
  <c r="G49" i="49" s="1"/>
  <c r="H50" i="49" s="1"/>
  <c r="I51" i="49" s="1"/>
  <c r="C36" i="49"/>
  <c r="D37" i="49" s="1"/>
  <c r="E38" i="49" s="1"/>
  <c r="F39" i="49" s="1"/>
  <c r="G40" i="49" s="1"/>
  <c r="H41" i="49" s="1"/>
  <c r="I42" i="49" s="1"/>
  <c r="J43" i="49" s="1"/>
  <c r="K44" i="49" s="1"/>
  <c r="L45" i="49" s="1"/>
  <c r="M46" i="49" s="1"/>
  <c r="N47" i="49" s="1"/>
  <c r="O48" i="49" s="1"/>
  <c r="P49" i="49" s="1"/>
  <c r="Q50" i="49" s="1"/>
  <c r="R51" i="49" s="1"/>
  <c r="C34" i="49"/>
  <c r="D35" i="49" s="1"/>
  <c r="E36" i="49" s="1"/>
  <c r="F37" i="49" s="1"/>
  <c r="G38" i="49" s="1"/>
  <c r="H39" i="49" s="1"/>
  <c r="I40" i="49" s="1"/>
  <c r="J41" i="49" s="1"/>
  <c r="K42" i="49" s="1"/>
  <c r="L43" i="49" s="1"/>
  <c r="M44" i="49" s="1"/>
  <c r="N45" i="49" s="1"/>
  <c r="O46" i="49" s="1"/>
  <c r="P47" i="49" s="1"/>
  <c r="Q48" i="49" s="1"/>
  <c r="R49" i="49" s="1"/>
  <c r="S50" i="49" s="1"/>
  <c r="T51" i="49" s="1"/>
  <c r="C26" i="49"/>
  <c r="D27" i="49" s="1"/>
  <c r="C35" i="49"/>
  <c r="D36" i="49" s="1"/>
  <c r="E37" i="49" s="1"/>
  <c r="F38" i="49" s="1"/>
  <c r="G39" i="49" s="1"/>
  <c r="H40" i="49" s="1"/>
  <c r="I41" i="49" s="1"/>
  <c r="J42" i="49" s="1"/>
  <c r="K43" i="49" s="1"/>
  <c r="L44" i="49" s="1"/>
  <c r="M45" i="49" s="1"/>
  <c r="N46" i="49" s="1"/>
  <c r="O47" i="49" s="1"/>
  <c r="P48" i="49" s="1"/>
  <c r="Q49" i="49" s="1"/>
  <c r="R50" i="49" s="1"/>
  <c r="S51" i="49" s="1"/>
  <c r="C37" i="49"/>
  <c r="D38" i="49" s="1"/>
  <c r="E39" i="49" s="1"/>
  <c r="F40" i="49" s="1"/>
  <c r="G41" i="49" s="1"/>
  <c r="H42" i="49" s="1"/>
  <c r="I43" i="49" s="1"/>
  <c r="J44" i="49" s="1"/>
  <c r="K45" i="49" s="1"/>
  <c r="L46" i="49" s="1"/>
  <c r="M47" i="49" s="1"/>
  <c r="N48" i="49" s="1"/>
  <c r="O49" i="49" s="1"/>
  <c r="P50" i="49" s="1"/>
  <c r="Q51" i="49" s="1"/>
  <c r="C28" i="49"/>
  <c r="D29" i="49" s="1"/>
  <c r="E30" i="49" s="1"/>
  <c r="F31" i="49" s="1"/>
  <c r="G32" i="49" s="1"/>
  <c r="H33" i="49" s="1"/>
  <c r="I34" i="49" s="1"/>
  <c r="J35" i="49" s="1"/>
  <c r="K36" i="49" s="1"/>
  <c r="L37" i="49" s="1"/>
  <c r="M38" i="49" s="1"/>
  <c r="N39" i="49" s="1"/>
  <c r="O40" i="49" s="1"/>
  <c r="P41" i="49" s="1"/>
  <c r="Q42" i="49" s="1"/>
  <c r="R43" i="49" s="1"/>
  <c r="S44" i="49" s="1"/>
  <c r="T45" i="49" s="1"/>
  <c r="U46" i="49" s="1"/>
  <c r="V47" i="49" s="1"/>
  <c r="W48" i="49" s="1"/>
  <c r="X49" i="49" s="1"/>
  <c r="Y50" i="49" s="1"/>
  <c r="Z51" i="49" s="1"/>
  <c r="C38" i="49"/>
  <c r="D39" i="49" s="1"/>
  <c r="E40" i="49" s="1"/>
  <c r="F41" i="49" s="1"/>
  <c r="G42" i="49" s="1"/>
  <c r="H43" i="49" s="1"/>
  <c r="I44" i="49" s="1"/>
  <c r="J45" i="49" s="1"/>
  <c r="K46" i="49" s="1"/>
  <c r="L47" i="49" s="1"/>
  <c r="M48" i="49" s="1"/>
  <c r="N49" i="49" s="1"/>
  <c r="O50" i="49" s="1"/>
  <c r="P51" i="49" s="1"/>
  <c r="C42" i="49"/>
  <c r="D43" i="49" s="1"/>
  <c r="E44" i="49" s="1"/>
  <c r="F45" i="49" s="1"/>
  <c r="G46" i="49" s="1"/>
  <c r="H47" i="49" s="1"/>
  <c r="I48" i="49" s="1"/>
  <c r="J49" i="49" s="1"/>
  <c r="K50" i="49" s="1"/>
  <c r="L51" i="49" s="1"/>
  <c r="C39" i="49"/>
  <c r="D40" i="49" s="1"/>
  <c r="E41" i="49" s="1"/>
  <c r="F42" i="49" s="1"/>
  <c r="G43" i="49" s="1"/>
  <c r="H44" i="49" s="1"/>
  <c r="I45" i="49" s="1"/>
  <c r="J46" i="49" s="1"/>
  <c r="K47" i="49" s="1"/>
  <c r="L48" i="49" s="1"/>
  <c r="M49" i="49" s="1"/>
  <c r="N50" i="49" s="1"/>
  <c r="O51" i="49" s="1"/>
  <c r="C31" i="49"/>
  <c r="D32" i="49" s="1"/>
  <c r="E33" i="49" s="1"/>
  <c r="F34" i="49" s="1"/>
  <c r="G35" i="49" s="1"/>
  <c r="H36" i="49" s="1"/>
  <c r="I37" i="49" s="1"/>
  <c r="J38" i="49" s="1"/>
  <c r="K39" i="49" s="1"/>
  <c r="L40" i="49" s="1"/>
  <c r="M41" i="49" s="1"/>
  <c r="N42" i="49" s="1"/>
  <c r="O43" i="49" s="1"/>
  <c r="P44" i="49" s="1"/>
  <c r="Q45" i="49" s="1"/>
  <c r="R46" i="49" s="1"/>
  <c r="S47" i="49" s="1"/>
  <c r="T48" i="49" s="1"/>
  <c r="U49" i="49" s="1"/>
  <c r="V50" i="49" s="1"/>
  <c r="W51" i="49" s="1"/>
  <c r="C30" i="49"/>
  <c r="D31" i="49" s="1"/>
  <c r="E32" i="49" s="1"/>
  <c r="F33" i="49" s="1"/>
  <c r="G34" i="49" s="1"/>
  <c r="H35" i="49" s="1"/>
  <c r="I36" i="49" s="1"/>
  <c r="J37" i="49" s="1"/>
  <c r="K38" i="49" s="1"/>
  <c r="L39" i="49" s="1"/>
  <c r="M40" i="49" s="1"/>
  <c r="N41" i="49" s="1"/>
  <c r="O42" i="49" s="1"/>
  <c r="P43" i="49" s="1"/>
  <c r="Q44" i="49" s="1"/>
  <c r="R45" i="49" s="1"/>
  <c r="S46" i="49" s="1"/>
  <c r="T47" i="49" s="1"/>
  <c r="U48" i="49" s="1"/>
  <c r="V49" i="49" s="1"/>
  <c r="W50" i="49" s="1"/>
  <c r="X51" i="49" s="1"/>
  <c r="C40" i="49"/>
  <c r="D41" i="49" s="1"/>
  <c r="E42" i="49" s="1"/>
  <c r="F43" i="49" s="1"/>
  <c r="G44" i="49" s="1"/>
  <c r="H45" i="49" s="1"/>
  <c r="I46" i="49" s="1"/>
  <c r="J47" i="49" s="1"/>
  <c r="K48" i="49" s="1"/>
  <c r="L49" i="49" s="1"/>
  <c r="M50" i="49" s="1"/>
  <c r="N51" i="49" s="1"/>
  <c r="C29" i="49"/>
  <c r="D30" i="49" s="1"/>
  <c r="E31" i="49" s="1"/>
  <c r="F32" i="49" s="1"/>
  <c r="G33" i="49" s="1"/>
  <c r="H34" i="49" s="1"/>
  <c r="I35" i="49" s="1"/>
  <c r="J36" i="49" s="1"/>
  <c r="K37" i="49" s="1"/>
  <c r="L38" i="49" s="1"/>
  <c r="M39" i="49" s="1"/>
  <c r="N40" i="49" s="1"/>
  <c r="O41" i="49" s="1"/>
  <c r="P42" i="49" s="1"/>
  <c r="Q43" i="49" s="1"/>
  <c r="R44" i="49" s="1"/>
  <c r="S45" i="49" s="1"/>
  <c r="T46" i="49" s="1"/>
  <c r="U47" i="49" s="1"/>
  <c r="V48" i="49" s="1"/>
  <c r="W49" i="49" s="1"/>
  <c r="X50" i="49" s="1"/>
  <c r="Y51" i="49" s="1"/>
  <c r="C41" i="49"/>
  <c r="D42" i="49" s="1"/>
  <c r="E43" i="49" s="1"/>
  <c r="F44" i="49" s="1"/>
  <c r="G45" i="49" s="1"/>
  <c r="H46" i="49" s="1"/>
  <c r="I47" i="49" s="1"/>
  <c r="J48" i="49" s="1"/>
  <c r="K49" i="49" s="1"/>
  <c r="L50" i="49" s="1"/>
  <c r="M51" i="49" s="1"/>
  <c r="C33" i="49"/>
  <c r="D34" i="49" s="1"/>
  <c r="E35" i="49" s="1"/>
  <c r="F36" i="49" s="1"/>
  <c r="G37" i="49" s="1"/>
  <c r="H38" i="49" s="1"/>
  <c r="I39" i="49" s="1"/>
  <c r="J40" i="49" s="1"/>
  <c r="K41" i="49" s="1"/>
  <c r="L42" i="49" s="1"/>
  <c r="M43" i="49" s="1"/>
  <c r="N44" i="49" s="1"/>
  <c r="O45" i="49" s="1"/>
  <c r="P46" i="49" s="1"/>
  <c r="Q47" i="49" s="1"/>
  <c r="R48" i="49" s="1"/>
  <c r="S49" i="49" s="1"/>
  <c r="T50" i="49" s="1"/>
  <c r="U51" i="49" s="1"/>
  <c r="C32" i="49"/>
  <c r="D33" i="49" s="1"/>
  <c r="E34" i="49" s="1"/>
  <c r="F35" i="49" s="1"/>
  <c r="G36" i="49" s="1"/>
  <c r="H37" i="49" s="1"/>
  <c r="I38" i="49" s="1"/>
  <c r="J39" i="49" s="1"/>
  <c r="K40" i="49" s="1"/>
  <c r="L41" i="49" s="1"/>
  <c r="M42" i="49" s="1"/>
  <c r="N43" i="49" s="1"/>
  <c r="O44" i="49" s="1"/>
  <c r="P45" i="49" s="1"/>
  <c r="Q46" i="49" s="1"/>
  <c r="R47" i="49" s="1"/>
  <c r="S48" i="49" s="1"/>
  <c r="T49" i="49" s="1"/>
  <c r="U50" i="49" s="1"/>
  <c r="V51" i="49" s="1"/>
  <c r="C47" i="49"/>
  <c r="D48" i="49" s="1"/>
  <c r="E49" i="49" s="1"/>
  <c r="F50" i="49" s="1"/>
  <c r="G51" i="49" s="1"/>
  <c r="AE282" i="20"/>
  <c r="BJ74" i="23" s="1"/>
  <c r="BJ92" i="23" s="1"/>
  <c r="BJ110" i="23" s="1"/>
  <c r="AG109" i="1"/>
  <c r="AH42" i="23"/>
  <c r="AD282" i="20"/>
  <c r="BI74" i="23" s="1"/>
  <c r="BI92" i="23" s="1"/>
  <c r="BI110" i="23" s="1"/>
  <c r="AF109" i="1"/>
  <c r="AC282" i="20"/>
  <c r="BH74" i="23" s="1"/>
  <c r="BH92" i="23" s="1"/>
  <c r="BH110" i="23" s="1"/>
  <c r="AE109" i="1"/>
  <c r="AH36" i="23"/>
  <c r="AH37" i="23"/>
  <c r="AH35" i="23"/>
  <c r="AH34" i="23"/>
  <c r="C200" i="20"/>
  <c r="E198" i="20"/>
  <c r="D177" i="21"/>
  <c r="AJ177" i="21" s="1"/>
  <c r="D141" i="20"/>
  <c r="C120" i="21"/>
  <c r="AI120" i="21" s="1"/>
  <c r="C401" i="20"/>
  <c r="D285" i="20"/>
  <c r="C264" i="21"/>
  <c r="AI264" i="21" s="1"/>
  <c r="B14" i="1"/>
  <c r="C282" i="20"/>
  <c r="E187" i="1" s="1"/>
  <c r="L81" i="1" s="1"/>
  <c r="AH32" i="23"/>
  <c r="C84" i="20"/>
  <c r="E140" i="20"/>
  <c r="D119" i="21"/>
  <c r="AJ119" i="21" s="1"/>
  <c r="E82" i="20"/>
  <c r="D61" i="21"/>
  <c r="AJ61" i="21" s="1"/>
  <c r="D170" i="20"/>
  <c r="C149" i="21"/>
  <c r="AI149" i="21" s="1"/>
  <c r="C258" i="20"/>
  <c r="D26" i="20"/>
  <c r="C5" i="21"/>
  <c r="AI5" i="21" s="1"/>
  <c r="C286" i="20"/>
  <c r="D54" i="20"/>
  <c r="C33" i="21"/>
  <c r="AI33" i="21" s="1"/>
  <c r="E25" i="20"/>
  <c r="D4" i="21"/>
  <c r="C229" i="20"/>
  <c r="E102" i="1"/>
  <c r="D228" i="20"/>
  <c r="C207" i="21"/>
  <c r="AI207" i="21" s="1"/>
  <c r="C430" i="20"/>
  <c r="D314" i="20"/>
  <c r="C293" i="21"/>
  <c r="AI293" i="21" s="1"/>
  <c r="C171" i="20"/>
  <c r="D199" i="20"/>
  <c r="C178" i="21"/>
  <c r="AI178" i="21" s="1"/>
  <c r="C27" i="20"/>
  <c r="C55" i="20"/>
  <c r="C111" i="20"/>
  <c r="D257" i="20"/>
  <c r="C373" i="20"/>
  <c r="C236" i="21"/>
  <c r="AI236" i="21" s="1"/>
  <c r="E53" i="20"/>
  <c r="D32" i="21"/>
  <c r="AJ32" i="21" s="1"/>
  <c r="AH31" i="23"/>
  <c r="C315" i="20"/>
  <c r="D83" i="20"/>
  <c r="C62" i="21"/>
  <c r="AI62" i="21" s="1"/>
  <c r="E227" i="20"/>
  <c r="D206" i="21"/>
  <c r="AJ206" i="21" s="1"/>
  <c r="E169" i="20"/>
  <c r="D148" i="21"/>
  <c r="AJ148" i="21" s="1"/>
  <c r="C142" i="20"/>
  <c r="AH33" i="23"/>
  <c r="D416" i="23"/>
  <c r="E417" i="23" s="1"/>
  <c r="F418" i="23" s="1"/>
  <c r="G419" i="23" s="1"/>
  <c r="H420" i="23" s="1"/>
  <c r="I421" i="23" s="1"/>
  <c r="J422" i="23" s="1"/>
  <c r="K423" i="23" s="1"/>
  <c r="L424" i="23" s="1"/>
  <c r="M425" i="23" s="1"/>
  <c r="N426" i="23" s="1"/>
  <c r="O427" i="23" s="1"/>
  <c r="P428" i="23" s="1"/>
  <c r="Q429" i="23" s="1"/>
  <c r="R430" i="23" s="1"/>
  <c r="S431" i="23" s="1"/>
  <c r="T432" i="23" s="1"/>
  <c r="C416" i="23"/>
  <c r="D417" i="23" s="1"/>
  <c r="E418" i="23" s="1"/>
  <c r="F419" i="23" s="1"/>
  <c r="G420" i="23" s="1"/>
  <c r="H421" i="23" s="1"/>
  <c r="I422" i="23" s="1"/>
  <c r="J423" i="23" s="1"/>
  <c r="K424" i="23" s="1"/>
  <c r="L425" i="23" s="1"/>
  <c r="M426" i="23" s="1"/>
  <c r="N427" i="23" s="1"/>
  <c r="O428" i="23" s="1"/>
  <c r="P429" i="23" s="1"/>
  <c r="Q430" i="23" s="1"/>
  <c r="R431" i="23" s="1"/>
  <c r="S432" i="23" s="1"/>
  <c r="D446" i="23"/>
  <c r="E447" i="23" s="1"/>
  <c r="F448" i="23" s="1"/>
  <c r="G449" i="23" s="1"/>
  <c r="H450" i="23" s="1"/>
  <c r="I451" i="23" s="1"/>
  <c r="J452" i="23" s="1"/>
  <c r="K453" i="23" s="1"/>
  <c r="L454" i="23" s="1"/>
  <c r="M455" i="23" s="1"/>
  <c r="N456" i="23" s="1"/>
  <c r="O457" i="23" s="1"/>
  <c r="P458" i="23" s="1"/>
  <c r="Q459" i="23" s="1"/>
  <c r="R460" i="23" s="1"/>
  <c r="S461" i="23" s="1"/>
  <c r="C446" i="23"/>
  <c r="D447" i="23" s="1"/>
  <c r="E448" i="23" s="1"/>
  <c r="F449" i="23" s="1"/>
  <c r="G450" i="23" s="1"/>
  <c r="H451" i="23" s="1"/>
  <c r="I452" i="23" s="1"/>
  <c r="J453" i="23" s="1"/>
  <c r="K454" i="23" s="1"/>
  <c r="L455" i="23" s="1"/>
  <c r="M456" i="23" s="1"/>
  <c r="N457" i="23" s="1"/>
  <c r="O458" i="23" s="1"/>
  <c r="P459" i="23" s="1"/>
  <c r="Q460" i="23" s="1"/>
  <c r="R461" i="23" s="1"/>
  <c r="D475" i="23"/>
  <c r="E476" i="23" s="1"/>
  <c r="F477" i="23" s="1"/>
  <c r="G478" i="23" s="1"/>
  <c r="H479" i="23" s="1"/>
  <c r="I480" i="23" s="1"/>
  <c r="J481" i="23" s="1"/>
  <c r="K482" i="23" s="1"/>
  <c r="L483" i="23" s="1"/>
  <c r="M484" i="23" s="1"/>
  <c r="N485" i="23" s="1"/>
  <c r="O486" i="23" s="1"/>
  <c r="P487" i="23" s="1"/>
  <c r="Q488" i="23" s="1"/>
  <c r="R489" i="23" s="1"/>
  <c r="S490" i="23" s="1"/>
  <c r="C475" i="23"/>
  <c r="D476" i="23" s="1"/>
  <c r="E477" i="23" s="1"/>
  <c r="F478" i="23" s="1"/>
  <c r="G479" i="23" s="1"/>
  <c r="H480" i="23" s="1"/>
  <c r="I481" i="23" s="1"/>
  <c r="J482" i="23" s="1"/>
  <c r="K483" i="23" s="1"/>
  <c r="L484" i="23" s="1"/>
  <c r="M485" i="23" s="1"/>
  <c r="N486" i="23" s="1"/>
  <c r="O487" i="23" s="1"/>
  <c r="P488" i="23" s="1"/>
  <c r="Q489" i="23" s="1"/>
  <c r="R490" i="23" s="1"/>
  <c r="V141" i="19"/>
  <c r="AE141" i="19"/>
  <c r="L141" i="19"/>
  <c r="U373" i="19"/>
  <c r="AA373" i="19"/>
  <c r="E489" i="19"/>
  <c r="AD141" i="19"/>
  <c r="R141" i="19"/>
  <c r="I489" i="19"/>
  <c r="AD489" i="19"/>
  <c r="P373" i="19"/>
  <c r="Z141" i="19"/>
  <c r="P489" i="19"/>
  <c r="K373" i="19"/>
  <c r="Q489" i="19"/>
  <c r="L489" i="19"/>
  <c r="X489" i="19"/>
  <c r="I141" i="19"/>
  <c r="F373" i="19"/>
  <c r="U141" i="19"/>
  <c r="N489" i="19"/>
  <c r="AD431" i="19"/>
  <c r="I83" i="19"/>
  <c r="W315" i="19"/>
  <c r="M315" i="19"/>
  <c r="AA431" i="19"/>
  <c r="G431" i="19"/>
  <c r="Z431" i="19"/>
  <c r="L83" i="19"/>
  <c r="Y431" i="19"/>
  <c r="F431" i="19"/>
  <c r="W431" i="19"/>
  <c r="H431" i="19"/>
  <c r="T83" i="19"/>
  <c r="AC315" i="19"/>
  <c r="S431" i="19"/>
  <c r="AC431" i="19"/>
  <c r="F83" i="19"/>
  <c r="AB431" i="19"/>
  <c r="AA83" i="19"/>
  <c r="N83" i="19"/>
  <c r="N315" i="19"/>
  <c r="Y83" i="19"/>
  <c r="F315" i="19"/>
  <c r="J315" i="19"/>
  <c r="O83" i="19"/>
  <c r="M431" i="19"/>
  <c r="L431" i="19"/>
  <c r="Q315" i="19"/>
  <c r="T431" i="19"/>
  <c r="G315" i="19"/>
  <c r="R431" i="19"/>
  <c r="M83" i="19"/>
  <c r="D315" i="19"/>
  <c r="E431" i="19"/>
  <c r="E83" i="19"/>
  <c r="V83" i="19"/>
  <c r="R83" i="19"/>
  <c r="AD83" i="19"/>
  <c r="O431" i="19"/>
  <c r="D83" i="19"/>
  <c r="K431" i="19"/>
  <c r="G83" i="19"/>
  <c r="AB315" i="19"/>
  <c r="X83" i="19"/>
  <c r="O315" i="19"/>
  <c r="P315" i="19"/>
  <c r="Q431" i="19"/>
  <c r="W83" i="19"/>
  <c r="AE431" i="19"/>
  <c r="E315" i="19"/>
  <c r="Z83" i="19"/>
  <c r="AA315" i="19"/>
  <c r="S83" i="19"/>
  <c r="U431" i="19"/>
  <c r="I431" i="19"/>
  <c r="J431" i="19"/>
  <c r="U83" i="19"/>
  <c r="Y315" i="19"/>
  <c r="Z315" i="19"/>
  <c r="P431" i="19"/>
  <c r="AB83" i="19"/>
  <c r="R315" i="19"/>
  <c r="AD315" i="19"/>
  <c r="N431" i="19"/>
  <c r="X431" i="19"/>
  <c r="K315" i="19"/>
  <c r="H315" i="19"/>
  <c r="T315" i="19"/>
  <c r="U315" i="19"/>
  <c r="AE315" i="19"/>
  <c r="V315" i="19"/>
  <c r="X315" i="19"/>
  <c r="D431" i="19"/>
  <c r="H83" i="19"/>
  <c r="AE83" i="19"/>
  <c r="P83" i="19"/>
  <c r="Q83" i="19"/>
  <c r="S315" i="19"/>
  <c r="I315" i="19"/>
  <c r="L315" i="19"/>
  <c r="K83" i="19"/>
  <c r="AC83" i="19"/>
  <c r="J83" i="19"/>
  <c r="V431" i="19"/>
  <c r="AE170" i="19"/>
  <c r="O170" i="19"/>
  <c r="X170" i="19"/>
  <c r="H170" i="19"/>
  <c r="E170" i="19"/>
  <c r="AD170" i="19"/>
  <c r="Q170" i="19"/>
  <c r="U170" i="19"/>
  <c r="AA170" i="19"/>
  <c r="K170" i="19"/>
  <c r="T170" i="19"/>
  <c r="AC170" i="19"/>
  <c r="Z170" i="19"/>
  <c r="N170" i="19"/>
  <c r="I170" i="19"/>
  <c r="W170" i="19"/>
  <c r="R170" i="19"/>
  <c r="S170" i="19"/>
  <c r="AB170" i="19"/>
  <c r="L170" i="19"/>
  <c r="M170" i="19"/>
  <c r="J170" i="19"/>
  <c r="V170" i="19"/>
  <c r="D170" i="19"/>
  <c r="G170" i="19"/>
  <c r="P170" i="19"/>
  <c r="Y170" i="19"/>
  <c r="F170" i="19"/>
  <c r="Z402" i="19"/>
  <c r="Y54" i="19"/>
  <c r="G402" i="19"/>
  <c r="K402" i="19"/>
  <c r="X54" i="19"/>
  <c r="U54" i="19"/>
  <c r="Z54" i="19"/>
  <c r="O54" i="19"/>
  <c r="V54" i="19"/>
  <c r="N402" i="19"/>
  <c r="W54" i="19"/>
  <c r="D402" i="19"/>
  <c r="U402" i="19"/>
  <c r="AD54" i="19"/>
  <c r="AE402" i="19"/>
  <c r="I54" i="19"/>
  <c r="AA402" i="19"/>
  <c r="W402" i="19"/>
  <c r="AE54" i="19"/>
  <c r="D54" i="19"/>
  <c r="O402" i="19"/>
  <c r="Q54" i="19"/>
  <c r="AB54" i="19"/>
  <c r="AC54" i="19"/>
  <c r="H54" i="19"/>
  <c r="P54" i="19"/>
  <c r="AA54" i="19"/>
  <c r="J54" i="19"/>
  <c r="K54" i="19"/>
  <c r="G54" i="19"/>
  <c r="H402" i="19"/>
  <c r="L402" i="19"/>
  <c r="T402" i="19"/>
  <c r="AB402" i="19"/>
  <c r="M54" i="19"/>
  <c r="Y402" i="19"/>
  <c r="Q402" i="19"/>
  <c r="AD402" i="19"/>
  <c r="R402" i="19"/>
  <c r="S402" i="19"/>
  <c r="L54" i="19"/>
  <c r="J402" i="19"/>
  <c r="E54" i="19"/>
  <c r="F54" i="19"/>
  <c r="V402" i="19"/>
  <c r="S54" i="19"/>
  <c r="I402" i="19"/>
  <c r="R54" i="19"/>
  <c r="F402" i="19"/>
  <c r="N54" i="19"/>
  <c r="D286" i="19"/>
  <c r="P402" i="19"/>
  <c r="T54" i="19"/>
  <c r="M402" i="19"/>
  <c r="X402" i="19"/>
  <c r="E402" i="19"/>
  <c r="AC402" i="19"/>
  <c r="J373" i="19"/>
  <c r="AB489" i="19"/>
  <c r="Q373" i="19"/>
  <c r="W489" i="19"/>
  <c r="I373" i="19"/>
  <c r="R489" i="19"/>
  <c r="X141" i="19"/>
  <c r="L373" i="19"/>
  <c r="Y141" i="19"/>
  <c r="S489" i="19"/>
  <c r="W141" i="19"/>
  <c r="K141" i="19"/>
  <c r="Z489" i="19"/>
  <c r="DW63" i="6"/>
  <c r="L30" i="1" s="1"/>
  <c r="L28" i="19" s="1"/>
  <c r="D259" i="19" s="1"/>
  <c r="L29" i="1"/>
  <c r="L27" i="19" s="1"/>
  <c r="D258" i="19" s="1"/>
  <c r="AC489" i="19"/>
  <c r="J141" i="19"/>
  <c r="AE373" i="19"/>
  <c r="O373" i="19"/>
  <c r="H489" i="19"/>
  <c r="Z373" i="19"/>
  <c r="Y373" i="19"/>
  <c r="T373" i="19"/>
  <c r="T489" i="19"/>
  <c r="V489" i="19"/>
  <c r="N373" i="19"/>
  <c r="V373" i="19"/>
  <c r="AC141" i="19"/>
  <c r="G141" i="19"/>
  <c r="AB141" i="19"/>
  <c r="O489" i="19"/>
  <c r="P141" i="19"/>
  <c r="R373" i="19"/>
  <c r="J489" i="19"/>
  <c r="H373" i="19"/>
  <c r="F489" i="19"/>
  <c r="D489" i="19"/>
  <c r="G489" i="19"/>
  <c r="E373" i="19"/>
  <c r="N141" i="19"/>
  <c r="D141" i="19"/>
  <c r="F141" i="19"/>
  <c r="D373" i="19"/>
  <c r="M373" i="19"/>
  <c r="T141" i="19"/>
  <c r="M141" i="19"/>
  <c r="O141" i="19"/>
  <c r="H141" i="19"/>
  <c r="X373" i="19"/>
  <c r="Q141" i="19"/>
  <c r="S373" i="19"/>
  <c r="E141" i="19"/>
  <c r="AA141" i="19"/>
  <c r="K489" i="19"/>
  <c r="Y489" i="19"/>
  <c r="W373" i="19"/>
  <c r="U489" i="19"/>
  <c r="D29" i="1"/>
  <c r="D27" i="19" s="1"/>
  <c r="F29" i="1"/>
  <c r="F27" i="19" s="1"/>
  <c r="C49" i="49" s="1"/>
  <c r="D50" i="49" s="1"/>
  <c r="E51" i="49" s="1"/>
  <c r="AE63" i="6"/>
  <c r="I30" i="1" s="1"/>
  <c r="I28" i="19" s="1"/>
  <c r="D172" i="19" s="1"/>
  <c r="I29" i="1"/>
  <c r="I27" i="19" s="1"/>
  <c r="C29" i="1"/>
  <c r="C27" i="19" s="1"/>
  <c r="M489" i="19"/>
  <c r="AC373" i="19"/>
  <c r="S141" i="19"/>
  <c r="AB373" i="19"/>
  <c r="G373" i="19"/>
  <c r="AE489" i="19"/>
  <c r="AD373" i="19"/>
  <c r="T199" i="19"/>
  <c r="L199" i="19"/>
  <c r="AB199" i="19"/>
  <c r="H199" i="19"/>
  <c r="E199" i="19"/>
  <c r="G199" i="19"/>
  <c r="W199" i="19"/>
  <c r="AC199" i="19"/>
  <c r="R199" i="19"/>
  <c r="D199" i="19"/>
  <c r="X199" i="19"/>
  <c r="M199" i="19"/>
  <c r="K199" i="19"/>
  <c r="AA199" i="19"/>
  <c r="F199" i="19"/>
  <c r="V199" i="19"/>
  <c r="AD199" i="19"/>
  <c r="Y199" i="19"/>
  <c r="S199" i="19"/>
  <c r="Q199" i="19"/>
  <c r="N199" i="19"/>
  <c r="P199" i="19"/>
  <c r="U199" i="19"/>
  <c r="J199" i="19"/>
  <c r="Z199" i="19"/>
  <c r="AE199" i="19"/>
  <c r="I199" i="19"/>
  <c r="O199" i="19"/>
  <c r="AD460" i="19"/>
  <c r="Z460" i="19"/>
  <c r="V460" i="19"/>
  <c r="R460" i="19"/>
  <c r="N460" i="19"/>
  <c r="J460" i="19"/>
  <c r="F460" i="19"/>
  <c r="AB460" i="19"/>
  <c r="X460" i="19"/>
  <c r="T460" i="19"/>
  <c r="P460" i="19"/>
  <c r="L460" i="19"/>
  <c r="H460" i="19"/>
  <c r="AA460" i="19"/>
  <c r="S460" i="19"/>
  <c r="K460" i="19"/>
  <c r="AD344" i="19"/>
  <c r="Z344" i="19"/>
  <c r="V344" i="19"/>
  <c r="R344" i="19"/>
  <c r="N344" i="19"/>
  <c r="J344" i="19"/>
  <c r="F344" i="19"/>
  <c r="AB112" i="19"/>
  <c r="X112" i="19"/>
  <c r="T112" i="19"/>
  <c r="P112" i="19"/>
  <c r="L112" i="19"/>
  <c r="H112" i="19"/>
  <c r="AC460" i="19"/>
  <c r="U460" i="19"/>
  <c r="M460" i="19"/>
  <c r="E460" i="19"/>
  <c r="AE344" i="19"/>
  <c r="AA344" i="19"/>
  <c r="W344" i="19"/>
  <c r="S344" i="19"/>
  <c r="O344" i="19"/>
  <c r="K344" i="19"/>
  <c r="G344" i="19"/>
  <c r="AC112" i="19"/>
  <c r="Y112" i="19"/>
  <c r="U112" i="19"/>
  <c r="Q112" i="19"/>
  <c r="M112" i="19"/>
  <c r="I112" i="19"/>
  <c r="E112" i="19"/>
  <c r="Q460" i="19"/>
  <c r="AC344" i="19"/>
  <c r="U344" i="19"/>
  <c r="M344" i="19"/>
  <c r="E344" i="19"/>
  <c r="Z112" i="19"/>
  <c r="R112" i="19"/>
  <c r="J112" i="19"/>
  <c r="I460" i="19"/>
  <c r="Q344" i="19"/>
  <c r="AE460" i="19"/>
  <c r="O460" i="19"/>
  <c r="AB344" i="19"/>
  <c r="T344" i="19"/>
  <c r="L344" i="19"/>
  <c r="AE112" i="19"/>
  <c r="W112" i="19"/>
  <c r="O112" i="19"/>
  <c r="G112" i="19"/>
  <c r="Y460" i="19"/>
  <c r="Y344" i="19"/>
  <c r="I344" i="19"/>
  <c r="W460" i="19"/>
  <c r="P344" i="19"/>
  <c r="V112" i="19"/>
  <c r="F112" i="19"/>
  <c r="G460" i="19"/>
  <c r="H344" i="19"/>
  <c r="S112" i="19"/>
  <c r="N112" i="19"/>
  <c r="X344" i="19"/>
  <c r="AA112" i="19"/>
  <c r="K112" i="19"/>
  <c r="AD112" i="19"/>
  <c r="D112" i="19"/>
  <c r="D460" i="19"/>
  <c r="D344" i="19"/>
  <c r="AC228" i="19"/>
  <c r="X228" i="19"/>
  <c r="P228" i="19"/>
  <c r="H228" i="19"/>
  <c r="AA228" i="19"/>
  <c r="S228" i="19"/>
  <c r="K228" i="19"/>
  <c r="AE228" i="19"/>
  <c r="O228" i="19"/>
  <c r="AB228" i="19"/>
  <c r="L228" i="19"/>
  <c r="G228" i="19"/>
  <c r="W228" i="19"/>
  <c r="T228" i="19"/>
  <c r="J228" i="19"/>
  <c r="Z228" i="19"/>
  <c r="I228" i="19"/>
  <c r="Y228" i="19"/>
  <c r="N228" i="19"/>
  <c r="AD228" i="19"/>
  <c r="M228" i="19"/>
  <c r="F228" i="19"/>
  <c r="V228" i="19"/>
  <c r="E228" i="19"/>
  <c r="U228" i="19"/>
  <c r="R228" i="19"/>
  <c r="Q228" i="19"/>
  <c r="D228" i="19"/>
  <c r="AB257" i="19"/>
  <c r="X257" i="19"/>
  <c r="T257" i="19"/>
  <c r="P257" i="19"/>
  <c r="L257" i="19"/>
  <c r="H257" i="19"/>
  <c r="AC257" i="19"/>
  <c r="Y257" i="19"/>
  <c r="U257" i="19"/>
  <c r="Q257" i="19"/>
  <c r="M257" i="19"/>
  <c r="I257" i="19"/>
  <c r="E257" i="19"/>
  <c r="Z257" i="19"/>
  <c r="R257" i="19"/>
  <c r="J257" i="19"/>
  <c r="AE257" i="19"/>
  <c r="W257" i="19"/>
  <c r="O257" i="19"/>
  <c r="G257" i="19"/>
  <c r="S257" i="19"/>
  <c r="AD257" i="19"/>
  <c r="AA257" i="19"/>
  <c r="K257" i="19"/>
  <c r="V257" i="19"/>
  <c r="F257" i="19"/>
  <c r="N257" i="19"/>
  <c r="D257" i="19"/>
  <c r="AE25" i="6"/>
  <c r="C30" i="1" s="1"/>
  <c r="C28" i="19" s="1"/>
  <c r="BK25" i="6"/>
  <c r="DW25" i="6"/>
  <c r="CQ25" i="6"/>
  <c r="E30" i="1" s="1"/>
  <c r="E27" i="19"/>
  <c r="J27" i="19"/>
  <c r="D200" i="19" s="1"/>
  <c r="BK63" i="6"/>
  <c r="J30" i="1" s="1"/>
  <c r="CQ63" i="6"/>
  <c r="K30" i="1" s="1"/>
  <c r="K27" i="19"/>
  <c r="D229" i="19" s="1"/>
  <c r="B4" i="1" l="1"/>
  <c r="B10" i="1"/>
  <c r="AJ4" i="21"/>
  <c r="E131" i="5"/>
  <c r="E28" i="49"/>
  <c r="C3" i="49"/>
  <c r="C7" i="49" s="1"/>
  <c r="C11" i="49" s="1"/>
  <c r="C19" i="49" s="1"/>
  <c r="F79" i="5"/>
  <c r="F58" i="49"/>
  <c r="E81" i="49"/>
  <c r="AC261" i="21"/>
  <c r="AE261" i="21"/>
  <c r="AD261" i="21"/>
  <c r="F227" i="20"/>
  <c r="E206" i="21"/>
  <c r="AK206" i="21" s="1"/>
  <c r="E83" i="20"/>
  <c r="D62" i="21"/>
  <c r="AJ62" i="21" s="1"/>
  <c r="D373" i="20"/>
  <c r="C352" i="21"/>
  <c r="AI352" i="21" s="1"/>
  <c r="E314" i="20"/>
  <c r="D293" i="21"/>
  <c r="AJ293" i="21" s="1"/>
  <c r="F25" i="20"/>
  <c r="E4" i="21"/>
  <c r="AK4" i="21" s="1"/>
  <c r="C374" i="20"/>
  <c r="D258" i="20"/>
  <c r="C237" i="21"/>
  <c r="AI237" i="21" s="1"/>
  <c r="C85" i="20"/>
  <c r="D401" i="20"/>
  <c r="C380" i="21"/>
  <c r="AI380" i="21" s="1"/>
  <c r="D315" i="20"/>
  <c r="C431" i="20"/>
  <c r="C294" i="21"/>
  <c r="AI294" i="21" s="1"/>
  <c r="E257" i="20"/>
  <c r="D236" i="21"/>
  <c r="AJ236" i="21" s="1"/>
  <c r="D55" i="20"/>
  <c r="C287" i="20"/>
  <c r="C34" i="21"/>
  <c r="AI34" i="21" s="1"/>
  <c r="C28" i="20"/>
  <c r="C172" i="20"/>
  <c r="D430" i="20"/>
  <c r="C409" i="21"/>
  <c r="AI409" i="21" s="1"/>
  <c r="D229" i="20"/>
  <c r="C208" i="21"/>
  <c r="AI208" i="21" s="1"/>
  <c r="D200" i="20"/>
  <c r="C179" i="21"/>
  <c r="AI179" i="21" s="1"/>
  <c r="F53" i="20"/>
  <c r="E32" i="21"/>
  <c r="AK32" i="21" s="1"/>
  <c r="C56" i="20"/>
  <c r="C230" i="20"/>
  <c r="E170" i="20"/>
  <c r="D149" i="21"/>
  <c r="AJ149" i="21" s="1"/>
  <c r="F140" i="20"/>
  <c r="E119" i="21"/>
  <c r="AK119" i="21" s="1"/>
  <c r="E141" i="20"/>
  <c r="D120" i="21"/>
  <c r="AJ120" i="21" s="1"/>
  <c r="C201" i="20"/>
  <c r="C143" i="20"/>
  <c r="C112" i="20"/>
  <c r="C259" i="20"/>
  <c r="D27" i="20"/>
  <c r="C6" i="21"/>
  <c r="AI6" i="21" s="1"/>
  <c r="D171" i="20"/>
  <c r="C150" i="21"/>
  <c r="AI150" i="21" s="1"/>
  <c r="E54" i="20"/>
  <c r="D33" i="21"/>
  <c r="AJ33" i="21" s="1"/>
  <c r="F82" i="20"/>
  <c r="E61" i="21"/>
  <c r="AK61" i="21" s="1"/>
  <c r="F198" i="20"/>
  <c r="E177" i="21"/>
  <c r="AK177" i="21" s="1"/>
  <c r="C402" i="20"/>
  <c r="D286" i="20"/>
  <c r="C265" i="21"/>
  <c r="AI265" i="21" s="1"/>
  <c r="D142" i="20"/>
  <c r="C121" i="21"/>
  <c r="AI121" i="21" s="1"/>
  <c r="F169" i="20"/>
  <c r="E148" i="21"/>
  <c r="AK148" i="21" s="1"/>
  <c r="D111" i="20"/>
  <c r="C343" i="20"/>
  <c r="C90" i="21"/>
  <c r="AI90" i="21" s="1"/>
  <c r="E199" i="20"/>
  <c r="D178" i="21"/>
  <c r="AJ178" i="21" s="1"/>
  <c r="E228" i="20"/>
  <c r="D207" i="21"/>
  <c r="AJ207" i="21" s="1"/>
  <c r="E26" i="20"/>
  <c r="D5" i="21"/>
  <c r="D84" i="20"/>
  <c r="C316" i="20"/>
  <c r="C63" i="21"/>
  <c r="AI63" i="21" s="1"/>
  <c r="AH74" i="23"/>
  <c r="AH92" i="23" s="1"/>
  <c r="AH110" i="23" s="1"/>
  <c r="C261" i="21"/>
  <c r="E285" i="20"/>
  <c r="D264" i="21"/>
  <c r="AJ264" i="21" s="1"/>
  <c r="C417" i="23"/>
  <c r="E287" i="19"/>
  <c r="F288" i="19" s="1"/>
  <c r="C476" i="23"/>
  <c r="C447" i="23"/>
  <c r="AD403" i="19"/>
  <c r="L490" i="19"/>
  <c r="G142" i="19"/>
  <c r="H490" i="19"/>
  <c r="K490" i="19"/>
  <c r="AC142" i="19"/>
  <c r="O374" i="19"/>
  <c r="T490" i="19"/>
  <c r="S490" i="19"/>
  <c r="AC490" i="19"/>
  <c r="U142" i="19"/>
  <c r="F171" i="19"/>
  <c r="Z142" i="19"/>
  <c r="J374" i="19"/>
  <c r="U55" i="19"/>
  <c r="T55" i="19"/>
  <c r="AE26" i="6"/>
  <c r="C31" i="1" s="1"/>
  <c r="C29" i="19" s="1"/>
  <c r="Q403" i="19"/>
  <c r="T403" i="19"/>
  <c r="D403" i="19"/>
  <c r="K55" i="19"/>
  <c r="F403" i="19"/>
  <c r="S55" i="19"/>
  <c r="G55" i="19"/>
  <c r="Z403" i="19"/>
  <c r="M403" i="19"/>
  <c r="AD55" i="19"/>
  <c r="J55" i="19"/>
  <c r="E403" i="19"/>
  <c r="L403" i="19"/>
  <c r="R403" i="19"/>
  <c r="O55" i="19"/>
  <c r="W55" i="19"/>
  <c r="P55" i="19"/>
  <c r="H374" i="19"/>
  <c r="N490" i="19"/>
  <c r="Q316" i="19"/>
  <c r="H84" i="19"/>
  <c r="Z84" i="19"/>
  <c r="AE316" i="19"/>
  <c r="K84" i="19"/>
  <c r="M55" i="19"/>
  <c r="O403" i="19"/>
  <c r="N403" i="19"/>
  <c r="AE55" i="19"/>
  <c r="L55" i="19"/>
  <c r="Y403" i="19"/>
  <c r="J403" i="19"/>
  <c r="F55" i="19"/>
  <c r="S403" i="19"/>
  <c r="N55" i="19"/>
  <c r="I403" i="19"/>
  <c r="AB55" i="19"/>
  <c r="AC55" i="19"/>
  <c r="X55" i="19"/>
  <c r="AA55" i="19"/>
  <c r="H403" i="19"/>
  <c r="I316" i="19"/>
  <c r="AA316" i="19"/>
  <c r="J432" i="19"/>
  <c r="G316" i="19"/>
  <c r="AB84" i="19"/>
  <c r="DW64" i="6"/>
  <c r="L31" i="1" s="1"/>
  <c r="L29" i="19" s="1"/>
  <c r="D260" i="19" s="1"/>
  <c r="G403" i="19"/>
  <c r="R55" i="19"/>
  <c r="K403" i="19"/>
  <c r="AE403" i="19"/>
  <c r="AC403" i="19"/>
  <c r="H55" i="19"/>
  <c r="Q55" i="19"/>
  <c r="X403" i="19"/>
  <c r="V55" i="19"/>
  <c r="Z55" i="19"/>
  <c r="H316" i="19"/>
  <c r="AC432" i="19"/>
  <c r="W403" i="19"/>
  <c r="Y55" i="19"/>
  <c r="D55" i="19"/>
  <c r="AA403" i="19"/>
  <c r="I55" i="19"/>
  <c r="U403" i="19"/>
  <c r="R316" i="19"/>
  <c r="W316" i="19"/>
  <c r="R432" i="19"/>
  <c r="P432" i="19"/>
  <c r="F84" i="19"/>
  <c r="M432" i="19"/>
  <c r="T432" i="19"/>
  <c r="AA432" i="19"/>
  <c r="X316" i="19"/>
  <c r="D84" i="19"/>
  <c r="E316" i="19"/>
  <c r="AD432" i="19"/>
  <c r="L84" i="19"/>
  <c r="E55" i="19"/>
  <c r="E84" i="19"/>
  <c r="J316" i="19"/>
  <c r="AA84" i="19"/>
  <c r="AC316" i="19"/>
  <c r="S432" i="19"/>
  <c r="X432" i="19"/>
  <c r="H432" i="19"/>
  <c r="AE84" i="19"/>
  <c r="Y316" i="19"/>
  <c r="AB432" i="19"/>
  <c r="K316" i="19"/>
  <c r="I432" i="19"/>
  <c r="P403" i="19"/>
  <c r="V403" i="19"/>
  <c r="D142" i="19"/>
  <c r="O142" i="19"/>
  <c r="P142" i="19"/>
  <c r="AB142" i="19"/>
  <c r="T142" i="19"/>
  <c r="K142" i="19"/>
  <c r="L374" i="19"/>
  <c r="W490" i="19"/>
  <c r="AC374" i="19"/>
  <c r="I490" i="19"/>
  <c r="R142" i="19"/>
  <c r="R374" i="19"/>
  <c r="G374" i="19"/>
  <c r="V490" i="19"/>
  <c r="Z374" i="19"/>
  <c r="D490" i="19"/>
  <c r="I142" i="19"/>
  <c r="Z490" i="19"/>
  <c r="AD374" i="19"/>
  <c r="AA490" i="19"/>
  <c r="P374" i="19"/>
  <c r="AA142" i="19"/>
  <c r="Q490" i="19"/>
  <c r="J490" i="19"/>
  <c r="AE490" i="19"/>
  <c r="Q374" i="19"/>
  <c r="E374" i="19"/>
  <c r="E490" i="19"/>
  <c r="X374" i="19"/>
  <c r="M374" i="19"/>
  <c r="S142" i="19"/>
  <c r="N142" i="19"/>
  <c r="I374" i="19"/>
  <c r="D374" i="19"/>
  <c r="F374" i="19"/>
  <c r="AB490" i="19"/>
  <c r="U374" i="19"/>
  <c r="M490" i="19"/>
  <c r="Y490" i="19"/>
  <c r="J142" i="19"/>
  <c r="M142" i="19"/>
  <c r="AB374" i="19"/>
  <c r="Y374" i="19"/>
  <c r="X490" i="19"/>
  <c r="U490" i="19"/>
  <c r="AD142" i="19"/>
  <c r="Q142" i="19"/>
  <c r="G490" i="19"/>
  <c r="V374" i="19"/>
  <c r="W142" i="19"/>
  <c r="F490" i="19"/>
  <c r="R490" i="19"/>
  <c r="E142" i="19"/>
  <c r="T374" i="19"/>
  <c r="Y142" i="19"/>
  <c r="H142" i="19"/>
  <c r="S374" i="19"/>
  <c r="N374" i="19"/>
  <c r="X142" i="19"/>
  <c r="AE374" i="19"/>
  <c r="AA374" i="19"/>
  <c r="AE142" i="19"/>
  <c r="V142" i="19"/>
  <c r="O490" i="19"/>
  <c r="K374" i="19"/>
  <c r="W374" i="19"/>
  <c r="P490" i="19"/>
  <c r="F142" i="19"/>
  <c r="AD490" i="19"/>
  <c r="L142" i="19"/>
  <c r="BK26" i="6"/>
  <c r="D31" i="1" s="1"/>
  <c r="D29" i="19" s="1"/>
  <c r="D30" i="1"/>
  <c r="D28" i="19" s="1"/>
  <c r="D311" i="19"/>
  <c r="Q432" i="19"/>
  <c r="O432" i="19"/>
  <c r="M84" i="19"/>
  <c r="Y84" i="19"/>
  <c r="AE64" i="6"/>
  <c r="I31" i="1" s="1"/>
  <c r="I29" i="19" s="1"/>
  <c r="D173" i="19" s="1"/>
  <c r="V84" i="19"/>
  <c r="AC84" i="19"/>
  <c r="Y432" i="19"/>
  <c r="I84" i="19"/>
  <c r="W84" i="19"/>
  <c r="R84" i="19"/>
  <c r="T84" i="19"/>
  <c r="V432" i="19"/>
  <c r="DW26" i="6"/>
  <c r="F31" i="1" s="1"/>
  <c r="F29" i="19" s="1"/>
  <c r="C51" i="49" s="1"/>
  <c r="F30" i="1"/>
  <c r="F28" i="19" s="1"/>
  <c r="Z316" i="19"/>
  <c r="S316" i="19"/>
  <c r="L316" i="19"/>
  <c r="U84" i="19"/>
  <c r="AB403" i="19"/>
  <c r="F316" i="19"/>
  <c r="P84" i="19"/>
  <c r="N432" i="19"/>
  <c r="N316" i="19"/>
  <c r="G432" i="19"/>
  <c r="G84" i="19"/>
  <c r="N84" i="19"/>
  <c r="X84" i="19"/>
  <c r="U316" i="19"/>
  <c r="F432" i="19"/>
  <c r="Q84" i="19"/>
  <c r="T316" i="19"/>
  <c r="M316" i="19"/>
  <c r="AD84" i="19"/>
  <c r="W432" i="19"/>
  <c r="D432" i="19"/>
  <c r="AE432" i="19"/>
  <c r="AD316" i="19"/>
  <c r="O84" i="19"/>
  <c r="U432" i="19"/>
  <c r="L432" i="19"/>
  <c r="K432" i="19"/>
  <c r="E432" i="19"/>
  <c r="V316" i="19"/>
  <c r="P316" i="19"/>
  <c r="AB316" i="19"/>
  <c r="D316" i="19"/>
  <c r="J84" i="19"/>
  <c r="Z432" i="19"/>
  <c r="O316" i="19"/>
  <c r="S84" i="19"/>
  <c r="E259" i="19"/>
  <c r="U404" i="19"/>
  <c r="Z171" i="19"/>
  <c r="H171" i="19"/>
  <c r="W258" i="19"/>
  <c r="AC258" i="19"/>
  <c r="D113" i="19"/>
  <c r="D461" i="19"/>
  <c r="D345" i="19"/>
  <c r="D171" i="19"/>
  <c r="AD171" i="19"/>
  <c r="AE171" i="19"/>
  <c r="Y171" i="19"/>
  <c r="G171" i="19"/>
  <c r="S171" i="19"/>
  <c r="Q171" i="19"/>
  <c r="X171" i="19"/>
  <c r="AA171" i="19"/>
  <c r="U171" i="19"/>
  <c r="AB171" i="19"/>
  <c r="L171" i="19"/>
  <c r="E171" i="19"/>
  <c r="K171" i="19"/>
  <c r="M171" i="19"/>
  <c r="T171" i="19"/>
  <c r="I171" i="19"/>
  <c r="AC171" i="19"/>
  <c r="W171" i="19"/>
  <c r="P171" i="19"/>
  <c r="O171" i="19"/>
  <c r="F258" i="19"/>
  <c r="N171" i="19"/>
  <c r="R171" i="19"/>
  <c r="J171" i="19"/>
  <c r="E258" i="19"/>
  <c r="L258" i="19"/>
  <c r="H258" i="19"/>
  <c r="K258" i="19"/>
  <c r="J258" i="19"/>
  <c r="Z258" i="19"/>
  <c r="Q258" i="19"/>
  <c r="Q200" i="19"/>
  <c r="Z200" i="19"/>
  <c r="AB200" i="19"/>
  <c r="E200" i="19"/>
  <c r="H200" i="19"/>
  <c r="M200" i="19"/>
  <c r="T258" i="19"/>
  <c r="V258" i="19"/>
  <c r="M258" i="19"/>
  <c r="V171" i="19"/>
  <c r="R229" i="19"/>
  <c r="W229" i="19"/>
  <c r="O229" i="19"/>
  <c r="K229" i="19"/>
  <c r="M229" i="19"/>
  <c r="L229" i="19"/>
  <c r="Q229" i="19"/>
  <c r="E461" i="19"/>
  <c r="AB113" i="19"/>
  <c r="I345" i="19"/>
  <c r="Q345" i="19"/>
  <c r="Z461" i="19"/>
  <c r="P461" i="19"/>
  <c r="K113" i="19"/>
  <c r="N345" i="19"/>
  <c r="F113" i="19"/>
  <c r="V113" i="19"/>
  <c r="L345" i="19"/>
  <c r="AB345" i="19"/>
  <c r="V461" i="19"/>
  <c r="Q113" i="19"/>
  <c r="G345" i="19"/>
  <c r="W345" i="19"/>
  <c r="T461" i="19"/>
  <c r="Q461" i="19"/>
  <c r="G461" i="19"/>
  <c r="W461" i="19"/>
  <c r="O258" i="19"/>
  <c r="P258" i="19"/>
  <c r="S258" i="19"/>
  <c r="N258" i="19"/>
  <c r="AD258" i="19"/>
  <c r="D404" i="19"/>
  <c r="D56" i="19"/>
  <c r="G258" i="19"/>
  <c r="AE258" i="19"/>
  <c r="X258" i="19"/>
  <c r="AA258" i="19"/>
  <c r="R258" i="19"/>
  <c r="I258" i="19"/>
  <c r="Y258" i="19"/>
  <c r="E229" i="19"/>
  <c r="F229" i="19"/>
  <c r="AE229" i="19"/>
  <c r="AA229" i="19"/>
  <c r="H229" i="19"/>
  <c r="I229" i="19"/>
  <c r="E345" i="19"/>
  <c r="L113" i="19"/>
  <c r="T113" i="19"/>
  <c r="W113" i="19"/>
  <c r="Z345" i="19"/>
  <c r="X113" i="19"/>
  <c r="AC345" i="19"/>
  <c r="J461" i="19"/>
  <c r="F345" i="19"/>
  <c r="R461" i="19"/>
  <c r="R113" i="19"/>
  <c r="H345" i="19"/>
  <c r="X345" i="19"/>
  <c r="N461" i="19"/>
  <c r="M113" i="19"/>
  <c r="AC113" i="19"/>
  <c r="S345" i="19"/>
  <c r="L461" i="19"/>
  <c r="M461" i="19"/>
  <c r="AC461" i="19"/>
  <c r="S461" i="19"/>
  <c r="J200" i="19"/>
  <c r="V200" i="19"/>
  <c r="T200" i="19"/>
  <c r="G200" i="19"/>
  <c r="Y200" i="19"/>
  <c r="X200" i="19"/>
  <c r="AC200" i="19"/>
  <c r="S229" i="19"/>
  <c r="G229" i="19"/>
  <c r="Z229" i="19"/>
  <c r="U229" i="19"/>
  <c r="AC229" i="19"/>
  <c r="T229" i="19"/>
  <c r="Y229" i="19"/>
  <c r="E113" i="19"/>
  <c r="Y345" i="19"/>
  <c r="H461" i="19"/>
  <c r="X461" i="19"/>
  <c r="H113" i="19"/>
  <c r="M345" i="19"/>
  <c r="S113" i="19"/>
  <c r="V345" i="19"/>
  <c r="J113" i="19"/>
  <c r="Z113" i="19"/>
  <c r="P345" i="19"/>
  <c r="AD461" i="19"/>
  <c r="U113" i="19"/>
  <c r="K345" i="19"/>
  <c r="AA345" i="19"/>
  <c r="AB461" i="19"/>
  <c r="U461" i="19"/>
  <c r="K461" i="19"/>
  <c r="AA461" i="19"/>
  <c r="AA200" i="19"/>
  <c r="O200" i="19"/>
  <c r="AE200" i="19"/>
  <c r="L200" i="19"/>
  <c r="S200" i="19"/>
  <c r="F200" i="19"/>
  <c r="U200" i="19"/>
  <c r="AB258" i="19"/>
  <c r="U258" i="19"/>
  <c r="V229" i="19"/>
  <c r="N229" i="19"/>
  <c r="J229" i="19"/>
  <c r="X229" i="19"/>
  <c r="P229" i="19"/>
  <c r="AB229" i="19"/>
  <c r="AD229" i="19"/>
  <c r="AE113" i="19"/>
  <c r="O113" i="19"/>
  <c r="G113" i="19"/>
  <c r="J345" i="19"/>
  <c r="P113" i="19"/>
  <c r="U345" i="19"/>
  <c r="R345" i="19"/>
  <c r="AA113" i="19"/>
  <c r="AD345" i="19"/>
  <c r="N113" i="19"/>
  <c r="AD113" i="19"/>
  <c r="T345" i="19"/>
  <c r="F461" i="19"/>
  <c r="I113" i="19"/>
  <c r="Y113" i="19"/>
  <c r="O345" i="19"/>
  <c r="AE345" i="19"/>
  <c r="I461" i="19"/>
  <c r="Y461" i="19"/>
  <c r="O461" i="19"/>
  <c r="AE461" i="19"/>
  <c r="P200" i="19"/>
  <c r="K200" i="19"/>
  <c r="R200" i="19"/>
  <c r="W200" i="19"/>
  <c r="N200" i="19"/>
  <c r="AD200" i="19"/>
  <c r="I200" i="19"/>
  <c r="CQ64" i="6"/>
  <c r="K31" i="1" s="1"/>
  <c r="K28" i="19"/>
  <c r="D230" i="19" s="1"/>
  <c r="CQ26" i="6"/>
  <c r="E31" i="1" s="1"/>
  <c r="E28" i="19"/>
  <c r="BK64" i="6"/>
  <c r="J31" i="1" s="1"/>
  <c r="J28" i="19"/>
  <c r="D201" i="19" s="1"/>
  <c r="AJ5" i="21" l="1"/>
  <c r="D3" i="49"/>
  <c r="D7" i="49" s="1"/>
  <c r="D11" i="49" s="1"/>
  <c r="D19" i="49" s="1"/>
  <c r="G79" i="5"/>
  <c r="G59" i="49"/>
  <c r="F81" i="49"/>
  <c r="F29" i="49"/>
  <c r="E52" i="49"/>
  <c r="I143" i="19"/>
  <c r="J144" i="19" s="1"/>
  <c r="C50" i="49"/>
  <c r="D282" i="20"/>
  <c r="F187" i="1" s="1"/>
  <c r="F109" i="1"/>
  <c r="F285" i="20"/>
  <c r="E264" i="21"/>
  <c r="AK264" i="21" s="1"/>
  <c r="E258" i="20"/>
  <c r="D237" i="21"/>
  <c r="AJ237" i="21" s="1"/>
  <c r="G169" i="20"/>
  <c r="F148" i="21"/>
  <c r="AL148" i="21" s="1"/>
  <c r="D402" i="20"/>
  <c r="C381" i="21"/>
  <c r="AI381" i="21" s="1"/>
  <c r="E27" i="20"/>
  <c r="D6" i="21"/>
  <c r="AJ6" i="21" s="1"/>
  <c r="C113" i="20"/>
  <c r="C202" i="20"/>
  <c r="F170" i="20"/>
  <c r="E149" i="21"/>
  <c r="AK149" i="21" s="1"/>
  <c r="C288" i="20"/>
  <c r="D56" i="20"/>
  <c r="C35" i="21"/>
  <c r="AI35" i="21" s="1"/>
  <c r="E430" i="20"/>
  <c r="D409" i="21"/>
  <c r="AJ409" i="21" s="1"/>
  <c r="C260" i="20"/>
  <c r="D28" i="20"/>
  <c r="C7" i="21"/>
  <c r="AI7" i="21" s="1"/>
  <c r="E55" i="20"/>
  <c r="D34" i="21"/>
  <c r="AJ34" i="21" s="1"/>
  <c r="D431" i="20"/>
  <c r="C410" i="21"/>
  <c r="AI410" i="21" s="1"/>
  <c r="G25" i="20"/>
  <c r="F4" i="21"/>
  <c r="AL4" i="21" s="1"/>
  <c r="F314" i="20"/>
  <c r="E293" i="21"/>
  <c r="AK293" i="21" s="1"/>
  <c r="F26" i="20"/>
  <c r="E5" i="21"/>
  <c r="AK5" i="21" s="1"/>
  <c r="G82" i="20"/>
  <c r="F61" i="21"/>
  <c r="AL61" i="21" s="1"/>
  <c r="C375" i="20"/>
  <c r="D259" i="20"/>
  <c r="C238" i="21"/>
  <c r="AI238" i="21" s="1"/>
  <c r="C57" i="20"/>
  <c r="D172" i="20"/>
  <c r="C151" i="21"/>
  <c r="AI151" i="21" s="1"/>
  <c r="C432" i="20"/>
  <c r="D316" i="20"/>
  <c r="C295" i="21"/>
  <c r="AI295" i="21" s="1"/>
  <c r="F199" i="20"/>
  <c r="E178" i="21"/>
  <c r="AK178" i="21" s="1"/>
  <c r="E111" i="20"/>
  <c r="D90" i="21"/>
  <c r="AJ90" i="21" s="1"/>
  <c r="E142" i="20"/>
  <c r="D121" i="21"/>
  <c r="AJ121" i="21" s="1"/>
  <c r="E171" i="20"/>
  <c r="D150" i="21"/>
  <c r="AJ150" i="21" s="1"/>
  <c r="D143" i="20"/>
  <c r="C122" i="21"/>
  <c r="AI122" i="21" s="1"/>
  <c r="F141" i="20"/>
  <c r="E120" i="21"/>
  <c r="AK120" i="21" s="1"/>
  <c r="G140" i="20"/>
  <c r="F119" i="21"/>
  <c r="AL119" i="21" s="1"/>
  <c r="C231" i="20"/>
  <c r="C173" i="20"/>
  <c r="F257" i="20"/>
  <c r="E236" i="21"/>
  <c r="AK236" i="21" s="1"/>
  <c r="D85" i="20"/>
  <c r="C317" i="20"/>
  <c r="C64" i="21"/>
  <c r="AI64" i="21" s="1"/>
  <c r="D374" i="20"/>
  <c r="C353" i="21"/>
  <c r="AI353" i="21" s="1"/>
  <c r="E373" i="20"/>
  <c r="D352" i="21"/>
  <c r="AJ352" i="21" s="1"/>
  <c r="C459" i="20"/>
  <c r="D343" i="20"/>
  <c r="C322" i="21"/>
  <c r="AI322" i="21" s="1"/>
  <c r="D230" i="20"/>
  <c r="C209" i="21"/>
  <c r="AI209" i="21" s="1"/>
  <c r="E229" i="20"/>
  <c r="D208" i="21"/>
  <c r="AJ208" i="21" s="1"/>
  <c r="C29" i="20"/>
  <c r="E315" i="20"/>
  <c r="D294" i="21"/>
  <c r="AJ294" i="21" s="1"/>
  <c r="E401" i="20"/>
  <c r="D380" i="21"/>
  <c r="AJ380" i="21" s="1"/>
  <c r="F83" i="20"/>
  <c r="E62" i="21"/>
  <c r="AK62" i="21" s="1"/>
  <c r="E84" i="20"/>
  <c r="D63" i="21"/>
  <c r="AJ63" i="21" s="1"/>
  <c r="F228" i="20"/>
  <c r="E207" i="21"/>
  <c r="AK207" i="21" s="1"/>
  <c r="E286" i="20"/>
  <c r="D265" i="21"/>
  <c r="AJ265" i="21" s="1"/>
  <c r="G198" i="20"/>
  <c r="F177" i="21"/>
  <c r="AL177" i="21" s="1"/>
  <c r="F54" i="20"/>
  <c r="E33" i="21"/>
  <c r="AK33" i="21" s="1"/>
  <c r="C344" i="20"/>
  <c r="D112" i="20"/>
  <c r="C91" i="21"/>
  <c r="AI91" i="21" s="1"/>
  <c r="C144" i="20"/>
  <c r="D201" i="20"/>
  <c r="C180" i="21"/>
  <c r="AI180" i="21" s="1"/>
  <c r="G53" i="20"/>
  <c r="F32" i="21"/>
  <c r="AL32" i="21" s="1"/>
  <c r="E200" i="20"/>
  <c r="D179" i="21"/>
  <c r="AJ179" i="21" s="1"/>
  <c r="C403" i="20"/>
  <c r="D287" i="20"/>
  <c r="C266" i="21"/>
  <c r="AI266" i="21" s="1"/>
  <c r="C86" i="20"/>
  <c r="G227" i="20"/>
  <c r="F206" i="21"/>
  <c r="AL206" i="21" s="1"/>
  <c r="E311" i="19"/>
  <c r="D418" i="23"/>
  <c r="E419" i="23" s="1"/>
  <c r="F420" i="23" s="1"/>
  <c r="G421" i="23" s="1"/>
  <c r="H422" i="23" s="1"/>
  <c r="I423" i="23" s="1"/>
  <c r="J424" i="23" s="1"/>
  <c r="K425" i="23" s="1"/>
  <c r="L426" i="23" s="1"/>
  <c r="M427" i="23" s="1"/>
  <c r="N428" i="23" s="1"/>
  <c r="O429" i="23" s="1"/>
  <c r="P430" i="23" s="1"/>
  <c r="Q431" i="23" s="1"/>
  <c r="R432" i="23" s="1"/>
  <c r="C418" i="23"/>
  <c r="D419" i="23" s="1"/>
  <c r="E420" i="23" s="1"/>
  <c r="F421" i="23" s="1"/>
  <c r="G422" i="23" s="1"/>
  <c r="H423" i="23" s="1"/>
  <c r="I424" i="23" s="1"/>
  <c r="J425" i="23" s="1"/>
  <c r="K426" i="23" s="1"/>
  <c r="L427" i="23" s="1"/>
  <c r="M428" i="23" s="1"/>
  <c r="N429" i="23" s="1"/>
  <c r="O430" i="23" s="1"/>
  <c r="P431" i="23" s="1"/>
  <c r="Q432" i="23" s="1"/>
  <c r="V259" i="19"/>
  <c r="P259" i="19"/>
  <c r="K259" i="19"/>
  <c r="AD172" i="19"/>
  <c r="Z56" i="19"/>
  <c r="I56" i="19"/>
  <c r="S56" i="19"/>
  <c r="AC56" i="19"/>
  <c r="L56" i="19"/>
  <c r="C477" i="23"/>
  <c r="D478" i="23" s="1"/>
  <c r="E479" i="23" s="1"/>
  <c r="F480" i="23" s="1"/>
  <c r="G481" i="23" s="1"/>
  <c r="H482" i="23" s="1"/>
  <c r="I483" i="23" s="1"/>
  <c r="J484" i="23" s="1"/>
  <c r="K485" i="23" s="1"/>
  <c r="L486" i="23" s="1"/>
  <c r="M487" i="23" s="1"/>
  <c r="N488" i="23" s="1"/>
  <c r="O489" i="23" s="1"/>
  <c r="P490" i="23" s="1"/>
  <c r="AC259" i="19"/>
  <c r="Z259" i="19"/>
  <c r="Y259" i="19"/>
  <c r="O259" i="19"/>
  <c r="P260" i="19" s="1"/>
  <c r="N259" i="19"/>
  <c r="L259" i="19"/>
  <c r="M260" i="19" s="1"/>
  <c r="AD259" i="19"/>
  <c r="AA172" i="19"/>
  <c r="Q404" i="19"/>
  <c r="J56" i="19"/>
  <c r="X404" i="19"/>
  <c r="W56" i="19"/>
  <c r="X57" i="19" s="1"/>
  <c r="AD404" i="19"/>
  <c r="H404" i="19"/>
  <c r="AB56" i="19"/>
  <c r="J404" i="19"/>
  <c r="K405" i="19" s="1"/>
  <c r="K404" i="19"/>
  <c r="O404" i="19"/>
  <c r="P56" i="19"/>
  <c r="K56" i="19"/>
  <c r="H56" i="19"/>
  <c r="E404" i="19"/>
  <c r="U56" i="19"/>
  <c r="G172" i="19"/>
  <c r="D448" i="23"/>
  <c r="E449" i="23" s="1"/>
  <c r="F450" i="23" s="1"/>
  <c r="G451" i="23" s="1"/>
  <c r="H452" i="23" s="1"/>
  <c r="I453" i="23" s="1"/>
  <c r="J454" i="23" s="1"/>
  <c r="K455" i="23" s="1"/>
  <c r="L456" i="23" s="1"/>
  <c r="M457" i="23" s="1"/>
  <c r="N458" i="23" s="1"/>
  <c r="O459" i="23" s="1"/>
  <c r="P460" i="23" s="1"/>
  <c r="Q461" i="23" s="1"/>
  <c r="AB259" i="19"/>
  <c r="AE259" i="19"/>
  <c r="F259" i="19"/>
  <c r="I172" i="19"/>
  <c r="V404" i="19"/>
  <c r="I404" i="19"/>
  <c r="G56" i="19"/>
  <c r="X56" i="19"/>
  <c r="AA404" i="19"/>
  <c r="AE404" i="19"/>
  <c r="J259" i="19"/>
  <c r="T259" i="19"/>
  <c r="W259" i="19"/>
  <c r="R259" i="19"/>
  <c r="I259" i="19"/>
  <c r="X259" i="19"/>
  <c r="F56" i="19"/>
  <c r="AB404" i="19"/>
  <c r="Y404" i="19"/>
  <c r="Y56" i="19"/>
  <c r="O56" i="19"/>
  <c r="Z404" i="19"/>
  <c r="P404" i="19"/>
  <c r="S404" i="19"/>
  <c r="AE56" i="19"/>
  <c r="T56" i="19"/>
  <c r="V56" i="19"/>
  <c r="C448" i="23"/>
  <c r="D449" i="23" s="1"/>
  <c r="E450" i="23" s="1"/>
  <c r="F451" i="23" s="1"/>
  <c r="G452" i="23" s="1"/>
  <c r="H453" i="23" s="1"/>
  <c r="I454" i="23" s="1"/>
  <c r="J455" i="23" s="1"/>
  <c r="K456" i="23" s="1"/>
  <c r="L457" i="23" s="1"/>
  <c r="M458" i="23" s="1"/>
  <c r="N459" i="23" s="1"/>
  <c r="O460" i="23" s="1"/>
  <c r="P461" i="23" s="1"/>
  <c r="G259" i="19"/>
  <c r="W404" i="19"/>
  <c r="AA56" i="19"/>
  <c r="S259" i="19"/>
  <c r="H259" i="19"/>
  <c r="Q259" i="19"/>
  <c r="U259" i="19"/>
  <c r="AA259" i="19"/>
  <c r="M259" i="19"/>
  <c r="F404" i="19"/>
  <c r="AC404" i="19"/>
  <c r="E56" i="19"/>
  <c r="R56" i="19"/>
  <c r="L404" i="19"/>
  <c r="AD56" i="19"/>
  <c r="T404" i="19"/>
  <c r="M56" i="19"/>
  <c r="N56" i="19"/>
  <c r="Q56" i="19"/>
  <c r="M404" i="19"/>
  <c r="N404" i="19"/>
  <c r="G404" i="19"/>
  <c r="R404" i="19"/>
  <c r="D477" i="23"/>
  <c r="E478" i="23" s="1"/>
  <c r="F479" i="23" s="1"/>
  <c r="G480" i="23" s="1"/>
  <c r="H481" i="23" s="1"/>
  <c r="I482" i="23" s="1"/>
  <c r="J483" i="23" s="1"/>
  <c r="K484" i="23" s="1"/>
  <c r="L485" i="23" s="1"/>
  <c r="M486" i="23" s="1"/>
  <c r="N487" i="23" s="1"/>
  <c r="O488" i="23" s="1"/>
  <c r="P489" i="23" s="1"/>
  <c r="Q490" i="23" s="1"/>
  <c r="AE27" i="6"/>
  <c r="C32" i="1" s="1"/>
  <c r="C30" i="19" s="1"/>
  <c r="DW65" i="6"/>
  <c r="L32" i="1" s="1"/>
  <c r="L30" i="19" s="1"/>
  <c r="D261" i="19" s="1"/>
  <c r="O317" i="19"/>
  <c r="AE65" i="6"/>
  <c r="I32" i="1" s="1"/>
  <c r="I30" i="19" s="1"/>
  <c r="D174" i="19" s="1"/>
  <c r="DW27" i="6"/>
  <c r="F32" i="1" s="1"/>
  <c r="F30" i="19" s="1"/>
  <c r="BK27" i="6"/>
  <c r="D32" i="1" s="1"/>
  <c r="D30" i="19" s="1"/>
  <c r="X143" i="19"/>
  <c r="G375" i="19"/>
  <c r="M230" i="19"/>
  <c r="X230" i="19"/>
  <c r="L143" i="19"/>
  <c r="Z491" i="19"/>
  <c r="R143" i="19"/>
  <c r="Y143" i="19"/>
  <c r="AD491" i="19"/>
  <c r="W143" i="19"/>
  <c r="M491" i="19"/>
  <c r="Q143" i="19"/>
  <c r="E201" i="19"/>
  <c r="O143" i="19"/>
  <c r="T85" i="19"/>
  <c r="O462" i="19"/>
  <c r="R85" i="19"/>
  <c r="E405" i="19"/>
  <c r="H462" i="19"/>
  <c r="L114" i="19"/>
  <c r="S375" i="19"/>
  <c r="AB375" i="19"/>
  <c r="F491" i="19"/>
  <c r="U143" i="19"/>
  <c r="U433" i="19"/>
  <c r="P462" i="19"/>
  <c r="P346" i="19"/>
  <c r="U346" i="19"/>
  <c r="AB114" i="19"/>
  <c r="K346" i="19"/>
  <c r="AE230" i="19"/>
  <c r="K230" i="19"/>
  <c r="E143" i="19"/>
  <c r="G143" i="19"/>
  <c r="V462" i="19"/>
  <c r="V114" i="19"/>
  <c r="K114" i="19"/>
  <c r="I114" i="19"/>
  <c r="F114" i="19"/>
  <c r="W375" i="19"/>
  <c r="M375" i="19"/>
  <c r="P143" i="19"/>
  <c r="F230" i="19"/>
  <c r="N317" i="19"/>
  <c r="W491" i="19"/>
  <c r="AA85" i="19"/>
  <c r="X375" i="19"/>
  <c r="N201" i="19"/>
  <c r="AA201" i="19"/>
  <c r="AA375" i="19"/>
  <c r="Q375" i="19"/>
  <c r="Z375" i="19"/>
  <c r="S462" i="19"/>
  <c r="H346" i="19"/>
  <c r="L317" i="19"/>
  <c r="I375" i="19"/>
  <c r="K85" i="19"/>
  <c r="J462" i="19"/>
  <c r="J114" i="19"/>
  <c r="O114" i="19"/>
  <c r="V346" i="19"/>
  <c r="P114" i="19"/>
  <c r="Q230" i="19"/>
  <c r="W230" i="19"/>
  <c r="V143" i="19"/>
  <c r="AB462" i="19"/>
  <c r="AB346" i="19"/>
  <c r="Q346" i="19"/>
  <c r="T114" i="19"/>
  <c r="I462" i="19"/>
  <c r="U230" i="19"/>
  <c r="T143" i="19"/>
  <c r="P491" i="19"/>
  <c r="S143" i="19"/>
  <c r="T462" i="19"/>
  <c r="N143" i="19"/>
  <c r="V317" i="19"/>
  <c r="AB491" i="19"/>
  <c r="Q491" i="19"/>
  <c r="I433" i="19"/>
  <c r="M346" i="19"/>
  <c r="J346" i="19"/>
  <c r="F317" i="19"/>
  <c r="E375" i="19"/>
  <c r="T491" i="19"/>
  <c r="AC85" i="19"/>
  <c r="J491" i="19"/>
  <c r="J143" i="19"/>
  <c r="H375" i="19"/>
  <c r="W433" i="19"/>
  <c r="AC143" i="19"/>
  <c r="AD114" i="19"/>
  <c r="I346" i="19"/>
  <c r="K462" i="19"/>
  <c r="X433" i="19"/>
  <c r="R433" i="19"/>
  <c r="P375" i="19"/>
  <c r="U462" i="19"/>
  <c r="W462" i="19"/>
  <c r="G114" i="19"/>
  <c r="AA462" i="19"/>
  <c r="L230" i="19"/>
  <c r="E85" i="19"/>
  <c r="F260" i="19"/>
  <c r="K433" i="19"/>
  <c r="E346" i="19"/>
  <c r="D492" i="19"/>
  <c r="D376" i="19"/>
  <c r="D144" i="19"/>
  <c r="J201" i="19"/>
  <c r="O201" i="19"/>
  <c r="S201" i="19"/>
  <c r="Q201" i="19"/>
  <c r="N85" i="19"/>
  <c r="Y85" i="19"/>
  <c r="V201" i="19"/>
  <c r="T201" i="19"/>
  <c r="AB201" i="19"/>
  <c r="V230" i="19"/>
  <c r="H230" i="19"/>
  <c r="R317" i="19"/>
  <c r="Y201" i="19"/>
  <c r="H201" i="19"/>
  <c r="W201" i="19"/>
  <c r="N462" i="19"/>
  <c r="T346" i="19"/>
  <c r="Y114" i="19"/>
  <c r="X114" i="19"/>
  <c r="M114" i="19"/>
  <c r="J230" i="19"/>
  <c r="AB230" i="19"/>
  <c r="G230" i="19"/>
  <c r="AB143" i="19"/>
  <c r="K491" i="19"/>
  <c r="N433" i="19"/>
  <c r="Q85" i="19"/>
  <c r="G317" i="19"/>
  <c r="X317" i="19"/>
  <c r="T317" i="19"/>
  <c r="E57" i="19"/>
  <c r="U375" i="19"/>
  <c r="I317" i="19"/>
  <c r="Y317" i="19"/>
  <c r="V491" i="19"/>
  <c r="F462" i="19"/>
  <c r="S85" i="19"/>
  <c r="Z85" i="19"/>
  <c r="W317" i="19"/>
  <c r="V405" i="19"/>
  <c r="L375" i="19"/>
  <c r="M433" i="19"/>
  <c r="F201" i="19"/>
  <c r="O491" i="19"/>
  <c r="AE317" i="19"/>
  <c r="M85" i="19"/>
  <c r="S433" i="19"/>
  <c r="AA143" i="19"/>
  <c r="H85" i="19"/>
  <c r="J375" i="19"/>
  <c r="X172" i="19"/>
  <c r="J172" i="19"/>
  <c r="F172" i="19"/>
  <c r="AB172" i="19"/>
  <c r="H172" i="19"/>
  <c r="E172" i="19"/>
  <c r="E230" i="19"/>
  <c r="Q172" i="19"/>
  <c r="E173" i="19"/>
  <c r="D434" i="19"/>
  <c r="D86" i="19"/>
  <c r="D318" i="19"/>
  <c r="D317" i="19"/>
  <c r="D433" i="19"/>
  <c r="D85" i="19"/>
  <c r="AD317" i="19"/>
  <c r="AD433" i="19"/>
  <c r="L201" i="19"/>
  <c r="M201" i="19"/>
  <c r="T230" i="19"/>
  <c r="AD201" i="19"/>
  <c r="U201" i="19"/>
  <c r="K201" i="19"/>
  <c r="AD462" i="19"/>
  <c r="AD346" i="19"/>
  <c r="AA346" i="19"/>
  <c r="U114" i="19"/>
  <c r="F346" i="19"/>
  <c r="I230" i="19"/>
  <c r="R491" i="19"/>
  <c r="AC375" i="19"/>
  <c r="O433" i="19"/>
  <c r="K317" i="19"/>
  <c r="L491" i="19"/>
  <c r="M317" i="19"/>
  <c r="AA317" i="19"/>
  <c r="E260" i="19"/>
  <c r="Q317" i="19"/>
  <c r="AD375" i="19"/>
  <c r="AD143" i="19"/>
  <c r="AC317" i="19"/>
  <c r="W172" i="19"/>
  <c r="F375" i="19"/>
  <c r="T375" i="19"/>
  <c r="AD85" i="19"/>
  <c r="Z433" i="19"/>
  <c r="G85" i="19"/>
  <c r="AE375" i="19"/>
  <c r="AB433" i="19"/>
  <c r="AE491" i="19"/>
  <c r="H317" i="19"/>
  <c r="K172" i="19"/>
  <c r="Z143" i="19"/>
  <c r="O172" i="19"/>
  <c r="U85" i="19"/>
  <c r="I491" i="19"/>
  <c r="O85" i="19"/>
  <c r="K375" i="19"/>
  <c r="M143" i="19"/>
  <c r="H433" i="19"/>
  <c r="Y433" i="19"/>
  <c r="J317" i="19"/>
  <c r="N172" i="19"/>
  <c r="AC172" i="19"/>
  <c r="R172" i="19"/>
  <c r="E462" i="19"/>
  <c r="G289" i="19"/>
  <c r="F311" i="19"/>
  <c r="U172" i="19"/>
  <c r="M172" i="19"/>
  <c r="Y172" i="19"/>
  <c r="Z172" i="19"/>
  <c r="D462" i="19"/>
  <c r="D114" i="19"/>
  <c r="D346" i="19"/>
  <c r="D57" i="19"/>
  <c r="D405" i="19"/>
  <c r="T433" i="19"/>
  <c r="AE201" i="19"/>
  <c r="X201" i="19"/>
  <c r="J433" i="19"/>
  <c r="E317" i="19"/>
  <c r="I85" i="19"/>
  <c r="G201" i="19"/>
  <c r="P201" i="19"/>
  <c r="AD230" i="19"/>
  <c r="AA230" i="19"/>
  <c r="Z201" i="19"/>
  <c r="M462" i="19"/>
  <c r="D375" i="19"/>
  <c r="D491" i="19"/>
  <c r="D143" i="19"/>
  <c r="F85" i="19"/>
  <c r="S317" i="19"/>
  <c r="N375" i="19"/>
  <c r="P317" i="19"/>
  <c r="AA433" i="19"/>
  <c r="Z462" i="19"/>
  <c r="Z114" i="19"/>
  <c r="G462" i="19"/>
  <c r="AE114" i="19"/>
  <c r="AE346" i="19"/>
  <c r="S346" i="19"/>
  <c r="Q114" i="19"/>
  <c r="H114" i="19"/>
  <c r="AC230" i="19"/>
  <c r="Y230" i="19"/>
  <c r="O230" i="19"/>
  <c r="Y491" i="19"/>
  <c r="AE143" i="19"/>
  <c r="H143" i="19"/>
  <c r="AA491" i="19"/>
  <c r="L462" i="19"/>
  <c r="AC462" i="19"/>
  <c r="L346" i="19"/>
  <c r="AE462" i="19"/>
  <c r="AA114" i="19"/>
  <c r="W346" i="19"/>
  <c r="N346" i="19"/>
  <c r="Y462" i="19"/>
  <c r="Z346" i="19"/>
  <c r="Z230" i="19"/>
  <c r="E433" i="19"/>
  <c r="G491" i="19"/>
  <c r="S491" i="19"/>
  <c r="O375" i="19"/>
  <c r="Y375" i="19"/>
  <c r="N114" i="19"/>
  <c r="Y346" i="19"/>
  <c r="S114" i="19"/>
  <c r="G346" i="19"/>
  <c r="N491" i="19"/>
  <c r="K143" i="19"/>
  <c r="R375" i="19"/>
  <c r="AE85" i="19"/>
  <c r="U317" i="19"/>
  <c r="H491" i="19"/>
  <c r="P433" i="19"/>
  <c r="L433" i="19"/>
  <c r="X85" i="19"/>
  <c r="V85" i="19"/>
  <c r="F433" i="19"/>
  <c r="X462" i="19"/>
  <c r="R462" i="19"/>
  <c r="X346" i="19"/>
  <c r="R114" i="19"/>
  <c r="AC346" i="19"/>
  <c r="W114" i="19"/>
  <c r="O346" i="19"/>
  <c r="Q462" i="19"/>
  <c r="R346" i="19"/>
  <c r="AC114" i="19"/>
  <c r="R230" i="19"/>
  <c r="N230" i="19"/>
  <c r="P230" i="19"/>
  <c r="S230" i="19"/>
  <c r="AE433" i="19"/>
  <c r="E491" i="19"/>
  <c r="AB85" i="19"/>
  <c r="G433" i="19"/>
  <c r="V433" i="19"/>
  <c r="I201" i="19"/>
  <c r="AC201" i="19"/>
  <c r="R201" i="19"/>
  <c r="U491" i="19"/>
  <c r="P85" i="19"/>
  <c r="V375" i="19"/>
  <c r="S172" i="19"/>
  <c r="X491" i="19"/>
  <c r="Z317" i="19"/>
  <c r="AC433" i="19"/>
  <c r="J85" i="19"/>
  <c r="P172" i="19"/>
  <c r="AC491" i="19"/>
  <c r="L85" i="19"/>
  <c r="F143" i="19"/>
  <c r="Q433" i="19"/>
  <c r="AB317" i="19"/>
  <c r="L172" i="19"/>
  <c r="V172" i="19"/>
  <c r="T172" i="19"/>
  <c r="AE172" i="19"/>
  <c r="E114" i="19"/>
  <c r="W85" i="19"/>
  <c r="CQ27" i="6"/>
  <c r="E32" i="1" s="1"/>
  <c r="E29" i="19"/>
  <c r="J29" i="19"/>
  <c r="D202" i="19" s="1"/>
  <c r="BK65" i="6"/>
  <c r="J32" i="1" s="1"/>
  <c r="CQ65" i="6"/>
  <c r="K32" i="1" s="1"/>
  <c r="K29" i="19"/>
  <c r="D231" i="19" s="1"/>
  <c r="H60" i="49" l="1"/>
  <c r="G81" i="49"/>
  <c r="D2" i="49"/>
  <c r="D6" i="49" s="1"/>
  <c r="D10" i="49" s="1"/>
  <c r="D18" i="49" s="1"/>
  <c r="G80" i="5"/>
  <c r="G30" i="49"/>
  <c r="F52" i="49"/>
  <c r="C52" i="49"/>
  <c r="D51" i="49"/>
  <c r="D52" i="49" s="1"/>
  <c r="E3" i="49"/>
  <c r="E7" i="49" s="1"/>
  <c r="E11" i="49" s="1"/>
  <c r="E19" i="49" s="1"/>
  <c r="H79" i="5"/>
  <c r="AI74" i="23"/>
  <c r="AI92" i="23" s="1"/>
  <c r="AI110" i="23" s="1"/>
  <c r="D261" i="21"/>
  <c r="E282" i="20"/>
  <c r="G187" i="1" s="1"/>
  <c r="G109" i="1"/>
  <c r="F282" i="20"/>
  <c r="F261" i="21" s="1"/>
  <c r="H109" i="1"/>
  <c r="H53" i="20"/>
  <c r="G32" i="21"/>
  <c r="AM32" i="21" s="1"/>
  <c r="G54" i="20"/>
  <c r="F33" i="21"/>
  <c r="AL33" i="21" s="1"/>
  <c r="F84" i="20"/>
  <c r="E63" i="21"/>
  <c r="AK63" i="21" s="1"/>
  <c r="G83" i="20"/>
  <c r="F62" i="21"/>
  <c r="AL62" i="21" s="1"/>
  <c r="F315" i="20"/>
  <c r="E294" i="21"/>
  <c r="AK294" i="21" s="1"/>
  <c r="C174" i="20"/>
  <c r="F171" i="20"/>
  <c r="E150" i="21"/>
  <c r="AK150" i="21" s="1"/>
  <c r="C58" i="20"/>
  <c r="D113" i="20"/>
  <c r="C345" i="20"/>
  <c r="C92" i="21"/>
  <c r="AI92" i="21" s="1"/>
  <c r="C318" i="20"/>
  <c r="D86" i="20"/>
  <c r="C65" i="21"/>
  <c r="AI65" i="21" s="1"/>
  <c r="E287" i="20"/>
  <c r="D266" i="21"/>
  <c r="AJ266" i="21" s="1"/>
  <c r="D144" i="20"/>
  <c r="C123" i="21"/>
  <c r="AI123" i="21" s="1"/>
  <c r="E112" i="20"/>
  <c r="D91" i="21"/>
  <c r="AJ91" i="21" s="1"/>
  <c r="F229" i="20"/>
  <c r="E208" i="21"/>
  <c r="AK208" i="21" s="1"/>
  <c r="E343" i="20"/>
  <c r="D322" i="21"/>
  <c r="AJ322" i="21" s="1"/>
  <c r="G257" i="20"/>
  <c r="F236" i="21"/>
  <c r="AL236" i="21" s="1"/>
  <c r="H140" i="20"/>
  <c r="G119" i="21"/>
  <c r="AM119" i="21" s="1"/>
  <c r="D432" i="20"/>
  <c r="C411" i="21"/>
  <c r="AI411" i="21" s="1"/>
  <c r="H82" i="20"/>
  <c r="G61" i="21"/>
  <c r="AM61" i="21" s="1"/>
  <c r="H25" i="20"/>
  <c r="G4" i="21"/>
  <c r="AM4" i="21" s="1"/>
  <c r="C376" i="20"/>
  <c r="D260" i="20"/>
  <c r="C239" i="21"/>
  <c r="AI239" i="21" s="1"/>
  <c r="E56" i="20"/>
  <c r="D35" i="21"/>
  <c r="AJ35" i="21" s="1"/>
  <c r="D202" i="20"/>
  <c r="C181" i="21"/>
  <c r="AI181" i="21" s="1"/>
  <c r="C114" i="20"/>
  <c r="E402" i="20"/>
  <c r="D381" i="21"/>
  <c r="AJ381" i="21" s="1"/>
  <c r="F258" i="20"/>
  <c r="E237" i="21"/>
  <c r="AK237" i="21" s="1"/>
  <c r="H227" i="20"/>
  <c r="G206" i="21"/>
  <c r="AM206" i="21" s="1"/>
  <c r="E374" i="20"/>
  <c r="D353" i="21"/>
  <c r="AJ353" i="21" s="1"/>
  <c r="F111" i="20"/>
  <c r="E90" i="21"/>
  <c r="AK90" i="21" s="1"/>
  <c r="E431" i="20"/>
  <c r="D410" i="21"/>
  <c r="AJ410" i="21" s="1"/>
  <c r="G285" i="20"/>
  <c r="F264" i="21"/>
  <c r="AL264" i="21" s="1"/>
  <c r="C87" i="20"/>
  <c r="D403" i="20"/>
  <c r="C382" i="21"/>
  <c r="AI382" i="21" s="1"/>
  <c r="F200" i="20"/>
  <c r="E179" i="21"/>
  <c r="AK179" i="21" s="1"/>
  <c r="C145" i="20"/>
  <c r="C460" i="20"/>
  <c r="D344" i="20"/>
  <c r="C323" i="21"/>
  <c r="AI323" i="21" s="1"/>
  <c r="H198" i="20"/>
  <c r="G177" i="21"/>
  <c r="AM177" i="21" s="1"/>
  <c r="G228" i="20"/>
  <c r="F207" i="21"/>
  <c r="AL207" i="21" s="1"/>
  <c r="F401" i="20"/>
  <c r="E380" i="21"/>
  <c r="AK380" i="21" s="1"/>
  <c r="D29" i="20"/>
  <c r="C261" i="20"/>
  <c r="C8" i="21"/>
  <c r="AI8" i="21" s="1"/>
  <c r="E230" i="20"/>
  <c r="D209" i="21"/>
  <c r="AJ209" i="21" s="1"/>
  <c r="D459" i="20"/>
  <c r="C438" i="21"/>
  <c r="AI438" i="21" s="1"/>
  <c r="F373" i="20"/>
  <c r="E352" i="21"/>
  <c r="AK352" i="21" s="1"/>
  <c r="D317" i="20"/>
  <c r="C433" i="20"/>
  <c r="C296" i="21"/>
  <c r="AI296" i="21" s="1"/>
  <c r="D231" i="20"/>
  <c r="C210" i="21"/>
  <c r="AI210" i="21" s="1"/>
  <c r="E143" i="20"/>
  <c r="D122" i="21"/>
  <c r="AJ122" i="21" s="1"/>
  <c r="F142" i="20"/>
  <c r="E121" i="21"/>
  <c r="AK121" i="21" s="1"/>
  <c r="G199" i="20"/>
  <c r="F178" i="21"/>
  <c r="AL178" i="21" s="1"/>
  <c r="E172" i="20"/>
  <c r="D151" i="21"/>
  <c r="AJ151" i="21" s="1"/>
  <c r="E259" i="20"/>
  <c r="D238" i="21"/>
  <c r="AJ238" i="21" s="1"/>
  <c r="F55" i="20"/>
  <c r="E34" i="21"/>
  <c r="AK34" i="21" s="1"/>
  <c r="D288" i="20"/>
  <c r="C404" i="20"/>
  <c r="C267" i="21"/>
  <c r="AI267" i="21" s="1"/>
  <c r="C203" i="20"/>
  <c r="F286" i="20"/>
  <c r="E265" i="21"/>
  <c r="AK265" i="21" s="1"/>
  <c r="E316" i="20"/>
  <c r="D295" i="21"/>
  <c r="AJ295" i="21" s="1"/>
  <c r="E28" i="20"/>
  <c r="D7" i="21"/>
  <c r="AJ7" i="21" s="1"/>
  <c r="G170" i="20"/>
  <c r="F149" i="21"/>
  <c r="AL149" i="21" s="1"/>
  <c r="E201" i="20"/>
  <c r="D180" i="21"/>
  <c r="AJ180" i="21" s="1"/>
  <c r="C30" i="20"/>
  <c r="E85" i="20"/>
  <c r="D64" i="21"/>
  <c r="AJ64" i="21" s="1"/>
  <c r="D173" i="20"/>
  <c r="C152" i="21"/>
  <c r="AI152" i="21" s="1"/>
  <c r="C232" i="20"/>
  <c r="G141" i="20"/>
  <c r="F120" i="21"/>
  <c r="AL120" i="21" s="1"/>
  <c r="C289" i="20"/>
  <c r="D57" i="20"/>
  <c r="C36" i="21"/>
  <c r="AI36" i="21" s="1"/>
  <c r="D375" i="20"/>
  <c r="C354" i="21"/>
  <c r="AI354" i="21" s="1"/>
  <c r="G26" i="20"/>
  <c r="F5" i="21"/>
  <c r="AL5" i="21" s="1"/>
  <c r="G314" i="20"/>
  <c r="F293" i="21"/>
  <c r="AL293" i="21" s="1"/>
  <c r="F430" i="20"/>
  <c r="E409" i="21"/>
  <c r="AK409" i="21" s="1"/>
  <c r="F27" i="20"/>
  <c r="E6" i="21"/>
  <c r="AK6" i="21" s="1"/>
  <c r="H169" i="20"/>
  <c r="G148" i="21"/>
  <c r="AM148" i="21" s="1"/>
  <c r="Q260" i="19"/>
  <c r="R261" i="19" s="1"/>
  <c r="AD57" i="19"/>
  <c r="N405" i="19"/>
  <c r="O406" i="19" s="1"/>
  <c r="U405" i="19"/>
  <c r="O57" i="19"/>
  <c r="P58" i="19" s="1"/>
  <c r="AE173" i="19"/>
  <c r="F405" i="19"/>
  <c r="K57" i="19"/>
  <c r="N260" i="19"/>
  <c r="O261" i="19" s="1"/>
  <c r="R57" i="19"/>
  <c r="S405" i="19"/>
  <c r="L260" i="19"/>
  <c r="Z260" i="19"/>
  <c r="AA261" i="19" s="1"/>
  <c r="AE260" i="19"/>
  <c r="AD260" i="19"/>
  <c r="J173" i="19"/>
  <c r="U57" i="19"/>
  <c r="V58" i="19" s="1"/>
  <c r="Q57" i="19"/>
  <c r="AE57" i="19"/>
  <c r="S57" i="19"/>
  <c r="N57" i="19"/>
  <c r="R405" i="19"/>
  <c r="AD405" i="19"/>
  <c r="Y405" i="19"/>
  <c r="W260" i="19"/>
  <c r="X261" i="19" s="1"/>
  <c r="O405" i="19"/>
  <c r="T405" i="19"/>
  <c r="J405" i="19"/>
  <c r="U260" i="19"/>
  <c r="I405" i="19"/>
  <c r="Y260" i="19"/>
  <c r="AB260" i="19"/>
  <c r="T260" i="19"/>
  <c r="AA405" i="19"/>
  <c r="L57" i="19"/>
  <c r="AC405" i="19"/>
  <c r="S260" i="19"/>
  <c r="Z57" i="19"/>
  <c r="X405" i="19"/>
  <c r="R260" i="19"/>
  <c r="H405" i="19"/>
  <c r="J57" i="19"/>
  <c r="G405" i="19"/>
  <c r="P405" i="19"/>
  <c r="H173" i="19"/>
  <c r="AA260" i="19"/>
  <c r="M405" i="19"/>
  <c r="AB405" i="19"/>
  <c r="J260" i="19"/>
  <c r="AB57" i="19"/>
  <c r="C419" i="23"/>
  <c r="V260" i="19"/>
  <c r="W57" i="19"/>
  <c r="I260" i="19"/>
  <c r="X260" i="19"/>
  <c r="H57" i="19"/>
  <c r="H260" i="19"/>
  <c r="W405" i="19"/>
  <c r="Z173" i="19"/>
  <c r="Q376" i="19"/>
  <c r="I376" i="19"/>
  <c r="U492" i="19"/>
  <c r="M318" i="19"/>
  <c r="AA376" i="19"/>
  <c r="P144" i="19"/>
  <c r="AA492" i="19"/>
  <c r="DW28" i="6"/>
  <c r="F33" i="1" s="1"/>
  <c r="F31" i="19" s="1"/>
  <c r="W173" i="19"/>
  <c r="L405" i="19"/>
  <c r="Y57" i="19"/>
  <c r="AD173" i="19"/>
  <c r="AC434" i="19"/>
  <c r="R173" i="19"/>
  <c r="Y173" i="19"/>
  <c r="AB173" i="19"/>
  <c r="AC144" i="19"/>
  <c r="P57" i="19"/>
  <c r="X434" i="19"/>
  <c r="AD86" i="19"/>
  <c r="R492" i="19"/>
  <c r="J376" i="19"/>
  <c r="X492" i="19"/>
  <c r="Q144" i="19"/>
  <c r="G492" i="19"/>
  <c r="U86" i="19"/>
  <c r="N492" i="19"/>
  <c r="S144" i="19"/>
  <c r="T145" i="19" s="1"/>
  <c r="M173" i="19"/>
  <c r="T173" i="19"/>
  <c r="AC173" i="19"/>
  <c r="AC492" i="19"/>
  <c r="T144" i="19"/>
  <c r="AC376" i="19"/>
  <c r="X144" i="19"/>
  <c r="H376" i="19"/>
  <c r="Q173" i="19"/>
  <c r="AE405" i="19"/>
  <c r="M57" i="19"/>
  <c r="N173" i="19"/>
  <c r="G260" i="19"/>
  <c r="AC260" i="19"/>
  <c r="F57" i="19"/>
  <c r="I57" i="19"/>
  <c r="S434" i="19"/>
  <c r="K144" i="19"/>
  <c r="F376" i="19"/>
  <c r="J434" i="19"/>
  <c r="AC57" i="19"/>
  <c r="O144" i="19"/>
  <c r="Q492" i="19"/>
  <c r="W144" i="19"/>
  <c r="R376" i="19"/>
  <c r="Y376" i="19"/>
  <c r="O318" i="19"/>
  <c r="X376" i="19"/>
  <c r="F144" i="19"/>
  <c r="V434" i="19"/>
  <c r="T376" i="19"/>
  <c r="S86" i="19"/>
  <c r="AE492" i="19"/>
  <c r="M144" i="19"/>
  <c r="Y144" i="19"/>
  <c r="O173" i="19"/>
  <c r="L173" i="19"/>
  <c r="W318" i="19"/>
  <c r="N376" i="19"/>
  <c r="H144" i="19"/>
  <c r="C449" i="23"/>
  <c r="D450" i="23" s="1"/>
  <c r="E451" i="23" s="1"/>
  <c r="F452" i="23" s="1"/>
  <c r="G453" i="23" s="1"/>
  <c r="H454" i="23" s="1"/>
  <c r="I455" i="23" s="1"/>
  <c r="J456" i="23" s="1"/>
  <c r="K457" i="23" s="1"/>
  <c r="L458" i="23" s="1"/>
  <c r="M459" i="23" s="1"/>
  <c r="N460" i="23" s="1"/>
  <c r="O461" i="23" s="1"/>
  <c r="V57" i="19"/>
  <c r="AE28" i="6"/>
  <c r="U173" i="19"/>
  <c r="AC318" i="19"/>
  <c r="O260" i="19"/>
  <c r="T57" i="19"/>
  <c r="V173" i="19"/>
  <c r="S173" i="19"/>
  <c r="P173" i="19"/>
  <c r="X173" i="19"/>
  <c r="K260" i="19"/>
  <c r="G57" i="19"/>
  <c r="F173" i="19"/>
  <c r="K173" i="19"/>
  <c r="Z405" i="19"/>
  <c r="L434" i="19"/>
  <c r="F86" i="19"/>
  <c r="Y434" i="19"/>
  <c r="AD144" i="19"/>
  <c r="K492" i="19"/>
  <c r="G318" i="19"/>
  <c r="U144" i="19"/>
  <c r="Q405" i="19"/>
  <c r="L86" i="19"/>
  <c r="AB376" i="19"/>
  <c r="AB86" i="19"/>
  <c r="V144" i="19"/>
  <c r="R144" i="19"/>
  <c r="Z144" i="19"/>
  <c r="AA57" i="19"/>
  <c r="P318" i="19"/>
  <c r="C478" i="23"/>
  <c r="DW66" i="6"/>
  <c r="L33" i="1" s="1"/>
  <c r="L31" i="19" s="1"/>
  <c r="D262" i="19" s="1"/>
  <c r="AE66" i="6"/>
  <c r="I33" i="1" s="1"/>
  <c r="I31" i="19" s="1"/>
  <c r="D175" i="19" s="1"/>
  <c r="BK28" i="6"/>
  <c r="D33" i="1" s="1"/>
  <c r="D31" i="19" s="1"/>
  <c r="F174" i="19"/>
  <c r="S202" i="19"/>
  <c r="O202" i="19"/>
  <c r="Q261" i="19"/>
  <c r="E319" i="19"/>
  <c r="U202" i="19"/>
  <c r="E493" i="19"/>
  <c r="P202" i="19"/>
  <c r="E174" i="19"/>
  <c r="D115" i="19"/>
  <c r="D347" i="19"/>
  <c r="D463" i="19"/>
  <c r="R434" i="19"/>
  <c r="AD434" i="19"/>
  <c r="R463" i="19"/>
  <c r="H347" i="19"/>
  <c r="T492" i="19"/>
  <c r="O347" i="19"/>
  <c r="AD231" i="19"/>
  <c r="AA463" i="19"/>
  <c r="G86" i="19"/>
  <c r="E376" i="19"/>
  <c r="U434" i="19"/>
  <c r="U463" i="19"/>
  <c r="W115" i="19"/>
  <c r="K318" i="19"/>
  <c r="AA434" i="19"/>
  <c r="M492" i="19"/>
  <c r="AB347" i="19"/>
  <c r="AE463" i="19"/>
  <c r="F231" i="19"/>
  <c r="N86" i="19"/>
  <c r="AA86" i="19"/>
  <c r="AC231" i="19"/>
  <c r="W231" i="19"/>
  <c r="X86" i="19"/>
  <c r="D145" i="19"/>
  <c r="D377" i="19"/>
  <c r="D493" i="19"/>
  <c r="AD202" i="19"/>
  <c r="F492" i="19"/>
  <c r="AD115" i="19"/>
  <c r="X115" i="19"/>
  <c r="W86" i="19"/>
  <c r="Z347" i="19"/>
  <c r="Z376" i="19"/>
  <c r="F115" i="19"/>
  <c r="K86" i="19"/>
  <c r="L406" i="19"/>
  <c r="Q86" i="19"/>
  <c r="J202" i="19"/>
  <c r="Q231" i="19"/>
  <c r="S347" i="19"/>
  <c r="AD347" i="19"/>
  <c r="Y463" i="19"/>
  <c r="Y86" i="19"/>
  <c r="I492" i="19"/>
  <c r="S376" i="19"/>
  <c r="O115" i="19"/>
  <c r="P376" i="19"/>
  <c r="Z463" i="19"/>
  <c r="Z231" i="19"/>
  <c r="T347" i="19"/>
  <c r="AA115" i="19"/>
  <c r="Q318" i="19"/>
  <c r="T318" i="19"/>
  <c r="E492" i="19"/>
  <c r="AE231" i="19"/>
  <c r="H202" i="19"/>
  <c r="J86" i="19"/>
  <c r="E58" i="19"/>
  <c r="E261" i="19"/>
  <c r="AB202" i="19"/>
  <c r="N231" i="19"/>
  <c r="V463" i="19"/>
  <c r="F406" i="19"/>
  <c r="P463" i="19"/>
  <c r="R347" i="19"/>
  <c r="V347" i="19"/>
  <c r="P86" i="19"/>
  <c r="I318" i="19"/>
  <c r="G376" i="19"/>
  <c r="N318" i="19"/>
  <c r="S492" i="19"/>
  <c r="V115" i="19"/>
  <c r="AE202" i="19"/>
  <c r="AE434" i="19"/>
  <c r="E318" i="19"/>
  <c r="Y58" i="19"/>
  <c r="M231" i="19"/>
  <c r="W463" i="19"/>
  <c r="T434" i="19"/>
  <c r="W492" i="19"/>
  <c r="R86" i="19"/>
  <c r="H231" i="19"/>
  <c r="Y115" i="19"/>
  <c r="X202" i="19"/>
  <c r="I231" i="19"/>
  <c r="AC202" i="19"/>
  <c r="O86" i="19"/>
  <c r="T202" i="19"/>
  <c r="E202" i="19"/>
  <c r="I347" i="19"/>
  <c r="L463" i="19"/>
  <c r="X231" i="19"/>
  <c r="E377" i="19"/>
  <c r="D406" i="19"/>
  <c r="D58" i="19"/>
  <c r="AD492" i="19"/>
  <c r="AA318" i="19"/>
  <c r="W434" i="19"/>
  <c r="O231" i="19"/>
  <c r="G434" i="19"/>
  <c r="M347" i="19"/>
  <c r="Z492" i="19"/>
  <c r="O376" i="19"/>
  <c r="E347" i="19"/>
  <c r="K347" i="19"/>
  <c r="Q347" i="19"/>
  <c r="J492" i="19"/>
  <c r="AE144" i="19"/>
  <c r="L318" i="19"/>
  <c r="AE318" i="19"/>
  <c r="G173" i="19"/>
  <c r="U318" i="19"/>
  <c r="O434" i="19"/>
  <c r="U347" i="19"/>
  <c r="Z86" i="19"/>
  <c r="AE115" i="19"/>
  <c r="J463" i="19"/>
  <c r="Q115" i="19"/>
  <c r="W376" i="19"/>
  <c r="AC86" i="19"/>
  <c r="S231" i="19"/>
  <c r="P347" i="19"/>
  <c r="Y347" i="19"/>
  <c r="M434" i="19"/>
  <c r="V318" i="19"/>
  <c r="O492" i="19"/>
  <c r="T115" i="19"/>
  <c r="H492" i="19"/>
  <c r="AA231" i="19"/>
  <c r="X347" i="19"/>
  <c r="AD463" i="19"/>
  <c r="AB492" i="19"/>
  <c r="I115" i="19"/>
  <c r="N463" i="19"/>
  <c r="F318" i="19"/>
  <c r="E115" i="19"/>
  <c r="AA173" i="19"/>
  <c r="G261" i="19"/>
  <c r="H115" i="19"/>
  <c r="H290" i="19"/>
  <c r="G311" i="19"/>
  <c r="V231" i="19"/>
  <c r="AC463" i="19"/>
  <c r="L347" i="19"/>
  <c r="Q463" i="19"/>
  <c r="F463" i="19"/>
  <c r="Z434" i="19"/>
  <c r="N144" i="19"/>
  <c r="V86" i="19"/>
  <c r="U376" i="19"/>
  <c r="AE376" i="19"/>
  <c r="P434" i="19"/>
  <c r="J231" i="19"/>
  <c r="AE347" i="19"/>
  <c r="L202" i="19"/>
  <c r="N202" i="19"/>
  <c r="E86" i="19"/>
  <c r="E87" i="19"/>
  <c r="F347" i="19"/>
  <c r="F202" i="19"/>
  <c r="N347" i="19"/>
  <c r="G115" i="19"/>
  <c r="W347" i="19"/>
  <c r="K376" i="19"/>
  <c r="I86" i="19"/>
  <c r="N261" i="19"/>
  <c r="G202" i="19"/>
  <c r="M376" i="19"/>
  <c r="W406" i="19"/>
  <c r="T86" i="19"/>
  <c r="G463" i="19"/>
  <c r="J318" i="19"/>
  <c r="Y318" i="19"/>
  <c r="L492" i="19"/>
  <c r="K231" i="19"/>
  <c r="O463" i="19"/>
  <c r="Z202" i="19"/>
  <c r="S318" i="19"/>
  <c r="W202" i="19"/>
  <c r="K202" i="19"/>
  <c r="U115" i="19"/>
  <c r="P115" i="19"/>
  <c r="M86" i="19"/>
  <c r="V492" i="19"/>
  <c r="S115" i="19"/>
  <c r="L144" i="19"/>
  <c r="L231" i="19"/>
  <c r="I434" i="19"/>
  <c r="AA144" i="19"/>
  <c r="AE86" i="19"/>
  <c r="AB463" i="19"/>
  <c r="R231" i="19"/>
  <c r="I173" i="19"/>
  <c r="P492" i="19"/>
  <c r="Z318" i="19"/>
  <c r="Z115" i="19"/>
  <c r="I202" i="19"/>
  <c r="G144" i="19"/>
  <c r="Y492" i="19"/>
  <c r="D87" i="19"/>
  <c r="D435" i="19"/>
  <c r="D319" i="19"/>
  <c r="H434" i="19"/>
  <c r="T231" i="19"/>
  <c r="S463" i="19"/>
  <c r="Q434" i="19"/>
  <c r="F434" i="19"/>
  <c r="AA347" i="19"/>
  <c r="AB115" i="19"/>
  <c r="M463" i="19"/>
  <c r="I144" i="19"/>
  <c r="P231" i="19"/>
  <c r="R115" i="19"/>
  <c r="H463" i="19"/>
  <c r="AB434" i="19"/>
  <c r="E144" i="19"/>
  <c r="AA202" i="19"/>
  <c r="AB231" i="19"/>
  <c r="Q202" i="19"/>
  <c r="K434" i="19"/>
  <c r="Y202" i="19"/>
  <c r="E406" i="19"/>
  <c r="E463" i="19"/>
  <c r="Y231" i="19"/>
  <c r="X463" i="19"/>
  <c r="J347" i="19"/>
  <c r="J115" i="19"/>
  <c r="AC115" i="19"/>
  <c r="L376" i="19"/>
  <c r="H86" i="19"/>
  <c r="AD318" i="19"/>
  <c r="R318" i="19"/>
  <c r="F261" i="19"/>
  <c r="AB318" i="19"/>
  <c r="AD376" i="19"/>
  <c r="G347" i="19"/>
  <c r="V202" i="19"/>
  <c r="U231" i="19"/>
  <c r="M202" i="19"/>
  <c r="E434" i="19"/>
  <c r="E435" i="19"/>
  <c r="I463" i="19"/>
  <c r="T463" i="19"/>
  <c r="L115" i="19"/>
  <c r="K115" i="19"/>
  <c r="AB144" i="19"/>
  <c r="N434" i="19"/>
  <c r="X318" i="19"/>
  <c r="V376" i="19"/>
  <c r="F58" i="19"/>
  <c r="H318" i="19"/>
  <c r="N115" i="19"/>
  <c r="R202" i="19"/>
  <c r="E231" i="19"/>
  <c r="M115" i="19"/>
  <c r="G231" i="19"/>
  <c r="AC347" i="19"/>
  <c r="K463" i="19"/>
  <c r="E145" i="19"/>
  <c r="K145" i="19"/>
  <c r="K30" i="19"/>
  <c r="D232" i="19" s="1"/>
  <c r="CQ66" i="6"/>
  <c r="K33" i="1" s="1"/>
  <c r="CQ28" i="6"/>
  <c r="E33" i="1" s="1"/>
  <c r="E30" i="19"/>
  <c r="BK66" i="6"/>
  <c r="J33" i="1" s="1"/>
  <c r="J30" i="19"/>
  <c r="D203" i="19" s="1"/>
  <c r="C33" i="1" l="1"/>
  <c r="C31" i="19" s="1"/>
  <c r="E130" i="5"/>
  <c r="N64" i="5"/>
  <c r="AJ74" i="23"/>
  <c r="AJ92" i="23" s="1"/>
  <c r="AJ110" i="23" s="1"/>
  <c r="E2" i="49"/>
  <c r="E6" i="49" s="1"/>
  <c r="E10" i="49" s="1"/>
  <c r="E18" i="49" s="1"/>
  <c r="H80" i="5"/>
  <c r="H31" i="49"/>
  <c r="G52" i="49"/>
  <c r="F3" i="49"/>
  <c r="F7" i="49" s="1"/>
  <c r="F11" i="49" s="1"/>
  <c r="F19" i="49" s="1"/>
  <c r="I79" i="5"/>
  <c r="C2" i="49"/>
  <c r="C6" i="49" s="1"/>
  <c r="F80" i="5"/>
  <c r="I61" i="49"/>
  <c r="H81" i="49"/>
  <c r="E261" i="21"/>
  <c r="DW67" i="6"/>
  <c r="L34" i="1" s="1"/>
  <c r="L32" i="19" s="1"/>
  <c r="D263" i="19" s="1"/>
  <c r="AE67" i="6"/>
  <c r="I34" i="1" s="1"/>
  <c r="I32" i="19" s="1"/>
  <c r="D176" i="19" s="1"/>
  <c r="DW29" i="6"/>
  <c r="F34" i="1" s="1"/>
  <c r="AK74" i="23"/>
  <c r="AK92" i="23" s="1"/>
  <c r="AK110" i="23" s="1"/>
  <c r="H187" i="1"/>
  <c r="G282" i="20"/>
  <c r="I187" i="1" s="1"/>
  <c r="I109" i="1"/>
  <c r="D145" i="20"/>
  <c r="C124" i="21"/>
  <c r="AI124" i="21" s="1"/>
  <c r="I25" i="20"/>
  <c r="H4" i="21"/>
  <c r="AN4" i="21" s="1"/>
  <c r="F112" i="20"/>
  <c r="E91" i="21"/>
  <c r="AK91" i="21" s="1"/>
  <c r="D318" i="20"/>
  <c r="C434" i="20"/>
  <c r="C297" i="21"/>
  <c r="AI297" i="21" s="1"/>
  <c r="E113" i="20"/>
  <c r="D92" i="21"/>
  <c r="AJ92" i="21" s="1"/>
  <c r="G171" i="20"/>
  <c r="F150" i="21"/>
  <c r="AL150" i="21" s="1"/>
  <c r="E57" i="20"/>
  <c r="D36" i="21"/>
  <c r="AJ36" i="21" s="1"/>
  <c r="H141" i="20"/>
  <c r="G120" i="21"/>
  <c r="AM120" i="21" s="1"/>
  <c r="E173" i="20"/>
  <c r="D152" i="21"/>
  <c r="AJ152" i="21" s="1"/>
  <c r="H170" i="20"/>
  <c r="G149" i="21"/>
  <c r="AM149" i="21" s="1"/>
  <c r="F316" i="20"/>
  <c r="E295" i="21"/>
  <c r="AK295" i="21" s="1"/>
  <c r="D203" i="20"/>
  <c r="C182" i="21"/>
  <c r="AI182" i="21" s="1"/>
  <c r="D404" i="20"/>
  <c r="C383" i="21"/>
  <c r="AI383" i="21" s="1"/>
  <c r="G373" i="20"/>
  <c r="F352" i="21"/>
  <c r="AL352" i="21" s="1"/>
  <c r="E29" i="20"/>
  <c r="D8" i="21"/>
  <c r="AJ8" i="21" s="1"/>
  <c r="H228" i="20"/>
  <c r="G207" i="21"/>
  <c r="AM207" i="21" s="1"/>
  <c r="E344" i="20"/>
  <c r="D323" i="21"/>
  <c r="AJ323" i="21" s="1"/>
  <c r="C146" i="20"/>
  <c r="E403" i="20"/>
  <c r="D382" i="21"/>
  <c r="AJ382" i="21" s="1"/>
  <c r="H285" i="20"/>
  <c r="G264" i="21"/>
  <c r="AM264" i="21" s="1"/>
  <c r="G111" i="20"/>
  <c r="F90" i="21"/>
  <c r="AL90" i="21" s="1"/>
  <c r="I227" i="20"/>
  <c r="H206" i="21"/>
  <c r="AN206" i="21" s="1"/>
  <c r="G258" i="20"/>
  <c r="F237" i="21"/>
  <c r="AL237" i="21" s="1"/>
  <c r="D114" i="20"/>
  <c r="C346" i="20"/>
  <c r="C93" i="21"/>
  <c r="AI93" i="21" s="1"/>
  <c r="E202" i="20"/>
  <c r="D181" i="21"/>
  <c r="AJ181" i="21" s="1"/>
  <c r="E260" i="20"/>
  <c r="D239" i="21"/>
  <c r="AJ239" i="21" s="1"/>
  <c r="E432" i="20"/>
  <c r="D411" i="21"/>
  <c r="AJ411" i="21" s="1"/>
  <c r="H257" i="20"/>
  <c r="G236" i="21"/>
  <c r="AM236" i="21" s="1"/>
  <c r="G229" i="20"/>
  <c r="F208" i="21"/>
  <c r="AL208" i="21" s="1"/>
  <c r="C290" i="20"/>
  <c r="D58" i="20"/>
  <c r="C37" i="21"/>
  <c r="AI37" i="21" s="1"/>
  <c r="D174" i="20"/>
  <c r="C153" i="21"/>
  <c r="AI153" i="21" s="1"/>
  <c r="G315" i="20"/>
  <c r="F294" i="21"/>
  <c r="AL294" i="21" s="1"/>
  <c r="G84" i="20"/>
  <c r="F63" i="21"/>
  <c r="AL63" i="21" s="1"/>
  <c r="I53" i="20"/>
  <c r="H32" i="21"/>
  <c r="AN32" i="21" s="1"/>
  <c r="I169" i="20"/>
  <c r="H148" i="21"/>
  <c r="AN148" i="21" s="1"/>
  <c r="F172" i="20"/>
  <c r="E151" i="21"/>
  <c r="AK151" i="21" s="1"/>
  <c r="E231" i="20"/>
  <c r="D210" i="21"/>
  <c r="AJ210" i="21" s="1"/>
  <c r="D261" i="20"/>
  <c r="C377" i="20"/>
  <c r="C240" i="21"/>
  <c r="AI240" i="21" s="1"/>
  <c r="F287" i="20"/>
  <c r="E266" i="21"/>
  <c r="AK266" i="21" s="1"/>
  <c r="G27" i="20"/>
  <c r="F6" i="21"/>
  <c r="AL6" i="21" s="1"/>
  <c r="H314" i="20"/>
  <c r="G293" i="21"/>
  <c r="AM293" i="21" s="1"/>
  <c r="E375" i="20"/>
  <c r="D354" i="21"/>
  <c r="AJ354" i="21" s="1"/>
  <c r="D289" i="20"/>
  <c r="C405" i="20"/>
  <c r="C268" i="21"/>
  <c r="AI268" i="21" s="1"/>
  <c r="D232" i="20"/>
  <c r="C211" i="21"/>
  <c r="AI211" i="21" s="1"/>
  <c r="C204" i="20"/>
  <c r="E288" i="20"/>
  <c r="D267" i="21"/>
  <c r="AJ267" i="21" s="1"/>
  <c r="F259" i="20"/>
  <c r="E238" i="21"/>
  <c r="AK238" i="21" s="1"/>
  <c r="H199" i="20"/>
  <c r="G178" i="21"/>
  <c r="AM178" i="21" s="1"/>
  <c r="F143" i="20"/>
  <c r="E122" i="21"/>
  <c r="AK122" i="21" s="1"/>
  <c r="D433" i="20"/>
  <c r="C412" i="21"/>
  <c r="AI412" i="21" s="1"/>
  <c r="F230" i="20"/>
  <c r="E209" i="21"/>
  <c r="AK209" i="21" s="1"/>
  <c r="D460" i="20"/>
  <c r="C439" i="21"/>
  <c r="AI439" i="21" s="1"/>
  <c r="D87" i="20"/>
  <c r="C319" i="20"/>
  <c r="C66" i="21"/>
  <c r="AI66" i="21" s="1"/>
  <c r="C115" i="20"/>
  <c r="D376" i="20"/>
  <c r="C355" i="21"/>
  <c r="AI355" i="21" s="1"/>
  <c r="I82" i="20"/>
  <c r="H61" i="21"/>
  <c r="AN61" i="21" s="1"/>
  <c r="E144" i="20"/>
  <c r="D123" i="21"/>
  <c r="AJ123" i="21" s="1"/>
  <c r="C59" i="20"/>
  <c r="C175" i="20"/>
  <c r="G430" i="20"/>
  <c r="F409" i="21"/>
  <c r="AL409" i="21" s="1"/>
  <c r="H26" i="20"/>
  <c r="G5" i="21"/>
  <c r="AM5" i="21" s="1"/>
  <c r="C31" i="20"/>
  <c r="G55" i="20"/>
  <c r="F34" i="21"/>
  <c r="AL34" i="21" s="1"/>
  <c r="G142" i="20"/>
  <c r="F121" i="21"/>
  <c r="AL121" i="21" s="1"/>
  <c r="E459" i="20"/>
  <c r="D438" i="21"/>
  <c r="AJ438" i="21" s="1"/>
  <c r="C233" i="20"/>
  <c r="F85" i="20"/>
  <c r="E64" i="21"/>
  <c r="AK64" i="21" s="1"/>
  <c r="C262" i="20"/>
  <c r="D30" i="20"/>
  <c r="C9" i="21"/>
  <c r="AI9" i="21" s="1"/>
  <c r="F201" i="20"/>
  <c r="E180" i="21"/>
  <c r="AK180" i="21" s="1"/>
  <c r="F28" i="20"/>
  <c r="E7" i="21"/>
  <c r="AK7" i="21" s="1"/>
  <c r="G286" i="20"/>
  <c r="F265" i="21"/>
  <c r="AL265" i="21" s="1"/>
  <c r="E317" i="20"/>
  <c r="D296" i="21"/>
  <c r="AJ296" i="21" s="1"/>
  <c r="G401" i="20"/>
  <c r="F380" i="21"/>
  <c r="AL380" i="21" s="1"/>
  <c r="I198" i="20"/>
  <c r="H177" i="21"/>
  <c r="AN177" i="21" s="1"/>
  <c r="G200" i="20"/>
  <c r="F179" i="21"/>
  <c r="AL179" i="21" s="1"/>
  <c r="C88" i="20"/>
  <c r="F431" i="20"/>
  <c r="E410" i="21"/>
  <c r="AK410" i="21" s="1"/>
  <c r="F374" i="20"/>
  <c r="E353" i="21"/>
  <c r="AK353" i="21" s="1"/>
  <c r="F402" i="20"/>
  <c r="E381" i="21"/>
  <c r="AK381" i="21" s="1"/>
  <c r="F56" i="20"/>
  <c r="E35" i="21"/>
  <c r="AK35" i="21" s="1"/>
  <c r="I140" i="20"/>
  <c r="H119" i="21"/>
  <c r="AN119" i="21" s="1"/>
  <c r="F343" i="20"/>
  <c r="E322" i="21"/>
  <c r="AK322" i="21" s="1"/>
  <c r="E86" i="20"/>
  <c r="D65" i="21"/>
  <c r="AJ65" i="21" s="1"/>
  <c r="C461" i="20"/>
  <c r="D345" i="20"/>
  <c r="C324" i="21"/>
  <c r="AI324" i="21" s="1"/>
  <c r="H83" i="20"/>
  <c r="G62" i="21"/>
  <c r="AM62" i="21" s="1"/>
  <c r="H54" i="20"/>
  <c r="G33" i="21"/>
  <c r="AM33" i="21" s="1"/>
  <c r="G406" i="19"/>
  <c r="AE58" i="19"/>
  <c r="L58" i="19"/>
  <c r="V406" i="19"/>
  <c r="R58" i="19"/>
  <c r="S406" i="19"/>
  <c r="U174" i="19"/>
  <c r="P406" i="19"/>
  <c r="S58" i="19"/>
  <c r="V145" i="19"/>
  <c r="Q319" i="19"/>
  <c r="Z406" i="19"/>
  <c r="M435" i="19"/>
  <c r="M261" i="19"/>
  <c r="AC406" i="19"/>
  <c r="Z261" i="19"/>
  <c r="H261" i="19"/>
  <c r="N406" i="19"/>
  <c r="K377" i="19"/>
  <c r="T58" i="19"/>
  <c r="J261" i="19"/>
  <c r="AE261" i="19"/>
  <c r="M58" i="19"/>
  <c r="AD435" i="19"/>
  <c r="K174" i="19"/>
  <c r="T406" i="19"/>
  <c r="H406" i="19"/>
  <c r="X406" i="19"/>
  <c r="M406" i="19"/>
  <c r="G377" i="19"/>
  <c r="T435" i="19"/>
  <c r="R145" i="19"/>
  <c r="AE87" i="19"/>
  <c r="Z435" i="19"/>
  <c r="U406" i="19"/>
  <c r="AE406" i="19"/>
  <c r="V87" i="19"/>
  <c r="Z174" i="19"/>
  <c r="AA175" i="19" s="1"/>
  <c r="Y406" i="19"/>
  <c r="I377" i="19"/>
  <c r="O58" i="19"/>
  <c r="L493" i="19"/>
  <c r="AD377" i="19"/>
  <c r="H493" i="19"/>
  <c r="H319" i="19"/>
  <c r="S145" i="19"/>
  <c r="L174" i="19"/>
  <c r="T87" i="19"/>
  <c r="N319" i="19"/>
  <c r="N58" i="19"/>
  <c r="I58" i="19"/>
  <c r="I406" i="19"/>
  <c r="S493" i="19"/>
  <c r="H58" i="19"/>
  <c r="N145" i="19"/>
  <c r="I174" i="19"/>
  <c r="K435" i="19"/>
  <c r="AE145" i="19"/>
  <c r="R174" i="19"/>
  <c r="R406" i="19"/>
  <c r="O174" i="19"/>
  <c r="Y435" i="19"/>
  <c r="Y493" i="19"/>
  <c r="AC261" i="19"/>
  <c r="J377" i="19"/>
  <c r="Q145" i="19"/>
  <c r="X145" i="19"/>
  <c r="X319" i="19"/>
  <c r="Y261" i="19"/>
  <c r="Z377" i="19"/>
  <c r="AD406" i="19"/>
  <c r="K406" i="19"/>
  <c r="I145" i="19"/>
  <c r="L261" i="19"/>
  <c r="Z58" i="19"/>
  <c r="W174" i="19"/>
  <c r="Y377" i="19"/>
  <c r="AD261" i="19"/>
  <c r="S261" i="19"/>
  <c r="Q58" i="19"/>
  <c r="Q406" i="19"/>
  <c r="AC377" i="19"/>
  <c r="Q174" i="19"/>
  <c r="W435" i="19"/>
  <c r="AD319" i="19"/>
  <c r="P174" i="19"/>
  <c r="P145" i="19"/>
  <c r="AE29" i="6"/>
  <c r="C34" i="1" s="1"/>
  <c r="C32" i="19" s="1"/>
  <c r="G58" i="19"/>
  <c r="AD174" i="19"/>
  <c r="AB261" i="19"/>
  <c r="R493" i="19"/>
  <c r="AC174" i="19"/>
  <c r="Y145" i="19"/>
  <c r="O493" i="19"/>
  <c r="X58" i="19"/>
  <c r="K58" i="19"/>
  <c r="Z145" i="19"/>
  <c r="U377" i="19"/>
  <c r="T261" i="19"/>
  <c r="U261" i="19"/>
  <c r="AB406" i="19"/>
  <c r="S174" i="19"/>
  <c r="AA58" i="19"/>
  <c r="J406" i="19"/>
  <c r="I261" i="19"/>
  <c r="V493" i="19"/>
  <c r="V261" i="19"/>
  <c r="U145" i="19"/>
  <c r="W261" i="19"/>
  <c r="X174" i="19"/>
  <c r="K261" i="19"/>
  <c r="M87" i="19"/>
  <c r="L145" i="19"/>
  <c r="J58" i="19"/>
  <c r="AB377" i="19"/>
  <c r="V174" i="19"/>
  <c r="R377" i="19"/>
  <c r="P319" i="19"/>
  <c r="C420" i="23"/>
  <c r="D421" i="23" s="1"/>
  <c r="E422" i="23" s="1"/>
  <c r="F423" i="23" s="1"/>
  <c r="G424" i="23" s="1"/>
  <c r="H425" i="23" s="1"/>
  <c r="I426" i="23" s="1"/>
  <c r="J427" i="23" s="1"/>
  <c r="K428" i="23" s="1"/>
  <c r="L429" i="23" s="1"/>
  <c r="M430" i="23" s="1"/>
  <c r="N431" i="23" s="1"/>
  <c r="O432" i="23" s="1"/>
  <c r="AC87" i="19"/>
  <c r="Y174" i="19"/>
  <c r="G145" i="19"/>
  <c r="AB493" i="19"/>
  <c r="O377" i="19"/>
  <c r="S377" i="19"/>
  <c r="AD145" i="19"/>
  <c r="M174" i="19"/>
  <c r="AB58" i="19"/>
  <c r="T174" i="19"/>
  <c r="AC58" i="19"/>
  <c r="D420" i="23"/>
  <c r="E421" i="23" s="1"/>
  <c r="F422" i="23" s="1"/>
  <c r="G423" i="23" s="1"/>
  <c r="H424" i="23" s="1"/>
  <c r="I425" i="23" s="1"/>
  <c r="J426" i="23" s="1"/>
  <c r="K427" i="23" s="1"/>
  <c r="L428" i="23" s="1"/>
  <c r="M429" i="23" s="1"/>
  <c r="N430" i="23" s="1"/>
  <c r="O431" i="23" s="1"/>
  <c r="P432" i="23" s="1"/>
  <c r="R435" i="19"/>
  <c r="Z493" i="19"/>
  <c r="I493" i="19"/>
  <c r="N435" i="19"/>
  <c r="AB319" i="19"/>
  <c r="U435" i="19"/>
  <c r="BK29" i="6"/>
  <c r="D34" i="1" s="1"/>
  <c r="D32" i="19" s="1"/>
  <c r="F435" i="19"/>
  <c r="AC319" i="19"/>
  <c r="I87" i="19"/>
  <c r="AC435" i="19"/>
  <c r="G435" i="19"/>
  <c r="I435" i="19"/>
  <c r="AA319" i="19"/>
  <c r="AA145" i="19"/>
  <c r="W145" i="19"/>
  <c r="T319" i="19"/>
  <c r="M493" i="19"/>
  <c r="W87" i="19"/>
  <c r="V319" i="19"/>
  <c r="AA493" i="19"/>
  <c r="T493" i="19"/>
  <c r="J319" i="19"/>
  <c r="AA174" i="19"/>
  <c r="K87" i="19"/>
  <c r="F493" i="19"/>
  <c r="O87" i="19"/>
  <c r="L319" i="19"/>
  <c r="C450" i="23"/>
  <c r="D451" i="23" s="1"/>
  <c r="E452" i="23" s="1"/>
  <c r="F453" i="23" s="1"/>
  <c r="G454" i="23" s="1"/>
  <c r="H455" i="23" s="1"/>
  <c r="I456" i="23" s="1"/>
  <c r="J457" i="23" s="1"/>
  <c r="K458" i="23" s="1"/>
  <c r="L459" i="23" s="1"/>
  <c r="M460" i="23" s="1"/>
  <c r="N461" i="23" s="1"/>
  <c r="Q435" i="19"/>
  <c r="V377" i="19"/>
  <c r="AC493" i="19"/>
  <c r="Z87" i="19"/>
  <c r="X87" i="19"/>
  <c r="I319" i="19"/>
  <c r="Y319" i="19"/>
  <c r="AE377" i="19"/>
  <c r="S319" i="19"/>
  <c r="AB145" i="19"/>
  <c r="N87" i="19"/>
  <c r="Z319" i="19"/>
  <c r="J87" i="19"/>
  <c r="AA435" i="19"/>
  <c r="G87" i="19"/>
  <c r="H435" i="19"/>
  <c r="R319" i="19"/>
  <c r="R87" i="19"/>
  <c r="AA406" i="19"/>
  <c r="P261" i="19"/>
  <c r="C479" i="23"/>
  <c r="D480" i="23" s="1"/>
  <c r="E481" i="23" s="1"/>
  <c r="F482" i="23" s="1"/>
  <c r="G483" i="23" s="1"/>
  <c r="H484" i="23" s="1"/>
  <c r="I485" i="23" s="1"/>
  <c r="J486" i="23" s="1"/>
  <c r="K487" i="23" s="1"/>
  <c r="L488" i="23" s="1"/>
  <c r="M489" i="23" s="1"/>
  <c r="N490" i="23" s="1"/>
  <c r="W377" i="19"/>
  <c r="W493" i="19"/>
  <c r="AA87" i="19"/>
  <c r="U319" i="19"/>
  <c r="D479" i="23"/>
  <c r="E480" i="23" s="1"/>
  <c r="F481" i="23" s="1"/>
  <c r="G482" i="23" s="1"/>
  <c r="H483" i="23" s="1"/>
  <c r="I484" i="23" s="1"/>
  <c r="J485" i="23" s="1"/>
  <c r="K486" i="23" s="1"/>
  <c r="L487" i="23" s="1"/>
  <c r="M488" i="23" s="1"/>
  <c r="N489" i="23" s="1"/>
  <c r="O490" i="23" s="1"/>
  <c r="O435" i="19"/>
  <c r="AC145" i="19"/>
  <c r="G174" i="19"/>
  <c r="AE319" i="19"/>
  <c r="M377" i="19"/>
  <c r="AD493" i="19"/>
  <c r="K319" i="19"/>
  <c r="L377" i="19"/>
  <c r="AE174" i="19"/>
  <c r="U58" i="19"/>
  <c r="P493" i="19"/>
  <c r="P435" i="19"/>
  <c r="P377" i="19"/>
  <c r="W58" i="19"/>
  <c r="P87" i="19"/>
  <c r="F319" i="19"/>
  <c r="Q87" i="19"/>
  <c r="J493" i="19"/>
  <c r="N174" i="19"/>
  <c r="Y87" i="19"/>
  <c r="AB435" i="19"/>
  <c r="H87" i="19"/>
  <c r="AE435" i="19"/>
  <c r="AD58" i="19"/>
  <c r="J232" i="19"/>
  <c r="E320" i="19"/>
  <c r="AD232" i="19"/>
  <c r="N116" i="19"/>
  <c r="N464" i="19"/>
  <c r="AE464" i="19"/>
  <c r="T232" i="19"/>
  <c r="F494" i="19"/>
  <c r="U146" i="19"/>
  <c r="Z116" i="19"/>
  <c r="AC348" i="19"/>
  <c r="AC116" i="19"/>
  <c r="AC464" i="19"/>
  <c r="M348" i="19"/>
  <c r="Q232" i="19"/>
  <c r="H464" i="19"/>
  <c r="G464" i="19"/>
  <c r="AD464" i="19"/>
  <c r="AB232" i="19"/>
  <c r="Z348" i="19"/>
  <c r="AE348" i="19"/>
  <c r="E262" i="19"/>
  <c r="G175" i="19"/>
  <c r="Y262" i="19"/>
  <c r="S464" i="19"/>
  <c r="E464" i="19"/>
  <c r="Y116" i="19"/>
  <c r="E146" i="19"/>
  <c r="R262" i="19"/>
  <c r="O116" i="19"/>
  <c r="AA116" i="19"/>
  <c r="O262" i="19"/>
  <c r="O232" i="19"/>
  <c r="U348" i="19"/>
  <c r="E348" i="19"/>
  <c r="L116" i="19"/>
  <c r="L435" i="19"/>
  <c r="X203" i="19"/>
  <c r="H116" i="19"/>
  <c r="G203" i="19"/>
  <c r="O145" i="19"/>
  <c r="F116" i="19"/>
  <c r="M319" i="19"/>
  <c r="F203" i="19"/>
  <c r="G116" i="19"/>
  <c r="D88" i="19"/>
  <c r="D320" i="19"/>
  <c r="D436" i="19"/>
  <c r="W203" i="19"/>
  <c r="G262" i="19"/>
  <c r="K116" i="19"/>
  <c r="F145" i="19"/>
  <c r="F320" i="19"/>
  <c r="J435" i="19"/>
  <c r="N377" i="19"/>
  <c r="M203" i="19"/>
  <c r="K232" i="19"/>
  <c r="R348" i="19"/>
  <c r="AE493" i="19"/>
  <c r="S87" i="19"/>
  <c r="O319" i="19"/>
  <c r="D494" i="19"/>
  <c r="D146" i="19"/>
  <c r="D378" i="19"/>
  <c r="F146" i="19"/>
  <c r="H232" i="19"/>
  <c r="U464" i="19"/>
  <c r="F436" i="19"/>
  <c r="H348" i="19"/>
  <c r="AD116" i="19"/>
  <c r="K348" i="19"/>
  <c r="Z232" i="19"/>
  <c r="F464" i="19"/>
  <c r="AB203" i="19"/>
  <c r="AB348" i="19"/>
  <c r="U232" i="19"/>
  <c r="P262" i="19"/>
  <c r="T116" i="19"/>
  <c r="Q116" i="19"/>
  <c r="L203" i="19"/>
  <c r="X348" i="19"/>
  <c r="O348" i="19"/>
  <c r="F88" i="19"/>
  <c r="R464" i="19"/>
  <c r="I116" i="19"/>
  <c r="G319" i="19"/>
  <c r="O464" i="19"/>
  <c r="J116" i="19"/>
  <c r="Y348" i="19"/>
  <c r="U116" i="19"/>
  <c r="W319" i="19"/>
  <c r="T203" i="19"/>
  <c r="K464" i="19"/>
  <c r="Q203" i="19"/>
  <c r="V348" i="19"/>
  <c r="L348" i="19"/>
  <c r="P232" i="19"/>
  <c r="F378" i="19"/>
  <c r="J348" i="19"/>
  <c r="AD203" i="19"/>
  <c r="Y203" i="19"/>
  <c r="I232" i="19"/>
  <c r="AB262" i="19"/>
  <c r="X464" i="19"/>
  <c r="W464" i="19"/>
  <c r="F262" i="19"/>
  <c r="AA464" i="19"/>
  <c r="P116" i="19"/>
  <c r="Z464" i="19"/>
  <c r="R232" i="19"/>
  <c r="L87" i="19"/>
  <c r="E378" i="19"/>
  <c r="X232" i="19"/>
  <c r="V464" i="19"/>
  <c r="F377" i="19"/>
  <c r="S435" i="19"/>
  <c r="L464" i="19"/>
  <c r="J464" i="19"/>
  <c r="V232" i="19"/>
  <c r="I464" i="19"/>
  <c r="M145" i="19"/>
  <c r="AA203" i="19"/>
  <c r="K493" i="19"/>
  <c r="N348" i="19"/>
  <c r="Y232" i="19"/>
  <c r="X493" i="19"/>
  <c r="W116" i="19"/>
  <c r="H377" i="19"/>
  <c r="W348" i="19"/>
  <c r="Q464" i="19"/>
  <c r="I203" i="19"/>
  <c r="K203" i="19"/>
  <c r="AA377" i="19"/>
  <c r="G493" i="19"/>
  <c r="AB87" i="19"/>
  <c r="V435" i="19"/>
  <c r="AE232" i="19"/>
  <c r="U493" i="19"/>
  <c r="S203" i="19"/>
  <c r="AC232" i="19"/>
  <c r="T464" i="19"/>
  <c r="E436" i="19"/>
  <c r="J174" i="19"/>
  <c r="P203" i="19"/>
  <c r="E232" i="19"/>
  <c r="V116" i="19"/>
  <c r="P464" i="19"/>
  <c r="F87" i="19"/>
  <c r="O203" i="19"/>
  <c r="I291" i="19"/>
  <c r="H311" i="19"/>
  <c r="X377" i="19"/>
  <c r="X435" i="19"/>
  <c r="Q377" i="19"/>
  <c r="I348" i="19"/>
  <c r="D464" i="19"/>
  <c r="D116" i="19"/>
  <c r="D348" i="19"/>
  <c r="L146" i="19"/>
  <c r="AD348" i="19"/>
  <c r="F232" i="19"/>
  <c r="M116" i="19"/>
  <c r="N203" i="19"/>
  <c r="Y464" i="19"/>
  <c r="Z203" i="19"/>
  <c r="R203" i="19"/>
  <c r="S116" i="19"/>
  <c r="J145" i="19"/>
  <c r="E88" i="19"/>
  <c r="H145" i="19"/>
  <c r="V203" i="19"/>
  <c r="J203" i="19"/>
  <c r="Q493" i="19"/>
  <c r="S232" i="19"/>
  <c r="M232" i="19"/>
  <c r="L232" i="19"/>
  <c r="U87" i="19"/>
  <c r="H203" i="19"/>
  <c r="G348" i="19"/>
  <c r="W232" i="19"/>
  <c r="H262" i="19"/>
  <c r="AB174" i="19"/>
  <c r="Q348" i="19"/>
  <c r="AD87" i="19"/>
  <c r="R116" i="19"/>
  <c r="F175" i="19"/>
  <c r="H174" i="19"/>
  <c r="F348" i="19"/>
  <c r="M464" i="19"/>
  <c r="U203" i="19"/>
  <c r="N232" i="19"/>
  <c r="S348" i="19"/>
  <c r="AC203" i="19"/>
  <c r="AB116" i="19"/>
  <c r="AA232" i="19"/>
  <c r="T377" i="19"/>
  <c r="T348" i="19"/>
  <c r="E203" i="19"/>
  <c r="AA348" i="19"/>
  <c r="AE116" i="19"/>
  <c r="AE203" i="19"/>
  <c r="E494" i="19"/>
  <c r="E175" i="19"/>
  <c r="G232" i="19"/>
  <c r="N493" i="19"/>
  <c r="X116" i="19"/>
  <c r="AB464" i="19"/>
  <c r="P348" i="19"/>
  <c r="S262" i="19"/>
  <c r="E116" i="19"/>
  <c r="DW68" i="6"/>
  <c r="L35" i="1" s="1"/>
  <c r="F32" i="19"/>
  <c r="CQ29" i="6"/>
  <c r="E34" i="1" s="1"/>
  <c r="E31" i="19"/>
  <c r="CQ67" i="6"/>
  <c r="K34" i="1" s="1"/>
  <c r="K31" i="19"/>
  <c r="D233" i="19" s="1"/>
  <c r="J31" i="19"/>
  <c r="D204" i="19" s="1"/>
  <c r="BK67" i="6"/>
  <c r="J34" i="1" s="1"/>
  <c r="AE30" i="6"/>
  <c r="C35" i="1" s="1"/>
  <c r="D59" i="19" l="1"/>
  <c r="F407" i="19"/>
  <c r="G408" i="19" s="1"/>
  <c r="F59" i="19"/>
  <c r="W59" i="19"/>
  <c r="E59" i="19"/>
  <c r="X407" i="19"/>
  <c r="E407" i="19"/>
  <c r="G59" i="19"/>
  <c r="H60" i="19" s="1"/>
  <c r="Z59" i="19"/>
  <c r="Q59" i="19"/>
  <c r="R60" i="19" s="1"/>
  <c r="G407" i="19"/>
  <c r="P407" i="19"/>
  <c r="Q408" i="19" s="1"/>
  <c r="D407" i="19"/>
  <c r="M407" i="19"/>
  <c r="N408" i="19" s="1"/>
  <c r="H407" i="19"/>
  <c r="N63" i="5"/>
  <c r="R63" i="5" s="1"/>
  <c r="E134" i="5"/>
  <c r="O64" i="5"/>
  <c r="S64" i="5" s="1"/>
  <c r="R64" i="5"/>
  <c r="AE68" i="6"/>
  <c r="I35" i="1" s="1"/>
  <c r="I33" i="19" s="1"/>
  <c r="D177" i="19" s="1"/>
  <c r="J62" i="49"/>
  <c r="I81" i="49"/>
  <c r="F2" i="49"/>
  <c r="F6" i="49" s="1"/>
  <c r="F10" i="49" s="1"/>
  <c r="F18" i="49" s="1"/>
  <c r="I80" i="5"/>
  <c r="G3" i="49"/>
  <c r="G7" i="49" s="1"/>
  <c r="G11" i="49" s="1"/>
  <c r="G19" i="49" s="1"/>
  <c r="J79" i="5"/>
  <c r="C10" i="49"/>
  <c r="C18" i="49" s="1"/>
  <c r="I32" i="49"/>
  <c r="H52" i="49"/>
  <c r="G261" i="21"/>
  <c r="DW30" i="6"/>
  <c r="F35" i="1" s="1"/>
  <c r="F33" i="19" s="1"/>
  <c r="AL74" i="23"/>
  <c r="AL92" i="23" s="1"/>
  <c r="AL110" i="23" s="1"/>
  <c r="H282" i="20"/>
  <c r="J187" i="1" s="1"/>
  <c r="J109" i="1"/>
  <c r="G56" i="20"/>
  <c r="F35" i="21"/>
  <c r="AL35" i="21" s="1"/>
  <c r="H286" i="20"/>
  <c r="G265" i="21"/>
  <c r="AM265" i="21" s="1"/>
  <c r="C32" i="20"/>
  <c r="E174" i="20"/>
  <c r="D153" i="21"/>
  <c r="AJ153" i="21" s="1"/>
  <c r="J227" i="20"/>
  <c r="I206" i="21"/>
  <c r="AO206" i="21" s="1"/>
  <c r="D146" i="20"/>
  <c r="C125" i="21"/>
  <c r="AI125" i="21" s="1"/>
  <c r="E404" i="20"/>
  <c r="D383" i="21"/>
  <c r="AJ383" i="21" s="1"/>
  <c r="I54" i="20"/>
  <c r="H33" i="21"/>
  <c r="AN33" i="21" s="1"/>
  <c r="F86" i="20"/>
  <c r="E65" i="21"/>
  <c r="AK65" i="21" s="1"/>
  <c r="J140" i="20"/>
  <c r="I119" i="21"/>
  <c r="AO119" i="21" s="1"/>
  <c r="G374" i="20"/>
  <c r="F353" i="21"/>
  <c r="AL353" i="21" s="1"/>
  <c r="C89" i="20"/>
  <c r="J198" i="20"/>
  <c r="I177" i="21"/>
  <c r="AO177" i="21" s="1"/>
  <c r="G85" i="20"/>
  <c r="F64" i="21"/>
  <c r="AL64" i="21" s="1"/>
  <c r="F459" i="20"/>
  <c r="E438" i="21"/>
  <c r="AK438" i="21" s="1"/>
  <c r="H55" i="20"/>
  <c r="G34" i="21"/>
  <c r="AM34" i="21" s="1"/>
  <c r="C60" i="20"/>
  <c r="J82" i="20"/>
  <c r="I61" i="21"/>
  <c r="AO61" i="21" s="1"/>
  <c r="C347" i="20"/>
  <c r="D115" i="20"/>
  <c r="C94" i="21"/>
  <c r="AI94" i="21" s="1"/>
  <c r="E87" i="20"/>
  <c r="D66" i="21"/>
  <c r="AJ66" i="21" s="1"/>
  <c r="G230" i="20"/>
  <c r="F209" i="21"/>
  <c r="AL209" i="21" s="1"/>
  <c r="G143" i="20"/>
  <c r="F122" i="21"/>
  <c r="AL122" i="21" s="1"/>
  <c r="G259" i="20"/>
  <c r="F238" i="21"/>
  <c r="AL238" i="21" s="1"/>
  <c r="C205" i="20"/>
  <c r="F375" i="20"/>
  <c r="E354" i="21"/>
  <c r="AK354" i="21" s="1"/>
  <c r="H27" i="20"/>
  <c r="G6" i="21"/>
  <c r="AM6" i="21" s="1"/>
  <c r="G287" i="20"/>
  <c r="F266" i="21"/>
  <c r="AL266" i="21" s="1"/>
  <c r="D377" i="20"/>
  <c r="C356" i="21"/>
  <c r="AI356" i="21" s="1"/>
  <c r="H229" i="20"/>
  <c r="G208" i="21"/>
  <c r="AM208" i="21" s="1"/>
  <c r="F432" i="20"/>
  <c r="E411" i="21"/>
  <c r="AK411" i="21" s="1"/>
  <c r="F202" i="20"/>
  <c r="E181" i="21"/>
  <c r="AK181" i="21" s="1"/>
  <c r="C147" i="20"/>
  <c r="I228" i="20"/>
  <c r="H207" i="21"/>
  <c r="AN207" i="21" s="1"/>
  <c r="H373" i="20"/>
  <c r="G352" i="21"/>
  <c r="AM352" i="21" s="1"/>
  <c r="H171" i="20"/>
  <c r="G150" i="21"/>
  <c r="AM150" i="21" s="1"/>
  <c r="G112" i="20"/>
  <c r="F91" i="21"/>
  <c r="AL91" i="21" s="1"/>
  <c r="C320" i="20"/>
  <c r="D88" i="20"/>
  <c r="C67" i="21"/>
  <c r="AI67" i="21" s="1"/>
  <c r="H430" i="20"/>
  <c r="G409" i="21"/>
  <c r="AM409" i="21" s="1"/>
  <c r="F231" i="20"/>
  <c r="E210" i="21"/>
  <c r="AK210" i="21" s="1"/>
  <c r="E114" i="20"/>
  <c r="D93" i="21"/>
  <c r="AJ93" i="21" s="1"/>
  <c r="E345" i="20"/>
  <c r="D324" i="21"/>
  <c r="AJ324" i="21" s="1"/>
  <c r="F317" i="20"/>
  <c r="E296" i="21"/>
  <c r="AK296" i="21" s="1"/>
  <c r="G28" i="20"/>
  <c r="F7" i="21"/>
  <c r="AL7" i="21" s="1"/>
  <c r="E30" i="20"/>
  <c r="D9" i="21"/>
  <c r="AJ9" i="21" s="1"/>
  <c r="D233" i="20"/>
  <c r="C212" i="21"/>
  <c r="AI212" i="21" s="1"/>
  <c r="I26" i="20"/>
  <c r="H5" i="21"/>
  <c r="AN5" i="21" s="1"/>
  <c r="D175" i="20"/>
  <c r="C154" i="21"/>
  <c r="AI154" i="21" s="1"/>
  <c r="C116" i="20"/>
  <c r="D405" i="20"/>
  <c r="C384" i="21"/>
  <c r="AI384" i="21" s="1"/>
  <c r="E261" i="20"/>
  <c r="D240" i="21"/>
  <c r="AJ240" i="21" s="1"/>
  <c r="G172" i="20"/>
  <c r="F151" i="21"/>
  <c r="AL151" i="21" s="1"/>
  <c r="J53" i="20"/>
  <c r="I32" i="21"/>
  <c r="AO32" i="21" s="1"/>
  <c r="H315" i="20"/>
  <c r="G294" i="21"/>
  <c r="AM294" i="21" s="1"/>
  <c r="E58" i="20"/>
  <c r="D37" i="21"/>
  <c r="AJ37" i="21" s="1"/>
  <c r="H258" i="20"/>
  <c r="G237" i="21"/>
  <c r="AM237" i="21" s="1"/>
  <c r="H111" i="20"/>
  <c r="G90" i="21"/>
  <c r="AM90" i="21" s="1"/>
  <c r="F403" i="20"/>
  <c r="E382" i="21"/>
  <c r="AK382" i="21" s="1"/>
  <c r="E203" i="20"/>
  <c r="D182" i="21"/>
  <c r="AJ182" i="21" s="1"/>
  <c r="I170" i="20"/>
  <c r="H149" i="21"/>
  <c r="AN149" i="21" s="1"/>
  <c r="F173" i="20"/>
  <c r="E152" i="21"/>
  <c r="AK152" i="21" s="1"/>
  <c r="F57" i="20"/>
  <c r="E36" i="21"/>
  <c r="AK36" i="21" s="1"/>
  <c r="D434" i="20"/>
  <c r="C413" i="21"/>
  <c r="AI413" i="21" s="1"/>
  <c r="E145" i="20"/>
  <c r="D124" i="21"/>
  <c r="AJ124" i="21" s="1"/>
  <c r="G201" i="20"/>
  <c r="F180" i="21"/>
  <c r="AL180" i="21" s="1"/>
  <c r="D59" i="20"/>
  <c r="C291" i="20"/>
  <c r="C38" i="21"/>
  <c r="AI38" i="21" s="1"/>
  <c r="D319" i="20"/>
  <c r="C435" i="20"/>
  <c r="C298" i="21"/>
  <c r="AI298" i="21" s="1"/>
  <c r="D204" i="20"/>
  <c r="C183" i="21"/>
  <c r="AI183" i="21" s="1"/>
  <c r="E232" i="20"/>
  <c r="D211" i="21"/>
  <c r="AJ211" i="21" s="1"/>
  <c r="J169" i="20"/>
  <c r="I148" i="21"/>
  <c r="AO148" i="21" s="1"/>
  <c r="H84" i="20"/>
  <c r="G63" i="21"/>
  <c r="AM63" i="21" s="1"/>
  <c r="I285" i="20"/>
  <c r="H264" i="21"/>
  <c r="AN264" i="21" s="1"/>
  <c r="G316" i="20"/>
  <c r="F295" i="21"/>
  <c r="AL295" i="21" s="1"/>
  <c r="I141" i="20"/>
  <c r="H120" i="21"/>
  <c r="AN120" i="21" s="1"/>
  <c r="BK30" i="6"/>
  <c r="D35" i="1" s="1"/>
  <c r="D33" i="19" s="1"/>
  <c r="I83" i="20"/>
  <c r="H62" i="21"/>
  <c r="AN62" i="21" s="1"/>
  <c r="D461" i="20"/>
  <c r="C440" i="21"/>
  <c r="AI440" i="21" s="1"/>
  <c r="G343" i="20"/>
  <c r="F322" i="21"/>
  <c r="AL322" i="21" s="1"/>
  <c r="G402" i="20"/>
  <c r="F381" i="21"/>
  <c r="AL381" i="21" s="1"/>
  <c r="G431" i="20"/>
  <c r="F410" i="21"/>
  <c r="AL410" i="21" s="1"/>
  <c r="H200" i="20"/>
  <c r="G179" i="21"/>
  <c r="AM179" i="21" s="1"/>
  <c r="H401" i="20"/>
  <c r="G380" i="21"/>
  <c r="AM380" i="21" s="1"/>
  <c r="C378" i="20"/>
  <c r="D262" i="20"/>
  <c r="C241" i="21"/>
  <c r="AI241" i="21" s="1"/>
  <c r="C234" i="20"/>
  <c r="H142" i="20"/>
  <c r="G121" i="21"/>
  <c r="AM121" i="21" s="1"/>
  <c r="D31" i="20"/>
  <c r="C263" i="20"/>
  <c r="C10" i="21"/>
  <c r="AI10" i="21" s="1"/>
  <c r="C176" i="20"/>
  <c r="F144" i="20"/>
  <c r="E123" i="21"/>
  <c r="AK123" i="21" s="1"/>
  <c r="E376" i="20"/>
  <c r="D355" i="21"/>
  <c r="AJ355" i="21" s="1"/>
  <c r="E460" i="20"/>
  <c r="D439" i="21"/>
  <c r="AJ439" i="21" s="1"/>
  <c r="E433" i="20"/>
  <c r="D412" i="21"/>
  <c r="AJ412" i="21" s="1"/>
  <c r="I199" i="20"/>
  <c r="H178" i="21"/>
  <c r="AN178" i="21" s="1"/>
  <c r="F288" i="20"/>
  <c r="E267" i="21"/>
  <c r="AK267" i="21" s="1"/>
  <c r="E289" i="20"/>
  <c r="D268" i="21"/>
  <c r="AJ268" i="21" s="1"/>
  <c r="I314" i="20"/>
  <c r="H293" i="21"/>
  <c r="AN293" i="21" s="1"/>
  <c r="D290" i="20"/>
  <c r="C406" i="20"/>
  <c r="C269" i="21"/>
  <c r="AI269" i="21" s="1"/>
  <c r="I257" i="20"/>
  <c r="H236" i="21"/>
  <c r="AN236" i="21" s="1"/>
  <c r="F260" i="20"/>
  <c r="E239" i="21"/>
  <c r="AK239" i="21" s="1"/>
  <c r="C462" i="20"/>
  <c r="D346" i="20"/>
  <c r="C325" i="21"/>
  <c r="AI325" i="21" s="1"/>
  <c r="F344" i="20"/>
  <c r="E323" i="21"/>
  <c r="AK323" i="21" s="1"/>
  <c r="F29" i="20"/>
  <c r="E8" i="21"/>
  <c r="AK8" i="21" s="1"/>
  <c r="F113" i="20"/>
  <c r="E92" i="21"/>
  <c r="AK92" i="21" s="1"/>
  <c r="E318" i="20"/>
  <c r="D297" i="21"/>
  <c r="AJ297" i="21" s="1"/>
  <c r="J25" i="20"/>
  <c r="I4" i="21"/>
  <c r="AO4" i="21" s="1"/>
  <c r="W407" i="19"/>
  <c r="M59" i="19"/>
  <c r="N60" i="19" s="1"/>
  <c r="W146" i="19"/>
  <c r="T407" i="19"/>
  <c r="S59" i="19"/>
  <c r="V175" i="19"/>
  <c r="Z407" i="19"/>
  <c r="AE378" i="19"/>
  <c r="U436" i="19"/>
  <c r="R320" i="19"/>
  <c r="AD262" i="19"/>
  <c r="AE436" i="19"/>
  <c r="Q407" i="19"/>
  <c r="U59" i="19"/>
  <c r="AD407" i="19"/>
  <c r="N59" i="19"/>
  <c r="V407" i="19"/>
  <c r="L378" i="19"/>
  <c r="AA407" i="19"/>
  <c r="I407" i="19"/>
  <c r="Y407" i="19"/>
  <c r="H378" i="19"/>
  <c r="P59" i="19"/>
  <c r="N436" i="19"/>
  <c r="O320" i="19"/>
  <c r="T59" i="19"/>
  <c r="L175" i="19"/>
  <c r="N262" i="19"/>
  <c r="I262" i="19"/>
  <c r="K262" i="19"/>
  <c r="Q494" i="19"/>
  <c r="O407" i="19"/>
  <c r="P88" i="19"/>
  <c r="AA436" i="19"/>
  <c r="AE59" i="19"/>
  <c r="M494" i="19"/>
  <c r="U407" i="19"/>
  <c r="AA262" i="19"/>
  <c r="I494" i="19"/>
  <c r="AB88" i="19"/>
  <c r="W88" i="19"/>
  <c r="G436" i="19"/>
  <c r="R88" i="19"/>
  <c r="S146" i="19"/>
  <c r="N407" i="19"/>
  <c r="J378" i="19"/>
  <c r="Y320" i="19"/>
  <c r="AA59" i="19"/>
  <c r="I320" i="19"/>
  <c r="T494" i="19"/>
  <c r="J146" i="19"/>
  <c r="H146" i="19"/>
  <c r="R59" i="19"/>
  <c r="O59" i="19"/>
  <c r="R436" i="19"/>
  <c r="Z175" i="19"/>
  <c r="T146" i="19"/>
  <c r="Q320" i="19"/>
  <c r="L407" i="19"/>
  <c r="AB59" i="19"/>
  <c r="P175" i="19"/>
  <c r="Q146" i="19"/>
  <c r="T262" i="19"/>
  <c r="AC378" i="19"/>
  <c r="AB494" i="19"/>
  <c r="U320" i="19"/>
  <c r="H59" i="19"/>
  <c r="K320" i="19"/>
  <c r="L436" i="19"/>
  <c r="Z262" i="19"/>
  <c r="G320" i="19"/>
  <c r="AE407" i="19"/>
  <c r="K59" i="19"/>
  <c r="R175" i="19"/>
  <c r="X378" i="19"/>
  <c r="K378" i="19"/>
  <c r="T378" i="19"/>
  <c r="V146" i="19"/>
  <c r="M175" i="19"/>
  <c r="Z494" i="19"/>
  <c r="S175" i="19"/>
  <c r="J59" i="19"/>
  <c r="O146" i="19"/>
  <c r="AD59" i="19"/>
  <c r="Q175" i="19"/>
  <c r="U262" i="19"/>
  <c r="I88" i="19"/>
  <c r="S378" i="19"/>
  <c r="X262" i="19"/>
  <c r="I59" i="19"/>
  <c r="J320" i="19"/>
  <c r="U88" i="19"/>
  <c r="Z436" i="19"/>
  <c r="AD88" i="19"/>
  <c r="AC436" i="19"/>
  <c r="Z146" i="19"/>
  <c r="AC59" i="19"/>
  <c r="AE262" i="19"/>
  <c r="AE175" i="19"/>
  <c r="S407" i="19"/>
  <c r="Q436" i="19"/>
  <c r="AC146" i="19"/>
  <c r="AD378" i="19"/>
  <c r="S436" i="19"/>
  <c r="P378" i="19"/>
  <c r="W262" i="19"/>
  <c r="AD146" i="19"/>
  <c r="AA88" i="19"/>
  <c r="L262" i="19"/>
  <c r="L88" i="19"/>
  <c r="X436" i="19"/>
  <c r="X59" i="19"/>
  <c r="J262" i="19"/>
  <c r="W378" i="19"/>
  <c r="L320" i="19"/>
  <c r="AA146" i="19"/>
  <c r="AC407" i="19"/>
  <c r="Y59" i="19"/>
  <c r="AA378" i="19"/>
  <c r="X175" i="19"/>
  <c r="X146" i="19"/>
  <c r="R146" i="19"/>
  <c r="J407" i="19"/>
  <c r="M262" i="19"/>
  <c r="S494" i="19"/>
  <c r="M146" i="19"/>
  <c r="J175" i="19"/>
  <c r="AA494" i="19"/>
  <c r="AE146" i="19"/>
  <c r="J436" i="19"/>
  <c r="K494" i="19"/>
  <c r="AD175" i="19"/>
  <c r="Z378" i="19"/>
  <c r="S88" i="19"/>
  <c r="V262" i="19"/>
  <c r="L59" i="19"/>
  <c r="R407" i="19"/>
  <c r="W320" i="19"/>
  <c r="AE320" i="19"/>
  <c r="Y146" i="19"/>
  <c r="AD320" i="19"/>
  <c r="AB407" i="19"/>
  <c r="O175" i="19"/>
  <c r="X88" i="19"/>
  <c r="X494" i="19"/>
  <c r="K407" i="19"/>
  <c r="Y175" i="19"/>
  <c r="V378" i="19"/>
  <c r="N88" i="19"/>
  <c r="H436" i="19"/>
  <c r="W494" i="19"/>
  <c r="N494" i="19"/>
  <c r="U175" i="19"/>
  <c r="P494" i="19"/>
  <c r="AC262" i="19"/>
  <c r="AB146" i="19"/>
  <c r="J88" i="19"/>
  <c r="N378" i="19"/>
  <c r="V59" i="19"/>
  <c r="T175" i="19"/>
  <c r="AB320" i="19"/>
  <c r="S320" i="19"/>
  <c r="W175" i="19"/>
  <c r="P436" i="19"/>
  <c r="O88" i="19"/>
  <c r="K88" i="19"/>
  <c r="AC494" i="19"/>
  <c r="T320" i="19"/>
  <c r="Z88" i="19"/>
  <c r="G494" i="19"/>
  <c r="Y88" i="19"/>
  <c r="H88" i="19"/>
  <c r="C421" i="23"/>
  <c r="D422" i="23" s="1"/>
  <c r="E423" i="23" s="1"/>
  <c r="F424" i="23" s="1"/>
  <c r="G425" i="23" s="1"/>
  <c r="H426" i="23" s="1"/>
  <c r="I427" i="23" s="1"/>
  <c r="J428" i="23" s="1"/>
  <c r="K429" i="23" s="1"/>
  <c r="L430" i="23" s="1"/>
  <c r="M431" i="23" s="1"/>
  <c r="N432" i="23" s="1"/>
  <c r="AD494" i="19"/>
  <c r="V436" i="19"/>
  <c r="H175" i="19"/>
  <c r="O436" i="19"/>
  <c r="Q378" i="19"/>
  <c r="N175" i="19"/>
  <c r="M378" i="19"/>
  <c r="Z320" i="19"/>
  <c r="C451" i="23"/>
  <c r="D452" i="23" s="1"/>
  <c r="E453" i="23" s="1"/>
  <c r="F454" i="23" s="1"/>
  <c r="G455" i="23" s="1"/>
  <c r="H456" i="23" s="1"/>
  <c r="I457" i="23" s="1"/>
  <c r="J458" i="23" s="1"/>
  <c r="K459" i="23" s="1"/>
  <c r="L460" i="23" s="1"/>
  <c r="M461" i="23" s="1"/>
  <c r="V320" i="19"/>
  <c r="U494" i="19"/>
  <c r="AE494" i="19"/>
  <c r="C480" i="23"/>
  <c r="AB175" i="19"/>
  <c r="J494" i="19"/>
  <c r="AB436" i="19"/>
  <c r="M320" i="19"/>
  <c r="Q262" i="19"/>
  <c r="AC320" i="19"/>
  <c r="AA320" i="19"/>
  <c r="I436" i="19"/>
  <c r="Q88" i="19"/>
  <c r="AD436" i="19"/>
  <c r="AD465" i="19"/>
  <c r="O204" i="19"/>
  <c r="AB204" i="19"/>
  <c r="G465" i="19"/>
  <c r="G204" i="19"/>
  <c r="G495" i="19"/>
  <c r="F495" i="19"/>
  <c r="U349" i="19"/>
  <c r="AC117" i="19"/>
  <c r="M233" i="19"/>
  <c r="Z263" i="19"/>
  <c r="J204" i="19"/>
  <c r="W465" i="19"/>
  <c r="V117" i="19"/>
  <c r="L349" i="19"/>
  <c r="V465" i="19"/>
  <c r="E379" i="19"/>
  <c r="E321" i="19"/>
  <c r="N465" i="19"/>
  <c r="S117" i="19"/>
  <c r="E263" i="19"/>
  <c r="M465" i="19"/>
  <c r="F379" i="19"/>
  <c r="X465" i="19"/>
  <c r="M349" i="19"/>
  <c r="J117" i="19"/>
  <c r="S263" i="19"/>
  <c r="AC465" i="19"/>
  <c r="AE465" i="19"/>
  <c r="AD233" i="19"/>
  <c r="F465" i="19"/>
  <c r="K349" i="19"/>
  <c r="Q233" i="19"/>
  <c r="P465" i="19"/>
  <c r="D60" i="19"/>
  <c r="D408" i="19"/>
  <c r="O494" i="19"/>
  <c r="F204" i="19"/>
  <c r="G176" i="19"/>
  <c r="X233" i="19"/>
  <c r="K146" i="19"/>
  <c r="H349" i="19"/>
  <c r="I204" i="19"/>
  <c r="P204" i="19"/>
  <c r="Q263" i="19"/>
  <c r="X60" i="19"/>
  <c r="Y117" i="19"/>
  <c r="T263" i="19"/>
  <c r="O233" i="19"/>
  <c r="I263" i="19"/>
  <c r="D465" i="19"/>
  <c r="D117" i="19"/>
  <c r="D349" i="19"/>
  <c r="D495" i="19"/>
  <c r="D147" i="19"/>
  <c r="D379" i="19"/>
  <c r="F117" i="19"/>
  <c r="Q349" i="19"/>
  <c r="H233" i="19"/>
  <c r="F176" i="19"/>
  <c r="AB349" i="19"/>
  <c r="AB233" i="19"/>
  <c r="H408" i="19"/>
  <c r="R349" i="19"/>
  <c r="I408" i="19"/>
  <c r="N233" i="19"/>
  <c r="R494" i="19"/>
  <c r="AA204" i="19"/>
  <c r="N117" i="19"/>
  <c r="M147" i="19"/>
  <c r="E176" i="19"/>
  <c r="J349" i="19"/>
  <c r="AB176" i="19"/>
  <c r="AA117" i="19"/>
  <c r="Y436" i="19"/>
  <c r="V147" i="19"/>
  <c r="J292" i="19"/>
  <c r="I311" i="19"/>
  <c r="Q204" i="19"/>
  <c r="AD117" i="19"/>
  <c r="E233" i="19"/>
  <c r="AC88" i="19"/>
  <c r="H494" i="19"/>
  <c r="R465" i="19"/>
  <c r="X117" i="19"/>
  <c r="K233" i="19"/>
  <c r="O349" i="19"/>
  <c r="U233" i="19"/>
  <c r="N146" i="19"/>
  <c r="O465" i="19"/>
  <c r="K465" i="19"/>
  <c r="T436" i="19"/>
  <c r="AB465" i="19"/>
  <c r="R204" i="19"/>
  <c r="U204" i="19"/>
  <c r="K117" i="19"/>
  <c r="Y349" i="19"/>
  <c r="M204" i="19"/>
  <c r="U117" i="19"/>
  <c r="I349" i="19"/>
  <c r="G147" i="19"/>
  <c r="F349" i="19"/>
  <c r="H176" i="19"/>
  <c r="N204" i="19"/>
  <c r="O378" i="19"/>
  <c r="X204" i="19"/>
  <c r="E437" i="19"/>
  <c r="T465" i="19"/>
  <c r="V349" i="19"/>
  <c r="AC233" i="19"/>
  <c r="N349" i="19"/>
  <c r="H204" i="19"/>
  <c r="I465" i="19"/>
  <c r="R233" i="19"/>
  <c r="M117" i="19"/>
  <c r="P117" i="19"/>
  <c r="E349" i="19"/>
  <c r="R378" i="19"/>
  <c r="AA60" i="19"/>
  <c r="J233" i="19"/>
  <c r="U378" i="19"/>
  <c r="AD204" i="19"/>
  <c r="T349" i="19"/>
  <c r="I175" i="19"/>
  <c r="AE88" i="19"/>
  <c r="AC175" i="19"/>
  <c r="T233" i="19"/>
  <c r="K204" i="19"/>
  <c r="I146" i="19"/>
  <c r="T117" i="19"/>
  <c r="G233" i="19"/>
  <c r="E117" i="19"/>
  <c r="F408" i="19"/>
  <c r="Y378" i="19"/>
  <c r="W117" i="19"/>
  <c r="K175" i="19"/>
  <c r="T204" i="19"/>
  <c r="AD349" i="19"/>
  <c r="F147" i="19"/>
  <c r="AB378" i="19"/>
  <c r="G60" i="19"/>
  <c r="X349" i="19"/>
  <c r="I378" i="19"/>
  <c r="Z233" i="19"/>
  <c r="L494" i="19"/>
  <c r="J465" i="19"/>
  <c r="W233" i="19"/>
  <c r="E60" i="19"/>
  <c r="G378" i="19"/>
  <c r="M88" i="19"/>
  <c r="S233" i="19"/>
  <c r="G263" i="19"/>
  <c r="Z204" i="19"/>
  <c r="G379" i="19"/>
  <c r="L465" i="19"/>
  <c r="Z349" i="19"/>
  <c r="G89" i="19"/>
  <c r="V233" i="19"/>
  <c r="E147" i="19"/>
  <c r="S349" i="19"/>
  <c r="K436" i="19"/>
  <c r="E89" i="19"/>
  <c r="H117" i="19"/>
  <c r="P233" i="19"/>
  <c r="F60" i="19"/>
  <c r="G117" i="19"/>
  <c r="P146" i="19"/>
  <c r="I117" i="19"/>
  <c r="F321" i="19"/>
  <c r="M436" i="19"/>
  <c r="E204" i="19"/>
  <c r="F437" i="19"/>
  <c r="N320" i="19"/>
  <c r="D437" i="19"/>
  <c r="D89" i="19"/>
  <c r="D321" i="19"/>
  <c r="V204" i="19"/>
  <c r="G349" i="19"/>
  <c r="V88" i="19"/>
  <c r="W204" i="19"/>
  <c r="F89" i="19"/>
  <c r="S204" i="19"/>
  <c r="Z465" i="19"/>
  <c r="AE349" i="19"/>
  <c r="E465" i="19"/>
  <c r="Z117" i="19"/>
  <c r="AA349" i="19"/>
  <c r="G88" i="19"/>
  <c r="Q465" i="19"/>
  <c r="F233" i="19"/>
  <c r="U465" i="19"/>
  <c r="O117" i="19"/>
  <c r="V494" i="19"/>
  <c r="W436" i="19"/>
  <c r="L204" i="19"/>
  <c r="Y494" i="19"/>
  <c r="E408" i="19"/>
  <c r="Y233" i="19"/>
  <c r="AA465" i="19"/>
  <c r="Q117" i="19"/>
  <c r="Y465" i="19"/>
  <c r="AC263" i="19"/>
  <c r="AE204" i="19"/>
  <c r="W349" i="19"/>
  <c r="X320" i="19"/>
  <c r="H320" i="19"/>
  <c r="S465" i="19"/>
  <c r="P349" i="19"/>
  <c r="Y408" i="19"/>
  <c r="R117" i="19"/>
  <c r="AC349" i="19"/>
  <c r="AC204" i="19"/>
  <c r="AA233" i="19"/>
  <c r="AE117" i="19"/>
  <c r="G437" i="19"/>
  <c r="I233" i="19"/>
  <c r="E495" i="19"/>
  <c r="F263" i="19"/>
  <c r="P320" i="19"/>
  <c r="T88" i="19"/>
  <c r="H465" i="19"/>
  <c r="L233" i="19"/>
  <c r="G321" i="19"/>
  <c r="G146" i="19"/>
  <c r="L117" i="19"/>
  <c r="H263" i="19"/>
  <c r="AE233" i="19"/>
  <c r="P263" i="19"/>
  <c r="Y204" i="19"/>
  <c r="AB117" i="19"/>
  <c r="CQ68" i="6"/>
  <c r="K35" i="1" s="1"/>
  <c r="K32" i="19"/>
  <c r="D234" i="19" s="1"/>
  <c r="CQ30" i="6"/>
  <c r="E35" i="1" s="1"/>
  <c r="E32" i="19"/>
  <c r="DW31" i="6"/>
  <c r="F36" i="1" s="1"/>
  <c r="AE31" i="6"/>
  <c r="C36" i="1" s="1"/>
  <c r="C33" i="19"/>
  <c r="BK68" i="6"/>
  <c r="J35" i="1" s="1"/>
  <c r="J32" i="19"/>
  <c r="D205" i="19" s="1"/>
  <c r="AE69" i="6"/>
  <c r="I36" i="1" s="1"/>
  <c r="L33" i="19"/>
  <c r="D264" i="19" s="1"/>
  <c r="DW69" i="6"/>
  <c r="L36" i="1" s="1"/>
  <c r="O63" i="5" l="1"/>
  <c r="S63" i="5" s="1"/>
  <c r="G2" i="49"/>
  <c r="G6" i="49" s="1"/>
  <c r="G10" i="49" s="1"/>
  <c r="G18" i="49" s="1"/>
  <c r="J80" i="5"/>
  <c r="H3" i="49"/>
  <c r="H7" i="49" s="1"/>
  <c r="H11" i="49" s="1"/>
  <c r="H19" i="49" s="1"/>
  <c r="K79" i="5"/>
  <c r="J33" i="49"/>
  <c r="I52" i="49"/>
  <c r="K63" i="49"/>
  <c r="J81" i="49"/>
  <c r="AM74" i="23"/>
  <c r="AM92" i="23" s="1"/>
  <c r="AM110" i="23" s="1"/>
  <c r="BK31" i="6"/>
  <c r="D36" i="1" s="1"/>
  <c r="D34" i="19" s="1"/>
  <c r="H261" i="21"/>
  <c r="I282" i="20"/>
  <c r="K187" i="1" s="1"/>
  <c r="K109" i="1"/>
  <c r="G29" i="20"/>
  <c r="F8" i="21"/>
  <c r="AL8" i="21" s="1"/>
  <c r="E346" i="20"/>
  <c r="D325" i="21"/>
  <c r="AJ325" i="21" s="1"/>
  <c r="F289" i="20"/>
  <c r="E268" i="21"/>
  <c r="AK268" i="21" s="1"/>
  <c r="F460" i="20"/>
  <c r="E439" i="21"/>
  <c r="AK439" i="21" s="1"/>
  <c r="D263" i="20"/>
  <c r="C379" i="20"/>
  <c r="C242" i="21"/>
  <c r="AI242" i="21" s="1"/>
  <c r="D378" i="20"/>
  <c r="C357" i="21"/>
  <c r="AI357" i="21" s="1"/>
  <c r="H402" i="20"/>
  <c r="G381" i="21"/>
  <c r="AM381" i="21" s="1"/>
  <c r="J26" i="20"/>
  <c r="I5" i="21"/>
  <c r="AO5" i="21" s="1"/>
  <c r="I373" i="20"/>
  <c r="H352" i="21"/>
  <c r="AN352" i="21" s="1"/>
  <c r="D205" i="20"/>
  <c r="C184" i="21"/>
  <c r="AI184" i="21" s="1"/>
  <c r="C33" i="20"/>
  <c r="H56" i="20"/>
  <c r="G35" i="21"/>
  <c r="AM35" i="21" s="1"/>
  <c r="X408" i="19"/>
  <c r="Y409" i="19" s="1"/>
  <c r="D462" i="20"/>
  <c r="C441" i="21"/>
  <c r="AI441" i="21" s="1"/>
  <c r="J257" i="20"/>
  <c r="I236" i="21"/>
  <c r="AO236" i="21" s="1"/>
  <c r="D176" i="20"/>
  <c r="C155" i="21"/>
  <c r="AI155" i="21" s="1"/>
  <c r="E31" i="20"/>
  <c r="D10" i="21"/>
  <c r="AJ10" i="21" s="1"/>
  <c r="C235" i="20"/>
  <c r="E461" i="20"/>
  <c r="D440" i="21"/>
  <c r="AJ440" i="21" s="1"/>
  <c r="J141" i="20"/>
  <c r="I120" i="21"/>
  <c r="AO120" i="21" s="1"/>
  <c r="J285" i="20"/>
  <c r="I264" i="21"/>
  <c r="AO264" i="21" s="1"/>
  <c r="K169" i="20"/>
  <c r="J148" i="21"/>
  <c r="AP148" i="21" s="1"/>
  <c r="E204" i="20"/>
  <c r="D183" i="21"/>
  <c r="AJ183" i="21" s="1"/>
  <c r="F145" i="20"/>
  <c r="E124" i="21"/>
  <c r="AK124" i="21" s="1"/>
  <c r="G57" i="20"/>
  <c r="F36" i="21"/>
  <c r="AL36" i="21" s="1"/>
  <c r="J170" i="20"/>
  <c r="I149" i="21"/>
  <c r="AO149" i="21" s="1"/>
  <c r="G403" i="20"/>
  <c r="F382" i="21"/>
  <c r="AL382" i="21" s="1"/>
  <c r="I258" i="20"/>
  <c r="H237" i="21"/>
  <c r="AN237" i="21" s="1"/>
  <c r="I315" i="20"/>
  <c r="H294" i="21"/>
  <c r="AN294" i="21" s="1"/>
  <c r="H172" i="20"/>
  <c r="G151" i="21"/>
  <c r="AM151" i="21" s="1"/>
  <c r="E405" i="20"/>
  <c r="D384" i="21"/>
  <c r="AJ384" i="21" s="1"/>
  <c r="F114" i="20"/>
  <c r="E93" i="21"/>
  <c r="AK93" i="21" s="1"/>
  <c r="I430" i="20"/>
  <c r="H409" i="21"/>
  <c r="AN409" i="21" s="1"/>
  <c r="C148" i="20"/>
  <c r="G432" i="20"/>
  <c r="F411" i="21"/>
  <c r="AL411" i="21" s="1"/>
  <c r="E377" i="20"/>
  <c r="D356" i="21"/>
  <c r="AJ356" i="21" s="1"/>
  <c r="I27" i="20"/>
  <c r="H6" i="21"/>
  <c r="AN6" i="21" s="1"/>
  <c r="C206" i="20"/>
  <c r="H143" i="20"/>
  <c r="G122" i="21"/>
  <c r="AM122" i="21" s="1"/>
  <c r="F87" i="20"/>
  <c r="E66" i="21"/>
  <c r="AK66" i="21" s="1"/>
  <c r="C463" i="20"/>
  <c r="D347" i="20"/>
  <c r="C326" i="21"/>
  <c r="AI326" i="21" s="1"/>
  <c r="C61" i="20"/>
  <c r="G459" i="20"/>
  <c r="F438" i="21"/>
  <c r="AL438" i="21" s="1"/>
  <c r="K198" i="20"/>
  <c r="J177" i="21"/>
  <c r="AP177" i="21" s="1"/>
  <c r="H374" i="20"/>
  <c r="G353" i="21"/>
  <c r="AM353" i="21" s="1"/>
  <c r="G86" i="20"/>
  <c r="F65" i="21"/>
  <c r="AL65" i="21" s="1"/>
  <c r="E146" i="20"/>
  <c r="D125" i="21"/>
  <c r="AJ125" i="21" s="1"/>
  <c r="F174" i="20"/>
  <c r="E153" i="21"/>
  <c r="AK153" i="21" s="1"/>
  <c r="F318" i="20"/>
  <c r="E297" i="21"/>
  <c r="AK297" i="21" s="1"/>
  <c r="E290" i="20"/>
  <c r="D269" i="21"/>
  <c r="AJ269" i="21" s="1"/>
  <c r="E59" i="20"/>
  <c r="D38" i="21"/>
  <c r="AJ38" i="21" s="1"/>
  <c r="F30" i="20"/>
  <c r="E9" i="21"/>
  <c r="AK9" i="21" s="1"/>
  <c r="C436" i="20"/>
  <c r="D320" i="20"/>
  <c r="C299" i="21"/>
  <c r="AI299" i="21" s="1"/>
  <c r="C292" i="20"/>
  <c r="D60" i="20"/>
  <c r="C39" i="21"/>
  <c r="AI39" i="21" s="1"/>
  <c r="K25" i="20"/>
  <c r="J4" i="21"/>
  <c r="AP4" i="21" s="1"/>
  <c r="G113" i="20"/>
  <c r="F92" i="21"/>
  <c r="AL92" i="21" s="1"/>
  <c r="G344" i="20"/>
  <c r="F323" i="21"/>
  <c r="AL323" i="21" s="1"/>
  <c r="J314" i="20"/>
  <c r="I293" i="21"/>
  <c r="AO293" i="21" s="1"/>
  <c r="G288" i="20"/>
  <c r="F267" i="21"/>
  <c r="AL267" i="21" s="1"/>
  <c r="F433" i="20"/>
  <c r="E412" i="21"/>
  <c r="AK412" i="21" s="1"/>
  <c r="F376" i="20"/>
  <c r="E355" i="21"/>
  <c r="AK355" i="21" s="1"/>
  <c r="C177" i="20"/>
  <c r="I401" i="20"/>
  <c r="H380" i="21"/>
  <c r="AN380" i="21" s="1"/>
  <c r="H431" i="20"/>
  <c r="G410" i="21"/>
  <c r="AM410" i="21" s="1"/>
  <c r="H343" i="20"/>
  <c r="G322" i="21"/>
  <c r="AM322" i="21" s="1"/>
  <c r="H201" i="20"/>
  <c r="G180" i="21"/>
  <c r="AM180" i="21" s="1"/>
  <c r="E175" i="20"/>
  <c r="D154" i="21"/>
  <c r="AJ154" i="21" s="1"/>
  <c r="E233" i="20"/>
  <c r="D212" i="21"/>
  <c r="AJ212" i="21" s="1"/>
  <c r="H28" i="20"/>
  <c r="G7" i="21"/>
  <c r="AM7" i="21" s="1"/>
  <c r="F345" i="20"/>
  <c r="E324" i="21"/>
  <c r="AK324" i="21" s="1"/>
  <c r="I171" i="20"/>
  <c r="H150" i="21"/>
  <c r="AN150" i="21" s="1"/>
  <c r="J228" i="20"/>
  <c r="I207" i="21"/>
  <c r="AO207" i="21" s="1"/>
  <c r="C321" i="20"/>
  <c r="D89" i="20"/>
  <c r="C68" i="21"/>
  <c r="AI68" i="21" s="1"/>
  <c r="I286" i="20"/>
  <c r="H265" i="21"/>
  <c r="AN265" i="21" s="1"/>
  <c r="J199" i="20"/>
  <c r="I178" i="21"/>
  <c r="AO178" i="21" s="1"/>
  <c r="G144" i="20"/>
  <c r="F123" i="21"/>
  <c r="AL123" i="21" s="1"/>
  <c r="D234" i="20"/>
  <c r="C213" i="21"/>
  <c r="AI213" i="21" s="1"/>
  <c r="I200" i="20"/>
  <c r="H179" i="21"/>
  <c r="AN179" i="21" s="1"/>
  <c r="E319" i="20"/>
  <c r="D298" i="21"/>
  <c r="AJ298" i="21" s="1"/>
  <c r="C117" i="20"/>
  <c r="G317" i="20"/>
  <c r="F296" i="21"/>
  <c r="AL296" i="21" s="1"/>
  <c r="D147" i="20"/>
  <c r="C126" i="21"/>
  <c r="AI126" i="21" s="1"/>
  <c r="E115" i="20"/>
  <c r="D94" i="21"/>
  <c r="AJ94" i="21" s="1"/>
  <c r="G260" i="20"/>
  <c r="F239" i="21"/>
  <c r="AL239" i="21" s="1"/>
  <c r="D406" i="20"/>
  <c r="C385" i="21"/>
  <c r="AI385" i="21" s="1"/>
  <c r="I142" i="20"/>
  <c r="H121" i="21"/>
  <c r="AN121" i="21" s="1"/>
  <c r="E262" i="20"/>
  <c r="D241" i="21"/>
  <c r="AJ241" i="21" s="1"/>
  <c r="J83" i="20"/>
  <c r="I62" i="21"/>
  <c r="AO62" i="21" s="1"/>
  <c r="H316" i="20"/>
  <c r="G295" i="21"/>
  <c r="AM295" i="21" s="1"/>
  <c r="I84" i="20"/>
  <c r="H63" i="21"/>
  <c r="AN63" i="21" s="1"/>
  <c r="F232" i="20"/>
  <c r="E211" i="21"/>
  <c r="AK211" i="21" s="1"/>
  <c r="D435" i="20"/>
  <c r="C414" i="21"/>
  <c r="AI414" i="21" s="1"/>
  <c r="D291" i="20"/>
  <c r="C407" i="20"/>
  <c r="C270" i="21"/>
  <c r="AI270" i="21" s="1"/>
  <c r="E434" i="20"/>
  <c r="D413" i="21"/>
  <c r="AJ413" i="21" s="1"/>
  <c r="G173" i="20"/>
  <c r="F152" i="21"/>
  <c r="AL152" i="21" s="1"/>
  <c r="F203" i="20"/>
  <c r="E182" i="21"/>
  <c r="AK182" i="21" s="1"/>
  <c r="I111" i="20"/>
  <c r="H90" i="21"/>
  <c r="AN90" i="21" s="1"/>
  <c r="F58" i="20"/>
  <c r="E37" i="21"/>
  <c r="AK37" i="21" s="1"/>
  <c r="K53" i="20"/>
  <c r="J32" i="21"/>
  <c r="AP32" i="21" s="1"/>
  <c r="F261" i="20"/>
  <c r="E240" i="21"/>
  <c r="AK240" i="21" s="1"/>
  <c r="C348" i="20"/>
  <c r="D116" i="20"/>
  <c r="C95" i="21"/>
  <c r="AI95" i="21" s="1"/>
  <c r="G231" i="20"/>
  <c r="F210" i="21"/>
  <c r="AL210" i="21" s="1"/>
  <c r="E88" i="20"/>
  <c r="D67" i="21"/>
  <c r="AJ67" i="21" s="1"/>
  <c r="H112" i="20"/>
  <c r="G91" i="21"/>
  <c r="AM91" i="21" s="1"/>
  <c r="G202" i="20"/>
  <c r="F181" i="21"/>
  <c r="AL181" i="21" s="1"/>
  <c r="I229" i="20"/>
  <c r="H208" i="21"/>
  <c r="AN208" i="21" s="1"/>
  <c r="H287" i="20"/>
  <c r="G266" i="21"/>
  <c r="AM266" i="21" s="1"/>
  <c r="G375" i="20"/>
  <c r="F354" i="21"/>
  <c r="AL354" i="21" s="1"/>
  <c r="H259" i="20"/>
  <c r="G238" i="21"/>
  <c r="AM238" i="21" s="1"/>
  <c r="H230" i="20"/>
  <c r="G209" i="21"/>
  <c r="AM209" i="21" s="1"/>
  <c r="K82" i="20"/>
  <c r="J61" i="21"/>
  <c r="AP61" i="21" s="1"/>
  <c r="I55" i="20"/>
  <c r="H34" i="21"/>
  <c r="AN34" i="21" s="1"/>
  <c r="H85" i="20"/>
  <c r="G64" i="21"/>
  <c r="AM64" i="21" s="1"/>
  <c r="C90" i="20"/>
  <c r="K140" i="20"/>
  <c r="J119" i="21"/>
  <c r="AP119" i="21" s="1"/>
  <c r="J54" i="20"/>
  <c r="I33" i="21"/>
  <c r="AO33" i="21" s="1"/>
  <c r="F404" i="20"/>
  <c r="E383" i="21"/>
  <c r="AK383" i="21" s="1"/>
  <c r="K227" i="20"/>
  <c r="J206" i="21"/>
  <c r="AP206" i="21" s="1"/>
  <c r="C264" i="20"/>
  <c r="D32" i="20"/>
  <c r="C11" i="21"/>
  <c r="AI11" i="21" s="1"/>
  <c r="X147" i="19"/>
  <c r="Y148" i="19" s="1"/>
  <c r="AA408" i="19"/>
  <c r="AB409" i="19" s="1"/>
  <c r="U408" i="19"/>
  <c r="T60" i="19"/>
  <c r="W176" i="19"/>
  <c r="V437" i="19"/>
  <c r="S321" i="19"/>
  <c r="AE263" i="19"/>
  <c r="Y379" i="19"/>
  <c r="P321" i="19"/>
  <c r="R408" i="19"/>
  <c r="X89" i="19"/>
  <c r="W408" i="19"/>
  <c r="Z408" i="19"/>
  <c r="U379" i="19"/>
  <c r="J263" i="19"/>
  <c r="Q89" i="19"/>
  <c r="M379" i="19"/>
  <c r="AC495" i="19"/>
  <c r="R379" i="19"/>
  <c r="AA437" i="19"/>
  <c r="U147" i="19"/>
  <c r="X495" i="19"/>
  <c r="M176" i="19"/>
  <c r="U60" i="19"/>
  <c r="Z321" i="19"/>
  <c r="AB408" i="19"/>
  <c r="V60" i="19"/>
  <c r="AE408" i="19"/>
  <c r="I379" i="19"/>
  <c r="AE379" i="19"/>
  <c r="N495" i="19"/>
  <c r="O60" i="19"/>
  <c r="R495" i="19"/>
  <c r="P408" i="19"/>
  <c r="J408" i="19"/>
  <c r="Q60" i="19"/>
  <c r="J495" i="19"/>
  <c r="O437" i="19"/>
  <c r="S89" i="19"/>
  <c r="H321" i="19"/>
  <c r="M408" i="19"/>
  <c r="O263" i="19"/>
  <c r="Y437" i="19"/>
  <c r="K147" i="19"/>
  <c r="AB60" i="19"/>
  <c r="O408" i="19"/>
  <c r="T176" i="19"/>
  <c r="M437" i="19"/>
  <c r="AB437" i="19"/>
  <c r="AB263" i="19"/>
  <c r="J60" i="19"/>
  <c r="V408" i="19"/>
  <c r="U495" i="19"/>
  <c r="L263" i="19"/>
  <c r="K379" i="19"/>
  <c r="T147" i="19"/>
  <c r="AC60" i="19"/>
  <c r="H437" i="19"/>
  <c r="AE89" i="19"/>
  <c r="AC89" i="19"/>
  <c r="M89" i="19"/>
  <c r="L60" i="19"/>
  <c r="J321" i="19"/>
  <c r="N176" i="19"/>
  <c r="I60" i="19"/>
  <c r="S437" i="19"/>
  <c r="U263" i="19"/>
  <c r="Q176" i="19"/>
  <c r="AE147" i="19"/>
  <c r="K408" i="19"/>
  <c r="S60" i="19"/>
  <c r="Y263" i="19"/>
  <c r="AA176" i="19"/>
  <c r="I147" i="19"/>
  <c r="L379" i="19"/>
  <c r="AD379" i="19"/>
  <c r="R321" i="19"/>
  <c r="Z147" i="19"/>
  <c r="V321" i="19"/>
  <c r="K437" i="19"/>
  <c r="M60" i="19"/>
  <c r="AA263" i="19"/>
  <c r="Z60" i="19"/>
  <c r="V263" i="19"/>
  <c r="X379" i="19"/>
  <c r="P60" i="19"/>
  <c r="X263" i="19"/>
  <c r="R176" i="19"/>
  <c r="R147" i="19"/>
  <c r="S148" i="19" s="1"/>
  <c r="AC147" i="19"/>
  <c r="N147" i="19"/>
  <c r="AD147" i="19"/>
  <c r="K60" i="19"/>
  <c r="W379" i="19"/>
  <c r="L321" i="19"/>
  <c r="S147" i="19"/>
  <c r="W147" i="19"/>
  <c r="U176" i="19"/>
  <c r="W437" i="19"/>
  <c r="T89" i="19"/>
  <c r="S176" i="19"/>
  <c r="O495" i="19"/>
  <c r="Y176" i="19"/>
  <c r="AB495" i="19"/>
  <c r="AA495" i="19"/>
  <c r="AA147" i="19"/>
  <c r="AE60" i="19"/>
  <c r="K176" i="19"/>
  <c r="AA321" i="19"/>
  <c r="T408" i="19"/>
  <c r="I437" i="19"/>
  <c r="V89" i="19"/>
  <c r="T321" i="19"/>
  <c r="P147" i="19"/>
  <c r="L408" i="19"/>
  <c r="AD437" i="19"/>
  <c r="T379" i="19"/>
  <c r="R263" i="19"/>
  <c r="O379" i="19"/>
  <c r="M321" i="19"/>
  <c r="AB379" i="19"/>
  <c r="K321" i="19"/>
  <c r="K263" i="19"/>
  <c r="Q379" i="19"/>
  <c r="AE495" i="19"/>
  <c r="J89" i="19"/>
  <c r="Z89" i="19"/>
  <c r="T495" i="19"/>
  <c r="Y60" i="19"/>
  <c r="R437" i="19"/>
  <c r="AE437" i="19"/>
  <c r="N263" i="19"/>
  <c r="M263" i="19"/>
  <c r="L89" i="19"/>
  <c r="R89" i="19"/>
  <c r="AE176" i="19"/>
  <c r="AC176" i="19"/>
  <c r="AD495" i="19"/>
  <c r="P176" i="19"/>
  <c r="Y147" i="19"/>
  <c r="AD408" i="19"/>
  <c r="AD321" i="19"/>
  <c r="X176" i="19"/>
  <c r="AD263" i="19"/>
  <c r="T437" i="19"/>
  <c r="Q495" i="19"/>
  <c r="AB89" i="19"/>
  <c r="AD60" i="19"/>
  <c r="P437" i="19"/>
  <c r="AB147" i="19"/>
  <c r="Z176" i="19"/>
  <c r="AC408" i="19"/>
  <c r="W60" i="19"/>
  <c r="K495" i="19"/>
  <c r="W263" i="19"/>
  <c r="X321" i="19"/>
  <c r="V495" i="19"/>
  <c r="H495" i="19"/>
  <c r="S408" i="19"/>
  <c r="L495" i="19"/>
  <c r="AA379" i="19"/>
  <c r="Y495" i="19"/>
  <c r="AE321" i="19"/>
  <c r="O89" i="19"/>
  <c r="AA89" i="19"/>
  <c r="I176" i="19"/>
  <c r="AC321" i="19"/>
  <c r="J437" i="19"/>
  <c r="N379" i="19"/>
  <c r="V176" i="19"/>
  <c r="N321" i="19"/>
  <c r="W321" i="19"/>
  <c r="Q437" i="19"/>
  <c r="K89" i="19"/>
  <c r="Y89" i="19"/>
  <c r="O176" i="19"/>
  <c r="AB321" i="19"/>
  <c r="C422" i="23"/>
  <c r="D423" i="23" s="1"/>
  <c r="E424" i="23" s="1"/>
  <c r="F425" i="23" s="1"/>
  <c r="G426" i="23" s="1"/>
  <c r="H427" i="23" s="1"/>
  <c r="I428" i="23" s="1"/>
  <c r="J429" i="23" s="1"/>
  <c r="K430" i="23" s="1"/>
  <c r="L431" i="23" s="1"/>
  <c r="M432" i="23" s="1"/>
  <c r="I89" i="19"/>
  <c r="U321" i="19"/>
  <c r="P89" i="19"/>
  <c r="AD176" i="19"/>
  <c r="AC437" i="19"/>
  <c r="U437" i="19"/>
  <c r="L147" i="19"/>
  <c r="N89" i="19"/>
  <c r="AC379" i="19"/>
  <c r="D481" i="23"/>
  <c r="E482" i="23" s="1"/>
  <c r="F483" i="23" s="1"/>
  <c r="G484" i="23" s="1"/>
  <c r="H485" i="23" s="1"/>
  <c r="I486" i="23" s="1"/>
  <c r="J487" i="23" s="1"/>
  <c r="K488" i="23" s="1"/>
  <c r="L489" i="23" s="1"/>
  <c r="M490" i="23" s="1"/>
  <c r="C452" i="23"/>
  <c r="D453" i="23" s="1"/>
  <c r="E454" i="23" s="1"/>
  <c r="F455" i="23" s="1"/>
  <c r="G456" i="23" s="1"/>
  <c r="H457" i="23" s="1"/>
  <c r="I458" i="23" s="1"/>
  <c r="J459" i="23" s="1"/>
  <c r="K460" i="23" s="1"/>
  <c r="L461" i="23" s="1"/>
  <c r="C481" i="23"/>
  <c r="D482" i="23" s="1"/>
  <c r="E483" i="23" s="1"/>
  <c r="F484" i="23" s="1"/>
  <c r="G485" i="23" s="1"/>
  <c r="H486" i="23" s="1"/>
  <c r="I487" i="23" s="1"/>
  <c r="J488" i="23" s="1"/>
  <c r="K489" i="23" s="1"/>
  <c r="L490" i="23" s="1"/>
  <c r="AD205" i="19"/>
  <c r="Z234" i="19"/>
  <c r="R234" i="19"/>
  <c r="S205" i="19"/>
  <c r="G380" i="19"/>
  <c r="G148" i="19"/>
  <c r="K205" i="19"/>
  <c r="G264" i="19"/>
  <c r="Z205" i="19"/>
  <c r="F496" i="19"/>
  <c r="AB234" i="19"/>
  <c r="X205" i="19"/>
  <c r="AA205" i="19"/>
  <c r="X234" i="19"/>
  <c r="AA234" i="19"/>
  <c r="Y205" i="19"/>
  <c r="E148" i="19"/>
  <c r="R264" i="19"/>
  <c r="F322" i="19"/>
  <c r="M234" i="19"/>
  <c r="AD264" i="19"/>
  <c r="M205" i="19"/>
  <c r="E438" i="19"/>
  <c r="W234" i="19"/>
  <c r="F177" i="19"/>
  <c r="G205" i="19"/>
  <c r="W205" i="19"/>
  <c r="F205" i="19"/>
  <c r="H380" i="19"/>
  <c r="H496" i="19"/>
  <c r="I205" i="19"/>
  <c r="E264" i="19"/>
  <c r="P205" i="19"/>
  <c r="D350" i="19"/>
  <c r="D118" i="19"/>
  <c r="D466" i="19"/>
  <c r="I466" i="19"/>
  <c r="Q350" i="19"/>
  <c r="F409" i="19"/>
  <c r="Z495" i="19"/>
  <c r="V466" i="19"/>
  <c r="O321" i="19"/>
  <c r="J118" i="19"/>
  <c r="I118" i="19"/>
  <c r="H379" i="19"/>
  <c r="G409" i="19"/>
  <c r="AE205" i="19"/>
  <c r="AB61" i="19"/>
  <c r="U466" i="19"/>
  <c r="J350" i="19"/>
  <c r="Z350" i="19"/>
  <c r="Y118" i="19"/>
  <c r="E466" i="19"/>
  <c r="U89" i="19"/>
  <c r="S118" i="19"/>
  <c r="Y321" i="19"/>
  <c r="X437" i="19"/>
  <c r="O61" i="19"/>
  <c r="AB350" i="19"/>
  <c r="G90" i="19"/>
  <c r="E90" i="19"/>
  <c r="W466" i="19"/>
  <c r="Q466" i="19"/>
  <c r="X466" i="19"/>
  <c r="N437" i="19"/>
  <c r="H118" i="19"/>
  <c r="Q234" i="19"/>
  <c r="F90" i="19"/>
  <c r="T350" i="19"/>
  <c r="H90" i="19"/>
  <c r="M466" i="19"/>
  <c r="M495" i="19"/>
  <c r="J379" i="19"/>
  <c r="Z379" i="19"/>
  <c r="H234" i="19"/>
  <c r="J176" i="19"/>
  <c r="V379" i="19"/>
  <c r="E177" i="19"/>
  <c r="H205" i="19"/>
  <c r="H466" i="19"/>
  <c r="F350" i="19"/>
  <c r="S234" i="19"/>
  <c r="I177" i="19"/>
  <c r="L466" i="19"/>
  <c r="V234" i="19"/>
  <c r="AD89" i="19"/>
  <c r="AE118" i="19"/>
  <c r="AB118" i="19"/>
  <c r="K350" i="19"/>
  <c r="O118" i="19"/>
  <c r="G177" i="19"/>
  <c r="E380" i="19"/>
  <c r="E118" i="19"/>
  <c r="J264" i="19"/>
  <c r="G496" i="19"/>
  <c r="I61" i="19"/>
  <c r="W118" i="19"/>
  <c r="AC205" i="19"/>
  <c r="AE234" i="19"/>
  <c r="F264" i="19"/>
  <c r="J205" i="19"/>
  <c r="O466" i="19"/>
  <c r="D61" i="19"/>
  <c r="D409" i="19"/>
  <c r="R409" i="19"/>
  <c r="H147" i="19"/>
  <c r="I321" i="19"/>
  <c r="X350" i="19"/>
  <c r="R118" i="19"/>
  <c r="H89" i="19"/>
  <c r="W89" i="19"/>
  <c r="N350" i="19"/>
  <c r="AE466" i="19"/>
  <c r="G322" i="19"/>
  <c r="Y350" i="19"/>
  <c r="J147" i="19"/>
  <c r="V350" i="19"/>
  <c r="N466" i="19"/>
  <c r="G350" i="19"/>
  <c r="V118" i="19"/>
  <c r="L118" i="19"/>
  <c r="AC466" i="19"/>
  <c r="O147" i="19"/>
  <c r="H177" i="19"/>
  <c r="Q264" i="19"/>
  <c r="Q321" i="19"/>
  <c r="AD350" i="19"/>
  <c r="G61" i="19"/>
  <c r="AA350" i="19"/>
  <c r="H264" i="19"/>
  <c r="F61" i="19"/>
  <c r="H61" i="19"/>
  <c r="AE350" i="19"/>
  <c r="U205" i="19"/>
  <c r="L176" i="19"/>
  <c r="L205" i="19"/>
  <c r="T118" i="19"/>
  <c r="AD466" i="19"/>
  <c r="S379" i="19"/>
  <c r="Q118" i="19"/>
  <c r="O350" i="19"/>
  <c r="O205" i="19"/>
  <c r="H148" i="19"/>
  <c r="N205" i="19"/>
  <c r="H409" i="19"/>
  <c r="P350" i="19"/>
  <c r="I495" i="19"/>
  <c r="F234" i="19"/>
  <c r="N148" i="19"/>
  <c r="AB205" i="19"/>
  <c r="O234" i="19"/>
  <c r="J409" i="19"/>
  <c r="AC350" i="19"/>
  <c r="R350" i="19"/>
  <c r="E496" i="19"/>
  <c r="E234" i="19"/>
  <c r="U264" i="19"/>
  <c r="Z118" i="19"/>
  <c r="L350" i="19"/>
  <c r="S61" i="19"/>
  <c r="Q205" i="19"/>
  <c r="O409" i="19"/>
  <c r="I350" i="19"/>
  <c r="E409" i="19"/>
  <c r="P379" i="19"/>
  <c r="W148" i="19"/>
  <c r="S495" i="19"/>
  <c r="I409" i="19"/>
  <c r="I234" i="19"/>
  <c r="D90" i="19"/>
  <c r="D322" i="19"/>
  <c r="D438" i="19"/>
  <c r="I264" i="19"/>
  <c r="H322" i="19"/>
  <c r="H438" i="19"/>
  <c r="Z466" i="19"/>
  <c r="W495" i="19"/>
  <c r="G234" i="19"/>
  <c r="AA118" i="19"/>
  <c r="AA466" i="19"/>
  <c r="L437" i="19"/>
  <c r="F148" i="19"/>
  <c r="K466" i="19"/>
  <c r="D148" i="19"/>
  <c r="D380" i="19"/>
  <c r="D496" i="19"/>
  <c r="AC118" i="19"/>
  <c r="M118" i="19"/>
  <c r="J234" i="19"/>
  <c r="Z409" i="19"/>
  <c r="T466" i="19"/>
  <c r="AB466" i="19"/>
  <c r="P118" i="19"/>
  <c r="R466" i="19"/>
  <c r="F466" i="19"/>
  <c r="T205" i="19"/>
  <c r="H350" i="19"/>
  <c r="E322" i="19"/>
  <c r="Y466" i="19"/>
  <c r="G438" i="19"/>
  <c r="Q147" i="19"/>
  <c r="T234" i="19"/>
  <c r="X118" i="19"/>
  <c r="F118" i="19"/>
  <c r="U118" i="19"/>
  <c r="U234" i="19"/>
  <c r="U350" i="19"/>
  <c r="F380" i="19"/>
  <c r="K234" i="19"/>
  <c r="N118" i="19"/>
  <c r="J466" i="19"/>
  <c r="AD234" i="19"/>
  <c r="W350" i="19"/>
  <c r="F438" i="19"/>
  <c r="V205" i="19"/>
  <c r="P466" i="19"/>
  <c r="L234" i="19"/>
  <c r="S466" i="19"/>
  <c r="R205" i="19"/>
  <c r="K293" i="19"/>
  <c r="J311" i="19"/>
  <c r="Z437" i="19"/>
  <c r="AC177" i="19"/>
  <c r="S350" i="19"/>
  <c r="AC234" i="19"/>
  <c r="G118" i="19"/>
  <c r="E350" i="19"/>
  <c r="N234" i="19"/>
  <c r="P234" i="19"/>
  <c r="E205" i="19"/>
  <c r="Y61" i="19"/>
  <c r="T264" i="19"/>
  <c r="M350" i="19"/>
  <c r="K118" i="19"/>
  <c r="G466" i="19"/>
  <c r="AA264" i="19"/>
  <c r="Y234" i="19"/>
  <c r="AD118" i="19"/>
  <c r="P495" i="19"/>
  <c r="E61" i="19"/>
  <c r="I34" i="19"/>
  <c r="D178" i="19" s="1"/>
  <c r="AE70" i="6"/>
  <c r="I37" i="1" s="1"/>
  <c r="C34" i="19"/>
  <c r="AE32" i="6"/>
  <c r="C37" i="1" s="1"/>
  <c r="CQ31" i="6"/>
  <c r="E36" i="1" s="1"/>
  <c r="E33" i="19"/>
  <c r="DW70" i="6"/>
  <c r="L37" i="1" s="1"/>
  <c r="L34" i="19"/>
  <c r="D265" i="19" s="1"/>
  <c r="BK69" i="6"/>
  <c r="J36" i="1" s="1"/>
  <c r="J33" i="19"/>
  <c r="D206" i="19" s="1"/>
  <c r="DW32" i="6"/>
  <c r="F37" i="1" s="1"/>
  <c r="F34" i="19"/>
  <c r="CQ69" i="6"/>
  <c r="K36" i="1" s="1"/>
  <c r="K33" i="19"/>
  <c r="D235" i="19" s="1"/>
  <c r="H2" i="49" l="1"/>
  <c r="H6" i="49" s="1"/>
  <c r="H10" i="49" s="1"/>
  <c r="H18" i="49" s="1"/>
  <c r="K80" i="5"/>
  <c r="BK32" i="6"/>
  <c r="D37" i="1" s="1"/>
  <c r="D35" i="19" s="1"/>
  <c r="L64" i="49"/>
  <c r="K81" i="49"/>
  <c r="K34" i="49"/>
  <c r="J52" i="49"/>
  <c r="I3" i="49"/>
  <c r="I7" i="49" s="1"/>
  <c r="I11" i="49" s="1"/>
  <c r="I19" i="49" s="1"/>
  <c r="L79" i="5"/>
  <c r="AN74" i="23"/>
  <c r="AN92" i="23" s="1"/>
  <c r="AN110" i="23" s="1"/>
  <c r="I261" i="21"/>
  <c r="J282" i="20"/>
  <c r="L187" i="1" s="1"/>
  <c r="L109" i="1"/>
  <c r="E32" i="20"/>
  <c r="D11" i="21"/>
  <c r="AJ11" i="21" s="1"/>
  <c r="C118" i="20"/>
  <c r="F290" i="20"/>
  <c r="E269" i="21"/>
  <c r="AK269" i="21" s="1"/>
  <c r="G114" i="20"/>
  <c r="F93" i="21"/>
  <c r="AL93" i="21" s="1"/>
  <c r="K170" i="20"/>
  <c r="J149" i="21"/>
  <c r="AP149" i="21" s="1"/>
  <c r="K141" i="20"/>
  <c r="J120" i="21"/>
  <c r="AP120" i="21" s="1"/>
  <c r="E462" i="20"/>
  <c r="D441" i="21"/>
  <c r="AJ441" i="21" s="1"/>
  <c r="K26" i="20"/>
  <c r="J5" i="21"/>
  <c r="AP5" i="21" s="1"/>
  <c r="C380" i="20"/>
  <c r="D264" i="20"/>
  <c r="C243" i="21"/>
  <c r="AI243" i="21" s="1"/>
  <c r="G404" i="20"/>
  <c r="F383" i="21"/>
  <c r="AL383" i="21" s="1"/>
  <c r="L140" i="20"/>
  <c r="K119" i="21"/>
  <c r="AQ119" i="21" s="1"/>
  <c r="I85" i="20"/>
  <c r="H64" i="21"/>
  <c r="AN64" i="21" s="1"/>
  <c r="L82" i="20"/>
  <c r="K61" i="21"/>
  <c r="AQ61" i="21" s="1"/>
  <c r="I259" i="20"/>
  <c r="H238" i="21"/>
  <c r="AN238" i="21" s="1"/>
  <c r="I287" i="20"/>
  <c r="H266" i="21"/>
  <c r="AN266" i="21" s="1"/>
  <c r="H202" i="20"/>
  <c r="G181" i="21"/>
  <c r="AM181" i="21" s="1"/>
  <c r="F88" i="20"/>
  <c r="E67" i="21"/>
  <c r="AK67" i="21" s="1"/>
  <c r="E291" i="20"/>
  <c r="D270" i="21"/>
  <c r="AJ270" i="21" s="1"/>
  <c r="G232" i="20"/>
  <c r="F211" i="21"/>
  <c r="AL211" i="21" s="1"/>
  <c r="I316" i="20"/>
  <c r="H295" i="21"/>
  <c r="AN295" i="21" s="1"/>
  <c r="F262" i="20"/>
  <c r="E241" i="21"/>
  <c r="AK241" i="21" s="1"/>
  <c r="E406" i="20"/>
  <c r="D385" i="21"/>
  <c r="AJ385" i="21" s="1"/>
  <c r="F115" i="20"/>
  <c r="E94" i="21"/>
  <c r="AK94" i="21" s="1"/>
  <c r="H317" i="20"/>
  <c r="G296" i="21"/>
  <c r="AM296" i="21" s="1"/>
  <c r="J286" i="20"/>
  <c r="I265" i="21"/>
  <c r="AO265" i="21" s="1"/>
  <c r="D321" i="20"/>
  <c r="C437" i="20"/>
  <c r="C300" i="21"/>
  <c r="AI300" i="21" s="1"/>
  <c r="J171" i="20"/>
  <c r="I150" i="21"/>
  <c r="AO150" i="21" s="1"/>
  <c r="I28" i="20"/>
  <c r="H7" i="21"/>
  <c r="AN7" i="21" s="1"/>
  <c r="F175" i="20"/>
  <c r="E154" i="21"/>
  <c r="AK154" i="21" s="1"/>
  <c r="I343" i="20"/>
  <c r="H322" i="21"/>
  <c r="AN322" i="21" s="1"/>
  <c r="J401" i="20"/>
  <c r="I380" i="21"/>
  <c r="AO380" i="21" s="1"/>
  <c r="G376" i="20"/>
  <c r="F355" i="21"/>
  <c r="AL355" i="21" s="1"/>
  <c r="H288" i="20"/>
  <c r="G267" i="21"/>
  <c r="AM267" i="21" s="1"/>
  <c r="H344" i="20"/>
  <c r="G323" i="21"/>
  <c r="AM323" i="21" s="1"/>
  <c r="L25" i="20"/>
  <c r="K4" i="21"/>
  <c r="AQ4" i="21" s="1"/>
  <c r="E60" i="20"/>
  <c r="D39" i="21"/>
  <c r="AJ39" i="21" s="1"/>
  <c r="D436" i="20"/>
  <c r="C415" i="21"/>
  <c r="AI415" i="21" s="1"/>
  <c r="F59" i="20"/>
  <c r="E38" i="21"/>
  <c r="AK38" i="21" s="1"/>
  <c r="G174" i="20"/>
  <c r="F153" i="21"/>
  <c r="AL153" i="21" s="1"/>
  <c r="H86" i="20"/>
  <c r="G65" i="21"/>
  <c r="AM65" i="21" s="1"/>
  <c r="L198" i="20"/>
  <c r="K177" i="21"/>
  <c r="AQ177" i="21" s="1"/>
  <c r="C62" i="20"/>
  <c r="D463" i="20"/>
  <c r="C442" i="21"/>
  <c r="AI442" i="21" s="1"/>
  <c r="I143" i="20"/>
  <c r="H122" i="21"/>
  <c r="AN122" i="21" s="1"/>
  <c r="J27" i="20"/>
  <c r="I6" i="21"/>
  <c r="AO6" i="21" s="1"/>
  <c r="H432" i="20"/>
  <c r="G411" i="21"/>
  <c r="AM411" i="21" s="1"/>
  <c r="D33" i="20"/>
  <c r="C265" i="20"/>
  <c r="C12" i="21"/>
  <c r="AI12" i="21" s="1"/>
  <c r="G460" i="20"/>
  <c r="F439" i="21"/>
  <c r="AL439" i="21" s="1"/>
  <c r="F346" i="20"/>
  <c r="E325" i="21"/>
  <c r="AK325" i="21" s="1"/>
  <c r="D348" i="20"/>
  <c r="C464" i="20"/>
  <c r="C327" i="21"/>
  <c r="AI327" i="21" s="1"/>
  <c r="J111" i="20"/>
  <c r="I90" i="21"/>
  <c r="AO90" i="21" s="1"/>
  <c r="D407" i="20"/>
  <c r="C386" i="21"/>
  <c r="AI386" i="21" s="1"/>
  <c r="H144" i="20"/>
  <c r="G123" i="21"/>
  <c r="AM123" i="21" s="1"/>
  <c r="E89" i="20"/>
  <c r="D68" i="21"/>
  <c r="AJ68" i="21" s="1"/>
  <c r="E347" i="20"/>
  <c r="D326" i="21"/>
  <c r="AJ326" i="21" s="1"/>
  <c r="I172" i="20"/>
  <c r="H151" i="21"/>
  <c r="AN151" i="21" s="1"/>
  <c r="L169" i="20"/>
  <c r="K148" i="21"/>
  <c r="AQ148" i="21" s="1"/>
  <c r="E176" i="20"/>
  <c r="D155" i="21"/>
  <c r="AJ155" i="21" s="1"/>
  <c r="C322" i="20"/>
  <c r="D90" i="20"/>
  <c r="C69" i="21"/>
  <c r="AI69" i="21" s="1"/>
  <c r="G261" i="20"/>
  <c r="F240" i="21"/>
  <c r="AL240" i="21" s="1"/>
  <c r="G58" i="20"/>
  <c r="F37" i="21"/>
  <c r="AL37" i="21" s="1"/>
  <c r="G203" i="20"/>
  <c r="F182" i="21"/>
  <c r="AL182" i="21" s="1"/>
  <c r="F434" i="20"/>
  <c r="E413" i="21"/>
  <c r="AK413" i="21" s="1"/>
  <c r="F319" i="20"/>
  <c r="E298" i="21"/>
  <c r="AK298" i="21" s="1"/>
  <c r="E234" i="20"/>
  <c r="D213" i="21"/>
  <c r="AJ213" i="21" s="1"/>
  <c r="K199" i="20"/>
  <c r="J178" i="21"/>
  <c r="AP178" i="21" s="1"/>
  <c r="D177" i="20"/>
  <c r="C156" i="21"/>
  <c r="AI156" i="21" s="1"/>
  <c r="D292" i="20"/>
  <c r="C408" i="20"/>
  <c r="C271" i="21"/>
  <c r="AI271" i="21" s="1"/>
  <c r="G318" i="20"/>
  <c r="F297" i="21"/>
  <c r="AL297" i="21" s="1"/>
  <c r="D206" i="20"/>
  <c r="C185" i="21"/>
  <c r="AI185" i="21" s="1"/>
  <c r="J430" i="20"/>
  <c r="I409" i="21"/>
  <c r="AO409" i="21" s="1"/>
  <c r="F405" i="20"/>
  <c r="E384" i="21"/>
  <c r="AK384" i="21" s="1"/>
  <c r="J315" i="20"/>
  <c r="I294" i="21"/>
  <c r="AO294" i="21" s="1"/>
  <c r="H403" i="20"/>
  <c r="G382" i="21"/>
  <c r="AM382" i="21" s="1"/>
  <c r="H57" i="20"/>
  <c r="G36" i="21"/>
  <c r="AM36" i="21" s="1"/>
  <c r="F204" i="20"/>
  <c r="E183" i="21"/>
  <c r="AK183" i="21" s="1"/>
  <c r="K285" i="20"/>
  <c r="J264" i="21"/>
  <c r="AP264" i="21" s="1"/>
  <c r="F461" i="20"/>
  <c r="E440" i="21"/>
  <c r="AK440" i="21" s="1"/>
  <c r="F31" i="20"/>
  <c r="E10" i="21"/>
  <c r="AK10" i="21" s="1"/>
  <c r="K257" i="20"/>
  <c r="J236" i="21"/>
  <c r="AP236" i="21" s="1"/>
  <c r="C34" i="20"/>
  <c r="J373" i="20"/>
  <c r="I352" i="21"/>
  <c r="AO352" i="21" s="1"/>
  <c r="I402" i="20"/>
  <c r="H381" i="21"/>
  <c r="AN381" i="21" s="1"/>
  <c r="D379" i="20"/>
  <c r="C358" i="21"/>
  <c r="AI358" i="21" s="1"/>
  <c r="L53" i="20"/>
  <c r="K32" i="21"/>
  <c r="AQ32" i="21" s="1"/>
  <c r="H173" i="20"/>
  <c r="G152" i="21"/>
  <c r="AM152" i="21" s="1"/>
  <c r="J200" i="20"/>
  <c r="I179" i="21"/>
  <c r="AO179" i="21" s="1"/>
  <c r="E320" i="20"/>
  <c r="D299" i="21"/>
  <c r="AJ299" i="21" s="1"/>
  <c r="C293" i="20"/>
  <c r="D61" i="20"/>
  <c r="C40" i="21"/>
  <c r="AI40" i="21" s="1"/>
  <c r="C149" i="20"/>
  <c r="J258" i="20"/>
  <c r="I237" i="21"/>
  <c r="AO237" i="21" s="1"/>
  <c r="G145" i="20"/>
  <c r="F124" i="21"/>
  <c r="AL124" i="21" s="1"/>
  <c r="C236" i="20"/>
  <c r="E205" i="20"/>
  <c r="D184" i="21"/>
  <c r="AJ184" i="21" s="1"/>
  <c r="E378" i="20"/>
  <c r="D357" i="21"/>
  <c r="AJ357" i="21" s="1"/>
  <c r="L227" i="20"/>
  <c r="K206" i="21"/>
  <c r="AQ206" i="21" s="1"/>
  <c r="K54" i="20"/>
  <c r="J33" i="21"/>
  <c r="AP33" i="21" s="1"/>
  <c r="C91" i="20"/>
  <c r="J55" i="20"/>
  <c r="I34" i="21"/>
  <c r="AO34" i="21" s="1"/>
  <c r="I230" i="20"/>
  <c r="H209" i="21"/>
  <c r="AN209" i="21" s="1"/>
  <c r="H375" i="20"/>
  <c r="G354" i="21"/>
  <c r="AM354" i="21" s="1"/>
  <c r="J229" i="20"/>
  <c r="I208" i="21"/>
  <c r="AO208" i="21" s="1"/>
  <c r="I112" i="20"/>
  <c r="H91" i="21"/>
  <c r="AN91" i="21" s="1"/>
  <c r="H231" i="20"/>
  <c r="G210" i="21"/>
  <c r="AM210" i="21" s="1"/>
  <c r="E116" i="20"/>
  <c r="D95" i="21"/>
  <c r="AJ95" i="21" s="1"/>
  <c r="E435" i="20"/>
  <c r="D414" i="21"/>
  <c r="AJ414" i="21" s="1"/>
  <c r="J84" i="20"/>
  <c r="I63" i="21"/>
  <c r="AO63" i="21" s="1"/>
  <c r="K83" i="20"/>
  <c r="J62" i="21"/>
  <c r="AP62" i="21" s="1"/>
  <c r="J142" i="20"/>
  <c r="I121" i="21"/>
  <c r="AO121" i="21" s="1"/>
  <c r="H260" i="20"/>
  <c r="G239" i="21"/>
  <c r="AM239" i="21" s="1"/>
  <c r="E147" i="20"/>
  <c r="D126" i="21"/>
  <c r="AJ126" i="21" s="1"/>
  <c r="C349" i="20"/>
  <c r="D117" i="20"/>
  <c r="C96" i="21"/>
  <c r="AI96" i="21" s="1"/>
  <c r="K228" i="20"/>
  <c r="J207" i="21"/>
  <c r="AP207" i="21" s="1"/>
  <c r="G345" i="20"/>
  <c r="F324" i="21"/>
  <c r="AL324" i="21" s="1"/>
  <c r="F233" i="20"/>
  <c r="E212" i="21"/>
  <c r="AK212" i="21" s="1"/>
  <c r="I201" i="20"/>
  <c r="H180" i="21"/>
  <c r="AN180" i="21" s="1"/>
  <c r="I431" i="20"/>
  <c r="H410" i="21"/>
  <c r="AN410" i="21" s="1"/>
  <c r="C178" i="20"/>
  <c r="G433" i="20"/>
  <c r="F412" i="21"/>
  <c r="AL412" i="21" s="1"/>
  <c r="K314" i="20"/>
  <c r="J293" i="21"/>
  <c r="AP293" i="21" s="1"/>
  <c r="H113" i="20"/>
  <c r="G92" i="21"/>
  <c r="AM92" i="21" s="1"/>
  <c r="G30" i="20"/>
  <c r="F9" i="21"/>
  <c r="AL9" i="21" s="1"/>
  <c r="F146" i="20"/>
  <c r="E125" i="21"/>
  <c r="AK125" i="21" s="1"/>
  <c r="I374" i="20"/>
  <c r="H353" i="21"/>
  <c r="AN353" i="21" s="1"/>
  <c r="H459" i="20"/>
  <c r="G438" i="21"/>
  <c r="AM438" i="21" s="1"/>
  <c r="G87" i="20"/>
  <c r="F66" i="21"/>
  <c r="AL66" i="21" s="1"/>
  <c r="C207" i="20"/>
  <c r="F377" i="20"/>
  <c r="E356" i="21"/>
  <c r="AK356" i="21" s="1"/>
  <c r="D148" i="20"/>
  <c r="C127" i="21"/>
  <c r="AI127" i="21" s="1"/>
  <c r="D235" i="20"/>
  <c r="C214" i="21"/>
  <c r="AI214" i="21" s="1"/>
  <c r="I56" i="20"/>
  <c r="H35" i="21"/>
  <c r="AN35" i="21" s="1"/>
  <c r="E263" i="20"/>
  <c r="D242" i="21"/>
  <c r="AJ242" i="21" s="1"/>
  <c r="G289" i="20"/>
  <c r="F268" i="21"/>
  <c r="AL268" i="21" s="1"/>
  <c r="H29" i="20"/>
  <c r="G8" i="21"/>
  <c r="AM8" i="21" s="1"/>
  <c r="V409" i="19"/>
  <c r="W410" i="19" s="1"/>
  <c r="X177" i="19"/>
  <c r="U61" i="19"/>
  <c r="W438" i="19"/>
  <c r="T322" i="19"/>
  <c r="Z380" i="19"/>
  <c r="AD496" i="19"/>
  <c r="Q322" i="19"/>
  <c r="S409" i="19"/>
  <c r="V380" i="19"/>
  <c r="K409" i="19"/>
  <c r="L409" i="19"/>
  <c r="W61" i="19"/>
  <c r="AC409" i="19"/>
  <c r="K264" i="19"/>
  <c r="Y496" i="19"/>
  <c r="Y90" i="19"/>
  <c r="N177" i="19"/>
  <c r="S380" i="19"/>
  <c r="R90" i="19"/>
  <c r="O496" i="19"/>
  <c r="X409" i="19"/>
  <c r="N380" i="19"/>
  <c r="AA409" i="19"/>
  <c r="P61" i="19"/>
  <c r="V148" i="19"/>
  <c r="AB438" i="19"/>
  <c r="V61" i="19"/>
  <c r="J61" i="19"/>
  <c r="J380" i="19"/>
  <c r="W409" i="19"/>
  <c r="AD148" i="19"/>
  <c r="M264" i="19"/>
  <c r="P409" i="19"/>
  <c r="S264" i="19"/>
  <c r="AA322" i="19"/>
  <c r="P438" i="19"/>
  <c r="P264" i="19"/>
  <c r="AC264" i="19"/>
  <c r="Z496" i="19"/>
  <c r="Q409" i="19"/>
  <c r="S496" i="19"/>
  <c r="N409" i="19"/>
  <c r="AC61" i="19"/>
  <c r="K496" i="19"/>
  <c r="I322" i="19"/>
  <c r="R61" i="19"/>
  <c r="W90" i="19"/>
  <c r="T90" i="19"/>
  <c r="L148" i="19"/>
  <c r="K322" i="19"/>
  <c r="K61" i="19"/>
  <c r="U177" i="19"/>
  <c r="L380" i="19"/>
  <c r="Z438" i="19"/>
  <c r="L438" i="19"/>
  <c r="V264" i="19"/>
  <c r="R177" i="19"/>
  <c r="V496" i="19"/>
  <c r="AC438" i="19"/>
  <c r="AD409" i="19"/>
  <c r="N438" i="19"/>
  <c r="T148" i="19"/>
  <c r="AE380" i="19"/>
  <c r="Z264" i="19"/>
  <c r="AE148" i="19"/>
  <c r="O177" i="19"/>
  <c r="N322" i="19"/>
  <c r="Z90" i="19"/>
  <c r="U90" i="19"/>
  <c r="U496" i="19"/>
  <c r="AD90" i="19"/>
  <c r="Z148" i="19"/>
  <c r="M496" i="19"/>
  <c r="Z61" i="19"/>
  <c r="L177" i="19"/>
  <c r="U148" i="19"/>
  <c r="T177" i="19"/>
  <c r="M61" i="19"/>
  <c r="AD61" i="19"/>
  <c r="N90" i="19"/>
  <c r="T438" i="19"/>
  <c r="AC148" i="19"/>
  <c r="AB380" i="19"/>
  <c r="I438" i="19"/>
  <c r="Q438" i="19"/>
  <c r="P496" i="19"/>
  <c r="S322" i="19"/>
  <c r="AB496" i="19"/>
  <c r="U438" i="19"/>
  <c r="Y380" i="19"/>
  <c r="AA90" i="19"/>
  <c r="U380" i="19"/>
  <c r="AC380" i="19"/>
  <c r="AB177" i="19"/>
  <c r="T61" i="19"/>
  <c r="X438" i="19"/>
  <c r="N61" i="19"/>
  <c r="O148" i="19"/>
  <c r="M380" i="19"/>
  <c r="T409" i="19"/>
  <c r="Y264" i="19"/>
  <c r="W322" i="19"/>
  <c r="AA61" i="19"/>
  <c r="Y177" i="19"/>
  <c r="J148" i="19"/>
  <c r="Q177" i="19"/>
  <c r="L322" i="19"/>
  <c r="M322" i="19"/>
  <c r="AC90" i="19"/>
  <c r="Q61" i="19"/>
  <c r="W264" i="19"/>
  <c r="AB148" i="19"/>
  <c r="M90" i="19"/>
  <c r="V177" i="19"/>
  <c r="AE438" i="19"/>
  <c r="X380" i="19"/>
  <c r="R380" i="19"/>
  <c r="S177" i="19"/>
  <c r="AB264" i="19"/>
  <c r="AA148" i="19"/>
  <c r="AC496" i="19"/>
  <c r="L496" i="19"/>
  <c r="J438" i="19"/>
  <c r="M409" i="19"/>
  <c r="AB322" i="19"/>
  <c r="AA177" i="19"/>
  <c r="Z177" i="19"/>
  <c r="AD322" i="19"/>
  <c r="P380" i="19"/>
  <c r="L61" i="19"/>
  <c r="U322" i="19"/>
  <c r="L264" i="19"/>
  <c r="W496" i="19"/>
  <c r="X148" i="19"/>
  <c r="AE496" i="19"/>
  <c r="Q148" i="19"/>
  <c r="U409" i="19"/>
  <c r="W177" i="19"/>
  <c r="L90" i="19"/>
  <c r="AE322" i="19"/>
  <c r="AE61" i="19"/>
  <c r="O264" i="19"/>
  <c r="S438" i="19"/>
  <c r="J177" i="19"/>
  <c r="I496" i="19"/>
  <c r="R496" i="19"/>
  <c r="AE264" i="19"/>
  <c r="K90" i="19"/>
  <c r="Y322" i="19"/>
  <c r="P177" i="19"/>
  <c r="AD177" i="19"/>
  <c r="N264" i="19"/>
  <c r="X61" i="19"/>
  <c r="AE409" i="19"/>
  <c r="X264" i="19"/>
  <c r="S90" i="19"/>
  <c r="O322" i="19"/>
  <c r="P90" i="19"/>
  <c r="J90" i="19"/>
  <c r="K438" i="19"/>
  <c r="X322" i="19"/>
  <c r="AD380" i="19"/>
  <c r="V322" i="19"/>
  <c r="AB90" i="19"/>
  <c r="AC322" i="19"/>
  <c r="R438" i="19"/>
  <c r="O380" i="19"/>
  <c r="C423" i="23"/>
  <c r="D424" i="23" s="1"/>
  <c r="E425" i="23" s="1"/>
  <c r="F426" i="23" s="1"/>
  <c r="G427" i="23" s="1"/>
  <c r="H428" i="23" s="1"/>
  <c r="I429" i="23" s="1"/>
  <c r="J430" i="23" s="1"/>
  <c r="K431" i="23" s="1"/>
  <c r="L432" i="23" s="1"/>
  <c r="Q90" i="19"/>
  <c r="O90" i="19"/>
  <c r="AA438" i="19"/>
  <c r="C482" i="23"/>
  <c r="D483" i="23" s="1"/>
  <c r="E484" i="23" s="1"/>
  <c r="F485" i="23" s="1"/>
  <c r="G486" i="23" s="1"/>
  <c r="H487" i="23" s="1"/>
  <c r="I488" i="23" s="1"/>
  <c r="J489" i="23" s="1"/>
  <c r="K490" i="23" s="1"/>
  <c r="AD438" i="19"/>
  <c r="T496" i="19"/>
  <c r="J496" i="19"/>
  <c r="T380" i="19"/>
  <c r="W380" i="19"/>
  <c r="AE177" i="19"/>
  <c r="Q380" i="19"/>
  <c r="J322" i="19"/>
  <c r="AA380" i="19"/>
  <c r="AA496" i="19"/>
  <c r="M148" i="19"/>
  <c r="V438" i="19"/>
  <c r="R148" i="19"/>
  <c r="C453" i="23"/>
  <c r="D454" i="23" s="1"/>
  <c r="E455" i="23" s="1"/>
  <c r="F456" i="23" s="1"/>
  <c r="G457" i="23" s="1"/>
  <c r="H458" i="23" s="1"/>
  <c r="I459" i="23" s="1"/>
  <c r="J460" i="23" s="1"/>
  <c r="K461" i="23" s="1"/>
  <c r="T149" i="19"/>
  <c r="X149" i="19"/>
  <c r="F265" i="19"/>
  <c r="J410" i="19"/>
  <c r="I178" i="19"/>
  <c r="AD178" i="19"/>
  <c r="AA410" i="19"/>
  <c r="T62" i="19"/>
  <c r="F62" i="19"/>
  <c r="G178" i="19"/>
  <c r="E410" i="19"/>
  <c r="H381" i="19"/>
  <c r="I410" i="19"/>
  <c r="I149" i="19"/>
  <c r="H178" i="19"/>
  <c r="E178" i="19"/>
  <c r="G149" i="19"/>
  <c r="K410" i="19"/>
  <c r="O149" i="19"/>
  <c r="F149" i="19"/>
  <c r="E62" i="19"/>
  <c r="F410" i="19"/>
  <c r="I62" i="19"/>
  <c r="E265" i="19"/>
  <c r="F381" i="19"/>
  <c r="D351" i="19"/>
  <c r="D119" i="19"/>
  <c r="D467" i="19"/>
  <c r="Z235" i="19"/>
  <c r="F206" i="19"/>
  <c r="L294" i="19"/>
  <c r="K311" i="19"/>
  <c r="G439" i="19"/>
  <c r="V119" i="19"/>
  <c r="H439" i="19"/>
  <c r="I351" i="19"/>
  <c r="AB467" i="19"/>
  <c r="R206" i="19"/>
  <c r="AA119" i="19"/>
  <c r="F235" i="19"/>
  <c r="M206" i="19"/>
  <c r="M177" i="19"/>
  <c r="X235" i="19"/>
  <c r="I90" i="19"/>
  <c r="Y351" i="19"/>
  <c r="X119" i="19"/>
  <c r="AE90" i="19"/>
  <c r="Y235" i="19"/>
  <c r="Y438" i="19"/>
  <c r="T119" i="19"/>
  <c r="V90" i="19"/>
  <c r="G206" i="19"/>
  <c r="AE206" i="19"/>
  <c r="E467" i="19"/>
  <c r="F351" i="19"/>
  <c r="T351" i="19"/>
  <c r="S206" i="19"/>
  <c r="O119" i="19"/>
  <c r="V351" i="19"/>
  <c r="E235" i="19"/>
  <c r="AA235" i="19"/>
  <c r="J265" i="19"/>
  <c r="T206" i="19"/>
  <c r="F497" i="19"/>
  <c r="G235" i="19"/>
  <c r="V206" i="19"/>
  <c r="AB235" i="19"/>
  <c r="AB206" i="19"/>
  <c r="Q206" i="19"/>
  <c r="M119" i="19"/>
  <c r="Z206" i="19"/>
  <c r="K148" i="19"/>
  <c r="H323" i="19"/>
  <c r="N206" i="19"/>
  <c r="AB265" i="19"/>
  <c r="Q467" i="19"/>
  <c r="W206" i="19"/>
  <c r="V235" i="19"/>
  <c r="F323" i="19"/>
  <c r="S467" i="19"/>
  <c r="AD119" i="19"/>
  <c r="E497" i="19"/>
  <c r="AB119" i="19"/>
  <c r="X496" i="19"/>
  <c r="AA467" i="19"/>
  <c r="E439" i="19"/>
  <c r="H206" i="19"/>
  <c r="G323" i="19"/>
  <c r="D62" i="19"/>
  <c r="D410" i="19"/>
  <c r="Q496" i="19"/>
  <c r="L119" i="19"/>
  <c r="Z62" i="19"/>
  <c r="Q235" i="19"/>
  <c r="H119" i="19"/>
  <c r="M235" i="19"/>
  <c r="AE235" i="19"/>
  <c r="G119" i="19"/>
  <c r="U206" i="19"/>
  <c r="AC467" i="19"/>
  <c r="K235" i="19"/>
  <c r="N119" i="19"/>
  <c r="E381" i="19"/>
  <c r="M438" i="19"/>
  <c r="G497" i="19"/>
  <c r="E323" i="19"/>
  <c r="J235" i="19"/>
  <c r="J351" i="19"/>
  <c r="P410" i="19"/>
  <c r="M351" i="19"/>
  <c r="S351" i="19"/>
  <c r="AC206" i="19"/>
  <c r="AE467" i="19"/>
  <c r="G62" i="19"/>
  <c r="AB351" i="19"/>
  <c r="R265" i="19"/>
  <c r="P148" i="19"/>
  <c r="W119" i="19"/>
  <c r="O467" i="19"/>
  <c r="W351" i="19"/>
  <c r="Z351" i="19"/>
  <c r="O351" i="19"/>
  <c r="AA206" i="19"/>
  <c r="P467" i="19"/>
  <c r="G265" i="19"/>
  <c r="Z410" i="19"/>
  <c r="H497" i="19"/>
  <c r="F119" i="19"/>
  <c r="P119" i="19"/>
  <c r="J178" i="19"/>
  <c r="F178" i="19"/>
  <c r="I91" i="19"/>
  <c r="O438" i="19"/>
  <c r="X467" i="19"/>
  <c r="H91" i="19"/>
  <c r="V467" i="19"/>
  <c r="H149" i="19"/>
  <c r="I380" i="19"/>
  <c r="K119" i="19"/>
  <c r="P322" i="19"/>
  <c r="W467" i="19"/>
  <c r="R351" i="19"/>
  <c r="D323" i="19"/>
  <c r="D439" i="19"/>
  <c r="D91" i="19"/>
  <c r="H467" i="19"/>
  <c r="O235" i="19"/>
  <c r="K467" i="19"/>
  <c r="E149" i="19"/>
  <c r="H235" i="19"/>
  <c r="I323" i="19"/>
  <c r="L206" i="19"/>
  <c r="AD351" i="19"/>
  <c r="I265" i="19"/>
  <c r="AE351" i="19"/>
  <c r="AD467" i="19"/>
  <c r="X90" i="19"/>
  <c r="I148" i="19"/>
  <c r="G351" i="19"/>
  <c r="I235" i="19"/>
  <c r="G91" i="19"/>
  <c r="L235" i="19"/>
  <c r="U235" i="19"/>
  <c r="Z467" i="19"/>
  <c r="G467" i="19"/>
  <c r="E206" i="19"/>
  <c r="I467" i="19"/>
  <c r="I381" i="19"/>
  <c r="Y467" i="19"/>
  <c r="F91" i="19"/>
  <c r="AC351" i="19"/>
  <c r="AC235" i="19"/>
  <c r="F467" i="19"/>
  <c r="AA351" i="19"/>
  <c r="AC62" i="19"/>
  <c r="Y206" i="19"/>
  <c r="AE265" i="19"/>
  <c r="E119" i="19"/>
  <c r="N351" i="19"/>
  <c r="Q119" i="19"/>
  <c r="U467" i="19"/>
  <c r="L467" i="19"/>
  <c r="E91" i="19"/>
  <c r="R119" i="19"/>
  <c r="H351" i="19"/>
  <c r="F439" i="19"/>
  <c r="L351" i="19"/>
  <c r="W235" i="19"/>
  <c r="K177" i="19"/>
  <c r="K380" i="19"/>
  <c r="I119" i="19"/>
  <c r="X206" i="19"/>
  <c r="AE119" i="19"/>
  <c r="AD235" i="19"/>
  <c r="T467" i="19"/>
  <c r="Y119" i="19"/>
  <c r="D381" i="19"/>
  <c r="D497" i="19"/>
  <c r="D149" i="19"/>
  <c r="U265" i="19"/>
  <c r="X351" i="19"/>
  <c r="G381" i="19"/>
  <c r="I439" i="19"/>
  <c r="S265" i="19"/>
  <c r="V265" i="19"/>
  <c r="P235" i="19"/>
  <c r="Q351" i="19"/>
  <c r="O206" i="19"/>
  <c r="P206" i="19"/>
  <c r="P351" i="19"/>
  <c r="U119" i="19"/>
  <c r="H62" i="19"/>
  <c r="R322" i="19"/>
  <c r="S235" i="19"/>
  <c r="J206" i="19"/>
  <c r="Z149" i="19"/>
  <c r="S119" i="19"/>
  <c r="S410" i="19"/>
  <c r="K206" i="19"/>
  <c r="AD206" i="19"/>
  <c r="J62" i="19"/>
  <c r="K265" i="19"/>
  <c r="AC119" i="19"/>
  <c r="M467" i="19"/>
  <c r="AC410" i="19"/>
  <c r="T235" i="19"/>
  <c r="I206" i="19"/>
  <c r="N496" i="19"/>
  <c r="N467" i="19"/>
  <c r="U351" i="19"/>
  <c r="R235" i="19"/>
  <c r="R467" i="19"/>
  <c r="P62" i="19"/>
  <c r="Z322" i="19"/>
  <c r="H265" i="19"/>
  <c r="N235" i="19"/>
  <c r="Z119" i="19"/>
  <c r="K351" i="19"/>
  <c r="I497" i="19"/>
  <c r="H410" i="19"/>
  <c r="J119" i="19"/>
  <c r="G410" i="19"/>
  <c r="J467" i="19"/>
  <c r="E351" i="19"/>
  <c r="CQ70" i="6"/>
  <c r="K37" i="1" s="1"/>
  <c r="K34" i="19"/>
  <c r="D236" i="19" s="1"/>
  <c r="BK33" i="6"/>
  <c r="D38" i="1" s="1"/>
  <c r="BK70" i="6"/>
  <c r="J37" i="1" s="1"/>
  <c r="J34" i="19"/>
  <c r="D207" i="19" s="1"/>
  <c r="AE71" i="6"/>
  <c r="I38" i="1" s="1"/>
  <c r="I35" i="19"/>
  <c r="D179" i="19" s="1"/>
  <c r="CQ32" i="6"/>
  <c r="E37" i="1" s="1"/>
  <c r="E34" i="19"/>
  <c r="AE33" i="6"/>
  <c r="C38" i="1" s="1"/>
  <c r="C35" i="19"/>
  <c r="DW33" i="6"/>
  <c r="F38" i="1" s="1"/>
  <c r="F35" i="19"/>
  <c r="DW71" i="6"/>
  <c r="L38" i="1" s="1"/>
  <c r="L35" i="19"/>
  <c r="D266" i="19" s="1"/>
  <c r="J261" i="21" l="1"/>
  <c r="I2" i="49"/>
  <c r="I6" i="49" s="1"/>
  <c r="I10" i="49" s="1"/>
  <c r="I18" i="49" s="1"/>
  <c r="L80" i="5"/>
  <c r="L35" i="49"/>
  <c r="K52" i="49"/>
  <c r="M65" i="49"/>
  <c r="L81" i="49"/>
  <c r="J3" i="49"/>
  <c r="J7" i="49" s="1"/>
  <c r="J11" i="49" s="1"/>
  <c r="J19" i="49" s="1"/>
  <c r="M79" i="5"/>
  <c r="AO74" i="23"/>
  <c r="AO92" i="23" s="1"/>
  <c r="AO110" i="23" s="1"/>
  <c r="K282" i="20"/>
  <c r="M187" i="1" s="1"/>
  <c r="M109" i="1"/>
  <c r="K84" i="20"/>
  <c r="J63" i="21"/>
  <c r="AP63" i="21" s="1"/>
  <c r="I375" i="20"/>
  <c r="H354" i="21"/>
  <c r="AN354" i="21" s="1"/>
  <c r="F378" i="20"/>
  <c r="E357" i="21"/>
  <c r="AK357" i="21" s="1"/>
  <c r="K258" i="20"/>
  <c r="J237" i="21"/>
  <c r="AP237" i="21" s="1"/>
  <c r="F320" i="20"/>
  <c r="E299" i="21"/>
  <c r="AK299" i="21" s="1"/>
  <c r="L257" i="20"/>
  <c r="K236" i="21"/>
  <c r="AQ236" i="21" s="1"/>
  <c r="G204" i="20"/>
  <c r="F183" i="21"/>
  <c r="AL183" i="21" s="1"/>
  <c r="G405" i="20"/>
  <c r="F384" i="21"/>
  <c r="AL384" i="21" s="1"/>
  <c r="G434" i="20"/>
  <c r="F413" i="21"/>
  <c r="AL413" i="21" s="1"/>
  <c r="G59" i="20"/>
  <c r="F38" i="21"/>
  <c r="AL38" i="21" s="1"/>
  <c r="H376" i="20"/>
  <c r="G355" i="21"/>
  <c r="AM355" i="21" s="1"/>
  <c r="L141" i="20"/>
  <c r="K120" i="21"/>
  <c r="AQ120" i="21" s="1"/>
  <c r="C350" i="20"/>
  <c r="D118" i="20"/>
  <c r="C97" i="21"/>
  <c r="AI97" i="21" s="1"/>
  <c r="I29" i="20"/>
  <c r="H8" i="21"/>
  <c r="AN8" i="21" s="1"/>
  <c r="F263" i="20"/>
  <c r="E242" i="21"/>
  <c r="AK242" i="21" s="1"/>
  <c r="E235" i="20"/>
  <c r="D214" i="21"/>
  <c r="AJ214" i="21" s="1"/>
  <c r="G377" i="20"/>
  <c r="F356" i="21"/>
  <c r="AL356" i="21" s="1"/>
  <c r="H87" i="20"/>
  <c r="G66" i="21"/>
  <c r="AM66" i="21" s="1"/>
  <c r="J374" i="20"/>
  <c r="I353" i="21"/>
  <c r="AO353" i="21" s="1"/>
  <c r="H30" i="20"/>
  <c r="G9" i="21"/>
  <c r="AM9" i="21" s="1"/>
  <c r="L314" i="20"/>
  <c r="K293" i="21"/>
  <c r="AQ293" i="21" s="1"/>
  <c r="C179" i="20"/>
  <c r="J201" i="20"/>
  <c r="I180" i="21"/>
  <c r="AO180" i="21" s="1"/>
  <c r="H345" i="20"/>
  <c r="G324" i="21"/>
  <c r="AM324" i="21" s="1"/>
  <c r="E117" i="20"/>
  <c r="D96" i="21"/>
  <c r="AJ96" i="21" s="1"/>
  <c r="C323" i="20"/>
  <c r="D91" i="20"/>
  <c r="C70" i="21"/>
  <c r="AI70" i="21" s="1"/>
  <c r="E61" i="20"/>
  <c r="D40" i="21"/>
  <c r="AJ40" i="21" s="1"/>
  <c r="J402" i="20"/>
  <c r="I381" i="21"/>
  <c r="AO381" i="21" s="1"/>
  <c r="C266" i="20"/>
  <c r="D34" i="20"/>
  <c r="C13" i="21"/>
  <c r="AI13" i="21" s="1"/>
  <c r="D408" i="20"/>
  <c r="C387" i="21"/>
  <c r="AI387" i="21" s="1"/>
  <c r="C438" i="20"/>
  <c r="D322" i="20"/>
  <c r="C301" i="21"/>
  <c r="AI301" i="21" s="1"/>
  <c r="E348" i="20"/>
  <c r="D327" i="21"/>
  <c r="AJ327" i="21" s="1"/>
  <c r="H460" i="20"/>
  <c r="G439" i="21"/>
  <c r="AM439" i="21" s="1"/>
  <c r="K27" i="20"/>
  <c r="J6" i="21"/>
  <c r="AP6" i="21" s="1"/>
  <c r="E321" i="20"/>
  <c r="D300" i="21"/>
  <c r="AJ300" i="21" s="1"/>
  <c r="I317" i="20"/>
  <c r="H296" i="21"/>
  <c r="AN296" i="21" s="1"/>
  <c r="F406" i="20"/>
  <c r="E385" i="21"/>
  <c r="AK385" i="21" s="1"/>
  <c r="J316" i="20"/>
  <c r="I295" i="21"/>
  <c r="AO295" i="21" s="1"/>
  <c r="F291" i="20"/>
  <c r="E270" i="21"/>
  <c r="AK270" i="21" s="1"/>
  <c r="G88" i="20"/>
  <c r="F67" i="21"/>
  <c r="AL67" i="21" s="1"/>
  <c r="J287" i="20"/>
  <c r="I266" i="21"/>
  <c r="AO266" i="21" s="1"/>
  <c r="M82" i="20"/>
  <c r="L61" i="21"/>
  <c r="AR61" i="21" s="1"/>
  <c r="M140" i="20"/>
  <c r="L119" i="21"/>
  <c r="AR119" i="21" s="1"/>
  <c r="E264" i="20"/>
  <c r="D243" i="21"/>
  <c r="AJ243" i="21" s="1"/>
  <c r="C119" i="20"/>
  <c r="D178" i="20"/>
  <c r="C157" i="21"/>
  <c r="AI157" i="21" s="1"/>
  <c r="F147" i="20"/>
  <c r="E126" i="21"/>
  <c r="AK126" i="21" s="1"/>
  <c r="F116" i="20"/>
  <c r="E95" i="21"/>
  <c r="AK95" i="21" s="1"/>
  <c r="K55" i="20"/>
  <c r="J34" i="21"/>
  <c r="AP34" i="21" s="1"/>
  <c r="C237" i="20"/>
  <c r="I173" i="20"/>
  <c r="H152" i="21"/>
  <c r="AN152" i="21" s="1"/>
  <c r="G461" i="20"/>
  <c r="F440" i="21"/>
  <c r="AL440" i="21" s="1"/>
  <c r="I403" i="20"/>
  <c r="H382" i="21"/>
  <c r="AN382" i="21" s="1"/>
  <c r="E206" i="20"/>
  <c r="D185" i="21"/>
  <c r="AJ185" i="21" s="1"/>
  <c r="E177" i="20"/>
  <c r="D156" i="21"/>
  <c r="AJ156" i="21" s="1"/>
  <c r="H58" i="20"/>
  <c r="G37" i="21"/>
  <c r="AM37" i="21" s="1"/>
  <c r="J172" i="20"/>
  <c r="I151" i="21"/>
  <c r="AO151" i="21" s="1"/>
  <c r="E407" i="20"/>
  <c r="D386" i="21"/>
  <c r="AJ386" i="21" s="1"/>
  <c r="I86" i="20"/>
  <c r="H65" i="21"/>
  <c r="AN65" i="21" s="1"/>
  <c r="I344" i="20"/>
  <c r="H323" i="21"/>
  <c r="AN323" i="21" s="1"/>
  <c r="J28" i="20"/>
  <c r="I7" i="21"/>
  <c r="AO7" i="21" s="1"/>
  <c r="D437" i="20"/>
  <c r="C416" i="21"/>
  <c r="AI416" i="21" s="1"/>
  <c r="D207" i="20"/>
  <c r="C186" i="21"/>
  <c r="AI186" i="21" s="1"/>
  <c r="D349" i="20"/>
  <c r="C465" i="20"/>
  <c r="C328" i="21"/>
  <c r="AI328" i="21" s="1"/>
  <c r="I260" i="20"/>
  <c r="H239" i="21"/>
  <c r="AN239" i="21" s="1"/>
  <c r="L83" i="20"/>
  <c r="K62" i="21"/>
  <c r="AQ62" i="21" s="1"/>
  <c r="F435" i="20"/>
  <c r="E414" i="21"/>
  <c r="AK414" i="21" s="1"/>
  <c r="I231" i="20"/>
  <c r="H210" i="21"/>
  <c r="AN210" i="21" s="1"/>
  <c r="K229" i="20"/>
  <c r="J208" i="21"/>
  <c r="AP208" i="21" s="1"/>
  <c r="J230" i="20"/>
  <c r="I209" i="21"/>
  <c r="AO209" i="21" s="1"/>
  <c r="C92" i="20"/>
  <c r="M227" i="20"/>
  <c r="L206" i="21"/>
  <c r="AR206" i="21" s="1"/>
  <c r="F205" i="20"/>
  <c r="E184" i="21"/>
  <c r="AK184" i="21" s="1"/>
  <c r="H145" i="20"/>
  <c r="G124" i="21"/>
  <c r="AM124" i="21" s="1"/>
  <c r="D149" i="20"/>
  <c r="C128" i="21"/>
  <c r="AI128" i="21" s="1"/>
  <c r="C409" i="20"/>
  <c r="D293" i="20"/>
  <c r="C272" i="21"/>
  <c r="AI272" i="21" s="1"/>
  <c r="K200" i="20"/>
  <c r="J179" i="21"/>
  <c r="AP179" i="21" s="1"/>
  <c r="M53" i="20"/>
  <c r="L32" i="21"/>
  <c r="AR32" i="21" s="1"/>
  <c r="C35" i="20"/>
  <c r="G31" i="20"/>
  <c r="F10" i="21"/>
  <c r="AL10" i="21" s="1"/>
  <c r="L285" i="20"/>
  <c r="K264" i="21"/>
  <c r="AQ264" i="21" s="1"/>
  <c r="I57" i="20"/>
  <c r="H36" i="21"/>
  <c r="AN36" i="21" s="1"/>
  <c r="K315" i="20"/>
  <c r="J294" i="21"/>
  <c r="AP294" i="21" s="1"/>
  <c r="K430" i="20"/>
  <c r="J409" i="21"/>
  <c r="AP409" i="21" s="1"/>
  <c r="E292" i="20"/>
  <c r="D271" i="21"/>
  <c r="AJ271" i="21" s="1"/>
  <c r="L199" i="20"/>
  <c r="K178" i="21"/>
  <c r="AQ178" i="21" s="1"/>
  <c r="G319" i="20"/>
  <c r="F298" i="21"/>
  <c r="AL298" i="21" s="1"/>
  <c r="H203" i="20"/>
  <c r="G182" i="21"/>
  <c r="AM182" i="21" s="1"/>
  <c r="H261" i="20"/>
  <c r="G240" i="21"/>
  <c r="AM240" i="21" s="1"/>
  <c r="M169" i="20"/>
  <c r="L148" i="21"/>
  <c r="AR148" i="21" s="1"/>
  <c r="F347" i="20"/>
  <c r="E326" i="21"/>
  <c r="AK326" i="21" s="1"/>
  <c r="I144" i="20"/>
  <c r="H123" i="21"/>
  <c r="AN123" i="21" s="1"/>
  <c r="K111" i="20"/>
  <c r="J90" i="21"/>
  <c r="AP90" i="21" s="1"/>
  <c r="E463" i="20"/>
  <c r="D442" i="21"/>
  <c r="AJ442" i="21" s="1"/>
  <c r="M198" i="20"/>
  <c r="L177" i="21"/>
  <c r="AR177" i="21" s="1"/>
  <c r="H174" i="20"/>
  <c r="G153" i="21"/>
  <c r="AM153" i="21" s="1"/>
  <c r="E436" i="20"/>
  <c r="D415" i="21"/>
  <c r="AJ415" i="21" s="1"/>
  <c r="M25" i="20"/>
  <c r="L4" i="21"/>
  <c r="AR4" i="21" s="1"/>
  <c r="I288" i="20"/>
  <c r="H267" i="21"/>
  <c r="AN267" i="21" s="1"/>
  <c r="K401" i="20"/>
  <c r="J380" i="21"/>
  <c r="AP380" i="21" s="1"/>
  <c r="G175" i="20"/>
  <c r="F154" i="21"/>
  <c r="AL154" i="21" s="1"/>
  <c r="K171" i="20"/>
  <c r="J150" i="21"/>
  <c r="AP150" i="21" s="1"/>
  <c r="D380" i="20"/>
  <c r="C359" i="21"/>
  <c r="AI359" i="21" s="1"/>
  <c r="F462" i="20"/>
  <c r="E441" i="21"/>
  <c r="AK441" i="21" s="1"/>
  <c r="L170" i="20"/>
  <c r="K149" i="21"/>
  <c r="AQ149" i="21" s="1"/>
  <c r="G290" i="20"/>
  <c r="F269" i="21"/>
  <c r="AL269" i="21" s="1"/>
  <c r="K142" i="20"/>
  <c r="J121" i="21"/>
  <c r="AP121" i="21" s="1"/>
  <c r="J112" i="20"/>
  <c r="I91" i="21"/>
  <c r="AO91" i="21" s="1"/>
  <c r="L54" i="20"/>
  <c r="K33" i="21"/>
  <c r="AQ33" i="21" s="1"/>
  <c r="F234" i="20"/>
  <c r="E213" i="21"/>
  <c r="AK213" i="21" s="1"/>
  <c r="E90" i="20"/>
  <c r="D69" i="21"/>
  <c r="AJ69" i="21" s="1"/>
  <c r="F176" i="20"/>
  <c r="E155" i="21"/>
  <c r="AK155" i="21" s="1"/>
  <c r="F89" i="20"/>
  <c r="E68" i="21"/>
  <c r="AK68" i="21" s="1"/>
  <c r="D464" i="20"/>
  <c r="C443" i="21"/>
  <c r="AI443" i="21" s="1"/>
  <c r="E33" i="20"/>
  <c r="D12" i="21"/>
  <c r="AJ12" i="21" s="1"/>
  <c r="C63" i="20"/>
  <c r="F60" i="20"/>
  <c r="E39" i="21"/>
  <c r="AK39" i="21" s="1"/>
  <c r="J343" i="20"/>
  <c r="I322" i="21"/>
  <c r="AO322" i="21" s="1"/>
  <c r="L26" i="20"/>
  <c r="K5" i="21"/>
  <c r="AQ5" i="21" s="1"/>
  <c r="H114" i="20"/>
  <c r="G93" i="21"/>
  <c r="AM93" i="21" s="1"/>
  <c r="H289" i="20"/>
  <c r="G268" i="21"/>
  <c r="AM268" i="21" s="1"/>
  <c r="J56" i="20"/>
  <c r="I35" i="21"/>
  <c r="AO35" i="21" s="1"/>
  <c r="E148" i="20"/>
  <c r="D127" i="21"/>
  <c r="AJ127" i="21" s="1"/>
  <c r="C208" i="20"/>
  <c r="I459" i="20"/>
  <c r="H438" i="21"/>
  <c r="AN438" i="21" s="1"/>
  <c r="G146" i="20"/>
  <c r="F125" i="21"/>
  <c r="AL125" i="21" s="1"/>
  <c r="I113" i="20"/>
  <c r="H92" i="21"/>
  <c r="AN92" i="21" s="1"/>
  <c r="H433" i="20"/>
  <c r="G412" i="21"/>
  <c r="AM412" i="21" s="1"/>
  <c r="J431" i="20"/>
  <c r="I410" i="21"/>
  <c r="AO410" i="21" s="1"/>
  <c r="G233" i="20"/>
  <c r="F212" i="21"/>
  <c r="AL212" i="21" s="1"/>
  <c r="L228" i="20"/>
  <c r="K207" i="21"/>
  <c r="AQ207" i="21" s="1"/>
  <c r="D236" i="20"/>
  <c r="C215" i="21"/>
  <c r="AI215" i="21" s="1"/>
  <c r="C150" i="20"/>
  <c r="E379" i="20"/>
  <c r="D358" i="21"/>
  <c r="AJ358" i="21" s="1"/>
  <c r="K373" i="20"/>
  <c r="J352" i="21"/>
  <c r="AP352" i="21" s="1"/>
  <c r="H318" i="20"/>
  <c r="G297" i="21"/>
  <c r="AM297" i="21" s="1"/>
  <c r="G346" i="20"/>
  <c r="F325" i="21"/>
  <c r="AL325" i="21" s="1"/>
  <c r="C381" i="20"/>
  <c r="D265" i="20"/>
  <c r="C244" i="21"/>
  <c r="AI244" i="21" s="1"/>
  <c r="I432" i="20"/>
  <c r="H411" i="21"/>
  <c r="AN411" i="21" s="1"/>
  <c r="J143" i="20"/>
  <c r="I122" i="21"/>
  <c r="AO122" i="21" s="1"/>
  <c r="C294" i="20"/>
  <c r="D62" i="20"/>
  <c r="C41" i="21"/>
  <c r="AI41" i="21" s="1"/>
  <c r="K286" i="20"/>
  <c r="J265" i="21"/>
  <c r="AP265" i="21" s="1"/>
  <c r="G115" i="20"/>
  <c r="F94" i="21"/>
  <c r="AL94" i="21" s="1"/>
  <c r="G262" i="20"/>
  <c r="F241" i="21"/>
  <c r="AL241" i="21" s="1"/>
  <c r="H232" i="20"/>
  <c r="G211" i="21"/>
  <c r="AM211" i="21" s="1"/>
  <c r="I202" i="20"/>
  <c r="H181" i="21"/>
  <c r="AN181" i="21" s="1"/>
  <c r="J259" i="20"/>
  <c r="I238" i="21"/>
  <c r="AO238" i="21" s="1"/>
  <c r="J85" i="20"/>
  <c r="I64" i="21"/>
  <c r="AO64" i="21" s="1"/>
  <c r="H404" i="20"/>
  <c r="G383" i="21"/>
  <c r="AM383" i="21" s="1"/>
  <c r="F32" i="20"/>
  <c r="E11" i="21"/>
  <c r="AK11" i="21" s="1"/>
  <c r="V62" i="19"/>
  <c r="W63" i="19" s="1"/>
  <c r="Y178" i="19"/>
  <c r="X439" i="19"/>
  <c r="AA381" i="19"/>
  <c r="U323" i="19"/>
  <c r="AE497" i="19"/>
  <c r="R323" i="19"/>
  <c r="K381" i="19"/>
  <c r="T410" i="19"/>
  <c r="W381" i="19"/>
  <c r="L410" i="19"/>
  <c r="T381" i="19"/>
  <c r="L265" i="19"/>
  <c r="Q439" i="19"/>
  <c r="Z497" i="19"/>
  <c r="X62" i="19"/>
  <c r="M410" i="19"/>
  <c r="Y410" i="19"/>
  <c r="AD410" i="19"/>
  <c r="M149" i="19"/>
  <c r="T497" i="19"/>
  <c r="L497" i="19"/>
  <c r="W149" i="19"/>
  <c r="O178" i="19"/>
  <c r="V178" i="19"/>
  <c r="N265" i="19"/>
  <c r="P497" i="19"/>
  <c r="AE91" i="19"/>
  <c r="Z91" i="19"/>
  <c r="AE410" i="19"/>
  <c r="S91" i="19"/>
  <c r="R410" i="19"/>
  <c r="K62" i="19"/>
  <c r="Q62" i="19"/>
  <c r="O410" i="19"/>
  <c r="AB410" i="19"/>
  <c r="M91" i="19"/>
  <c r="O381" i="19"/>
  <c r="S178" i="19"/>
  <c r="AC439" i="19"/>
  <c r="X410" i="19"/>
  <c r="AD265" i="19"/>
  <c r="AA497" i="19"/>
  <c r="W62" i="19"/>
  <c r="AB323" i="19"/>
  <c r="AA439" i="19"/>
  <c r="AE149" i="19"/>
  <c r="O323" i="19"/>
  <c r="AE62" i="19"/>
  <c r="AD62" i="19"/>
  <c r="M439" i="19"/>
  <c r="X91" i="19"/>
  <c r="L62" i="19"/>
  <c r="L323" i="19"/>
  <c r="U149" i="19"/>
  <c r="S62" i="19"/>
  <c r="N62" i="19"/>
  <c r="T178" i="19"/>
  <c r="V497" i="19"/>
  <c r="Z381" i="19"/>
  <c r="W497" i="19"/>
  <c r="X323" i="19"/>
  <c r="AA62" i="19"/>
  <c r="T265" i="19"/>
  <c r="Q410" i="19"/>
  <c r="P178" i="19"/>
  <c r="M497" i="19"/>
  <c r="Q265" i="19"/>
  <c r="S381" i="19"/>
  <c r="V439" i="19"/>
  <c r="J323" i="19"/>
  <c r="W265" i="19"/>
  <c r="Z265" i="19"/>
  <c r="AD381" i="19"/>
  <c r="R439" i="19"/>
  <c r="U91" i="19"/>
  <c r="U178" i="19"/>
  <c r="AD497" i="19"/>
  <c r="O62" i="19"/>
  <c r="V91" i="19"/>
  <c r="K497" i="19"/>
  <c r="O439" i="19"/>
  <c r="N497" i="19"/>
  <c r="M381" i="19"/>
  <c r="Z178" i="19"/>
  <c r="N323" i="19"/>
  <c r="Y439" i="19"/>
  <c r="M178" i="19"/>
  <c r="AA91" i="19"/>
  <c r="AA265" i="19"/>
  <c r="K439" i="19"/>
  <c r="AD439" i="19"/>
  <c r="U62" i="19"/>
  <c r="O91" i="19"/>
  <c r="R62" i="19"/>
  <c r="AD149" i="19"/>
  <c r="Q497" i="19"/>
  <c r="AA149" i="19"/>
  <c r="AC149" i="19"/>
  <c r="AC497" i="19"/>
  <c r="J439" i="19"/>
  <c r="V149" i="19"/>
  <c r="R178" i="19"/>
  <c r="P323" i="19"/>
  <c r="AC323" i="19"/>
  <c r="T439" i="19"/>
  <c r="T323" i="19"/>
  <c r="AB91" i="19"/>
  <c r="AC381" i="19"/>
  <c r="AE178" i="19"/>
  <c r="U439" i="19"/>
  <c r="V381" i="19"/>
  <c r="U410" i="19"/>
  <c r="AC178" i="19"/>
  <c r="W178" i="19"/>
  <c r="P149" i="19"/>
  <c r="AD91" i="19"/>
  <c r="K149" i="19"/>
  <c r="Y323" i="19"/>
  <c r="Q381" i="19"/>
  <c r="Y62" i="19"/>
  <c r="N91" i="19"/>
  <c r="X497" i="19"/>
  <c r="V410" i="19"/>
  <c r="Y149" i="19"/>
  <c r="K91" i="19"/>
  <c r="V323" i="19"/>
  <c r="AB62" i="19"/>
  <c r="P91" i="19"/>
  <c r="Z323" i="19"/>
  <c r="M323" i="19"/>
  <c r="X265" i="19"/>
  <c r="N381" i="19"/>
  <c r="M265" i="19"/>
  <c r="AB149" i="19"/>
  <c r="AC265" i="19"/>
  <c r="AD323" i="19"/>
  <c r="AE323" i="19"/>
  <c r="U381" i="19"/>
  <c r="Y381" i="19"/>
  <c r="N410" i="19"/>
  <c r="Y265" i="19"/>
  <c r="AA178" i="19"/>
  <c r="AB178" i="19"/>
  <c r="S497" i="19"/>
  <c r="X178" i="19"/>
  <c r="Q91" i="19"/>
  <c r="Q178" i="19"/>
  <c r="M62" i="19"/>
  <c r="L91" i="19"/>
  <c r="R381" i="19"/>
  <c r="R149" i="19"/>
  <c r="J497" i="19"/>
  <c r="AE381" i="19"/>
  <c r="AB497" i="19"/>
  <c r="P265" i="19"/>
  <c r="K178" i="19"/>
  <c r="K323" i="19"/>
  <c r="T91" i="19"/>
  <c r="S439" i="19"/>
  <c r="O265" i="19"/>
  <c r="L439" i="19"/>
  <c r="P381" i="19"/>
  <c r="W323" i="19"/>
  <c r="AB439" i="19"/>
  <c r="AC91" i="19"/>
  <c r="S149" i="19"/>
  <c r="R91" i="19"/>
  <c r="N149" i="19"/>
  <c r="C424" i="23"/>
  <c r="D425" i="23" s="1"/>
  <c r="E426" i="23" s="1"/>
  <c r="F427" i="23" s="1"/>
  <c r="G428" i="23" s="1"/>
  <c r="H429" i="23" s="1"/>
  <c r="I430" i="23" s="1"/>
  <c r="J431" i="23" s="1"/>
  <c r="K432" i="23" s="1"/>
  <c r="Q149" i="19"/>
  <c r="W439" i="19"/>
  <c r="S323" i="19"/>
  <c r="P439" i="19"/>
  <c r="AB381" i="19"/>
  <c r="AE439" i="19"/>
  <c r="W91" i="19"/>
  <c r="L381" i="19"/>
  <c r="J381" i="19"/>
  <c r="C454" i="23"/>
  <c r="D455" i="23" s="1"/>
  <c r="E456" i="23" s="1"/>
  <c r="F457" i="23" s="1"/>
  <c r="G458" i="23" s="1"/>
  <c r="H459" i="23" s="1"/>
  <c r="I460" i="23" s="1"/>
  <c r="J461" i="23" s="1"/>
  <c r="C483" i="23"/>
  <c r="D484" i="23" s="1"/>
  <c r="E485" i="23" s="1"/>
  <c r="F486" i="23" s="1"/>
  <c r="G487" i="23" s="1"/>
  <c r="H488" i="23" s="1"/>
  <c r="I489" i="23" s="1"/>
  <c r="J490" i="23" s="1"/>
  <c r="L149" i="19"/>
  <c r="J91" i="19"/>
  <c r="X381" i="19"/>
  <c r="U497" i="19"/>
  <c r="N178" i="19"/>
  <c r="F92" i="19"/>
  <c r="L266" i="19"/>
  <c r="G411" i="19"/>
  <c r="X411" i="19"/>
  <c r="J411" i="19"/>
  <c r="O468" i="19"/>
  <c r="V120" i="19"/>
  <c r="H382" i="19"/>
  <c r="X468" i="19"/>
  <c r="Y468" i="19"/>
  <c r="W207" i="19"/>
  <c r="K120" i="19"/>
  <c r="AA120" i="19"/>
  <c r="V352" i="19"/>
  <c r="AD120" i="19"/>
  <c r="T120" i="19"/>
  <c r="I63" i="19"/>
  <c r="K468" i="19"/>
  <c r="L207" i="19"/>
  <c r="S120" i="19"/>
  <c r="V468" i="19"/>
  <c r="Z207" i="19"/>
  <c r="J266" i="19"/>
  <c r="M207" i="19"/>
  <c r="J92" i="19"/>
  <c r="T352" i="19"/>
  <c r="K352" i="19"/>
  <c r="G150" i="19"/>
  <c r="K266" i="19"/>
  <c r="O236" i="19"/>
  <c r="Q236" i="19"/>
  <c r="E150" i="19"/>
  <c r="H236" i="19"/>
  <c r="G382" i="19"/>
  <c r="S236" i="19"/>
  <c r="K207" i="19"/>
  <c r="E498" i="19"/>
  <c r="AE236" i="19"/>
  <c r="X236" i="19"/>
  <c r="E236" i="19"/>
  <c r="Z468" i="19"/>
  <c r="AE468" i="19"/>
  <c r="E324" i="19"/>
  <c r="W468" i="19"/>
  <c r="X352" i="19"/>
  <c r="F382" i="19"/>
  <c r="R236" i="19"/>
  <c r="F440" i="19"/>
  <c r="H207" i="19"/>
  <c r="G266" i="19"/>
  <c r="AA236" i="19"/>
  <c r="E207" i="19"/>
  <c r="J498" i="19"/>
  <c r="Q207" i="19"/>
  <c r="U468" i="19"/>
  <c r="AD468" i="19"/>
  <c r="F352" i="19"/>
  <c r="E382" i="19"/>
  <c r="J120" i="19"/>
  <c r="AD63" i="19"/>
  <c r="L120" i="19"/>
  <c r="S266" i="19"/>
  <c r="Z352" i="19"/>
  <c r="I440" i="19"/>
  <c r="Y207" i="19"/>
  <c r="P236" i="19"/>
  <c r="R497" i="19"/>
  <c r="P120" i="19"/>
  <c r="I411" i="19"/>
  <c r="AA323" i="19"/>
  <c r="H411" i="19"/>
  <c r="AE207" i="19"/>
  <c r="T411" i="19"/>
  <c r="T236" i="19"/>
  <c r="D150" i="19"/>
  <c r="D382" i="19"/>
  <c r="D498" i="19"/>
  <c r="D352" i="19"/>
  <c r="D120" i="19"/>
  <c r="D468" i="19"/>
  <c r="L352" i="19"/>
  <c r="I266" i="19"/>
  <c r="S468" i="19"/>
  <c r="J207" i="19"/>
  <c r="N468" i="19"/>
  <c r="AA150" i="19"/>
  <c r="Q352" i="19"/>
  <c r="P207" i="19"/>
  <c r="J440" i="19"/>
  <c r="Y352" i="19"/>
  <c r="V266" i="19"/>
  <c r="M352" i="19"/>
  <c r="G440" i="19"/>
  <c r="J63" i="19"/>
  <c r="K411" i="19"/>
  <c r="O352" i="19"/>
  <c r="F120" i="19"/>
  <c r="AD236" i="19"/>
  <c r="G92" i="19"/>
  <c r="F207" i="19"/>
  <c r="AA468" i="19"/>
  <c r="H352" i="19"/>
  <c r="E440" i="19"/>
  <c r="I150" i="19"/>
  <c r="H266" i="19"/>
  <c r="AA352" i="19"/>
  <c r="X120" i="19"/>
  <c r="AC352" i="19"/>
  <c r="Q411" i="19"/>
  <c r="F324" i="19"/>
  <c r="L236" i="19"/>
  <c r="H120" i="19"/>
  <c r="N236" i="19"/>
  <c r="I120" i="19"/>
  <c r="E63" i="19"/>
  <c r="I207" i="19"/>
  <c r="AB468" i="19"/>
  <c r="AE120" i="19"/>
  <c r="W236" i="19"/>
  <c r="AC266" i="19"/>
  <c r="O207" i="19"/>
  <c r="H179" i="19"/>
  <c r="AC236" i="19"/>
  <c r="G498" i="19"/>
  <c r="AB411" i="19"/>
  <c r="G352" i="19"/>
  <c r="F468" i="19"/>
  <c r="Z439" i="19"/>
  <c r="J150" i="19"/>
  <c r="AB120" i="19"/>
  <c r="H150" i="19"/>
  <c r="J352" i="19"/>
  <c r="H440" i="19"/>
  <c r="E352" i="19"/>
  <c r="J149" i="19"/>
  <c r="I498" i="19"/>
  <c r="R468" i="19"/>
  <c r="D411" i="19"/>
  <c r="D63" i="19"/>
  <c r="AD411" i="19"/>
  <c r="K63" i="19"/>
  <c r="R352" i="19"/>
  <c r="W266" i="19"/>
  <c r="T266" i="19"/>
  <c r="F179" i="19"/>
  <c r="Z120" i="19"/>
  <c r="L411" i="19"/>
  <c r="R120" i="19"/>
  <c r="AB352" i="19"/>
  <c r="V236" i="19"/>
  <c r="G63" i="19"/>
  <c r="H92" i="19"/>
  <c r="J179" i="19"/>
  <c r="J324" i="19"/>
  <c r="F150" i="19"/>
  <c r="I468" i="19"/>
  <c r="G179" i="19"/>
  <c r="K179" i="19"/>
  <c r="Q120" i="19"/>
  <c r="Q468" i="19"/>
  <c r="P352" i="19"/>
  <c r="P468" i="19"/>
  <c r="H63" i="19"/>
  <c r="K236" i="19"/>
  <c r="AA63" i="19"/>
  <c r="E179" i="19"/>
  <c r="H324" i="19"/>
  <c r="Y497" i="19"/>
  <c r="F498" i="19"/>
  <c r="E266" i="19"/>
  <c r="I324" i="19"/>
  <c r="AA207" i="19"/>
  <c r="R207" i="19"/>
  <c r="U207" i="19"/>
  <c r="AB236" i="19"/>
  <c r="T207" i="19"/>
  <c r="U120" i="19"/>
  <c r="F266" i="19"/>
  <c r="N207" i="19"/>
  <c r="P150" i="19"/>
  <c r="S207" i="19"/>
  <c r="M295" i="19"/>
  <c r="L311" i="19"/>
  <c r="E468" i="19"/>
  <c r="U150" i="19"/>
  <c r="U236" i="19"/>
  <c r="L178" i="19"/>
  <c r="G324" i="19"/>
  <c r="D92" i="19"/>
  <c r="D324" i="19"/>
  <c r="D440" i="19"/>
  <c r="Q63" i="19"/>
  <c r="O497" i="19"/>
  <c r="F411" i="19"/>
  <c r="I352" i="19"/>
  <c r="M468" i="19"/>
  <c r="AE179" i="19"/>
  <c r="G468" i="19"/>
  <c r="AD352" i="19"/>
  <c r="J382" i="19"/>
  <c r="J468" i="19"/>
  <c r="H468" i="19"/>
  <c r="M236" i="19"/>
  <c r="J236" i="19"/>
  <c r="Y91" i="19"/>
  <c r="AE352" i="19"/>
  <c r="I236" i="19"/>
  <c r="L468" i="19"/>
  <c r="E92" i="19"/>
  <c r="S352" i="19"/>
  <c r="Q323" i="19"/>
  <c r="I92" i="19"/>
  <c r="G120" i="19"/>
  <c r="AA411" i="19"/>
  <c r="AB207" i="19"/>
  <c r="AD207" i="19"/>
  <c r="N352" i="19"/>
  <c r="H498" i="19"/>
  <c r="N439" i="19"/>
  <c r="O120" i="19"/>
  <c r="V207" i="19"/>
  <c r="M120" i="19"/>
  <c r="E411" i="19"/>
  <c r="AC120" i="19"/>
  <c r="T468" i="19"/>
  <c r="X207" i="19"/>
  <c r="I179" i="19"/>
  <c r="F63" i="19"/>
  <c r="N120" i="19"/>
  <c r="AC207" i="19"/>
  <c r="U63" i="19"/>
  <c r="Y150" i="19"/>
  <c r="I382" i="19"/>
  <c r="F236" i="19"/>
  <c r="W352" i="19"/>
  <c r="U352" i="19"/>
  <c r="Z236" i="19"/>
  <c r="Y120" i="19"/>
  <c r="Y236" i="19"/>
  <c r="G236" i="19"/>
  <c r="AC468" i="19"/>
  <c r="W120" i="19"/>
  <c r="G207" i="19"/>
  <c r="E120" i="19"/>
  <c r="DW34" i="6"/>
  <c r="F39" i="1" s="1"/>
  <c r="F36" i="19"/>
  <c r="CQ33" i="6"/>
  <c r="E38" i="1" s="1"/>
  <c r="E35" i="19"/>
  <c r="J35" i="19"/>
  <c r="D208" i="19" s="1"/>
  <c r="BK71" i="6"/>
  <c r="J38" i="1" s="1"/>
  <c r="CQ71" i="6"/>
  <c r="K38" i="1" s="1"/>
  <c r="K35" i="19"/>
  <c r="D237" i="19" s="1"/>
  <c r="BK34" i="6"/>
  <c r="D39" i="1" s="1"/>
  <c r="D36" i="19"/>
  <c r="DW72" i="6"/>
  <c r="L39" i="1" s="1"/>
  <c r="L36" i="19"/>
  <c r="D267" i="19" s="1"/>
  <c r="AE34" i="6"/>
  <c r="C39" i="1" s="1"/>
  <c r="C36" i="19"/>
  <c r="I36" i="19"/>
  <c r="D180" i="19" s="1"/>
  <c r="AE72" i="6"/>
  <c r="I39" i="1" s="1"/>
  <c r="K3" i="49" l="1"/>
  <c r="K7" i="49" s="1"/>
  <c r="K11" i="49" s="1"/>
  <c r="K19" i="49" s="1"/>
  <c r="N79" i="5"/>
  <c r="K261" i="21"/>
  <c r="J2" i="49"/>
  <c r="J6" i="49" s="1"/>
  <c r="J10" i="49" s="1"/>
  <c r="J18" i="49" s="1"/>
  <c r="M80" i="5"/>
  <c r="N66" i="49"/>
  <c r="M81" i="49"/>
  <c r="M36" i="49"/>
  <c r="L52" i="49"/>
  <c r="AP74" i="23"/>
  <c r="AP92" i="23" s="1"/>
  <c r="AP110" i="23" s="1"/>
  <c r="L282" i="20"/>
  <c r="AQ74" i="23" s="1"/>
  <c r="AQ92" i="23" s="1"/>
  <c r="AQ110" i="23" s="1"/>
  <c r="N109" i="1"/>
  <c r="G32" i="20"/>
  <c r="F11" i="21"/>
  <c r="AL11" i="21" s="1"/>
  <c r="J202" i="20"/>
  <c r="I181" i="21"/>
  <c r="AO181" i="21" s="1"/>
  <c r="H115" i="20"/>
  <c r="G94" i="21"/>
  <c r="AM94" i="21" s="1"/>
  <c r="D381" i="20"/>
  <c r="C360" i="21"/>
  <c r="AI360" i="21" s="1"/>
  <c r="F379" i="20"/>
  <c r="E358" i="21"/>
  <c r="AK358" i="21" s="1"/>
  <c r="D208" i="20"/>
  <c r="C187" i="21"/>
  <c r="AI187" i="21" s="1"/>
  <c r="G60" i="20"/>
  <c r="F39" i="21"/>
  <c r="AL39" i="21" s="1"/>
  <c r="F90" i="20"/>
  <c r="E69" i="21"/>
  <c r="AK69" i="21" s="1"/>
  <c r="F407" i="20"/>
  <c r="E386" i="21"/>
  <c r="AK386" i="21" s="1"/>
  <c r="C238" i="20"/>
  <c r="E178" i="20"/>
  <c r="D157" i="21"/>
  <c r="AJ157" i="21" s="1"/>
  <c r="N82" i="20"/>
  <c r="M61" i="21"/>
  <c r="AS61" i="21" s="1"/>
  <c r="E34" i="20"/>
  <c r="D13" i="21"/>
  <c r="AJ13" i="21" s="1"/>
  <c r="I345" i="20"/>
  <c r="H324" i="21"/>
  <c r="AN324" i="21" s="1"/>
  <c r="I87" i="20"/>
  <c r="H66" i="21"/>
  <c r="AN66" i="21" s="1"/>
  <c r="E118" i="20"/>
  <c r="D97" i="21"/>
  <c r="AJ97" i="21" s="1"/>
  <c r="C410" i="20"/>
  <c r="D294" i="20"/>
  <c r="C273" i="21"/>
  <c r="AI273" i="21" s="1"/>
  <c r="J432" i="20"/>
  <c r="I411" i="21"/>
  <c r="AO411" i="21" s="1"/>
  <c r="E236" i="20"/>
  <c r="D215" i="21"/>
  <c r="AJ215" i="21" s="1"/>
  <c r="H233" i="20"/>
  <c r="G212" i="21"/>
  <c r="AM212" i="21" s="1"/>
  <c r="I433" i="20"/>
  <c r="H412" i="21"/>
  <c r="AN412" i="21" s="1"/>
  <c r="H146" i="20"/>
  <c r="G125" i="21"/>
  <c r="AM125" i="21" s="1"/>
  <c r="C209" i="20"/>
  <c r="K56" i="20"/>
  <c r="J35" i="21"/>
  <c r="AP35" i="21" s="1"/>
  <c r="C295" i="20"/>
  <c r="D63" i="20"/>
  <c r="C42" i="21"/>
  <c r="AI42" i="21" s="1"/>
  <c r="M170" i="20"/>
  <c r="L149" i="21"/>
  <c r="AR149" i="21" s="1"/>
  <c r="E380" i="20"/>
  <c r="D359" i="21"/>
  <c r="AJ359" i="21" s="1"/>
  <c r="H175" i="20"/>
  <c r="G154" i="21"/>
  <c r="AM154" i="21" s="1"/>
  <c r="J288" i="20"/>
  <c r="I267" i="21"/>
  <c r="AO267" i="21" s="1"/>
  <c r="F436" i="20"/>
  <c r="E415" i="21"/>
  <c r="AK415" i="21" s="1"/>
  <c r="N198" i="20"/>
  <c r="M177" i="21"/>
  <c r="AS177" i="21" s="1"/>
  <c r="L111" i="20"/>
  <c r="K90" i="21"/>
  <c r="AQ90" i="21" s="1"/>
  <c r="G347" i="20"/>
  <c r="F326" i="21"/>
  <c r="AL326" i="21" s="1"/>
  <c r="I261" i="20"/>
  <c r="H240" i="21"/>
  <c r="AN240" i="21" s="1"/>
  <c r="H319" i="20"/>
  <c r="G298" i="21"/>
  <c r="AM298" i="21" s="1"/>
  <c r="F292" i="20"/>
  <c r="E271" i="21"/>
  <c r="AK271" i="21" s="1"/>
  <c r="L315" i="20"/>
  <c r="K294" i="21"/>
  <c r="AQ294" i="21" s="1"/>
  <c r="M285" i="20"/>
  <c r="L264" i="21"/>
  <c r="AR264" i="21" s="1"/>
  <c r="D35" i="20"/>
  <c r="C267" i="20"/>
  <c r="C14" i="21"/>
  <c r="AI14" i="21" s="1"/>
  <c r="D409" i="20"/>
  <c r="C388" i="21"/>
  <c r="AI388" i="21" s="1"/>
  <c r="I145" i="20"/>
  <c r="H124" i="21"/>
  <c r="AN124" i="21" s="1"/>
  <c r="N227" i="20"/>
  <c r="M206" i="21"/>
  <c r="AS206" i="21" s="1"/>
  <c r="K230" i="20"/>
  <c r="J209" i="21"/>
  <c r="AP209" i="21" s="1"/>
  <c r="J231" i="20"/>
  <c r="I210" i="21"/>
  <c r="AO210" i="21" s="1"/>
  <c r="M83" i="20"/>
  <c r="L62" i="21"/>
  <c r="AR62" i="21" s="1"/>
  <c r="D465" i="20"/>
  <c r="C444" i="21"/>
  <c r="AI444" i="21" s="1"/>
  <c r="C351" i="20"/>
  <c r="D119" i="20"/>
  <c r="C98" i="21"/>
  <c r="AI98" i="21" s="1"/>
  <c r="L27" i="20"/>
  <c r="K6" i="21"/>
  <c r="AQ6" i="21" s="1"/>
  <c r="F348" i="20"/>
  <c r="E327" i="21"/>
  <c r="AK327" i="21" s="1"/>
  <c r="C382" i="20"/>
  <c r="D266" i="20"/>
  <c r="C245" i="21"/>
  <c r="AI245" i="21" s="1"/>
  <c r="F61" i="20"/>
  <c r="E40" i="21"/>
  <c r="AK40" i="21" s="1"/>
  <c r="D350" i="20"/>
  <c r="C466" i="20"/>
  <c r="C329" i="21"/>
  <c r="AI329" i="21" s="1"/>
  <c r="I376" i="20"/>
  <c r="H355" i="21"/>
  <c r="AN355" i="21" s="1"/>
  <c r="H434" i="20"/>
  <c r="G413" i="21"/>
  <c r="AM413" i="21" s="1"/>
  <c r="H204" i="20"/>
  <c r="G183" i="21"/>
  <c r="AM183" i="21" s="1"/>
  <c r="G320" i="20"/>
  <c r="F299" i="21"/>
  <c r="AL299" i="21" s="1"/>
  <c r="G378" i="20"/>
  <c r="F357" i="21"/>
  <c r="AL357" i="21" s="1"/>
  <c r="L84" i="20"/>
  <c r="K63" i="21"/>
  <c r="AQ63" i="21" s="1"/>
  <c r="K85" i="20"/>
  <c r="J64" i="21"/>
  <c r="AP64" i="21" s="1"/>
  <c r="I232" i="20"/>
  <c r="H211" i="21"/>
  <c r="AN211" i="21" s="1"/>
  <c r="E62" i="20"/>
  <c r="D41" i="21"/>
  <c r="AJ41" i="21" s="1"/>
  <c r="I318" i="20"/>
  <c r="H297" i="21"/>
  <c r="AN297" i="21" s="1"/>
  <c r="F33" i="20"/>
  <c r="E12" i="21"/>
  <c r="AK12" i="21" s="1"/>
  <c r="M54" i="20"/>
  <c r="L33" i="21"/>
  <c r="AR33" i="21" s="1"/>
  <c r="N53" i="20"/>
  <c r="M32" i="21"/>
  <c r="AS32" i="21" s="1"/>
  <c r="E207" i="20"/>
  <c r="D186" i="21"/>
  <c r="AJ186" i="21" s="1"/>
  <c r="J344" i="20"/>
  <c r="I323" i="21"/>
  <c r="AO323" i="21" s="1"/>
  <c r="I58" i="20"/>
  <c r="H37" i="21"/>
  <c r="AN37" i="21" s="1"/>
  <c r="H461" i="20"/>
  <c r="G440" i="21"/>
  <c r="AM440" i="21" s="1"/>
  <c r="G116" i="20"/>
  <c r="F95" i="21"/>
  <c r="AL95" i="21" s="1"/>
  <c r="F264" i="20"/>
  <c r="E243" i="21"/>
  <c r="AK243" i="21" s="1"/>
  <c r="H88" i="20"/>
  <c r="G67" i="21"/>
  <c r="AM67" i="21" s="1"/>
  <c r="J317" i="20"/>
  <c r="I296" i="21"/>
  <c r="AO296" i="21" s="1"/>
  <c r="C180" i="20"/>
  <c r="F235" i="20"/>
  <c r="E214" i="21"/>
  <c r="AK214" i="21" s="1"/>
  <c r="I404" i="20"/>
  <c r="H383" i="21"/>
  <c r="AN383" i="21" s="1"/>
  <c r="K259" i="20"/>
  <c r="J238" i="21"/>
  <c r="AP238" i="21" s="1"/>
  <c r="H262" i="20"/>
  <c r="G241" i="21"/>
  <c r="AM241" i="21" s="1"/>
  <c r="L286" i="20"/>
  <c r="K265" i="21"/>
  <c r="AQ265" i="21" s="1"/>
  <c r="H346" i="20"/>
  <c r="G325" i="21"/>
  <c r="AM325" i="21" s="1"/>
  <c r="L373" i="20"/>
  <c r="K352" i="21"/>
  <c r="AQ352" i="21" s="1"/>
  <c r="D150" i="20"/>
  <c r="C129" i="21"/>
  <c r="AI129" i="21" s="1"/>
  <c r="I114" i="20"/>
  <c r="H93" i="21"/>
  <c r="AN93" i="21" s="1"/>
  <c r="K343" i="20"/>
  <c r="J322" i="21"/>
  <c r="AP322" i="21" s="1"/>
  <c r="C64" i="20"/>
  <c r="E464" i="20"/>
  <c r="D443" i="21"/>
  <c r="AJ443" i="21" s="1"/>
  <c r="G176" i="20"/>
  <c r="F155" i="21"/>
  <c r="AL155" i="21" s="1"/>
  <c r="G234" i="20"/>
  <c r="F213" i="21"/>
  <c r="AL213" i="21" s="1"/>
  <c r="K112" i="20"/>
  <c r="J91" i="21"/>
  <c r="AP91" i="21" s="1"/>
  <c r="C36" i="20"/>
  <c r="L200" i="20"/>
  <c r="K179" i="21"/>
  <c r="AQ179" i="21" s="1"/>
  <c r="D92" i="20"/>
  <c r="C324" i="20"/>
  <c r="C71" i="21"/>
  <c r="AI71" i="21" s="1"/>
  <c r="E349" i="20"/>
  <c r="D328" i="21"/>
  <c r="AJ328" i="21" s="1"/>
  <c r="K28" i="20"/>
  <c r="J7" i="21"/>
  <c r="AP7" i="21" s="1"/>
  <c r="J86" i="20"/>
  <c r="I65" i="21"/>
  <c r="AO65" i="21" s="1"/>
  <c r="K172" i="20"/>
  <c r="J151" i="21"/>
  <c r="AP151" i="21" s="1"/>
  <c r="F177" i="20"/>
  <c r="E156" i="21"/>
  <c r="AK156" i="21" s="1"/>
  <c r="J403" i="20"/>
  <c r="I382" i="21"/>
  <c r="AO382" i="21" s="1"/>
  <c r="J173" i="20"/>
  <c r="I152" i="21"/>
  <c r="AO152" i="21" s="1"/>
  <c r="L55" i="20"/>
  <c r="K34" i="21"/>
  <c r="AQ34" i="21" s="1"/>
  <c r="G147" i="20"/>
  <c r="F126" i="21"/>
  <c r="AL126" i="21" s="1"/>
  <c r="C120" i="20"/>
  <c r="N140" i="20"/>
  <c r="M119" i="21"/>
  <c r="AS119" i="21" s="1"/>
  <c r="K287" i="20"/>
  <c r="J266" i="21"/>
  <c r="AP266" i="21" s="1"/>
  <c r="G291" i="20"/>
  <c r="F270" i="21"/>
  <c r="AL270" i="21" s="1"/>
  <c r="G406" i="20"/>
  <c r="F385" i="21"/>
  <c r="AL385" i="21" s="1"/>
  <c r="F321" i="20"/>
  <c r="E300" i="21"/>
  <c r="AK300" i="21" s="1"/>
  <c r="E408" i="20"/>
  <c r="D387" i="21"/>
  <c r="AJ387" i="21" s="1"/>
  <c r="F117" i="20"/>
  <c r="E96" i="21"/>
  <c r="AK96" i="21" s="1"/>
  <c r="K201" i="20"/>
  <c r="J180" i="21"/>
  <c r="AP180" i="21" s="1"/>
  <c r="M314" i="20"/>
  <c r="L293" i="21"/>
  <c r="AR293" i="21" s="1"/>
  <c r="K374" i="20"/>
  <c r="J353" i="21"/>
  <c r="AP353" i="21" s="1"/>
  <c r="H377" i="20"/>
  <c r="G356" i="21"/>
  <c r="AM356" i="21" s="1"/>
  <c r="G263" i="20"/>
  <c r="F242" i="21"/>
  <c r="AL242" i="21" s="1"/>
  <c r="M26" i="20"/>
  <c r="L5" i="21"/>
  <c r="AR5" i="21" s="1"/>
  <c r="G89" i="20"/>
  <c r="F68" i="21"/>
  <c r="AL68" i="21" s="1"/>
  <c r="L142" i="20"/>
  <c r="K121" i="21"/>
  <c r="AQ121" i="21" s="1"/>
  <c r="E293" i="20"/>
  <c r="D272" i="21"/>
  <c r="AJ272" i="21" s="1"/>
  <c r="E437" i="20"/>
  <c r="D416" i="21"/>
  <c r="AJ416" i="21" s="1"/>
  <c r="F206" i="20"/>
  <c r="E185" i="21"/>
  <c r="AK185" i="21" s="1"/>
  <c r="K316" i="20"/>
  <c r="J295" i="21"/>
  <c r="AP295" i="21" s="1"/>
  <c r="D438" i="20"/>
  <c r="C417" i="21"/>
  <c r="AI417" i="21" s="1"/>
  <c r="D323" i="20"/>
  <c r="C439" i="20"/>
  <c r="C302" i="21"/>
  <c r="AI302" i="21" s="1"/>
  <c r="I30" i="20"/>
  <c r="H9" i="21"/>
  <c r="AN9" i="21" s="1"/>
  <c r="J29" i="20"/>
  <c r="I8" i="21"/>
  <c r="AO8" i="21" s="1"/>
  <c r="K143" i="20"/>
  <c r="J122" i="21"/>
  <c r="AP122" i="21" s="1"/>
  <c r="E265" i="20"/>
  <c r="D244" i="21"/>
  <c r="AJ244" i="21" s="1"/>
  <c r="C151" i="20"/>
  <c r="M228" i="20"/>
  <c r="L207" i="21"/>
  <c r="AR207" i="21" s="1"/>
  <c r="K431" i="20"/>
  <c r="J410" i="21"/>
  <c r="AP410" i="21" s="1"/>
  <c r="J113" i="20"/>
  <c r="I92" i="21"/>
  <c r="AO92" i="21" s="1"/>
  <c r="J459" i="20"/>
  <c r="I438" i="21"/>
  <c r="AO438" i="21" s="1"/>
  <c r="F148" i="20"/>
  <c r="E127" i="21"/>
  <c r="AK127" i="21" s="1"/>
  <c r="I289" i="20"/>
  <c r="H268" i="21"/>
  <c r="AN268" i="21" s="1"/>
  <c r="H290" i="20"/>
  <c r="G269" i="21"/>
  <c r="AM269" i="21" s="1"/>
  <c r="G462" i="20"/>
  <c r="F441" i="21"/>
  <c r="AL441" i="21" s="1"/>
  <c r="L171" i="20"/>
  <c r="K150" i="21"/>
  <c r="AQ150" i="21" s="1"/>
  <c r="L401" i="20"/>
  <c r="K380" i="21"/>
  <c r="AQ380" i="21" s="1"/>
  <c r="N25" i="20"/>
  <c r="M4" i="21"/>
  <c r="AS4" i="21" s="1"/>
  <c r="I174" i="20"/>
  <c r="H153" i="21"/>
  <c r="AN153" i="21" s="1"/>
  <c r="F463" i="20"/>
  <c r="E442" i="21"/>
  <c r="AK442" i="21" s="1"/>
  <c r="J144" i="20"/>
  <c r="I123" i="21"/>
  <c r="AO123" i="21" s="1"/>
  <c r="N169" i="20"/>
  <c r="M148" i="21"/>
  <c r="AS148" i="21" s="1"/>
  <c r="I203" i="20"/>
  <c r="H182" i="21"/>
  <c r="AN182" i="21" s="1"/>
  <c r="M199" i="20"/>
  <c r="L178" i="21"/>
  <c r="AR178" i="21" s="1"/>
  <c r="L430" i="20"/>
  <c r="K409" i="21"/>
  <c r="AQ409" i="21" s="1"/>
  <c r="J57" i="20"/>
  <c r="I36" i="21"/>
  <c r="AO36" i="21" s="1"/>
  <c r="H31" i="20"/>
  <c r="G10" i="21"/>
  <c r="AM10" i="21" s="1"/>
  <c r="E149" i="20"/>
  <c r="D128" i="21"/>
  <c r="AJ128" i="21" s="1"/>
  <c r="G205" i="20"/>
  <c r="F184" i="21"/>
  <c r="AL184" i="21" s="1"/>
  <c r="C93" i="20"/>
  <c r="L229" i="20"/>
  <c r="K208" i="21"/>
  <c r="AQ208" i="21" s="1"/>
  <c r="G435" i="20"/>
  <c r="F414" i="21"/>
  <c r="AL414" i="21" s="1"/>
  <c r="J260" i="20"/>
  <c r="I239" i="21"/>
  <c r="AO239" i="21" s="1"/>
  <c r="D237" i="20"/>
  <c r="C216" i="21"/>
  <c r="AI216" i="21" s="1"/>
  <c r="I460" i="20"/>
  <c r="H439" i="21"/>
  <c r="AN439" i="21" s="1"/>
  <c r="E322" i="20"/>
  <c r="D301" i="21"/>
  <c r="AJ301" i="21" s="1"/>
  <c r="K402" i="20"/>
  <c r="J381" i="21"/>
  <c r="AP381" i="21" s="1"/>
  <c r="E91" i="20"/>
  <c r="D70" i="21"/>
  <c r="AJ70" i="21" s="1"/>
  <c r="D179" i="20"/>
  <c r="C158" i="21"/>
  <c r="AI158" i="21" s="1"/>
  <c r="M141" i="20"/>
  <c r="L120" i="21"/>
  <c r="AR120" i="21" s="1"/>
  <c r="H59" i="20"/>
  <c r="G38" i="21"/>
  <c r="AM38" i="21" s="1"/>
  <c r="H405" i="20"/>
  <c r="G384" i="21"/>
  <c r="AM384" i="21" s="1"/>
  <c r="M257" i="20"/>
  <c r="L236" i="21"/>
  <c r="AR236" i="21" s="1"/>
  <c r="L258" i="20"/>
  <c r="K237" i="21"/>
  <c r="AQ237" i="21" s="1"/>
  <c r="J375" i="20"/>
  <c r="I354" i="21"/>
  <c r="AO354" i="21" s="1"/>
  <c r="Z179" i="19"/>
  <c r="Y440" i="19"/>
  <c r="Z441" i="19" s="1"/>
  <c r="AB382" i="19"/>
  <c r="V324" i="19"/>
  <c r="W325" i="19" s="1"/>
  <c r="S324" i="19"/>
  <c r="M266" i="19"/>
  <c r="L382" i="19"/>
  <c r="M411" i="19"/>
  <c r="U382" i="19"/>
  <c r="U411" i="19"/>
  <c r="O324" i="19"/>
  <c r="AE266" i="19"/>
  <c r="X382" i="19"/>
  <c r="AA498" i="19"/>
  <c r="P440" i="19"/>
  <c r="R440" i="19"/>
  <c r="S441" i="19" s="1"/>
  <c r="Z411" i="19"/>
  <c r="M498" i="19"/>
  <c r="R63" i="19"/>
  <c r="Y63" i="19"/>
  <c r="AD440" i="19"/>
  <c r="L324" i="19"/>
  <c r="O266" i="19"/>
  <c r="W179" i="19"/>
  <c r="AE382" i="19"/>
  <c r="Y179" i="19"/>
  <c r="AE63" i="19"/>
  <c r="N411" i="19"/>
  <c r="AB440" i="19"/>
  <c r="Y324" i="19"/>
  <c r="L63" i="19"/>
  <c r="U498" i="19"/>
  <c r="P92" i="19"/>
  <c r="AE411" i="19"/>
  <c r="T92" i="19"/>
  <c r="P179" i="19"/>
  <c r="N150" i="19"/>
  <c r="S411" i="19"/>
  <c r="AC411" i="19"/>
  <c r="P411" i="19"/>
  <c r="X150" i="19"/>
  <c r="Q498" i="19"/>
  <c r="M63" i="19"/>
  <c r="AC324" i="19"/>
  <c r="Y411" i="19"/>
  <c r="AA92" i="19"/>
  <c r="AA382" i="19"/>
  <c r="X63" i="19"/>
  <c r="R266" i="19"/>
  <c r="N92" i="19"/>
  <c r="V150" i="19"/>
  <c r="W440" i="19"/>
  <c r="W150" i="19"/>
  <c r="AA324" i="19"/>
  <c r="P382" i="19"/>
  <c r="Q179" i="19"/>
  <c r="U179" i="19"/>
  <c r="T179" i="19"/>
  <c r="M324" i="19"/>
  <c r="AB266" i="19"/>
  <c r="W498" i="19"/>
  <c r="Z440" i="19"/>
  <c r="K324" i="19"/>
  <c r="N498" i="19"/>
  <c r="AB498" i="19"/>
  <c r="N440" i="19"/>
  <c r="AB63" i="19"/>
  <c r="P324" i="19"/>
  <c r="Y92" i="19"/>
  <c r="T63" i="19"/>
  <c r="V179" i="19"/>
  <c r="AA266" i="19"/>
  <c r="V92" i="19"/>
  <c r="W93" i="19" s="1"/>
  <c r="Q266" i="19"/>
  <c r="X266" i="19"/>
  <c r="O382" i="19"/>
  <c r="Z63" i="19"/>
  <c r="O63" i="19"/>
  <c r="U266" i="19"/>
  <c r="AD498" i="19"/>
  <c r="T382" i="19"/>
  <c r="N382" i="19"/>
  <c r="O383" i="19" s="1"/>
  <c r="AA179" i="19"/>
  <c r="K498" i="19"/>
  <c r="AE440" i="19"/>
  <c r="L498" i="19"/>
  <c r="W92" i="19"/>
  <c r="R411" i="19"/>
  <c r="X498" i="19"/>
  <c r="M440" i="19"/>
  <c r="N441" i="19" s="1"/>
  <c r="O498" i="19"/>
  <c r="S440" i="19"/>
  <c r="AB150" i="19"/>
  <c r="AD150" i="19"/>
  <c r="AC150" i="19"/>
  <c r="AE498" i="19"/>
  <c r="L440" i="19"/>
  <c r="M92" i="19"/>
  <c r="AD179" i="19"/>
  <c r="N266" i="19"/>
  <c r="V440" i="19"/>
  <c r="P63" i="19"/>
  <c r="U440" i="19"/>
  <c r="O92" i="19"/>
  <c r="Z266" i="19"/>
  <c r="R498" i="19"/>
  <c r="K440" i="19"/>
  <c r="T498" i="19"/>
  <c r="V63" i="19"/>
  <c r="AB92" i="19"/>
  <c r="Z382" i="19"/>
  <c r="N179" i="19"/>
  <c r="AC92" i="19"/>
  <c r="W382" i="19"/>
  <c r="X324" i="19"/>
  <c r="X179" i="19"/>
  <c r="R382" i="19"/>
  <c r="AD266" i="19"/>
  <c r="R179" i="19"/>
  <c r="AC63" i="19"/>
  <c r="U324" i="19"/>
  <c r="Q324" i="19"/>
  <c r="AC179" i="19"/>
  <c r="Y266" i="19"/>
  <c r="Q150" i="19"/>
  <c r="S63" i="19"/>
  <c r="W411" i="19"/>
  <c r="AE150" i="19"/>
  <c r="S150" i="19"/>
  <c r="S179" i="19"/>
  <c r="AD324" i="19"/>
  <c r="Z150" i="19"/>
  <c r="V411" i="19"/>
  <c r="AD382" i="19"/>
  <c r="AE92" i="19"/>
  <c r="Q92" i="19"/>
  <c r="Y498" i="19"/>
  <c r="W324" i="19"/>
  <c r="Z324" i="19"/>
  <c r="N324" i="19"/>
  <c r="L150" i="19"/>
  <c r="L92" i="19"/>
  <c r="O411" i="19"/>
  <c r="P412" i="19" s="1"/>
  <c r="AB179" i="19"/>
  <c r="AE324" i="19"/>
  <c r="N63" i="19"/>
  <c r="V382" i="19"/>
  <c r="R92" i="19"/>
  <c r="S382" i="19"/>
  <c r="AC440" i="19"/>
  <c r="T324" i="19"/>
  <c r="L179" i="19"/>
  <c r="P266" i="19"/>
  <c r="M382" i="19"/>
  <c r="AC498" i="19"/>
  <c r="T150" i="19"/>
  <c r="Y382" i="19"/>
  <c r="M150" i="19"/>
  <c r="AD92" i="19"/>
  <c r="Q382" i="19"/>
  <c r="U92" i="19"/>
  <c r="T440" i="19"/>
  <c r="R150" i="19"/>
  <c r="S92" i="19"/>
  <c r="V498" i="19"/>
  <c r="K92" i="19"/>
  <c r="O150" i="19"/>
  <c r="X92" i="19"/>
  <c r="K382" i="19"/>
  <c r="O179" i="19"/>
  <c r="X440" i="19"/>
  <c r="C425" i="23"/>
  <c r="D426" i="23" s="1"/>
  <c r="E427" i="23" s="1"/>
  <c r="F428" i="23" s="1"/>
  <c r="G429" i="23" s="1"/>
  <c r="H430" i="23" s="1"/>
  <c r="I431" i="23" s="1"/>
  <c r="J432" i="23" s="1"/>
  <c r="Q440" i="19"/>
  <c r="AA440" i="19"/>
  <c r="AC382" i="19"/>
  <c r="C484" i="23"/>
  <c r="D485" i="23" s="1"/>
  <c r="E486" i="23" s="1"/>
  <c r="F487" i="23" s="1"/>
  <c r="G488" i="23" s="1"/>
  <c r="H489" i="23" s="1"/>
  <c r="I490" i="23" s="1"/>
  <c r="AB324" i="19"/>
  <c r="Z92" i="19"/>
  <c r="M179" i="19"/>
  <c r="S498" i="19"/>
  <c r="C455" i="23"/>
  <c r="D456" i="23" s="1"/>
  <c r="E457" i="23" s="1"/>
  <c r="F458" i="23" s="1"/>
  <c r="G459" i="23" s="1"/>
  <c r="H460" i="23" s="1"/>
  <c r="I461" i="23" s="1"/>
  <c r="J441" i="19"/>
  <c r="AE64" i="19"/>
  <c r="Z151" i="19"/>
  <c r="AB412" i="19"/>
  <c r="V64" i="19"/>
  <c r="F93" i="19"/>
  <c r="AE412" i="19"/>
  <c r="H412" i="19"/>
  <c r="F499" i="19"/>
  <c r="H383" i="19"/>
  <c r="I383" i="19"/>
  <c r="J383" i="19"/>
  <c r="K383" i="19"/>
  <c r="G499" i="19"/>
  <c r="I64" i="19"/>
  <c r="H180" i="19"/>
  <c r="J499" i="19"/>
  <c r="I499" i="19"/>
  <c r="AE208" i="19"/>
  <c r="K499" i="19"/>
  <c r="G93" i="19"/>
  <c r="L64" i="19"/>
  <c r="F208" i="19"/>
  <c r="X208" i="19"/>
  <c r="E383" i="19"/>
  <c r="R208" i="19"/>
  <c r="N208" i="19"/>
  <c r="G412" i="19"/>
  <c r="E325" i="19"/>
  <c r="T208" i="19"/>
  <c r="S208" i="19"/>
  <c r="I93" i="19"/>
  <c r="K412" i="19"/>
  <c r="G441" i="19"/>
  <c r="P208" i="19"/>
  <c r="J208" i="19"/>
  <c r="J151" i="19"/>
  <c r="X64" i="19"/>
  <c r="L412" i="19"/>
  <c r="K441" i="19"/>
  <c r="AB151" i="19"/>
  <c r="U412" i="19"/>
  <c r="E180" i="19"/>
  <c r="G383" i="19"/>
  <c r="Q208" i="19"/>
  <c r="M208" i="19"/>
  <c r="R64" i="19"/>
  <c r="E93" i="19"/>
  <c r="H151" i="19"/>
  <c r="AB208" i="19"/>
  <c r="K325" i="19"/>
  <c r="E412" i="19"/>
  <c r="I441" i="19"/>
  <c r="F64" i="19"/>
  <c r="G325" i="19"/>
  <c r="H93" i="19"/>
  <c r="E208" i="19"/>
  <c r="E499" i="19"/>
  <c r="D469" i="19"/>
  <c r="D121" i="19"/>
  <c r="D353" i="19"/>
  <c r="Z121" i="19"/>
  <c r="X353" i="19"/>
  <c r="O121" i="19"/>
  <c r="AD121" i="19"/>
  <c r="P121" i="19"/>
  <c r="J353" i="19"/>
  <c r="T267" i="19"/>
  <c r="L121" i="19"/>
  <c r="X237" i="19"/>
  <c r="AB353" i="19"/>
  <c r="N353" i="19"/>
  <c r="O469" i="19"/>
  <c r="F121" i="19"/>
  <c r="H121" i="19"/>
  <c r="R324" i="19"/>
  <c r="E267" i="19"/>
  <c r="V121" i="19"/>
  <c r="X121" i="19"/>
  <c r="AD208" i="19"/>
  <c r="J180" i="19"/>
  <c r="U469" i="19"/>
  <c r="N121" i="19"/>
  <c r="W208" i="19"/>
  <c r="O353" i="19"/>
  <c r="T353" i="19"/>
  <c r="J237" i="19"/>
  <c r="I469" i="19"/>
  <c r="K469" i="19"/>
  <c r="V469" i="19"/>
  <c r="P498" i="19"/>
  <c r="AE469" i="19"/>
  <c r="K267" i="19"/>
  <c r="F237" i="19"/>
  <c r="J64" i="19"/>
  <c r="P469" i="19"/>
  <c r="F469" i="19"/>
  <c r="U208" i="19"/>
  <c r="Z498" i="19"/>
  <c r="AB64" i="19"/>
  <c r="L237" i="19"/>
  <c r="Q469" i="19"/>
  <c r="L180" i="19"/>
  <c r="G151" i="19"/>
  <c r="W237" i="19"/>
  <c r="M412" i="19"/>
  <c r="AA121" i="19"/>
  <c r="U267" i="19"/>
  <c r="S353" i="19"/>
  <c r="U121" i="19"/>
  <c r="E64" i="19"/>
  <c r="S469" i="19"/>
  <c r="M121" i="19"/>
  <c r="F151" i="19"/>
  <c r="AB121" i="19"/>
  <c r="I151" i="19"/>
  <c r="K151" i="19"/>
  <c r="AC412" i="19"/>
  <c r="I180" i="19"/>
  <c r="AC469" i="19"/>
  <c r="O237" i="19"/>
  <c r="R412" i="19"/>
  <c r="Y121" i="19"/>
  <c r="H441" i="19"/>
  <c r="Z353" i="19"/>
  <c r="T469" i="19"/>
  <c r="E237" i="19"/>
  <c r="E353" i="19"/>
  <c r="F383" i="19"/>
  <c r="AE121" i="19"/>
  <c r="G353" i="19"/>
  <c r="J412" i="19"/>
  <c r="L267" i="19"/>
  <c r="L353" i="19"/>
  <c r="X469" i="19"/>
  <c r="W469" i="19"/>
  <c r="K237" i="19"/>
  <c r="O208" i="19"/>
  <c r="AC237" i="19"/>
  <c r="F267" i="19"/>
  <c r="Q353" i="19"/>
  <c r="J469" i="19"/>
  <c r="F353" i="19"/>
  <c r="G469" i="19"/>
  <c r="I121" i="19"/>
  <c r="AB469" i="19"/>
  <c r="J267" i="19"/>
  <c r="W353" i="19"/>
  <c r="Y469" i="19"/>
  <c r="AA469" i="19"/>
  <c r="W121" i="19"/>
  <c r="AD469" i="19"/>
  <c r="Z237" i="19"/>
  <c r="M469" i="19"/>
  <c r="AE353" i="19"/>
  <c r="H325" i="19"/>
  <c r="V151" i="19"/>
  <c r="N296" i="19"/>
  <c r="M311" i="19"/>
  <c r="G267" i="19"/>
  <c r="I325" i="19"/>
  <c r="R469" i="19"/>
  <c r="AC353" i="19"/>
  <c r="S121" i="19"/>
  <c r="X267" i="19"/>
  <c r="S237" i="19"/>
  <c r="K150" i="19"/>
  <c r="T121" i="19"/>
  <c r="L208" i="19"/>
  <c r="H353" i="19"/>
  <c r="AD237" i="19"/>
  <c r="I267" i="19"/>
  <c r="I353" i="19"/>
  <c r="G208" i="19"/>
  <c r="G121" i="19"/>
  <c r="R353" i="19"/>
  <c r="K208" i="19"/>
  <c r="M353" i="19"/>
  <c r="E469" i="19"/>
  <c r="R237" i="19"/>
  <c r="U237" i="19"/>
  <c r="P237" i="19"/>
  <c r="H267" i="19"/>
  <c r="Q121" i="19"/>
  <c r="I237" i="19"/>
  <c r="Y353" i="19"/>
  <c r="AA208" i="19"/>
  <c r="L469" i="19"/>
  <c r="D412" i="19"/>
  <c r="D64" i="19"/>
  <c r="D441" i="19"/>
  <c r="D325" i="19"/>
  <c r="D93" i="19"/>
  <c r="D499" i="19"/>
  <c r="D383" i="19"/>
  <c r="D151" i="19"/>
  <c r="H208" i="19"/>
  <c r="H237" i="19"/>
  <c r="AA237" i="19"/>
  <c r="V353" i="19"/>
  <c r="G237" i="19"/>
  <c r="G64" i="19"/>
  <c r="Y208" i="19"/>
  <c r="F412" i="19"/>
  <c r="O440" i="19"/>
  <c r="AC208" i="19"/>
  <c r="J93" i="19"/>
  <c r="N237" i="19"/>
  <c r="H469" i="19"/>
  <c r="N469" i="19"/>
  <c r="Y237" i="19"/>
  <c r="E441" i="19"/>
  <c r="Y412" i="19"/>
  <c r="F325" i="19"/>
  <c r="V237" i="19"/>
  <c r="Q151" i="19"/>
  <c r="V208" i="19"/>
  <c r="J325" i="19"/>
  <c r="F180" i="19"/>
  <c r="R121" i="19"/>
  <c r="K180" i="19"/>
  <c r="H64" i="19"/>
  <c r="G180" i="19"/>
  <c r="T237" i="19"/>
  <c r="AB237" i="19"/>
  <c r="AA353" i="19"/>
  <c r="U353" i="19"/>
  <c r="Z469" i="19"/>
  <c r="K121" i="19"/>
  <c r="M267" i="19"/>
  <c r="K353" i="19"/>
  <c r="AC121" i="19"/>
  <c r="H499" i="19"/>
  <c r="AD267" i="19"/>
  <c r="J121" i="19"/>
  <c r="M237" i="19"/>
  <c r="AD353" i="19"/>
  <c r="F441" i="19"/>
  <c r="AE237" i="19"/>
  <c r="P353" i="19"/>
  <c r="K64" i="19"/>
  <c r="W267" i="19"/>
  <c r="E121" i="19"/>
  <c r="E151" i="19"/>
  <c r="I412" i="19"/>
  <c r="I208" i="19"/>
  <c r="K93" i="19"/>
  <c r="Q237" i="19"/>
  <c r="Z208" i="19"/>
  <c r="BK72" i="6"/>
  <c r="J39" i="1" s="1"/>
  <c r="J36" i="19"/>
  <c r="D209" i="19" s="1"/>
  <c r="AE35" i="6"/>
  <c r="C40" i="1" s="1"/>
  <c r="C37" i="19"/>
  <c r="BK35" i="6"/>
  <c r="D40" i="1" s="1"/>
  <c r="D37" i="19"/>
  <c r="DW35" i="6"/>
  <c r="F40" i="1" s="1"/>
  <c r="F37" i="19"/>
  <c r="AE73" i="6"/>
  <c r="I40" i="1" s="1"/>
  <c r="I37" i="19"/>
  <c r="D181" i="19" s="1"/>
  <c r="DW73" i="6"/>
  <c r="L40" i="1" s="1"/>
  <c r="L37" i="19"/>
  <c r="D268" i="19" s="1"/>
  <c r="CQ72" i="6"/>
  <c r="K39" i="1" s="1"/>
  <c r="K36" i="19"/>
  <c r="D238" i="19" s="1"/>
  <c r="CQ34" i="6"/>
  <c r="E39" i="1" s="1"/>
  <c r="E36" i="19"/>
  <c r="N37" i="49" l="1"/>
  <c r="M52" i="49"/>
  <c r="L3" i="49"/>
  <c r="L7" i="49" s="1"/>
  <c r="L11" i="49" s="1"/>
  <c r="L19" i="49" s="1"/>
  <c r="O79" i="5"/>
  <c r="O67" i="49"/>
  <c r="N81" i="49"/>
  <c r="K2" i="49"/>
  <c r="K6" i="49" s="1"/>
  <c r="K10" i="49" s="1"/>
  <c r="K18" i="49" s="1"/>
  <c r="N80" i="5"/>
  <c r="L261" i="21"/>
  <c r="N187" i="1"/>
  <c r="M282" i="20"/>
  <c r="O109" i="1"/>
  <c r="N141" i="20"/>
  <c r="M120" i="21"/>
  <c r="AS120" i="21" s="1"/>
  <c r="E237" i="20"/>
  <c r="D216" i="21"/>
  <c r="AJ216" i="21" s="1"/>
  <c r="F149" i="20"/>
  <c r="E128" i="21"/>
  <c r="AK128" i="21" s="1"/>
  <c r="O169" i="20"/>
  <c r="N148" i="21"/>
  <c r="AT148" i="21" s="1"/>
  <c r="M171" i="20"/>
  <c r="L150" i="21"/>
  <c r="AR150" i="21" s="1"/>
  <c r="G148" i="20"/>
  <c r="F127" i="21"/>
  <c r="AL127" i="21" s="1"/>
  <c r="N228" i="20"/>
  <c r="M207" i="21"/>
  <c r="AS207" i="21" s="1"/>
  <c r="F437" i="20"/>
  <c r="E416" i="21"/>
  <c r="AK416" i="21" s="1"/>
  <c r="M55" i="20"/>
  <c r="L34" i="21"/>
  <c r="AR34" i="21" s="1"/>
  <c r="L172" i="20"/>
  <c r="K151" i="21"/>
  <c r="AQ151" i="21" s="1"/>
  <c r="D324" i="20"/>
  <c r="C440" i="20"/>
  <c r="C303" i="21"/>
  <c r="AI303" i="21" s="1"/>
  <c r="H176" i="20"/>
  <c r="G155" i="21"/>
  <c r="AM155" i="21" s="1"/>
  <c r="M373" i="20"/>
  <c r="L352" i="21"/>
  <c r="AR352" i="21" s="1"/>
  <c r="J404" i="20"/>
  <c r="I383" i="21"/>
  <c r="AO383" i="21" s="1"/>
  <c r="H320" i="20"/>
  <c r="G299" i="21"/>
  <c r="AM299" i="21" s="1"/>
  <c r="D466" i="20"/>
  <c r="C445" i="21"/>
  <c r="AI445" i="21" s="1"/>
  <c r="G348" i="20"/>
  <c r="F327" i="21"/>
  <c r="AL327" i="21" s="1"/>
  <c r="N285" i="20"/>
  <c r="M264" i="21"/>
  <c r="AS264" i="21" s="1"/>
  <c r="M111" i="20"/>
  <c r="L90" i="21"/>
  <c r="AR90" i="21" s="1"/>
  <c r="N170" i="20"/>
  <c r="M149" i="21"/>
  <c r="AS149" i="21" s="1"/>
  <c r="AA180" i="19"/>
  <c r="AB181" i="19" s="1"/>
  <c r="F265" i="20"/>
  <c r="E244" i="21"/>
  <c r="AK244" i="21" s="1"/>
  <c r="J30" i="20"/>
  <c r="I9" i="21"/>
  <c r="AO9" i="21" s="1"/>
  <c r="I377" i="20"/>
  <c r="H356" i="21"/>
  <c r="AN356" i="21" s="1"/>
  <c r="N314" i="20"/>
  <c r="M293" i="21"/>
  <c r="AS293" i="21" s="1"/>
  <c r="G117" i="20"/>
  <c r="F96" i="21"/>
  <c r="AL96" i="21" s="1"/>
  <c r="G321" i="20"/>
  <c r="F300" i="21"/>
  <c r="AL300" i="21" s="1"/>
  <c r="H291" i="20"/>
  <c r="G270" i="21"/>
  <c r="AM270" i="21" s="1"/>
  <c r="O140" i="20"/>
  <c r="N119" i="21"/>
  <c r="AT119" i="21" s="1"/>
  <c r="E92" i="20"/>
  <c r="D71" i="21"/>
  <c r="AJ71" i="21" s="1"/>
  <c r="C268" i="20"/>
  <c r="D36" i="20"/>
  <c r="C15" i="21"/>
  <c r="AI15" i="21" s="1"/>
  <c r="G235" i="20"/>
  <c r="F214" i="21"/>
  <c r="AL214" i="21" s="1"/>
  <c r="K317" i="20"/>
  <c r="J296" i="21"/>
  <c r="AP296" i="21" s="1"/>
  <c r="G264" i="20"/>
  <c r="F243" i="21"/>
  <c r="AL243" i="21" s="1"/>
  <c r="I461" i="20"/>
  <c r="H440" i="21"/>
  <c r="AN440" i="21" s="1"/>
  <c r="K344" i="20"/>
  <c r="J323" i="21"/>
  <c r="AP323" i="21" s="1"/>
  <c r="O53" i="20"/>
  <c r="N32" i="21"/>
  <c r="AT32" i="21" s="1"/>
  <c r="G33" i="20"/>
  <c r="F12" i="21"/>
  <c r="AL12" i="21" s="1"/>
  <c r="F62" i="20"/>
  <c r="E41" i="21"/>
  <c r="AK41" i="21" s="1"/>
  <c r="L85" i="20"/>
  <c r="K64" i="21"/>
  <c r="AQ64" i="21" s="1"/>
  <c r="E350" i="20"/>
  <c r="D329" i="21"/>
  <c r="AJ329" i="21" s="1"/>
  <c r="E266" i="20"/>
  <c r="D245" i="21"/>
  <c r="AJ245" i="21" s="1"/>
  <c r="D351" i="20"/>
  <c r="C467" i="20"/>
  <c r="C330" i="21"/>
  <c r="AI330" i="21" s="1"/>
  <c r="N83" i="20"/>
  <c r="M62" i="21"/>
  <c r="AS62" i="21" s="1"/>
  <c r="L230" i="20"/>
  <c r="K209" i="21"/>
  <c r="AQ209" i="21" s="1"/>
  <c r="J145" i="20"/>
  <c r="I124" i="21"/>
  <c r="AO124" i="21" s="1"/>
  <c r="C383" i="20"/>
  <c r="D267" i="20"/>
  <c r="C246" i="21"/>
  <c r="AI246" i="21" s="1"/>
  <c r="L56" i="20"/>
  <c r="K35" i="21"/>
  <c r="AQ35" i="21" s="1"/>
  <c r="I146" i="20"/>
  <c r="H125" i="21"/>
  <c r="AN125" i="21" s="1"/>
  <c r="I233" i="20"/>
  <c r="H212" i="21"/>
  <c r="AN212" i="21" s="1"/>
  <c r="K432" i="20"/>
  <c r="J411" i="21"/>
  <c r="AP411" i="21" s="1"/>
  <c r="J87" i="20"/>
  <c r="I66" i="21"/>
  <c r="AO66" i="21" s="1"/>
  <c r="F34" i="20"/>
  <c r="E13" i="21"/>
  <c r="AK13" i="21" s="1"/>
  <c r="F178" i="20"/>
  <c r="E157" i="21"/>
  <c r="AK157" i="21" s="1"/>
  <c r="G407" i="20"/>
  <c r="F386" i="21"/>
  <c r="AL386" i="21" s="1"/>
  <c r="H60" i="20"/>
  <c r="G39" i="21"/>
  <c r="AM39" i="21" s="1"/>
  <c r="G379" i="20"/>
  <c r="F358" i="21"/>
  <c r="AL358" i="21" s="1"/>
  <c r="I115" i="20"/>
  <c r="H94" i="21"/>
  <c r="AN94" i="21" s="1"/>
  <c r="H32" i="20"/>
  <c r="G11" i="21"/>
  <c r="AM11" i="21" s="1"/>
  <c r="I405" i="20"/>
  <c r="H384" i="21"/>
  <c r="AN384" i="21" s="1"/>
  <c r="F322" i="20"/>
  <c r="E301" i="21"/>
  <c r="AK301" i="21" s="1"/>
  <c r="C94" i="20"/>
  <c r="N199" i="20"/>
  <c r="M178" i="21"/>
  <c r="AS178" i="21" s="1"/>
  <c r="O25" i="20"/>
  <c r="N4" i="21"/>
  <c r="AT4" i="21" s="1"/>
  <c r="I290" i="20"/>
  <c r="H269" i="21"/>
  <c r="AN269" i="21" s="1"/>
  <c r="K113" i="20"/>
  <c r="J92" i="21"/>
  <c r="AP92" i="21" s="1"/>
  <c r="L316" i="20"/>
  <c r="K295" i="21"/>
  <c r="AQ295" i="21" s="1"/>
  <c r="N26" i="20"/>
  <c r="M5" i="21"/>
  <c r="AS5" i="21" s="1"/>
  <c r="C121" i="20"/>
  <c r="K403" i="20"/>
  <c r="J382" i="21"/>
  <c r="AP382" i="21" s="1"/>
  <c r="L28" i="20"/>
  <c r="K7" i="21"/>
  <c r="AQ7" i="21" s="1"/>
  <c r="L112" i="20"/>
  <c r="K91" i="21"/>
  <c r="AQ91" i="21" s="1"/>
  <c r="J114" i="20"/>
  <c r="I93" i="21"/>
  <c r="AO93" i="21" s="1"/>
  <c r="M84" i="20"/>
  <c r="L63" i="21"/>
  <c r="AR63" i="21" s="1"/>
  <c r="I434" i="20"/>
  <c r="H413" i="21"/>
  <c r="AN413" i="21" s="1"/>
  <c r="J261" i="20"/>
  <c r="I240" i="21"/>
  <c r="AO240" i="21" s="1"/>
  <c r="G436" i="20"/>
  <c r="F415" i="21"/>
  <c r="AL415" i="21" s="1"/>
  <c r="I175" i="20"/>
  <c r="H154" i="21"/>
  <c r="AN154" i="21" s="1"/>
  <c r="D410" i="20"/>
  <c r="C389" i="21"/>
  <c r="AI389" i="21" s="1"/>
  <c r="K375" i="20"/>
  <c r="J354" i="21"/>
  <c r="AP354" i="21" s="1"/>
  <c r="N257" i="20"/>
  <c r="M236" i="21"/>
  <c r="AS236" i="21" s="1"/>
  <c r="I59" i="20"/>
  <c r="H38" i="21"/>
  <c r="AN38" i="21" s="1"/>
  <c r="E179" i="20"/>
  <c r="D158" i="21"/>
  <c r="AJ158" i="21" s="1"/>
  <c r="L402" i="20"/>
  <c r="K381" i="21"/>
  <c r="AQ381" i="21" s="1"/>
  <c r="J460" i="20"/>
  <c r="I439" i="21"/>
  <c r="AO439" i="21" s="1"/>
  <c r="K260" i="20"/>
  <c r="J239" i="21"/>
  <c r="AP239" i="21" s="1"/>
  <c r="M229" i="20"/>
  <c r="L208" i="21"/>
  <c r="AR208" i="21" s="1"/>
  <c r="H205" i="20"/>
  <c r="G184" i="21"/>
  <c r="AM184" i="21" s="1"/>
  <c r="I31" i="20"/>
  <c r="H10" i="21"/>
  <c r="AN10" i="21" s="1"/>
  <c r="M430" i="20"/>
  <c r="L409" i="21"/>
  <c r="AR409" i="21" s="1"/>
  <c r="J203" i="20"/>
  <c r="I182" i="21"/>
  <c r="AO182" i="21" s="1"/>
  <c r="K144" i="20"/>
  <c r="J123" i="21"/>
  <c r="AP123" i="21" s="1"/>
  <c r="J174" i="20"/>
  <c r="I153" i="21"/>
  <c r="AO153" i="21" s="1"/>
  <c r="M401" i="20"/>
  <c r="L380" i="21"/>
  <c r="AR380" i="21" s="1"/>
  <c r="H462" i="20"/>
  <c r="G441" i="21"/>
  <c r="AM441" i="21" s="1"/>
  <c r="J289" i="20"/>
  <c r="I268" i="21"/>
  <c r="AO268" i="21" s="1"/>
  <c r="K459" i="20"/>
  <c r="J438" i="21"/>
  <c r="AP438" i="21" s="1"/>
  <c r="L431" i="20"/>
  <c r="K410" i="21"/>
  <c r="AQ410" i="21" s="1"/>
  <c r="D151" i="20"/>
  <c r="C130" i="21"/>
  <c r="AI130" i="21" s="1"/>
  <c r="E438" i="20"/>
  <c r="D417" i="21"/>
  <c r="AJ417" i="21" s="1"/>
  <c r="G206" i="20"/>
  <c r="F185" i="21"/>
  <c r="AL185" i="21" s="1"/>
  <c r="F293" i="20"/>
  <c r="E272" i="21"/>
  <c r="AK272" i="21" s="1"/>
  <c r="H89" i="20"/>
  <c r="G68" i="21"/>
  <c r="AM68" i="21" s="1"/>
  <c r="H147" i="20"/>
  <c r="G126" i="21"/>
  <c r="AM126" i="21" s="1"/>
  <c r="K173" i="20"/>
  <c r="J152" i="21"/>
  <c r="AP152" i="21" s="1"/>
  <c r="G177" i="20"/>
  <c r="F156" i="21"/>
  <c r="AL156" i="21" s="1"/>
  <c r="K86" i="20"/>
  <c r="J65" i="21"/>
  <c r="AP65" i="21" s="1"/>
  <c r="F349" i="20"/>
  <c r="E328" i="21"/>
  <c r="AK328" i="21" s="1"/>
  <c r="C37" i="20"/>
  <c r="H234" i="20"/>
  <c r="G213" i="21"/>
  <c r="AM213" i="21" s="1"/>
  <c r="F464" i="20"/>
  <c r="E443" i="21"/>
  <c r="AK443" i="21" s="1"/>
  <c r="L343" i="20"/>
  <c r="K322" i="21"/>
  <c r="AQ322" i="21" s="1"/>
  <c r="E150" i="20"/>
  <c r="D129" i="21"/>
  <c r="AJ129" i="21" s="1"/>
  <c r="I346" i="20"/>
  <c r="H325" i="21"/>
  <c r="AN325" i="21" s="1"/>
  <c r="I262" i="20"/>
  <c r="H241" i="21"/>
  <c r="AN241" i="21" s="1"/>
  <c r="L259" i="20"/>
  <c r="K238" i="21"/>
  <c r="AQ238" i="21" s="1"/>
  <c r="D180" i="20"/>
  <c r="C159" i="21"/>
  <c r="AI159" i="21" s="1"/>
  <c r="H378" i="20"/>
  <c r="G357" i="21"/>
  <c r="AM357" i="21" s="1"/>
  <c r="I204" i="20"/>
  <c r="H183" i="21"/>
  <c r="AN183" i="21" s="1"/>
  <c r="J376" i="20"/>
  <c r="I355" i="21"/>
  <c r="AO355" i="21" s="1"/>
  <c r="D382" i="20"/>
  <c r="C361" i="21"/>
  <c r="AI361" i="21" s="1"/>
  <c r="M27" i="20"/>
  <c r="L6" i="21"/>
  <c r="AR6" i="21" s="1"/>
  <c r="E35" i="20"/>
  <c r="D14" i="21"/>
  <c r="AJ14" i="21" s="1"/>
  <c r="M315" i="20"/>
  <c r="L294" i="21"/>
  <c r="AR294" i="21" s="1"/>
  <c r="I319" i="20"/>
  <c r="H298" i="21"/>
  <c r="AN298" i="21" s="1"/>
  <c r="H347" i="20"/>
  <c r="G326" i="21"/>
  <c r="AM326" i="21" s="1"/>
  <c r="O198" i="20"/>
  <c r="N177" i="21"/>
  <c r="AT177" i="21" s="1"/>
  <c r="K288" i="20"/>
  <c r="J267" i="21"/>
  <c r="AP267" i="21" s="1"/>
  <c r="F380" i="20"/>
  <c r="E359" i="21"/>
  <c r="AK359" i="21" s="1"/>
  <c r="E63" i="20"/>
  <c r="D42" i="21"/>
  <c r="AJ42" i="21" s="1"/>
  <c r="D209" i="20"/>
  <c r="C188" i="21"/>
  <c r="AI188" i="21" s="1"/>
  <c r="D238" i="20"/>
  <c r="C217" i="21"/>
  <c r="AI217" i="21" s="1"/>
  <c r="M258" i="20"/>
  <c r="L237" i="21"/>
  <c r="AR237" i="21" s="1"/>
  <c r="F91" i="20"/>
  <c r="E70" i="21"/>
  <c r="AK70" i="21" s="1"/>
  <c r="H435" i="20"/>
  <c r="G414" i="21"/>
  <c r="AM414" i="21" s="1"/>
  <c r="K57" i="20"/>
  <c r="J36" i="21"/>
  <c r="AP36" i="21" s="1"/>
  <c r="G463" i="20"/>
  <c r="F442" i="21"/>
  <c r="AL442" i="21" s="1"/>
  <c r="E323" i="20"/>
  <c r="D302" i="21"/>
  <c r="AJ302" i="21" s="1"/>
  <c r="M142" i="20"/>
  <c r="L121" i="21"/>
  <c r="AR121" i="21" s="1"/>
  <c r="C65" i="20"/>
  <c r="M286" i="20"/>
  <c r="L265" i="21"/>
  <c r="AR265" i="21" s="1"/>
  <c r="E119" i="20"/>
  <c r="D98" i="21"/>
  <c r="AJ98" i="21" s="1"/>
  <c r="G292" i="20"/>
  <c r="F271" i="21"/>
  <c r="AL271" i="21" s="1"/>
  <c r="D93" i="20"/>
  <c r="C325" i="20"/>
  <c r="C72" i="21"/>
  <c r="AI72" i="21" s="1"/>
  <c r="C152" i="20"/>
  <c r="L143" i="20"/>
  <c r="K122" i="21"/>
  <c r="AQ122" i="21" s="1"/>
  <c r="K29" i="20"/>
  <c r="J8" i="21"/>
  <c r="AP8" i="21" s="1"/>
  <c r="D439" i="20"/>
  <c r="C418" i="21"/>
  <c r="AI418" i="21" s="1"/>
  <c r="H263" i="20"/>
  <c r="G242" i="21"/>
  <c r="AM242" i="21" s="1"/>
  <c r="L374" i="20"/>
  <c r="K353" i="21"/>
  <c r="AQ353" i="21" s="1"/>
  <c r="L201" i="20"/>
  <c r="K180" i="21"/>
  <c r="AQ180" i="21" s="1"/>
  <c r="F408" i="20"/>
  <c r="E387" i="21"/>
  <c r="AK387" i="21" s="1"/>
  <c r="H406" i="20"/>
  <c r="G385" i="21"/>
  <c r="AM385" i="21" s="1"/>
  <c r="L287" i="20"/>
  <c r="K266" i="21"/>
  <c r="AQ266" i="21" s="1"/>
  <c r="C352" i="20"/>
  <c r="D120" i="20"/>
  <c r="C99" i="21"/>
  <c r="AI99" i="21" s="1"/>
  <c r="M200" i="20"/>
  <c r="L179" i="21"/>
  <c r="AR179" i="21" s="1"/>
  <c r="C296" i="20"/>
  <c r="D64" i="20"/>
  <c r="C43" i="21"/>
  <c r="AI43" i="21" s="1"/>
  <c r="C181" i="20"/>
  <c r="I88" i="20"/>
  <c r="H67" i="21"/>
  <c r="AN67" i="21" s="1"/>
  <c r="H116" i="20"/>
  <c r="G95" i="21"/>
  <c r="AM95" i="21" s="1"/>
  <c r="J58" i="20"/>
  <c r="I37" i="21"/>
  <c r="AO37" i="21" s="1"/>
  <c r="F207" i="20"/>
  <c r="E186" i="21"/>
  <c r="AK186" i="21" s="1"/>
  <c r="N54" i="20"/>
  <c r="M33" i="21"/>
  <c r="AS33" i="21" s="1"/>
  <c r="J318" i="20"/>
  <c r="I297" i="21"/>
  <c r="AO297" i="21" s="1"/>
  <c r="J232" i="20"/>
  <c r="I211" i="21"/>
  <c r="AO211" i="21" s="1"/>
  <c r="G61" i="20"/>
  <c r="F40" i="21"/>
  <c r="AL40" i="21" s="1"/>
  <c r="E465" i="20"/>
  <c r="D444" i="21"/>
  <c r="AJ444" i="21" s="1"/>
  <c r="K231" i="20"/>
  <c r="J210" i="21"/>
  <c r="AP210" i="21" s="1"/>
  <c r="O227" i="20"/>
  <c r="N206" i="21"/>
  <c r="AT206" i="21" s="1"/>
  <c r="E409" i="20"/>
  <c r="D388" i="21"/>
  <c r="AJ388" i="21" s="1"/>
  <c r="C411" i="20"/>
  <c r="D295" i="20"/>
  <c r="C274" i="21"/>
  <c r="AI274" i="21" s="1"/>
  <c r="C210" i="20"/>
  <c r="J433" i="20"/>
  <c r="I412" i="21"/>
  <c r="AO412" i="21" s="1"/>
  <c r="F236" i="20"/>
  <c r="E215" i="21"/>
  <c r="AK215" i="21" s="1"/>
  <c r="E294" i="20"/>
  <c r="D273" i="21"/>
  <c r="AJ273" i="21" s="1"/>
  <c r="F118" i="20"/>
  <c r="E97" i="21"/>
  <c r="AK97" i="21" s="1"/>
  <c r="J345" i="20"/>
  <c r="I324" i="21"/>
  <c r="AO324" i="21" s="1"/>
  <c r="O82" i="20"/>
  <c r="N61" i="21"/>
  <c r="AT61" i="21" s="1"/>
  <c r="C239" i="20"/>
  <c r="G90" i="20"/>
  <c r="F69" i="21"/>
  <c r="AL69" i="21" s="1"/>
  <c r="E208" i="20"/>
  <c r="D187" i="21"/>
  <c r="AJ187" i="21" s="1"/>
  <c r="E381" i="20"/>
  <c r="D360" i="21"/>
  <c r="AJ360" i="21" s="1"/>
  <c r="K202" i="20"/>
  <c r="J181" i="21"/>
  <c r="AP181" i="21" s="1"/>
  <c r="AC383" i="19"/>
  <c r="S64" i="19"/>
  <c r="T65" i="19" s="1"/>
  <c r="T325" i="19"/>
  <c r="N412" i="19"/>
  <c r="N267" i="19"/>
  <c r="V412" i="19"/>
  <c r="Q441" i="19"/>
  <c r="P325" i="19"/>
  <c r="M383" i="19"/>
  <c r="V383" i="19"/>
  <c r="Z64" i="19"/>
  <c r="Y383" i="19"/>
  <c r="AB499" i="19"/>
  <c r="N499" i="19"/>
  <c r="AA412" i="19"/>
  <c r="Q93" i="19"/>
  <c r="AC151" i="19"/>
  <c r="AC441" i="19"/>
  <c r="AD442" i="19" s="1"/>
  <c r="AE441" i="19"/>
  <c r="O151" i="19"/>
  <c r="P267" i="19"/>
  <c r="N325" i="19"/>
  <c r="Z325" i="19"/>
  <c r="U93" i="19"/>
  <c r="Z180" i="19"/>
  <c r="Q383" i="19"/>
  <c r="AB93" i="19"/>
  <c r="O93" i="19"/>
  <c r="W151" i="19"/>
  <c r="T412" i="19"/>
  <c r="AB383" i="19"/>
  <c r="M64" i="19"/>
  <c r="R499" i="19"/>
  <c r="M325" i="19"/>
  <c r="P383" i="19"/>
  <c r="X180" i="19"/>
  <c r="X441" i="19"/>
  <c r="O499" i="19"/>
  <c r="O412" i="19"/>
  <c r="Y64" i="19"/>
  <c r="N64" i="19"/>
  <c r="AD412" i="19"/>
  <c r="V499" i="19"/>
  <c r="Z412" i="19"/>
  <c r="Q180" i="19"/>
  <c r="Q412" i="19"/>
  <c r="X499" i="19"/>
  <c r="Y151" i="19"/>
  <c r="Y499" i="19"/>
  <c r="AB267" i="19"/>
  <c r="AD325" i="19"/>
  <c r="AE326" i="19" s="1"/>
  <c r="AC267" i="19"/>
  <c r="M441" i="19"/>
  <c r="X151" i="19"/>
  <c r="R180" i="19"/>
  <c r="Q325" i="19"/>
  <c r="U383" i="19"/>
  <c r="W441" i="19"/>
  <c r="S267" i="19"/>
  <c r="X383" i="19"/>
  <c r="AA441" i="19"/>
  <c r="O441" i="19"/>
  <c r="Q64" i="19"/>
  <c r="W412" i="19"/>
  <c r="Z93" i="19"/>
  <c r="AE151" i="19"/>
  <c r="S499" i="19"/>
  <c r="P64" i="19"/>
  <c r="AA64" i="19"/>
  <c r="AB325" i="19"/>
  <c r="AC326" i="19" s="1"/>
  <c r="M499" i="19"/>
  <c r="AA267" i="19"/>
  <c r="U180" i="19"/>
  <c r="V180" i="19"/>
  <c r="AC499" i="19"/>
  <c r="W180" i="19"/>
  <c r="AC64" i="19"/>
  <c r="L325" i="19"/>
  <c r="U64" i="19"/>
  <c r="AB180" i="19"/>
  <c r="N93" i="19"/>
  <c r="T180" i="19"/>
  <c r="Y267" i="19"/>
  <c r="R267" i="19"/>
  <c r="AD180" i="19"/>
  <c r="AE267" i="19"/>
  <c r="AE499" i="19"/>
  <c r="X93" i="19"/>
  <c r="V267" i="19"/>
  <c r="AE93" i="19"/>
  <c r="V441" i="19"/>
  <c r="L499" i="19"/>
  <c r="S412" i="19"/>
  <c r="AE180" i="19"/>
  <c r="P499" i="19"/>
  <c r="AE325" i="19"/>
  <c r="AC93" i="19"/>
  <c r="T441" i="19"/>
  <c r="Z267" i="19"/>
  <c r="AD151" i="19"/>
  <c r="S180" i="19"/>
  <c r="AA325" i="19"/>
  <c r="L441" i="19"/>
  <c r="Y325" i="19"/>
  <c r="O267" i="19"/>
  <c r="W383" i="19"/>
  <c r="AA383" i="19"/>
  <c r="P93" i="19"/>
  <c r="X412" i="19"/>
  <c r="W64" i="19"/>
  <c r="AD93" i="19"/>
  <c r="U499" i="19"/>
  <c r="V325" i="19"/>
  <c r="R151" i="19"/>
  <c r="O180" i="19"/>
  <c r="T151" i="19"/>
  <c r="S383" i="19"/>
  <c r="R325" i="19"/>
  <c r="T64" i="19"/>
  <c r="O64" i="19"/>
  <c r="AE383" i="19"/>
  <c r="Y180" i="19"/>
  <c r="AD64" i="19"/>
  <c r="X325" i="19"/>
  <c r="M151" i="19"/>
  <c r="Q267" i="19"/>
  <c r="T383" i="19"/>
  <c r="Z499" i="19"/>
  <c r="O325" i="19"/>
  <c r="AA151" i="19"/>
  <c r="M93" i="19"/>
  <c r="R93" i="19"/>
  <c r="S93" i="19"/>
  <c r="AA93" i="19"/>
  <c r="T499" i="19"/>
  <c r="AD441" i="19"/>
  <c r="N383" i="19"/>
  <c r="R383" i="19"/>
  <c r="U151" i="19"/>
  <c r="Y93" i="19"/>
  <c r="AC180" i="19"/>
  <c r="M180" i="19"/>
  <c r="T93" i="19"/>
  <c r="S151" i="19"/>
  <c r="U325" i="19"/>
  <c r="AD499" i="19"/>
  <c r="L383" i="19"/>
  <c r="Z383" i="19"/>
  <c r="U441" i="19"/>
  <c r="P180" i="19"/>
  <c r="N151" i="19"/>
  <c r="L93" i="19"/>
  <c r="W499" i="19"/>
  <c r="AB441" i="19"/>
  <c r="V93" i="19"/>
  <c r="N180" i="19"/>
  <c r="AC325" i="19"/>
  <c r="R441" i="19"/>
  <c r="Y441" i="19"/>
  <c r="P151" i="19"/>
  <c r="AD383" i="19"/>
  <c r="C426" i="23"/>
  <c r="D427" i="23" s="1"/>
  <c r="E428" i="23" s="1"/>
  <c r="F429" i="23" s="1"/>
  <c r="G430" i="23" s="1"/>
  <c r="H431" i="23" s="1"/>
  <c r="I432" i="23" s="1"/>
  <c r="C456" i="23"/>
  <c r="D457" i="23" s="1"/>
  <c r="E458" i="23" s="1"/>
  <c r="F459" i="23" s="1"/>
  <c r="G460" i="23" s="1"/>
  <c r="H461" i="23" s="1"/>
  <c r="P441" i="19"/>
  <c r="L151" i="19"/>
  <c r="S325" i="19"/>
  <c r="C485" i="23"/>
  <c r="D486" i="23" s="1"/>
  <c r="E487" i="23" s="1"/>
  <c r="F488" i="23" s="1"/>
  <c r="G489" i="23" s="1"/>
  <c r="H490" i="23" s="1"/>
  <c r="AA499" i="19"/>
  <c r="Q499" i="19"/>
  <c r="G500" i="19"/>
  <c r="G442" i="19"/>
  <c r="H181" i="19"/>
  <c r="K326" i="19"/>
  <c r="Z209" i="19"/>
  <c r="E326" i="19"/>
  <c r="Y209" i="19"/>
  <c r="M238" i="19"/>
  <c r="R209" i="19"/>
  <c r="G94" i="19"/>
  <c r="J442" i="19"/>
  <c r="H442" i="19"/>
  <c r="H326" i="19"/>
  <c r="AA238" i="19"/>
  <c r="L238" i="19"/>
  <c r="X326" i="19"/>
  <c r="N238" i="19"/>
  <c r="G181" i="19"/>
  <c r="S238" i="19"/>
  <c r="T238" i="19"/>
  <c r="AC209" i="19"/>
  <c r="T442" i="19"/>
  <c r="P209" i="19"/>
  <c r="I442" i="19"/>
  <c r="G238" i="19"/>
  <c r="Y238" i="19"/>
  <c r="G326" i="19"/>
  <c r="K94" i="19"/>
  <c r="AB238" i="19"/>
  <c r="E442" i="19"/>
  <c r="AB209" i="19"/>
  <c r="H209" i="19"/>
  <c r="AE238" i="19"/>
  <c r="O209" i="19"/>
  <c r="S209" i="19"/>
  <c r="T209" i="19"/>
  <c r="X94" i="19"/>
  <c r="F238" i="19"/>
  <c r="J94" i="19"/>
  <c r="W238" i="19"/>
  <c r="AD209" i="19"/>
  <c r="L209" i="19"/>
  <c r="N209" i="19"/>
  <c r="AD238" i="19"/>
  <c r="K238" i="19"/>
  <c r="X209" i="19"/>
  <c r="AE209" i="19"/>
  <c r="D122" i="19"/>
  <c r="D354" i="19"/>
  <c r="D470" i="19"/>
  <c r="D413" i="19"/>
  <c r="D65" i="19"/>
  <c r="L65" i="19"/>
  <c r="L122" i="19"/>
  <c r="R152" i="19"/>
  <c r="I470" i="19"/>
  <c r="W354" i="19"/>
  <c r="E152" i="19"/>
  <c r="M470" i="19"/>
  <c r="H384" i="19"/>
  <c r="J268" i="19"/>
  <c r="AD354" i="19"/>
  <c r="O297" i="19"/>
  <c r="N311" i="19"/>
  <c r="L500" i="19"/>
  <c r="G354" i="19"/>
  <c r="R354" i="19"/>
  <c r="E268" i="19"/>
  <c r="Y470" i="19"/>
  <c r="F354" i="19"/>
  <c r="N122" i="19"/>
  <c r="N413" i="19"/>
  <c r="K65" i="19"/>
  <c r="I152" i="19"/>
  <c r="AC413" i="19"/>
  <c r="I413" i="19"/>
  <c r="M122" i="19"/>
  <c r="P384" i="19"/>
  <c r="Q122" i="19"/>
  <c r="E470" i="19"/>
  <c r="R238" i="19"/>
  <c r="F152" i="19"/>
  <c r="Q354" i="19"/>
  <c r="K122" i="19"/>
  <c r="I500" i="19"/>
  <c r="AB354" i="19"/>
  <c r="I65" i="19"/>
  <c r="E384" i="19"/>
  <c r="F384" i="19"/>
  <c r="AC152" i="19"/>
  <c r="J354" i="19"/>
  <c r="I354" i="19"/>
  <c r="Y268" i="19"/>
  <c r="N470" i="19"/>
  <c r="X122" i="19"/>
  <c r="V413" i="19"/>
  <c r="AC470" i="19"/>
  <c r="H470" i="19"/>
  <c r="J152" i="19"/>
  <c r="T354" i="19"/>
  <c r="O122" i="19"/>
  <c r="W65" i="19"/>
  <c r="J384" i="19"/>
  <c r="S65" i="19"/>
  <c r="AE122" i="19"/>
  <c r="Q413" i="19"/>
  <c r="L94" i="19"/>
  <c r="J209" i="19"/>
  <c r="L354" i="19"/>
  <c r="AA470" i="19"/>
  <c r="L181" i="19"/>
  <c r="Z413" i="19"/>
  <c r="Z238" i="19"/>
  <c r="O238" i="19"/>
  <c r="E500" i="19"/>
  <c r="F122" i="19"/>
  <c r="X268" i="19"/>
  <c r="AE354" i="19"/>
  <c r="AE268" i="19"/>
  <c r="N268" i="19"/>
  <c r="V354" i="19"/>
  <c r="U238" i="19"/>
  <c r="W209" i="19"/>
  <c r="F442" i="19"/>
  <c r="O470" i="19"/>
  <c r="G413" i="19"/>
  <c r="H238" i="19"/>
  <c r="I209" i="19"/>
  <c r="E94" i="19"/>
  <c r="E413" i="19"/>
  <c r="Z354" i="19"/>
  <c r="R122" i="19"/>
  <c r="V238" i="19"/>
  <c r="N354" i="19"/>
  <c r="L442" i="19"/>
  <c r="I94" i="19"/>
  <c r="K152" i="19"/>
  <c r="G65" i="19"/>
  <c r="U122" i="19"/>
  <c r="G209" i="19"/>
  <c r="T122" i="19"/>
  <c r="S470" i="19"/>
  <c r="H500" i="19"/>
  <c r="E181" i="19"/>
  <c r="AB470" i="19"/>
  <c r="K268" i="19"/>
  <c r="Q209" i="19"/>
  <c r="K500" i="19"/>
  <c r="M65" i="19"/>
  <c r="K470" i="19"/>
  <c r="G268" i="19"/>
  <c r="O442" i="19"/>
  <c r="E238" i="19"/>
  <c r="H354" i="19"/>
  <c r="AA354" i="19"/>
  <c r="Z122" i="19"/>
  <c r="AD470" i="19"/>
  <c r="L152" i="19"/>
  <c r="G152" i="19"/>
  <c r="F65" i="19"/>
  <c r="AB122" i="19"/>
  <c r="X238" i="19"/>
  <c r="R470" i="19"/>
  <c r="V209" i="19"/>
  <c r="Q470" i="19"/>
  <c r="J470" i="19"/>
  <c r="P354" i="19"/>
  <c r="K181" i="19"/>
  <c r="E209" i="19"/>
  <c r="F268" i="19"/>
  <c r="G122" i="19"/>
  <c r="P470" i="19"/>
  <c r="AC354" i="19"/>
  <c r="I181" i="19"/>
  <c r="U268" i="19"/>
  <c r="K354" i="19"/>
  <c r="Y354" i="19"/>
  <c r="E122" i="19"/>
  <c r="D500" i="19"/>
  <c r="D384" i="19"/>
  <c r="D152" i="19"/>
  <c r="S122" i="19"/>
  <c r="X354" i="19"/>
  <c r="L384" i="19"/>
  <c r="M268" i="19"/>
  <c r="S413" i="19"/>
  <c r="V122" i="19"/>
  <c r="H152" i="19"/>
  <c r="AA122" i="19"/>
  <c r="AD122" i="19"/>
  <c r="H65" i="19"/>
  <c r="I268" i="19"/>
  <c r="M413" i="19"/>
  <c r="Z470" i="19"/>
  <c r="J122" i="19"/>
  <c r="J65" i="19"/>
  <c r="AA152" i="19"/>
  <c r="M354" i="19"/>
  <c r="AD413" i="19"/>
  <c r="T470" i="19"/>
  <c r="I384" i="19"/>
  <c r="K384" i="19"/>
  <c r="W122" i="19"/>
  <c r="H413" i="19"/>
  <c r="D94" i="19"/>
  <c r="D442" i="19"/>
  <c r="D326" i="19"/>
  <c r="AA209" i="19"/>
  <c r="J413" i="19"/>
  <c r="AC238" i="19"/>
  <c r="AA442" i="19"/>
  <c r="I238" i="19"/>
  <c r="E65" i="19"/>
  <c r="J238" i="19"/>
  <c r="Q238" i="19"/>
  <c r="F470" i="19"/>
  <c r="S354" i="19"/>
  <c r="H122" i="19"/>
  <c r="Y65" i="19"/>
  <c r="M209" i="19"/>
  <c r="L413" i="19"/>
  <c r="J326" i="19"/>
  <c r="H268" i="19"/>
  <c r="W152" i="19"/>
  <c r="I326" i="19"/>
  <c r="AE470" i="19"/>
  <c r="F181" i="19"/>
  <c r="F500" i="19"/>
  <c r="K209" i="19"/>
  <c r="F94" i="19"/>
  <c r="J500" i="19"/>
  <c r="X470" i="19"/>
  <c r="K413" i="19"/>
  <c r="G384" i="19"/>
  <c r="U470" i="19"/>
  <c r="P238" i="19"/>
  <c r="J181" i="19"/>
  <c r="AC122" i="19"/>
  <c r="V268" i="19"/>
  <c r="M181" i="19"/>
  <c r="AC65" i="19"/>
  <c r="G470" i="19"/>
  <c r="L268" i="19"/>
  <c r="F326" i="19"/>
  <c r="W470" i="19"/>
  <c r="L470" i="19"/>
  <c r="U354" i="19"/>
  <c r="V470" i="19"/>
  <c r="Y122" i="19"/>
  <c r="U209" i="19"/>
  <c r="I122" i="19"/>
  <c r="F209" i="19"/>
  <c r="O354" i="19"/>
  <c r="F413" i="19"/>
  <c r="L326" i="19"/>
  <c r="H94" i="19"/>
  <c r="P122" i="19"/>
  <c r="E354" i="19"/>
  <c r="K442" i="19"/>
  <c r="CQ73" i="6"/>
  <c r="K40" i="1" s="1"/>
  <c r="K37" i="19"/>
  <c r="I38" i="19"/>
  <c r="AE74" i="6"/>
  <c r="I41" i="1" s="1"/>
  <c r="BK36" i="6"/>
  <c r="D41" i="1" s="1"/>
  <c r="D38" i="19"/>
  <c r="J37" i="19"/>
  <c r="BK73" i="6"/>
  <c r="J40" i="1" s="1"/>
  <c r="CQ35" i="6"/>
  <c r="E40" i="1" s="1"/>
  <c r="E37" i="19"/>
  <c r="DW74" i="6"/>
  <c r="L41" i="1" s="1"/>
  <c r="L38" i="19"/>
  <c r="D269" i="19" s="1"/>
  <c r="DW36" i="6"/>
  <c r="F41" i="1" s="1"/>
  <c r="F38" i="19"/>
  <c r="C38" i="19"/>
  <c r="AE36" i="6"/>
  <c r="C41" i="1" s="1"/>
  <c r="M3" i="49" l="1"/>
  <c r="M7" i="49" s="1"/>
  <c r="M11" i="49" s="1"/>
  <c r="M19" i="49" s="1"/>
  <c r="P79" i="5"/>
  <c r="P68" i="49"/>
  <c r="O81" i="49"/>
  <c r="L2" i="49"/>
  <c r="L6" i="49" s="1"/>
  <c r="L10" i="49" s="1"/>
  <c r="L18" i="49" s="1"/>
  <c r="O80" i="5"/>
  <c r="O38" i="49"/>
  <c r="N52" i="49"/>
  <c r="M261" i="21"/>
  <c r="O187" i="1"/>
  <c r="N282" i="20"/>
  <c r="AS74" i="23" s="1"/>
  <c r="AS92" i="23" s="1"/>
  <c r="AS110" i="23" s="1"/>
  <c r="P109" i="1"/>
  <c r="AR74" i="23"/>
  <c r="AR92" i="23" s="1"/>
  <c r="AR110" i="23" s="1"/>
  <c r="F381" i="20"/>
  <c r="E360" i="21"/>
  <c r="AK360" i="21" s="1"/>
  <c r="D181" i="20"/>
  <c r="C160" i="21"/>
  <c r="AI160" i="21" s="1"/>
  <c r="L57" i="20"/>
  <c r="K36" i="21"/>
  <c r="AQ36" i="21" s="1"/>
  <c r="N315" i="20"/>
  <c r="M294" i="21"/>
  <c r="AS294" i="21" s="1"/>
  <c r="J290" i="20"/>
  <c r="I269" i="21"/>
  <c r="AO269" i="21" s="1"/>
  <c r="F92" i="20"/>
  <c r="E71" i="21"/>
  <c r="AK71" i="21" s="1"/>
  <c r="J377" i="20"/>
  <c r="I356" i="21"/>
  <c r="AO356" i="21" s="1"/>
  <c r="H348" i="20"/>
  <c r="G327" i="21"/>
  <c r="AM327" i="21" s="1"/>
  <c r="N373" i="20"/>
  <c r="M352" i="21"/>
  <c r="AS352" i="21" s="1"/>
  <c r="D239" i="20"/>
  <c r="C218" i="21"/>
  <c r="AI218" i="21" s="1"/>
  <c r="F409" i="20"/>
  <c r="E388" i="21"/>
  <c r="AK388" i="21" s="1"/>
  <c r="L231" i="20"/>
  <c r="K210" i="21"/>
  <c r="AQ210" i="21" s="1"/>
  <c r="H61" i="20"/>
  <c r="G40" i="21"/>
  <c r="AM40" i="21" s="1"/>
  <c r="K318" i="20"/>
  <c r="J297" i="21"/>
  <c r="AP297" i="21" s="1"/>
  <c r="G207" i="20"/>
  <c r="F186" i="21"/>
  <c r="AL186" i="21" s="1"/>
  <c r="I116" i="20"/>
  <c r="H95" i="21"/>
  <c r="AN95" i="21" s="1"/>
  <c r="C182" i="20"/>
  <c r="D352" i="20"/>
  <c r="C468" i="20"/>
  <c r="C331" i="21"/>
  <c r="AI331" i="21" s="1"/>
  <c r="I406" i="20"/>
  <c r="H385" i="21"/>
  <c r="AN385" i="21" s="1"/>
  <c r="M201" i="20"/>
  <c r="L180" i="21"/>
  <c r="AR180" i="21" s="1"/>
  <c r="I263" i="20"/>
  <c r="H242" i="21"/>
  <c r="AN242" i="21" s="1"/>
  <c r="L29" i="20"/>
  <c r="K8" i="21"/>
  <c r="AQ8" i="21" s="1"/>
  <c r="D152" i="20"/>
  <c r="C131" i="21"/>
  <c r="AI131" i="21" s="1"/>
  <c r="E93" i="20"/>
  <c r="D72" i="21"/>
  <c r="AJ72" i="21" s="1"/>
  <c r="H292" i="20"/>
  <c r="G271" i="21"/>
  <c r="AM271" i="21" s="1"/>
  <c r="N286" i="20"/>
  <c r="M265" i="21"/>
  <c r="AS265" i="21" s="1"/>
  <c r="G349" i="20"/>
  <c r="F328" i="21"/>
  <c r="AL328" i="21" s="1"/>
  <c r="H177" i="20"/>
  <c r="G156" i="21"/>
  <c r="AM156" i="21" s="1"/>
  <c r="I147" i="20"/>
  <c r="H126" i="21"/>
  <c r="AN126" i="21" s="1"/>
  <c r="G293" i="20"/>
  <c r="F272" i="21"/>
  <c r="AL272" i="21" s="1"/>
  <c r="F438" i="20"/>
  <c r="E417" i="21"/>
  <c r="AK417" i="21" s="1"/>
  <c r="M431" i="20"/>
  <c r="L410" i="21"/>
  <c r="AR410" i="21" s="1"/>
  <c r="K289" i="20"/>
  <c r="J268" i="21"/>
  <c r="AP268" i="21" s="1"/>
  <c r="N401" i="20"/>
  <c r="M380" i="21"/>
  <c r="AS380" i="21" s="1"/>
  <c r="L144" i="20"/>
  <c r="K123" i="21"/>
  <c r="AQ123" i="21" s="1"/>
  <c r="N430" i="20"/>
  <c r="M409" i="21"/>
  <c r="AS409" i="21" s="1"/>
  <c r="I205" i="20"/>
  <c r="H184" i="21"/>
  <c r="AN184" i="21" s="1"/>
  <c r="L260" i="20"/>
  <c r="K239" i="21"/>
  <c r="AQ239" i="21" s="1"/>
  <c r="M402" i="20"/>
  <c r="L381" i="21"/>
  <c r="AR381" i="21" s="1"/>
  <c r="J59" i="20"/>
  <c r="I38" i="21"/>
  <c r="AO38" i="21" s="1"/>
  <c r="L375" i="20"/>
  <c r="K354" i="21"/>
  <c r="AQ354" i="21" s="1"/>
  <c r="E410" i="20"/>
  <c r="D389" i="21"/>
  <c r="AJ389" i="21" s="1"/>
  <c r="H436" i="20"/>
  <c r="G415" i="21"/>
  <c r="AM415" i="21" s="1"/>
  <c r="J434" i="20"/>
  <c r="I413" i="21"/>
  <c r="AO413" i="21" s="1"/>
  <c r="M112" i="20"/>
  <c r="L91" i="21"/>
  <c r="AR91" i="21" s="1"/>
  <c r="L403" i="20"/>
  <c r="K382" i="21"/>
  <c r="AQ382" i="21" s="1"/>
  <c r="C326" i="20"/>
  <c r="D94" i="20"/>
  <c r="C73" i="21"/>
  <c r="AI73" i="21" s="1"/>
  <c r="J115" i="20"/>
  <c r="I94" i="21"/>
  <c r="AO94" i="21" s="1"/>
  <c r="I60" i="20"/>
  <c r="H39" i="21"/>
  <c r="AN39" i="21" s="1"/>
  <c r="G178" i="20"/>
  <c r="F157" i="21"/>
  <c r="AL157" i="21" s="1"/>
  <c r="K87" i="20"/>
  <c r="J66" i="21"/>
  <c r="AP66" i="21" s="1"/>
  <c r="J233" i="20"/>
  <c r="I212" i="21"/>
  <c r="AO212" i="21" s="1"/>
  <c r="M56" i="20"/>
  <c r="L35" i="21"/>
  <c r="AR35" i="21" s="1"/>
  <c r="E351" i="20"/>
  <c r="D330" i="21"/>
  <c r="AJ330" i="21" s="1"/>
  <c r="F350" i="20"/>
  <c r="E329" i="21"/>
  <c r="AK329" i="21" s="1"/>
  <c r="G62" i="20"/>
  <c r="F41" i="21"/>
  <c r="AL41" i="21" s="1"/>
  <c r="P53" i="20"/>
  <c r="O32" i="21"/>
  <c r="AU32" i="21" s="1"/>
  <c r="J461" i="20"/>
  <c r="I440" i="21"/>
  <c r="AO440" i="21" s="1"/>
  <c r="L317" i="20"/>
  <c r="K296" i="21"/>
  <c r="AQ296" i="21" s="1"/>
  <c r="E36" i="20"/>
  <c r="D15" i="21"/>
  <c r="AJ15" i="21" s="1"/>
  <c r="E324" i="20"/>
  <c r="D303" i="21"/>
  <c r="AJ303" i="21" s="1"/>
  <c r="N55" i="20"/>
  <c r="M34" i="21"/>
  <c r="AS34" i="21" s="1"/>
  <c r="O228" i="20"/>
  <c r="N207" i="21"/>
  <c r="AT207" i="21" s="1"/>
  <c r="N171" i="20"/>
  <c r="M150" i="21"/>
  <c r="AS150" i="21" s="1"/>
  <c r="G149" i="20"/>
  <c r="F128" i="21"/>
  <c r="AL128" i="21" s="1"/>
  <c r="O141" i="20"/>
  <c r="N120" i="21"/>
  <c r="AT120" i="21" s="1"/>
  <c r="H90" i="20"/>
  <c r="G69" i="21"/>
  <c r="AM69" i="21" s="1"/>
  <c r="G118" i="20"/>
  <c r="F97" i="21"/>
  <c r="AL97" i="21" s="1"/>
  <c r="C211" i="20"/>
  <c r="D296" i="20"/>
  <c r="C412" i="20"/>
  <c r="C275" i="21"/>
  <c r="AI275" i="21" s="1"/>
  <c r="D325" i="20"/>
  <c r="C441" i="20"/>
  <c r="C304" i="21"/>
  <c r="AI304" i="21" s="1"/>
  <c r="F323" i="20"/>
  <c r="E302" i="21"/>
  <c r="AK302" i="21" s="1"/>
  <c r="E238" i="20"/>
  <c r="D217" i="21"/>
  <c r="AJ217" i="21" s="1"/>
  <c r="L288" i="20"/>
  <c r="K267" i="21"/>
  <c r="AQ267" i="21" s="1"/>
  <c r="N27" i="20"/>
  <c r="M6" i="21"/>
  <c r="AS6" i="21" s="1"/>
  <c r="I378" i="20"/>
  <c r="H357" i="21"/>
  <c r="AN357" i="21" s="1"/>
  <c r="J346" i="20"/>
  <c r="I325" i="21"/>
  <c r="AO325" i="21" s="1"/>
  <c r="I234" i="20"/>
  <c r="H213" i="21"/>
  <c r="AN213" i="21" s="1"/>
  <c r="C122" i="20"/>
  <c r="O199" i="20"/>
  <c r="N178" i="21"/>
  <c r="AT178" i="21" s="1"/>
  <c r="M230" i="20"/>
  <c r="L209" i="21"/>
  <c r="AR209" i="21" s="1"/>
  <c r="H117" i="20"/>
  <c r="G96" i="21"/>
  <c r="AM96" i="21" s="1"/>
  <c r="N111" i="20"/>
  <c r="M90" i="21"/>
  <c r="AS90" i="21" s="1"/>
  <c r="I320" i="20"/>
  <c r="H299" i="21"/>
  <c r="AN299" i="21" s="1"/>
  <c r="D440" i="20"/>
  <c r="C419" i="21"/>
  <c r="AI419" i="21" s="1"/>
  <c r="L202" i="20"/>
  <c r="K181" i="21"/>
  <c r="AQ181" i="21" s="1"/>
  <c r="F208" i="20"/>
  <c r="E187" i="21"/>
  <c r="AK187" i="21" s="1"/>
  <c r="C240" i="20"/>
  <c r="K345" i="20"/>
  <c r="J324" i="21"/>
  <c r="AP324" i="21" s="1"/>
  <c r="F294" i="20"/>
  <c r="E273" i="21"/>
  <c r="AK273" i="21" s="1"/>
  <c r="K433" i="20"/>
  <c r="J412" i="21"/>
  <c r="AP412" i="21" s="1"/>
  <c r="E295" i="20"/>
  <c r="D274" i="21"/>
  <c r="AJ274" i="21" s="1"/>
  <c r="N200" i="20"/>
  <c r="M179" i="21"/>
  <c r="AS179" i="21" s="1"/>
  <c r="C153" i="20"/>
  <c r="D65" i="20"/>
  <c r="C297" i="20"/>
  <c r="C44" i="21"/>
  <c r="AI44" i="21" s="1"/>
  <c r="N142" i="20"/>
  <c r="M121" i="21"/>
  <c r="AS121" i="21" s="1"/>
  <c r="H463" i="20"/>
  <c r="G442" i="21"/>
  <c r="AM442" i="21" s="1"/>
  <c r="I435" i="20"/>
  <c r="H414" i="21"/>
  <c r="AN414" i="21" s="1"/>
  <c r="N258" i="20"/>
  <c r="M237" i="21"/>
  <c r="AS237" i="21" s="1"/>
  <c r="E209" i="20"/>
  <c r="D188" i="21"/>
  <c r="AJ188" i="21" s="1"/>
  <c r="G380" i="20"/>
  <c r="F359" i="21"/>
  <c r="AL359" i="21" s="1"/>
  <c r="P198" i="20"/>
  <c r="O177" i="21"/>
  <c r="AU177" i="21" s="1"/>
  <c r="J319" i="20"/>
  <c r="I298" i="21"/>
  <c r="AO298" i="21" s="1"/>
  <c r="F35" i="20"/>
  <c r="E14" i="21"/>
  <c r="AK14" i="21" s="1"/>
  <c r="E382" i="20"/>
  <c r="D361" i="21"/>
  <c r="AJ361" i="21" s="1"/>
  <c r="J204" i="20"/>
  <c r="I183" i="21"/>
  <c r="AO183" i="21" s="1"/>
  <c r="E180" i="20"/>
  <c r="D159" i="21"/>
  <c r="AJ159" i="21" s="1"/>
  <c r="J262" i="20"/>
  <c r="I241" i="21"/>
  <c r="AO241" i="21" s="1"/>
  <c r="F150" i="20"/>
  <c r="E129" i="21"/>
  <c r="AK129" i="21" s="1"/>
  <c r="G464" i="20"/>
  <c r="F443" i="21"/>
  <c r="AL443" i="21" s="1"/>
  <c r="D37" i="20"/>
  <c r="C269" i="20"/>
  <c r="C16" i="21"/>
  <c r="AI16" i="21" s="1"/>
  <c r="O26" i="20"/>
  <c r="N5" i="21"/>
  <c r="AT5" i="21" s="1"/>
  <c r="L113" i="20"/>
  <c r="K92" i="21"/>
  <c r="AQ92" i="21" s="1"/>
  <c r="P25" i="20"/>
  <c r="O4" i="21"/>
  <c r="AU4" i="21" s="1"/>
  <c r="C95" i="20"/>
  <c r="J405" i="20"/>
  <c r="I384" i="21"/>
  <c r="AO384" i="21" s="1"/>
  <c r="K145" i="20"/>
  <c r="J124" i="21"/>
  <c r="AP124" i="21" s="1"/>
  <c r="O83" i="20"/>
  <c r="N62" i="21"/>
  <c r="AT62" i="21" s="1"/>
  <c r="D268" i="20"/>
  <c r="C384" i="20"/>
  <c r="C247" i="21"/>
  <c r="AI247" i="21" s="1"/>
  <c r="P140" i="20"/>
  <c r="O119" i="21"/>
  <c r="AU119" i="21" s="1"/>
  <c r="H321" i="20"/>
  <c r="G300" i="21"/>
  <c r="AM300" i="21" s="1"/>
  <c r="O314" i="20"/>
  <c r="N293" i="21"/>
  <c r="AT293" i="21" s="1"/>
  <c r="K30" i="20"/>
  <c r="J9" i="21"/>
  <c r="AP9" i="21" s="1"/>
  <c r="O170" i="20"/>
  <c r="N149" i="21"/>
  <c r="AT149" i="21" s="1"/>
  <c r="O285" i="20"/>
  <c r="N264" i="21"/>
  <c r="AT264" i="21" s="1"/>
  <c r="E466" i="20"/>
  <c r="D445" i="21"/>
  <c r="AJ445" i="21" s="1"/>
  <c r="K404" i="20"/>
  <c r="J383" i="21"/>
  <c r="AP383" i="21" s="1"/>
  <c r="I176" i="20"/>
  <c r="H155" i="21"/>
  <c r="AN155" i="21" s="1"/>
  <c r="P82" i="20"/>
  <c r="O61" i="21"/>
  <c r="AU61" i="21" s="1"/>
  <c r="G236" i="20"/>
  <c r="F215" i="21"/>
  <c r="AL215" i="21" s="1"/>
  <c r="E120" i="20"/>
  <c r="D99" i="21"/>
  <c r="AJ99" i="21" s="1"/>
  <c r="G91" i="20"/>
  <c r="F70" i="21"/>
  <c r="AL70" i="21" s="1"/>
  <c r="F63" i="20"/>
  <c r="E42" i="21"/>
  <c r="AK42" i="21" s="1"/>
  <c r="I347" i="20"/>
  <c r="H326" i="21"/>
  <c r="AN326" i="21" s="1"/>
  <c r="K376" i="20"/>
  <c r="J355" i="21"/>
  <c r="AP355" i="21" s="1"/>
  <c r="M259" i="20"/>
  <c r="L238" i="21"/>
  <c r="AR238" i="21" s="1"/>
  <c r="M343" i="20"/>
  <c r="L322" i="21"/>
  <c r="AR322" i="21" s="1"/>
  <c r="M316" i="20"/>
  <c r="L295" i="21"/>
  <c r="AR295" i="21" s="1"/>
  <c r="G322" i="20"/>
  <c r="F301" i="21"/>
  <c r="AL301" i="21" s="1"/>
  <c r="D383" i="20"/>
  <c r="C362" i="21"/>
  <c r="AI362" i="21" s="1"/>
  <c r="D467" i="20"/>
  <c r="C446" i="21"/>
  <c r="AI446" i="21" s="1"/>
  <c r="I291" i="20"/>
  <c r="H270" i="21"/>
  <c r="AN270" i="21" s="1"/>
  <c r="G265" i="20"/>
  <c r="F244" i="21"/>
  <c r="AL244" i="21" s="1"/>
  <c r="AD384" i="19"/>
  <c r="D210" i="20"/>
  <c r="C189" i="21"/>
  <c r="AI189" i="21" s="1"/>
  <c r="D411" i="20"/>
  <c r="C390" i="21"/>
  <c r="AI390" i="21" s="1"/>
  <c r="P227" i="20"/>
  <c r="O206" i="21"/>
  <c r="AU206" i="21" s="1"/>
  <c r="F465" i="20"/>
  <c r="E444" i="21"/>
  <c r="AK444" i="21" s="1"/>
  <c r="K232" i="20"/>
  <c r="J211" i="21"/>
  <c r="AP211" i="21" s="1"/>
  <c r="O54" i="20"/>
  <c r="N33" i="21"/>
  <c r="AT33" i="21" s="1"/>
  <c r="K58" i="20"/>
  <c r="J37" i="21"/>
  <c r="AP37" i="21" s="1"/>
  <c r="J88" i="20"/>
  <c r="I67" i="21"/>
  <c r="AO67" i="21" s="1"/>
  <c r="E64" i="20"/>
  <c r="D43" i="21"/>
  <c r="AJ43" i="21" s="1"/>
  <c r="M287" i="20"/>
  <c r="L266" i="21"/>
  <c r="AR266" i="21" s="1"/>
  <c r="G408" i="20"/>
  <c r="F387" i="21"/>
  <c r="AL387" i="21" s="1"/>
  <c r="M374" i="20"/>
  <c r="L353" i="21"/>
  <c r="AR353" i="21" s="1"/>
  <c r="E439" i="20"/>
  <c r="D418" i="21"/>
  <c r="AJ418" i="21" s="1"/>
  <c r="M143" i="20"/>
  <c r="L122" i="21"/>
  <c r="AR122" i="21" s="1"/>
  <c r="F119" i="20"/>
  <c r="E98" i="21"/>
  <c r="AK98" i="21" s="1"/>
  <c r="C66" i="20"/>
  <c r="C38" i="20"/>
  <c r="L86" i="20"/>
  <c r="K65" i="21"/>
  <c r="AQ65" i="21" s="1"/>
  <c r="L173" i="20"/>
  <c r="K152" i="21"/>
  <c r="AQ152" i="21" s="1"/>
  <c r="I89" i="20"/>
  <c r="H68" i="21"/>
  <c r="AN68" i="21" s="1"/>
  <c r="H206" i="20"/>
  <c r="G185" i="21"/>
  <c r="AM185" i="21" s="1"/>
  <c r="E151" i="20"/>
  <c r="D130" i="21"/>
  <c r="AJ130" i="21" s="1"/>
  <c r="L459" i="20"/>
  <c r="K438" i="21"/>
  <c r="AQ438" i="21" s="1"/>
  <c r="I462" i="20"/>
  <c r="H441" i="21"/>
  <c r="AN441" i="21" s="1"/>
  <c r="K174" i="20"/>
  <c r="J153" i="21"/>
  <c r="AP153" i="21" s="1"/>
  <c r="K203" i="20"/>
  <c r="J182" i="21"/>
  <c r="AP182" i="21" s="1"/>
  <c r="J31" i="20"/>
  <c r="I10" i="21"/>
  <c r="AO10" i="21" s="1"/>
  <c r="N229" i="20"/>
  <c r="M208" i="21"/>
  <c r="AS208" i="21" s="1"/>
  <c r="K460" i="20"/>
  <c r="J439" i="21"/>
  <c r="AP439" i="21" s="1"/>
  <c r="F179" i="20"/>
  <c r="E158" i="21"/>
  <c r="AK158" i="21" s="1"/>
  <c r="O257" i="20"/>
  <c r="N236" i="21"/>
  <c r="AT236" i="21" s="1"/>
  <c r="J175" i="20"/>
  <c r="I154" i="21"/>
  <c r="AO154" i="21" s="1"/>
  <c r="K261" i="20"/>
  <c r="J240" i="21"/>
  <c r="AP240" i="21" s="1"/>
  <c r="N84" i="20"/>
  <c r="M63" i="21"/>
  <c r="AS63" i="21" s="1"/>
  <c r="K114" i="20"/>
  <c r="J93" i="21"/>
  <c r="AP93" i="21" s="1"/>
  <c r="M28" i="20"/>
  <c r="L7" i="21"/>
  <c r="AR7" i="21" s="1"/>
  <c r="D121" i="20"/>
  <c r="C353" i="20"/>
  <c r="C100" i="21"/>
  <c r="AI100" i="21" s="1"/>
  <c r="I32" i="20"/>
  <c r="H11" i="21"/>
  <c r="AN11" i="21" s="1"/>
  <c r="H379" i="20"/>
  <c r="G358" i="21"/>
  <c r="AM358" i="21" s="1"/>
  <c r="H407" i="20"/>
  <c r="G386" i="21"/>
  <c r="AM386" i="21" s="1"/>
  <c r="G34" i="20"/>
  <c r="F13" i="21"/>
  <c r="AL13" i="21" s="1"/>
  <c r="L432" i="20"/>
  <c r="K411" i="21"/>
  <c r="AQ411" i="21" s="1"/>
  <c r="J146" i="20"/>
  <c r="I125" i="21"/>
  <c r="AO125" i="21" s="1"/>
  <c r="E267" i="20"/>
  <c r="D246" i="21"/>
  <c r="AJ246" i="21" s="1"/>
  <c r="F266" i="20"/>
  <c r="E245" i="21"/>
  <c r="AK245" i="21" s="1"/>
  <c r="M85" i="20"/>
  <c r="L64" i="21"/>
  <c r="AR64" i="21" s="1"/>
  <c r="H33" i="20"/>
  <c r="G12" i="21"/>
  <c r="AM12" i="21" s="1"/>
  <c r="L344" i="20"/>
  <c r="K323" i="21"/>
  <c r="AQ323" i="21" s="1"/>
  <c r="H264" i="20"/>
  <c r="G243" i="21"/>
  <c r="AM243" i="21" s="1"/>
  <c r="H235" i="20"/>
  <c r="G214" i="21"/>
  <c r="AM214" i="21" s="1"/>
  <c r="M172" i="20"/>
  <c r="L151" i="21"/>
  <c r="AR151" i="21" s="1"/>
  <c r="G437" i="20"/>
  <c r="F416" i="21"/>
  <c r="AL416" i="21" s="1"/>
  <c r="H148" i="20"/>
  <c r="G127" i="21"/>
  <c r="AM127" i="21" s="1"/>
  <c r="P169" i="20"/>
  <c r="O148" i="21"/>
  <c r="AU148" i="21" s="1"/>
  <c r="F237" i="20"/>
  <c r="E216" i="21"/>
  <c r="AK216" i="21" s="1"/>
  <c r="W413" i="19"/>
  <c r="X414" i="19" s="1"/>
  <c r="Q326" i="19"/>
  <c r="R327" i="19" s="1"/>
  <c r="U326" i="19"/>
  <c r="O413" i="19"/>
  <c r="O268" i="19"/>
  <c r="N384" i="19"/>
  <c r="R442" i="19"/>
  <c r="W384" i="19"/>
  <c r="Y384" i="19"/>
  <c r="Z326" i="19"/>
  <c r="AA65" i="19"/>
  <c r="Q65" i="19"/>
  <c r="P152" i="19"/>
  <c r="R94" i="19"/>
  <c r="X413" i="19"/>
  <c r="S268" i="19"/>
  <c r="Z384" i="19"/>
  <c r="AC500" i="19"/>
  <c r="AD152" i="19"/>
  <c r="V384" i="19"/>
  <c r="AA326" i="19"/>
  <c r="Z268" i="19"/>
  <c r="AC268" i="19"/>
  <c r="R384" i="19"/>
  <c r="U413" i="19"/>
  <c r="O500" i="19"/>
  <c r="R413" i="19"/>
  <c r="O326" i="19"/>
  <c r="AB413" i="19"/>
  <c r="Q268" i="19"/>
  <c r="S500" i="19"/>
  <c r="X181" i="19"/>
  <c r="Z152" i="19"/>
  <c r="R326" i="19"/>
  <c r="W500" i="19"/>
  <c r="AE152" i="19"/>
  <c r="V94" i="19"/>
  <c r="N65" i="19"/>
  <c r="Q384" i="19"/>
  <c r="N326" i="19"/>
  <c r="X152" i="19"/>
  <c r="AA181" i="19"/>
  <c r="Y500" i="19"/>
  <c r="AC94" i="19"/>
  <c r="P413" i="19"/>
  <c r="AC384" i="19"/>
  <c r="R181" i="19"/>
  <c r="AD65" i="19"/>
  <c r="Z500" i="19"/>
  <c r="V181" i="19"/>
  <c r="AB65" i="19"/>
  <c r="N442" i="19"/>
  <c r="Z65" i="19"/>
  <c r="Y94" i="19"/>
  <c r="AC181" i="19"/>
  <c r="Y181" i="19"/>
  <c r="AA94" i="19"/>
  <c r="T413" i="19"/>
  <c r="Q94" i="19"/>
  <c r="AB268" i="19"/>
  <c r="P94" i="19"/>
  <c r="AA413" i="19"/>
  <c r="AD268" i="19"/>
  <c r="AE413" i="19"/>
  <c r="AB442" i="19"/>
  <c r="O65" i="19"/>
  <c r="AD94" i="19"/>
  <c r="P500" i="19"/>
  <c r="Y442" i="19"/>
  <c r="Y152" i="19"/>
  <c r="AE181" i="19"/>
  <c r="T181" i="19"/>
  <c r="P442" i="19"/>
  <c r="X442" i="19"/>
  <c r="M326" i="19"/>
  <c r="S181" i="19"/>
  <c r="T268" i="19"/>
  <c r="T500" i="19"/>
  <c r="Q500" i="19"/>
  <c r="N500" i="19"/>
  <c r="AD500" i="19"/>
  <c r="W442" i="19"/>
  <c r="AA268" i="19"/>
  <c r="R65" i="19"/>
  <c r="V65" i="19"/>
  <c r="W181" i="19"/>
  <c r="W268" i="19"/>
  <c r="U181" i="19"/>
  <c r="O94" i="19"/>
  <c r="M500" i="19"/>
  <c r="U152" i="19"/>
  <c r="S326" i="19"/>
  <c r="P268" i="19"/>
  <c r="Y413" i="19"/>
  <c r="X384" i="19"/>
  <c r="O384" i="19"/>
  <c r="R268" i="19"/>
  <c r="Z181" i="19"/>
  <c r="U442" i="19"/>
  <c r="X65" i="19"/>
  <c r="S152" i="19"/>
  <c r="M442" i="19"/>
  <c r="AB384" i="19"/>
  <c r="AB326" i="19"/>
  <c r="Q181" i="19"/>
  <c r="P181" i="19"/>
  <c r="AE94" i="19"/>
  <c r="T384" i="19"/>
  <c r="AD181" i="19"/>
  <c r="P326" i="19"/>
  <c r="V500" i="19"/>
  <c r="Y326" i="19"/>
  <c r="T94" i="19"/>
  <c r="N152" i="19"/>
  <c r="AE65" i="19"/>
  <c r="W326" i="19"/>
  <c r="P65" i="19"/>
  <c r="O152" i="19"/>
  <c r="U65" i="19"/>
  <c r="U384" i="19"/>
  <c r="N94" i="19"/>
  <c r="AB152" i="19"/>
  <c r="S94" i="19"/>
  <c r="Z94" i="19"/>
  <c r="AA500" i="19"/>
  <c r="M94" i="19"/>
  <c r="U94" i="19"/>
  <c r="V152" i="19"/>
  <c r="W94" i="19"/>
  <c r="U500" i="19"/>
  <c r="M384" i="19"/>
  <c r="AE500" i="19"/>
  <c r="S384" i="19"/>
  <c r="AB94" i="19"/>
  <c r="N181" i="19"/>
  <c r="T152" i="19"/>
  <c r="AA384" i="19"/>
  <c r="AE442" i="19"/>
  <c r="V326" i="19"/>
  <c r="AD326" i="19"/>
  <c r="X500" i="19"/>
  <c r="V442" i="19"/>
  <c r="O181" i="19"/>
  <c r="AC442" i="19"/>
  <c r="AE384" i="19"/>
  <c r="Q152" i="19"/>
  <c r="Z442" i="19"/>
  <c r="S442" i="19"/>
  <c r="T326" i="19"/>
  <c r="Q442" i="19"/>
  <c r="R500" i="19"/>
  <c r="C427" i="23"/>
  <c r="D428" i="23" s="1"/>
  <c r="E429" i="23" s="1"/>
  <c r="F430" i="23" s="1"/>
  <c r="G431" i="23" s="1"/>
  <c r="H432" i="23" s="1"/>
  <c r="M152" i="19"/>
  <c r="AB500" i="19"/>
  <c r="C486" i="23"/>
  <c r="D487" i="23" s="1"/>
  <c r="E488" i="23" s="1"/>
  <c r="F489" i="23" s="1"/>
  <c r="G490" i="23" s="1"/>
  <c r="C457" i="23"/>
  <c r="D458" i="23" s="1"/>
  <c r="E459" i="23" s="1"/>
  <c r="F460" i="23" s="1"/>
  <c r="G461" i="23" s="1"/>
  <c r="H501" i="19"/>
  <c r="Z210" i="19"/>
  <c r="F355" i="19"/>
  <c r="I95" i="19"/>
  <c r="J123" i="19"/>
  <c r="X471" i="19"/>
  <c r="Q239" i="19"/>
  <c r="V471" i="19"/>
  <c r="Y471" i="19"/>
  <c r="J269" i="19"/>
  <c r="W123" i="19"/>
  <c r="X239" i="19"/>
  <c r="T239" i="19"/>
  <c r="O239" i="19"/>
  <c r="N269" i="19"/>
  <c r="X153" i="19"/>
  <c r="T355" i="19"/>
  <c r="E443" i="19"/>
  <c r="D182" i="19"/>
  <c r="H182" i="19"/>
  <c r="AC182" i="19"/>
  <c r="I182" i="19"/>
  <c r="AE443" i="19"/>
  <c r="F327" i="19"/>
  <c r="H95" i="19"/>
  <c r="U443" i="19"/>
  <c r="K443" i="19"/>
  <c r="L95" i="19"/>
  <c r="I443" i="19"/>
  <c r="Y327" i="19"/>
  <c r="H327" i="19"/>
  <c r="J385" i="19"/>
  <c r="AE414" i="19"/>
  <c r="AB153" i="19"/>
  <c r="K123" i="19"/>
  <c r="F443" i="19"/>
  <c r="L239" i="19"/>
  <c r="I414" i="19"/>
  <c r="D239" i="19"/>
  <c r="AC239" i="19"/>
  <c r="G239" i="19"/>
  <c r="N239" i="19"/>
  <c r="D210" i="19"/>
  <c r="E210" i="19"/>
  <c r="AD210" i="19"/>
  <c r="Q210" i="19"/>
  <c r="Y210" i="19"/>
  <c r="I210" i="19"/>
  <c r="AE123" i="19"/>
  <c r="E501" i="19"/>
  <c r="L355" i="19"/>
  <c r="AD355" i="19"/>
  <c r="K471" i="19"/>
  <c r="Y239" i="19"/>
  <c r="M153" i="19"/>
  <c r="I355" i="19"/>
  <c r="P443" i="19"/>
  <c r="R414" i="19"/>
  <c r="W414" i="19"/>
  <c r="J355" i="19"/>
  <c r="F385" i="19"/>
  <c r="L123" i="19"/>
  <c r="R123" i="19"/>
  <c r="L66" i="19"/>
  <c r="M501" i="19"/>
  <c r="AE355" i="19"/>
  <c r="Y355" i="19"/>
  <c r="J66" i="19"/>
  <c r="J471" i="19"/>
  <c r="M327" i="19"/>
  <c r="G210" i="19"/>
  <c r="V355" i="19"/>
  <c r="M269" i="19"/>
  <c r="N182" i="19"/>
  <c r="AD123" i="19"/>
  <c r="L414" i="19"/>
  <c r="K501" i="19"/>
  <c r="AE385" i="19"/>
  <c r="K327" i="19"/>
  <c r="Z66" i="19"/>
  <c r="R239" i="19"/>
  <c r="J239" i="19"/>
  <c r="AD239" i="19"/>
  <c r="AB210" i="19"/>
  <c r="X123" i="19"/>
  <c r="AA471" i="19"/>
  <c r="E153" i="19"/>
  <c r="Z355" i="19"/>
  <c r="H123" i="19"/>
  <c r="Q355" i="19"/>
  <c r="W210" i="19"/>
  <c r="G66" i="19"/>
  <c r="AA123" i="19"/>
  <c r="H269" i="19"/>
  <c r="R210" i="19"/>
  <c r="I501" i="19"/>
  <c r="L153" i="19"/>
  <c r="W239" i="19"/>
  <c r="F95" i="19"/>
  <c r="O269" i="19"/>
  <c r="M355" i="19"/>
  <c r="M95" i="19"/>
  <c r="X66" i="19"/>
  <c r="P123" i="19"/>
  <c r="AD153" i="19"/>
  <c r="AC355" i="19"/>
  <c r="AD414" i="19"/>
  <c r="G355" i="19"/>
  <c r="S355" i="19"/>
  <c r="K269" i="19"/>
  <c r="F153" i="19"/>
  <c r="E414" i="19"/>
  <c r="M385" i="19"/>
  <c r="R355" i="19"/>
  <c r="N471" i="19"/>
  <c r="E123" i="19"/>
  <c r="L443" i="19"/>
  <c r="G414" i="19"/>
  <c r="Z123" i="19"/>
  <c r="M471" i="19"/>
  <c r="H471" i="19"/>
  <c r="K182" i="19"/>
  <c r="G95" i="19"/>
  <c r="G501" i="19"/>
  <c r="J327" i="19"/>
  <c r="N210" i="19"/>
  <c r="I123" i="19"/>
  <c r="K239" i="19"/>
  <c r="AB443" i="19"/>
  <c r="E327" i="19"/>
  <c r="L385" i="19"/>
  <c r="AB123" i="19"/>
  <c r="E385" i="19"/>
  <c r="J182" i="19"/>
  <c r="F210" i="19"/>
  <c r="S471" i="19"/>
  <c r="H153" i="19"/>
  <c r="AB355" i="19"/>
  <c r="F239" i="19"/>
  <c r="L471" i="19"/>
  <c r="T471" i="19"/>
  <c r="V123" i="19"/>
  <c r="J95" i="19"/>
  <c r="S123" i="19"/>
  <c r="J210" i="19"/>
  <c r="P239" i="19"/>
  <c r="M182" i="19"/>
  <c r="K153" i="19"/>
  <c r="O471" i="19"/>
  <c r="G385" i="19"/>
  <c r="F471" i="19"/>
  <c r="N123" i="19"/>
  <c r="O123" i="19"/>
  <c r="Z471" i="19"/>
  <c r="D414" i="19"/>
  <c r="D66" i="19"/>
  <c r="W269" i="19"/>
  <c r="G182" i="19"/>
  <c r="K66" i="19"/>
  <c r="I66" i="19"/>
  <c r="T414" i="19"/>
  <c r="D153" i="19"/>
  <c r="D501" i="19"/>
  <c r="D385" i="19"/>
  <c r="D123" i="19"/>
  <c r="D355" i="19"/>
  <c r="D471" i="19"/>
  <c r="D327" i="19"/>
  <c r="D443" i="19"/>
  <c r="D95" i="19"/>
  <c r="Q123" i="19"/>
  <c r="P355" i="19"/>
  <c r="V210" i="19"/>
  <c r="W471" i="19"/>
  <c r="G327" i="19"/>
  <c r="AD66" i="19"/>
  <c r="H385" i="19"/>
  <c r="L210" i="19"/>
  <c r="I269" i="19"/>
  <c r="M414" i="19"/>
  <c r="G471" i="19"/>
  <c r="F66" i="19"/>
  <c r="K414" i="19"/>
  <c r="E95" i="19"/>
  <c r="Z239" i="19"/>
  <c r="U471" i="19"/>
  <c r="N355" i="19"/>
  <c r="N414" i="19"/>
  <c r="AE210" i="19"/>
  <c r="H443" i="19"/>
  <c r="I153" i="19"/>
  <c r="J443" i="19"/>
  <c r="O210" i="19"/>
  <c r="T123" i="19"/>
  <c r="U66" i="19"/>
  <c r="F123" i="19"/>
  <c r="V269" i="19"/>
  <c r="Q471" i="19"/>
  <c r="G269" i="19"/>
  <c r="L182" i="19"/>
  <c r="R471" i="19"/>
  <c r="AC123" i="19"/>
  <c r="AE471" i="19"/>
  <c r="L501" i="19"/>
  <c r="L269" i="19"/>
  <c r="F182" i="19"/>
  <c r="H210" i="19"/>
  <c r="H66" i="19"/>
  <c r="O355" i="19"/>
  <c r="F414" i="19"/>
  <c r="H414" i="19"/>
  <c r="G443" i="19"/>
  <c r="W355" i="19"/>
  <c r="AA414" i="19"/>
  <c r="AB471" i="19"/>
  <c r="K210" i="19"/>
  <c r="E239" i="19"/>
  <c r="K385" i="19"/>
  <c r="H239" i="19"/>
  <c r="U355" i="19"/>
  <c r="AE239" i="19"/>
  <c r="AD471" i="19"/>
  <c r="AB239" i="19"/>
  <c r="Z269" i="19"/>
  <c r="K355" i="19"/>
  <c r="AC210" i="19"/>
  <c r="J501" i="19"/>
  <c r="G153" i="19"/>
  <c r="Q385" i="19"/>
  <c r="J414" i="19"/>
  <c r="K95" i="19"/>
  <c r="J153" i="19"/>
  <c r="O414" i="19"/>
  <c r="Y95" i="19"/>
  <c r="H355" i="19"/>
  <c r="P298" i="19"/>
  <c r="O311" i="19"/>
  <c r="I385" i="19"/>
  <c r="AA210" i="19"/>
  <c r="S153" i="19"/>
  <c r="M123" i="19"/>
  <c r="E66" i="19"/>
  <c r="E355" i="19"/>
  <c r="Y269" i="19"/>
  <c r="E269" i="19"/>
  <c r="U210" i="19"/>
  <c r="N66" i="19"/>
  <c r="AC471" i="19"/>
  <c r="U123" i="19"/>
  <c r="M443" i="19"/>
  <c r="AA355" i="19"/>
  <c r="I239" i="19"/>
  <c r="P471" i="19"/>
  <c r="X210" i="19"/>
  <c r="V239" i="19"/>
  <c r="G123" i="19"/>
  <c r="F501" i="19"/>
  <c r="AA239" i="19"/>
  <c r="E182" i="19"/>
  <c r="T66" i="19"/>
  <c r="S210" i="19"/>
  <c r="M239" i="19"/>
  <c r="I471" i="19"/>
  <c r="Y123" i="19"/>
  <c r="I327" i="19"/>
  <c r="L327" i="19"/>
  <c r="AD327" i="19"/>
  <c r="S239" i="19"/>
  <c r="F269" i="19"/>
  <c r="T210" i="19"/>
  <c r="P210" i="19"/>
  <c r="U239" i="19"/>
  <c r="M210" i="19"/>
  <c r="X355" i="19"/>
  <c r="M66" i="19"/>
  <c r="E471" i="19"/>
  <c r="DW37" i="6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39" i="19"/>
  <c r="E38" i="19"/>
  <c r="CQ36" i="6"/>
  <c r="E41" i="1" s="1"/>
  <c r="BK37" i="6"/>
  <c r="D42" i="1" s="1"/>
  <c r="D43" i="1" s="1"/>
  <c r="D44" i="1" s="1"/>
  <c r="D45" i="1" s="1"/>
  <c r="D46" i="1" s="1"/>
  <c r="D47" i="1" s="1"/>
  <c r="D48" i="1" s="1"/>
  <c r="D49" i="1" s="1"/>
  <c r="D50" i="1" s="1"/>
  <c r="D51" i="1" s="1"/>
  <c r="D39" i="19"/>
  <c r="K38" i="19"/>
  <c r="D240" i="19" s="1"/>
  <c r="CQ74" i="6"/>
  <c r="K41" i="1" s="1"/>
  <c r="AE37" i="6"/>
  <c r="C42" i="1" s="1"/>
  <c r="C43" i="1" s="1"/>
  <c r="C44" i="1" s="1"/>
  <c r="C45" i="1" s="1"/>
  <c r="C46" i="1" s="1"/>
  <c r="C39" i="19"/>
  <c r="BK74" i="6"/>
  <c r="J41" i="1" s="1"/>
  <c r="J38" i="19"/>
  <c r="D211" i="19" s="1"/>
  <c r="AE75" i="6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39" i="19"/>
  <c r="D183" i="19" s="1"/>
  <c r="L39" i="19"/>
  <c r="D270" i="19" s="1"/>
  <c r="DW75" i="6"/>
  <c r="L42" i="1" s="1"/>
  <c r="L43" i="1" s="1"/>
  <c r="L44" i="1" s="1"/>
  <c r="C47" i="1" l="1"/>
  <c r="C48" i="1" s="1"/>
  <c r="C49" i="1" s="1"/>
  <c r="C50" i="1" s="1"/>
  <c r="C51" i="1" s="1"/>
  <c r="M2" i="49"/>
  <c r="M6" i="49" s="1"/>
  <c r="M10" i="49" s="1"/>
  <c r="M18" i="49" s="1"/>
  <c r="P80" i="5"/>
  <c r="Q69" i="49"/>
  <c r="P81" i="49"/>
  <c r="P39" i="49"/>
  <c r="O52" i="49"/>
  <c r="L45" i="1"/>
  <c r="L46" i="1" s="1"/>
  <c r="L47" i="1" s="1"/>
  <c r="L48" i="1" s="1"/>
  <c r="L49" i="1" s="1"/>
  <c r="L50" i="1" s="1"/>
  <c r="L51" i="1" s="1"/>
  <c r="L42" i="19"/>
  <c r="N3" i="49"/>
  <c r="N7" i="49" s="1"/>
  <c r="N11" i="49" s="1"/>
  <c r="N19" i="49" s="1"/>
  <c r="Q79" i="5"/>
  <c r="N261" i="21"/>
  <c r="P187" i="1"/>
  <c r="O282" i="20"/>
  <c r="O261" i="21" s="1"/>
  <c r="Q109" i="1"/>
  <c r="E121" i="20"/>
  <c r="D100" i="21"/>
  <c r="AJ100" i="21" s="1"/>
  <c r="L114" i="20"/>
  <c r="K93" i="21"/>
  <c r="AQ93" i="21" s="1"/>
  <c r="L261" i="20"/>
  <c r="K240" i="21"/>
  <c r="AQ240" i="21" s="1"/>
  <c r="P257" i="20"/>
  <c r="O236" i="21"/>
  <c r="AU236" i="21" s="1"/>
  <c r="L460" i="20"/>
  <c r="K439" i="21"/>
  <c r="AQ439" i="21" s="1"/>
  <c r="K31" i="20"/>
  <c r="J10" i="21"/>
  <c r="AP10" i="21" s="1"/>
  <c r="L174" i="20"/>
  <c r="K153" i="21"/>
  <c r="AQ153" i="21" s="1"/>
  <c r="M459" i="20"/>
  <c r="L438" i="21"/>
  <c r="AR438" i="21" s="1"/>
  <c r="I206" i="20"/>
  <c r="H185" i="21"/>
  <c r="AN185" i="21" s="1"/>
  <c r="M173" i="20"/>
  <c r="L152" i="21"/>
  <c r="AR152" i="21" s="1"/>
  <c r="C270" i="20"/>
  <c r="D38" i="20"/>
  <c r="C17" i="21"/>
  <c r="AI17" i="21" s="1"/>
  <c r="H265" i="20"/>
  <c r="G244" i="21"/>
  <c r="AM244" i="21" s="1"/>
  <c r="E467" i="20"/>
  <c r="D446" i="21"/>
  <c r="AJ446" i="21" s="1"/>
  <c r="H322" i="20"/>
  <c r="G301" i="21"/>
  <c r="AM301" i="21" s="1"/>
  <c r="N343" i="20"/>
  <c r="M322" i="21"/>
  <c r="AS322" i="21" s="1"/>
  <c r="L376" i="20"/>
  <c r="K355" i="21"/>
  <c r="AQ355" i="21" s="1"/>
  <c r="G63" i="20"/>
  <c r="F42" i="21"/>
  <c r="AL42" i="21" s="1"/>
  <c r="F120" i="20"/>
  <c r="E99" i="21"/>
  <c r="AK99" i="21" s="1"/>
  <c r="Q82" i="20"/>
  <c r="P61" i="21"/>
  <c r="AV61" i="21" s="1"/>
  <c r="L404" i="20"/>
  <c r="K383" i="21"/>
  <c r="AQ383" i="21" s="1"/>
  <c r="P285" i="20"/>
  <c r="O264" i="21"/>
  <c r="AU264" i="21" s="1"/>
  <c r="L30" i="20"/>
  <c r="K9" i="21"/>
  <c r="AQ9" i="21" s="1"/>
  <c r="I321" i="20"/>
  <c r="H300" i="21"/>
  <c r="AN300" i="21" s="1"/>
  <c r="D384" i="20"/>
  <c r="C363" i="21"/>
  <c r="AI363" i="21" s="1"/>
  <c r="D95" i="20"/>
  <c r="C327" i="20"/>
  <c r="C74" i="21"/>
  <c r="AI74" i="21" s="1"/>
  <c r="H464" i="20"/>
  <c r="G443" i="21"/>
  <c r="AM443" i="21" s="1"/>
  <c r="K262" i="20"/>
  <c r="J241" i="21"/>
  <c r="AP241" i="21" s="1"/>
  <c r="K204" i="20"/>
  <c r="J183" i="21"/>
  <c r="AP183" i="21" s="1"/>
  <c r="G35" i="20"/>
  <c r="F14" i="21"/>
  <c r="AL14" i="21" s="1"/>
  <c r="Q198" i="20"/>
  <c r="P177" i="21"/>
  <c r="AV177" i="21" s="1"/>
  <c r="F209" i="20"/>
  <c r="E188" i="21"/>
  <c r="AK188" i="21" s="1"/>
  <c r="J435" i="20"/>
  <c r="I414" i="21"/>
  <c r="AO414" i="21" s="1"/>
  <c r="O142" i="20"/>
  <c r="N121" i="21"/>
  <c r="AT121" i="21" s="1"/>
  <c r="O200" i="20"/>
  <c r="N179" i="21"/>
  <c r="AT179" i="21" s="1"/>
  <c r="L433" i="20"/>
  <c r="K412" i="21"/>
  <c r="AQ412" i="21" s="1"/>
  <c r="L345" i="20"/>
  <c r="K324" i="21"/>
  <c r="AQ324" i="21" s="1"/>
  <c r="G208" i="20"/>
  <c r="F187" i="21"/>
  <c r="AL187" i="21" s="1"/>
  <c r="J320" i="20"/>
  <c r="I299" i="21"/>
  <c r="AO299" i="21" s="1"/>
  <c r="I117" i="20"/>
  <c r="H96" i="21"/>
  <c r="AN96" i="21" s="1"/>
  <c r="P199" i="20"/>
  <c r="O178" i="21"/>
  <c r="AU178" i="21" s="1"/>
  <c r="E325" i="20"/>
  <c r="D304" i="21"/>
  <c r="AJ304" i="21" s="1"/>
  <c r="D211" i="20"/>
  <c r="C190" i="21"/>
  <c r="AI190" i="21" s="1"/>
  <c r="H149" i="20"/>
  <c r="G128" i="21"/>
  <c r="AM128" i="21" s="1"/>
  <c r="P228" i="20"/>
  <c r="O207" i="21"/>
  <c r="AU207" i="21" s="1"/>
  <c r="F324" i="20"/>
  <c r="E303" i="21"/>
  <c r="AK303" i="21" s="1"/>
  <c r="M403" i="20"/>
  <c r="L382" i="21"/>
  <c r="AR382" i="21" s="1"/>
  <c r="I436" i="20"/>
  <c r="H415" i="21"/>
  <c r="AN415" i="21" s="1"/>
  <c r="M375" i="20"/>
  <c r="L354" i="21"/>
  <c r="AR354" i="21" s="1"/>
  <c r="N402" i="20"/>
  <c r="M381" i="21"/>
  <c r="AS381" i="21" s="1"/>
  <c r="J205" i="20"/>
  <c r="I184" i="21"/>
  <c r="AO184" i="21" s="1"/>
  <c r="M144" i="20"/>
  <c r="L123" i="21"/>
  <c r="AR123" i="21" s="1"/>
  <c r="L289" i="20"/>
  <c r="K268" i="21"/>
  <c r="AQ268" i="21" s="1"/>
  <c r="G438" i="20"/>
  <c r="F417" i="21"/>
  <c r="AL417" i="21" s="1"/>
  <c r="J147" i="20"/>
  <c r="I126" i="21"/>
  <c r="AO126" i="21" s="1"/>
  <c r="H349" i="20"/>
  <c r="G328" i="21"/>
  <c r="AM328" i="21" s="1"/>
  <c r="I292" i="20"/>
  <c r="H271" i="21"/>
  <c r="AN271" i="21" s="1"/>
  <c r="E152" i="20"/>
  <c r="D131" i="21"/>
  <c r="AJ131" i="21" s="1"/>
  <c r="J263" i="20"/>
  <c r="I242" i="21"/>
  <c r="AO242" i="21" s="1"/>
  <c r="J406" i="20"/>
  <c r="I385" i="21"/>
  <c r="AO385" i="21" s="1"/>
  <c r="D182" i="20"/>
  <c r="C161" i="21"/>
  <c r="AI161" i="21" s="1"/>
  <c r="Q169" i="20"/>
  <c r="P148" i="21"/>
  <c r="AV148" i="21" s="1"/>
  <c r="H437" i="20"/>
  <c r="G416" i="21"/>
  <c r="AM416" i="21" s="1"/>
  <c r="I235" i="20"/>
  <c r="H214" i="21"/>
  <c r="AN214" i="21" s="1"/>
  <c r="M344" i="20"/>
  <c r="L323" i="21"/>
  <c r="AR323" i="21" s="1"/>
  <c r="N85" i="20"/>
  <c r="M64" i="21"/>
  <c r="AS64" i="21" s="1"/>
  <c r="F267" i="20"/>
  <c r="E246" i="21"/>
  <c r="AK246" i="21" s="1"/>
  <c r="M432" i="20"/>
  <c r="L411" i="21"/>
  <c r="AR411" i="21" s="1"/>
  <c r="I407" i="20"/>
  <c r="H386" i="21"/>
  <c r="AN386" i="21" s="1"/>
  <c r="J32" i="20"/>
  <c r="I11" i="21"/>
  <c r="AO11" i="21" s="1"/>
  <c r="C39" i="20"/>
  <c r="G119" i="20"/>
  <c r="F98" i="21"/>
  <c r="AL98" i="21" s="1"/>
  <c r="F439" i="20"/>
  <c r="E418" i="21"/>
  <c r="AK418" i="21" s="1"/>
  <c r="H408" i="20"/>
  <c r="G387" i="21"/>
  <c r="AM387" i="21" s="1"/>
  <c r="F64" i="20"/>
  <c r="E43" i="21"/>
  <c r="AK43" i="21" s="1"/>
  <c r="L58" i="20"/>
  <c r="K37" i="21"/>
  <c r="AQ37" i="21" s="1"/>
  <c r="L232" i="20"/>
  <c r="K211" i="21"/>
  <c r="AQ211" i="21" s="1"/>
  <c r="Q227" i="20"/>
  <c r="P206" i="21"/>
  <c r="AV206" i="21" s="1"/>
  <c r="E210" i="20"/>
  <c r="D189" i="21"/>
  <c r="AJ189" i="21" s="1"/>
  <c r="E268" i="20"/>
  <c r="D247" i="21"/>
  <c r="AJ247" i="21" s="1"/>
  <c r="L145" i="20"/>
  <c r="K124" i="21"/>
  <c r="AQ124" i="21" s="1"/>
  <c r="C96" i="20"/>
  <c r="M113" i="20"/>
  <c r="L92" i="21"/>
  <c r="AR92" i="21" s="1"/>
  <c r="D269" i="20"/>
  <c r="C385" i="20"/>
  <c r="C248" i="21"/>
  <c r="AI248" i="21" s="1"/>
  <c r="D153" i="20"/>
  <c r="C132" i="21"/>
  <c r="AI132" i="21" s="1"/>
  <c r="D240" i="20"/>
  <c r="C219" i="21"/>
  <c r="AI219" i="21" s="1"/>
  <c r="J234" i="20"/>
  <c r="I213" i="21"/>
  <c r="AO213" i="21" s="1"/>
  <c r="J378" i="20"/>
  <c r="I357" i="21"/>
  <c r="AO357" i="21" s="1"/>
  <c r="M288" i="20"/>
  <c r="L267" i="21"/>
  <c r="AR267" i="21" s="1"/>
  <c r="G323" i="20"/>
  <c r="F302" i="21"/>
  <c r="AL302" i="21" s="1"/>
  <c r="C212" i="20"/>
  <c r="I90" i="20"/>
  <c r="H69" i="21"/>
  <c r="AN69" i="21" s="1"/>
  <c r="M317" i="20"/>
  <c r="L296" i="21"/>
  <c r="AR296" i="21" s="1"/>
  <c r="Q53" i="20"/>
  <c r="P32" i="21"/>
  <c r="AV32" i="21" s="1"/>
  <c r="G350" i="20"/>
  <c r="F329" i="21"/>
  <c r="AL329" i="21" s="1"/>
  <c r="N56" i="20"/>
  <c r="M35" i="21"/>
  <c r="AS35" i="21" s="1"/>
  <c r="L87" i="20"/>
  <c r="K66" i="21"/>
  <c r="AQ66" i="21" s="1"/>
  <c r="J60" i="20"/>
  <c r="I39" i="21"/>
  <c r="AO39" i="21" s="1"/>
  <c r="E94" i="20"/>
  <c r="D73" i="21"/>
  <c r="AJ73" i="21" s="1"/>
  <c r="C183" i="20"/>
  <c r="H207" i="20"/>
  <c r="G186" i="21"/>
  <c r="AM186" i="21" s="1"/>
  <c r="I61" i="20"/>
  <c r="H40" i="21"/>
  <c r="AN40" i="21" s="1"/>
  <c r="G409" i="20"/>
  <c r="F388" i="21"/>
  <c r="AL388" i="21" s="1"/>
  <c r="I348" i="20"/>
  <c r="H327" i="21"/>
  <c r="AN327" i="21" s="1"/>
  <c r="G92" i="20"/>
  <c r="F71" i="21"/>
  <c r="AL71" i="21" s="1"/>
  <c r="O315" i="20"/>
  <c r="N294" i="21"/>
  <c r="AT294" i="21" s="1"/>
  <c r="E181" i="20"/>
  <c r="D160" i="21"/>
  <c r="AJ160" i="21" s="1"/>
  <c r="N28" i="20"/>
  <c r="M7" i="21"/>
  <c r="AS7" i="21" s="1"/>
  <c r="O84" i="20"/>
  <c r="N63" i="21"/>
  <c r="AT63" i="21" s="1"/>
  <c r="K175" i="20"/>
  <c r="J154" i="21"/>
  <c r="AP154" i="21" s="1"/>
  <c r="G179" i="20"/>
  <c r="F158" i="21"/>
  <c r="AL158" i="21" s="1"/>
  <c r="O229" i="20"/>
  <c r="N208" i="21"/>
  <c r="AT208" i="21" s="1"/>
  <c r="L203" i="20"/>
  <c r="K182" i="21"/>
  <c r="AQ182" i="21" s="1"/>
  <c r="J462" i="20"/>
  <c r="I441" i="21"/>
  <c r="AO441" i="21" s="1"/>
  <c r="F151" i="20"/>
  <c r="E130" i="21"/>
  <c r="AK130" i="21" s="1"/>
  <c r="J89" i="20"/>
  <c r="I68" i="21"/>
  <c r="AO68" i="21" s="1"/>
  <c r="M86" i="20"/>
  <c r="L65" i="21"/>
  <c r="AR65" i="21" s="1"/>
  <c r="C298" i="20"/>
  <c r="D66" i="20"/>
  <c r="C45" i="21"/>
  <c r="AI45" i="21" s="1"/>
  <c r="J291" i="20"/>
  <c r="I270" i="21"/>
  <c r="AO270" i="21" s="1"/>
  <c r="E383" i="20"/>
  <c r="D362" i="21"/>
  <c r="AJ362" i="21" s="1"/>
  <c r="N316" i="20"/>
  <c r="M295" i="21"/>
  <c r="AS295" i="21" s="1"/>
  <c r="N259" i="20"/>
  <c r="M238" i="21"/>
  <c r="AS238" i="21" s="1"/>
  <c r="J347" i="20"/>
  <c r="I326" i="21"/>
  <c r="AO326" i="21" s="1"/>
  <c r="H91" i="20"/>
  <c r="G70" i="21"/>
  <c r="AM70" i="21" s="1"/>
  <c r="H236" i="20"/>
  <c r="G215" i="21"/>
  <c r="AM215" i="21" s="1"/>
  <c r="J176" i="20"/>
  <c r="I155" i="21"/>
  <c r="AO155" i="21" s="1"/>
  <c r="F466" i="20"/>
  <c r="E445" i="21"/>
  <c r="AK445" i="21" s="1"/>
  <c r="P170" i="20"/>
  <c r="O149" i="21"/>
  <c r="AU149" i="21" s="1"/>
  <c r="P314" i="20"/>
  <c r="O293" i="21"/>
  <c r="AU293" i="21" s="1"/>
  <c r="Q140" i="20"/>
  <c r="P119" i="21"/>
  <c r="AV119" i="21" s="1"/>
  <c r="E37" i="20"/>
  <c r="D16" i="21"/>
  <c r="AJ16" i="21" s="1"/>
  <c r="G150" i="20"/>
  <c r="F129" i="21"/>
  <c r="AL129" i="21" s="1"/>
  <c r="F180" i="20"/>
  <c r="E159" i="21"/>
  <c r="AK159" i="21" s="1"/>
  <c r="F382" i="20"/>
  <c r="E361" i="21"/>
  <c r="AK361" i="21" s="1"/>
  <c r="K319" i="20"/>
  <c r="J298" i="21"/>
  <c r="AP298" i="21" s="1"/>
  <c r="H380" i="20"/>
  <c r="G359" i="21"/>
  <c r="AM359" i="21" s="1"/>
  <c r="O258" i="20"/>
  <c r="N237" i="21"/>
  <c r="AT237" i="21" s="1"/>
  <c r="I463" i="20"/>
  <c r="H442" i="21"/>
  <c r="AN442" i="21" s="1"/>
  <c r="C413" i="20"/>
  <c r="D297" i="20"/>
  <c r="C276" i="21"/>
  <c r="AI276" i="21" s="1"/>
  <c r="C154" i="20"/>
  <c r="F295" i="20"/>
  <c r="E274" i="21"/>
  <c r="AK274" i="21" s="1"/>
  <c r="G294" i="20"/>
  <c r="F273" i="21"/>
  <c r="AL273" i="21" s="1"/>
  <c r="C241" i="20"/>
  <c r="M202" i="20"/>
  <c r="L181" i="21"/>
  <c r="AR181" i="21" s="1"/>
  <c r="E440" i="20"/>
  <c r="D419" i="21"/>
  <c r="AJ419" i="21" s="1"/>
  <c r="O111" i="20"/>
  <c r="N90" i="21"/>
  <c r="AT90" i="21" s="1"/>
  <c r="N230" i="20"/>
  <c r="M209" i="21"/>
  <c r="AS209" i="21" s="1"/>
  <c r="C354" i="20"/>
  <c r="D122" i="20"/>
  <c r="C101" i="21"/>
  <c r="AI101" i="21" s="1"/>
  <c r="D412" i="20"/>
  <c r="C391" i="21"/>
  <c r="AI391" i="21" s="1"/>
  <c r="P141" i="20"/>
  <c r="O120" i="21"/>
  <c r="AU120" i="21" s="1"/>
  <c r="O171" i="20"/>
  <c r="N150" i="21"/>
  <c r="AT150" i="21" s="1"/>
  <c r="O55" i="20"/>
  <c r="N34" i="21"/>
  <c r="AT34" i="21" s="1"/>
  <c r="D326" i="20"/>
  <c r="C442" i="20"/>
  <c r="C305" i="21"/>
  <c r="AI305" i="21" s="1"/>
  <c r="N112" i="20"/>
  <c r="M91" i="21"/>
  <c r="AS91" i="21" s="1"/>
  <c r="K434" i="20"/>
  <c r="J413" i="21"/>
  <c r="AP413" i="21" s="1"/>
  <c r="F410" i="20"/>
  <c r="E389" i="21"/>
  <c r="AK389" i="21" s="1"/>
  <c r="K59" i="20"/>
  <c r="J38" i="21"/>
  <c r="AP38" i="21" s="1"/>
  <c r="M260" i="20"/>
  <c r="L239" i="21"/>
  <c r="AR239" i="21" s="1"/>
  <c r="O430" i="20"/>
  <c r="N409" i="21"/>
  <c r="AT409" i="21" s="1"/>
  <c r="O401" i="20"/>
  <c r="N380" i="21"/>
  <c r="AT380" i="21" s="1"/>
  <c r="N431" i="20"/>
  <c r="M410" i="21"/>
  <c r="AS410" i="21" s="1"/>
  <c r="H293" i="20"/>
  <c r="G272" i="21"/>
  <c r="AM272" i="21" s="1"/>
  <c r="I177" i="20"/>
  <c r="H156" i="21"/>
  <c r="AN156" i="21" s="1"/>
  <c r="O286" i="20"/>
  <c r="N265" i="21"/>
  <c r="AT265" i="21" s="1"/>
  <c r="F93" i="20"/>
  <c r="E72" i="21"/>
  <c r="AK72" i="21" s="1"/>
  <c r="M29" i="20"/>
  <c r="L8" i="21"/>
  <c r="AR8" i="21" s="1"/>
  <c r="N201" i="20"/>
  <c r="M180" i="21"/>
  <c r="AS180" i="21" s="1"/>
  <c r="D468" i="20"/>
  <c r="C447" i="21"/>
  <c r="AI447" i="21" s="1"/>
  <c r="G237" i="20"/>
  <c r="F216" i="21"/>
  <c r="AL216" i="21" s="1"/>
  <c r="I148" i="20"/>
  <c r="H127" i="21"/>
  <c r="AN127" i="21" s="1"/>
  <c r="N172" i="20"/>
  <c r="M151" i="21"/>
  <c r="AS151" i="21" s="1"/>
  <c r="I264" i="20"/>
  <c r="H243" i="21"/>
  <c r="AN243" i="21" s="1"/>
  <c r="I33" i="20"/>
  <c r="H12" i="21"/>
  <c r="AN12" i="21" s="1"/>
  <c r="G266" i="20"/>
  <c r="F245" i="21"/>
  <c r="AL245" i="21" s="1"/>
  <c r="K146" i="20"/>
  <c r="J125" i="21"/>
  <c r="AP125" i="21" s="1"/>
  <c r="H34" i="20"/>
  <c r="G13" i="21"/>
  <c r="AM13" i="21" s="1"/>
  <c r="I379" i="20"/>
  <c r="H358" i="21"/>
  <c r="AN358" i="21" s="1"/>
  <c r="C469" i="20"/>
  <c r="D353" i="20"/>
  <c r="C332" i="21"/>
  <c r="AI332" i="21" s="1"/>
  <c r="C67" i="20"/>
  <c r="N143" i="20"/>
  <c r="M122" i="21"/>
  <c r="AS122" i="21" s="1"/>
  <c r="N374" i="20"/>
  <c r="M353" i="21"/>
  <c r="AS353" i="21" s="1"/>
  <c r="N287" i="20"/>
  <c r="M266" i="21"/>
  <c r="AS266" i="21" s="1"/>
  <c r="K88" i="20"/>
  <c r="J67" i="21"/>
  <c r="AP67" i="21" s="1"/>
  <c r="P54" i="20"/>
  <c r="O33" i="21"/>
  <c r="AU33" i="21" s="1"/>
  <c r="G465" i="20"/>
  <c r="F444" i="21"/>
  <c r="AL444" i="21" s="1"/>
  <c r="E411" i="20"/>
  <c r="D390" i="21"/>
  <c r="AJ390" i="21" s="1"/>
  <c r="P83" i="20"/>
  <c r="O62" i="21"/>
  <c r="AU62" i="21" s="1"/>
  <c r="K405" i="20"/>
  <c r="J384" i="21"/>
  <c r="AP384" i="21" s="1"/>
  <c r="Q25" i="20"/>
  <c r="P4" i="21"/>
  <c r="AV4" i="21" s="1"/>
  <c r="P26" i="20"/>
  <c r="O5" i="21"/>
  <c r="AU5" i="21" s="1"/>
  <c r="E65" i="20"/>
  <c r="D44" i="21"/>
  <c r="AJ44" i="21" s="1"/>
  <c r="C123" i="20"/>
  <c r="K346" i="20"/>
  <c r="J325" i="21"/>
  <c r="AP325" i="21" s="1"/>
  <c r="O27" i="20"/>
  <c r="N6" i="21"/>
  <c r="AT6" i="21" s="1"/>
  <c r="F238" i="20"/>
  <c r="E217" i="21"/>
  <c r="AK217" i="21" s="1"/>
  <c r="D441" i="20"/>
  <c r="C420" i="21"/>
  <c r="AI420" i="21" s="1"/>
  <c r="E296" i="20"/>
  <c r="D275" i="21"/>
  <c r="AJ275" i="21" s="1"/>
  <c r="H118" i="20"/>
  <c r="G97" i="21"/>
  <c r="AM97" i="21" s="1"/>
  <c r="F36" i="20"/>
  <c r="E15" i="21"/>
  <c r="AK15" i="21" s="1"/>
  <c r="K461" i="20"/>
  <c r="J440" i="21"/>
  <c r="AP440" i="21" s="1"/>
  <c r="H62" i="20"/>
  <c r="G41" i="21"/>
  <c r="AM41" i="21" s="1"/>
  <c r="F351" i="20"/>
  <c r="E330" i="21"/>
  <c r="AK330" i="21" s="1"/>
  <c r="K233" i="20"/>
  <c r="J212" i="21"/>
  <c r="AP212" i="21" s="1"/>
  <c r="H178" i="20"/>
  <c r="G157" i="21"/>
  <c r="AM157" i="21" s="1"/>
  <c r="K115" i="20"/>
  <c r="J94" i="21"/>
  <c r="AP94" i="21" s="1"/>
  <c r="E352" i="20"/>
  <c r="D331" i="21"/>
  <c r="AJ331" i="21" s="1"/>
  <c r="J116" i="20"/>
  <c r="I95" i="21"/>
  <c r="AO95" i="21" s="1"/>
  <c r="L318" i="20"/>
  <c r="K297" i="21"/>
  <c r="AQ297" i="21" s="1"/>
  <c r="M231" i="20"/>
  <c r="L210" i="21"/>
  <c r="AR210" i="21" s="1"/>
  <c r="E239" i="20"/>
  <c r="D218" i="21"/>
  <c r="AJ218" i="21" s="1"/>
  <c r="O373" i="20"/>
  <c r="N352" i="21"/>
  <c r="AT352" i="21" s="1"/>
  <c r="K377" i="20"/>
  <c r="J356" i="21"/>
  <c r="AP356" i="21" s="1"/>
  <c r="K290" i="20"/>
  <c r="J269" i="21"/>
  <c r="AP269" i="21" s="1"/>
  <c r="M57" i="20"/>
  <c r="L36" i="21"/>
  <c r="AR36" i="21" s="1"/>
  <c r="G381" i="20"/>
  <c r="F360" i="21"/>
  <c r="AL360" i="21" s="1"/>
  <c r="V327" i="19"/>
  <c r="W328" i="19" s="1"/>
  <c r="P269" i="19"/>
  <c r="P414" i="19"/>
  <c r="Q415" i="19" s="1"/>
  <c r="O385" i="19"/>
  <c r="X385" i="19"/>
  <c r="S443" i="19"/>
  <c r="R269" i="19"/>
  <c r="P501" i="19"/>
  <c r="Z385" i="19"/>
  <c r="S327" i="19"/>
  <c r="AA269" i="19"/>
  <c r="Z153" i="19"/>
  <c r="W385" i="19"/>
  <c r="AD501" i="19"/>
  <c r="S95" i="19"/>
  <c r="AB182" i="19"/>
  <c r="O66" i="19"/>
  <c r="AA327" i="19"/>
  <c r="T269" i="19"/>
  <c r="R66" i="19"/>
  <c r="AD269" i="19"/>
  <c r="AE153" i="19"/>
  <c r="AB66" i="19"/>
  <c r="Y414" i="19"/>
  <c r="T501" i="19"/>
  <c r="Q153" i="19"/>
  <c r="AA385" i="19"/>
  <c r="V414" i="19"/>
  <c r="AB327" i="19"/>
  <c r="S414" i="19"/>
  <c r="S385" i="19"/>
  <c r="Q414" i="19"/>
  <c r="P327" i="19"/>
  <c r="Y182" i="19"/>
  <c r="O501" i="19"/>
  <c r="AD95" i="19"/>
  <c r="AC414" i="19"/>
  <c r="AA153" i="19"/>
  <c r="W95" i="19"/>
  <c r="Y153" i="19"/>
  <c r="Z182" i="19"/>
  <c r="Q501" i="19"/>
  <c r="AE66" i="19"/>
  <c r="AC269" i="19"/>
  <c r="O327" i="19"/>
  <c r="U182" i="19"/>
  <c r="V182" i="19"/>
  <c r="O443" i="19"/>
  <c r="R385" i="19"/>
  <c r="S182" i="19"/>
  <c r="X501" i="19"/>
  <c r="AD182" i="19"/>
  <c r="R95" i="19"/>
  <c r="AC66" i="19"/>
  <c r="AE269" i="19"/>
  <c r="AD385" i="19"/>
  <c r="Z501" i="19"/>
  <c r="Q443" i="19"/>
  <c r="AC443" i="19"/>
  <c r="AA501" i="19"/>
  <c r="AA66" i="19"/>
  <c r="U414" i="19"/>
  <c r="Z443" i="19"/>
  <c r="AB95" i="19"/>
  <c r="Q95" i="19"/>
  <c r="Z95" i="19"/>
  <c r="AB414" i="19"/>
  <c r="W182" i="19"/>
  <c r="R501" i="19"/>
  <c r="AE95" i="19"/>
  <c r="AA182" i="19"/>
  <c r="N327" i="19"/>
  <c r="X443" i="19"/>
  <c r="Y443" i="19"/>
  <c r="P66" i="19"/>
  <c r="S66" i="19"/>
  <c r="AE501" i="19"/>
  <c r="T182" i="19"/>
  <c r="W66" i="19"/>
  <c r="N501" i="19"/>
  <c r="X182" i="19"/>
  <c r="U501" i="19"/>
  <c r="U269" i="19"/>
  <c r="V270" i="19" s="1"/>
  <c r="AB269" i="19"/>
  <c r="V153" i="19"/>
  <c r="X269" i="19"/>
  <c r="O95" i="19"/>
  <c r="X95" i="19"/>
  <c r="Q66" i="19"/>
  <c r="P95" i="19"/>
  <c r="AE182" i="19"/>
  <c r="Q269" i="19"/>
  <c r="T153" i="19"/>
  <c r="S269" i="19"/>
  <c r="AB501" i="19"/>
  <c r="T327" i="19"/>
  <c r="R182" i="19"/>
  <c r="U95" i="19"/>
  <c r="Z414" i="19"/>
  <c r="AC327" i="19"/>
  <c r="Z327" i="19"/>
  <c r="V443" i="19"/>
  <c r="AC385" i="19"/>
  <c r="U385" i="19"/>
  <c r="X327" i="19"/>
  <c r="V385" i="19"/>
  <c r="P385" i="19"/>
  <c r="Y66" i="19"/>
  <c r="V66" i="19"/>
  <c r="Y385" i="19"/>
  <c r="AA95" i="19"/>
  <c r="N443" i="19"/>
  <c r="P153" i="19"/>
  <c r="Q182" i="19"/>
  <c r="Q327" i="19"/>
  <c r="V501" i="19"/>
  <c r="W501" i="19"/>
  <c r="O153" i="19"/>
  <c r="AC153" i="19"/>
  <c r="AC95" i="19"/>
  <c r="N95" i="19"/>
  <c r="AB385" i="19"/>
  <c r="O182" i="19"/>
  <c r="T95" i="19"/>
  <c r="Y501" i="19"/>
  <c r="V95" i="19"/>
  <c r="P182" i="19"/>
  <c r="N385" i="19"/>
  <c r="T385" i="19"/>
  <c r="W153" i="19"/>
  <c r="U153" i="19"/>
  <c r="AC501" i="19"/>
  <c r="W327" i="19"/>
  <c r="R443" i="19"/>
  <c r="R153" i="19"/>
  <c r="AE327" i="19"/>
  <c r="S356" i="19"/>
  <c r="W443" i="19"/>
  <c r="AD443" i="19"/>
  <c r="S501" i="19"/>
  <c r="T443" i="19"/>
  <c r="AA443" i="19"/>
  <c r="N153" i="19"/>
  <c r="U327" i="19"/>
  <c r="C428" i="23"/>
  <c r="D429" i="23" s="1"/>
  <c r="E430" i="23" s="1"/>
  <c r="F431" i="23" s="1"/>
  <c r="G432" i="23" s="1"/>
  <c r="C487" i="23"/>
  <c r="D488" i="23" s="1"/>
  <c r="E489" i="23" s="1"/>
  <c r="F490" i="23" s="1"/>
  <c r="C458" i="23"/>
  <c r="D459" i="23" s="1"/>
  <c r="E460" i="23" s="1"/>
  <c r="F461" i="23" s="1"/>
  <c r="AE154" i="19"/>
  <c r="V240" i="19"/>
  <c r="W240" i="19"/>
  <c r="AB356" i="19"/>
  <c r="X240" i="19"/>
  <c r="M415" i="19"/>
  <c r="W472" i="19"/>
  <c r="T472" i="19"/>
  <c r="L240" i="19"/>
  <c r="Z240" i="19"/>
  <c r="R356" i="19"/>
  <c r="Q240" i="19"/>
  <c r="K96" i="19"/>
  <c r="I154" i="19"/>
  <c r="F415" i="19"/>
  <c r="N96" i="19"/>
  <c r="M154" i="19"/>
  <c r="M67" i="19"/>
  <c r="G386" i="19"/>
  <c r="Q444" i="19"/>
  <c r="H240" i="19"/>
  <c r="K386" i="19"/>
  <c r="J444" i="19"/>
  <c r="M444" i="19"/>
  <c r="M328" i="19"/>
  <c r="H67" i="19"/>
  <c r="U67" i="19"/>
  <c r="N444" i="19"/>
  <c r="Z328" i="19"/>
  <c r="AD240" i="19"/>
  <c r="K183" i="19"/>
  <c r="AC444" i="19"/>
  <c r="K154" i="19"/>
  <c r="AB415" i="19"/>
  <c r="G183" i="19"/>
  <c r="M183" i="19"/>
  <c r="N415" i="19"/>
  <c r="I328" i="19"/>
  <c r="E415" i="19"/>
  <c r="K356" i="19"/>
  <c r="N386" i="19"/>
  <c r="I472" i="19"/>
  <c r="O124" i="19"/>
  <c r="S240" i="19"/>
  <c r="W356" i="19"/>
  <c r="G96" i="19"/>
  <c r="E328" i="19"/>
  <c r="E386" i="19"/>
  <c r="M386" i="19"/>
  <c r="H183" i="19"/>
  <c r="J96" i="19"/>
  <c r="I183" i="19"/>
  <c r="O240" i="19"/>
  <c r="P124" i="19"/>
  <c r="S415" i="19"/>
  <c r="L124" i="19"/>
  <c r="Y415" i="19"/>
  <c r="L183" i="19"/>
  <c r="AC154" i="19"/>
  <c r="I502" i="19"/>
  <c r="L154" i="19"/>
  <c r="AA67" i="19"/>
  <c r="N154" i="19"/>
  <c r="N183" i="19"/>
  <c r="G444" i="19"/>
  <c r="J386" i="19"/>
  <c r="P415" i="19"/>
  <c r="R386" i="19"/>
  <c r="AA270" i="19"/>
  <c r="L386" i="19"/>
  <c r="AC472" i="19"/>
  <c r="X356" i="19"/>
  <c r="G415" i="19"/>
  <c r="S472" i="19"/>
  <c r="W270" i="19"/>
  <c r="J154" i="19"/>
  <c r="O415" i="19"/>
  <c r="V472" i="19"/>
  <c r="L415" i="19"/>
  <c r="I386" i="19"/>
  <c r="X472" i="19"/>
  <c r="R124" i="19"/>
  <c r="E502" i="19"/>
  <c r="F502" i="19"/>
  <c r="J67" i="19"/>
  <c r="R240" i="19"/>
  <c r="N502" i="19"/>
  <c r="F386" i="19"/>
  <c r="M96" i="19"/>
  <c r="I270" i="19"/>
  <c r="V444" i="19"/>
  <c r="T211" i="19"/>
  <c r="E211" i="19"/>
  <c r="AA211" i="19"/>
  <c r="D356" i="19"/>
  <c r="D124" i="19"/>
  <c r="D472" i="19"/>
  <c r="Q211" i="19"/>
  <c r="T240" i="19"/>
  <c r="Z124" i="19"/>
  <c r="AB240" i="19"/>
  <c r="Y211" i="19"/>
  <c r="AD472" i="19"/>
  <c r="F270" i="19"/>
  <c r="J124" i="19"/>
  <c r="N472" i="19"/>
  <c r="AA356" i="19"/>
  <c r="V356" i="19"/>
  <c r="G124" i="19"/>
  <c r="W211" i="19"/>
  <c r="E240" i="19"/>
  <c r="U356" i="19"/>
  <c r="X270" i="19"/>
  <c r="T124" i="19"/>
  <c r="Y124" i="19"/>
  <c r="AA124" i="19"/>
  <c r="P270" i="19"/>
  <c r="I124" i="19"/>
  <c r="H211" i="19"/>
  <c r="D67" i="19"/>
  <c r="D415" i="19"/>
  <c r="D154" i="19"/>
  <c r="D502" i="19"/>
  <c r="D386" i="19"/>
  <c r="Y356" i="19"/>
  <c r="U211" i="19"/>
  <c r="J472" i="19"/>
  <c r="F183" i="19"/>
  <c r="G502" i="19"/>
  <c r="L472" i="19"/>
  <c r="K124" i="19"/>
  <c r="AA472" i="19"/>
  <c r="Z270" i="19"/>
  <c r="K328" i="19"/>
  <c r="H415" i="19"/>
  <c r="J502" i="19"/>
  <c r="U240" i="19"/>
  <c r="J415" i="19"/>
  <c r="L502" i="19"/>
  <c r="F356" i="19"/>
  <c r="T154" i="19"/>
  <c r="Z96" i="19"/>
  <c r="L96" i="19"/>
  <c r="H154" i="19"/>
  <c r="AE472" i="19"/>
  <c r="I240" i="19"/>
  <c r="F240" i="19"/>
  <c r="H444" i="19"/>
  <c r="I67" i="19"/>
  <c r="I40" i="19"/>
  <c r="D184" i="19" s="1"/>
  <c r="C40" i="19"/>
  <c r="D40" i="19"/>
  <c r="F40" i="19"/>
  <c r="N67" i="19"/>
  <c r="N211" i="19"/>
  <c r="G270" i="19"/>
  <c r="AE328" i="19"/>
  <c r="J328" i="19"/>
  <c r="N240" i="19"/>
  <c r="H124" i="19"/>
  <c r="J240" i="19"/>
  <c r="V124" i="19"/>
  <c r="O67" i="19"/>
  <c r="AE356" i="19"/>
  <c r="AB472" i="19"/>
  <c r="G356" i="19"/>
  <c r="AE415" i="19"/>
  <c r="M240" i="19"/>
  <c r="G240" i="19"/>
  <c r="I96" i="19"/>
  <c r="H96" i="19"/>
  <c r="E270" i="19"/>
  <c r="N356" i="19"/>
  <c r="S211" i="19"/>
  <c r="O270" i="19"/>
  <c r="AE240" i="19"/>
  <c r="O183" i="19"/>
  <c r="F67" i="19"/>
  <c r="AB211" i="19"/>
  <c r="Q299" i="19"/>
  <c r="P311" i="19"/>
  <c r="K415" i="19"/>
  <c r="K502" i="19"/>
  <c r="L356" i="19"/>
  <c r="L211" i="19"/>
  <c r="I415" i="19"/>
  <c r="I211" i="19"/>
  <c r="M502" i="19"/>
  <c r="AD124" i="19"/>
  <c r="R472" i="19"/>
  <c r="U124" i="19"/>
  <c r="K444" i="19"/>
  <c r="O356" i="19"/>
  <c r="F96" i="19"/>
  <c r="H472" i="19"/>
  <c r="H328" i="19"/>
  <c r="E444" i="19"/>
  <c r="E124" i="19"/>
  <c r="J356" i="19"/>
  <c r="M356" i="19"/>
  <c r="U415" i="19"/>
  <c r="L67" i="19"/>
  <c r="Y154" i="19"/>
  <c r="Z472" i="19"/>
  <c r="E67" i="19"/>
  <c r="P240" i="19"/>
  <c r="J211" i="19"/>
  <c r="S124" i="19"/>
  <c r="H386" i="19"/>
  <c r="AD183" i="19"/>
  <c r="U472" i="19"/>
  <c r="AC356" i="19"/>
  <c r="AE211" i="19"/>
  <c r="J183" i="19"/>
  <c r="H502" i="19"/>
  <c r="L270" i="19"/>
  <c r="H356" i="19"/>
  <c r="K67" i="19"/>
  <c r="X415" i="19"/>
  <c r="Y67" i="19"/>
  <c r="X211" i="19"/>
  <c r="F154" i="19"/>
  <c r="X124" i="19"/>
  <c r="K240" i="19"/>
  <c r="N270" i="19"/>
  <c r="L40" i="19"/>
  <c r="D271" i="19" s="1"/>
  <c r="K211" i="19"/>
  <c r="F472" i="19"/>
  <c r="V211" i="19"/>
  <c r="G472" i="19"/>
  <c r="N124" i="19"/>
  <c r="I356" i="19"/>
  <c r="AC240" i="19"/>
  <c r="P356" i="19"/>
  <c r="P211" i="19"/>
  <c r="M211" i="19"/>
  <c r="E472" i="19"/>
  <c r="K472" i="19"/>
  <c r="AD356" i="19"/>
  <c r="O211" i="19"/>
  <c r="F124" i="19"/>
  <c r="D328" i="19"/>
  <c r="D444" i="19"/>
  <c r="D96" i="19"/>
  <c r="Q472" i="19"/>
  <c r="AD211" i="19"/>
  <c r="M270" i="19"/>
  <c r="H270" i="19"/>
  <c r="V67" i="19"/>
  <c r="I444" i="19"/>
  <c r="AA240" i="19"/>
  <c r="G67" i="19"/>
  <c r="J270" i="19"/>
  <c r="AE67" i="19"/>
  <c r="Q356" i="19"/>
  <c r="E96" i="19"/>
  <c r="E356" i="19"/>
  <c r="E154" i="19"/>
  <c r="S328" i="19"/>
  <c r="Z356" i="19"/>
  <c r="L444" i="19"/>
  <c r="F444" i="19"/>
  <c r="Y472" i="19"/>
  <c r="E183" i="19"/>
  <c r="G154" i="19"/>
  <c r="T356" i="19"/>
  <c r="Y240" i="19"/>
  <c r="F211" i="19"/>
  <c r="W124" i="19"/>
  <c r="M472" i="19"/>
  <c r="G211" i="19"/>
  <c r="G328" i="19"/>
  <c r="AC124" i="19"/>
  <c r="F328" i="19"/>
  <c r="O472" i="19"/>
  <c r="R211" i="19"/>
  <c r="Z211" i="19"/>
  <c r="M124" i="19"/>
  <c r="P472" i="19"/>
  <c r="Q124" i="19"/>
  <c r="AB124" i="19"/>
  <c r="K270" i="19"/>
  <c r="AC211" i="19"/>
  <c r="L328" i="19"/>
  <c r="AE124" i="19"/>
  <c r="N328" i="19"/>
  <c r="K39" i="19"/>
  <c r="D241" i="19" s="1"/>
  <c r="CQ75" i="6"/>
  <c r="K42" i="1" s="1"/>
  <c r="K43" i="1" s="1"/>
  <c r="K44" i="1" s="1"/>
  <c r="K45" i="1" s="1"/>
  <c r="K46" i="1" s="1"/>
  <c r="K47" i="1" s="1"/>
  <c r="K48" i="1" s="1"/>
  <c r="K49" i="1" s="1"/>
  <c r="K50" i="1" s="1"/>
  <c r="K51" i="1" s="1"/>
  <c r="E39" i="19"/>
  <c r="CQ37" i="6"/>
  <c r="E42" i="1" s="1"/>
  <c r="E43" i="1" s="1"/>
  <c r="E44" i="1" s="1"/>
  <c r="E45" i="1" s="1"/>
  <c r="E46" i="1" s="1"/>
  <c r="J39" i="19"/>
  <c r="D212" i="19" s="1"/>
  <c r="BK75" i="6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N2" i="49" l="1"/>
  <c r="N6" i="49" s="1"/>
  <c r="N10" i="49" s="1"/>
  <c r="N18" i="49" s="1"/>
  <c r="Q80" i="5"/>
  <c r="Q40" i="49"/>
  <c r="P52" i="49"/>
  <c r="O3" i="49"/>
  <c r="O7" i="49" s="1"/>
  <c r="O11" i="49" s="1"/>
  <c r="O19" i="49" s="1"/>
  <c r="R79" i="5"/>
  <c r="E47" i="1"/>
  <c r="E48" i="1" s="1"/>
  <c r="E49" i="1" s="1"/>
  <c r="E50" i="1" s="1"/>
  <c r="E51" i="1" s="1"/>
  <c r="R70" i="49"/>
  <c r="Q81" i="49"/>
  <c r="AT74" i="23"/>
  <c r="AT92" i="23" s="1"/>
  <c r="AT110" i="23" s="1"/>
  <c r="Q187" i="1"/>
  <c r="P282" i="20"/>
  <c r="R187" i="1" s="1"/>
  <c r="R109" i="1"/>
  <c r="L290" i="20"/>
  <c r="K269" i="21"/>
  <c r="AQ269" i="21" s="1"/>
  <c r="N231" i="20"/>
  <c r="M210" i="21"/>
  <c r="AS210" i="21" s="1"/>
  <c r="I62" i="20"/>
  <c r="H41" i="21"/>
  <c r="AN41" i="21" s="1"/>
  <c r="D67" i="20"/>
  <c r="C299" i="20"/>
  <c r="C46" i="21"/>
  <c r="AI46" i="21" s="1"/>
  <c r="E468" i="20"/>
  <c r="D447" i="21"/>
  <c r="AJ447" i="21" s="1"/>
  <c r="I293" i="20"/>
  <c r="H272" i="21"/>
  <c r="AN272" i="21" s="1"/>
  <c r="G410" i="20"/>
  <c r="F389" i="21"/>
  <c r="AL389" i="21" s="1"/>
  <c r="C243" i="20"/>
  <c r="C242" i="20"/>
  <c r="J463" i="20"/>
  <c r="I442" i="21"/>
  <c r="AO442" i="21" s="1"/>
  <c r="H150" i="20"/>
  <c r="G129" i="21"/>
  <c r="AM129" i="21" s="1"/>
  <c r="I91" i="20"/>
  <c r="H70" i="21"/>
  <c r="AN70" i="21" s="1"/>
  <c r="P84" i="20"/>
  <c r="O63" i="21"/>
  <c r="AU63" i="21" s="1"/>
  <c r="J348" i="20"/>
  <c r="I327" i="21"/>
  <c r="AO327" i="21" s="1"/>
  <c r="K60" i="20"/>
  <c r="J39" i="21"/>
  <c r="AP39" i="21" s="1"/>
  <c r="J90" i="20"/>
  <c r="I69" i="21"/>
  <c r="AO69" i="21" s="1"/>
  <c r="J407" i="20"/>
  <c r="I386" i="21"/>
  <c r="AO386" i="21" s="1"/>
  <c r="I437" i="20"/>
  <c r="H416" i="21"/>
  <c r="AN416" i="21" s="1"/>
  <c r="I349" i="20"/>
  <c r="H328" i="21"/>
  <c r="AN328" i="21" s="1"/>
  <c r="Q228" i="20"/>
  <c r="P207" i="21"/>
  <c r="AV207" i="21" s="1"/>
  <c r="J206" i="20"/>
  <c r="I185" i="21"/>
  <c r="AO185" i="21" s="1"/>
  <c r="M174" i="20"/>
  <c r="L153" i="21"/>
  <c r="AR153" i="21" s="1"/>
  <c r="M261" i="20"/>
  <c r="L240" i="21"/>
  <c r="AR240" i="21" s="1"/>
  <c r="F65" i="20"/>
  <c r="E44" i="21"/>
  <c r="AK44" i="21" s="1"/>
  <c r="R25" i="20"/>
  <c r="Q4" i="21"/>
  <c r="AW4" i="21" s="1"/>
  <c r="Q83" i="20"/>
  <c r="P62" i="21"/>
  <c r="AV62" i="21" s="1"/>
  <c r="H465" i="20"/>
  <c r="G444" i="21"/>
  <c r="AM444" i="21" s="1"/>
  <c r="L88" i="20"/>
  <c r="K67" i="21"/>
  <c r="AQ67" i="21" s="1"/>
  <c r="O374" i="20"/>
  <c r="N353" i="21"/>
  <c r="AT353" i="21" s="1"/>
  <c r="C69" i="20"/>
  <c r="C68" i="20"/>
  <c r="D469" i="20"/>
  <c r="C448" i="21"/>
  <c r="AI448" i="21" s="1"/>
  <c r="I34" i="20"/>
  <c r="H13" i="21"/>
  <c r="AN13" i="21" s="1"/>
  <c r="H266" i="20"/>
  <c r="G245" i="21"/>
  <c r="AM245" i="21" s="1"/>
  <c r="J264" i="20"/>
  <c r="I243" i="21"/>
  <c r="AO243" i="21" s="1"/>
  <c r="J148" i="20"/>
  <c r="I127" i="21"/>
  <c r="AO127" i="21" s="1"/>
  <c r="P55" i="20"/>
  <c r="O34" i="21"/>
  <c r="AU34" i="21" s="1"/>
  <c r="Q141" i="20"/>
  <c r="P120" i="21"/>
  <c r="AV120" i="21" s="1"/>
  <c r="E122" i="20"/>
  <c r="D101" i="21"/>
  <c r="AJ101" i="21" s="1"/>
  <c r="E297" i="20"/>
  <c r="D276" i="21"/>
  <c r="AJ276" i="21" s="1"/>
  <c r="E66" i="20"/>
  <c r="D45" i="21"/>
  <c r="AJ45" i="21" s="1"/>
  <c r="D212" i="20"/>
  <c r="C191" i="21"/>
  <c r="AI191" i="21" s="1"/>
  <c r="E269" i="20"/>
  <c r="D248" i="21"/>
  <c r="AJ248" i="21" s="1"/>
  <c r="C98" i="20"/>
  <c r="C97" i="20"/>
  <c r="F268" i="20"/>
  <c r="E247" i="21"/>
  <c r="AK247" i="21" s="1"/>
  <c r="R227" i="20"/>
  <c r="Q206" i="21"/>
  <c r="AW206" i="21" s="1"/>
  <c r="M58" i="20"/>
  <c r="L37" i="21"/>
  <c r="AR37" i="21" s="1"/>
  <c r="I408" i="20"/>
  <c r="H387" i="21"/>
  <c r="AN387" i="21" s="1"/>
  <c r="H119" i="20"/>
  <c r="G98" i="21"/>
  <c r="AM98" i="21" s="1"/>
  <c r="E384" i="20"/>
  <c r="D363" i="21"/>
  <c r="AJ363" i="21" s="1"/>
  <c r="M30" i="20"/>
  <c r="L9" i="21"/>
  <c r="AR9" i="21" s="1"/>
  <c r="M404" i="20"/>
  <c r="L383" i="21"/>
  <c r="AR383" i="21" s="1"/>
  <c r="G120" i="20"/>
  <c r="F99" i="21"/>
  <c r="AL99" i="21" s="1"/>
  <c r="M376" i="20"/>
  <c r="L355" i="21"/>
  <c r="AR355" i="21" s="1"/>
  <c r="I322" i="20"/>
  <c r="H301" i="21"/>
  <c r="AN301" i="21" s="1"/>
  <c r="I265" i="20"/>
  <c r="H244" i="21"/>
  <c r="AN244" i="21" s="1"/>
  <c r="H381" i="20"/>
  <c r="G360" i="21"/>
  <c r="AM360" i="21" s="1"/>
  <c r="P373" i="20"/>
  <c r="O352" i="21"/>
  <c r="AU352" i="21" s="1"/>
  <c r="L115" i="20"/>
  <c r="K94" i="21"/>
  <c r="AQ94" i="21" s="1"/>
  <c r="L233" i="20"/>
  <c r="K212" i="21"/>
  <c r="AQ212" i="21" s="1"/>
  <c r="F296" i="20"/>
  <c r="E275" i="21"/>
  <c r="AK275" i="21" s="1"/>
  <c r="G238" i="20"/>
  <c r="F217" i="21"/>
  <c r="AL217" i="21" s="1"/>
  <c r="L346" i="20"/>
  <c r="K325" i="21"/>
  <c r="AQ325" i="21" s="1"/>
  <c r="E353" i="20"/>
  <c r="D332" i="21"/>
  <c r="AJ332" i="21" s="1"/>
  <c r="N29" i="20"/>
  <c r="M8" i="21"/>
  <c r="AS8" i="21" s="1"/>
  <c r="P401" i="20"/>
  <c r="O380" i="21"/>
  <c r="AU380" i="21" s="1"/>
  <c r="O112" i="20"/>
  <c r="N91" i="21"/>
  <c r="AT91" i="21" s="1"/>
  <c r="O230" i="20"/>
  <c r="N209" i="21"/>
  <c r="AT209" i="21" s="1"/>
  <c r="F440" i="20"/>
  <c r="E419" i="21"/>
  <c r="AK419" i="21" s="1"/>
  <c r="G295" i="20"/>
  <c r="F274" i="21"/>
  <c r="AL274" i="21" s="1"/>
  <c r="I380" i="20"/>
  <c r="H359" i="21"/>
  <c r="AN359" i="21" s="1"/>
  <c r="R140" i="20"/>
  <c r="Q119" i="21"/>
  <c r="AW119" i="21" s="1"/>
  <c r="K176" i="20"/>
  <c r="J155" i="21"/>
  <c r="AP155" i="21" s="1"/>
  <c r="O259" i="20"/>
  <c r="N238" i="21"/>
  <c r="AT238" i="21" s="1"/>
  <c r="F383" i="20"/>
  <c r="E362" i="21"/>
  <c r="AK362" i="21" s="1"/>
  <c r="N86" i="20"/>
  <c r="M65" i="21"/>
  <c r="AS65" i="21" s="1"/>
  <c r="M203" i="20"/>
  <c r="L182" i="21"/>
  <c r="AR182" i="21" s="1"/>
  <c r="P315" i="20"/>
  <c r="O294" i="21"/>
  <c r="AU294" i="21" s="1"/>
  <c r="C185" i="20"/>
  <c r="C184" i="20"/>
  <c r="R53" i="20"/>
  <c r="Q32" i="21"/>
  <c r="AW32" i="21" s="1"/>
  <c r="K378" i="20"/>
  <c r="J357" i="21"/>
  <c r="AP357" i="21" s="1"/>
  <c r="E240" i="20"/>
  <c r="D219" i="21"/>
  <c r="AJ219" i="21" s="1"/>
  <c r="D385" i="20"/>
  <c r="C364" i="21"/>
  <c r="AI364" i="21" s="1"/>
  <c r="C328" i="20"/>
  <c r="D96" i="20"/>
  <c r="C75" i="21"/>
  <c r="AI75" i="21" s="1"/>
  <c r="C40" i="20"/>
  <c r="N344" i="20"/>
  <c r="M323" i="21"/>
  <c r="AS323" i="21" s="1"/>
  <c r="F152" i="20"/>
  <c r="E131" i="21"/>
  <c r="AK131" i="21" s="1"/>
  <c r="N144" i="20"/>
  <c r="M123" i="21"/>
  <c r="AS123" i="21" s="1"/>
  <c r="J436" i="20"/>
  <c r="I415" i="21"/>
  <c r="AO415" i="21" s="1"/>
  <c r="E211" i="20"/>
  <c r="D190" i="21"/>
  <c r="AJ190" i="21" s="1"/>
  <c r="K320" i="20"/>
  <c r="J299" i="21"/>
  <c r="AP299" i="21" s="1"/>
  <c r="P200" i="20"/>
  <c r="O179" i="21"/>
  <c r="AU179" i="21" s="1"/>
  <c r="I464" i="20"/>
  <c r="H443" i="21"/>
  <c r="AN443" i="21" s="1"/>
  <c r="N57" i="20"/>
  <c r="M36" i="21"/>
  <c r="AS36" i="21" s="1"/>
  <c r="L377" i="20"/>
  <c r="K356" i="21"/>
  <c r="AQ356" i="21" s="1"/>
  <c r="F239" i="20"/>
  <c r="E218" i="21"/>
  <c r="AK218" i="21" s="1"/>
  <c r="M318" i="20"/>
  <c r="L297" i="21"/>
  <c r="AR297" i="21" s="1"/>
  <c r="F352" i="20"/>
  <c r="E331" i="21"/>
  <c r="AK331" i="21" s="1"/>
  <c r="I178" i="20"/>
  <c r="H157" i="21"/>
  <c r="AN157" i="21" s="1"/>
  <c r="G351" i="20"/>
  <c r="F330" i="21"/>
  <c r="AL330" i="21" s="1"/>
  <c r="L461" i="20"/>
  <c r="K440" i="21"/>
  <c r="AQ440" i="21" s="1"/>
  <c r="I118" i="20"/>
  <c r="H97" i="21"/>
  <c r="AN97" i="21" s="1"/>
  <c r="E441" i="20"/>
  <c r="D420" i="21"/>
  <c r="AJ420" i="21" s="1"/>
  <c r="P27" i="20"/>
  <c r="O6" i="21"/>
  <c r="AU6" i="21" s="1"/>
  <c r="C355" i="20"/>
  <c r="D123" i="20"/>
  <c r="C102" i="21"/>
  <c r="AI102" i="21" s="1"/>
  <c r="O201" i="20"/>
  <c r="N180" i="21"/>
  <c r="AT180" i="21" s="1"/>
  <c r="G93" i="20"/>
  <c r="F72" i="21"/>
  <c r="AL72" i="21" s="1"/>
  <c r="J177" i="20"/>
  <c r="I156" i="21"/>
  <c r="AO156" i="21" s="1"/>
  <c r="O431" i="20"/>
  <c r="N410" i="21"/>
  <c r="AT410" i="21" s="1"/>
  <c r="P430" i="20"/>
  <c r="O409" i="21"/>
  <c r="AU409" i="21" s="1"/>
  <c r="L59" i="20"/>
  <c r="K38" i="21"/>
  <c r="AQ38" i="21" s="1"/>
  <c r="L434" i="20"/>
  <c r="K413" i="21"/>
  <c r="AQ413" i="21" s="1"/>
  <c r="D442" i="20"/>
  <c r="C421" i="21"/>
  <c r="AI421" i="21" s="1"/>
  <c r="C470" i="20"/>
  <c r="D354" i="20"/>
  <c r="C333" i="21"/>
  <c r="AI333" i="21" s="1"/>
  <c r="P111" i="20"/>
  <c r="O90" i="21"/>
  <c r="AU90" i="21" s="1"/>
  <c r="N202" i="20"/>
  <c r="M181" i="21"/>
  <c r="AS181" i="21" s="1"/>
  <c r="H294" i="20"/>
  <c r="G273" i="21"/>
  <c r="AM273" i="21" s="1"/>
  <c r="D154" i="20"/>
  <c r="C133" i="21"/>
  <c r="AI133" i="21" s="1"/>
  <c r="D413" i="20"/>
  <c r="C392" i="21"/>
  <c r="AI392" i="21" s="1"/>
  <c r="P258" i="20"/>
  <c r="O237" i="21"/>
  <c r="AU237" i="21" s="1"/>
  <c r="L319" i="20"/>
  <c r="K298" i="21"/>
  <c r="AQ298" i="21" s="1"/>
  <c r="G180" i="20"/>
  <c r="F159" i="21"/>
  <c r="AL159" i="21" s="1"/>
  <c r="F37" i="20"/>
  <c r="E16" i="21"/>
  <c r="AK16" i="21" s="1"/>
  <c r="Q314" i="20"/>
  <c r="P293" i="21"/>
  <c r="AV293" i="21" s="1"/>
  <c r="G466" i="20"/>
  <c r="F445" i="21"/>
  <c r="AL445" i="21" s="1"/>
  <c r="I236" i="20"/>
  <c r="H215" i="21"/>
  <c r="AN215" i="21" s="1"/>
  <c r="K347" i="20"/>
  <c r="J326" i="21"/>
  <c r="AP326" i="21" s="1"/>
  <c r="O316" i="20"/>
  <c r="N295" i="21"/>
  <c r="AT295" i="21" s="1"/>
  <c r="K291" i="20"/>
  <c r="J270" i="21"/>
  <c r="AP270" i="21" s="1"/>
  <c r="C414" i="20"/>
  <c r="D298" i="20"/>
  <c r="C277" i="21"/>
  <c r="AI277" i="21" s="1"/>
  <c r="K89" i="20"/>
  <c r="J68" i="21"/>
  <c r="AP68" i="21" s="1"/>
  <c r="K462" i="20"/>
  <c r="J441" i="21"/>
  <c r="AP441" i="21" s="1"/>
  <c r="P229" i="20"/>
  <c r="O208" i="21"/>
  <c r="AU208" i="21" s="1"/>
  <c r="L175" i="20"/>
  <c r="K154" i="21"/>
  <c r="AQ154" i="21" s="1"/>
  <c r="O28" i="20"/>
  <c r="N7" i="21"/>
  <c r="AT7" i="21" s="1"/>
  <c r="F181" i="20"/>
  <c r="E160" i="21"/>
  <c r="AK160" i="21" s="1"/>
  <c r="H92" i="20"/>
  <c r="G71" i="21"/>
  <c r="AM71" i="21" s="1"/>
  <c r="H409" i="20"/>
  <c r="G388" i="21"/>
  <c r="AM388" i="21" s="1"/>
  <c r="I207" i="20"/>
  <c r="H186" i="21"/>
  <c r="AN186" i="21" s="1"/>
  <c r="F94" i="20"/>
  <c r="E73" i="21"/>
  <c r="AK73" i="21" s="1"/>
  <c r="M87" i="20"/>
  <c r="L66" i="21"/>
  <c r="AR66" i="21" s="1"/>
  <c r="H350" i="20"/>
  <c r="G329" i="21"/>
  <c r="AM329" i="21" s="1"/>
  <c r="N317" i="20"/>
  <c r="M296" i="21"/>
  <c r="AS296" i="21" s="1"/>
  <c r="C214" i="20"/>
  <c r="C213" i="20"/>
  <c r="N288" i="20"/>
  <c r="M267" i="21"/>
  <c r="AS267" i="21" s="1"/>
  <c r="K234" i="20"/>
  <c r="J213" i="21"/>
  <c r="AP213" i="21" s="1"/>
  <c r="E153" i="20"/>
  <c r="D132" i="21"/>
  <c r="AJ132" i="21" s="1"/>
  <c r="K32" i="20"/>
  <c r="J11" i="21"/>
  <c r="AP11" i="21" s="1"/>
  <c r="N432" i="20"/>
  <c r="M411" i="21"/>
  <c r="AS411" i="21" s="1"/>
  <c r="O85" i="20"/>
  <c r="N64" i="21"/>
  <c r="AT64" i="21" s="1"/>
  <c r="J235" i="20"/>
  <c r="I214" i="21"/>
  <c r="AO214" i="21" s="1"/>
  <c r="R169" i="20"/>
  <c r="Q148" i="21"/>
  <c r="AW148" i="21" s="1"/>
  <c r="E182" i="20"/>
  <c r="D161" i="21"/>
  <c r="AJ161" i="21" s="1"/>
  <c r="K263" i="20"/>
  <c r="J242" i="21"/>
  <c r="AP242" i="21" s="1"/>
  <c r="J292" i="20"/>
  <c r="I271" i="21"/>
  <c r="AO271" i="21" s="1"/>
  <c r="K147" i="20"/>
  <c r="J126" i="21"/>
  <c r="AP126" i="21" s="1"/>
  <c r="M289" i="20"/>
  <c r="L268" i="21"/>
  <c r="AR268" i="21" s="1"/>
  <c r="K205" i="20"/>
  <c r="J184" i="21"/>
  <c r="AP184" i="21" s="1"/>
  <c r="N375" i="20"/>
  <c r="M354" i="21"/>
  <c r="AS354" i="21" s="1"/>
  <c r="G324" i="20"/>
  <c r="F303" i="21"/>
  <c r="AL303" i="21" s="1"/>
  <c r="I149" i="20"/>
  <c r="H128" i="21"/>
  <c r="AN128" i="21" s="1"/>
  <c r="F325" i="20"/>
  <c r="E304" i="21"/>
  <c r="AK304" i="21" s="1"/>
  <c r="J117" i="20"/>
  <c r="I96" i="21"/>
  <c r="AO96" i="21" s="1"/>
  <c r="H208" i="20"/>
  <c r="G187" i="21"/>
  <c r="AM187" i="21" s="1"/>
  <c r="M433" i="20"/>
  <c r="L412" i="21"/>
  <c r="AR412" i="21" s="1"/>
  <c r="P142" i="20"/>
  <c r="O121" i="21"/>
  <c r="AU121" i="21" s="1"/>
  <c r="G209" i="20"/>
  <c r="F188" i="21"/>
  <c r="AL188" i="21" s="1"/>
  <c r="H35" i="20"/>
  <c r="G14" i="21"/>
  <c r="AM14" i="21" s="1"/>
  <c r="L262" i="20"/>
  <c r="K241" i="21"/>
  <c r="AQ241" i="21" s="1"/>
  <c r="C443" i="20"/>
  <c r="D327" i="20"/>
  <c r="C306" i="21"/>
  <c r="AI306" i="21" s="1"/>
  <c r="N173" i="20"/>
  <c r="M152" i="21"/>
  <c r="AS152" i="21" s="1"/>
  <c r="N459" i="20"/>
  <c r="M438" i="21"/>
  <c r="AS438" i="21" s="1"/>
  <c r="L31" i="20"/>
  <c r="K10" i="21"/>
  <c r="AQ10" i="21" s="1"/>
  <c r="Q257" i="20"/>
  <c r="P236" i="21"/>
  <c r="AV236" i="21" s="1"/>
  <c r="M114" i="20"/>
  <c r="L93" i="21"/>
  <c r="AR93" i="21" s="1"/>
  <c r="K116" i="20"/>
  <c r="J95" i="21"/>
  <c r="AP95" i="21" s="1"/>
  <c r="G36" i="20"/>
  <c r="F15" i="21"/>
  <c r="AL15" i="21" s="1"/>
  <c r="P286" i="20"/>
  <c r="O265" i="21"/>
  <c r="AU265" i="21" s="1"/>
  <c r="N260" i="20"/>
  <c r="M239" i="21"/>
  <c r="AS239" i="21" s="1"/>
  <c r="G382" i="20"/>
  <c r="F361" i="21"/>
  <c r="AL361" i="21" s="1"/>
  <c r="Q170" i="20"/>
  <c r="P149" i="21"/>
  <c r="AV149" i="21" s="1"/>
  <c r="G151" i="20"/>
  <c r="F130" i="21"/>
  <c r="AL130" i="21" s="1"/>
  <c r="H179" i="20"/>
  <c r="G158" i="21"/>
  <c r="AM158" i="21" s="1"/>
  <c r="J61" i="20"/>
  <c r="I40" i="21"/>
  <c r="AO40" i="21" s="1"/>
  <c r="O56" i="20"/>
  <c r="N35" i="21"/>
  <c r="AT35" i="21" s="1"/>
  <c r="H323" i="20"/>
  <c r="G302" i="21"/>
  <c r="AM302" i="21" s="1"/>
  <c r="G267" i="20"/>
  <c r="F246" i="21"/>
  <c r="AL246" i="21" s="1"/>
  <c r="K406" i="20"/>
  <c r="J385" i="21"/>
  <c r="AP385" i="21" s="1"/>
  <c r="H438" i="20"/>
  <c r="G417" i="21"/>
  <c r="AM417" i="21" s="1"/>
  <c r="O402" i="20"/>
  <c r="N381" i="21"/>
  <c r="AT381" i="21" s="1"/>
  <c r="N403" i="20"/>
  <c r="M382" i="21"/>
  <c r="AS382" i="21" s="1"/>
  <c r="Q199" i="20"/>
  <c r="P178" i="21"/>
  <c r="AV178" i="21" s="1"/>
  <c r="M345" i="20"/>
  <c r="L324" i="21"/>
  <c r="AR324" i="21" s="1"/>
  <c r="K435" i="20"/>
  <c r="J414" i="21"/>
  <c r="AP414" i="21" s="1"/>
  <c r="R198" i="20"/>
  <c r="Q177" i="21"/>
  <c r="AW177" i="21" s="1"/>
  <c r="L204" i="20"/>
  <c r="K183" i="21"/>
  <c r="AQ183" i="21" s="1"/>
  <c r="C386" i="20"/>
  <c r="D270" i="20"/>
  <c r="C249" i="21"/>
  <c r="AI249" i="21" s="1"/>
  <c r="M460" i="20"/>
  <c r="L439" i="21"/>
  <c r="AR439" i="21" s="1"/>
  <c r="F121" i="20"/>
  <c r="E100" i="21"/>
  <c r="AK100" i="21" s="1"/>
  <c r="C124" i="20"/>
  <c r="Q26" i="20"/>
  <c r="P5" i="21"/>
  <c r="AV5" i="21" s="1"/>
  <c r="L405" i="20"/>
  <c r="K384" i="21"/>
  <c r="AQ384" i="21" s="1"/>
  <c r="F411" i="20"/>
  <c r="E390" i="21"/>
  <c r="AK390" i="21" s="1"/>
  <c r="Q54" i="20"/>
  <c r="P33" i="21"/>
  <c r="AV33" i="21" s="1"/>
  <c r="O287" i="20"/>
  <c r="N266" i="21"/>
  <c r="AT266" i="21" s="1"/>
  <c r="O143" i="20"/>
  <c r="N122" i="21"/>
  <c r="AT122" i="21" s="1"/>
  <c r="J379" i="20"/>
  <c r="I358" i="21"/>
  <c r="AO358" i="21" s="1"/>
  <c r="L146" i="20"/>
  <c r="K125" i="21"/>
  <c r="AQ125" i="21" s="1"/>
  <c r="J33" i="20"/>
  <c r="I12" i="21"/>
  <c r="AO12" i="21" s="1"/>
  <c r="O172" i="20"/>
  <c r="N151" i="21"/>
  <c r="AT151" i="21" s="1"/>
  <c r="H237" i="20"/>
  <c r="G216" i="21"/>
  <c r="AM216" i="21" s="1"/>
  <c r="E326" i="20"/>
  <c r="D305" i="21"/>
  <c r="AJ305" i="21" s="1"/>
  <c r="P171" i="20"/>
  <c r="O150" i="21"/>
  <c r="AU150" i="21" s="1"/>
  <c r="E412" i="20"/>
  <c r="D391" i="21"/>
  <c r="AJ391" i="21" s="1"/>
  <c r="D241" i="20"/>
  <c r="C220" i="21"/>
  <c r="AI220" i="21" s="1"/>
  <c r="C155" i="20"/>
  <c r="D183" i="20"/>
  <c r="C162" i="21"/>
  <c r="AI162" i="21" s="1"/>
  <c r="N113" i="20"/>
  <c r="M92" i="21"/>
  <c r="AS92" i="21" s="1"/>
  <c r="M145" i="20"/>
  <c r="L124" i="21"/>
  <c r="AR124" i="21" s="1"/>
  <c r="F210" i="20"/>
  <c r="E189" i="21"/>
  <c r="AK189" i="21" s="1"/>
  <c r="M232" i="20"/>
  <c r="L211" i="21"/>
  <c r="AR211" i="21" s="1"/>
  <c r="G64" i="20"/>
  <c r="F43" i="21"/>
  <c r="AL43" i="21" s="1"/>
  <c r="G439" i="20"/>
  <c r="F418" i="21"/>
  <c r="AL418" i="21" s="1"/>
  <c r="D39" i="20"/>
  <c r="C271" i="20"/>
  <c r="C18" i="21"/>
  <c r="AI18" i="21" s="1"/>
  <c r="E95" i="20"/>
  <c r="D74" i="21"/>
  <c r="AJ74" i="21" s="1"/>
  <c r="J321" i="20"/>
  <c r="I300" i="21"/>
  <c r="AO300" i="21" s="1"/>
  <c r="Q285" i="20"/>
  <c r="P264" i="21"/>
  <c r="AV264" i="21" s="1"/>
  <c r="R82" i="20"/>
  <c r="Q61" i="21"/>
  <c r="AW61" i="21" s="1"/>
  <c r="H63" i="20"/>
  <c r="G42" i="21"/>
  <c r="AM42" i="21" s="1"/>
  <c r="O343" i="20"/>
  <c r="N322" i="21"/>
  <c r="AT322" i="21" s="1"/>
  <c r="F467" i="20"/>
  <c r="E446" i="21"/>
  <c r="AK446" i="21" s="1"/>
  <c r="E38" i="20"/>
  <c r="D17" i="21"/>
  <c r="AJ17" i="21" s="1"/>
  <c r="S270" i="19"/>
  <c r="T271" i="19" s="1"/>
  <c r="Q270" i="19"/>
  <c r="P386" i="19"/>
  <c r="Y386" i="19"/>
  <c r="Z387" i="19" s="1"/>
  <c r="T328" i="19"/>
  <c r="T444" i="19"/>
  <c r="Q502" i="19"/>
  <c r="AB270" i="19"/>
  <c r="AC271" i="19" s="1"/>
  <c r="AC183" i="19"/>
  <c r="AA386" i="19"/>
  <c r="U270" i="19"/>
  <c r="T96" i="19"/>
  <c r="X386" i="19"/>
  <c r="S67" i="19"/>
  <c r="AA154" i="19"/>
  <c r="AB386" i="19"/>
  <c r="AE502" i="19"/>
  <c r="AB328" i="19"/>
  <c r="AC67" i="19"/>
  <c r="P67" i="19"/>
  <c r="R502" i="19"/>
  <c r="Z183" i="19"/>
  <c r="AE270" i="19"/>
  <c r="V415" i="19"/>
  <c r="R154" i="19"/>
  <c r="S155" i="19" s="1"/>
  <c r="Z415" i="19"/>
  <c r="U502" i="19"/>
  <c r="W415" i="19"/>
  <c r="W183" i="19"/>
  <c r="T386" i="19"/>
  <c r="AD67" i="19"/>
  <c r="AA96" i="19"/>
  <c r="V183" i="19"/>
  <c r="AE96" i="19"/>
  <c r="AB154" i="19"/>
  <c r="Z154" i="19"/>
  <c r="R415" i="19"/>
  <c r="AC328" i="19"/>
  <c r="T183" i="19"/>
  <c r="AA183" i="19"/>
  <c r="X96" i="19"/>
  <c r="P502" i="19"/>
  <c r="AD415" i="19"/>
  <c r="W154" i="19"/>
  <c r="Y444" i="19"/>
  <c r="P444" i="19"/>
  <c r="P328" i="19"/>
  <c r="T415" i="19"/>
  <c r="S386" i="19"/>
  <c r="Q328" i="19"/>
  <c r="AD444" i="19"/>
  <c r="Z444" i="19"/>
  <c r="AE183" i="19"/>
  <c r="AD270" i="19"/>
  <c r="AE386" i="19"/>
  <c r="Z67" i="19"/>
  <c r="Y96" i="19"/>
  <c r="Y502" i="19"/>
  <c r="AA502" i="19"/>
  <c r="S502" i="19"/>
  <c r="AB67" i="19"/>
  <c r="S96" i="19"/>
  <c r="R96" i="19"/>
  <c r="R444" i="19"/>
  <c r="AC96" i="19"/>
  <c r="AB502" i="19"/>
  <c r="X183" i="19"/>
  <c r="AA444" i="19"/>
  <c r="AB183" i="19"/>
  <c r="AC415" i="19"/>
  <c r="X67" i="19"/>
  <c r="U328" i="19"/>
  <c r="V386" i="19"/>
  <c r="Q67" i="19"/>
  <c r="T67" i="19"/>
  <c r="O328" i="19"/>
  <c r="AD502" i="19"/>
  <c r="V96" i="19"/>
  <c r="U183" i="19"/>
  <c r="Y270" i="19"/>
  <c r="V502" i="19"/>
  <c r="AD328" i="19"/>
  <c r="R270" i="19"/>
  <c r="U96" i="19"/>
  <c r="O502" i="19"/>
  <c r="U154" i="19"/>
  <c r="O444" i="19"/>
  <c r="AC270" i="19"/>
  <c r="W502" i="19"/>
  <c r="Y183" i="19"/>
  <c r="P96" i="19"/>
  <c r="AB96" i="19"/>
  <c r="AA415" i="19"/>
  <c r="AD386" i="19"/>
  <c r="Q183" i="19"/>
  <c r="Q386" i="19"/>
  <c r="R67" i="19"/>
  <c r="S183" i="19"/>
  <c r="T270" i="19"/>
  <c r="Q96" i="19"/>
  <c r="R97" i="19" s="1"/>
  <c r="AC502" i="19"/>
  <c r="R328" i="19"/>
  <c r="Z386" i="19"/>
  <c r="AA328" i="19"/>
  <c r="W67" i="19"/>
  <c r="W386" i="19"/>
  <c r="Y328" i="19"/>
  <c r="X502" i="19"/>
  <c r="W444" i="19"/>
  <c r="R183" i="19"/>
  <c r="Q154" i="19"/>
  <c r="S444" i="19"/>
  <c r="P154" i="19"/>
  <c r="AD154" i="19"/>
  <c r="P183" i="19"/>
  <c r="AC386" i="19"/>
  <c r="Z502" i="19"/>
  <c r="O96" i="19"/>
  <c r="AD96" i="19"/>
  <c r="V154" i="19"/>
  <c r="U386" i="19"/>
  <c r="AE444" i="19"/>
  <c r="W96" i="19"/>
  <c r="X154" i="19"/>
  <c r="O386" i="19"/>
  <c r="S154" i="19"/>
  <c r="X328" i="19"/>
  <c r="O154" i="19"/>
  <c r="X444" i="19"/>
  <c r="AB444" i="19"/>
  <c r="T502" i="19"/>
  <c r="U444" i="19"/>
  <c r="V328" i="19"/>
  <c r="C429" i="23"/>
  <c r="D430" i="23" s="1"/>
  <c r="E431" i="23" s="1"/>
  <c r="F432" i="23" s="1"/>
  <c r="C459" i="23"/>
  <c r="N503" i="19"/>
  <c r="C488" i="23"/>
  <c r="I97" i="19"/>
  <c r="N416" i="19"/>
  <c r="N445" i="19"/>
  <c r="N155" i="19"/>
  <c r="Y473" i="19"/>
  <c r="V68" i="19"/>
  <c r="L503" i="19"/>
  <c r="H329" i="19"/>
  <c r="G445" i="19"/>
  <c r="E445" i="19"/>
  <c r="I184" i="19"/>
  <c r="M184" i="19"/>
  <c r="Q212" i="19"/>
  <c r="G329" i="19"/>
  <c r="F97" i="19"/>
  <c r="M329" i="19"/>
  <c r="AA212" i="19"/>
  <c r="Z241" i="19"/>
  <c r="T329" i="19"/>
  <c r="AE212" i="19"/>
  <c r="E97" i="19"/>
  <c r="F445" i="19"/>
  <c r="L445" i="19"/>
  <c r="F503" i="19"/>
  <c r="AA97" i="19"/>
  <c r="AD445" i="19"/>
  <c r="M445" i="19"/>
  <c r="E329" i="19"/>
  <c r="R445" i="19"/>
  <c r="I329" i="19"/>
  <c r="G97" i="19"/>
  <c r="J97" i="19"/>
  <c r="K329" i="19"/>
  <c r="O329" i="19"/>
  <c r="J445" i="19"/>
  <c r="M97" i="19"/>
  <c r="O97" i="19"/>
  <c r="K97" i="19"/>
  <c r="J329" i="19"/>
  <c r="O445" i="19"/>
  <c r="G416" i="19"/>
  <c r="M241" i="19"/>
  <c r="H68" i="19"/>
  <c r="W68" i="19"/>
  <c r="W445" i="19"/>
  <c r="I241" i="19"/>
  <c r="N97" i="19"/>
  <c r="O503" i="19"/>
  <c r="H97" i="19"/>
  <c r="L68" i="19"/>
  <c r="M68" i="19"/>
  <c r="O68" i="19"/>
  <c r="G241" i="19"/>
  <c r="M503" i="19"/>
  <c r="E387" i="19"/>
  <c r="E68" i="19"/>
  <c r="S387" i="19"/>
  <c r="V416" i="19"/>
  <c r="L416" i="19"/>
  <c r="P68" i="19"/>
  <c r="H445" i="19"/>
  <c r="O387" i="19"/>
  <c r="J271" i="19"/>
  <c r="G503" i="19"/>
  <c r="O184" i="19"/>
  <c r="F329" i="19"/>
  <c r="O416" i="19"/>
  <c r="N329" i="19"/>
  <c r="G184" i="19"/>
  <c r="H184" i="19"/>
  <c r="X271" i="19"/>
  <c r="O271" i="19"/>
  <c r="F271" i="19"/>
  <c r="V212" i="19"/>
  <c r="E184" i="19"/>
  <c r="R212" i="19"/>
  <c r="J184" i="19"/>
  <c r="N271" i="19"/>
  <c r="P212" i="19"/>
  <c r="X241" i="19"/>
  <c r="K184" i="19"/>
  <c r="H271" i="19"/>
  <c r="AA271" i="19"/>
  <c r="E271" i="19"/>
  <c r="Y241" i="19"/>
  <c r="S241" i="19"/>
  <c r="K445" i="19"/>
  <c r="W271" i="19"/>
  <c r="F184" i="19"/>
  <c r="I271" i="19"/>
  <c r="E241" i="19"/>
  <c r="AA241" i="19"/>
  <c r="AE184" i="19"/>
  <c r="K212" i="19"/>
  <c r="M212" i="19"/>
  <c r="AC212" i="19"/>
  <c r="P271" i="19"/>
  <c r="H241" i="19"/>
  <c r="J241" i="19"/>
  <c r="F241" i="19"/>
  <c r="O155" i="19"/>
  <c r="E212" i="19"/>
  <c r="L271" i="19"/>
  <c r="H155" i="19"/>
  <c r="K271" i="19"/>
  <c r="AD241" i="19"/>
  <c r="L184" i="19"/>
  <c r="K155" i="19"/>
  <c r="P184" i="19"/>
  <c r="L387" i="19"/>
  <c r="Q271" i="19"/>
  <c r="N184" i="19"/>
  <c r="G271" i="19"/>
  <c r="F212" i="19"/>
  <c r="AA473" i="19"/>
  <c r="H357" i="19"/>
  <c r="D387" i="19"/>
  <c r="D503" i="19"/>
  <c r="D155" i="19"/>
  <c r="D68" i="19"/>
  <c r="D416" i="19"/>
  <c r="K416" i="19"/>
  <c r="L125" i="19"/>
  <c r="E503" i="19"/>
  <c r="Z125" i="19"/>
  <c r="U125" i="19"/>
  <c r="N387" i="19"/>
  <c r="L155" i="19"/>
  <c r="AB357" i="19"/>
  <c r="K125" i="19"/>
  <c r="AE473" i="19"/>
  <c r="AA125" i="19"/>
  <c r="H387" i="19"/>
  <c r="J473" i="19"/>
  <c r="J155" i="19"/>
  <c r="F387" i="19"/>
  <c r="AD473" i="19"/>
  <c r="Q416" i="19"/>
  <c r="R416" i="19"/>
  <c r="AC357" i="19"/>
  <c r="AD212" i="19"/>
  <c r="AC125" i="19"/>
  <c r="R125" i="19"/>
  <c r="S212" i="19"/>
  <c r="F155" i="19"/>
  <c r="AB241" i="19"/>
  <c r="N68" i="19"/>
  <c r="N212" i="19"/>
  <c r="Q357" i="19"/>
  <c r="O125" i="19"/>
  <c r="Z416" i="19"/>
  <c r="P125" i="19"/>
  <c r="J387" i="19"/>
  <c r="H416" i="19"/>
  <c r="AE241" i="19"/>
  <c r="W241" i="19"/>
  <c r="G155" i="19"/>
  <c r="Z68" i="19"/>
  <c r="I357" i="19"/>
  <c r="V473" i="19"/>
  <c r="I387" i="19"/>
  <c r="Q241" i="19"/>
  <c r="Z155" i="19"/>
  <c r="N357" i="19"/>
  <c r="I473" i="19"/>
  <c r="V125" i="19"/>
  <c r="J212" i="19"/>
  <c r="G68" i="19"/>
  <c r="T212" i="19"/>
  <c r="W125" i="19"/>
  <c r="O241" i="19"/>
  <c r="F41" i="19"/>
  <c r="C41" i="19"/>
  <c r="J68" i="19"/>
  <c r="U155" i="19"/>
  <c r="V241" i="19"/>
  <c r="I416" i="19"/>
  <c r="K473" i="19"/>
  <c r="Z357" i="19"/>
  <c r="E155" i="19"/>
  <c r="I212" i="19"/>
  <c r="J503" i="19"/>
  <c r="K68" i="19"/>
  <c r="X212" i="19"/>
  <c r="Z212" i="19"/>
  <c r="E473" i="19"/>
  <c r="X357" i="19"/>
  <c r="Q125" i="19"/>
  <c r="R241" i="19"/>
  <c r="S125" i="19"/>
  <c r="W473" i="19"/>
  <c r="K387" i="19"/>
  <c r="I68" i="19"/>
  <c r="X473" i="19"/>
  <c r="E40" i="19"/>
  <c r="Q473" i="19"/>
  <c r="P473" i="19"/>
  <c r="H212" i="19"/>
  <c r="G212" i="19"/>
  <c r="U357" i="19"/>
  <c r="Z473" i="19"/>
  <c r="F357" i="19"/>
  <c r="R473" i="19"/>
  <c r="G125" i="19"/>
  <c r="AC416" i="19"/>
  <c r="AD155" i="19"/>
  <c r="W212" i="19"/>
  <c r="G473" i="19"/>
  <c r="L212" i="19"/>
  <c r="M416" i="19"/>
  <c r="M387" i="19"/>
  <c r="L241" i="19"/>
  <c r="Y212" i="19"/>
  <c r="Y416" i="19"/>
  <c r="M271" i="19"/>
  <c r="I503" i="19"/>
  <c r="T125" i="19"/>
  <c r="F68" i="19"/>
  <c r="K357" i="19"/>
  <c r="S473" i="19"/>
  <c r="J416" i="19"/>
  <c r="M357" i="19"/>
  <c r="O357" i="19"/>
  <c r="N241" i="19"/>
  <c r="AC473" i="19"/>
  <c r="K241" i="19"/>
  <c r="O212" i="19"/>
  <c r="D445" i="19"/>
  <c r="D329" i="19"/>
  <c r="D97" i="19"/>
  <c r="I445" i="19"/>
  <c r="I155" i="19"/>
  <c r="G357" i="19"/>
  <c r="K503" i="19"/>
  <c r="L329" i="19"/>
  <c r="H503" i="19"/>
  <c r="E416" i="19"/>
  <c r="AB68" i="19"/>
  <c r="J125" i="19"/>
  <c r="M155" i="19"/>
  <c r="AB125" i="19"/>
  <c r="G387" i="19"/>
  <c r="Y271" i="19"/>
  <c r="H125" i="19"/>
  <c r="L97" i="19"/>
  <c r="AC241" i="19"/>
  <c r="U241" i="19"/>
  <c r="E125" i="19"/>
  <c r="T241" i="19"/>
  <c r="S357" i="19"/>
  <c r="T416" i="19"/>
  <c r="AB212" i="19"/>
  <c r="P241" i="19"/>
  <c r="F416" i="19"/>
  <c r="P416" i="19"/>
  <c r="AB271" i="19"/>
  <c r="X329" i="19"/>
  <c r="AA329" i="19"/>
  <c r="U212" i="19"/>
  <c r="D125" i="19"/>
  <c r="D473" i="19"/>
  <c r="D357" i="19"/>
  <c r="N125" i="19"/>
  <c r="N473" i="19"/>
  <c r="AA357" i="19"/>
  <c r="AE357" i="19"/>
  <c r="H473" i="19"/>
  <c r="L357" i="19"/>
  <c r="L41" i="19"/>
  <c r="D272" i="19" s="1"/>
  <c r="F125" i="19"/>
  <c r="P357" i="19"/>
  <c r="AE125" i="19"/>
  <c r="R300" i="19"/>
  <c r="Q311" i="19"/>
  <c r="I125" i="19"/>
  <c r="D41" i="19"/>
  <c r="I41" i="19"/>
  <c r="D185" i="19" s="1"/>
  <c r="AB473" i="19"/>
  <c r="M473" i="19"/>
  <c r="V357" i="19"/>
  <c r="W357" i="19"/>
  <c r="O473" i="19"/>
  <c r="E357" i="19"/>
  <c r="M125" i="19"/>
  <c r="T357" i="19"/>
  <c r="Y357" i="19"/>
  <c r="J40" i="19"/>
  <c r="D213" i="19" s="1"/>
  <c r="K40" i="19"/>
  <c r="D242" i="19" s="1"/>
  <c r="AD125" i="19"/>
  <c r="X125" i="19"/>
  <c r="R357" i="19"/>
  <c r="L473" i="19"/>
  <c r="F473" i="19"/>
  <c r="J357" i="19"/>
  <c r="T473" i="19"/>
  <c r="U473" i="19"/>
  <c r="Y125" i="19"/>
  <c r="AD357" i="19"/>
  <c r="S71" i="49" l="1"/>
  <c r="R81" i="49"/>
  <c r="O2" i="49"/>
  <c r="O6" i="49" s="1"/>
  <c r="O10" i="49" s="1"/>
  <c r="O18" i="49" s="1"/>
  <c r="R80" i="5"/>
  <c r="R41" i="49"/>
  <c r="Q52" i="49"/>
  <c r="P3" i="49"/>
  <c r="P7" i="49" s="1"/>
  <c r="P11" i="49" s="1"/>
  <c r="P19" i="49" s="1"/>
  <c r="S79" i="5"/>
  <c r="AU74" i="23"/>
  <c r="AU92" i="23" s="1"/>
  <c r="AU110" i="23" s="1"/>
  <c r="P261" i="21"/>
  <c r="Q282" i="20"/>
  <c r="Q261" i="21" s="1"/>
  <c r="S109" i="1"/>
  <c r="H64" i="20"/>
  <c r="G43" i="21"/>
  <c r="AM43" i="21" s="1"/>
  <c r="L435" i="20"/>
  <c r="K414" i="21"/>
  <c r="AQ414" i="21" s="1"/>
  <c r="I323" i="20"/>
  <c r="H302" i="21"/>
  <c r="AN302" i="21" s="1"/>
  <c r="Q286" i="20"/>
  <c r="P265" i="21"/>
  <c r="AV265" i="21" s="1"/>
  <c r="K117" i="20"/>
  <c r="J96" i="21"/>
  <c r="AP96" i="21" s="1"/>
  <c r="L147" i="20"/>
  <c r="K126" i="21"/>
  <c r="AQ126" i="21" s="1"/>
  <c r="L291" i="20"/>
  <c r="K270" i="21"/>
  <c r="AQ270" i="21" s="1"/>
  <c r="H466" i="20"/>
  <c r="G445" i="21"/>
  <c r="AM445" i="21" s="1"/>
  <c r="E413" i="20"/>
  <c r="D392" i="21"/>
  <c r="AJ392" i="21" s="1"/>
  <c r="I294" i="20"/>
  <c r="H273" i="21"/>
  <c r="AN273" i="21" s="1"/>
  <c r="Q111" i="20"/>
  <c r="P90" i="21"/>
  <c r="AV90" i="21" s="1"/>
  <c r="Q27" i="20"/>
  <c r="P6" i="21"/>
  <c r="AV6" i="21" s="1"/>
  <c r="G352" i="20"/>
  <c r="F331" i="21"/>
  <c r="AL331" i="21" s="1"/>
  <c r="Q373" i="20"/>
  <c r="P352" i="21"/>
  <c r="AV352" i="21" s="1"/>
  <c r="D68" i="20"/>
  <c r="C300" i="20"/>
  <c r="C47" i="21"/>
  <c r="AI47" i="21" s="1"/>
  <c r="G467" i="20"/>
  <c r="F446" i="21"/>
  <c r="AL446" i="21" s="1"/>
  <c r="I63" i="20"/>
  <c r="H42" i="21"/>
  <c r="AN42" i="21" s="1"/>
  <c r="R285" i="20"/>
  <c r="Q264" i="21"/>
  <c r="AW264" i="21" s="1"/>
  <c r="F95" i="20"/>
  <c r="E74" i="21"/>
  <c r="AK74" i="21" s="1"/>
  <c r="C156" i="20"/>
  <c r="F412" i="20"/>
  <c r="E391" i="21"/>
  <c r="AK391" i="21" s="1"/>
  <c r="F326" i="20"/>
  <c r="E305" i="21"/>
  <c r="AK305" i="21" s="1"/>
  <c r="P172" i="20"/>
  <c r="O151" i="21"/>
  <c r="AU151" i="21" s="1"/>
  <c r="M146" i="20"/>
  <c r="L125" i="21"/>
  <c r="AR125" i="21" s="1"/>
  <c r="P143" i="20"/>
  <c r="O122" i="21"/>
  <c r="AU122" i="21" s="1"/>
  <c r="R54" i="20"/>
  <c r="Q33" i="21"/>
  <c r="AW33" i="21" s="1"/>
  <c r="M405" i="20"/>
  <c r="L384" i="21"/>
  <c r="AR384" i="21" s="1"/>
  <c r="C356" i="20"/>
  <c r="D124" i="20"/>
  <c r="C103" i="21"/>
  <c r="AI103" i="21" s="1"/>
  <c r="G121" i="20"/>
  <c r="F100" i="21"/>
  <c r="AL100" i="21" s="1"/>
  <c r="E270" i="20"/>
  <c r="D249" i="21"/>
  <c r="AJ249" i="21" s="1"/>
  <c r="R257" i="20"/>
  <c r="Q236" i="21"/>
  <c r="AW236" i="21" s="1"/>
  <c r="O459" i="20"/>
  <c r="N438" i="21"/>
  <c r="AT438" i="21" s="1"/>
  <c r="E327" i="20"/>
  <c r="D306" i="21"/>
  <c r="AJ306" i="21" s="1"/>
  <c r="L234" i="20"/>
  <c r="K213" i="21"/>
  <c r="AQ213" i="21" s="1"/>
  <c r="D214" i="20"/>
  <c r="C215" i="20"/>
  <c r="C193" i="21"/>
  <c r="AI193" i="21" s="1"/>
  <c r="I350" i="20"/>
  <c r="H329" i="21"/>
  <c r="AN329" i="21" s="1"/>
  <c r="G94" i="20"/>
  <c r="F73" i="21"/>
  <c r="AL73" i="21" s="1"/>
  <c r="I409" i="20"/>
  <c r="H388" i="21"/>
  <c r="AN388" i="21" s="1"/>
  <c r="G181" i="20"/>
  <c r="F160" i="21"/>
  <c r="AL160" i="21" s="1"/>
  <c r="M175" i="20"/>
  <c r="L154" i="21"/>
  <c r="AR154" i="21" s="1"/>
  <c r="L462" i="20"/>
  <c r="K441" i="21"/>
  <c r="AQ441" i="21" s="1"/>
  <c r="E298" i="20"/>
  <c r="D277" i="21"/>
  <c r="AJ277" i="21" s="1"/>
  <c r="E442" i="20"/>
  <c r="D421" i="21"/>
  <c r="AJ421" i="21" s="1"/>
  <c r="M59" i="20"/>
  <c r="L38" i="21"/>
  <c r="AR38" i="21" s="1"/>
  <c r="P431" i="20"/>
  <c r="O410" i="21"/>
  <c r="AU410" i="21" s="1"/>
  <c r="H93" i="20"/>
  <c r="G72" i="21"/>
  <c r="AM72" i="21" s="1"/>
  <c r="E123" i="20"/>
  <c r="D102" i="21"/>
  <c r="AJ102" i="21" s="1"/>
  <c r="J464" i="20"/>
  <c r="I443" i="21"/>
  <c r="AO443" i="21" s="1"/>
  <c r="L320" i="20"/>
  <c r="K299" i="21"/>
  <c r="AQ299" i="21" s="1"/>
  <c r="K436" i="20"/>
  <c r="J415" i="21"/>
  <c r="AP415" i="21" s="1"/>
  <c r="G152" i="20"/>
  <c r="F131" i="21"/>
  <c r="AL131" i="21" s="1"/>
  <c r="C272" i="20"/>
  <c r="D40" i="20"/>
  <c r="C41" i="20"/>
  <c r="C19" i="21"/>
  <c r="AI19" i="21" s="1"/>
  <c r="D184" i="20"/>
  <c r="C163" i="21"/>
  <c r="AI163" i="21" s="1"/>
  <c r="J322" i="20"/>
  <c r="I301" i="21"/>
  <c r="AO301" i="21" s="1"/>
  <c r="H120" i="20"/>
  <c r="G99" i="21"/>
  <c r="AM99" i="21" s="1"/>
  <c r="N30" i="20"/>
  <c r="M9" i="21"/>
  <c r="AS9" i="21" s="1"/>
  <c r="I119" i="20"/>
  <c r="H98" i="21"/>
  <c r="AN98" i="21" s="1"/>
  <c r="N58" i="20"/>
  <c r="M37" i="21"/>
  <c r="AS37" i="21" s="1"/>
  <c r="G268" i="20"/>
  <c r="F247" i="21"/>
  <c r="AL247" i="21" s="1"/>
  <c r="F269" i="20"/>
  <c r="E248" i="21"/>
  <c r="AK248" i="21" s="1"/>
  <c r="F66" i="20"/>
  <c r="E45" i="21"/>
  <c r="AK45" i="21" s="1"/>
  <c r="F122" i="20"/>
  <c r="E101" i="21"/>
  <c r="AK101" i="21" s="1"/>
  <c r="Q55" i="20"/>
  <c r="P34" i="21"/>
  <c r="AV34" i="21" s="1"/>
  <c r="K264" i="20"/>
  <c r="J243" i="21"/>
  <c r="AP243" i="21" s="1"/>
  <c r="J34" i="20"/>
  <c r="I13" i="21"/>
  <c r="AO13" i="21" s="1"/>
  <c r="C70" i="20"/>
  <c r="C301" i="20"/>
  <c r="D69" i="20"/>
  <c r="C48" i="21"/>
  <c r="AI48" i="21" s="1"/>
  <c r="M88" i="20"/>
  <c r="L67" i="21"/>
  <c r="AR67" i="21" s="1"/>
  <c r="R83" i="20"/>
  <c r="Q62" i="21"/>
  <c r="AW62" i="21" s="1"/>
  <c r="G65" i="20"/>
  <c r="F44" i="21"/>
  <c r="AL44" i="21" s="1"/>
  <c r="N261" i="20"/>
  <c r="M240" i="21"/>
  <c r="AS240" i="21" s="1"/>
  <c r="K206" i="20"/>
  <c r="J185" i="21"/>
  <c r="AP185" i="21" s="1"/>
  <c r="J349" i="20"/>
  <c r="I328" i="21"/>
  <c r="AO328" i="21" s="1"/>
  <c r="K407" i="20"/>
  <c r="J386" i="21"/>
  <c r="AP386" i="21" s="1"/>
  <c r="L60" i="20"/>
  <c r="K39" i="21"/>
  <c r="AQ39" i="21" s="1"/>
  <c r="Q84" i="20"/>
  <c r="P63" i="21"/>
  <c r="AV63" i="21" s="1"/>
  <c r="I150" i="20"/>
  <c r="H129" i="21"/>
  <c r="AN129" i="21" s="1"/>
  <c r="D243" i="20"/>
  <c r="C244" i="20"/>
  <c r="C222" i="21"/>
  <c r="AI222" i="21" s="1"/>
  <c r="J293" i="20"/>
  <c r="I272" i="21"/>
  <c r="AO272" i="21" s="1"/>
  <c r="D299" i="20"/>
  <c r="C415" i="20"/>
  <c r="C278" i="21"/>
  <c r="AI278" i="21" s="1"/>
  <c r="E39" i="20"/>
  <c r="D18" i="21"/>
  <c r="AJ18" i="21" s="1"/>
  <c r="O113" i="20"/>
  <c r="N92" i="21"/>
  <c r="AT92" i="21" s="1"/>
  <c r="M204" i="20"/>
  <c r="L183" i="21"/>
  <c r="AR183" i="21" s="1"/>
  <c r="P402" i="20"/>
  <c r="O381" i="21"/>
  <c r="AU381" i="21" s="1"/>
  <c r="K61" i="20"/>
  <c r="J40" i="21"/>
  <c r="AP40" i="21" s="1"/>
  <c r="H382" i="20"/>
  <c r="G361" i="21"/>
  <c r="AM361" i="21" s="1"/>
  <c r="H209" i="20"/>
  <c r="G188" i="21"/>
  <c r="AM188" i="21" s="1"/>
  <c r="J149" i="20"/>
  <c r="I128" i="21"/>
  <c r="AO128" i="21" s="1"/>
  <c r="L205" i="20"/>
  <c r="K184" i="21"/>
  <c r="AQ184" i="21" s="1"/>
  <c r="S169" i="20"/>
  <c r="R148" i="21"/>
  <c r="AX148" i="21" s="1"/>
  <c r="G37" i="20"/>
  <c r="F16" i="21"/>
  <c r="AL16" i="21" s="1"/>
  <c r="H351" i="20"/>
  <c r="G330" i="21"/>
  <c r="AM330" i="21" s="1"/>
  <c r="O57" i="20"/>
  <c r="N36" i="21"/>
  <c r="AT36" i="21" s="1"/>
  <c r="C444" i="20"/>
  <c r="D328" i="20"/>
  <c r="C307" i="21"/>
  <c r="AI307" i="21" s="1"/>
  <c r="S53" i="20"/>
  <c r="R32" i="21"/>
  <c r="AX32" i="21" s="1"/>
  <c r="O86" i="20"/>
  <c r="N65" i="21"/>
  <c r="AT65" i="21" s="1"/>
  <c r="S140" i="20"/>
  <c r="R119" i="21"/>
  <c r="AX119" i="21" s="1"/>
  <c r="H295" i="20"/>
  <c r="G274" i="21"/>
  <c r="AM274" i="21" s="1"/>
  <c r="Q401" i="20"/>
  <c r="P380" i="21"/>
  <c r="AV380" i="21" s="1"/>
  <c r="H238" i="20"/>
  <c r="G217" i="21"/>
  <c r="AM217" i="21" s="1"/>
  <c r="D242" i="20"/>
  <c r="C221" i="21"/>
  <c r="AI221" i="21" s="1"/>
  <c r="J62" i="20"/>
  <c r="I41" i="21"/>
  <c r="AO41" i="21" s="1"/>
  <c r="H439" i="20"/>
  <c r="G418" i="21"/>
  <c r="AM418" i="21" s="1"/>
  <c r="N232" i="20"/>
  <c r="M211" i="21"/>
  <c r="AS211" i="21" s="1"/>
  <c r="N145" i="20"/>
  <c r="M124" i="21"/>
  <c r="AS124" i="21" s="1"/>
  <c r="E183" i="20"/>
  <c r="D162" i="21"/>
  <c r="AJ162" i="21" s="1"/>
  <c r="C125" i="20"/>
  <c r="D386" i="20"/>
  <c r="C365" i="21"/>
  <c r="AI365" i="21" s="1"/>
  <c r="S198" i="20"/>
  <c r="R177" i="21"/>
  <c r="AX177" i="21" s="1"/>
  <c r="N345" i="20"/>
  <c r="M324" i="21"/>
  <c r="AS324" i="21" s="1"/>
  <c r="O403" i="20"/>
  <c r="N382" i="21"/>
  <c r="AT382" i="21" s="1"/>
  <c r="I438" i="20"/>
  <c r="H417" i="21"/>
  <c r="AN417" i="21" s="1"/>
  <c r="H267" i="20"/>
  <c r="G246" i="21"/>
  <c r="AM246" i="21" s="1"/>
  <c r="P56" i="20"/>
  <c r="O35" i="21"/>
  <c r="AU35" i="21" s="1"/>
  <c r="I179" i="20"/>
  <c r="H158" i="21"/>
  <c r="AN158" i="21" s="1"/>
  <c r="R170" i="20"/>
  <c r="Q149" i="21"/>
  <c r="AW149" i="21" s="1"/>
  <c r="O260" i="20"/>
  <c r="N239" i="21"/>
  <c r="AT239" i="21" s="1"/>
  <c r="H36" i="20"/>
  <c r="G15" i="21"/>
  <c r="AM15" i="21" s="1"/>
  <c r="D443" i="20"/>
  <c r="C422" i="21"/>
  <c r="AI422" i="21" s="1"/>
  <c r="I35" i="20"/>
  <c r="H14" i="21"/>
  <c r="AN14" i="21" s="1"/>
  <c r="Q142" i="20"/>
  <c r="P121" i="21"/>
  <c r="AV121" i="21" s="1"/>
  <c r="I208" i="20"/>
  <c r="H187" i="21"/>
  <c r="AN187" i="21" s="1"/>
  <c r="G325" i="20"/>
  <c r="F304" i="21"/>
  <c r="AL304" i="21" s="1"/>
  <c r="H324" i="20"/>
  <c r="G303" i="21"/>
  <c r="AM303" i="21" s="1"/>
  <c r="O375" i="20"/>
  <c r="N354" i="21"/>
  <c r="AT354" i="21" s="1"/>
  <c r="N289" i="20"/>
  <c r="M268" i="21"/>
  <c r="AS268" i="21" s="1"/>
  <c r="K292" i="20"/>
  <c r="J271" i="21"/>
  <c r="AP271" i="21" s="1"/>
  <c r="F182" i="20"/>
  <c r="E161" i="21"/>
  <c r="AK161" i="21" s="1"/>
  <c r="K235" i="20"/>
  <c r="J214" i="21"/>
  <c r="AP214" i="21" s="1"/>
  <c r="O432" i="20"/>
  <c r="N411" i="21"/>
  <c r="AT411" i="21" s="1"/>
  <c r="D414" i="20"/>
  <c r="C393" i="21"/>
  <c r="AI393" i="21" s="1"/>
  <c r="P316" i="20"/>
  <c r="O295" i="21"/>
  <c r="AU295" i="21" s="1"/>
  <c r="J236" i="20"/>
  <c r="I215" i="21"/>
  <c r="AO215" i="21" s="1"/>
  <c r="R314" i="20"/>
  <c r="Q293" i="21"/>
  <c r="AW293" i="21" s="1"/>
  <c r="H180" i="20"/>
  <c r="G159" i="21"/>
  <c r="AM159" i="21" s="1"/>
  <c r="Q258" i="20"/>
  <c r="P237" i="21"/>
  <c r="AV237" i="21" s="1"/>
  <c r="E154" i="20"/>
  <c r="D133" i="21"/>
  <c r="AJ133" i="21" s="1"/>
  <c r="O202" i="20"/>
  <c r="N181" i="21"/>
  <c r="AT181" i="21" s="1"/>
  <c r="E354" i="20"/>
  <c r="D333" i="21"/>
  <c r="AJ333" i="21" s="1"/>
  <c r="C471" i="20"/>
  <c r="D355" i="20"/>
  <c r="C334" i="21"/>
  <c r="AI334" i="21" s="1"/>
  <c r="F441" i="20"/>
  <c r="E420" i="21"/>
  <c r="AK420" i="21" s="1"/>
  <c r="M461" i="20"/>
  <c r="L440" i="21"/>
  <c r="AR440" i="21" s="1"/>
  <c r="J178" i="20"/>
  <c r="I157" i="21"/>
  <c r="AO157" i="21" s="1"/>
  <c r="N318" i="20"/>
  <c r="M297" i="21"/>
  <c r="AS297" i="21" s="1"/>
  <c r="M377" i="20"/>
  <c r="L356" i="21"/>
  <c r="AR356" i="21" s="1"/>
  <c r="E385" i="20"/>
  <c r="D364" i="21"/>
  <c r="AJ364" i="21" s="1"/>
  <c r="L378" i="20"/>
  <c r="K357" i="21"/>
  <c r="AQ357" i="21" s="1"/>
  <c r="D185" i="20"/>
  <c r="C186" i="20"/>
  <c r="C164" i="21"/>
  <c r="AI164" i="21" s="1"/>
  <c r="N203" i="20"/>
  <c r="M182" i="21"/>
  <c r="AS182" i="21" s="1"/>
  <c r="G383" i="20"/>
  <c r="F362" i="21"/>
  <c r="AL362" i="21" s="1"/>
  <c r="L176" i="20"/>
  <c r="K155" i="21"/>
  <c r="AQ155" i="21" s="1"/>
  <c r="J380" i="20"/>
  <c r="I359" i="21"/>
  <c r="AO359" i="21" s="1"/>
  <c r="G440" i="20"/>
  <c r="F419" i="21"/>
  <c r="AL419" i="21" s="1"/>
  <c r="P112" i="20"/>
  <c r="O91" i="21"/>
  <c r="AU91" i="21" s="1"/>
  <c r="O29" i="20"/>
  <c r="N8" i="21"/>
  <c r="AT8" i="21" s="1"/>
  <c r="M346" i="20"/>
  <c r="L325" i="21"/>
  <c r="AR325" i="21" s="1"/>
  <c r="G296" i="20"/>
  <c r="F275" i="21"/>
  <c r="AL275" i="21" s="1"/>
  <c r="M115" i="20"/>
  <c r="L94" i="21"/>
  <c r="AR94" i="21" s="1"/>
  <c r="I381" i="20"/>
  <c r="H360" i="21"/>
  <c r="AN360" i="21" s="1"/>
  <c r="C329" i="20"/>
  <c r="D97" i="20"/>
  <c r="C76" i="21"/>
  <c r="AI76" i="21" s="1"/>
  <c r="E67" i="20"/>
  <c r="D46" i="21"/>
  <c r="AJ46" i="21" s="1"/>
  <c r="O231" i="20"/>
  <c r="N210" i="21"/>
  <c r="AT210" i="21" s="1"/>
  <c r="G210" i="20"/>
  <c r="F189" i="21"/>
  <c r="AL189" i="21" s="1"/>
  <c r="D155" i="20"/>
  <c r="C134" i="21"/>
  <c r="AI134" i="21" s="1"/>
  <c r="R199" i="20"/>
  <c r="Q178" i="21"/>
  <c r="AW178" i="21" s="1"/>
  <c r="L406" i="20"/>
  <c r="K385" i="21"/>
  <c r="AQ385" i="21" s="1"/>
  <c r="H151" i="20"/>
  <c r="G130" i="21"/>
  <c r="AM130" i="21" s="1"/>
  <c r="L116" i="20"/>
  <c r="K95" i="21"/>
  <c r="AQ95" i="21" s="1"/>
  <c r="M262" i="20"/>
  <c r="L241" i="21"/>
  <c r="AR241" i="21" s="1"/>
  <c r="N433" i="20"/>
  <c r="M412" i="21"/>
  <c r="AS412" i="21" s="1"/>
  <c r="L263" i="20"/>
  <c r="K242" i="21"/>
  <c r="AQ242" i="21" s="1"/>
  <c r="P85" i="20"/>
  <c r="O64" i="21"/>
  <c r="AU64" i="21" s="1"/>
  <c r="L32" i="20"/>
  <c r="K11" i="21"/>
  <c r="AQ11" i="21" s="1"/>
  <c r="D213" i="20"/>
  <c r="C192" i="21"/>
  <c r="AI192" i="21" s="1"/>
  <c r="L347" i="20"/>
  <c r="K326" i="21"/>
  <c r="AQ326" i="21" s="1"/>
  <c r="M319" i="20"/>
  <c r="L298" i="21"/>
  <c r="AR298" i="21" s="1"/>
  <c r="J118" i="20"/>
  <c r="I97" i="21"/>
  <c r="AO97" i="21" s="1"/>
  <c r="G239" i="20"/>
  <c r="F218" i="21"/>
  <c r="AL218" i="21" s="1"/>
  <c r="F240" i="20"/>
  <c r="E219" i="21"/>
  <c r="AK219" i="21" s="1"/>
  <c r="Q315" i="20"/>
  <c r="P294" i="21"/>
  <c r="AV294" i="21" s="1"/>
  <c r="P259" i="20"/>
  <c r="O238" i="21"/>
  <c r="AU238" i="21" s="1"/>
  <c r="P230" i="20"/>
  <c r="O209" i="21"/>
  <c r="AU209" i="21" s="1"/>
  <c r="F353" i="20"/>
  <c r="E332" i="21"/>
  <c r="AK332" i="21" s="1"/>
  <c r="M233" i="20"/>
  <c r="L212" i="21"/>
  <c r="AR212" i="21" s="1"/>
  <c r="M290" i="20"/>
  <c r="L269" i="21"/>
  <c r="AR269" i="21" s="1"/>
  <c r="F38" i="20"/>
  <c r="E17" i="21"/>
  <c r="AK17" i="21" s="1"/>
  <c r="P343" i="20"/>
  <c r="O322" i="21"/>
  <c r="AU322" i="21" s="1"/>
  <c r="S82" i="20"/>
  <c r="R61" i="21"/>
  <c r="AX61" i="21" s="1"/>
  <c r="K321" i="20"/>
  <c r="J300" i="21"/>
  <c r="AP300" i="21" s="1"/>
  <c r="C387" i="20"/>
  <c r="D271" i="20"/>
  <c r="C250" i="21"/>
  <c r="AI250" i="21" s="1"/>
  <c r="E241" i="20"/>
  <c r="D220" i="21"/>
  <c r="AJ220" i="21" s="1"/>
  <c r="Q171" i="20"/>
  <c r="P150" i="21"/>
  <c r="AV150" i="21" s="1"/>
  <c r="I237" i="20"/>
  <c r="H216" i="21"/>
  <c r="AN216" i="21" s="1"/>
  <c r="K33" i="20"/>
  <c r="J12" i="21"/>
  <c r="AP12" i="21" s="1"/>
  <c r="K379" i="20"/>
  <c r="J358" i="21"/>
  <c r="AP358" i="21" s="1"/>
  <c r="P287" i="20"/>
  <c r="O266" i="21"/>
  <c r="AU266" i="21" s="1"/>
  <c r="G411" i="20"/>
  <c r="F390" i="21"/>
  <c r="AL390" i="21" s="1"/>
  <c r="R26" i="20"/>
  <c r="Q5" i="21"/>
  <c r="AW5" i="21" s="1"/>
  <c r="N460" i="20"/>
  <c r="M439" i="21"/>
  <c r="AS439" i="21" s="1"/>
  <c r="N114" i="20"/>
  <c r="M93" i="21"/>
  <c r="AS93" i="21" s="1"/>
  <c r="M31" i="20"/>
  <c r="L10" i="21"/>
  <c r="AR10" i="21" s="1"/>
  <c r="O173" i="20"/>
  <c r="N152" i="21"/>
  <c r="AT152" i="21" s="1"/>
  <c r="F153" i="20"/>
  <c r="E132" i="21"/>
  <c r="AK132" i="21" s="1"/>
  <c r="O288" i="20"/>
  <c r="N267" i="21"/>
  <c r="AT267" i="21" s="1"/>
  <c r="O317" i="20"/>
  <c r="N296" i="21"/>
  <c r="AT296" i="21" s="1"/>
  <c r="N87" i="20"/>
  <c r="M66" i="21"/>
  <c r="AS66" i="21" s="1"/>
  <c r="J207" i="20"/>
  <c r="I186" i="21"/>
  <c r="AO186" i="21" s="1"/>
  <c r="I92" i="20"/>
  <c r="H71" i="21"/>
  <c r="AN71" i="21" s="1"/>
  <c r="P28" i="20"/>
  <c r="O7" i="21"/>
  <c r="AU7" i="21" s="1"/>
  <c r="Q229" i="20"/>
  <c r="P208" i="21"/>
  <c r="AV208" i="21" s="1"/>
  <c r="L89" i="20"/>
  <c r="K68" i="21"/>
  <c r="AQ68" i="21" s="1"/>
  <c r="D470" i="20"/>
  <c r="C449" i="21"/>
  <c r="AI449" i="21" s="1"/>
  <c r="M434" i="20"/>
  <c r="L413" i="21"/>
  <c r="AR413" i="21" s="1"/>
  <c r="Q430" i="20"/>
  <c r="P409" i="21"/>
  <c r="AV409" i="21" s="1"/>
  <c r="K177" i="20"/>
  <c r="J156" i="21"/>
  <c r="AP156" i="21" s="1"/>
  <c r="P201" i="20"/>
  <c r="O180" i="21"/>
  <c r="AU180" i="21" s="1"/>
  <c r="Q200" i="20"/>
  <c r="P179" i="21"/>
  <c r="AV179" i="21" s="1"/>
  <c r="F211" i="20"/>
  <c r="E190" i="21"/>
  <c r="AK190" i="21" s="1"/>
  <c r="O144" i="20"/>
  <c r="N123" i="21"/>
  <c r="AT123" i="21" s="1"/>
  <c r="O344" i="20"/>
  <c r="N323" i="21"/>
  <c r="AT323" i="21" s="1"/>
  <c r="E96" i="20"/>
  <c r="D75" i="21"/>
  <c r="AJ75" i="21" s="1"/>
  <c r="J265" i="20"/>
  <c r="I244" i="21"/>
  <c r="AO244" i="21" s="1"/>
  <c r="N376" i="20"/>
  <c r="M355" i="21"/>
  <c r="AS355" i="21" s="1"/>
  <c r="N404" i="20"/>
  <c r="M383" i="21"/>
  <c r="AS383" i="21" s="1"/>
  <c r="F384" i="20"/>
  <c r="E363" i="21"/>
  <c r="AK363" i="21" s="1"/>
  <c r="J408" i="20"/>
  <c r="I387" i="21"/>
  <c r="AO387" i="21" s="1"/>
  <c r="S227" i="20"/>
  <c r="R206" i="21"/>
  <c r="AX206" i="21" s="1"/>
  <c r="C330" i="20"/>
  <c r="D98" i="20"/>
  <c r="C99" i="20"/>
  <c r="C77" i="21"/>
  <c r="AI77" i="21" s="1"/>
  <c r="E212" i="20"/>
  <c r="D191" i="21"/>
  <c r="AJ191" i="21" s="1"/>
  <c r="F297" i="20"/>
  <c r="E276" i="21"/>
  <c r="AK276" i="21" s="1"/>
  <c r="R141" i="20"/>
  <c r="Q120" i="21"/>
  <c r="AW120" i="21" s="1"/>
  <c r="K148" i="20"/>
  <c r="J127" i="21"/>
  <c r="AP127" i="21" s="1"/>
  <c r="I266" i="20"/>
  <c r="H245" i="21"/>
  <c r="AN245" i="21" s="1"/>
  <c r="E469" i="20"/>
  <c r="D448" i="21"/>
  <c r="AJ448" i="21" s="1"/>
  <c r="P374" i="20"/>
  <c r="O353" i="21"/>
  <c r="AU353" i="21" s="1"/>
  <c r="I465" i="20"/>
  <c r="H444" i="21"/>
  <c r="AN444" i="21" s="1"/>
  <c r="S25" i="20"/>
  <c r="R4" i="21"/>
  <c r="AX4" i="21" s="1"/>
  <c r="N174" i="20"/>
  <c r="M153" i="21"/>
  <c r="AS153" i="21" s="1"/>
  <c r="R228" i="20"/>
  <c r="Q207" i="21"/>
  <c r="AW207" i="21" s="1"/>
  <c r="J437" i="20"/>
  <c r="I416" i="21"/>
  <c r="AO416" i="21" s="1"/>
  <c r="K90" i="20"/>
  <c r="J69" i="21"/>
  <c r="AP69" i="21" s="1"/>
  <c r="K348" i="20"/>
  <c r="J327" i="21"/>
  <c r="AP327" i="21" s="1"/>
  <c r="J91" i="20"/>
  <c r="I70" i="21"/>
  <c r="AO70" i="21" s="1"/>
  <c r="K463" i="20"/>
  <c r="J442" i="21"/>
  <c r="AP442" i="21" s="1"/>
  <c r="H410" i="20"/>
  <c r="G389" i="21"/>
  <c r="AM389" i="21" s="1"/>
  <c r="F468" i="20"/>
  <c r="E447" i="21"/>
  <c r="AK447" i="21" s="1"/>
  <c r="Q387" i="19"/>
  <c r="R271" i="19"/>
  <c r="S272" i="19" s="1"/>
  <c r="Y387" i="19"/>
  <c r="Z388" i="19" s="1"/>
  <c r="U329" i="19"/>
  <c r="R503" i="19"/>
  <c r="U445" i="19"/>
  <c r="V271" i="19"/>
  <c r="AB387" i="19"/>
  <c r="T68" i="19"/>
  <c r="AD184" i="19"/>
  <c r="U97" i="19"/>
  <c r="Q68" i="19"/>
  <c r="AC387" i="19"/>
  <c r="AB155" i="19"/>
  <c r="AB97" i="19"/>
  <c r="X155" i="19"/>
  <c r="AD68" i="19"/>
  <c r="AA184" i="19"/>
  <c r="AC329" i="19"/>
  <c r="V503" i="19"/>
  <c r="AD329" i="19"/>
  <c r="S503" i="19"/>
  <c r="AA416" i="19"/>
  <c r="W416" i="19"/>
  <c r="X416" i="19"/>
  <c r="W184" i="19"/>
  <c r="U387" i="19"/>
  <c r="AE68" i="19"/>
  <c r="X184" i="19"/>
  <c r="P329" i="19"/>
  <c r="U416" i="19"/>
  <c r="AA68" i="19"/>
  <c r="S445" i="19"/>
  <c r="AB184" i="19"/>
  <c r="Q329" i="19"/>
  <c r="AE416" i="19"/>
  <c r="AB445" i="19"/>
  <c r="V329" i="19"/>
  <c r="AA155" i="19"/>
  <c r="T503" i="19"/>
  <c r="U184" i="19"/>
  <c r="AA445" i="19"/>
  <c r="AC155" i="19"/>
  <c r="S416" i="19"/>
  <c r="Y97" i="19"/>
  <c r="Q503" i="19"/>
  <c r="R329" i="19"/>
  <c r="AE271" i="19"/>
  <c r="Q445" i="19"/>
  <c r="T387" i="19"/>
  <c r="W503" i="19"/>
  <c r="Z445" i="19"/>
  <c r="AE445" i="19"/>
  <c r="AE503" i="19"/>
  <c r="S97" i="19"/>
  <c r="AB503" i="19"/>
  <c r="Z503" i="19"/>
  <c r="AD97" i="19"/>
  <c r="AC184" i="19"/>
  <c r="Z97" i="19"/>
  <c r="AC68" i="19"/>
  <c r="X503" i="19"/>
  <c r="AD416" i="19"/>
  <c r="T97" i="19"/>
  <c r="P503" i="19"/>
  <c r="Q504" i="19" s="1"/>
  <c r="AB416" i="19"/>
  <c r="S68" i="19"/>
  <c r="AC503" i="19"/>
  <c r="Z184" i="19"/>
  <c r="W387" i="19"/>
  <c r="Y184" i="19"/>
  <c r="P445" i="19"/>
  <c r="Y68" i="19"/>
  <c r="W97" i="19"/>
  <c r="R68" i="19"/>
  <c r="AE387" i="19"/>
  <c r="AE329" i="19"/>
  <c r="V155" i="19"/>
  <c r="R184" i="19"/>
  <c r="U68" i="19"/>
  <c r="V184" i="19"/>
  <c r="Z271" i="19"/>
  <c r="Q97" i="19"/>
  <c r="AA387" i="19"/>
  <c r="S271" i="19"/>
  <c r="V97" i="19"/>
  <c r="AC97" i="19"/>
  <c r="AD271" i="19"/>
  <c r="R387" i="19"/>
  <c r="U271" i="19"/>
  <c r="T184" i="19"/>
  <c r="AB329" i="19"/>
  <c r="T445" i="19"/>
  <c r="P155" i="19"/>
  <c r="S329" i="19"/>
  <c r="X68" i="19"/>
  <c r="Q155" i="19"/>
  <c r="AD503" i="19"/>
  <c r="P97" i="19"/>
  <c r="S184" i="19"/>
  <c r="X387" i="19"/>
  <c r="X445" i="19"/>
  <c r="W329" i="19"/>
  <c r="AE155" i="19"/>
  <c r="Y503" i="19"/>
  <c r="Z329" i="19"/>
  <c r="Q184" i="19"/>
  <c r="R155" i="19"/>
  <c r="AA503" i="19"/>
  <c r="W155" i="19"/>
  <c r="P387" i="19"/>
  <c r="V387" i="19"/>
  <c r="AD387" i="19"/>
  <c r="AE97" i="19"/>
  <c r="X97" i="19"/>
  <c r="T155" i="19"/>
  <c r="Y155" i="19"/>
  <c r="Y329" i="19"/>
  <c r="V445" i="19"/>
  <c r="Y445" i="19"/>
  <c r="AC445" i="19"/>
  <c r="U503" i="19"/>
  <c r="O504" i="19"/>
  <c r="C430" i="23"/>
  <c r="AE156" i="19"/>
  <c r="K504" i="19"/>
  <c r="Q417" i="19"/>
  <c r="N417" i="19"/>
  <c r="L388" i="19"/>
  <c r="C460" i="23"/>
  <c r="D460" i="23"/>
  <c r="E461" i="23" s="1"/>
  <c r="D489" i="23"/>
  <c r="E490" i="23" s="1"/>
  <c r="C489" i="23"/>
  <c r="L156" i="19"/>
  <c r="T388" i="19"/>
  <c r="P504" i="19"/>
  <c r="H504" i="19"/>
  <c r="J417" i="19"/>
  <c r="T156" i="19"/>
  <c r="M504" i="19"/>
  <c r="AA388" i="19"/>
  <c r="H388" i="19"/>
  <c r="I504" i="19"/>
  <c r="O156" i="19"/>
  <c r="L446" i="19"/>
  <c r="G504" i="19"/>
  <c r="L504" i="19"/>
  <c r="J504" i="19"/>
  <c r="V156" i="19"/>
  <c r="M474" i="19"/>
  <c r="Z358" i="19"/>
  <c r="G446" i="19"/>
  <c r="W417" i="19"/>
  <c r="I156" i="19"/>
  <c r="P156" i="19"/>
  <c r="N330" i="19"/>
  <c r="L213" i="19"/>
  <c r="Q213" i="19"/>
  <c r="F388" i="19"/>
  <c r="M69" i="19"/>
  <c r="P388" i="19"/>
  <c r="F69" i="19"/>
  <c r="N504" i="19"/>
  <c r="K272" i="19"/>
  <c r="AC213" i="19"/>
  <c r="U242" i="19"/>
  <c r="N156" i="19"/>
  <c r="J156" i="19"/>
  <c r="F156" i="19"/>
  <c r="G156" i="19"/>
  <c r="M185" i="19"/>
  <c r="I69" i="19"/>
  <c r="W69" i="19"/>
  <c r="G69" i="19"/>
  <c r="N388" i="19"/>
  <c r="K69" i="19"/>
  <c r="F213" i="19"/>
  <c r="X69" i="19"/>
  <c r="H417" i="19"/>
  <c r="O417" i="19"/>
  <c r="K388" i="19"/>
  <c r="AD417" i="19"/>
  <c r="AA156" i="19"/>
  <c r="I388" i="19"/>
  <c r="F185" i="19"/>
  <c r="M388" i="19"/>
  <c r="U358" i="19"/>
  <c r="R213" i="19"/>
  <c r="V474" i="19"/>
  <c r="AB213" i="19"/>
  <c r="N242" i="19"/>
  <c r="M242" i="19"/>
  <c r="H213" i="19"/>
  <c r="J388" i="19"/>
  <c r="H156" i="19"/>
  <c r="O213" i="19"/>
  <c r="E213" i="19"/>
  <c r="Q69" i="19"/>
  <c r="AE358" i="19"/>
  <c r="AC474" i="19"/>
  <c r="AE242" i="19"/>
  <c r="V213" i="19"/>
  <c r="P358" i="19"/>
  <c r="T474" i="19"/>
  <c r="H126" i="19"/>
  <c r="K213" i="19"/>
  <c r="X242" i="19"/>
  <c r="E504" i="19"/>
  <c r="AD213" i="19"/>
  <c r="AE126" i="19"/>
  <c r="L242" i="19"/>
  <c r="Q185" i="19"/>
  <c r="V358" i="19"/>
  <c r="R474" i="19"/>
  <c r="G213" i="19"/>
  <c r="E388" i="19"/>
  <c r="J41" i="19"/>
  <c r="D214" i="19" s="1"/>
  <c r="N98" i="19"/>
  <c r="K446" i="19"/>
  <c r="H330" i="19"/>
  <c r="Z272" i="19"/>
  <c r="E330" i="19"/>
  <c r="O446" i="19"/>
  <c r="D126" i="19"/>
  <c r="D474" i="19"/>
  <c r="D358" i="19"/>
  <c r="T126" i="19"/>
  <c r="Y358" i="19"/>
  <c r="P98" i="19"/>
  <c r="AA358" i="19"/>
  <c r="J358" i="19"/>
  <c r="F446" i="19"/>
  <c r="S126" i="19"/>
  <c r="AE474" i="19"/>
  <c r="L126" i="19"/>
  <c r="U272" i="19"/>
  <c r="Q272" i="19"/>
  <c r="Z126" i="19"/>
  <c r="K358" i="19"/>
  <c r="N126" i="19"/>
  <c r="X358" i="19"/>
  <c r="W358" i="19"/>
  <c r="H242" i="19"/>
  <c r="G126" i="19"/>
  <c r="D273" i="19"/>
  <c r="F242" i="19"/>
  <c r="L272" i="19"/>
  <c r="Y330" i="19"/>
  <c r="F126" i="19"/>
  <c r="M98" i="19"/>
  <c r="I126" i="19"/>
  <c r="K126" i="19"/>
  <c r="J446" i="19"/>
  <c r="E446" i="19"/>
  <c r="E272" i="19"/>
  <c r="F330" i="19"/>
  <c r="G358" i="19"/>
  <c r="Y474" i="19"/>
  <c r="R126" i="19"/>
  <c r="I446" i="19"/>
  <c r="X446" i="19"/>
  <c r="L474" i="19"/>
  <c r="D417" i="19"/>
  <c r="D69" i="19"/>
  <c r="O358" i="19"/>
  <c r="AA69" i="19"/>
  <c r="AA417" i="19"/>
  <c r="L98" i="19"/>
  <c r="H446" i="19"/>
  <c r="I330" i="19"/>
  <c r="AE446" i="19"/>
  <c r="Z242" i="19"/>
  <c r="AC358" i="19"/>
  <c r="G242" i="19"/>
  <c r="L417" i="19"/>
  <c r="E417" i="19"/>
  <c r="I358" i="19"/>
  <c r="AB474" i="19"/>
  <c r="P272" i="19"/>
  <c r="U474" i="19"/>
  <c r="S358" i="19"/>
  <c r="AA242" i="19"/>
  <c r="K41" i="19"/>
  <c r="D243" i="19" s="1"/>
  <c r="F358" i="19"/>
  <c r="P185" i="19"/>
  <c r="O185" i="19"/>
  <c r="H185" i="19"/>
  <c r="N69" i="19"/>
  <c r="Y242" i="19"/>
  <c r="AB242" i="19"/>
  <c r="P446" i="19"/>
  <c r="O126" i="19"/>
  <c r="G330" i="19"/>
  <c r="G474" i="19"/>
  <c r="F98" i="19"/>
  <c r="U330" i="19"/>
  <c r="Y126" i="19"/>
  <c r="T242" i="19"/>
  <c r="J242" i="19"/>
  <c r="S213" i="19"/>
  <c r="P474" i="19"/>
  <c r="P417" i="19"/>
  <c r="N474" i="19"/>
  <c r="I42" i="19"/>
  <c r="E186" i="19" s="1"/>
  <c r="J126" i="19"/>
  <c r="S301" i="19"/>
  <c r="R311" i="19"/>
  <c r="Q358" i="19"/>
  <c r="N185" i="19"/>
  <c r="M358" i="19"/>
  <c r="I474" i="19"/>
  <c r="AB358" i="19"/>
  <c r="O474" i="19"/>
  <c r="E126" i="19"/>
  <c r="Q242" i="19"/>
  <c r="T358" i="19"/>
  <c r="AD242" i="19"/>
  <c r="AC126" i="19"/>
  <c r="F417" i="19"/>
  <c r="H358" i="19"/>
  <c r="E98" i="19"/>
  <c r="L330" i="19"/>
  <c r="K98" i="19"/>
  <c r="K417" i="19"/>
  <c r="L358" i="19"/>
  <c r="Z213" i="19"/>
  <c r="M213" i="19"/>
  <c r="O272" i="19"/>
  <c r="AA474" i="19"/>
  <c r="Q474" i="19"/>
  <c r="P330" i="19"/>
  <c r="J69" i="19"/>
  <c r="X474" i="19"/>
  <c r="S242" i="19"/>
  <c r="AA213" i="19"/>
  <c r="L69" i="19"/>
  <c r="O98" i="19"/>
  <c r="D388" i="19"/>
  <c r="D156" i="19"/>
  <c r="D504" i="19"/>
  <c r="X126" i="19"/>
  <c r="H69" i="19"/>
  <c r="J474" i="19"/>
  <c r="R242" i="19"/>
  <c r="S98" i="19"/>
  <c r="I417" i="19"/>
  <c r="Q126" i="19"/>
  <c r="R358" i="19"/>
  <c r="O69" i="19"/>
  <c r="AC242" i="19"/>
  <c r="T213" i="19"/>
  <c r="E242" i="19"/>
  <c r="AD358" i="19"/>
  <c r="R417" i="19"/>
  <c r="G388" i="19"/>
  <c r="K474" i="19"/>
  <c r="F272" i="19"/>
  <c r="H272" i="19"/>
  <c r="I185" i="19"/>
  <c r="R272" i="19"/>
  <c r="W213" i="19"/>
  <c r="AD272" i="19"/>
  <c r="K242" i="19"/>
  <c r="E156" i="19"/>
  <c r="G272" i="19"/>
  <c r="N213" i="19"/>
  <c r="D98" i="19"/>
  <c r="D330" i="19"/>
  <c r="D446" i="19"/>
  <c r="AB272" i="19"/>
  <c r="F42" i="19"/>
  <c r="V126" i="19"/>
  <c r="D42" i="19"/>
  <c r="E358" i="19"/>
  <c r="M330" i="19"/>
  <c r="AD474" i="19"/>
  <c r="H98" i="19"/>
  <c r="N272" i="19"/>
  <c r="H474" i="19"/>
  <c r="E41" i="19"/>
  <c r="F474" i="19"/>
  <c r="I272" i="19"/>
  <c r="J98" i="19"/>
  <c r="W474" i="19"/>
  <c r="AD126" i="19"/>
  <c r="Y272" i="19"/>
  <c r="AB126" i="19"/>
  <c r="AA126" i="19"/>
  <c r="M446" i="19"/>
  <c r="X272" i="19"/>
  <c r="P69" i="19"/>
  <c r="K330" i="19"/>
  <c r="G98" i="19"/>
  <c r="E474" i="19"/>
  <c r="AB330" i="19"/>
  <c r="AC272" i="19"/>
  <c r="G417" i="19"/>
  <c r="U417" i="19"/>
  <c r="V242" i="19"/>
  <c r="AC69" i="19"/>
  <c r="E185" i="19"/>
  <c r="P213" i="19"/>
  <c r="O242" i="19"/>
  <c r="N358" i="19"/>
  <c r="J330" i="19"/>
  <c r="U126" i="19"/>
  <c r="Z417" i="19"/>
  <c r="S446" i="19"/>
  <c r="X213" i="19"/>
  <c r="J185" i="19"/>
  <c r="S474" i="19"/>
  <c r="N446" i="19"/>
  <c r="I213" i="19"/>
  <c r="M272" i="19"/>
  <c r="K185" i="19"/>
  <c r="I98" i="19"/>
  <c r="Y213" i="19"/>
  <c r="J213" i="19"/>
  <c r="W242" i="19"/>
  <c r="C42" i="19"/>
  <c r="P242" i="19"/>
  <c r="U213" i="19"/>
  <c r="W126" i="19"/>
  <c r="L185" i="19"/>
  <c r="P126" i="19"/>
  <c r="J272" i="19"/>
  <c r="G185" i="19"/>
  <c r="AE213" i="19"/>
  <c r="O330" i="19"/>
  <c r="S417" i="19"/>
  <c r="K156" i="19"/>
  <c r="M156" i="19"/>
  <c r="O388" i="19"/>
  <c r="F504" i="19"/>
  <c r="M126" i="19"/>
  <c r="AB98" i="19"/>
  <c r="E69" i="19"/>
  <c r="I242" i="19"/>
  <c r="M417" i="19"/>
  <c r="Z474" i="19"/>
  <c r="P2" i="49" l="1"/>
  <c r="P6" i="49" s="1"/>
  <c r="P10" i="49" s="1"/>
  <c r="P18" i="49" s="1"/>
  <c r="S80" i="5"/>
  <c r="Q3" i="49"/>
  <c r="Q7" i="49" s="1"/>
  <c r="Q11" i="49" s="1"/>
  <c r="Q19" i="49" s="1"/>
  <c r="T79" i="5"/>
  <c r="S42" i="49"/>
  <c r="R52" i="49"/>
  <c r="T72" i="49"/>
  <c r="S81" i="49"/>
  <c r="AV74" i="23"/>
  <c r="AV92" i="23" s="1"/>
  <c r="AV110" i="23" s="1"/>
  <c r="S187" i="1"/>
  <c r="R282" i="20"/>
  <c r="T187" i="1" s="1"/>
  <c r="T109" i="1"/>
  <c r="I410" i="20"/>
  <c r="H389" i="21"/>
  <c r="AN389" i="21" s="1"/>
  <c r="K91" i="20"/>
  <c r="J70" i="21"/>
  <c r="AP70" i="21" s="1"/>
  <c r="T25" i="20"/>
  <c r="S4" i="21"/>
  <c r="AY4" i="21" s="1"/>
  <c r="J266" i="20"/>
  <c r="I245" i="21"/>
  <c r="AO245" i="21" s="1"/>
  <c r="D330" i="20"/>
  <c r="C446" i="20"/>
  <c r="C309" i="21"/>
  <c r="AI309" i="21" s="1"/>
  <c r="O404" i="20"/>
  <c r="N383" i="21"/>
  <c r="AT383" i="21" s="1"/>
  <c r="G211" i="20"/>
  <c r="F190" i="21"/>
  <c r="AL190" i="21" s="1"/>
  <c r="R430" i="20"/>
  <c r="Q409" i="21"/>
  <c r="AW409" i="21" s="1"/>
  <c r="J92" i="20"/>
  <c r="I71" i="21"/>
  <c r="AO71" i="21" s="1"/>
  <c r="P173" i="20"/>
  <c r="O152" i="21"/>
  <c r="AU152" i="21" s="1"/>
  <c r="L33" i="20"/>
  <c r="K12" i="21"/>
  <c r="AQ12" i="21" s="1"/>
  <c r="G353" i="20"/>
  <c r="F332" i="21"/>
  <c r="AL332" i="21" s="1"/>
  <c r="G240" i="20"/>
  <c r="F219" i="21"/>
  <c r="AL219" i="21" s="1"/>
  <c r="M32" i="20"/>
  <c r="L11" i="21"/>
  <c r="AR11" i="21" s="1"/>
  <c r="O433" i="20"/>
  <c r="N412" i="21"/>
  <c r="AT412" i="21" s="1"/>
  <c r="E155" i="20"/>
  <c r="D134" i="21"/>
  <c r="AJ134" i="21" s="1"/>
  <c r="N115" i="20"/>
  <c r="M94" i="21"/>
  <c r="AS94" i="21" s="1"/>
  <c r="F154" i="20"/>
  <c r="E133" i="21"/>
  <c r="AK133" i="21" s="1"/>
  <c r="I180" i="20"/>
  <c r="H159" i="21"/>
  <c r="AN159" i="21" s="1"/>
  <c r="L235" i="20"/>
  <c r="K214" i="21"/>
  <c r="AQ214" i="21" s="1"/>
  <c r="P375" i="20"/>
  <c r="O354" i="21"/>
  <c r="AU354" i="21" s="1"/>
  <c r="E443" i="20"/>
  <c r="D422" i="21"/>
  <c r="AJ422" i="21" s="1"/>
  <c r="P260" i="20"/>
  <c r="O239" i="21"/>
  <c r="AU239" i="21" s="1"/>
  <c r="P403" i="20"/>
  <c r="O382" i="21"/>
  <c r="AU382" i="21" s="1"/>
  <c r="T198" i="20"/>
  <c r="S177" i="21"/>
  <c r="AY177" i="21" s="1"/>
  <c r="C357" i="20"/>
  <c r="D125" i="20"/>
  <c r="C104" i="21"/>
  <c r="AI104" i="21" s="1"/>
  <c r="K62" i="20"/>
  <c r="J41" i="21"/>
  <c r="AP41" i="21" s="1"/>
  <c r="I295" i="20"/>
  <c r="H274" i="21"/>
  <c r="AN274" i="21" s="1"/>
  <c r="K293" i="20"/>
  <c r="J272" i="21"/>
  <c r="AP272" i="21" s="1"/>
  <c r="E40" i="20"/>
  <c r="D19" i="21"/>
  <c r="AJ19" i="21" s="1"/>
  <c r="F327" i="20"/>
  <c r="E306" i="21"/>
  <c r="AK306" i="21" s="1"/>
  <c r="E98" i="20"/>
  <c r="D77" i="21"/>
  <c r="L321" i="20"/>
  <c r="K300" i="21"/>
  <c r="AQ300" i="21" s="1"/>
  <c r="Q343" i="20"/>
  <c r="P322" i="21"/>
  <c r="AV322" i="21" s="1"/>
  <c r="P231" i="20"/>
  <c r="O210" i="21"/>
  <c r="AU210" i="21" s="1"/>
  <c r="E97" i="20"/>
  <c r="D76" i="21"/>
  <c r="AJ76" i="21" s="1"/>
  <c r="M378" i="20"/>
  <c r="L357" i="21"/>
  <c r="AR357" i="21" s="1"/>
  <c r="N377" i="20"/>
  <c r="M356" i="21"/>
  <c r="AS356" i="21" s="1"/>
  <c r="K178" i="20"/>
  <c r="J157" i="21"/>
  <c r="AP157" i="21" s="1"/>
  <c r="G441" i="20"/>
  <c r="F420" i="21"/>
  <c r="AL420" i="21" s="1"/>
  <c r="F183" i="20"/>
  <c r="E162" i="21"/>
  <c r="AK162" i="21" s="1"/>
  <c r="O232" i="20"/>
  <c r="N211" i="21"/>
  <c r="AT211" i="21" s="1"/>
  <c r="P57" i="20"/>
  <c r="O36" i="21"/>
  <c r="AU36" i="21" s="1"/>
  <c r="H37" i="20"/>
  <c r="G16" i="21"/>
  <c r="AM16" i="21" s="1"/>
  <c r="M205" i="20"/>
  <c r="L184" i="21"/>
  <c r="AR184" i="21" s="1"/>
  <c r="I209" i="20"/>
  <c r="H188" i="21"/>
  <c r="AN188" i="21" s="1"/>
  <c r="L61" i="20"/>
  <c r="K40" i="21"/>
  <c r="AQ40" i="21" s="1"/>
  <c r="N204" i="20"/>
  <c r="M183" i="21"/>
  <c r="AS183" i="21" s="1"/>
  <c r="F39" i="20"/>
  <c r="E18" i="21"/>
  <c r="AK18" i="21" s="1"/>
  <c r="E243" i="20"/>
  <c r="D222" i="21"/>
  <c r="AJ222" i="21" s="1"/>
  <c r="R84" i="20"/>
  <c r="Q63" i="21"/>
  <c r="AW63" i="21" s="1"/>
  <c r="L407" i="20"/>
  <c r="K386" i="21"/>
  <c r="AQ386" i="21" s="1"/>
  <c r="L206" i="20"/>
  <c r="K185" i="21"/>
  <c r="AQ185" i="21" s="1"/>
  <c r="H65" i="20"/>
  <c r="G44" i="21"/>
  <c r="AM44" i="21" s="1"/>
  <c r="N88" i="20"/>
  <c r="M67" i="21"/>
  <c r="AS67" i="21" s="1"/>
  <c r="D70" i="20"/>
  <c r="C302" i="20"/>
  <c r="C71" i="20"/>
  <c r="C49" i="21"/>
  <c r="AI49" i="21" s="1"/>
  <c r="L264" i="20"/>
  <c r="K243" i="21"/>
  <c r="AQ243" i="21" s="1"/>
  <c r="G122" i="20"/>
  <c r="F101" i="21"/>
  <c r="AL101" i="21" s="1"/>
  <c r="G269" i="20"/>
  <c r="F248" i="21"/>
  <c r="AL248" i="21" s="1"/>
  <c r="O58" i="20"/>
  <c r="N37" i="21"/>
  <c r="AT37" i="21" s="1"/>
  <c r="O30" i="20"/>
  <c r="N9" i="21"/>
  <c r="AT9" i="21" s="1"/>
  <c r="K322" i="20"/>
  <c r="J301" i="21"/>
  <c r="AP301" i="21" s="1"/>
  <c r="C273" i="20"/>
  <c r="C42" i="20"/>
  <c r="D41" i="20"/>
  <c r="C20" i="21"/>
  <c r="AI20" i="21" s="1"/>
  <c r="H152" i="20"/>
  <c r="G131" i="21"/>
  <c r="AM131" i="21" s="1"/>
  <c r="M320" i="20"/>
  <c r="L299" i="21"/>
  <c r="AR299" i="21" s="1"/>
  <c r="F123" i="20"/>
  <c r="E102" i="21"/>
  <c r="AK102" i="21" s="1"/>
  <c r="Q431" i="20"/>
  <c r="P410" i="21"/>
  <c r="AV410" i="21" s="1"/>
  <c r="F442" i="20"/>
  <c r="E421" i="21"/>
  <c r="AK421" i="21" s="1"/>
  <c r="M462" i="20"/>
  <c r="L441" i="21"/>
  <c r="AR441" i="21" s="1"/>
  <c r="H181" i="20"/>
  <c r="G160" i="21"/>
  <c r="AM160" i="21" s="1"/>
  <c r="H94" i="20"/>
  <c r="G73" i="21"/>
  <c r="AM73" i="21" s="1"/>
  <c r="C216" i="20"/>
  <c r="D215" i="20"/>
  <c r="C194" i="21"/>
  <c r="AI194" i="21" s="1"/>
  <c r="C472" i="20"/>
  <c r="D356" i="20"/>
  <c r="C335" i="21"/>
  <c r="AI335" i="21" s="1"/>
  <c r="S54" i="20"/>
  <c r="R33" i="21"/>
  <c r="AX33" i="21" s="1"/>
  <c r="N146" i="20"/>
  <c r="M125" i="21"/>
  <c r="AS125" i="21" s="1"/>
  <c r="G326" i="20"/>
  <c r="F305" i="21"/>
  <c r="AL305" i="21" s="1"/>
  <c r="C157" i="20"/>
  <c r="D156" i="20"/>
  <c r="C135" i="21"/>
  <c r="AI135" i="21" s="1"/>
  <c r="S285" i="20"/>
  <c r="R264" i="21"/>
  <c r="AX264" i="21" s="1"/>
  <c r="H467" i="20"/>
  <c r="G446" i="21"/>
  <c r="AM446" i="21" s="1"/>
  <c r="E68" i="20"/>
  <c r="D47" i="21"/>
  <c r="AJ47" i="21" s="1"/>
  <c r="H352" i="20"/>
  <c r="G331" i="21"/>
  <c r="AM331" i="21" s="1"/>
  <c r="R111" i="20"/>
  <c r="Q90" i="21"/>
  <c r="AW90" i="21" s="1"/>
  <c r="F413" i="20"/>
  <c r="E392" i="21"/>
  <c r="AK392" i="21" s="1"/>
  <c r="M291" i="20"/>
  <c r="L270" i="21"/>
  <c r="AR270" i="21" s="1"/>
  <c r="L117" i="20"/>
  <c r="K96" i="21"/>
  <c r="AQ96" i="21" s="1"/>
  <c r="J323" i="20"/>
  <c r="I302" i="21"/>
  <c r="AO302" i="21" s="1"/>
  <c r="I64" i="20"/>
  <c r="H43" i="21"/>
  <c r="AN43" i="21" s="1"/>
  <c r="S228" i="20"/>
  <c r="R207" i="21"/>
  <c r="AX207" i="21" s="1"/>
  <c r="Q374" i="20"/>
  <c r="P353" i="21"/>
  <c r="AV353" i="21" s="1"/>
  <c r="S141" i="20"/>
  <c r="R120" i="21"/>
  <c r="AX120" i="21" s="1"/>
  <c r="K408" i="20"/>
  <c r="J387" i="21"/>
  <c r="AP387" i="21" s="1"/>
  <c r="K265" i="20"/>
  <c r="J244" i="21"/>
  <c r="AP244" i="21" s="1"/>
  <c r="Q201" i="20"/>
  <c r="P180" i="21"/>
  <c r="AV180" i="21" s="1"/>
  <c r="R229" i="20"/>
  <c r="Q208" i="21"/>
  <c r="AW208" i="21" s="1"/>
  <c r="P288" i="20"/>
  <c r="O267" i="21"/>
  <c r="AU267" i="21" s="1"/>
  <c r="S26" i="20"/>
  <c r="R5" i="21"/>
  <c r="AX5" i="21" s="1"/>
  <c r="N290" i="20"/>
  <c r="M269" i="21"/>
  <c r="AS269" i="21" s="1"/>
  <c r="Q259" i="20"/>
  <c r="P238" i="21"/>
  <c r="AV238" i="21" s="1"/>
  <c r="M347" i="20"/>
  <c r="L326" i="21"/>
  <c r="AR326" i="21" s="1"/>
  <c r="M263" i="20"/>
  <c r="L242" i="21"/>
  <c r="AR242" i="21" s="1"/>
  <c r="M406" i="20"/>
  <c r="L385" i="21"/>
  <c r="AR385" i="21" s="1"/>
  <c r="N346" i="20"/>
  <c r="M325" i="21"/>
  <c r="AS325" i="21" s="1"/>
  <c r="K380" i="20"/>
  <c r="J359" i="21"/>
  <c r="AP359" i="21" s="1"/>
  <c r="C187" i="20"/>
  <c r="D186" i="20"/>
  <c r="C165" i="21"/>
  <c r="AI165" i="21" s="1"/>
  <c r="F354" i="20"/>
  <c r="E333" i="21"/>
  <c r="AK333" i="21" s="1"/>
  <c r="K236" i="20"/>
  <c r="J215" i="21"/>
  <c r="AP215" i="21" s="1"/>
  <c r="L292" i="20"/>
  <c r="K271" i="21"/>
  <c r="AQ271" i="21" s="1"/>
  <c r="R142" i="20"/>
  <c r="Q121" i="21"/>
  <c r="AW121" i="21" s="1"/>
  <c r="J179" i="20"/>
  <c r="I158" i="21"/>
  <c r="AO158" i="21" s="1"/>
  <c r="I238" i="20"/>
  <c r="H217" i="21"/>
  <c r="AN217" i="21" s="1"/>
  <c r="P86" i="20"/>
  <c r="O65" i="21"/>
  <c r="AU65" i="21" s="1"/>
  <c r="E214" i="20"/>
  <c r="D193" i="21"/>
  <c r="AJ193" i="21" s="1"/>
  <c r="H121" i="20"/>
  <c r="G100" i="21"/>
  <c r="AM100" i="21" s="1"/>
  <c r="D387" i="20"/>
  <c r="C366" i="21"/>
  <c r="AI366" i="21" s="1"/>
  <c r="T82" i="20"/>
  <c r="S61" i="21"/>
  <c r="AY61" i="21" s="1"/>
  <c r="G38" i="20"/>
  <c r="F17" i="21"/>
  <c r="AL17" i="21" s="1"/>
  <c r="F67" i="20"/>
  <c r="E46" i="21"/>
  <c r="AK46" i="21" s="1"/>
  <c r="E185" i="20"/>
  <c r="D164" i="21"/>
  <c r="AJ164" i="21" s="1"/>
  <c r="F385" i="20"/>
  <c r="E364" i="21"/>
  <c r="AK364" i="21" s="1"/>
  <c r="O318" i="20"/>
  <c r="N297" i="21"/>
  <c r="AT297" i="21" s="1"/>
  <c r="N461" i="20"/>
  <c r="M440" i="21"/>
  <c r="AS440" i="21" s="1"/>
  <c r="E355" i="20"/>
  <c r="D334" i="21"/>
  <c r="AJ334" i="21" s="1"/>
  <c r="C126" i="20"/>
  <c r="O145" i="20"/>
  <c r="N124" i="21"/>
  <c r="AT124" i="21" s="1"/>
  <c r="I439" i="20"/>
  <c r="H418" i="21"/>
  <c r="AN418" i="21" s="1"/>
  <c r="D444" i="20"/>
  <c r="C423" i="21"/>
  <c r="AI423" i="21" s="1"/>
  <c r="I351" i="20"/>
  <c r="H330" i="21"/>
  <c r="AN330" i="21" s="1"/>
  <c r="T169" i="20"/>
  <c r="S148" i="21"/>
  <c r="AY148" i="21" s="1"/>
  <c r="K149" i="20"/>
  <c r="J128" i="21"/>
  <c r="AP128" i="21" s="1"/>
  <c r="I382" i="20"/>
  <c r="H361" i="21"/>
  <c r="AN361" i="21" s="1"/>
  <c r="Q402" i="20"/>
  <c r="P381" i="21"/>
  <c r="AV381" i="21" s="1"/>
  <c r="P113" i="20"/>
  <c r="O92" i="21"/>
  <c r="AU92" i="21" s="1"/>
  <c r="D415" i="20"/>
  <c r="C394" i="21"/>
  <c r="AI394" i="21" s="1"/>
  <c r="J150" i="20"/>
  <c r="I129" i="21"/>
  <c r="AO129" i="21" s="1"/>
  <c r="M60" i="20"/>
  <c r="L39" i="21"/>
  <c r="AR39" i="21" s="1"/>
  <c r="K349" i="20"/>
  <c r="J328" i="21"/>
  <c r="AP328" i="21" s="1"/>
  <c r="O261" i="20"/>
  <c r="N240" i="21"/>
  <c r="AT240" i="21" s="1"/>
  <c r="S83" i="20"/>
  <c r="R62" i="21"/>
  <c r="AX62" i="21" s="1"/>
  <c r="E69" i="20"/>
  <c r="D48" i="21"/>
  <c r="AJ48" i="21" s="1"/>
  <c r="K34" i="20"/>
  <c r="J13" i="21"/>
  <c r="AP13" i="21" s="1"/>
  <c r="R55" i="20"/>
  <c r="Q34" i="21"/>
  <c r="AW34" i="21" s="1"/>
  <c r="G66" i="20"/>
  <c r="F45" i="21"/>
  <c r="AL45" i="21" s="1"/>
  <c r="H268" i="20"/>
  <c r="G247" i="21"/>
  <c r="AM247" i="21" s="1"/>
  <c r="J119" i="20"/>
  <c r="I98" i="21"/>
  <c r="AO98" i="21" s="1"/>
  <c r="I120" i="20"/>
  <c r="H99" i="21"/>
  <c r="AN99" i="21" s="1"/>
  <c r="E184" i="20"/>
  <c r="D163" i="21"/>
  <c r="AJ163" i="21" s="1"/>
  <c r="C388" i="20"/>
  <c r="D272" i="20"/>
  <c r="C251" i="21"/>
  <c r="AI251" i="21" s="1"/>
  <c r="L436" i="20"/>
  <c r="K415" i="21"/>
  <c r="AQ415" i="21" s="1"/>
  <c r="K464" i="20"/>
  <c r="J443" i="21"/>
  <c r="AP443" i="21" s="1"/>
  <c r="I93" i="20"/>
  <c r="H72" i="21"/>
  <c r="AN72" i="21" s="1"/>
  <c r="N59" i="20"/>
  <c r="M38" i="21"/>
  <c r="AS38" i="21" s="1"/>
  <c r="F298" i="20"/>
  <c r="E277" i="21"/>
  <c r="AK277" i="21" s="1"/>
  <c r="N175" i="20"/>
  <c r="M154" i="21"/>
  <c r="AS154" i="21" s="1"/>
  <c r="J409" i="20"/>
  <c r="I388" i="21"/>
  <c r="AO388" i="21" s="1"/>
  <c r="J350" i="20"/>
  <c r="I329" i="21"/>
  <c r="AO329" i="21" s="1"/>
  <c r="N405" i="20"/>
  <c r="M384" i="21"/>
  <c r="AS384" i="21" s="1"/>
  <c r="Q143" i="20"/>
  <c r="P122" i="21"/>
  <c r="AV122" i="21" s="1"/>
  <c r="Q172" i="20"/>
  <c r="P151" i="21"/>
  <c r="AV151" i="21" s="1"/>
  <c r="G412" i="20"/>
  <c r="F391" i="21"/>
  <c r="AL391" i="21" s="1"/>
  <c r="G95" i="20"/>
  <c r="F74" i="21"/>
  <c r="AL74" i="21" s="1"/>
  <c r="J63" i="20"/>
  <c r="I42" i="21"/>
  <c r="AO42" i="21" s="1"/>
  <c r="R373" i="20"/>
  <c r="Q352" i="21"/>
  <c r="AW352" i="21" s="1"/>
  <c r="R27" i="20"/>
  <c r="Q6" i="21"/>
  <c r="AW6" i="21" s="1"/>
  <c r="J294" i="20"/>
  <c r="I273" i="21"/>
  <c r="AO273" i="21" s="1"/>
  <c r="I466" i="20"/>
  <c r="H445" i="21"/>
  <c r="AN445" i="21" s="1"/>
  <c r="M147" i="20"/>
  <c r="L126" i="21"/>
  <c r="AR126" i="21" s="1"/>
  <c r="R286" i="20"/>
  <c r="Q265" i="21"/>
  <c r="AW265" i="21" s="1"/>
  <c r="M435" i="20"/>
  <c r="L414" i="21"/>
  <c r="AR414" i="21" s="1"/>
  <c r="L90" i="20"/>
  <c r="K69" i="21"/>
  <c r="AQ69" i="21" s="1"/>
  <c r="F212" i="20"/>
  <c r="E191" i="21"/>
  <c r="AK191" i="21" s="1"/>
  <c r="P344" i="20"/>
  <c r="O323" i="21"/>
  <c r="AU323" i="21" s="1"/>
  <c r="E470" i="20"/>
  <c r="D449" i="21"/>
  <c r="AJ449" i="21" s="1"/>
  <c r="O87" i="20"/>
  <c r="N66" i="21"/>
  <c r="AT66" i="21" s="1"/>
  <c r="O114" i="20"/>
  <c r="N93" i="21"/>
  <c r="AT93" i="21" s="1"/>
  <c r="Q287" i="20"/>
  <c r="P266" i="21"/>
  <c r="AV266" i="21" s="1"/>
  <c r="R171" i="20"/>
  <c r="Q150" i="21"/>
  <c r="AW150" i="21" s="1"/>
  <c r="E271" i="20"/>
  <c r="D250" i="21"/>
  <c r="AJ250" i="21" s="1"/>
  <c r="K118" i="20"/>
  <c r="J97" i="21"/>
  <c r="AP97" i="21" s="1"/>
  <c r="M116" i="20"/>
  <c r="L95" i="21"/>
  <c r="AR95" i="21" s="1"/>
  <c r="C445" i="20"/>
  <c r="D329" i="20"/>
  <c r="C308" i="21"/>
  <c r="AI308" i="21" s="1"/>
  <c r="Q112" i="20"/>
  <c r="P91" i="21"/>
  <c r="AV91" i="21" s="1"/>
  <c r="H383" i="20"/>
  <c r="G362" i="21"/>
  <c r="AM362" i="21" s="1"/>
  <c r="E414" i="20"/>
  <c r="D393" i="21"/>
  <c r="AJ393" i="21" s="1"/>
  <c r="H325" i="20"/>
  <c r="G304" i="21"/>
  <c r="AM304" i="21" s="1"/>
  <c r="I267" i="20"/>
  <c r="H246" i="21"/>
  <c r="AN246" i="21" s="1"/>
  <c r="E328" i="20"/>
  <c r="D307" i="21"/>
  <c r="AJ307" i="21" s="1"/>
  <c r="S257" i="20"/>
  <c r="R236" i="21"/>
  <c r="AX236" i="21" s="1"/>
  <c r="R388" i="19"/>
  <c r="S389" i="19" s="1"/>
  <c r="G468" i="20"/>
  <c r="F447" i="21"/>
  <c r="AL447" i="21" s="1"/>
  <c r="L463" i="20"/>
  <c r="K442" i="21"/>
  <c r="AQ442" i="21" s="1"/>
  <c r="L348" i="20"/>
  <c r="K327" i="21"/>
  <c r="AQ327" i="21" s="1"/>
  <c r="K437" i="20"/>
  <c r="J416" i="21"/>
  <c r="AP416" i="21" s="1"/>
  <c r="O174" i="20"/>
  <c r="N153" i="21"/>
  <c r="AT153" i="21" s="1"/>
  <c r="J465" i="20"/>
  <c r="I444" i="21"/>
  <c r="AO444" i="21" s="1"/>
  <c r="F469" i="20"/>
  <c r="E448" i="21"/>
  <c r="AK448" i="21" s="1"/>
  <c r="L148" i="20"/>
  <c r="K127" i="21"/>
  <c r="AQ127" i="21" s="1"/>
  <c r="G297" i="20"/>
  <c r="F276" i="21"/>
  <c r="AL276" i="21" s="1"/>
  <c r="C331" i="20"/>
  <c r="C100" i="20"/>
  <c r="D99" i="20"/>
  <c r="C78" i="21"/>
  <c r="AI78" i="21" s="1"/>
  <c r="T227" i="20"/>
  <c r="S206" i="21"/>
  <c r="AY206" i="21" s="1"/>
  <c r="G384" i="20"/>
  <c r="F363" i="21"/>
  <c r="AL363" i="21" s="1"/>
  <c r="O376" i="20"/>
  <c r="N355" i="21"/>
  <c r="AT355" i="21" s="1"/>
  <c r="F96" i="20"/>
  <c r="E75" i="21"/>
  <c r="AK75" i="21" s="1"/>
  <c r="P144" i="20"/>
  <c r="O123" i="21"/>
  <c r="AU123" i="21" s="1"/>
  <c r="R200" i="20"/>
  <c r="Q179" i="21"/>
  <c r="AW179" i="21" s="1"/>
  <c r="L177" i="20"/>
  <c r="K156" i="21"/>
  <c r="AQ156" i="21" s="1"/>
  <c r="N434" i="20"/>
  <c r="M413" i="21"/>
  <c r="AS413" i="21" s="1"/>
  <c r="M89" i="20"/>
  <c r="L68" i="21"/>
  <c r="AR68" i="21" s="1"/>
  <c r="Q28" i="20"/>
  <c r="P7" i="21"/>
  <c r="AV7" i="21" s="1"/>
  <c r="K207" i="20"/>
  <c r="J186" i="21"/>
  <c r="AP186" i="21" s="1"/>
  <c r="P317" i="20"/>
  <c r="O296" i="21"/>
  <c r="AU296" i="21" s="1"/>
  <c r="G153" i="20"/>
  <c r="F132" i="21"/>
  <c r="AL132" i="21" s="1"/>
  <c r="N31" i="20"/>
  <c r="M10" i="21"/>
  <c r="AS10" i="21" s="1"/>
  <c r="O460" i="20"/>
  <c r="N439" i="21"/>
  <c r="AT439" i="21" s="1"/>
  <c r="H411" i="20"/>
  <c r="G390" i="21"/>
  <c r="AM390" i="21" s="1"/>
  <c r="L379" i="20"/>
  <c r="K358" i="21"/>
  <c r="AQ358" i="21" s="1"/>
  <c r="J237" i="20"/>
  <c r="I216" i="21"/>
  <c r="AO216" i="21" s="1"/>
  <c r="F241" i="20"/>
  <c r="E220" i="21"/>
  <c r="AK220" i="21" s="1"/>
  <c r="N233" i="20"/>
  <c r="M212" i="21"/>
  <c r="AS212" i="21" s="1"/>
  <c r="Q230" i="20"/>
  <c r="P209" i="21"/>
  <c r="AV209" i="21" s="1"/>
  <c r="R315" i="20"/>
  <c r="Q294" i="21"/>
  <c r="AW294" i="21" s="1"/>
  <c r="H239" i="20"/>
  <c r="G218" i="21"/>
  <c r="AM218" i="21" s="1"/>
  <c r="N319" i="20"/>
  <c r="M298" i="21"/>
  <c r="AS298" i="21" s="1"/>
  <c r="E213" i="20"/>
  <c r="D192" i="21"/>
  <c r="AJ192" i="21" s="1"/>
  <c r="Q85" i="20"/>
  <c r="P64" i="21"/>
  <c r="AV64" i="21" s="1"/>
  <c r="N262" i="20"/>
  <c r="M241" i="21"/>
  <c r="AS241" i="21" s="1"/>
  <c r="I151" i="20"/>
  <c r="H130" i="21"/>
  <c r="AN130" i="21" s="1"/>
  <c r="S199" i="20"/>
  <c r="R178" i="21"/>
  <c r="AX178" i="21" s="1"/>
  <c r="H210" i="20"/>
  <c r="G189" i="21"/>
  <c r="AM189" i="21" s="1"/>
  <c r="J381" i="20"/>
  <c r="I360" i="21"/>
  <c r="AO360" i="21" s="1"/>
  <c r="H296" i="20"/>
  <c r="G275" i="21"/>
  <c r="AM275" i="21" s="1"/>
  <c r="P29" i="20"/>
  <c r="O8" i="21"/>
  <c r="AU8" i="21" s="1"/>
  <c r="H440" i="20"/>
  <c r="G419" i="21"/>
  <c r="AM419" i="21" s="1"/>
  <c r="M176" i="20"/>
  <c r="L155" i="21"/>
  <c r="AR155" i="21" s="1"/>
  <c r="O203" i="20"/>
  <c r="N182" i="21"/>
  <c r="AT182" i="21" s="1"/>
  <c r="D471" i="20"/>
  <c r="C450" i="21"/>
  <c r="AI450" i="21" s="1"/>
  <c r="P202" i="20"/>
  <c r="O181" i="21"/>
  <c r="AU181" i="21" s="1"/>
  <c r="R258" i="20"/>
  <c r="Q237" i="21"/>
  <c r="AW237" i="21" s="1"/>
  <c r="S314" i="20"/>
  <c r="R293" i="21"/>
  <c r="AX293" i="21" s="1"/>
  <c r="Q316" i="20"/>
  <c r="P295" i="21"/>
  <c r="AV295" i="21" s="1"/>
  <c r="P432" i="20"/>
  <c r="O411" i="21"/>
  <c r="AU411" i="21" s="1"/>
  <c r="G182" i="20"/>
  <c r="F161" i="21"/>
  <c r="AL161" i="21" s="1"/>
  <c r="O289" i="20"/>
  <c r="N268" i="21"/>
  <c r="AT268" i="21" s="1"/>
  <c r="I324" i="20"/>
  <c r="H303" i="21"/>
  <c r="AN303" i="21" s="1"/>
  <c r="J208" i="20"/>
  <c r="I187" i="21"/>
  <c r="AO187" i="21" s="1"/>
  <c r="J35" i="20"/>
  <c r="I14" i="21"/>
  <c r="AO14" i="21" s="1"/>
  <c r="I36" i="20"/>
  <c r="H15" i="21"/>
  <c r="AN15" i="21" s="1"/>
  <c r="S170" i="20"/>
  <c r="R149" i="21"/>
  <c r="AX149" i="21" s="1"/>
  <c r="Q56" i="20"/>
  <c r="P35" i="21"/>
  <c r="AV35" i="21" s="1"/>
  <c r="J438" i="20"/>
  <c r="I417" i="21"/>
  <c r="AO417" i="21" s="1"/>
  <c r="O345" i="20"/>
  <c r="N324" i="21"/>
  <c r="AT324" i="21" s="1"/>
  <c r="E386" i="20"/>
  <c r="D365" i="21"/>
  <c r="AJ365" i="21" s="1"/>
  <c r="E242" i="20"/>
  <c r="D221" i="21"/>
  <c r="AJ221" i="21" s="1"/>
  <c r="R401" i="20"/>
  <c r="Q380" i="21"/>
  <c r="AW380" i="21" s="1"/>
  <c r="T140" i="20"/>
  <c r="S119" i="21"/>
  <c r="AY119" i="21" s="1"/>
  <c r="T53" i="20"/>
  <c r="S32" i="21"/>
  <c r="AY32" i="21" s="1"/>
  <c r="E299" i="20"/>
  <c r="D278" i="21"/>
  <c r="AJ278" i="21" s="1"/>
  <c r="D244" i="20"/>
  <c r="C245" i="20"/>
  <c r="C223" i="21"/>
  <c r="AI223" i="21" s="1"/>
  <c r="C417" i="20"/>
  <c r="D301" i="20"/>
  <c r="C280" i="21"/>
  <c r="AI280" i="21" s="1"/>
  <c r="M234" i="20"/>
  <c r="L213" i="21"/>
  <c r="AR213" i="21" s="1"/>
  <c r="P459" i="20"/>
  <c r="O438" i="21"/>
  <c r="AU438" i="21" s="1"/>
  <c r="F270" i="20"/>
  <c r="E249" i="21"/>
  <c r="AK249" i="21" s="1"/>
  <c r="E124" i="20"/>
  <c r="D103" i="21"/>
  <c r="AJ103" i="21" s="1"/>
  <c r="C416" i="20"/>
  <c r="D300" i="20"/>
  <c r="C279" i="21"/>
  <c r="AI279" i="21" s="1"/>
  <c r="V330" i="19"/>
  <c r="W331" i="19" s="1"/>
  <c r="U69" i="19"/>
  <c r="V70" i="19" s="1"/>
  <c r="S504" i="19"/>
  <c r="R69" i="19"/>
  <c r="AD388" i="19"/>
  <c r="Y156" i="19"/>
  <c r="W272" i="19"/>
  <c r="AB185" i="19"/>
  <c r="V446" i="19"/>
  <c r="AC98" i="19"/>
  <c r="AC388" i="19"/>
  <c r="V98" i="19"/>
  <c r="AE185" i="19"/>
  <c r="AC156" i="19"/>
  <c r="T504" i="19"/>
  <c r="AE69" i="19"/>
  <c r="AD330" i="19"/>
  <c r="Y417" i="19"/>
  <c r="AE330" i="19"/>
  <c r="W504" i="19"/>
  <c r="AB417" i="19"/>
  <c r="U504" i="19"/>
  <c r="X417" i="19"/>
  <c r="X185" i="19"/>
  <c r="V388" i="19"/>
  <c r="V69" i="19"/>
  <c r="AB69" i="19"/>
  <c r="Q330" i="19"/>
  <c r="Y185" i="19"/>
  <c r="AB446" i="19"/>
  <c r="T446" i="19"/>
  <c r="W330" i="19"/>
  <c r="AB156" i="19"/>
  <c r="AD156" i="19"/>
  <c r="AC185" i="19"/>
  <c r="V417" i="19"/>
  <c r="S330" i="19"/>
  <c r="R330" i="19"/>
  <c r="Z98" i="19"/>
  <c r="AC446" i="19"/>
  <c r="R446" i="19"/>
  <c r="W185" i="19"/>
  <c r="V185" i="19"/>
  <c r="T417" i="19"/>
  <c r="AE98" i="19"/>
  <c r="AD185" i="19"/>
  <c r="R504" i="19"/>
  <c r="AA446" i="19"/>
  <c r="U388" i="19"/>
  <c r="X504" i="19"/>
  <c r="T98" i="19"/>
  <c r="AC504" i="19"/>
  <c r="AA185" i="19"/>
  <c r="AD69" i="19"/>
  <c r="Z69" i="19"/>
  <c r="AA504" i="19"/>
  <c r="AA98" i="19"/>
  <c r="Q388" i="19"/>
  <c r="Q446" i="19"/>
  <c r="U98" i="19"/>
  <c r="AD504" i="19"/>
  <c r="AB388" i="19"/>
  <c r="W98" i="19"/>
  <c r="Y504" i="19"/>
  <c r="U185" i="19"/>
  <c r="T69" i="19"/>
  <c r="AC417" i="19"/>
  <c r="AE417" i="19"/>
  <c r="Z185" i="19"/>
  <c r="S185" i="19"/>
  <c r="X388" i="19"/>
  <c r="T272" i="19"/>
  <c r="Q156" i="19"/>
  <c r="R98" i="19"/>
  <c r="X98" i="19"/>
  <c r="S69" i="19"/>
  <c r="AA272" i="19"/>
  <c r="V272" i="19"/>
  <c r="W156" i="19"/>
  <c r="AC330" i="19"/>
  <c r="X330" i="19"/>
  <c r="Q98" i="19"/>
  <c r="T330" i="19"/>
  <c r="AE272" i="19"/>
  <c r="R185" i="19"/>
  <c r="S388" i="19"/>
  <c r="AD98" i="19"/>
  <c r="U446" i="19"/>
  <c r="Y69" i="19"/>
  <c r="T185" i="19"/>
  <c r="R156" i="19"/>
  <c r="AE504" i="19"/>
  <c r="Z504" i="19"/>
  <c r="AA330" i="19"/>
  <c r="Z330" i="19"/>
  <c r="Y446" i="19"/>
  <c r="Y388" i="19"/>
  <c r="X156" i="19"/>
  <c r="AB504" i="19"/>
  <c r="AE388" i="19"/>
  <c r="S156" i="19"/>
  <c r="U156" i="19"/>
  <c r="W388" i="19"/>
  <c r="Y98" i="19"/>
  <c r="Z156" i="19"/>
  <c r="W446" i="19"/>
  <c r="Z446" i="19"/>
  <c r="AD446" i="19"/>
  <c r="V504" i="19"/>
  <c r="D431" i="23"/>
  <c r="E432" i="23" s="1"/>
  <c r="C431" i="23"/>
  <c r="D461" i="23"/>
  <c r="C461" i="23"/>
  <c r="C462" i="23" s="1"/>
  <c r="E142" i="1" s="1"/>
  <c r="C490" i="23"/>
  <c r="C491" i="23" s="1"/>
  <c r="E143" i="1" s="1"/>
  <c r="D490" i="23"/>
  <c r="Z243" i="19"/>
  <c r="M214" i="19"/>
  <c r="H447" i="19"/>
  <c r="F214" i="19"/>
  <c r="L214" i="19"/>
  <c r="AC214" i="19"/>
  <c r="I214" i="19"/>
  <c r="AD214" i="19"/>
  <c r="K186" i="19"/>
  <c r="Q214" i="19"/>
  <c r="W243" i="19"/>
  <c r="X214" i="19"/>
  <c r="S243" i="19"/>
  <c r="T243" i="19"/>
  <c r="N214" i="19"/>
  <c r="R243" i="19"/>
  <c r="O186" i="19"/>
  <c r="K243" i="19"/>
  <c r="G214" i="19"/>
  <c r="N186" i="19"/>
  <c r="H186" i="19"/>
  <c r="P214" i="19"/>
  <c r="M186" i="19"/>
  <c r="Z214" i="19"/>
  <c r="L186" i="19"/>
  <c r="J214" i="19"/>
  <c r="Y214" i="19"/>
  <c r="F186" i="19"/>
  <c r="X243" i="19"/>
  <c r="O214" i="19"/>
  <c r="AB214" i="19"/>
  <c r="AA214" i="19"/>
  <c r="E243" i="19"/>
  <c r="J243" i="19"/>
  <c r="V214" i="19"/>
  <c r="K214" i="19"/>
  <c r="U214" i="19"/>
  <c r="T214" i="19"/>
  <c r="E214" i="19"/>
  <c r="AC243" i="19"/>
  <c r="H214" i="19"/>
  <c r="AE214" i="19"/>
  <c r="Y243" i="19"/>
  <c r="I157" i="19"/>
  <c r="S214" i="19"/>
  <c r="J389" i="19"/>
  <c r="T418" i="19"/>
  <c r="AA243" i="19"/>
  <c r="AA389" i="19"/>
  <c r="L157" i="19"/>
  <c r="Q243" i="19"/>
  <c r="P243" i="19"/>
  <c r="L243" i="19"/>
  <c r="F243" i="19"/>
  <c r="R214" i="19"/>
  <c r="F505" i="19"/>
  <c r="S273" i="19"/>
  <c r="G273" i="19"/>
  <c r="AD243" i="19"/>
  <c r="N157" i="19"/>
  <c r="G505" i="19"/>
  <c r="K273" i="19"/>
  <c r="N273" i="19"/>
  <c r="J505" i="19"/>
  <c r="Y273" i="19"/>
  <c r="AB127" i="19"/>
  <c r="T273" i="19"/>
  <c r="I273" i="19"/>
  <c r="E505" i="19"/>
  <c r="G157" i="19"/>
  <c r="U243" i="19"/>
  <c r="F389" i="19"/>
  <c r="N243" i="19"/>
  <c r="O505" i="19"/>
  <c r="I389" i="19"/>
  <c r="Z273" i="19"/>
  <c r="O273" i="19"/>
  <c r="Q157" i="19"/>
  <c r="P505" i="19"/>
  <c r="H157" i="19"/>
  <c r="AC273" i="19"/>
  <c r="K505" i="19"/>
  <c r="H505" i="19"/>
  <c r="M389" i="19"/>
  <c r="P389" i="19"/>
  <c r="AB157" i="19"/>
  <c r="M505" i="19"/>
  <c r="AD273" i="19"/>
  <c r="J273" i="19"/>
  <c r="L505" i="19"/>
  <c r="P273" i="19"/>
  <c r="M273" i="19"/>
  <c r="M243" i="19"/>
  <c r="W214" i="19"/>
  <c r="L99" i="19"/>
  <c r="F70" i="19"/>
  <c r="AC99" i="19"/>
  <c r="O447" i="19"/>
  <c r="K331" i="19"/>
  <c r="N447" i="19"/>
  <c r="K99" i="19"/>
  <c r="E99" i="19"/>
  <c r="I186" i="19"/>
  <c r="P157" i="19"/>
  <c r="U157" i="19"/>
  <c r="R186" i="19"/>
  <c r="J157" i="19"/>
  <c r="Q389" i="19"/>
  <c r="K389" i="19"/>
  <c r="V243" i="19"/>
  <c r="E273" i="19"/>
  <c r="K70" i="19"/>
  <c r="AA418" i="19"/>
  <c r="AC331" i="19"/>
  <c r="L331" i="19"/>
  <c r="K418" i="19"/>
  <c r="G389" i="19"/>
  <c r="K157" i="19"/>
  <c r="E447" i="19"/>
  <c r="F157" i="19"/>
  <c r="E157" i="19"/>
  <c r="AE243" i="19"/>
  <c r="U389" i="19"/>
  <c r="P186" i="19"/>
  <c r="I505" i="19"/>
  <c r="AB243" i="19"/>
  <c r="K447" i="19"/>
  <c r="N99" i="19"/>
  <c r="L389" i="19"/>
  <c r="AB389" i="19"/>
  <c r="L273" i="19"/>
  <c r="S418" i="19"/>
  <c r="J99" i="19"/>
  <c r="R505" i="19"/>
  <c r="E389" i="19"/>
  <c r="N389" i="19"/>
  <c r="H243" i="19"/>
  <c r="F273" i="19"/>
  <c r="M157" i="19"/>
  <c r="I243" i="19"/>
  <c r="AA273" i="19"/>
  <c r="D127" i="19"/>
  <c r="D475" i="19"/>
  <c r="D359" i="19"/>
  <c r="R127" i="19"/>
  <c r="AB475" i="19"/>
  <c r="AC359" i="19"/>
  <c r="AB418" i="19"/>
  <c r="E70" i="19"/>
  <c r="O418" i="19"/>
  <c r="P418" i="19"/>
  <c r="L43" i="19"/>
  <c r="D274" i="19" s="1"/>
  <c r="X418" i="19"/>
  <c r="R418" i="19"/>
  <c r="J42" i="19"/>
  <c r="D215" i="19" s="1"/>
  <c r="N418" i="19"/>
  <c r="Q127" i="19"/>
  <c r="V127" i="19"/>
  <c r="AD70" i="19"/>
  <c r="V418" i="19"/>
  <c r="F359" i="19"/>
  <c r="D447" i="19"/>
  <c r="D331" i="19"/>
  <c r="D99" i="19"/>
  <c r="W127" i="19"/>
  <c r="F43" i="19"/>
  <c r="Q359" i="19"/>
  <c r="X70" i="19"/>
  <c r="AE359" i="19"/>
  <c r="J418" i="19"/>
  <c r="K475" i="19"/>
  <c r="P99" i="19"/>
  <c r="T302" i="19"/>
  <c r="S311" i="19"/>
  <c r="Q418" i="19"/>
  <c r="H475" i="19"/>
  <c r="K42" i="19"/>
  <c r="D244" i="19" s="1"/>
  <c r="AD359" i="19"/>
  <c r="J331" i="19"/>
  <c r="AB70" i="19"/>
  <c r="E418" i="19"/>
  <c r="J447" i="19"/>
  <c r="H359" i="19"/>
  <c r="H127" i="19"/>
  <c r="X359" i="19"/>
  <c r="I418" i="19"/>
  <c r="L359" i="19"/>
  <c r="T127" i="19"/>
  <c r="W359" i="19"/>
  <c r="U475" i="19"/>
  <c r="AD475" i="19"/>
  <c r="V359" i="19"/>
  <c r="N127" i="19"/>
  <c r="D418" i="19"/>
  <c r="D70" i="19"/>
  <c r="H70" i="19"/>
  <c r="Y70" i="19"/>
  <c r="G70" i="19"/>
  <c r="AE418" i="19"/>
  <c r="H418" i="19"/>
  <c r="Q70" i="19"/>
  <c r="G475" i="19"/>
  <c r="AE475" i="19"/>
  <c r="D43" i="19"/>
  <c r="S475" i="19"/>
  <c r="AA359" i="19"/>
  <c r="L475" i="19"/>
  <c r="P70" i="19"/>
  <c r="I70" i="19"/>
  <c r="M359" i="19"/>
  <c r="F99" i="19"/>
  <c r="AD127" i="19"/>
  <c r="U359" i="19"/>
  <c r="J475" i="19"/>
  <c r="K127" i="19"/>
  <c r="O475" i="19"/>
  <c r="Q475" i="19"/>
  <c r="Z127" i="19"/>
  <c r="P127" i="19"/>
  <c r="O70" i="19"/>
  <c r="AC475" i="19"/>
  <c r="F418" i="19"/>
  <c r="I447" i="19"/>
  <c r="P359" i="19"/>
  <c r="M475" i="19"/>
  <c r="S127" i="19"/>
  <c r="L127" i="19"/>
  <c r="Y359" i="19"/>
  <c r="AA127" i="19"/>
  <c r="R70" i="19"/>
  <c r="K359" i="19"/>
  <c r="L70" i="19"/>
  <c r="E359" i="19"/>
  <c r="I127" i="19"/>
  <c r="I331" i="19"/>
  <c r="M447" i="19"/>
  <c r="N475" i="19"/>
  <c r="AA475" i="19"/>
  <c r="P331" i="19"/>
  <c r="X127" i="19"/>
  <c r="C43" i="19"/>
  <c r="T475" i="19"/>
  <c r="T447" i="19"/>
  <c r="O359" i="19"/>
  <c r="H99" i="19"/>
  <c r="AE127" i="19"/>
  <c r="I475" i="19"/>
  <c r="N331" i="19"/>
  <c r="N70" i="19"/>
  <c r="E331" i="19"/>
  <c r="O331" i="19"/>
  <c r="Y475" i="19"/>
  <c r="R475" i="19"/>
  <c r="L418" i="19"/>
  <c r="I359" i="19"/>
  <c r="P475" i="19"/>
  <c r="N359" i="19"/>
  <c r="R359" i="19"/>
  <c r="D186" i="19"/>
  <c r="G186" i="19"/>
  <c r="V331" i="19"/>
  <c r="H331" i="19"/>
  <c r="Q447" i="19"/>
  <c r="Q186" i="19"/>
  <c r="V475" i="19"/>
  <c r="M418" i="19"/>
  <c r="Z475" i="19"/>
  <c r="F447" i="19"/>
  <c r="J127" i="19"/>
  <c r="Z331" i="19"/>
  <c r="J70" i="19"/>
  <c r="V273" i="19"/>
  <c r="G447" i="19"/>
  <c r="AB359" i="19"/>
  <c r="Z359" i="19"/>
  <c r="E475" i="19"/>
  <c r="P447" i="19"/>
  <c r="L447" i="19"/>
  <c r="W475" i="19"/>
  <c r="F475" i="19"/>
  <c r="AC127" i="19"/>
  <c r="X475" i="19"/>
  <c r="E42" i="19"/>
  <c r="I99" i="19"/>
  <c r="D505" i="19"/>
  <c r="D389" i="19"/>
  <c r="D157" i="19"/>
  <c r="O157" i="19"/>
  <c r="N505" i="19"/>
  <c r="H273" i="19"/>
  <c r="AE273" i="19"/>
  <c r="J186" i="19"/>
  <c r="H389" i="19"/>
  <c r="S359" i="19"/>
  <c r="T99" i="19"/>
  <c r="Y127" i="19"/>
  <c r="W157" i="19"/>
  <c r="M70" i="19"/>
  <c r="Q331" i="19"/>
  <c r="M331" i="19"/>
  <c r="G418" i="19"/>
  <c r="F127" i="19"/>
  <c r="I43" i="19"/>
  <c r="D187" i="19" s="1"/>
  <c r="G99" i="19"/>
  <c r="G359" i="19"/>
  <c r="T359" i="19"/>
  <c r="Q273" i="19"/>
  <c r="J359" i="19"/>
  <c r="M99" i="19"/>
  <c r="Y447" i="19"/>
  <c r="G331" i="19"/>
  <c r="G127" i="19"/>
  <c r="G243" i="19"/>
  <c r="O127" i="19"/>
  <c r="R273" i="19"/>
  <c r="M127" i="19"/>
  <c r="Q99" i="19"/>
  <c r="U127" i="19"/>
  <c r="E127" i="19"/>
  <c r="O389" i="19"/>
  <c r="F331" i="19"/>
  <c r="O243" i="19"/>
  <c r="O99" i="19"/>
  <c r="Q505" i="19"/>
  <c r="AJ77" i="21" l="1"/>
  <c r="R3" i="49"/>
  <c r="R7" i="49" s="1"/>
  <c r="R11" i="49" s="1"/>
  <c r="R19" i="49" s="1"/>
  <c r="U79" i="5"/>
  <c r="U73" i="49"/>
  <c r="T81" i="49"/>
  <c r="Q2" i="49"/>
  <c r="Q6" i="49" s="1"/>
  <c r="Q10" i="49" s="1"/>
  <c r="Q18" i="49" s="1"/>
  <c r="T80" i="5"/>
  <c r="T43" i="49"/>
  <c r="S52" i="49"/>
  <c r="AW74" i="23"/>
  <c r="AW92" i="23" s="1"/>
  <c r="AW110" i="23" s="1"/>
  <c r="R261" i="21"/>
  <c r="AH45" i="23"/>
  <c r="AH44" i="23"/>
  <c r="S282" i="20"/>
  <c r="S261" i="21" s="1"/>
  <c r="U109" i="1"/>
  <c r="Q459" i="20"/>
  <c r="P438" i="21"/>
  <c r="AV438" i="21" s="1"/>
  <c r="E301" i="20"/>
  <c r="D280" i="21"/>
  <c r="AJ280" i="21" s="1"/>
  <c r="S401" i="20"/>
  <c r="R380" i="21"/>
  <c r="AX380" i="21" s="1"/>
  <c r="H182" i="20"/>
  <c r="G161" i="21"/>
  <c r="AM161" i="21" s="1"/>
  <c r="T199" i="20"/>
  <c r="S178" i="21"/>
  <c r="AY178" i="21" s="1"/>
  <c r="P460" i="20"/>
  <c r="O439" i="21"/>
  <c r="AU439" i="21" s="1"/>
  <c r="M177" i="20"/>
  <c r="L156" i="21"/>
  <c r="AR156" i="21" s="1"/>
  <c r="U227" i="20"/>
  <c r="T206" i="21"/>
  <c r="AZ206" i="21" s="1"/>
  <c r="L437" i="20"/>
  <c r="K416" i="21"/>
  <c r="AQ416" i="21" s="1"/>
  <c r="F328" i="20"/>
  <c r="E307" i="21"/>
  <c r="AK307" i="21" s="1"/>
  <c r="K119" i="20"/>
  <c r="J98" i="21"/>
  <c r="AP98" i="21" s="1"/>
  <c r="L349" i="20"/>
  <c r="K328" i="21"/>
  <c r="AQ328" i="21" s="1"/>
  <c r="K179" i="20"/>
  <c r="J158" i="21"/>
  <c r="AP158" i="21" s="1"/>
  <c r="C274" i="20"/>
  <c r="C43" i="20"/>
  <c r="D42" i="20"/>
  <c r="C21" i="21"/>
  <c r="AI21" i="21" s="1"/>
  <c r="C418" i="20"/>
  <c r="D302" i="20"/>
  <c r="C281" i="21"/>
  <c r="AI281" i="21" s="1"/>
  <c r="E300" i="20"/>
  <c r="D279" i="21"/>
  <c r="AJ279" i="21" s="1"/>
  <c r="D417" i="20"/>
  <c r="C396" i="21"/>
  <c r="AI396" i="21" s="1"/>
  <c r="D445" i="20"/>
  <c r="C424" i="21"/>
  <c r="AI424" i="21" s="1"/>
  <c r="L118" i="20"/>
  <c r="K97" i="21"/>
  <c r="AQ97" i="21" s="1"/>
  <c r="S171" i="20"/>
  <c r="R150" i="21"/>
  <c r="AX150" i="21" s="1"/>
  <c r="P114" i="20"/>
  <c r="O93" i="21"/>
  <c r="AU93" i="21" s="1"/>
  <c r="F470" i="20"/>
  <c r="E449" i="21"/>
  <c r="AK449" i="21" s="1"/>
  <c r="G212" i="20"/>
  <c r="F191" i="21"/>
  <c r="AL191" i="21" s="1"/>
  <c r="S286" i="20"/>
  <c r="R265" i="21"/>
  <c r="AX265" i="21" s="1"/>
  <c r="J466" i="20"/>
  <c r="I445" i="21"/>
  <c r="AO445" i="21" s="1"/>
  <c r="S27" i="20"/>
  <c r="R6" i="21"/>
  <c r="AX6" i="21" s="1"/>
  <c r="K63" i="20"/>
  <c r="J42" i="21"/>
  <c r="AP42" i="21" s="1"/>
  <c r="H412" i="20"/>
  <c r="G391" i="21"/>
  <c r="AM391" i="21" s="1"/>
  <c r="R143" i="20"/>
  <c r="Q122" i="21"/>
  <c r="AW122" i="21" s="1"/>
  <c r="K350" i="20"/>
  <c r="J329" i="21"/>
  <c r="AP329" i="21" s="1"/>
  <c r="O175" i="20"/>
  <c r="N154" i="21"/>
  <c r="AT154" i="21" s="1"/>
  <c r="O59" i="20"/>
  <c r="N38" i="21"/>
  <c r="AT38" i="21" s="1"/>
  <c r="L464" i="20"/>
  <c r="K443" i="21"/>
  <c r="AQ443" i="21" s="1"/>
  <c r="E272" i="20"/>
  <c r="D251" i="21"/>
  <c r="AJ251" i="21" s="1"/>
  <c r="F355" i="20"/>
  <c r="E334" i="21"/>
  <c r="AK334" i="21" s="1"/>
  <c r="P318" i="20"/>
  <c r="O297" i="21"/>
  <c r="AU297" i="21" s="1"/>
  <c r="F185" i="20"/>
  <c r="E164" i="21"/>
  <c r="AK164" i="21" s="1"/>
  <c r="H38" i="20"/>
  <c r="G17" i="21"/>
  <c r="AM17" i="21" s="1"/>
  <c r="E387" i="20"/>
  <c r="D366" i="21"/>
  <c r="AJ366" i="21" s="1"/>
  <c r="L380" i="20"/>
  <c r="K359" i="21"/>
  <c r="AQ359" i="21" s="1"/>
  <c r="N406" i="20"/>
  <c r="M385" i="21"/>
  <c r="AS385" i="21" s="1"/>
  <c r="N347" i="20"/>
  <c r="M326" i="21"/>
  <c r="AS326" i="21" s="1"/>
  <c r="O290" i="20"/>
  <c r="N269" i="21"/>
  <c r="AT269" i="21" s="1"/>
  <c r="Q288" i="20"/>
  <c r="P267" i="21"/>
  <c r="AV267" i="21" s="1"/>
  <c r="R201" i="20"/>
  <c r="Q180" i="21"/>
  <c r="AW180" i="21" s="1"/>
  <c r="L408" i="20"/>
  <c r="K387" i="21"/>
  <c r="AQ387" i="21" s="1"/>
  <c r="R374" i="20"/>
  <c r="Q353" i="21"/>
  <c r="AW353" i="21" s="1"/>
  <c r="C158" i="20"/>
  <c r="D157" i="20"/>
  <c r="C136" i="21"/>
  <c r="AI136" i="21" s="1"/>
  <c r="O146" i="20"/>
  <c r="N125" i="21"/>
  <c r="AT125" i="21" s="1"/>
  <c r="E356" i="20"/>
  <c r="D335" i="21"/>
  <c r="AJ335" i="21" s="1"/>
  <c r="C217" i="20"/>
  <c r="D216" i="20"/>
  <c r="C195" i="21"/>
  <c r="AI195" i="21" s="1"/>
  <c r="I181" i="20"/>
  <c r="H160" i="21"/>
  <c r="AN160" i="21" s="1"/>
  <c r="G442" i="20"/>
  <c r="F421" i="21"/>
  <c r="AL421" i="21" s="1"/>
  <c r="G123" i="20"/>
  <c r="F102" i="21"/>
  <c r="AL102" i="21" s="1"/>
  <c r="I152" i="20"/>
  <c r="H131" i="21"/>
  <c r="AN131" i="21" s="1"/>
  <c r="D273" i="20"/>
  <c r="C389" i="20"/>
  <c r="C252" i="21"/>
  <c r="AI252" i="21" s="1"/>
  <c r="P30" i="20"/>
  <c r="O9" i="21"/>
  <c r="AU9" i="21" s="1"/>
  <c r="H269" i="20"/>
  <c r="G248" i="21"/>
  <c r="AM248" i="21" s="1"/>
  <c r="M264" i="20"/>
  <c r="L243" i="21"/>
  <c r="AR243" i="21" s="1"/>
  <c r="E70" i="20"/>
  <c r="D49" i="21"/>
  <c r="AJ49" i="21" s="1"/>
  <c r="I65" i="20"/>
  <c r="H44" i="21"/>
  <c r="AN44" i="21" s="1"/>
  <c r="M407" i="20"/>
  <c r="L386" i="21"/>
  <c r="AR386" i="21" s="1"/>
  <c r="F243" i="20"/>
  <c r="E222" i="21"/>
  <c r="AK222" i="21" s="1"/>
  <c r="O204" i="20"/>
  <c r="N183" i="21"/>
  <c r="AT183" i="21" s="1"/>
  <c r="J209" i="20"/>
  <c r="I188" i="21"/>
  <c r="AO188" i="21" s="1"/>
  <c r="I37" i="20"/>
  <c r="H16" i="21"/>
  <c r="AN16" i="21" s="1"/>
  <c r="P232" i="20"/>
  <c r="O211" i="21"/>
  <c r="AU211" i="21" s="1"/>
  <c r="H441" i="20"/>
  <c r="G420" i="21"/>
  <c r="AM420" i="21" s="1"/>
  <c r="O377" i="20"/>
  <c r="N356" i="21"/>
  <c r="AT356" i="21" s="1"/>
  <c r="F97" i="20"/>
  <c r="E76" i="21"/>
  <c r="AK76" i="21" s="1"/>
  <c r="R343" i="20"/>
  <c r="Q322" i="21"/>
  <c r="AW322" i="21" s="1"/>
  <c r="F98" i="20"/>
  <c r="E77" i="21"/>
  <c r="AK77" i="21" s="1"/>
  <c r="F40" i="20"/>
  <c r="E19" i="21"/>
  <c r="AK19" i="21" s="1"/>
  <c r="J295" i="20"/>
  <c r="I274" i="21"/>
  <c r="AO274" i="21" s="1"/>
  <c r="E125" i="20"/>
  <c r="D104" i="21"/>
  <c r="AJ104" i="21" s="1"/>
  <c r="E330" i="20"/>
  <c r="D309" i="21"/>
  <c r="AJ309" i="21" s="1"/>
  <c r="U25" i="20"/>
  <c r="T4" i="21"/>
  <c r="AZ4" i="21" s="1"/>
  <c r="J410" i="20"/>
  <c r="I389" i="21"/>
  <c r="AO389" i="21" s="1"/>
  <c r="F124" i="20"/>
  <c r="E103" i="21"/>
  <c r="AK103" i="21" s="1"/>
  <c r="U53" i="20"/>
  <c r="T32" i="21"/>
  <c r="AZ32" i="21" s="1"/>
  <c r="K438" i="20"/>
  <c r="J417" i="21"/>
  <c r="AP417" i="21" s="1"/>
  <c r="K35" i="20"/>
  <c r="J14" i="21"/>
  <c r="AP14" i="21" s="1"/>
  <c r="S258" i="20"/>
  <c r="R237" i="21"/>
  <c r="AX237" i="21" s="1"/>
  <c r="N176" i="20"/>
  <c r="M155" i="21"/>
  <c r="AS155" i="21" s="1"/>
  <c r="K381" i="20"/>
  <c r="J360" i="21"/>
  <c r="AP360" i="21" s="1"/>
  <c r="F213" i="20"/>
  <c r="E192" i="21"/>
  <c r="AK192" i="21" s="1"/>
  <c r="G241" i="20"/>
  <c r="F220" i="21"/>
  <c r="AL220" i="21" s="1"/>
  <c r="H153" i="20"/>
  <c r="G132" i="21"/>
  <c r="AM132" i="21" s="1"/>
  <c r="N89" i="20"/>
  <c r="M68" i="21"/>
  <c r="AS68" i="21" s="1"/>
  <c r="P376" i="20"/>
  <c r="O355" i="21"/>
  <c r="AU355" i="21" s="1"/>
  <c r="M148" i="20"/>
  <c r="L127" i="21"/>
  <c r="AR127" i="21" s="1"/>
  <c r="M463" i="20"/>
  <c r="L442" i="21"/>
  <c r="AR442" i="21" s="1"/>
  <c r="I325" i="20"/>
  <c r="H304" i="21"/>
  <c r="AN304" i="21" s="1"/>
  <c r="I383" i="20"/>
  <c r="H362" i="21"/>
  <c r="AN362" i="21" s="1"/>
  <c r="E329" i="20"/>
  <c r="D308" i="21"/>
  <c r="AJ308" i="21" s="1"/>
  <c r="F184" i="20"/>
  <c r="E163" i="21"/>
  <c r="AK163" i="21" s="1"/>
  <c r="H66" i="20"/>
  <c r="G45" i="21"/>
  <c r="AM45" i="21" s="1"/>
  <c r="T83" i="20"/>
  <c r="S62" i="21"/>
  <c r="AY62" i="21" s="1"/>
  <c r="Q113" i="20"/>
  <c r="P92" i="21"/>
  <c r="AV92" i="21" s="1"/>
  <c r="U169" i="20"/>
  <c r="T148" i="21"/>
  <c r="AZ148" i="21" s="1"/>
  <c r="Q86" i="20"/>
  <c r="P65" i="21"/>
  <c r="AV65" i="21" s="1"/>
  <c r="M292" i="20"/>
  <c r="L271" i="21"/>
  <c r="AR271" i="21" s="1"/>
  <c r="J64" i="20"/>
  <c r="I43" i="21"/>
  <c r="AO43" i="21" s="1"/>
  <c r="M117" i="20"/>
  <c r="L96" i="21"/>
  <c r="AR96" i="21" s="1"/>
  <c r="G413" i="20"/>
  <c r="F392" i="21"/>
  <c r="AL392" i="21" s="1"/>
  <c r="I352" i="20"/>
  <c r="H331" i="21"/>
  <c r="AN331" i="21" s="1"/>
  <c r="I467" i="20"/>
  <c r="H446" i="21"/>
  <c r="AN446" i="21" s="1"/>
  <c r="E156" i="20"/>
  <c r="D135" i="21"/>
  <c r="AJ135" i="21" s="1"/>
  <c r="U198" i="20"/>
  <c r="T177" i="21"/>
  <c r="AZ177" i="21" s="1"/>
  <c r="Q260" i="20"/>
  <c r="P239" i="21"/>
  <c r="AV239" i="21" s="1"/>
  <c r="Q375" i="20"/>
  <c r="P354" i="21"/>
  <c r="AV354" i="21" s="1"/>
  <c r="J180" i="20"/>
  <c r="I159" i="21"/>
  <c r="AO159" i="21" s="1"/>
  <c r="O115" i="20"/>
  <c r="N94" i="21"/>
  <c r="AT94" i="21" s="1"/>
  <c r="P433" i="20"/>
  <c r="O412" i="21"/>
  <c r="AU412" i="21" s="1"/>
  <c r="H240" i="20"/>
  <c r="G219" i="21"/>
  <c r="AM219" i="21" s="1"/>
  <c r="M33" i="20"/>
  <c r="L12" i="21"/>
  <c r="AR12" i="21" s="1"/>
  <c r="K92" i="20"/>
  <c r="J71" i="21"/>
  <c r="AP71" i="21" s="1"/>
  <c r="H211" i="20"/>
  <c r="G190" i="21"/>
  <c r="AM190" i="21" s="1"/>
  <c r="D416" i="20"/>
  <c r="C395" i="21"/>
  <c r="AI395" i="21" s="1"/>
  <c r="G270" i="20"/>
  <c r="F249" i="21"/>
  <c r="AL249" i="21" s="1"/>
  <c r="N234" i="20"/>
  <c r="M213" i="21"/>
  <c r="AS213" i="21" s="1"/>
  <c r="F299" i="20"/>
  <c r="E278" i="21"/>
  <c r="AK278" i="21" s="1"/>
  <c r="U140" i="20"/>
  <c r="T119" i="21"/>
  <c r="AZ119" i="21" s="1"/>
  <c r="F242" i="20"/>
  <c r="E221" i="21"/>
  <c r="AK221" i="21" s="1"/>
  <c r="P345" i="20"/>
  <c r="O324" i="21"/>
  <c r="AU324" i="21" s="1"/>
  <c r="R56" i="20"/>
  <c r="Q35" i="21"/>
  <c r="AW35" i="21" s="1"/>
  <c r="J36" i="20"/>
  <c r="I15" i="21"/>
  <c r="AO15" i="21" s="1"/>
  <c r="K208" i="20"/>
  <c r="J187" i="21"/>
  <c r="AP187" i="21" s="1"/>
  <c r="P289" i="20"/>
  <c r="O268" i="21"/>
  <c r="AU268" i="21" s="1"/>
  <c r="Q432" i="20"/>
  <c r="P411" i="21"/>
  <c r="AV411" i="21" s="1"/>
  <c r="T314" i="20"/>
  <c r="S293" i="21"/>
  <c r="AY293" i="21" s="1"/>
  <c r="Q202" i="20"/>
  <c r="P181" i="21"/>
  <c r="AV181" i="21" s="1"/>
  <c r="P203" i="20"/>
  <c r="O182" i="21"/>
  <c r="AU182" i="21" s="1"/>
  <c r="I440" i="20"/>
  <c r="H419" i="21"/>
  <c r="AN419" i="21" s="1"/>
  <c r="I296" i="20"/>
  <c r="H275" i="21"/>
  <c r="AN275" i="21" s="1"/>
  <c r="I210" i="20"/>
  <c r="H189" i="21"/>
  <c r="AN189" i="21" s="1"/>
  <c r="J151" i="20"/>
  <c r="I130" i="21"/>
  <c r="AO130" i="21" s="1"/>
  <c r="R85" i="20"/>
  <c r="Q64" i="21"/>
  <c r="AW64" i="21" s="1"/>
  <c r="O319" i="20"/>
  <c r="N298" i="21"/>
  <c r="AT298" i="21" s="1"/>
  <c r="S315" i="20"/>
  <c r="R294" i="21"/>
  <c r="AX294" i="21" s="1"/>
  <c r="O233" i="20"/>
  <c r="N212" i="21"/>
  <c r="AT212" i="21" s="1"/>
  <c r="K237" i="20"/>
  <c r="J216" i="21"/>
  <c r="AP216" i="21" s="1"/>
  <c r="I411" i="20"/>
  <c r="H390" i="21"/>
  <c r="AN390" i="21" s="1"/>
  <c r="O31" i="20"/>
  <c r="N10" i="21"/>
  <c r="AT10" i="21" s="1"/>
  <c r="Q317" i="20"/>
  <c r="P296" i="21"/>
  <c r="AV296" i="21" s="1"/>
  <c r="R28" i="20"/>
  <c r="Q7" i="21"/>
  <c r="AW7" i="21" s="1"/>
  <c r="O434" i="20"/>
  <c r="N413" i="21"/>
  <c r="AT413" i="21" s="1"/>
  <c r="S200" i="20"/>
  <c r="R179" i="21"/>
  <c r="AX179" i="21" s="1"/>
  <c r="G96" i="20"/>
  <c r="F75" i="21"/>
  <c r="AL75" i="21" s="1"/>
  <c r="H384" i="20"/>
  <c r="G363" i="21"/>
  <c r="AM363" i="21" s="1"/>
  <c r="E99" i="20"/>
  <c r="D78" i="21"/>
  <c r="H297" i="20"/>
  <c r="G276" i="21"/>
  <c r="AM276" i="21" s="1"/>
  <c r="G469" i="20"/>
  <c r="F448" i="21"/>
  <c r="AL448" i="21" s="1"/>
  <c r="P174" i="20"/>
  <c r="O153" i="21"/>
  <c r="AU153" i="21" s="1"/>
  <c r="M348" i="20"/>
  <c r="L327" i="21"/>
  <c r="AR327" i="21" s="1"/>
  <c r="H468" i="20"/>
  <c r="G447" i="21"/>
  <c r="AM447" i="21" s="1"/>
  <c r="T257" i="20"/>
  <c r="S236" i="21"/>
  <c r="AY236" i="21" s="1"/>
  <c r="J267" i="20"/>
  <c r="I246" i="21"/>
  <c r="AO246" i="21" s="1"/>
  <c r="F414" i="20"/>
  <c r="E393" i="21"/>
  <c r="AK393" i="21" s="1"/>
  <c r="R112" i="20"/>
  <c r="Q91" i="21"/>
  <c r="AW91" i="21" s="1"/>
  <c r="D388" i="20"/>
  <c r="C367" i="21"/>
  <c r="AI367" i="21" s="1"/>
  <c r="J120" i="20"/>
  <c r="I99" i="21"/>
  <c r="AO99" i="21" s="1"/>
  <c r="I268" i="20"/>
  <c r="H247" i="21"/>
  <c r="AN247" i="21" s="1"/>
  <c r="S55" i="20"/>
  <c r="R34" i="21"/>
  <c r="AX34" i="21" s="1"/>
  <c r="F69" i="20"/>
  <c r="E48" i="21"/>
  <c r="AK48" i="21" s="1"/>
  <c r="P261" i="20"/>
  <c r="O240" i="21"/>
  <c r="AU240" i="21" s="1"/>
  <c r="N60" i="20"/>
  <c r="M39" i="21"/>
  <c r="AS39" i="21" s="1"/>
  <c r="E415" i="20"/>
  <c r="D394" i="21"/>
  <c r="AJ394" i="21" s="1"/>
  <c r="R402" i="20"/>
  <c r="Q381" i="21"/>
  <c r="AW381" i="21" s="1"/>
  <c r="L149" i="20"/>
  <c r="K128" i="21"/>
  <c r="AQ128" i="21" s="1"/>
  <c r="J351" i="20"/>
  <c r="I330" i="21"/>
  <c r="AO330" i="21" s="1"/>
  <c r="J439" i="20"/>
  <c r="I418" i="21"/>
  <c r="AO418" i="21" s="1"/>
  <c r="C358" i="20"/>
  <c r="D126" i="20"/>
  <c r="C105" i="21"/>
  <c r="AI105" i="21" s="1"/>
  <c r="F214" i="20"/>
  <c r="E193" i="21"/>
  <c r="AK193" i="21" s="1"/>
  <c r="J238" i="20"/>
  <c r="I217" i="21"/>
  <c r="AO217" i="21" s="1"/>
  <c r="S142" i="20"/>
  <c r="R121" i="21"/>
  <c r="AX121" i="21" s="1"/>
  <c r="L236" i="20"/>
  <c r="K215" i="21"/>
  <c r="AQ215" i="21" s="1"/>
  <c r="E186" i="20"/>
  <c r="D165" i="21"/>
  <c r="AJ165" i="21" s="1"/>
  <c r="K323" i="20"/>
  <c r="J302" i="21"/>
  <c r="AP302" i="21" s="1"/>
  <c r="N291" i="20"/>
  <c r="M270" i="21"/>
  <c r="AS270" i="21" s="1"/>
  <c r="S111" i="20"/>
  <c r="R90" i="21"/>
  <c r="AX90" i="21" s="1"/>
  <c r="F68" i="20"/>
  <c r="E47" i="21"/>
  <c r="AK47" i="21" s="1"/>
  <c r="T285" i="20"/>
  <c r="S264" i="21"/>
  <c r="AY264" i="21" s="1"/>
  <c r="D472" i="20"/>
  <c r="C451" i="21"/>
  <c r="AI451" i="21" s="1"/>
  <c r="C473" i="20"/>
  <c r="D357" i="20"/>
  <c r="C336" i="21"/>
  <c r="AI336" i="21" s="1"/>
  <c r="Q403" i="20"/>
  <c r="P382" i="21"/>
  <c r="AV382" i="21" s="1"/>
  <c r="F443" i="20"/>
  <c r="E422" i="21"/>
  <c r="AK422" i="21" s="1"/>
  <c r="M235" i="20"/>
  <c r="L214" i="21"/>
  <c r="AR214" i="21" s="1"/>
  <c r="G154" i="20"/>
  <c r="F133" i="21"/>
  <c r="AL133" i="21" s="1"/>
  <c r="F155" i="20"/>
  <c r="E134" i="21"/>
  <c r="AK134" i="21" s="1"/>
  <c r="N32" i="20"/>
  <c r="M11" i="21"/>
  <c r="AS11" i="21" s="1"/>
  <c r="H353" i="20"/>
  <c r="G332" i="21"/>
  <c r="AM332" i="21" s="1"/>
  <c r="Q173" i="20"/>
  <c r="P152" i="21"/>
  <c r="AV152" i="21" s="1"/>
  <c r="S430" i="20"/>
  <c r="R409" i="21"/>
  <c r="AX409" i="21" s="1"/>
  <c r="P404" i="20"/>
  <c r="O383" i="21"/>
  <c r="AU383" i="21" s="1"/>
  <c r="E244" i="20"/>
  <c r="D223" i="21"/>
  <c r="AJ223" i="21" s="1"/>
  <c r="F386" i="20"/>
  <c r="E365" i="21"/>
  <c r="AK365" i="21" s="1"/>
  <c r="T170" i="20"/>
  <c r="S149" i="21"/>
  <c r="AY149" i="21" s="1"/>
  <c r="J324" i="20"/>
  <c r="I303" i="21"/>
  <c r="AO303" i="21" s="1"/>
  <c r="R316" i="20"/>
  <c r="Q295" i="21"/>
  <c r="AW295" i="21" s="1"/>
  <c r="E471" i="20"/>
  <c r="D450" i="21"/>
  <c r="AJ450" i="21" s="1"/>
  <c r="Q29" i="20"/>
  <c r="P8" i="21"/>
  <c r="AV8" i="21" s="1"/>
  <c r="O262" i="20"/>
  <c r="N241" i="21"/>
  <c r="AT241" i="21" s="1"/>
  <c r="I239" i="20"/>
  <c r="H218" i="21"/>
  <c r="AN218" i="21" s="1"/>
  <c r="R230" i="20"/>
  <c r="Q209" i="21"/>
  <c r="AW209" i="21" s="1"/>
  <c r="M379" i="20"/>
  <c r="L358" i="21"/>
  <c r="AR358" i="21" s="1"/>
  <c r="L207" i="20"/>
  <c r="K186" i="21"/>
  <c r="AQ186" i="21" s="1"/>
  <c r="Q144" i="20"/>
  <c r="P123" i="21"/>
  <c r="AV123" i="21" s="1"/>
  <c r="D331" i="20"/>
  <c r="C447" i="20"/>
  <c r="C310" i="21"/>
  <c r="AI310" i="21" s="1"/>
  <c r="K465" i="20"/>
  <c r="J444" i="21"/>
  <c r="AP444" i="21" s="1"/>
  <c r="L34" i="20"/>
  <c r="K13" i="21"/>
  <c r="AQ13" i="21" s="1"/>
  <c r="K150" i="20"/>
  <c r="J129" i="21"/>
  <c r="AP129" i="21" s="1"/>
  <c r="J382" i="20"/>
  <c r="I361" i="21"/>
  <c r="AO361" i="21" s="1"/>
  <c r="E444" i="20"/>
  <c r="D423" i="21"/>
  <c r="AJ423" i="21" s="1"/>
  <c r="P145" i="20"/>
  <c r="O124" i="21"/>
  <c r="AU124" i="21" s="1"/>
  <c r="I121" i="20"/>
  <c r="H100" i="21"/>
  <c r="AN100" i="21" s="1"/>
  <c r="G354" i="20"/>
  <c r="F333" i="21"/>
  <c r="AL333" i="21" s="1"/>
  <c r="E215" i="20"/>
  <c r="D194" i="21"/>
  <c r="AJ194" i="21" s="1"/>
  <c r="D446" i="20"/>
  <c r="C425" i="21"/>
  <c r="AI425" i="21" s="1"/>
  <c r="D245" i="20"/>
  <c r="C246" i="20"/>
  <c r="C224" i="21"/>
  <c r="AI224" i="21" s="1"/>
  <c r="C332" i="20"/>
  <c r="C101" i="20"/>
  <c r="D100" i="20"/>
  <c r="C79" i="21"/>
  <c r="AI79" i="21" s="1"/>
  <c r="N116" i="20"/>
  <c r="M95" i="21"/>
  <c r="AS95" i="21" s="1"/>
  <c r="F271" i="20"/>
  <c r="E250" i="21"/>
  <c r="AK250" i="21" s="1"/>
  <c r="R287" i="20"/>
  <c r="Q266" i="21"/>
  <c r="AW266" i="21" s="1"/>
  <c r="P87" i="20"/>
  <c r="O66" i="21"/>
  <c r="AU66" i="21" s="1"/>
  <c r="Q344" i="20"/>
  <c r="P323" i="21"/>
  <c r="AV323" i="21" s="1"/>
  <c r="M90" i="20"/>
  <c r="L69" i="21"/>
  <c r="AR69" i="21" s="1"/>
  <c r="N435" i="20"/>
  <c r="M414" i="21"/>
  <c r="AS414" i="21" s="1"/>
  <c r="N147" i="20"/>
  <c r="M126" i="21"/>
  <c r="AS126" i="21" s="1"/>
  <c r="K294" i="20"/>
  <c r="J273" i="21"/>
  <c r="AP273" i="21" s="1"/>
  <c r="S373" i="20"/>
  <c r="R352" i="21"/>
  <c r="AX352" i="21" s="1"/>
  <c r="H95" i="20"/>
  <c r="G74" i="21"/>
  <c r="AM74" i="21" s="1"/>
  <c r="R172" i="20"/>
  <c r="Q151" i="21"/>
  <c r="AW151" i="21" s="1"/>
  <c r="O405" i="20"/>
  <c r="N384" i="21"/>
  <c r="AT384" i="21" s="1"/>
  <c r="K409" i="20"/>
  <c r="J388" i="21"/>
  <c r="AP388" i="21" s="1"/>
  <c r="G298" i="20"/>
  <c r="F277" i="21"/>
  <c r="AL277" i="21" s="1"/>
  <c r="J93" i="20"/>
  <c r="I72" i="21"/>
  <c r="AO72" i="21" s="1"/>
  <c r="M436" i="20"/>
  <c r="L415" i="21"/>
  <c r="AR415" i="21" s="1"/>
  <c r="C127" i="20"/>
  <c r="O461" i="20"/>
  <c r="N440" i="21"/>
  <c r="AT440" i="21" s="1"/>
  <c r="G385" i="20"/>
  <c r="F364" i="21"/>
  <c r="AL364" i="21" s="1"/>
  <c r="G67" i="20"/>
  <c r="F46" i="21"/>
  <c r="AL46" i="21" s="1"/>
  <c r="U82" i="20"/>
  <c r="T61" i="21"/>
  <c r="AZ61" i="21" s="1"/>
  <c r="D187" i="20"/>
  <c r="C188" i="20"/>
  <c r="C166" i="21"/>
  <c r="AI166" i="21" s="1"/>
  <c r="O346" i="20"/>
  <c r="N325" i="21"/>
  <c r="AT325" i="21" s="1"/>
  <c r="N263" i="20"/>
  <c r="M242" i="21"/>
  <c r="AS242" i="21" s="1"/>
  <c r="R259" i="20"/>
  <c r="Q238" i="21"/>
  <c r="AW238" i="21" s="1"/>
  <c r="T26" i="20"/>
  <c r="S5" i="21"/>
  <c r="AY5" i="21" s="1"/>
  <c r="S229" i="20"/>
  <c r="R208" i="21"/>
  <c r="AX208" i="21" s="1"/>
  <c r="L265" i="20"/>
  <c r="K244" i="21"/>
  <c r="AQ244" i="21" s="1"/>
  <c r="T141" i="20"/>
  <c r="S120" i="21"/>
  <c r="AY120" i="21" s="1"/>
  <c r="T228" i="20"/>
  <c r="S207" i="21"/>
  <c r="AY207" i="21" s="1"/>
  <c r="H326" i="20"/>
  <c r="G305" i="21"/>
  <c r="AM305" i="21" s="1"/>
  <c r="T54" i="20"/>
  <c r="S33" i="21"/>
  <c r="AY33" i="21" s="1"/>
  <c r="I94" i="20"/>
  <c r="H73" i="21"/>
  <c r="AN73" i="21" s="1"/>
  <c r="N462" i="20"/>
  <c r="M441" i="21"/>
  <c r="AS441" i="21" s="1"/>
  <c r="R431" i="20"/>
  <c r="Q410" i="21"/>
  <c r="AW410" i="21" s="1"/>
  <c r="N320" i="20"/>
  <c r="M299" i="21"/>
  <c r="AS299" i="21" s="1"/>
  <c r="E41" i="20"/>
  <c r="D20" i="21"/>
  <c r="AJ20" i="21" s="1"/>
  <c r="L322" i="20"/>
  <c r="K301" i="21"/>
  <c r="AQ301" i="21" s="1"/>
  <c r="P58" i="20"/>
  <c r="O37" i="21"/>
  <c r="AU37" i="21" s="1"/>
  <c r="H122" i="20"/>
  <c r="G101" i="21"/>
  <c r="AM101" i="21" s="1"/>
  <c r="D71" i="20"/>
  <c r="C303" i="20"/>
  <c r="C72" i="20"/>
  <c r="C50" i="21"/>
  <c r="AI50" i="21" s="1"/>
  <c r="O88" i="20"/>
  <c r="N67" i="21"/>
  <c r="AT67" i="21" s="1"/>
  <c r="M206" i="20"/>
  <c r="L185" i="21"/>
  <c r="AR185" i="21" s="1"/>
  <c r="S84" i="20"/>
  <c r="R63" i="21"/>
  <c r="AX63" i="21" s="1"/>
  <c r="G39" i="20"/>
  <c r="F18" i="21"/>
  <c r="AL18" i="21" s="1"/>
  <c r="M61" i="20"/>
  <c r="L40" i="21"/>
  <c r="AR40" i="21" s="1"/>
  <c r="N205" i="20"/>
  <c r="M184" i="21"/>
  <c r="AS184" i="21" s="1"/>
  <c r="Q57" i="20"/>
  <c r="P36" i="21"/>
  <c r="AV36" i="21" s="1"/>
  <c r="G183" i="20"/>
  <c r="F162" i="21"/>
  <c r="AL162" i="21" s="1"/>
  <c r="L178" i="20"/>
  <c r="K157" i="21"/>
  <c r="AQ157" i="21" s="1"/>
  <c r="N378" i="20"/>
  <c r="M357" i="21"/>
  <c r="AS357" i="21" s="1"/>
  <c r="Q231" i="20"/>
  <c r="P210" i="21"/>
  <c r="AV210" i="21" s="1"/>
  <c r="M321" i="20"/>
  <c r="L300" i="21"/>
  <c r="AR300" i="21" s="1"/>
  <c r="G327" i="20"/>
  <c r="F306" i="21"/>
  <c r="AL306" i="21" s="1"/>
  <c r="L293" i="20"/>
  <c r="K272" i="21"/>
  <c r="AQ272" i="21" s="1"/>
  <c r="L62" i="20"/>
  <c r="K41" i="21"/>
  <c r="AQ41" i="21" s="1"/>
  <c r="K266" i="20"/>
  <c r="J245" i="21"/>
  <c r="AP245" i="21" s="1"/>
  <c r="L91" i="20"/>
  <c r="K70" i="21"/>
  <c r="AQ70" i="21" s="1"/>
  <c r="T505" i="19"/>
  <c r="U506" i="19" s="1"/>
  <c r="W447" i="19"/>
  <c r="W99" i="19"/>
  <c r="S70" i="19"/>
  <c r="T71" i="19" s="1"/>
  <c r="AE389" i="19"/>
  <c r="W389" i="19"/>
  <c r="Z157" i="19"/>
  <c r="AD99" i="19"/>
  <c r="AD157" i="19"/>
  <c r="V505" i="19"/>
  <c r="AD389" i="19"/>
  <c r="X273" i="19"/>
  <c r="AC186" i="19"/>
  <c r="U505" i="19"/>
  <c r="Z418" i="19"/>
  <c r="AE331" i="19"/>
  <c r="Z186" i="19"/>
  <c r="X505" i="19"/>
  <c r="AC157" i="19"/>
  <c r="AC418" i="19"/>
  <c r="R331" i="19"/>
  <c r="X331" i="19"/>
  <c r="Y418" i="19"/>
  <c r="Y186" i="19"/>
  <c r="W70" i="19"/>
  <c r="U447" i="19"/>
  <c r="AC70" i="19"/>
  <c r="AD447" i="19"/>
  <c r="W418" i="19"/>
  <c r="U418" i="19"/>
  <c r="AA99" i="19"/>
  <c r="AC447" i="19"/>
  <c r="W186" i="19"/>
  <c r="U99" i="19"/>
  <c r="AE157" i="19"/>
  <c r="AD186" i="19"/>
  <c r="S505" i="19"/>
  <c r="S331" i="19"/>
  <c r="T331" i="19"/>
  <c r="S447" i="19"/>
  <c r="X186" i="19"/>
  <c r="V389" i="19"/>
  <c r="AE186" i="19"/>
  <c r="R389" i="19"/>
  <c r="Y505" i="19"/>
  <c r="AE70" i="19"/>
  <c r="V99" i="19"/>
  <c r="AB447" i="19"/>
  <c r="R157" i="19"/>
  <c r="Z505" i="19"/>
  <c r="U273" i="19"/>
  <c r="AD505" i="19"/>
  <c r="AB505" i="19"/>
  <c r="S186" i="19"/>
  <c r="AB186" i="19"/>
  <c r="AB99" i="19"/>
  <c r="AE505" i="19"/>
  <c r="AA186" i="19"/>
  <c r="R447" i="19"/>
  <c r="AA70" i="19"/>
  <c r="Y389" i="19"/>
  <c r="AD418" i="19"/>
  <c r="X157" i="19"/>
  <c r="AC389" i="19"/>
  <c r="X99" i="19"/>
  <c r="U70" i="19"/>
  <c r="Z70" i="19"/>
  <c r="AB273" i="19"/>
  <c r="T157" i="19"/>
  <c r="Y331" i="19"/>
  <c r="T186" i="19"/>
  <c r="Z389" i="19"/>
  <c r="V186" i="19"/>
  <c r="W273" i="19"/>
  <c r="S99" i="19"/>
  <c r="V447" i="19"/>
  <c r="Y99" i="19"/>
  <c r="T70" i="19"/>
  <c r="AD331" i="19"/>
  <c r="AE99" i="19"/>
  <c r="X389" i="19"/>
  <c r="Z447" i="19"/>
  <c r="U331" i="19"/>
  <c r="R99" i="19"/>
  <c r="T389" i="19"/>
  <c r="S157" i="19"/>
  <c r="U186" i="19"/>
  <c r="AA505" i="19"/>
  <c r="AB331" i="19"/>
  <c r="V157" i="19"/>
  <c r="Y157" i="19"/>
  <c r="AA331" i="19"/>
  <c r="AC505" i="19"/>
  <c r="Z99" i="19"/>
  <c r="AA157" i="19"/>
  <c r="AE447" i="19"/>
  <c r="AA447" i="19"/>
  <c r="X447" i="19"/>
  <c r="W505" i="19"/>
  <c r="D432" i="23"/>
  <c r="C432" i="23"/>
  <c r="C433" i="23" s="1"/>
  <c r="E141" i="1" s="1"/>
  <c r="G128" i="19"/>
  <c r="U244" i="19"/>
  <c r="AD128" i="19"/>
  <c r="H100" i="19"/>
  <c r="G448" i="19"/>
  <c r="S274" i="19"/>
  <c r="Z448" i="19"/>
  <c r="L158" i="19"/>
  <c r="Q244" i="19"/>
  <c r="L215" i="19"/>
  <c r="AD100" i="19"/>
  <c r="R274" i="19"/>
  <c r="V390" i="19"/>
  <c r="F274" i="19"/>
  <c r="V244" i="19"/>
  <c r="P390" i="19"/>
  <c r="M215" i="19"/>
  <c r="F215" i="19"/>
  <c r="Q215" i="19"/>
  <c r="E244" i="19"/>
  <c r="P244" i="19"/>
  <c r="H244" i="19"/>
  <c r="P158" i="19"/>
  <c r="E506" i="19"/>
  <c r="W274" i="19"/>
  <c r="S244" i="19"/>
  <c r="O215" i="19"/>
  <c r="P332" i="19"/>
  <c r="G215" i="19"/>
  <c r="AB244" i="19"/>
  <c r="K390" i="19"/>
  <c r="AC158" i="19"/>
  <c r="Y215" i="19"/>
  <c r="X244" i="19"/>
  <c r="J100" i="19"/>
  <c r="M448" i="19"/>
  <c r="J244" i="19"/>
  <c r="R448" i="19"/>
  <c r="U215" i="19"/>
  <c r="AB274" i="19"/>
  <c r="M244" i="19"/>
  <c r="K244" i="19"/>
  <c r="AA215" i="19"/>
  <c r="N390" i="19"/>
  <c r="S506" i="19"/>
  <c r="AC390" i="19"/>
  <c r="AC244" i="19"/>
  <c r="W244" i="19"/>
  <c r="Q158" i="19"/>
  <c r="M274" i="19"/>
  <c r="P100" i="19"/>
  <c r="L244" i="19"/>
  <c r="O332" i="19"/>
  <c r="H506" i="19"/>
  <c r="N448" i="19"/>
  <c r="N244" i="19"/>
  <c r="J448" i="19"/>
  <c r="X332" i="19"/>
  <c r="G100" i="19"/>
  <c r="P215" i="19"/>
  <c r="Z244" i="19"/>
  <c r="J215" i="19"/>
  <c r="H158" i="19"/>
  <c r="AA244" i="19"/>
  <c r="O390" i="19"/>
  <c r="J506" i="19"/>
  <c r="F448" i="19"/>
  <c r="L390" i="19"/>
  <c r="K158" i="19"/>
  <c r="J187" i="19"/>
  <c r="R187" i="19"/>
  <c r="E187" i="19"/>
  <c r="L187" i="19"/>
  <c r="J274" i="19"/>
  <c r="H187" i="19"/>
  <c r="G506" i="19"/>
  <c r="E274" i="19"/>
  <c r="N506" i="19"/>
  <c r="O158" i="19"/>
  <c r="V158" i="19"/>
  <c r="Q274" i="19"/>
  <c r="H274" i="19"/>
  <c r="R506" i="19"/>
  <c r="I274" i="19"/>
  <c r="I506" i="19"/>
  <c r="Q448" i="19"/>
  <c r="N274" i="19"/>
  <c r="I332" i="19"/>
  <c r="F332" i="19"/>
  <c r="M506" i="19"/>
  <c r="H390" i="19"/>
  <c r="Q332" i="19"/>
  <c r="AD215" i="19"/>
  <c r="F390" i="19"/>
  <c r="AD274" i="19"/>
  <c r="T215" i="19"/>
  <c r="AA274" i="19"/>
  <c r="J390" i="19"/>
  <c r="Z274" i="19"/>
  <c r="W215" i="19"/>
  <c r="M390" i="19"/>
  <c r="G274" i="19"/>
  <c r="N215" i="19"/>
  <c r="T274" i="19"/>
  <c r="L448" i="19"/>
  <c r="F506" i="19"/>
  <c r="M187" i="19"/>
  <c r="I158" i="19"/>
  <c r="L274" i="19"/>
  <c r="N158" i="19"/>
  <c r="S187" i="19"/>
  <c r="F158" i="19"/>
  <c r="E448" i="19"/>
  <c r="R215" i="19"/>
  <c r="N187" i="19"/>
  <c r="AE215" i="19"/>
  <c r="I215" i="19"/>
  <c r="N100" i="19"/>
  <c r="X158" i="19"/>
  <c r="V215" i="19"/>
  <c r="E158" i="19"/>
  <c r="Q506" i="19"/>
  <c r="E215" i="19"/>
  <c r="G332" i="19"/>
  <c r="R100" i="19"/>
  <c r="N128" i="19"/>
  <c r="H332" i="19"/>
  <c r="K360" i="19"/>
  <c r="H360" i="19"/>
  <c r="R332" i="19"/>
  <c r="I390" i="19"/>
  <c r="O506" i="19"/>
  <c r="E390" i="19"/>
  <c r="R158" i="19"/>
  <c r="K274" i="19"/>
  <c r="AE274" i="19"/>
  <c r="U448" i="19"/>
  <c r="G187" i="19"/>
  <c r="M158" i="19"/>
  <c r="K332" i="19"/>
  <c r="K215" i="19"/>
  <c r="AB390" i="19"/>
  <c r="D419" i="19"/>
  <c r="D71" i="19"/>
  <c r="V128" i="19"/>
  <c r="P128" i="19"/>
  <c r="N71" i="19"/>
  <c r="T360" i="19"/>
  <c r="Y476" i="19"/>
  <c r="G476" i="19"/>
  <c r="AA360" i="19"/>
  <c r="K128" i="19"/>
  <c r="N419" i="19"/>
  <c r="M71" i="19"/>
  <c r="S71" i="19"/>
  <c r="M128" i="19"/>
  <c r="Q360" i="19"/>
  <c r="AD476" i="19"/>
  <c r="Q187" i="19"/>
  <c r="AA128" i="19"/>
  <c r="L128" i="19"/>
  <c r="AE128" i="19"/>
  <c r="J71" i="19"/>
  <c r="M476" i="19"/>
  <c r="AB360" i="19"/>
  <c r="D448" i="19"/>
  <c r="D332" i="19"/>
  <c r="D100" i="19"/>
  <c r="O448" i="19"/>
  <c r="P448" i="19"/>
  <c r="E71" i="19"/>
  <c r="I187" i="19"/>
  <c r="AE476" i="19"/>
  <c r="X360" i="19"/>
  <c r="M360" i="19"/>
  <c r="AC71" i="19"/>
  <c r="R360" i="19"/>
  <c r="E332" i="19"/>
  <c r="AE71" i="19"/>
  <c r="R244" i="19"/>
  <c r="Q390" i="19"/>
  <c r="S419" i="19"/>
  <c r="Y419" i="19"/>
  <c r="O100" i="19"/>
  <c r="I244" i="19"/>
  <c r="P187" i="19"/>
  <c r="M100" i="19"/>
  <c r="AC215" i="19"/>
  <c r="T419" i="19"/>
  <c r="F100" i="19"/>
  <c r="E476" i="19"/>
  <c r="M332" i="19"/>
  <c r="O274" i="19"/>
  <c r="D44" i="19"/>
  <c r="U419" i="19"/>
  <c r="L419" i="19"/>
  <c r="U128" i="19"/>
  <c r="I360" i="19"/>
  <c r="X128" i="19"/>
  <c r="AD360" i="19"/>
  <c r="J360" i="19"/>
  <c r="C44" i="19"/>
  <c r="T128" i="19"/>
  <c r="Q128" i="19"/>
  <c r="R476" i="19"/>
  <c r="K476" i="19"/>
  <c r="N360" i="19"/>
  <c r="Q71" i="19"/>
  <c r="L100" i="19"/>
  <c r="L332" i="19"/>
  <c r="Z71" i="19"/>
  <c r="Y360" i="19"/>
  <c r="K448" i="19"/>
  <c r="AE360" i="19"/>
  <c r="R419" i="19"/>
  <c r="K419" i="19"/>
  <c r="D506" i="19"/>
  <c r="D390" i="19"/>
  <c r="D158" i="19"/>
  <c r="G360" i="19"/>
  <c r="W128" i="19"/>
  <c r="K100" i="19"/>
  <c r="R128" i="19"/>
  <c r="O419" i="19"/>
  <c r="O244" i="19"/>
  <c r="R390" i="19"/>
  <c r="Q419" i="19"/>
  <c r="P419" i="19"/>
  <c r="AC419" i="19"/>
  <c r="AD244" i="19"/>
  <c r="AC476" i="19"/>
  <c r="T244" i="19"/>
  <c r="P274" i="19"/>
  <c r="U274" i="19"/>
  <c r="K506" i="19"/>
  <c r="Y244" i="19"/>
  <c r="G71" i="19"/>
  <c r="D476" i="19"/>
  <c r="D360" i="19"/>
  <c r="D128" i="19"/>
  <c r="X476" i="19"/>
  <c r="AC360" i="19"/>
  <c r="W476" i="19"/>
  <c r="S360" i="19"/>
  <c r="S476" i="19"/>
  <c r="J476" i="19"/>
  <c r="U476" i="19"/>
  <c r="L360" i="19"/>
  <c r="AB128" i="19"/>
  <c r="P71" i="19"/>
  <c r="H476" i="19"/>
  <c r="R71" i="19"/>
  <c r="H71" i="19"/>
  <c r="E419" i="19"/>
  <c r="J419" i="19"/>
  <c r="U303" i="19"/>
  <c r="T311" i="19"/>
  <c r="L476" i="19"/>
  <c r="Y71" i="19"/>
  <c r="J43" i="19"/>
  <c r="D216" i="19" s="1"/>
  <c r="L44" i="19"/>
  <c r="D275" i="19" s="1"/>
  <c r="F71" i="19"/>
  <c r="E128" i="19"/>
  <c r="H419" i="19"/>
  <c r="Z128" i="19"/>
  <c r="E43" i="19"/>
  <c r="O360" i="19"/>
  <c r="Z476" i="19"/>
  <c r="F187" i="19"/>
  <c r="AB476" i="19"/>
  <c r="J128" i="19"/>
  <c r="F128" i="19"/>
  <c r="H128" i="19"/>
  <c r="U360" i="19"/>
  <c r="I44" i="19"/>
  <c r="D188" i="19" s="1"/>
  <c r="N332" i="19"/>
  <c r="U100" i="19"/>
  <c r="K187" i="19"/>
  <c r="F476" i="19"/>
  <c r="H448" i="19"/>
  <c r="K71" i="19"/>
  <c r="AA332" i="19"/>
  <c r="AA476" i="19"/>
  <c r="W332" i="19"/>
  <c r="Q476" i="19"/>
  <c r="M419" i="19"/>
  <c r="O71" i="19"/>
  <c r="I100" i="19"/>
  <c r="P360" i="19"/>
  <c r="Y128" i="19"/>
  <c r="O476" i="19"/>
  <c r="J332" i="19"/>
  <c r="F360" i="19"/>
  <c r="Z360" i="19"/>
  <c r="N476" i="19"/>
  <c r="G419" i="19"/>
  <c r="P476" i="19"/>
  <c r="V360" i="19"/>
  <c r="G244" i="19"/>
  <c r="T476" i="19"/>
  <c r="F244" i="19"/>
  <c r="I419" i="19"/>
  <c r="I71" i="19"/>
  <c r="W71" i="19"/>
  <c r="O128" i="19"/>
  <c r="L506" i="19"/>
  <c r="AD332" i="19"/>
  <c r="W360" i="19"/>
  <c r="V476" i="19"/>
  <c r="I128" i="19"/>
  <c r="F419" i="19"/>
  <c r="G390" i="19"/>
  <c r="K43" i="19"/>
  <c r="D245" i="19" s="1"/>
  <c r="I476" i="19"/>
  <c r="P506" i="19"/>
  <c r="AB215" i="19"/>
  <c r="Q100" i="19"/>
  <c r="AE244" i="19"/>
  <c r="G158" i="19"/>
  <c r="F44" i="19"/>
  <c r="E100" i="19"/>
  <c r="W419" i="19"/>
  <c r="Z215" i="19"/>
  <c r="T390" i="19"/>
  <c r="I448" i="19"/>
  <c r="S215" i="19"/>
  <c r="X215" i="19"/>
  <c r="H215" i="19"/>
  <c r="L71" i="19"/>
  <c r="S128" i="19"/>
  <c r="O187" i="19"/>
  <c r="E360" i="19"/>
  <c r="AC128" i="19"/>
  <c r="AB419" i="19"/>
  <c r="J158" i="19"/>
  <c r="AJ78" i="21" l="1"/>
  <c r="S3" i="49"/>
  <c r="S7" i="49" s="1"/>
  <c r="S11" i="49" s="1"/>
  <c r="S19" i="49" s="1"/>
  <c r="V79" i="5"/>
  <c r="R2" i="49"/>
  <c r="R6" i="49" s="1"/>
  <c r="R10" i="49" s="1"/>
  <c r="R18" i="49" s="1"/>
  <c r="U80" i="5"/>
  <c r="V74" i="49"/>
  <c r="U81" i="49"/>
  <c r="U44" i="49"/>
  <c r="T52" i="49"/>
  <c r="S2" i="49" s="1"/>
  <c r="S6" i="49" s="1"/>
  <c r="S10" i="49" s="1"/>
  <c r="S18" i="49" s="1"/>
  <c r="AX74" i="23"/>
  <c r="AX92" i="23" s="1"/>
  <c r="AX110" i="23" s="1"/>
  <c r="U187" i="1"/>
  <c r="T282" i="20"/>
  <c r="V187" i="1" s="1"/>
  <c r="V109" i="1"/>
  <c r="C359" i="20"/>
  <c r="C128" i="20"/>
  <c r="D127" i="20"/>
  <c r="C106" i="21"/>
  <c r="AI106" i="21" s="1"/>
  <c r="S172" i="20"/>
  <c r="R151" i="21"/>
  <c r="AX151" i="21" s="1"/>
  <c r="N90" i="20"/>
  <c r="M69" i="21"/>
  <c r="AS69" i="21" s="1"/>
  <c r="G271" i="20"/>
  <c r="F250" i="21"/>
  <c r="AL250" i="21" s="1"/>
  <c r="N379" i="20"/>
  <c r="M358" i="21"/>
  <c r="AS358" i="21" s="1"/>
  <c r="U170" i="20"/>
  <c r="T149" i="21"/>
  <c r="AZ149" i="21" s="1"/>
  <c r="U285" i="20"/>
  <c r="T264" i="21"/>
  <c r="AZ264" i="21" s="1"/>
  <c r="M236" i="20"/>
  <c r="L215" i="21"/>
  <c r="AR215" i="21" s="1"/>
  <c r="E126" i="20"/>
  <c r="D105" i="21"/>
  <c r="AJ105" i="21" s="1"/>
  <c r="M91" i="20"/>
  <c r="L70" i="21"/>
  <c r="AR70" i="21" s="1"/>
  <c r="M62" i="20"/>
  <c r="L41" i="21"/>
  <c r="AR41" i="21" s="1"/>
  <c r="H327" i="20"/>
  <c r="G306" i="21"/>
  <c r="AM306" i="21" s="1"/>
  <c r="R231" i="20"/>
  <c r="Q210" i="21"/>
  <c r="AW210" i="21" s="1"/>
  <c r="M178" i="20"/>
  <c r="L157" i="21"/>
  <c r="AR157" i="21" s="1"/>
  <c r="R57" i="20"/>
  <c r="Q36" i="21"/>
  <c r="AW36" i="21" s="1"/>
  <c r="N61" i="20"/>
  <c r="M40" i="21"/>
  <c r="AS40" i="21" s="1"/>
  <c r="T84" i="20"/>
  <c r="S63" i="21"/>
  <c r="AY63" i="21" s="1"/>
  <c r="P88" i="20"/>
  <c r="O67" i="21"/>
  <c r="AU67" i="21" s="1"/>
  <c r="E71" i="20"/>
  <c r="D50" i="21"/>
  <c r="AJ50" i="21" s="1"/>
  <c r="Q58" i="20"/>
  <c r="P37" i="21"/>
  <c r="AV37" i="21" s="1"/>
  <c r="F41" i="20"/>
  <c r="E20" i="21"/>
  <c r="AK20" i="21" s="1"/>
  <c r="S431" i="20"/>
  <c r="R410" i="21"/>
  <c r="AX410" i="21" s="1"/>
  <c r="J94" i="20"/>
  <c r="I73" i="21"/>
  <c r="AO73" i="21" s="1"/>
  <c r="I326" i="20"/>
  <c r="H305" i="21"/>
  <c r="AN305" i="21" s="1"/>
  <c r="U141" i="20"/>
  <c r="T120" i="21"/>
  <c r="AZ120" i="21" s="1"/>
  <c r="T229" i="20"/>
  <c r="S208" i="21"/>
  <c r="AY208" i="21" s="1"/>
  <c r="S259" i="20"/>
  <c r="R238" i="21"/>
  <c r="AX238" i="21" s="1"/>
  <c r="P346" i="20"/>
  <c r="O325" i="21"/>
  <c r="AU325" i="21" s="1"/>
  <c r="F215" i="20"/>
  <c r="E194" i="21"/>
  <c r="AK194" i="21" s="1"/>
  <c r="J121" i="20"/>
  <c r="I100" i="21"/>
  <c r="AO100" i="21" s="1"/>
  <c r="F444" i="20"/>
  <c r="E423" i="21"/>
  <c r="AK423" i="21" s="1"/>
  <c r="L150" i="20"/>
  <c r="K129" i="21"/>
  <c r="AQ129" i="21" s="1"/>
  <c r="L465" i="20"/>
  <c r="K444" i="21"/>
  <c r="AQ444" i="21" s="1"/>
  <c r="Q404" i="20"/>
  <c r="P383" i="21"/>
  <c r="AV383" i="21" s="1"/>
  <c r="R173" i="20"/>
  <c r="Q152" i="21"/>
  <c r="AW152" i="21" s="1"/>
  <c r="O32" i="20"/>
  <c r="N11" i="21"/>
  <c r="AT11" i="21" s="1"/>
  <c r="H154" i="20"/>
  <c r="G133" i="21"/>
  <c r="AM133" i="21" s="1"/>
  <c r="G443" i="20"/>
  <c r="F422" i="21"/>
  <c r="AL422" i="21" s="1"/>
  <c r="E357" i="20"/>
  <c r="D336" i="21"/>
  <c r="AJ336" i="21" s="1"/>
  <c r="K439" i="20"/>
  <c r="J418" i="21"/>
  <c r="AP418" i="21" s="1"/>
  <c r="M149" i="20"/>
  <c r="L128" i="21"/>
  <c r="AR128" i="21" s="1"/>
  <c r="F415" i="20"/>
  <c r="E394" i="21"/>
  <c r="AK394" i="21" s="1"/>
  <c r="Q261" i="20"/>
  <c r="P240" i="21"/>
  <c r="AV240" i="21" s="1"/>
  <c r="T55" i="20"/>
  <c r="S34" i="21"/>
  <c r="AY34" i="21" s="1"/>
  <c r="K120" i="20"/>
  <c r="J99" i="21"/>
  <c r="AP99" i="21" s="1"/>
  <c r="S112" i="20"/>
  <c r="R91" i="21"/>
  <c r="AX91" i="21" s="1"/>
  <c r="K267" i="20"/>
  <c r="J246" i="21"/>
  <c r="AP246" i="21" s="1"/>
  <c r="I468" i="20"/>
  <c r="H447" i="21"/>
  <c r="AN447" i="21" s="1"/>
  <c r="Q174" i="20"/>
  <c r="P153" i="21"/>
  <c r="AV153" i="21" s="1"/>
  <c r="I297" i="20"/>
  <c r="H276" i="21"/>
  <c r="AN276" i="21" s="1"/>
  <c r="I384" i="20"/>
  <c r="H363" i="21"/>
  <c r="AN363" i="21" s="1"/>
  <c r="T200" i="20"/>
  <c r="S179" i="21"/>
  <c r="AY179" i="21" s="1"/>
  <c r="S28" i="20"/>
  <c r="R7" i="21"/>
  <c r="AX7" i="21" s="1"/>
  <c r="P31" i="20"/>
  <c r="O10" i="21"/>
  <c r="AU10" i="21" s="1"/>
  <c r="L237" i="20"/>
  <c r="K216" i="21"/>
  <c r="AQ216" i="21" s="1"/>
  <c r="T315" i="20"/>
  <c r="S294" i="21"/>
  <c r="AY294" i="21" s="1"/>
  <c r="S85" i="20"/>
  <c r="R64" i="21"/>
  <c r="AX64" i="21" s="1"/>
  <c r="J210" i="20"/>
  <c r="I189" i="21"/>
  <c r="AO189" i="21" s="1"/>
  <c r="J440" i="20"/>
  <c r="I419" i="21"/>
  <c r="AO419" i="21" s="1"/>
  <c r="R202" i="20"/>
  <c r="Q181" i="21"/>
  <c r="AW181" i="21" s="1"/>
  <c r="R432" i="20"/>
  <c r="Q411" i="21"/>
  <c r="AW411" i="21" s="1"/>
  <c r="L208" i="20"/>
  <c r="K187" i="21"/>
  <c r="AQ187" i="21" s="1"/>
  <c r="S56" i="20"/>
  <c r="R35" i="21"/>
  <c r="AX35" i="21" s="1"/>
  <c r="G242" i="20"/>
  <c r="F221" i="21"/>
  <c r="AL221" i="21" s="1"/>
  <c r="G299" i="20"/>
  <c r="F278" i="21"/>
  <c r="AL278" i="21" s="1"/>
  <c r="H270" i="20"/>
  <c r="G249" i="21"/>
  <c r="AM249" i="21" s="1"/>
  <c r="I211" i="20"/>
  <c r="H190" i="21"/>
  <c r="AN190" i="21" s="1"/>
  <c r="N33" i="20"/>
  <c r="M12" i="21"/>
  <c r="AS12" i="21" s="1"/>
  <c r="Q433" i="20"/>
  <c r="P412" i="21"/>
  <c r="AV412" i="21" s="1"/>
  <c r="K180" i="20"/>
  <c r="J159" i="21"/>
  <c r="AP159" i="21" s="1"/>
  <c r="R260" i="20"/>
  <c r="Q239" i="21"/>
  <c r="AW239" i="21" s="1"/>
  <c r="F156" i="20"/>
  <c r="E135" i="21"/>
  <c r="AK135" i="21" s="1"/>
  <c r="J352" i="20"/>
  <c r="I331" i="21"/>
  <c r="AO331" i="21" s="1"/>
  <c r="N117" i="20"/>
  <c r="M96" i="21"/>
  <c r="AS96" i="21" s="1"/>
  <c r="N292" i="20"/>
  <c r="M271" i="21"/>
  <c r="AS271" i="21" s="1"/>
  <c r="V169" i="20"/>
  <c r="U148" i="21"/>
  <c r="BA148" i="21" s="1"/>
  <c r="U83" i="20"/>
  <c r="T62" i="21"/>
  <c r="AZ62" i="21" s="1"/>
  <c r="G184" i="20"/>
  <c r="F163" i="21"/>
  <c r="AL163" i="21" s="1"/>
  <c r="J383" i="20"/>
  <c r="I362" i="21"/>
  <c r="AO362" i="21" s="1"/>
  <c r="J152" i="20"/>
  <c r="I131" i="21"/>
  <c r="AO131" i="21" s="1"/>
  <c r="H442" i="20"/>
  <c r="G421" i="21"/>
  <c r="AM421" i="21" s="1"/>
  <c r="E216" i="20"/>
  <c r="D195" i="21"/>
  <c r="AJ195" i="21" s="1"/>
  <c r="C159" i="20"/>
  <c r="D158" i="20"/>
  <c r="C137" i="21"/>
  <c r="AI137" i="21" s="1"/>
  <c r="M408" i="20"/>
  <c r="L387" i="21"/>
  <c r="AR387" i="21" s="1"/>
  <c r="R288" i="20"/>
  <c r="Q267" i="21"/>
  <c r="AW267" i="21" s="1"/>
  <c r="O347" i="20"/>
  <c r="N326" i="21"/>
  <c r="AT326" i="21" s="1"/>
  <c r="M380" i="20"/>
  <c r="L359" i="21"/>
  <c r="AR359" i="21" s="1"/>
  <c r="I38" i="20"/>
  <c r="H17" i="21"/>
  <c r="AN17" i="21" s="1"/>
  <c r="Q318" i="20"/>
  <c r="P297" i="21"/>
  <c r="AV297" i="21" s="1"/>
  <c r="F272" i="20"/>
  <c r="E251" i="21"/>
  <c r="AK251" i="21" s="1"/>
  <c r="P59" i="20"/>
  <c r="O38" i="21"/>
  <c r="AU38" i="21" s="1"/>
  <c r="L350" i="20"/>
  <c r="K329" i="21"/>
  <c r="AQ329" i="21" s="1"/>
  <c r="I412" i="20"/>
  <c r="H391" i="21"/>
  <c r="AN391" i="21" s="1"/>
  <c r="T27" i="20"/>
  <c r="S6" i="21"/>
  <c r="AY6" i="21" s="1"/>
  <c r="T286" i="20"/>
  <c r="S265" i="21"/>
  <c r="AY265" i="21" s="1"/>
  <c r="G470" i="20"/>
  <c r="F449" i="21"/>
  <c r="AL449" i="21" s="1"/>
  <c r="T171" i="20"/>
  <c r="S150" i="21"/>
  <c r="AY150" i="21" s="1"/>
  <c r="E445" i="20"/>
  <c r="D424" i="21"/>
  <c r="AJ424" i="21" s="1"/>
  <c r="F300" i="20"/>
  <c r="E279" i="21"/>
  <c r="AK279" i="21" s="1"/>
  <c r="D418" i="20"/>
  <c r="C397" i="21"/>
  <c r="AI397" i="21" s="1"/>
  <c r="C390" i="20"/>
  <c r="D274" i="20"/>
  <c r="C253" i="21"/>
  <c r="AI253" i="21" s="1"/>
  <c r="M349" i="20"/>
  <c r="L328" i="21"/>
  <c r="AR328" i="21" s="1"/>
  <c r="G328" i="20"/>
  <c r="F307" i="21"/>
  <c r="AL307" i="21" s="1"/>
  <c r="V227" i="20"/>
  <c r="U206" i="21"/>
  <c r="BA206" i="21" s="1"/>
  <c r="Q460" i="20"/>
  <c r="P439" i="21"/>
  <c r="AV439" i="21" s="1"/>
  <c r="I182" i="20"/>
  <c r="H161" i="21"/>
  <c r="AN161" i="21" s="1"/>
  <c r="F301" i="20"/>
  <c r="E280" i="21"/>
  <c r="AK280" i="21" s="1"/>
  <c r="V82" i="20"/>
  <c r="U61" i="21"/>
  <c r="BA61" i="21" s="1"/>
  <c r="H385" i="20"/>
  <c r="G364" i="21"/>
  <c r="AM364" i="21" s="1"/>
  <c r="L409" i="20"/>
  <c r="K388" i="21"/>
  <c r="AQ388" i="21" s="1"/>
  <c r="T373" i="20"/>
  <c r="S352" i="21"/>
  <c r="AY352" i="21" s="1"/>
  <c r="Q87" i="20"/>
  <c r="P66" i="21"/>
  <c r="AV66" i="21" s="1"/>
  <c r="D246" i="20"/>
  <c r="C247" i="20"/>
  <c r="C225" i="21"/>
  <c r="AI225" i="21" s="1"/>
  <c r="J239" i="20"/>
  <c r="I218" i="21"/>
  <c r="AO218" i="21" s="1"/>
  <c r="S316" i="20"/>
  <c r="R295" i="21"/>
  <c r="AX295" i="21" s="1"/>
  <c r="T111" i="20"/>
  <c r="S90" i="21"/>
  <c r="AY90" i="21" s="1"/>
  <c r="K238" i="20"/>
  <c r="J217" i="21"/>
  <c r="AP217" i="21" s="1"/>
  <c r="N463" i="20"/>
  <c r="M442" i="21"/>
  <c r="AS442" i="21" s="1"/>
  <c r="Q376" i="20"/>
  <c r="P355" i="21"/>
  <c r="AV355" i="21" s="1"/>
  <c r="I153" i="20"/>
  <c r="H132" i="21"/>
  <c r="AN132" i="21" s="1"/>
  <c r="G213" i="20"/>
  <c r="F192" i="21"/>
  <c r="AL192" i="21" s="1"/>
  <c r="O176" i="20"/>
  <c r="N155" i="21"/>
  <c r="AT155" i="21" s="1"/>
  <c r="L35" i="20"/>
  <c r="K14" i="21"/>
  <c r="AQ14" i="21" s="1"/>
  <c r="V53" i="20"/>
  <c r="U32" i="21"/>
  <c r="BA32" i="21" s="1"/>
  <c r="K410" i="20"/>
  <c r="J389" i="21"/>
  <c r="AP389" i="21" s="1"/>
  <c r="F330" i="20"/>
  <c r="E309" i="21"/>
  <c r="AK309" i="21" s="1"/>
  <c r="K295" i="20"/>
  <c r="J274" i="21"/>
  <c r="AP274" i="21" s="1"/>
  <c r="G98" i="20"/>
  <c r="F77" i="21"/>
  <c r="AL77" i="21" s="1"/>
  <c r="G97" i="20"/>
  <c r="F76" i="21"/>
  <c r="AL76" i="21" s="1"/>
  <c r="I441" i="20"/>
  <c r="H420" i="21"/>
  <c r="AN420" i="21" s="1"/>
  <c r="J37" i="20"/>
  <c r="I16" i="21"/>
  <c r="AO16" i="21" s="1"/>
  <c r="P204" i="20"/>
  <c r="O183" i="21"/>
  <c r="AU183" i="21" s="1"/>
  <c r="N407" i="20"/>
  <c r="M386" i="21"/>
  <c r="AS386" i="21" s="1"/>
  <c r="F70" i="20"/>
  <c r="E49" i="21"/>
  <c r="AK49" i="21" s="1"/>
  <c r="I269" i="20"/>
  <c r="H248" i="21"/>
  <c r="AN248" i="21" s="1"/>
  <c r="D389" i="20"/>
  <c r="C368" i="21"/>
  <c r="AI368" i="21" s="1"/>
  <c r="D217" i="20"/>
  <c r="C218" i="20"/>
  <c r="C196" i="21"/>
  <c r="AI196" i="21" s="1"/>
  <c r="P146" i="20"/>
  <c r="O125" i="21"/>
  <c r="AU125" i="21" s="1"/>
  <c r="L266" i="20"/>
  <c r="K245" i="21"/>
  <c r="AQ245" i="21" s="1"/>
  <c r="M293" i="20"/>
  <c r="L272" i="21"/>
  <c r="AR272" i="21" s="1"/>
  <c r="N321" i="20"/>
  <c r="M300" i="21"/>
  <c r="AS300" i="21" s="1"/>
  <c r="O378" i="20"/>
  <c r="N357" i="21"/>
  <c r="AT357" i="21" s="1"/>
  <c r="H183" i="20"/>
  <c r="G162" i="21"/>
  <c r="AM162" i="21" s="1"/>
  <c r="O205" i="20"/>
  <c r="N184" i="21"/>
  <c r="AT184" i="21" s="1"/>
  <c r="H39" i="20"/>
  <c r="G18" i="21"/>
  <c r="AM18" i="21" s="1"/>
  <c r="N206" i="20"/>
  <c r="M185" i="21"/>
  <c r="AS185" i="21" s="1"/>
  <c r="D72" i="20"/>
  <c r="C304" i="20"/>
  <c r="C73" i="20"/>
  <c r="C51" i="21"/>
  <c r="AI51" i="21" s="1"/>
  <c r="I122" i="20"/>
  <c r="H101" i="21"/>
  <c r="AN101" i="21" s="1"/>
  <c r="M322" i="20"/>
  <c r="L301" i="21"/>
  <c r="AR301" i="21" s="1"/>
  <c r="O320" i="20"/>
  <c r="N299" i="21"/>
  <c r="AT299" i="21" s="1"/>
  <c r="O462" i="20"/>
  <c r="N441" i="21"/>
  <c r="AT441" i="21" s="1"/>
  <c r="U54" i="20"/>
  <c r="T33" i="21"/>
  <c r="AZ33" i="21" s="1"/>
  <c r="U228" i="20"/>
  <c r="T207" i="21"/>
  <c r="AZ207" i="21" s="1"/>
  <c r="M265" i="20"/>
  <c r="L244" i="21"/>
  <c r="AR244" i="21" s="1"/>
  <c r="U26" i="20"/>
  <c r="T5" i="21"/>
  <c r="AZ5" i="21" s="1"/>
  <c r="O263" i="20"/>
  <c r="N242" i="21"/>
  <c r="AT242" i="21" s="1"/>
  <c r="C189" i="20"/>
  <c r="D188" i="20"/>
  <c r="C167" i="21"/>
  <c r="AI167" i="21" s="1"/>
  <c r="C333" i="20"/>
  <c r="D101" i="20"/>
  <c r="C102" i="20"/>
  <c r="C80" i="21"/>
  <c r="AI80" i="21" s="1"/>
  <c r="E245" i="20"/>
  <c r="D224" i="21"/>
  <c r="AJ224" i="21" s="1"/>
  <c r="E446" i="20"/>
  <c r="D425" i="21"/>
  <c r="AJ425" i="21" s="1"/>
  <c r="H354" i="20"/>
  <c r="G333" i="21"/>
  <c r="AM333" i="21" s="1"/>
  <c r="Q145" i="20"/>
  <c r="P124" i="21"/>
  <c r="AV124" i="21" s="1"/>
  <c r="K382" i="20"/>
  <c r="J361" i="21"/>
  <c r="AP361" i="21" s="1"/>
  <c r="M34" i="20"/>
  <c r="L13" i="21"/>
  <c r="AR13" i="21" s="1"/>
  <c r="D447" i="20"/>
  <c r="C426" i="21"/>
  <c r="AI426" i="21" s="1"/>
  <c r="T430" i="20"/>
  <c r="S409" i="21"/>
  <c r="AY409" i="21" s="1"/>
  <c r="I353" i="20"/>
  <c r="H332" i="21"/>
  <c r="AN332" i="21" s="1"/>
  <c r="G155" i="20"/>
  <c r="F134" i="21"/>
  <c r="AL134" i="21" s="1"/>
  <c r="N235" i="20"/>
  <c r="M214" i="21"/>
  <c r="AS214" i="21" s="1"/>
  <c r="R403" i="20"/>
  <c r="Q382" i="21"/>
  <c r="AW382" i="21" s="1"/>
  <c r="C474" i="20"/>
  <c r="D358" i="20"/>
  <c r="C337" i="21"/>
  <c r="AI337" i="21" s="1"/>
  <c r="K351" i="20"/>
  <c r="J330" i="21"/>
  <c r="AP330" i="21" s="1"/>
  <c r="S402" i="20"/>
  <c r="R381" i="21"/>
  <c r="AX381" i="21" s="1"/>
  <c r="O60" i="20"/>
  <c r="N39" i="21"/>
  <c r="AT39" i="21" s="1"/>
  <c r="G69" i="20"/>
  <c r="F48" i="21"/>
  <c r="AL48" i="21" s="1"/>
  <c r="J268" i="20"/>
  <c r="I247" i="21"/>
  <c r="AO247" i="21" s="1"/>
  <c r="E388" i="20"/>
  <c r="D367" i="21"/>
  <c r="AJ367" i="21" s="1"/>
  <c r="G414" i="20"/>
  <c r="F393" i="21"/>
  <c r="AL393" i="21" s="1"/>
  <c r="U257" i="20"/>
  <c r="T236" i="21"/>
  <c r="AZ236" i="21" s="1"/>
  <c r="N348" i="20"/>
  <c r="M327" i="21"/>
  <c r="AS327" i="21" s="1"/>
  <c r="H469" i="20"/>
  <c r="G448" i="21"/>
  <c r="AM448" i="21" s="1"/>
  <c r="F99" i="20"/>
  <c r="E78" i="21"/>
  <c r="AK78" i="21" s="1"/>
  <c r="H96" i="20"/>
  <c r="G75" i="21"/>
  <c r="AM75" i="21" s="1"/>
  <c r="P434" i="20"/>
  <c r="O413" i="21"/>
  <c r="AU413" i="21" s="1"/>
  <c r="R317" i="20"/>
  <c r="Q296" i="21"/>
  <c r="AW296" i="21" s="1"/>
  <c r="J411" i="20"/>
  <c r="I390" i="21"/>
  <c r="AO390" i="21" s="1"/>
  <c r="P233" i="20"/>
  <c r="O212" i="21"/>
  <c r="AU212" i="21" s="1"/>
  <c r="P319" i="20"/>
  <c r="O298" i="21"/>
  <c r="AU298" i="21" s="1"/>
  <c r="K151" i="20"/>
  <c r="J130" i="21"/>
  <c r="AP130" i="21" s="1"/>
  <c r="J296" i="20"/>
  <c r="I275" i="21"/>
  <c r="AO275" i="21" s="1"/>
  <c r="Q203" i="20"/>
  <c r="P182" i="21"/>
  <c r="AV182" i="21" s="1"/>
  <c r="U314" i="20"/>
  <c r="T293" i="21"/>
  <c r="AZ293" i="21" s="1"/>
  <c r="Q289" i="20"/>
  <c r="P268" i="21"/>
  <c r="AV268" i="21" s="1"/>
  <c r="K36" i="20"/>
  <c r="J15" i="21"/>
  <c r="AP15" i="21" s="1"/>
  <c r="Q345" i="20"/>
  <c r="P324" i="21"/>
  <c r="AV324" i="21" s="1"/>
  <c r="V140" i="20"/>
  <c r="U119" i="21"/>
  <c r="BA119" i="21" s="1"/>
  <c r="O234" i="20"/>
  <c r="N213" i="21"/>
  <c r="AT213" i="21" s="1"/>
  <c r="E416" i="20"/>
  <c r="D395" i="21"/>
  <c r="AJ395" i="21" s="1"/>
  <c r="L92" i="20"/>
  <c r="K71" i="21"/>
  <c r="AQ71" i="21" s="1"/>
  <c r="I240" i="20"/>
  <c r="H219" i="21"/>
  <c r="AN219" i="21" s="1"/>
  <c r="P115" i="20"/>
  <c r="O94" i="21"/>
  <c r="AU94" i="21" s="1"/>
  <c r="R375" i="20"/>
  <c r="Q354" i="21"/>
  <c r="AW354" i="21" s="1"/>
  <c r="V198" i="20"/>
  <c r="U177" i="21"/>
  <c r="BA177" i="21" s="1"/>
  <c r="J467" i="20"/>
  <c r="I446" i="21"/>
  <c r="AO446" i="21" s="1"/>
  <c r="H413" i="20"/>
  <c r="G392" i="21"/>
  <c r="AM392" i="21" s="1"/>
  <c r="K64" i="20"/>
  <c r="J43" i="21"/>
  <c r="AP43" i="21" s="1"/>
  <c r="R86" i="20"/>
  <c r="Q65" i="21"/>
  <c r="AW65" i="21" s="1"/>
  <c r="R113" i="20"/>
  <c r="Q92" i="21"/>
  <c r="AW92" i="21" s="1"/>
  <c r="I66" i="20"/>
  <c r="H45" i="21"/>
  <c r="AN45" i="21" s="1"/>
  <c r="F329" i="20"/>
  <c r="E308" i="21"/>
  <c r="AK308" i="21" s="1"/>
  <c r="J325" i="20"/>
  <c r="I304" i="21"/>
  <c r="AO304" i="21" s="1"/>
  <c r="E273" i="20"/>
  <c r="D252" i="21"/>
  <c r="AJ252" i="21" s="1"/>
  <c r="H123" i="20"/>
  <c r="G102" i="21"/>
  <c r="AM102" i="21" s="1"/>
  <c r="J181" i="20"/>
  <c r="I160" i="21"/>
  <c r="AO160" i="21" s="1"/>
  <c r="S374" i="20"/>
  <c r="R353" i="21"/>
  <c r="AX353" i="21" s="1"/>
  <c r="S201" i="20"/>
  <c r="R180" i="21"/>
  <c r="AX180" i="21" s="1"/>
  <c r="P290" i="20"/>
  <c r="O269" i="21"/>
  <c r="AU269" i="21" s="1"/>
  <c r="O406" i="20"/>
  <c r="N385" i="21"/>
  <c r="AT385" i="21" s="1"/>
  <c r="F387" i="20"/>
  <c r="E366" i="21"/>
  <c r="AK366" i="21" s="1"/>
  <c r="G185" i="20"/>
  <c r="F164" i="21"/>
  <c r="AL164" i="21" s="1"/>
  <c r="G355" i="20"/>
  <c r="F334" i="21"/>
  <c r="AL334" i="21" s="1"/>
  <c r="M464" i="20"/>
  <c r="L443" i="21"/>
  <c r="AR443" i="21" s="1"/>
  <c r="P175" i="20"/>
  <c r="O154" i="21"/>
  <c r="AU154" i="21" s="1"/>
  <c r="S143" i="20"/>
  <c r="R122" i="21"/>
  <c r="AX122" i="21" s="1"/>
  <c r="L63" i="20"/>
  <c r="K42" i="21"/>
  <c r="AQ42" i="21" s="1"/>
  <c r="K466" i="20"/>
  <c r="J445" i="21"/>
  <c r="AP445" i="21" s="1"/>
  <c r="H212" i="20"/>
  <c r="G191" i="21"/>
  <c r="AM191" i="21" s="1"/>
  <c r="Q114" i="20"/>
  <c r="P93" i="21"/>
  <c r="AV93" i="21" s="1"/>
  <c r="M118" i="20"/>
  <c r="L97" i="21"/>
  <c r="AR97" i="21" s="1"/>
  <c r="E417" i="20"/>
  <c r="D396" i="21"/>
  <c r="AJ396" i="21" s="1"/>
  <c r="E42" i="20"/>
  <c r="D21" i="21"/>
  <c r="AJ21" i="21" s="1"/>
  <c r="L179" i="20"/>
  <c r="K158" i="21"/>
  <c r="AQ158" i="21" s="1"/>
  <c r="L119" i="20"/>
  <c r="K98" i="21"/>
  <c r="AQ98" i="21" s="1"/>
  <c r="M437" i="20"/>
  <c r="L416" i="21"/>
  <c r="AR416" i="21" s="1"/>
  <c r="N177" i="20"/>
  <c r="M156" i="21"/>
  <c r="AS156" i="21" s="1"/>
  <c r="U199" i="20"/>
  <c r="T178" i="21"/>
  <c r="AZ178" i="21" s="1"/>
  <c r="T401" i="20"/>
  <c r="S380" i="21"/>
  <c r="AY380" i="21" s="1"/>
  <c r="R459" i="20"/>
  <c r="Q438" i="21"/>
  <c r="AW438" i="21" s="1"/>
  <c r="K93" i="20"/>
  <c r="J72" i="21"/>
  <c r="AP72" i="21" s="1"/>
  <c r="O147" i="20"/>
  <c r="N126" i="21"/>
  <c r="AT126" i="21" s="1"/>
  <c r="E100" i="20"/>
  <c r="D79" i="21"/>
  <c r="R144" i="20"/>
  <c r="Q123" i="21"/>
  <c r="AW123" i="21" s="1"/>
  <c r="R29" i="20"/>
  <c r="Q8" i="21"/>
  <c r="AW8" i="21" s="1"/>
  <c r="F244" i="20"/>
  <c r="E223" i="21"/>
  <c r="AK223" i="21" s="1"/>
  <c r="D473" i="20"/>
  <c r="C452" i="21"/>
  <c r="AI452" i="21" s="1"/>
  <c r="L323" i="20"/>
  <c r="K302" i="21"/>
  <c r="AQ302" i="21" s="1"/>
  <c r="C419" i="20"/>
  <c r="D303" i="20"/>
  <c r="C282" i="21"/>
  <c r="AI282" i="21" s="1"/>
  <c r="E187" i="20"/>
  <c r="D166" i="21"/>
  <c r="AJ166" i="21" s="1"/>
  <c r="H67" i="20"/>
  <c r="G46" i="21"/>
  <c r="AM46" i="21" s="1"/>
  <c r="P461" i="20"/>
  <c r="O440" i="21"/>
  <c r="AU440" i="21" s="1"/>
  <c r="N436" i="20"/>
  <c r="M415" i="21"/>
  <c r="AS415" i="21" s="1"/>
  <c r="H298" i="20"/>
  <c r="G277" i="21"/>
  <c r="AM277" i="21" s="1"/>
  <c r="P405" i="20"/>
  <c r="O384" i="21"/>
  <c r="AU384" i="21" s="1"/>
  <c r="I95" i="20"/>
  <c r="H74" i="21"/>
  <c r="AN74" i="21" s="1"/>
  <c r="L294" i="20"/>
  <c r="K273" i="21"/>
  <c r="AQ273" i="21" s="1"/>
  <c r="O435" i="20"/>
  <c r="N414" i="21"/>
  <c r="AT414" i="21" s="1"/>
  <c r="R344" i="20"/>
  <c r="Q323" i="21"/>
  <c r="AW323" i="21" s="1"/>
  <c r="S287" i="20"/>
  <c r="R266" i="21"/>
  <c r="AX266" i="21" s="1"/>
  <c r="O116" i="20"/>
  <c r="N95" i="21"/>
  <c r="AT95" i="21" s="1"/>
  <c r="D332" i="20"/>
  <c r="C448" i="20"/>
  <c r="C311" i="21"/>
  <c r="AI311" i="21" s="1"/>
  <c r="E331" i="20"/>
  <c r="D310" i="21"/>
  <c r="AJ310" i="21" s="1"/>
  <c r="M207" i="20"/>
  <c r="L186" i="21"/>
  <c r="AR186" i="21" s="1"/>
  <c r="S230" i="20"/>
  <c r="R209" i="21"/>
  <c r="AX209" i="21" s="1"/>
  <c r="P262" i="20"/>
  <c r="O241" i="21"/>
  <c r="AU241" i="21" s="1"/>
  <c r="F471" i="20"/>
  <c r="E450" i="21"/>
  <c r="AK450" i="21" s="1"/>
  <c r="K324" i="20"/>
  <c r="J303" i="21"/>
  <c r="AP303" i="21" s="1"/>
  <c r="G386" i="20"/>
  <c r="F365" i="21"/>
  <c r="AL365" i="21" s="1"/>
  <c r="E472" i="20"/>
  <c r="D451" i="21"/>
  <c r="AJ451" i="21" s="1"/>
  <c r="G68" i="20"/>
  <c r="F47" i="21"/>
  <c r="AL47" i="21" s="1"/>
  <c r="O291" i="20"/>
  <c r="N270" i="21"/>
  <c r="AT270" i="21" s="1"/>
  <c r="F186" i="20"/>
  <c r="E165" i="21"/>
  <c r="AK165" i="21" s="1"/>
  <c r="T142" i="20"/>
  <c r="S121" i="21"/>
  <c r="AY121" i="21" s="1"/>
  <c r="G214" i="20"/>
  <c r="F193" i="21"/>
  <c r="AL193" i="21" s="1"/>
  <c r="N148" i="20"/>
  <c r="M127" i="21"/>
  <c r="AS127" i="21" s="1"/>
  <c r="O89" i="20"/>
  <c r="N68" i="21"/>
  <c r="AT68" i="21" s="1"/>
  <c r="H241" i="20"/>
  <c r="G220" i="21"/>
  <c r="AM220" i="21" s="1"/>
  <c r="L381" i="20"/>
  <c r="K360" i="21"/>
  <c r="AQ360" i="21" s="1"/>
  <c r="T258" i="20"/>
  <c r="S237" i="21"/>
  <c r="AY237" i="21" s="1"/>
  <c r="L438" i="20"/>
  <c r="K417" i="21"/>
  <c r="AQ417" i="21" s="1"/>
  <c r="G124" i="20"/>
  <c r="F103" i="21"/>
  <c r="AL103" i="21" s="1"/>
  <c r="V25" i="20"/>
  <c r="U4" i="21"/>
  <c r="BA4" i="21" s="1"/>
  <c r="F125" i="20"/>
  <c r="E104" i="21"/>
  <c r="AK104" i="21" s="1"/>
  <c r="G40" i="20"/>
  <c r="F19" i="21"/>
  <c r="AL19" i="21" s="1"/>
  <c r="S343" i="20"/>
  <c r="R322" i="21"/>
  <c r="AX322" i="21" s="1"/>
  <c r="P377" i="20"/>
  <c r="O356" i="21"/>
  <c r="AU356" i="21" s="1"/>
  <c r="Q232" i="20"/>
  <c r="P211" i="21"/>
  <c r="AV211" i="21" s="1"/>
  <c r="K209" i="20"/>
  <c r="J188" i="21"/>
  <c r="AP188" i="21" s="1"/>
  <c r="G243" i="20"/>
  <c r="F222" i="21"/>
  <c r="AL222" i="21" s="1"/>
  <c r="J65" i="20"/>
  <c r="I44" i="21"/>
  <c r="AO44" i="21" s="1"/>
  <c r="N264" i="20"/>
  <c r="M243" i="21"/>
  <c r="AS243" i="21" s="1"/>
  <c r="Q30" i="20"/>
  <c r="P9" i="21"/>
  <c r="AV9" i="21" s="1"/>
  <c r="F356" i="20"/>
  <c r="E335" i="21"/>
  <c r="AK335" i="21" s="1"/>
  <c r="E157" i="20"/>
  <c r="D136" i="21"/>
  <c r="AJ136" i="21" s="1"/>
  <c r="E302" i="20"/>
  <c r="D281" i="21"/>
  <c r="AJ281" i="21" s="1"/>
  <c r="C275" i="20"/>
  <c r="C44" i="20"/>
  <c r="D43" i="20"/>
  <c r="C22" i="21"/>
  <c r="AI22" i="21" s="1"/>
  <c r="X390" i="19"/>
  <c r="Y391" i="19" s="1"/>
  <c r="W506" i="19"/>
  <c r="X448" i="19"/>
  <c r="X100" i="19"/>
  <c r="Y101" i="19" s="1"/>
  <c r="AE390" i="19"/>
  <c r="AE100" i="19"/>
  <c r="AA158" i="19"/>
  <c r="AB159" i="19" s="1"/>
  <c r="AD187" i="19"/>
  <c r="AE158" i="19"/>
  <c r="Y274" i="19"/>
  <c r="AA419" i="19"/>
  <c r="V506" i="19"/>
  <c r="AA187" i="19"/>
  <c r="V448" i="19"/>
  <c r="W449" i="19" s="1"/>
  <c r="AD158" i="19"/>
  <c r="AD71" i="19"/>
  <c r="Y332" i="19"/>
  <c r="Y506" i="19"/>
  <c r="AD419" i="19"/>
  <c r="S332" i="19"/>
  <c r="X419" i="19"/>
  <c r="X71" i="19"/>
  <c r="AE187" i="19"/>
  <c r="Z187" i="19"/>
  <c r="Z419" i="19"/>
  <c r="AD448" i="19"/>
  <c r="AB100" i="19"/>
  <c r="T100" i="19"/>
  <c r="AE448" i="19"/>
  <c r="V419" i="19"/>
  <c r="W390" i="19"/>
  <c r="T332" i="19"/>
  <c r="Z506" i="19"/>
  <c r="X187" i="19"/>
  <c r="T506" i="19"/>
  <c r="V100" i="19"/>
  <c r="AE419" i="19"/>
  <c r="Y187" i="19"/>
  <c r="U332" i="19"/>
  <c r="Y100" i="19"/>
  <c r="AC187" i="19"/>
  <c r="AC448" i="19"/>
  <c r="T448" i="19"/>
  <c r="V332" i="19"/>
  <c r="S390" i="19"/>
  <c r="V274" i="19"/>
  <c r="Z158" i="19"/>
  <c r="W100" i="19"/>
  <c r="S448" i="19"/>
  <c r="T187" i="19"/>
  <c r="V71" i="19"/>
  <c r="AA506" i="19"/>
  <c r="AB187" i="19"/>
  <c r="X274" i="19"/>
  <c r="Z332" i="19"/>
  <c r="S158" i="19"/>
  <c r="AC100" i="19"/>
  <c r="AE506" i="19"/>
  <c r="AC506" i="19"/>
  <c r="W187" i="19"/>
  <c r="Z390" i="19"/>
  <c r="AB71" i="19"/>
  <c r="W448" i="19"/>
  <c r="AC274" i="19"/>
  <c r="AA390" i="19"/>
  <c r="AA71" i="19"/>
  <c r="AD390" i="19"/>
  <c r="U187" i="19"/>
  <c r="X506" i="19"/>
  <c r="Y158" i="19"/>
  <c r="U158" i="19"/>
  <c r="Y390" i="19"/>
  <c r="Z100" i="19"/>
  <c r="S100" i="19"/>
  <c r="AA448" i="19"/>
  <c r="AE332" i="19"/>
  <c r="U71" i="19"/>
  <c r="AD506" i="19"/>
  <c r="U390" i="19"/>
  <c r="Y448" i="19"/>
  <c r="T158" i="19"/>
  <c r="AB332" i="19"/>
  <c r="AB506" i="19"/>
  <c r="V187" i="19"/>
  <c r="AC332" i="19"/>
  <c r="W158" i="19"/>
  <c r="AA100" i="19"/>
  <c r="AB101" i="19" s="1"/>
  <c r="AA449" i="19"/>
  <c r="AB158" i="19"/>
  <c r="AB448" i="19"/>
  <c r="AH43" i="23"/>
  <c r="B22" i="1" s="1"/>
  <c r="K159" i="19"/>
  <c r="U391" i="19"/>
  <c r="X333" i="19"/>
  <c r="I449" i="19"/>
  <c r="F507" i="19"/>
  <c r="G129" i="19"/>
  <c r="L101" i="19"/>
  <c r="R449" i="19"/>
  <c r="I101" i="19"/>
  <c r="V101" i="19"/>
  <c r="AE101" i="19"/>
  <c r="T129" i="19"/>
  <c r="P477" i="19"/>
  <c r="AD129" i="19"/>
  <c r="M72" i="19"/>
  <c r="X420" i="19"/>
  <c r="W477" i="19"/>
  <c r="P129" i="19"/>
  <c r="R477" i="19"/>
  <c r="AB477" i="19"/>
  <c r="G477" i="19"/>
  <c r="L420" i="19"/>
  <c r="Q333" i="19"/>
  <c r="J333" i="19"/>
  <c r="K449" i="19"/>
  <c r="Q101" i="19"/>
  <c r="U477" i="19"/>
  <c r="AA361" i="19"/>
  <c r="Q361" i="19"/>
  <c r="P361" i="19"/>
  <c r="O333" i="19"/>
  <c r="R333" i="19"/>
  <c r="O129" i="19"/>
  <c r="AD361" i="19"/>
  <c r="L333" i="19"/>
  <c r="F361" i="19"/>
  <c r="F101" i="19"/>
  <c r="J477" i="19"/>
  <c r="J129" i="19"/>
  <c r="X361" i="19"/>
  <c r="W361" i="19"/>
  <c r="O477" i="19"/>
  <c r="G361" i="19"/>
  <c r="Z129" i="19"/>
  <c r="AB333" i="19"/>
  <c r="AD391" i="19"/>
  <c r="AC129" i="19"/>
  <c r="J449" i="19"/>
  <c r="J101" i="19"/>
  <c r="K477" i="19"/>
  <c r="E477" i="19"/>
  <c r="I361" i="19"/>
  <c r="R101" i="19"/>
  <c r="AE333" i="19"/>
  <c r="Q477" i="19"/>
  <c r="K333" i="19"/>
  <c r="V361" i="19"/>
  <c r="K129" i="19"/>
  <c r="G333" i="19"/>
  <c r="F129" i="19"/>
  <c r="H101" i="19"/>
  <c r="N216" i="19"/>
  <c r="Y129" i="19"/>
  <c r="N188" i="19"/>
  <c r="X216" i="19"/>
  <c r="H159" i="19"/>
  <c r="Q507" i="19"/>
  <c r="F449" i="19"/>
  <c r="L449" i="19"/>
  <c r="I129" i="19"/>
  <c r="AC477" i="19"/>
  <c r="AA477" i="19"/>
  <c r="AA129" i="19"/>
  <c r="V477" i="19"/>
  <c r="E361" i="19"/>
  <c r="M333" i="19"/>
  <c r="R275" i="19"/>
  <c r="S188" i="19"/>
  <c r="L188" i="19"/>
  <c r="K275" i="19"/>
  <c r="Z361" i="19"/>
  <c r="J361" i="19"/>
  <c r="R507" i="19"/>
  <c r="S159" i="19"/>
  <c r="S333" i="19"/>
  <c r="H333" i="19"/>
  <c r="O159" i="19"/>
  <c r="AE275" i="19"/>
  <c r="M188" i="19"/>
  <c r="L275" i="19"/>
  <c r="P391" i="19"/>
  <c r="P507" i="19"/>
  <c r="V275" i="19"/>
  <c r="AD477" i="19"/>
  <c r="N275" i="19"/>
  <c r="X129" i="19"/>
  <c r="AE477" i="19"/>
  <c r="M449" i="19"/>
  <c r="V507" i="19"/>
  <c r="I391" i="19"/>
  <c r="M477" i="19"/>
  <c r="I159" i="19"/>
  <c r="T361" i="19"/>
  <c r="AD159" i="19"/>
  <c r="O361" i="19"/>
  <c r="X275" i="19"/>
  <c r="U361" i="19"/>
  <c r="X72" i="19"/>
  <c r="G391" i="19"/>
  <c r="K507" i="19"/>
  <c r="O507" i="19"/>
  <c r="J507" i="19"/>
  <c r="T507" i="19"/>
  <c r="Q420" i="19"/>
  <c r="E391" i="19"/>
  <c r="L391" i="19"/>
  <c r="Y159" i="19"/>
  <c r="AC420" i="19"/>
  <c r="AC216" i="19"/>
  <c r="H391" i="19"/>
  <c r="H420" i="19"/>
  <c r="G188" i="19"/>
  <c r="L361" i="19"/>
  <c r="I420" i="19"/>
  <c r="AC391" i="19"/>
  <c r="G72" i="19"/>
  <c r="R159" i="19"/>
  <c r="T477" i="19"/>
  <c r="Y477" i="19"/>
  <c r="H361" i="19"/>
  <c r="R129" i="19"/>
  <c r="AD245" i="19"/>
  <c r="P275" i="19"/>
  <c r="Y361" i="19"/>
  <c r="I507" i="19"/>
  <c r="Z477" i="19"/>
  <c r="I45" i="19"/>
  <c r="D189" i="19" s="1"/>
  <c r="I216" i="19"/>
  <c r="T216" i="19"/>
  <c r="AA216" i="19"/>
  <c r="F45" i="19"/>
  <c r="M216" i="19"/>
  <c r="G245" i="19"/>
  <c r="R216" i="19"/>
  <c r="E44" i="19"/>
  <c r="K188" i="19"/>
  <c r="I72" i="19"/>
  <c r="AA245" i="19"/>
  <c r="Q72" i="19"/>
  <c r="F275" i="19"/>
  <c r="L507" i="19"/>
  <c r="U245" i="19"/>
  <c r="AD420" i="19"/>
  <c r="P245" i="19"/>
  <c r="E159" i="19"/>
  <c r="U275" i="19"/>
  <c r="S420" i="19"/>
  <c r="P159" i="19"/>
  <c r="U216" i="19"/>
  <c r="R72" i="19"/>
  <c r="K361" i="19"/>
  <c r="F391" i="19"/>
  <c r="AE361" i="19"/>
  <c r="S216" i="19"/>
  <c r="AB245" i="19"/>
  <c r="M420" i="19"/>
  <c r="D449" i="19"/>
  <c r="D333" i="19"/>
  <c r="D101" i="19"/>
  <c r="AE129" i="19"/>
  <c r="S101" i="19"/>
  <c r="G101" i="19"/>
  <c r="Q188" i="19"/>
  <c r="E275" i="19"/>
  <c r="R391" i="19"/>
  <c r="F333" i="19"/>
  <c r="G159" i="19"/>
  <c r="W159" i="19"/>
  <c r="N391" i="19"/>
  <c r="R245" i="19"/>
  <c r="F72" i="19"/>
  <c r="P449" i="19"/>
  <c r="E449" i="19"/>
  <c r="K72" i="19"/>
  <c r="R188" i="19"/>
  <c r="O449" i="19"/>
  <c r="P333" i="19"/>
  <c r="P216" i="19"/>
  <c r="K245" i="19"/>
  <c r="H477" i="19"/>
  <c r="O101" i="19"/>
  <c r="W129" i="19"/>
  <c r="T188" i="19"/>
  <c r="X245" i="19"/>
  <c r="O216" i="19"/>
  <c r="D420" i="19"/>
  <c r="D72" i="19"/>
  <c r="J245" i="19"/>
  <c r="S245" i="19"/>
  <c r="AD72" i="19"/>
  <c r="K216" i="19"/>
  <c r="T72" i="19"/>
  <c r="T245" i="19"/>
  <c r="O245" i="19"/>
  <c r="K420" i="19"/>
  <c r="V216" i="19"/>
  <c r="F159" i="19"/>
  <c r="H72" i="19"/>
  <c r="Q275" i="19"/>
  <c r="R420" i="19"/>
  <c r="P420" i="19"/>
  <c r="E507" i="19"/>
  <c r="E245" i="19"/>
  <c r="AA275" i="19"/>
  <c r="M159" i="19"/>
  <c r="L477" i="19"/>
  <c r="U129" i="19"/>
  <c r="C45" i="19"/>
  <c r="M391" i="19"/>
  <c r="Y245" i="19"/>
  <c r="I275" i="19"/>
  <c r="V129" i="19"/>
  <c r="G449" i="19"/>
  <c r="S449" i="19"/>
  <c r="N333" i="19"/>
  <c r="AD216" i="19"/>
  <c r="T420" i="19"/>
  <c r="L216" i="19"/>
  <c r="S361" i="19"/>
  <c r="H275" i="19"/>
  <c r="L245" i="19"/>
  <c r="Q449" i="19"/>
  <c r="E101" i="19"/>
  <c r="AC361" i="19"/>
  <c r="M129" i="19"/>
  <c r="R361" i="19"/>
  <c r="N72" i="19"/>
  <c r="F188" i="19"/>
  <c r="O420" i="19"/>
  <c r="AB361" i="19"/>
  <c r="K101" i="19"/>
  <c r="O72" i="19"/>
  <c r="Q129" i="19"/>
  <c r="S507" i="19"/>
  <c r="E72" i="19"/>
  <c r="J275" i="19"/>
  <c r="K44" i="19"/>
  <c r="D246" i="19" s="1"/>
  <c r="F216" i="19"/>
  <c r="AB216" i="19"/>
  <c r="AE216" i="19"/>
  <c r="V420" i="19"/>
  <c r="D45" i="19"/>
  <c r="U420" i="19"/>
  <c r="Z420" i="19"/>
  <c r="H216" i="19"/>
  <c r="M245" i="19"/>
  <c r="Q245" i="19"/>
  <c r="Y216" i="19"/>
  <c r="J420" i="19"/>
  <c r="Q216" i="19"/>
  <c r="V245" i="19"/>
  <c r="G216" i="19"/>
  <c r="E188" i="19"/>
  <c r="J44" i="19"/>
  <c r="D217" i="19" s="1"/>
  <c r="V304" i="19"/>
  <c r="U311" i="19"/>
  <c r="S72" i="19"/>
  <c r="P188" i="19"/>
  <c r="U72" i="19"/>
  <c r="D391" i="19"/>
  <c r="D507" i="19"/>
  <c r="D159" i="19"/>
  <c r="G420" i="19"/>
  <c r="M507" i="19"/>
  <c r="J72" i="19"/>
  <c r="AB275" i="19"/>
  <c r="H245" i="19"/>
  <c r="P72" i="19"/>
  <c r="N420" i="19"/>
  <c r="L72" i="19"/>
  <c r="Q159" i="19"/>
  <c r="AC245" i="19"/>
  <c r="N507" i="19"/>
  <c r="O275" i="19"/>
  <c r="D361" i="19"/>
  <c r="D477" i="19"/>
  <c r="D129" i="19"/>
  <c r="J391" i="19"/>
  <c r="S275" i="19"/>
  <c r="Q391" i="19"/>
  <c r="L45" i="19"/>
  <c r="D276" i="19" s="1"/>
  <c r="Z72" i="19"/>
  <c r="W245" i="19"/>
  <c r="O391" i="19"/>
  <c r="F420" i="19"/>
  <c r="I477" i="19"/>
  <c r="W391" i="19"/>
  <c r="M361" i="19"/>
  <c r="X477" i="19"/>
  <c r="E129" i="19"/>
  <c r="W216" i="19"/>
  <c r="I245" i="19"/>
  <c r="Z245" i="19"/>
  <c r="AE245" i="19"/>
  <c r="S391" i="19"/>
  <c r="S129" i="19"/>
  <c r="Z216" i="19"/>
  <c r="AA72" i="19"/>
  <c r="M101" i="19"/>
  <c r="N245" i="19"/>
  <c r="S477" i="19"/>
  <c r="L159" i="19"/>
  <c r="T275" i="19"/>
  <c r="G507" i="19"/>
  <c r="O188" i="19"/>
  <c r="G275" i="19"/>
  <c r="H188" i="19"/>
  <c r="Y333" i="19"/>
  <c r="M275" i="19"/>
  <c r="H507" i="19"/>
  <c r="I333" i="19"/>
  <c r="F477" i="19"/>
  <c r="N101" i="19"/>
  <c r="P101" i="19"/>
  <c r="E216" i="19"/>
  <c r="N361" i="19"/>
  <c r="N159" i="19"/>
  <c r="J188" i="19"/>
  <c r="K391" i="19"/>
  <c r="E333" i="19"/>
  <c r="N477" i="19"/>
  <c r="AB129" i="19"/>
  <c r="N129" i="19"/>
  <c r="AC275" i="19"/>
  <c r="V449" i="19"/>
  <c r="I188" i="19"/>
  <c r="L129" i="19"/>
  <c r="N449" i="19"/>
  <c r="J159" i="19"/>
  <c r="F245" i="19"/>
  <c r="J216" i="19"/>
  <c r="E420" i="19"/>
  <c r="H449" i="19"/>
  <c r="H129" i="19"/>
  <c r="AJ79" i="21" l="1"/>
  <c r="V45" i="49"/>
  <c r="U52" i="49"/>
  <c r="T2" i="49" s="1"/>
  <c r="T6" i="49" s="1"/>
  <c r="T10" i="49" s="1"/>
  <c r="T18" i="49" s="1"/>
  <c r="T3" i="49"/>
  <c r="T7" i="49" s="1"/>
  <c r="T11" i="49" s="1"/>
  <c r="T19" i="49" s="1"/>
  <c r="W79" i="5"/>
  <c r="W75" i="49"/>
  <c r="V81" i="49"/>
  <c r="AY74" i="23"/>
  <c r="AY92" i="23" s="1"/>
  <c r="AY110" i="23" s="1"/>
  <c r="T261" i="21"/>
  <c r="U282" i="20"/>
  <c r="W187" i="1" s="1"/>
  <c r="W109" i="1"/>
  <c r="C276" i="20"/>
  <c r="C45" i="20"/>
  <c r="D44" i="20"/>
  <c r="C23" i="21"/>
  <c r="AI23" i="21" s="1"/>
  <c r="E332" i="20"/>
  <c r="D311" i="21"/>
  <c r="AJ311" i="21" s="1"/>
  <c r="I298" i="20"/>
  <c r="H277" i="21"/>
  <c r="AN277" i="21" s="1"/>
  <c r="V199" i="20"/>
  <c r="U178" i="21"/>
  <c r="BA178" i="21" s="1"/>
  <c r="R114" i="20"/>
  <c r="Q93" i="21"/>
  <c r="AW93" i="21" s="1"/>
  <c r="L466" i="20"/>
  <c r="K445" i="21"/>
  <c r="AQ445" i="21" s="1"/>
  <c r="H185" i="20"/>
  <c r="G164" i="21"/>
  <c r="AM164" i="21" s="1"/>
  <c r="F273" i="20"/>
  <c r="E252" i="21"/>
  <c r="AK252" i="21" s="1"/>
  <c r="K467" i="20"/>
  <c r="J446" i="21"/>
  <c r="AP446" i="21" s="1"/>
  <c r="W140" i="20"/>
  <c r="V119" i="21"/>
  <c r="BB119" i="21" s="1"/>
  <c r="K296" i="20"/>
  <c r="J275" i="21"/>
  <c r="AP275" i="21" s="1"/>
  <c r="G99" i="20"/>
  <c r="F78" i="21"/>
  <c r="AL78" i="21" s="1"/>
  <c r="K268" i="20"/>
  <c r="J247" i="21"/>
  <c r="AP247" i="21" s="1"/>
  <c r="N265" i="20"/>
  <c r="M244" i="21"/>
  <c r="AS244" i="21" s="1"/>
  <c r="P320" i="20"/>
  <c r="O299" i="21"/>
  <c r="AU299" i="21" s="1"/>
  <c r="I183" i="20"/>
  <c r="H162" i="21"/>
  <c r="AN162" i="21" s="1"/>
  <c r="D218" i="20"/>
  <c r="C219" i="20"/>
  <c r="C197" i="21"/>
  <c r="AI197" i="21" s="1"/>
  <c r="R87" i="20"/>
  <c r="Q66" i="21"/>
  <c r="AW66" i="21" s="1"/>
  <c r="U286" i="20"/>
  <c r="T265" i="21"/>
  <c r="AZ265" i="21" s="1"/>
  <c r="N380" i="20"/>
  <c r="M359" i="21"/>
  <c r="AS359" i="21" s="1"/>
  <c r="E43" i="20"/>
  <c r="D22" i="21"/>
  <c r="AJ22" i="21" s="1"/>
  <c r="F302" i="20"/>
  <c r="E281" i="21"/>
  <c r="AK281" i="21" s="1"/>
  <c r="G356" i="20"/>
  <c r="F335" i="21"/>
  <c r="AL335" i="21" s="1"/>
  <c r="O264" i="20"/>
  <c r="N243" i="21"/>
  <c r="AT243" i="21" s="1"/>
  <c r="H243" i="20"/>
  <c r="G222" i="21"/>
  <c r="AM222" i="21" s="1"/>
  <c r="R232" i="20"/>
  <c r="Q211" i="21"/>
  <c r="AW211" i="21" s="1"/>
  <c r="T343" i="20"/>
  <c r="S322" i="21"/>
  <c r="AY322" i="21" s="1"/>
  <c r="G125" i="20"/>
  <c r="F104" i="21"/>
  <c r="AL104" i="21" s="1"/>
  <c r="H124" i="20"/>
  <c r="G103" i="21"/>
  <c r="AM103" i="21" s="1"/>
  <c r="U258" i="20"/>
  <c r="T237" i="21"/>
  <c r="AZ237" i="21" s="1"/>
  <c r="I241" i="20"/>
  <c r="H220" i="21"/>
  <c r="AN220" i="21" s="1"/>
  <c r="O148" i="20"/>
  <c r="N127" i="21"/>
  <c r="AT127" i="21" s="1"/>
  <c r="U142" i="20"/>
  <c r="T121" i="21"/>
  <c r="AZ121" i="21" s="1"/>
  <c r="P291" i="20"/>
  <c r="O270" i="21"/>
  <c r="AU270" i="21" s="1"/>
  <c r="F472" i="20"/>
  <c r="E451" i="21"/>
  <c r="AK451" i="21" s="1"/>
  <c r="L324" i="20"/>
  <c r="K303" i="21"/>
  <c r="AQ303" i="21" s="1"/>
  <c r="Q262" i="20"/>
  <c r="P241" i="21"/>
  <c r="AV241" i="21" s="1"/>
  <c r="N207" i="20"/>
  <c r="M186" i="21"/>
  <c r="AS186" i="21" s="1"/>
  <c r="D448" i="20"/>
  <c r="C427" i="21"/>
  <c r="AI427" i="21" s="1"/>
  <c r="D419" i="20"/>
  <c r="C398" i="21"/>
  <c r="AI398" i="21" s="1"/>
  <c r="M323" i="20"/>
  <c r="L302" i="21"/>
  <c r="AR302" i="21" s="1"/>
  <c r="G244" i="20"/>
  <c r="F223" i="21"/>
  <c r="AL223" i="21" s="1"/>
  <c r="S144" i="20"/>
  <c r="R123" i="21"/>
  <c r="AX123" i="21" s="1"/>
  <c r="P147" i="20"/>
  <c r="O126" i="21"/>
  <c r="AU126" i="21" s="1"/>
  <c r="D474" i="20"/>
  <c r="C453" i="21"/>
  <c r="AI453" i="21" s="1"/>
  <c r="O235" i="20"/>
  <c r="N214" i="21"/>
  <c r="AT214" i="21" s="1"/>
  <c r="J353" i="20"/>
  <c r="I332" i="21"/>
  <c r="AO332" i="21" s="1"/>
  <c r="E447" i="20"/>
  <c r="D426" i="21"/>
  <c r="AJ426" i="21" s="1"/>
  <c r="L382" i="20"/>
  <c r="K361" i="21"/>
  <c r="AQ361" i="21" s="1"/>
  <c r="I354" i="20"/>
  <c r="H333" i="21"/>
  <c r="AN333" i="21" s="1"/>
  <c r="F245" i="20"/>
  <c r="E224" i="21"/>
  <c r="AK224" i="21" s="1"/>
  <c r="D333" i="20"/>
  <c r="C449" i="20"/>
  <c r="C312" i="21"/>
  <c r="AI312" i="21" s="1"/>
  <c r="C420" i="20"/>
  <c r="D304" i="20"/>
  <c r="C283" i="21"/>
  <c r="AI283" i="21" s="1"/>
  <c r="E389" i="20"/>
  <c r="D368" i="21"/>
  <c r="AJ368" i="21" s="1"/>
  <c r="G70" i="20"/>
  <c r="F49" i="21"/>
  <c r="AL49" i="21" s="1"/>
  <c r="Q204" i="20"/>
  <c r="P183" i="21"/>
  <c r="AV183" i="21" s="1"/>
  <c r="J441" i="20"/>
  <c r="I420" i="21"/>
  <c r="AO420" i="21" s="1"/>
  <c r="H98" i="20"/>
  <c r="G77" i="21"/>
  <c r="AM77" i="21" s="1"/>
  <c r="G330" i="20"/>
  <c r="F309" i="21"/>
  <c r="AL309" i="21" s="1"/>
  <c r="W53" i="20"/>
  <c r="V32" i="21"/>
  <c r="BB32" i="21" s="1"/>
  <c r="P176" i="20"/>
  <c r="O155" i="21"/>
  <c r="AU155" i="21" s="1"/>
  <c r="J153" i="20"/>
  <c r="I132" i="21"/>
  <c r="AO132" i="21" s="1"/>
  <c r="O463" i="20"/>
  <c r="N442" i="21"/>
  <c r="AT442" i="21" s="1"/>
  <c r="U111" i="20"/>
  <c r="T90" i="21"/>
  <c r="AZ90" i="21" s="1"/>
  <c r="K239" i="20"/>
  <c r="J218" i="21"/>
  <c r="AP218" i="21" s="1"/>
  <c r="G301" i="20"/>
  <c r="F280" i="21"/>
  <c r="AL280" i="21" s="1"/>
  <c r="R460" i="20"/>
  <c r="Q439" i="21"/>
  <c r="AW439" i="21" s="1"/>
  <c r="H328" i="20"/>
  <c r="G307" i="21"/>
  <c r="AM307" i="21" s="1"/>
  <c r="E274" i="20"/>
  <c r="D253" i="21"/>
  <c r="AJ253" i="21" s="1"/>
  <c r="F216" i="20"/>
  <c r="E195" i="21"/>
  <c r="AK195" i="21" s="1"/>
  <c r="K152" i="20"/>
  <c r="J131" i="21"/>
  <c r="AP131" i="21" s="1"/>
  <c r="H184" i="20"/>
  <c r="G163" i="21"/>
  <c r="AM163" i="21" s="1"/>
  <c r="W169" i="20"/>
  <c r="V148" i="21"/>
  <c r="BB148" i="21" s="1"/>
  <c r="O117" i="20"/>
  <c r="N96" i="21"/>
  <c r="AT96" i="21" s="1"/>
  <c r="G156" i="20"/>
  <c r="F135" i="21"/>
  <c r="AL135" i="21" s="1"/>
  <c r="L180" i="20"/>
  <c r="K159" i="21"/>
  <c r="AQ159" i="21" s="1"/>
  <c r="O33" i="20"/>
  <c r="N12" i="21"/>
  <c r="AT12" i="21" s="1"/>
  <c r="I270" i="20"/>
  <c r="H249" i="21"/>
  <c r="AN249" i="21" s="1"/>
  <c r="H242" i="20"/>
  <c r="G221" i="21"/>
  <c r="AM221" i="21" s="1"/>
  <c r="M208" i="20"/>
  <c r="L187" i="21"/>
  <c r="AR187" i="21" s="1"/>
  <c r="S202" i="20"/>
  <c r="R181" i="21"/>
  <c r="AX181" i="21" s="1"/>
  <c r="K210" i="20"/>
  <c r="J189" i="21"/>
  <c r="AP189" i="21" s="1"/>
  <c r="U315" i="20"/>
  <c r="T294" i="21"/>
  <c r="AZ294" i="21" s="1"/>
  <c r="Q31" i="20"/>
  <c r="P10" i="21"/>
  <c r="AV10" i="21" s="1"/>
  <c r="U200" i="20"/>
  <c r="T179" i="21"/>
  <c r="AZ179" i="21" s="1"/>
  <c r="J297" i="20"/>
  <c r="I276" i="21"/>
  <c r="AO276" i="21" s="1"/>
  <c r="J468" i="20"/>
  <c r="I447" i="21"/>
  <c r="AO447" i="21" s="1"/>
  <c r="T112" i="20"/>
  <c r="S91" i="21"/>
  <c r="AY91" i="21" s="1"/>
  <c r="U55" i="20"/>
  <c r="T34" i="21"/>
  <c r="AZ34" i="21" s="1"/>
  <c r="G415" i="20"/>
  <c r="F394" i="21"/>
  <c r="AL394" i="21" s="1"/>
  <c r="L439" i="20"/>
  <c r="K418" i="21"/>
  <c r="AQ418" i="21" s="1"/>
  <c r="H443" i="20"/>
  <c r="G422" i="21"/>
  <c r="AM422" i="21" s="1"/>
  <c r="P32" i="20"/>
  <c r="O11" i="21"/>
  <c r="AU11" i="21" s="1"/>
  <c r="R404" i="20"/>
  <c r="Q383" i="21"/>
  <c r="AW383" i="21" s="1"/>
  <c r="M150" i="20"/>
  <c r="L129" i="21"/>
  <c r="AR129" i="21" s="1"/>
  <c r="K121" i="20"/>
  <c r="J100" i="21"/>
  <c r="AP100" i="21" s="1"/>
  <c r="Q346" i="20"/>
  <c r="P325" i="21"/>
  <c r="AV325" i="21" s="1"/>
  <c r="U229" i="20"/>
  <c r="T208" i="21"/>
  <c r="AZ208" i="21" s="1"/>
  <c r="J326" i="20"/>
  <c r="I305" i="21"/>
  <c r="AO305" i="21" s="1"/>
  <c r="T431" i="20"/>
  <c r="S410" i="21"/>
  <c r="AY410" i="21" s="1"/>
  <c r="R58" i="20"/>
  <c r="Q37" i="21"/>
  <c r="AW37" i="21" s="1"/>
  <c r="Q88" i="20"/>
  <c r="P67" i="21"/>
  <c r="AV67" i="21" s="1"/>
  <c r="O61" i="20"/>
  <c r="N40" i="21"/>
  <c r="AT40" i="21" s="1"/>
  <c r="N178" i="20"/>
  <c r="M157" i="21"/>
  <c r="AS157" i="21" s="1"/>
  <c r="I327" i="20"/>
  <c r="H306" i="21"/>
  <c r="AN306" i="21" s="1"/>
  <c r="N91" i="20"/>
  <c r="M70" i="21"/>
  <c r="AS70" i="21" s="1"/>
  <c r="F126" i="20"/>
  <c r="E105" i="21"/>
  <c r="AK105" i="21" s="1"/>
  <c r="V285" i="20"/>
  <c r="U264" i="21"/>
  <c r="BA264" i="21" s="1"/>
  <c r="O379" i="20"/>
  <c r="N358" i="21"/>
  <c r="AT358" i="21" s="1"/>
  <c r="O90" i="20"/>
  <c r="N69" i="21"/>
  <c r="AT69" i="21" s="1"/>
  <c r="E127" i="20"/>
  <c r="D106" i="21"/>
  <c r="AJ106" i="21" s="1"/>
  <c r="T287" i="20"/>
  <c r="S266" i="21"/>
  <c r="AY266" i="21" s="1"/>
  <c r="N437" i="20"/>
  <c r="M416" i="21"/>
  <c r="AS416" i="21" s="1"/>
  <c r="T201" i="20"/>
  <c r="S180" i="21"/>
  <c r="AY180" i="21" s="1"/>
  <c r="S375" i="20"/>
  <c r="R354" i="21"/>
  <c r="AX354" i="21" s="1"/>
  <c r="Q319" i="20"/>
  <c r="P298" i="21"/>
  <c r="AV298" i="21" s="1"/>
  <c r="I39" i="20"/>
  <c r="H18" i="21"/>
  <c r="AN18" i="21" s="1"/>
  <c r="G300" i="20"/>
  <c r="F279" i="21"/>
  <c r="AL279" i="21" s="1"/>
  <c r="Q59" i="20"/>
  <c r="P38" i="21"/>
  <c r="AV38" i="21" s="1"/>
  <c r="S288" i="20"/>
  <c r="R267" i="21"/>
  <c r="AX267" i="21" s="1"/>
  <c r="E158" i="20"/>
  <c r="D137" i="21"/>
  <c r="AJ137" i="21" s="1"/>
  <c r="J95" i="20"/>
  <c r="I74" i="21"/>
  <c r="AO74" i="21" s="1"/>
  <c r="F187" i="20"/>
  <c r="E166" i="21"/>
  <c r="AK166" i="21" s="1"/>
  <c r="S459" i="20"/>
  <c r="R438" i="21"/>
  <c r="AX438" i="21" s="1"/>
  <c r="F417" i="20"/>
  <c r="E396" i="21"/>
  <c r="AK396" i="21" s="1"/>
  <c r="T143" i="20"/>
  <c r="S122" i="21"/>
  <c r="AY122" i="21" s="1"/>
  <c r="P406" i="20"/>
  <c r="O385" i="21"/>
  <c r="AU385" i="21" s="1"/>
  <c r="G329" i="20"/>
  <c r="F308" i="21"/>
  <c r="AL308" i="21" s="1"/>
  <c r="L64" i="20"/>
  <c r="K43" i="21"/>
  <c r="AQ43" i="21" s="1"/>
  <c r="F416" i="20"/>
  <c r="E395" i="21"/>
  <c r="AK395" i="21" s="1"/>
  <c r="L36" i="20"/>
  <c r="K15" i="21"/>
  <c r="AQ15" i="21" s="1"/>
  <c r="Q434" i="20"/>
  <c r="P413" i="21"/>
  <c r="AV413" i="21" s="1"/>
  <c r="V54" i="20"/>
  <c r="U33" i="21"/>
  <c r="BA33" i="21" s="1"/>
  <c r="E72" i="20"/>
  <c r="D51" i="21"/>
  <c r="AJ51" i="21" s="1"/>
  <c r="M266" i="20"/>
  <c r="L245" i="21"/>
  <c r="AR245" i="21" s="1"/>
  <c r="D390" i="20"/>
  <c r="C369" i="21"/>
  <c r="AI369" i="21" s="1"/>
  <c r="J412" i="20"/>
  <c r="I391" i="21"/>
  <c r="AO391" i="21" s="1"/>
  <c r="R318" i="20"/>
  <c r="Q297" i="21"/>
  <c r="AW297" i="21" s="1"/>
  <c r="C360" i="20"/>
  <c r="C129" i="20"/>
  <c r="D128" i="20"/>
  <c r="C107" i="21"/>
  <c r="AI107" i="21" s="1"/>
  <c r="X507" i="19"/>
  <c r="D275" i="20"/>
  <c r="C391" i="20"/>
  <c r="C254" i="21"/>
  <c r="AI254" i="21" s="1"/>
  <c r="F157" i="20"/>
  <c r="E136" i="21"/>
  <c r="AK136" i="21" s="1"/>
  <c r="R30" i="20"/>
  <c r="Q9" i="21"/>
  <c r="AW9" i="21" s="1"/>
  <c r="K65" i="20"/>
  <c r="J44" i="21"/>
  <c r="AP44" i="21" s="1"/>
  <c r="L209" i="20"/>
  <c r="K188" i="21"/>
  <c r="AQ188" i="21" s="1"/>
  <c r="Q377" i="20"/>
  <c r="P356" i="21"/>
  <c r="AV356" i="21" s="1"/>
  <c r="H40" i="20"/>
  <c r="G19" i="21"/>
  <c r="AM19" i="21" s="1"/>
  <c r="W25" i="20"/>
  <c r="V4" i="21"/>
  <c r="BB4" i="21" s="1"/>
  <c r="M438" i="20"/>
  <c r="L417" i="21"/>
  <c r="AR417" i="21" s="1"/>
  <c r="M381" i="20"/>
  <c r="L360" i="21"/>
  <c r="AR360" i="21" s="1"/>
  <c r="P89" i="20"/>
  <c r="O68" i="21"/>
  <c r="AU68" i="21" s="1"/>
  <c r="H214" i="20"/>
  <c r="G193" i="21"/>
  <c r="AM193" i="21" s="1"/>
  <c r="G186" i="20"/>
  <c r="F165" i="21"/>
  <c r="AL165" i="21" s="1"/>
  <c r="H68" i="20"/>
  <c r="G47" i="21"/>
  <c r="AM47" i="21" s="1"/>
  <c r="H386" i="20"/>
  <c r="G365" i="21"/>
  <c r="AM365" i="21" s="1"/>
  <c r="G471" i="20"/>
  <c r="F450" i="21"/>
  <c r="AL450" i="21" s="1"/>
  <c r="T230" i="20"/>
  <c r="S209" i="21"/>
  <c r="AY209" i="21" s="1"/>
  <c r="F331" i="20"/>
  <c r="E310" i="21"/>
  <c r="AK310" i="21" s="1"/>
  <c r="E473" i="20"/>
  <c r="D452" i="21"/>
  <c r="AJ452" i="21" s="1"/>
  <c r="S29" i="20"/>
  <c r="R8" i="21"/>
  <c r="AX8" i="21" s="1"/>
  <c r="F100" i="20"/>
  <c r="E79" i="21"/>
  <c r="AK79" i="21" s="1"/>
  <c r="L93" i="20"/>
  <c r="K72" i="21"/>
  <c r="AQ72" i="21" s="1"/>
  <c r="S403" i="20"/>
  <c r="R382" i="21"/>
  <c r="AX382" i="21" s="1"/>
  <c r="H155" i="20"/>
  <c r="G134" i="21"/>
  <c r="AM134" i="21" s="1"/>
  <c r="U430" i="20"/>
  <c r="T409" i="21"/>
  <c r="AZ409" i="21" s="1"/>
  <c r="N34" i="20"/>
  <c r="M13" i="21"/>
  <c r="AS13" i="21" s="1"/>
  <c r="R145" i="20"/>
  <c r="Q124" i="21"/>
  <c r="AW124" i="21" s="1"/>
  <c r="F446" i="20"/>
  <c r="E425" i="21"/>
  <c r="AK425" i="21" s="1"/>
  <c r="C334" i="20"/>
  <c r="C103" i="20"/>
  <c r="D102" i="20"/>
  <c r="C81" i="21"/>
  <c r="AI81" i="21" s="1"/>
  <c r="E188" i="20"/>
  <c r="D167" i="21"/>
  <c r="AJ167" i="21" s="1"/>
  <c r="E217" i="20"/>
  <c r="D196" i="21"/>
  <c r="AJ196" i="21" s="1"/>
  <c r="J269" i="20"/>
  <c r="I248" i="21"/>
  <c r="AO248" i="21" s="1"/>
  <c r="O407" i="20"/>
  <c r="N386" i="21"/>
  <c r="AT386" i="21" s="1"/>
  <c r="K37" i="20"/>
  <c r="J16" i="21"/>
  <c r="AP16" i="21" s="1"/>
  <c r="H97" i="20"/>
  <c r="G76" i="21"/>
  <c r="AM76" i="21" s="1"/>
  <c r="L295" i="20"/>
  <c r="K274" i="21"/>
  <c r="AQ274" i="21" s="1"/>
  <c r="L410" i="20"/>
  <c r="K389" i="21"/>
  <c r="AQ389" i="21" s="1"/>
  <c r="M35" i="20"/>
  <c r="L14" i="21"/>
  <c r="AR14" i="21" s="1"/>
  <c r="H213" i="20"/>
  <c r="G192" i="21"/>
  <c r="AM192" i="21" s="1"/>
  <c r="R376" i="20"/>
  <c r="Q355" i="21"/>
  <c r="AW355" i="21" s="1"/>
  <c r="L238" i="20"/>
  <c r="K217" i="21"/>
  <c r="AQ217" i="21" s="1"/>
  <c r="T316" i="20"/>
  <c r="S295" i="21"/>
  <c r="AY295" i="21" s="1"/>
  <c r="C248" i="20"/>
  <c r="D247" i="20"/>
  <c r="C226" i="21"/>
  <c r="AI226" i="21" s="1"/>
  <c r="J182" i="20"/>
  <c r="I161" i="21"/>
  <c r="AO161" i="21" s="1"/>
  <c r="W227" i="20"/>
  <c r="V206" i="21"/>
  <c r="BB206" i="21" s="1"/>
  <c r="N349" i="20"/>
  <c r="M328" i="21"/>
  <c r="AS328" i="21" s="1"/>
  <c r="C160" i="20"/>
  <c r="D159" i="20"/>
  <c r="C138" i="21"/>
  <c r="AI138" i="21" s="1"/>
  <c r="I442" i="20"/>
  <c r="H421" i="21"/>
  <c r="AN421" i="21" s="1"/>
  <c r="K383" i="20"/>
  <c r="J362" i="21"/>
  <c r="AP362" i="21" s="1"/>
  <c r="V83" i="20"/>
  <c r="U62" i="21"/>
  <c r="BA62" i="21" s="1"/>
  <c r="O292" i="20"/>
  <c r="N271" i="21"/>
  <c r="AT271" i="21" s="1"/>
  <c r="K352" i="20"/>
  <c r="J331" i="21"/>
  <c r="AP331" i="21" s="1"/>
  <c r="S260" i="20"/>
  <c r="R239" i="21"/>
  <c r="AX239" i="21" s="1"/>
  <c r="R433" i="20"/>
  <c r="Q412" i="21"/>
  <c r="AW412" i="21" s="1"/>
  <c r="J211" i="20"/>
  <c r="I190" i="21"/>
  <c r="AO190" i="21" s="1"/>
  <c r="H299" i="20"/>
  <c r="G278" i="21"/>
  <c r="AM278" i="21" s="1"/>
  <c r="T56" i="20"/>
  <c r="S35" i="21"/>
  <c r="AY35" i="21" s="1"/>
  <c r="S432" i="20"/>
  <c r="R411" i="21"/>
  <c r="AX411" i="21" s="1"/>
  <c r="K440" i="20"/>
  <c r="J419" i="21"/>
  <c r="AP419" i="21" s="1"/>
  <c r="T85" i="20"/>
  <c r="S64" i="21"/>
  <c r="AY64" i="21" s="1"/>
  <c r="M237" i="20"/>
  <c r="L216" i="21"/>
  <c r="AR216" i="21" s="1"/>
  <c r="T28" i="20"/>
  <c r="S7" i="21"/>
  <c r="AY7" i="21" s="1"/>
  <c r="J384" i="20"/>
  <c r="I363" i="21"/>
  <c r="AO363" i="21" s="1"/>
  <c r="R174" i="20"/>
  <c r="Q153" i="21"/>
  <c r="AW153" i="21" s="1"/>
  <c r="L267" i="20"/>
  <c r="K246" i="21"/>
  <c r="AQ246" i="21" s="1"/>
  <c r="L120" i="20"/>
  <c r="K99" i="21"/>
  <c r="AQ99" i="21" s="1"/>
  <c r="R261" i="20"/>
  <c r="Q240" i="21"/>
  <c r="AW240" i="21" s="1"/>
  <c r="N149" i="20"/>
  <c r="M128" i="21"/>
  <c r="AS128" i="21" s="1"/>
  <c r="F357" i="20"/>
  <c r="E336" i="21"/>
  <c r="AK336" i="21" s="1"/>
  <c r="I154" i="20"/>
  <c r="H133" i="21"/>
  <c r="AN133" i="21" s="1"/>
  <c r="S173" i="20"/>
  <c r="R152" i="21"/>
  <c r="AX152" i="21" s="1"/>
  <c r="M465" i="20"/>
  <c r="L444" i="21"/>
  <c r="AR444" i="21" s="1"/>
  <c r="G444" i="20"/>
  <c r="F423" i="21"/>
  <c r="AL423" i="21" s="1"/>
  <c r="G215" i="20"/>
  <c r="F194" i="21"/>
  <c r="AL194" i="21" s="1"/>
  <c r="T259" i="20"/>
  <c r="S238" i="21"/>
  <c r="AY238" i="21" s="1"/>
  <c r="V141" i="20"/>
  <c r="U120" i="21"/>
  <c r="BA120" i="21" s="1"/>
  <c r="K94" i="20"/>
  <c r="J73" i="21"/>
  <c r="AP73" i="21" s="1"/>
  <c r="G41" i="20"/>
  <c r="F20" i="21"/>
  <c r="AL20" i="21" s="1"/>
  <c r="F71" i="20"/>
  <c r="E50" i="21"/>
  <c r="AK50" i="21" s="1"/>
  <c r="U84" i="20"/>
  <c r="T63" i="21"/>
  <c r="AZ63" i="21" s="1"/>
  <c r="S57" i="20"/>
  <c r="R36" i="21"/>
  <c r="AX36" i="21" s="1"/>
  <c r="S231" i="20"/>
  <c r="R210" i="21"/>
  <c r="AX210" i="21" s="1"/>
  <c r="N62" i="20"/>
  <c r="M41" i="21"/>
  <c r="AS41" i="21" s="1"/>
  <c r="N236" i="20"/>
  <c r="M215" i="21"/>
  <c r="AS215" i="21" s="1"/>
  <c r="V170" i="20"/>
  <c r="U149" i="21"/>
  <c r="BA149" i="21" s="1"/>
  <c r="H271" i="20"/>
  <c r="G250" i="21"/>
  <c r="AM250" i="21" s="1"/>
  <c r="T172" i="20"/>
  <c r="S151" i="21"/>
  <c r="AY151" i="21" s="1"/>
  <c r="D359" i="20"/>
  <c r="C475" i="20"/>
  <c r="C338" i="21"/>
  <c r="AI338" i="21" s="1"/>
  <c r="P435" i="20"/>
  <c r="O414" i="21"/>
  <c r="AU414" i="21" s="1"/>
  <c r="Q461" i="20"/>
  <c r="P440" i="21"/>
  <c r="AV440" i="21" s="1"/>
  <c r="M179" i="20"/>
  <c r="L158" i="21"/>
  <c r="AR158" i="21" s="1"/>
  <c r="N464" i="20"/>
  <c r="M443" i="21"/>
  <c r="AS443" i="21" s="1"/>
  <c r="K181" i="20"/>
  <c r="J160" i="21"/>
  <c r="AP160" i="21" s="1"/>
  <c r="S113" i="20"/>
  <c r="R92" i="21"/>
  <c r="AX92" i="21" s="1"/>
  <c r="J240" i="20"/>
  <c r="I219" i="21"/>
  <c r="AO219" i="21" s="1"/>
  <c r="V314" i="20"/>
  <c r="U293" i="21"/>
  <c r="BA293" i="21" s="1"/>
  <c r="K411" i="20"/>
  <c r="J390" i="21"/>
  <c r="AP390" i="21" s="1"/>
  <c r="O348" i="20"/>
  <c r="N327" i="21"/>
  <c r="AT327" i="21" s="1"/>
  <c r="H414" i="20"/>
  <c r="G393" i="21"/>
  <c r="AM393" i="21" s="1"/>
  <c r="P60" i="20"/>
  <c r="O39" i="21"/>
  <c r="AU39" i="21" s="1"/>
  <c r="L351" i="20"/>
  <c r="K330" i="21"/>
  <c r="AQ330" i="21" s="1"/>
  <c r="P263" i="20"/>
  <c r="O242" i="21"/>
  <c r="AU242" i="21" s="1"/>
  <c r="J122" i="20"/>
  <c r="I101" i="21"/>
  <c r="AO101" i="21" s="1"/>
  <c r="O321" i="20"/>
  <c r="N300" i="21"/>
  <c r="AT300" i="21" s="1"/>
  <c r="M409" i="20"/>
  <c r="L388" i="21"/>
  <c r="AR388" i="21" s="1"/>
  <c r="W82" i="20"/>
  <c r="V61" i="21"/>
  <c r="BB61" i="21" s="1"/>
  <c r="U171" i="20"/>
  <c r="T150" i="21"/>
  <c r="AZ150" i="21" s="1"/>
  <c r="P116" i="20"/>
  <c r="O95" i="21"/>
  <c r="AU95" i="21" s="1"/>
  <c r="S344" i="20"/>
  <c r="R323" i="21"/>
  <c r="AX323" i="21" s="1"/>
  <c r="M294" i="20"/>
  <c r="L273" i="21"/>
  <c r="AR273" i="21" s="1"/>
  <c r="Q405" i="20"/>
  <c r="P384" i="21"/>
  <c r="AV384" i="21" s="1"/>
  <c r="O436" i="20"/>
  <c r="N415" i="21"/>
  <c r="AT415" i="21" s="1"/>
  <c r="I67" i="20"/>
  <c r="H46" i="21"/>
  <c r="AN46" i="21" s="1"/>
  <c r="E303" i="20"/>
  <c r="D282" i="21"/>
  <c r="AJ282" i="21" s="1"/>
  <c r="U401" i="20"/>
  <c r="T380" i="21"/>
  <c r="AZ380" i="21" s="1"/>
  <c r="O177" i="20"/>
  <c r="N156" i="21"/>
  <c r="AT156" i="21" s="1"/>
  <c r="M119" i="20"/>
  <c r="L98" i="21"/>
  <c r="AR98" i="21" s="1"/>
  <c r="F42" i="20"/>
  <c r="E21" i="21"/>
  <c r="AK21" i="21" s="1"/>
  <c r="N118" i="20"/>
  <c r="M97" i="21"/>
  <c r="AS97" i="21" s="1"/>
  <c r="I212" i="20"/>
  <c r="H191" i="21"/>
  <c r="AN191" i="21" s="1"/>
  <c r="M63" i="20"/>
  <c r="L42" i="21"/>
  <c r="AR42" i="21" s="1"/>
  <c r="Q175" i="20"/>
  <c r="P154" i="21"/>
  <c r="AV154" i="21" s="1"/>
  <c r="H355" i="20"/>
  <c r="G334" i="21"/>
  <c r="AM334" i="21" s="1"/>
  <c r="G387" i="20"/>
  <c r="F366" i="21"/>
  <c r="AL366" i="21" s="1"/>
  <c r="Q290" i="20"/>
  <c r="P269" i="21"/>
  <c r="AV269" i="21" s="1"/>
  <c r="T374" i="20"/>
  <c r="S353" i="21"/>
  <c r="AY353" i="21" s="1"/>
  <c r="I123" i="20"/>
  <c r="H102" i="21"/>
  <c r="AN102" i="21" s="1"/>
  <c r="K325" i="20"/>
  <c r="J304" i="21"/>
  <c r="AP304" i="21" s="1"/>
  <c r="J66" i="20"/>
  <c r="I45" i="21"/>
  <c r="AO45" i="21" s="1"/>
  <c r="S86" i="20"/>
  <c r="R65" i="21"/>
  <c r="AX65" i="21" s="1"/>
  <c r="I413" i="20"/>
  <c r="H392" i="21"/>
  <c r="AN392" i="21" s="1"/>
  <c r="W198" i="20"/>
  <c r="V177" i="21"/>
  <c r="BB177" i="21" s="1"/>
  <c r="Q115" i="20"/>
  <c r="P94" i="21"/>
  <c r="AV94" i="21" s="1"/>
  <c r="M92" i="20"/>
  <c r="L71" i="21"/>
  <c r="AR71" i="21" s="1"/>
  <c r="P234" i="20"/>
  <c r="O213" i="21"/>
  <c r="AU213" i="21" s="1"/>
  <c r="R345" i="20"/>
  <c r="Q324" i="21"/>
  <c r="AW324" i="21" s="1"/>
  <c r="R289" i="20"/>
  <c r="Q268" i="21"/>
  <c r="AW268" i="21" s="1"/>
  <c r="R203" i="20"/>
  <c r="Q182" i="21"/>
  <c r="AW182" i="21" s="1"/>
  <c r="L151" i="20"/>
  <c r="K130" i="21"/>
  <c r="AQ130" i="21" s="1"/>
  <c r="Q233" i="20"/>
  <c r="P212" i="21"/>
  <c r="AV212" i="21" s="1"/>
  <c r="S317" i="20"/>
  <c r="R296" i="21"/>
  <c r="AX296" i="21" s="1"/>
  <c r="I96" i="20"/>
  <c r="H75" i="21"/>
  <c r="AN75" i="21" s="1"/>
  <c r="I469" i="20"/>
  <c r="H448" i="21"/>
  <c r="AN448" i="21" s="1"/>
  <c r="V257" i="20"/>
  <c r="U236" i="21"/>
  <c r="BA236" i="21" s="1"/>
  <c r="F388" i="20"/>
  <c r="E367" i="21"/>
  <c r="AK367" i="21" s="1"/>
  <c r="H69" i="20"/>
  <c r="G48" i="21"/>
  <c r="AM48" i="21" s="1"/>
  <c r="T402" i="20"/>
  <c r="S381" i="21"/>
  <c r="AY381" i="21" s="1"/>
  <c r="E358" i="20"/>
  <c r="D337" i="21"/>
  <c r="AJ337" i="21" s="1"/>
  <c r="E101" i="20"/>
  <c r="D80" i="21"/>
  <c r="D189" i="20"/>
  <c r="C190" i="20"/>
  <c r="C168" i="21"/>
  <c r="AI168" i="21" s="1"/>
  <c r="V26" i="20"/>
  <c r="U5" i="21"/>
  <c r="BA5" i="21" s="1"/>
  <c r="V228" i="20"/>
  <c r="U207" i="21"/>
  <c r="BA207" i="21" s="1"/>
  <c r="P462" i="20"/>
  <c r="O441" i="21"/>
  <c r="AU441" i="21" s="1"/>
  <c r="N322" i="20"/>
  <c r="M301" i="21"/>
  <c r="AS301" i="21" s="1"/>
  <c r="D73" i="20"/>
  <c r="C305" i="20"/>
  <c r="C74" i="20"/>
  <c r="C52" i="21"/>
  <c r="AI52" i="21" s="1"/>
  <c r="O206" i="20"/>
  <c r="N185" i="21"/>
  <c r="AT185" i="21" s="1"/>
  <c r="P205" i="20"/>
  <c r="O184" i="21"/>
  <c r="AU184" i="21" s="1"/>
  <c r="P378" i="20"/>
  <c r="O357" i="21"/>
  <c r="AU357" i="21" s="1"/>
  <c r="N293" i="20"/>
  <c r="M272" i="21"/>
  <c r="AS272" i="21" s="1"/>
  <c r="Q146" i="20"/>
  <c r="P125" i="21"/>
  <c r="AV125" i="21" s="1"/>
  <c r="E246" i="20"/>
  <c r="D225" i="21"/>
  <c r="AJ225" i="21" s="1"/>
  <c r="U373" i="20"/>
  <c r="T352" i="21"/>
  <c r="AZ352" i="21" s="1"/>
  <c r="I385" i="20"/>
  <c r="H364" i="21"/>
  <c r="AN364" i="21" s="1"/>
  <c r="E418" i="20"/>
  <c r="D397" i="21"/>
  <c r="AJ397" i="21" s="1"/>
  <c r="F445" i="20"/>
  <c r="E424" i="21"/>
  <c r="AK424" i="21" s="1"/>
  <c r="H470" i="20"/>
  <c r="G449" i="21"/>
  <c r="AM449" i="21" s="1"/>
  <c r="U27" i="20"/>
  <c r="T6" i="21"/>
  <c r="AZ6" i="21" s="1"/>
  <c r="M350" i="20"/>
  <c r="L329" i="21"/>
  <c r="AR329" i="21" s="1"/>
  <c r="G272" i="20"/>
  <c r="F251" i="21"/>
  <c r="AL251" i="21" s="1"/>
  <c r="J38" i="20"/>
  <c r="I17" i="21"/>
  <c r="AO17" i="21" s="1"/>
  <c r="P347" i="20"/>
  <c r="O326" i="21"/>
  <c r="AU326" i="21" s="1"/>
  <c r="N408" i="20"/>
  <c r="M387" i="21"/>
  <c r="AS387" i="21" s="1"/>
  <c r="Y449" i="19"/>
  <c r="Z450" i="19" s="1"/>
  <c r="Z275" i="19"/>
  <c r="AA276" i="19" s="1"/>
  <c r="AE188" i="19"/>
  <c r="AB420" i="19"/>
  <c r="AC101" i="19"/>
  <c r="X449" i="19"/>
  <c r="Y72" i="19"/>
  <c r="Z507" i="19"/>
  <c r="AB188" i="19"/>
  <c r="W507" i="19"/>
  <c r="V333" i="19"/>
  <c r="AE159" i="19"/>
  <c r="AE420" i="19"/>
  <c r="X391" i="19"/>
  <c r="U507" i="19"/>
  <c r="W72" i="19"/>
  <c r="Z101" i="19"/>
  <c r="U333" i="19"/>
  <c r="Z333" i="19"/>
  <c r="AE72" i="19"/>
  <c r="AA188" i="19"/>
  <c r="AB189" i="19" s="1"/>
  <c r="T333" i="19"/>
  <c r="Y420" i="19"/>
  <c r="AA420" i="19"/>
  <c r="Y188" i="19"/>
  <c r="W420" i="19"/>
  <c r="AE449" i="19"/>
  <c r="U101" i="19"/>
  <c r="T391" i="19"/>
  <c r="W101" i="19"/>
  <c r="W333" i="19"/>
  <c r="U449" i="19"/>
  <c r="AA507" i="19"/>
  <c r="Z188" i="19"/>
  <c r="W275" i="19"/>
  <c r="Y275" i="19"/>
  <c r="Z276" i="19" s="1"/>
  <c r="AD188" i="19"/>
  <c r="U188" i="19"/>
  <c r="AD449" i="19"/>
  <c r="T449" i="19"/>
  <c r="AA391" i="19"/>
  <c r="AB507" i="19"/>
  <c r="AD507" i="19"/>
  <c r="AA159" i="19"/>
  <c r="AA333" i="19"/>
  <c r="T159" i="19"/>
  <c r="X101" i="19"/>
  <c r="AC188" i="19"/>
  <c r="V72" i="19"/>
  <c r="AB391" i="19"/>
  <c r="AD101" i="19"/>
  <c r="Z391" i="19"/>
  <c r="X188" i="19"/>
  <c r="AA101" i="19"/>
  <c r="Y507" i="19"/>
  <c r="AC72" i="19"/>
  <c r="AD275" i="19"/>
  <c r="Z449" i="19"/>
  <c r="V188" i="19"/>
  <c r="V159" i="19"/>
  <c r="AB72" i="19"/>
  <c r="AC507" i="19"/>
  <c r="V391" i="19"/>
  <c r="AE391" i="19"/>
  <c r="AB449" i="19"/>
  <c r="Z159" i="19"/>
  <c r="T101" i="19"/>
  <c r="AE507" i="19"/>
  <c r="X159" i="19"/>
  <c r="AC333" i="19"/>
  <c r="U159" i="19"/>
  <c r="AD333" i="19"/>
  <c r="W188" i="19"/>
  <c r="AC159" i="19"/>
  <c r="AC449" i="19"/>
  <c r="X217" i="19"/>
  <c r="F217" i="19"/>
  <c r="S450" i="19"/>
  <c r="N189" i="19"/>
  <c r="V478" i="19"/>
  <c r="K189" i="19"/>
  <c r="I189" i="19"/>
  <c r="Q189" i="19"/>
  <c r="U189" i="19"/>
  <c r="S189" i="19"/>
  <c r="I246" i="19"/>
  <c r="N246" i="19"/>
  <c r="O450" i="19"/>
  <c r="W450" i="19"/>
  <c r="Q102" i="19"/>
  <c r="Z102" i="19"/>
  <c r="M189" i="19"/>
  <c r="K217" i="19"/>
  <c r="N392" i="19"/>
  <c r="O189" i="19"/>
  <c r="F189" i="19"/>
  <c r="G189" i="19"/>
  <c r="H73" i="19"/>
  <c r="S130" i="19"/>
  <c r="T334" i="19"/>
  <c r="AA217" i="19"/>
  <c r="G160" i="19"/>
  <c r="J189" i="19"/>
  <c r="P189" i="19"/>
  <c r="Q130" i="19"/>
  <c r="Z160" i="19"/>
  <c r="T189" i="19"/>
  <c r="X246" i="19"/>
  <c r="K478" i="19"/>
  <c r="AD478" i="19"/>
  <c r="F421" i="19"/>
  <c r="O130" i="19"/>
  <c r="G478" i="19"/>
  <c r="Z334" i="19"/>
  <c r="N102" i="19"/>
  <c r="J246" i="19"/>
  <c r="G421" i="19"/>
  <c r="E160" i="19"/>
  <c r="K508" i="19"/>
  <c r="J334" i="19"/>
  <c r="O421" i="19"/>
  <c r="AC102" i="19"/>
  <c r="R102" i="19"/>
  <c r="R246" i="19"/>
  <c r="H130" i="19"/>
  <c r="AA130" i="19"/>
  <c r="R189" i="19"/>
  <c r="L189" i="19"/>
  <c r="U508" i="19"/>
  <c r="K73" i="19"/>
  <c r="AE362" i="19"/>
  <c r="N73" i="19"/>
  <c r="N130" i="19"/>
  <c r="AA478" i="19"/>
  <c r="F478" i="19"/>
  <c r="Q450" i="19"/>
  <c r="X160" i="19"/>
  <c r="E450" i="19"/>
  <c r="M160" i="19"/>
  <c r="O160" i="19"/>
  <c r="I508" i="19"/>
  <c r="X392" i="19"/>
  <c r="M334" i="19"/>
  <c r="I450" i="19"/>
  <c r="G246" i="19"/>
  <c r="F334" i="19"/>
  <c r="O102" i="19"/>
  <c r="O246" i="19"/>
  <c r="AA246" i="19"/>
  <c r="AD246" i="19"/>
  <c r="V73" i="19"/>
  <c r="I217" i="19"/>
  <c r="Q160" i="19"/>
  <c r="H508" i="19"/>
  <c r="N508" i="19"/>
  <c r="AE392" i="19"/>
  <c r="I392" i="19"/>
  <c r="Z392" i="19"/>
  <c r="H392" i="19"/>
  <c r="K160" i="19"/>
  <c r="N334" i="19"/>
  <c r="L102" i="19"/>
  <c r="M246" i="19"/>
  <c r="O334" i="19"/>
  <c r="H450" i="19"/>
  <c r="F508" i="19"/>
  <c r="S508" i="19"/>
  <c r="Q392" i="19"/>
  <c r="AE246" i="19"/>
  <c r="U478" i="19"/>
  <c r="Y73" i="19"/>
  <c r="P362" i="19"/>
  <c r="AC130" i="19"/>
  <c r="AB73" i="19"/>
  <c r="I130" i="19"/>
  <c r="O478" i="19"/>
  <c r="U276" i="19"/>
  <c r="T478" i="19"/>
  <c r="F130" i="19"/>
  <c r="E478" i="19"/>
  <c r="M73" i="19"/>
  <c r="X478" i="19"/>
  <c r="M130" i="19"/>
  <c r="AD276" i="19"/>
  <c r="O362" i="19"/>
  <c r="N276" i="19"/>
  <c r="T130" i="19"/>
  <c r="Y478" i="19"/>
  <c r="J478" i="19"/>
  <c r="AA73" i="19"/>
  <c r="E362" i="19"/>
  <c r="S334" i="19"/>
  <c r="P334" i="19"/>
  <c r="Y334" i="19"/>
  <c r="L334" i="19"/>
  <c r="T73" i="19"/>
  <c r="E276" i="19"/>
  <c r="Q362" i="19"/>
  <c r="W246" i="19"/>
  <c r="G102" i="19"/>
  <c r="P130" i="19"/>
  <c r="S276" i="19"/>
  <c r="Z130" i="19"/>
  <c r="M421" i="19"/>
  <c r="G130" i="19"/>
  <c r="I421" i="19"/>
  <c r="Y421" i="19"/>
  <c r="F73" i="19"/>
  <c r="P73" i="19"/>
  <c r="S362" i="19"/>
  <c r="R450" i="19"/>
  <c r="T362" i="19"/>
  <c r="AE217" i="19"/>
  <c r="J276" i="19"/>
  <c r="I362" i="19"/>
  <c r="Z478" i="19"/>
  <c r="I102" i="19"/>
  <c r="AC334" i="19"/>
  <c r="G362" i="19"/>
  <c r="K246" i="19"/>
  <c r="E73" i="19"/>
  <c r="AE478" i="19"/>
  <c r="O217" i="19"/>
  <c r="L362" i="19"/>
  <c r="AB130" i="19"/>
  <c r="S217" i="19"/>
  <c r="U362" i="19"/>
  <c r="O276" i="19"/>
  <c r="N362" i="19"/>
  <c r="E130" i="19"/>
  <c r="Q73" i="19"/>
  <c r="H362" i="19"/>
  <c r="R421" i="19"/>
  <c r="W478" i="19"/>
  <c r="W102" i="19"/>
  <c r="R130" i="19"/>
  <c r="AC362" i="19"/>
  <c r="AD362" i="19"/>
  <c r="V130" i="19"/>
  <c r="J362" i="19"/>
  <c r="L478" i="19"/>
  <c r="R478" i="19"/>
  <c r="R334" i="19"/>
  <c r="U246" i="19"/>
  <c r="K362" i="19"/>
  <c r="AE421" i="19"/>
  <c r="F362" i="19"/>
  <c r="P276" i="19"/>
  <c r="Q276" i="19"/>
  <c r="F276" i="19"/>
  <c r="H276" i="19"/>
  <c r="P478" i="19"/>
  <c r="V362" i="19"/>
  <c r="Z362" i="19"/>
  <c r="V421" i="19"/>
  <c r="W421" i="19"/>
  <c r="AA362" i="19"/>
  <c r="AC478" i="19"/>
  <c r="P421" i="19"/>
  <c r="O73" i="19"/>
  <c r="F102" i="19"/>
  <c r="T450" i="19"/>
  <c r="W130" i="19"/>
  <c r="J102" i="19"/>
  <c r="M478" i="19"/>
  <c r="AB276" i="19"/>
  <c r="AD130" i="19"/>
  <c r="J130" i="19"/>
  <c r="Y130" i="19"/>
  <c r="AB478" i="19"/>
  <c r="AE130" i="19"/>
  <c r="X130" i="19"/>
  <c r="I478" i="19"/>
  <c r="V276" i="19"/>
  <c r="L130" i="19"/>
  <c r="R362" i="19"/>
  <c r="Y362" i="19"/>
  <c r="J217" i="19"/>
  <c r="X362" i="19"/>
  <c r="P392" i="19"/>
  <c r="L46" i="19"/>
  <c r="D277" i="19" s="1"/>
  <c r="K392" i="19"/>
  <c r="R160" i="19"/>
  <c r="V392" i="19"/>
  <c r="L160" i="19"/>
  <c r="G508" i="19"/>
  <c r="Z217" i="19"/>
  <c r="D46" i="19"/>
  <c r="M392" i="19"/>
  <c r="G217" i="19"/>
  <c r="K45" i="19"/>
  <c r="D247" i="19" s="1"/>
  <c r="S421" i="19"/>
  <c r="L421" i="19"/>
  <c r="J392" i="19"/>
  <c r="L217" i="19"/>
  <c r="P217" i="19"/>
  <c r="L450" i="19"/>
  <c r="Y246" i="19"/>
  <c r="P102" i="19"/>
  <c r="L246" i="19"/>
  <c r="P450" i="19"/>
  <c r="F450" i="19"/>
  <c r="O392" i="19"/>
  <c r="S392" i="19"/>
  <c r="T102" i="19"/>
  <c r="E334" i="19"/>
  <c r="T217" i="19"/>
  <c r="T421" i="19"/>
  <c r="Q246" i="19"/>
  <c r="I334" i="19"/>
  <c r="J73" i="19"/>
  <c r="AB450" i="19"/>
  <c r="W508" i="19"/>
  <c r="S478" i="19"/>
  <c r="L508" i="19"/>
  <c r="S102" i="19"/>
  <c r="U217" i="19"/>
  <c r="F392" i="19"/>
  <c r="K450" i="19"/>
  <c r="J45" i="19"/>
  <c r="D218" i="19" s="1"/>
  <c r="I46" i="19"/>
  <c r="D190" i="19" s="1"/>
  <c r="R392" i="19"/>
  <c r="J508" i="19"/>
  <c r="AC217" i="19"/>
  <c r="T160" i="19"/>
  <c r="T508" i="19"/>
  <c r="M217" i="19"/>
  <c r="D421" i="19"/>
  <c r="D73" i="19"/>
  <c r="N160" i="19"/>
  <c r="R276" i="19"/>
  <c r="L276" i="19"/>
  <c r="R508" i="19"/>
  <c r="AE73" i="19"/>
  <c r="P160" i="19"/>
  <c r="E421" i="19"/>
  <c r="E217" i="19"/>
  <c r="X450" i="19"/>
  <c r="Q217" i="19"/>
  <c r="G73" i="19"/>
  <c r="H160" i="19"/>
  <c r="N421" i="19"/>
  <c r="S73" i="19"/>
  <c r="F160" i="19"/>
  <c r="V246" i="19"/>
  <c r="R73" i="19"/>
  <c r="S160" i="19"/>
  <c r="D362" i="19"/>
  <c r="D478" i="19"/>
  <c r="D130" i="19"/>
  <c r="H334" i="19"/>
  <c r="W362" i="19"/>
  <c r="J450" i="19"/>
  <c r="Q478" i="19"/>
  <c r="H246" i="19"/>
  <c r="K130" i="19"/>
  <c r="F46" i="19"/>
  <c r="U130" i="19"/>
  <c r="H478" i="19"/>
  <c r="Y217" i="19"/>
  <c r="M362" i="19"/>
  <c r="D392" i="19"/>
  <c r="D508" i="19"/>
  <c r="D160" i="19"/>
  <c r="O508" i="19"/>
  <c r="E508" i="19"/>
  <c r="H217" i="19"/>
  <c r="R217" i="19"/>
  <c r="I160" i="19"/>
  <c r="L392" i="19"/>
  <c r="T392" i="19"/>
  <c r="T276" i="19"/>
  <c r="AC276" i="19"/>
  <c r="H421" i="19"/>
  <c r="E392" i="19"/>
  <c r="W305" i="19"/>
  <c r="V311" i="19"/>
  <c r="M276" i="19"/>
  <c r="K421" i="19"/>
  <c r="Y276" i="19"/>
  <c r="AA421" i="19"/>
  <c r="D450" i="19"/>
  <c r="D334" i="19"/>
  <c r="D102" i="19"/>
  <c r="N450" i="19"/>
  <c r="W276" i="19"/>
  <c r="K334" i="19"/>
  <c r="K102" i="19"/>
  <c r="K276" i="19"/>
  <c r="I276" i="19"/>
  <c r="U421" i="19"/>
  <c r="Z246" i="19"/>
  <c r="C46" i="19"/>
  <c r="AC160" i="19"/>
  <c r="F246" i="19"/>
  <c r="Q421" i="19"/>
  <c r="I73" i="19"/>
  <c r="W217" i="19"/>
  <c r="J160" i="19"/>
  <c r="Q508" i="19"/>
  <c r="P246" i="19"/>
  <c r="U73" i="19"/>
  <c r="T246" i="19"/>
  <c r="AE160" i="19"/>
  <c r="J421" i="19"/>
  <c r="Q334" i="19"/>
  <c r="L73" i="19"/>
  <c r="S246" i="19"/>
  <c r="G334" i="19"/>
  <c r="H102" i="19"/>
  <c r="E102" i="19"/>
  <c r="AC246" i="19"/>
  <c r="G392" i="19"/>
  <c r="V217" i="19"/>
  <c r="M450" i="19"/>
  <c r="M102" i="19"/>
  <c r="M508" i="19"/>
  <c r="G276" i="19"/>
  <c r="AB246" i="19"/>
  <c r="N478" i="19"/>
  <c r="AD392" i="19"/>
  <c r="E45" i="19"/>
  <c r="P508" i="19"/>
  <c r="E189" i="19"/>
  <c r="AB362" i="19"/>
  <c r="N217" i="19"/>
  <c r="E246" i="19"/>
  <c r="AB217" i="19"/>
  <c r="AD421" i="19"/>
  <c r="G450" i="19"/>
  <c r="H189" i="19"/>
  <c r="AD217" i="19"/>
  <c r="AJ80" i="21" l="1"/>
  <c r="U3" i="49"/>
  <c r="U7" i="49" s="1"/>
  <c r="U11" i="49" s="1"/>
  <c r="U19" i="49" s="1"/>
  <c r="X79" i="5"/>
  <c r="X76" i="49"/>
  <c r="W81" i="49"/>
  <c r="V3" i="49" s="1"/>
  <c r="W46" i="49"/>
  <c r="V52" i="49"/>
  <c r="U2" i="49" s="1"/>
  <c r="U6" i="49" s="1"/>
  <c r="U10" i="49" s="1"/>
  <c r="U18" i="49" s="1"/>
  <c r="U261" i="21"/>
  <c r="AZ74" i="23"/>
  <c r="AZ92" i="23" s="1"/>
  <c r="AZ110" i="23" s="1"/>
  <c r="V282" i="20"/>
  <c r="X187" i="1" s="1"/>
  <c r="X109" i="1"/>
  <c r="D305" i="20"/>
  <c r="C421" i="20"/>
  <c r="C284" i="21"/>
  <c r="AI284" i="21" s="1"/>
  <c r="E189" i="20"/>
  <c r="D168" i="21"/>
  <c r="AJ168" i="21" s="1"/>
  <c r="I69" i="20"/>
  <c r="H48" i="21"/>
  <c r="AN48" i="21" s="1"/>
  <c r="W257" i="20"/>
  <c r="V236" i="21"/>
  <c r="BB236" i="21" s="1"/>
  <c r="J96" i="20"/>
  <c r="I75" i="21"/>
  <c r="AO75" i="21" s="1"/>
  <c r="S203" i="20"/>
  <c r="R182" i="21"/>
  <c r="AX182" i="21" s="1"/>
  <c r="S345" i="20"/>
  <c r="R324" i="21"/>
  <c r="AX324" i="21" s="1"/>
  <c r="N92" i="20"/>
  <c r="M71" i="21"/>
  <c r="AS71" i="21" s="1"/>
  <c r="X198" i="20"/>
  <c r="W177" i="21"/>
  <c r="BC177" i="21" s="1"/>
  <c r="T86" i="20"/>
  <c r="S65" i="21"/>
  <c r="AY65" i="21" s="1"/>
  <c r="L325" i="20"/>
  <c r="K304" i="21"/>
  <c r="AQ304" i="21" s="1"/>
  <c r="U374" i="20"/>
  <c r="T353" i="21"/>
  <c r="AZ353" i="21" s="1"/>
  <c r="R175" i="20"/>
  <c r="Q154" i="21"/>
  <c r="AW154" i="21" s="1"/>
  <c r="G42" i="20"/>
  <c r="F21" i="21"/>
  <c r="AL21" i="21" s="1"/>
  <c r="P436" i="20"/>
  <c r="O415" i="21"/>
  <c r="AU415" i="21" s="1"/>
  <c r="Q116" i="20"/>
  <c r="P95" i="21"/>
  <c r="AV95" i="21" s="1"/>
  <c r="N409" i="20"/>
  <c r="M388" i="21"/>
  <c r="AS388" i="21" s="1"/>
  <c r="K122" i="20"/>
  <c r="J101" i="21"/>
  <c r="AP101" i="21" s="1"/>
  <c r="I414" i="20"/>
  <c r="H393" i="21"/>
  <c r="AN393" i="21" s="1"/>
  <c r="L411" i="20"/>
  <c r="K390" i="21"/>
  <c r="AQ390" i="21" s="1"/>
  <c r="K240" i="20"/>
  <c r="J219" i="21"/>
  <c r="AP219" i="21" s="1"/>
  <c r="L181" i="20"/>
  <c r="K160" i="21"/>
  <c r="AQ160" i="21" s="1"/>
  <c r="Q435" i="20"/>
  <c r="P414" i="21"/>
  <c r="AV414" i="21" s="1"/>
  <c r="E359" i="20"/>
  <c r="D338" i="21"/>
  <c r="AJ338" i="21" s="1"/>
  <c r="I271" i="20"/>
  <c r="H250" i="21"/>
  <c r="AN250" i="21" s="1"/>
  <c r="T231" i="20"/>
  <c r="S210" i="21"/>
  <c r="AY210" i="21" s="1"/>
  <c r="V84" i="20"/>
  <c r="U63" i="21"/>
  <c r="BA63" i="21" s="1"/>
  <c r="H41" i="20"/>
  <c r="G20" i="21"/>
  <c r="AM20" i="21" s="1"/>
  <c r="H215" i="20"/>
  <c r="G194" i="21"/>
  <c r="AM194" i="21" s="1"/>
  <c r="O149" i="20"/>
  <c r="N128" i="21"/>
  <c r="AT128" i="21" s="1"/>
  <c r="S174" i="20"/>
  <c r="R153" i="21"/>
  <c r="AX153" i="21" s="1"/>
  <c r="U85" i="20"/>
  <c r="T64" i="21"/>
  <c r="AZ64" i="21" s="1"/>
  <c r="T432" i="20"/>
  <c r="S411" i="21"/>
  <c r="AY411" i="21" s="1"/>
  <c r="I299" i="20"/>
  <c r="H278" i="21"/>
  <c r="AN278" i="21" s="1"/>
  <c r="W83" i="20"/>
  <c r="V62" i="21"/>
  <c r="BB62" i="21" s="1"/>
  <c r="J442" i="20"/>
  <c r="I421" i="21"/>
  <c r="AO421" i="21" s="1"/>
  <c r="D248" i="20"/>
  <c r="C249" i="20"/>
  <c r="C227" i="21"/>
  <c r="AI227" i="21" s="1"/>
  <c r="I213" i="20"/>
  <c r="H192" i="21"/>
  <c r="AN192" i="21" s="1"/>
  <c r="M410" i="20"/>
  <c r="L389" i="21"/>
  <c r="AR389" i="21" s="1"/>
  <c r="P407" i="20"/>
  <c r="O386" i="21"/>
  <c r="AU386" i="21" s="1"/>
  <c r="E102" i="20"/>
  <c r="D81" i="21"/>
  <c r="G446" i="20"/>
  <c r="F425" i="21"/>
  <c r="AL425" i="21" s="1"/>
  <c r="I155" i="20"/>
  <c r="H134" i="21"/>
  <c r="AN134" i="21" s="1"/>
  <c r="M93" i="20"/>
  <c r="L72" i="21"/>
  <c r="AR72" i="21" s="1"/>
  <c r="G331" i="20"/>
  <c r="F310" i="21"/>
  <c r="AL310" i="21" s="1"/>
  <c r="I68" i="20"/>
  <c r="H47" i="21"/>
  <c r="AN47" i="21" s="1"/>
  <c r="N381" i="20"/>
  <c r="M360" i="21"/>
  <c r="AS360" i="21" s="1"/>
  <c r="R377" i="20"/>
  <c r="Q356" i="21"/>
  <c r="AW356" i="21" s="1"/>
  <c r="L65" i="20"/>
  <c r="K44" i="21"/>
  <c r="AQ44" i="21" s="1"/>
  <c r="D360" i="20"/>
  <c r="C476" i="20"/>
  <c r="C339" i="21"/>
  <c r="AI339" i="21" s="1"/>
  <c r="K412" i="20"/>
  <c r="J391" i="21"/>
  <c r="AP391" i="21" s="1"/>
  <c r="W54" i="20"/>
  <c r="V33" i="21"/>
  <c r="BB33" i="21" s="1"/>
  <c r="M64" i="20"/>
  <c r="L43" i="21"/>
  <c r="AR43" i="21" s="1"/>
  <c r="G417" i="20"/>
  <c r="F396" i="21"/>
  <c r="AL396" i="21" s="1"/>
  <c r="F127" i="20"/>
  <c r="E106" i="21"/>
  <c r="AK106" i="21" s="1"/>
  <c r="G126" i="20"/>
  <c r="F105" i="21"/>
  <c r="AL105" i="21" s="1"/>
  <c r="P61" i="20"/>
  <c r="O40" i="21"/>
  <c r="AU40" i="21" s="1"/>
  <c r="R346" i="20"/>
  <c r="Q325" i="21"/>
  <c r="AW325" i="21" s="1"/>
  <c r="N150" i="20"/>
  <c r="M129" i="21"/>
  <c r="AS129" i="21" s="1"/>
  <c r="V55" i="20"/>
  <c r="U34" i="21"/>
  <c r="BA34" i="21" s="1"/>
  <c r="V200" i="20"/>
  <c r="U179" i="21"/>
  <c r="BA179" i="21" s="1"/>
  <c r="T202" i="20"/>
  <c r="S181" i="21"/>
  <c r="AY181" i="21" s="1"/>
  <c r="P33" i="20"/>
  <c r="O12" i="21"/>
  <c r="AU12" i="21" s="1"/>
  <c r="X169" i="20"/>
  <c r="W148" i="21"/>
  <c r="BC148" i="21" s="1"/>
  <c r="F274" i="20"/>
  <c r="E253" i="21"/>
  <c r="AK253" i="21" s="1"/>
  <c r="L239" i="20"/>
  <c r="K218" i="21"/>
  <c r="AQ218" i="21" s="1"/>
  <c r="P463" i="20"/>
  <c r="O442" i="21"/>
  <c r="AU442" i="21" s="1"/>
  <c r="H330" i="20"/>
  <c r="G309" i="21"/>
  <c r="AM309" i="21" s="1"/>
  <c r="K441" i="20"/>
  <c r="J420" i="21"/>
  <c r="AP420" i="21" s="1"/>
  <c r="E304" i="20"/>
  <c r="D283" i="21"/>
  <c r="AJ283" i="21" s="1"/>
  <c r="J354" i="20"/>
  <c r="I333" i="21"/>
  <c r="AO333" i="21" s="1"/>
  <c r="P235" i="20"/>
  <c r="O214" i="21"/>
  <c r="AU214" i="21" s="1"/>
  <c r="H244" i="20"/>
  <c r="G223" i="21"/>
  <c r="AM223" i="21" s="1"/>
  <c r="O207" i="20"/>
  <c r="N186" i="21"/>
  <c r="AT186" i="21" s="1"/>
  <c r="P148" i="20"/>
  <c r="O127" i="21"/>
  <c r="AU127" i="21" s="1"/>
  <c r="V258" i="20"/>
  <c r="U237" i="21"/>
  <c r="BA237" i="21" s="1"/>
  <c r="H125" i="20"/>
  <c r="G104" i="21"/>
  <c r="AM104" i="21" s="1"/>
  <c r="P264" i="20"/>
  <c r="O243" i="21"/>
  <c r="AU243" i="21" s="1"/>
  <c r="Q320" i="20"/>
  <c r="P299" i="21"/>
  <c r="AV299" i="21" s="1"/>
  <c r="L296" i="20"/>
  <c r="K275" i="21"/>
  <c r="AQ275" i="21" s="1"/>
  <c r="S114" i="20"/>
  <c r="R93" i="21"/>
  <c r="AX93" i="21" s="1"/>
  <c r="O408" i="20"/>
  <c r="N387" i="21"/>
  <c r="AT387" i="21" s="1"/>
  <c r="N350" i="20"/>
  <c r="M329" i="21"/>
  <c r="AS329" i="21" s="1"/>
  <c r="F418" i="20"/>
  <c r="E397" i="21"/>
  <c r="AK397" i="21" s="1"/>
  <c r="E73" i="20"/>
  <c r="D52" i="21"/>
  <c r="AJ52" i="21" s="1"/>
  <c r="H300" i="20"/>
  <c r="G279" i="21"/>
  <c r="AM279" i="21" s="1"/>
  <c r="U287" i="20"/>
  <c r="T266" i="21"/>
  <c r="AZ266" i="21" s="1"/>
  <c r="D420" i="20"/>
  <c r="C399" i="21"/>
  <c r="AI399" i="21" s="1"/>
  <c r="O380" i="20"/>
  <c r="N359" i="21"/>
  <c r="AT359" i="21" s="1"/>
  <c r="S87" i="20"/>
  <c r="R66" i="21"/>
  <c r="AX66" i="21" s="1"/>
  <c r="C277" i="20"/>
  <c r="C46" i="20"/>
  <c r="D45" i="20"/>
  <c r="C24" i="21"/>
  <c r="AI24" i="21" s="1"/>
  <c r="F101" i="20"/>
  <c r="E80" i="21"/>
  <c r="AK80" i="21" s="1"/>
  <c r="U402" i="20"/>
  <c r="T381" i="21"/>
  <c r="AZ381" i="21" s="1"/>
  <c r="G388" i="20"/>
  <c r="F367" i="21"/>
  <c r="AL367" i="21" s="1"/>
  <c r="J469" i="20"/>
  <c r="I448" i="21"/>
  <c r="AO448" i="21" s="1"/>
  <c r="T317" i="20"/>
  <c r="S296" i="21"/>
  <c r="AY296" i="21" s="1"/>
  <c r="M151" i="20"/>
  <c r="L130" i="21"/>
  <c r="AR130" i="21" s="1"/>
  <c r="S289" i="20"/>
  <c r="R268" i="21"/>
  <c r="AX268" i="21" s="1"/>
  <c r="Q234" i="20"/>
  <c r="P213" i="21"/>
  <c r="AV213" i="21" s="1"/>
  <c r="R115" i="20"/>
  <c r="Q94" i="21"/>
  <c r="AW94" i="21" s="1"/>
  <c r="J413" i="20"/>
  <c r="I392" i="21"/>
  <c r="AO392" i="21" s="1"/>
  <c r="K66" i="20"/>
  <c r="J45" i="21"/>
  <c r="AP45" i="21" s="1"/>
  <c r="J123" i="20"/>
  <c r="I102" i="21"/>
  <c r="AO102" i="21" s="1"/>
  <c r="R290" i="20"/>
  <c r="Q269" i="21"/>
  <c r="AW269" i="21" s="1"/>
  <c r="I355" i="20"/>
  <c r="H334" i="21"/>
  <c r="AN334" i="21" s="1"/>
  <c r="N63" i="20"/>
  <c r="M42" i="21"/>
  <c r="AS42" i="21" s="1"/>
  <c r="O118" i="20"/>
  <c r="N97" i="21"/>
  <c r="AT97" i="21" s="1"/>
  <c r="N119" i="20"/>
  <c r="M98" i="21"/>
  <c r="AS98" i="21" s="1"/>
  <c r="V401" i="20"/>
  <c r="U380" i="21"/>
  <c r="BA380" i="21" s="1"/>
  <c r="J67" i="20"/>
  <c r="I46" i="21"/>
  <c r="AO46" i="21" s="1"/>
  <c r="R405" i="20"/>
  <c r="Q384" i="21"/>
  <c r="AW384" i="21" s="1"/>
  <c r="T344" i="20"/>
  <c r="S323" i="21"/>
  <c r="AY323" i="21" s="1"/>
  <c r="X82" i="20"/>
  <c r="W61" i="21"/>
  <c r="BC61" i="21" s="1"/>
  <c r="P321" i="20"/>
  <c r="O300" i="21"/>
  <c r="AU300" i="21" s="1"/>
  <c r="Q263" i="20"/>
  <c r="P242" i="21"/>
  <c r="AV242" i="21" s="1"/>
  <c r="Q60" i="20"/>
  <c r="P39" i="21"/>
  <c r="AV39" i="21" s="1"/>
  <c r="P348" i="20"/>
  <c r="O327" i="21"/>
  <c r="AU327" i="21" s="1"/>
  <c r="W314" i="20"/>
  <c r="V293" i="21"/>
  <c r="BB293" i="21" s="1"/>
  <c r="T113" i="20"/>
  <c r="S92" i="21"/>
  <c r="AY92" i="21" s="1"/>
  <c r="O464" i="20"/>
  <c r="N443" i="21"/>
  <c r="AT443" i="21" s="1"/>
  <c r="R461" i="20"/>
  <c r="Q440" i="21"/>
  <c r="AW440" i="21" s="1"/>
  <c r="U172" i="20"/>
  <c r="T151" i="21"/>
  <c r="AZ151" i="21" s="1"/>
  <c r="W170" i="20"/>
  <c r="V149" i="21"/>
  <c r="BB149" i="21" s="1"/>
  <c r="O62" i="20"/>
  <c r="N41" i="21"/>
  <c r="AT41" i="21" s="1"/>
  <c r="T57" i="20"/>
  <c r="S36" i="21"/>
  <c r="AY36" i="21" s="1"/>
  <c r="G71" i="20"/>
  <c r="F50" i="21"/>
  <c r="AL50" i="21" s="1"/>
  <c r="L94" i="20"/>
  <c r="K73" i="21"/>
  <c r="AQ73" i="21" s="1"/>
  <c r="U259" i="20"/>
  <c r="T238" i="21"/>
  <c r="AZ238" i="21" s="1"/>
  <c r="H444" i="20"/>
  <c r="G423" i="21"/>
  <c r="AM423" i="21" s="1"/>
  <c r="T173" i="20"/>
  <c r="S152" i="21"/>
  <c r="AY152" i="21" s="1"/>
  <c r="G357" i="20"/>
  <c r="F336" i="21"/>
  <c r="AL336" i="21" s="1"/>
  <c r="S261" i="20"/>
  <c r="R240" i="21"/>
  <c r="AX240" i="21" s="1"/>
  <c r="M267" i="20"/>
  <c r="L246" i="21"/>
  <c r="AR246" i="21" s="1"/>
  <c r="K384" i="20"/>
  <c r="J363" i="21"/>
  <c r="AP363" i="21" s="1"/>
  <c r="N237" i="20"/>
  <c r="M216" i="21"/>
  <c r="AS216" i="21" s="1"/>
  <c r="L440" i="20"/>
  <c r="K419" i="21"/>
  <c r="AQ419" i="21" s="1"/>
  <c r="U56" i="20"/>
  <c r="T35" i="21"/>
  <c r="AZ35" i="21" s="1"/>
  <c r="K211" i="20"/>
  <c r="J190" i="21"/>
  <c r="AP190" i="21" s="1"/>
  <c r="T260" i="20"/>
  <c r="S239" i="21"/>
  <c r="AY239" i="21" s="1"/>
  <c r="P292" i="20"/>
  <c r="O271" i="21"/>
  <c r="AU271" i="21" s="1"/>
  <c r="L383" i="20"/>
  <c r="K362" i="21"/>
  <c r="AQ362" i="21" s="1"/>
  <c r="E159" i="20"/>
  <c r="D138" i="21"/>
  <c r="AJ138" i="21" s="1"/>
  <c r="U316" i="20"/>
  <c r="T295" i="21"/>
  <c r="AZ295" i="21" s="1"/>
  <c r="S376" i="20"/>
  <c r="R355" i="21"/>
  <c r="AX355" i="21" s="1"/>
  <c r="N35" i="20"/>
  <c r="M14" i="21"/>
  <c r="AS14" i="21" s="1"/>
  <c r="M295" i="20"/>
  <c r="L274" i="21"/>
  <c r="AR274" i="21" s="1"/>
  <c r="L37" i="20"/>
  <c r="K16" i="21"/>
  <c r="AQ16" i="21" s="1"/>
  <c r="K269" i="20"/>
  <c r="J248" i="21"/>
  <c r="AP248" i="21" s="1"/>
  <c r="F188" i="20"/>
  <c r="E167" i="21"/>
  <c r="AK167" i="21" s="1"/>
  <c r="C450" i="20"/>
  <c r="D334" i="20"/>
  <c r="C313" i="21"/>
  <c r="AI313" i="21" s="1"/>
  <c r="S145" i="20"/>
  <c r="R124" i="21"/>
  <c r="AX124" i="21" s="1"/>
  <c r="V430" i="20"/>
  <c r="U409" i="21"/>
  <c r="BA409" i="21" s="1"/>
  <c r="T403" i="20"/>
  <c r="S382" i="21"/>
  <c r="AY382" i="21" s="1"/>
  <c r="G100" i="20"/>
  <c r="F79" i="21"/>
  <c r="AL79" i="21" s="1"/>
  <c r="F473" i="20"/>
  <c r="E452" i="21"/>
  <c r="AK452" i="21" s="1"/>
  <c r="U230" i="20"/>
  <c r="T209" i="21"/>
  <c r="AZ209" i="21" s="1"/>
  <c r="I386" i="20"/>
  <c r="H365" i="21"/>
  <c r="AN365" i="21" s="1"/>
  <c r="H186" i="20"/>
  <c r="G165" i="21"/>
  <c r="AM165" i="21" s="1"/>
  <c r="Q89" i="20"/>
  <c r="P68" i="21"/>
  <c r="AV68" i="21" s="1"/>
  <c r="N438" i="20"/>
  <c r="M417" i="21"/>
  <c r="AS417" i="21" s="1"/>
  <c r="I40" i="20"/>
  <c r="H19" i="21"/>
  <c r="AN19" i="21" s="1"/>
  <c r="M209" i="20"/>
  <c r="L188" i="21"/>
  <c r="AR188" i="21" s="1"/>
  <c r="S30" i="20"/>
  <c r="R9" i="21"/>
  <c r="AX9" i="21" s="1"/>
  <c r="D391" i="20"/>
  <c r="C370" i="21"/>
  <c r="AI370" i="21" s="1"/>
  <c r="E128" i="20"/>
  <c r="D107" i="21"/>
  <c r="AJ107" i="21" s="1"/>
  <c r="S318" i="20"/>
  <c r="R297" i="21"/>
  <c r="AX297" i="21" s="1"/>
  <c r="E390" i="20"/>
  <c r="D369" i="21"/>
  <c r="AJ369" i="21" s="1"/>
  <c r="F72" i="20"/>
  <c r="E51" i="21"/>
  <c r="AK51" i="21" s="1"/>
  <c r="R434" i="20"/>
  <c r="Q413" i="21"/>
  <c r="AW413" i="21" s="1"/>
  <c r="G416" i="20"/>
  <c r="F395" i="21"/>
  <c r="AL395" i="21" s="1"/>
  <c r="H329" i="20"/>
  <c r="G308" i="21"/>
  <c r="AM308" i="21" s="1"/>
  <c r="U143" i="20"/>
  <c r="T122" i="21"/>
  <c r="AZ122" i="21" s="1"/>
  <c r="T459" i="20"/>
  <c r="S438" i="21"/>
  <c r="AY438" i="21" s="1"/>
  <c r="K95" i="20"/>
  <c r="J74" i="21"/>
  <c r="AP74" i="21" s="1"/>
  <c r="P90" i="20"/>
  <c r="O69" i="21"/>
  <c r="AU69" i="21" s="1"/>
  <c r="W285" i="20"/>
  <c r="V264" i="21"/>
  <c r="BB264" i="21" s="1"/>
  <c r="O91" i="20"/>
  <c r="N70" i="21"/>
  <c r="AT70" i="21" s="1"/>
  <c r="O178" i="20"/>
  <c r="N157" i="21"/>
  <c r="AT157" i="21" s="1"/>
  <c r="R88" i="20"/>
  <c r="Q67" i="21"/>
  <c r="AW67" i="21" s="1"/>
  <c r="U431" i="20"/>
  <c r="T410" i="21"/>
  <c r="AZ410" i="21" s="1"/>
  <c r="V229" i="20"/>
  <c r="U208" i="21"/>
  <c r="BA208" i="21" s="1"/>
  <c r="L121" i="20"/>
  <c r="K100" i="21"/>
  <c r="AQ100" i="21" s="1"/>
  <c r="S404" i="20"/>
  <c r="R383" i="21"/>
  <c r="AX383" i="21" s="1"/>
  <c r="I443" i="20"/>
  <c r="H422" i="21"/>
  <c r="AN422" i="21" s="1"/>
  <c r="H415" i="20"/>
  <c r="G394" i="21"/>
  <c r="AM394" i="21" s="1"/>
  <c r="U112" i="20"/>
  <c r="T91" i="21"/>
  <c r="AZ91" i="21" s="1"/>
  <c r="K297" i="20"/>
  <c r="J276" i="21"/>
  <c r="AP276" i="21" s="1"/>
  <c r="R31" i="20"/>
  <c r="Q10" i="21"/>
  <c r="AW10" i="21" s="1"/>
  <c r="L210" i="20"/>
  <c r="K189" i="21"/>
  <c r="AQ189" i="21" s="1"/>
  <c r="N208" i="20"/>
  <c r="M187" i="21"/>
  <c r="AS187" i="21" s="1"/>
  <c r="J270" i="20"/>
  <c r="I249" i="21"/>
  <c r="AO249" i="21" s="1"/>
  <c r="M180" i="20"/>
  <c r="L159" i="21"/>
  <c r="AR159" i="21" s="1"/>
  <c r="P117" i="20"/>
  <c r="O96" i="21"/>
  <c r="AU96" i="21" s="1"/>
  <c r="I184" i="20"/>
  <c r="H163" i="21"/>
  <c r="AN163" i="21" s="1"/>
  <c r="G216" i="20"/>
  <c r="F195" i="21"/>
  <c r="AL195" i="21" s="1"/>
  <c r="I328" i="20"/>
  <c r="H307" i="21"/>
  <c r="AN307" i="21" s="1"/>
  <c r="H301" i="20"/>
  <c r="G280" i="21"/>
  <c r="AM280" i="21" s="1"/>
  <c r="V111" i="20"/>
  <c r="U90" i="21"/>
  <c r="BA90" i="21" s="1"/>
  <c r="K153" i="20"/>
  <c r="J132" i="21"/>
  <c r="AP132" i="21" s="1"/>
  <c r="X53" i="20"/>
  <c r="W32" i="21"/>
  <c r="BC32" i="21" s="1"/>
  <c r="I98" i="20"/>
  <c r="H77" i="21"/>
  <c r="AN77" i="21" s="1"/>
  <c r="R204" i="20"/>
  <c r="Q183" i="21"/>
  <c r="AW183" i="21" s="1"/>
  <c r="F389" i="20"/>
  <c r="E368" i="21"/>
  <c r="AK368" i="21" s="1"/>
  <c r="G245" i="20"/>
  <c r="F224" i="21"/>
  <c r="AL224" i="21" s="1"/>
  <c r="M382" i="20"/>
  <c r="L361" i="21"/>
  <c r="AR361" i="21" s="1"/>
  <c r="K353" i="20"/>
  <c r="J332" i="21"/>
  <c r="AP332" i="21" s="1"/>
  <c r="E474" i="20"/>
  <c r="D453" i="21"/>
  <c r="AJ453" i="21" s="1"/>
  <c r="T144" i="20"/>
  <c r="S123" i="21"/>
  <c r="AY123" i="21" s="1"/>
  <c r="N323" i="20"/>
  <c r="M302" i="21"/>
  <c r="AS302" i="21" s="1"/>
  <c r="E448" i="20"/>
  <c r="D427" i="21"/>
  <c r="AJ427" i="21" s="1"/>
  <c r="R262" i="20"/>
  <c r="Q241" i="21"/>
  <c r="AW241" i="21" s="1"/>
  <c r="G472" i="20"/>
  <c r="F451" i="21"/>
  <c r="AL451" i="21" s="1"/>
  <c r="V142" i="20"/>
  <c r="U121" i="21"/>
  <c r="BA121" i="21" s="1"/>
  <c r="J241" i="20"/>
  <c r="I220" i="21"/>
  <c r="AO220" i="21" s="1"/>
  <c r="I124" i="20"/>
  <c r="H103" i="21"/>
  <c r="AN103" i="21" s="1"/>
  <c r="U343" i="20"/>
  <c r="T322" i="21"/>
  <c r="AZ322" i="21" s="1"/>
  <c r="I243" i="20"/>
  <c r="H222" i="21"/>
  <c r="AN222" i="21" s="1"/>
  <c r="H356" i="20"/>
  <c r="G335" i="21"/>
  <c r="AM335" i="21" s="1"/>
  <c r="F43" i="20"/>
  <c r="E22" i="21"/>
  <c r="AK22" i="21" s="1"/>
  <c r="J183" i="20"/>
  <c r="I162" i="21"/>
  <c r="AO162" i="21" s="1"/>
  <c r="O265" i="20"/>
  <c r="N244" i="21"/>
  <c r="AT244" i="21" s="1"/>
  <c r="H99" i="20"/>
  <c r="G78" i="21"/>
  <c r="AM78" i="21" s="1"/>
  <c r="X140" i="20"/>
  <c r="W119" i="21"/>
  <c r="BC119" i="21" s="1"/>
  <c r="G273" i="20"/>
  <c r="F252" i="21"/>
  <c r="AL252" i="21" s="1"/>
  <c r="M466" i="20"/>
  <c r="L445" i="21"/>
  <c r="AR445" i="21" s="1"/>
  <c r="W199" i="20"/>
  <c r="V178" i="21"/>
  <c r="BB178" i="21" s="1"/>
  <c r="F332" i="20"/>
  <c r="E311" i="21"/>
  <c r="AK311" i="21" s="1"/>
  <c r="D276" i="20"/>
  <c r="C392" i="20"/>
  <c r="C255" i="21"/>
  <c r="AI255" i="21" s="1"/>
  <c r="F358" i="20"/>
  <c r="E337" i="21"/>
  <c r="AK337" i="21" s="1"/>
  <c r="R233" i="20"/>
  <c r="Q212" i="21"/>
  <c r="AW212" i="21" s="1"/>
  <c r="H387" i="20"/>
  <c r="G366" i="21"/>
  <c r="AM366" i="21" s="1"/>
  <c r="J212" i="20"/>
  <c r="I191" i="21"/>
  <c r="AO191" i="21" s="1"/>
  <c r="P177" i="20"/>
  <c r="O156" i="21"/>
  <c r="AU156" i="21" s="1"/>
  <c r="F303" i="20"/>
  <c r="E282" i="21"/>
  <c r="AK282" i="21" s="1"/>
  <c r="N294" i="20"/>
  <c r="M273" i="21"/>
  <c r="AS273" i="21" s="1"/>
  <c r="V171" i="20"/>
  <c r="U150" i="21"/>
  <c r="BA150" i="21" s="1"/>
  <c r="M351" i="20"/>
  <c r="L330" i="21"/>
  <c r="AR330" i="21" s="1"/>
  <c r="N179" i="20"/>
  <c r="M158" i="21"/>
  <c r="AS158" i="21" s="1"/>
  <c r="O236" i="20"/>
  <c r="N215" i="21"/>
  <c r="AT215" i="21" s="1"/>
  <c r="W141" i="20"/>
  <c r="V120" i="21"/>
  <c r="BB120" i="21" s="1"/>
  <c r="N465" i="20"/>
  <c r="M444" i="21"/>
  <c r="AS444" i="21" s="1"/>
  <c r="J154" i="20"/>
  <c r="I133" i="21"/>
  <c r="AO133" i="21" s="1"/>
  <c r="M120" i="20"/>
  <c r="L99" i="21"/>
  <c r="AR99" i="21" s="1"/>
  <c r="U28" i="20"/>
  <c r="T7" i="21"/>
  <c r="AZ7" i="21" s="1"/>
  <c r="S433" i="20"/>
  <c r="R412" i="21"/>
  <c r="AX412" i="21" s="1"/>
  <c r="L352" i="20"/>
  <c r="K331" i="21"/>
  <c r="AQ331" i="21" s="1"/>
  <c r="M238" i="20"/>
  <c r="L217" i="21"/>
  <c r="AR217" i="21" s="1"/>
  <c r="I97" i="20"/>
  <c r="H76" i="21"/>
  <c r="AN76" i="21" s="1"/>
  <c r="F217" i="20"/>
  <c r="E196" i="21"/>
  <c r="AK196" i="21" s="1"/>
  <c r="O34" i="20"/>
  <c r="N13" i="21"/>
  <c r="AT13" i="21" s="1"/>
  <c r="T29" i="20"/>
  <c r="S8" i="21"/>
  <c r="AY8" i="21" s="1"/>
  <c r="H471" i="20"/>
  <c r="G450" i="21"/>
  <c r="AM450" i="21" s="1"/>
  <c r="I214" i="20"/>
  <c r="H193" i="21"/>
  <c r="AN193" i="21" s="1"/>
  <c r="X25" i="20"/>
  <c r="W4" i="21"/>
  <c r="BC4" i="21" s="1"/>
  <c r="G157" i="20"/>
  <c r="F136" i="21"/>
  <c r="AL136" i="21" s="1"/>
  <c r="N266" i="20"/>
  <c r="M245" i="21"/>
  <c r="AS245" i="21" s="1"/>
  <c r="M36" i="20"/>
  <c r="L15" i="21"/>
  <c r="AR15" i="21" s="1"/>
  <c r="Q406" i="20"/>
  <c r="P385" i="21"/>
  <c r="AV385" i="21" s="1"/>
  <c r="G187" i="20"/>
  <c r="F166" i="21"/>
  <c r="AL166" i="21" s="1"/>
  <c r="P379" i="20"/>
  <c r="O358" i="21"/>
  <c r="AU358" i="21" s="1"/>
  <c r="J327" i="20"/>
  <c r="I306" i="21"/>
  <c r="AO306" i="21" s="1"/>
  <c r="S58" i="20"/>
  <c r="R37" i="21"/>
  <c r="AX37" i="21" s="1"/>
  <c r="K326" i="20"/>
  <c r="J305" i="21"/>
  <c r="AP305" i="21" s="1"/>
  <c r="Q32" i="20"/>
  <c r="P11" i="21"/>
  <c r="AV11" i="21" s="1"/>
  <c r="M439" i="20"/>
  <c r="L418" i="21"/>
  <c r="AR418" i="21" s="1"/>
  <c r="K468" i="20"/>
  <c r="J447" i="21"/>
  <c r="AP447" i="21" s="1"/>
  <c r="V315" i="20"/>
  <c r="U294" i="21"/>
  <c r="BA294" i="21" s="1"/>
  <c r="I242" i="20"/>
  <c r="H221" i="21"/>
  <c r="AN221" i="21" s="1"/>
  <c r="H156" i="20"/>
  <c r="G135" i="21"/>
  <c r="AM135" i="21" s="1"/>
  <c r="L152" i="20"/>
  <c r="K131" i="21"/>
  <c r="AQ131" i="21" s="1"/>
  <c r="S460" i="20"/>
  <c r="R439" i="21"/>
  <c r="AX439" i="21" s="1"/>
  <c r="Q176" i="20"/>
  <c r="P155" i="21"/>
  <c r="AV155" i="21" s="1"/>
  <c r="H70" i="20"/>
  <c r="G49" i="21"/>
  <c r="AM49" i="21" s="1"/>
  <c r="E333" i="20"/>
  <c r="D312" i="21"/>
  <c r="AJ312" i="21" s="1"/>
  <c r="F447" i="20"/>
  <c r="E426" i="21"/>
  <c r="AK426" i="21" s="1"/>
  <c r="Q147" i="20"/>
  <c r="P126" i="21"/>
  <c r="AV126" i="21" s="1"/>
  <c r="E419" i="20"/>
  <c r="D398" i="21"/>
  <c r="AJ398" i="21" s="1"/>
  <c r="M324" i="20"/>
  <c r="L303" i="21"/>
  <c r="AR303" i="21" s="1"/>
  <c r="Q291" i="20"/>
  <c r="P270" i="21"/>
  <c r="AV270" i="21" s="1"/>
  <c r="S232" i="20"/>
  <c r="R211" i="21"/>
  <c r="AX211" i="21" s="1"/>
  <c r="G302" i="20"/>
  <c r="F281" i="21"/>
  <c r="AL281" i="21" s="1"/>
  <c r="E218" i="20"/>
  <c r="D197" i="21"/>
  <c r="AJ197" i="21" s="1"/>
  <c r="L268" i="20"/>
  <c r="K247" i="21"/>
  <c r="AQ247" i="21" s="1"/>
  <c r="L467" i="20"/>
  <c r="K446" i="21"/>
  <c r="AQ446" i="21" s="1"/>
  <c r="I185" i="20"/>
  <c r="H164" i="21"/>
  <c r="AN164" i="21" s="1"/>
  <c r="J298" i="20"/>
  <c r="I277" i="21"/>
  <c r="AO277" i="21" s="1"/>
  <c r="E44" i="20"/>
  <c r="D23" i="21"/>
  <c r="AJ23" i="21" s="1"/>
  <c r="K38" i="20"/>
  <c r="J17" i="21"/>
  <c r="AP17" i="21" s="1"/>
  <c r="I470" i="20"/>
  <c r="H449" i="21"/>
  <c r="AN449" i="21" s="1"/>
  <c r="V373" i="20"/>
  <c r="U352" i="21"/>
  <c r="BA352" i="21" s="1"/>
  <c r="R146" i="20"/>
  <c r="Q125" i="21"/>
  <c r="AW125" i="21" s="1"/>
  <c r="Q378" i="20"/>
  <c r="P357" i="21"/>
  <c r="AV357" i="21" s="1"/>
  <c r="P206" i="20"/>
  <c r="O185" i="21"/>
  <c r="AU185" i="21" s="1"/>
  <c r="Q462" i="20"/>
  <c r="P441" i="21"/>
  <c r="AV441" i="21" s="1"/>
  <c r="W26" i="20"/>
  <c r="V5" i="21"/>
  <c r="BB5" i="21" s="1"/>
  <c r="O349" i="20"/>
  <c r="N328" i="21"/>
  <c r="AT328" i="21" s="1"/>
  <c r="K182" i="20"/>
  <c r="J161" i="21"/>
  <c r="AP161" i="21" s="1"/>
  <c r="C104" i="20"/>
  <c r="D103" i="20"/>
  <c r="C335" i="20"/>
  <c r="C82" i="21"/>
  <c r="AI82" i="21" s="1"/>
  <c r="T288" i="20"/>
  <c r="S267" i="21"/>
  <c r="AY267" i="21" s="1"/>
  <c r="R319" i="20"/>
  <c r="Q298" i="21"/>
  <c r="AW298" i="21" s="1"/>
  <c r="U201" i="20"/>
  <c r="T180" i="21"/>
  <c r="AZ180" i="21" s="1"/>
  <c r="Y508" i="19"/>
  <c r="Z509" i="19" s="1"/>
  <c r="Q347" i="20"/>
  <c r="P326" i="21"/>
  <c r="AV326" i="21" s="1"/>
  <c r="H272" i="20"/>
  <c r="G251" i="21"/>
  <c r="AM251" i="21" s="1"/>
  <c r="V27" i="20"/>
  <c r="U6" i="21"/>
  <c r="BA6" i="21" s="1"/>
  <c r="G445" i="20"/>
  <c r="F424" i="21"/>
  <c r="AL424" i="21" s="1"/>
  <c r="J385" i="20"/>
  <c r="I364" i="21"/>
  <c r="AO364" i="21" s="1"/>
  <c r="F246" i="20"/>
  <c r="E225" i="21"/>
  <c r="AK225" i="21" s="1"/>
  <c r="O293" i="20"/>
  <c r="N272" i="21"/>
  <c r="AT272" i="21" s="1"/>
  <c r="Q205" i="20"/>
  <c r="P184" i="21"/>
  <c r="AV184" i="21" s="1"/>
  <c r="D74" i="20"/>
  <c r="C306" i="20"/>
  <c r="C75" i="20"/>
  <c r="C53" i="21"/>
  <c r="AI53" i="21" s="1"/>
  <c r="O322" i="20"/>
  <c r="N301" i="21"/>
  <c r="AT301" i="21" s="1"/>
  <c r="W228" i="20"/>
  <c r="V207" i="21"/>
  <c r="BB207" i="21" s="1"/>
  <c r="C191" i="20"/>
  <c r="D190" i="20"/>
  <c r="C169" i="21"/>
  <c r="AI169" i="21" s="1"/>
  <c r="D475" i="20"/>
  <c r="C454" i="21"/>
  <c r="AI454" i="21" s="1"/>
  <c r="C161" i="20"/>
  <c r="D160" i="20"/>
  <c r="C139" i="21"/>
  <c r="AI139" i="21" s="1"/>
  <c r="X227" i="20"/>
  <c r="W206" i="21"/>
  <c r="BC206" i="21" s="1"/>
  <c r="E247" i="20"/>
  <c r="D226" i="21"/>
  <c r="AJ226" i="21" s="1"/>
  <c r="E275" i="20"/>
  <c r="D254" i="21"/>
  <c r="AJ254" i="21" s="1"/>
  <c r="C130" i="20"/>
  <c r="D129" i="20"/>
  <c r="C361" i="20"/>
  <c r="C108" i="21"/>
  <c r="AI108" i="21" s="1"/>
  <c r="F158" i="20"/>
  <c r="E137" i="21"/>
  <c r="AK137" i="21" s="1"/>
  <c r="R59" i="20"/>
  <c r="Q38" i="21"/>
  <c r="AW38" i="21" s="1"/>
  <c r="J39" i="20"/>
  <c r="I18" i="21"/>
  <c r="AO18" i="21" s="1"/>
  <c r="T375" i="20"/>
  <c r="S354" i="21"/>
  <c r="AY354" i="21" s="1"/>
  <c r="O437" i="20"/>
  <c r="N416" i="21"/>
  <c r="AT416" i="21" s="1"/>
  <c r="D449" i="20"/>
  <c r="C428" i="21"/>
  <c r="AI428" i="21" s="1"/>
  <c r="V286" i="20"/>
  <c r="U265" i="21"/>
  <c r="BA265" i="21" s="1"/>
  <c r="D219" i="20"/>
  <c r="C220" i="20"/>
  <c r="C198" i="21"/>
  <c r="AI198" i="21" s="1"/>
  <c r="AA508" i="19"/>
  <c r="AC421" i="19"/>
  <c r="AD102" i="19"/>
  <c r="Z73" i="19"/>
  <c r="Y450" i="19"/>
  <c r="Z451" i="19" s="1"/>
  <c r="X508" i="19"/>
  <c r="AA102" i="19"/>
  <c r="AC189" i="19"/>
  <c r="U450" i="19"/>
  <c r="X73" i="19"/>
  <c r="W334" i="19"/>
  <c r="AA334" i="19"/>
  <c r="V508" i="19"/>
  <c r="U334" i="19"/>
  <c r="Z421" i="19"/>
  <c r="V334" i="19"/>
  <c r="Y392" i="19"/>
  <c r="AB421" i="19"/>
  <c r="U392" i="19"/>
  <c r="AB508" i="19"/>
  <c r="Z189" i="19"/>
  <c r="X421" i="19"/>
  <c r="AA189" i="19"/>
  <c r="X102" i="19"/>
  <c r="V102" i="19"/>
  <c r="X334" i="19"/>
  <c r="X276" i="19"/>
  <c r="AE450" i="19"/>
  <c r="AB160" i="19"/>
  <c r="AD73" i="19"/>
  <c r="V450" i="19"/>
  <c r="AB392" i="19"/>
  <c r="AE189" i="19"/>
  <c r="Y189" i="19"/>
  <c r="V189" i="19"/>
  <c r="AE508" i="19"/>
  <c r="AC392" i="19"/>
  <c r="U160" i="19"/>
  <c r="AC508" i="19"/>
  <c r="AB102" i="19"/>
  <c r="Y102" i="19"/>
  <c r="AD189" i="19"/>
  <c r="W73" i="19"/>
  <c r="AA392" i="19"/>
  <c r="AB334" i="19"/>
  <c r="Z508" i="19"/>
  <c r="AE102" i="19"/>
  <c r="AE276" i="19"/>
  <c r="AA450" i="19"/>
  <c r="W160" i="19"/>
  <c r="U102" i="19"/>
  <c r="AA160" i="19"/>
  <c r="W392" i="19"/>
  <c r="W189" i="19"/>
  <c r="AC450" i="19"/>
  <c r="AC73" i="19"/>
  <c r="AD508" i="19"/>
  <c r="AE334" i="19"/>
  <c r="Y160" i="19"/>
  <c r="V160" i="19"/>
  <c r="AA103" i="19"/>
  <c r="AD334" i="19"/>
  <c r="AD160" i="19"/>
  <c r="X189" i="19"/>
  <c r="AD450" i="19"/>
  <c r="W479" i="19"/>
  <c r="E451" i="19"/>
  <c r="H335" i="19"/>
  <c r="J74" i="19"/>
  <c r="M74" i="19"/>
  <c r="J277" i="19"/>
  <c r="S218" i="19"/>
  <c r="AD335" i="19"/>
  <c r="G277" i="19"/>
  <c r="Y393" i="19"/>
  <c r="K451" i="19"/>
  <c r="AE277" i="19"/>
  <c r="H277" i="19"/>
  <c r="AE218" i="19"/>
  <c r="X218" i="19"/>
  <c r="AD277" i="19"/>
  <c r="Z277" i="19"/>
  <c r="AD247" i="19"/>
  <c r="E247" i="19"/>
  <c r="P277" i="19"/>
  <c r="H103" i="19"/>
  <c r="V277" i="19"/>
  <c r="N247" i="19"/>
  <c r="R451" i="19"/>
  <c r="M190" i="19"/>
  <c r="AC74" i="19"/>
  <c r="AD103" i="19"/>
  <c r="AB247" i="19"/>
  <c r="AC363" i="19"/>
  <c r="L277" i="19"/>
  <c r="U277" i="19"/>
  <c r="AA277" i="19"/>
  <c r="M277" i="19"/>
  <c r="I277" i="19"/>
  <c r="X103" i="19"/>
  <c r="G335" i="19"/>
  <c r="AA335" i="19"/>
  <c r="E277" i="19"/>
  <c r="T190" i="19"/>
  <c r="N277" i="19"/>
  <c r="F277" i="19"/>
  <c r="W277" i="19"/>
  <c r="X277" i="19"/>
  <c r="R277" i="19"/>
  <c r="S277" i="19"/>
  <c r="AB277" i="19"/>
  <c r="Q74" i="19"/>
  <c r="O277" i="19"/>
  <c r="F451" i="19"/>
  <c r="K247" i="19"/>
  <c r="S335" i="19"/>
  <c r="J103" i="19"/>
  <c r="AD161" i="19"/>
  <c r="O451" i="19"/>
  <c r="Q335" i="19"/>
  <c r="O103" i="19"/>
  <c r="P103" i="19"/>
  <c r="E393" i="19"/>
  <c r="H161" i="19"/>
  <c r="L509" i="19"/>
  <c r="J451" i="19"/>
  <c r="Z335" i="19"/>
  <c r="M103" i="19"/>
  <c r="H247" i="19"/>
  <c r="AC247" i="19"/>
  <c r="F103" i="19"/>
  <c r="L103" i="19"/>
  <c r="E103" i="19"/>
  <c r="F393" i="19"/>
  <c r="G422" i="19"/>
  <c r="P509" i="19"/>
  <c r="S451" i="19"/>
  <c r="I335" i="19"/>
  <c r="AE422" i="19"/>
  <c r="I103" i="19"/>
  <c r="R335" i="19"/>
  <c r="L335" i="19"/>
  <c r="E335" i="19"/>
  <c r="AC190" i="19"/>
  <c r="H190" i="19"/>
  <c r="R103" i="19"/>
  <c r="P335" i="19"/>
  <c r="L451" i="19"/>
  <c r="T103" i="19"/>
  <c r="AC451" i="19"/>
  <c r="F335" i="19"/>
  <c r="G451" i="19"/>
  <c r="G103" i="19"/>
  <c r="M335" i="19"/>
  <c r="N103" i="19"/>
  <c r="F509" i="19"/>
  <c r="Y451" i="19"/>
  <c r="U451" i="19"/>
  <c r="I451" i="19"/>
  <c r="H451" i="19"/>
  <c r="N451" i="19"/>
  <c r="T335" i="19"/>
  <c r="O335" i="19"/>
  <c r="P451" i="19"/>
  <c r="J335" i="19"/>
  <c r="O422" i="19"/>
  <c r="P74" i="19"/>
  <c r="I74" i="19"/>
  <c r="H74" i="19"/>
  <c r="V190" i="19"/>
  <c r="F422" i="19"/>
  <c r="F74" i="19"/>
  <c r="N335" i="19"/>
  <c r="L74" i="19"/>
  <c r="I190" i="19"/>
  <c r="F190" i="19"/>
  <c r="K422" i="19"/>
  <c r="AB422" i="19"/>
  <c r="L422" i="19"/>
  <c r="E190" i="19"/>
  <c r="U103" i="19"/>
  <c r="Q451" i="19"/>
  <c r="U335" i="19"/>
  <c r="J190" i="19"/>
  <c r="P190" i="19"/>
  <c r="R190" i="19"/>
  <c r="Q190" i="19"/>
  <c r="K190" i="19"/>
  <c r="L363" i="19"/>
  <c r="R479" i="19"/>
  <c r="O218" i="19"/>
  <c r="Q509" i="19"/>
  <c r="O479" i="19"/>
  <c r="T247" i="19"/>
  <c r="Y131" i="19"/>
  <c r="Q247" i="19"/>
  <c r="K161" i="19"/>
  <c r="G247" i="19"/>
  <c r="AA247" i="19"/>
  <c r="X479" i="19"/>
  <c r="R363" i="19"/>
  <c r="F363" i="19"/>
  <c r="H479" i="19"/>
  <c r="J161" i="19"/>
  <c r="N74" i="19"/>
  <c r="Z479" i="19"/>
  <c r="N131" i="19"/>
  <c r="E509" i="19"/>
  <c r="R393" i="19"/>
  <c r="Z131" i="19"/>
  <c r="V509" i="19"/>
  <c r="O393" i="19"/>
  <c r="H131" i="19"/>
  <c r="Q479" i="19"/>
  <c r="AB218" i="19"/>
  <c r="L218" i="19"/>
  <c r="V131" i="19"/>
  <c r="I247" i="19"/>
  <c r="W247" i="19"/>
  <c r="I161" i="19"/>
  <c r="F218" i="19"/>
  <c r="V247" i="19"/>
  <c r="J363" i="19"/>
  <c r="E422" i="19"/>
  <c r="N218" i="19"/>
  <c r="AD479" i="19"/>
  <c r="AA131" i="19"/>
  <c r="S393" i="19"/>
  <c r="K218" i="19"/>
  <c r="O190" i="19"/>
  <c r="AE131" i="19"/>
  <c r="G74" i="19"/>
  <c r="J218" i="19"/>
  <c r="R74" i="19"/>
  <c r="M131" i="19"/>
  <c r="K74" i="19"/>
  <c r="U422" i="19"/>
  <c r="Z247" i="19"/>
  <c r="Q218" i="19"/>
  <c r="M422" i="19"/>
  <c r="X131" i="19"/>
  <c r="I131" i="19"/>
  <c r="N393" i="19"/>
  <c r="W422" i="19"/>
  <c r="AA218" i="19"/>
  <c r="G190" i="19"/>
  <c r="L479" i="19"/>
  <c r="S161" i="19"/>
  <c r="Y218" i="19"/>
  <c r="I509" i="19"/>
  <c r="L190" i="19"/>
  <c r="U363" i="19"/>
  <c r="T277" i="19"/>
  <c r="U479" i="19"/>
  <c r="F131" i="19"/>
  <c r="E131" i="19"/>
  <c r="P161" i="19"/>
  <c r="AA363" i="19"/>
  <c r="E218" i="19"/>
  <c r="AE247" i="19"/>
  <c r="AD131" i="19"/>
  <c r="J393" i="19"/>
  <c r="J509" i="19"/>
  <c r="W218" i="19"/>
  <c r="AB131" i="19"/>
  <c r="M393" i="19"/>
  <c r="I393" i="19"/>
  <c r="T131" i="19"/>
  <c r="G509" i="19"/>
  <c r="U74" i="19"/>
  <c r="Y247" i="19"/>
  <c r="F47" i="19"/>
  <c r="E479" i="19"/>
  <c r="S74" i="19"/>
  <c r="Q161" i="19"/>
  <c r="S509" i="19"/>
  <c r="AA479" i="19"/>
  <c r="O161" i="19"/>
  <c r="O131" i="19"/>
  <c r="O74" i="19"/>
  <c r="S422" i="19"/>
  <c r="K509" i="19"/>
  <c r="J247" i="19"/>
  <c r="U131" i="19"/>
  <c r="S363" i="19"/>
  <c r="Y161" i="19"/>
  <c r="T509" i="19"/>
  <c r="J46" i="19"/>
  <c r="D219" i="19" s="1"/>
  <c r="G393" i="19"/>
  <c r="T479" i="19"/>
  <c r="M363" i="19"/>
  <c r="T393" i="19"/>
  <c r="M247" i="19"/>
  <c r="AC479" i="19"/>
  <c r="L247" i="19"/>
  <c r="S479" i="19"/>
  <c r="K363" i="19"/>
  <c r="W131" i="19"/>
  <c r="Q422" i="19"/>
  <c r="K46" i="19"/>
  <c r="D248" i="19" s="1"/>
  <c r="H218" i="19"/>
  <c r="D335" i="19"/>
  <c r="D451" i="19"/>
  <c r="D103" i="19"/>
  <c r="U190" i="19"/>
  <c r="H509" i="19"/>
  <c r="M161" i="19"/>
  <c r="AA451" i="19"/>
  <c r="Q277" i="19"/>
  <c r="Q393" i="19"/>
  <c r="K335" i="19"/>
  <c r="AC277" i="19"/>
  <c r="S103" i="19"/>
  <c r="X451" i="19"/>
  <c r="T451" i="19"/>
  <c r="D479" i="19"/>
  <c r="D363" i="19"/>
  <c r="D131" i="19"/>
  <c r="AE363" i="19"/>
  <c r="AC131" i="19"/>
  <c r="N363" i="19"/>
  <c r="D393" i="19"/>
  <c r="D509" i="19"/>
  <c r="D161" i="19"/>
  <c r="T161" i="19"/>
  <c r="G161" i="19"/>
  <c r="U509" i="19"/>
  <c r="U161" i="19"/>
  <c r="K479" i="19"/>
  <c r="I47" i="19"/>
  <c r="D191" i="19" s="1"/>
  <c r="Z363" i="19"/>
  <c r="R161" i="19"/>
  <c r="AA393" i="19"/>
  <c r="M509" i="19"/>
  <c r="X509" i="19"/>
  <c r="V479" i="19"/>
  <c r="H363" i="19"/>
  <c r="M479" i="19"/>
  <c r="I363" i="19"/>
  <c r="L47" i="19"/>
  <c r="D278" i="19" s="1"/>
  <c r="AB479" i="19"/>
  <c r="AC218" i="19"/>
  <c r="E46" i="19"/>
  <c r="U247" i="19"/>
  <c r="D422" i="19"/>
  <c r="D74" i="19"/>
  <c r="AD363" i="19"/>
  <c r="AB363" i="19"/>
  <c r="I422" i="19"/>
  <c r="U393" i="19"/>
  <c r="Y479" i="19"/>
  <c r="F479" i="19"/>
  <c r="P363" i="19"/>
  <c r="X422" i="19"/>
  <c r="Z218" i="19"/>
  <c r="F247" i="19"/>
  <c r="AE393" i="19"/>
  <c r="N509" i="19"/>
  <c r="H393" i="19"/>
  <c r="J479" i="19"/>
  <c r="G479" i="19"/>
  <c r="V74" i="19"/>
  <c r="R509" i="19"/>
  <c r="R422" i="19"/>
  <c r="C47" i="19"/>
  <c r="V422" i="19"/>
  <c r="S131" i="19"/>
  <c r="Q363" i="19"/>
  <c r="Q131" i="19"/>
  <c r="X247" i="19"/>
  <c r="X306" i="19"/>
  <c r="W311" i="19"/>
  <c r="H422" i="19"/>
  <c r="P131" i="19"/>
  <c r="W363" i="19"/>
  <c r="I218" i="19"/>
  <c r="AB74" i="19"/>
  <c r="P247" i="19"/>
  <c r="E161" i="19"/>
  <c r="P218" i="19"/>
  <c r="N479" i="19"/>
  <c r="Z422" i="19"/>
  <c r="O247" i="19"/>
  <c r="O509" i="19"/>
  <c r="P479" i="19"/>
  <c r="I479" i="19"/>
  <c r="L131" i="19"/>
  <c r="X363" i="19"/>
  <c r="E363" i="19"/>
  <c r="G363" i="19"/>
  <c r="T74" i="19"/>
  <c r="S190" i="19"/>
  <c r="R218" i="19"/>
  <c r="E74" i="19"/>
  <c r="Z74" i="19"/>
  <c r="AD218" i="19"/>
  <c r="Y363" i="19"/>
  <c r="V363" i="19"/>
  <c r="T218" i="19"/>
  <c r="K131" i="19"/>
  <c r="T363" i="19"/>
  <c r="AA161" i="19"/>
  <c r="F161" i="19"/>
  <c r="V218" i="19"/>
  <c r="N190" i="19"/>
  <c r="R247" i="19"/>
  <c r="U218" i="19"/>
  <c r="P393" i="19"/>
  <c r="Q103" i="19"/>
  <c r="M451" i="19"/>
  <c r="M218" i="19"/>
  <c r="K393" i="19"/>
  <c r="T422" i="19"/>
  <c r="K103" i="19"/>
  <c r="J422" i="19"/>
  <c r="N422" i="19"/>
  <c r="D47" i="19"/>
  <c r="S247" i="19"/>
  <c r="AE479" i="19"/>
  <c r="W393" i="19"/>
  <c r="P422" i="19"/>
  <c r="L393" i="19"/>
  <c r="O363" i="19"/>
  <c r="N161" i="19"/>
  <c r="G218" i="19"/>
  <c r="L161" i="19"/>
  <c r="K277" i="19"/>
  <c r="W74" i="19"/>
  <c r="G131" i="19"/>
  <c r="J131" i="19"/>
  <c r="R131" i="19"/>
  <c r="AJ81" i="21" l="1"/>
  <c r="Y77" i="49"/>
  <c r="X81" i="49"/>
  <c r="W3" i="49" s="1"/>
  <c r="X47" i="49"/>
  <c r="W52" i="49"/>
  <c r="V2" i="49" s="1"/>
  <c r="V261" i="21"/>
  <c r="BA74" i="23"/>
  <c r="BA92" i="23" s="1"/>
  <c r="BA110" i="23" s="1"/>
  <c r="W282" i="20"/>
  <c r="Y187" i="1" s="1"/>
  <c r="Y109" i="1"/>
  <c r="E129" i="20"/>
  <c r="D108" i="21"/>
  <c r="AJ108" i="21" s="1"/>
  <c r="E475" i="20"/>
  <c r="D454" i="21"/>
  <c r="AJ454" i="21" s="1"/>
  <c r="L182" i="20"/>
  <c r="K161" i="21"/>
  <c r="AQ161" i="21" s="1"/>
  <c r="Q206" i="20"/>
  <c r="P185" i="21"/>
  <c r="AV185" i="21" s="1"/>
  <c r="J470" i="20"/>
  <c r="I449" i="21"/>
  <c r="AO449" i="21" s="1"/>
  <c r="Y140" i="20"/>
  <c r="X119" i="21"/>
  <c r="BD119" i="21" s="1"/>
  <c r="J243" i="20"/>
  <c r="I222" i="21"/>
  <c r="AO222" i="21" s="1"/>
  <c r="O323" i="20"/>
  <c r="N302" i="21"/>
  <c r="AT302" i="21" s="1"/>
  <c r="L153" i="20"/>
  <c r="K132" i="21"/>
  <c r="AQ132" i="21" s="1"/>
  <c r="Q117" i="20"/>
  <c r="P96" i="21"/>
  <c r="AV96" i="21" s="1"/>
  <c r="L297" i="20"/>
  <c r="K276" i="21"/>
  <c r="AQ276" i="21" s="1"/>
  <c r="W229" i="20"/>
  <c r="V208" i="21"/>
  <c r="BB208" i="21" s="1"/>
  <c r="S88" i="20"/>
  <c r="R67" i="21"/>
  <c r="AX67" i="21" s="1"/>
  <c r="U459" i="20"/>
  <c r="T438" i="21"/>
  <c r="AZ438" i="21" s="1"/>
  <c r="F390" i="20"/>
  <c r="E369" i="21"/>
  <c r="AK369" i="21" s="1"/>
  <c r="J40" i="20"/>
  <c r="I19" i="21"/>
  <c r="AO19" i="21" s="1"/>
  <c r="G473" i="20"/>
  <c r="F452" i="21"/>
  <c r="AL452" i="21" s="1"/>
  <c r="T145" i="20"/>
  <c r="S124" i="21"/>
  <c r="AY124" i="21" s="1"/>
  <c r="E45" i="20"/>
  <c r="D24" i="21"/>
  <c r="AJ24" i="21" s="1"/>
  <c r="E420" i="20"/>
  <c r="D399" i="21"/>
  <c r="AJ399" i="21" s="1"/>
  <c r="G418" i="20"/>
  <c r="F397" i="21"/>
  <c r="AL397" i="21" s="1"/>
  <c r="R320" i="20"/>
  <c r="Q299" i="21"/>
  <c r="AW299" i="21" s="1"/>
  <c r="Q148" i="20"/>
  <c r="P127" i="21"/>
  <c r="AV127" i="21" s="1"/>
  <c r="K354" i="20"/>
  <c r="J333" i="21"/>
  <c r="AP333" i="21" s="1"/>
  <c r="Q463" i="20"/>
  <c r="P442" i="21"/>
  <c r="AV442" i="21" s="1"/>
  <c r="Q33" i="20"/>
  <c r="P12" i="21"/>
  <c r="AV12" i="21" s="1"/>
  <c r="O150" i="20"/>
  <c r="N129" i="21"/>
  <c r="AT129" i="21" s="1"/>
  <c r="N64" i="20"/>
  <c r="M43" i="21"/>
  <c r="AS43" i="21" s="1"/>
  <c r="J299" i="20"/>
  <c r="I278" i="21"/>
  <c r="AO278" i="21" s="1"/>
  <c r="P149" i="20"/>
  <c r="O128" i="21"/>
  <c r="AU128" i="21" s="1"/>
  <c r="I41" i="20"/>
  <c r="H20" i="21"/>
  <c r="AN20" i="21" s="1"/>
  <c r="M181" i="20"/>
  <c r="L160" i="21"/>
  <c r="AR160" i="21" s="1"/>
  <c r="M411" i="20"/>
  <c r="L390" i="21"/>
  <c r="AR390" i="21" s="1"/>
  <c r="R116" i="20"/>
  <c r="Q95" i="21"/>
  <c r="AW95" i="21" s="1"/>
  <c r="H42" i="20"/>
  <c r="G21" i="21"/>
  <c r="AM21" i="21" s="1"/>
  <c r="O92" i="20"/>
  <c r="N71" i="21"/>
  <c r="AT71" i="21" s="1"/>
  <c r="X257" i="20"/>
  <c r="W236" i="21"/>
  <c r="BC236" i="21" s="1"/>
  <c r="AB509" i="19"/>
  <c r="AC510" i="19" s="1"/>
  <c r="W286" i="20"/>
  <c r="V265" i="21"/>
  <c r="BB265" i="21" s="1"/>
  <c r="P437" i="20"/>
  <c r="O416" i="21"/>
  <c r="AU416" i="21" s="1"/>
  <c r="K39" i="20"/>
  <c r="J18" i="21"/>
  <c r="AP18" i="21" s="1"/>
  <c r="G158" i="20"/>
  <c r="F137" i="21"/>
  <c r="AL137" i="21" s="1"/>
  <c r="C131" i="20"/>
  <c r="C362" i="20"/>
  <c r="D130" i="20"/>
  <c r="C109" i="21"/>
  <c r="AI109" i="21" s="1"/>
  <c r="F247" i="20"/>
  <c r="E226" i="21"/>
  <c r="AK226" i="21" s="1"/>
  <c r="E160" i="20"/>
  <c r="D139" i="21"/>
  <c r="AJ139" i="21" s="1"/>
  <c r="X228" i="20"/>
  <c r="W207" i="21"/>
  <c r="BC207" i="21" s="1"/>
  <c r="C76" i="20"/>
  <c r="C307" i="20"/>
  <c r="D75" i="20"/>
  <c r="C54" i="21"/>
  <c r="AI54" i="21" s="1"/>
  <c r="R205" i="20"/>
  <c r="Q184" i="21"/>
  <c r="AW184" i="21" s="1"/>
  <c r="G246" i="20"/>
  <c r="F225" i="21"/>
  <c r="AL225" i="21" s="1"/>
  <c r="H445" i="20"/>
  <c r="G424" i="21"/>
  <c r="AM424" i="21" s="1"/>
  <c r="I272" i="20"/>
  <c r="H251" i="21"/>
  <c r="AN251" i="21" s="1"/>
  <c r="V201" i="20"/>
  <c r="U180" i="21"/>
  <c r="BA180" i="21" s="1"/>
  <c r="U288" i="20"/>
  <c r="T267" i="21"/>
  <c r="AZ267" i="21" s="1"/>
  <c r="E103" i="20"/>
  <c r="D82" i="21"/>
  <c r="F44" i="20"/>
  <c r="E23" i="21"/>
  <c r="AK23" i="21" s="1"/>
  <c r="J185" i="20"/>
  <c r="I164" i="21"/>
  <c r="AO164" i="21" s="1"/>
  <c r="M268" i="20"/>
  <c r="L247" i="21"/>
  <c r="AR247" i="21" s="1"/>
  <c r="H302" i="20"/>
  <c r="G281" i="21"/>
  <c r="AM281" i="21" s="1"/>
  <c r="R291" i="20"/>
  <c r="Q270" i="21"/>
  <c r="AW270" i="21" s="1"/>
  <c r="F419" i="20"/>
  <c r="E398" i="21"/>
  <c r="AK398" i="21" s="1"/>
  <c r="G447" i="20"/>
  <c r="F426" i="21"/>
  <c r="AL426" i="21" s="1"/>
  <c r="I70" i="20"/>
  <c r="H49" i="21"/>
  <c r="AN49" i="21" s="1"/>
  <c r="T460" i="20"/>
  <c r="S439" i="21"/>
  <c r="AY439" i="21" s="1"/>
  <c r="I156" i="20"/>
  <c r="H135" i="21"/>
  <c r="AN135" i="21" s="1"/>
  <c r="W315" i="20"/>
  <c r="V294" i="21"/>
  <c r="BB294" i="21" s="1"/>
  <c r="N439" i="20"/>
  <c r="M418" i="21"/>
  <c r="AS418" i="21" s="1"/>
  <c r="L326" i="20"/>
  <c r="K305" i="21"/>
  <c r="AQ305" i="21" s="1"/>
  <c r="K327" i="20"/>
  <c r="J306" i="21"/>
  <c r="AP306" i="21" s="1"/>
  <c r="H187" i="20"/>
  <c r="G166" i="21"/>
  <c r="AM166" i="21" s="1"/>
  <c r="N36" i="20"/>
  <c r="M15" i="21"/>
  <c r="AS15" i="21" s="1"/>
  <c r="H157" i="20"/>
  <c r="G136" i="21"/>
  <c r="AM136" i="21" s="1"/>
  <c r="J214" i="20"/>
  <c r="I193" i="21"/>
  <c r="AO193" i="21" s="1"/>
  <c r="U29" i="20"/>
  <c r="T8" i="21"/>
  <c r="AZ8" i="21" s="1"/>
  <c r="G217" i="20"/>
  <c r="F196" i="21"/>
  <c r="AL196" i="21" s="1"/>
  <c r="N238" i="20"/>
  <c r="M217" i="21"/>
  <c r="AS217" i="21" s="1"/>
  <c r="T433" i="20"/>
  <c r="S412" i="21"/>
  <c r="AY412" i="21" s="1"/>
  <c r="N120" i="20"/>
  <c r="M99" i="21"/>
  <c r="AS99" i="21" s="1"/>
  <c r="O465" i="20"/>
  <c r="N444" i="21"/>
  <c r="AT444" i="21" s="1"/>
  <c r="P236" i="20"/>
  <c r="O215" i="21"/>
  <c r="AU215" i="21" s="1"/>
  <c r="N351" i="20"/>
  <c r="M330" i="21"/>
  <c r="AS330" i="21" s="1"/>
  <c r="O294" i="20"/>
  <c r="N273" i="21"/>
  <c r="AT273" i="21" s="1"/>
  <c r="Q177" i="20"/>
  <c r="P156" i="21"/>
  <c r="AV156" i="21" s="1"/>
  <c r="I387" i="20"/>
  <c r="H366" i="21"/>
  <c r="AN366" i="21" s="1"/>
  <c r="G358" i="20"/>
  <c r="F337" i="21"/>
  <c r="AL337" i="21" s="1"/>
  <c r="D392" i="20"/>
  <c r="C371" i="21"/>
  <c r="AI371" i="21" s="1"/>
  <c r="G188" i="20"/>
  <c r="F167" i="21"/>
  <c r="AL167" i="21" s="1"/>
  <c r="M37" i="20"/>
  <c r="L16" i="21"/>
  <c r="AR16" i="21" s="1"/>
  <c r="O35" i="20"/>
  <c r="N14" i="21"/>
  <c r="AT14" i="21" s="1"/>
  <c r="V316" i="20"/>
  <c r="U295" i="21"/>
  <c r="BA295" i="21" s="1"/>
  <c r="M383" i="20"/>
  <c r="L362" i="21"/>
  <c r="AR362" i="21" s="1"/>
  <c r="U260" i="20"/>
  <c r="T239" i="21"/>
  <c r="AZ239" i="21" s="1"/>
  <c r="V56" i="20"/>
  <c r="U35" i="21"/>
  <c r="BA35" i="21" s="1"/>
  <c r="O237" i="20"/>
  <c r="N216" i="21"/>
  <c r="AT216" i="21" s="1"/>
  <c r="N267" i="20"/>
  <c r="M246" i="21"/>
  <c r="AS246" i="21" s="1"/>
  <c r="H357" i="20"/>
  <c r="G336" i="21"/>
  <c r="AM336" i="21" s="1"/>
  <c r="I444" i="20"/>
  <c r="H423" i="21"/>
  <c r="AN423" i="21" s="1"/>
  <c r="M94" i="20"/>
  <c r="L73" i="21"/>
  <c r="AR73" i="21" s="1"/>
  <c r="U57" i="20"/>
  <c r="T36" i="21"/>
  <c r="AZ36" i="21" s="1"/>
  <c r="X170" i="20"/>
  <c r="W149" i="21"/>
  <c r="BC149" i="21" s="1"/>
  <c r="S461" i="20"/>
  <c r="R440" i="21"/>
  <c r="AX440" i="21" s="1"/>
  <c r="U113" i="20"/>
  <c r="T92" i="21"/>
  <c r="AZ92" i="21" s="1"/>
  <c r="Q348" i="20"/>
  <c r="P327" i="21"/>
  <c r="AV327" i="21" s="1"/>
  <c r="R263" i="20"/>
  <c r="Q242" i="21"/>
  <c r="AW242" i="21" s="1"/>
  <c r="Y82" i="20"/>
  <c r="X61" i="21"/>
  <c r="BD61" i="21" s="1"/>
  <c r="S405" i="20"/>
  <c r="R384" i="21"/>
  <c r="AX384" i="21" s="1"/>
  <c r="W401" i="20"/>
  <c r="V380" i="21"/>
  <c r="BB380" i="21" s="1"/>
  <c r="P118" i="20"/>
  <c r="O97" i="21"/>
  <c r="AU97" i="21" s="1"/>
  <c r="J355" i="20"/>
  <c r="I334" i="21"/>
  <c r="AO334" i="21" s="1"/>
  <c r="K123" i="20"/>
  <c r="J102" i="21"/>
  <c r="AP102" i="21" s="1"/>
  <c r="K413" i="20"/>
  <c r="J392" i="21"/>
  <c r="AP392" i="21" s="1"/>
  <c r="R234" i="20"/>
  <c r="Q213" i="21"/>
  <c r="AW213" i="21" s="1"/>
  <c r="N151" i="20"/>
  <c r="M130" i="21"/>
  <c r="AS130" i="21" s="1"/>
  <c r="K469" i="20"/>
  <c r="J448" i="21"/>
  <c r="AP448" i="21" s="1"/>
  <c r="V402" i="20"/>
  <c r="U381" i="21"/>
  <c r="BA381" i="21" s="1"/>
  <c r="D46" i="20"/>
  <c r="C47" i="20"/>
  <c r="C278" i="20"/>
  <c r="C25" i="21"/>
  <c r="AI25" i="21" s="1"/>
  <c r="M65" i="20"/>
  <c r="L44" i="21"/>
  <c r="AR44" i="21" s="1"/>
  <c r="O381" i="20"/>
  <c r="N360" i="21"/>
  <c r="AT360" i="21" s="1"/>
  <c r="H331" i="20"/>
  <c r="G310" i="21"/>
  <c r="AM310" i="21" s="1"/>
  <c r="J155" i="20"/>
  <c r="I134" i="21"/>
  <c r="AO134" i="21" s="1"/>
  <c r="F102" i="20"/>
  <c r="E81" i="21"/>
  <c r="AK81" i="21" s="1"/>
  <c r="N410" i="20"/>
  <c r="M389" i="21"/>
  <c r="AS389" i="21" s="1"/>
  <c r="D249" i="20"/>
  <c r="C250" i="20"/>
  <c r="C228" i="21"/>
  <c r="AI228" i="21" s="1"/>
  <c r="G332" i="20"/>
  <c r="F311" i="21"/>
  <c r="AL311" i="21" s="1"/>
  <c r="P265" i="20"/>
  <c r="O244" i="21"/>
  <c r="AU244" i="21" s="1"/>
  <c r="J124" i="20"/>
  <c r="I103" i="21"/>
  <c r="AO103" i="21" s="1"/>
  <c r="S262" i="20"/>
  <c r="R241" i="21"/>
  <c r="AX241" i="21" s="1"/>
  <c r="F474" i="20"/>
  <c r="E453" i="21"/>
  <c r="AK453" i="21" s="1"/>
  <c r="J98" i="20"/>
  <c r="I77" i="21"/>
  <c r="AO77" i="21" s="1"/>
  <c r="H216" i="20"/>
  <c r="G195" i="21"/>
  <c r="AM195" i="21" s="1"/>
  <c r="M210" i="20"/>
  <c r="L189" i="21"/>
  <c r="AR189" i="21" s="1"/>
  <c r="T404" i="20"/>
  <c r="S383" i="21"/>
  <c r="AY383" i="21" s="1"/>
  <c r="P91" i="20"/>
  <c r="O70" i="21"/>
  <c r="AU70" i="21" s="1"/>
  <c r="I329" i="20"/>
  <c r="H308" i="21"/>
  <c r="AN308" i="21" s="1"/>
  <c r="T30" i="20"/>
  <c r="S9" i="21"/>
  <c r="AY9" i="21" s="1"/>
  <c r="J386" i="20"/>
  <c r="I365" i="21"/>
  <c r="AO365" i="21" s="1"/>
  <c r="C221" i="20"/>
  <c r="D220" i="20"/>
  <c r="C199" i="21"/>
  <c r="AI199" i="21" s="1"/>
  <c r="C162" i="20"/>
  <c r="D161" i="20"/>
  <c r="C140" i="21"/>
  <c r="AI140" i="21" s="1"/>
  <c r="E190" i="20"/>
  <c r="D169" i="21"/>
  <c r="AJ169" i="21" s="1"/>
  <c r="C422" i="20"/>
  <c r="D306" i="20"/>
  <c r="C285" i="21"/>
  <c r="AI285" i="21" s="1"/>
  <c r="C336" i="20"/>
  <c r="C105" i="20"/>
  <c r="D104" i="20"/>
  <c r="C83" i="21"/>
  <c r="AI83" i="21" s="1"/>
  <c r="P349" i="20"/>
  <c r="O328" i="21"/>
  <c r="AU328" i="21" s="1"/>
  <c r="R462" i="20"/>
  <c r="Q441" i="21"/>
  <c r="AW441" i="21" s="1"/>
  <c r="R378" i="20"/>
  <c r="Q357" i="21"/>
  <c r="AW357" i="21" s="1"/>
  <c r="W373" i="20"/>
  <c r="V352" i="21"/>
  <c r="BB352" i="21" s="1"/>
  <c r="L38" i="20"/>
  <c r="K17" i="21"/>
  <c r="AQ17" i="21" s="1"/>
  <c r="E276" i="20"/>
  <c r="D255" i="21"/>
  <c r="AJ255" i="21" s="1"/>
  <c r="X199" i="20"/>
  <c r="W178" i="21"/>
  <c r="BC178" i="21" s="1"/>
  <c r="H273" i="20"/>
  <c r="G252" i="21"/>
  <c r="AM252" i="21" s="1"/>
  <c r="I99" i="20"/>
  <c r="H78" i="21"/>
  <c r="AN78" i="21" s="1"/>
  <c r="K183" i="20"/>
  <c r="J162" i="21"/>
  <c r="AP162" i="21" s="1"/>
  <c r="I356" i="20"/>
  <c r="H335" i="21"/>
  <c r="AN335" i="21" s="1"/>
  <c r="V343" i="20"/>
  <c r="U322" i="21"/>
  <c r="BA322" i="21" s="1"/>
  <c r="K241" i="20"/>
  <c r="J220" i="21"/>
  <c r="AP220" i="21" s="1"/>
  <c r="H472" i="20"/>
  <c r="G451" i="21"/>
  <c r="AM451" i="21" s="1"/>
  <c r="F448" i="20"/>
  <c r="E427" i="21"/>
  <c r="AK427" i="21" s="1"/>
  <c r="U144" i="20"/>
  <c r="T123" i="21"/>
  <c r="AZ123" i="21" s="1"/>
  <c r="L353" i="20"/>
  <c r="K332" i="21"/>
  <c r="AQ332" i="21" s="1"/>
  <c r="H245" i="20"/>
  <c r="G224" i="21"/>
  <c r="AM224" i="21" s="1"/>
  <c r="S204" i="20"/>
  <c r="R183" i="21"/>
  <c r="AX183" i="21" s="1"/>
  <c r="Y53" i="20"/>
  <c r="X32" i="21"/>
  <c r="BD32" i="21" s="1"/>
  <c r="W111" i="20"/>
  <c r="V90" i="21"/>
  <c r="BB90" i="21" s="1"/>
  <c r="J328" i="20"/>
  <c r="I307" i="21"/>
  <c r="AO307" i="21" s="1"/>
  <c r="J184" i="20"/>
  <c r="I163" i="21"/>
  <c r="AO163" i="21" s="1"/>
  <c r="N180" i="20"/>
  <c r="M159" i="21"/>
  <c r="AS159" i="21" s="1"/>
  <c r="O208" i="20"/>
  <c r="N187" i="21"/>
  <c r="AT187" i="21" s="1"/>
  <c r="S31" i="20"/>
  <c r="R10" i="21"/>
  <c r="AX10" i="21" s="1"/>
  <c r="V112" i="20"/>
  <c r="U91" i="21"/>
  <c r="BA91" i="21" s="1"/>
  <c r="J443" i="20"/>
  <c r="I422" i="21"/>
  <c r="AO422" i="21" s="1"/>
  <c r="M121" i="20"/>
  <c r="L100" i="21"/>
  <c r="AR100" i="21" s="1"/>
  <c r="V431" i="20"/>
  <c r="U410" i="21"/>
  <c r="BA410" i="21" s="1"/>
  <c r="P178" i="20"/>
  <c r="O157" i="21"/>
  <c r="AU157" i="21" s="1"/>
  <c r="X285" i="20"/>
  <c r="W264" i="21"/>
  <c r="BC264" i="21" s="1"/>
  <c r="L95" i="20"/>
  <c r="K74" i="21"/>
  <c r="AQ74" i="21" s="1"/>
  <c r="V143" i="20"/>
  <c r="U122" i="21"/>
  <c r="BA122" i="21" s="1"/>
  <c r="H416" i="20"/>
  <c r="G395" i="21"/>
  <c r="AM395" i="21" s="1"/>
  <c r="G72" i="20"/>
  <c r="F51" i="21"/>
  <c r="AL51" i="21" s="1"/>
  <c r="T318" i="20"/>
  <c r="S297" i="21"/>
  <c r="AY297" i="21" s="1"/>
  <c r="E391" i="20"/>
  <c r="D370" i="21"/>
  <c r="AJ370" i="21" s="1"/>
  <c r="N209" i="20"/>
  <c r="M188" i="21"/>
  <c r="AS188" i="21" s="1"/>
  <c r="O438" i="20"/>
  <c r="N417" i="21"/>
  <c r="AT417" i="21" s="1"/>
  <c r="I186" i="20"/>
  <c r="H165" i="21"/>
  <c r="AN165" i="21" s="1"/>
  <c r="V230" i="20"/>
  <c r="U209" i="21"/>
  <c r="BA209" i="21" s="1"/>
  <c r="H100" i="20"/>
  <c r="G79" i="21"/>
  <c r="AM79" i="21" s="1"/>
  <c r="W430" i="20"/>
  <c r="V409" i="21"/>
  <c r="BB409" i="21" s="1"/>
  <c r="E334" i="20"/>
  <c r="D313" i="21"/>
  <c r="AJ313" i="21" s="1"/>
  <c r="D277" i="20"/>
  <c r="C393" i="20"/>
  <c r="C256" i="21"/>
  <c r="AI256" i="21" s="1"/>
  <c r="P380" i="20"/>
  <c r="O359" i="21"/>
  <c r="AU359" i="21" s="1"/>
  <c r="V287" i="20"/>
  <c r="U266" i="21"/>
  <c r="BA266" i="21" s="1"/>
  <c r="F73" i="20"/>
  <c r="E52" i="21"/>
  <c r="AK52" i="21" s="1"/>
  <c r="O350" i="20"/>
  <c r="N329" i="21"/>
  <c r="AT329" i="21" s="1"/>
  <c r="M296" i="20"/>
  <c r="L275" i="21"/>
  <c r="AR275" i="21" s="1"/>
  <c r="Q264" i="20"/>
  <c r="P243" i="21"/>
  <c r="AV243" i="21" s="1"/>
  <c r="W258" i="20"/>
  <c r="V237" i="21"/>
  <c r="BB237" i="21" s="1"/>
  <c r="P207" i="20"/>
  <c r="O186" i="21"/>
  <c r="AU186" i="21" s="1"/>
  <c r="Q235" i="20"/>
  <c r="P214" i="21"/>
  <c r="AV214" i="21" s="1"/>
  <c r="F304" i="20"/>
  <c r="E283" i="21"/>
  <c r="AK283" i="21" s="1"/>
  <c r="I330" i="20"/>
  <c r="H309" i="21"/>
  <c r="AN309" i="21" s="1"/>
  <c r="M239" i="20"/>
  <c r="L218" i="21"/>
  <c r="AR218" i="21" s="1"/>
  <c r="Y169" i="20"/>
  <c r="X148" i="21"/>
  <c r="BD148" i="21" s="1"/>
  <c r="U202" i="20"/>
  <c r="T181" i="21"/>
  <c r="AZ181" i="21" s="1"/>
  <c r="W55" i="20"/>
  <c r="V34" i="21"/>
  <c r="BB34" i="21" s="1"/>
  <c r="S346" i="20"/>
  <c r="R325" i="21"/>
  <c r="AX325" i="21" s="1"/>
  <c r="H126" i="20"/>
  <c r="G105" i="21"/>
  <c r="AM105" i="21" s="1"/>
  <c r="H417" i="20"/>
  <c r="G396" i="21"/>
  <c r="AM396" i="21" s="1"/>
  <c r="X54" i="20"/>
  <c r="W33" i="21"/>
  <c r="BC33" i="21" s="1"/>
  <c r="D476" i="20"/>
  <c r="C455" i="21"/>
  <c r="AI455" i="21" s="1"/>
  <c r="E248" i="20"/>
  <c r="D227" i="21"/>
  <c r="AJ227" i="21" s="1"/>
  <c r="X83" i="20"/>
  <c r="W62" i="21"/>
  <c r="BC62" i="21" s="1"/>
  <c r="U432" i="20"/>
  <c r="T411" i="21"/>
  <c r="AZ411" i="21" s="1"/>
  <c r="T174" i="20"/>
  <c r="S153" i="21"/>
  <c r="AY153" i="21" s="1"/>
  <c r="I215" i="20"/>
  <c r="H194" i="21"/>
  <c r="AN194" i="21" s="1"/>
  <c r="W84" i="20"/>
  <c r="V63" i="21"/>
  <c r="BB63" i="21" s="1"/>
  <c r="J271" i="20"/>
  <c r="I250" i="21"/>
  <c r="AO250" i="21" s="1"/>
  <c r="R435" i="20"/>
  <c r="Q414" i="21"/>
  <c r="AW414" i="21" s="1"/>
  <c r="L240" i="20"/>
  <c r="K219" i="21"/>
  <c r="AQ219" i="21" s="1"/>
  <c r="J414" i="20"/>
  <c r="I393" i="21"/>
  <c r="AO393" i="21" s="1"/>
  <c r="O409" i="20"/>
  <c r="N388" i="21"/>
  <c r="AT388" i="21" s="1"/>
  <c r="Q436" i="20"/>
  <c r="P415" i="21"/>
  <c r="AV415" i="21" s="1"/>
  <c r="S175" i="20"/>
  <c r="R154" i="21"/>
  <c r="AX154" i="21" s="1"/>
  <c r="M325" i="20"/>
  <c r="L304" i="21"/>
  <c r="AR304" i="21" s="1"/>
  <c r="Y198" i="20"/>
  <c r="X177" i="21"/>
  <c r="BD177" i="21" s="1"/>
  <c r="T345" i="20"/>
  <c r="S324" i="21"/>
  <c r="AY324" i="21" s="1"/>
  <c r="K96" i="20"/>
  <c r="J75" i="21"/>
  <c r="AP75" i="21" s="1"/>
  <c r="J69" i="20"/>
  <c r="I48" i="21"/>
  <c r="AO48" i="21" s="1"/>
  <c r="D421" i="20"/>
  <c r="C400" i="21"/>
  <c r="AI400" i="21" s="1"/>
  <c r="C451" i="20"/>
  <c r="D335" i="20"/>
  <c r="C314" i="21"/>
  <c r="AI314" i="21" s="1"/>
  <c r="X26" i="20"/>
  <c r="W5" i="21"/>
  <c r="BC5" i="21" s="1"/>
  <c r="S146" i="20"/>
  <c r="R125" i="21"/>
  <c r="AX125" i="21" s="1"/>
  <c r="N466" i="20"/>
  <c r="M445" i="21"/>
  <c r="AS445" i="21" s="1"/>
  <c r="G43" i="20"/>
  <c r="F22" i="21"/>
  <c r="AL22" i="21" s="1"/>
  <c r="W142" i="20"/>
  <c r="V121" i="21"/>
  <c r="BB121" i="21" s="1"/>
  <c r="N382" i="20"/>
  <c r="M361" i="21"/>
  <c r="AS361" i="21" s="1"/>
  <c r="G389" i="20"/>
  <c r="F368" i="21"/>
  <c r="AL368" i="21" s="1"/>
  <c r="I301" i="20"/>
  <c r="H280" i="21"/>
  <c r="AN280" i="21" s="1"/>
  <c r="K270" i="20"/>
  <c r="J249" i="21"/>
  <c r="AP249" i="21" s="1"/>
  <c r="I415" i="20"/>
  <c r="H394" i="21"/>
  <c r="AN394" i="21" s="1"/>
  <c r="Q90" i="20"/>
  <c r="P69" i="21"/>
  <c r="AV69" i="21" s="1"/>
  <c r="S434" i="20"/>
  <c r="R413" i="21"/>
  <c r="AX413" i="21" s="1"/>
  <c r="F128" i="20"/>
  <c r="E107" i="21"/>
  <c r="AK107" i="21" s="1"/>
  <c r="R89" i="20"/>
  <c r="Q68" i="21"/>
  <c r="AW68" i="21" s="1"/>
  <c r="U403" i="20"/>
  <c r="T382" i="21"/>
  <c r="AZ382" i="21" s="1"/>
  <c r="T87" i="20"/>
  <c r="S66" i="21"/>
  <c r="AY66" i="21" s="1"/>
  <c r="I300" i="20"/>
  <c r="H279" i="21"/>
  <c r="AN279" i="21" s="1"/>
  <c r="P408" i="20"/>
  <c r="O387" i="21"/>
  <c r="AU387" i="21" s="1"/>
  <c r="T114" i="20"/>
  <c r="S93" i="21"/>
  <c r="AY93" i="21" s="1"/>
  <c r="I125" i="20"/>
  <c r="H104" i="21"/>
  <c r="AN104" i="21" s="1"/>
  <c r="I244" i="20"/>
  <c r="H223" i="21"/>
  <c r="AN223" i="21" s="1"/>
  <c r="L441" i="20"/>
  <c r="K420" i="21"/>
  <c r="AQ420" i="21" s="1"/>
  <c r="G274" i="20"/>
  <c r="F253" i="21"/>
  <c r="AL253" i="21" s="1"/>
  <c r="W200" i="20"/>
  <c r="V179" i="21"/>
  <c r="BB179" i="21" s="1"/>
  <c r="Q61" i="20"/>
  <c r="P40" i="21"/>
  <c r="AV40" i="21" s="1"/>
  <c r="G127" i="20"/>
  <c r="F106" i="21"/>
  <c r="AL106" i="21" s="1"/>
  <c r="L412" i="20"/>
  <c r="K391" i="21"/>
  <c r="AQ391" i="21" s="1"/>
  <c r="K442" i="20"/>
  <c r="J421" i="21"/>
  <c r="AP421" i="21" s="1"/>
  <c r="V85" i="20"/>
  <c r="U64" i="21"/>
  <c r="BA64" i="21" s="1"/>
  <c r="U231" i="20"/>
  <c r="T210" i="21"/>
  <c r="AZ210" i="21" s="1"/>
  <c r="F359" i="20"/>
  <c r="E338" i="21"/>
  <c r="AK338" i="21" s="1"/>
  <c r="L122" i="20"/>
  <c r="K101" i="21"/>
  <c r="AQ101" i="21" s="1"/>
  <c r="V374" i="20"/>
  <c r="U353" i="21"/>
  <c r="BA353" i="21" s="1"/>
  <c r="U86" i="20"/>
  <c r="T65" i="21"/>
  <c r="AZ65" i="21" s="1"/>
  <c r="T203" i="20"/>
  <c r="S182" i="21"/>
  <c r="AY182" i="21" s="1"/>
  <c r="F189" i="20"/>
  <c r="E168" i="21"/>
  <c r="AK168" i="21" s="1"/>
  <c r="E219" i="20"/>
  <c r="D198" i="21"/>
  <c r="AJ198" i="21" s="1"/>
  <c r="E449" i="20"/>
  <c r="D428" i="21"/>
  <c r="AJ428" i="21" s="1"/>
  <c r="U375" i="20"/>
  <c r="T354" i="21"/>
  <c r="AZ354" i="21" s="1"/>
  <c r="S59" i="20"/>
  <c r="R38" i="21"/>
  <c r="AX38" i="21" s="1"/>
  <c r="D361" i="20"/>
  <c r="C477" i="20"/>
  <c r="C340" i="21"/>
  <c r="AI340" i="21" s="1"/>
  <c r="F275" i="20"/>
  <c r="E254" i="21"/>
  <c r="AK254" i="21" s="1"/>
  <c r="Y227" i="20"/>
  <c r="X206" i="21"/>
  <c r="BD206" i="21" s="1"/>
  <c r="C192" i="20"/>
  <c r="D191" i="20"/>
  <c r="C170" i="21"/>
  <c r="AI170" i="21" s="1"/>
  <c r="P322" i="20"/>
  <c r="O301" i="21"/>
  <c r="AU301" i="21" s="1"/>
  <c r="E74" i="20"/>
  <c r="D53" i="21"/>
  <c r="AJ53" i="21" s="1"/>
  <c r="P293" i="20"/>
  <c r="O272" i="21"/>
  <c r="AU272" i="21" s="1"/>
  <c r="K385" i="20"/>
  <c r="J364" i="21"/>
  <c r="AP364" i="21" s="1"/>
  <c r="W27" i="20"/>
  <c r="V6" i="21"/>
  <c r="BB6" i="21" s="1"/>
  <c r="R347" i="20"/>
  <c r="Q326" i="21"/>
  <c r="AW326" i="21" s="1"/>
  <c r="S319" i="20"/>
  <c r="R298" i="21"/>
  <c r="AX298" i="21" s="1"/>
  <c r="K298" i="20"/>
  <c r="J277" i="21"/>
  <c r="AP277" i="21" s="1"/>
  <c r="M467" i="20"/>
  <c r="L446" i="21"/>
  <c r="AR446" i="21" s="1"/>
  <c r="F218" i="20"/>
  <c r="E197" i="21"/>
  <c r="AK197" i="21" s="1"/>
  <c r="T232" i="20"/>
  <c r="S211" i="21"/>
  <c r="AY211" i="21" s="1"/>
  <c r="N324" i="20"/>
  <c r="M303" i="21"/>
  <c r="AS303" i="21" s="1"/>
  <c r="R147" i="20"/>
  <c r="Q126" i="21"/>
  <c r="AW126" i="21" s="1"/>
  <c r="F333" i="20"/>
  <c r="E312" i="21"/>
  <c r="AK312" i="21" s="1"/>
  <c r="R176" i="20"/>
  <c r="Q155" i="21"/>
  <c r="AW155" i="21" s="1"/>
  <c r="M152" i="20"/>
  <c r="L131" i="21"/>
  <c r="AR131" i="21" s="1"/>
  <c r="J242" i="20"/>
  <c r="I221" i="21"/>
  <c r="AO221" i="21" s="1"/>
  <c r="L468" i="20"/>
  <c r="K447" i="21"/>
  <c r="AQ447" i="21" s="1"/>
  <c r="R32" i="20"/>
  <c r="Q11" i="21"/>
  <c r="AW11" i="21" s="1"/>
  <c r="T58" i="20"/>
  <c r="S37" i="21"/>
  <c r="AY37" i="21" s="1"/>
  <c r="Q379" i="20"/>
  <c r="P358" i="21"/>
  <c r="AV358" i="21" s="1"/>
  <c r="R406" i="20"/>
  <c r="Q385" i="21"/>
  <c r="AW385" i="21" s="1"/>
  <c r="O266" i="20"/>
  <c r="N245" i="21"/>
  <c r="AT245" i="21" s="1"/>
  <c r="Y25" i="20"/>
  <c r="X4" i="21"/>
  <c r="BD4" i="21" s="1"/>
  <c r="I471" i="20"/>
  <c r="H450" i="21"/>
  <c r="AN450" i="21" s="1"/>
  <c r="P34" i="20"/>
  <c r="O13" i="21"/>
  <c r="AU13" i="21" s="1"/>
  <c r="J97" i="20"/>
  <c r="I76" i="21"/>
  <c r="AO76" i="21" s="1"/>
  <c r="M352" i="20"/>
  <c r="L331" i="21"/>
  <c r="AR331" i="21" s="1"/>
  <c r="V28" i="20"/>
  <c r="U7" i="21"/>
  <c r="BA7" i="21" s="1"/>
  <c r="K154" i="20"/>
  <c r="J133" i="21"/>
  <c r="AP133" i="21" s="1"/>
  <c r="X141" i="20"/>
  <c r="W120" i="21"/>
  <c r="BC120" i="21" s="1"/>
  <c r="O179" i="20"/>
  <c r="N158" i="21"/>
  <c r="AT158" i="21" s="1"/>
  <c r="W171" i="20"/>
  <c r="V150" i="21"/>
  <c r="BB150" i="21" s="1"/>
  <c r="G303" i="20"/>
  <c r="F282" i="21"/>
  <c r="AL282" i="21" s="1"/>
  <c r="K212" i="20"/>
  <c r="J191" i="21"/>
  <c r="AP191" i="21" s="1"/>
  <c r="S233" i="20"/>
  <c r="R212" i="21"/>
  <c r="AX212" i="21" s="1"/>
  <c r="D450" i="20"/>
  <c r="C429" i="21"/>
  <c r="AI429" i="21" s="1"/>
  <c r="L269" i="20"/>
  <c r="K248" i="21"/>
  <c r="AQ248" i="21" s="1"/>
  <c r="N295" i="20"/>
  <c r="M274" i="21"/>
  <c r="AS274" i="21" s="1"/>
  <c r="T376" i="20"/>
  <c r="S355" i="21"/>
  <c r="AY355" i="21" s="1"/>
  <c r="F159" i="20"/>
  <c r="E138" i="21"/>
  <c r="AK138" i="21" s="1"/>
  <c r="Q292" i="20"/>
  <c r="P271" i="21"/>
  <c r="AV271" i="21" s="1"/>
  <c r="L211" i="20"/>
  <c r="K190" i="21"/>
  <c r="AQ190" i="21" s="1"/>
  <c r="M440" i="20"/>
  <c r="L419" i="21"/>
  <c r="AR419" i="21" s="1"/>
  <c r="L384" i="20"/>
  <c r="K363" i="21"/>
  <c r="AQ363" i="21" s="1"/>
  <c r="T261" i="20"/>
  <c r="S240" i="21"/>
  <c r="AY240" i="21" s="1"/>
  <c r="U173" i="20"/>
  <c r="T152" i="21"/>
  <c r="AZ152" i="21" s="1"/>
  <c r="V259" i="20"/>
  <c r="U238" i="21"/>
  <c r="BA238" i="21" s="1"/>
  <c r="H71" i="20"/>
  <c r="G50" i="21"/>
  <c r="AM50" i="21" s="1"/>
  <c r="P62" i="20"/>
  <c r="O41" i="21"/>
  <c r="AU41" i="21" s="1"/>
  <c r="V172" i="20"/>
  <c r="U151" i="21"/>
  <c r="BA151" i="21" s="1"/>
  <c r="P464" i="20"/>
  <c r="O443" i="21"/>
  <c r="AU443" i="21" s="1"/>
  <c r="X314" i="20"/>
  <c r="W293" i="21"/>
  <c r="BC293" i="21" s="1"/>
  <c r="R60" i="20"/>
  <c r="Q39" i="21"/>
  <c r="AW39" i="21" s="1"/>
  <c r="Q321" i="20"/>
  <c r="P300" i="21"/>
  <c r="AV300" i="21" s="1"/>
  <c r="U344" i="20"/>
  <c r="T323" i="21"/>
  <c r="AZ323" i="21" s="1"/>
  <c r="K67" i="20"/>
  <c r="J46" i="21"/>
  <c r="AP46" i="21" s="1"/>
  <c r="O119" i="20"/>
  <c r="N98" i="21"/>
  <c r="AT98" i="21" s="1"/>
  <c r="O63" i="20"/>
  <c r="N42" i="21"/>
  <c r="AT42" i="21" s="1"/>
  <c r="S290" i="20"/>
  <c r="R269" i="21"/>
  <c r="AX269" i="21" s="1"/>
  <c r="L66" i="20"/>
  <c r="K45" i="21"/>
  <c r="AQ45" i="21" s="1"/>
  <c r="S115" i="20"/>
  <c r="R94" i="21"/>
  <c r="AX94" i="21" s="1"/>
  <c r="T289" i="20"/>
  <c r="S268" i="21"/>
  <c r="AY268" i="21" s="1"/>
  <c r="U317" i="20"/>
  <c r="T296" i="21"/>
  <c r="AZ296" i="21" s="1"/>
  <c r="H388" i="20"/>
  <c r="G367" i="21"/>
  <c r="AM367" i="21" s="1"/>
  <c r="G101" i="20"/>
  <c r="F80" i="21"/>
  <c r="AL80" i="21" s="1"/>
  <c r="E360" i="20"/>
  <c r="D339" i="21"/>
  <c r="AJ339" i="21" s="1"/>
  <c r="S377" i="20"/>
  <c r="R356" i="21"/>
  <c r="AX356" i="21" s="1"/>
  <c r="J68" i="20"/>
  <c r="I47" i="21"/>
  <c r="AO47" i="21" s="1"/>
  <c r="N93" i="20"/>
  <c r="M72" i="21"/>
  <c r="AS72" i="21" s="1"/>
  <c r="H446" i="20"/>
  <c r="G425" i="21"/>
  <c r="AM425" i="21" s="1"/>
  <c r="Q407" i="20"/>
  <c r="P386" i="21"/>
  <c r="AV386" i="21" s="1"/>
  <c r="J213" i="20"/>
  <c r="I192" i="21"/>
  <c r="AO192" i="21" s="1"/>
  <c r="E305" i="20"/>
  <c r="D284" i="21"/>
  <c r="AJ284" i="21" s="1"/>
  <c r="AD422" i="19"/>
  <c r="AE423" i="19" s="1"/>
  <c r="AE103" i="19"/>
  <c r="AA74" i="19"/>
  <c r="AB75" i="19" s="1"/>
  <c r="Y74" i="19"/>
  <c r="Y509" i="19"/>
  <c r="AE190" i="19"/>
  <c r="AC422" i="19"/>
  <c r="V335" i="19"/>
  <c r="AB190" i="19"/>
  <c r="AC191" i="19" s="1"/>
  <c r="V393" i="19"/>
  <c r="V451" i="19"/>
  <c r="W509" i="19"/>
  <c r="AD190" i="19"/>
  <c r="AE191" i="19" s="1"/>
  <c r="AB335" i="19"/>
  <c r="AA422" i="19"/>
  <c r="X335" i="19"/>
  <c r="Y277" i="19"/>
  <c r="AB103" i="19"/>
  <c r="AC104" i="19" s="1"/>
  <c r="W335" i="19"/>
  <c r="Z393" i="19"/>
  <c r="Y103" i="19"/>
  <c r="Y422" i="19"/>
  <c r="AC509" i="19"/>
  <c r="AA190" i="19"/>
  <c r="Y335" i="19"/>
  <c r="AE74" i="19"/>
  <c r="W103" i="19"/>
  <c r="AC393" i="19"/>
  <c r="AC161" i="19"/>
  <c r="W451" i="19"/>
  <c r="W190" i="19"/>
  <c r="Z190" i="19"/>
  <c r="X74" i="19"/>
  <c r="V103" i="19"/>
  <c r="AD74" i="19"/>
  <c r="AC103" i="19"/>
  <c r="Z103" i="19"/>
  <c r="AD393" i="19"/>
  <c r="AB393" i="19"/>
  <c r="AD509" i="19"/>
  <c r="V161" i="19"/>
  <c r="AA509" i="19"/>
  <c r="AB161" i="19"/>
  <c r="AC335" i="19"/>
  <c r="AB451" i="19"/>
  <c r="X161" i="19"/>
  <c r="AD451" i="19"/>
  <c r="Z161" i="19"/>
  <c r="AE335" i="19"/>
  <c r="AE509" i="19"/>
  <c r="X393" i="19"/>
  <c r="AE451" i="19"/>
  <c r="X190" i="19"/>
  <c r="Y190" i="19"/>
  <c r="W161" i="19"/>
  <c r="AE161" i="19"/>
  <c r="O423" i="19"/>
  <c r="I423" i="19"/>
  <c r="K132" i="19"/>
  <c r="P364" i="19"/>
  <c r="W364" i="19"/>
  <c r="F364" i="19"/>
  <c r="Q480" i="19"/>
  <c r="O480" i="19"/>
  <c r="X364" i="19"/>
  <c r="R364" i="19"/>
  <c r="K480" i="19"/>
  <c r="Z394" i="19"/>
  <c r="Q452" i="19"/>
  <c r="AD364" i="19"/>
  <c r="S132" i="19"/>
  <c r="H364" i="19"/>
  <c r="J480" i="19"/>
  <c r="J75" i="19"/>
  <c r="R132" i="19"/>
  <c r="H480" i="19"/>
  <c r="AE364" i="19"/>
  <c r="H132" i="19"/>
  <c r="U364" i="19"/>
  <c r="Z364" i="19"/>
  <c r="Y364" i="19"/>
  <c r="Q132" i="19"/>
  <c r="T132" i="19"/>
  <c r="G480" i="19"/>
  <c r="R191" i="19"/>
  <c r="S191" i="19"/>
  <c r="F191" i="19"/>
  <c r="G191" i="19"/>
  <c r="S423" i="19"/>
  <c r="X75" i="19"/>
  <c r="H219" i="19"/>
  <c r="Q423" i="19"/>
  <c r="N219" i="19"/>
  <c r="V219" i="19"/>
  <c r="W219" i="19"/>
  <c r="L132" i="19"/>
  <c r="AA75" i="19"/>
  <c r="U75" i="19"/>
  <c r="M132" i="19"/>
  <c r="Q219" i="19"/>
  <c r="W423" i="19"/>
  <c r="Y423" i="19"/>
  <c r="Z480" i="19"/>
  <c r="J423" i="19"/>
  <c r="AD219" i="19"/>
  <c r="T452" i="19"/>
  <c r="AB162" i="19"/>
  <c r="S219" i="19"/>
  <c r="AE219" i="19"/>
  <c r="AA219" i="19"/>
  <c r="W480" i="19"/>
  <c r="E132" i="19"/>
  <c r="Y452" i="19"/>
  <c r="AB452" i="19"/>
  <c r="E104" i="19"/>
  <c r="L364" i="19"/>
  <c r="AA452" i="19"/>
  <c r="M219" i="19"/>
  <c r="I132" i="19"/>
  <c r="V336" i="19"/>
  <c r="M104" i="19"/>
  <c r="U219" i="19"/>
  <c r="J219" i="19"/>
  <c r="J132" i="19"/>
  <c r="I219" i="19"/>
  <c r="G132" i="19"/>
  <c r="Z132" i="19"/>
  <c r="H336" i="19"/>
  <c r="O162" i="19"/>
  <c r="X394" i="19"/>
  <c r="T191" i="19"/>
  <c r="P510" i="19"/>
  <c r="F452" i="19"/>
  <c r="Q364" i="19"/>
  <c r="AD191" i="19"/>
  <c r="AC364" i="19"/>
  <c r="E423" i="19"/>
  <c r="J364" i="19"/>
  <c r="Q191" i="19"/>
  <c r="AA364" i="19"/>
  <c r="X132" i="19"/>
  <c r="AD480" i="19"/>
  <c r="K336" i="19"/>
  <c r="T364" i="19"/>
  <c r="L510" i="19"/>
  <c r="J452" i="19"/>
  <c r="R162" i="19"/>
  <c r="R75" i="19"/>
  <c r="AB364" i="19"/>
  <c r="L75" i="19"/>
  <c r="AE480" i="19"/>
  <c r="H191" i="19"/>
  <c r="O191" i="19"/>
  <c r="AE336" i="19"/>
  <c r="S510" i="19"/>
  <c r="I336" i="19"/>
  <c r="I191" i="19"/>
  <c r="J104" i="19"/>
  <c r="K191" i="19"/>
  <c r="N480" i="19"/>
  <c r="L480" i="19"/>
  <c r="G423" i="19"/>
  <c r="E510" i="19"/>
  <c r="E364" i="19"/>
  <c r="V364" i="19"/>
  <c r="Z219" i="19"/>
  <c r="S75" i="19"/>
  <c r="P191" i="19"/>
  <c r="N191" i="19"/>
  <c r="N75" i="19"/>
  <c r="I364" i="19"/>
  <c r="AC248" i="19"/>
  <c r="N364" i="19"/>
  <c r="P132" i="19"/>
  <c r="V75" i="19"/>
  <c r="K364" i="19"/>
  <c r="O132" i="19"/>
  <c r="P480" i="19"/>
  <c r="P423" i="19"/>
  <c r="D49" i="19"/>
  <c r="D48" i="19"/>
  <c r="AC278" i="19"/>
  <c r="D452" i="19"/>
  <c r="D336" i="19"/>
  <c r="D104" i="19"/>
  <c r="L394" i="19"/>
  <c r="Q394" i="19"/>
  <c r="G162" i="19"/>
  <c r="T278" i="19"/>
  <c r="F162" i="19"/>
  <c r="AB336" i="19"/>
  <c r="AE278" i="19"/>
  <c r="R336" i="19"/>
  <c r="F336" i="19"/>
  <c r="E75" i="19"/>
  <c r="L423" i="19"/>
  <c r="E47" i="19"/>
  <c r="V104" i="19"/>
  <c r="S162" i="19"/>
  <c r="K104" i="19"/>
  <c r="E162" i="19"/>
  <c r="M510" i="19"/>
  <c r="I248" i="19"/>
  <c r="AB278" i="19"/>
  <c r="Y278" i="19"/>
  <c r="G104" i="19"/>
  <c r="U452" i="19"/>
  <c r="AD278" i="19"/>
  <c r="R278" i="19"/>
  <c r="V191" i="19"/>
  <c r="M248" i="19"/>
  <c r="H394" i="19"/>
  <c r="P336" i="19"/>
  <c r="K248" i="19"/>
  <c r="T510" i="19"/>
  <c r="L452" i="19"/>
  <c r="Z248" i="19"/>
  <c r="U132" i="19"/>
  <c r="F278" i="19"/>
  <c r="X219" i="19"/>
  <c r="K394" i="19"/>
  <c r="F219" i="19"/>
  <c r="F132" i="19"/>
  <c r="F394" i="19"/>
  <c r="M423" i="19"/>
  <c r="O452" i="19"/>
  <c r="U278" i="19"/>
  <c r="J510" i="19"/>
  <c r="M480" i="19"/>
  <c r="O394" i="19"/>
  <c r="Y132" i="19"/>
  <c r="R219" i="19"/>
  <c r="V423" i="19"/>
  <c r="J278" i="19"/>
  <c r="E191" i="19"/>
  <c r="AB132" i="19"/>
  <c r="F423" i="19"/>
  <c r="G219" i="19"/>
  <c r="X248" i="19"/>
  <c r="W132" i="19"/>
  <c r="R480" i="19"/>
  <c r="AA132" i="19"/>
  <c r="F510" i="19"/>
  <c r="O75" i="19"/>
  <c r="I480" i="19"/>
  <c r="N336" i="19"/>
  <c r="AC423" i="19"/>
  <c r="K278" i="19"/>
  <c r="R248" i="19"/>
  <c r="O104" i="19"/>
  <c r="I452" i="19"/>
  <c r="W191" i="19"/>
  <c r="I162" i="19"/>
  <c r="L248" i="19"/>
  <c r="M364" i="19"/>
  <c r="V278" i="19"/>
  <c r="Q510" i="19"/>
  <c r="F248" i="19"/>
  <c r="AA248" i="19"/>
  <c r="H278" i="19"/>
  <c r="G278" i="19"/>
  <c r="AB248" i="19"/>
  <c r="X278" i="19"/>
  <c r="G394" i="19"/>
  <c r="AE104" i="19"/>
  <c r="L278" i="19"/>
  <c r="N452" i="19"/>
  <c r="M452" i="19"/>
  <c r="I394" i="19"/>
  <c r="I278" i="19"/>
  <c r="L49" i="19"/>
  <c r="D280" i="19" s="1"/>
  <c r="L48" i="19"/>
  <c r="D279" i="19" s="1"/>
  <c r="E248" i="19"/>
  <c r="Y510" i="19"/>
  <c r="AB394" i="19"/>
  <c r="V162" i="19"/>
  <c r="H162" i="19"/>
  <c r="E394" i="19"/>
  <c r="S452" i="19"/>
  <c r="G510" i="19"/>
  <c r="AE162" i="19"/>
  <c r="L336" i="19"/>
  <c r="N162" i="19"/>
  <c r="E452" i="19"/>
  <c r="K47" i="19"/>
  <c r="D249" i="19" s="1"/>
  <c r="N248" i="19"/>
  <c r="AD452" i="19"/>
  <c r="U510" i="19"/>
  <c r="K452" i="19"/>
  <c r="T423" i="19"/>
  <c r="P162" i="19"/>
  <c r="Z452" i="19"/>
  <c r="T75" i="19"/>
  <c r="F49" i="19"/>
  <c r="F48" i="19"/>
  <c r="H510" i="19"/>
  <c r="AC132" i="19"/>
  <c r="K510" i="19"/>
  <c r="AE132" i="19"/>
  <c r="O336" i="19"/>
  <c r="Q162" i="19"/>
  <c r="T336" i="19"/>
  <c r="Q278" i="19"/>
  <c r="Y219" i="19"/>
  <c r="E278" i="19"/>
  <c r="AB219" i="19"/>
  <c r="N423" i="19"/>
  <c r="H452" i="19"/>
  <c r="N132" i="19"/>
  <c r="K219" i="19"/>
  <c r="T394" i="19"/>
  <c r="N104" i="19"/>
  <c r="N278" i="19"/>
  <c r="J162" i="19"/>
  <c r="J336" i="19"/>
  <c r="AC219" i="19"/>
  <c r="P394" i="19"/>
  <c r="AA510" i="19"/>
  <c r="K162" i="19"/>
  <c r="S364" i="19"/>
  <c r="Y480" i="19"/>
  <c r="H248" i="19"/>
  <c r="U248" i="19"/>
  <c r="R510" i="19"/>
  <c r="Y104" i="19"/>
  <c r="S480" i="19"/>
  <c r="Q104" i="19"/>
  <c r="F104" i="19"/>
  <c r="AD248" i="19"/>
  <c r="D510" i="19"/>
  <c r="D394" i="19"/>
  <c r="D162" i="19"/>
  <c r="J394" i="19"/>
  <c r="P278" i="19"/>
  <c r="P104" i="19"/>
  <c r="P452" i="19"/>
  <c r="L104" i="19"/>
  <c r="S248" i="19"/>
  <c r="Q336" i="19"/>
  <c r="P248" i="19"/>
  <c r="Q248" i="19"/>
  <c r="Y307" i="19"/>
  <c r="X311" i="19"/>
  <c r="D423" i="19"/>
  <c r="D75" i="19"/>
  <c r="W75" i="19"/>
  <c r="G248" i="19"/>
  <c r="O278" i="19"/>
  <c r="K75" i="19"/>
  <c r="M162" i="19"/>
  <c r="M394" i="19"/>
  <c r="T248" i="19"/>
  <c r="K423" i="19"/>
  <c r="U423" i="19"/>
  <c r="R104" i="19"/>
  <c r="AB104" i="19"/>
  <c r="F75" i="19"/>
  <c r="AA423" i="19"/>
  <c r="G452" i="19"/>
  <c r="AC75" i="19"/>
  <c r="U336" i="19"/>
  <c r="Y248" i="19"/>
  <c r="M336" i="19"/>
  <c r="C49" i="19"/>
  <c r="C48" i="19"/>
  <c r="O510" i="19"/>
  <c r="J191" i="19"/>
  <c r="V394" i="19"/>
  <c r="AA278" i="19"/>
  <c r="V248" i="19"/>
  <c r="D364" i="19"/>
  <c r="D480" i="19"/>
  <c r="D132" i="19"/>
  <c r="AC480" i="19"/>
  <c r="M75" i="19"/>
  <c r="V452" i="19"/>
  <c r="R452" i="19"/>
  <c r="N510" i="19"/>
  <c r="G75" i="19"/>
  <c r="I49" i="19"/>
  <c r="D193" i="19" s="1"/>
  <c r="I48" i="19"/>
  <c r="D192" i="19" s="1"/>
  <c r="V510" i="19"/>
  <c r="U162" i="19"/>
  <c r="O364" i="19"/>
  <c r="AD132" i="19"/>
  <c r="H423" i="19"/>
  <c r="E480" i="19"/>
  <c r="T104" i="19"/>
  <c r="R394" i="19"/>
  <c r="I510" i="19"/>
  <c r="E336" i="19"/>
  <c r="R423" i="19"/>
  <c r="T480" i="19"/>
  <c r="U394" i="19"/>
  <c r="U480" i="19"/>
  <c r="J47" i="19"/>
  <c r="D220" i="19" s="1"/>
  <c r="Z162" i="19"/>
  <c r="V132" i="19"/>
  <c r="P75" i="19"/>
  <c r="AB480" i="19"/>
  <c r="U191" i="19"/>
  <c r="F480" i="19"/>
  <c r="S104" i="19"/>
  <c r="N394" i="19"/>
  <c r="S336" i="19"/>
  <c r="Q75" i="19"/>
  <c r="E219" i="19"/>
  <c r="I75" i="19"/>
  <c r="S278" i="19"/>
  <c r="AA336" i="19"/>
  <c r="V480" i="19"/>
  <c r="M191" i="19"/>
  <c r="T162" i="19"/>
  <c r="X423" i="19"/>
  <c r="H104" i="19"/>
  <c r="G336" i="19"/>
  <c r="U104" i="19"/>
  <c r="H75" i="19"/>
  <c r="L219" i="19"/>
  <c r="O219" i="19"/>
  <c r="W248" i="19"/>
  <c r="J248" i="19"/>
  <c r="W510" i="19"/>
  <c r="S394" i="19"/>
  <c r="AA480" i="19"/>
  <c r="L191" i="19"/>
  <c r="G364" i="19"/>
  <c r="I104" i="19"/>
  <c r="M278" i="19"/>
  <c r="L162" i="19"/>
  <c r="AE248" i="19"/>
  <c r="P219" i="19"/>
  <c r="O248" i="19"/>
  <c r="W278" i="19"/>
  <c r="T219" i="19"/>
  <c r="AD75" i="19"/>
  <c r="X480" i="19"/>
  <c r="AJ82" i="21" l="1"/>
  <c r="W261" i="21"/>
  <c r="Y48" i="49"/>
  <c r="X52" i="49"/>
  <c r="W2" i="49" s="1"/>
  <c r="Z78" i="49"/>
  <c r="Y81" i="49"/>
  <c r="X3" i="49" s="1"/>
  <c r="BB74" i="23"/>
  <c r="BB92" i="23" s="1"/>
  <c r="BB110" i="23" s="1"/>
  <c r="X282" i="20"/>
  <c r="Z187" i="1" s="1"/>
  <c r="Z109" i="1"/>
  <c r="U289" i="20"/>
  <c r="T268" i="21"/>
  <c r="AZ268" i="21" s="1"/>
  <c r="Y314" i="20"/>
  <c r="X293" i="21"/>
  <c r="BD293" i="21" s="1"/>
  <c r="M384" i="20"/>
  <c r="L363" i="21"/>
  <c r="AR363" i="21" s="1"/>
  <c r="O295" i="20"/>
  <c r="N274" i="21"/>
  <c r="AT274" i="21" s="1"/>
  <c r="X171" i="20"/>
  <c r="W150" i="21"/>
  <c r="BC150" i="21" s="1"/>
  <c r="K97" i="20"/>
  <c r="J76" i="21"/>
  <c r="AP76" i="21" s="1"/>
  <c r="K242" i="20"/>
  <c r="J221" i="21"/>
  <c r="AP221" i="21" s="1"/>
  <c r="N467" i="20"/>
  <c r="M446" i="21"/>
  <c r="AS446" i="21" s="1"/>
  <c r="N325" i="20"/>
  <c r="M304" i="21"/>
  <c r="AS304" i="21" s="1"/>
  <c r="U174" i="20"/>
  <c r="T153" i="21"/>
  <c r="AZ153" i="21" s="1"/>
  <c r="I417" i="20"/>
  <c r="H396" i="21"/>
  <c r="AN396" i="21" s="1"/>
  <c r="R264" i="20"/>
  <c r="Q243" i="21"/>
  <c r="AW243" i="21" s="1"/>
  <c r="C163" i="20"/>
  <c r="D162" i="20"/>
  <c r="C141" i="21"/>
  <c r="AI141" i="21" s="1"/>
  <c r="I331" i="20"/>
  <c r="H310" i="21"/>
  <c r="AN310" i="21" s="1"/>
  <c r="L469" i="20"/>
  <c r="K448" i="21"/>
  <c r="AQ448" i="21" s="1"/>
  <c r="S263" i="20"/>
  <c r="R242" i="21"/>
  <c r="AX242" i="21" s="1"/>
  <c r="N94" i="20"/>
  <c r="M73" i="21"/>
  <c r="AS73" i="21" s="1"/>
  <c r="W316" i="20"/>
  <c r="V295" i="21"/>
  <c r="BB295" i="21" s="1"/>
  <c r="P294" i="20"/>
  <c r="O273" i="21"/>
  <c r="AU273" i="21" s="1"/>
  <c r="I157" i="20"/>
  <c r="H136" i="21"/>
  <c r="AN136" i="21" s="1"/>
  <c r="U460" i="20"/>
  <c r="T439" i="21"/>
  <c r="AZ439" i="21" s="1"/>
  <c r="G44" i="20"/>
  <c r="F23" i="21"/>
  <c r="AL23" i="21" s="1"/>
  <c r="H246" i="20"/>
  <c r="G225" i="21"/>
  <c r="AM225" i="21" s="1"/>
  <c r="G247" i="20"/>
  <c r="F226" i="21"/>
  <c r="AL226" i="21" s="1"/>
  <c r="X286" i="20"/>
  <c r="W265" i="21"/>
  <c r="BC265" i="21" s="1"/>
  <c r="Z227" i="20"/>
  <c r="Y206" i="21"/>
  <c r="BE206" i="21" s="1"/>
  <c r="D477" i="20"/>
  <c r="C456" i="21"/>
  <c r="AI456" i="21" s="1"/>
  <c r="G189" i="20"/>
  <c r="F168" i="21"/>
  <c r="AL168" i="21" s="1"/>
  <c r="V86" i="20"/>
  <c r="U65" i="21"/>
  <c r="BA65" i="21" s="1"/>
  <c r="M122" i="20"/>
  <c r="L101" i="21"/>
  <c r="AR101" i="21" s="1"/>
  <c r="V231" i="20"/>
  <c r="U210" i="21"/>
  <c r="BA210" i="21" s="1"/>
  <c r="L442" i="20"/>
  <c r="K421" i="21"/>
  <c r="AQ421" i="21" s="1"/>
  <c r="H127" i="20"/>
  <c r="G106" i="21"/>
  <c r="AM106" i="21" s="1"/>
  <c r="X200" i="20"/>
  <c r="W179" i="21"/>
  <c r="BC179" i="21" s="1"/>
  <c r="M441" i="20"/>
  <c r="L420" i="21"/>
  <c r="AR420" i="21" s="1"/>
  <c r="J125" i="20"/>
  <c r="I104" i="21"/>
  <c r="AO104" i="21" s="1"/>
  <c r="Q408" i="20"/>
  <c r="P387" i="21"/>
  <c r="AV387" i="21" s="1"/>
  <c r="U87" i="20"/>
  <c r="T66" i="21"/>
  <c r="AZ66" i="21" s="1"/>
  <c r="S89" i="20"/>
  <c r="R68" i="21"/>
  <c r="AX68" i="21" s="1"/>
  <c r="T434" i="20"/>
  <c r="S413" i="21"/>
  <c r="AY413" i="21" s="1"/>
  <c r="J415" i="20"/>
  <c r="I394" i="21"/>
  <c r="AO394" i="21" s="1"/>
  <c r="J301" i="20"/>
  <c r="I280" i="21"/>
  <c r="AO280" i="21" s="1"/>
  <c r="O382" i="20"/>
  <c r="N361" i="21"/>
  <c r="AT361" i="21" s="1"/>
  <c r="H43" i="20"/>
  <c r="G22" i="21"/>
  <c r="AM22" i="21" s="1"/>
  <c r="T146" i="20"/>
  <c r="S125" i="21"/>
  <c r="AY125" i="21" s="1"/>
  <c r="E335" i="20"/>
  <c r="D314" i="21"/>
  <c r="AJ314" i="21" s="1"/>
  <c r="E277" i="20"/>
  <c r="D256" i="21"/>
  <c r="AJ256" i="21" s="1"/>
  <c r="X430" i="20"/>
  <c r="W409" i="21"/>
  <c r="BC409" i="21" s="1"/>
  <c r="W230" i="20"/>
  <c r="V209" i="21"/>
  <c r="BB209" i="21" s="1"/>
  <c r="P438" i="20"/>
  <c r="O417" i="21"/>
  <c r="AU417" i="21" s="1"/>
  <c r="F391" i="20"/>
  <c r="E370" i="21"/>
  <c r="AK370" i="21" s="1"/>
  <c r="H72" i="20"/>
  <c r="G51" i="21"/>
  <c r="AM51" i="21" s="1"/>
  <c r="W143" i="20"/>
  <c r="V122" i="21"/>
  <c r="BB122" i="21" s="1"/>
  <c r="Y285" i="20"/>
  <c r="X264" i="21"/>
  <c r="BD264" i="21" s="1"/>
  <c r="W431" i="20"/>
  <c r="V410" i="21"/>
  <c r="BB410" i="21" s="1"/>
  <c r="K443" i="20"/>
  <c r="J422" i="21"/>
  <c r="AP422" i="21" s="1"/>
  <c r="T31" i="20"/>
  <c r="S10" i="21"/>
  <c r="AY10" i="21" s="1"/>
  <c r="O180" i="20"/>
  <c r="N159" i="21"/>
  <c r="AT159" i="21" s="1"/>
  <c r="K328" i="20"/>
  <c r="J307" i="21"/>
  <c r="AP307" i="21" s="1"/>
  <c r="Z53" i="20"/>
  <c r="Y32" i="21"/>
  <c r="BE32" i="21" s="1"/>
  <c r="I245" i="20"/>
  <c r="H224" i="21"/>
  <c r="AN224" i="21" s="1"/>
  <c r="V144" i="20"/>
  <c r="U123" i="21"/>
  <c r="BA123" i="21" s="1"/>
  <c r="I472" i="20"/>
  <c r="H451" i="21"/>
  <c r="AN451" i="21" s="1"/>
  <c r="W343" i="20"/>
  <c r="V322" i="21"/>
  <c r="BB322" i="21" s="1"/>
  <c r="L183" i="20"/>
  <c r="K162" i="21"/>
  <c r="AQ162" i="21" s="1"/>
  <c r="I273" i="20"/>
  <c r="H252" i="21"/>
  <c r="AN252" i="21" s="1"/>
  <c r="F276" i="20"/>
  <c r="E255" i="21"/>
  <c r="AK255" i="21" s="1"/>
  <c r="X373" i="20"/>
  <c r="W352" i="21"/>
  <c r="BC352" i="21" s="1"/>
  <c r="S462" i="20"/>
  <c r="R441" i="21"/>
  <c r="AX441" i="21" s="1"/>
  <c r="E104" i="20"/>
  <c r="D83" i="21"/>
  <c r="F190" i="20"/>
  <c r="E169" i="21"/>
  <c r="AK169" i="21" s="1"/>
  <c r="K386" i="20"/>
  <c r="J365" i="21"/>
  <c r="AP365" i="21" s="1"/>
  <c r="J329" i="20"/>
  <c r="I308" i="21"/>
  <c r="AO308" i="21" s="1"/>
  <c r="U404" i="20"/>
  <c r="T383" i="21"/>
  <c r="AZ383" i="21" s="1"/>
  <c r="I216" i="20"/>
  <c r="H195" i="21"/>
  <c r="AN195" i="21" s="1"/>
  <c r="G474" i="20"/>
  <c r="F453" i="21"/>
  <c r="AL453" i="21" s="1"/>
  <c r="K124" i="20"/>
  <c r="J103" i="21"/>
  <c r="AP103" i="21" s="1"/>
  <c r="H332" i="20"/>
  <c r="G311" i="21"/>
  <c r="AM311" i="21" s="1"/>
  <c r="C423" i="20"/>
  <c r="D307" i="20"/>
  <c r="C286" i="21"/>
  <c r="AI286" i="21" s="1"/>
  <c r="P92" i="20"/>
  <c r="O71" i="21"/>
  <c r="AU71" i="21" s="1"/>
  <c r="S116" i="20"/>
  <c r="R95" i="21"/>
  <c r="AX95" i="21" s="1"/>
  <c r="N181" i="20"/>
  <c r="M160" i="21"/>
  <c r="AS160" i="21" s="1"/>
  <c r="Q149" i="20"/>
  <c r="P128" i="21"/>
  <c r="AV128" i="21" s="1"/>
  <c r="O64" i="20"/>
  <c r="N43" i="21"/>
  <c r="AT43" i="21" s="1"/>
  <c r="R33" i="20"/>
  <c r="Q12" i="21"/>
  <c r="AW12" i="21" s="1"/>
  <c r="L354" i="20"/>
  <c r="K333" i="21"/>
  <c r="AQ333" i="21" s="1"/>
  <c r="S320" i="20"/>
  <c r="R299" i="21"/>
  <c r="AX299" i="21" s="1"/>
  <c r="F420" i="20"/>
  <c r="E399" i="21"/>
  <c r="AK399" i="21" s="1"/>
  <c r="U145" i="20"/>
  <c r="T124" i="21"/>
  <c r="AZ124" i="21" s="1"/>
  <c r="K40" i="20"/>
  <c r="J19" i="21"/>
  <c r="AP19" i="21" s="1"/>
  <c r="V459" i="20"/>
  <c r="U438" i="21"/>
  <c r="BA438" i="21" s="1"/>
  <c r="X229" i="20"/>
  <c r="W208" i="21"/>
  <c r="BC208" i="21" s="1"/>
  <c r="R117" i="20"/>
  <c r="Q96" i="21"/>
  <c r="AW96" i="21" s="1"/>
  <c r="P323" i="20"/>
  <c r="O302" i="21"/>
  <c r="AU302" i="21" s="1"/>
  <c r="Z140" i="20"/>
  <c r="Y119" i="21"/>
  <c r="BE119" i="21" s="1"/>
  <c r="R206" i="20"/>
  <c r="Q185" i="21"/>
  <c r="AW185" i="21" s="1"/>
  <c r="F475" i="20"/>
  <c r="E454" i="21"/>
  <c r="AK454" i="21" s="1"/>
  <c r="I446" i="20"/>
  <c r="H425" i="21"/>
  <c r="AN425" i="21" s="1"/>
  <c r="F360" i="20"/>
  <c r="E339" i="21"/>
  <c r="AK339" i="21" s="1"/>
  <c r="M66" i="20"/>
  <c r="L45" i="21"/>
  <c r="AR45" i="21" s="1"/>
  <c r="R321" i="20"/>
  <c r="Q300" i="21"/>
  <c r="AW300" i="21" s="1"/>
  <c r="I71" i="20"/>
  <c r="H50" i="21"/>
  <c r="AN50" i="21" s="1"/>
  <c r="M211" i="20"/>
  <c r="L190" i="21"/>
  <c r="AR190" i="21" s="1"/>
  <c r="E450" i="20"/>
  <c r="D429" i="21"/>
  <c r="AJ429" i="21" s="1"/>
  <c r="W28" i="20"/>
  <c r="V7" i="21"/>
  <c r="BB7" i="21" s="1"/>
  <c r="P266" i="20"/>
  <c r="O245" i="21"/>
  <c r="AU245" i="21" s="1"/>
  <c r="S32" i="20"/>
  <c r="R11" i="21"/>
  <c r="AX11" i="21" s="1"/>
  <c r="S147" i="20"/>
  <c r="R126" i="21"/>
  <c r="AX126" i="21" s="1"/>
  <c r="X27" i="20"/>
  <c r="W6" i="21"/>
  <c r="BC6" i="21" s="1"/>
  <c r="Q293" i="20"/>
  <c r="P272" i="21"/>
  <c r="AV272" i="21" s="1"/>
  <c r="Q322" i="20"/>
  <c r="P301" i="21"/>
  <c r="AV301" i="21" s="1"/>
  <c r="T59" i="20"/>
  <c r="S38" i="21"/>
  <c r="AY38" i="21" s="1"/>
  <c r="U345" i="20"/>
  <c r="T324" i="21"/>
  <c r="AZ324" i="21" s="1"/>
  <c r="K414" i="20"/>
  <c r="J393" i="21"/>
  <c r="AP393" i="21" s="1"/>
  <c r="X84" i="20"/>
  <c r="W63" i="21"/>
  <c r="BC63" i="21" s="1"/>
  <c r="Y83" i="20"/>
  <c r="X62" i="21"/>
  <c r="BD62" i="21" s="1"/>
  <c r="V202" i="20"/>
  <c r="U181" i="21"/>
  <c r="BA181" i="21" s="1"/>
  <c r="Q207" i="20"/>
  <c r="P186" i="21"/>
  <c r="AV186" i="21" s="1"/>
  <c r="E249" i="20"/>
  <c r="D228" i="21"/>
  <c r="AJ228" i="21" s="1"/>
  <c r="N65" i="20"/>
  <c r="M44" i="21"/>
  <c r="AS44" i="21" s="1"/>
  <c r="S234" i="20"/>
  <c r="R213" i="21"/>
  <c r="AX213" i="21" s="1"/>
  <c r="T405" i="20"/>
  <c r="S384" i="21"/>
  <c r="AY384" i="21" s="1"/>
  <c r="Y170" i="20"/>
  <c r="X149" i="21"/>
  <c r="BD149" i="21" s="1"/>
  <c r="V260" i="20"/>
  <c r="U239" i="21"/>
  <c r="BA239" i="21" s="1"/>
  <c r="E392" i="20"/>
  <c r="D371" i="21"/>
  <c r="AJ371" i="21" s="1"/>
  <c r="O120" i="20"/>
  <c r="N99" i="21"/>
  <c r="AT99" i="21" s="1"/>
  <c r="I187" i="20"/>
  <c r="H166" i="21"/>
  <c r="AN166" i="21" s="1"/>
  <c r="X315" i="20"/>
  <c r="W294" i="21"/>
  <c r="BC294" i="21" s="1"/>
  <c r="N268" i="20"/>
  <c r="M247" i="21"/>
  <c r="AS247" i="21" s="1"/>
  <c r="J272" i="20"/>
  <c r="I251" i="21"/>
  <c r="AO251" i="21" s="1"/>
  <c r="Y228" i="20"/>
  <c r="X207" i="21"/>
  <c r="BD207" i="21" s="1"/>
  <c r="L39" i="20"/>
  <c r="K18" i="21"/>
  <c r="AQ18" i="21" s="1"/>
  <c r="F305" i="20"/>
  <c r="E284" i="21"/>
  <c r="AK284" i="21" s="1"/>
  <c r="R407" i="20"/>
  <c r="Q386" i="21"/>
  <c r="AW386" i="21" s="1"/>
  <c r="O93" i="20"/>
  <c r="N72" i="21"/>
  <c r="AT72" i="21" s="1"/>
  <c r="T377" i="20"/>
  <c r="S356" i="21"/>
  <c r="AY356" i="21" s="1"/>
  <c r="H101" i="20"/>
  <c r="G80" i="21"/>
  <c r="AM80" i="21" s="1"/>
  <c r="V317" i="20"/>
  <c r="U296" i="21"/>
  <c r="BA296" i="21" s="1"/>
  <c r="T115" i="20"/>
  <c r="S94" i="21"/>
  <c r="AY94" i="21" s="1"/>
  <c r="T290" i="20"/>
  <c r="S269" i="21"/>
  <c r="AY269" i="21" s="1"/>
  <c r="P119" i="20"/>
  <c r="O98" i="21"/>
  <c r="AU98" i="21" s="1"/>
  <c r="V344" i="20"/>
  <c r="U323" i="21"/>
  <c r="BA323" i="21" s="1"/>
  <c r="S60" i="20"/>
  <c r="R39" i="21"/>
  <c r="AX39" i="21" s="1"/>
  <c r="Q464" i="20"/>
  <c r="P443" i="21"/>
  <c r="AV443" i="21" s="1"/>
  <c r="Q62" i="20"/>
  <c r="P41" i="21"/>
  <c r="AV41" i="21" s="1"/>
  <c r="W259" i="20"/>
  <c r="V238" i="21"/>
  <c r="BB238" i="21" s="1"/>
  <c r="U261" i="20"/>
  <c r="T240" i="21"/>
  <c r="AZ240" i="21" s="1"/>
  <c r="N440" i="20"/>
  <c r="M419" i="21"/>
  <c r="AS419" i="21" s="1"/>
  <c r="R292" i="20"/>
  <c r="Q271" i="21"/>
  <c r="AW271" i="21" s="1"/>
  <c r="U376" i="20"/>
  <c r="T355" i="21"/>
  <c r="AZ355" i="21" s="1"/>
  <c r="M269" i="20"/>
  <c r="L248" i="21"/>
  <c r="AR248" i="21" s="1"/>
  <c r="T233" i="20"/>
  <c r="S212" i="21"/>
  <c r="AY212" i="21" s="1"/>
  <c r="H303" i="20"/>
  <c r="G282" i="21"/>
  <c r="AM282" i="21" s="1"/>
  <c r="P179" i="20"/>
  <c r="O158" i="21"/>
  <c r="AU158" i="21" s="1"/>
  <c r="L154" i="20"/>
  <c r="K133" i="21"/>
  <c r="AQ133" i="21" s="1"/>
  <c r="N352" i="20"/>
  <c r="M331" i="21"/>
  <c r="AS331" i="21" s="1"/>
  <c r="Q34" i="20"/>
  <c r="P13" i="21"/>
  <c r="AV13" i="21" s="1"/>
  <c r="Z25" i="20"/>
  <c r="Y4" i="21"/>
  <c r="BE4" i="21" s="1"/>
  <c r="S406" i="20"/>
  <c r="R385" i="21"/>
  <c r="AX385" i="21" s="1"/>
  <c r="U58" i="20"/>
  <c r="T37" i="21"/>
  <c r="AZ37" i="21" s="1"/>
  <c r="M468" i="20"/>
  <c r="L447" i="21"/>
  <c r="AR447" i="21" s="1"/>
  <c r="N152" i="20"/>
  <c r="M131" i="21"/>
  <c r="AS131" i="21" s="1"/>
  <c r="G333" i="20"/>
  <c r="F312" i="21"/>
  <c r="AL312" i="21" s="1"/>
  <c r="O324" i="20"/>
  <c r="N303" i="21"/>
  <c r="AT303" i="21" s="1"/>
  <c r="G218" i="20"/>
  <c r="F197" i="21"/>
  <c r="AL197" i="21" s="1"/>
  <c r="L298" i="20"/>
  <c r="K277" i="21"/>
  <c r="AQ277" i="21" s="1"/>
  <c r="S347" i="20"/>
  <c r="R326" i="21"/>
  <c r="AX326" i="21" s="1"/>
  <c r="L385" i="20"/>
  <c r="K364" i="21"/>
  <c r="AQ364" i="21" s="1"/>
  <c r="F74" i="20"/>
  <c r="E53" i="21"/>
  <c r="AK53" i="21" s="1"/>
  <c r="E191" i="20"/>
  <c r="D170" i="21"/>
  <c r="AJ170" i="21" s="1"/>
  <c r="E361" i="20"/>
  <c r="D340" i="21"/>
  <c r="AJ340" i="21" s="1"/>
  <c r="V375" i="20"/>
  <c r="U354" i="21"/>
  <c r="BA354" i="21" s="1"/>
  <c r="F219" i="20"/>
  <c r="E198" i="21"/>
  <c r="AK198" i="21" s="1"/>
  <c r="D451" i="20"/>
  <c r="C430" i="21"/>
  <c r="AI430" i="21" s="1"/>
  <c r="E421" i="20"/>
  <c r="D400" i="21"/>
  <c r="AJ400" i="21" s="1"/>
  <c r="L96" i="20"/>
  <c r="K75" i="21"/>
  <c r="AQ75" i="21" s="1"/>
  <c r="Z198" i="20"/>
  <c r="Y177" i="21"/>
  <c r="BE177" i="21" s="1"/>
  <c r="T175" i="20"/>
  <c r="S154" i="21"/>
  <c r="AY154" i="21" s="1"/>
  <c r="P409" i="20"/>
  <c r="O388" i="21"/>
  <c r="AU388" i="21" s="1"/>
  <c r="M240" i="20"/>
  <c r="L219" i="21"/>
  <c r="AR219" i="21" s="1"/>
  <c r="K271" i="20"/>
  <c r="J250" i="21"/>
  <c r="AP250" i="21" s="1"/>
  <c r="J215" i="20"/>
  <c r="I194" i="21"/>
  <c r="AO194" i="21" s="1"/>
  <c r="V432" i="20"/>
  <c r="U411" i="21"/>
  <c r="BA411" i="21" s="1"/>
  <c r="F248" i="20"/>
  <c r="E227" i="21"/>
  <c r="AK227" i="21" s="1"/>
  <c r="Y54" i="20"/>
  <c r="X33" i="21"/>
  <c r="BD33" i="21" s="1"/>
  <c r="I126" i="20"/>
  <c r="H105" i="21"/>
  <c r="AN105" i="21" s="1"/>
  <c r="X55" i="20"/>
  <c r="W34" i="21"/>
  <c r="BC34" i="21" s="1"/>
  <c r="Z169" i="20"/>
  <c r="Y148" i="21"/>
  <c r="BE148" i="21" s="1"/>
  <c r="J330" i="20"/>
  <c r="I309" i="21"/>
  <c r="AO309" i="21" s="1"/>
  <c r="R235" i="20"/>
  <c r="Q214" i="21"/>
  <c r="AW214" i="21" s="1"/>
  <c r="X258" i="20"/>
  <c r="W237" i="21"/>
  <c r="BC237" i="21" s="1"/>
  <c r="N296" i="20"/>
  <c r="M275" i="21"/>
  <c r="AS275" i="21" s="1"/>
  <c r="G73" i="20"/>
  <c r="F52" i="21"/>
  <c r="AL52" i="21" s="1"/>
  <c r="Q380" i="20"/>
  <c r="P359" i="21"/>
  <c r="AV359" i="21" s="1"/>
  <c r="C337" i="20"/>
  <c r="C106" i="20"/>
  <c r="D105" i="20"/>
  <c r="C84" i="21"/>
  <c r="AI84" i="21" s="1"/>
  <c r="E306" i="20"/>
  <c r="D285" i="21"/>
  <c r="AJ285" i="21" s="1"/>
  <c r="E220" i="20"/>
  <c r="D199" i="21"/>
  <c r="AJ199" i="21" s="1"/>
  <c r="O410" i="20"/>
  <c r="N389" i="21"/>
  <c r="AT389" i="21" s="1"/>
  <c r="K155" i="20"/>
  <c r="J134" i="21"/>
  <c r="AP134" i="21" s="1"/>
  <c r="P381" i="20"/>
  <c r="O360" i="21"/>
  <c r="AU360" i="21" s="1"/>
  <c r="C394" i="20"/>
  <c r="D278" i="20"/>
  <c r="C257" i="21"/>
  <c r="AI257" i="21" s="1"/>
  <c r="W402" i="20"/>
  <c r="V381" i="21"/>
  <c r="BB381" i="21" s="1"/>
  <c r="O151" i="20"/>
  <c r="N130" i="21"/>
  <c r="AT130" i="21" s="1"/>
  <c r="L413" i="20"/>
  <c r="K392" i="21"/>
  <c r="AQ392" i="21" s="1"/>
  <c r="K355" i="20"/>
  <c r="J334" i="21"/>
  <c r="AP334" i="21" s="1"/>
  <c r="X401" i="20"/>
  <c r="W380" i="21"/>
  <c r="BC380" i="21" s="1"/>
  <c r="Z82" i="20"/>
  <c r="Y61" i="21"/>
  <c r="BE61" i="21" s="1"/>
  <c r="R348" i="20"/>
  <c r="Q327" i="21"/>
  <c r="AW327" i="21" s="1"/>
  <c r="T461" i="20"/>
  <c r="S440" i="21"/>
  <c r="AY440" i="21" s="1"/>
  <c r="V57" i="20"/>
  <c r="U36" i="21"/>
  <c r="BA36" i="21" s="1"/>
  <c r="J444" i="20"/>
  <c r="I423" i="21"/>
  <c r="AO423" i="21" s="1"/>
  <c r="O267" i="20"/>
  <c r="N246" i="21"/>
  <c r="AT246" i="21" s="1"/>
  <c r="W56" i="20"/>
  <c r="V35" i="21"/>
  <c r="BB35" i="21" s="1"/>
  <c r="N383" i="20"/>
  <c r="M362" i="21"/>
  <c r="AS362" i="21" s="1"/>
  <c r="P35" i="20"/>
  <c r="O14" i="21"/>
  <c r="AU14" i="21" s="1"/>
  <c r="H188" i="20"/>
  <c r="G167" i="21"/>
  <c r="AM167" i="21" s="1"/>
  <c r="H358" i="20"/>
  <c r="G337" i="21"/>
  <c r="AM337" i="21" s="1"/>
  <c r="R177" i="20"/>
  <c r="Q156" i="21"/>
  <c r="AW156" i="21" s="1"/>
  <c r="O351" i="20"/>
  <c r="N330" i="21"/>
  <c r="AT330" i="21" s="1"/>
  <c r="P465" i="20"/>
  <c r="O444" i="21"/>
  <c r="AU444" i="21" s="1"/>
  <c r="U433" i="20"/>
  <c r="T412" i="21"/>
  <c r="AZ412" i="21" s="1"/>
  <c r="H217" i="20"/>
  <c r="G196" i="21"/>
  <c r="AM196" i="21" s="1"/>
  <c r="K214" i="20"/>
  <c r="J193" i="21"/>
  <c r="AP193" i="21" s="1"/>
  <c r="O36" i="20"/>
  <c r="N15" i="21"/>
  <c r="AT15" i="21" s="1"/>
  <c r="L327" i="20"/>
  <c r="K306" i="21"/>
  <c r="AQ306" i="21" s="1"/>
  <c r="O439" i="20"/>
  <c r="N418" i="21"/>
  <c r="AT418" i="21" s="1"/>
  <c r="J156" i="20"/>
  <c r="I135" i="21"/>
  <c r="AO135" i="21" s="1"/>
  <c r="J70" i="20"/>
  <c r="I49" i="21"/>
  <c r="AO49" i="21" s="1"/>
  <c r="G419" i="20"/>
  <c r="F398" i="21"/>
  <c r="AL398" i="21" s="1"/>
  <c r="I302" i="20"/>
  <c r="H281" i="21"/>
  <c r="AN281" i="21" s="1"/>
  <c r="K185" i="20"/>
  <c r="J164" i="21"/>
  <c r="AP164" i="21" s="1"/>
  <c r="F103" i="20"/>
  <c r="E82" i="21"/>
  <c r="AK82" i="21" s="1"/>
  <c r="W201" i="20"/>
  <c r="V180" i="21"/>
  <c r="BB180" i="21" s="1"/>
  <c r="I445" i="20"/>
  <c r="H424" i="21"/>
  <c r="AN424" i="21" s="1"/>
  <c r="S205" i="20"/>
  <c r="R184" i="21"/>
  <c r="AX184" i="21" s="1"/>
  <c r="C77" i="20"/>
  <c r="C308" i="20"/>
  <c r="D76" i="20"/>
  <c r="C55" i="21"/>
  <c r="AI55" i="21" s="1"/>
  <c r="F160" i="20"/>
  <c r="E139" i="21"/>
  <c r="AK139" i="21" s="1"/>
  <c r="E130" i="20"/>
  <c r="D109" i="21"/>
  <c r="AJ109" i="21" s="1"/>
  <c r="H158" i="20"/>
  <c r="G137" i="21"/>
  <c r="AM137" i="21" s="1"/>
  <c r="Q437" i="20"/>
  <c r="P416" i="21"/>
  <c r="AV416" i="21" s="1"/>
  <c r="K213" i="20"/>
  <c r="J192" i="21"/>
  <c r="AP192" i="21" s="1"/>
  <c r="K68" i="20"/>
  <c r="J47" i="21"/>
  <c r="AP47" i="21" s="1"/>
  <c r="I388" i="20"/>
  <c r="H367" i="21"/>
  <c r="AN367" i="21" s="1"/>
  <c r="P63" i="20"/>
  <c r="O42" i="21"/>
  <c r="AU42" i="21" s="1"/>
  <c r="L67" i="20"/>
  <c r="K46" i="21"/>
  <c r="AQ46" i="21" s="1"/>
  <c r="W172" i="20"/>
  <c r="V151" i="21"/>
  <c r="BB151" i="21" s="1"/>
  <c r="V173" i="20"/>
  <c r="U152" i="21"/>
  <c r="BA152" i="21" s="1"/>
  <c r="G159" i="20"/>
  <c r="F138" i="21"/>
  <c r="AL138" i="21" s="1"/>
  <c r="L212" i="20"/>
  <c r="K191" i="21"/>
  <c r="AQ191" i="21" s="1"/>
  <c r="Y141" i="20"/>
  <c r="X120" i="21"/>
  <c r="BD120" i="21" s="1"/>
  <c r="J471" i="20"/>
  <c r="I450" i="21"/>
  <c r="AO450" i="21" s="1"/>
  <c r="R379" i="20"/>
  <c r="Q358" i="21"/>
  <c r="AW358" i="21" s="1"/>
  <c r="S176" i="20"/>
  <c r="R155" i="21"/>
  <c r="AX155" i="21" s="1"/>
  <c r="U232" i="20"/>
  <c r="T211" i="21"/>
  <c r="AZ211" i="21" s="1"/>
  <c r="T319" i="20"/>
  <c r="S298" i="21"/>
  <c r="AY298" i="21" s="1"/>
  <c r="F449" i="20"/>
  <c r="E428" i="21"/>
  <c r="AK428" i="21" s="1"/>
  <c r="K69" i="20"/>
  <c r="J48" i="21"/>
  <c r="AP48" i="21" s="1"/>
  <c r="R436" i="20"/>
  <c r="Q415" i="21"/>
  <c r="AW415" i="21" s="1"/>
  <c r="S435" i="20"/>
  <c r="R414" i="21"/>
  <c r="AX414" i="21" s="1"/>
  <c r="E476" i="20"/>
  <c r="D455" i="21"/>
  <c r="AJ455" i="21" s="1"/>
  <c r="T346" i="20"/>
  <c r="S325" i="21"/>
  <c r="AY325" i="21" s="1"/>
  <c r="N239" i="20"/>
  <c r="M218" i="21"/>
  <c r="AS218" i="21" s="1"/>
  <c r="G304" i="20"/>
  <c r="F283" i="21"/>
  <c r="AL283" i="21" s="1"/>
  <c r="P350" i="20"/>
  <c r="O329" i="21"/>
  <c r="AU329" i="21" s="1"/>
  <c r="W287" i="20"/>
  <c r="V266" i="21"/>
  <c r="BB266" i="21" s="1"/>
  <c r="D393" i="20"/>
  <c r="C372" i="21"/>
  <c r="AI372" i="21" s="1"/>
  <c r="G102" i="20"/>
  <c r="F81" i="21"/>
  <c r="AL81" i="21" s="1"/>
  <c r="E46" i="20"/>
  <c r="D25" i="21"/>
  <c r="AJ25" i="21" s="1"/>
  <c r="L123" i="20"/>
  <c r="K102" i="21"/>
  <c r="AQ102" i="21" s="1"/>
  <c r="Q118" i="20"/>
  <c r="P97" i="21"/>
  <c r="AV97" i="21" s="1"/>
  <c r="V113" i="20"/>
  <c r="U92" i="21"/>
  <c r="BA92" i="21" s="1"/>
  <c r="I357" i="20"/>
  <c r="H336" i="21"/>
  <c r="AN336" i="21" s="1"/>
  <c r="P237" i="20"/>
  <c r="O216" i="21"/>
  <c r="AU216" i="21" s="1"/>
  <c r="N37" i="20"/>
  <c r="M16" i="21"/>
  <c r="AS16" i="21" s="1"/>
  <c r="J387" i="20"/>
  <c r="I366" i="21"/>
  <c r="AO366" i="21" s="1"/>
  <c r="Q236" i="20"/>
  <c r="P215" i="21"/>
  <c r="AV215" i="21" s="1"/>
  <c r="O238" i="20"/>
  <c r="N217" i="21"/>
  <c r="AT217" i="21" s="1"/>
  <c r="V29" i="20"/>
  <c r="U8" i="21"/>
  <c r="BA8" i="21" s="1"/>
  <c r="M326" i="20"/>
  <c r="L305" i="21"/>
  <c r="AR305" i="21" s="1"/>
  <c r="H447" i="20"/>
  <c r="G426" i="21"/>
  <c r="AM426" i="21" s="1"/>
  <c r="S291" i="20"/>
  <c r="R270" i="21"/>
  <c r="AX270" i="21" s="1"/>
  <c r="V288" i="20"/>
  <c r="U267" i="21"/>
  <c r="BA267" i="21" s="1"/>
  <c r="E75" i="20"/>
  <c r="D54" i="21"/>
  <c r="AJ54" i="21" s="1"/>
  <c r="D131" i="20"/>
  <c r="C363" i="20"/>
  <c r="C132" i="20"/>
  <c r="C110" i="21"/>
  <c r="AI110" i="21" s="1"/>
  <c r="C193" i="20"/>
  <c r="D192" i="20"/>
  <c r="C171" i="21"/>
  <c r="AI171" i="21" s="1"/>
  <c r="G275" i="20"/>
  <c r="F254" i="21"/>
  <c r="AL254" i="21" s="1"/>
  <c r="U203" i="20"/>
  <c r="T182" i="21"/>
  <c r="AZ182" i="21" s="1"/>
  <c r="W374" i="20"/>
  <c r="V353" i="21"/>
  <c r="BB353" i="21" s="1"/>
  <c r="G359" i="20"/>
  <c r="F338" i="21"/>
  <c r="AL338" i="21" s="1"/>
  <c r="W85" i="20"/>
  <c r="V64" i="21"/>
  <c r="BB64" i="21" s="1"/>
  <c r="M412" i="20"/>
  <c r="L391" i="21"/>
  <c r="AR391" i="21" s="1"/>
  <c r="R61" i="20"/>
  <c r="Q40" i="21"/>
  <c r="AW40" i="21" s="1"/>
  <c r="H274" i="20"/>
  <c r="G253" i="21"/>
  <c r="AM253" i="21" s="1"/>
  <c r="J244" i="20"/>
  <c r="I223" i="21"/>
  <c r="AO223" i="21" s="1"/>
  <c r="U114" i="20"/>
  <c r="T93" i="21"/>
  <c r="AZ93" i="21" s="1"/>
  <c r="J300" i="20"/>
  <c r="I279" i="21"/>
  <c r="AO279" i="21" s="1"/>
  <c r="V403" i="20"/>
  <c r="U382" i="21"/>
  <c r="BA382" i="21" s="1"/>
  <c r="G128" i="20"/>
  <c r="F107" i="21"/>
  <c r="AL107" i="21" s="1"/>
  <c r="R90" i="20"/>
  <c r="Q69" i="21"/>
  <c r="AW69" i="21" s="1"/>
  <c r="L270" i="20"/>
  <c r="K249" i="21"/>
  <c r="AQ249" i="21" s="1"/>
  <c r="H389" i="20"/>
  <c r="G368" i="21"/>
  <c r="AM368" i="21" s="1"/>
  <c r="X142" i="20"/>
  <c r="W121" i="21"/>
  <c r="BC121" i="21" s="1"/>
  <c r="O466" i="20"/>
  <c r="N445" i="21"/>
  <c r="AT445" i="21" s="1"/>
  <c r="Y26" i="20"/>
  <c r="X5" i="21"/>
  <c r="BD5" i="21" s="1"/>
  <c r="F334" i="20"/>
  <c r="E313" i="21"/>
  <c r="AK313" i="21" s="1"/>
  <c r="I100" i="20"/>
  <c r="H79" i="21"/>
  <c r="AN79" i="21" s="1"/>
  <c r="J186" i="20"/>
  <c r="I165" i="21"/>
  <c r="AO165" i="21" s="1"/>
  <c r="O209" i="20"/>
  <c r="N188" i="21"/>
  <c r="AT188" i="21" s="1"/>
  <c r="U318" i="20"/>
  <c r="T297" i="21"/>
  <c r="AZ297" i="21" s="1"/>
  <c r="I416" i="20"/>
  <c r="H395" i="21"/>
  <c r="AN395" i="21" s="1"/>
  <c r="M95" i="20"/>
  <c r="L74" i="21"/>
  <c r="AR74" i="21" s="1"/>
  <c r="Q178" i="20"/>
  <c r="P157" i="21"/>
  <c r="AV157" i="21" s="1"/>
  <c r="N121" i="20"/>
  <c r="M100" i="21"/>
  <c r="AS100" i="21" s="1"/>
  <c r="W112" i="20"/>
  <c r="V91" i="21"/>
  <c r="BB91" i="21" s="1"/>
  <c r="P208" i="20"/>
  <c r="O187" i="21"/>
  <c r="AU187" i="21" s="1"/>
  <c r="K184" i="20"/>
  <c r="J163" i="21"/>
  <c r="AP163" i="21" s="1"/>
  <c r="X111" i="20"/>
  <c r="W90" i="21"/>
  <c r="BC90" i="21" s="1"/>
  <c r="T204" i="20"/>
  <c r="S183" i="21"/>
  <c r="AY183" i="21" s="1"/>
  <c r="M353" i="20"/>
  <c r="L332" i="21"/>
  <c r="AR332" i="21" s="1"/>
  <c r="G448" i="20"/>
  <c r="F427" i="21"/>
  <c r="AL427" i="21" s="1"/>
  <c r="L241" i="20"/>
  <c r="K220" i="21"/>
  <c r="AQ220" i="21" s="1"/>
  <c r="J356" i="20"/>
  <c r="I335" i="21"/>
  <c r="AO335" i="21" s="1"/>
  <c r="J99" i="20"/>
  <c r="I78" i="21"/>
  <c r="AO78" i="21" s="1"/>
  <c r="Y199" i="20"/>
  <c r="X178" i="21"/>
  <c r="BD178" i="21" s="1"/>
  <c r="M38" i="20"/>
  <c r="L17" i="21"/>
  <c r="AR17" i="21" s="1"/>
  <c r="S378" i="20"/>
  <c r="R357" i="21"/>
  <c r="AX357" i="21" s="1"/>
  <c r="Q349" i="20"/>
  <c r="P328" i="21"/>
  <c r="AV328" i="21" s="1"/>
  <c r="C452" i="20"/>
  <c r="D336" i="20"/>
  <c r="C315" i="21"/>
  <c r="AI315" i="21" s="1"/>
  <c r="D422" i="20"/>
  <c r="C401" i="21"/>
  <c r="AI401" i="21" s="1"/>
  <c r="E161" i="20"/>
  <c r="D140" i="21"/>
  <c r="AJ140" i="21" s="1"/>
  <c r="D221" i="20"/>
  <c r="C222" i="20"/>
  <c r="C200" i="21"/>
  <c r="AI200" i="21" s="1"/>
  <c r="U30" i="20"/>
  <c r="T9" i="21"/>
  <c r="AZ9" i="21" s="1"/>
  <c r="Q91" i="20"/>
  <c r="P70" i="21"/>
  <c r="AV70" i="21" s="1"/>
  <c r="N210" i="20"/>
  <c r="M189" i="21"/>
  <c r="AS189" i="21" s="1"/>
  <c r="K98" i="20"/>
  <c r="J77" i="21"/>
  <c r="AP77" i="21" s="1"/>
  <c r="T262" i="20"/>
  <c r="S241" i="21"/>
  <c r="AY241" i="21" s="1"/>
  <c r="Q265" i="20"/>
  <c r="P244" i="21"/>
  <c r="AV244" i="21" s="1"/>
  <c r="D250" i="20"/>
  <c r="C251" i="20"/>
  <c r="C229" i="21"/>
  <c r="AI229" i="21" s="1"/>
  <c r="C279" i="20"/>
  <c r="C48" i="20"/>
  <c r="D47" i="20"/>
  <c r="C26" i="21"/>
  <c r="AI26" i="21" s="1"/>
  <c r="D362" i="20"/>
  <c r="C478" i="20"/>
  <c r="C341" i="21"/>
  <c r="AI341" i="21" s="1"/>
  <c r="Y257" i="20"/>
  <c r="X236" i="21"/>
  <c r="BD236" i="21" s="1"/>
  <c r="I42" i="20"/>
  <c r="H21" i="21"/>
  <c r="AN21" i="21" s="1"/>
  <c r="N411" i="20"/>
  <c r="M390" i="21"/>
  <c r="AS390" i="21" s="1"/>
  <c r="J41" i="20"/>
  <c r="I20" i="21"/>
  <c r="AO20" i="21" s="1"/>
  <c r="K299" i="20"/>
  <c r="J278" i="21"/>
  <c r="AP278" i="21" s="1"/>
  <c r="P150" i="20"/>
  <c r="O129" i="21"/>
  <c r="AU129" i="21" s="1"/>
  <c r="R463" i="20"/>
  <c r="Q442" i="21"/>
  <c r="AW442" i="21" s="1"/>
  <c r="R148" i="20"/>
  <c r="Q127" i="21"/>
  <c r="AW127" i="21" s="1"/>
  <c r="H418" i="20"/>
  <c r="G397" i="21"/>
  <c r="AM397" i="21" s="1"/>
  <c r="F45" i="20"/>
  <c r="E24" i="21"/>
  <c r="AK24" i="21" s="1"/>
  <c r="H473" i="20"/>
  <c r="G452" i="21"/>
  <c r="AM452" i="21" s="1"/>
  <c r="G390" i="20"/>
  <c r="F369" i="21"/>
  <c r="AL369" i="21" s="1"/>
  <c r="T88" i="20"/>
  <c r="S67" i="21"/>
  <c r="AY67" i="21" s="1"/>
  <c r="M297" i="20"/>
  <c r="L276" i="21"/>
  <c r="AR276" i="21" s="1"/>
  <c r="M153" i="20"/>
  <c r="L132" i="21"/>
  <c r="AR132" i="21" s="1"/>
  <c r="K243" i="20"/>
  <c r="J222" i="21"/>
  <c r="AP222" i="21" s="1"/>
  <c r="K470" i="20"/>
  <c r="J449" i="21"/>
  <c r="AP449" i="21" s="1"/>
  <c r="M182" i="20"/>
  <c r="L161" i="21"/>
  <c r="AR161" i="21" s="1"/>
  <c r="F129" i="20"/>
  <c r="E108" i="21"/>
  <c r="AK108" i="21" s="1"/>
  <c r="Y336" i="19"/>
  <c r="Z337" i="19" s="1"/>
  <c r="X510" i="19"/>
  <c r="Z75" i="19"/>
  <c r="AD423" i="19"/>
  <c r="W394" i="19"/>
  <c r="X395" i="19" s="1"/>
  <c r="Z510" i="19"/>
  <c r="W336" i="19"/>
  <c r="Z278" i="19"/>
  <c r="W452" i="19"/>
  <c r="X453" i="19" s="1"/>
  <c r="AC336" i="19"/>
  <c r="X336" i="19"/>
  <c r="AA394" i="19"/>
  <c r="AB423" i="19"/>
  <c r="W162" i="19"/>
  <c r="X163" i="19" s="1"/>
  <c r="Z104" i="19"/>
  <c r="Z423" i="19"/>
  <c r="AD510" i="19"/>
  <c r="AB191" i="19"/>
  <c r="Z336" i="19"/>
  <c r="W104" i="19"/>
  <c r="AD394" i="19"/>
  <c r="AD336" i="19"/>
  <c r="AA191" i="19"/>
  <c r="X104" i="19"/>
  <c r="Y105" i="19" s="1"/>
  <c r="AC452" i="19"/>
  <c r="AD453" i="19" s="1"/>
  <c r="AD162" i="19"/>
  <c r="X452" i="19"/>
  <c r="AE75" i="19"/>
  <c r="AA162" i="19"/>
  <c r="AD104" i="19"/>
  <c r="AC394" i="19"/>
  <c r="X191" i="19"/>
  <c r="X162" i="19"/>
  <c r="L337" i="19"/>
  <c r="AE510" i="19"/>
  <c r="Y75" i="19"/>
  <c r="Z76" i="19" s="1"/>
  <c r="AA104" i="19"/>
  <c r="AB510" i="19"/>
  <c r="AE394" i="19"/>
  <c r="Y162" i="19"/>
  <c r="Z191" i="19"/>
  <c r="AE452" i="19"/>
  <c r="AC162" i="19"/>
  <c r="Y394" i="19"/>
  <c r="Y191" i="19"/>
  <c r="G365" i="19"/>
  <c r="N192" i="19"/>
  <c r="I249" i="19"/>
  <c r="S511" i="19"/>
  <c r="K163" i="19"/>
  <c r="V453" i="19"/>
  <c r="Y424" i="19"/>
  <c r="H76" i="19"/>
  <c r="N76" i="19"/>
  <c r="T133" i="19"/>
  <c r="T481" i="19"/>
  <c r="N279" i="19"/>
  <c r="AB481" i="19"/>
  <c r="AC481" i="19"/>
  <c r="Y365" i="19"/>
  <c r="K76" i="19"/>
  <c r="E105" i="19"/>
  <c r="J337" i="19"/>
  <c r="W337" i="19"/>
  <c r="AE365" i="19"/>
  <c r="Y481" i="19"/>
  <c r="U481" i="19"/>
  <c r="E365" i="19"/>
  <c r="S163" i="19"/>
  <c r="AC163" i="19"/>
  <c r="I105" i="19"/>
  <c r="X279" i="19"/>
  <c r="AC453" i="19"/>
  <c r="F365" i="19"/>
  <c r="U453" i="19"/>
  <c r="T337" i="19"/>
  <c r="W453" i="19"/>
  <c r="P279" i="19"/>
  <c r="M105" i="19"/>
  <c r="Z105" i="19"/>
  <c r="K337" i="19"/>
  <c r="AA453" i="19"/>
  <c r="F453" i="19"/>
  <c r="O453" i="19"/>
  <c r="K453" i="19"/>
  <c r="V105" i="19"/>
  <c r="V337" i="19"/>
  <c r="Q453" i="19"/>
  <c r="G453" i="19"/>
  <c r="U337" i="19"/>
  <c r="Y395" i="19"/>
  <c r="AE453" i="19"/>
  <c r="J453" i="19"/>
  <c r="H105" i="19"/>
  <c r="W105" i="19"/>
  <c r="AB453" i="19"/>
  <c r="AD105" i="19"/>
  <c r="H337" i="19"/>
  <c r="AB337" i="19"/>
  <c r="U105" i="19"/>
  <c r="O511" i="19"/>
  <c r="Q105" i="19"/>
  <c r="K395" i="19"/>
  <c r="J105" i="19"/>
  <c r="T105" i="19"/>
  <c r="F337" i="19"/>
  <c r="S453" i="19"/>
  <c r="N337" i="19"/>
  <c r="H453" i="19"/>
  <c r="AC105" i="19"/>
  <c r="R453" i="19"/>
  <c r="O105" i="19"/>
  <c r="I453" i="19"/>
  <c r="P337" i="19"/>
  <c r="L453" i="19"/>
  <c r="T453" i="19"/>
  <c r="N453" i="19"/>
  <c r="J481" i="19"/>
  <c r="S481" i="19"/>
  <c r="N481" i="19"/>
  <c r="L105" i="19"/>
  <c r="K105" i="19"/>
  <c r="S105" i="19"/>
  <c r="G105" i="19"/>
  <c r="G337" i="19"/>
  <c r="E337" i="19"/>
  <c r="P163" i="19"/>
  <c r="N105" i="19"/>
  <c r="U163" i="19"/>
  <c r="W511" i="19"/>
  <c r="N163" i="19"/>
  <c r="R337" i="19"/>
  <c r="R105" i="19"/>
  <c r="M337" i="19"/>
  <c r="P105" i="19"/>
  <c r="O337" i="19"/>
  <c r="P453" i="19"/>
  <c r="M453" i="19"/>
  <c r="Q337" i="19"/>
  <c r="X481" i="19"/>
  <c r="S337" i="19"/>
  <c r="AC337" i="19"/>
  <c r="Z453" i="19"/>
  <c r="L511" i="19"/>
  <c r="J163" i="19"/>
  <c r="T395" i="19"/>
  <c r="AD511" i="19"/>
  <c r="E163" i="19"/>
  <c r="Q395" i="19"/>
  <c r="R163" i="19"/>
  <c r="X511" i="19"/>
  <c r="V395" i="19"/>
  <c r="J511" i="19"/>
  <c r="P511" i="19"/>
  <c r="E395" i="19"/>
  <c r="Q511" i="19"/>
  <c r="M163" i="19"/>
  <c r="O395" i="19"/>
  <c r="AA163" i="19"/>
  <c r="S395" i="19"/>
  <c r="V163" i="19"/>
  <c r="W395" i="19"/>
  <c r="N395" i="19"/>
  <c r="E511" i="19"/>
  <c r="AB511" i="19"/>
  <c r="U395" i="19"/>
  <c r="R279" i="19"/>
  <c r="I511" i="19"/>
  <c r="V511" i="19"/>
  <c r="L163" i="19"/>
  <c r="H511" i="19"/>
  <c r="W163" i="19"/>
  <c r="I337" i="19"/>
  <c r="F105" i="19"/>
  <c r="P249" i="19"/>
  <c r="K249" i="19"/>
  <c r="W249" i="19"/>
  <c r="H249" i="19"/>
  <c r="Q249" i="19"/>
  <c r="AD249" i="19"/>
  <c r="V249" i="19"/>
  <c r="E453" i="19"/>
  <c r="F511" i="19"/>
  <c r="M511" i="19"/>
  <c r="S249" i="19"/>
  <c r="AE192" i="19"/>
  <c r="X249" i="19"/>
  <c r="Z249" i="19"/>
  <c r="U249" i="19"/>
  <c r="E76" i="19"/>
  <c r="T249" i="19"/>
  <c r="O192" i="19"/>
  <c r="AE249" i="19"/>
  <c r="E192" i="19"/>
  <c r="E280" i="19"/>
  <c r="M192" i="19"/>
  <c r="V192" i="19"/>
  <c r="S192" i="19"/>
  <c r="R249" i="19"/>
  <c r="F279" i="19"/>
  <c r="U76" i="19"/>
  <c r="F249" i="19"/>
  <c r="M249" i="19"/>
  <c r="U365" i="19"/>
  <c r="U192" i="19"/>
  <c r="R76" i="19"/>
  <c r="O424" i="19"/>
  <c r="J424" i="19"/>
  <c r="N424" i="19"/>
  <c r="K192" i="19"/>
  <c r="M133" i="19"/>
  <c r="V424" i="19"/>
  <c r="T192" i="19"/>
  <c r="Q279" i="19"/>
  <c r="AB365" i="19"/>
  <c r="O163" i="19"/>
  <c r="F395" i="19"/>
  <c r="AC395" i="19"/>
  <c r="Q481" i="19"/>
  <c r="AB249" i="19"/>
  <c r="AE279" i="19"/>
  <c r="AC279" i="19"/>
  <c r="G163" i="19"/>
  <c r="M395" i="19"/>
  <c r="O76" i="19"/>
  <c r="M76" i="19"/>
  <c r="AE76" i="19"/>
  <c r="S424" i="19"/>
  <c r="I424" i="19"/>
  <c r="AD76" i="19"/>
  <c r="E424" i="19"/>
  <c r="H424" i="19"/>
  <c r="S76" i="19"/>
  <c r="X424" i="19"/>
  <c r="G424" i="19"/>
  <c r="W424" i="19"/>
  <c r="G279" i="19"/>
  <c r="T279" i="19"/>
  <c r="Q76" i="19"/>
  <c r="I76" i="19"/>
  <c r="J76" i="19"/>
  <c r="AB279" i="19"/>
  <c r="L424" i="19"/>
  <c r="X76" i="19"/>
  <c r="I365" i="19"/>
  <c r="L133" i="19"/>
  <c r="Q192" i="19"/>
  <c r="R365" i="19"/>
  <c r="O279" i="19"/>
  <c r="O249" i="19"/>
  <c r="H395" i="19"/>
  <c r="AC249" i="19"/>
  <c r="G249" i="19"/>
  <c r="N249" i="19"/>
  <c r="AD279" i="19"/>
  <c r="P220" i="19"/>
  <c r="F220" i="19"/>
  <c r="P365" i="19"/>
  <c r="E194" i="19"/>
  <c r="D195" i="19"/>
  <c r="F104" i="1" s="1"/>
  <c r="E481" i="19"/>
  <c r="D425" i="19"/>
  <c r="D77" i="19"/>
  <c r="R133" i="19"/>
  <c r="R481" i="19"/>
  <c r="AA365" i="19"/>
  <c r="Z308" i="19"/>
  <c r="Y311" i="19"/>
  <c r="K481" i="19"/>
  <c r="V365" i="19"/>
  <c r="Q365" i="19"/>
  <c r="J133" i="19"/>
  <c r="W365" i="19"/>
  <c r="Y133" i="19"/>
  <c r="AD365" i="19"/>
  <c r="O133" i="19"/>
  <c r="AC220" i="19"/>
  <c r="Z220" i="19"/>
  <c r="AD133" i="19"/>
  <c r="D396" i="19"/>
  <c r="D512" i="19"/>
  <c r="D164" i="19"/>
  <c r="U424" i="19"/>
  <c r="K49" i="19"/>
  <c r="D251" i="19" s="1"/>
  <c r="K48" i="19"/>
  <c r="D250" i="19" s="1"/>
  <c r="R192" i="19"/>
  <c r="J279" i="19"/>
  <c r="S365" i="19"/>
  <c r="X365" i="19"/>
  <c r="I279" i="19"/>
  <c r="AE481" i="19"/>
  <c r="Z424" i="19"/>
  <c r="AB133" i="19"/>
  <c r="H220" i="19"/>
  <c r="K279" i="19"/>
  <c r="P395" i="19"/>
  <c r="Y220" i="19"/>
  <c r="L249" i="19"/>
  <c r="O365" i="19"/>
  <c r="S279" i="19"/>
  <c r="Z279" i="19"/>
  <c r="F163" i="19"/>
  <c r="G192" i="19"/>
  <c r="L192" i="19"/>
  <c r="F76" i="19"/>
  <c r="AC76" i="19"/>
  <c r="U133" i="19"/>
  <c r="Z365" i="19"/>
  <c r="R395" i="19"/>
  <c r="Y76" i="19"/>
  <c r="F133" i="19"/>
  <c r="F424" i="19"/>
  <c r="N133" i="19"/>
  <c r="D454" i="19"/>
  <c r="D338" i="19"/>
  <c r="D106" i="19"/>
  <c r="W220" i="19"/>
  <c r="V220" i="19"/>
  <c r="K133" i="19"/>
  <c r="O220" i="19"/>
  <c r="Z481" i="19"/>
  <c r="M365" i="19"/>
  <c r="J192" i="19"/>
  <c r="R220" i="19"/>
  <c r="Y279" i="19"/>
  <c r="L365" i="19"/>
  <c r="W76" i="19"/>
  <c r="K220" i="19"/>
  <c r="X192" i="19"/>
  <c r="L279" i="19"/>
  <c r="P76" i="19"/>
  <c r="X133" i="19"/>
  <c r="AC133" i="19"/>
  <c r="S220" i="19"/>
  <c r="K511" i="19"/>
  <c r="G395" i="19"/>
  <c r="G220" i="19"/>
  <c r="V133" i="19"/>
  <c r="U511" i="19"/>
  <c r="J220" i="19"/>
  <c r="J249" i="19"/>
  <c r="M481" i="19"/>
  <c r="O481" i="19"/>
  <c r="E49" i="19"/>
  <c r="E48" i="19"/>
  <c r="L481" i="19"/>
  <c r="P481" i="19"/>
  <c r="U279" i="19"/>
  <c r="H163" i="19"/>
  <c r="R424" i="19"/>
  <c r="H192" i="19"/>
  <c r="X220" i="19"/>
  <c r="AD220" i="19"/>
  <c r="N220" i="19"/>
  <c r="AA220" i="19"/>
  <c r="D481" i="19"/>
  <c r="D365" i="19"/>
  <c r="D133" i="19"/>
  <c r="AB220" i="19"/>
  <c r="S133" i="19"/>
  <c r="Q220" i="19"/>
  <c r="M220" i="19"/>
  <c r="J49" i="19"/>
  <c r="D222" i="19" s="1"/>
  <c r="J48" i="19"/>
  <c r="D221" i="19" s="1"/>
  <c r="AD481" i="19"/>
  <c r="AA481" i="19"/>
  <c r="I481" i="19"/>
  <c r="T220" i="19"/>
  <c r="I133" i="19"/>
  <c r="H481" i="19"/>
  <c r="H133" i="19"/>
  <c r="J365" i="19"/>
  <c r="U220" i="19"/>
  <c r="H365" i="19"/>
  <c r="W481" i="19"/>
  <c r="G481" i="19"/>
  <c r="W133" i="19"/>
  <c r="V481" i="19"/>
  <c r="F481" i="19"/>
  <c r="AE133" i="19"/>
  <c r="E193" i="19"/>
  <c r="E133" i="19"/>
  <c r="D424" i="19"/>
  <c r="D76" i="19"/>
  <c r="AB424" i="19"/>
  <c r="G76" i="19"/>
  <c r="L76" i="19"/>
  <c r="P424" i="19"/>
  <c r="AA133" i="19"/>
  <c r="P133" i="19"/>
  <c r="I192" i="19"/>
  <c r="AC365" i="19"/>
  <c r="E279" i="19"/>
  <c r="V76" i="19"/>
  <c r="AD192" i="19"/>
  <c r="T365" i="19"/>
  <c r="L220" i="19"/>
  <c r="D395" i="19"/>
  <c r="D511" i="19"/>
  <c r="D163" i="19"/>
  <c r="Q163" i="19"/>
  <c r="E220" i="19"/>
  <c r="I163" i="19"/>
  <c r="Z511" i="19"/>
  <c r="E281" i="19"/>
  <c r="D282" i="19"/>
  <c r="F107" i="1" s="1"/>
  <c r="J395" i="19"/>
  <c r="M279" i="19"/>
  <c r="Q424" i="19"/>
  <c r="H279" i="19"/>
  <c r="T76" i="19"/>
  <c r="R511" i="19"/>
  <c r="W279" i="19"/>
  <c r="K424" i="19"/>
  <c r="N365" i="19"/>
  <c r="AD424" i="19"/>
  <c r="G511" i="19"/>
  <c r="Y249" i="19"/>
  <c r="F192" i="19"/>
  <c r="Z133" i="19"/>
  <c r="V279" i="19"/>
  <c r="G133" i="19"/>
  <c r="L395" i="19"/>
  <c r="AA249" i="19"/>
  <c r="Q133" i="19"/>
  <c r="I395" i="19"/>
  <c r="W192" i="19"/>
  <c r="N511" i="19"/>
  <c r="T163" i="19"/>
  <c r="K365" i="19"/>
  <c r="M424" i="19"/>
  <c r="T424" i="19"/>
  <c r="AB76" i="19"/>
  <c r="P192" i="19"/>
  <c r="I220" i="19"/>
  <c r="E249" i="19"/>
  <c r="AE220" i="19"/>
  <c r="T511" i="19"/>
  <c r="D337" i="19"/>
  <c r="D453" i="19"/>
  <c r="D105" i="19"/>
  <c r="AA395" i="19"/>
  <c r="AJ83" i="21" l="1"/>
  <c r="X261" i="21"/>
  <c r="AA79" i="49"/>
  <c r="Z81" i="49"/>
  <c r="Y3" i="49" s="1"/>
  <c r="Z49" i="49"/>
  <c r="Y52" i="49"/>
  <c r="X2" i="49" s="1"/>
  <c r="BC74" i="23"/>
  <c r="BC92" i="23" s="1"/>
  <c r="BC110" i="23" s="1"/>
  <c r="Y282" i="20"/>
  <c r="AA187" i="1" s="1"/>
  <c r="AA109" i="1"/>
  <c r="E47" i="20"/>
  <c r="D26" i="21"/>
  <c r="AJ26" i="21" s="1"/>
  <c r="C252" i="20"/>
  <c r="D251" i="20"/>
  <c r="C230" i="21"/>
  <c r="AI230" i="21" s="1"/>
  <c r="E422" i="20"/>
  <c r="D401" i="21"/>
  <c r="AJ401" i="21" s="1"/>
  <c r="C133" i="20"/>
  <c r="D132" i="20"/>
  <c r="C364" i="20"/>
  <c r="C111" i="21"/>
  <c r="AI111" i="21" s="1"/>
  <c r="T291" i="20"/>
  <c r="S270" i="21"/>
  <c r="AY270" i="21" s="1"/>
  <c r="P238" i="20"/>
  <c r="O217" i="21"/>
  <c r="AU217" i="21" s="1"/>
  <c r="Q237" i="20"/>
  <c r="P216" i="21"/>
  <c r="AV216" i="21" s="1"/>
  <c r="H102" i="20"/>
  <c r="G81" i="21"/>
  <c r="AM81" i="21" s="1"/>
  <c r="H304" i="20"/>
  <c r="G283" i="21"/>
  <c r="AM283" i="21" s="1"/>
  <c r="T435" i="20"/>
  <c r="S414" i="21"/>
  <c r="AY414" i="21" s="1"/>
  <c r="U319" i="20"/>
  <c r="T298" i="21"/>
  <c r="AZ298" i="21" s="1"/>
  <c r="K471" i="20"/>
  <c r="J450" i="21"/>
  <c r="AP450" i="21" s="1"/>
  <c r="W173" i="20"/>
  <c r="V152" i="21"/>
  <c r="BB152" i="21" s="1"/>
  <c r="J388" i="20"/>
  <c r="I367" i="21"/>
  <c r="AO367" i="21" s="1"/>
  <c r="Q381" i="20"/>
  <c r="P360" i="21"/>
  <c r="AV360" i="21" s="1"/>
  <c r="F306" i="20"/>
  <c r="E285" i="21"/>
  <c r="AK285" i="21" s="1"/>
  <c r="Y258" i="20"/>
  <c r="X237" i="21"/>
  <c r="BD237" i="21" s="1"/>
  <c r="Y55" i="20"/>
  <c r="X34" i="21"/>
  <c r="BD34" i="21" s="1"/>
  <c r="W432" i="20"/>
  <c r="V411" i="21"/>
  <c r="BB411" i="21" s="1"/>
  <c r="Q409" i="20"/>
  <c r="P388" i="21"/>
  <c r="AV388" i="21" s="1"/>
  <c r="G219" i="20"/>
  <c r="F198" i="21"/>
  <c r="AL198" i="21" s="1"/>
  <c r="G74" i="20"/>
  <c r="F53" i="21"/>
  <c r="AL53" i="21" s="1"/>
  <c r="H333" i="20"/>
  <c r="G312" i="21"/>
  <c r="AM312" i="21" s="1"/>
  <c r="T406" i="20"/>
  <c r="S385" i="21"/>
  <c r="AY385" i="21" s="1"/>
  <c r="I303" i="20"/>
  <c r="H282" i="21"/>
  <c r="AN282" i="21" s="1"/>
  <c r="S292" i="20"/>
  <c r="R271" i="21"/>
  <c r="AX271" i="21" s="1"/>
  <c r="R62" i="20"/>
  <c r="Q41" i="21"/>
  <c r="AW41" i="21" s="1"/>
  <c r="U115" i="20"/>
  <c r="T94" i="21"/>
  <c r="AZ94" i="21" s="1"/>
  <c r="G305" i="20"/>
  <c r="F284" i="21"/>
  <c r="AL284" i="21" s="1"/>
  <c r="Y315" i="20"/>
  <c r="X294" i="21"/>
  <c r="BD294" i="21" s="1"/>
  <c r="W260" i="20"/>
  <c r="V239" i="21"/>
  <c r="BB239" i="21" s="1"/>
  <c r="R207" i="20"/>
  <c r="Q186" i="21"/>
  <c r="AW186" i="21" s="1"/>
  <c r="U59" i="20"/>
  <c r="T38" i="21"/>
  <c r="AZ38" i="21" s="1"/>
  <c r="Q266" i="20"/>
  <c r="P245" i="21"/>
  <c r="AV245" i="21" s="1"/>
  <c r="N66" i="20"/>
  <c r="M45" i="21"/>
  <c r="AS45" i="21" s="1"/>
  <c r="D423" i="20"/>
  <c r="C402" i="21"/>
  <c r="AI402" i="21" s="1"/>
  <c r="J216" i="20"/>
  <c r="I195" i="21"/>
  <c r="AO195" i="21" s="1"/>
  <c r="T462" i="20"/>
  <c r="S441" i="21"/>
  <c r="AY441" i="21" s="1"/>
  <c r="M183" i="20"/>
  <c r="L162" i="21"/>
  <c r="AR162" i="21" s="1"/>
  <c r="J245" i="20"/>
  <c r="I224" i="21"/>
  <c r="AO224" i="21" s="1"/>
  <c r="X431" i="20"/>
  <c r="W410" i="21"/>
  <c r="BC410" i="21" s="1"/>
  <c r="G391" i="20"/>
  <c r="F370" i="21"/>
  <c r="AL370" i="21" s="1"/>
  <c r="F277" i="20"/>
  <c r="E256" i="21"/>
  <c r="AK256" i="21" s="1"/>
  <c r="P382" i="20"/>
  <c r="O361" i="21"/>
  <c r="AU361" i="21" s="1"/>
  <c r="R408" i="20"/>
  <c r="Q387" i="21"/>
  <c r="AW387" i="21" s="1"/>
  <c r="I127" i="20"/>
  <c r="H106" i="21"/>
  <c r="AN106" i="21" s="1"/>
  <c r="E477" i="20"/>
  <c r="D456" i="21"/>
  <c r="AJ456" i="21" s="1"/>
  <c r="Y511" i="19"/>
  <c r="Z512" i="19" s="1"/>
  <c r="G129" i="20"/>
  <c r="F108" i="21"/>
  <c r="AL108" i="21" s="1"/>
  <c r="L470" i="20"/>
  <c r="K449" i="21"/>
  <c r="AQ449" i="21" s="1"/>
  <c r="N153" i="20"/>
  <c r="M132" i="21"/>
  <c r="AS132" i="21" s="1"/>
  <c r="U88" i="20"/>
  <c r="T67" i="21"/>
  <c r="AZ67" i="21" s="1"/>
  <c r="I473" i="20"/>
  <c r="H452" i="21"/>
  <c r="AN452" i="21" s="1"/>
  <c r="I418" i="20"/>
  <c r="H397" i="21"/>
  <c r="AN397" i="21" s="1"/>
  <c r="S463" i="20"/>
  <c r="R442" i="21"/>
  <c r="AX442" i="21" s="1"/>
  <c r="L299" i="20"/>
  <c r="K278" i="21"/>
  <c r="AQ278" i="21" s="1"/>
  <c r="O411" i="20"/>
  <c r="N390" i="21"/>
  <c r="AT390" i="21" s="1"/>
  <c r="Z257" i="20"/>
  <c r="Y236" i="21"/>
  <c r="BE236" i="21" s="1"/>
  <c r="R265" i="20"/>
  <c r="Q244" i="21"/>
  <c r="AW244" i="21" s="1"/>
  <c r="L98" i="20"/>
  <c r="K77" i="21"/>
  <c r="AQ77" i="21" s="1"/>
  <c r="R91" i="20"/>
  <c r="Q70" i="21"/>
  <c r="AW70" i="21" s="1"/>
  <c r="C223" i="20"/>
  <c r="D222" i="20"/>
  <c r="C201" i="21"/>
  <c r="AI201" i="21" s="1"/>
  <c r="D452" i="20"/>
  <c r="C431" i="21"/>
  <c r="AI431" i="21" s="1"/>
  <c r="T378" i="20"/>
  <c r="S357" i="21"/>
  <c r="AY357" i="21" s="1"/>
  <c r="Z199" i="20"/>
  <c r="Y178" i="21"/>
  <c r="BE178" i="21" s="1"/>
  <c r="K356" i="20"/>
  <c r="J335" i="21"/>
  <c r="AP335" i="21" s="1"/>
  <c r="H448" i="20"/>
  <c r="G427" i="21"/>
  <c r="AM427" i="21" s="1"/>
  <c r="U204" i="20"/>
  <c r="T183" i="21"/>
  <c r="AZ183" i="21" s="1"/>
  <c r="L184" i="20"/>
  <c r="K163" i="21"/>
  <c r="AQ163" i="21" s="1"/>
  <c r="X112" i="20"/>
  <c r="W91" i="21"/>
  <c r="BC91" i="21" s="1"/>
  <c r="R178" i="20"/>
  <c r="Q157" i="21"/>
  <c r="AW157" i="21" s="1"/>
  <c r="J416" i="20"/>
  <c r="I395" i="21"/>
  <c r="AO395" i="21" s="1"/>
  <c r="P209" i="20"/>
  <c r="O188" i="21"/>
  <c r="AU188" i="21" s="1"/>
  <c r="J100" i="20"/>
  <c r="I79" i="21"/>
  <c r="AO79" i="21" s="1"/>
  <c r="Z26" i="20"/>
  <c r="Y5" i="21"/>
  <c r="BE5" i="21" s="1"/>
  <c r="Y142" i="20"/>
  <c r="X121" i="21"/>
  <c r="BD121" i="21" s="1"/>
  <c r="M270" i="20"/>
  <c r="L249" i="21"/>
  <c r="AR249" i="21" s="1"/>
  <c r="H128" i="20"/>
  <c r="G107" i="21"/>
  <c r="AM107" i="21" s="1"/>
  <c r="K300" i="20"/>
  <c r="J279" i="21"/>
  <c r="AP279" i="21" s="1"/>
  <c r="K244" i="20"/>
  <c r="J223" i="21"/>
  <c r="AP223" i="21" s="1"/>
  <c r="S61" i="20"/>
  <c r="R40" i="21"/>
  <c r="AX40" i="21" s="1"/>
  <c r="X85" i="20"/>
  <c r="W64" i="21"/>
  <c r="BC64" i="21" s="1"/>
  <c r="X374" i="20"/>
  <c r="W353" i="21"/>
  <c r="BC353" i="21" s="1"/>
  <c r="H275" i="20"/>
  <c r="G254" i="21"/>
  <c r="AM254" i="21" s="1"/>
  <c r="I158" i="20"/>
  <c r="H137" i="21"/>
  <c r="AN137" i="21" s="1"/>
  <c r="G160" i="20"/>
  <c r="F139" i="21"/>
  <c r="AL139" i="21" s="1"/>
  <c r="D77" i="20"/>
  <c r="C309" i="20"/>
  <c r="C78" i="20"/>
  <c r="C56" i="21"/>
  <c r="AI56" i="21" s="1"/>
  <c r="J445" i="20"/>
  <c r="I424" i="21"/>
  <c r="AO424" i="21" s="1"/>
  <c r="G103" i="20"/>
  <c r="F82" i="21"/>
  <c r="AL82" i="21" s="1"/>
  <c r="J302" i="20"/>
  <c r="I281" i="21"/>
  <c r="AO281" i="21" s="1"/>
  <c r="K70" i="20"/>
  <c r="J49" i="21"/>
  <c r="AP49" i="21" s="1"/>
  <c r="P439" i="20"/>
  <c r="O418" i="21"/>
  <c r="AU418" i="21" s="1"/>
  <c r="P36" i="20"/>
  <c r="O15" i="21"/>
  <c r="AU15" i="21" s="1"/>
  <c r="I217" i="20"/>
  <c r="H196" i="21"/>
  <c r="AN196" i="21" s="1"/>
  <c r="Q465" i="20"/>
  <c r="P444" i="21"/>
  <c r="AV444" i="21" s="1"/>
  <c r="S177" i="20"/>
  <c r="R156" i="21"/>
  <c r="AX156" i="21" s="1"/>
  <c r="I188" i="20"/>
  <c r="H167" i="21"/>
  <c r="AN167" i="21" s="1"/>
  <c r="O383" i="20"/>
  <c r="N362" i="21"/>
  <c r="AT362" i="21" s="1"/>
  <c r="P267" i="20"/>
  <c r="O246" i="21"/>
  <c r="AU246" i="21" s="1"/>
  <c r="W57" i="20"/>
  <c r="V36" i="21"/>
  <c r="BB36" i="21" s="1"/>
  <c r="S348" i="20"/>
  <c r="R327" i="21"/>
  <c r="AX327" i="21" s="1"/>
  <c r="Y401" i="20"/>
  <c r="X380" i="21"/>
  <c r="BD380" i="21" s="1"/>
  <c r="M413" i="20"/>
  <c r="L392" i="21"/>
  <c r="AR392" i="21" s="1"/>
  <c r="X402" i="20"/>
  <c r="W381" i="21"/>
  <c r="BC381" i="21" s="1"/>
  <c r="C338" i="20"/>
  <c r="D106" i="20"/>
  <c r="C107" i="20"/>
  <c r="C85" i="21"/>
  <c r="AI85" i="21" s="1"/>
  <c r="G475" i="20"/>
  <c r="F454" i="21"/>
  <c r="AL454" i="21" s="1"/>
  <c r="AA140" i="20"/>
  <c r="Z119" i="21"/>
  <c r="BF119" i="21" s="1"/>
  <c r="S117" i="20"/>
  <c r="R96" i="21"/>
  <c r="AX96" i="21" s="1"/>
  <c r="W459" i="20"/>
  <c r="V438" i="21"/>
  <c r="BB438" i="21" s="1"/>
  <c r="V145" i="20"/>
  <c r="U124" i="21"/>
  <c r="BA124" i="21" s="1"/>
  <c r="T320" i="20"/>
  <c r="S299" i="21"/>
  <c r="AY299" i="21" s="1"/>
  <c r="S33" i="20"/>
  <c r="R12" i="21"/>
  <c r="AX12" i="21" s="1"/>
  <c r="R149" i="20"/>
  <c r="Q128" i="21"/>
  <c r="AW128" i="21" s="1"/>
  <c r="T116" i="20"/>
  <c r="S95" i="21"/>
  <c r="AY95" i="21" s="1"/>
  <c r="E307" i="20"/>
  <c r="D286" i="21"/>
  <c r="AJ286" i="21" s="1"/>
  <c r="Y286" i="20"/>
  <c r="X265" i="21"/>
  <c r="BD265" i="21" s="1"/>
  <c r="I246" i="20"/>
  <c r="H225" i="21"/>
  <c r="AN225" i="21" s="1"/>
  <c r="V460" i="20"/>
  <c r="U439" i="21"/>
  <c r="BA439" i="21" s="1"/>
  <c r="Q294" i="20"/>
  <c r="P273" i="21"/>
  <c r="AV273" i="21" s="1"/>
  <c r="O94" i="20"/>
  <c r="N73" i="21"/>
  <c r="AT73" i="21" s="1"/>
  <c r="M469" i="20"/>
  <c r="L448" i="21"/>
  <c r="AR448" i="21" s="1"/>
  <c r="E162" i="20"/>
  <c r="D141" i="21"/>
  <c r="AJ141" i="21" s="1"/>
  <c r="L271" i="20"/>
  <c r="K250" i="21"/>
  <c r="AQ250" i="21" s="1"/>
  <c r="AA198" i="20"/>
  <c r="Z177" i="21"/>
  <c r="BF177" i="21" s="1"/>
  <c r="F361" i="20"/>
  <c r="E340" i="21"/>
  <c r="AK340" i="21" s="1"/>
  <c r="H218" i="20"/>
  <c r="G197" i="21"/>
  <c r="AM197" i="21" s="1"/>
  <c r="N468" i="20"/>
  <c r="M447" i="21"/>
  <c r="AS447" i="21" s="1"/>
  <c r="R34" i="20"/>
  <c r="Q13" i="21"/>
  <c r="AW13" i="21" s="1"/>
  <c r="N269" i="20"/>
  <c r="M248" i="21"/>
  <c r="AS248" i="21" s="1"/>
  <c r="V261" i="20"/>
  <c r="U240" i="21"/>
  <c r="BA240" i="21" s="1"/>
  <c r="T60" i="20"/>
  <c r="S39" i="21"/>
  <c r="AY39" i="21" s="1"/>
  <c r="I101" i="20"/>
  <c r="H80" i="21"/>
  <c r="AN80" i="21" s="1"/>
  <c r="K272" i="20"/>
  <c r="J251" i="21"/>
  <c r="AP251" i="21" s="1"/>
  <c r="U405" i="20"/>
  <c r="T384" i="21"/>
  <c r="AZ384" i="21" s="1"/>
  <c r="Z83" i="20"/>
  <c r="Y62" i="21"/>
  <c r="BE62" i="21" s="1"/>
  <c r="R293" i="20"/>
  <c r="Q272" i="21"/>
  <c r="AW272" i="21" s="1"/>
  <c r="F450" i="20"/>
  <c r="E429" i="21"/>
  <c r="AK429" i="21" s="1"/>
  <c r="J446" i="20"/>
  <c r="I425" i="21"/>
  <c r="AO425" i="21" s="1"/>
  <c r="L124" i="20"/>
  <c r="K103" i="21"/>
  <c r="AQ103" i="21" s="1"/>
  <c r="G190" i="20"/>
  <c r="F169" i="21"/>
  <c r="AL169" i="21" s="1"/>
  <c r="G276" i="20"/>
  <c r="F255" i="21"/>
  <c r="AL255" i="21" s="1"/>
  <c r="J472" i="20"/>
  <c r="I451" i="21"/>
  <c r="AO451" i="21" s="1"/>
  <c r="U31" i="20"/>
  <c r="T10" i="21"/>
  <c r="AZ10" i="21" s="1"/>
  <c r="X143" i="20"/>
  <c r="W122" i="21"/>
  <c r="BC122" i="21" s="1"/>
  <c r="X230" i="20"/>
  <c r="W209" i="21"/>
  <c r="BC209" i="21" s="1"/>
  <c r="U146" i="20"/>
  <c r="T125" i="21"/>
  <c r="AZ125" i="21" s="1"/>
  <c r="K415" i="20"/>
  <c r="J394" i="21"/>
  <c r="AP394" i="21" s="1"/>
  <c r="N441" i="20"/>
  <c r="M420" i="21"/>
  <c r="AS420" i="21" s="1"/>
  <c r="W231" i="20"/>
  <c r="V210" i="21"/>
  <c r="BB210" i="21" s="1"/>
  <c r="W86" i="20"/>
  <c r="V65" i="21"/>
  <c r="BB65" i="21" s="1"/>
  <c r="C164" i="20"/>
  <c r="D163" i="20"/>
  <c r="C142" i="21"/>
  <c r="AI142" i="21" s="1"/>
  <c r="J417" i="20"/>
  <c r="I396" i="21"/>
  <c r="AO396" i="21" s="1"/>
  <c r="O325" i="20"/>
  <c r="N304" i="21"/>
  <c r="AT304" i="21" s="1"/>
  <c r="L242" i="20"/>
  <c r="K221" i="21"/>
  <c r="AQ221" i="21" s="1"/>
  <c r="Y171" i="20"/>
  <c r="X150" i="21"/>
  <c r="BD150" i="21" s="1"/>
  <c r="N384" i="20"/>
  <c r="M363" i="21"/>
  <c r="AS363" i="21" s="1"/>
  <c r="V289" i="20"/>
  <c r="U268" i="21"/>
  <c r="BA268" i="21" s="1"/>
  <c r="N182" i="20"/>
  <c r="M161" i="21"/>
  <c r="AS161" i="21" s="1"/>
  <c r="L243" i="20"/>
  <c r="K222" i="21"/>
  <c r="AQ222" i="21" s="1"/>
  <c r="N297" i="20"/>
  <c r="M276" i="21"/>
  <c r="AS276" i="21" s="1"/>
  <c r="H390" i="20"/>
  <c r="G369" i="21"/>
  <c r="AM369" i="21" s="1"/>
  <c r="G45" i="20"/>
  <c r="F24" i="21"/>
  <c r="AL24" i="21" s="1"/>
  <c r="S148" i="20"/>
  <c r="R127" i="21"/>
  <c r="AX127" i="21" s="1"/>
  <c r="Q150" i="20"/>
  <c r="P129" i="21"/>
  <c r="AV129" i="21" s="1"/>
  <c r="K41" i="20"/>
  <c r="J20" i="21"/>
  <c r="AP20" i="21" s="1"/>
  <c r="J42" i="20"/>
  <c r="I21" i="21"/>
  <c r="AO21" i="21" s="1"/>
  <c r="D478" i="20"/>
  <c r="C457" i="21"/>
  <c r="AI457" i="21" s="1"/>
  <c r="D48" i="20"/>
  <c r="C49" i="20"/>
  <c r="C280" i="20"/>
  <c r="C27" i="21"/>
  <c r="AI27" i="21" s="1"/>
  <c r="E250" i="20"/>
  <c r="D229" i="21"/>
  <c r="AJ229" i="21" s="1"/>
  <c r="U262" i="20"/>
  <c r="T241" i="21"/>
  <c r="AZ241" i="21" s="1"/>
  <c r="O210" i="20"/>
  <c r="N189" i="21"/>
  <c r="AT189" i="21" s="1"/>
  <c r="V30" i="20"/>
  <c r="U9" i="21"/>
  <c r="BA9" i="21" s="1"/>
  <c r="R349" i="20"/>
  <c r="Q328" i="21"/>
  <c r="AW328" i="21" s="1"/>
  <c r="N38" i="20"/>
  <c r="M17" i="21"/>
  <c r="AS17" i="21" s="1"/>
  <c r="K99" i="20"/>
  <c r="J78" i="21"/>
  <c r="AP78" i="21" s="1"/>
  <c r="M241" i="20"/>
  <c r="L220" i="21"/>
  <c r="AR220" i="21" s="1"/>
  <c r="N353" i="20"/>
  <c r="M332" i="21"/>
  <c r="AS332" i="21" s="1"/>
  <c r="Y111" i="20"/>
  <c r="X90" i="21"/>
  <c r="BD90" i="21" s="1"/>
  <c r="Q208" i="20"/>
  <c r="P187" i="21"/>
  <c r="AV187" i="21" s="1"/>
  <c r="O121" i="20"/>
  <c r="N100" i="21"/>
  <c r="AT100" i="21" s="1"/>
  <c r="N95" i="20"/>
  <c r="M74" i="21"/>
  <c r="AS74" i="21" s="1"/>
  <c r="V318" i="20"/>
  <c r="U297" i="21"/>
  <c r="BA297" i="21" s="1"/>
  <c r="K186" i="20"/>
  <c r="J165" i="21"/>
  <c r="AP165" i="21" s="1"/>
  <c r="G334" i="20"/>
  <c r="F313" i="21"/>
  <c r="AL313" i="21" s="1"/>
  <c r="P466" i="20"/>
  <c r="O445" i="21"/>
  <c r="AU445" i="21" s="1"/>
  <c r="I389" i="20"/>
  <c r="H368" i="21"/>
  <c r="AN368" i="21" s="1"/>
  <c r="S90" i="20"/>
  <c r="R69" i="21"/>
  <c r="AX69" i="21" s="1"/>
  <c r="W403" i="20"/>
  <c r="V382" i="21"/>
  <c r="BB382" i="21" s="1"/>
  <c r="V114" i="20"/>
  <c r="U93" i="21"/>
  <c r="BA93" i="21" s="1"/>
  <c r="I274" i="20"/>
  <c r="H253" i="21"/>
  <c r="AN253" i="21" s="1"/>
  <c r="N412" i="20"/>
  <c r="M391" i="21"/>
  <c r="AS391" i="21" s="1"/>
  <c r="H359" i="20"/>
  <c r="G338" i="21"/>
  <c r="AM338" i="21" s="1"/>
  <c r="V203" i="20"/>
  <c r="U182" i="21"/>
  <c r="BA182" i="21" s="1"/>
  <c r="E192" i="20"/>
  <c r="D171" i="21"/>
  <c r="AJ171" i="21" s="1"/>
  <c r="C479" i="20"/>
  <c r="D363" i="20"/>
  <c r="C342" i="21"/>
  <c r="AI342" i="21" s="1"/>
  <c r="R437" i="20"/>
  <c r="Q416" i="21"/>
  <c r="AW416" i="21" s="1"/>
  <c r="F130" i="20"/>
  <c r="E109" i="21"/>
  <c r="AK109" i="21" s="1"/>
  <c r="E76" i="20"/>
  <c r="D55" i="21"/>
  <c r="AJ55" i="21" s="1"/>
  <c r="T205" i="20"/>
  <c r="S184" i="21"/>
  <c r="AY184" i="21" s="1"/>
  <c r="X201" i="20"/>
  <c r="W180" i="21"/>
  <c r="BC180" i="21" s="1"/>
  <c r="L185" i="20"/>
  <c r="K164" i="21"/>
  <c r="AQ164" i="21" s="1"/>
  <c r="H419" i="20"/>
  <c r="G398" i="21"/>
  <c r="AM398" i="21" s="1"/>
  <c r="K156" i="20"/>
  <c r="J135" i="21"/>
  <c r="AP135" i="21" s="1"/>
  <c r="M327" i="20"/>
  <c r="L306" i="21"/>
  <c r="AR306" i="21" s="1"/>
  <c r="L214" i="20"/>
  <c r="K193" i="21"/>
  <c r="AQ193" i="21" s="1"/>
  <c r="V433" i="20"/>
  <c r="U412" i="21"/>
  <c r="BA412" i="21" s="1"/>
  <c r="P351" i="20"/>
  <c r="O330" i="21"/>
  <c r="AU330" i="21" s="1"/>
  <c r="I358" i="20"/>
  <c r="H337" i="21"/>
  <c r="AN337" i="21" s="1"/>
  <c r="Q35" i="20"/>
  <c r="P14" i="21"/>
  <c r="AV14" i="21" s="1"/>
  <c r="X56" i="20"/>
  <c r="W35" i="21"/>
  <c r="BC35" i="21" s="1"/>
  <c r="K444" i="20"/>
  <c r="J423" i="21"/>
  <c r="AP423" i="21" s="1"/>
  <c r="U461" i="20"/>
  <c r="T440" i="21"/>
  <c r="AZ440" i="21" s="1"/>
  <c r="AA82" i="20"/>
  <c r="Z61" i="21"/>
  <c r="BF61" i="21" s="1"/>
  <c r="L355" i="20"/>
  <c r="K334" i="21"/>
  <c r="AQ334" i="21" s="1"/>
  <c r="P151" i="20"/>
  <c r="O130" i="21"/>
  <c r="AU130" i="21" s="1"/>
  <c r="E278" i="20"/>
  <c r="D257" i="21"/>
  <c r="AJ257" i="21" s="1"/>
  <c r="S206" i="20"/>
  <c r="R185" i="21"/>
  <c r="AX185" i="21" s="1"/>
  <c r="Q323" i="20"/>
  <c r="P302" i="21"/>
  <c r="AV302" i="21" s="1"/>
  <c r="Y229" i="20"/>
  <c r="X208" i="21"/>
  <c r="BD208" i="21" s="1"/>
  <c r="L40" i="20"/>
  <c r="K19" i="21"/>
  <c r="AQ19" i="21" s="1"/>
  <c r="G420" i="20"/>
  <c r="F399" i="21"/>
  <c r="AL399" i="21" s="1"/>
  <c r="M354" i="20"/>
  <c r="L333" i="21"/>
  <c r="AR333" i="21" s="1"/>
  <c r="P64" i="20"/>
  <c r="O43" i="21"/>
  <c r="AU43" i="21" s="1"/>
  <c r="O181" i="20"/>
  <c r="N160" i="21"/>
  <c r="AT160" i="21" s="1"/>
  <c r="Q92" i="20"/>
  <c r="P71" i="21"/>
  <c r="AV71" i="21" s="1"/>
  <c r="H247" i="20"/>
  <c r="G226" i="21"/>
  <c r="AM226" i="21" s="1"/>
  <c r="H44" i="20"/>
  <c r="G23" i="21"/>
  <c r="AM23" i="21" s="1"/>
  <c r="J157" i="20"/>
  <c r="I136" i="21"/>
  <c r="AO136" i="21" s="1"/>
  <c r="X316" i="20"/>
  <c r="W295" i="21"/>
  <c r="BC295" i="21" s="1"/>
  <c r="T263" i="20"/>
  <c r="S242" i="21"/>
  <c r="AY242" i="21" s="1"/>
  <c r="J331" i="20"/>
  <c r="I310" i="21"/>
  <c r="AO310" i="21" s="1"/>
  <c r="E221" i="20"/>
  <c r="D200" i="21"/>
  <c r="AJ200" i="21" s="1"/>
  <c r="F75" i="20"/>
  <c r="E54" i="21"/>
  <c r="AK54" i="21" s="1"/>
  <c r="N326" i="20"/>
  <c r="M305" i="21"/>
  <c r="AS305" i="21" s="1"/>
  <c r="K387" i="20"/>
  <c r="J366" i="21"/>
  <c r="AP366" i="21" s="1"/>
  <c r="W113" i="20"/>
  <c r="V92" i="21"/>
  <c r="BB92" i="21" s="1"/>
  <c r="M123" i="20"/>
  <c r="L102" i="21"/>
  <c r="AR102" i="21" s="1"/>
  <c r="X287" i="20"/>
  <c r="W266" i="21"/>
  <c r="BC266" i="21" s="1"/>
  <c r="U346" i="20"/>
  <c r="T325" i="21"/>
  <c r="AZ325" i="21" s="1"/>
  <c r="L69" i="20"/>
  <c r="K48" i="21"/>
  <c r="AQ48" i="21" s="1"/>
  <c r="T176" i="20"/>
  <c r="S155" i="21"/>
  <c r="AY155" i="21" s="1"/>
  <c r="M212" i="20"/>
  <c r="L191" i="21"/>
  <c r="AR191" i="21" s="1"/>
  <c r="M67" i="20"/>
  <c r="L46" i="21"/>
  <c r="AR46" i="21" s="1"/>
  <c r="L213" i="20"/>
  <c r="K192" i="21"/>
  <c r="AQ192" i="21" s="1"/>
  <c r="P410" i="20"/>
  <c r="O389" i="21"/>
  <c r="AU389" i="21" s="1"/>
  <c r="C453" i="20"/>
  <c r="D337" i="20"/>
  <c r="C316" i="21"/>
  <c r="AI316" i="21" s="1"/>
  <c r="H73" i="20"/>
  <c r="G52" i="21"/>
  <c r="AM52" i="21" s="1"/>
  <c r="K330" i="20"/>
  <c r="J309" i="21"/>
  <c r="AP309" i="21" s="1"/>
  <c r="Z54" i="20"/>
  <c r="Y33" i="21"/>
  <c r="BE33" i="21" s="1"/>
  <c r="F421" i="20"/>
  <c r="E400" i="21"/>
  <c r="AK400" i="21" s="1"/>
  <c r="T347" i="20"/>
  <c r="S326" i="21"/>
  <c r="AY326" i="21" s="1"/>
  <c r="M154" i="20"/>
  <c r="L133" i="21"/>
  <c r="AR133" i="21" s="1"/>
  <c r="Q119" i="20"/>
  <c r="P98" i="21"/>
  <c r="AV98" i="21" s="1"/>
  <c r="P93" i="20"/>
  <c r="O72" i="21"/>
  <c r="AU72" i="21" s="1"/>
  <c r="M39" i="20"/>
  <c r="L18" i="21"/>
  <c r="AR18" i="21" s="1"/>
  <c r="P120" i="20"/>
  <c r="O99" i="21"/>
  <c r="AU99" i="21" s="1"/>
  <c r="O65" i="20"/>
  <c r="N44" i="21"/>
  <c r="AT44" i="21" s="1"/>
  <c r="L414" i="20"/>
  <c r="K393" i="21"/>
  <c r="AQ393" i="21" s="1"/>
  <c r="T147" i="20"/>
  <c r="S126" i="21"/>
  <c r="AY126" i="21" s="1"/>
  <c r="J71" i="20"/>
  <c r="I50" i="21"/>
  <c r="AO50" i="21" s="1"/>
  <c r="K329" i="20"/>
  <c r="J308" i="21"/>
  <c r="AP308" i="21" s="1"/>
  <c r="L328" i="20"/>
  <c r="K307" i="21"/>
  <c r="AQ307" i="21" s="1"/>
  <c r="T89" i="20"/>
  <c r="S68" i="21"/>
  <c r="AY68" i="21" s="1"/>
  <c r="E362" i="20"/>
  <c r="D341" i="21"/>
  <c r="AJ341" i="21" s="1"/>
  <c r="C395" i="20"/>
  <c r="D279" i="20"/>
  <c r="C258" i="21"/>
  <c r="AI258" i="21" s="1"/>
  <c r="F161" i="20"/>
  <c r="E140" i="21"/>
  <c r="AK140" i="21" s="1"/>
  <c r="E336" i="20"/>
  <c r="D315" i="21"/>
  <c r="AJ315" i="21" s="1"/>
  <c r="C194" i="20"/>
  <c r="D193" i="20"/>
  <c r="C172" i="21"/>
  <c r="AI172" i="21" s="1"/>
  <c r="E131" i="20"/>
  <c r="D110" i="21"/>
  <c r="AJ110" i="21" s="1"/>
  <c r="W288" i="20"/>
  <c r="V267" i="21"/>
  <c r="BB267" i="21" s="1"/>
  <c r="I447" i="20"/>
  <c r="H426" i="21"/>
  <c r="AN426" i="21" s="1"/>
  <c r="W29" i="20"/>
  <c r="V8" i="21"/>
  <c r="BB8" i="21" s="1"/>
  <c r="R236" i="20"/>
  <c r="Q215" i="21"/>
  <c r="AW215" i="21" s="1"/>
  <c r="O37" i="20"/>
  <c r="N16" i="21"/>
  <c r="AT16" i="21" s="1"/>
  <c r="J357" i="20"/>
  <c r="I336" i="21"/>
  <c r="AO336" i="21" s="1"/>
  <c r="R118" i="20"/>
  <c r="Q97" i="21"/>
  <c r="AW97" i="21" s="1"/>
  <c r="F46" i="20"/>
  <c r="E25" i="21"/>
  <c r="AK25" i="21" s="1"/>
  <c r="E393" i="20"/>
  <c r="D372" i="21"/>
  <c r="AJ372" i="21" s="1"/>
  <c r="Q350" i="20"/>
  <c r="P329" i="21"/>
  <c r="AV329" i="21" s="1"/>
  <c r="O239" i="20"/>
  <c r="N218" i="21"/>
  <c r="AT218" i="21" s="1"/>
  <c r="F476" i="20"/>
  <c r="E455" i="21"/>
  <c r="AK455" i="21" s="1"/>
  <c r="S436" i="20"/>
  <c r="R415" i="21"/>
  <c r="AX415" i="21" s="1"/>
  <c r="G449" i="20"/>
  <c r="F428" i="21"/>
  <c r="AL428" i="21" s="1"/>
  <c r="V232" i="20"/>
  <c r="U211" i="21"/>
  <c r="BA211" i="21" s="1"/>
  <c r="S379" i="20"/>
  <c r="R358" i="21"/>
  <c r="AX358" i="21" s="1"/>
  <c r="Z141" i="20"/>
  <c r="Y120" i="21"/>
  <c r="BE120" i="21" s="1"/>
  <c r="H159" i="20"/>
  <c r="G138" i="21"/>
  <c r="AM138" i="21" s="1"/>
  <c r="X172" i="20"/>
  <c r="W151" i="21"/>
  <c r="BC151" i="21" s="1"/>
  <c r="Q63" i="20"/>
  <c r="P42" i="21"/>
  <c r="AV42" i="21" s="1"/>
  <c r="L68" i="20"/>
  <c r="K47" i="21"/>
  <c r="AQ47" i="21" s="1"/>
  <c r="D308" i="20"/>
  <c r="C424" i="20"/>
  <c r="C287" i="21"/>
  <c r="AI287" i="21" s="1"/>
  <c r="D394" i="20"/>
  <c r="C373" i="21"/>
  <c r="AI373" i="21" s="1"/>
  <c r="L155" i="20"/>
  <c r="K134" i="21"/>
  <c r="AQ134" i="21" s="1"/>
  <c r="F220" i="20"/>
  <c r="E199" i="21"/>
  <c r="AK199" i="21" s="1"/>
  <c r="E105" i="20"/>
  <c r="D84" i="21"/>
  <c r="R380" i="20"/>
  <c r="Q359" i="21"/>
  <c r="AW359" i="21" s="1"/>
  <c r="O296" i="20"/>
  <c r="N275" i="21"/>
  <c r="AT275" i="21" s="1"/>
  <c r="S235" i="20"/>
  <c r="R214" i="21"/>
  <c r="AX214" i="21" s="1"/>
  <c r="AA169" i="20"/>
  <c r="Z148" i="21"/>
  <c r="BF148" i="21" s="1"/>
  <c r="J126" i="20"/>
  <c r="I105" i="21"/>
  <c r="AO105" i="21" s="1"/>
  <c r="G248" i="20"/>
  <c r="F227" i="21"/>
  <c r="AL227" i="21" s="1"/>
  <c r="K215" i="20"/>
  <c r="J194" i="21"/>
  <c r="AP194" i="21" s="1"/>
  <c r="N240" i="20"/>
  <c r="M219" i="21"/>
  <c r="AS219" i="21" s="1"/>
  <c r="U175" i="20"/>
  <c r="T154" i="21"/>
  <c r="AZ154" i="21" s="1"/>
  <c r="M96" i="20"/>
  <c r="L75" i="21"/>
  <c r="AR75" i="21" s="1"/>
  <c r="E451" i="20"/>
  <c r="D430" i="21"/>
  <c r="AJ430" i="21" s="1"/>
  <c r="W375" i="20"/>
  <c r="V354" i="21"/>
  <c r="BB354" i="21" s="1"/>
  <c r="F191" i="20"/>
  <c r="E170" i="21"/>
  <c r="AK170" i="21" s="1"/>
  <c r="M385" i="20"/>
  <c r="L364" i="21"/>
  <c r="AR364" i="21" s="1"/>
  <c r="M298" i="20"/>
  <c r="L277" i="21"/>
  <c r="AR277" i="21" s="1"/>
  <c r="P324" i="20"/>
  <c r="O303" i="21"/>
  <c r="AU303" i="21" s="1"/>
  <c r="O152" i="20"/>
  <c r="N131" i="21"/>
  <c r="AT131" i="21" s="1"/>
  <c r="V58" i="20"/>
  <c r="U37" i="21"/>
  <c r="BA37" i="21" s="1"/>
  <c r="AA25" i="20"/>
  <c r="Z4" i="21"/>
  <c r="BF4" i="21" s="1"/>
  <c r="O352" i="20"/>
  <c r="N331" i="21"/>
  <c r="AT331" i="21" s="1"/>
  <c r="Q179" i="20"/>
  <c r="P158" i="21"/>
  <c r="AV158" i="21" s="1"/>
  <c r="U233" i="20"/>
  <c r="T212" i="21"/>
  <c r="AZ212" i="21" s="1"/>
  <c r="V376" i="20"/>
  <c r="U355" i="21"/>
  <c r="BA355" i="21" s="1"/>
  <c r="O440" i="20"/>
  <c r="N419" i="21"/>
  <c r="AT419" i="21" s="1"/>
  <c r="X259" i="20"/>
  <c r="W238" i="21"/>
  <c r="BC238" i="21" s="1"/>
  <c r="R464" i="20"/>
  <c r="Q443" i="21"/>
  <c r="AW443" i="21" s="1"/>
  <c r="W344" i="20"/>
  <c r="V323" i="21"/>
  <c r="BB323" i="21" s="1"/>
  <c r="U290" i="20"/>
  <c r="T269" i="21"/>
  <c r="AZ269" i="21" s="1"/>
  <c r="W317" i="20"/>
  <c r="V296" i="21"/>
  <c r="BB296" i="21" s="1"/>
  <c r="U377" i="20"/>
  <c r="T356" i="21"/>
  <c r="AZ356" i="21" s="1"/>
  <c r="S407" i="20"/>
  <c r="R386" i="21"/>
  <c r="AX386" i="21" s="1"/>
  <c r="Z228" i="20"/>
  <c r="Y207" i="21"/>
  <c r="BE207" i="21" s="1"/>
  <c r="O268" i="20"/>
  <c r="N247" i="21"/>
  <c r="AT247" i="21" s="1"/>
  <c r="J187" i="20"/>
  <c r="I166" i="21"/>
  <c r="AO166" i="21" s="1"/>
  <c r="F392" i="20"/>
  <c r="E371" i="21"/>
  <c r="AK371" i="21" s="1"/>
  <c r="Z170" i="20"/>
  <c r="Y149" i="21"/>
  <c r="BE149" i="21" s="1"/>
  <c r="T234" i="20"/>
  <c r="S213" i="21"/>
  <c r="AY213" i="21" s="1"/>
  <c r="F249" i="20"/>
  <c r="E228" i="21"/>
  <c r="AK228" i="21" s="1"/>
  <c r="W202" i="20"/>
  <c r="V181" i="21"/>
  <c r="BB181" i="21" s="1"/>
  <c r="Y84" i="20"/>
  <c r="X63" i="21"/>
  <c r="BD63" i="21" s="1"/>
  <c r="V345" i="20"/>
  <c r="U324" i="21"/>
  <c r="BA324" i="21" s="1"/>
  <c r="R322" i="20"/>
  <c r="Q301" i="21"/>
  <c r="AW301" i="21" s="1"/>
  <c r="Y27" i="20"/>
  <c r="X6" i="21"/>
  <c r="BD6" i="21" s="1"/>
  <c r="T32" i="20"/>
  <c r="S11" i="21"/>
  <c r="AY11" i="21" s="1"/>
  <c r="X28" i="20"/>
  <c r="W7" i="21"/>
  <c r="BC7" i="21" s="1"/>
  <c r="N211" i="20"/>
  <c r="M190" i="21"/>
  <c r="AS190" i="21" s="1"/>
  <c r="S321" i="20"/>
  <c r="R300" i="21"/>
  <c r="AX300" i="21" s="1"/>
  <c r="G360" i="20"/>
  <c r="F339" i="21"/>
  <c r="AL339" i="21" s="1"/>
  <c r="I332" i="20"/>
  <c r="H311" i="21"/>
  <c r="AN311" i="21" s="1"/>
  <c r="H474" i="20"/>
  <c r="G453" i="21"/>
  <c r="AM453" i="21" s="1"/>
  <c r="V404" i="20"/>
  <c r="U383" i="21"/>
  <c r="BA383" i="21" s="1"/>
  <c r="L386" i="20"/>
  <c r="K365" i="21"/>
  <c r="AQ365" i="21" s="1"/>
  <c r="F104" i="20"/>
  <c r="E83" i="21"/>
  <c r="AK83" i="21" s="1"/>
  <c r="Y373" i="20"/>
  <c r="X352" i="21"/>
  <c r="BD352" i="21" s="1"/>
  <c r="J273" i="20"/>
  <c r="I252" i="21"/>
  <c r="AO252" i="21" s="1"/>
  <c r="X343" i="20"/>
  <c r="W322" i="21"/>
  <c r="BC322" i="21" s="1"/>
  <c r="W144" i="20"/>
  <c r="V123" i="21"/>
  <c r="BB123" i="21" s="1"/>
  <c r="AA53" i="20"/>
  <c r="Z32" i="21"/>
  <c r="BF32" i="21" s="1"/>
  <c r="P180" i="20"/>
  <c r="O159" i="21"/>
  <c r="AU159" i="21" s="1"/>
  <c r="L443" i="20"/>
  <c r="K422" i="21"/>
  <c r="AQ422" i="21" s="1"/>
  <c r="Z285" i="20"/>
  <c r="Y264" i="21"/>
  <c r="BE264" i="21" s="1"/>
  <c r="I72" i="20"/>
  <c r="H51" i="21"/>
  <c r="AN51" i="21" s="1"/>
  <c r="Q438" i="20"/>
  <c r="P417" i="21"/>
  <c r="AV417" i="21" s="1"/>
  <c r="Y430" i="20"/>
  <c r="X409" i="21"/>
  <c r="BD409" i="21" s="1"/>
  <c r="F335" i="20"/>
  <c r="E314" i="21"/>
  <c r="AK314" i="21" s="1"/>
  <c r="I43" i="20"/>
  <c r="H22" i="21"/>
  <c r="AN22" i="21" s="1"/>
  <c r="K301" i="20"/>
  <c r="J280" i="21"/>
  <c r="AP280" i="21" s="1"/>
  <c r="U434" i="20"/>
  <c r="T413" i="21"/>
  <c r="AZ413" i="21" s="1"/>
  <c r="V87" i="20"/>
  <c r="U66" i="21"/>
  <c r="BA66" i="21" s="1"/>
  <c r="K125" i="20"/>
  <c r="J104" i="21"/>
  <c r="AP104" i="21" s="1"/>
  <c r="Y200" i="20"/>
  <c r="X179" i="21"/>
  <c r="BD179" i="21" s="1"/>
  <c r="M442" i="20"/>
  <c r="L421" i="21"/>
  <c r="AR421" i="21" s="1"/>
  <c r="N122" i="20"/>
  <c r="M101" i="21"/>
  <c r="AS101" i="21" s="1"/>
  <c r="H189" i="20"/>
  <c r="G168" i="21"/>
  <c r="AM168" i="21" s="1"/>
  <c r="AA227" i="20"/>
  <c r="Z206" i="21"/>
  <c r="BF206" i="21" s="1"/>
  <c r="S264" i="20"/>
  <c r="R243" i="21"/>
  <c r="AX243" i="21" s="1"/>
  <c r="V174" i="20"/>
  <c r="U153" i="21"/>
  <c r="BA153" i="21" s="1"/>
  <c r="O467" i="20"/>
  <c r="N446" i="21"/>
  <c r="AT446" i="21" s="1"/>
  <c r="L97" i="20"/>
  <c r="K76" i="21"/>
  <c r="AQ76" i="21" s="1"/>
  <c r="P295" i="20"/>
  <c r="O274" i="21"/>
  <c r="AU274" i="21" s="1"/>
  <c r="Z314" i="20"/>
  <c r="Y293" i="21"/>
  <c r="BE293" i="21" s="1"/>
  <c r="AA76" i="19"/>
  <c r="AB77" i="19" s="1"/>
  <c r="AE424" i="19"/>
  <c r="AD337" i="19"/>
  <c r="AE338" i="19" s="1"/>
  <c r="AA511" i="19"/>
  <c r="AB512" i="19" s="1"/>
  <c r="X337" i="19"/>
  <c r="AA279" i="19"/>
  <c r="AB280" i="19" s="1"/>
  <c r="AB395" i="19"/>
  <c r="AC396" i="19" s="1"/>
  <c r="Y337" i="19"/>
  <c r="Z338" i="19" s="1"/>
  <c r="AA105" i="19"/>
  <c r="AB106" i="19" s="1"/>
  <c r="AC424" i="19"/>
  <c r="AA424" i="19"/>
  <c r="AB425" i="19" s="1"/>
  <c r="AE511" i="19"/>
  <c r="AC192" i="19"/>
  <c r="AA337" i="19"/>
  <c r="X105" i="19"/>
  <c r="Y106" i="19" s="1"/>
  <c r="AE163" i="19"/>
  <c r="AE395" i="19"/>
  <c r="M338" i="19"/>
  <c r="N339" i="19" s="1"/>
  <c r="AE337" i="19"/>
  <c r="AD395" i="19"/>
  <c r="AB192" i="19"/>
  <c r="AC193" i="19" s="1"/>
  <c r="Y453" i="19"/>
  <c r="Y192" i="19"/>
  <c r="Z193" i="19" s="1"/>
  <c r="AE105" i="19"/>
  <c r="Y163" i="19"/>
  <c r="AA192" i="19"/>
  <c r="AB193" i="19" s="1"/>
  <c r="AB105" i="19"/>
  <c r="AC106" i="19" s="1"/>
  <c r="AB163" i="19"/>
  <c r="AC164" i="19" s="1"/>
  <c r="O193" i="19"/>
  <c r="Z163" i="19"/>
  <c r="AA164" i="19" s="1"/>
  <c r="AC511" i="19"/>
  <c r="AD512" i="19" s="1"/>
  <c r="Z192" i="19"/>
  <c r="AA193" i="19" s="1"/>
  <c r="AD163" i="19"/>
  <c r="Z395" i="19"/>
  <c r="AA396" i="19" s="1"/>
  <c r="T512" i="19"/>
  <c r="U513" i="19" s="1"/>
  <c r="Y261" i="21"/>
  <c r="AA77" i="19"/>
  <c r="W454" i="19"/>
  <c r="X455" i="19" s="1"/>
  <c r="O77" i="19"/>
  <c r="P78" i="19" s="1"/>
  <c r="N425" i="19"/>
  <c r="N280" i="19"/>
  <c r="E164" i="19"/>
  <c r="J193" i="19"/>
  <c r="E77" i="19"/>
  <c r="V512" i="19"/>
  <c r="Q77" i="19"/>
  <c r="X77" i="19"/>
  <c r="V425" i="19"/>
  <c r="AE280" i="19"/>
  <c r="R193" i="19"/>
  <c r="R77" i="19"/>
  <c r="AE77" i="19"/>
  <c r="AD280" i="19"/>
  <c r="P193" i="19"/>
  <c r="J512" i="19"/>
  <c r="T396" i="19"/>
  <c r="F164" i="19"/>
  <c r="R338" i="19"/>
  <c r="X512" i="19"/>
  <c r="O338" i="19"/>
  <c r="AC338" i="19"/>
  <c r="AC454" i="19"/>
  <c r="H454" i="19"/>
  <c r="L338" i="19"/>
  <c r="AD454" i="19"/>
  <c r="L77" i="19"/>
  <c r="AC77" i="19"/>
  <c r="J396" i="19"/>
  <c r="U77" i="19"/>
  <c r="K396" i="19"/>
  <c r="J164" i="19"/>
  <c r="E512" i="19"/>
  <c r="L164" i="19"/>
  <c r="W77" i="19"/>
  <c r="M77" i="19"/>
  <c r="E425" i="19"/>
  <c r="M280" i="19"/>
  <c r="G77" i="19"/>
  <c r="AA280" i="19"/>
  <c r="J280" i="19"/>
  <c r="S193" i="19"/>
  <c r="AC280" i="19"/>
  <c r="U280" i="19"/>
  <c r="X425" i="19"/>
  <c r="J425" i="19"/>
  <c r="P77" i="19"/>
  <c r="AD396" i="19"/>
  <c r="R280" i="19"/>
  <c r="L193" i="19"/>
  <c r="S77" i="19"/>
  <c r="T193" i="19"/>
  <c r="F281" i="19"/>
  <c r="N512" i="19"/>
  <c r="S280" i="19"/>
  <c r="I77" i="19"/>
  <c r="AB164" i="19"/>
  <c r="R512" i="19"/>
  <c r="K512" i="19"/>
  <c r="Y396" i="19"/>
  <c r="K164" i="19"/>
  <c r="AD338" i="19"/>
  <c r="N454" i="19"/>
  <c r="Q106" i="19"/>
  <c r="S106" i="19"/>
  <c r="V164" i="19"/>
  <c r="H338" i="19"/>
  <c r="T106" i="19"/>
  <c r="M106" i="19"/>
  <c r="O454" i="19"/>
  <c r="Q338" i="19"/>
  <c r="S454" i="19"/>
  <c r="T454" i="19"/>
  <c r="K106" i="19"/>
  <c r="P512" i="19"/>
  <c r="I338" i="19"/>
  <c r="Z106" i="19"/>
  <c r="R454" i="19"/>
  <c r="P454" i="19"/>
  <c r="AA106" i="19"/>
  <c r="U338" i="19"/>
  <c r="Y280" i="19"/>
  <c r="X338" i="19"/>
  <c r="U512" i="19"/>
  <c r="X193" i="19"/>
  <c r="G193" i="19"/>
  <c r="AA512" i="19"/>
  <c r="AE193" i="19"/>
  <c r="S425" i="19"/>
  <c r="L512" i="19"/>
  <c r="K193" i="19"/>
  <c r="I396" i="19"/>
  <c r="M425" i="19"/>
  <c r="T77" i="19"/>
  <c r="M164" i="19"/>
  <c r="F512" i="19"/>
  <c r="N164" i="19"/>
  <c r="P338" i="19"/>
  <c r="F338" i="19"/>
  <c r="P106" i="19"/>
  <c r="Y454" i="19"/>
  <c r="AE454" i="19"/>
  <c r="K454" i="19"/>
  <c r="L454" i="19"/>
  <c r="X454" i="19"/>
  <c r="T164" i="19"/>
  <c r="E106" i="19"/>
  <c r="E454" i="19"/>
  <c r="U164" i="19"/>
  <c r="W280" i="19"/>
  <c r="H512" i="19"/>
  <c r="L425" i="19"/>
  <c r="I280" i="19"/>
  <c r="D259" i="23"/>
  <c r="F133" i="1" s="1"/>
  <c r="E396" i="19"/>
  <c r="F280" i="19"/>
  <c r="H77" i="19"/>
  <c r="I193" i="19"/>
  <c r="I164" i="19"/>
  <c r="Y193" i="19"/>
  <c r="Z280" i="19"/>
  <c r="Z77" i="19"/>
  <c r="M193" i="19"/>
  <c r="T280" i="19"/>
  <c r="Q396" i="19"/>
  <c r="AA425" i="19"/>
  <c r="P280" i="19"/>
  <c r="K77" i="19"/>
  <c r="H425" i="19"/>
  <c r="I425" i="19"/>
  <c r="T425" i="19"/>
  <c r="N396" i="19"/>
  <c r="G396" i="19"/>
  <c r="U193" i="19"/>
  <c r="O425" i="19"/>
  <c r="V193" i="19"/>
  <c r="V77" i="19"/>
  <c r="W193" i="19"/>
  <c r="F193" i="19"/>
  <c r="F77" i="19"/>
  <c r="G512" i="19"/>
  <c r="X164" i="19"/>
  <c r="V396" i="19"/>
  <c r="O396" i="19"/>
  <c r="W164" i="19"/>
  <c r="P396" i="19"/>
  <c r="F396" i="19"/>
  <c r="W396" i="19"/>
  <c r="S164" i="19"/>
  <c r="AE512" i="19"/>
  <c r="M512" i="19"/>
  <c r="T338" i="19"/>
  <c r="S338" i="19"/>
  <c r="O106" i="19"/>
  <c r="L106" i="19"/>
  <c r="U454" i="19"/>
  <c r="AA338" i="19"/>
  <c r="AD106" i="19"/>
  <c r="G338" i="19"/>
  <c r="L396" i="19"/>
  <c r="V106" i="19"/>
  <c r="X106" i="19"/>
  <c r="Z396" i="19"/>
  <c r="W338" i="19"/>
  <c r="G454" i="19"/>
  <c r="N106" i="19"/>
  <c r="V454" i="19"/>
  <c r="J106" i="19"/>
  <c r="K338" i="19"/>
  <c r="AB396" i="19"/>
  <c r="Q193" i="19"/>
  <c r="M396" i="19"/>
  <c r="S512" i="19"/>
  <c r="AD77" i="19"/>
  <c r="G164" i="19"/>
  <c r="K280" i="19"/>
  <c r="N77" i="19"/>
  <c r="P425" i="19"/>
  <c r="N193" i="19"/>
  <c r="J338" i="19"/>
  <c r="H106" i="19"/>
  <c r="M454" i="19"/>
  <c r="O280" i="19"/>
  <c r="E338" i="19"/>
  <c r="U425" i="19"/>
  <c r="O512" i="19"/>
  <c r="AE425" i="19"/>
  <c r="X280" i="19"/>
  <c r="R425" i="19"/>
  <c r="R164" i="19"/>
  <c r="Q425" i="19"/>
  <c r="AC425" i="19"/>
  <c r="F194" i="19"/>
  <c r="V280" i="19"/>
  <c r="H396" i="19"/>
  <c r="G425" i="19"/>
  <c r="S396" i="19"/>
  <c r="H193" i="19"/>
  <c r="L280" i="19"/>
  <c r="D172" i="23"/>
  <c r="F130" i="1" s="1"/>
  <c r="Y77" i="19"/>
  <c r="J77" i="19"/>
  <c r="H280" i="19"/>
  <c r="Y425" i="19"/>
  <c r="F425" i="19"/>
  <c r="H164" i="19"/>
  <c r="P164" i="19"/>
  <c r="W425" i="19"/>
  <c r="K425" i="19"/>
  <c r="G280" i="19"/>
  <c r="F454" i="19"/>
  <c r="G106" i="19"/>
  <c r="I512" i="19"/>
  <c r="W512" i="19"/>
  <c r="AC512" i="19"/>
  <c r="X396" i="19"/>
  <c r="Z425" i="19"/>
  <c r="Q512" i="19"/>
  <c r="Y512" i="19"/>
  <c r="R396" i="19"/>
  <c r="U396" i="19"/>
  <c r="AA454" i="19"/>
  <c r="Q454" i="19"/>
  <c r="N338" i="19"/>
  <c r="O164" i="19"/>
  <c r="Q164" i="19"/>
  <c r="J454" i="19"/>
  <c r="I454" i="19"/>
  <c r="U106" i="19"/>
  <c r="R106" i="19"/>
  <c r="Y164" i="19"/>
  <c r="AE106" i="19"/>
  <c r="I106" i="19"/>
  <c r="V338" i="19"/>
  <c r="W106" i="19"/>
  <c r="AB454" i="19"/>
  <c r="Q280" i="19"/>
  <c r="AD164" i="19"/>
  <c r="F106" i="19"/>
  <c r="AC482" i="19"/>
  <c r="E282" i="19"/>
  <c r="G107" i="1" s="1"/>
  <c r="AB250" i="19"/>
  <c r="M250" i="19"/>
  <c r="R250" i="19"/>
  <c r="F250" i="19"/>
  <c r="Y482" i="19"/>
  <c r="E222" i="19"/>
  <c r="K250" i="19"/>
  <c r="G250" i="19"/>
  <c r="AE250" i="19"/>
  <c r="V250" i="19"/>
  <c r="E250" i="19"/>
  <c r="T250" i="19"/>
  <c r="H250" i="19"/>
  <c r="S250" i="19"/>
  <c r="AA250" i="19"/>
  <c r="X250" i="19"/>
  <c r="O482" i="19"/>
  <c r="Z250" i="19"/>
  <c r="P250" i="19"/>
  <c r="V221" i="19"/>
  <c r="I250" i="19"/>
  <c r="Y250" i="19"/>
  <c r="O250" i="19"/>
  <c r="L250" i="19"/>
  <c r="AC250" i="19"/>
  <c r="AD250" i="19"/>
  <c r="U250" i="19"/>
  <c r="S221" i="19"/>
  <c r="J221" i="19"/>
  <c r="H134" i="19"/>
  <c r="O366" i="19"/>
  <c r="U221" i="19"/>
  <c r="AE221" i="19"/>
  <c r="E251" i="19"/>
  <c r="Q221" i="19"/>
  <c r="M221" i="19"/>
  <c r="F134" i="19"/>
  <c r="G482" i="19"/>
  <c r="H482" i="19"/>
  <c r="N221" i="19"/>
  <c r="T134" i="19"/>
  <c r="E482" i="19"/>
  <c r="AB221" i="19"/>
  <c r="W221" i="19"/>
  <c r="AD251" i="19"/>
  <c r="T251" i="19"/>
  <c r="L366" i="19"/>
  <c r="AD366" i="19"/>
  <c r="AB134" i="19"/>
  <c r="X134" i="19"/>
  <c r="I366" i="19"/>
  <c r="I134" i="19"/>
  <c r="AB482" i="19"/>
  <c r="E366" i="19"/>
  <c r="K482" i="19"/>
  <c r="G366" i="19"/>
  <c r="AC366" i="19"/>
  <c r="N482" i="19"/>
  <c r="Y134" i="19"/>
  <c r="L221" i="19"/>
  <c r="N134" i="19"/>
  <c r="AD482" i="19"/>
  <c r="E455" i="19"/>
  <c r="D456" i="19"/>
  <c r="F115" i="1" s="1"/>
  <c r="AC134" i="19"/>
  <c r="T366" i="19"/>
  <c r="AE134" i="19"/>
  <c r="P134" i="19"/>
  <c r="W250" i="19"/>
  <c r="E78" i="19"/>
  <c r="D79" i="19"/>
  <c r="F99" i="1" s="1"/>
  <c r="F14" i="51" s="1"/>
  <c r="F482" i="19"/>
  <c r="M134" i="19"/>
  <c r="D366" i="19"/>
  <c r="D482" i="19"/>
  <c r="D134" i="19"/>
  <c r="O134" i="19"/>
  <c r="X366" i="19"/>
  <c r="AA309" i="19"/>
  <c r="Z311" i="19"/>
  <c r="E426" i="19"/>
  <c r="D427" i="19"/>
  <c r="Z366" i="19"/>
  <c r="R134" i="19"/>
  <c r="U366" i="19"/>
  <c r="R221" i="19"/>
  <c r="AC221" i="19"/>
  <c r="J366" i="19"/>
  <c r="E221" i="19"/>
  <c r="Y221" i="19"/>
  <c r="Q482" i="19"/>
  <c r="D483" i="19"/>
  <c r="D367" i="19"/>
  <c r="D135" i="19"/>
  <c r="W134" i="19"/>
  <c r="T221" i="19"/>
  <c r="L134" i="19"/>
  <c r="X221" i="19"/>
  <c r="U482" i="19"/>
  <c r="E107" i="19"/>
  <c r="D108" i="19"/>
  <c r="F100" i="1" s="1"/>
  <c r="Z221" i="19"/>
  <c r="E513" i="19"/>
  <c r="D514" i="19"/>
  <c r="F117" i="1" s="1"/>
  <c r="AA221" i="19"/>
  <c r="W366" i="19"/>
  <c r="S482" i="19"/>
  <c r="E195" i="19"/>
  <c r="G104" i="1" s="1"/>
  <c r="G221" i="19"/>
  <c r="J250" i="19"/>
  <c r="M366" i="19"/>
  <c r="AA482" i="19"/>
  <c r="AA366" i="19"/>
  <c r="E165" i="19"/>
  <c r="D166" i="19"/>
  <c r="F102" i="1" s="1"/>
  <c r="AE366" i="19"/>
  <c r="R366" i="19"/>
  <c r="AB366" i="19"/>
  <c r="Z482" i="19"/>
  <c r="K366" i="19"/>
  <c r="I482" i="19"/>
  <c r="AE482" i="19"/>
  <c r="O221" i="19"/>
  <c r="AA134" i="19"/>
  <c r="F221" i="19"/>
  <c r="Q134" i="19"/>
  <c r="W482" i="19"/>
  <c r="X482" i="19"/>
  <c r="J134" i="19"/>
  <c r="J482" i="19"/>
  <c r="E223" i="19"/>
  <c r="D224" i="19"/>
  <c r="F105" i="1" s="1"/>
  <c r="E134" i="19"/>
  <c r="T482" i="19"/>
  <c r="R482" i="19"/>
  <c r="U134" i="19"/>
  <c r="F366" i="19"/>
  <c r="M482" i="19"/>
  <c r="P482" i="19"/>
  <c r="K221" i="19"/>
  <c r="H221" i="19"/>
  <c r="AD134" i="19"/>
  <c r="N366" i="19"/>
  <c r="P221" i="19"/>
  <c r="V366" i="19"/>
  <c r="S366" i="19"/>
  <c r="V482" i="19"/>
  <c r="E339" i="19"/>
  <c r="D340" i="19"/>
  <c r="F110" i="1" s="1"/>
  <c r="G134" i="19"/>
  <c r="V134" i="19"/>
  <c r="P366" i="19"/>
  <c r="I221" i="19"/>
  <c r="N250" i="19"/>
  <c r="Y366" i="19"/>
  <c r="E252" i="19"/>
  <c r="D253" i="19"/>
  <c r="F106" i="1" s="1"/>
  <c r="E397" i="19"/>
  <c r="D398" i="19"/>
  <c r="F112" i="1" s="1"/>
  <c r="AD221" i="19"/>
  <c r="Z134" i="19"/>
  <c r="K134" i="19"/>
  <c r="L482" i="19"/>
  <c r="S134" i="19"/>
  <c r="Q366" i="19"/>
  <c r="H366" i="19"/>
  <c r="Q250" i="19"/>
  <c r="AJ84" i="21" l="1"/>
  <c r="BD74" i="23"/>
  <c r="BD92" i="23" s="1"/>
  <c r="BD110" i="23" s="1"/>
  <c r="AA50" i="49"/>
  <c r="AA52" i="49" s="1"/>
  <c r="Z2" i="49" s="1"/>
  <c r="Z52" i="49"/>
  <c r="Y2" i="49" s="1"/>
  <c r="AB80" i="49"/>
  <c r="AB81" i="49" s="1"/>
  <c r="AA3" i="49" s="1"/>
  <c r="AA81" i="49"/>
  <c r="Z3" i="49" s="1"/>
  <c r="Z282" i="20"/>
  <c r="AB187" i="1" s="1"/>
  <c r="AB109" i="1"/>
  <c r="AI37" i="23"/>
  <c r="AI34" i="23"/>
  <c r="Q295" i="20"/>
  <c r="P274" i="21"/>
  <c r="AV274" i="21" s="1"/>
  <c r="I189" i="20"/>
  <c r="H168" i="21"/>
  <c r="AN168" i="21" s="1"/>
  <c r="J43" i="20"/>
  <c r="I22" i="21"/>
  <c r="AO22" i="21" s="1"/>
  <c r="M443" i="20"/>
  <c r="L422" i="21"/>
  <c r="AR422" i="21" s="1"/>
  <c r="Z373" i="20"/>
  <c r="Y352" i="21"/>
  <c r="BE352" i="21" s="1"/>
  <c r="U32" i="20"/>
  <c r="T11" i="21"/>
  <c r="AZ11" i="21" s="1"/>
  <c r="G249" i="20"/>
  <c r="F228" i="21"/>
  <c r="AL228" i="21" s="1"/>
  <c r="AA228" i="20"/>
  <c r="Z207" i="21"/>
  <c r="BF207" i="21" s="1"/>
  <c r="V290" i="20"/>
  <c r="U269" i="21"/>
  <c r="BA269" i="21" s="1"/>
  <c r="P440" i="20"/>
  <c r="O419" i="21"/>
  <c r="AU419" i="21" s="1"/>
  <c r="P352" i="20"/>
  <c r="O331" i="21"/>
  <c r="AU331" i="21" s="1"/>
  <c r="Q324" i="20"/>
  <c r="P303" i="21"/>
  <c r="AV303" i="21" s="1"/>
  <c r="N96" i="20"/>
  <c r="M75" i="21"/>
  <c r="AS75" i="21" s="1"/>
  <c r="AB169" i="20"/>
  <c r="AA148" i="21"/>
  <c r="BG148" i="21" s="1"/>
  <c r="M414" i="20"/>
  <c r="L393" i="21"/>
  <c r="AR393" i="21" s="1"/>
  <c r="N154" i="20"/>
  <c r="M133" i="21"/>
  <c r="AS133" i="21" s="1"/>
  <c r="E337" i="20"/>
  <c r="D316" i="21"/>
  <c r="AJ316" i="21" s="1"/>
  <c r="I359" i="20"/>
  <c r="H338" i="21"/>
  <c r="AN338" i="21" s="1"/>
  <c r="X403" i="20"/>
  <c r="W382" i="21"/>
  <c r="BC382" i="21" s="1"/>
  <c r="W318" i="20"/>
  <c r="V297" i="21"/>
  <c r="BB297" i="21" s="1"/>
  <c r="W30" i="20"/>
  <c r="V9" i="21"/>
  <c r="BB9" i="21" s="1"/>
  <c r="E478" i="20"/>
  <c r="D457" i="21"/>
  <c r="AJ457" i="21" s="1"/>
  <c r="I390" i="20"/>
  <c r="H369" i="21"/>
  <c r="AN369" i="21" s="1"/>
  <c r="W289" i="20"/>
  <c r="V268" i="21"/>
  <c r="BB268" i="21" s="1"/>
  <c r="P325" i="20"/>
  <c r="O304" i="21"/>
  <c r="AU304" i="21" s="1"/>
  <c r="E163" i="20"/>
  <c r="D142" i="21"/>
  <c r="AJ142" i="21" s="1"/>
  <c r="S265" i="20"/>
  <c r="R244" i="21"/>
  <c r="AX244" i="21" s="1"/>
  <c r="T463" i="20"/>
  <c r="S442" i="21"/>
  <c r="AY442" i="21" s="1"/>
  <c r="O153" i="20"/>
  <c r="N132" i="21"/>
  <c r="AT132" i="21" s="1"/>
  <c r="J127" i="20"/>
  <c r="I106" i="21"/>
  <c r="AO106" i="21" s="1"/>
  <c r="H391" i="20"/>
  <c r="G370" i="21"/>
  <c r="AM370" i="21" s="1"/>
  <c r="U462" i="20"/>
  <c r="T441" i="21"/>
  <c r="AZ441" i="21" s="1"/>
  <c r="R266" i="20"/>
  <c r="Q245" i="21"/>
  <c r="AW245" i="21" s="1"/>
  <c r="Z315" i="20"/>
  <c r="Y294" i="21"/>
  <c r="BE294" i="21" s="1"/>
  <c r="T292" i="20"/>
  <c r="S271" i="21"/>
  <c r="AY271" i="21" s="1"/>
  <c r="H74" i="20"/>
  <c r="G53" i="21"/>
  <c r="AM53" i="21" s="1"/>
  <c r="G306" i="20"/>
  <c r="F285" i="21"/>
  <c r="AL285" i="21" s="1"/>
  <c r="E308" i="20"/>
  <c r="D287" i="21"/>
  <c r="AJ287" i="21" s="1"/>
  <c r="R63" i="20"/>
  <c r="Q42" i="21"/>
  <c r="AW42" i="21" s="1"/>
  <c r="I159" i="20"/>
  <c r="H138" i="21"/>
  <c r="AN138" i="21" s="1"/>
  <c r="T379" i="20"/>
  <c r="S358" i="21"/>
  <c r="AY358" i="21" s="1"/>
  <c r="H449" i="20"/>
  <c r="G428" i="21"/>
  <c r="AM428" i="21" s="1"/>
  <c r="G476" i="20"/>
  <c r="F455" i="21"/>
  <c r="AL455" i="21" s="1"/>
  <c r="R350" i="20"/>
  <c r="Q329" i="21"/>
  <c r="AW329" i="21" s="1"/>
  <c r="G46" i="20"/>
  <c r="F25" i="21"/>
  <c r="AL25" i="21" s="1"/>
  <c r="K357" i="20"/>
  <c r="J336" i="21"/>
  <c r="AP336" i="21" s="1"/>
  <c r="S236" i="20"/>
  <c r="R215" i="21"/>
  <c r="AX215" i="21" s="1"/>
  <c r="J447" i="20"/>
  <c r="I426" i="21"/>
  <c r="AO426" i="21" s="1"/>
  <c r="F131" i="20"/>
  <c r="E110" i="21"/>
  <c r="AK110" i="21" s="1"/>
  <c r="F362" i="20"/>
  <c r="E341" i="21"/>
  <c r="AK341" i="21" s="1"/>
  <c r="D453" i="20"/>
  <c r="C432" i="21"/>
  <c r="AI432" i="21" s="1"/>
  <c r="M213" i="20"/>
  <c r="L192" i="21"/>
  <c r="AR192" i="21" s="1"/>
  <c r="N212" i="20"/>
  <c r="M191" i="21"/>
  <c r="AS191" i="21" s="1"/>
  <c r="M69" i="20"/>
  <c r="L48" i="21"/>
  <c r="AR48" i="21" s="1"/>
  <c r="Y287" i="20"/>
  <c r="X266" i="21"/>
  <c r="BD266" i="21" s="1"/>
  <c r="X113" i="20"/>
  <c r="W92" i="21"/>
  <c r="BC92" i="21" s="1"/>
  <c r="O326" i="20"/>
  <c r="N305" i="21"/>
  <c r="AT305" i="21" s="1"/>
  <c r="F221" i="20"/>
  <c r="E200" i="21"/>
  <c r="AK200" i="21" s="1"/>
  <c r="K331" i="20"/>
  <c r="J310" i="21"/>
  <c r="AP310" i="21" s="1"/>
  <c r="Y316" i="20"/>
  <c r="X295" i="21"/>
  <c r="BD295" i="21" s="1"/>
  <c r="I44" i="20"/>
  <c r="H23" i="21"/>
  <c r="AN23" i="21" s="1"/>
  <c r="R92" i="20"/>
  <c r="Q71" i="21"/>
  <c r="AW71" i="21" s="1"/>
  <c r="Q64" i="20"/>
  <c r="P43" i="21"/>
  <c r="AV43" i="21" s="1"/>
  <c r="H420" i="20"/>
  <c r="G399" i="21"/>
  <c r="AM399" i="21" s="1"/>
  <c r="Z229" i="20"/>
  <c r="Y208" i="21"/>
  <c r="BE208" i="21" s="1"/>
  <c r="T206" i="20"/>
  <c r="S185" i="21"/>
  <c r="AY185" i="21" s="1"/>
  <c r="Q151" i="20"/>
  <c r="P130" i="21"/>
  <c r="AV130" i="21" s="1"/>
  <c r="AB82" i="20"/>
  <c r="AA61" i="21"/>
  <c r="BG61" i="21" s="1"/>
  <c r="L444" i="20"/>
  <c r="K423" i="21"/>
  <c r="AQ423" i="21" s="1"/>
  <c r="R35" i="20"/>
  <c r="Q14" i="21"/>
  <c r="AW14" i="21" s="1"/>
  <c r="Q351" i="20"/>
  <c r="P330" i="21"/>
  <c r="AV330" i="21" s="1"/>
  <c r="M214" i="20"/>
  <c r="L193" i="21"/>
  <c r="AR193" i="21" s="1"/>
  <c r="L156" i="20"/>
  <c r="K135" i="21"/>
  <c r="AQ135" i="21" s="1"/>
  <c r="M185" i="20"/>
  <c r="L164" i="21"/>
  <c r="AR164" i="21" s="1"/>
  <c r="U205" i="20"/>
  <c r="T184" i="21"/>
  <c r="AZ184" i="21" s="1"/>
  <c r="G130" i="20"/>
  <c r="F109" i="21"/>
  <c r="AL109" i="21" s="1"/>
  <c r="E363" i="20"/>
  <c r="D342" i="21"/>
  <c r="AJ342" i="21" s="1"/>
  <c r="D49" i="20"/>
  <c r="C281" i="20"/>
  <c r="C28" i="21"/>
  <c r="AI28" i="21" s="1"/>
  <c r="C165" i="20"/>
  <c r="D164" i="20"/>
  <c r="C143" i="21"/>
  <c r="AI143" i="21" s="1"/>
  <c r="X231" i="20"/>
  <c r="W210" i="21"/>
  <c r="BC210" i="21" s="1"/>
  <c r="L415" i="20"/>
  <c r="K394" i="21"/>
  <c r="AQ394" i="21" s="1"/>
  <c r="Y230" i="20"/>
  <c r="X209" i="21"/>
  <c r="BD209" i="21" s="1"/>
  <c r="V31" i="20"/>
  <c r="U10" i="21"/>
  <c r="BA10" i="21" s="1"/>
  <c r="H276" i="20"/>
  <c r="G255" i="21"/>
  <c r="AM255" i="21" s="1"/>
  <c r="M124" i="20"/>
  <c r="L103" i="21"/>
  <c r="AR103" i="21" s="1"/>
  <c r="G450" i="20"/>
  <c r="F429" i="21"/>
  <c r="AL429" i="21" s="1"/>
  <c r="AA83" i="20"/>
  <c r="Z62" i="21"/>
  <c r="BF62" i="21" s="1"/>
  <c r="L272" i="20"/>
  <c r="K251" i="21"/>
  <c r="AQ251" i="21" s="1"/>
  <c r="U60" i="20"/>
  <c r="T39" i="21"/>
  <c r="AZ39" i="21" s="1"/>
  <c r="O269" i="20"/>
  <c r="N248" i="21"/>
  <c r="AT248" i="21" s="1"/>
  <c r="O468" i="20"/>
  <c r="N447" i="21"/>
  <c r="AT447" i="21" s="1"/>
  <c r="G361" i="20"/>
  <c r="F340" i="21"/>
  <c r="AL340" i="21" s="1"/>
  <c r="M271" i="20"/>
  <c r="L250" i="21"/>
  <c r="AR250" i="21" s="1"/>
  <c r="F162" i="20"/>
  <c r="E141" i="21"/>
  <c r="AK141" i="21" s="1"/>
  <c r="P94" i="20"/>
  <c r="O73" i="21"/>
  <c r="AU73" i="21" s="1"/>
  <c r="W460" i="20"/>
  <c r="V439" i="21"/>
  <c r="BB439" i="21" s="1"/>
  <c r="Z286" i="20"/>
  <c r="Y265" i="21"/>
  <c r="BE265" i="21" s="1"/>
  <c r="U116" i="20"/>
  <c r="T95" i="21"/>
  <c r="AZ95" i="21" s="1"/>
  <c r="T33" i="20"/>
  <c r="S12" i="21"/>
  <c r="AY12" i="21" s="1"/>
  <c r="W145" i="20"/>
  <c r="V124" i="21"/>
  <c r="BB124" i="21" s="1"/>
  <c r="T117" i="20"/>
  <c r="S96" i="21"/>
  <c r="AY96" i="21" s="1"/>
  <c r="H475" i="20"/>
  <c r="G454" i="21"/>
  <c r="AM454" i="21" s="1"/>
  <c r="D338" i="20"/>
  <c r="C454" i="20"/>
  <c r="C317" i="21"/>
  <c r="AI317" i="21" s="1"/>
  <c r="N413" i="20"/>
  <c r="M392" i="21"/>
  <c r="AS392" i="21" s="1"/>
  <c r="T348" i="20"/>
  <c r="S327" i="21"/>
  <c r="AY327" i="21" s="1"/>
  <c r="Q267" i="20"/>
  <c r="P246" i="21"/>
  <c r="AV246" i="21" s="1"/>
  <c r="J188" i="20"/>
  <c r="I167" i="21"/>
  <c r="AO167" i="21" s="1"/>
  <c r="R465" i="20"/>
  <c r="Q444" i="21"/>
  <c r="AW444" i="21" s="1"/>
  <c r="Q36" i="20"/>
  <c r="P15" i="21"/>
  <c r="AV15" i="21" s="1"/>
  <c r="L70" i="20"/>
  <c r="K49" i="21"/>
  <c r="AQ49" i="21" s="1"/>
  <c r="H103" i="20"/>
  <c r="G82" i="21"/>
  <c r="AM82" i="21" s="1"/>
  <c r="D78" i="20"/>
  <c r="D79" i="20" s="1"/>
  <c r="F178" i="1" s="1"/>
  <c r="C310" i="20"/>
  <c r="C57" i="21"/>
  <c r="AI57" i="21" s="1"/>
  <c r="AI58" i="21" s="1"/>
  <c r="C79" i="20"/>
  <c r="H160" i="20"/>
  <c r="G139" i="21"/>
  <c r="AM139" i="21" s="1"/>
  <c r="I275" i="20"/>
  <c r="H254" i="21"/>
  <c r="AN254" i="21" s="1"/>
  <c r="Y85" i="20"/>
  <c r="X64" i="21"/>
  <c r="BD64" i="21" s="1"/>
  <c r="L244" i="20"/>
  <c r="K223" i="21"/>
  <c r="AQ223" i="21" s="1"/>
  <c r="I128" i="20"/>
  <c r="H107" i="21"/>
  <c r="AN107" i="21" s="1"/>
  <c r="Z142" i="20"/>
  <c r="Y121" i="21"/>
  <c r="BE121" i="21" s="1"/>
  <c r="K100" i="20"/>
  <c r="J79" i="21"/>
  <c r="AP79" i="21" s="1"/>
  <c r="K416" i="20"/>
  <c r="J395" i="21"/>
  <c r="AP395" i="21" s="1"/>
  <c r="Y112" i="20"/>
  <c r="X91" i="21"/>
  <c r="BD91" i="21" s="1"/>
  <c r="V204" i="20"/>
  <c r="U183" i="21"/>
  <c r="BA183" i="21" s="1"/>
  <c r="L356" i="20"/>
  <c r="K335" i="21"/>
  <c r="AQ335" i="21" s="1"/>
  <c r="U378" i="20"/>
  <c r="T357" i="21"/>
  <c r="AZ357" i="21" s="1"/>
  <c r="E222" i="20"/>
  <c r="D201" i="21"/>
  <c r="AJ201" i="21" s="1"/>
  <c r="E132" i="20"/>
  <c r="D111" i="21"/>
  <c r="AJ111" i="21" s="1"/>
  <c r="F47" i="20"/>
  <c r="E26" i="21"/>
  <c r="AK26" i="21" s="1"/>
  <c r="P467" i="20"/>
  <c r="O446" i="21"/>
  <c r="AU446" i="21" s="1"/>
  <c r="L125" i="20"/>
  <c r="K104" i="21"/>
  <c r="AQ104" i="21" s="1"/>
  <c r="J72" i="20"/>
  <c r="I51" i="21"/>
  <c r="AO51" i="21" s="1"/>
  <c r="Y343" i="20"/>
  <c r="X322" i="21"/>
  <c r="BD322" i="21" s="1"/>
  <c r="I474" i="20"/>
  <c r="H453" i="21"/>
  <c r="AN453" i="21" s="1"/>
  <c r="O211" i="20"/>
  <c r="N190" i="21"/>
  <c r="AT190" i="21" s="1"/>
  <c r="Z84" i="20"/>
  <c r="Y63" i="21"/>
  <c r="BE63" i="21" s="1"/>
  <c r="K187" i="20"/>
  <c r="J166" i="21"/>
  <c r="AP166" i="21" s="1"/>
  <c r="V377" i="20"/>
  <c r="U356" i="21"/>
  <c r="BA356" i="21" s="1"/>
  <c r="S464" i="20"/>
  <c r="R443" i="21"/>
  <c r="AX443" i="21" s="1"/>
  <c r="W58" i="20"/>
  <c r="V37" i="21"/>
  <c r="BB37" i="21" s="1"/>
  <c r="N385" i="20"/>
  <c r="M364" i="21"/>
  <c r="AS364" i="21" s="1"/>
  <c r="O240" i="20"/>
  <c r="N219" i="21"/>
  <c r="AT219" i="21" s="1"/>
  <c r="F105" i="20"/>
  <c r="E84" i="21"/>
  <c r="AK84" i="21" s="1"/>
  <c r="D194" i="20"/>
  <c r="C173" i="21"/>
  <c r="AI173" i="21" s="1"/>
  <c r="AI174" i="21" s="1"/>
  <c r="C195" i="20"/>
  <c r="E183" i="1" s="1"/>
  <c r="K71" i="20"/>
  <c r="J50" i="21"/>
  <c r="AP50" i="21" s="1"/>
  <c r="Q120" i="20"/>
  <c r="P99" i="21"/>
  <c r="AV99" i="21" s="1"/>
  <c r="L330" i="20"/>
  <c r="K309" i="21"/>
  <c r="AQ309" i="21" s="1"/>
  <c r="F192" i="20"/>
  <c r="E171" i="21"/>
  <c r="AK171" i="21" s="1"/>
  <c r="J389" i="20"/>
  <c r="I368" i="21"/>
  <c r="AO368" i="21" s="1"/>
  <c r="P121" i="20"/>
  <c r="O100" i="21"/>
  <c r="AU100" i="21" s="1"/>
  <c r="C396" i="20"/>
  <c r="D280" i="20"/>
  <c r="C259" i="21"/>
  <c r="AI259" i="21" s="1"/>
  <c r="T148" i="20"/>
  <c r="S127" i="21"/>
  <c r="AY127" i="21" s="1"/>
  <c r="S91" i="20"/>
  <c r="R70" i="21"/>
  <c r="AX70" i="21" s="1"/>
  <c r="P411" i="20"/>
  <c r="O390" i="21"/>
  <c r="AU390" i="21" s="1"/>
  <c r="J473" i="20"/>
  <c r="I452" i="21"/>
  <c r="AO452" i="21" s="1"/>
  <c r="H129" i="20"/>
  <c r="G108" i="21"/>
  <c r="AM108" i="21" s="1"/>
  <c r="Q382" i="20"/>
  <c r="P361" i="21"/>
  <c r="AV361" i="21" s="1"/>
  <c r="K245" i="20"/>
  <c r="J224" i="21"/>
  <c r="AP224" i="21" s="1"/>
  <c r="E423" i="20"/>
  <c r="D402" i="21"/>
  <c r="AJ402" i="21" s="1"/>
  <c r="S207" i="20"/>
  <c r="R186" i="21"/>
  <c r="AX186" i="21" s="1"/>
  <c r="V115" i="20"/>
  <c r="U94" i="21"/>
  <c r="BA94" i="21" s="1"/>
  <c r="U406" i="20"/>
  <c r="T385" i="21"/>
  <c r="AZ385" i="21" s="1"/>
  <c r="R409" i="20"/>
  <c r="Q388" i="21"/>
  <c r="AW388" i="21" s="1"/>
  <c r="Z55" i="20"/>
  <c r="Y34" i="21"/>
  <c r="BE34" i="21" s="1"/>
  <c r="K388" i="20"/>
  <c r="J367" i="21"/>
  <c r="AP367" i="21" s="1"/>
  <c r="L471" i="20"/>
  <c r="K450" i="21"/>
  <c r="AQ450" i="21" s="1"/>
  <c r="U435" i="20"/>
  <c r="T414" i="21"/>
  <c r="AZ414" i="21" s="1"/>
  <c r="I102" i="20"/>
  <c r="H81" i="21"/>
  <c r="AN81" i="21" s="1"/>
  <c r="Q238" i="20"/>
  <c r="P217" i="21"/>
  <c r="AV217" i="21" s="1"/>
  <c r="C480" i="20"/>
  <c r="D364" i="20"/>
  <c r="C343" i="21"/>
  <c r="AI343" i="21" s="1"/>
  <c r="F422" i="20"/>
  <c r="E401" i="21"/>
  <c r="AK401" i="21" s="1"/>
  <c r="AA314" i="20"/>
  <c r="Z293" i="21"/>
  <c r="BF293" i="21" s="1"/>
  <c r="M97" i="20"/>
  <c r="L76" i="21"/>
  <c r="AR76" i="21" s="1"/>
  <c r="W174" i="20"/>
  <c r="V153" i="21"/>
  <c r="BB153" i="21" s="1"/>
  <c r="AB227" i="20"/>
  <c r="AA206" i="21"/>
  <c r="BG206" i="21" s="1"/>
  <c r="O122" i="20"/>
  <c r="N101" i="21"/>
  <c r="AT101" i="21" s="1"/>
  <c r="Z200" i="20"/>
  <c r="Y179" i="21"/>
  <c r="BE179" i="21" s="1"/>
  <c r="W87" i="20"/>
  <c r="V66" i="21"/>
  <c r="BB66" i="21" s="1"/>
  <c r="L301" i="20"/>
  <c r="K280" i="21"/>
  <c r="AQ280" i="21" s="1"/>
  <c r="G335" i="20"/>
  <c r="F314" i="21"/>
  <c r="AL314" i="21" s="1"/>
  <c r="R438" i="20"/>
  <c r="Q417" i="21"/>
  <c r="AW417" i="21" s="1"/>
  <c r="AA285" i="20"/>
  <c r="Z264" i="21"/>
  <c r="BF264" i="21" s="1"/>
  <c r="Q180" i="20"/>
  <c r="P159" i="21"/>
  <c r="AV159" i="21" s="1"/>
  <c r="X144" i="20"/>
  <c r="W123" i="21"/>
  <c r="BC123" i="21" s="1"/>
  <c r="K273" i="20"/>
  <c r="J252" i="21"/>
  <c r="AP252" i="21" s="1"/>
  <c r="G104" i="20"/>
  <c r="F83" i="21"/>
  <c r="AL83" i="21" s="1"/>
  <c r="W404" i="20"/>
  <c r="V383" i="21"/>
  <c r="BB383" i="21" s="1"/>
  <c r="J332" i="20"/>
  <c r="I311" i="21"/>
  <c r="AO311" i="21" s="1"/>
  <c r="T321" i="20"/>
  <c r="S300" i="21"/>
  <c r="AY300" i="21" s="1"/>
  <c r="Y28" i="20"/>
  <c r="X7" i="21"/>
  <c r="BD7" i="21" s="1"/>
  <c r="Z27" i="20"/>
  <c r="Y6" i="21"/>
  <c r="BE6" i="21" s="1"/>
  <c r="W345" i="20"/>
  <c r="V324" i="21"/>
  <c r="BB324" i="21" s="1"/>
  <c r="X202" i="20"/>
  <c r="W181" i="21"/>
  <c r="BC181" i="21" s="1"/>
  <c r="U234" i="20"/>
  <c r="T213" i="21"/>
  <c r="AZ213" i="21" s="1"/>
  <c r="G392" i="20"/>
  <c r="F371" i="21"/>
  <c r="AL371" i="21" s="1"/>
  <c r="P268" i="20"/>
  <c r="O247" i="21"/>
  <c r="AU247" i="21" s="1"/>
  <c r="T407" i="20"/>
  <c r="S386" i="21"/>
  <c r="AY386" i="21" s="1"/>
  <c r="X317" i="20"/>
  <c r="W296" i="21"/>
  <c r="BC296" i="21" s="1"/>
  <c r="X344" i="20"/>
  <c r="W323" i="21"/>
  <c r="BC323" i="21" s="1"/>
  <c r="Y259" i="20"/>
  <c r="X238" i="21"/>
  <c r="BD238" i="21" s="1"/>
  <c r="W376" i="20"/>
  <c r="V355" i="21"/>
  <c r="BB355" i="21" s="1"/>
  <c r="R179" i="20"/>
  <c r="Q158" i="21"/>
  <c r="AW158" i="21" s="1"/>
  <c r="AB25" i="20"/>
  <c r="AA4" i="21"/>
  <c r="BG4" i="21" s="1"/>
  <c r="P152" i="20"/>
  <c r="O131" i="21"/>
  <c r="AU131" i="21" s="1"/>
  <c r="N298" i="20"/>
  <c r="M277" i="21"/>
  <c r="AS277" i="21" s="1"/>
  <c r="G191" i="20"/>
  <c r="F170" i="21"/>
  <c r="AL170" i="21" s="1"/>
  <c r="F451" i="20"/>
  <c r="E430" i="21"/>
  <c r="AK430" i="21" s="1"/>
  <c r="V175" i="20"/>
  <c r="U154" i="21"/>
  <c r="BA154" i="21" s="1"/>
  <c r="L215" i="20"/>
  <c r="K194" i="21"/>
  <c r="AQ194" i="21" s="1"/>
  <c r="K126" i="20"/>
  <c r="J105" i="21"/>
  <c r="AP105" i="21" s="1"/>
  <c r="T235" i="20"/>
  <c r="S214" i="21"/>
  <c r="AY214" i="21" s="1"/>
  <c r="S380" i="20"/>
  <c r="R359" i="21"/>
  <c r="AX359" i="21" s="1"/>
  <c r="G220" i="20"/>
  <c r="F199" i="21"/>
  <c r="AL199" i="21" s="1"/>
  <c r="E394" i="20"/>
  <c r="D373" i="21"/>
  <c r="AJ373" i="21" s="1"/>
  <c r="F336" i="20"/>
  <c r="E315" i="21"/>
  <c r="AK315" i="21" s="1"/>
  <c r="E279" i="20"/>
  <c r="D258" i="21"/>
  <c r="AJ258" i="21" s="1"/>
  <c r="U89" i="20"/>
  <c r="T68" i="21"/>
  <c r="AZ68" i="21" s="1"/>
  <c r="L329" i="20"/>
  <c r="K308" i="21"/>
  <c r="AQ308" i="21" s="1"/>
  <c r="U147" i="20"/>
  <c r="T126" i="21"/>
  <c r="AZ126" i="21" s="1"/>
  <c r="P65" i="20"/>
  <c r="O44" i="21"/>
  <c r="AU44" i="21" s="1"/>
  <c r="N39" i="20"/>
  <c r="M18" i="21"/>
  <c r="AS18" i="21" s="1"/>
  <c r="R119" i="20"/>
  <c r="Q98" i="21"/>
  <c r="AW98" i="21" s="1"/>
  <c r="U347" i="20"/>
  <c r="T326" i="21"/>
  <c r="AZ326" i="21" s="1"/>
  <c r="AA54" i="20"/>
  <c r="Z33" i="21"/>
  <c r="BF33" i="21" s="1"/>
  <c r="I73" i="20"/>
  <c r="H52" i="21"/>
  <c r="AN52" i="21" s="1"/>
  <c r="D479" i="20"/>
  <c r="C458" i="21"/>
  <c r="AI458" i="21" s="1"/>
  <c r="W203" i="20"/>
  <c r="V182" i="21"/>
  <c r="BB182" i="21" s="1"/>
  <c r="O412" i="20"/>
  <c r="N391" i="21"/>
  <c r="AT391" i="21" s="1"/>
  <c r="W114" i="20"/>
  <c r="V93" i="21"/>
  <c r="BB93" i="21" s="1"/>
  <c r="T90" i="20"/>
  <c r="S69" i="21"/>
  <c r="AY69" i="21" s="1"/>
  <c r="Q466" i="20"/>
  <c r="P445" i="21"/>
  <c r="AV445" i="21" s="1"/>
  <c r="L186" i="20"/>
  <c r="K165" i="21"/>
  <c r="AQ165" i="21" s="1"/>
  <c r="O95" i="20"/>
  <c r="N74" i="21"/>
  <c r="AT74" i="21" s="1"/>
  <c r="R208" i="20"/>
  <c r="Q187" i="21"/>
  <c r="AW187" i="21" s="1"/>
  <c r="O353" i="20"/>
  <c r="N332" i="21"/>
  <c r="AT332" i="21" s="1"/>
  <c r="L99" i="20"/>
  <c r="K78" i="21"/>
  <c r="AQ78" i="21" s="1"/>
  <c r="S349" i="20"/>
  <c r="R328" i="21"/>
  <c r="AX328" i="21" s="1"/>
  <c r="P210" i="20"/>
  <c r="O189" i="21"/>
  <c r="AU189" i="21" s="1"/>
  <c r="F250" i="20"/>
  <c r="E229" i="21"/>
  <c r="AK229" i="21" s="1"/>
  <c r="E48" i="20"/>
  <c r="D27" i="21"/>
  <c r="AJ27" i="21" s="1"/>
  <c r="K42" i="20"/>
  <c r="J21" i="21"/>
  <c r="AP21" i="21" s="1"/>
  <c r="R150" i="20"/>
  <c r="Q129" i="21"/>
  <c r="AW129" i="21" s="1"/>
  <c r="H45" i="20"/>
  <c r="G24" i="21"/>
  <c r="AM24" i="21" s="1"/>
  <c r="O297" i="20"/>
  <c r="N276" i="21"/>
  <c r="AT276" i="21" s="1"/>
  <c r="O182" i="20"/>
  <c r="N161" i="21"/>
  <c r="AT161" i="21" s="1"/>
  <c r="O384" i="20"/>
  <c r="N363" i="21"/>
  <c r="AT363" i="21" s="1"/>
  <c r="M242" i="20"/>
  <c r="L221" i="21"/>
  <c r="AR221" i="21" s="1"/>
  <c r="K417" i="20"/>
  <c r="J396" i="21"/>
  <c r="AP396" i="21" s="1"/>
  <c r="C425" i="20"/>
  <c r="D309" i="20"/>
  <c r="C288" i="21"/>
  <c r="AI288" i="21" s="1"/>
  <c r="D223" i="20"/>
  <c r="D224" i="20" s="1"/>
  <c r="F184" i="1" s="1"/>
  <c r="C202" i="21"/>
  <c r="AI202" i="21" s="1"/>
  <c r="AI203" i="21" s="1"/>
  <c r="C224" i="20"/>
  <c r="E184" i="1" s="1"/>
  <c r="M98" i="20"/>
  <c r="L77" i="21"/>
  <c r="AR77" i="21" s="1"/>
  <c r="AA257" i="20"/>
  <c r="Z236" i="21"/>
  <c r="BF236" i="21" s="1"/>
  <c r="M299" i="20"/>
  <c r="L278" i="21"/>
  <c r="AR278" i="21" s="1"/>
  <c r="J418" i="20"/>
  <c r="I397" i="21"/>
  <c r="AO397" i="21" s="1"/>
  <c r="V88" i="20"/>
  <c r="U67" i="21"/>
  <c r="BA67" i="21" s="1"/>
  <c r="M470" i="20"/>
  <c r="L449" i="21"/>
  <c r="AR449" i="21" s="1"/>
  <c r="F477" i="20"/>
  <c r="E456" i="21"/>
  <c r="AK456" i="21" s="1"/>
  <c r="S408" i="20"/>
  <c r="R387" i="21"/>
  <c r="AX387" i="21" s="1"/>
  <c r="G277" i="20"/>
  <c r="F256" i="21"/>
  <c r="AL256" i="21" s="1"/>
  <c r="Y431" i="20"/>
  <c r="X410" i="21"/>
  <c r="BD410" i="21" s="1"/>
  <c r="N183" i="20"/>
  <c r="M162" i="21"/>
  <c r="AS162" i="21" s="1"/>
  <c r="K216" i="20"/>
  <c r="J195" i="21"/>
  <c r="AP195" i="21" s="1"/>
  <c r="O66" i="20"/>
  <c r="N45" i="21"/>
  <c r="AT45" i="21" s="1"/>
  <c r="V59" i="20"/>
  <c r="U38" i="21"/>
  <c r="BA38" i="21" s="1"/>
  <c r="X260" i="20"/>
  <c r="W239" i="21"/>
  <c r="BC239" i="21" s="1"/>
  <c r="H305" i="20"/>
  <c r="G284" i="21"/>
  <c r="AM284" i="21" s="1"/>
  <c r="S62" i="20"/>
  <c r="R41" i="21"/>
  <c r="AX41" i="21" s="1"/>
  <c r="J303" i="20"/>
  <c r="I282" i="21"/>
  <c r="AO282" i="21" s="1"/>
  <c r="I333" i="20"/>
  <c r="H312" i="21"/>
  <c r="AN312" i="21" s="1"/>
  <c r="H219" i="20"/>
  <c r="G198" i="21"/>
  <c r="AM198" i="21" s="1"/>
  <c r="X432" i="20"/>
  <c r="W411" i="21"/>
  <c r="BC411" i="21" s="1"/>
  <c r="Z258" i="20"/>
  <c r="Y237" i="21"/>
  <c r="BE237" i="21" s="1"/>
  <c r="R381" i="20"/>
  <c r="Q360" i="21"/>
  <c r="AW360" i="21" s="1"/>
  <c r="X173" i="20"/>
  <c r="W152" i="21"/>
  <c r="BC152" i="21" s="1"/>
  <c r="V319" i="20"/>
  <c r="U298" i="21"/>
  <c r="BA298" i="21" s="1"/>
  <c r="I304" i="20"/>
  <c r="H283" i="21"/>
  <c r="AN283" i="21" s="1"/>
  <c r="R237" i="20"/>
  <c r="Q216" i="21"/>
  <c r="AW216" i="21" s="1"/>
  <c r="U291" i="20"/>
  <c r="T270" i="21"/>
  <c r="AZ270" i="21" s="1"/>
  <c r="C365" i="20"/>
  <c r="C134" i="20"/>
  <c r="D133" i="20"/>
  <c r="C112" i="21"/>
  <c r="AI112" i="21" s="1"/>
  <c r="E251" i="20"/>
  <c r="D230" i="21"/>
  <c r="AJ230" i="21" s="1"/>
  <c r="T264" i="20"/>
  <c r="S243" i="21"/>
  <c r="AY243" i="21" s="1"/>
  <c r="N442" i="20"/>
  <c r="M421" i="21"/>
  <c r="AS421" i="21" s="1"/>
  <c r="V434" i="20"/>
  <c r="U413" i="21"/>
  <c r="BA413" i="21" s="1"/>
  <c r="Z430" i="20"/>
  <c r="Y409" i="21"/>
  <c r="BE409" i="21" s="1"/>
  <c r="AB53" i="20"/>
  <c r="AA32" i="21"/>
  <c r="BG32" i="21" s="1"/>
  <c r="M386" i="20"/>
  <c r="L365" i="21"/>
  <c r="AR365" i="21" s="1"/>
  <c r="H360" i="20"/>
  <c r="G339" i="21"/>
  <c r="AM339" i="21" s="1"/>
  <c r="S322" i="20"/>
  <c r="R301" i="21"/>
  <c r="AX301" i="21" s="1"/>
  <c r="AA170" i="20"/>
  <c r="Z149" i="21"/>
  <c r="BF149" i="21" s="1"/>
  <c r="V233" i="20"/>
  <c r="U212" i="21"/>
  <c r="BA212" i="21" s="1"/>
  <c r="X375" i="20"/>
  <c r="W354" i="21"/>
  <c r="BC354" i="21" s="1"/>
  <c r="H248" i="20"/>
  <c r="G227" i="21"/>
  <c r="AM227" i="21" s="1"/>
  <c r="P296" i="20"/>
  <c r="O275" i="21"/>
  <c r="AU275" i="21" s="1"/>
  <c r="M155" i="20"/>
  <c r="L134" i="21"/>
  <c r="AR134" i="21" s="1"/>
  <c r="D424" i="20"/>
  <c r="C403" i="21"/>
  <c r="AI403" i="21" s="1"/>
  <c r="G161" i="20"/>
  <c r="F140" i="21"/>
  <c r="AL140" i="21" s="1"/>
  <c r="M328" i="20"/>
  <c r="L307" i="21"/>
  <c r="AR307" i="21" s="1"/>
  <c r="Q93" i="20"/>
  <c r="P72" i="21"/>
  <c r="AV72" i="21" s="1"/>
  <c r="G421" i="20"/>
  <c r="F400" i="21"/>
  <c r="AL400" i="21" s="1"/>
  <c r="J274" i="20"/>
  <c r="I253" i="21"/>
  <c r="AO253" i="21" s="1"/>
  <c r="H334" i="20"/>
  <c r="G313" i="21"/>
  <c r="AM313" i="21" s="1"/>
  <c r="Z111" i="20"/>
  <c r="Y90" i="21"/>
  <c r="BE90" i="21" s="1"/>
  <c r="N241" i="20"/>
  <c r="M220" i="21"/>
  <c r="AS220" i="21" s="1"/>
  <c r="O38" i="20"/>
  <c r="N17" i="21"/>
  <c r="AT17" i="21" s="1"/>
  <c r="V262" i="20"/>
  <c r="U241" i="21"/>
  <c r="BA241" i="21" s="1"/>
  <c r="L41" i="20"/>
  <c r="K20" i="21"/>
  <c r="AQ20" i="21" s="1"/>
  <c r="M243" i="20"/>
  <c r="L222" i="21"/>
  <c r="AR222" i="21" s="1"/>
  <c r="Z171" i="20"/>
  <c r="Y150" i="21"/>
  <c r="BE150" i="21" s="1"/>
  <c r="E106" i="20"/>
  <c r="D85" i="21"/>
  <c r="AJ85" i="21" s="1"/>
  <c r="Y338" i="19"/>
  <c r="Z339" i="19" s="1"/>
  <c r="M68" i="20"/>
  <c r="L47" i="21"/>
  <c r="AR47" i="21" s="1"/>
  <c r="Y172" i="20"/>
  <c r="X151" i="21"/>
  <c r="BD151" i="21" s="1"/>
  <c r="AA141" i="20"/>
  <c r="Z120" i="21"/>
  <c r="BF120" i="21" s="1"/>
  <c r="W232" i="20"/>
  <c r="V211" i="21"/>
  <c r="BB211" i="21" s="1"/>
  <c r="T436" i="20"/>
  <c r="S415" i="21"/>
  <c r="AY415" i="21" s="1"/>
  <c r="P239" i="20"/>
  <c r="O218" i="21"/>
  <c r="AU218" i="21" s="1"/>
  <c r="F393" i="20"/>
  <c r="E372" i="21"/>
  <c r="AK372" i="21" s="1"/>
  <c r="S118" i="20"/>
  <c r="R97" i="21"/>
  <c r="AX97" i="21" s="1"/>
  <c r="P37" i="20"/>
  <c r="O16" i="21"/>
  <c r="AU16" i="21" s="1"/>
  <c r="X29" i="20"/>
  <c r="W8" i="21"/>
  <c r="BC8" i="21" s="1"/>
  <c r="X288" i="20"/>
  <c r="W267" i="21"/>
  <c r="BC267" i="21" s="1"/>
  <c r="E193" i="20"/>
  <c r="D172" i="21"/>
  <c r="AJ172" i="21" s="1"/>
  <c r="D395" i="20"/>
  <c r="C374" i="21"/>
  <c r="AI374" i="21" s="1"/>
  <c r="Q410" i="20"/>
  <c r="P389" i="21"/>
  <c r="AV389" i="21" s="1"/>
  <c r="N67" i="20"/>
  <c r="M46" i="21"/>
  <c r="AS46" i="21" s="1"/>
  <c r="U176" i="20"/>
  <c r="T155" i="21"/>
  <c r="AZ155" i="21" s="1"/>
  <c r="V346" i="20"/>
  <c r="U325" i="21"/>
  <c r="BA325" i="21" s="1"/>
  <c r="N123" i="20"/>
  <c r="M102" i="21"/>
  <c r="AS102" i="21" s="1"/>
  <c r="L387" i="20"/>
  <c r="K366" i="21"/>
  <c r="AQ366" i="21" s="1"/>
  <c r="G75" i="20"/>
  <c r="F54" i="21"/>
  <c r="AL54" i="21" s="1"/>
  <c r="U263" i="20"/>
  <c r="T242" i="21"/>
  <c r="AZ242" i="21" s="1"/>
  <c r="K157" i="20"/>
  <c r="J136" i="21"/>
  <c r="AP136" i="21" s="1"/>
  <c r="I247" i="20"/>
  <c r="H226" i="21"/>
  <c r="AN226" i="21" s="1"/>
  <c r="P181" i="20"/>
  <c r="O160" i="21"/>
  <c r="AU160" i="21" s="1"/>
  <c r="N354" i="20"/>
  <c r="M333" i="21"/>
  <c r="AS333" i="21" s="1"/>
  <c r="M40" i="20"/>
  <c r="L19" i="21"/>
  <c r="AR19" i="21" s="1"/>
  <c r="R323" i="20"/>
  <c r="Q302" i="21"/>
  <c r="AW302" i="21" s="1"/>
  <c r="F278" i="20"/>
  <c r="E257" i="21"/>
  <c r="AK257" i="21" s="1"/>
  <c r="M355" i="20"/>
  <c r="L334" i="21"/>
  <c r="AR334" i="21" s="1"/>
  <c r="V461" i="20"/>
  <c r="U440" i="21"/>
  <c r="BA440" i="21" s="1"/>
  <c r="Y56" i="20"/>
  <c r="X35" i="21"/>
  <c r="BD35" i="21" s="1"/>
  <c r="J358" i="20"/>
  <c r="I337" i="21"/>
  <c r="AO337" i="21" s="1"/>
  <c r="W433" i="20"/>
  <c r="V412" i="21"/>
  <c r="BB412" i="21" s="1"/>
  <c r="N327" i="20"/>
  <c r="M306" i="21"/>
  <c r="AS306" i="21" s="1"/>
  <c r="I419" i="20"/>
  <c r="H398" i="21"/>
  <c r="AN398" i="21" s="1"/>
  <c r="Y201" i="20"/>
  <c r="X180" i="21"/>
  <c r="BD180" i="21" s="1"/>
  <c r="F76" i="20"/>
  <c r="E55" i="21"/>
  <c r="AK55" i="21" s="1"/>
  <c r="S437" i="20"/>
  <c r="R416" i="21"/>
  <c r="AX416" i="21" s="1"/>
  <c r="X86" i="20"/>
  <c r="W65" i="21"/>
  <c r="BC65" i="21" s="1"/>
  <c r="O441" i="20"/>
  <c r="N420" i="21"/>
  <c r="AT420" i="21" s="1"/>
  <c r="V146" i="20"/>
  <c r="U125" i="21"/>
  <c r="BA125" i="21" s="1"/>
  <c r="Y143" i="20"/>
  <c r="X122" i="21"/>
  <c r="BD122" i="21" s="1"/>
  <c r="K472" i="20"/>
  <c r="J451" i="21"/>
  <c r="AP451" i="21" s="1"/>
  <c r="H190" i="20"/>
  <c r="G169" i="21"/>
  <c r="AM169" i="21" s="1"/>
  <c r="K446" i="20"/>
  <c r="J425" i="21"/>
  <c r="AP425" i="21" s="1"/>
  <c r="S293" i="20"/>
  <c r="R272" i="21"/>
  <c r="AX272" i="21" s="1"/>
  <c r="V405" i="20"/>
  <c r="U384" i="21"/>
  <c r="BA384" i="21" s="1"/>
  <c r="J101" i="20"/>
  <c r="I80" i="21"/>
  <c r="AO80" i="21" s="1"/>
  <c r="W261" i="20"/>
  <c r="V240" i="21"/>
  <c r="BB240" i="21" s="1"/>
  <c r="S34" i="20"/>
  <c r="R13" i="21"/>
  <c r="AX13" i="21" s="1"/>
  <c r="I218" i="20"/>
  <c r="H197" i="21"/>
  <c r="AN197" i="21" s="1"/>
  <c r="AB198" i="20"/>
  <c r="AA177" i="21"/>
  <c r="BG177" i="21" s="1"/>
  <c r="N469" i="20"/>
  <c r="M448" i="21"/>
  <c r="AS448" i="21" s="1"/>
  <c r="R294" i="20"/>
  <c r="Q273" i="21"/>
  <c r="AW273" i="21" s="1"/>
  <c r="J246" i="20"/>
  <c r="I225" i="21"/>
  <c r="AO225" i="21" s="1"/>
  <c r="F307" i="20"/>
  <c r="E286" i="21"/>
  <c r="AK286" i="21" s="1"/>
  <c r="S149" i="20"/>
  <c r="R128" i="21"/>
  <c r="AX128" i="21" s="1"/>
  <c r="U320" i="20"/>
  <c r="T299" i="21"/>
  <c r="AZ299" i="21" s="1"/>
  <c r="X459" i="20"/>
  <c r="W438" i="21"/>
  <c r="BC438" i="21" s="1"/>
  <c r="AB140" i="20"/>
  <c r="AA119" i="21"/>
  <c r="BG119" i="21" s="1"/>
  <c r="D107" i="20"/>
  <c r="C339" i="20"/>
  <c r="C86" i="21"/>
  <c r="AI86" i="21" s="1"/>
  <c r="AI87" i="21" s="1"/>
  <c r="C108" i="20"/>
  <c r="Y402" i="20"/>
  <c r="X381" i="21"/>
  <c r="BD381" i="21" s="1"/>
  <c r="Z401" i="20"/>
  <c r="Y380" i="21"/>
  <c r="BE380" i="21" s="1"/>
  <c r="X57" i="20"/>
  <c r="W36" i="21"/>
  <c r="BC36" i="21" s="1"/>
  <c r="P383" i="20"/>
  <c r="O362" i="21"/>
  <c r="AU362" i="21" s="1"/>
  <c r="T177" i="20"/>
  <c r="S156" i="21"/>
  <c r="AY156" i="21" s="1"/>
  <c r="J217" i="20"/>
  <c r="I196" i="21"/>
  <c r="AO196" i="21" s="1"/>
  <c r="Q439" i="20"/>
  <c r="P418" i="21"/>
  <c r="AV418" i="21" s="1"/>
  <c r="K302" i="20"/>
  <c r="J281" i="21"/>
  <c r="AP281" i="21" s="1"/>
  <c r="K445" i="20"/>
  <c r="J424" i="21"/>
  <c r="AP424" i="21" s="1"/>
  <c r="E77" i="20"/>
  <c r="D56" i="21"/>
  <c r="AJ56" i="21" s="1"/>
  <c r="J158" i="20"/>
  <c r="I137" i="21"/>
  <c r="AO137" i="21" s="1"/>
  <c r="Y374" i="20"/>
  <c r="X353" i="21"/>
  <c r="BD353" i="21" s="1"/>
  <c r="T61" i="20"/>
  <c r="S40" i="21"/>
  <c r="AY40" i="21" s="1"/>
  <c r="L300" i="20"/>
  <c r="K279" i="21"/>
  <c r="AQ279" i="21" s="1"/>
  <c r="N270" i="20"/>
  <c r="M249" i="21"/>
  <c r="AS249" i="21" s="1"/>
  <c r="AA26" i="20"/>
  <c r="Z5" i="21"/>
  <c r="BF5" i="21" s="1"/>
  <c r="Q209" i="20"/>
  <c r="P188" i="21"/>
  <c r="AV188" i="21" s="1"/>
  <c r="S178" i="20"/>
  <c r="R157" i="21"/>
  <c r="AX157" i="21" s="1"/>
  <c r="M184" i="20"/>
  <c r="L163" i="21"/>
  <c r="AR163" i="21" s="1"/>
  <c r="I448" i="20"/>
  <c r="H427" i="21"/>
  <c r="AN427" i="21" s="1"/>
  <c r="AA199" i="20"/>
  <c r="Z178" i="21"/>
  <c r="BF178" i="21" s="1"/>
  <c r="E452" i="20"/>
  <c r="D431" i="21"/>
  <c r="AJ431" i="21" s="1"/>
  <c r="D252" i="20"/>
  <c r="C231" i="21"/>
  <c r="AI231" i="21" s="1"/>
  <c r="AI232" i="21" s="1"/>
  <c r="C253" i="20"/>
  <c r="E185" i="1" s="1"/>
  <c r="AD425" i="19"/>
  <c r="AE426" i="19" s="1"/>
  <c r="AB338" i="19"/>
  <c r="AC339" i="19" s="1"/>
  <c r="AD193" i="19"/>
  <c r="AE194" i="19" s="1"/>
  <c r="Z454" i="19"/>
  <c r="P194" i="19"/>
  <c r="Z164" i="19"/>
  <c r="AA165" i="19" s="1"/>
  <c r="AE396" i="19"/>
  <c r="AE164" i="19"/>
  <c r="AB78" i="19"/>
  <c r="U514" i="19"/>
  <c r="H455" i="19"/>
  <c r="N340" i="19"/>
  <c r="P110" i="1" s="1"/>
  <c r="P79" i="19"/>
  <c r="R99" i="1" s="1"/>
  <c r="R14" i="51" s="1"/>
  <c r="X456" i="19"/>
  <c r="Z115" i="1" s="1"/>
  <c r="F282" i="19"/>
  <c r="T135" i="19"/>
  <c r="W135" i="19"/>
  <c r="K135" i="19"/>
  <c r="R135" i="19"/>
  <c r="J483" i="19"/>
  <c r="N367" i="19"/>
  <c r="K251" i="19"/>
  <c r="R483" i="19"/>
  <c r="K367" i="19"/>
  <c r="S222" i="19"/>
  <c r="AC483" i="19"/>
  <c r="F483" i="19"/>
  <c r="F223" i="19"/>
  <c r="N251" i="19"/>
  <c r="Y397" i="19"/>
  <c r="AB194" i="19"/>
  <c r="Q165" i="19"/>
  <c r="I281" i="19"/>
  <c r="Z78" i="19"/>
  <c r="W281" i="19"/>
  <c r="R426" i="19"/>
  <c r="L281" i="19"/>
  <c r="N194" i="19"/>
  <c r="Z194" i="19"/>
  <c r="F397" i="19"/>
  <c r="I513" i="19"/>
  <c r="O165" i="19"/>
  <c r="AB397" i="19"/>
  <c r="AE397" i="19"/>
  <c r="AC194" i="19"/>
  <c r="O281" i="19"/>
  <c r="AE222" i="19"/>
  <c r="J222" i="19"/>
  <c r="D375" i="23"/>
  <c r="F138" i="1" s="1"/>
  <c r="Z367" i="19"/>
  <c r="Q367" i="19"/>
  <c r="T367" i="19"/>
  <c r="AE135" i="19"/>
  <c r="N483" i="19"/>
  <c r="V135" i="19"/>
  <c r="F135" i="19"/>
  <c r="AA483" i="19"/>
  <c r="AB483" i="19"/>
  <c r="H222" i="19"/>
  <c r="R251" i="19"/>
  <c r="R367" i="19"/>
  <c r="L135" i="19"/>
  <c r="E398" i="19"/>
  <c r="G112" i="1" s="1"/>
  <c r="E340" i="19"/>
  <c r="G110" i="1" s="1"/>
  <c r="I222" i="19"/>
  <c r="K483" i="19"/>
  <c r="Y483" i="19"/>
  <c r="G222" i="19"/>
  <c r="E172" i="23"/>
  <c r="G130" i="1" s="1"/>
  <c r="X367" i="19"/>
  <c r="AB222" i="19"/>
  <c r="AA222" i="19"/>
  <c r="E108" i="19"/>
  <c r="G100" i="1" s="1"/>
  <c r="M135" i="19"/>
  <c r="U222" i="19"/>
  <c r="F222" i="19"/>
  <c r="AD222" i="19"/>
  <c r="S135" i="19"/>
  <c r="E427" i="19"/>
  <c r="P135" i="19"/>
  <c r="E367" i="19"/>
  <c r="D56" i="23"/>
  <c r="F125" i="1" s="1"/>
  <c r="Q135" i="19"/>
  <c r="AD135" i="19"/>
  <c r="E456" i="19"/>
  <c r="G115" i="1" s="1"/>
  <c r="O483" i="19"/>
  <c r="H367" i="19"/>
  <c r="F367" i="19"/>
  <c r="Y135" i="19"/>
  <c r="M367" i="19"/>
  <c r="AC222" i="19"/>
  <c r="I483" i="19"/>
  <c r="R222" i="19"/>
  <c r="P367" i="19"/>
  <c r="V251" i="19"/>
  <c r="P251" i="19"/>
  <c r="Q251" i="19"/>
  <c r="AB251" i="19"/>
  <c r="F251" i="19"/>
  <c r="L251" i="19"/>
  <c r="S251" i="19"/>
  <c r="AE513" i="19"/>
  <c r="AE165" i="19"/>
  <c r="AC455" i="19"/>
  <c r="W339" i="19"/>
  <c r="S107" i="19"/>
  <c r="J455" i="19"/>
  <c r="R165" i="19"/>
  <c r="O339" i="19"/>
  <c r="AB455" i="19"/>
  <c r="S397" i="19"/>
  <c r="R513" i="19"/>
  <c r="I194" i="19"/>
  <c r="H426" i="19"/>
  <c r="Y281" i="19"/>
  <c r="P513" i="19"/>
  <c r="F339" i="19"/>
  <c r="N455" i="19"/>
  <c r="K339" i="19"/>
  <c r="Q426" i="19"/>
  <c r="T513" i="19"/>
  <c r="R194" i="19"/>
  <c r="L339" i="19"/>
  <c r="W455" i="19"/>
  <c r="AA397" i="19"/>
  <c r="AA513" i="19"/>
  <c r="M397" i="19"/>
  <c r="AE107" i="19"/>
  <c r="V455" i="19"/>
  <c r="AD107" i="19"/>
  <c r="T339" i="19"/>
  <c r="Z107" i="19"/>
  <c r="N513" i="19"/>
  <c r="T165" i="19"/>
  <c r="G397" i="19"/>
  <c r="X165" i="19"/>
  <c r="W397" i="19"/>
  <c r="Y165" i="19"/>
  <c r="G78" i="19"/>
  <c r="X194" i="19"/>
  <c r="W194" i="19"/>
  <c r="V194" i="19"/>
  <c r="O397" i="19"/>
  <c r="J426" i="19"/>
  <c r="AC426" i="19"/>
  <c r="Q281" i="19"/>
  <c r="M513" i="19"/>
  <c r="AB513" i="19"/>
  <c r="Y194" i="19"/>
  <c r="Y339" i="19"/>
  <c r="V339" i="19"/>
  <c r="Q455" i="19"/>
  <c r="AA107" i="19"/>
  <c r="Q513" i="19"/>
  <c r="U455" i="19"/>
  <c r="R339" i="19"/>
  <c r="N107" i="19"/>
  <c r="I339" i="19"/>
  <c r="T107" i="19"/>
  <c r="O455" i="19"/>
  <c r="L165" i="19"/>
  <c r="L513" i="19"/>
  <c r="AC165" i="19"/>
  <c r="N281" i="19"/>
  <c r="F513" i="19"/>
  <c r="L397" i="19"/>
  <c r="AA194" i="19"/>
  <c r="AD78" i="19"/>
  <c r="AE455" i="19"/>
  <c r="I455" i="19"/>
  <c r="AD339" i="19"/>
  <c r="Y513" i="19"/>
  <c r="G165" i="19"/>
  <c r="U397" i="19"/>
  <c r="AE281" i="19"/>
  <c r="S78" i="19"/>
  <c r="D230" i="23"/>
  <c r="F132" i="1" s="1"/>
  <c r="W483" i="19"/>
  <c r="W367" i="19"/>
  <c r="X483" i="19"/>
  <c r="AB135" i="19"/>
  <c r="D491" i="23"/>
  <c r="F143" i="1" s="1"/>
  <c r="E79" i="19"/>
  <c r="G99" i="1" s="1"/>
  <c r="G14" i="51" s="1"/>
  <c r="M222" i="19"/>
  <c r="H483" i="19"/>
  <c r="I135" i="19"/>
  <c r="Z251" i="19"/>
  <c r="W251" i="19"/>
  <c r="AD483" i="19"/>
  <c r="AA426" i="19"/>
  <c r="H107" i="19"/>
  <c r="G426" i="19"/>
  <c r="AE78" i="19"/>
  <c r="R397" i="19"/>
  <c r="J194" i="19"/>
  <c r="V165" i="19"/>
  <c r="M455" i="19"/>
  <c r="G339" i="19"/>
  <c r="N165" i="19"/>
  <c r="O513" i="19"/>
  <c r="M194" i="19"/>
  <c r="Y426" i="19"/>
  <c r="T194" i="19"/>
  <c r="AD397" i="19"/>
  <c r="X78" i="19"/>
  <c r="K194" i="19"/>
  <c r="O367" i="19"/>
  <c r="Q483" i="19"/>
  <c r="G367" i="19"/>
  <c r="U483" i="19"/>
  <c r="D201" i="23"/>
  <c r="F131" i="1" s="1"/>
  <c r="D195" i="20"/>
  <c r="F183" i="1" s="1"/>
  <c r="F195" i="19"/>
  <c r="H104" i="1" s="1"/>
  <c r="P222" i="19"/>
  <c r="AC367" i="19"/>
  <c r="D143" i="23"/>
  <c r="F128" i="1" s="1"/>
  <c r="T483" i="19"/>
  <c r="E514" i="19"/>
  <c r="G117" i="1" s="1"/>
  <c r="Y222" i="19"/>
  <c r="AA367" i="19"/>
  <c r="E135" i="19"/>
  <c r="N135" i="19"/>
  <c r="U367" i="19"/>
  <c r="O135" i="19"/>
  <c r="Z135" i="19"/>
  <c r="AD367" i="19"/>
  <c r="L483" i="19"/>
  <c r="J135" i="19"/>
  <c r="AC135" i="19"/>
  <c r="AE252" i="19"/>
  <c r="U135" i="19"/>
  <c r="G135" i="19"/>
  <c r="K222" i="19"/>
  <c r="J251" i="19"/>
  <c r="P483" i="19"/>
  <c r="I251" i="19"/>
  <c r="Z483" i="19"/>
  <c r="AC251" i="19"/>
  <c r="G107" i="19"/>
  <c r="R281" i="19"/>
  <c r="X107" i="19"/>
  <c r="J107" i="19"/>
  <c r="Z165" i="19"/>
  <c r="V107" i="19"/>
  <c r="K455" i="19"/>
  <c r="P165" i="19"/>
  <c r="R455" i="19"/>
  <c r="V397" i="19"/>
  <c r="Z513" i="19"/>
  <c r="M281" i="19"/>
  <c r="T397" i="19"/>
  <c r="S426" i="19"/>
  <c r="V426" i="19"/>
  <c r="P281" i="19"/>
  <c r="I107" i="19"/>
  <c r="O194" i="19"/>
  <c r="O78" i="19"/>
  <c r="N397" i="19"/>
  <c r="AC397" i="19"/>
  <c r="K107" i="19"/>
  <c r="O107" i="19"/>
  <c r="X339" i="19"/>
  <c r="Y107" i="19"/>
  <c r="W107" i="19"/>
  <c r="H339" i="19"/>
  <c r="AB339" i="19"/>
  <c r="M107" i="19"/>
  <c r="P107" i="19"/>
  <c r="U339" i="19"/>
  <c r="X397" i="19"/>
  <c r="Q397" i="19"/>
  <c r="P397" i="19"/>
  <c r="AD165" i="19"/>
  <c r="H513" i="19"/>
  <c r="G194" i="19"/>
  <c r="W78" i="19"/>
  <c r="P426" i="19"/>
  <c r="H397" i="19"/>
  <c r="U426" i="19"/>
  <c r="I426" i="19"/>
  <c r="L78" i="19"/>
  <c r="L194" i="19"/>
  <c r="T426" i="19"/>
  <c r="H194" i="19"/>
  <c r="V513" i="19"/>
  <c r="Z281" i="19"/>
  <c r="AB107" i="19"/>
  <c r="S455" i="19"/>
  <c r="J339" i="19"/>
  <c r="L107" i="19"/>
  <c r="T455" i="19"/>
  <c r="P455" i="19"/>
  <c r="U107" i="19"/>
  <c r="W165" i="19"/>
  <c r="R107" i="19"/>
  <c r="AE339" i="19"/>
  <c r="Z397" i="19"/>
  <c r="S513" i="19"/>
  <c r="AC513" i="19"/>
  <c r="M165" i="19"/>
  <c r="K165" i="19"/>
  <c r="V78" i="19"/>
  <c r="K397" i="19"/>
  <c r="M78" i="19"/>
  <c r="M339" i="19"/>
  <c r="AD455" i="19"/>
  <c r="P339" i="19"/>
  <c r="S339" i="19"/>
  <c r="K513" i="19"/>
  <c r="Q194" i="19"/>
  <c r="S194" i="19"/>
  <c r="I367" i="19"/>
  <c r="AA135" i="19"/>
  <c r="O251" i="19"/>
  <c r="L222" i="19"/>
  <c r="S483" i="19"/>
  <c r="AB367" i="19"/>
  <c r="V483" i="19"/>
  <c r="X135" i="19"/>
  <c r="AE483" i="19"/>
  <c r="U252" i="19"/>
  <c r="F252" i="19"/>
  <c r="AE251" i="19"/>
  <c r="AA251" i="19"/>
  <c r="X513" i="19"/>
  <c r="L426" i="19"/>
  <c r="AA78" i="19"/>
  <c r="I78" i="19"/>
  <c r="J281" i="19"/>
  <c r="F455" i="19"/>
  <c r="U165" i="19"/>
  <c r="Q107" i="19"/>
  <c r="AA339" i="19"/>
  <c r="N426" i="19"/>
  <c r="J78" i="19"/>
  <c r="U194" i="19"/>
  <c r="K426" i="19"/>
  <c r="AD281" i="19"/>
  <c r="AB281" i="19"/>
  <c r="F426" i="19"/>
  <c r="Y78" i="19"/>
  <c r="W513" i="19"/>
  <c r="H135" i="19"/>
  <c r="M483" i="19"/>
  <c r="D317" i="23"/>
  <c r="F136" i="1" s="1"/>
  <c r="Q222" i="19"/>
  <c r="L367" i="19"/>
  <c r="S367" i="19"/>
  <c r="E166" i="19"/>
  <c r="G102" i="1" s="1"/>
  <c r="D85" i="23"/>
  <c r="F126" i="1" s="1"/>
  <c r="Z222" i="19"/>
  <c r="V367" i="19"/>
  <c r="D404" i="23"/>
  <c r="F140" i="1" s="1"/>
  <c r="Y367" i="19"/>
  <c r="E483" i="19"/>
  <c r="G483" i="19"/>
  <c r="X251" i="19"/>
  <c r="D433" i="23"/>
  <c r="F141" i="1" s="1"/>
  <c r="J367" i="19"/>
  <c r="AE367" i="19"/>
  <c r="X222" i="19"/>
  <c r="O222" i="19"/>
  <c r="N222" i="19"/>
  <c r="V222" i="19"/>
  <c r="T222" i="19"/>
  <c r="M251" i="19"/>
  <c r="W222" i="19"/>
  <c r="Y251" i="19"/>
  <c r="U251" i="19"/>
  <c r="H251" i="19"/>
  <c r="G251" i="19"/>
  <c r="E259" i="23"/>
  <c r="G133" i="1" s="1"/>
  <c r="AD513" i="19"/>
  <c r="J513" i="19"/>
  <c r="G455" i="19"/>
  <c r="H281" i="19"/>
  <c r="X426" i="19"/>
  <c r="I165" i="19"/>
  <c r="Z426" i="19"/>
  <c r="K78" i="19"/>
  <c r="I397" i="19"/>
  <c r="AD426" i="19"/>
  <c r="S165" i="19"/>
  <c r="H165" i="19"/>
  <c r="AB426" i="19"/>
  <c r="U281" i="19"/>
  <c r="AD194" i="19"/>
  <c r="AA281" i="19"/>
  <c r="J165" i="19"/>
  <c r="G281" i="19"/>
  <c r="M426" i="19"/>
  <c r="X281" i="19"/>
  <c r="AC281" i="19"/>
  <c r="F107" i="19"/>
  <c r="Y455" i="19"/>
  <c r="L455" i="19"/>
  <c r="Z455" i="19"/>
  <c r="AC107" i="19"/>
  <c r="Q339" i="19"/>
  <c r="G513" i="19"/>
  <c r="U78" i="19"/>
  <c r="J397" i="19"/>
  <c r="T281" i="19"/>
  <c r="T78" i="19"/>
  <c r="S281" i="19"/>
  <c r="Q78" i="19"/>
  <c r="AC78" i="19"/>
  <c r="V281" i="19"/>
  <c r="K281" i="19"/>
  <c r="H78" i="19"/>
  <c r="N78" i="19"/>
  <c r="W426" i="19"/>
  <c r="AB165" i="19"/>
  <c r="R78" i="19"/>
  <c r="F78" i="19"/>
  <c r="F165" i="19"/>
  <c r="O426" i="19"/>
  <c r="C8" i="1"/>
  <c r="E253" i="19"/>
  <c r="G106" i="1" s="1"/>
  <c r="E224" i="19"/>
  <c r="G105" i="1" s="1"/>
  <c r="E368" i="19"/>
  <c r="D369" i="19"/>
  <c r="F111" i="1" s="1"/>
  <c r="AB310" i="19"/>
  <c r="AA311" i="19"/>
  <c r="E484" i="19"/>
  <c r="D485" i="19"/>
  <c r="F116" i="1" s="1"/>
  <c r="E136" i="19"/>
  <c r="D137" i="19"/>
  <c r="L79" i="1" l="1"/>
  <c r="P79" i="1"/>
  <c r="L78" i="1"/>
  <c r="P78" i="1"/>
  <c r="L77" i="1"/>
  <c r="P77" i="1"/>
  <c r="Z261" i="21"/>
  <c r="BE74" i="23"/>
  <c r="BE92" i="23" s="1"/>
  <c r="BE110" i="23" s="1"/>
  <c r="AJ34" i="23"/>
  <c r="AI42" i="23"/>
  <c r="AI36" i="23"/>
  <c r="F224" i="19"/>
  <c r="H105" i="1" s="1"/>
  <c r="AI41" i="23"/>
  <c r="AI43" i="23"/>
  <c r="AA282" i="20"/>
  <c r="BF74" i="23" s="1"/>
  <c r="BF92" i="23" s="1"/>
  <c r="BF110" i="23" s="1"/>
  <c r="AC109" i="1"/>
  <c r="AJ37" i="23"/>
  <c r="AI39" i="23"/>
  <c r="AI35" i="23"/>
  <c r="U491" i="23"/>
  <c r="W143" i="1" s="1"/>
  <c r="W117" i="1"/>
  <c r="AI45" i="23"/>
  <c r="F259" i="23"/>
  <c r="H133" i="1" s="1"/>
  <c r="H107" i="1"/>
  <c r="F452" i="20"/>
  <c r="E431" i="21"/>
  <c r="AK431" i="21" s="1"/>
  <c r="V320" i="20"/>
  <c r="U299" i="21"/>
  <c r="BA299" i="21" s="1"/>
  <c r="S294" i="20"/>
  <c r="R273" i="21"/>
  <c r="AX273" i="21" s="1"/>
  <c r="AC198" i="20"/>
  <c r="AB177" i="21"/>
  <c r="BH177" i="21" s="1"/>
  <c r="K101" i="20"/>
  <c r="J80" i="21"/>
  <c r="AP80" i="21" s="1"/>
  <c r="I190" i="20"/>
  <c r="H169" i="21"/>
  <c r="AN169" i="21" s="1"/>
  <c r="P441" i="20"/>
  <c r="O420" i="21"/>
  <c r="AU420" i="21" s="1"/>
  <c r="Z201" i="20"/>
  <c r="Y180" i="21"/>
  <c r="BE180" i="21" s="1"/>
  <c r="K358" i="20"/>
  <c r="J337" i="21"/>
  <c r="AP337" i="21" s="1"/>
  <c r="G278" i="20"/>
  <c r="F257" i="21"/>
  <c r="AL257" i="21" s="1"/>
  <c r="Q181" i="20"/>
  <c r="P160" i="21"/>
  <c r="AV160" i="21" s="1"/>
  <c r="H75" i="20"/>
  <c r="G54" i="21"/>
  <c r="AM54" i="21" s="1"/>
  <c r="R410" i="20"/>
  <c r="Q389" i="21"/>
  <c r="AW389" i="21" s="1"/>
  <c r="Y29" i="20"/>
  <c r="X8" i="21"/>
  <c r="BD8" i="21" s="1"/>
  <c r="Q239" i="20"/>
  <c r="P218" i="21"/>
  <c r="AV218" i="21" s="1"/>
  <c r="X232" i="20"/>
  <c r="W211" i="21"/>
  <c r="BC211" i="21" s="1"/>
  <c r="Z172" i="20"/>
  <c r="Y151" i="21"/>
  <c r="BE151" i="21" s="1"/>
  <c r="AH72" i="23"/>
  <c r="AH90" i="23" s="1"/>
  <c r="AH108" i="23" s="1"/>
  <c r="C203" i="21"/>
  <c r="J102" i="20"/>
  <c r="I81" i="21"/>
  <c r="AO81" i="21" s="1"/>
  <c r="AA55" i="20"/>
  <c r="Z34" i="21"/>
  <c r="BF34" i="21" s="1"/>
  <c r="T207" i="20"/>
  <c r="S186" i="21"/>
  <c r="AY186" i="21" s="1"/>
  <c r="L245" i="20"/>
  <c r="K224" i="21"/>
  <c r="AQ224" i="21" s="1"/>
  <c r="I129" i="20"/>
  <c r="H108" i="21"/>
  <c r="AN108" i="21" s="1"/>
  <c r="Q411" i="20"/>
  <c r="P390" i="21"/>
  <c r="AV390" i="21" s="1"/>
  <c r="U148" i="20"/>
  <c r="T127" i="21"/>
  <c r="AZ127" i="21" s="1"/>
  <c r="G105" i="20"/>
  <c r="F84" i="21"/>
  <c r="AL84" i="21" s="1"/>
  <c r="T464" i="20"/>
  <c r="S443" i="21"/>
  <c r="AY443" i="21" s="1"/>
  <c r="P211" i="20"/>
  <c r="O190" i="21"/>
  <c r="AU190" i="21" s="1"/>
  <c r="E178" i="1"/>
  <c r="AH67" i="23"/>
  <c r="AH85" i="23" s="1"/>
  <c r="AH103" i="23" s="1"/>
  <c r="C58" i="21"/>
  <c r="I475" i="20"/>
  <c r="H454" i="21"/>
  <c r="AN454" i="21" s="1"/>
  <c r="X145" i="20"/>
  <c r="W124" i="21"/>
  <c r="BC124" i="21" s="1"/>
  <c r="X460" i="20"/>
  <c r="W439" i="21"/>
  <c r="BC439" i="21" s="1"/>
  <c r="P269" i="20"/>
  <c r="O248" i="21"/>
  <c r="AU248" i="21" s="1"/>
  <c r="M272" i="20"/>
  <c r="L251" i="21"/>
  <c r="AR251" i="21" s="1"/>
  <c r="I276" i="20"/>
  <c r="H255" i="21"/>
  <c r="AN255" i="21" s="1"/>
  <c r="Y231" i="20"/>
  <c r="X210" i="21"/>
  <c r="BD210" i="21" s="1"/>
  <c r="R295" i="20"/>
  <c r="Q274" i="21"/>
  <c r="AW274" i="21" s="1"/>
  <c r="C455" i="20"/>
  <c r="D339" i="20"/>
  <c r="C318" i="21"/>
  <c r="AI318" i="21" s="1"/>
  <c r="AI319" i="21" s="1"/>
  <c r="C340" i="20"/>
  <c r="E189" i="1" s="1"/>
  <c r="F106" i="20"/>
  <c r="E85" i="21"/>
  <c r="AK85" i="21" s="1"/>
  <c r="N243" i="20"/>
  <c r="M222" i="21"/>
  <c r="AS222" i="21" s="1"/>
  <c r="W262" i="20"/>
  <c r="V241" i="21"/>
  <c r="BB241" i="21" s="1"/>
  <c r="O241" i="20"/>
  <c r="N220" i="21"/>
  <c r="AT220" i="21" s="1"/>
  <c r="I334" i="20"/>
  <c r="H313" i="21"/>
  <c r="AN313" i="21" s="1"/>
  <c r="H421" i="20"/>
  <c r="G400" i="21"/>
  <c r="AM400" i="21" s="1"/>
  <c r="N328" i="20"/>
  <c r="M307" i="21"/>
  <c r="AS307" i="21" s="1"/>
  <c r="E424" i="20"/>
  <c r="D403" i="21"/>
  <c r="AJ403" i="21" s="1"/>
  <c r="Q296" i="20"/>
  <c r="P275" i="21"/>
  <c r="AV275" i="21" s="1"/>
  <c r="Y375" i="20"/>
  <c r="X354" i="21"/>
  <c r="BD354" i="21" s="1"/>
  <c r="AB170" i="20"/>
  <c r="AA149" i="21"/>
  <c r="BG149" i="21" s="1"/>
  <c r="I360" i="20"/>
  <c r="H339" i="21"/>
  <c r="AN339" i="21" s="1"/>
  <c r="AC53" i="20"/>
  <c r="AB32" i="21"/>
  <c r="BH32" i="21" s="1"/>
  <c r="W434" i="20"/>
  <c r="V413" i="21"/>
  <c r="BB413" i="21" s="1"/>
  <c r="U264" i="20"/>
  <c r="T243" i="21"/>
  <c r="AZ243" i="21" s="1"/>
  <c r="E133" i="20"/>
  <c r="D112" i="21"/>
  <c r="AJ112" i="21" s="1"/>
  <c r="V291" i="20"/>
  <c r="U270" i="21"/>
  <c r="BA270" i="21" s="1"/>
  <c r="J304" i="20"/>
  <c r="I283" i="21"/>
  <c r="AO283" i="21" s="1"/>
  <c r="Y173" i="20"/>
  <c r="X152" i="21"/>
  <c r="BD152" i="21" s="1"/>
  <c r="AA258" i="20"/>
  <c r="Z237" i="21"/>
  <c r="BF237" i="21" s="1"/>
  <c r="I219" i="20"/>
  <c r="H198" i="21"/>
  <c r="AN198" i="21" s="1"/>
  <c r="K303" i="20"/>
  <c r="J282" i="21"/>
  <c r="AP282" i="21" s="1"/>
  <c r="I305" i="20"/>
  <c r="H284" i="21"/>
  <c r="AN284" i="21" s="1"/>
  <c r="W59" i="20"/>
  <c r="V38" i="21"/>
  <c r="BB38" i="21" s="1"/>
  <c r="L216" i="20"/>
  <c r="K195" i="21"/>
  <c r="AQ195" i="21" s="1"/>
  <c r="Z431" i="20"/>
  <c r="Y410" i="21"/>
  <c r="BE410" i="21" s="1"/>
  <c r="T408" i="20"/>
  <c r="S387" i="21"/>
  <c r="AY387" i="21" s="1"/>
  <c r="N470" i="20"/>
  <c r="M449" i="21"/>
  <c r="AS449" i="21" s="1"/>
  <c r="K418" i="20"/>
  <c r="J397" i="21"/>
  <c r="AP397" i="21" s="1"/>
  <c r="AB257" i="20"/>
  <c r="AA236" i="21"/>
  <c r="BG236" i="21" s="1"/>
  <c r="D425" i="20"/>
  <c r="C404" i="21"/>
  <c r="AI404" i="21" s="1"/>
  <c r="N242" i="20"/>
  <c r="M221" i="21"/>
  <c r="AS221" i="21" s="1"/>
  <c r="P182" i="20"/>
  <c r="O161" i="21"/>
  <c r="AU161" i="21" s="1"/>
  <c r="I45" i="20"/>
  <c r="H24" i="21"/>
  <c r="AN24" i="21" s="1"/>
  <c r="L42" i="20"/>
  <c r="K21" i="21"/>
  <c r="AQ21" i="21" s="1"/>
  <c r="G250" i="20"/>
  <c r="F229" i="21"/>
  <c r="AL229" i="21" s="1"/>
  <c r="T349" i="20"/>
  <c r="S328" i="21"/>
  <c r="AY328" i="21" s="1"/>
  <c r="P353" i="20"/>
  <c r="O332" i="21"/>
  <c r="AU332" i="21" s="1"/>
  <c r="P95" i="20"/>
  <c r="O74" i="21"/>
  <c r="AU74" i="21" s="1"/>
  <c r="R466" i="20"/>
  <c r="Q445" i="21"/>
  <c r="AW445" i="21" s="1"/>
  <c r="X114" i="20"/>
  <c r="W93" i="21"/>
  <c r="BC93" i="21" s="1"/>
  <c r="X203" i="20"/>
  <c r="W182" i="21"/>
  <c r="BC182" i="21" s="1"/>
  <c r="J73" i="20"/>
  <c r="I52" i="21"/>
  <c r="AO52" i="21" s="1"/>
  <c r="V347" i="20"/>
  <c r="U326" i="21"/>
  <c r="BA326" i="21" s="1"/>
  <c r="O39" i="20"/>
  <c r="N18" i="21"/>
  <c r="AT18" i="21" s="1"/>
  <c r="V147" i="20"/>
  <c r="U126" i="21"/>
  <c r="BA126" i="21" s="1"/>
  <c r="V89" i="20"/>
  <c r="U68" i="21"/>
  <c r="BA68" i="21" s="1"/>
  <c r="G336" i="20"/>
  <c r="F315" i="21"/>
  <c r="AL315" i="21" s="1"/>
  <c r="H220" i="20"/>
  <c r="G199" i="21"/>
  <c r="AM199" i="21" s="1"/>
  <c r="U235" i="20"/>
  <c r="T214" i="21"/>
  <c r="AZ214" i="21" s="1"/>
  <c r="M215" i="20"/>
  <c r="L194" i="21"/>
  <c r="AR194" i="21" s="1"/>
  <c r="G451" i="20"/>
  <c r="F430" i="21"/>
  <c r="AL430" i="21" s="1"/>
  <c r="O298" i="20"/>
  <c r="N277" i="21"/>
  <c r="AT277" i="21" s="1"/>
  <c r="AC25" i="20"/>
  <c r="AB4" i="21"/>
  <c r="BH4" i="21" s="1"/>
  <c r="X376" i="20"/>
  <c r="W355" i="21"/>
  <c r="BC355" i="21" s="1"/>
  <c r="Y344" i="20"/>
  <c r="X323" i="21"/>
  <c r="BD323" i="21" s="1"/>
  <c r="U407" i="20"/>
  <c r="T386" i="21"/>
  <c r="AZ386" i="21" s="1"/>
  <c r="H392" i="20"/>
  <c r="G371" i="21"/>
  <c r="AM371" i="21" s="1"/>
  <c r="Y202" i="20"/>
  <c r="X181" i="21"/>
  <c r="BD181" i="21" s="1"/>
  <c r="AA27" i="20"/>
  <c r="Z6" i="21"/>
  <c r="BF6" i="21" s="1"/>
  <c r="U321" i="20"/>
  <c r="T300" i="21"/>
  <c r="AZ300" i="21" s="1"/>
  <c r="X404" i="20"/>
  <c r="W383" i="21"/>
  <c r="BC383" i="21" s="1"/>
  <c r="L273" i="20"/>
  <c r="K252" i="21"/>
  <c r="AQ252" i="21" s="1"/>
  <c r="R180" i="20"/>
  <c r="Q159" i="21"/>
  <c r="AW159" i="21" s="1"/>
  <c r="S438" i="20"/>
  <c r="R417" i="21"/>
  <c r="AX417" i="21" s="1"/>
  <c r="M301" i="20"/>
  <c r="L280" i="21"/>
  <c r="AR280" i="21" s="1"/>
  <c r="AA200" i="20"/>
  <c r="Z179" i="21"/>
  <c r="BF179" i="21" s="1"/>
  <c r="AC227" i="20"/>
  <c r="AB206" i="21"/>
  <c r="BH206" i="21" s="1"/>
  <c r="N97" i="20"/>
  <c r="M76" i="21"/>
  <c r="AS76" i="21" s="1"/>
  <c r="G422" i="20"/>
  <c r="F401" i="21"/>
  <c r="AL401" i="21" s="1"/>
  <c r="Q121" i="20"/>
  <c r="P100" i="21"/>
  <c r="AV100" i="21" s="1"/>
  <c r="G192" i="20"/>
  <c r="F171" i="21"/>
  <c r="AL171" i="21" s="1"/>
  <c r="R120" i="20"/>
  <c r="Q99" i="21"/>
  <c r="AW99" i="21" s="1"/>
  <c r="F132" i="20"/>
  <c r="E111" i="21"/>
  <c r="AK111" i="21" s="1"/>
  <c r="V378" i="20"/>
  <c r="U357" i="21"/>
  <c r="BA357" i="21" s="1"/>
  <c r="W204" i="20"/>
  <c r="V183" i="21"/>
  <c r="BB183" i="21" s="1"/>
  <c r="L416" i="20"/>
  <c r="K395" i="21"/>
  <c r="AQ395" i="21" s="1"/>
  <c r="AA142" i="20"/>
  <c r="Z121" i="21"/>
  <c r="BF121" i="21" s="1"/>
  <c r="M244" i="20"/>
  <c r="L223" i="21"/>
  <c r="AR223" i="21" s="1"/>
  <c r="J275" i="20"/>
  <c r="I254" i="21"/>
  <c r="AO254" i="21" s="1"/>
  <c r="I103" i="20"/>
  <c r="H82" i="21"/>
  <c r="AN82" i="21" s="1"/>
  <c r="R36" i="20"/>
  <c r="Q15" i="21"/>
  <c r="AW15" i="21" s="1"/>
  <c r="K188" i="20"/>
  <c r="J167" i="21"/>
  <c r="AP167" i="21" s="1"/>
  <c r="U348" i="20"/>
  <c r="T327" i="21"/>
  <c r="AZ327" i="21" s="1"/>
  <c r="D454" i="20"/>
  <c r="C433" i="21"/>
  <c r="AI433" i="21" s="1"/>
  <c r="D281" i="20"/>
  <c r="C397" i="20"/>
  <c r="C260" i="21"/>
  <c r="AI260" i="21" s="1"/>
  <c r="F363" i="20"/>
  <c r="E342" i="21"/>
  <c r="AK342" i="21" s="1"/>
  <c r="V205" i="20"/>
  <c r="U184" i="21"/>
  <c r="BA184" i="21" s="1"/>
  <c r="M156" i="20"/>
  <c r="L135" i="21"/>
  <c r="AR135" i="21" s="1"/>
  <c r="R351" i="20"/>
  <c r="Q330" i="21"/>
  <c r="AW330" i="21" s="1"/>
  <c r="M444" i="20"/>
  <c r="L423" i="21"/>
  <c r="AR423" i="21" s="1"/>
  <c r="R151" i="20"/>
  <c r="Q130" i="21"/>
  <c r="AW130" i="21" s="1"/>
  <c r="AA229" i="20"/>
  <c r="Z208" i="21"/>
  <c r="BF208" i="21" s="1"/>
  <c r="R64" i="20"/>
  <c r="Q43" i="21"/>
  <c r="AW43" i="21" s="1"/>
  <c r="J44" i="20"/>
  <c r="I23" i="21"/>
  <c r="AO23" i="21" s="1"/>
  <c r="L331" i="20"/>
  <c r="K310" i="21"/>
  <c r="AQ310" i="21" s="1"/>
  <c r="P326" i="20"/>
  <c r="O305" i="21"/>
  <c r="AU305" i="21" s="1"/>
  <c r="Z287" i="20"/>
  <c r="Y266" i="21"/>
  <c r="BE266" i="21" s="1"/>
  <c r="O212" i="20"/>
  <c r="N191" i="21"/>
  <c r="AT191" i="21" s="1"/>
  <c r="E453" i="20"/>
  <c r="D432" i="21"/>
  <c r="AJ432" i="21" s="1"/>
  <c r="G131" i="20"/>
  <c r="F110" i="21"/>
  <c r="AL110" i="21" s="1"/>
  <c r="T236" i="20"/>
  <c r="S215" i="21"/>
  <c r="AY215" i="21" s="1"/>
  <c r="H46" i="20"/>
  <c r="G25" i="21"/>
  <c r="AM25" i="21" s="1"/>
  <c r="H476" i="20"/>
  <c r="G455" i="21"/>
  <c r="AM455" i="21" s="1"/>
  <c r="U379" i="20"/>
  <c r="T358" i="21"/>
  <c r="AZ358" i="21" s="1"/>
  <c r="S63" i="20"/>
  <c r="R42" i="21"/>
  <c r="AX42" i="21" s="1"/>
  <c r="I74" i="20"/>
  <c r="H53" i="21"/>
  <c r="AN53" i="21" s="1"/>
  <c r="AA315" i="20"/>
  <c r="Z294" i="21"/>
  <c r="BF294" i="21" s="1"/>
  <c r="V462" i="20"/>
  <c r="U441" i="21"/>
  <c r="BA441" i="21" s="1"/>
  <c r="K127" i="20"/>
  <c r="J106" i="21"/>
  <c r="AP106" i="21" s="1"/>
  <c r="U463" i="20"/>
  <c r="T442" i="21"/>
  <c r="AZ442" i="21" s="1"/>
  <c r="AH73" i="23"/>
  <c r="AH91" i="23" s="1"/>
  <c r="AH109" i="23" s="1"/>
  <c r="C232" i="21"/>
  <c r="J448" i="20"/>
  <c r="I427" i="21"/>
  <c r="AO427" i="21" s="1"/>
  <c r="T178" i="20"/>
  <c r="S157" i="21"/>
  <c r="AY157" i="21" s="1"/>
  <c r="AB26" i="20"/>
  <c r="AA5" i="21"/>
  <c r="BG5" i="21" s="1"/>
  <c r="M300" i="20"/>
  <c r="L279" i="21"/>
  <c r="AR279" i="21" s="1"/>
  <c r="Z374" i="20"/>
  <c r="Y353" i="21"/>
  <c r="BE353" i="21" s="1"/>
  <c r="F77" i="20"/>
  <c r="E56" i="21"/>
  <c r="AK56" i="21" s="1"/>
  <c r="L302" i="20"/>
  <c r="K281" i="21"/>
  <c r="AQ281" i="21" s="1"/>
  <c r="K217" i="20"/>
  <c r="J196" i="21"/>
  <c r="AP196" i="21" s="1"/>
  <c r="Q383" i="20"/>
  <c r="P362" i="21"/>
  <c r="AV362" i="21" s="1"/>
  <c r="AA401" i="20"/>
  <c r="Z380" i="21"/>
  <c r="BF380" i="21" s="1"/>
  <c r="AC140" i="20"/>
  <c r="AB119" i="21"/>
  <c r="BH119" i="21" s="1"/>
  <c r="G307" i="20"/>
  <c r="F286" i="21"/>
  <c r="AL286" i="21" s="1"/>
  <c r="T34" i="20"/>
  <c r="S13" i="21"/>
  <c r="AY13" i="21" s="1"/>
  <c r="T293" i="20"/>
  <c r="S272" i="21"/>
  <c r="AY272" i="21" s="1"/>
  <c r="Z143" i="20"/>
  <c r="Y122" i="21"/>
  <c r="BE122" i="21" s="1"/>
  <c r="T437" i="20"/>
  <c r="S416" i="21"/>
  <c r="AY416" i="21" s="1"/>
  <c r="O327" i="20"/>
  <c r="N306" i="21"/>
  <c r="AT306" i="21" s="1"/>
  <c r="W461" i="20"/>
  <c r="V440" i="21"/>
  <c r="BB440" i="21" s="1"/>
  <c r="N40" i="20"/>
  <c r="M19" i="21"/>
  <c r="AS19" i="21" s="1"/>
  <c r="L157" i="20"/>
  <c r="K136" i="21"/>
  <c r="AQ136" i="21" s="1"/>
  <c r="O123" i="20"/>
  <c r="N102" i="21"/>
  <c r="AT102" i="21" s="1"/>
  <c r="V176" i="20"/>
  <c r="U155" i="21"/>
  <c r="BA155" i="21" s="1"/>
  <c r="F193" i="20"/>
  <c r="E172" i="21"/>
  <c r="AK172" i="21" s="1"/>
  <c r="T118" i="20"/>
  <c r="S97" i="21"/>
  <c r="AY97" i="21" s="1"/>
  <c r="E309" i="20"/>
  <c r="D288" i="21"/>
  <c r="AJ288" i="21" s="1"/>
  <c r="D480" i="20"/>
  <c r="C459" i="21"/>
  <c r="AI459" i="21" s="1"/>
  <c r="M471" i="20"/>
  <c r="L450" i="21"/>
  <c r="AR450" i="21" s="1"/>
  <c r="V406" i="20"/>
  <c r="U385" i="21"/>
  <c r="BA385" i="21" s="1"/>
  <c r="AH71" i="23"/>
  <c r="AH89" i="23" s="1"/>
  <c r="AH107" i="23" s="1"/>
  <c r="C174" i="21"/>
  <c r="O385" i="20"/>
  <c r="N364" i="21"/>
  <c r="AT364" i="21" s="1"/>
  <c r="L187" i="20"/>
  <c r="K166" i="21"/>
  <c r="AQ166" i="21" s="1"/>
  <c r="Z343" i="20"/>
  <c r="Y322" i="21"/>
  <c r="BE322" i="21" s="1"/>
  <c r="M125" i="20"/>
  <c r="L104" i="21"/>
  <c r="AR104" i="21" s="1"/>
  <c r="V116" i="20"/>
  <c r="U95" i="21"/>
  <c r="BA95" i="21" s="1"/>
  <c r="G162" i="20"/>
  <c r="F141" i="21"/>
  <c r="AL141" i="21" s="1"/>
  <c r="H361" i="20"/>
  <c r="G340" i="21"/>
  <c r="AM340" i="21" s="1"/>
  <c r="H450" i="20"/>
  <c r="G429" i="21"/>
  <c r="AM429" i="21" s="1"/>
  <c r="Z230" i="20"/>
  <c r="Y209" i="21"/>
  <c r="BE209" i="21" s="1"/>
  <c r="Q325" i="20"/>
  <c r="P304" i="21"/>
  <c r="AV304" i="21" s="1"/>
  <c r="J390" i="20"/>
  <c r="I369" i="21"/>
  <c r="AO369" i="21" s="1"/>
  <c r="X30" i="20"/>
  <c r="W9" i="21"/>
  <c r="BC9" i="21" s="1"/>
  <c r="Y403" i="20"/>
  <c r="X382" i="21"/>
  <c r="BD382" i="21" s="1"/>
  <c r="F337" i="20"/>
  <c r="E316" i="21"/>
  <c r="AK316" i="21" s="1"/>
  <c r="N414" i="20"/>
  <c r="M393" i="21"/>
  <c r="AS393" i="21" s="1"/>
  <c r="O96" i="20"/>
  <c r="N75" i="21"/>
  <c r="AT75" i="21" s="1"/>
  <c r="Q352" i="20"/>
  <c r="P331" i="21"/>
  <c r="AV331" i="21" s="1"/>
  <c r="W290" i="20"/>
  <c r="V269" i="21"/>
  <c r="BB269" i="21" s="1"/>
  <c r="H249" i="20"/>
  <c r="G228" i="21"/>
  <c r="AM228" i="21" s="1"/>
  <c r="AA373" i="20"/>
  <c r="Z352" i="21"/>
  <c r="BF352" i="21" s="1"/>
  <c r="K43" i="20"/>
  <c r="J22" i="21"/>
  <c r="AP22" i="21" s="1"/>
  <c r="E252" i="20"/>
  <c r="D231" i="21"/>
  <c r="AJ231" i="21" s="1"/>
  <c r="AJ232" i="21" s="1"/>
  <c r="D253" i="20"/>
  <c r="F185" i="1" s="1"/>
  <c r="AB199" i="20"/>
  <c r="AA178" i="21"/>
  <c r="BG178" i="21" s="1"/>
  <c r="N184" i="20"/>
  <c r="M163" i="21"/>
  <c r="AS163" i="21" s="1"/>
  <c r="R209" i="20"/>
  <c r="Q188" i="21"/>
  <c r="AW188" i="21" s="1"/>
  <c r="O270" i="20"/>
  <c r="N249" i="21"/>
  <c r="AT249" i="21" s="1"/>
  <c r="U61" i="20"/>
  <c r="T40" i="21"/>
  <c r="AZ40" i="21" s="1"/>
  <c r="K158" i="20"/>
  <c r="J137" i="21"/>
  <c r="AP137" i="21" s="1"/>
  <c r="L445" i="20"/>
  <c r="K424" i="21"/>
  <c r="AQ424" i="21" s="1"/>
  <c r="R439" i="20"/>
  <c r="Q418" i="21"/>
  <c r="AW418" i="21" s="1"/>
  <c r="U177" i="20"/>
  <c r="T156" i="21"/>
  <c r="AZ156" i="21" s="1"/>
  <c r="Y57" i="20"/>
  <c r="X36" i="21"/>
  <c r="BD36" i="21" s="1"/>
  <c r="Z402" i="20"/>
  <c r="Y381" i="21"/>
  <c r="BE381" i="21" s="1"/>
  <c r="E107" i="20"/>
  <c r="D86" i="21"/>
  <c r="AJ86" i="21" s="1"/>
  <c r="AJ87" i="21" s="1"/>
  <c r="Y459" i="20"/>
  <c r="X438" i="21"/>
  <c r="BD438" i="21" s="1"/>
  <c r="T149" i="20"/>
  <c r="S128" i="21"/>
  <c r="AY128" i="21" s="1"/>
  <c r="K246" i="20"/>
  <c r="J225" i="21"/>
  <c r="AP225" i="21" s="1"/>
  <c r="O469" i="20"/>
  <c r="N448" i="21"/>
  <c r="AT448" i="21" s="1"/>
  <c r="J218" i="20"/>
  <c r="I197" i="21"/>
  <c r="AO197" i="21" s="1"/>
  <c r="X261" i="20"/>
  <c r="W240" i="21"/>
  <c r="BC240" i="21" s="1"/>
  <c r="W405" i="20"/>
  <c r="V384" i="21"/>
  <c r="BB384" i="21" s="1"/>
  <c r="L446" i="20"/>
  <c r="K425" i="21"/>
  <c r="AQ425" i="21" s="1"/>
  <c r="L472" i="20"/>
  <c r="K451" i="21"/>
  <c r="AQ451" i="21" s="1"/>
  <c r="W146" i="20"/>
  <c r="V125" i="21"/>
  <c r="BB125" i="21" s="1"/>
  <c r="Y86" i="20"/>
  <c r="X65" i="21"/>
  <c r="BD65" i="21" s="1"/>
  <c r="G76" i="20"/>
  <c r="F55" i="21"/>
  <c r="AL55" i="21" s="1"/>
  <c r="J419" i="20"/>
  <c r="I398" i="21"/>
  <c r="AO398" i="21" s="1"/>
  <c r="X433" i="20"/>
  <c r="W412" i="21"/>
  <c r="BC412" i="21" s="1"/>
  <c r="Z56" i="20"/>
  <c r="Y35" i="21"/>
  <c r="BE35" i="21" s="1"/>
  <c r="N355" i="20"/>
  <c r="M334" i="21"/>
  <c r="AS334" i="21" s="1"/>
  <c r="S323" i="20"/>
  <c r="R302" i="21"/>
  <c r="AX302" i="21" s="1"/>
  <c r="O354" i="20"/>
  <c r="N333" i="21"/>
  <c r="AT333" i="21" s="1"/>
  <c r="J247" i="20"/>
  <c r="I226" i="21"/>
  <c r="AO226" i="21" s="1"/>
  <c r="V263" i="20"/>
  <c r="U242" i="21"/>
  <c r="BA242" i="21" s="1"/>
  <c r="M387" i="20"/>
  <c r="L366" i="21"/>
  <c r="AR366" i="21" s="1"/>
  <c r="W346" i="20"/>
  <c r="V325" i="21"/>
  <c r="BB325" i="21" s="1"/>
  <c r="O67" i="20"/>
  <c r="N46" i="21"/>
  <c r="AT46" i="21" s="1"/>
  <c r="E395" i="20"/>
  <c r="D374" i="21"/>
  <c r="AJ374" i="21" s="1"/>
  <c r="Y288" i="20"/>
  <c r="X267" i="21"/>
  <c r="BD267" i="21" s="1"/>
  <c r="Q37" i="20"/>
  <c r="P16" i="21"/>
  <c r="AV16" i="21" s="1"/>
  <c r="G393" i="20"/>
  <c r="F372" i="21"/>
  <c r="AL372" i="21" s="1"/>
  <c r="U436" i="20"/>
  <c r="T415" i="21"/>
  <c r="AZ415" i="21" s="1"/>
  <c r="AB141" i="20"/>
  <c r="AA120" i="21"/>
  <c r="BG120" i="21" s="1"/>
  <c r="N68" i="20"/>
  <c r="M47" i="21"/>
  <c r="AS47" i="21" s="1"/>
  <c r="C135" i="20"/>
  <c r="C366" i="20"/>
  <c r="D134" i="20"/>
  <c r="C113" i="21"/>
  <c r="AI113" i="21" s="1"/>
  <c r="E223" i="20"/>
  <c r="E224" i="20" s="1"/>
  <c r="G184" i="1" s="1"/>
  <c r="D202" i="21"/>
  <c r="AJ202" i="21" s="1"/>
  <c r="AJ203" i="21" s="1"/>
  <c r="R238" i="20"/>
  <c r="Q217" i="21"/>
  <c r="AW217" i="21" s="1"/>
  <c r="V435" i="20"/>
  <c r="U414" i="21"/>
  <c r="BA414" i="21" s="1"/>
  <c r="L388" i="20"/>
  <c r="K367" i="21"/>
  <c r="AQ367" i="21" s="1"/>
  <c r="S409" i="20"/>
  <c r="R388" i="21"/>
  <c r="AX388" i="21" s="1"/>
  <c r="W115" i="20"/>
  <c r="V94" i="21"/>
  <c r="BB94" i="21" s="1"/>
  <c r="F423" i="20"/>
  <c r="E402" i="21"/>
  <c r="AK402" i="21" s="1"/>
  <c r="R382" i="20"/>
  <c r="Q361" i="21"/>
  <c r="AW361" i="21" s="1"/>
  <c r="K473" i="20"/>
  <c r="J452" i="21"/>
  <c r="AP452" i="21" s="1"/>
  <c r="T91" i="20"/>
  <c r="S70" i="21"/>
  <c r="AY70" i="21" s="1"/>
  <c r="E280" i="20"/>
  <c r="D259" i="21"/>
  <c r="AJ259" i="21" s="1"/>
  <c r="E194" i="20"/>
  <c r="D173" i="21"/>
  <c r="AJ173" i="21" s="1"/>
  <c r="AJ174" i="21" s="1"/>
  <c r="P240" i="20"/>
  <c r="O219" i="21"/>
  <c r="AU219" i="21" s="1"/>
  <c r="X58" i="20"/>
  <c r="W37" i="21"/>
  <c r="BC37" i="21" s="1"/>
  <c r="W377" i="20"/>
  <c r="V356" i="21"/>
  <c r="BB356" i="21" s="1"/>
  <c r="AA84" i="20"/>
  <c r="Z63" i="21"/>
  <c r="BF63" i="21" s="1"/>
  <c r="J474" i="20"/>
  <c r="I453" i="21"/>
  <c r="AO453" i="21" s="1"/>
  <c r="K72" i="20"/>
  <c r="J51" i="21"/>
  <c r="AP51" i="21" s="1"/>
  <c r="Q467" i="20"/>
  <c r="P446" i="21"/>
  <c r="AV446" i="21" s="1"/>
  <c r="C426" i="20"/>
  <c r="D310" i="20"/>
  <c r="C289" i="21"/>
  <c r="AI289" i="21" s="1"/>
  <c r="AI290" i="21" s="1"/>
  <c r="C311" i="20"/>
  <c r="E188" i="1" s="1"/>
  <c r="E338" i="20"/>
  <c r="D317" i="21"/>
  <c r="AJ317" i="21" s="1"/>
  <c r="U117" i="20"/>
  <c r="T96" i="21"/>
  <c r="AZ96" i="21" s="1"/>
  <c r="U33" i="20"/>
  <c r="T12" i="21"/>
  <c r="AZ12" i="21" s="1"/>
  <c r="AA286" i="20"/>
  <c r="Z265" i="21"/>
  <c r="BF265" i="21" s="1"/>
  <c r="Q94" i="20"/>
  <c r="P73" i="21"/>
  <c r="AV73" i="21" s="1"/>
  <c r="N271" i="20"/>
  <c r="M250" i="21"/>
  <c r="AS250" i="21" s="1"/>
  <c r="P468" i="20"/>
  <c r="O447" i="21"/>
  <c r="AU447" i="21" s="1"/>
  <c r="V60" i="20"/>
  <c r="U39" i="21"/>
  <c r="BA39" i="21" s="1"/>
  <c r="AB83" i="20"/>
  <c r="AA62" i="21"/>
  <c r="BG62" i="21" s="1"/>
  <c r="N124" i="20"/>
  <c r="M103" i="21"/>
  <c r="AS103" i="21" s="1"/>
  <c r="W31" i="20"/>
  <c r="V10" i="21"/>
  <c r="BB10" i="21" s="1"/>
  <c r="M415" i="20"/>
  <c r="L394" i="21"/>
  <c r="AR394" i="21" s="1"/>
  <c r="E164" i="20"/>
  <c r="D143" i="21"/>
  <c r="AJ143" i="21" s="1"/>
  <c r="E49" i="20"/>
  <c r="D28" i="21"/>
  <c r="AJ28" i="21" s="1"/>
  <c r="F163" i="20"/>
  <c r="E142" i="21"/>
  <c r="AK142" i="21" s="1"/>
  <c r="X289" i="20"/>
  <c r="W268" i="21"/>
  <c r="BC268" i="21" s="1"/>
  <c r="F478" i="20"/>
  <c r="E457" i="21"/>
  <c r="AK457" i="21" s="1"/>
  <c r="X318" i="20"/>
  <c r="W297" i="21"/>
  <c r="BC297" i="21" s="1"/>
  <c r="J359" i="20"/>
  <c r="I338" i="21"/>
  <c r="AO338" i="21" s="1"/>
  <c r="O154" i="20"/>
  <c r="N133" i="21"/>
  <c r="AT133" i="21" s="1"/>
  <c r="AC169" i="20"/>
  <c r="AB148" i="21"/>
  <c r="BH148" i="21" s="1"/>
  <c r="R324" i="20"/>
  <c r="Q303" i="21"/>
  <c r="AW303" i="21" s="1"/>
  <c r="Q440" i="20"/>
  <c r="P419" i="21"/>
  <c r="AV419" i="21" s="1"/>
  <c r="AB228" i="20"/>
  <c r="AA207" i="21"/>
  <c r="BG207" i="21" s="1"/>
  <c r="V32" i="20"/>
  <c r="U11" i="21"/>
  <c r="BA11" i="21" s="1"/>
  <c r="N443" i="20"/>
  <c r="M422" i="21"/>
  <c r="AS422" i="21" s="1"/>
  <c r="J189" i="20"/>
  <c r="I168" i="21"/>
  <c r="AO168" i="21" s="1"/>
  <c r="E179" i="1"/>
  <c r="AH68" i="23"/>
  <c r="AH86" i="23" s="1"/>
  <c r="AH104" i="23" s="1"/>
  <c r="C87" i="21"/>
  <c r="AA171" i="20"/>
  <c r="Z150" i="21"/>
  <c r="BF150" i="21" s="1"/>
  <c r="M41" i="20"/>
  <c r="L20" i="21"/>
  <c r="AR20" i="21" s="1"/>
  <c r="P38" i="20"/>
  <c r="O17" i="21"/>
  <c r="AU17" i="21" s="1"/>
  <c r="AA111" i="20"/>
  <c r="Z90" i="21"/>
  <c r="BF90" i="21" s="1"/>
  <c r="K274" i="20"/>
  <c r="J253" i="21"/>
  <c r="AP253" i="21" s="1"/>
  <c r="R93" i="20"/>
  <c r="Q72" i="21"/>
  <c r="AW72" i="21" s="1"/>
  <c r="H161" i="20"/>
  <c r="G140" i="21"/>
  <c r="AM140" i="21" s="1"/>
  <c r="N155" i="20"/>
  <c r="M134" i="21"/>
  <c r="AS134" i="21" s="1"/>
  <c r="I248" i="20"/>
  <c r="H227" i="21"/>
  <c r="AN227" i="21" s="1"/>
  <c r="W233" i="20"/>
  <c r="V212" i="21"/>
  <c r="BB212" i="21" s="1"/>
  <c r="T322" i="20"/>
  <c r="S301" i="21"/>
  <c r="AY301" i="21" s="1"/>
  <c r="N386" i="20"/>
  <c r="M365" i="21"/>
  <c r="AS365" i="21" s="1"/>
  <c r="AA430" i="20"/>
  <c r="Z409" i="21"/>
  <c r="BF409" i="21" s="1"/>
  <c r="O442" i="20"/>
  <c r="N421" i="21"/>
  <c r="AT421" i="21" s="1"/>
  <c r="F251" i="20"/>
  <c r="E230" i="21"/>
  <c r="AK230" i="21" s="1"/>
  <c r="C481" i="20"/>
  <c r="D365" i="20"/>
  <c r="C344" i="21"/>
  <c r="AI344" i="21" s="1"/>
  <c r="S237" i="20"/>
  <c r="R216" i="21"/>
  <c r="AX216" i="21" s="1"/>
  <c r="W319" i="20"/>
  <c r="V298" i="21"/>
  <c r="BB298" i="21" s="1"/>
  <c r="S381" i="20"/>
  <c r="R360" i="21"/>
  <c r="AX360" i="21" s="1"/>
  <c r="Y432" i="20"/>
  <c r="X411" i="21"/>
  <c r="BD411" i="21" s="1"/>
  <c r="J333" i="20"/>
  <c r="I312" i="21"/>
  <c r="AO312" i="21" s="1"/>
  <c r="T62" i="20"/>
  <c r="S41" i="21"/>
  <c r="AY41" i="21" s="1"/>
  <c r="Y260" i="20"/>
  <c r="X239" i="21"/>
  <c r="BD239" i="21" s="1"/>
  <c r="P66" i="20"/>
  <c r="O45" i="21"/>
  <c r="AU45" i="21" s="1"/>
  <c r="O183" i="20"/>
  <c r="N162" i="21"/>
  <c r="AT162" i="21" s="1"/>
  <c r="H277" i="20"/>
  <c r="G256" i="21"/>
  <c r="AM256" i="21" s="1"/>
  <c r="G477" i="20"/>
  <c r="F456" i="21"/>
  <c r="AL456" i="21" s="1"/>
  <c r="W88" i="20"/>
  <c r="V67" i="21"/>
  <c r="BB67" i="21" s="1"/>
  <c r="N299" i="20"/>
  <c r="M278" i="21"/>
  <c r="AS278" i="21" s="1"/>
  <c r="N98" i="20"/>
  <c r="M77" i="21"/>
  <c r="AS77" i="21" s="1"/>
  <c r="L417" i="20"/>
  <c r="K396" i="21"/>
  <c r="AQ396" i="21" s="1"/>
  <c r="P384" i="20"/>
  <c r="O363" i="21"/>
  <c r="AU363" i="21" s="1"/>
  <c r="P297" i="20"/>
  <c r="O276" i="21"/>
  <c r="AU276" i="21" s="1"/>
  <c r="S150" i="20"/>
  <c r="R129" i="21"/>
  <c r="AX129" i="21" s="1"/>
  <c r="F48" i="20"/>
  <c r="E27" i="21"/>
  <c r="AK27" i="21" s="1"/>
  <c r="Q210" i="20"/>
  <c r="P189" i="21"/>
  <c r="AV189" i="21" s="1"/>
  <c r="M99" i="20"/>
  <c r="L78" i="21"/>
  <c r="AR78" i="21" s="1"/>
  <c r="S208" i="20"/>
  <c r="R187" i="21"/>
  <c r="AX187" i="21" s="1"/>
  <c r="M186" i="20"/>
  <c r="L165" i="21"/>
  <c r="AR165" i="21" s="1"/>
  <c r="U90" i="20"/>
  <c r="T69" i="21"/>
  <c r="AZ69" i="21" s="1"/>
  <c r="P412" i="20"/>
  <c r="O391" i="21"/>
  <c r="AU391" i="21" s="1"/>
  <c r="E479" i="20"/>
  <c r="D458" i="21"/>
  <c r="AJ458" i="21" s="1"/>
  <c r="AB54" i="20"/>
  <c r="AA33" i="21"/>
  <c r="BG33" i="21" s="1"/>
  <c r="S119" i="20"/>
  <c r="R98" i="21"/>
  <c r="AX98" i="21" s="1"/>
  <c r="Q65" i="20"/>
  <c r="P44" i="21"/>
  <c r="AV44" i="21" s="1"/>
  <c r="M329" i="20"/>
  <c r="L308" i="21"/>
  <c r="AR308" i="21" s="1"/>
  <c r="F279" i="20"/>
  <c r="E258" i="21"/>
  <c r="AK258" i="21" s="1"/>
  <c r="F394" i="20"/>
  <c r="E373" i="21"/>
  <c r="AK373" i="21" s="1"/>
  <c r="T380" i="20"/>
  <c r="S359" i="21"/>
  <c r="AY359" i="21" s="1"/>
  <c r="L126" i="20"/>
  <c r="K105" i="21"/>
  <c r="AQ105" i="21" s="1"/>
  <c r="W175" i="20"/>
  <c r="V154" i="21"/>
  <c r="BB154" i="21" s="1"/>
  <c r="H191" i="20"/>
  <c r="G170" i="21"/>
  <c r="AM170" i="21" s="1"/>
  <c r="Q152" i="20"/>
  <c r="P131" i="21"/>
  <c r="AV131" i="21" s="1"/>
  <c r="S179" i="20"/>
  <c r="R158" i="21"/>
  <c r="AX158" i="21" s="1"/>
  <c r="Z259" i="20"/>
  <c r="Y238" i="21"/>
  <c r="BE238" i="21" s="1"/>
  <c r="Y317" i="20"/>
  <c r="X296" i="21"/>
  <c r="BD296" i="21" s="1"/>
  <c r="Q268" i="20"/>
  <c r="P247" i="21"/>
  <c r="AV247" i="21" s="1"/>
  <c r="V234" i="20"/>
  <c r="U213" i="21"/>
  <c r="BA213" i="21" s="1"/>
  <c r="X345" i="20"/>
  <c r="W324" i="21"/>
  <c r="BC324" i="21" s="1"/>
  <c r="Z28" i="20"/>
  <c r="Y7" i="21"/>
  <c r="BE7" i="21" s="1"/>
  <c r="K332" i="20"/>
  <c r="J311" i="21"/>
  <c r="AP311" i="21" s="1"/>
  <c r="H104" i="20"/>
  <c r="G83" i="21"/>
  <c r="AM83" i="21" s="1"/>
  <c r="Y144" i="20"/>
  <c r="X123" i="21"/>
  <c r="BD123" i="21" s="1"/>
  <c r="AB285" i="20"/>
  <c r="AA264" i="21"/>
  <c r="BG264" i="21" s="1"/>
  <c r="H335" i="20"/>
  <c r="G314" i="21"/>
  <c r="AM314" i="21" s="1"/>
  <c r="X87" i="20"/>
  <c r="W66" i="21"/>
  <c r="BC66" i="21" s="1"/>
  <c r="P122" i="20"/>
  <c r="O101" i="21"/>
  <c r="AU101" i="21" s="1"/>
  <c r="X174" i="20"/>
  <c r="W153" i="21"/>
  <c r="BC153" i="21" s="1"/>
  <c r="AB314" i="20"/>
  <c r="AA293" i="21"/>
  <c r="BG293" i="21" s="1"/>
  <c r="E364" i="20"/>
  <c r="D343" i="21"/>
  <c r="AJ343" i="21" s="1"/>
  <c r="D396" i="20"/>
  <c r="C375" i="21"/>
  <c r="AI375" i="21" s="1"/>
  <c r="K389" i="20"/>
  <c r="J368" i="21"/>
  <c r="AP368" i="21" s="1"/>
  <c r="M330" i="20"/>
  <c r="L309" i="21"/>
  <c r="AR309" i="21" s="1"/>
  <c r="L71" i="20"/>
  <c r="K50" i="21"/>
  <c r="AQ50" i="21" s="1"/>
  <c r="G47" i="20"/>
  <c r="F26" i="21"/>
  <c r="AL26" i="21" s="1"/>
  <c r="F222" i="20"/>
  <c r="E201" i="21"/>
  <c r="AK201" i="21" s="1"/>
  <c r="M356" i="20"/>
  <c r="L335" i="21"/>
  <c r="AR335" i="21" s="1"/>
  <c r="Z112" i="20"/>
  <c r="Y91" i="21"/>
  <c r="BE91" i="21" s="1"/>
  <c r="L100" i="20"/>
  <c r="K79" i="21"/>
  <c r="AQ79" i="21" s="1"/>
  <c r="J128" i="20"/>
  <c r="I107" i="21"/>
  <c r="AO107" i="21" s="1"/>
  <c r="Z85" i="20"/>
  <c r="Y64" i="21"/>
  <c r="BE64" i="21" s="1"/>
  <c r="I160" i="20"/>
  <c r="H139" i="21"/>
  <c r="AN139" i="21" s="1"/>
  <c r="E78" i="20"/>
  <c r="D57" i="21"/>
  <c r="AJ57" i="21" s="1"/>
  <c r="AJ58" i="21" s="1"/>
  <c r="M70" i="20"/>
  <c r="L49" i="21"/>
  <c r="AR49" i="21" s="1"/>
  <c r="S465" i="20"/>
  <c r="R444" i="21"/>
  <c r="AX444" i="21" s="1"/>
  <c r="R267" i="20"/>
  <c r="Q246" i="21"/>
  <c r="AW246" i="21" s="1"/>
  <c r="O413" i="20"/>
  <c r="N392" i="21"/>
  <c r="AT392" i="21" s="1"/>
  <c r="D165" i="20"/>
  <c r="C144" i="21"/>
  <c r="C166" i="20"/>
  <c r="E182" i="1" s="1"/>
  <c r="H130" i="20"/>
  <c r="G109" i="21"/>
  <c r="AM109" i="21" s="1"/>
  <c r="N185" i="20"/>
  <c r="M164" i="21"/>
  <c r="AS164" i="21" s="1"/>
  <c r="N214" i="20"/>
  <c r="M193" i="21"/>
  <c r="AS193" i="21" s="1"/>
  <c r="S35" i="20"/>
  <c r="R14" i="21"/>
  <c r="AX14" i="21" s="1"/>
  <c r="AC82" i="20"/>
  <c r="AB61" i="21"/>
  <c r="BH61" i="21" s="1"/>
  <c r="U206" i="20"/>
  <c r="T185" i="21"/>
  <c r="AZ185" i="21" s="1"/>
  <c r="I420" i="20"/>
  <c r="H399" i="21"/>
  <c r="AN399" i="21" s="1"/>
  <c r="S92" i="20"/>
  <c r="R71" i="21"/>
  <c r="AX71" i="21" s="1"/>
  <c r="Z316" i="20"/>
  <c r="Y295" i="21"/>
  <c r="BE295" i="21" s="1"/>
  <c r="G221" i="20"/>
  <c r="F200" i="21"/>
  <c r="AL200" i="21" s="1"/>
  <c r="Y113" i="20"/>
  <c r="X92" i="21"/>
  <c r="BD92" i="21" s="1"/>
  <c r="N69" i="20"/>
  <c r="M48" i="21"/>
  <c r="AS48" i="21" s="1"/>
  <c r="N213" i="20"/>
  <c r="M192" i="21"/>
  <c r="AS192" i="21" s="1"/>
  <c r="G362" i="20"/>
  <c r="F341" i="21"/>
  <c r="AL341" i="21" s="1"/>
  <c r="K447" i="20"/>
  <c r="J426" i="21"/>
  <c r="AP426" i="21" s="1"/>
  <c r="L357" i="20"/>
  <c r="K336" i="21"/>
  <c r="AQ336" i="21" s="1"/>
  <c r="S350" i="20"/>
  <c r="R329" i="21"/>
  <c r="AX329" i="21" s="1"/>
  <c r="I449" i="20"/>
  <c r="H428" i="21"/>
  <c r="AN428" i="21" s="1"/>
  <c r="J159" i="20"/>
  <c r="I138" i="21"/>
  <c r="AO138" i="21" s="1"/>
  <c r="F308" i="20"/>
  <c r="E287" i="21"/>
  <c r="AK287" i="21" s="1"/>
  <c r="H306" i="20"/>
  <c r="G285" i="21"/>
  <c r="AM285" i="21" s="1"/>
  <c r="U292" i="20"/>
  <c r="T271" i="21"/>
  <c r="AZ271" i="21" s="1"/>
  <c r="S266" i="20"/>
  <c r="R245" i="21"/>
  <c r="AX245" i="21" s="1"/>
  <c r="I391" i="20"/>
  <c r="H370" i="21"/>
  <c r="AN370" i="21" s="1"/>
  <c r="P153" i="20"/>
  <c r="O132" i="21"/>
  <c r="AU132" i="21" s="1"/>
  <c r="T265" i="20"/>
  <c r="S244" i="21"/>
  <c r="AY244" i="21" s="1"/>
  <c r="AA455" i="19"/>
  <c r="P195" i="19"/>
  <c r="R104" i="1" s="1"/>
  <c r="AB79" i="19"/>
  <c r="AB50" i="20" s="1"/>
  <c r="P56" i="23"/>
  <c r="H456" i="19"/>
  <c r="AB195" i="19"/>
  <c r="AI31" i="23"/>
  <c r="AI33" i="23"/>
  <c r="AI30" i="23"/>
  <c r="U253" i="19"/>
  <c r="N282" i="19"/>
  <c r="D108" i="20"/>
  <c r="F179" i="1" s="1"/>
  <c r="F101" i="1"/>
  <c r="I79" i="19"/>
  <c r="K99" i="1" s="1"/>
  <c r="K14" i="51" s="1"/>
  <c r="X433" i="23"/>
  <c r="Z141" i="1" s="1"/>
  <c r="N317" i="23"/>
  <c r="P136" i="1" s="1"/>
  <c r="G108" i="19"/>
  <c r="I100" i="1" s="1"/>
  <c r="N514" i="19"/>
  <c r="AE456" i="19"/>
  <c r="D174" i="21"/>
  <c r="AI71" i="23"/>
  <c r="AI89" i="23" s="1"/>
  <c r="D58" i="21"/>
  <c r="AI67" i="23"/>
  <c r="AI85" i="23" s="1"/>
  <c r="D203" i="21"/>
  <c r="AI72" i="23"/>
  <c r="AI90" i="23" s="1"/>
  <c r="AD398" i="19"/>
  <c r="I282" i="19"/>
  <c r="Z79" i="19"/>
  <c r="AB99" i="1" s="1"/>
  <c r="AB14" i="51" s="1"/>
  <c r="AD79" i="19"/>
  <c r="AA398" i="19"/>
  <c r="V514" i="19"/>
  <c r="J427" i="19"/>
  <c r="J195" i="19"/>
  <c r="L104" i="1" s="1"/>
  <c r="Z340" i="19"/>
  <c r="H282" i="19"/>
  <c r="U166" i="19"/>
  <c r="AC514" i="19"/>
  <c r="E369" i="19"/>
  <c r="G111" i="1" s="1"/>
  <c r="U79" i="19"/>
  <c r="W99" i="1" s="1"/>
  <c r="W14" i="51" s="1"/>
  <c r="Q340" i="19"/>
  <c r="S110" i="1" s="1"/>
  <c r="Z456" i="19"/>
  <c r="AB115" i="1" s="1"/>
  <c r="Y456" i="19"/>
  <c r="AA115" i="1" s="1"/>
  <c r="AD427" i="19"/>
  <c r="AF114" i="1" s="1"/>
  <c r="I252" i="19"/>
  <c r="N252" i="19"/>
  <c r="E143" i="23"/>
  <c r="G128" i="1" s="1"/>
  <c r="M368" i="19"/>
  <c r="R223" i="19"/>
  <c r="N484" i="19"/>
  <c r="Y79" i="19"/>
  <c r="AA99" i="1" s="1"/>
  <c r="AA14" i="51" s="1"/>
  <c r="Y136" i="19"/>
  <c r="AB136" i="19"/>
  <c r="M166" i="19"/>
  <c r="O102" i="1" s="1"/>
  <c r="AE368" i="19"/>
  <c r="Y282" i="19"/>
  <c r="AA107" i="1" s="1"/>
  <c r="S398" i="19"/>
  <c r="U112" i="1" s="1"/>
  <c r="S108" i="19"/>
  <c r="U100" i="1" s="1"/>
  <c r="AE514" i="19"/>
  <c r="G252" i="19"/>
  <c r="W252" i="19"/>
  <c r="E433" i="23"/>
  <c r="G141" i="1" s="1"/>
  <c r="E404" i="23"/>
  <c r="G140" i="1" s="1"/>
  <c r="AE223" i="19"/>
  <c r="H223" i="19"/>
  <c r="L484" i="19"/>
  <c r="E317" i="23"/>
  <c r="G136" i="1" s="1"/>
  <c r="M136" i="19"/>
  <c r="S252" i="19"/>
  <c r="AC484" i="19"/>
  <c r="T79" i="19"/>
  <c r="V99" i="1" s="1"/>
  <c r="V14" i="51" s="1"/>
  <c r="S166" i="19"/>
  <c r="U102" i="1" s="1"/>
  <c r="AA223" i="19"/>
  <c r="S514" i="19"/>
  <c r="U117" i="1" s="1"/>
  <c r="AE340" i="19"/>
  <c r="P456" i="19"/>
  <c r="R115" i="1" s="1"/>
  <c r="L108" i="19"/>
  <c r="N100" i="1" s="1"/>
  <c r="S456" i="19"/>
  <c r="U115" i="1" s="1"/>
  <c r="Z282" i="19"/>
  <c r="AB107" i="1" s="1"/>
  <c r="H195" i="19"/>
  <c r="J104" i="1" s="1"/>
  <c r="L195" i="19"/>
  <c r="N104" i="1" s="1"/>
  <c r="I427" i="19"/>
  <c r="H398" i="19"/>
  <c r="J112" i="1" s="1"/>
  <c r="H514" i="19"/>
  <c r="J117" i="1" s="1"/>
  <c r="O136" i="19"/>
  <c r="E491" i="23"/>
  <c r="G143" i="1" s="1"/>
  <c r="H368" i="19"/>
  <c r="P368" i="19"/>
  <c r="X79" i="19"/>
  <c r="Z99" i="1" s="1"/>
  <c r="Z14" i="51" s="1"/>
  <c r="Y484" i="19"/>
  <c r="X484" i="19"/>
  <c r="S79" i="19"/>
  <c r="U99" i="1" s="1"/>
  <c r="U14" i="51" s="1"/>
  <c r="AC340" i="19"/>
  <c r="G166" i="19"/>
  <c r="I102" i="1" s="1"/>
  <c r="AD340" i="19"/>
  <c r="F514" i="19"/>
  <c r="H117" i="1" s="1"/>
  <c r="AC166" i="19"/>
  <c r="L166" i="19"/>
  <c r="N102" i="1" s="1"/>
  <c r="T108" i="19"/>
  <c r="V100" i="1" s="1"/>
  <c r="N108" i="19"/>
  <c r="P100" i="1" s="1"/>
  <c r="U456" i="19"/>
  <c r="W115" i="1" s="1"/>
  <c r="AA108" i="19"/>
  <c r="AC100" i="1" s="1"/>
  <c r="V340" i="19"/>
  <c r="X110" i="1" s="1"/>
  <c r="V195" i="19"/>
  <c r="X104" i="1" s="1"/>
  <c r="X195" i="19"/>
  <c r="Z104" i="1" s="1"/>
  <c r="X166" i="19"/>
  <c r="Z102" i="1" s="1"/>
  <c r="Z108" i="19"/>
  <c r="AB100" i="1" s="1"/>
  <c r="AE108" i="19"/>
  <c r="R195" i="19"/>
  <c r="T104" i="1" s="1"/>
  <c r="AE253" i="19"/>
  <c r="O427" i="19"/>
  <c r="F79" i="19"/>
  <c r="H99" i="1" s="1"/>
  <c r="H14" i="51" s="1"/>
  <c r="AB166" i="19"/>
  <c r="N79" i="19"/>
  <c r="P99" i="1" s="1"/>
  <c r="P14" i="51" s="1"/>
  <c r="K282" i="19"/>
  <c r="M107" i="1" s="1"/>
  <c r="AC79" i="19"/>
  <c r="S282" i="19"/>
  <c r="U107" i="1" s="1"/>
  <c r="U282" i="19"/>
  <c r="W107" i="1" s="1"/>
  <c r="H166" i="19"/>
  <c r="J102" i="1" s="1"/>
  <c r="I398" i="19"/>
  <c r="K112" i="1" s="1"/>
  <c r="X427" i="19"/>
  <c r="Z114" i="1" s="1"/>
  <c r="G456" i="19"/>
  <c r="I115" i="1" s="1"/>
  <c r="AD514" i="19"/>
  <c r="P108" i="19"/>
  <c r="R100" i="1" s="1"/>
  <c r="F340" i="19"/>
  <c r="H110" i="1" s="1"/>
  <c r="H484" i="19"/>
  <c r="Z368" i="19"/>
  <c r="W368" i="19"/>
  <c r="I136" i="19"/>
  <c r="F427" i="19"/>
  <c r="AD282" i="19"/>
  <c r="U195" i="19"/>
  <c r="W104" i="1" s="1"/>
  <c r="N427" i="19"/>
  <c r="Q108" i="19"/>
  <c r="S100" i="1" s="1"/>
  <c r="F456" i="19"/>
  <c r="H115" i="1" s="1"/>
  <c r="Z398" i="19"/>
  <c r="AB112" i="1" s="1"/>
  <c r="R108" i="19"/>
  <c r="T100" i="1" s="1"/>
  <c r="U108" i="19"/>
  <c r="W100" i="1" s="1"/>
  <c r="T456" i="19"/>
  <c r="V115" i="1" s="1"/>
  <c r="J340" i="19"/>
  <c r="L110" i="1" s="1"/>
  <c r="AB108" i="19"/>
  <c r="T427" i="19"/>
  <c r="V114" i="1" s="1"/>
  <c r="L79" i="19"/>
  <c r="N99" i="1" s="1"/>
  <c r="N14" i="51" s="1"/>
  <c r="U427" i="19"/>
  <c r="W114" i="1" s="1"/>
  <c r="P427" i="19"/>
  <c r="G195" i="19"/>
  <c r="I104" i="1" s="1"/>
  <c r="AD166" i="19"/>
  <c r="U340" i="19"/>
  <c r="W110" i="1" s="1"/>
  <c r="M108" i="19"/>
  <c r="O100" i="1" s="1"/>
  <c r="H340" i="19"/>
  <c r="J110" i="1" s="1"/>
  <c r="Y108" i="19"/>
  <c r="AA100" i="1" s="1"/>
  <c r="O108" i="19"/>
  <c r="Q100" i="1" s="1"/>
  <c r="O79" i="19"/>
  <c r="Q99" i="1" s="1"/>
  <c r="Q14" i="51" s="1"/>
  <c r="Y195" i="19"/>
  <c r="AA104" i="1" s="1"/>
  <c r="V368" i="19"/>
  <c r="F136" i="19"/>
  <c r="W79" i="19"/>
  <c r="Y99" i="1" s="1"/>
  <c r="Y14" i="51" s="1"/>
  <c r="AD195" i="19"/>
  <c r="U484" i="19"/>
  <c r="AD368" i="19"/>
  <c r="F172" i="23"/>
  <c r="H130" i="1" s="1"/>
  <c r="V484" i="19"/>
  <c r="R484" i="19"/>
  <c r="K195" i="19"/>
  <c r="M104" i="1" s="1"/>
  <c r="Y427" i="19"/>
  <c r="AA114" i="1" s="1"/>
  <c r="O514" i="19"/>
  <c r="Q117" i="1" s="1"/>
  <c r="G340" i="19"/>
  <c r="I110" i="1" s="1"/>
  <c r="V166" i="19"/>
  <c r="X102" i="1" s="1"/>
  <c r="R398" i="19"/>
  <c r="T112" i="1" s="1"/>
  <c r="AE195" i="19"/>
  <c r="H108" i="19"/>
  <c r="J100" i="1" s="1"/>
  <c r="AE484" i="19"/>
  <c r="AA252" i="19"/>
  <c r="I484" i="19"/>
  <c r="E56" i="23"/>
  <c r="G125" i="1" s="1"/>
  <c r="AC136" i="19"/>
  <c r="X368" i="19"/>
  <c r="AE282" i="19"/>
  <c r="U398" i="19"/>
  <c r="W112" i="1" s="1"/>
  <c r="Y514" i="19"/>
  <c r="AA117" i="1" s="1"/>
  <c r="I456" i="19"/>
  <c r="K115" i="1" s="1"/>
  <c r="L398" i="19"/>
  <c r="N112" i="1" s="1"/>
  <c r="L514" i="19"/>
  <c r="N117" i="1" s="1"/>
  <c r="O456" i="19"/>
  <c r="Q115" i="1" s="1"/>
  <c r="I340" i="19"/>
  <c r="K110" i="1" s="1"/>
  <c r="R340" i="19"/>
  <c r="T110" i="1" s="1"/>
  <c r="Q514" i="19"/>
  <c r="S117" i="1" s="1"/>
  <c r="Q456" i="19"/>
  <c r="S115" i="1" s="1"/>
  <c r="Y340" i="19"/>
  <c r="AA110" i="1" s="1"/>
  <c r="AB514" i="19"/>
  <c r="M514" i="19"/>
  <c r="O117" i="1" s="1"/>
  <c r="AC427" i="19"/>
  <c r="AE114" i="1" s="1"/>
  <c r="O398" i="19"/>
  <c r="Q112" i="1" s="1"/>
  <c r="W195" i="19"/>
  <c r="Y104" i="1" s="1"/>
  <c r="G79" i="19"/>
  <c r="I99" i="1" s="1"/>
  <c r="I14" i="51" s="1"/>
  <c r="W398" i="19"/>
  <c r="Y112" i="1" s="1"/>
  <c r="G398" i="19"/>
  <c r="I112" i="1" s="1"/>
  <c r="T340" i="19"/>
  <c r="V110" i="1" s="1"/>
  <c r="V456" i="19"/>
  <c r="X115" i="1" s="1"/>
  <c r="M398" i="19"/>
  <c r="O112" i="1" s="1"/>
  <c r="L340" i="19"/>
  <c r="N110" i="1" s="1"/>
  <c r="T514" i="19"/>
  <c r="V117" i="1" s="1"/>
  <c r="K340" i="19"/>
  <c r="M110" i="1" s="1"/>
  <c r="N136" i="19"/>
  <c r="AB223" i="19"/>
  <c r="Y368" i="19"/>
  <c r="V282" i="19"/>
  <c r="X107" i="1" s="1"/>
  <c r="G136" i="19"/>
  <c r="O484" i="19"/>
  <c r="R368" i="19"/>
  <c r="AC195" i="19"/>
  <c r="AB398" i="19"/>
  <c r="I514" i="19"/>
  <c r="K117" i="1" s="1"/>
  <c r="Z195" i="19"/>
  <c r="AB104" i="1" s="1"/>
  <c r="L282" i="19"/>
  <c r="N107" i="1" s="1"/>
  <c r="W282" i="19"/>
  <c r="Y107" i="1" s="1"/>
  <c r="O252" i="19"/>
  <c r="G484" i="19"/>
  <c r="T223" i="19"/>
  <c r="S484" i="19"/>
  <c r="O368" i="19"/>
  <c r="S136" i="19"/>
  <c r="U136" i="19"/>
  <c r="AC282" i="19"/>
  <c r="Y166" i="19"/>
  <c r="AA102" i="1" s="1"/>
  <c r="N166" i="19"/>
  <c r="P102" i="1" s="1"/>
  <c r="V223" i="19"/>
  <c r="E85" i="23"/>
  <c r="G126" i="1" s="1"/>
  <c r="E79" i="20"/>
  <c r="G178" i="1" s="1"/>
  <c r="AC223" i="19"/>
  <c r="W136" i="19"/>
  <c r="U368" i="19"/>
  <c r="AA368" i="19"/>
  <c r="K223" i="19"/>
  <c r="O282" i="19"/>
  <c r="Q107" i="1" s="1"/>
  <c r="AE398" i="19"/>
  <c r="F398" i="19"/>
  <c r="H112" i="1" s="1"/>
  <c r="N195" i="19"/>
  <c r="P104" i="1" s="1"/>
  <c r="R427" i="19"/>
  <c r="T114" i="1" s="1"/>
  <c r="Q166" i="19"/>
  <c r="S102" i="1" s="1"/>
  <c r="Y398" i="19"/>
  <c r="AA112" i="1" s="1"/>
  <c r="AD484" i="19"/>
  <c r="L368" i="19"/>
  <c r="L252" i="19"/>
  <c r="K484" i="19"/>
  <c r="L136" i="19"/>
  <c r="X136" i="19"/>
  <c r="Q398" i="19"/>
  <c r="S112" i="1" s="1"/>
  <c r="AC398" i="19"/>
  <c r="T195" i="19"/>
  <c r="V104" i="1" s="1"/>
  <c r="K427" i="19"/>
  <c r="AB311" i="19"/>
  <c r="T282" i="19"/>
  <c r="V107" i="1" s="1"/>
  <c r="Z252" i="19"/>
  <c r="W223" i="19"/>
  <c r="P223" i="19"/>
  <c r="L427" i="19"/>
  <c r="AB252" i="19"/>
  <c r="AC368" i="19"/>
  <c r="M223" i="19"/>
  <c r="S195" i="19"/>
  <c r="U104" i="1" s="1"/>
  <c r="K514" i="19"/>
  <c r="M117" i="1" s="1"/>
  <c r="S340" i="19"/>
  <c r="U110" i="1" s="1"/>
  <c r="AD456" i="19"/>
  <c r="M79" i="19"/>
  <c r="O99" i="1" s="1"/>
  <c r="O14" i="51" s="1"/>
  <c r="V79" i="19"/>
  <c r="X99" i="1" s="1"/>
  <c r="X14" i="51" s="1"/>
  <c r="I108" i="19"/>
  <c r="K100" i="1" s="1"/>
  <c r="V427" i="19"/>
  <c r="X114" i="1" s="1"/>
  <c r="T398" i="19"/>
  <c r="V112" i="1" s="1"/>
  <c r="Z514" i="19"/>
  <c r="AB117" i="1" s="1"/>
  <c r="R456" i="19"/>
  <c r="T115" i="1" s="1"/>
  <c r="V108" i="19"/>
  <c r="X100" i="1" s="1"/>
  <c r="J108" i="19"/>
  <c r="L100" i="1" s="1"/>
  <c r="R282" i="19"/>
  <c r="T107" i="1" s="1"/>
  <c r="AD252" i="19"/>
  <c r="J252" i="19"/>
  <c r="K252" i="19"/>
  <c r="H136" i="19"/>
  <c r="K136" i="19"/>
  <c r="P136" i="19"/>
  <c r="O340" i="19"/>
  <c r="Q110" i="1" s="1"/>
  <c r="AC456" i="19"/>
  <c r="T252" i="19"/>
  <c r="R252" i="19"/>
  <c r="S223" i="19"/>
  <c r="AD223" i="19"/>
  <c r="Z136" i="19"/>
  <c r="I368" i="19"/>
  <c r="R136" i="19"/>
  <c r="F368" i="19"/>
  <c r="I195" i="19"/>
  <c r="K104" i="1" s="1"/>
  <c r="E201" i="23"/>
  <c r="G131" i="1" s="1"/>
  <c r="E195" i="20"/>
  <c r="G183" i="1" s="1"/>
  <c r="F166" i="19"/>
  <c r="H102" i="1" s="1"/>
  <c r="R79" i="19"/>
  <c r="T99" i="1" s="1"/>
  <c r="T14" i="51" s="1"/>
  <c r="W427" i="19"/>
  <c r="Y114" i="1" s="1"/>
  <c r="H79" i="19"/>
  <c r="J99" i="1" s="1"/>
  <c r="J14" i="51" s="1"/>
  <c r="Q79" i="19"/>
  <c r="S99" i="1" s="1"/>
  <c r="S14" i="51" s="1"/>
  <c r="J166" i="19"/>
  <c r="L102" i="1" s="1"/>
  <c r="AB427" i="19"/>
  <c r="AD114" i="1" s="1"/>
  <c r="K79" i="19"/>
  <c r="M99" i="1" s="1"/>
  <c r="M14" i="51" s="1"/>
  <c r="I166" i="19"/>
  <c r="K102" i="1" s="1"/>
  <c r="J514" i="19"/>
  <c r="L117" i="1" s="1"/>
  <c r="Y252" i="19"/>
  <c r="F484" i="19"/>
  <c r="M427" i="19"/>
  <c r="AB282" i="19"/>
  <c r="J79" i="19"/>
  <c r="L99" i="1" s="1"/>
  <c r="L14" i="51" s="1"/>
  <c r="AA340" i="19"/>
  <c r="AC110" i="1" s="1"/>
  <c r="J282" i="19"/>
  <c r="L107" i="1" s="1"/>
  <c r="AA79" i="19"/>
  <c r="AC99" i="1" s="1"/>
  <c r="AC14" i="51" s="1"/>
  <c r="W166" i="19"/>
  <c r="Y102" i="1" s="1"/>
  <c r="P398" i="19"/>
  <c r="R112" i="1" s="1"/>
  <c r="AB340" i="19"/>
  <c r="W108" i="19"/>
  <c r="Y100" i="1" s="1"/>
  <c r="X340" i="19"/>
  <c r="Z110" i="1" s="1"/>
  <c r="K108" i="19"/>
  <c r="M100" i="1" s="1"/>
  <c r="N398" i="19"/>
  <c r="P112" i="1" s="1"/>
  <c r="O195" i="19"/>
  <c r="Q104" i="1" s="1"/>
  <c r="M195" i="19"/>
  <c r="O104" i="1" s="1"/>
  <c r="M456" i="19"/>
  <c r="O115" i="1" s="1"/>
  <c r="AE79" i="19"/>
  <c r="G427" i="19"/>
  <c r="AA427" i="19"/>
  <c r="AC114" i="1" s="1"/>
  <c r="X252" i="19"/>
  <c r="J136" i="19"/>
  <c r="N223" i="19"/>
  <c r="AE427" i="19"/>
  <c r="AG114" i="1" s="1"/>
  <c r="Q282" i="19"/>
  <c r="S107" i="1" s="1"/>
  <c r="T166" i="19"/>
  <c r="V102" i="1" s="1"/>
  <c r="AD108" i="19"/>
  <c r="AA514" i="19"/>
  <c r="AC117" i="1" s="1"/>
  <c r="W456" i="19"/>
  <c r="Y115" i="1" s="1"/>
  <c r="Q427" i="19"/>
  <c r="S114" i="1" s="1"/>
  <c r="E137" i="19"/>
  <c r="E485" i="19"/>
  <c r="G116" i="1" s="1"/>
  <c r="E230" i="23"/>
  <c r="G132" i="1" s="1"/>
  <c r="F253" i="19"/>
  <c r="J398" i="19"/>
  <c r="L112" i="1" s="1"/>
  <c r="G514" i="19"/>
  <c r="I117" i="1" s="1"/>
  <c r="AC108" i="19"/>
  <c r="L456" i="19"/>
  <c r="N115" i="1" s="1"/>
  <c r="F108" i="19"/>
  <c r="H100" i="1" s="1"/>
  <c r="X282" i="19"/>
  <c r="Z107" i="1" s="1"/>
  <c r="G282" i="19"/>
  <c r="I107" i="1" s="1"/>
  <c r="AA195" i="19"/>
  <c r="AC104" i="1" s="1"/>
  <c r="H252" i="19"/>
  <c r="V252" i="19"/>
  <c r="X223" i="19"/>
  <c r="U223" i="19"/>
  <c r="O223" i="19"/>
  <c r="Y223" i="19"/>
  <c r="K368" i="19"/>
  <c r="T368" i="19"/>
  <c r="W514" i="19"/>
  <c r="Y117" i="1" s="1"/>
  <c r="X514" i="19"/>
  <c r="Z117" i="1" s="1"/>
  <c r="W484" i="19"/>
  <c r="T484" i="19"/>
  <c r="P252" i="19"/>
  <c r="J368" i="19"/>
  <c r="Q195" i="19"/>
  <c r="S104" i="1" s="1"/>
  <c r="AA166" i="19"/>
  <c r="AC102" i="1" s="1"/>
  <c r="P340" i="19"/>
  <c r="R110" i="1" s="1"/>
  <c r="M340" i="19"/>
  <c r="O110" i="1" s="1"/>
  <c r="K398" i="19"/>
  <c r="M112" i="1" s="1"/>
  <c r="K166" i="19"/>
  <c r="M102" i="1" s="1"/>
  <c r="P282" i="19"/>
  <c r="R107" i="1" s="1"/>
  <c r="S427" i="19"/>
  <c r="U114" i="1" s="1"/>
  <c r="M282" i="19"/>
  <c r="O107" i="1" s="1"/>
  <c r="V398" i="19"/>
  <c r="X112" i="1" s="1"/>
  <c r="K456" i="19"/>
  <c r="M115" i="1" s="1"/>
  <c r="Z166" i="19"/>
  <c r="AB102" i="1" s="1"/>
  <c r="X108" i="19"/>
  <c r="Z100" i="1" s="1"/>
  <c r="AA484" i="19"/>
  <c r="Q484" i="19"/>
  <c r="L223" i="19"/>
  <c r="V136" i="19"/>
  <c r="AD136" i="19"/>
  <c r="M484" i="19"/>
  <c r="AA136" i="19"/>
  <c r="AB368" i="19"/>
  <c r="Z223" i="19"/>
  <c r="Q223" i="19"/>
  <c r="N456" i="19"/>
  <c r="P115" i="1" s="1"/>
  <c r="P514" i="19"/>
  <c r="R117" i="1" s="1"/>
  <c r="H427" i="19"/>
  <c r="R514" i="19"/>
  <c r="T117" i="1" s="1"/>
  <c r="AB456" i="19"/>
  <c r="R166" i="19"/>
  <c r="T102" i="1" s="1"/>
  <c r="J456" i="19"/>
  <c r="L115" i="1" s="1"/>
  <c r="W340" i="19"/>
  <c r="Y110" i="1" s="1"/>
  <c r="AE166" i="19"/>
  <c r="X398" i="19"/>
  <c r="Z112" i="1" s="1"/>
  <c r="M252" i="19"/>
  <c r="AC252" i="19"/>
  <c r="Q252" i="19"/>
  <c r="Q368" i="19"/>
  <c r="J484" i="19"/>
  <c r="N368" i="19"/>
  <c r="G368" i="19"/>
  <c r="P484" i="19"/>
  <c r="AE136" i="19"/>
  <c r="Q136" i="19"/>
  <c r="T136" i="19"/>
  <c r="G223" i="19"/>
  <c r="P166" i="19"/>
  <c r="R102" i="1" s="1"/>
  <c r="Z484" i="19"/>
  <c r="J223" i="19"/>
  <c r="E375" i="23"/>
  <c r="G138" i="1" s="1"/>
  <c r="S368" i="19"/>
  <c r="I223" i="19"/>
  <c r="AB484" i="19"/>
  <c r="AA282" i="19"/>
  <c r="AC107" i="1" s="1"/>
  <c r="O166" i="19"/>
  <c r="Q102" i="1" s="1"/>
  <c r="Z427" i="19"/>
  <c r="AB114" i="1" s="1"/>
  <c r="C20" i="1"/>
  <c r="D462" i="23"/>
  <c r="F142" i="1" s="1"/>
  <c r="C2" i="1"/>
  <c r="D114" i="23"/>
  <c r="F127" i="1" s="1"/>
  <c r="C14" i="1"/>
  <c r="D346" i="23"/>
  <c r="F137" i="1" s="1"/>
  <c r="D8" i="1"/>
  <c r="L76" i="1" l="1"/>
  <c r="P76" i="1"/>
  <c r="L73" i="1"/>
  <c r="P73" i="1"/>
  <c r="L83" i="1"/>
  <c r="P83" i="1"/>
  <c r="L82" i="1"/>
  <c r="P82" i="1"/>
  <c r="L72" i="1"/>
  <c r="P72" i="1"/>
  <c r="AU30" i="23"/>
  <c r="R125" i="1"/>
  <c r="AI144" i="21"/>
  <c r="AI145" i="21" s="1"/>
  <c r="B9" i="1" s="1"/>
  <c r="AI108" i="23"/>
  <c r="C10" i="1"/>
  <c r="AI107" i="23"/>
  <c r="AA261" i="21"/>
  <c r="AC187" i="1"/>
  <c r="S398" i="20"/>
  <c r="U192" i="1" s="1"/>
  <c r="AJ36" i="23"/>
  <c r="Y398" i="20"/>
  <c r="AA192" i="1" s="1"/>
  <c r="X398" i="20"/>
  <c r="Z192" i="1" s="1"/>
  <c r="AC311" i="20"/>
  <c r="AC290" i="21" s="1"/>
  <c r="AE110" i="1"/>
  <c r="AC485" i="20"/>
  <c r="BH81" i="23" s="1"/>
  <c r="BH99" i="23" s="1"/>
  <c r="BH117" i="23" s="1"/>
  <c r="AE117" i="1"/>
  <c r="AS39" i="23"/>
  <c r="AK37" i="23"/>
  <c r="AZ45" i="23"/>
  <c r="Z398" i="20"/>
  <c r="AB192" i="1" s="1"/>
  <c r="AE398" i="20"/>
  <c r="BJ78" i="23" s="1"/>
  <c r="BJ96" i="23" s="1"/>
  <c r="BJ114" i="23" s="1"/>
  <c r="AJ35" i="23"/>
  <c r="V398" i="20"/>
  <c r="X192" i="1" s="1"/>
  <c r="AD427" i="20"/>
  <c r="AD406" i="21" s="1"/>
  <c r="AF115" i="1"/>
  <c r="AB282" i="20"/>
  <c r="AB261" i="21" s="1"/>
  <c r="AD109" i="1"/>
  <c r="AE369" i="20"/>
  <c r="BJ77" i="23" s="1"/>
  <c r="BJ95" i="23" s="1"/>
  <c r="BJ113" i="23" s="1"/>
  <c r="AG112" i="1"/>
  <c r="AC253" i="20"/>
  <c r="AC232" i="21" s="1"/>
  <c r="AE107" i="1"/>
  <c r="AB369" i="20"/>
  <c r="AB348" i="21" s="1"/>
  <c r="AD112" i="1"/>
  <c r="AC398" i="20"/>
  <c r="AC377" i="21" s="1"/>
  <c r="U398" i="20"/>
  <c r="W192" i="1" s="1"/>
  <c r="AD398" i="20"/>
  <c r="BI78" i="23" s="1"/>
  <c r="BI96" i="23" s="1"/>
  <c r="BI114" i="23" s="1"/>
  <c r="J404" i="23"/>
  <c r="L140" i="1" s="1"/>
  <c r="BC43" i="23"/>
  <c r="N259" i="23"/>
  <c r="P133" i="1" s="1"/>
  <c r="P107" i="1"/>
  <c r="AB166" i="20"/>
  <c r="AB145" i="21" s="1"/>
  <c r="AD104" i="1"/>
  <c r="E8" i="1"/>
  <c r="H106" i="1"/>
  <c r="AB253" i="20"/>
  <c r="AB232" i="21" s="1"/>
  <c r="AD107" i="1"/>
  <c r="R398" i="20"/>
  <c r="T192" i="1" s="1"/>
  <c r="AC166" i="20"/>
  <c r="AC145" i="21" s="1"/>
  <c r="AE104" i="1"/>
  <c r="AD253" i="20"/>
  <c r="AD232" i="21" s="1"/>
  <c r="AF107" i="1"/>
  <c r="AD485" i="20"/>
  <c r="AD464" i="21" s="1"/>
  <c r="AF117" i="1"/>
  <c r="AD311" i="20"/>
  <c r="BI75" i="23" s="1"/>
  <c r="BI93" i="23" s="1"/>
  <c r="BI111" i="23" s="1"/>
  <c r="AF110" i="1"/>
  <c r="AE311" i="20"/>
  <c r="AE290" i="21" s="1"/>
  <c r="AG110" i="1"/>
  <c r="AJ39" i="23"/>
  <c r="AJ42" i="23"/>
  <c r="AE485" i="20"/>
  <c r="BJ81" i="23" s="1"/>
  <c r="BJ99" i="23" s="1"/>
  <c r="BJ117" i="23" s="1"/>
  <c r="AG117" i="1"/>
  <c r="F201" i="23"/>
  <c r="H131" i="1" s="1"/>
  <c r="H259" i="23"/>
  <c r="J133" i="1" s="1"/>
  <c r="J107" i="1"/>
  <c r="V491" i="23"/>
  <c r="X143" i="1" s="1"/>
  <c r="X117" i="1"/>
  <c r="I259" i="23"/>
  <c r="K133" i="1" s="1"/>
  <c r="K107" i="1"/>
  <c r="N491" i="23"/>
  <c r="P143" i="1" s="1"/>
  <c r="P117" i="1"/>
  <c r="U230" i="23"/>
  <c r="W132" i="1" s="1"/>
  <c r="W106" i="1"/>
  <c r="H433" i="23"/>
  <c r="J141" i="1" s="1"/>
  <c r="J115" i="1"/>
  <c r="AB427" i="20"/>
  <c r="BG79" i="23" s="1"/>
  <c r="BG97" i="23" s="1"/>
  <c r="BG115" i="23" s="1"/>
  <c r="AD115" i="1"/>
  <c r="AC369" i="20"/>
  <c r="AC348" i="21" s="1"/>
  <c r="AE112" i="1"/>
  <c r="AK34" i="23"/>
  <c r="AD369" i="20"/>
  <c r="BI77" i="23" s="1"/>
  <c r="BI95" i="23" s="1"/>
  <c r="BI113" i="23" s="1"/>
  <c r="AF112" i="1"/>
  <c r="AA398" i="20"/>
  <c r="AA377" i="21" s="1"/>
  <c r="AB398" i="20"/>
  <c r="AB377" i="21" s="1"/>
  <c r="W398" i="20"/>
  <c r="BB78" i="23" s="1"/>
  <c r="BB96" i="23" s="1"/>
  <c r="BB114" i="23" s="1"/>
  <c r="AJ41" i="23"/>
  <c r="Q398" i="20"/>
  <c r="AV78" i="23" s="1"/>
  <c r="AV96" i="23" s="1"/>
  <c r="AV114" i="23" s="1"/>
  <c r="AB311" i="20"/>
  <c r="BG75" i="23" s="1"/>
  <c r="BG93" i="23" s="1"/>
  <c r="BG111" i="23" s="1"/>
  <c r="AD110" i="1"/>
  <c r="AC427" i="20"/>
  <c r="BH79" i="23" s="1"/>
  <c r="BH97" i="23" s="1"/>
  <c r="BH115" i="23" s="1"/>
  <c r="AE115" i="1"/>
  <c r="AB485" i="20"/>
  <c r="AB464" i="21" s="1"/>
  <c r="AD117" i="1"/>
  <c r="AE253" i="20"/>
  <c r="BJ73" i="23" s="1"/>
  <c r="BJ91" i="23" s="1"/>
  <c r="BJ109" i="23" s="1"/>
  <c r="AG107" i="1"/>
  <c r="AE166" i="20"/>
  <c r="AE145" i="21" s="1"/>
  <c r="AG104" i="1"/>
  <c r="AD166" i="20"/>
  <c r="AF104" i="1"/>
  <c r="T398" i="20"/>
  <c r="T377" i="21" s="1"/>
  <c r="AE224" i="20"/>
  <c r="AE203" i="21" s="1"/>
  <c r="AG106" i="1"/>
  <c r="AJ45" i="23"/>
  <c r="AJ43" i="23"/>
  <c r="Z317" i="23"/>
  <c r="AB136" i="1" s="1"/>
  <c r="AB110" i="1"/>
  <c r="AA369" i="20"/>
  <c r="BF77" i="23" s="1"/>
  <c r="BF95" i="23" s="1"/>
  <c r="BF113" i="23" s="1"/>
  <c r="AC112" i="1"/>
  <c r="AE427" i="20"/>
  <c r="BJ79" i="23" s="1"/>
  <c r="BJ97" i="23" s="1"/>
  <c r="BJ115" i="23" s="1"/>
  <c r="AG115" i="1"/>
  <c r="S267" i="20"/>
  <c r="R246" i="21"/>
  <c r="AX246" i="21" s="1"/>
  <c r="G222" i="20"/>
  <c r="F201" i="21"/>
  <c r="AL201" i="21" s="1"/>
  <c r="F364" i="20"/>
  <c r="E343" i="21"/>
  <c r="AK343" i="21" s="1"/>
  <c r="I104" i="20"/>
  <c r="H83" i="21"/>
  <c r="AN83" i="21" s="1"/>
  <c r="T179" i="20"/>
  <c r="S158" i="21"/>
  <c r="AY158" i="21" s="1"/>
  <c r="G394" i="20"/>
  <c r="F373" i="21"/>
  <c r="AL373" i="21" s="1"/>
  <c r="V90" i="20"/>
  <c r="U69" i="21"/>
  <c r="BA69" i="21" s="1"/>
  <c r="X88" i="20"/>
  <c r="W67" i="21"/>
  <c r="BC67" i="21" s="1"/>
  <c r="K189" i="20"/>
  <c r="J168" i="21"/>
  <c r="AP168" i="21" s="1"/>
  <c r="R440" i="20"/>
  <c r="Q419" i="21"/>
  <c r="AW419" i="21" s="1"/>
  <c r="K359" i="20"/>
  <c r="J338" i="21"/>
  <c r="AP338" i="21" s="1"/>
  <c r="G163" i="20"/>
  <c r="F142" i="21"/>
  <c r="AL142" i="21" s="1"/>
  <c r="AI73" i="23"/>
  <c r="AI91" i="23" s="1"/>
  <c r="AI109" i="23" s="1"/>
  <c r="D232" i="21"/>
  <c r="L43" i="20"/>
  <c r="K22" i="21"/>
  <c r="AQ22" i="21" s="1"/>
  <c r="AA230" i="20"/>
  <c r="Z209" i="21"/>
  <c r="BF209" i="21" s="1"/>
  <c r="W176" i="20"/>
  <c r="V155" i="21"/>
  <c r="BB155" i="21" s="1"/>
  <c r="V463" i="20"/>
  <c r="U442" i="21"/>
  <c r="BA442" i="21" s="1"/>
  <c r="V379" i="20"/>
  <c r="U358" i="21"/>
  <c r="BA358" i="21" s="1"/>
  <c r="Q326" i="20"/>
  <c r="P305" i="21"/>
  <c r="AV305" i="21" s="1"/>
  <c r="N444" i="20"/>
  <c r="M423" i="21"/>
  <c r="AS423" i="21" s="1"/>
  <c r="N272" i="20"/>
  <c r="M251" i="21"/>
  <c r="AS251" i="21" s="1"/>
  <c r="J475" i="20"/>
  <c r="I454" i="21"/>
  <c r="AO454" i="21" s="1"/>
  <c r="Q153" i="20"/>
  <c r="P132" i="21"/>
  <c r="AV132" i="21" s="1"/>
  <c r="T266" i="20"/>
  <c r="S245" i="21"/>
  <c r="AY245" i="21" s="1"/>
  <c r="I306" i="20"/>
  <c r="H285" i="21"/>
  <c r="AN285" i="21" s="1"/>
  <c r="K159" i="20"/>
  <c r="J138" i="21"/>
  <c r="AP138" i="21" s="1"/>
  <c r="T350" i="20"/>
  <c r="S329" i="21"/>
  <c r="AY329" i="21" s="1"/>
  <c r="L447" i="20"/>
  <c r="K426" i="21"/>
  <c r="AQ426" i="21" s="1"/>
  <c r="O213" i="20"/>
  <c r="N192" i="21"/>
  <c r="AT192" i="21" s="1"/>
  <c r="Z113" i="20"/>
  <c r="Y92" i="21"/>
  <c r="BE92" i="21" s="1"/>
  <c r="AA316" i="20"/>
  <c r="Z295" i="21"/>
  <c r="BF295" i="21" s="1"/>
  <c r="J420" i="20"/>
  <c r="I399" i="21"/>
  <c r="AO399" i="21" s="1"/>
  <c r="AD82" i="20"/>
  <c r="AC61" i="21"/>
  <c r="BI61" i="21" s="1"/>
  <c r="O214" i="20"/>
  <c r="N193" i="21"/>
  <c r="AT193" i="21" s="1"/>
  <c r="I130" i="20"/>
  <c r="H109" i="21"/>
  <c r="AN109" i="21" s="1"/>
  <c r="D481" i="20"/>
  <c r="C460" i="21"/>
  <c r="AI460" i="21" s="1"/>
  <c r="P442" i="20"/>
  <c r="O421" i="21"/>
  <c r="AU421" i="21" s="1"/>
  <c r="O386" i="20"/>
  <c r="N365" i="21"/>
  <c r="AT365" i="21" s="1"/>
  <c r="X233" i="20"/>
  <c r="W212" i="21"/>
  <c r="BC212" i="21" s="1"/>
  <c r="O155" i="20"/>
  <c r="N134" i="21"/>
  <c r="AT134" i="21" s="1"/>
  <c r="S93" i="20"/>
  <c r="R72" i="21"/>
  <c r="AX72" i="21" s="1"/>
  <c r="AB111" i="20"/>
  <c r="AA90" i="21"/>
  <c r="BG90" i="21" s="1"/>
  <c r="N41" i="20"/>
  <c r="M20" i="21"/>
  <c r="AS20" i="21" s="1"/>
  <c r="F164" i="20"/>
  <c r="E143" i="21"/>
  <c r="AK143" i="21" s="1"/>
  <c r="X31" i="20"/>
  <c r="W10" i="21"/>
  <c r="BC10" i="21" s="1"/>
  <c r="AC83" i="20"/>
  <c r="AB62" i="21"/>
  <c r="BH62" i="21" s="1"/>
  <c r="Q468" i="20"/>
  <c r="P447" i="21"/>
  <c r="AV447" i="21" s="1"/>
  <c r="R94" i="20"/>
  <c r="Q73" i="21"/>
  <c r="AW73" i="21" s="1"/>
  <c r="V33" i="20"/>
  <c r="U12" i="21"/>
  <c r="BA12" i="21" s="1"/>
  <c r="F338" i="20"/>
  <c r="E317" i="21"/>
  <c r="AK317" i="21" s="1"/>
  <c r="D426" i="20"/>
  <c r="D427" i="20" s="1"/>
  <c r="F193" i="1" s="1"/>
  <c r="C405" i="21"/>
  <c r="AI405" i="21" s="1"/>
  <c r="AI406" i="21" s="1"/>
  <c r="C427" i="20"/>
  <c r="E193" i="1" s="1"/>
  <c r="L72" i="20"/>
  <c r="K51" i="21"/>
  <c r="AQ51" i="21" s="1"/>
  <c r="AB84" i="20"/>
  <c r="AA63" i="21"/>
  <c r="BG63" i="21" s="1"/>
  <c r="Y58" i="20"/>
  <c r="X37" i="21"/>
  <c r="BD37" i="21" s="1"/>
  <c r="F194" i="20"/>
  <c r="E173" i="21"/>
  <c r="AK173" i="21" s="1"/>
  <c r="AK174" i="21" s="1"/>
  <c r="U91" i="20"/>
  <c r="T70" i="21"/>
  <c r="AZ70" i="21" s="1"/>
  <c r="S382" i="20"/>
  <c r="R361" i="21"/>
  <c r="AX361" i="21" s="1"/>
  <c r="X115" i="20"/>
  <c r="W94" i="21"/>
  <c r="BC94" i="21" s="1"/>
  <c r="M388" i="20"/>
  <c r="L367" i="21"/>
  <c r="AR367" i="21" s="1"/>
  <c r="S238" i="20"/>
  <c r="R217" i="21"/>
  <c r="AX217" i="21" s="1"/>
  <c r="E134" i="20"/>
  <c r="D113" i="21"/>
  <c r="AJ113" i="21" s="1"/>
  <c r="O68" i="20"/>
  <c r="N47" i="21"/>
  <c r="AT47" i="21" s="1"/>
  <c r="V436" i="20"/>
  <c r="U415" i="21"/>
  <c r="BA415" i="21" s="1"/>
  <c r="R37" i="20"/>
  <c r="Q16" i="21"/>
  <c r="AW16" i="21" s="1"/>
  <c r="F395" i="20"/>
  <c r="E374" i="21"/>
  <c r="AK374" i="21" s="1"/>
  <c r="X346" i="20"/>
  <c r="W325" i="21"/>
  <c r="BC325" i="21" s="1"/>
  <c r="W263" i="20"/>
  <c r="V242" i="21"/>
  <c r="BB242" i="21" s="1"/>
  <c r="P354" i="20"/>
  <c r="O333" i="21"/>
  <c r="AU333" i="21" s="1"/>
  <c r="O355" i="20"/>
  <c r="N334" i="21"/>
  <c r="AT334" i="21" s="1"/>
  <c r="Y433" i="20"/>
  <c r="X412" i="21"/>
  <c r="BD412" i="21" s="1"/>
  <c r="H76" i="20"/>
  <c r="G55" i="21"/>
  <c r="AM55" i="21" s="1"/>
  <c r="X146" i="20"/>
  <c r="W125" i="21"/>
  <c r="BC125" i="21" s="1"/>
  <c r="M446" i="20"/>
  <c r="L425" i="21"/>
  <c r="AR425" i="21" s="1"/>
  <c r="Y261" i="20"/>
  <c r="X240" i="21"/>
  <c r="BD240" i="21" s="1"/>
  <c r="P469" i="20"/>
  <c r="O448" i="21"/>
  <c r="AU448" i="21" s="1"/>
  <c r="U149" i="20"/>
  <c r="T128" i="21"/>
  <c r="AZ128" i="21" s="1"/>
  <c r="F107" i="20"/>
  <c r="E86" i="21"/>
  <c r="AK86" i="21" s="1"/>
  <c r="AK87" i="21" s="1"/>
  <c r="Z57" i="20"/>
  <c r="Y36" i="21"/>
  <c r="BE36" i="21" s="1"/>
  <c r="S439" i="20"/>
  <c r="R418" i="21"/>
  <c r="AX418" i="21" s="1"/>
  <c r="L158" i="20"/>
  <c r="K137" i="21"/>
  <c r="AQ137" i="21" s="1"/>
  <c r="P270" i="20"/>
  <c r="O249" i="21"/>
  <c r="AU249" i="21" s="1"/>
  <c r="O184" i="20"/>
  <c r="N163" i="21"/>
  <c r="AT163" i="21" s="1"/>
  <c r="E454" i="20"/>
  <c r="D433" i="21"/>
  <c r="AJ433" i="21" s="1"/>
  <c r="L188" i="20"/>
  <c r="K167" i="21"/>
  <c r="AQ167" i="21" s="1"/>
  <c r="J103" i="20"/>
  <c r="I82" i="21"/>
  <c r="AO82" i="21" s="1"/>
  <c r="N244" i="20"/>
  <c r="M223" i="21"/>
  <c r="AS223" i="21" s="1"/>
  <c r="M416" i="20"/>
  <c r="L395" i="21"/>
  <c r="AR395" i="21" s="1"/>
  <c r="W378" i="20"/>
  <c r="V357" i="21"/>
  <c r="BB357" i="21" s="1"/>
  <c r="S120" i="20"/>
  <c r="R99" i="21"/>
  <c r="AX99" i="21" s="1"/>
  <c r="R121" i="20"/>
  <c r="Q100" i="21"/>
  <c r="AW100" i="21" s="1"/>
  <c r="O97" i="20"/>
  <c r="N76" i="21"/>
  <c r="AT76" i="21" s="1"/>
  <c r="AB200" i="20"/>
  <c r="AA179" i="21"/>
  <c r="BG179" i="21" s="1"/>
  <c r="T438" i="20"/>
  <c r="S417" i="21"/>
  <c r="AY417" i="21" s="1"/>
  <c r="M273" i="20"/>
  <c r="L252" i="21"/>
  <c r="AR252" i="21" s="1"/>
  <c r="V321" i="20"/>
  <c r="U300" i="21"/>
  <c r="BA300" i="21" s="1"/>
  <c r="Z202" i="20"/>
  <c r="Y181" i="21"/>
  <c r="BE181" i="21" s="1"/>
  <c r="V407" i="20"/>
  <c r="U386" i="21"/>
  <c r="BA386" i="21" s="1"/>
  <c r="Y376" i="20"/>
  <c r="X355" i="21"/>
  <c r="BD355" i="21" s="1"/>
  <c r="P298" i="20"/>
  <c r="O277" i="21"/>
  <c r="AU277" i="21" s="1"/>
  <c r="N215" i="20"/>
  <c r="M194" i="21"/>
  <c r="AS194" i="21" s="1"/>
  <c r="I220" i="20"/>
  <c r="H199" i="21"/>
  <c r="AN199" i="21" s="1"/>
  <c r="W89" i="20"/>
  <c r="V68" i="21"/>
  <c r="BB68" i="21" s="1"/>
  <c r="P39" i="20"/>
  <c r="O18" i="21"/>
  <c r="AU18" i="21" s="1"/>
  <c r="K73" i="20"/>
  <c r="J52" i="21"/>
  <c r="AP52" i="21" s="1"/>
  <c r="Y114" i="20"/>
  <c r="X93" i="21"/>
  <c r="BD93" i="21" s="1"/>
  <c r="Q95" i="20"/>
  <c r="P74" i="21"/>
  <c r="AV74" i="21" s="1"/>
  <c r="U349" i="20"/>
  <c r="T328" i="21"/>
  <c r="AZ328" i="21" s="1"/>
  <c r="M42" i="20"/>
  <c r="L21" i="21"/>
  <c r="AR21" i="21" s="1"/>
  <c r="Q182" i="20"/>
  <c r="P161" i="21"/>
  <c r="AV161" i="21" s="1"/>
  <c r="E425" i="20"/>
  <c r="D404" i="21"/>
  <c r="AJ404" i="21" s="1"/>
  <c r="L418" i="20"/>
  <c r="K397" i="21"/>
  <c r="AQ397" i="21" s="1"/>
  <c r="U408" i="20"/>
  <c r="T387" i="21"/>
  <c r="AZ387" i="21" s="1"/>
  <c r="M216" i="20"/>
  <c r="L195" i="21"/>
  <c r="AR195" i="21" s="1"/>
  <c r="J305" i="20"/>
  <c r="I284" i="21"/>
  <c r="AO284" i="21" s="1"/>
  <c r="J219" i="20"/>
  <c r="I198" i="21"/>
  <c r="AO198" i="21" s="1"/>
  <c r="Z173" i="20"/>
  <c r="Y152" i="21"/>
  <c r="BE152" i="21" s="1"/>
  <c r="W291" i="20"/>
  <c r="V270" i="21"/>
  <c r="BB270" i="21" s="1"/>
  <c r="V264" i="20"/>
  <c r="U243" i="21"/>
  <c r="BA243" i="21" s="1"/>
  <c r="AD53" i="20"/>
  <c r="AC32" i="21"/>
  <c r="BI32" i="21" s="1"/>
  <c r="AC170" i="20"/>
  <c r="AB149" i="21"/>
  <c r="BH149" i="21" s="1"/>
  <c r="R296" i="20"/>
  <c r="Q275" i="21"/>
  <c r="AW275" i="21" s="1"/>
  <c r="O328" i="20"/>
  <c r="N307" i="21"/>
  <c r="AT307" i="21" s="1"/>
  <c r="J334" i="20"/>
  <c r="I313" i="21"/>
  <c r="AO313" i="21" s="1"/>
  <c r="X262" i="20"/>
  <c r="W241" i="21"/>
  <c r="BC241" i="21" s="1"/>
  <c r="G106" i="20"/>
  <c r="F85" i="21"/>
  <c r="AL85" i="21" s="1"/>
  <c r="D455" i="20"/>
  <c r="C434" i="21"/>
  <c r="AI434" i="21" s="1"/>
  <c r="AI435" i="21" s="1"/>
  <c r="C456" i="20"/>
  <c r="E194" i="1" s="1"/>
  <c r="Q211" i="20"/>
  <c r="P190" i="21"/>
  <c r="AV190" i="21" s="1"/>
  <c r="H105" i="20"/>
  <c r="G84" i="21"/>
  <c r="AM84" i="21" s="1"/>
  <c r="R411" i="20"/>
  <c r="Q390" i="21"/>
  <c r="AW390" i="21" s="1"/>
  <c r="M245" i="20"/>
  <c r="L224" i="21"/>
  <c r="AR224" i="21" s="1"/>
  <c r="AB55" i="20"/>
  <c r="AA34" i="21"/>
  <c r="BG34" i="21" s="1"/>
  <c r="Y232" i="20"/>
  <c r="X211" i="21"/>
  <c r="BD211" i="21" s="1"/>
  <c r="Z29" i="20"/>
  <c r="Y8" i="21"/>
  <c r="BE8" i="21" s="1"/>
  <c r="I75" i="20"/>
  <c r="H54" i="21"/>
  <c r="AN54" i="21" s="1"/>
  <c r="H278" i="20"/>
  <c r="G257" i="21"/>
  <c r="AM257" i="21" s="1"/>
  <c r="AA201" i="20"/>
  <c r="Z180" i="21"/>
  <c r="BF180" i="21" s="1"/>
  <c r="J190" i="20"/>
  <c r="I169" i="21"/>
  <c r="AO169" i="21" s="1"/>
  <c r="AD198" i="20"/>
  <c r="AC177" i="21"/>
  <c r="BI177" i="21" s="1"/>
  <c r="W320" i="20"/>
  <c r="V299" i="21"/>
  <c r="BB299" i="21" s="1"/>
  <c r="N70" i="20"/>
  <c r="M49" i="21"/>
  <c r="AS49" i="21" s="1"/>
  <c r="K128" i="20"/>
  <c r="J107" i="21"/>
  <c r="AP107" i="21" s="1"/>
  <c r="M71" i="20"/>
  <c r="L50" i="21"/>
  <c r="AR50" i="21" s="1"/>
  <c r="Y174" i="20"/>
  <c r="X153" i="21"/>
  <c r="BD153" i="21" s="1"/>
  <c r="AC285" i="20"/>
  <c r="AB264" i="21"/>
  <c r="BH264" i="21" s="1"/>
  <c r="W234" i="20"/>
  <c r="V213" i="21"/>
  <c r="BB213" i="21" s="1"/>
  <c r="I191" i="20"/>
  <c r="H170" i="21"/>
  <c r="AN170" i="21" s="1"/>
  <c r="N329" i="20"/>
  <c r="M308" i="21"/>
  <c r="AS308" i="21" s="1"/>
  <c r="F479" i="20"/>
  <c r="E458" i="21"/>
  <c r="AK458" i="21" s="1"/>
  <c r="R210" i="20"/>
  <c r="Q189" i="21"/>
  <c r="AW189" i="21" s="1"/>
  <c r="O98" i="20"/>
  <c r="N77" i="21"/>
  <c r="AT77" i="21" s="1"/>
  <c r="Q66" i="20"/>
  <c r="P45" i="21"/>
  <c r="AV45" i="21" s="1"/>
  <c r="Z432" i="20"/>
  <c r="Y411" i="21"/>
  <c r="BE411" i="21" s="1"/>
  <c r="E365" i="20"/>
  <c r="D344" i="21"/>
  <c r="AJ344" i="21" s="1"/>
  <c r="W32" i="20"/>
  <c r="V11" i="21"/>
  <c r="BB11" i="21" s="1"/>
  <c r="AD169" i="20"/>
  <c r="AC148" i="21"/>
  <c r="BI148" i="21" s="1"/>
  <c r="G478" i="20"/>
  <c r="F457" i="21"/>
  <c r="AL457" i="21" s="1"/>
  <c r="O414" i="20"/>
  <c r="N393" i="21"/>
  <c r="AT393" i="21" s="1"/>
  <c r="K390" i="20"/>
  <c r="J369" i="21"/>
  <c r="AP369" i="21" s="1"/>
  <c r="W116" i="20"/>
  <c r="V95" i="21"/>
  <c r="BB95" i="21" s="1"/>
  <c r="P385" i="20"/>
  <c r="O364" i="21"/>
  <c r="AU364" i="21" s="1"/>
  <c r="E480" i="20"/>
  <c r="D459" i="21"/>
  <c r="AJ459" i="21" s="1"/>
  <c r="M157" i="20"/>
  <c r="L136" i="21"/>
  <c r="AR136" i="21" s="1"/>
  <c r="U437" i="20"/>
  <c r="T416" i="21"/>
  <c r="AZ416" i="21" s="1"/>
  <c r="AB401" i="20"/>
  <c r="AA380" i="21"/>
  <c r="BG380" i="21" s="1"/>
  <c r="G77" i="20"/>
  <c r="F56" i="21"/>
  <c r="AL56" i="21" s="1"/>
  <c r="U178" i="20"/>
  <c r="T157" i="21"/>
  <c r="AZ157" i="21" s="1"/>
  <c r="J74" i="20"/>
  <c r="I53" i="21"/>
  <c r="AO53" i="21" s="1"/>
  <c r="H131" i="20"/>
  <c r="G110" i="21"/>
  <c r="AM110" i="21" s="1"/>
  <c r="K44" i="20"/>
  <c r="J23" i="21"/>
  <c r="AP23" i="21" s="1"/>
  <c r="N156" i="20"/>
  <c r="M135" i="21"/>
  <c r="AS135" i="21" s="1"/>
  <c r="G363" i="20"/>
  <c r="F342" i="21"/>
  <c r="AL342" i="21" s="1"/>
  <c r="E339" i="20"/>
  <c r="E340" i="20" s="1"/>
  <c r="G189" i="1" s="1"/>
  <c r="D318" i="21"/>
  <c r="AJ318" i="21" s="1"/>
  <c r="AJ319" i="21" s="1"/>
  <c r="Z231" i="20"/>
  <c r="Y210" i="21"/>
  <c r="BE210" i="21" s="1"/>
  <c r="Y460" i="20"/>
  <c r="X439" i="21"/>
  <c r="BD439" i="21" s="1"/>
  <c r="AH70" i="23"/>
  <c r="AH88" i="23" s="1"/>
  <c r="AH106" i="23" s="1"/>
  <c r="C145" i="21"/>
  <c r="P413" i="20"/>
  <c r="O392" i="21"/>
  <c r="AU392" i="21" s="1"/>
  <c r="T465" i="20"/>
  <c r="S444" i="21"/>
  <c r="AY444" i="21" s="1"/>
  <c r="F78" i="20"/>
  <c r="F79" i="20" s="1"/>
  <c r="H178" i="1" s="1"/>
  <c r="E57" i="21"/>
  <c r="AK57" i="21" s="1"/>
  <c r="AK58" i="21" s="1"/>
  <c r="AA85" i="20"/>
  <c r="Z64" i="21"/>
  <c r="BF64" i="21" s="1"/>
  <c r="M100" i="20"/>
  <c r="L79" i="21"/>
  <c r="AR79" i="21" s="1"/>
  <c r="N356" i="20"/>
  <c r="M335" i="21"/>
  <c r="AS335" i="21" s="1"/>
  <c r="H47" i="20"/>
  <c r="G26" i="21"/>
  <c r="AM26" i="21" s="1"/>
  <c r="N330" i="20"/>
  <c r="M309" i="21"/>
  <c r="AS309" i="21" s="1"/>
  <c r="E396" i="20"/>
  <c r="D375" i="21"/>
  <c r="AJ375" i="21" s="1"/>
  <c r="AC314" i="20"/>
  <c r="AB293" i="21"/>
  <c r="BH293" i="21" s="1"/>
  <c r="Q122" i="20"/>
  <c r="P101" i="21"/>
  <c r="AV101" i="21" s="1"/>
  <c r="I335" i="20"/>
  <c r="H314" i="21"/>
  <c r="AN314" i="21" s="1"/>
  <c r="Z144" i="20"/>
  <c r="Y123" i="21"/>
  <c r="BE123" i="21" s="1"/>
  <c r="L332" i="20"/>
  <c r="K311" i="21"/>
  <c r="AQ311" i="21" s="1"/>
  <c r="Y345" i="20"/>
  <c r="X324" i="21"/>
  <c r="BD324" i="21" s="1"/>
  <c r="R268" i="20"/>
  <c r="Q247" i="21"/>
  <c r="AW247" i="21" s="1"/>
  <c r="AA259" i="20"/>
  <c r="Z238" i="21"/>
  <c r="BF238" i="21" s="1"/>
  <c r="R152" i="20"/>
  <c r="Q131" i="21"/>
  <c r="AW131" i="21" s="1"/>
  <c r="X175" i="20"/>
  <c r="W154" i="21"/>
  <c r="BC154" i="21" s="1"/>
  <c r="U380" i="20"/>
  <c r="T359" i="21"/>
  <c r="AZ359" i="21" s="1"/>
  <c r="G279" i="20"/>
  <c r="F258" i="21"/>
  <c r="AL258" i="21" s="1"/>
  <c r="R65" i="20"/>
  <c r="Q44" i="21"/>
  <c r="AW44" i="21" s="1"/>
  <c r="AC54" i="20"/>
  <c r="AB33" i="21"/>
  <c r="BH33" i="21" s="1"/>
  <c r="Q412" i="20"/>
  <c r="P391" i="21"/>
  <c r="AV391" i="21" s="1"/>
  <c r="N186" i="20"/>
  <c r="M165" i="21"/>
  <c r="AS165" i="21" s="1"/>
  <c r="N99" i="20"/>
  <c r="M78" i="21"/>
  <c r="AS78" i="21" s="1"/>
  <c r="G48" i="20"/>
  <c r="F27" i="21"/>
  <c r="AL27" i="21" s="1"/>
  <c r="Q297" i="20"/>
  <c r="P276" i="21"/>
  <c r="AV276" i="21" s="1"/>
  <c r="M417" i="20"/>
  <c r="L396" i="21"/>
  <c r="AR396" i="21" s="1"/>
  <c r="O299" i="20"/>
  <c r="N278" i="21"/>
  <c r="AT278" i="21" s="1"/>
  <c r="H477" i="20"/>
  <c r="G456" i="21"/>
  <c r="AM456" i="21" s="1"/>
  <c r="P183" i="20"/>
  <c r="O162" i="21"/>
  <c r="AU162" i="21" s="1"/>
  <c r="Z260" i="20"/>
  <c r="Y239" i="21"/>
  <c r="BE239" i="21" s="1"/>
  <c r="K333" i="20"/>
  <c r="J312" i="21"/>
  <c r="AP312" i="21" s="1"/>
  <c r="T381" i="20"/>
  <c r="S360" i="21"/>
  <c r="AY360" i="21" s="1"/>
  <c r="T237" i="20"/>
  <c r="S216" i="21"/>
  <c r="AY216" i="21" s="1"/>
  <c r="O443" i="20"/>
  <c r="N422" i="21"/>
  <c r="AT422" i="21" s="1"/>
  <c r="AC228" i="20"/>
  <c r="AB207" i="21"/>
  <c r="BH207" i="21" s="1"/>
  <c r="S324" i="20"/>
  <c r="R303" i="21"/>
  <c r="AX303" i="21" s="1"/>
  <c r="P154" i="20"/>
  <c r="O133" i="21"/>
  <c r="AU133" i="21" s="1"/>
  <c r="Y318" i="20"/>
  <c r="X297" i="21"/>
  <c r="BD297" i="21" s="1"/>
  <c r="Y289" i="20"/>
  <c r="X268" i="21"/>
  <c r="BD268" i="21" s="1"/>
  <c r="AH75" i="23"/>
  <c r="AH93" i="23" s="1"/>
  <c r="AH111" i="23" s="1"/>
  <c r="C290" i="21"/>
  <c r="C482" i="20"/>
  <c r="D366" i="20"/>
  <c r="C345" i="21"/>
  <c r="AI345" i="21" s="1"/>
  <c r="F252" i="20"/>
  <c r="E231" i="21"/>
  <c r="AK231" i="21" s="1"/>
  <c r="AK232" i="21" s="1"/>
  <c r="E253" i="20"/>
  <c r="G185" i="1" s="1"/>
  <c r="AB373" i="20"/>
  <c r="AA352" i="21"/>
  <c r="BG352" i="21" s="1"/>
  <c r="X290" i="20"/>
  <c r="W269" i="21"/>
  <c r="BC269" i="21" s="1"/>
  <c r="P96" i="20"/>
  <c r="O75" i="21"/>
  <c r="AU75" i="21" s="1"/>
  <c r="G337" i="20"/>
  <c r="F316" i="21"/>
  <c r="AL316" i="21" s="1"/>
  <c r="Y30" i="20"/>
  <c r="X9" i="21"/>
  <c r="BD9" i="21" s="1"/>
  <c r="R325" i="20"/>
  <c r="Q304" i="21"/>
  <c r="AW304" i="21" s="1"/>
  <c r="I450" i="20"/>
  <c r="H429" i="21"/>
  <c r="AN429" i="21" s="1"/>
  <c r="H162" i="20"/>
  <c r="G141" i="21"/>
  <c r="AM141" i="21" s="1"/>
  <c r="N125" i="20"/>
  <c r="M104" i="21"/>
  <c r="AS104" i="21" s="1"/>
  <c r="M187" i="20"/>
  <c r="L166" i="21"/>
  <c r="AR166" i="21" s="1"/>
  <c r="N471" i="20"/>
  <c r="M450" i="21"/>
  <c r="AS450" i="21" s="1"/>
  <c r="F309" i="20"/>
  <c r="E288" i="21"/>
  <c r="AK288" i="21" s="1"/>
  <c r="G193" i="20"/>
  <c r="F172" i="21"/>
  <c r="AL172" i="21" s="1"/>
  <c r="P123" i="20"/>
  <c r="O102" i="21"/>
  <c r="AU102" i="21" s="1"/>
  <c r="O40" i="20"/>
  <c r="N19" i="21"/>
  <c r="AT19" i="21" s="1"/>
  <c r="P327" i="20"/>
  <c r="O306" i="21"/>
  <c r="AU306" i="21" s="1"/>
  <c r="AA143" i="20"/>
  <c r="Z122" i="21"/>
  <c r="BF122" i="21" s="1"/>
  <c r="U34" i="20"/>
  <c r="T13" i="21"/>
  <c r="AZ13" i="21" s="1"/>
  <c r="AD140" i="20"/>
  <c r="AC119" i="21"/>
  <c r="BI119" i="21" s="1"/>
  <c r="R383" i="20"/>
  <c r="Q362" i="21"/>
  <c r="AW362" i="21" s="1"/>
  <c r="M302" i="20"/>
  <c r="L281" i="21"/>
  <c r="AR281" i="21" s="1"/>
  <c r="AA374" i="20"/>
  <c r="Z353" i="21"/>
  <c r="BF353" i="21" s="1"/>
  <c r="AC26" i="20"/>
  <c r="AB5" i="21"/>
  <c r="BH5" i="21" s="1"/>
  <c r="K448" i="20"/>
  <c r="J427" i="21"/>
  <c r="AP427" i="21" s="1"/>
  <c r="L127" i="20"/>
  <c r="K106" i="21"/>
  <c r="AQ106" i="21" s="1"/>
  <c r="AB315" i="20"/>
  <c r="AA294" i="21"/>
  <c r="BG294" i="21" s="1"/>
  <c r="T63" i="20"/>
  <c r="S42" i="21"/>
  <c r="AY42" i="21" s="1"/>
  <c r="I476" i="20"/>
  <c r="H455" i="21"/>
  <c r="AN455" i="21" s="1"/>
  <c r="U236" i="20"/>
  <c r="T215" i="21"/>
  <c r="AZ215" i="21" s="1"/>
  <c r="F453" i="20"/>
  <c r="E432" i="21"/>
  <c r="AK432" i="21" s="1"/>
  <c r="AA287" i="20"/>
  <c r="Z266" i="21"/>
  <c r="BF266" i="21" s="1"/>
  <c r="M331" i="20"/>
  <c r="L310" i="21"/>
  <c r="AR310" i="21" s="1"/>
  <c r="S64" i="20"/>
  <c r="R43" i="21"/>
  <c r="AX43" i="21" s="1"/>
  <c r="S151" i="20"/>
  <c r="R130" i="21"/>
  <c r="AX130" i="21" s="1"/>
  <c r="S351" i="20"/>
  <c r="R330" i="21"/>
  <c r="AX330" i="21" s="1"/>
  <c r="W205" i="20"/>
  <c r="V184" i="21"/>
  <c r="BB184" i="21" s="1"/>
  <c r="D397" i="20"/>
  <c r="C376" i="21"/>
  <c r="AI376" i="21" s="1"/>
  <c r="AH76" i="23"/>
  <c r="AH94" i="23" s="1"/>
  <c r="AH112" i="23" s="1"/>
  <c r="C319" i="21"/>
  <c r="S295" i="20"/>
  <c r="R274" i="21"/>
  <c r="AX274" i="21" s="1"/>
  <c r="J276" i="20"/>
  <c r="I255" i="21"/>
  <c r="AO255" i="21" s="1"/>
  <c r="Q269" i="20"/>
  <c r="P248" i="21"/>
  <c r="AV248" i="21" s="1"/>
  <c r="Y145" i="20"/>
  <c r="X124" i="21"/>
  <c r="BD124" i="21" s="1"/>
  <c r="E165" i="20"/>
  <c r="D144" i="21"/>
  <c r="D166" i="20"/>
  <c r="F182" i="1" s="1"/>
  <c r="J160" i="20"/>
  <c r="I139" i="21"/>
  <c r="AO139" i="21" s="1"/>
  <c r="AA112" i="20"/>
  <c r="Z91" i="21"/>
  <c r="BF91" i="21" s="1"/>
  <c r="L389" i="20"/>
  <c r="K368" i="21"/>
  <c r="AQ368" i="21" s="1"/>
  <c r="Y87" i="20"/>
  <c r="X66" i="21"/>
  <c r="BD66" i="21" s="1"/>
  <c r="AA28" i="20"/>
  <c r="Z7" i="21"/>
  <c r="BF7" i="21" s="1"/>
  <c r="Z317" i="20"/>
  <c r="Y296" i="21"/>
  <c r="BE296" i="21" s="1"/>
  <c r="M126" i="20"/>
  <c r="L105" i="21"/>
  <c r="AR105" i="21" s="1"/>
  <c r="T119" i="20"/>
  <c r="S98" i="21"/>
  <c r="AY98" i="21" s="1"/>
  <c r="T208" i="20"/>
  <c r="S187" i="21"/>
  <c r="AY187" i="21" s="1"/>
  <c r="T150" i="20"/>
  <c r="S129" i="21"/>
  <c r="AY129" i="21" s="1"/>
  <c r="Q384" i="20"/>
  <c r="P363" i="21"/>
  <c r="AV363" i="21" s="1"/>
  <c r="I277" i="20"/>
  <c r="H256" i="21"/>
  <c r="AN256" i="21" s="1"/>
  <c r="U62" i="20"/>
  <c r="T41" i="21"/>
  <c r="AZ41" i="21" s="1"/>
  <c r="X319" i="20"/>
  <c r="W298" i="21"/>
  <c r="BC298" i="21" s="1"/>
  <c r="E310" i="20"/>
  <c r="D289" i="21"/>
  <c r="AJ289" i="21" s="1"/>
  <c r="AJ290" i="21" s="1"/>
  <c r="D311" i="20"/>
  <c r="F188" i="1" s="1"/>
  <c r="I249" i="20"/>
  <c r="H228" i="21"/>
  <c r="AN228" i="21" s="1"/>
  <c r="R352" i="20"/>
  <c r="Q331" i="21"/>
  <c r="AW331" i="21" s="1"/>
  <c r="Z403" i="20"/>
  <c r="Y382" i="21"/>
  <c r="BE382" i="21" s="1"/>
  <c r="I361" i="20"/>
  <c r="H340" i="21"/>
  <c r="AN340" i="21" s="1"/>
  <c r="AA343" i="20"/>
  <c r="Z322" i="21"/>
  <c r="BF322" i="21" s="1"/>
  <c r="W406" i="20"/>
  <c r="V385" i="21"/>
  <c r="BB385" i="21" s="1"/>
  <c r="U118" i="20"/>
  <c r="T97" i="21"/>
  <c r="AZ97" i="21" s="1"/>
  <c r="X461" i="20"/>
  <c r="W440" i="21"/>
  <c r="BC440" i="21" s="1"/>
  <c r="U293" i="20"/>
  <c r="T272" i="21"/>
  <c r="AZ272" i="21" s="1"/>
  <c r="H307" i="20"/>
  <c r="G286" i="21"/>
  <c r="AM286" i="21" s="1"/>
  <c r="L217" i="20"/>
  <c r="K196" i="21"/>
  <c r="AQ196" i="21" s="1"/>
  <c r="N300" i="20"/>
  <c r="M279" i="21"/>
  <c r="AS279" i="21" s="1"/>
  <c r="W462" i="20"/>
  <c r="V441" i="21"/>
  <c r="BB441" i="21" s="1"/>
  <c r="I46" i="20"/>
  <c r="H25" i="21"/>
  <c r="AN25" i="21" s="1"/>
  <c r="P212" i="20"/>
  <c r="O191" i="21"/>
  <c r="AU191" i="21" s="1"/>
  <c r="AB229" i="20"/>
  <c r="AA208" i="21"/>
  <c r="BG208" i="21" s="1"/>
  <c r="U265" i="20"/>
  <c r="T244" i="21"/>
  <c r="AZ244" i="21" s="1"/>
  <c r="J391" i="20"/>
  <c r="I370" i="21"/>
  <c r="AO370" i="21" s="1"/>
  <c r="V292" i="20"/>
  <c r="U271" i="21"/>
  <c r="BA271" i="21" s="1"/>
  <c r="G308" i="20"/>
  <c r="F287" i="21"/>
  <c r="AL287" i="21" s="1"/>
  <c r="J449" i="20"/>
  <c r="I428" i="21"/>
  <c r="AO428" i="21" s="1"/>
  <c r="M357" i="20"/>
  <c r="L336" i="21"/>
  <c r="AR336" i="21" s="1"/>
  <c r="H362" i="20"/>
  <c r="G341" i="21"/>
  <c r="AM341" i="21" s="1"/>
  <c r="O69" i="20"/>
  <c r="N48" i="21"/>
  <c r="AT48" i="21" s="1"/>
  <c r="H221" i="20"/>
  <c r="G200" i="21"/>
  <c r="AM200" i="21" s="1"/>
  <c r="T92" i="20"/>
  <c r="S71" i="21"/>
  <c r="AY71" i="21" s="1"/>
  <c r="V206" i="20"/>
  <c r="U185" i="21"/>
  <c r="BA185" i="21" s="1"/>
  <c r="T35" i="20"/>
  <c r="S14" i="21"/>
  <c r="AY14" i="21" s="1"/>
  <c r="O185" i="20"/>
  <c r="N164" i="21"/>
  <c r="AT164" i="21" s="1"/>
  <c r="G251" i="20"/>
  <c r="F230" i="21"/>
  <c r="AL230" i="21" s="1"/>
  <c r="AB430" i="20"/>
  <c r="AA409" i="21"/>
  <c r="BG409" i="21" s="1"/>
  <c r="U322" i="20"/>
  <c r="T301" i="21"/>
  <c r="AZ301" i="21" s="1"/>
  <c r="J248" i="20"/>
  <c r="I227" i="21"/>
  <c r="AO227" i="21" s="1"/>
  <c r="I161" i="20"/>
  <c r="H140" i="21"/>
  <c r="AN140" i="21" s="1"/>
  <c r="L274" i="20"/>
  <c r="K253" i="21"/>
  <c r="AQ253" i="21" s="1"/>
  <c r="Q38" i="20"/>
  <c r="P17" i="21"/>
  <c r="AV17" i="21" s="1"/>
  <c r="AB171" i="20"/>
  <c r="AA150" i="21"/>
  <c r="BG150" i="21" s="1"/>
  <c r="F49" i="20"/>
  <c r="E28" i="21"/>
  <c r="AK28" i="21" s="1"/>
  <c r="N415" i="20"/>
  <c r="M394" i="21"/>
  <c r="AS394" i="21" s="1"/>
  <c r="O124" i="20"/>
  <c r="N103" i="21"/>
  <c r="AT103" i="21" s="1"/>
  <c r="W60" i="20"/>
  <c r="V39" i="21"/>
  <c r="BB39" i="21" s="1"/>
  <c r="O271" i="20"/>
  <c r="N250" i="21"/>
  <c r="AT250" i="21" s="1"/>
  <c r="AB286" i="20"/>
  <c r="AA265" i="21"/>
  <c r="BG265" i="21" s="1"/>
  <c r="V117" i="20"/>
  <c r="U96" i="21"/>
  <c r="BA96" i="21" s="1"/>
  <c r="R467" i="20"/>
  <c r="Q446" i="21"/>
  <c r="AW446" i="21" s="1"/>
  <c r="K474" i="20"/>
  <c r="J453" i="21"/>
  <c r="AP453" i="21" s="1"/>
  <c r="X377" i="20"/>
  <c r="W356" i="21"/>
  <c r="BC356" i="21" s="1"/>
  <c r="Q240" i="20"/>
  <c r="P219" i="21"/>
  <c r="AV219" i="21" s="1"/>
  <c r="F280" i="20"/>
  <c r="E259" i="21"/>
  <c r="AK259" i="21" s="1"/>
  <c r="L473" i="20"/>
  <c r="K452" i="21"/>
  <c r="AQ452" i="21" s="1"/>
  <c r="G423" i="20"/>
  <c r="F402" i="21"/>
  <c r="AL402" i="21" s="1"/>
  <c r="T409" i="20"/>
  <c r="S388" i="21"/>
  <c r="AY388" i="21" s="1"/>
  <c r="W435" i="20"/>
  <c r="V414" i="21"/>
  <c r="BB414" i="21" s="1"/>
  <c r="F223" i="20"/>
  <c r="F224" i="20" s="1"/>
  <c r="H184" i="1" s="1"/>
  <c r="E202" i="21"/>
  <c r="AK202" i="21" s="1"/>
  <c r="AK203" i="21" s="1"/>
  <c r="C136" i="20"/>
  <c r="D135" i="20"/>
  <c r="C367" i="20"/>
  <c r="C114" i="21"/>
  <c r="AI114" i="21" s="1"/>
  <c r="AC141" i="20"/>
  <c r="AB120" i="21"/>
  <c r="BH120" i="21" s="1"/>
  <c r="H393" i="20"/>
  <c r="G372" i="21"/>
  <c r="AM372" i="21" s="1"/>
  <c r="Z288" i="20"/>
  <c r="Y267" i="21"/>
  <c r="BE267" i="21" s="1"/>
  <c r="P67" i="20"/>
  <c r="O46" i="21"/>
  <c r="AU46" i="21" s="1"/>
  <c r="N387" i="20"/>
  <c r="M366" i="21"/>
  <c r="AS366" i="21" s="1"/>
  <c r="K247" i="20"/>
  <c r="J226" i="21"/>
  <c r="AP226" i="21" s="1"/>
  <c r="T323" i="20"/>
  <c r="S302" i="21"/>
  <c r="AY302" i="21" s="1"/>
  <c r="AA56" i="20"/>
  <c r="Z35" i="21"/>
  <c r="BF35" i="21" s="1"/>
  <c r="K419" i="20"/>
  <c r="J398" i="21"/>
  <c r="AP398" i="21" s="1"/>
  <c r="Z86" i="20"/>
  <c r="Y65" i="21"/>
  <c r="BE65" i="21" s="1"/>
  <c r="M472" i="20"/>
  <c r="L451" i="21"/>
  <c r="AR451" i="21" s="1"/>
  <c r="X405" i="20"/>
  <c r="W384" i="21"/>
  <c r="BC384" i="21" s="1"/>
  <c r="K218" i="20"/>
  <c r="J197" i="21"/>
  <c r="AP197" i="21" s="1"/>
  <c r="L246" i="20"/>
  <c r="K225" i="21"/>
  <c r="AQ225" i="21" s="1"/>
  <c r="Z459" i="20"/>
  <c r="Y438" i="21"/>
  <c r="BE438" i="21" s="1"/>
  <c r="AA402" i="20"/>
  <c r="Z381" i="21"/>
  <c r="BF381" i="21" s="1"/>
  <c r="V177" i="20"/>
  <c r="U156" i="21"/>
  <c r="BA156" i="21" s="1"/>
  <c r="M445" i="20"/>
  <c r="L424" i="21"/>
  <c r="AR424" i="21" s="1"/>
  <c r="V61" i="20"/>
  <c r="U40" i="21"/>
  <c r="BA40" i="21" s="1"/>
  <c r="S209" i="20"/>
  <c r="R188" i="21"/>
  <c r="AX188" i="21" s="1"/>
  <c r="AC199" i="20"/>
  <c r="AB178" i="21"/>
  <c r="BH178" i="21" s="1"/>
  <c r="E281" i="20"/>
  <c r="D260" i="21"/>
  <c r="AJ260" i="21" s="1"/>
  <c r="V348" i="20"/>
  <c r="U327" i="21"/>
  <c r="BA327" i="21" s="1"/>
  <c r="S36" i="20"/>
  <c r="R15" i="21"/>
  <c r="AX15" i="21" s="1"/>
  <c r="K275" i="20"/>
  <c r="J254" i="21"/>
  <c r="AP254" i="21" s="1"/>
  <c r="AB142" i="20"/>
  <c r="AA121" i="21"/>
  <c r="BG121" i="21" s="1"/>
  <c r="X204" i="20"/>
  <c r="W183" i="21"/>
  <c r="BC183" i="21" s="1"/>
  <c r="G132" i="20"/>
  <c r="F111" i="21"/>
  <c r="AL111" i="21" s="1"/>
  <c r="H192" i="20"/>
  <c r="G171" i="21"/>
  <c r="AM171" i="21" s="1"/>
  <c r="H422" i="20"/>
  <c r="G401" i="21"/>
  <c r="AM401" i="21" s="1"/>
  <c r="AD227" i="20"/>
  <c r="AC206" i="21"/>
  <c r="BI206" i="21" s="1"/>
  <c r="N301" i="20"/>
  <c r="M280" i="21"/>
  <c r="AS280" i="21" s="1"/>
  <c r="S180" i="20"/>
  <c r="R159" i="21"/>
  <c r="AX159" i="21" s="1"/>
  <c r="Y404" i="20"/>
  <c r="X383" i="21"/>
  <c r="BD383" i="21" s="1"/>
  <c r="AB27" i="20"/>
  <c r="AA6" i="21"/>
  <c r="BG6" i="21" s="1"/>
  <c r="I392" i="20"/>
  <c r="H371" i="21"/>
  <c r="AN371" i="21" s="1"/>
  <c r="Z344" i="20"/>
  <c r="Y323" i="21"/>
  <c r="BE323" i="21" s="1"/>
  <c r="AD25" i="20"/>
  <c r="AC4" i="21"/>
  <c r="BI4" i="21" s="1"/>
  <c r="H451" i="20"/>
  <c r="G430" i="21"/>
  <c r="AM430" i="21" s="1"/>
  <c r="V235" i="20"/>
  <c r="U214" i="21"/>
  <c r="BA214" i="21" s="1"/>
  <c r="H336" i="20"/>
  <c r="G315" i="21"/>
  <c r="AM315" i="21" s="1"/>
  <c r="W147" i="20"/>
  <c r="V126" i="21"/>
  <c r="BB126" i="21" s="1"/>
  <c r="W347" i="20"/>
  <c r="V326" i="21"/>
  <c r="BB326" i="21" s="1"/>
  <c r="Y203" i="20"/>
  <c r="X182" i="21"/>
  <c r="BD182" i="21" s="1"/>
  <c r="S466" i="20"/>
  <c r="R445" i="21"/>
  <c r="AX445" i="21" s="1"/>
  <c r="Q353" i="20"/>
  <c r="P332" i="21"/>
  <c r="AV332" i="21" s="1"/>
  <c r="H250" i="20"/>
  <c r="G229" i="21"/>
  <c r="AM229" i="21" s="1"/>
  <c r="J45" i="20"/>
  <c r="I24" i="21"/>
  <c r="AO24" i="21" s="1"/>
  <c r="O242" i="20"/>
  <c r="N221" i="21"/>
  <c r="AT221" i="21" s="1"/>
  <c r="AC257" i="20"/>
  <c r="AB236" i="21"/>
  <c r="BH236" i="21" s="1"/>
  <c r="O470" i="20"/>
  <c r="N449" i="21"/>
  <c r="AT449" i="21" s="1"/>
  <c r="AA431" i="20"/>
  <c r="Z410" i="21"/>
  <c r="BF410" i="21" s="1"/>
  <c r="X59" i="20"/>
  <c r="W38" i="21"/>
  <c r="BC38" i="21" s="1"/>
  <c r="L303" i="20"/>
  <c r="K282" i="21"/>
  <c r="AQ282" i="21" s="1"/>
  <c r="AB258" i="20"/>
  <c r="AA237" i="21"/>
  <c r="BG237" i="21" s="1"/>
  <c r="K304" i="20"/>
  <c r="J283" i="21"/>
  <c r="AP283" i="21" s="1"/>
  <c r="F133" i="20"/>
  <c r="E112" i="21"/>
  <c r="AK112" i="21" s="1"/>
  <c r="X434" i="20"/>
  <c r="W413" i="21"/>
  <c r="BC413" i="21" s="1"/>
  <c r="J360" i="20"/>
  <c r="I339" i="21"/>
  <c r="AO339" i="21" s="1"/>
  <c r="Z375" i="20"/>
  <c r="Y354" i="21"/>
  <c r="BE354" i="21" s="1"/>
  <c r="F424" i="20"/>
  <c r="E403" i="21"/>
  <c r="AK403" i="21" s="1"/>
  <c r="I421" i="20"/>
  <c r="H400" i="21"/>
  <c r="AN400" i="21" s="1"/>
  <c r="P241" i="20"/>
  <c r="O220" i="21"/>
  <c r="AU220" i="21" s="1"/>
  <c r="O243" i="20"/>
  <c r="N222" i="21"/>
  <c r="AT222" i="21" s="1"/>
  <c r="U464" i="20"/>
  <c r="T443" i="21"/>
  <c r="AZ443" i="21" s="1"/>
  <c r="V148" i="20"/>
  <c r="U127" i="21"/>
  <c r="BA127" i="21" s="1"/>
  <c r="J129" i="20"/>
  <c r="I108" i="21"/>
  <c r="AO108" i="21" s="1"/>
  <c r="U207" i="20"/>
  <c r="T186" i="21"/>
  <c r="AZ186" i="21" s="1"/>
  <c r="K102" i="20"/>
  <c r="J81" i="21"/>
  <c r="AP81" i="21" s="1"/>
  <c r="AA172" i="20"/>
  <c r="Z151" i="21"/>
  <c r="BF151" i="21" s="1"/>
  <c r="R239" i="20"/>
  <c r="Q218" i="21"/>
  <c r="AW218" i="21" s="1"/>
  <c r="S410" i="20"/>
  <c r="R389" i="21"/>
  <c r="AX389" i="21" s="1"/>
  <c r="R181" i="20"/>
  <c r="Q160" i="21"/>
  <c r="AW160" i="21" s="1"/>
  <c r="L358" i="20"/>
  <c r="K337" i="21"/>
  <c r="AQ337" i="21" s="1"/>
  <c r="Q441" i="20"/>
  <c r="P420" i="21"/>
  <c r="AV420" i="21" s="1"/>
  <c r="L101" i="20"/>
  <c r="K80" i="21"/>
  <c r="AQ80" i="21" s="1"/>
  <c r="T294" i="20"/>
  <c r="S273" i="21"/>
  <c r="AY273" i="21" s="1"/>
  <c r="G452" i="20"/>
  <c r="F431" i="21"/>
  <c r="AL431" i="21" s="1"/>
  <c r="D340" i="20"/>
  <c r="F189" i="1" s="1"/>
  <c r="AA456" i="19"/>
  <c r="AC115" i="1" s="1"/>
  <c r="P172" i="23"/>
  <c r="R130" i="1" s="1"/>
  <c r="AD99" i="1"/>
  <c r="AD14" i="51" s="1"/>
  <c r="N137" i="19"/>
  <c r="Z56" i="23"/>
  <c r="AB125" i="1" s="1"/>
  <c r="AI103" i="23"/>
  <c r="AI68" i="23"/>
  <c r="AI86" i="23" s="1"/>
  <c r="I56" i="23"/>
  <c r="K125" i="1" s="1"/>
  <c r="L369" i="19"/>
  <c r="N111" i="1" s="1"/>
  <c r="AJ31" i="23"/>
  <c r="AJ33" i="23"/>
  <c r="BG66" i="23"/>
  <c r="BG84" i="23" s="1"/>
  <c r="BG102" i="23" s="1"/>
  <c r="E462" i="23"/>
  <c r="G142" i="1" s="1"/>
  <c r="AJ30" i="23"/>
  <c r="D87" i="21"/>
  <c r="AE50" i="20"/>
  <c r="AG99" i="1"/>
  <c r="AG14" i="51" s="1"/>
  <c r="AC137" i="20"/>
  <c r="AE102" i="1"/>
  <c r="W102" i="1"/>
  <c r="M224" i="19"/>
  <c r="AD79" i="20"/>
  <c r="AF100" i="1"/>
  <c r="AC50" i="20"/>
  <c r="AE99" i="1"/>
  <c r="AE14" i="51" s="1"/>
  <c r="G85" i="23"/>
  <c r="I126" i="1" s="1"/>
  <c r="AE137" i="20"/>
  <c r="AG102" i="1"/>
  <c r="E108" i="20"/>
  <c r="G179" i="1" s="1"/>
  <c r="G101" i="1"/>
  <c r="AD137" i="20"/>
  <c r="AF102" i="1"/>
  <c r="AE79" i="20"/>
  <c r="AG100" i="1"/>
  <c r="AD50" i="20"/>
  <c r="AF99" i="1"/>
  <c r="AF14" i="51" s="1"/>
  <c r="AC79" i="20"/>
  <c r="AE100" i="1"/>
  <c r="AB79" i="20"/>
  <c r="AD100" i="1"/>
  <c r="AB137" i="20"/>
  <c r="AD102" i="1"/>
  <c r="AB29" i="21"/>
  <c r="G137" i="19"/>
  <c r="G114" i="23" s="1"/>
  <c r="I127" i="1" s="1"/>
  <c r="U143" i="23"/>
  <c r="W128" i="1" s="1"/>
  <c r="D2" i="1"/>
  <c r="AE369" i="19"/>
  <c r="J253" i="19"/>
  <c r="L106" i="1" s="1"/>
  <c r="E346" i="23"/>
  <c r="G137" i="1" s="1"/>
  <c r="O369" i="19"/>
  <c r="L137" i="19"/>
  <c r="E174" i="21"/>
  <c r="AJ71" i="23"/>
  <c r="AJ89" i="23" s="1"/>
  <c r="E203" i="21"/>
  <c r="AJ72" i="23"/>
  <c r="AJ90" i="23" s="1"/>
  <c r="D14" i="1"/>
  <c r="E58" i="21"/>
  <c r="AJ67" i="23"/>
  <c r="AJ85" i="23" s="1"/>
  <c r="J172" i="23"/>
  <c r="L130" i="1" s="1"/>
  <c r="AI44" i="23"/>
  <c r="AI40" i="23"/>
  <c r="AI32" i="23"/>
  <c r="Z224" i="19"/>
  <c r="AA253" i="19"/>
  <c r="D20" i="1"/>
  <c r="O137" i="19"/>
  <c r="I137" i="19"/>
  <c r="O224" i="19"/>
  <c r="J137" i="19"/>
  <c r="Y253" i="19"/>
  <c r="Q253" i="19"/>
  <c r="S106" i="1" s="1"/>
  <c r="M253" i="19"/>
  <c r="N433" i="23"/>
  <c r="P141" i="1" s="1"/>
  <c r="Q485" i="19"/>
  <c r="Y224" i="19"/>
  <c r="AA105" i="1" s="1"/>
  <c r="U224" i="19"/>
  <c r="W105" i="1" s="1"/>
  <c r="F369" i="19"/>
  <c r="R433" i="23"/>
  <c r="T141" i="1" s="1"/>
  <c r="M56" i="23"/>
  <c r="O125" i="1" s="1"/>
  <c r="F375" i="23"/>
  <c r="H138" i="1" s="1"/>
  <c r="K224" i="19"/>
  <c r="M105" i="1" s="1"/>
  <c r="U369" i="19"/>
  <c r="W111" i="1" s="1"/>
  <c r="S137" i="19"/>
  <c r="U101" i="1" s="1"/>
  <c r="G485" i="19"/>
  <c r="I116" i="1" s="1"/>
  <c r="R317" i="23"/>
  <c r="T136" i="1" s="1"/>
  <c r="I433" i="23"/>
  <c r="K141" i="1" s="1"/>
  <c r="H85" i="23"/>
  <c r="J126" i="1" s="1"/>
  <c r="W56" i="23"/>
  <c r="Y125" i="1" s="1"/>
  <c r="Y85" i="23"/>
  <c r="AA126" i="1" s="1"/>
  <c r="L56" i="23"/>
  <c r="N125" i="1" s="1"/>
  <c r="P85" i="23"/>
  <c r="R126" i="1" s="1"/>
  <c r="X143" i="23"/>
  <c r="Z128" i="1" s="1"/>
  <c r="P369" i="19"/>
  <c r="R111" i="1" s="1"/>
  <c r="H491" i="23"/>
  <c r="J143" i="1" s="1"/>
  <c r="H172" i="23"/>
  <c r="J130" i="1" s="1"/>
  <c r="P433" i="23"/>
  <c r="R141" i="1" s="1"/>
  <c r="G253" i="19"/>
  <c r="I106" i="1" s="1"/>
  <c r="M143" i="23"/>
  <c r="O128" i="1" s="1"/>
  <c r="P317" i="23"/>
  <c r="R136" i="1" s="1"/>
  <c r="AA172" i="23"/>
  <c r="AC130" i="1" s="1"/>
  <c r="J259" i="23"/>
  <c r="L133" i="1" s="1"/>
  <c r="P224" i="19"/>
  <c r="R105" i="1" s="1"/>
  <c r="W259" i="23"/>
  <c r="Y133" i="1" s="1"/>
  <c r="L375" i="23"/>
  <c r="N138" i="1" s="1"/>
  <c r="G433" i="23"/>
  <c r="I141" i="1" s="1"/>
  <c r="S259" i="23"/>
  <c r="U133" i="1" s="1"/>
  <c r="O143" i="23"/>
  <c r="Q128" i="1" s="1"/>
  <c r="P485" i="19"/>
  <c r="R116" i="1" s="1"/>
  <c r="N369" i="19"/>
  <c r="Q369" i="19"/>
  <c r="S111" i="1" s="1"/>
  <c r="J433" i="23"/>
  <c r="L141" i="1" s="1"/>
  <c r="H404" i="23"/>
  <c r="J140" i="1" s="1"/>
  <c r="M259" i="23"/>
  <c r="O133" i="1" s="1"/>
  <c r="J369" i="19"/>
  <c r="L111" i="1" s="1"/>
  <c r="T485" i="19"/>
  <c r="X491" i="23"/>
  <c r="Z143" i="1" s="1"/>
  <c r="X259" i="23"/>
  <c r="Z133" i="1" s="1"/>
  <c r="G491" i="23"/>
  <c r="I143" i="1" s="1"/>
  <c r="X317" i="23"/>
  <c r="Z136" i="1" s="1"/>
  <c r="I369" i="19"/>
  <c r="I85" i="23"/>
  <c r="K126" i="1" s="1"/>
  <c r="S172" i="23"/>
  <c r="U130" i="1" s="1"/>
  <c r="R375" i="23"/>
  <c r="T138" i="1" s="1"/>
  <c r="V369" i="19"/>
  <c r="X111" i="1" s="1"/>
  <c r="Q85" i="23"/>
  <c r="S126" i="1" s="1"/>
  <c r="F404" i="23"/>
  <c r="H140" i="1" s="1"/>
  <c r="W369" i="19"/>
  <c r="H143" i="23"/>
  <c r="J128" i="1" s="1"/>
  <c r="I404" i="23"/>
  <c r="K140" i="1" s="1"/>
  <c r="S433" i="23"/>
  <c r="U141" i="1" s="1"/>
  <c r="S491" i="23"/>
  <c r="U143" i="1" s="1"/>
  <c r="R253" i="19"/>
  <c r="T106" i="1" s="1"/>
  <c r="AC485" i="19"/>
  <c r="AE116" i="1" s="1"/>
  <c r="M137" i="19"/>
  <c r="AE224" i="19"/>
  <c r="AG105" i="1" s="1"/>
  <c r="AA259" i="23"/>
  <c r="AC133" i="1" s="1"/>
  <c r="I224" i="19"/>
  <c r="Z485" i="19"/>
  <c r="Z143" i="23"/>
  <c r="AB128" i="1" s="1"/>
  <c r="Q172" i="23"/>
  <c r="S130" i="1" s="1"/>
  <c r="AB369" i="19"/>
  <c r="AD111" i="1" s="1"/>
  <c r="Q259" i="23"/>
  <c r="S133" i="1" s="1"/>
  <c r="M172" i="23"/>
  <c r="O130" i="1" s="1"/>
  <c r="W143" i="23"/>
  <c r="Y128" i="1" s="1"/>
  <c r="J56" i="23"/>
  <c r="L125" i="1" s="1"/>
  <c r="K56" i="23"/>
  <c r="M125" i="1" s="1"/>
  <c r="K137" i="19"/>
  <c r="K253" i="19"/>
  <c r="M106" i="1" s="1"/>
  <c r="AC369" i="19"/>
  <c r="AE111" i="1" s="1"/>
  <c r="Q143" i="23"/>
  <c r="S128" i="1" s="1"/>
  <c r="Z172" i="23"/>
  <c r="AB130" i="1" s="1"/>
  <c r="X369" i="19"/>
  <c r="R85" i="23"/>
  <c r="T126" i="1" s="1"/>
  <c r="O404" i="23"/>
  <c r="Q140" i="1" s="1"/>
  <c r="M485" i="19"/>
  <c r="V172" i="23"/>
  <c r="X130" i="1" s="1"/>
  <c r="AA85" i="23"/>
  <c r="AC126" i="1" s="1"/>
  <c r="N85" i="23"/>
  <c r="P126" i="1" s="1"/>
  <c r="L143" i="23"/>
  <c r="N128" i="1" s="1"/>
  <c r="F491" i="23"/>
  <c r="H143" i="1" s="1"/>
  <c r="X485" i="19"/>
  <c r="X56" i="23"/>
  <c r="Z125" i="1" s="1"/>
  <c r="T56" i="23"/>
  <c r="V125" i="1" s="1"/>
  <c r="S375" i="23"/>
  <c r="U138" i="1" s="1"/>
  <c r="Z433" i="23"/>
  <c r="AB141" i="1" s="1"/>
  <c r="U56" i="23"/>
  <c r="W125" i="1" s="1"/>
  <c r="P143" i="23"/>
  <c r="R128" i="1" s="1"/>
  <c r="T137" i="19"/>
  <c r="AE137" i="19"/>
  <c r="AG101" i="1" s="1"/>
  <c r="G369" i="19"/>
  <c r="I111" i="1" s="1"/>
  <c r="J485" i="19"/>
  <c r="L116" i="1" s="1"/>
  <c r="W317" i="23"/>
  <c r="Y136" i="1" s="1"/>
  <c r="R143" i="23"/>
  <c r="T128" i="1" s="1"/>
  <c r="R491" i="23"/>
  <c r="T143" i="1" s="1"/>
  <c r="P491" i="23"/>
  <c r="R143" i="1" s="1"/>
  <c r="AD137" i="19"/>
  <c r="AF101" i="1" s="1"/>
  <c r="L224" i="19"/>
  <c r="N105" i="1" s="1"/>
  <c r="AA485" i="19"/>
  <c r="AC116" i="1" s="1"/>
  <c r="V375" i="23"/>
  <c r="X138" i="1" s="1"/>
  <c r="P253" i="19"/>
  <c r="R106" i="1" s="1"/>
  <c r="W485" i="19"/>
  <c r="T369" i="19"/>
  <c r="V111" i="1" s="1"/>
  <c r="K369" i="19"/>
  <c r="M111" i="1" s="1"/>
  <c r="X224" i="19"/>
  <c r="Z105" i="1" s="1"/>
  <c r="H253" i="19"/>
  <c r="J106" i="1" s="1"/>
  <c r="G259" i="23"/>
  <c r="I133" i="1" s="1"/>
  <c r="F85" i="23"/>
  <c r="H126" i="1" s="1"/>
  <c r="J375" i="23"/>
  <c r="L138" i="1" s="1"/>
  <c r="Q224" i="19"/>
  <c r="AA491" i="23"/>
  <c r="AC143" i="1" s="1"/>
  <c r="T143" i="23"/>
  <c r="V128" i="1" s="1"/>
  <c r="G404" i="23"/>
  <c r="I140" i="1" s="1"/>
  <c r="O172" i="23"/>
  <c r="Q130" i="1" s="1"/>
  <c r="K85" i="23"/>
  <c r="M126" i="1" s="1"/>
  <c r="W85" i="23"/>
  <c r="Y126" i="1" s="1"/>
  <c r="P375" i="23"/>
  <c r="R138" i="1" s="1"/>
  <c r="M404" i="23"/>
  <c r="O140" i="1" s="1"/>
  <c r="J143" i="23"/>
  <c r="L128" i="1" s="1"/>
  <c r="H56" i="23"/>
  <c r="J125" i="1" s="1"/>
  <c r="R56" i="23"/>
  <c r="T125" i="1" s="1"/>
  <c r="Y137" i="19"/>
  <c r="AA101" i="1" s="1"/>
  <c r="Q137" i="19"/>
  <c r="I172" i="23"/>
  <c r="K130" i="1" s="1"/>
  <c r="R137" i="19"/>
  <c r="T101" i="1" s="1"/>
  <c r="Z137" i="19"/>
  <c r="AB101" i="1" s="1"/>
  <c r="S224" i="19"/>
  <c r="U105" i="1" s="1"/>
  <c r="T253" i="19"/>
  <c r="V106" i="1" s="1"/>
  <c r="R259" i="23"/>
  <c r="T133" i="1" s="1"/>
  <c r="V85" i="23"/>
  <c r="X126" i="1" s="1"/>
  <c r="Z491" i="23"/>
  <c r="AB143" i="1" s="1"/>
  <c r="V56" i="23"/>
  <c r="X125" i="1" s="1"/>
  <c r="K491" i="23"/>
  <c r="M143" i="1" s="1"/>
  <c r="T259" i="23"/>
  <c r="V133" i="1" s="1"/>
  <c r="K404" i="23"/>
  <c r="M140" i="1" s="1"/>
  <c r="N172" i="23"/>
  <c r="P130" i="1" s="1"/>
  <c r="AA369" i="19"/>
  <c r="AC111" i="1" s="1"/>
  <c r="W137" i="19"/>
  <c r="Y101" i="1" s="1"/>
  <c r="N143" i="23"/>
  <c r="P128" i="1" s="1"/>
  <c r="U137" i="19"/>
  <c r="W101" i="1" s="1"/>
  <c r="T224" i="19"/>
  <c r="V105" i="1" s="1"/>
  <c r="O253" i="19"/>
  <c r="Q106" i="1" s="1"/>
  <c r="R369" i="19"/>
  <c r="T111" i="1" s="1"/>
  <c r="Y369" i="19"/>
  <c r="AA111" i="1" s="1"/>
  <c r="V433" i="23"/>
  <c r="X141" i="1" s="1"/>
  <c r="G375" i="23"/>
  <c r="I138" i="1" s="1"/>
  <c r="G56" i="23"/>
  <c r="I125" i="1" s="1"/>
  <c r="O375" i="23"/>
  <c r="Q138" i="1" s="1"/>
  <c r="M491" i="23"/>
  <c r="O143" i="1" s="1"/>
  <c r="Y317" i="23"/>
  <c r="AA136" i="1" s="1"/>
  <c r="Q491" i="23"/>
  <c r="S143" i="1" s="1"/>
  <c r="I317" i="23"/>
  <c r="K136" i="1" s="1"/>
  <c r="L491" i="23"/>
  <c r="N143" i="1" s="1"/>
  <c r="Y491" i="23"/>
  <c r="AA143" i="1" s="1"/>
  <c r="V143" i="23"/>
  <c r="X128" i="1" s="1"/>
  <c r="O491" i="23"/>
  <c r="Q143" i="1" s="1"/>
  <c r="R485" i="19"/>
  <c r="U485" i="19"/>
  <c r="W116" i="1" s="1"/>
  <c r="F137" i="19"/>
  <c r="H101" i="1" s="1"/>
  <c r="O85" i="23"/>
  <c r="Q126" i="1" s="1"/>
  <c r="H317" i="23"/>
  <c r="J136" i="1" s="1"/>
  <c r="U317" i="23"/>
  <c r="W136" i="1" s="1"/>
  <c r="G172" i="23"/>
  <c r="I130" i="1" s="1"/>
  <c r="F433" i="23"/>
  <c r="H141" i="1" s="1"/>
  <c r="N404" i="23"/>
  <c r="P140" i="1" s="1"/>
  <c r="Z369" i="19"/>
  <c r="AB111" i="1" s="1"/>
  <c r="I375" i="23"/>
  <c r="K138" i="1" s="1"/>
  <c r="U259" i="23"/>
  <c r="W133" i="1" s="1"/>
  <c r="AE485" i="19"/>
  <c r="AG116" i="1" s="1"/>
  <c r="AA137" i="19"/>
  <c r="R172" i="23"/>
  <c r="T130" i="1" s="1"/>
  <c r="Z85" i="23"/>
  <c r="AB126" i="1" s="1"/>
  <c r="X172" i="23"/>
  <c r="Z130" i="1" s="1"/>
  <c r="G143" i="23"/>
  <c r="I128" i="1" s="1"/>
  <c r="S56" i="23"/>
  <c r="U125" i="1" s="1"/>
  <c r="H369" i="19"/>
  <c r="J111" i="1" s="1"/>
  <c r="H375" i="23"/>
  <c r="J138" i="1" s="1"/>
  <c r="L172" i="23"/>
  <c r="N130" i="1" s="1"/>
  <c r="Z259" i="23"/>
  <c r="AB133" i="1" s="1"/>
  <c r="L85" i="23"/>
  <c r="N126" i="1" s="1"/>
  <c r="S143" i="23"/>
  <c r="U128" i="1" s="1"/>
  <c r="S253" i="19"/>
  <c r="U106" i="1" s="1"/>
  <c r="H224" i="19"/>
  <c r="J105" i="1" s="1"/>
  <c r="W253" i="19"/>
  <c r="Y106" i="1" s="1"/>
  <c r="N485" i="19"/>
  <c r="P116" i="1" s="1"/>
  <c r="M369" i="19"/>
  <c r="O111" i="1" s="1"/>
  <c r="N253" i="19"/>
  <c r="P106" i="1" s="1"/>
  <c r="AC224" i="19"/>
  <c r="AE105" i="1" s="1"/>
  <c r="V137" i="19"/>
  <c r="P259" i="23"/>
  <c r="R133" i="1" s="1"/>
  <c r="L433" i="23"/>
  <c r="N141" i="1" s="1"/>
  <c r="F230" i="23"/>
  <c r="H132" i="1" s="1"/>
  <c r="W433" i="23"/>
  <c r="Y141" i="1" s="1"/>
  <c r="N375" i="23"/>
  <c r="P138" i="1" s="1"/>
  <c r="F485" i="19"/>
  <c r="H116" i="1" s="1"/>
  <c r="Q56" i="23"/>
  <c r="S125" i="1" s="1"/>
  <c r="F143" i="23"/>
  <c r="H128" i="1" s="1"/>
  <c r="J85" i="23"/>
  <c r="L126" i="1" s="1"/>
  <c r="T375" i="23"/>
  <c r="V138" i="1" s="1"/>
  <c r="S317" i="23"/>
  <c r="U136" i="1" s="1"/>
  <c r="L404" i="23"/>
  <c r="N140" i="1" s="1"/>
  <c r="S485" i="19"/>
  <c r="U116" i="1" s="1"/>
  <c r="O485" i="19"/>
  <c r="Q116" i="1" s="1"/>
  <c r="AB224" i="19"/>
  <c r="AD105" i="1" s="1"/>
  <c r="W375" i="23"/>
  <c r="Y138" i="1" s="1"/>
  <c r="W172" i="23"/>
  <c r="Y130" i="1" s="1"/>
  <c r="Q433" i="23"/>
  <c r="S141" i="1" s="1"/>
  <c r="O433" i="23"/>
  <c r="Q141" i="1" s="1"/>
  <c r="U375" i="23"/>
  <c r="W138" i="1" s="1"/>
  <c r="G317" i="23"/>
  <c r="I136" i="1" s="1"/>
  <c r="V485" i="19"/>
  <c r="X116" i="1" s="1"/>
  <c r="O56" i="23"/>
  <c r="Q125" i="1" s="1"/>
  <c r="M85" i="23"/>
  <c r="O126" i="1" s="1"/>
  <c r="P404" i="23"/>
  <c r="R140" i="1" s="1"/>
  <c r="U172" i="23"/>
  <c r="W130" i="1" s="1"/>
  <c r="H485" i="19"/>
  <c r="AD369" i="19"/>
  <c r="AF111" i="1" s="1"/>
  <c r="L485" i="19"/>
  <c r="K375" i="23"/>
  <c r="M138" i="1" s="1"/>
  <c r="J491" i="23"/>
  <c r="L143" i="1" s="1"/>
  <c r="AD253" i="19"/>
  <c r="Z253" i="19"/>
  <c r="AB106" i="1" s="1"/>
  <c r="Q375" i="23"/>
  <c r="S138" i="1" s="1"/>
  <c r="L253" i="19"/>
  <c r="N106" i="1" s="1"/>
  <c r="AD485" i="19"/>
  <c r="AF116" i="1" s="1"/>
  <c r="O259" i="23"/>
  <c r="Q133" i="1" s="1"/>
  <c r="V224" i="19"/>
  <c r="X105" i="1" s="1"/>
  <c r="K317" i="23"/>
  <c r="M136" i="1" s="1"/>
  <c r="L317" i="23"/>
  <c r="N136" i="1" s="1"/>
  <c r="T433" i="23"/>
  <c r="V141" i="1" s="1"/>
  <c r="K259" i="23"/>
  <c r="M133" i="1" s="1"/>
  <c r="E114" i="23"/>
  <c r="G127" i="1" s="1"/>
  <c r="S369" i="19"/>
  <c r="U111" i="1" s="1"/>
  <c r="J224" i="19"/>
  <c r="L105" i="1" s="1"/>
  <c r="X375" i="23"/>
  <c r="Z138" i="1" s="1"/>
  <c r="X85" i="23"/>
  <c r="Z126" i="1" s="1"/>
  <c r="K433" i="23"/>
  <c r="M141" i="1" s="1"/>
  <c r="K143" i="23"/>
  <c r="M128" i="1" s="1"/>
  <c r="M317" i="23"/>
  <c r="O136" i="1" s="1"/>
  <c r="AA143" i="23"/>
  <c r="AC128" i="1" s="1"/>
  <c r="W491" i="23"/>
  <c r="Y143" i="1" s="1"/>
  <c r="AB485" i="19"/>
  <c r="AD116" i="1" s="1"/>
  <c r="V253" i="19"/>
  <c r="X106" i="1" s="1"/>
  <c r="X253" i="19"/>
  <c r="Z106" i="1" s="1"/>
  <c r="M433" i="23"/>
  <c r="O141" i="1" s="1"/>
  <c r="AA56" i="23"/>
  <c r="AC125" i="1" s="1"/>
  <c r="AA317" i="23"/>
  <c r="AC136" i="1" s="1"/>
  <c r="I143" i="23"/>
  <c r="K128" i="1" s="1"/>
  <c r="I253" i="19"/>
  <c r="K106" i="1" s="1"/>
  <c r="O317" i="23"/>
  <c r="Q136" i="1" s="1"/>
  <c r="P137" i="19"/>
  <c r="R101" i="1" s="1"/>
  <c r="H137" i="19"/>
  <c r="AB253" i="19"/>
  <c r="W224" i="19"/>
  <c r="Y105" i="1" s="1"/>
  <c r="T172" i="23"/>
  <c r="V130" i="1" s="1"/>
  <c r="X137" i="19"/>
  <c r="Z101" i="1" s="1"/>
  <c r="Y375" i="23"/>
  <c r="AA138" i="1" s="1"/>
  <c r="Y143" i="23"/>
  <c r="AA128" i="1" s="1"/>
  <c r="L259" i="23"/>
  <c r="N133" i="1" s="1"/>
  <c r="I491" i="23"/>
  <c r="K143" i="1" s="1"/>
  <c r="V259" i="23"/>
  <c r="X133" i="1" s="1"/>
  <c r="T491" i="23"/>
  <c r="V143" i="1" s="1"/>
  <c r="M375" i="23"/>
  <c r="O138" i="1" s="1"/>
  <c r="T317" i="23"/>
  <c r="V136" i="1" s="1"/>
  <c r="AC137" i="19"/>
  <c r="AE101" i="1" s="1"/>
  <c r="I485" i="19"/>
  <c r="K116" i="1" s="1"/>
  <c r="K172" i="23"/>
  <c r="M130" i="1" s="1"/>
  <c r="Y172" i="23"/>
  <c r="AA130" i="1" s="1"/>
  <c r="J317" i="23"/>
  <c r="L136" i="1" s="1"/>
  <c r="U85" i="23"/>
  <c r="W126" i="1" s="1"/>
  <c r="Z375" i="23"/>
  <c r="AB138" i="1" s="1"/>
  <c r="F317" i="23"/>
  <c r="H136" i="1" s="1"/>
  <c r="N56" i="23"/>
  <c r="P125" i="1" s="1"/>
  <c r="F56" i="23"/>
  <c r="H125" i="1" s="1"/>
  <c r="K485" i="19"/>
  <c r="M116" i="1" s="1"/>
  <c r="AD224" i="19"/>
  <c r="AF105" i="1" s="1"/>
  <c r="V317" i="23"/>
  <c r="X136" i="1" s="1"/>
  <c r="U433" i="23"/>
  <c r="W141" i="1" s="1"/>
  <c r="T85" i="23"/>
  <c r="V126" i="1" s="1"/>
  <c r="Y485" i="19"/>
  <c r="AA116" i="1" s="1"/>
  <c r="AA224" i="19"/>
  <c r="AC105" i="1" s="1"/>
  <c r="G224" i="19"/>
  <c r="I105" i="1" s="1"/>
  <c r="S85" i="23"/>
  <c r="U126" i="1" s="1"/>
  <c r="Y259" i="23"/>
  <c r="AA133" i="1" s="1"/>
  <c r="AB137" i="19"/>
  <c r="AD101" i="1" s="1"/>
  <c r="Y56" i="23"/>
  <c r="AA125" i="1" s="1"/>
  <c r="Y433" i="23"/>
  <c r="AA141" i="1" s="1"/>
  <c r="Q317" i="23"/>
  <c r="S136" i="1" s="1"/>
  <c r="AC253" i="19"/>
  <c r="R224" i="19"/>
  <c r="T105" i="1" s="1"/>
  <c r="N224" i="19"/>
  <c r="P105" i="1" s="1"/>
  <c r="L87" i="1" l="1"/>
  <c r="P87" i="1"/>
  <c r="L88" i="1"/>
  <c r="P88" i="1"/>
  <c r="B11" i="1"/>
  <c r="M76" i="1"/>
  <c r="O76" i="1" s="1"/>
  <c r="AJ144" i="21"/>
  <c r="AJ145" i="21" s="1"/>
  <c r="C9" i="1" s="1"/>
  <c r="C11" i="1" s="1"/>
  <c r="D10" i="1"/>
  <c r="AD377" i="21"/>
  <c r="AJ108" i="23"/>
  <c r="AJ107" i="23"/>
  <c r="AC464" i="21"/>
  <c r="U377" i="21"/>
  <c r="BG77" i="23"/>
  <c r="BG95" i="23" s="1"/>
  <c r="BG113" i="23" s="1"/>
  <c r="R377" i="21"/>
  <c r="BC78" i="23"/>
  <c r="BC96" i="23" s="1"/>
  <c r="BC114" i="23" s="1"/>
  <c r="BE78" i="23"/>
  <c r="BE96" i="23" s="1"/>
  <c r="BE114" i="23" s="1"/>
  <c r="AE348" i="21"/>
  <c r="BI79" i="23"/>
  <c r="BI97" i="23" s="1"/>
  <c r="BI115" i="23" s="1"/>
  <c r="BG74" i="23"/>
  <c r="BG92" i="23" s="1"/>
  <c r="BG110" i="23" s="1"/>
  <c r="AE377" i="21"/>
  <c r="BG73" i="23"/>
  <c r="BG91" i="23" s="1"/>
  <c r="BG109" i="23" s="1"/>
  <c r="BI81" i="23"/>
  <c r="BI99" i="23" s="1"/>
  <c r="BI117" i="23" s="1"/>
  <c r="BH70" i="23"/>
  <c r="BH88" i="23" s="1"/>
  <c r="BH106" i="23" s="1"/>
  <c r="BD78" i="23"/>
  <c r="BD96" i="23" s="1"/>
  <c r="BD114" i="23" s="1"/>
  <c r="BH78" i="23"/>
  <c r="BH96" i="23" s="1"/>
  <c r="BH114" i="23" s="1"/>
  <c r="BH73" i="23"/>
  <c r="BH91" i="23" s="1"/>
  <c r="BH109" i="23" s="1"/>
  <c r="BA78" i="23"/>
  <c r="BA96" i="23" s="1"/>
  <c r="BA114" i="23" s="1"/>
  <c r="AX78" i="23"/>
  <c r="AX96" i="23" s="1"/>
  <c r="AX114" i="23" s="1"/>
  <c r="BJ75" i="23"/>
  <c r="BJ93" i="23" s="1"/>
  <c r="BJ111" i="23" s="1"/>
  <c r="Y377" i="21"/>
  <c r="BH75" i="23"/>
  <c r="BH93" i="23" s="1"/>
  <c r="BH111" i="23" s="1"/>
  <c r="V377" i="21"/>
  <c r="S377" i="21"/>
  <c r="AA433" i="23"/>
  <c r="AC141" i="1" s="1"/>
  <c r="AZ78" i="23"/>
  <c r="AZ96" i="23" s="1"/>
  <c r="AZ114" i="23" s="1"/>
  <c r="AE464" i="21"/>
  <c r="AD290" i="21"/>
  <c r="AW78" i="23"/>
  <c r="AW96" i="23" s="1"/>
  <c r="AW114" i="23" s="1"/>
  <c r="X377" i="21"/>
  <c r="Z377" i="21"/>
  <c r="AA348" i="21"/>
  <c r="AC190" i="1"/>
  <c r="AC406" i="21"/>
  <c r="Q377" i="21"/>
  <c r="S192" i="1"/>
  <c r="W377" i="21"/>
  <c r="Y192" i="1"/>
  <c r="BF78" i="23"/>
  <c r="BF96" i="23" s="1"/>
  <c r="BF114" i="23" s="1"/>
  <c r="AC192" i="1"/>
  <c r="AB406" i="21"/>
  <c r="AE406" i="21"/>
  <c r="AY78" i="23"/>
  <c r="AY96" i="23" s="1"/>
  <c r="AY114" i="23" s="1"/>
  <c r="V192" i="1"/>
  <c r="BG81" i="23"/>
  <c r="BG99" i="23" s="1"/>
  <c r="BG117" i="23" s="1"/>
  <c r="AB290" i="21"/>
  <c r="BG78" i="23"/>
  <c r="BG96" i="23" s="1"/>
  <c r="BG114" i="23" s="1"/>
  <c r="AD348" i="21"/>
  <c r="BH77" i="23"/>
  <c r="BH95" i="23" s="1"/>
  <c r="BH113" i="23" s="1"/>
  <c r="AD145" i="21"/>
  <c r="BI70" i="23"/>
  <c r="BI88" i="23" s="1"/>
  <c r="BI106" i="23" s="1"/>
  <c r="BJ70" i="23"/>
  <c r="BJ88" i="23" s="1"/>
  <c r="BJ106" i="23" s="1"/>
  <c r="BG70" i="23"/>
  <c r="BG88" i="23" s="1"/>
  <c r="BG106" i="23" s="1"/>
  <c r="AE232" i="21"/>
  <c r="BI73" i="23"/>
  <c r="BI91" i="23" s="1"/>
  <c r="BI109" i="23" s="1"/>
  <c r="BJ72" i="23"/>
  <c r="BJ90" i="23" s="1"/>
  <c r="BJ108" i="23" s="1"/>
  <c r="BD43" i="23"/>
  <c r="AP34" i="23"/>
  <c r="AR41" i="23"/>
  <c r="AQ37" i="23"/>
  <c r="AY34" i="23"/>
  <c r="AP39" i="23"/>
  <c r="AO45" i="23"/>
  <c r="H462" i="23"/>
  <c r="J142" i="1" s="1"/>
  <c r="J116" i="1"/>
  <c r="AT43" i="23"/>
  <c r="AX39" i="23"/>
  <c r="AM41" i="23"/>
  <c r="BC34" i="23"/>
  <c r="AS42" i="23"/>
  <c r="AM39" i="23"/>
  <c r="Q20" i="1"/>
  <c r="T116" i="1"/>
  <c r="AQ45" i="23"/>
  <c r="AR45" i="23"/>
  <c r="BA43" i="23"/>
  <c r="AP45" i="23"/>
  <c r="AW37" i="23"/>
  <c r="AU41" i="23"/>
  <c r="AL42" i="23"/>
  <c r="AO41" i="23"/>
  <c r="V20" i="1"/>
  <c r="Y116" i="1"/>
  <c r="BE43" i="23"/>
  <c r="X462" i="23"/>
  <c r="Z142" i="1" s="1"/>
  <c r="Z116" i="1"/>
  <c r="I201" i="23"/>
  <c r="K131" i="1" s="1"/>
  <c r="K105" i="1"/>
  <c r="AN42" i="23"/>
  <c r="BC37" i="23"/>
  <c r="AR37" i="23"/>
  <c r="N346" i="23"/>
  <c r="P137" i="1" s="1"/>
  <c r="P111" i="1"/>
  <c r="AL43" i="23"/>
  <c r="AM45" i="23"/>
  <c r="AN43" i="23"/>
  <c r="AW43" i="23"/>
  <c r="P20" i="1"/>
  <c r="S116" i="1"/>
  <c r="Y230" i="23"/>
  <c r="AA132" i="1" s="1"/>
  <c r="AA106" i="1"/>
  <c r="Z201" i="23"/>
  <c r="AB131" i="1" s="1"/>
  <c r="AB105" i="1"/>
  <c r="AO34" i="23"/>
  <c r="AJ40" i="23"/>
  <c r="D16" i="1" s="1"/>
  <c r="M201" i="23"/>
  <c r="O131" i="1" s="1"/>
  <c r="O105" i="1"/>
  <c r="AU34" i="23"/>
  <c r="BE39" i="23"/>
  <c r="AM43" i="23"/>
  <c r="AS45" i="23"/>
  <c r="BA45" i="23"/>
  <c r="AZ43" i="23"/>
  <c r="AY45" i="23"/>
  <c r="AR39" i="23"/>
  <c r="BC41" i="23"/>
  <c r="AP37" i="23"/>
  <c r="AV41" i="23"/>
  <c r="AP41" i="23"/>
  <c r="AZ34" i="23"/>
  <c r="AV43" i="23"/>
  <c r="AY41" i="23"/>
  <c r="AZ37" i="23"/>
  <c r="AK43" i="23"/>
  <c r="AT45" i="23"/>
  <c r="AN39" i="23"/>
  <c r="AT41" i="23"/>
  <c r="AS34" i="23"/>
  <c r="AN34" i="23"/>
  <c r="BB39" i="23"/>
  <c r="AX41" i="23"/>
  <c r="AK45" i="23"/>
  <c r="BA34" i="23"/>
  <c r="W14" i="1"/>
  <c r="Z111" i="1"/>
  <c r="AV34" i="23"/>
  <c r="BF37" i="23"/>
  <c r="I346" i="23"/>
  <c r="K137" i="1" s="1"/>
  <c r="K111" i="1"/>
  <c r="BC45" i="23"/>
  <c r="AM42" i="23"/>
  <c r="AQ41" i="23"/>
  <c r="AO37" i="23"/>
  <c r="AW39" i="23"/>
  <c r="F346" i="23"/>
  <c r="H137" i="1" s="1"/>
  <c r="H111" i="1"/>
  <c r="AS43" i="23"/>
  <c r="AJ44" i="23"/>
  <c r="D22" i="1" s="1"/>
  <c r="AS37" i="23"/>
  <c r="AO42" i="23"/>
  <c r="AC224" i="20"/>
  <c r="BH72" i="23" s="1"/>
  <c r="BH90" i="23" s="1"/>
  <c r="BH108" i="23" s="1"/>
  <c r="AE106" i="1"/>
  <c r="BA39" i="23"/>
  <c r="AO39" i="23"/>
  <c r="BA37" i="23"/>
  <c r="BD41" i="23"/>
  <c r="AB224" i="20"/>
  <c r="BG72" i="23" s="1"/>
  <c r="BG90" i="23" s="1"/>
  <c r="BG108" i="23" s="1"/>
  <c r="AD106" i="1"/>
  <c r="AR43" i="23"/>
  <c r="AY43" i="23"/>
  <c r="AT37" i="23"/>
  <c r="K20" i="1"/>
  <c r="N116" i="1"/>
  <c r="AU42" i="23"/>
  <c r="AL39" i="23"/>
  <c r="BB34" i="23"/>
  <c r="AS41" i="23"/>
  <c r="AQ43" i="23"/>
  <c r="BE37" i="23"/>
  <c r="AW34" i="23"/>
  <c r="AN41" i="23"/>
  <c r="AL34" i="23"/>
  <c r="AV45" i="23"/>
  <c r="AP42" i="23"/>
  <c r="BE45" i="23"/>
  <c r="BF45" i="23"/>
  <c r="BA41" i="23"/>
  <c r="AU45" i="23"/>
  <c r="M462" i="23"/>
  <c r="O142" i="1" s="1"/>
  <c r="O116" i="1"/>
  <c r="BE34" i="23"/>
  <c r="AR34" i="23"/>
  <c r="AX45" i="23"/>
  <c r="W346" i="23"/>
  <c r="Y137" i="1" s="1"/>
  <c r="Y111" i="1"/>
  <c r="AW41" i="23"/>
  <c r="BC39" i="23"/>
  <c r="T462" i="23"/>
  <c r="V142" i="1" s="1"/>
  <c r="V116" i="1"/>
  <c r="AO43" i="23"/>
  <c r="BB37" i="23"/>
  <c r="BF34" i="23"/>
  <c r="AU43" i="23"/>
  <c r="AK41" i="23"/>
  <c r="M230" i="23"/>
  <c r="O132" i="1" s="1"/>
  <c r="O106" i="1"/>
  <c r="AD14" i="1"/>
  <c r="AG111" i="1"/>
  <c r="AZ36" i="23"/>
  <c r="AN37" i="23"/>
  <c r="AM37" i="23"/>
  <c r="AV39" i="23"/>
  <c r="BD37" i="23"/>
  <c r="AK39" i="23"/>
  <c r="BD34" i="23"/>
  <c r="AY39" i="23"/>
  <c r="AN45" i="23"/>
  <c r="BB45" i="23"/>
  <c r="AP43" i="23"/>
  <c r="AD224" i="20"/>
  <c r="AD203" i="21" s="1"/>
  <c r="AF106" i="1"/>
  <c r="AZ41" i="23"/>
  <c r="BB41" i="23"/>
  <c r="AQ42" i="23"/>
  <c r="BB43" i="23"/>
  <c r="AU37" i="23"/>
  <c r="AQ34" i="23"/>
  <c r="AZ39" i="23"/>
  <c r="BD45" i="23"/>
  <c r="BD39" i="23"/>
  <c r="AL41" i="23"/>
  <c r="AY37" i="23"/>
  <c r="AR42" i="23"/>
  <c r="AT34" i="23"/>
  <c r="Q201" i="23"/>
  <c r="S131" i="1" s="1"/>
  <c r="S105" i="1"/>
  <c r="AL37" i="23"/>
  <c r="AW45" i="23"/>
  <c r="AT42" i="23"/>
  <c r="AV37" i="23"/>
  <c r="Z462" i="23"/>
  <c r="AB142" i="1" s="1"/>
  <c r="AB116" i="1"/>
  <c r="AX43" i="23"/>
  <c r="AK42" i="23"/>
  <c r="AX34" i="23"/>
  <c r="AL45" i="23"/>
  <c r="AX37" i="23"/>
  <c r="AU39" i="23"/>
  <c r="AM34" i="23"/>
  <c r="O201" i="23"/>
  <c r="Q131" i="1" s="1"/>
  <c r="Q105" i="1"/>
  <c r="AA230" i="23"/>
  <c r="AC132" i="1" s="1"/>
  <c r="AC106" i="1"/>
  <c r="O346" i="23"/>
  <c r="Q137" i="1" s="1"/>
  <c r="Q111" i="1"/>
  <c r="AK35" i="23"/>
  <c r="E319" i="21"/>
  <c r="AJ76" i="23"/>
  <c r="AJ94" i="23" s="1"/>
  <c r="E135" i="20"/>
  <c r="D114" i="21"/>
  <c r="AJ114" i="21" s="1"/>
  <c r="AI75" i="23"/>
  <c r="AI93" i="23" s="1"/>
  <c r="AI111" i="23" s="1"/>
  <c r="D290" i="21"/>
  <c r="N331" i="20"/>
  <c r="M310" i="21"/>
  <c r="AS310" i="21" s="1"/>
  <c r="AC315" i="20"/>
  <c r="AB294" i="21"/>
  <c r="BH294" i="21" s="1"/>
  <c r="S383" i="20"/>
  <c r="R362" i="21"/>
  <c r="AX362" i="21" s="1"/>
  <c r="Q123" i="20"/>
  <c r="P102" i="21"/>
  <c r="AV102" i="21" s="1"/>
  <c r="N187" i="20"/>
  <c r="M166" i="21"/>
  <c r="AS166" i="21" s="1"/>
  <c r="S325" i="20"/>
  <c r="R304" i="21"/>
  <c r="AX304" i="21" s="1"/>
  <c r="D482" i="20"/>
  <c r="C461" i="21"/>
  <c r="AI461" i="21" s="1"/>
  <c r="AD228" i="20"/>
  <c r="AC207" i="21"/>
  <c r="BI207" i="21" s="1"/>
  <c r="P299" i="20"/>
  <c r="O278" i="21"/>
  <c r="AU278" i="21" s="1"/>
  <c r="R412" i="20"/>
  <c r="Q391" i="21"/>
  <c r="AW391" i="21" s="1"/>
  <c r="S152" i="20"/>
  <c r="R131" i="21"/>
  <c r="AX131" i="21" s="1"/>
  <c r="M332" i="20"/>
  <c r="L311" i="21"/>
  <c r="AR311" i="21" s="1"/>
  <c r="O330" i="20"/>
  <c r="N309" i="21"/>
  <c r="AT309" i="21" s="1"/>
  <c r="U465" i="20"/>
  <c r="T444" i="21"/>
  <c r="AZ444" i="21" s="1"/>
  <c r="Q385" i="20"/>
  <c r="P364" i="21"/>
  <c r="AV364" i="21" s="1"/>
  <c r="E455" i="20"/>
  <c r="D434" i="21"/>
  <c r="AJ434" i="21" s="1"/>
  <c r="AJ435" i="21" s="1"/>
  <c r="D456" i="20"/>
  <c r="F194" i="1" s="1"/>
  <c r="Y262" i="20"/>
  <c r="X241" i="21"/>
  <c r="BD241" i="21" s="1"/>
  <c r="P328" i="20"/>
  <c r="O307" i="21"/>
  <c r="AU307" i="21" s="1"/>
  <c r="AD170" i="20"/>
  <c r="AC149" i="21"/>
  <c r="BI149" i="21" s="1"/>
  <c r="W264" i="20"/>
  <c r="V243" i="21"/>
  <c r="BB243" i="21" s="1"/>
  <c r="AA173" i="20"/>
  <c r="Z152" i="21"/>
  <c r="BF152" i="21" s="1"/>
  <c r="K305" i="20"/>
  <c r="J284" i="21"/>
  <c r="AP284" i="21" s="1"/>
  <c r="V408" i="20"/>
  <c r="U387" i="21"/>
  <c r="BA387" i="21" s="1"/>
  <c r="Q270" i="20"/>
  <c r="P249" i="21"/>
  <c r="AV249" i="21" s="1"/>
  <c r="T439" i="20"/>
  <c r="S418" i="21"/>
  <c r="AY418" i="21" s="1"/>
  <c r="G107" i="20"/>
  <c r="F86" i="21"/>
  <c r="AL86" i="21" s="1"/>
  <c r="AL87" i="21" s="1"/>
  <c r="Q469" i="20"/>
  <c r="P448" i="21"/>
  <c r="AV448" i="21" s="1"/>
  <c r="N446" i="20"/>
  <c r="M425" i="21"/>
  <c r="AS425" i="21" s="1"/>
  <c r="I76" i="20"/>
  <c r="H55" i="21"/>
  <c r="AN55" i="21" s="1"/>
  <c r="P355" i="20"/>
  <c r="O334" i="21"/>
  <c r="AU334" i="21" s="1"/>
  <c r="X263" i="20"/>
  <c r="W242" i="21"/>
  <c r="BC242" i="21" s="1"/>
  <c r="G395" i="20"/>
  <c r="F374" i="21"/>
  <c r="AL374" i="21" s="1"/>
  <c r="W436" i="20"/>
  <c r="V415" i="21"/>
  <c r="BB415" i="21" s="1"/>
  <c r="AH79" i="23"/>
  <c r="AH97" i="23" s="1"/>
  <c r="AH115" i="23" s="1"/>
  <c r="C406" i="21"/>
  <c r="G338" i="20"/>
  <c r="F317" i="21"/>
  <c r="AL317" i="21" s="1"/>
  <c r="S94" i="20"/>
  <c r="R73" i="21"/>
  <c r="AX73" i="21" s="1"/>
  <c r="AD83" i="20"/>
  <c r="AC62" i="21"/>
  <c r="BI62" i="21" s="1"/>
  <c r="AI76" i="23"/>
  <c r="AI94" i="23" s="1"/>
  <c r="AI112" i="23" s="1"/>
  <c r="D319" i="21"/>
  <c r="U294" i="20"/>
  <c r="T273" i="21"/>
  <c r="AZ273" i="21" s="1"/>
  <c r="R441" i="20"/>
  <c r="Q420" i="21"/>
  <c r="AW420" i="21" s="1"/>
  <c r="S181" i="20"/>
  <c r="R160" i="21"/>
  <c r="AX160" i="21" s="1"/>
  <c r="S239" i="20"/>
  <c r="R218" i="21"/>
  <c r="AX218" i="21" s="1"/>
  <c r="L102" i="20"/>
  <c r="K81" i="21"/>
  <c r="AQ81" i="21" s="1"/>
  <c r="K129" i="20"/>
  <c r="J108" i="21"/>
  <c r="AP108" i="21" s="1"/>
  <c r="V464" i="20"/>
  <c r="U443" i="21"/>
  <c r="BA443" i="21" s="1"/>
  <c r="Q241" i="20"/>
  <c r="P220" i="21"/>
  <c r="AV220" i="21" s="1"/>
  <c r="G424" i="20"/>
  <c r="F403" i="21"/>
  <c r="AL403" i="21" s="1"/>
  <c r="K360" i="20"/>
  <c r="J339" i="21"/>
  <c r="AP339" i="21" s="1"/>
  <c r="G133" i="20"/>
  <c r="F112" i="21"/>
  <c r="AL112" i="21" s="1"/>
  <c r="AC258" i="20"/>
  <c r="AB237" i="21"/>
  <c r="BH237" i="21" s="1"/>
  <c r="Y59" i="20"/>
  <c r="X38" i="21"/>
  <c r="BD38" i="21" s="1"/>
  <c r="P470" i="20"/>
  <c r="O449" i="21"/>
  <c r="AU449" i="21" s="1"/>
  <c r="P242" i="20"/>
  <c r="O221" i="21"/>
  <c r="AU221" i="21" s="1"/>
  <c r="I250" i="20"/>
  <c r="H229" i="21"/>
  <c r="AN229" i="21" s="1"/>
  <c r="T466" i="20"/>
  <c r="S445" i="21"/>
  <c r="AY445" i="21" s="1"/>
  <c r="X347" i="20"/>
  <c r="W326" i="21"/>
  <c r="BC326" i="21" s="1"/>
  <c r="I336" i="20"/>
  <c r="H315" i="21"/>
  <c r="AN315" i="21" s="1"/>
  <c r="I451" i="20"/>
  <c r="H430" i="21"/>
  <c r="AN430" i="21" s="1"/>
  <c r="AA344" i="20"/>
  <c r="Z323" i="21"/>
  <c r="BF323" i="21" s="1"/>
  <c r="AC27" i="20"/>
  <c r="AB6" i="21"/>
  <c r="BH6" i="21" s="1"/>
  <c r="T180" i="20"/>
  <c r="S159" i="21"/>
  <c r="AY159" i="21" s="1"/>
  <c r="AE227" i="20"/>
  <c r="AE206" i="21" s="1"/>
  <c r="BK206" i="21" s="1"/>
  <c r="AD206" i="21"/>
  <c r="BJ206" i="21" s="1"/>
  <c r="I192" i="20"/>
  <c r="H171" i="21"/>
  <c r="AN171" i="21" s="1"/>
  <c r="Y204" i="20"/>
  <c r="X183" i="21"/>
  <c r="BD183" i="21" s="1"/>
  <c r="L275" i="20"/>
  <c r="K254" i="21"/>
  <c r="AQ254" i="21" s="1"/>
  <c r="W348" i="20"/>
  <c r="V327" i="21"/>
  <c r="BB327" i="21" s="1"/>
  <c r="AD199" i="20"/>
  <c r="AC178" i="21"/>
  <c r="BI178" i="21" s="1"/>
  <c r="W61" i="20"/>
  <c r="V40" i="21"/>
  <c r="BB40" i="21" s="1"/>
  <c r="W177" i="20"/>
  <c r="V156" i="21"/>
  <c r="BB156" i="21" s="1"/>
  <c r="AA459" i="20"/>
  <c r="Z438" i="21"/>
  <c r="BF438" i="21" s="1"/>
  <c r="L218" i="20"/>
  <c r="K197" i="21"/>
  <c r="AQ197" i="21" s="1"/>
  <c r="N472" i="20"/>
  <c r="M451" i="21"/>
  <c r="AS451" i="21" s="1"/>
  <c r="L419" i="20"/>
  <c r="K398" i="21"/>
  <c r="AQ398" i="21" s="1"/>
  <c r="U323" i="20"/>
  <c r="T302" i="21"/>
  <c r="AZ302" i="21" s="1"/>
  <c r="O387" i="20"/>
  <c r="N366" i="21"/>
  <c r="AT366" i="21" s="1"/>
  <c r="AA288" i="20"/>
  <c r="Z267" i="21"/>
  <c r="BF267" i="21" s="1"/>
  <c r="AD141" i="20"/>
  <c r="AC120" i="21"/>
  <c r="BI120" i="21" s="1"/>
  <c r="C368" i="20"/>
  <c r="D136" i="20"/>
  <c r="D137" i="20" s="1"/>
  <c r="C115" i="21"/>
  <c r="AI115" i="21" s="1"/>
  <c r="AI116" i="21" s="1"/>
  <c r="C137" i="20"/>
  <c r="X435" i="20"/>
  <c r="W414" i="21"/>
  <c r="BC414" i="21" s="1"/>
  <c r="H423" i="20"/>
  <c r="G402" i="21"/>
  <c r="AM402" i="21" s="1"/>
  <c r="G280" i="20"/>
  <c r="F259" i="21"/>
  <c r="AL259" i="21" s="1"/>
  <c r="Y377" i="20"/>
  <c r="X356" i="21"/>
  <c r="BD356" i="21" s="1"/>
  <c r="S467" i="20"/>
  <c r="R446" i="21"/>
  <c r="AX446" i="21" s="1"/>
  <c r="AC286" i="20"/>
  <c r="AB265" i="21"/>
  <c r="BH265" i="21" s="1"/>
  <c r="X60" i="20"/>
  <c r="W39" i="21"/>
  <c r="BC39" i="21" s="1"/>
  <c r="O415" i="20"/>
  <c r="N394" i="21"/>
  <c r="AT394" i="21" s="1"/>
  <c r="R38" i="20"/>
  <c r="Q17" i="21"/>
  <c r="AW17" i="21" s="1"/>
  <c r="J161" i="20"/>
  <c r="I140" i="21"/>
  <c r="AO140" i="21" s="1"/>
  <c r="V322" i="20"/>
  <c r="U301" i="21"/>
  <c r="BA301" i="21" s="1"/>
  <c r="H251" i="20"/>
  <c r="G230" i="21"/>
  <c r="AM230" i="21" s="1"/>
  <c r="U35" i="20"/>
  <c r="T14" i="21"/>
  <c r="AZ14" i="21" s="1"/>
  <c r="U92" i="20"/>
  <c r="T71" i="21"/>
  <c r="AZ71" i="21" s="1"/>
  <c r="P69" i="20"/>
  <c r="O48" i="21"/>
  <c r="AU48" i="21" s="1"/>
  <c r="N357" i="20"/>
  <c r="M336" i="21"/>
  <c r="AS336" i="21" s="1"/>
  <c r="H308" i="20"/>
  <c r="G287" i="21"/>
  <c r="AM287" i="21" s="1"/>
  <c r="K391" i="20"/>
  <c r="J370" i="21"/>
  <c r="AP370" i="21" s="1"/>
  <c r="AC229" i="20"/>
  <c r="AB208" i="21"/>
  <c r="BH208" i="21" s="1"/>
  <c r="J46" i="20"/>
  <c r="I25" i="21"/>
  <c r="AO25" i="21" s="1"/>
  <c r="O300" i="20"/>
  <c r="N279" i="21"/>
  <c r="AT279" i="21" s="1"/>
  <c r="I307" i="20"/>
  <c r="H286" i="21"/>
  <c r="AN286" i="21" s="1"/>
  <c r="Y461" i="20"/>
  <c r="X440" i="21"/>
  <c r="BD440" i="21" s="1"/>
  <c r="X406" i="20"/>
  <c r="W385" i="21"/>
  <c r="BC385" i="21" s="1"/>
  <c r="J361" i="20"/>
  <c r="I340" i="21"/>
  <c r="AO340" i="21" s="1"/>
  <c r="S352" i="20"/>
  <c r="R331" i="21"/>
  <c r="AX331" i="21" s="1"/>
  <c r="Y319" i="20"/>
  <c r="X298" i="21"/>
  <c r="BD298" i="21" s="1"/>
  <c r="J277" i="20"/>
  <c r="I256" i="21"/>
  <c r="AO256" i="21" s="1"/>
  <c r="U150" i="20"/>
  <c r="T129" i="21"/>
  <c r="AZ129" i="21" s="1"/>
  <c r="U119" i="20"/>
  <c r="T98" i="21"/>
  <c r="AZ98" i="21" s="1"/>
  <c r="AA317" i="20"/>
  <c r="Z296" i="21"/>
  <c r="BF296" i="21" s="1"/>
  <c r="Z87" i="20"/>
  <c r="Y66" i="21"/>
  <c r="BE66" i="21" s="1"/>
  <c r="AB112" i="20"/>
  <c r="AA91" i="21"/>
  <c r="BG91" i="21" s="1"/>
  <c r="R269" i="20"/>
  <c r="Q248" i="21"/>
  <c r="AW248" i="21" s="1"/>
  <c r="T295" i="20"/>
  <c r="S274" i="21"/>
  <c r="AY274" i="21" s="1"/>
  <c r="G252" i="20"/>
  <c r="F231" i="21"/>
  <c r="AL231" i="21" s="1"/>
  <c r="AL232" i="21" s="1"/>
  <c r="F253" i="20"/>
  <c r="H185" i="1" s="1"/>
  <c r="AA231" i="20"/>
  <c r="Z210" i="21"/>
  <c r="BF210" i="21" s="1"/>
  <c r="H363" i="20"/>
  <c r="G342" i="21"/>
  <c r="AM342" i="21" s="1"/>
  <c r="L44" i="20"/>
  <c r="K23" i="21"/>
  <c r="AQ23" i="21" s="1"/>
  <c r="K74" i="20"/>
  <c r="J53" i="21"/>
  <c r="AP53" i="21" s="1"/>
  <c r="H77" i="20"/>
  <c r="G56" i="21"/>
  <c r="AM56" i="21" s="1"/>
  <c r="V437" i="20"/>
  <c r="U416" i="21"/>
  <c r="BA416" i="21" s="1"/>
  <c r="AA432" i="20"/>
  <c r="Z411" i="21"/>
  <c r="BF411" i="21" s="1"/>
  <c r="P98" i="20"/>
  <c r="O77" i="21"/>
  <c r="AU77" i="21" s="1"/>
  <c r="G479" i="20"/>
  <c r="F458" i="21"/>
  <c r="AL458" i="21" s="1"/>
  <c r="J191" i="20"/>
  <c r="I170" i="21"/>
  <c r="AO170" i="21" s="1"/>
  <c r="AD285" i="20"/>
  <c r="AC264" i="21"/>
  <c r="BI264" i="21" s="1"/>
  <c r="N71" i="20"/>
  <c r="M50" i="21"/>
  <c r="AS50" i="21" s="1"/>
  <c r="O70" i="20"/>
  <c r="N49" i="21"/>
  <c r="AT49" i="21" s="1"/>
  <c r="X320" i="20"/>
  <c r="W299" i="21"/>
  <c r="BC299" i="21" s="1"/>
  <c r="K190" i="20"/>
  <c r="J169" i="21"/>
  <c r="AP169" i="21" s="1"/>
  <c r="I278" i="20"/>
  <c r="H257" i="21"/>
  <c r="AN257" i="21" s="1"/>
  <c r="AA29" i="20"/>
  <c r="Z8" i="21"/>
  <c r="BF8" i="21" s="1"/>
  <c r="AC55" i="20"/>
  <c r="AB34" i="21"/>
  <c r="BH34" i="21" s="1"/>
  <c r="S411" i="20"/>
  <c r="R390" i="21"/>
  <c r="AX390" i="21" s="1"/>
  <c r="R211" i="20"/>
  <c r="Q190" i="21"/>
  <c r="AW190" i="21" s="1"/>
  <c r="F425" i="20"/>
  <c r="E404" i="21"/>
  <c r="AK404" i="21" s="1"/>
  <c r="N42" i="20"/>
  <c r="M21" i="21"/>
  <c r="AS21" i="21" s="1"/>
  <c r="R95" i="20"/>
  <c r="Q74" i="21"/>
  <c r="AW74" i="21" s="1"/>
  <c r="L73" i="20"/>
  <c r="K52" i="21"/>
  <c r="AQ52" i="21" s="1"/>
  <c r="X89" i="20"/>
  <c r="W68" i="21"/>
  <c r="BC68" i="21" s="1"/>
  <c r="O215" i="20"/>
  <c r="N194" i="21"/>
  <c r="AT194" i="21" s="1"/>
  <c r="Z376" i="20"/>
  <c r="Y355" i="21"/>
  <c r="BE355" i="21" s="1"/>
  <c r="AA202" i="20"/>
  <c r="Z181" i="21"/>
  <c r="BF181" i="21" s="1"/>
  <c r="N273" i="20"/>
  <c r="M252" i="21"/>
  <c r="AS252" i="21" s="1"/>
  <c r="AC200" i="20"/>
  <c r="AB179" i="21"/>
  <c r="BH179" i="21" s="1"/>
  <c r="S121" i="20"/>
  <c r="R100" i="21"/>
  <c r="AX100" i="21" s="1"/>
  <c r="X378" i="20"/>
  <c r="W357" i="21"/>
  <c r="BC357" i="21" s="1"/>
  <c r="O244" i="20"/>
  <c r="N223" i="21"/>
  <c r="AT223" i="21" s="1"/>
  <c r="M188" i="20"/>
  <c r="L167" i="21"/>
  <c r="AR167" i="21" s="1"/>
  <c r="F134" i="20"/>
  <c r="E113" i="21"/>
  <c r="AK113" i="21" s="1"/>
  <c r="N388" i="20"/>
  <c r="M367" i="21"/>
  <c r="AS367" i="21" s="1"/>
  <c r="T382" i="20"/>
  <c r="S361" i="21"/>
  <c r="AY361" i="21" s="1"/>
  <c r="G194" i="20"/>
  <c r="G195" i="20" s="1"/>
  <c r="I183" i="1" s="1"/>
  <c r="F173" i="21"/>
  <c r="AL173" i="21" s="1"/>
  <c r="AL174" i="21" s="1"/>
  <c r="F195" i="20"/>
  <c r="H183" i="1" s="1"/>
  <c r="AC84" i="20"/>
  <c r="AB63" i="21"/>
  <c r="BH63" i="21" s="1"/>
  <c r="G164" i="20"/>
  <c r="F143" i="21"/>
  <c r="AL143" i="21" s="1"/>
  <c r="AC111" i="20"/>
  <c r="AB90" i="21"/>
  <c r="BH90" i="21" s="1"/>
  <c r="P155" i="20"/>
  <c r="O134" i="21"/>
  <c r="AU134" i="21" s="1"/>
  <c r="P386" i="20"/>
  <c r="O365" i="21"/>
  <c r="AU365" i="21" s="1"/>
  <c r="E481" i="20"/>
  <c r="D460" i="21"/>
  <c r="AJ460" i="21" s="1"/>
  <c r="P214" i="20"/>
  <c r="O193" i="21"/>
  <c r="AU193" i="21" s="1"/>
  <c r="K420" i="20"/>
  <c r="J399" i="21"/>
  <c r="AP399" i="21" s="1"/>
  <c r="AA113" i="20"/>
  <c r="Z92" i="21"/>
  <c r="BF92" i="21" s="1"/>
  <c r="M447" i="20"/>
  <c r="L426" i="21"/>
  <c r="AR426" i="21" s="1"/>
  <c r="L159" i="20"/>
  <c r="K138" i="21"/>
  <c r="AQ138" i="21" s="1"/>
  <c r="U266" i="20"/>
  <c r="T245" i="21"/>
  <c r="AZ245" i="21" s="1"/>
  <c r="K475" i="20"/>
  <c r="J454" i="21"/>
  <c r="AP454" i="21" s="1"/>
  <c r="O444" i="20"/>
  <c r="N423" i="21"/>
  <c r="AT423" i="21" s="1"/>
  <c r="W379" i="20"/>
  <c r="V358" i="21"/>
  <c r="BB358" i="21" s="1"/>
  <c r="X176" i="20"/>
  <c r="W155" i="21"/>
  <c r="BC155" i="21" s="1"/>
  <c r="M43" i="20"/>
  <c r="L22" i="21"/>
  <c r="AR22" i="21" s="1"/>
  <c r="H163" i="20"/>
  <c r="G142" i="21"/>
  <c r="AM142" i="21" s="1"/>
  <c r="S440" i="20"/>
  <c r="R419" i="21"/>
  <c r="AX419" i="21" s="1"/>
  <c r="Y88" i="20"/>
  <c r="X67" i="21"/>
  <c r="BD67" i="21" s="1"/>
  <c r="H394" i="20"/>
  <c r="G373" i="21"/>
  <c r="AM373" i="21" s="1"/>
  <c r="J104" i="20"/>
  <c r="I83" i="21"/>
  <c r="AO83" i="21" s="1"/>
  <c r="H222" i="20"/>
  <c r="G201" i="21"/>
  <c r="AM201" i="21" s="1"/>
  <c r="D145" i="21"/>
  <c r="AI70" i="23"/>
  <c r="AI88" i="23" s="1"/>
  <c r="AI106" i="23" s="1"/>
  <c r="T151" i="20"/>
  <c r="S130" i="21"/>
  <c r="AY130" i="21" s="1"/>
  <c r="J476" i="20"/>
  <c r="I455" i="21"/>
  <c r="AO455" i="21" s="1"/>
  <c r="V34" i="20"/>
  <c r="U13" i="21"/>
  <c r="BA13" i="21" s="1"/>
  <c r="Q154" i="20"/>
  <c r="P133" i="21"/>
  <c r="AV133" i="21" s="1"/>
  <c r="L333" i="20"/>
  <c r="K312" i="21"/>
  <c r="AQ312" i="21" s="1"/>
  <c r="O99" i="20"/>
  <c r="N78" i="21"/>
  <c r="AT78" i="21" s="1"/>
  <c r="S65" i="20"/>
  <c r="R44" i="21"/>
  <c r="AX44" i="21" s="1"/>
  <c r="S268" i="20"/>
  <c r="R247" i="21"/>
  <c r="AX247" i="21" s="1"/>
  <c r="AD314" i="20"/>
  <c r="AC293" i="21"/>
  <c r="BI293" i="21" s="1"/>
  <c r="O356" i="20"/>
  <c r="N335" i="21"/>
  <c r="AT335" i="21" s="1"/>
  <c r="AB85" i="20"/>
  <c r="AA64" i="21"/>
  <c r="BG64" i="21" s="1"/>
  <c r="L390" i="20"/>
  <c r="K369" i="21"/>
  <c r="AQ369" i="21" s="1"/>
  <c r="X32" i="20"/>
  <c r="W11" i="21"/>
  <c r="BC11" i="21" s="1"/>
  <c r="F310" i="20"/>
  <c r="E289" i="21"/>
  <c r="AK289" i="21" s="1"/>
  <c r="AK290" i="21" s="1"/>
  <c r="E311" i="20"/>
  <c r="G188" i="1" s="1"/>
  <c r="F165" i="20"/>
  <c r="E144" i="21"/>
  <c r="E397" i="20"/>
  <c r="D376" i="21"/>
  <c r="AJ376" i="21" s="1"/>
  <c r="T351" i="20"/>
  <c r="S330" i="21"/>
  <c r="AY330" i="21" s="1"/>
  <c r="T64" i="20"/>
  <c r="S43" i="21"/>
  <c r="AY43" i="21" s="1"/>
  <c r="AB287" i="20"/>
  <c r="AA266" i="21"/>
  <c r="BG266" i="21" s="1"/>
  <c r="V236" i="20"/>
  <c r="U215" i="21"/>
  <c r="BA215" i="21" s="1"/>
  <c r="U63" i="20"/>
  <c r="T42" i="21"/>
  <c r="AZ42" i="21" s="1"/>
  <c r="M127" i="20"/>
  <c r="L106" i="21"/>
  <c r="AR106" i="21" s="1"/>
  <c r="AD26" i="20"/>
  <c r="AC5" i="21"/>
  <c r="BI5" i="21" s="1"/>
  <c r="N302" i="20"/>
  <c r="M281" i="21"/>
  <c r="AS281" i="21" s="1"/>
  <c r="AE140" i="20"/>
  <c r="AE119" i="21" s="1"/>
  <c r="BK119" i="21" s="1"/>
  <c r="AD119" i="21"/>
  <c r="BJ119" i="21" s="1"/>
  <c r="AB143" i="20"/>
  <c r="AA122" i="21"/>
  <c r="BG122" i="21" s="1"/>
  <c r="P40" i="20"/>
  <c r="O19" i="21"/>
  <c r="AU19" i="21" s="1"/>
  <c r="H193" i="20"/>
  <c r="G172" i="21"/>
  <c r="AM172" i="21" s="1"/>
  <c r="O471" i="20"/>
  <c r="N450" i="21"/>
  <c r="AT450" i="21" s="1"/>
  <c r="O125" i="20"/>
  <c r="N104" i="21"/>
  <c r="AT104" i="21" s="1"/>
  <c r="J450" i="20"/>
  <c r="I429" i="21"/>
  <c r="AO429" i="21" s="1"/>
  <c r="Z30" i="20"/>
  <c r="Y9" i="21"/>
  <c r="BE9" i="21" s="1"/>
  <c r="Q96" i="20"/>
  <c r="P75" i="21"/>
  <c r="AV75" i="21" s="1"/>
  <c r="AC373" i="20"/>
  <c r="AB352" i="21"/>
  <c r="BH352" i="21" s="1"/>
  <c r="Z318" i="20"/>
  <c r="Y297" i="21"/>
  <c r="BE297" i="21" s="1"/>
  <c r="T324" i="20"/>
  <c r="S303" i="21"/>
  <c r="AY303" i="21" s="1"/>
  <c r="P443" i="20"/>
  <c r="O422" i="21"/>
  <c r="AU422" i="21" s="1"/>
  <c r="U381" i="20"/>
  <c r="T360" i="21"/>
  <c r="AZ360" i="21" s="1"/>
  <c r="AA260" i="20"/>
  <c r="Z239" i="21"/>
  <c r="BF239" i="21" s="1"/>
  <c r="I477" i="20"/>
  <c r="H456" i="21"/>
  <c r="AN456" i="21" s="1"/>
  <c r="N417" i="20"/>
  <c r="M396" i="21"/>
  <c r="AS396" i="21" s="1"/>
  <c r="H48" i="20"/>
  <c r="G27" i="21"/>
  <c r="AM27" i="21" s="1"/>
  <c r="O186" i="20"/>
  <c r="N165" i="21"/>
  <c r="AT165" i="21" s="1"/>
  <c r="AD54" i="20"/>
  <c r="AC33" i="21"/>
  <c r="BI33" i="21" s="1"/>
  <c r="H279" i="20"/>
  <c r="G258" i="21"/>
  <c r="AM258" i="21" s="1"/>
  <c r="Y175" i="20"/>
  <c r="X154" i="21"/>
  <c r="BD154" i="21" s="1"/>
  <c r="AB259" i="20"/>
  <c r="AA238" i="21"/>
  <c r="BG238" i="21" s="1"/>
  <c r="Z345" i="20"/>
  <c r="Y324" i="21"/>
  <c r="BE324" i="21" s="1"/>
  <c r="AA144" i="20"/>
  <c r="Z123" i="21"/>
  <c r="BF123" i="21" s="1"/>
  <c r="R122" i="20"/>
  <c r="Q101" i="21"/>
  <c r="AW101" i="21" s="1"/>
  <c r="F396" i="20"/>
  <c r="E375" i="21"/>
  <c r="AK375" i="21" s="1"/>
  <c r="I47" i="20"/>
  <c r="H26" i="21"/>
  <c r="AN26" i="21" s="1"/>
  <c r="N100" i="20"/>
  <c r="M79" i="21"/>
  <c r="AS79" i="21" s="1"/>
  <c r="G78" i="20"/>
  <c r="F57" i="21"/>
  <c r="AL57" i="21" s="1"/>
  <c r="AL58" i="21" s="1"/>
  <c r="Q413" i="20"/>
  <c r="P392" i="21"/>
  <c r="AV392" i="21" s="1"/>
  <c r="F480" i="20"/>
  <c r="E459" i="21"/>
  <c r="AK459" i="21" s="1"/>
  <c r="X116" i="20"/>
  <c r="W95" i="21"/>
  <c r="BC95" i="21" s="1"/>
  <c r="P414" i="20"/>
  <c r="O393" i="21"/>
  <c r="AU393" i="21" s="1"/>
  <c r="AE169" i="20"/>
  <c r="AE148" i="21" s="1"/>
  <c r="BK148" i="21" s="1"/>
  <c r="AD148" i="21"/>
  <c r="BJ148" i="21" s="1"/>
  <c r="AH80" i="23"/>
  <c r="AH98" i="23" s="1"/>
  <c r="AH116" i="23" s="1"/>
  <c r="C435" i="21"/>
  <c r="H106" i="20"/>
  <c r="G85" i="21"/>
  <c r="AM85" i="21" s="1"/>
  <c r="K334" i="20"/>
  <c r="J313" i="21"/>
  <c r="AP313" i="21" s="1"/>
  <c r="S296" i="20"/>
  <c r="R275" i="21"/>
  <c r="AX275" i="21" s="1"/>
  <c r="AE53" i="20"/>
  <c r="AE32" i="21" s="1"/>
  <c r="BK32" i="21" s="1"/>
  <c r="AD32" i="21"/>
  <c r="BJ32" i="21" s="1"/>
  <c r="X291" i="20"/>
  <c r="W270" i="21"/>
  <c r="BC270" i="21" s="1"/>
  <c r="K219" i="20"/>
  <c r="J198" i="21"/>
  <c r="AP198" i="21" s="1"/>
  <c r="N216" i="20"/>
  <c r="M195" i="21"/>
  <c r="AS195" i="21" s="1"/>
  <c r="M418" i="20"/>
  <c r="L397" i="21"/>
  <c r="AR397" i="21" s="1"/>
  <c r="P184" i="20"/>
  <c r="O163" i="21"/>
  <c r="AU163" i="21" s="1"/>
  <c r="M158" i="20"/>
  <c r="L137" i="21"/>
  <c r="AR137" i="21" s="1"/>
  <c r="AA57" i="20"/>
  <c r="Z36" i="21"/>
  <c r="BF36" i="21" s="1"/>
  <c r="V149" i="20"/>
  <c r="U128" i="21"/>
  <c r="BA128" i="21" s="1"/>
  <c r="Z261" i="20"/>
  <c r="Y240" i="21"/>
  <c r="BE240" i="21" s="1"/>
  <c r="Y146" i="20"/>
  <c r="X125" i="21"/>
  <c r="BD125" i="21" s="1"/>
  <c r="Z433" i="20"/>
  <c r="Y412" i="21"/>
  <c r="BE412" i="21" s="1"/>
  <c r="Q354" i="20"/>
  <c r="P333" i="21"/>
  <c r="AV333" i="21" s="1"/>
  <c r="Y346" i="20"/>
  <c r="X325" i="21"/>
  <c r="BD325" i="21" s="1"/>
  <c r="S37" i="20"/>
  <c r="R16" i="21"/>
  <c r="AX16" i="21" s="1"/>
  <c r="P68" i="20"/>
  <c r="O47" i="21"/>
  <c r="AU47" i="21" s="1"/>
  <c r="E426" i="20"/>
  <c r="D405" i="21"/>
  <c r="AJ405" i="21" s="1"/>
  <c r="AJ406" i="21" s="1"/>
  <c r="W33" i="20"/>
  <c r="V12" i="21"/>
  <c r="BB12" i="21" s="1"/>
  <c r="R468" i="20"/>
  <c r="Q447" i="21"/>
  <c r="AW447" i="21" s="1"/>
  <c r="Y31" i="20"/>
  <c r="X10" i="21"/>
  <c r="BD10" i="21" s="1"/>
  <c r="X205" i="20"/>
  <c r="W184" i="21"/>
  <c r="BC184" i="21" s="1"/>
  <c r="G453" i="20"/>
  <c r="F432" i="21"/>
  <c r="AL432" i="21" s="1"/>
  <c r="L448" i="20"/>
  <c r="K427" i="21"/>
  <c r="AQ427" i="21" s="1"/>
  <c r="AB374" i="20"/>
  <c r="AA353" i="21"/>
  <c r="BG353" i="21" s="1"/>
  <c r="Q327" i="20"/>
  <c r="P306" i="21"/>
  <c r="AV306" i="21" s="1"/>
  <c r="G309" i="20"/>
  <c r="F288" i="21"/>
  <c r="AL288" i="21" s="1"/>
  <c r="I162" i="20"/>
  <c r="H141" i="21"/>
  <c r="AN141" i="21" s="1"/>
  <c r="H337" i="20"/>
  <c r="G316" i="21"/>
  <c r="AM316" i="21" s="1"/>
  <c r="Y290" i="20"/>
  <c r="X269" i="21"/>
  <c r="BD269" i="21" s="1"/>
  <c r="Z289" i="20"/>
  <c r="Y268" i="21"/>
  <c r="BE268" i="21" s="1"/>
  <c r="U237" i="20"/>
  <c r="T216" i="21"/>
  <c r="AZ216" i="21" s="1"/>
  <c r="Q183" i="20"/>
  <c r="P162" i="21"/>
  <c r="AV162" i="21" s="1"/>
  <c r="R297" i="20"/>
  <c r="Q276" i="21"/>
  <c r="AW276" i="21" s="1"/>
  <c r="V380" i="20"/>
  <c r="U359" i="21"/>
  <c r="BA359" i="21" s="1"/>
  <c r="J335" i="20"/>
  <c r="I314" i="21"/>
  <c r="AO314" i="21" s="1"/>
  <c r="H478" i="20"/>
  <c r="G457" i="21"/>
  <c r="AM457" i="21" s="1"/>
  <c r="H452" i="20"/>
  <c r="G431" i="21"/>
  <c r="AM431" i="21" s="1"/>
  <c r="M101" i="20"/>
  <c r="L80" i="21"/>
  <c r="AR80" i="21" s="1"/>
  <c r="M358" i="20"/>
  <c r="L337" i="21"/>
  <c r="AR337" i="21" s="1"/>
  <c r="T410" i="20"/>
  <c r="S389" i="21"/>
  <c r="AY389" i="21" s="1"/>
  <c r="AB172" i="20"/>
  <c r="AA151" i="21"/>
  <c r="BG151" i="21" s="1"/>
  <c r="V207" i="20"/>
  <c r="U186" i="21"/>
  <c r="BA186" i="21" s="1"/>
  <c r="W148" i="20"/>
  <c r="V127" i="21"/>
  <c r="BB127" i="21" s="1"/>
  <c r="P243" i="20"/>
  <c r="O222" i="21"/>
  <c r="AU222" i="21" s="1"/>
  <c r="J421" i="20"/>
  <c r="I400" i="21"/>
  <c r="AO400" i="21" s="1"/>
  <c r="AA375" i="20"/>
  <c r="Z354" i="21"/>
  <c r="BF354" i="21" s="1"/>
  <c r="Y434" i="20"/>
  <c r="X413" i="21"/>
  <c r="BD413" i="21" s="1"/>
  <c r="L304" i="20"/>
  <c r="K283" i="21"/>
  <c r="AQ283" i="21" s="1"/>
  <c r="M303" i="20"/>
  <c r="L282" i="21"/>
  <c r="AR282" i="21" s="1"/>
  <c r="AB431" i="20"/>
  <c r="AA410" i="21"/>
  <c r="BG410" i="21" s="1"/>
  <c r="AD257" i="20"/>
  <c r="AC236" i="21"/>
  <c r="BI236" i="21" s="1"/>
  <c r="K45" i="20"/>
  <c r="J24" i="21"/>
  <c r="AP24" i="21" s="1"/>
  <c r="R353" i="20"/>
  <c r="Q332" i="21"/>
  <c r="AW332" i="21" s="1"/>
  <c r="Z203" i="20"/>
  <c r="Y182" i="21"/>
  <c r="BE182" i="21" s="1"/>
  <c r="X147" i="20"/>
  <c r="W126" i="21"/>
  <c r="BC126" i="21" s="1"/>
  <c r="W235" i="20"/>
  <c r="V214" i="21"/>
  <c r="BB214" i="21" s="1"/>
  <c r="AE25" i="20"/>
  <c r="AE4" i="21" s="1"/>
  <c r="BK4" i="21" s="1"/>
  <c r="AD4" i="21"/>
  <c r="BJ4" i="21" s="1"/>
  <c r="J392" i="20"/>
  <c r="I371" i="21"/>
  <c r="AO371" i="21" s="1"/>
  <c r="Z404" i="20"/>
  <c r="Y383" i="21"/>
  <c r="BE383" i="21" s="1"/>
  <c r="O301" i="20"/>
  <c r="N280" i="21"/>
  <c r="AT280" i="21" s="1"/>
  <c r="I422" i="20"/>
  <c r="H401" i="21"/>
  <c r="AN401" i="21" s="1"/>
  <c r="H132" i="20"/>
  <c r="G111" i="21"/>
  <c r="AM111" i="21" s="1"/>
  <c r="AC142" i="20"/>
  <c r="AB121" i="21"/>
  <c r="BH121" i="21" s="1"/>
  <c r="T36" i="20"/>
  <c r="S15" i="21"/>
  <c r="AY15" i="21" s="1"/>
  <c r="F281" i="20"/>
  <c r="E260" i="21"/>
  <c r="AK260" i="21" s="1"/>
  <c r="T209" i="20"/>
  <c r="S188" i="21"/>
  <c r="AY188" i="21" s="1"/>
  <c r="N445" i="20"/>
  <c r="M424" i="21"/>
  <c r="AS424" i="21" s="1"/>
  <c r="AB402" i="20"/>
  <c r="AA381" i="21"/>
  <c r="BG381" i="21" s="1"/>
  <c r="M246" i="20"/>
  <c r="L225" i="21"/>
  <c r="AR225" i="21" s="1"/>
  <c r="Y405" i="20"/>
  <c r="X384" i="21"/>
  <c r="BD384" i="21" s="1"/>
  <c r="AA86" i="20"/>
  <c r="Z65" i="21"/>
  <c r="BF65" i="21" s="1"/>
  <c r="AB56" i="20"/>
  <c r="AA35" i="21"/>
  <c r="BG35" i="21" s="1"/>
  <c r="L247" i="20"/>
  <c r="K226" i="21"/>
  <c r="AQ226" i="21" s="1"/>
  <c r="Q67" i="20"/>
  <c r="P46" i="21"/>
  <c r="AV46" i="21" s="1"/>
  <c r="I393" i="20"/>
  <c r="H372" i="21"/>
  <c r="AN372" i="21" s="1"/>
  <c r="D367" i="20"/>
  <c r="C483" i="20"/>
  <c r="C346" i="21"/>
  <c r="AI346" i="21" s="1"/>
  <c r="G223" i="20"/>
  <c r="F202" i="21"/>
  <c r="AL202" i="21" s="1"/>
  <c r="AL203" i="21" s="1"/>
  <c r="U409" i="20"/>
  <c r="T388" i="21"/>
  <c r="AZ388" i="21" s="1"/>
  <c r="M473" i="20"/>
  <c r="L452" i="21"/>
  <c r="AR452" i="21" s="1"/>
  <c r="R240" i="20"/>
  <c r="Q219" i="21"/>
  <c r="AW219" i="21" s="1"/>
  <c r="L474" i="20"/>
  <c r="K453" i="21"/>
  <c r="AQ453" i="21" s="1"/>
  <c r="W117" i="20"/>
  <c r="V96" i="21"/>
  <c r="BB96" i="21" s="1"/>
  <c r="P271" i="20"/>
  <c r="O250" i="21"/>
  <c r="AU250" i="21" s="1"/>
  <c r="P124" i="20"/>
  <c r="O103" i="21"/>
  <c r="AU103" i="21" s="1"/>
  <c r="G49" i="20"/>
  <c r="F28" i="21"/>
  <c r="AL28" i="21" s="1"/>
  <c r="AC171" i="20"/>
  <c r="AB150" i="21"/>
  <c r="BH150" i="21" s="1"/>
  <c r="M274" i="20"/>
  <c r="L253" i="21"/>
  <c r="AR253" i="21" s="1"/>
  <c r="K248" i="20"/>
  <c r="J227" i="21"/>
  <c r="AP227" i="21" s="1"/>
  <c r="AC430" i="20"/>
  <c r="AB409" i="21"/>
  <c r="BH409" i="21" s="1"/>
  <c r="P185" i="20"/>
  <c r="O164" i="21"/>
  <c r="AU164" i="21" s="1"/>
  <c r="W206" i="20"/>
  <c r="V185" i="21"/>
  <c r="BB185" i="21" s="1"/>
  <c r="I221" i="20"/>
  <c r="H200" i="21"/>
  <c r="AN200" i="21" s="1"/>
  <c r="I362" i="20"/>
  <c r="H341" i="21"/>
  <c r="AN341" i="21" s="1"/>
  <c r="K449" i="20"/>
  <c r="J428" i="21"/>
  <c r="AP428" i="21" s="1"/>
  <c r="W292" i="20"/>
  <c r="V271" i="21"/>
  <c r="BB271" i="21" s="1"/>
  <c r="V265" i="20"/>
  <c r="U244" i="21"/>
  <c r="BA244" i="21" s="1"/>
  <c r="Q212" i="20"/>
  <c r="P191" i="21"/>
  <c r="AV191" i="21" s="1"/>
  <c r="X462" i="20"/>
  <c r="W441" i="21"/>
  <c r="BC441" i="21" s="1"/>
  <c r="M217" i="20"/>
  <c r="L196" i="21"/>
  <c r="AR196" i="21" s="1"/>
  <c r="V293" i="20"/>
  <c r="U272" i="21"/>
  <c r="BA272" i="21" s="1"/>
  <c r="V118" i="20"/>
  <c r="U97" i="21"/>
  <c r="BA97" i="21" s="1"/>
  <c r="AB343" i="20"/>
  <c r="AA322" i="21"/>
  <c r="BG322" i="21" s="1"/>
  <c r="AA403" i="20"/>
  <c r="Z382" i="21"/>
  <c r="BF382" i="21" s="1"/>
  <c r="J249" i="20"/>
  <c r="I228" i="21"/>
  <c r="AO228" i="21" s="1"/>
  <c r="V62" i="20"/>
  <c r="U41" i="21"/>
  <c r="BA41" i="21" s="1"/>
  <c r="R384" i="20"/>
  <c r="Q363" i="21"/>
  <c r="AW363" i="21" s="1"/>
  <c r="U208" i="20"/>
  <c r="T187" i="21"/>
  <c r="AZ187" i="21" s="1"/>
  <c r="N126" i="20"/>
  <c r="M105" i="21"/>
  <c r="AS105" i="21" s="1"/>
  <c r="AB28" i="20"/>
  <c r="AA7" i="21"/>
  <c r="BG7" i="21" s="1"/>
  <c r="M389" i="20"/>
  <c r="L368" i="21"/>
  <c r="AR368" i="21" s="1"/>
  <c r="K160" i="20"/>
  <c r="J139" i="21"/>
  <c r="AP139" i="21" s="1"/>
  <c r="Z145" i="20"/>
  <c r="Y124" i="21"/>
  <c r="BE124" i="21" s="1"/>
  <c r="K276" i="20"/>
  <c r="J255" i="21"/>
  <c r="AP255" i="21" s="1"/>
  <c r="E232" i="21"/>
  <c r="AJ73" i="23"/>
  <c r="AJ91" i="23" s="1"/>
  <c r="AJ109" i="23" s="1"/>
  <c r="E366" i="20"/>
  <c r="D345" i="21"/>
  <c r="AJ345" i="21" s="1"/>
  <c r="Z460" i="20"/>
  <c r="Y439" i="21"/>
  <c r="BE439" i="21" s="1"/>
  <c r="F339" i="20"/>
  <c r="E318" i="21"/>
  <c r="AK318" i="21" s="1"/>
  <c r="AK319" i="21" s="1"/>
  <c r="O156" i="20"/>
  <c r="N135" i="21"/>
  <c r="AT135" i="21" s="1"/>
  <c r="I131" i="20"/>
  <c r="H110" i="21"/>
  <c r="AN110" i="21" s="1"/>
  <c r="V178" i="20"/>
  <c r="U157" i="21"/>
  <c r="BA157" i="21" s="1"/>
  <c r="AC401" i="20"/>
  <c r="AB380" i="21"/>
  <c r="BH380" i="21" s="1"/>
  <c r="N157" i="20"/>
  <c r="M136" i="21"/>
  <c r="AS136" i="21" s="1"/>
  <c r="F365" i="20"/>
  <c r="E344" i="21"/>
  <c r="AK344" i="21" s="1"/>
  <c r="R66" i="20"/>
  <c r="Q45" i="21"/>
  <c r="AW45" i="21" s="1"/>
  <c r="S210" i="20"/>
  <c r="R189" i="21"/>
  <c r="AX189" i="21" s="1"/>
  <c r="O329" i="20"/>
  <c r="N308" i="21"/>
  <c r="AT308" i="21" s="1"/>
  <c r="X234" i="20"/>
  <c r="W213" i="21"/>
  <c r="BC213" i="21" s="1"/>
  <c r="Z174" i="20"/>
  <c r="Y153" i="21"/>
  <c r="BE153" i="21" s="1"/>
  <c r="L128" i="20"/>
  <c r="K107" i="21"/>
  <c r="AQ107" i="21" s="1"/>
  <c r="AE198" i="20"/>
  <c r="AE177" i="21" s="1"/>
  <c r="BK177" i="21" s="1"/>
  <c r="AD177" i="21"/>
  <c r="BJ177" i="21" s="1"/>
  <c r="AB201" i="20"/>
  <c r="AA180" i="21"/>
  <c r="BG180" i="21" s="1"/>
  <c r="J75" i="20"/>
  <c r="I54" i="21"/>
  <c r="AO54" i="21" s="1"/>
  <c r="Z232" i="20"/>
  <c r="Y211" i="21"/>
  <c r="BE211" i="21" s="1"/>
  <c r="N245" i="20"/>
  <c r="M224" i="21"/>
  <c r="AS224" i="21" s="1"/>
  <c r="I105" i="20"/>
  <c r="H84" i="21"/>
  <c r="AN84" i="21" s="1"/>
  <c r="AI79" i="23"/>
  <c r="AI97" i="23" s="1"/>
  <c r="AI115" i="23" s="1"/>
  <c r="D406" i="21"/>
  <c r="R182" i="20"/>
  <c r="Q161" i="21"/>
  <c r="AW161" i="21" s="1"/>
  <c r="V349" i="20"/>
  <c r="U328" i="21"/>
  <c r="BA328" i="21" s="1"/>
  <c r="Z114" i="20"/>
  <c r="Y93" i="21"/>
  <c r="BE93" i="21" s="1"/>
  <c r="Q39" i="20"/>
  <c r="P18" i="21"/>
  <c r="AV18" i="21" s="1"/>
  <c r="J220" i="20"/>
  <c r="I199" i="21"/>
  <c r="AO199" i="21" s="1"/>
  <c r="Q298" i="20"/>
  <c r="P277" i="21"/>
  <c r="AV277" i="21" s="1"/>
  <c r="W407" i="20"/>
  <c r="V386" i="21"/>
  <c r="BB386" i="21" s="1"/>
  <c r="W321" i="20"/>
  <c r="V300" i="21"/>
  <c r="BB300" i="21" s="1"/>
  <c r="U438" i="20"/>
  <c r="T417" i="21"/>
  <c r="AZ417" i="21" s="1"/>
  <c r="P97" i="20"/>
  <c r="O76" i="21"/>
  <c r="AU76" i="21" s="1"/>
  <c r="T120" i="20"/>
  <c r="S99" i="21"/>
  <c r="AY99" i="21" s="1"/>
  <c r="N416" i="20"/>
  <c r="M395" i="21"/>
  <c r="AS395" i="21" s="1"/>
  <c r="K103" i="20"/>
  <c r="J82" i="21"/>
  <c r="AP82" i="21" s="1"/>
  <c r="F454" i="20"/>
  <c r="E433" i="21"/>
  <c r="AK433" i="21" s="1"/>
  <c r="T238" i="20"/>
  <c r="S217" i="21"/>
  <c r="AY217" i="21" s="1"/>
  <c r="Y115" i="20"/>
  <c r="X94" i="21"/>
  <c r="BD94" i="21" s="1"/>
  <c r="V91" i="20"/>
  <c r="U70" i="21"/>
  <c r="BA70" i="21" s="1"/>
  <c r="Z58" i="20"/>
  <c r="Y37" i="21"/>
  <c r="BE37" i="21" s="1"/>
  <c r="M72" i="20"/>
  <c r="L51" i="21"/>
  <c r="AR51" i="21" s="1"/>
  <c r="E166" i="20"/>
  <c r="G182" i="1" s="1"/>
  <c r="O41" i="20"/>
  <c r="N20" i="21"/>
  <c r="AT20" i="21" s="1"/>
  <c r="T93" i="20"/>
  <c r="S72" i="21"/>
  <c r="AY72" i="21" s="1"/>
  <c r="Y233" i="20"/>
  <c r="X212" i="21"/>
  <c r="BD212" i="21" s="1"/>
  <c r="Q442" i="20"/>
  <c r="P421" i="21"/>
  <c r="AV421" i="21" s="1"/>
  <c r="J130" i="20"/>
  <c r="I109" i="21"/>
  <c r="AO109" i="21" s="1"/>
  <c r="AE82" i="20"/>
  <c r="AE61" i="21" s="1"/>
  <c r="BK61" i="21" s="1"/>
  <c r="AD61" i="21"/>
  <c r="BJ61" i="21" s="1"/>
  <c r="AB316" i="20"/>
  <c r="AA295" i="21"/>
  <c r="BG295" i="21" s="1"/>
  <c r="P213" i="20"/>
  <c r="O192" i="21"/>
  <c r="AU192" i="21" s="1"/>
  <c r="U350" i="20"/>
  <c r="T329" i="21"/>
  <c r="AZ329" i="21" s="1"/>
  <c r="J306" i="20"/>
  <c r="I285" i="21"/>
  <c r="AO285" i="21" s="1"/>
  <c r="R153" i="20"/>
  <c r="Q132" i="21"/>
  <c r="AW132" i="21" s="1"/>
  <c r="E456" i="20"/>
  <c r="G194" i="1" s="1"/>
  <c r="O272" i="20"/>
  <c r="N251" i="21"/>
  <c r="AT251" i="21" s="1"/>
  <c r="R326" i="20"/>
  <c r="Q305" i="21"/>
  <c r="AW305" i="21" s="1"/>
  <c r="W463" i="20"/>
  <c r="V442" i="21"/>
  <c r="BB442" i="21" s="1"/>
  <c r="AB230" i="20"/>
  <c r="AA209" i="21"/>
  <c r="BG209" i="21" s="1"/>
  <c r="L359" i="20"/>
  <c r="K338" i="21"/>
  <c r="AQ338" i="21" s="1"/>
  <c r="L189" i="20"/>
  <c r="K168" i="21"/>
  <c r="AQ168" i="21" s="1"/>
  <c r="W90" i="20"/>
  <c r="V69" i="21"/>
  <c r="BB69" i="21" s="1"/>
  <c r="U179" i="20"/>
  <c r="T158" i="21"/>
  <c r="AZ158" i="21" s="1"/>
  <c r="G364" i="20"/>
  <c r="F343" i="21"/>
  <c r="AL343" i="21" s="1"/>
  <c r="T267" i="20"/>
  <c r="S246" i="21"/>
  <c r="AY246" i="21" s="1"/>
  <c r="BE30" i="23"/>
  <c r="M2" i="1"/>
  <c r="P101" i="1"/>
  <c r="N114" i="23"/>
  <c r="P127" i="1" s="1"/>
  <c r="AC116" i="21"/>
  <c r="AD58" i="21"/>
  <c r="AC29" i="21"/>
  <c r="BJ67" i="23"/>
  <c r="BJ85" i="23" s="1"/>
  <c r="BJ103" i="23" s="1"/>
  <c r="AJ103" i="23"/>
  <c r="AD29" i="21"/>
  <c r="BG67" i="23"/>
  <c r="BG85" i="23" s="1"/>
  <c r="BG103" i="23" s="1"/>
  <c r="AD116" i="21"/>
  <c r="AE116" i="21"/>
  <c r="AY31" i="23"/>
  <c r="AS30" i="23"/>
  <c r="AR31" i="23"/>
  <c r="AO31" i="23"/>
  <c r="AX33" i="23"/>
  <c r="AX30" i="23"/>
  <c r="AL30" i="23"/>
  <c r="AO33" i="23"/>
  <c r="AP31" i="23"/>
  <c r="AQ33" i="23"/>
  <c r="BF31" i="23"/>
  <c r="AV33" i="23"/>
  <c r="AO30" i="23"/>
  <c r="AV31" i="23"/>
  <c r="AN31" i="23"/>
  <c r="AT33" i="23"/>
  <c r="BD31" i="23"/>
  <c r="AE29" i="21"/>
  <c r="BD30" i="23"/>
  <c r="AK30" i="23"/>
  <c r="AZ31" i="23"/>
  <c r="BD33" i="23"/>
  <c r="AT30" i="23"/>
  <c r="BA33" i="23"/>
  <c r="AW30" i="23"/>
  <c r="AY33" i="23"/>
  <c r="AE340" i="20"/>
  <c r="AK31" i="23"/>
  <c r="AY30" i="23"/>
  <c r="Q230" i="23"/>
  <c r="S132" i="1" s="1"/>
  <c r="AU31" i="23"/>
  <c r="BB30" i="23"/>
  <c r="BH69" i="23"/>
  <c r="BH87" i="23" s="1"/>
  <c r="BH105" i="23" s="1"/>
  <c r="AC58" i="21"/>
  <c r="AN30" i="23"/>
  <c r="BF30" i="23"/>
  <c r="BF33" i="23"/>
  <c r="AP33" i="23"/>
  <c r="BC31" i="23"/>
  <c r="AL32" i="23"/>
  <c r="AK33" i="23"/>
  <c r="AQ31" i="23"/>
  <c r="AL33" i="23"/>
  <c r="BE31" i="23"/>
  <c r="AS33" i="23"/>
  <c r="BA30" i="23"/>
  <c r="BA31" i="23"/>
  <c r="AM30" i="23"/>
  <c r="BB31" i="23"/>
  <c r="AW33" i="23"/>
  <c r="BC30" i="23"/>
  <c r="AS31" i="23"/>
  <c r="AW31" i="23"/>
  <c r="BB33" i="23"/>
  <c r="AR30" i="23"/>
  <c r="AZ33" i="23"/>
  <c r="AX31" i="23"/>
  <c r="AN33" i="23"/>
  <c r="S114" i="23"/>
  <c r="U127" i="1" s="1"/>
  <c r="AV30" i="23"/>
  <c r="AT31" i="23"/>
  <c r="AU33" i="23"/>
  <c r="AZ30" i="23"/>
  <c r="AP30" i="23"/>
  <c r="BE33" i="23"/>
  <c r="AM33" i="23"/>
  <c r="AR33" i="23"/>
  <c r="BC33" i="23"/>
  <c r="AM31" i="23"/>
  <c r="L346" i="23"/>
  <c r="N137" i="1" s="1"/>
  <c r="K14" i="1"/>
  <c r="BJ66" i="23"/>
  <c r="BJ84" i="23" s="1"/>
  <c r="BJ102" i="23" s="1"/>
  <c r="AL31" i="23"/>
  <c r="V114" i="23"/>
  <c r="X127" i="1" s="1"/>
  <c r="X101" i="1"/>
  <c r="S2" i="1"/>
  <c r="V101" i="1"/>
  <c r="M114" i="23"/>
  <c r="O127" i="1" s="1"/>
  <c r="O101" i="1"/>
  <c r="L101" i="1"/>
  <c r="BG69" i="23"/>
  <c r="BG87" i="23" s="1"/>
  <c r="BG105" i="23" s="1"/>
  <c r="AJ68" i="23"/>
  <c r="AJ86" i="23" s="1"/>
  <c r="N101" i="1"/>
  <c r="Z2" i="1"/>
  <c r="AC101" i="1"/>
  <c r="J2" i="1"/>
  <c r="M101" i="1"/>
  <c r="J114" i="23"/>
  <c r="L127" i="1" s="1"/>
  <c r="K101" i="1"/>
  <c r="BI67" i="23"/>
  <c r="BI85" i="23" s="1"/>
  <c r="BI103" i="23" s="1"/>
  <c r="AB116" i="21"/>
  <c r="E87" i="21"/>
  <c r="BI69" i="23"/>
  <c r="BI87" i="23" s="1"/>
  <c r="BI105" i="23" s="1"/>
  <c r="BH67" i="23"/>
  <c r="BH85" i="23" s="1"/>
  <c r="BH103" i="23" s="1"/>
  <c r="BI66" i="23"/>
  <c r="BI84" i="23" s="1"/>
  <c r="BI102" i="23" s="1"/>
  <c r="BJ69" i="23"/>
  <c r="BJ87" i="23" s="1"/>
  <c r="BJ105" i="23" s="1"/>
  <c r="O114" i="23"/>
  <c r="Q127" i="1" s="1"/>
  <c r="Q101" i="1"/>
  <c r="G108" i="20"/>
  <c r="G87" i="21" s="1"/>
  <c r="I101" i="1"/>
  <c r="G2" i="1"/>
  <c r="J101" i="1"/>
  <c r="S101" i="1"/>
  <c r="AE58" i="21"/>
  <c r="AB58" i="21"/>
  <c r="BH66" i="23"/>
  <c r="BH84" i="23" s="1"/>
  <c r="BH102" i="23" s="1"/>
  <c r="J230" i="23"/>
  <c r="L132" i="1" s="1"/>
  <c r="I2" i="1"/>
  <c r="F2" i="1"/>
  <c r="L114" i="23"/>
  <c r="N127" i="1" s="1"/>
  <c r="Z8" i="1"/>
  <c r="K2" i="1"/>
  <c r="N14" i="1"/>
  <c r="Y8" i="1"/>
  <c r="F203" i="21"/>
  <c r="AK72" i="23"/>
  <c r="AK90" i="23" s="1"/>
  <c r="F58" i="21"/>
  <c r="AK67" i="23"/>
  <c r="AK85" i="23" s="1"/>
  <c r="N20" i="1"/>
  <c r="C4" i="1"/>
  <c r="AI104" i="23"/>
  <c r="C16" i="1"/>
  <c r="C22" i="1"/>
  <c r="AQ39" i="23"/>
  <c r="AJ32" i="23"/>
  <c r="AQ30" i="23"/>
  <c r="AK36" i="23"/>
  <c r="BE41" i="23"/>
  <c r="BF39" i="23"/>
  <c r="Z16" i="1" s="1"/>
  <c r="AT39" i="23"/>
  <c r="R20" i="1"/>
  <c r="O14" i="1"/>
  <c r="F20" i="1"/>
  <c r="P346" i="23"/>
  <c r="R137" i="1" s="1"/>
  <c r="H2" i="1"/>
  <c r="L8" i="1"/>
  <c r="I114" i="23"/>
  <c r="K127" i="1" s="1"/>
  <c r="N2" i="1"/>
  <c r="N8" i="1"/>
  <c r="X114" i="23"/>
  <c r="Z127" i="1" s="1"/>
  <c r="Z230" i="23"/>
  <c r="AB132" i="1" s="1"/>
  <c r="U20" i="1"/>
  <c r="T20" i="1"/>
  <c r="U462" i="23"/>
  <c r="W142" i="1" s="1"/>
  <c r="Y114" i="23"/>
  <c r="AA127" i="1" s="1"/>
  <c r="H230" i="23"/>
  <c r="J132" i="1" s="1"/>
  <c r="R201" i="23"/>
  <c r="T131" i="1" s="1"/>
  <c r="Q8" i="1"/>
  <c r="AA2" i="1"/>
  <c r="AB108" i="20"/>
  <c r="I462" i="23"/>
  <c r="K142" i="1" s="1"/>
  <c r="P114" i="23"/>
  <c r="R127" i="1" s="1"/>
  <c r="V230" i="23"/>
  <c r="X132" i="1" s="1"/>
  <c r="S346" i="23"/>
  <c r="U137" i="1" s="1"/>
  <c r="P462" i="23"/>
  <c r="R142" i="1" s="1"/>
  <c r="H20" i="1"/>
  <c r="AC14" i="1"/>
  <c r="AD340" i="20"/>
  <c r="N230" i="23"/>
  <c r="P132" i="1" s="1"/>
  <c r="N462" i="23"/>
  <c r="P142" i="1" s="1"/>
  <c r="H201" i="23"/>
  <c r="J131" i="1" s="1"/>
  <c r="G14" i="1"/>
  <c r="H346" i="23"/>
  <c r="J137" i="1" s="1"/>
  <c r="Y346" i="23"/>
  <c r="AA137" i="1" s="1"/>
  <c r="X14" i="1"/>
  <c r="S8" i="1"/>
  <c r="T201" i="23"/>
  <c r="V131" i="1" s="1"/>
  <c r="AA340" i="20"/>
  <c r="AC189" i="1" s="1"/>
  <c r="Z14" i="1"/>
  <c r="S201" i="23"/>
  <c r="U131" i="1" s="1"/>
  <c r="R114" i="23"/>
  <c r="T127" i="1" s="1"/>
  <c r="Q2" i="1"/>
  <c r="P8" i="1"/>
  <c r="S14" i="1"/>
  <c r="T346" i="23"/>
  <c r="V137" i="1" s="1"/>
  <c r="P230" i="23"/>
  <c r="R132" i="1" s="1"/>
  <c r="L201" i="23"/>
  <c r="N131" i="1" s="1"/>
  <c r="K8" i="1"/>
  <c r="G346" i="23"/>
  <c r="I137" i="1" s="1"/>
  <c r="F14" i="1"/>
  <c r="T114" i="23"/>
  <c r="V127" i="1" s="1"/>
  <c r="X2" i="1"/>
  <c r="W2" i="1"/>
  <c r="W20" i="1"/>
  <c r="K230" i="23"/>
  <c r="M132" i="1" s="1"/>
  <c r="AB340" i="20"/>
  <c r="AA14" i="1"/>
  <c r="H8" i="1"/>
  <c r="Q114" i="23"/>
  <c r="S127" i="1" s="1"/>
  <c r="AE195" i="20"/>
  <c r="AD8" i="1"/>
  <c r="AB20" i="1"/>
  <c r="AC456" i="20"/>
  <c r="O8" i="1"/>
  <c r="P201" i="23"/>
  <c r="R131" i="1" s="1"/>
  <c r="O20" i="1"/>
  <c r="S462" i="23"/>
  <c r="U142" i="1" s="1"/>
  <c r="L462" i="23"/>
  <c r="N142" i="1" s="1"/>
  <c r="F462" i="23"/>
  <c r="H142" i="1" s="1"/>
  <c r="Y14" i="1"/>
  <c r="Z340" i="20"/>
  <c r="AB189" i="1" s="1"/>
  <c r="U14" i="1"/>
  <c r="P14" i="1"/>
  <c r="T14" i="1"/>
  <c r="Y201" i="23"/>
  <c r="AA131" i="1" s="1"/>
  <c r="X8" i="1"/>
  <c r="G201" i="23"/>
  <c r="I131" i="1" s="1"/>
  <c r="F8" i="1"/>
  <c r="AD195" i="20"/>
  <c r="AC8" i="1"/>
  <c r="AB2" i="1"/>
  <c r="AC108" i="20"/>
  <c r="W201" i="23"/>
  <c r="Y131" i="1" s="1"/>
  <c r="H114" i="23"/>
  <c r="J127" i="1" s="1"/>
  <c r="I230" i="23"/>
  <c r="K132" i="1" s="1"/>
  <c r="J201" i="23"/>
  <c r="L131" i="1" s="1"/>
  <c r="I8" i="1"/>
  <c r="V346" i="23"/>
  <c r="X137" i="1" s="1"/>
  <c r="G8" i="1"/>
  <c r="V201" i="23"/>
  <c r="X131" i="1" s="1"/>
  <c r="U8" i="1"/>
  <c r="O2" i="1"/>
  <c r="L14" i="1"/>
  <c r="M346" i="23"/>
  <c r="O137" i="1" s="1"/>
  <c r="W230" i="23"/>
  <c r="Y132" i="1" s="1"/>
  <c r="S230" i="23"/>
  <c r="U132" i="1" s="1"/>
  <c r="AA114" i="23"/>
  <c r="AC127" i="1" s="1"/>
  <c r="O230" i="23"/>
  <c r="Q132" i="1" s="1"/>
  <c r="U114" i="23"/>
  <c r="W127" i="1" s="1"/>
  <c r="W114" i="23"/>
  <c r="Y127" i="1" s="1"/>
  <c r="T230" i="23"/>
  <c r="V132" i="1" s="1"/>
  <c r="Y2" i="1"/>
  <c r="Z114" i="23"/>
  <c r="AB127" i="1" s="1"/>
  <c r="K346" i="23"/>
  <c r="M137" i="1" s="1"/>
  <c r="W462" i="23"/>
  <c r="Y142" i="1" s="1"/>
  <c r="AA462" i="23"/>
  <c r="AC142" i="1" s="1"/>
  <c r="Z20" i="1"/>
  <c r="AC2" i="1"/>
  <c r="AD108" i="20"/>
  <c r="J462" i="23"/>
  <c r="L142" i="1" s="1"/>
  <c r="I20" i="1"/>
  <c r="AD2" i="1"/>
  <c r="AE108" i="20"/>
  <c r="T2" i="1"/>
  <c r="M20" i="1"/>
  <c r="V2" i="1"/>
  <c r="L20" i="1"/>
  <c r="X346" i="23"/>
  <c r="Z137" i="1" s="1"/>
  <c r="K114" i="23"/>
  <c r="M127" i="1" s="1"/>
  <c r="Y20" i="1"/>
  <c r="L2" i="1"/>
  <c r="R230" i="23"/>
  <c r="T132" i="1" s="1"/>
  <c r="V14" i="1"/>
  <c r="E20" i="1"/>
  <c r="V8" i="1"/>
  <c r="AA20" i="1"/>
  <c r="AB456" i="20"/>
  <c r="L230" i="23"/>
  <c r="N132" i="1" s="1"/>
  <c r="AB8" i="1"/>
  <c r="AC195" i="20"/>
  <c r="AB14" i="1"/>
  <c r="AC340" i="20"/>
  <c r="I14" i="1"/>
  <c r="N201" i="23"/>
  <c r="P131" i="1" s="1"/>
  <c r="M8" i="1"/>
  <c r="AA201" i="23"/>
  <c r="AC131" i="1" s="1"/>
  <c r="Y462" i="23"/>
  <c r="AA142" i="1" s="1"/>
  <c r="X20" i="1"/>
  <c r="K462" i="23"/>
  <c r="M142" i="1" s="1"/>
  <c r="J20" i="1"/>
  <c r="X230" i="23"/>
  <c r="Z132" i="1" s="1"/>
  <c r="J346" i="23"/>
  <c r="L137" i="1" s="1"/>
  <c r="V462" i="23"/>
  <c r="X142" i="1" s="1"/>
  <c r="R14" i="1"/>
  <c r="U346" i="23"/>
  <c r="W137" i="1" s="1"/>
  <c r="AC20" i="1"/>
  <c r="AD456" i="20"/>
  <c r="Q346" i="23"/>
  <c r="S137" i="1" s="1"/>
  <c r="G462" i="23"/>
  <c r="I142" i="1" s="1"/>
  <c r="G20" i="1"/>
  <c r="AB195" i="20"/>
  <c r="AA8" i="1"/>
  <c r="U2" i="1"/>
  <c r="AD20" i="1"/>
  <c r="AE456" i="20"/>
  <c r="F108" i="20"/>
  <c r="H179" i="1" s="1"/>
  <c r="E2" i="1"/>
  <c r="F114" i="23"/>
  <c r="H127" i="1" s="1"/>
  <c r="R462" i="23"/>
  <c r="T142" i="1" s="1"/>
  <c r="R346" i="23"/>
  <c r="T137" i="1" s="1"/>
  <c r="X201" i="23"/>
  <c r="Z131" i="1" s="1"/>
  <c r="W8" i="1"/>
  <c r="Q14" i="1"/>
  <c r="R8" i="1"/>
  <c r="H14" i="1"/>
  <c r="S20" i="1"/>
  <c r="M14" i="1"/>
  <c r="G230" i="23"/>
  <c r="I132" i="1" s="1"/>
  <c r="R2" i="1"/>
  <c r="K201" i="23"/>
  <c r="M131" i="1" s="1"/>
  <c r="J8" i="1"/>
  <c r="F340" i="20"/>
  <c r="H189" i="1" s="1"/>
  <c r="E14" i="1"/>
  <c r="U201" i="23"/>
  <c r="W131" i="1" s="1"/>
  <c r="Q462" i="23"/>
  <c r="S142" i="1" s="1"/>
  <c r="J14" i="1"/>
  <c r="T8" i="1"/>
  <c r="O462" i="23"/>
  <c r="Q142" i="1" s="1"/>
  <c r="P2" i="1"/>
  <c r="BF43" i="23" l="1"/>
  <c r="AK144" i="21"/>
  <c r="AK145" i="21" s="1"/>
  <c r="D9" i="1" s="1"/>
  <c r="D11" i="1" s="1"/>
  <c r="AJ112" i="23"/>
  <c r="BI72" i="23"/>
  <c r="BI90" i="23" s="1"/>
  <c r="BI108" i="23" s="1"/>
  <c r="AM44" i="23"/>
  <c r="G22" i="1" s="1"/>
  <c r="BC44" i="23"/>
  <c r="W22" i="1" s="1"/>
  <c r="AB203" i="21"/>
  <c r="BB40" i="23"/>
  <c r="V16" i="1" s="1"/>
  <c r="AN40" i="23"/>
  <c r="H16" i="1" s="1"/>
  <c r="AE319" i="21"/>
  <c r="AV35" i="23"/>
  <c r="AC203" i="21"/>
  <c r="AL36" i="23"/>
  <c r="AW36" i="23"/>
  <c r="AX35" i="23"/>
  <c r="AQ40" i="23"/>
  <c r="K16" i="1" s="1"/>
  <c r="BC36" i="23"/>
  <c r="BA35" i="23"/>
  <c r="AM35" i="23"/>
  <c r="AM36" i="23"/>
  <c r="AT40" i="23"/>
  <c r="N16" i="1" s="1"/>
  <c r="AT35" i="23"/>
  <c r="BE44" i="23"/>
  <c r="Y22" i="1" s="1"/>
  <c r="AR36" i="23"/>
  <c r="AY44" i="23"/>
  <c r="S22" i="1" s="1"/>
  <c r="BE35" i="23"/>
  <c r="AS40" i="23"/>
  <c r="M16" i="1" s="1"/>
  <c r="AN35" i="23"/>
  <c r="AQ36" i="23"/>
  <c r="AX36" i="23"/>
  <c r="AU36" i="23"/>
  <c r="BA36" i="23"/>
  <c r="AO36" i="23"/>
  <c r="AS35" i="23"/>
  <c r="BB35" i="23"/>
  <c r="AW35" i="23"/>
  <c r="AV36" i="23"/>
  <c r="AY36" i="23"/>
  <c r="AP36" i="23"/>
  <c r="AQ35" i="23"/>
  <c r="BC35" i="23"/>
  <c r="W10" i="1" s="1"/>
  <c r="BB36" i="23"/>
  <c r="AL35" i="23"/>
  <c r="F10" i="1" s="1"/>
  <c r="AY35" i="23"/>
  <c r="AS36" i="23"/>
  <c r="BF36" i="23"/>
  <c r="AR44" i="23"/>
  <c r="L22" i="1" s="1"/>
  <c r="AK40" i="23"/>
  <c r="E16" i="1" s="1"/>
  <c r="AR35" i="23"/>
  <c r="BD36" i="23"/>
  <c r="V179" i="20"/>
  <c r="U158" i="21"/>
  <c r="BA158" i="21" s="1"/>
  <c r="N72" i="20"/>
  <c r="M51" i="21"/>
  <c r="AS51" i="21" s="1"/>
  <c r="W91" i="20"/>
  <c r="V70" i="21"/>
  <c r="BB70" i="21" s="1"/>
  <c r="U238" i="20"/>
  <c r="T217" i="21"/>
  <c r="AZ217" i="21" s="1"/>
  <c r="P156" i="20"/>
  <c r="O135" i="21"/>
  <c r="AU135" i="21" s="1"/>
  <c r="L160" i="20"/>
  <c r="K139" i="21"/>
  <c r="AQ139" i="21" s="1"/>
  <c r="V208" i="20"/>
  <c r="U187" i="21"/>
  <c r="BA187" i="21" s="1"/>
  <c r="AB403" i="20"/>
  <c r="AA382" i="21"/>
  <c r="BG382" i="21" s="1"/>
  <c r="W118" i="20"/>
  <c r="V97" i="21"/>
  <c r="BB97" i="21" s="1"/>
  <c r="R212" i="20"/>
  <c r="Q191" i="21"/>
  <c r="AW191" i="21" s="1"/>
  <c r="J362" i="20"/>
  <c r="I341" i="21"/>
  <c r="AO341" i="21" s="1"/>
  <c r="AD430" i="20"/>
  <c r="AC409" i="21"/>
  <c r="BI409" i="21" s="1"/>
  <c r="N274" i="20"/>
  <c r="M253" i="21"/>
  <c r="AS253" i="21" s="1"/>
  <c r="Q271" i="20"/>
  <c r="P250" i="21"/>
  <c r="AV250" i="21" s="1"/>
  <c r="M474" i="20"/>
  <c r="L453" i="21"/>
  <c r="AR453" i="21" s="1"/>
  <c r="N473" i="20"/>
  <c r="M452" i="21"/>
  <c r="AS452" i="21" s="1"/>
  <c r="H223" i="20"/>
  <c r="G202" i="21"/>
  <c r="AM202" i="21" s="1"/>
  <c r="AM203" i="21" s="1"/>
  <c r="Z405" i="20"/>
  <c r="Y384" i="21"/>
  <c r="BE384" i="21" s="1"/>
  <c r="U209" i="20"/>
  <c r="T188" i="21"/>
  <c r="AZ188" i="21" s="1"/>
  <c r="I132" i="20"/>
  <c r="H111" i="21"/>
  <c r="AN111" i="21" s="1"/>
  <c r="K392" i="20"/>
  <c r="J371" i="21"/>
  <c r="AP371" i="21" s="1"/>
  <c r="AA203" i="20"/>
  <c r="Z182" i="21"/>
  <c r="BF182" i="21" s="1"/>
  <c r="L45" i="20"/>
  <c r="K24" i="21"/>
  <c r="AQ24" i="21" s="1"/>
  <c r="M304" i="20"/>
  <c r="L283" i="21"/>
  <c r="AR283" i="21" s="1"/>
  <c r="AB375" i="20"/>
  <c r="AA354" i="21"/>
  <c r="BG354" i="21" s="1"/>
  <c r="W207" i="20"/>
  <c r="V186" i="21"/>
  <c r="BB186" i="21" s="1"/>
  <c r="U410" i="20"/>
  <c r="T389" i="21"/>
  <c r="AZ389" i="21" s="1"/>
  <c r="N101" i="20"/>
  <c r="M80" i="21"/>
  <c r="AS80" i="21" s="1"/>
  <c r="H194" i="20"/>
  <c r="H195" i="20" s="1"/>
  <c r="J183" i="1" s="1"/>
  <c r="G173" i="21"/>
  <c r="AM173" i="21" s="1"/>
  <c r="AM174" i="21" s="1"/>
  <c r="O388" i="20"/>
  <c r="N367" i="21"/>
  <c r="AT367" i="21" s="1"/>
  <c r="P244" i="20"/>
  <c r="O223" i="21"/>
  <c r="AU223" i="21" s="1"/>
  <c r="T121" i="20"/>
  <c r="S100" i="21"/>
  <c r="AY100" i="21" s="1"/>
  <c r="AA376" i="20"/>
  <c r="Z355" i="21"/>
  <c r="BF355" i="21" s="1"/>
  <c r="Y89" i="20"/>
  <c r="X68" i="21"/>
  <c r="BD68" i="21" s="1"/>
  <c r="S95" i="20"/>
  <c r="R74" i="21"/>
  <c r="AX74" i="21" s="1"/>
  <c r="U295" i="20"/>
  <c r="T274" i="21"/>
  <c r="AZ274" i="21" s="1"/>
  <c r="AB317" i="20"/>
  <c r="AA296" i="21"/>
  <c r="BG296" i="21" s="1"/>
  <c r="Z319" i="20"/>
  <c r="Y298" i="21"/>
  <c r="BE298" i="21" s="1"/>
  <c r="Z461" i="20"/>
  <c r="Y440" i="21"/>
  <c r="BE440" i="21" s="1"/>
  <c r="AD229" i="20"/>
  <c r="AC208" i="21"/>
  <c r="BI208" i="21" s="1"/>
  <c r="Q69" i="20"/>
  <c r="P48" i="21"/>
  <c r="AV48" i="21" s="1"/>
  <c r="W322" i="20"/>
  <c r="V301" i="21"/>
  <c r="BB301" i="21" s="1"/>
  <c r="Y60" i="20"/>
  <c r="X39" i="21"/>
  <c r="BD39" i="21" s="1"/>
  <c r="H280" i="20"/>
  <c r="G259" i="21"/>
  <c r="AM259" i="21" s="1"/>
  <c r="D368" i="20"/>
  <c r="D369" i="20" s="1"/>
  <c r="F190" i="1" s="1"/>
  <c r="C484" i="20"/>
  <c r="C347" i="21"/>
  <c r="AI347" i="21" s="1"/>
  <c r="AI348" i="21" s="1"/>
  <c r="C369" i="20"/>
  <c r="E190" i="1" s="1"/>
  <c r="O472" i="20"/>
  <c r="N451" i="21"/>
  <c r="AT451" i="21" s="1"/>
  <c r="J451" i="20"/>
  <c r="I430" i="21"/>
  <c r="AO430" i="21" s="1"/>
  <c r="J250" i="20"/>
  <c r="I229" i="21"/>
  <c r="AO229" i="21" s="1"/>
  <c r="Q470" i="20"/>
  <c r="P449" i="21"/>
  <c r="AV449" i="21" s="1"/>
  <c r="L360" i="20"/>
  <c r="K339" i="21"/>
  <c r="AQ339" i="21" s="1"/>
  <c r="R241" i="20"/>
  <c r="Q220" i="21"/>
  <c r="AW220" i="21" s="1"/>
  <c r="H395" i="20"/>
  <c r="G374" i="21"/>
  <c r="AM374" i="21" s="1"/>
  <c r="Q355" i="20"/>
  <c r="P334" i="21"/>
  <c r="AV334" i="21" s="1"/>
  <c r="O446" i="20"/>
  <c r="N425" i="21"/>
  <c r="AT425" i="21" s="1"/>
  <c r="H107" i="20"/>
  <c r="G86" i="21"/>
  <c r="AM86" i="21" s="1"/>
  <c r="AM87" i="21" s="1"/>
  <c r="R270" i="20"/>
  <c r="Q249" i="21"/>
  <c r="AW249" i="21" s="1"/>
  <c r="L305" i="20"/>
  <c r="K284" i="21"/>
  <c r="AQ284" i="21" s="1"/>
  <c r="X264" i="20"/>
  <c r="W243" i="21"/>
  <c r="BC243" i="21" s="1"/>
  <c r="Q328" i="20"/>
  <c r="P307" i="21"/>
  <c r="AV307" i="21" s="1"/>
  <c r="R385" i="20"/>
  <c r="Q364" i="21"/>
  <c r="AW364" i="21" s="1"/>
  <c r="P330" i="20"/>
  <c r="O309" i="21"/>
  <c r="AU309" i="21" s="1"/>
  <c r="T152" i="20"/>
  <c r="S131" i="21"/>
  <c r="AY131" i="21" s="1"/>
  <c r="Q299" i="20"/>
  <c r="P278" i="21"/>
  <c r="AV278" i="21" s="1"/>
  <c r="E482" i="20"/>
  <c r="D461" i="21"/>
  <c r="AJ461" i="21" s="1"/>
  <c r="O187" i="20"/>
  <c r="N166" i="21"/>
  <c r="AT166" i="21" s="1"/>
  <c r="T383" i="20"/>
  <c r="S362" i="21"/>
  <c r="AY362" i="21" s="1"/>
  <c r="O331" i="20"/>
  <c r="N310" i="21"/>
  <c r="AT310" i="21" s="1"/>
  <c r="S153" i="20"/>
  <c r="R132" i="21"/>
  <c r="AX132" i="21" s="1"/>
  <c r="V350" i="20"/>
  <c r="U329" i="21"/>
  <c r="BA329" i="21" s="1"/>
  <c r="AC316" i="20"/>
  <c r="AB295" i="21"/>
  <c r="BH295" i="21" s="1"/>
  <c r="K130" i="20"/>
  <c r="J109" i="21"/>
  <c r="AP109" i="21" s="1"/>
  <c r="Z233" i="20"/>
  <c r="Y212" i="21"/>
  <c r="BE212" i="21" s="1"/>
  <c r="P41" i="20"/>
  <c r="O20" i="21"/>
  <c r="AU20" i="21" s="1"/>
  <c r="F180" i="1"/>
  <c r="D116" i="21"/>
  <c r="AI69" i="23"/>
  <c r="AI87" i="23" s="1"/>
  <c r="AI105" i="23" s="1"/>
  <c r="L103" i="20"/>
  <c r="K82" i="21"/>
  <c r="AQ82" i="21" s="1"/>
  <c r="U120" i="20"/>
  <c r="T99" i="21"/>
  <c r="AZ99" i="21" s="1"/>
  <c r="V438" i="20"/>
  <c r="U417" i="21"/>
  <c r="BA417" i="21" s="1"/>
  <c r="X407" i="20"/>
  <c r="W386" i="21"/>
  <c r="BC386" i="21" s="1"/>
  <c r="K220" i="20"/>
  <c r="J199" i="21"/>
  <c r="AP199" i="21" s="1"/>
  <c r="AA114" i="20"/>
  <c r="Z93" i="21"/>
  <c r="BF93" i="21" s="1"/>
  <c r="S182" i="20"/>
  <c r="R161" i="21"/>
  <c r="AX161" i="21" s="1"/>
  <c r="J105" i="20"/>
  <c r="I84" i="21"/>
  <c r="AO84" i="21" s="1"/>
  <c r="AA232" i="20"/>
  <c r="Z211" i="21"/>
  <c r="BF211" i="21" s="1"/>
  <c r="AC201" i="20"/>
  <c r="AB180" i="21"/>
  <c r="BH180" i="21" s="1"/>
  <c r="M128" i="20"/>
  <c r="L107" i="21"/>
  <c r="AR107" i="21" s="1"/>
  <c r="Y234" i="20"/>
  <c r="X213" i="21"/>
  <c r="BD213" i="21" s="1"/>
  <c r="T210" i="20"/>
  <c r="S189" i="21"/>
  <c r="AY189" i="21" s="1"/>
  <c r="J393" i="20"/>
  <c r="I372" i="21"/>
  <c r="AO372" i="21" s="1"/>
  <c r="M247" i="20"/>
  <c r="L226" i="21"/>
  <c r="AR226" i="21" s="1"/>
  <c r="AB86" i="20"/>
  <c r="AA65" i="21"/>
  <c r="BG65" i="21" s="1"/>
  <c r="I478" i="20"/>
  <c r="H457" i="21"/>
  <c r="AN457" i="21" s="1"/>
  <c r="W380" i="20"/>
  <c r="V359" i="21"/>
  <c r="BB359" i="21" s="1"/>
  <c r="R183" i="20"/>
  <c r="Q162" i="21"/>
  <c r="AW162" i="21" s="1"/>
  <c r="AA289" i="20"/>
  <c r="Z268" i="21"/>
  <c r="BF268" i="21" s="1"/>
  <c r="I337" i="20"/>
  <c r="H316" i="21"/>
  <c r="AN316" i="21" s="1"/>
  <c r="H309" i="20"/>
  <c r="G288" i="21"/>
  <c r="AM288" i="21" s="1"/>
  <c r="AC374" i="20"/>
  <c r="AB353" i="21"/>
  <c r="BH353" i="21" s="1"/>
  <c r="H453" i="20"/>
  <c r="G432" i="21"/>
  <c r="AM432" i="21" s="1"/>
  <c r="S468" i="20"/>
  <c r="R447" i="21"/>
  <c r="AX447" i="21" s="1"/>
  <c r="F426" i="20"/>
  <c r="F427" i="20" s="1"/>
  <c r="H193" i="1" s="1"/>
  <c r="E405" i="21"/>
  <c r="AK405" i="21" s="1"/>
  <c r="AK406" i="21" s="1"/>
  <c r="T37" i="20"/>
  <c r="S16" i="21"/>
  <c r="AY16" i="21" s="1"/>
  <c r="R354" i="20"/>
  <c r="Q333" i="21"/>
  <c r="AW333" i="21" s="1"/>
  <c r="Z146" i="20"/>
  <c r="Y125" i="21"/>
  <c r="BE125" i="21" s="1"/>
  <c r="W149" i="20"/>
  <c r="V128" i="21"/>
  <c r="BB128" i="21" s="1"/>
  <c r="N158" i="20"/>
  <c r="M137" i="21"/>
  <c r="AS137" i="21" s="1"/>
  <c r="N418" i="20"/>
  <c r="M397" i="21"/>
  <c r="AS397" i="21" s="1"/>
  <c r="L219" i="20"/>
  <c r="K198" i="21"/>
  <c r="AQ198" i="21" s="1"/>
  <c r="L334" i="20"/>
  <c r="K313" i="21"/>
  <c r="AQ313" i="21" s="1"/>
  <c r="Y116" i="20"/>
  <c r="X95" i="21"/>
  <c r="BD95" i="21" s="1"/>
  <c r="R413" i="20"/>
  <c r="Q392" i="21"/>
  <c r="AW392" i="21" s="1"/>
  <c r="O100" i="20"/>
  <c r="N79" i="21"/>
  <c r="AT79" i="21" s="1"/>
  <c r="G396" i="20"/>
  <c r="F375" i="21"/>
  <c r="AL375" i="21" s="1"/>
  <c r="AB144" i="20"/>
  <c r="AA123" i="21"/>
  <c r="BG123" i="21" s="1"/>
  <c r="AC259" i="20"/>
  <c r="AB238" i="21"/>
  <c r="BH238" i="21" s="1"/>
  <c r="I279" i="20"/>
  <c r="H258" i="21"/>
  <c r="AN258" i="21" s="1"/>
  <c r="P186" i="20"/>
  <c r="O165" i="21"/>
  <c r="AU165" i="21" s="1"/>
  <c r="O417" i="20"/>
  <c r="N396" i="21"/>
  <c r="AT396" i="21" s="1"/>
  <c r="AB260" i="20"/>
  <c r="AA239" i="21"/>
  <c r="BG239" i="21" s="1"/>
  <c r="Q443" i="20"/>
  <c r="P422" i="21"/>
  <c r="AV422" i="21" s="1"/>
  <c r="AA318" i="20"/>
  <c r="Z297" i="21"/>
  <c r="BF297" i="21" s="1"/>
  <c r="R96" i="20"/>
  <c r="Q75" i="21"/>
  <c r="AW75" i="21" s="1"/>
  <c r="K450" i="20"/>
  <c r="J429" i="21"/>
  <c r="AP429" i="21" s="1"/>
  <c r="P471" i="20"/>
  <c r="O450" i="21"/>
  <c r="AU450" i="21" s="1"/>
  <c r="Q40" i="20"/>
  <c r="P19" i="21"/>
  <c r="AV19" i="21" s="1"/>
  <c r="AE26" i="20"/>
  <c r="AE5" i="21" s="1"/>
  <c r="BK5" i="21" s="1"/>
  <c r="AD5" i="21"/>
  <c r="BJ5" i="21" s="1"/>
  <c r="V63" i="20"/>
  <c r="U42" i="21"/>
  <c r="BA42" i="21" s="1"/>
  <c r="AC287" i="20"/>
  <c r="AB266" i="21"/>
  <c r="BH266" i="21" s="1"/>
  <c r="U351" i="20"/>
  <c r="T330" i="21"/>
  <c r="AZ330" i="21" s="1"/>
  <c r="G165" i="20"/>
  <c r="F144" i="21"/>
  <c r="F166" i="20"/>
  <c r="H182" i="1" s="1"/>
  <c r="Y32" i="20"/>
  <c r="X11" i="21"/>
  <c r="BD11" i="21" s="1"/>
  <c r="AC85" i="20"/>
  <c r="AB64" i="21"/>
  <c r="BH64" i="21" s="1"/>
  <c r="AE314" i="20"/>
  <c r="AE293" i="21" s="1"/>
  <c r="BK293" i="21" s="1"/>
  <c r="AD293" i="21"/>
  <c r="BJ293" i="21" s="1"/>
  <c r="T65" i="20"/>
  <c r="S44" i="21"/>
  <c r="AY44" i="21" s="1"/>
  <c r="M333" i="20"/>
  <c r="L312" i="21"/>
  <c r="AR312" i="21" s="1"/>
  <c r="W34" i="20"/>
  <c r="V13" i="21"/>
  <c r="BB13" i="21" s="1"/>
  <c r="U151" i="20"/>
  <c r="T130" i="21"/>
  <c r="AZ130" i="21" s="1"/>
  <c r="I222" i="20"/>
  <c r="H201" i="21"/>
  <c r="AN201" i="21" s="1"/>
  <c r="I394" i="20"/>
  <c r="H373" i="21"/>
  <c r="AN373" i="21" s="1"/>
  <c r="T440" i="20"/>
  <c r="S419" i="21"/>
  <c r="AY419" i="21" s="1"/>
  <c r="N43" i="20"/>
  <c r="M22" i="21"/>
  <c r="AS22" i="21" s="1"/>
  <c r="X379" i="20"/>
  <c r="W358" i="21"/>
  <c r="BC358" i="21" s="1"/>
  <c r="L475" i="20"/>
  <c r="K454" i="21"/>
  <c r="AQ454" i="21" s="1"/>
  <c r="M159" i="20"/>
  <c r="L138" i="21"/>
  <c r="AR138" i="21" s="1"/>
  <c r="AB113" i="20"/>
  <c r="AA92" i="21"/>
  <c r="BG92" i="21" s="1"/>
  <c r="Q214" i="20"/>
  <c r="P193" i="21"/>
  <c r="AV193" i="21" s="1"/>
  <c r="Q386" i="20"/>
  <c r="P365" i="21"/>
  <c r="AV365" i="21" s="1"/>
  <c r="AD111" i="20"/>
  <c r="AC90" i="21"/>
  <c r="BI90" i="21" s="1"/>
  <c r="AD84" i="20"/>
  <c r="AC63" i="21"/>
  <c r="BI63" i="21" s="1"/>
  <c r="G425" i="20"/>
  <c r="F404" i="21"/>
  <c r="AL404" i="21" s="1"/>
  <c r="T411" i="20"/>
  <c r="S390" i="21"/>
  <c r="AY390" i="21" s="1"/>
  <c r="AB29" i="20"/>
  <c r="AA8" i="21"/>
  <c r="BG8" i="21" s="1"/>
  <c r="L190" i="20"/>
  <c r="K169" i="21"/>
  <c r="AQ169" i="21" s="1"/>
  <c r="P70" i="20"/>
  <c r="O49" i="21"/>
  <c r="AU49" i="21" s="1"/>
  <c r="AE285" i="20"/>
  <c r="AE264" i="21" s="1"/>
  <c r="BK264" i="21" s="1"/>
  <c r="AD264" i="21"/>
  <c r="BJ264" i="21" s="1"/>
  <c r="H479" i="20"/>
  <c r="G458" i="21"/>
  <c r="AM458" i="21" s="1"/>
  <c r="AB432" i="20"/>
  <c r="AA411" i="21"/>
  <c r="BG411" i="21" s="1"/>
  <c r="I77" i="20"/>
  <c r="H56" i="21"/>
  <c r="AN56" i="21" s="1"/>
  <c r="M44" i="20"/>
  <c r="L23" i="21"/>
  <c r="AR23" i="21" s="1"/>
  <c r="AB231" i="20"/>
  <c r="AA210" i="21"/>
  <c r="BG210" i="21" s="1"/>
  <c r="F232" i="21"/>
  <c r="AK73" i="23"/>
  <c r="AK91" i="23" s="1"/>
  <c r="AK109" i="23" s="1"/>
  <c r="E180" i="1"/>
  <c r="AH69" i="23"/>
  <c r="AH87" i="23" s="1"/>
  <c r="AH105" i="23" s="1"/>
  <c r="C116" i="21"/>
  <c r="L129" i="20"/>
  <c r="K108" i="21"/>
  <c r="AQ108" i="21" s="1"/>
  <c r="T239" i="20"/>
  <c r="S218" i="21"/>
  <c r="AY218" i="21" s="1"/>
  <c r="S441" i="20"/>
  <c r="R420" i="21"/>
  <c r="AX420" i="21" s="1"/>
  <c r="AE83" i="20"/>
  <c r="AE62" i="21" s="1"/>
  <c r="BK62" i="21" s="1"/>
  <c r="AD62" i="21"/>
  <c r="BJ62" i="21" s="1"/>
  <c r="H338" i="20"/>
  <c r="G317" i="21"/>
  <c r="AM317" i="21" s="1"/>
  <c r="F455" i="20"/>
  <c r="E434" i="21"/>
  <c r="AK434" i="21" s="1"/>
  <c r="AK435" i="21" s="1"/>
  <c r="F135" i="20"/>
  <c r="E114" i="21"/>
  <c r="AK114" i="21" s="1"/>
  <c r="U267" i="20"/>
  <c r="T246" i="21"/>
  <c r="AZ246" i="21" s="1"/>
  <c r="M189" i="20"/>
  <c r="L168" i="21"/>
  <c r="AR168" i="21" s="1"/>
  <c r="AC230" i="20"/>
  <c r="AB209" i="21"/>
  <c r="BH209" i="21" s="1"/>
  <c r="S326" i="20"/>
  <c r="R305" i="21"/>
  <c r="AX305" i="21" s="1"/>
  <c r="O157" i="20"/>
  <c r="N136" i="21"/>
  <c r="AT136" i="21" s="1"/>
  <c r="W178" i="20"/>
  <c r="V157" i="21"/>
  <c r="BB157" i="21" s="1"/>
  <c r="AA460" i="20"/>
  <c r="Z439" i="21"/>
  <c r="BF439" i="21" s="1"/>
  <c r="L276" i="20"/>
  <c r="K255" i="21"/>
  <c r="AQ255" i="21" s="1"/>
  <c r="AC28" i="20"/>
  <c r="AB7" i="21"/>
  <c r="BH7" i="21" s="1"/>
  <c r="W62" i="20"/>
  <c r="V41" i="21"/>
  <c r="BB41" i="21" s="1"/>
  <c r="N217" i="20"/>
  <c r="M196" i="21"/>
  <c r="AS196" i="21" s="1"/>
  <c r="X292" i="20"/>
  <c r="W271" i="21"/>
  <c r="BC271" i="21" s="1"/>
  <c r="X206" i="20"/>
  <c r="W185" i="21"/>
  <c r="BC185" i="21" s="1"/>
  <c r="H49" i="20"/>
  <c r="G28" i="21"/>
  <c r="AM28" i="21" s="1"/>
  <c r="AC402" i="20"/>
  <c r="AB381" i="21"/>
  <c r="BH381" i="21" s="1"/>
  <c r="U36" i="20"/>
  <c r="T15" i="21"/>
  <c r="AZ15" i="21" s="1"/>
  <c r="P301" i="20"/>
  <c r="O280" i="21"/>
  <c r="AU280" i="21" s="1"/>
  <c r="X235" i="20"/>
  <c r="W214" i="21"/>
  <c r="BC214" i="21" s="1"/>
  <c r="AC431" i="20"/>
  <c r="AB410" i="21"/>
  <c r="BH410" i="21" s="1"/>
  <c r="Q243" i="20"/>
  <c r="P222" i="21"/>
  <c r="AV222" i="21" s="1"/>
  <c r="G310" i="20"/>
  <c r="G311" i="20" s="1"/>
  <c r="I188" i="1" s="1"/>
  <c r="F289" i="21"/>
  <c r="AL289" i="21" s="1"/>
  <c r="AL290" i="21" s="1"/>
  <c r="F311" i="20"/>
  <c r="H188" i="1" s="1"/>
  <c r="O273" i="20"/>
  <c r="N252" i="21"/>
  <c r="AT252" i="21" s="1"/>
  <c r="AC112" i="20"/>
  <c r="AB91" i="21"/>
  <c r="BH91" i="21" s="1"/>
  <c r="V150" i="20"/>
  <c r="U129" i="21"/>
  <c r="BA129" i="21" s="1"/>
  <c r="K361" i="20"/>
  <c r="J340" i="21"/>
  <c r="AP340" i="21" s="1"/>
  <c r="P300" i="20"/>
  <c r="O279" i="21"/>
  <c r="AU279" i="21" s="1"/>
  <c r="I308" i="20"/>
  <c r="H287" i="21"/>
  <c r="AN287" i="21" s="1"/>
  <c r="V35" i="20"/>
  <c r="U14" i="21"/>
  <c r="BA14" i="21" s="1"/>
  <c r="S38" i="20"/>
  <c r="R17" i="21"/>
  <c r="AX17" i="21" s="1"/>
  <c r="T467" i="20"/>
  <c r="S446" i="21"/>
  <c r="AY446" i="21" s="1"/>
  <c r="Y435" i="20"/>
  <c r="X414" i="21"/>
  <c r="BD414" i="21" s="1"/>
  <c r="AB288" i="20"/>
  <c r="AA267" i="21"/>
  <c r="BG267" i="21" s="1"/>
  <c r="V323" i="20"/>
  <c r="U302" i="21"/>
  <c r="BA302" i="21" s="1"/>
  <c r="AB459" i="20"/>
  <c r="AA438" i="21"/>
  <c r="BG438" i="21" s="1"/>
  <c r="X61" i="20"/>
  <c r="W40" i="21"/>
  <c r="BC40" i="21" s="1"/>
  <c r="X348" i="20"/>
  <c r="W327" i="21"/>
  <c r="BC327" i="21" s="1"/>
  <c r="Z204" i="20"/>
  <c r="Y183" i="21"/>
  <c r="BE183" i="21" s="1"/>
  <c r="AD27" i="20"/>
  <c r="AC6" i="21"/>
  <c r="BI6" i="21" s="1"/>
  <c r="Y347" i="20"/>
  <c r="X326" i="21"/>
  <c r="BD326" i="21" s="1"/>
  <c r="AD258" i="20"/>
  <c r="AC237" i="21"/>
  <c r="BI237" i="21" s="1"/>
  <c r="G224" i="20"/>
  <c r="I184" i="1" s="1"/>
  <c r="H364" i="20"/>
  <c r="G343" i="21"/>
  <c r="AM343" i="21" s="1"/>
  <c r="X90" i="20"/>
  <c r="W69" i="21"/>
  <c r="BC69" i="21" s="1"/>
  <c r="M359" i="20"/>
  <c r="L338" i="21"/>
  <c r="AR338" i="21" s="1"/>
  <c r="X463" i="20"/>
  <c r="W442" i="21"/>
  <c r="BC442" i="21" s="1"/>
  <c r="P272" i="20"/>
  <c r="O251" i="21"/>
  <c r="AU251" i="21" s="1"/>
  <c r="AJ70" i="23"/>
  <c r="AJ88" i="23" s="1"/>
  <c r="AJ106" i="23" s="1"/>
  <c r="E145" i="21"/>
  <c r="AA58" i="20"/>
  <c r="Z37" i="21"/>
  <c r="BF37" i="21" s="1"/>
  <c r="Z115" i="20"/>
  <c r="Y94" i="21"/>
  <c r="BE94" i="21" s="1"/>
  <c r="G365" i="20"/>
  <c r="F344" i="21"/>
  <c r="AL344" i="21" s="1"/>
  <c r="AD401" i="20"/>
  <c r="AC380" i="21"/>
  <c r="BI380" i="21" s="1"/>
  <c r="J131" i="20"/>
  <c r="I110" i="21"/>
  <c r="AO110" i="21" s="1"/>
  <c r="G339" i="20"/>
  <c r="F318" i="21"/>
  <c r="AL318" i="21" s="1"/>
  <c r="AL319" i="21" s="1"/>
  <c r="F366" i="20"/>
  <c r="E345" i="21"/>
  <c r="AK345" i="21" s="1"/>
  <c r="AA145" i="20"/>
  <c r="Z124" i="21"/>
  <c r="BF124" i="21" s="1"/>
  <c r="N389" i="20"/>
  <c r="M368" i="21"/>
  <c r="AS368" i="21" s="1"/>
  <c r="O126" i="20"/>
  <c r="N105" i="21"/>
  <c r="AT105" i="21" s="1"/>
  <c r="S384" i="20"/>
  <c r="R363" i="21"/>
  <c r="AX363" i="21" s="1"/>
  <c r="K249" i="20"/>
  <c r="J228" i="21"/>
  <c r="AP228" i="21" s="1"/>
  <c r="AC343" i="20"/>
  <c r="AB322" i="21"/>
  <c r="BH322" i="21" s="1"/>
  <c r="W293" i="20"/>
  <c r="V272" i="21"/>
  <c r="BB272" i="21" s="1"/>
  <c r="Y462" i="20"/>
  <c r="X441" i="21"/>
  <c r="BD441" i="21" s="1"/>
  <c r="W265" i="20"/>
  <c r="V244" i="21"/>
  <c r="BB244" i="21" s="1"/>
  <c r="L449" i="20"/>
  <c r="K428" i="21"/>
  <c r="AQ428" i="21" s="1"/>
  <c r="J221" i="20"/>
  <c r="I200" i="21"/>
  <c r="AO200" i="21" s="1"/>
  <c r="Q185" i="20"/>
  <c r="P164" i="21"/>
  <c r="AV164" i="21" s="1"/>
  <c r="L248" i="20"/>
  <c r="K227" i="21"/>
  <c r="AQ227" i="21" s="1"/>
  <c r="AD171" i="20"/>
  <c r="AC150" i="21"/>
  <c r="BI150" i="21" s="1"/>
  <c r="Q124" i="20"/>
  <c r="P103" i="21"/>
  <c r="AV103" i="21" s="1"/>
  <c r="X117" i="20"/>
  <c r="W96" i="21"/>
  <c r="BC96" i="21" s="1"/>
  <c r="S240" i="20"/>
  <c r="R219" i="21"/>
  <c r="AX219" i="21" s="1"/>
  <c r="V409" i="20"/>
  <c r="U388" i="21"/>
  <c r="BA388" i="21" s="1"/>
  <c r="D483" i="20"/>
  <c r="C462" i="21"/>
  <c r="AI462" i="21" s="1"/>
  <c r="N246" i="20"/>
  <c r="M225" i="21"/>
  <c r="AS225" i="21" s="1"/>
  <c r="O445" i="20"/>
  <c r="N424" i="21"/>
  <c r="AT424" i="21" s="1"/>
  <c r="G281" i="20"/>
  <c r="F260" i="21"/>
  <c r="AL260" i="21" s="1"/>
  <c r="AD142" i="20"/>
  <c r="AC121" i="21"/>
  <c r="BI121" i="21" s="1"/>
  <c r="J422" i="20"/>
  <c r="I401" i="21"/>
  <c r="AO401" i="21" s="1"/>
  <c r="AA404" i="20"/>
  <c r="Z383" i="21"/>
  <c r="BF383" i="21" s="1"/>
  <c r="Y147" i="20"/>
  <c r="X126" i="21"/>
  <c r="BD126" i="21" s="1"/>
  <c r="S353" i="20"/>
  <c r="R332" i="21"/>
  <c r="AX332" i="21" s="1"/>
  <c r="AE257" i="20"/>
  <c r="AE236" i="21" s="1"/>
  <c r="BK236" i="21" s="1"/>
  <c r="AD236" i="21"/>
  <c r="BJ236" i="21" s="1"/>
  <c r="N303" i="20"/>
  <c r="M282" i="21"/>
  <c r="AS282" i="21" s="1"/>
  <c r="Z434" i="20"/>
  <c r="Y413" i="21"/>
  <c r="BE413" i="21" s="1"/>
  <c r="K421" i="20"/>
  <c r="J400" i="21"/>
  <c r="AP400" i="21" s="1"/>
  <c r="X148" i="20"/>
  <c r="W127" i="21"/>
  <c r="BC127" i="21" s="1"/>
  <c r="AC172" i="20"/>
  <c r="AB151" i="21"/>
  <c r="BH151" i="21" s="1"/>
  <c r="N358" i="20"/>
  <c r="M337" i="21"/>
  <c r="AS337" i="21" s="1"/>
  <c r="I452" i="20"/>
  <c r="H431" i="21"/>
  <c r="AN431" i="21" s="1"/>
  <c r="E290" i="21"/>
  <c r="AJ75" i="23"/>
  <c r="AJ93" i="23" s="1"/>
  <c r="AJ111" i="23" s="1"/>
  <c r="F174" i="21"/>
  <c r="AK71" i="23"/>
  <c r="AK89" i="23" s="1"/>
  <c r="AK107" i="23" s="1"/>
  <c r="U382" i="20"/>
  <c r="T361" i="21"/>
  <c r="AZ361" i="21" s="1"/>
  <c r="N188" i="20"/>
  <c r="M167" i="21"/>
  <c r="AS167" i="21" s="1"/>
  <c r="Y378" i="20"/>
  <c r="X357" i="21"/>
  <c r="BD357" i="21" s="1"/>
  <c r="AD200" i="20"/>
  <c r="AC179" i="21"/>
  <c r="BI179" i="21" s="1"/>
  <c r="AB202" i="20"/>
  <c r="AA181" i="21"/>
  <c r="BG181" i="21" s="1"/>
  <c r="P215" i="20"/>
  <c r="O194" i="21"/>
  <c r="AU194" i="21" s="1"/>
  <c r="M73" i="20"/>
  <c r="L52" i="21"/>
  <c r="AR52" i="21" s="1"/>
  <c r="O42" i="20"/>
  <c r="N21" i="21"/>
  <c r="AT21" i="21" s="1"/>
  <c r="S269" i="20"/>
  <c r="R248" i="21"/>
  <c r="AX248" i="21" s="1"/>
  <c r="AA87" i="20"/>
  <c r="Z66" i="21"/>
  <c r="BF66" i="21" s="1"/>
  <c r="V119" i="20"/>
  <c r="U98" i="21"/>
  <c r="BA98" i="21" s="1"/>
  <c r="K277" i="20"/>
  <c r="J256" i="21"/>
  <c r="AP256" i="21" s="1"/>
  <c r="T352" i="20"/>
  <c r="S331" i="21"/>
  <c r="AY331" i="21" s="1"/>
  <c r="Y406" i="20"/>
  <c r="X385" i="21"/>
  <c r="BD385" i="21" s="1"/>
  <c r="J307" i="20"/>
  <c r="I286" i="21"/>
  <c r="AO286" i="21" s="1"/>
  <c r="K46" i="20"/>
  <c r="J25" i="21"/>
  <c r="AP25" i="21" s="1"/>
  <c r="L391" i="20"/>
  <c r="K370" i="21"/>
  <c r="AQ370" i="21" s="1"/>
  <c r="O357" i="20"/>
  <c r="N336" i="21"/>
  <c r="AT336" i="21" s="1"/>
  <c r="V92" i="20"/>
  <c r="U71" i="21"/>
  <c r="BA71" i="21" s="1"/>
  <c r="I251" i="20"/>
  <c r="H230" i="21"/>
  <c r="AN230" i="21" s="1"/>
  <c r="K161" i="20"/>
  <c r="J140" i="21"/>
  <c r="AP140" i="21" s="1"/>
  <c r="P415" i="20"/>
  <c r="O394" i="21"/>
  <c r="AU394" i="21" s="1"/>
  <c r="AD286" i="20"/>
  <c r="AC265" i="21"/>
  <c r="BI265" i="21" s="1"/>
  <c r="Z377" i="20"/>
  <c r="Y356" i="21"/>
  <c r="BE356" i="21" s="1"/>
  <c r="I423" i="20"/>
  <c r="H402" i="21"/>
  <c r="AN402" i="21" s="1"/>
  <c r="AE141" i="20"/>
  <c r="AE120" i="21" s="1"/>
  <c r="BK120" i="21" s="1"/>
  <c r="AD120" i="21"/>
  <c r="BJ120" i="21" s="1"/>
  <c r="P387" i="20"/>
  <c r="O366" i="21"/>
  <c r="AU366" i="21" s="1"/>
  <c r="M419" i="20"/>
  <c r="L398" i="21"/>
  <c r="AR398" i="21" s="1"/>
  <c r="M218" i="20"/>
  <c r="L197" i="21"/>
  <c r="AR197" i="21" s="1"/>
  <c r="X177" i="20"/>
  <c r="W156" i="21"/>
  <c r="BC156" i="21" s="1"/>
  <c r="AE199" i="20"/>
  <c r="AE178" i="21" s="1"/>
  <c r="BK178" i="21" s="1"/>
  <c r="AD178" i="21"/>
  <c r="BJ178" i="21" s="1"/>
  <c r="M275" i="20"/>
  <c r="L254" i="21"/>
  <c r="AR254" i="21" s="1"/>
  <c r="J192" i="20"/>
  <c r="I171" i="21"/>
  <c r="AO171" i="21" s="1"/>
  <c r="U180" i="20"/>
  <c r="T159" i="21"/>
  <c r="AZ159" i="21" s="1"/>
  <c r="AB344" i="20"/>
  <c r="AA323" i="21"/>
  <c r="BG323" i="21" s="1"/>
  <c r="J336" i="20"/>
  <c r="I315" i="21"/>
  <c r="AO315" i="21" s="1"/>
  <c r="U466" i="20"/>
  <c r="T445" i="21"/>
  <c r="AZ445" i="21" s="1"/>
  <c r="Q242" i="20"/>
  <c r="P221" i="21"/>
  <c r="AV221" i="21" s="1"/>
  <c r="Z59" i="20"/>
  <c r="Y38" i="21"/>
  <c r="BE38" i="21" s="1"/>
  <c r="H133" i="20"/>
  <c r="G112" i="21"/>
  <c r="AM112" i="21" s="1"/>
  <c r="H424" i="20"/>
  <c r="G403" i="21"/>
  <c r="AM403" i="21" s="1"/>
  <c r="X436" i="20"/>
  <c r="W415" i="21"/>
  <c r="BC415" i="21" s="1"/>
  <c r="Y263" i="20"/>
  <c r="X242" i="21"/>
  <c r="BD242" i="21" s="1"/>
  <c r="J76" i="20"/>
  <c r="I55" i="21"/>
  <c r="AO55" i="21" s="1"/>
  <c r="R469" i="20"/>
  <c r="Q448" i="21"/>
  <c r="AW448" i="21" s="1"/>
  <c r="U439" i="20"/>
  <c r="T418" i="21"/>
  <c r="AZ418" i="21" s="1"/>
  <c r="W408" i="20"/>
  <c r="V387" i="21"/>
  <c r="BB387" i="21" s="1"/>
  <c r="AB173" i="20"/>
  <c r="AA152" i="21"/>
  <c r="BG152" i="21" s="1"/>
  <c r="AE170" i="20"/>
  <c r="AE149" i="21" s="1"/>
  <c r="BK149" i="21" s="1"/>
  <c r="AD149" i="21"/>
  <c r="BJ149" i="21" s="1"/>
  <c r="Z262" i="20"/>
  <c r="Y241" i="21"/>
  <c r="BE241" i="21" s="1"/>
  <c r="V465" i="20"/>
  <c r="U444" i="21"/>
  <c r="BA444" i="21" s="1"/>
  <c r="N332" i="20"/>
  <c r="M311" i="21"/>
  <c r="AS311" i="21" s="1"/>
  <c r="S412" i="20"/>
  <c r="R391" i="21"/>
  <c r="AX391" i="21" s="1"/>
  <c r="AE228" i="20"/>
  <c r="AE207" i="21" s="1"/>
  <c r="BK207" i="21" s="1"/>
  <c r="AD207" i="21"/>
  <c r="BJ207" i="21" s="1"/>
  <c r="T325" i="20"/>
  <c r="S304" i="21"/>
  <c r="AY304" i="21" s="1"/>
  <c r="R123" i="20"/>
  <c r="Q102" i="21"/>
  <c r="AW102" i="21" s="1"/>
  <c r="AD315" i="20"/>
  <c r="AC294" i="21"/>
  <c r="BI294" i="21" s="1"/>
  <c r="AJ80" i="23"/>
  <c r="AJ98" i="23" s="1"/>
  <c r="AJ116" i="23" s="1"/>
  <c r="E435" i="21"/>
  <c r="K306" i="20"/>
  <c r="J285" i="21"/>
  <c r="AP285" i="21" s="1"/>
  <c r="Q213" i="20"/>
  <c r="P192" i="21"/>
  <c r="AV192" i="21" s="1"/>
  <c r="R442" i="20"/>
  <c r="Q421" i="21"/>
  <c r="AW421" i="21" s="1"/>
  <c r="U93" i="20"/>
  <c r="T72" i="21"/>
  <c r="AZ72" i="21" s="1"/>
  <c r="G454" i="20"/>
  <c r="F433" i="21"/>
  <c r="AL433" i="21" s="1"/>
  <c r="O416" i="20"/>
  <c r="N395" i="21"/>
  <c r="AT395" i="21" s="1"/>
  <c r="Q97" i="20"/>
  <c r="P76" i="21"/>
  <c r="AV76" i="21" s="1"/>
  <c r="X321" i="20"/>
  <c r="W300" i="21"/>
  <c r="BC300" i="21" s="1"/>
  <c r="R298" i="20"/>
  <c r="Q277" i="21"/>
  <c r="AW277" i="21" s="1"/>
  <c r="R39" i="20"/>
  <c r="Q18" i="21"/>
  <c r="AW18" i="21" s="1"/>
  <c r="W349" i="20"/>
  <c r="V328" i="21"/>
  <c r="BB328" i="21" s="1"/>
  <c r="O245" i="20"/>
  <c r="N224" i="21"/>
  <c r="AT224" i="21" s="1"/>
  <c r="K75" i="20"/>
  <c r="J54" i="21"/>
  <c r="AP54" i="21" s="1"/>
  <c r="AA174" i="20"/>
  <c r="Z153" i="21"/>
  <c r="BF153" i="21" s="1"/>
  <c r="P329" i="20"/>
  <c r="O308" i="21"/>
  <c r="AU308" i="21" s="1"/>
  <c r="S66" i="20"/>
  <c r="R45" i="21"/>
  <c r="AX45" i="21" s="1"/>
  <c r="E367" i="20"/>
  <c r="D346" i="21"/>
  <c r="AJ346" i="21" s="1"/>
  <c r="R67" i="20"/>
  <c r="Q46" i="21"/>
  <c r="AW46" i="21" s="1"/>
  <c r="AC56" i="20"/>
  <c r="AB35" i="21"/>
  <c r="BH35" i="21" s="1"/>
  <c r="K335" i="20"/>
  <c r="J314" i="21"/>
  <c r="AP314" i="21" s="1"/>
  <c r="S297" i="20"/>
  <c r="R276" i="21"/>
  <c r="AX276" i="21" s="1"/>
  <c r="V237" i="20"/>
  <c r="U216" i="21"/>
  <c r="BA216" i="21" s="1"/>
  <c r="Z290" i="20"/>
  <c r="Y269" i="21"/>
  <c r="BE269" i="21" s="1"/>
  <c r="J162" i="20"/>
  <c r="I141" i="21"/>
  <c r="AO141" i="21" s="1"/>
  <c r="R327" i="20"/>
  <c r="Q306" i="21"/>
  <c r="AW306" i="21" s="1"/>
  <c r="M448" i="20"/>
  <c r="L427" i="21"/>
  <c r="AR427" i="21" s="1"/>
  <c r="Y205" i="20"/>
  <c r="X184" i="21"/>
  <c r="BD184" i="21" s="1"/>
  <c r="Z31" i="20"/>
  <c r="Y10" i="21"/>
  <c r="BE10" i="21" s="1"/>
  <c r="X33" i="20"/>
  <c r="W12" i="21"/>
  <c r="BC12" i="21" s="1"/>
  <c r="Q68" i="20"/>
  <c r="P47" i="21"/>
  <c r="AV47" i="21" s="1"/>
  <c r="Z346" i="20"/>
  <c r="Y325" i="21"/>
  <c r="BE325" i="21" s="1"/>
  <c r="AA433" i="20"/>
  <c r="Z412" i="21"/>
  <c r="BF412" i="21" s="1"/>
  <c r="AA261" i="20"/>
  <c r="Z240" i="21"/>
  <c r="BF240" i="21" s="1"/>
  <c r="AB57" i="20"/>
  <c r="AA36" i="21"/>
  <c r="BG36" i="21" s="1"/>
  <c r="Q184" i="20"/>
  <c r="P163" i="21"/>
  <c r="AV163" i="21" s="1"/>
  <c r="O216" i="20"/>
  <c r="N195" i="21"/>
  <c r="AT195" i="21" s="1"/>
  <c r="Y291" i="20"/>
  <c r="X270" i="21"/>
  <c r="BD270" i="21" s="1"/>
  <c r="T296" i="20"/>
  <c r="S275" i="21"/>
  <c r="AY275" i="21" s="1"/>
  <c r="I106" i="20"/>
  <c r="H85" i="21"/>
  <c r="AN85" i="21" s="1"/>
  <c r="Q414" i="20"/>
  <c r="P393" i="21"/>
  <c r="AV393" i="21" s="1"/>
  <c r="G480" i="20"/>
  <c r="F459" i="21"/>
  <c r="AL459" i="21" s="1"/>
  <c r="H78" i="20"/>
  <c r="H79" i="20" s="1"/>
  <c r="G57" i="21"/>
  <c r="AM57" i="21" s="1"/>
  <c r="AM58" i="21" s="1"/>
  <c r="G79" i="20"/>
  <c r="J47" i="20"/>
  <c r="I26" i="21"/>
  <c r="AO26" i="21" s="1"/>
  <c r="S122" i="20"/>
  <c r="R101" i="21"/>
  <c r="AX101" i="21" s="1"/>
  <c r="AA345" i="20"/>
  <c r="Z324" i="21"/>
  <c r="BF324" i="21" s="1"/>
  <c r="Z175" i="20"/>
  <c r="Y154" i="21"/>
  <c r="BE154" i="21" s="1"/>
  <c r="AE54" i="20"/>
  <c r="AE33" i="21" s="1"/>
  <c r="BK33" i="21" s="1"/>
  <c r="AD33" i="21"/>
  <c r="BJ33" i="21" s="1"/>
  <c r="I48" i="20"/>
  <c r="H27" i="21"/>
  <c r="AN27" i="21" s="1"/>
  <c r="J477" i="20"/>
  <c r="I456" i="21"/>
  <c r="AO456" i="21" s="1"/>
  <c r="V381" i="20"/>
  <c r="U360" i="21"/>
  <c r="BA360" i="21" s="1"/>
  <c r="U324" i="20"/>
  <c r="T303" i="21"/>
  <c r="AZ303" i="21" s="1"/>
  <c r="AD373" i="20"/>
  <c r="AC352" i="21"/>
  <c r="BI352" i="21" s="1"/>
  <c r="AA30" i="20"/>
  <c r="Z9" i="21"/>
  <c r="BF9" i="21" s="1"/>
  <c r="P125" i="20"/>
  <c r="O104" i="21"/>
  <c r="AU104" i="21" s="1"/>
  <c r="I193" i="20"/>
  <c r="H172" i="21"/>
  <c r="AN172" i="21" s="1"/>
  <c r="AC143" i="20"/>
  <c r="AB122" i="21"/>
  <c r="BH122" i="21" s="1"/>
  <c r="O302" i="20"/>
  <c r="N281" i="21"/>
  <c r="AT281" i="21" s="1"/>
  <c r="N127" i="20"/>
  <c r="M106" i="21"/>
  <c r="AS106" i="21" s="1"/>
  <c r="W236" i="20"/>
  <c r="V215" i="21"/>
  <c r="BB215" i="21" s="1"/>
  <c r="U64" i="20"/>
  <c r="T43" i="21"/>
  <c r="AZ43" i="21" s="1"/>
  <c r="F397" i="20"/>
  <c r="E376" i="21"/>
  <c r="AK376" i="21" s="1"/>
  <c r="M390" i="20"/>
  <c r="L369" i="21"/>
  <c r="AR369" i="21" s="1"/>
  <c r="P356" i="20"/>
  <c r="O335" i="21"/>
  <c r="AU335" i="21" s="1"/>
  <c r="T268" i="20"/>
  <c r="S247" i="21"/>
  <c r="AY247" i="21" s="1"/>
  <c r="P99" i="20"/>
  <c r="O78" i="21"/>
  <c r="AU78" i="21" s="1"/>
  <c r="R154" i="20"/>
  <c r="Q133" i="21"/>
  <c r="AW133" i="21" s="1"/>
  <c r="K476" i="20"/>
  <c r="J455" i="21"/>
  <c r="AP455" i="21" s="1"/>
  <c r="K104" i="20"/>
  <c r="J83" i="21"/>
  <c r="AP83" i="21" s="1"/>
  <c r="Z88" i="20"/>
  <c r="Y67" i="21"/>
  <c r="BE67" i="21" s="1"/>
  <c r="I163" i="20"/>
  <c r="H142" i="21"/>
  <c r="AN142" i="21" s="1"/>
  <c r="Y176" i="20"/>
  <c r="X155" i="21"/>
  <c r="BD155" i="21" s="1"/>
  <c r="P444" i="20"/>
  <c r="O423" i="21"/>
  <c r="AU423" i="21" s="1"/>
  <c r="V266" i="20"/>
  <c r="U245" i="21"/>
  <c r="BA245" i="21" s="1"/>
  <c r="N447" i="20"/>
  <c r="M426" i="21"/>
  <c r="AS426" i="21" s="1"/>
  <c r="L420" i="20"/>
  <c r="K399" i="21"/>
  <c r="AQ399" i="21" s="1"/>
  <c r="F481" i="20"/>
  <c r="E460" i="21"/>
  <c r="AK460" i="21" s="1"/>
  <c r="Q155" i="20"/>
  <c r="P134" i="21"/>
  <c r="AV134" i="21" s="1"/>
  <c r="H164" i="20"/>
  <c r="G143" i="21"/>
  <c r="AM143" i="21" s="1"/>
  <c r="G134" i="20"/>
  <c r="F113" i="21"/>
  <c r="AL113" i="21" s="1"/>
  <c r="E427" i="20"/>
  <c r="G193" i="1" s="1"/>
  <c r="S211" i="20"/>
  <c r="R190" i="21"/>
  <c r="AX190" i="21" s="1"/>
  <c r="AD55" i="20"/>
  <c r="AC34" i="21"/>
  <c r="BI34" i="21" s="1"/>
  <c r="J278" i="20"/>
  <c r="I257" i="21"/>
  <c r="AO257" i="21" s="1"/>
  <c r="Y320" i="20"/>
  <c r="X299" i="21"/>
  <c r="BD299" i="21" s="1"/>
  <c r="O71" i="20"/>
  <c r="N50" i="21"/>
  <c r="AT50" i="21" s="1"/>
  <c r="K191" i="20"/>
  <c r="J170" i="21"/>
  <c r="AP170" i="21" s="1"/>
  <c r="Q98" i="20"/>
  <c r="P77" i="21"/>
  <c r="AV77" i="21" s="1"/>
  <c r="W437" i="20"/>
  <c r="V416" i="21"/>
  <c r="BB416" i="21" s="1"/>
  <c r="L74" i="20"/>
  <c r="K53" i="21"/>
  <c r="AQ53" i="21" s="1"/>
  <c r="I363" i="20"/>
  <c r="H342" i="21"/>
  <c r="AN342" i="21" s="1"/>
  <c r="H252" i="20"/>
  <c r="G231" i="21"/>
  <c r="AM231" i="21" s="1"/>
  <c r="AM232" i="21" s="1"/>
  <c r="G253" i="20"/>
  <c r="I185" i="1" s="1"/>
  <c r="E136" i="20"/>
  <c r="D115" i="21"/>
  <c r="AJ115" i="21" s="1"/>
  <c r="AJ116" i="21" s="1"/>
  <c r="W464" i="20"/>
  <c r="V443" i="21"/>
  <c r="BB443" i="21" s="1"/>
  <c r="M102" i="20"/>
  <c r="L81" i="21"/>
  <c r="AR81" i="21" s="1"/>
  <c r="T181" i="20"/>
  <c r="S160" i="21"/>
  <c r="AY160" i="21" s="1"/>
  <c r="V294" i="20"/>
  <c r="U273" i="21"/>
  <c r="BA273" i="21" s="1"/>
  <c r="T94" i="20"/>
  <c r="S73" i="21"/>
  <c r="AY73" i="21" s="1"/>
  <c r="D435" i="21"/>
  <c r="AI80" i="23"/>
  <c r="AI98" i="23" s="1"/>
  <c r="AI116" i="23" s="1"/>
  <c r="AS32" i="23"/>
  <c r="M4" i="1" s="1"/>
  <c r="BJ76" i="23"/>
  <c r="BJ94" i="23" s="1"/>
  <c r="BJ112" i="23" s="1"/>
  <c r="BA32" i="23"/>
  <c r="U4" i="1" s="1"/>
  <c r="AK103" i="23"/>
  <c r="AR32" i="23"/>
  <c r="L4" i="1" s="1"/>
  <c r="F4" i="1"/>
  <c r="AT32" i="23"/>
  <c r="N4" i="1" s="1"/>
  <c r="AX32" i="23"/>
  <c r="R4" i="1" s="1"/>
  <c r="AQ32" i="23"/>
  <c r="K4" i="1" s="1"/>
  <c r="AO32" i="23"/>
  <c r="I4" i="1" s="1"/>
  <c r="AN32" i="23"/>
  <c r="H4" i="1" s="1"/>
  <c r="AL68" i="23"/>
  <c r="AL86" i="23" s="1"/>
  <c r="AL104" i="23" s="1"/>
  <c r="I179" i="1"/>
  <c r="AB174" i="21"/>
  <c r="BG71" i="23"/>
  <c r="BG89" i="23" s="1"/>
  <c r="BG107" i="23" s="1"/>
  <c r="Z319" i="21"/>
  <c r="BE76" i="23"/>
  <c r="BE94" i="23" s="1"/>
  <c r="BE112" i="23" s="1"/>
  <c r="AD435" i="21"/>
  <c r="BI80" i="23"/>
  <c r="BI98" i="23" s="1"/>
  <c r="BI116" i="23" s="1"/>
  <c r="F87" i="21"/>
  <c r="AK68" i="23"/>
  <c r="AK86" i="23" s="1"/>
  <c r="AD87" i="21"/>
  <c r="BI68" i="23"/>
  <c r="BI86" i="23" s="1"/>
  <c r="BI104" i="23" s="1"/>
  <c r="AD174" i="21"/>
  <c r="BI71" i="23"/>
  <c r="BI89" i="23" s="1"/>
  <c r="BI107" i="23" s="1"/>
  <c r="AE174" i="21"/>
  <c r="BJ71" i="23"/>
  <c r="BJ89" i="23" s="1"/>
  <c r="BJ107" i="23" s="1"/>
  <c r="AE435" i="21"/>
  <c r="BJ80" i="23"/>
  <c r="BJ98" i="23" s="1"/>
  <c r="BJ116" i="23" s="1"/>
  <c r="AC174" i="21"/>
  <c r="BH71" i="23"/>
  <c r="BH89" i="23" s="1"/>
  <c r="BH107" i="23" s="1"/>
  <c r="AB435" i="21"/>
  <c r="BG80" i="23"/>
  <c r="BG98" i="23" s="1"/>
  <c r="BG116" i="23" s="1"/>
  <c r="AC87" i="21"/>
  <c r="BH68" i="23"/>
  <c r="BH86" i="23" s="1"/>
  <c r="BH104" i="23" s="1"/>
  <c r="AC435" i="21"/>
  <c r="BH80" i="23"/>
  <c r="BH98" i="23" s="1"/>
  <c r="BH116" i="23" s="1"/>
  <c r="AB319" i="21"/>
  <c r="BG76" i="23"/>
  <c r="BG94" i="23" s="1"/>
  <c r="BG112" i="23" s="1"/>
  <c r="AA319" i="21"/>
  <c r="BF76" i="23"/>
  <c r="BF94" i="23" s="1"/>
  <c r="BF112" i="23" s="1"/>
  <c r="AD319" i="21"/>
  <c r="BI76" i="23"/>
  <c r="BI94" i="23" s="1"/>
  <c r="BI112" i="23" s="1"/>
  <c r="G174" i="21"/>
  <c r="AL71" i="23"/>
  <c r="AL89" i="23" s="1"/>
  <c r="F319" i="21"/>
  <c r="AK76" i="23"/>
  <c r="AK94" i="23" s="1"/>
  <c r="AC319" i="21"/>
  <c r="BH76" i="23"/>
  <c r="BH94" i="23" s="1"/>
  <c r="BH112" i="23" s="1"/>
  <c r="AE87" i="21"/>
  <c r="BJ68" i="23"/>
  <c r="BJ86" i="23" s="1"/>
  <c r="BJ104" i="23" s="1"/>
  <c r="AB87" i="21"/>
  <c r="BG68" i="23"/>
  <c r="BG86" i="23" s="1"/>
  <c r="BG104" i="23" s="1"/>
  <c r="Y16" i="1"/>
  <c r="E10" i="1"/>
  <c r="AK108" i="23"/>
  <c r="D4" i="1"/>
  <c r="AJ104" i="23"/>
  <c r="BA44" i="23"/>
  <c r="BF44" i="23"/>
  <c r="AY40" i="23"/>
  <c r="BD40" i="23"/>
  <c r="BE36" i="23"/>
  <c r="AW44" i="23"/>
  <c r="BF35" i="23"/>
  <c r="AZ32" i="23"/>
  <c r="AN36" i="23"/>
  <c r="AK44" i="23"/>
  <c r="AX44" i="23"/>
  <c r="AL40" i="23"/>
  <c r="AX40" i="23"/>
  <c r="AV44" i="23"/>
  <c r="P22" i="1" s="1"/>
  <c r="AT44" i="23"/>
  <c r="AW40" i="23"/>
  <c r="AK32" i="23"/>
  <c r="AV40" i="23"/>
  <c r="AO40" i="23"/>
  <c r="BD44" i="23"/>
  <c r="AP32" i="23"/>
  <c r="AO44" i="23"/>
  <c r="BB32" i="23"/>
  <c r="AR40" i="23"/>
  <c r="AO35" i="23"/>
  <c r="BD35" i="23"/>
  <c r="AQ44" i="23"/>
  <c r="AV32" i="23"/>
  <c r="AS44" i="23"/>
  <c r="AN44" i="23"/>
  <c r="AP44" i="23"/>
  <c r="AP40" i="23"/>
  <c r="AT36" i="23"/>
  <c r="BA40" i="23"/>
  <c r="AU35" i="23"/>
  <c r="BD32" i="23"/>
  <c r="AU40" i="23"/>
  <c r="AZ35" i="23"/>
  <c r="BC40" i="23"/>
  <c r="BF32" i="23"/>
  <c r="AU32" i="23"/>
  <c r="BC32" i="23"/>
  <c r="AP35" i="23"/>
  <c r="AL44" i="23"/>
  <c r="AZ40" i="23"/>
  <c r="BB44" i="23"/>
  <c r="BE32" i="23"/>
  <c r="AM32" i="23"/>
  <c r="AY32" i="23"/>
  <c r="AW32" i="23"/>
  <c r="AM40" i="23"/>
  <c r="AU44" i="23"/>
  <c r="AZ44" i="23"/>
  <c r="C24" i="20"/>
  <c r="C50" i="20" s="1"/>
  <c r="L84" i="1" l="1"/>
  <c r="P84" i="1"/>
  <c r="L74" i="1"/>
  <c r="P74" i="1"/>
  <c r="S10" i="1"/>
  <c r="Q10" i="1"/>
  <c r="AL144" i="21"/>
  <c r="AL145" i="21" s="1"/>
  <c r="E9" i="1" s="1"/>
  <c r="E11" i="1" s="1"/>
  <c r="AL72" i="23"/>
  <c r="AL90" i="23" s="1"/>
  <c r="AL108" i="23" s="1"/>
  <c r="G203" i="21"/>
  <c r="R10" i="1"/>
  <c r="G10" i="1"/>
  <c r="P10" i="1"/>
  <c r="AK112" i="23"/>
  <c r="K10" i="1"/>
  <c r="M10" i="1"/>
  <c r="V10" i="1"/>
  <c r="AL107" i="23"/>
  <c r="U10" i="1"/>
  <c r="L10" i="1"/>
  <c r="G290" i="21"/>
  <c r="AL75" i="23"/>
  <c r="AL93" i="23" s="1"/>
  <c r="AL111" i="23" s="1"/>
  <c r="AM71" i="23"/>
  <c r="AM89" i="23" s="1"/>
  <c r="AM107" i="23" s="1"/>
  <c r="H174" i="21"/>
  <c r="P71" i="20"/>
  <c r="O50" i="21"/>
  <c r="AU50" i="21" s="1"/>
  <c r="AB30" i="20"/>
  <c r="AA9" i="21"/>
  <c r="BG9" i="21" s="1"/>
  <c r="P216" i="20"/>
  <c r="O195" i="21"/>
  <c r="AU195" i="21" s="1"/>
  <c r="AA346" i="20"/>
  <c r="Z325" i="21"/>
  <c r="BF325" i="21" s="1"/>
  <c r="K162" i="20"/>
  <c r="J141" i="21"/>
  <c r="AP141" i="21" s="1"/>
  <c r="Z263" i="20"/>
  <c r="Y242" i="21"/>
  <c r="BE242" i="21" s="1"/>
  <c r="K307" i="20"/>
  <c r="J286" i="21"/>
  <c r="AP286" i="21" s="1"/>
  <c r="J452" i="20"/>
  <c r="I431" i="21"/>
  <c r="AO431" i="21" s="1"/>
  <c r="Y148" i="20"/>
  <c r="X127" i="21"/>
  <c r="BD127" i="21" s="1"/>
  <c r="AE142" i="20"/>
  <c r="AE121" i="21" s="1"/>
  <c r="BK121" i="21" s="1"/>
  <c r="AD121" i="21"/>
  <c r="BJ121" i="21" s="1"/>
  <c r="P445" i="20"/>
  <c r="O424" i="21"/>
  <c r="AU424" i="21" s="1"/>
  <c r="W409" i="20"/>
  <c r="V388" i="21"/>
  <c r="BB388" i="21" s="1"/>
  <c r="R124" i="20"/>
  <c r="Q103" i="21"/>
  <c r="AW103" i="21" s="1"/>
  <c r="AC459" i="20"/>
  <c r="AB438" i="21"/>
  <c r="BH438" i="21" s="1"/>
  <c r="AD112" i="20"/>
  <c r="AC91" i="21"/>
  <c r="BI91" i="21" s="1"/>
  <c r="AC113" i="20"/>
  <c r="AB92" i="21"/>
  <c r="BH92" i="21" s="1"/>
  <c r="Y379" i="20"/>
  <c r="X358" i="21"/>
  <c r="BD358" i="21" s="1"/>
  <c r="J222" i="20"/>
  <c r="I201" i="21"/>
  <c r="AO201" i="21" s="1"/>
  <c r="H165" i="20"/>
  <c r="H166" i="20" s="1"/>
  <c r="J182" i="1" s="1"/>
  <c r="G144" i="21"/>
  <c r="R40" i="20"/>
  <c r="Q19" i="21"/>
  <c r="AW19" i="21" s="1"/>
  <c r="M334" i="20"/>
  <c r="L313" i="21"/>
  <c r="AR313" i="21" s="1"/>
  <c r="O158" i="20"/>
  <c r="N137" i="21"/>
  <c r="AT137" i="21" s="1"/>
  <c r="K105" i="20"/>
  <c r="J84" i="21"/>
  <c r="AP84" i="21" s="1"/>
  <c r="P331" i="20"/>
  <c r="O310" i="21"/>
  <c r="AU310" i="21" s="1"/>
  <c r="P187" i="20"/>
  <c r="O166" i="21"/>
  <c r="AU166" i="21" s="1"/>
  <c r="S385" i="20"/>
  <c r="R364" i="21"/>
  <c r="AX364" i="21" s="1"/>
  <c r="AC317" i="20"/>
  <c r="AB296" i="21"/>
  <c r="BH296" i="21" s="1"/>
  <c r="U121" i="20"/>
  <c r="T100" i="21"/>
  <c r="AZ100" i="21" s="1"/>
  <c r="K362" i="20"/>
  <c r="J341" i="21"/>
  <c r="AP341" i="21" s="1"/>
  <c r="C29" i="21"/>
  <c r="E177" i="1"/>
  <c r="AH66" i="23"/>
  <c r="AH84" i="23" s="1"/>
  <c r="U94" i="20"/>
  <c r="T73" i="21"/>
  <c r="AZ73" i="21" s="1"/>
  <c r="W294" i="20"/>
  <c r="V273" i="21"/>
  <c r="BB273" i="21" s="1"/>
  <c r="N102" i="20"/>
  <c r="M81" i="21"/>
  <c r="AS81" i="21" s="1"/>
  <c r="I252" i="20"/>
  <c r="I253" i="20" s="1"/>
  <c r="K185" i="1" s="1"/>
  <c r="H231" i="21"/>
  <c r="AN231" i="21" s="1"/>
  <c r="AN232" i="21" s="1"/>
  <c r="X437" i="20"/>
  <c r="W416" i="21"/>
  <c r="BC416" i="21" s="1"/>
  <c r="L191" i="20"/>
  <c r="K170" i="21"/>
  <c r="AQ170" i="21" s="1"/>
  <c r="AJ79" i="23"/>
  <c r="AJ97" i="23" s="1"/>
  <c r="AJ115" i="23" s="1"/>
  <c r="E406" i="21"/>
  <c r="H134" i="20"/>
  <c r="G113" i="21"/>
  <c r="AM113" i="21" s="1"/>
  <c r="O447" i="20"/>
  <c r="N426" i="21"/>
  <c r="AT426" i="21" s="1"/>
  <c r="Q444" i="20"/>
  <c r="P423" i="21"/>
  <c r="AV423" i="21" s="1"/>
  <c r="J163" i="20"/>
  <c r="I142" i="21"/>
  <c r="AO142" i="21" s="1"/>
  <c r="L104" i="20"/>
  <c r="K83" i="21"/>
  <c r="AQ83" i="21" s="1"/>
  <c r="L476" i="20"/>
  <c r="K455" i="21"/>
  <c r="AQ455" i="21" s="1"/>
  <c r="N390" i="20"/>
  <c r="M369" i="21"/>
  <c r="AS369" i="21" s="1"/>
  <c r="O127" i="20"/>
  <c r="N106" i="21"/>
  <c r="AT106" i="21" s="1"/>
  <c r="AD143" i="20"/>
  <c r="AC122" i="21"/>
  <c r="BI122" i="21" s="1"/>
  <c r="AB345" i="20"/>
  <c r="AA324" i="21"/>
  <c r="BG324" i="21" s="1"/>
  <c r="I78" i="20"/>
  <c r="H57" i="21"/>
  <c r="AN57" i="21" s="1"/>
  <c r="AN58" i="21" s="1"/>
  <c r="J106" i="20"/>
  <c r="I85" i="21"/>
  <c r="AO85" i="21" s="1"/>
  <c r="AC57" i="20"/>
  <c r="AB36" i="21"/>
  <c r="BH36" i="21" s="1"/>
  <c r="AB433" i="20"/>
  <c r="AA412" i="21"/>
  <c r="BG412" i="21" s="1"/>
  <c r="Y33" i="20"/>
  <c r="X12" i="21"/>
  <c r="BD12" i="21" s="1"/>
  <c r="Z205" i="20"/>
  <c r="Y184" i="21"/>
  <c r="BE184" i="21" s="1"/>
  <c r="S327" i="20"/>
  <c r="R306" i="21"/>
  <c r="AX306" i="21" s="1"/>
  <c r="T297" i="20"/>
  <c r="S276" i="21"/>
  <c r="AY276" i="21" s="1"/>
  <c r="P416" i="20"/>
  <c r="O395" i="21"/>
  <c r="AU395" i="21" s="1"/>
  <c r="V93" i="20"/>
  <c r="U72" i="21"/>
  <c r="BA72" i="21" s="1"/>
  <c r="R213" i="20"/>
  <c r="Q192" i="21"/>
  <c r="AW192" i="21" s="1"/>
  <c r="T412" i="20"/>
  <c r="S391" i="21"/>
  <c r="AY391" i="21" s="1"/>
  <c r="W465" i="20"/>
  <c r="V444" i="21"/>
  <c r="BB444" i="21" s="1"/>
  <c r="I133" i="20"/>
  <c r="H112" i="21"/>
  <c r="AN112" i="21" s="1"/>
  <c r="V466" i="20"/>
  <c r="U445" i="21"/>
  <c r="BA445" i="21" s="1"/>
  <c r="AC344" i="20"/>
  <c r="AB323" i="21"/>
  <c r="BH323" i="21" s="1"/>
  <c r="K192" i="20"/>
  <c r="J171" i="21"/>
  <c r="AP171" i="21" s="1"/>
  <c r="N218" i="20"/>
  <c r="M197" i="21"/>
  <c r="AS197" i="21" s="1"/>
  <c r="AA377" i="20"/>
  <c r="Z356" i="21"/>
  <c r="BF356" i="21" s="1"/>
  <c r="L161" i="20"/>
  <c r="K140" i="21"/>
  <c r="AQ140" i="21" s="1"/>
  <c r="P357" i="20"/>
  <c r="O336" i="21"/>
  <c r="AU336" i="21" s="1"/>
  <c r="L46" i="20"/>
  <c r="K25" i="21"/>
  <c r="AQ25" i="21" s="1"/>
  <c r="U352" i="20"/>
  <c r="T331" i="21"/>
  <c r="AZ331" i="21" s="1"/>
  <c r="P42" i="20"/>
  <c r="O21" i="21"/>
  <c r="AU21" i="21" s="1"/>
  <c r="AD172" i="20"/>
  <c r="AC151" i="21"/>
  <c r="BI151" i="21" s="1"/>
  <c r="AA434" i="20"/>
  <c r="Z413" i="21"/>
  <c r="BF413" i="21" s="1"/>
  <c r="T353" i="20"/>
  <c r="S332" i="21"/>
  <c r="AY332" i="21" s="1"/>
  <c r="E483" i="20"/>
  <c r="D462" i="21"/>
  <c r="AJ462" i="21" s="1"/>
  <c r="M248" i="20"/>
  <c r="L227" i="21"/>
  <c r="AR227" i="21" s="1"/>
  <c r="K221" i="20"/>
  <c r="J200" i="21"/>
  <c r="AP200" i="21" s="1"/>
  <c r="X265" i="20"/>
  <c r="W244" i="21"/>
  <c r="BC244" i="21" s="1"/>
  <c r="AD343" i="20"/>
  <c r="AC322" i="21"/>
  <c r="BI322" i="21" s="1"/>
  <c r="P126" i="20"/>
  <c r="O105" i="21"/>
  <c r="AU105" i="21" s="1"/>
  <c r="K131" i="20"/>
  <c r="J110" i="21"/>
  <c r="AP110" i="21" s="1"/>
  <c r="Y463" i="20"/>
  <c r="X442" i="21"/>
  <c r="BD442" i="21" s="1"/>
  <c r="I364" i="20"/>
  <c r="H343" i="21"/>
  <c r="AN343" i="21" s="1"/>
  <c r="AE27" i="20"/>
  <c r="AE6" i="21" s="1"/>
  <c r="BK6" i="21" s="1"/>
  <c r="AD6" i="21"/>
  <c r="BJ6" i="21" s="1"/>
  <c r="Y61" i="20"/>
  <c r="X40" i="21"/>
  <c r="BD40" i="21" s="1"/>
  <c r="AC288" i="20"/>
  <c r="AB267" i="21"/>
  <c r="BH267" i="21" s="1"/>
  <c r="J308" i="20"/>
  <c r="I287" i="21"/>
  <c r="AO287" i="21" s="1"/>
  <c r="R243" i="20"/>
  <c r="Q222" i="21"/>
  <c r="AW222" i="21" s="1"/>
  <c r="O217" i="20"/>
  <c r="N196" i="21"/>
  <c r="AT196" i="21" s="1"/>
  <c r="X178" i="20"/>
  <c r="W157" i="21"/>
  <c r="BC157" i="21" s="1"/>
  <c r="T326" i="20"/>
  <c r="S305" i="21"/>
  <c r="AY305" i="21" s="1"/>
  <c r="N189" i="20"/>
  <c r="M168" i="21"/>
  <c r="AS168" i="21" s="1"/>
  <c r="U239" i="20"/>
  <c r="T218" i="21"/>
  <c r="AZ218" i="21" s="1"/>
  <c r="M190" i="20"/>
  <c r="L169" i="21"/>
  <c r="AR169" i="21" s="1"/>
  <c r="H425" i="20"/>
  <c r="G404" i="21"/>
  <c r="AM404" i="21" s="1"/>
  <c r="AE111" i="20"/>
  <c r="AE90" i="21" s="1"/>
  <c r="BK90" i="21" s="1"/>
  <c r="AD90" i="21"/>
  <c r="BJ90" i="21" s="1"/>
  <c r="R214" i="20"/>
  <c r="Q193" i="21"/>
  <c r="AW193" i="21" s="1"/>
  <c r="X34" i="20"/>
  <c r="W13" i="21"/>
  <c r="BC13" i="21" s="1"/>
  <c r="AD287" i="20"/>
  <c r="AC266" i="21"/>
  <c r="BI266" i="21" s="1"/>
  <c r="L450" i="20"/>
  <c r="K429" i="21"/>
  <c r="AQ429" i="21" s="1"/>
  <c r="AB318" i="20"/>
  <c r="AA297" i="21"/>
  <c r="BG297" i="21" s="1"/>
  <c r="AC260" i="20"/>
  <c r="AB239" i="21"/>
  <c r="BH239" i="21" s="1"/>
  <c r="Q186" i="20"/>
  <c r="P165" i="21"/>
  <c r="AV165" i="21" s="1"/>
  <c r="AD259" i="20"/>
  <c r="AC238" i="21"/>
  <c r="BI238" i="21" s="1"/>
  <c r="O418" i="20"/>
  <c r="N397" i="21"/>
  <c r="AT397" i="21" s="1"/>
  <c r="S354" i="20"/>
  <c r="R333" i="21"/>
  <c r="AX333" i="21" s="1"/>
  <c r="G426" i="20"/>
  <c r="F405" i="21"/>
  <c r="AL405" i="21" s="1"/>
  <c r="AL406" i="21" s="1"/>
  <c r="J337" i="20"/>
  <c r="I316" i="21"/>
  <c r="AO316" i="21" s="1"/>
  <c r="N247" i="20"/>
  <c r="M226" i="21"/>
  <c r="AS226" i="21" s="1"/>
  <c r="N128" i="20"/>
  <c r="M107" i="21"/>
  <c r="AS107" i="21" s="1"/>
  <c r="AB114" i="20"/>
  <c r="AA93" i="21"/>
  <c r="BG93" i="21" s="1"/>
  <c r="M103" i="20"/>
  <c r="L82" i="21"/>
  <c r="AR82" i="21" s="1"/>
  <c r="AA233" i="20"/>
  <c r="Z212" i="21"/>
  <c r="BF212" i="21" s="1"/>
  <c r="W350" i="20"/>
  <c r="V329" i="21"/>
  <c r="BB329" i="21" s="1"/>
  <c r="S270" i="20"/>
  <c r="R249" i="21"/>
  <c r="AX249" i="21" s="1"/>
  <c r="P446" i="20"/>
  <c r="O425" i="21"/>
  <c r="AU425" i="21" s="1"/>
  <c r="S241" i="20"/>
  <c r="R220" i="21"/>
  <c r="AX220" i="21" s="1"/>
  <c r="K250" i="20"/>
  <c r="J229" i="21"/>
  <c r="AP229" i="21" s="1"/>
  <c r="D484" i="20"/>
  <c r="D485" i="20" s="1"/>
  <c r="F195" i="1" s="1"/>
  <c r="C463" i="21"/>
  <c r="AI463" i="21" s="1"/>
  <c r="AI464" i="21" s="1"/>
  <c r="C485" i="20"/>
  <c r="E195" i="1" s="1"/>
  <c r="X322" i="20"/>
  <c r="W301" i="21"/>
  <c r="BC301" i="21" s="1"/>
  <c r="AE229" i="20"/>
  <c r="AE208" i="21" s="1"/>
  <c r="BK208" i="21" s="1"/>
  <c r="AD208" i="21"/>
  <c r="BJ208" i="21" s="1"/>
  <c r="T95" i="20"/>
  <c r="S74" i="21"/>
  <c r="AY74" i="21" s="1"/>
  <c r="AB376" i="20"/>
  <c r="AA355" i="21"/>
  <c r="BG355" i="21" s="1"/>
  <c r="P388" i="20"/>
  <c r="O367" i="21"/>
  <c r="AU367" i="21" s="1"/>
  <c r="N304" i="20"/>
  <c r="M283" i="21"/>
  <c r="AS283" i="21" s="1"/>
  <c r="AB203" i="20"/>
  <c r="AA182" i="21"/>
  <c r="BG182" i="21" s="1"/>
  <c r="I223" i="20"/>
  <c r="I224" i="20" s="1"/>
  <c r="K184" i="1" s="1"/>
  <c r="H202" i="21"/>
  <c r="AN202" i="21" s="1"/>
  <c r="AN203" i="21" s="1"/>
  <c r="H224" i="20"/>
  <c r="J184" i="1" s="1"/>
  <c r="R271" i="20"/>
  <c r="Q250" i="21"/>
  <c r="AW250" i="21" s="1"/>
  <c r="AE430" i="20"/>
  <c r="AE409" i="21" s="1"/>
  <c r="BK409" i="21" s="1"/>
  <c r="AD409" i="21"/>
  <c r="BJ409" i="21" s="1"/>
  <c r="X118" i="20"/>
  <c r="W97" i="21"/>
  <c r="BC97" i="21" s="1"/>
  <c r="Q156" i="20"/>
  <c r="P135" i="21"/>
  <c r="AV135" i="21" s="1"/>
  <c r="V238" i="20"/>
  <c r="U217" i="21"/>
  <c r="BA217" i="21" s="1"/>
  <c r="X464" i="20"/>
  <c r="W443" i="21"/>
  <c r="BC443" i="21" s="1"/>
  <c r="J363" i="20"/>
  <c r="I342" i="21"/>
  <c r="AO342" i="21" s="1"/>
  <c r="G397" i="20"/>
  <c r="F376" i="21"/>
  <c r="AL376" i="21" s="1"/>
  <c r="T122" i="20"/>
  <c r="S101" i="21"/>
  <c r="AY101" i="21" s="1"/>
  <c r="U296" i="20"/>
  <c r="T275" i="21"/>
  <c r="AZ275" i="21" s="1"/>
  <c r="F367" i="20"/>
  <c r="E346" i="21"/>
  <c r="AK346" i="21" s="1"/>
  <c r="T66" i="20"/>
  <c r="S45" i="21"/>
  <c r="AY45" i="21" s="1"/>
  <c r="AB174" i="20"/>
  <c r="AA153" i="21"/>
  <c r="BG153" i="21" s="1"/>
  <c r="L75" i="20"/>
  <c r="K54" i="21"/>
  <c r="AQ54" i="21" s="1"/>
  <c r="U325" i="20"/>
  <c r="T304" i="21"/>
  <c r="AZ304" i="21" s="1"/>
  <c r="V439" i="20"/>
  <c r="U418" i="21"/>
  <c r="BA418" i="21" s="1"/>
  <c r="AA59" i="20"/>
  <c r="Z38" i="21"/>
  <c r="BF38" i="21" s="1"/>
  <c r="N419" i="20"/>
  <c r="M398" i="21"/>
  <c r="AS398" i="21" s="1"/>
  <c r="N73" i="20"/>
  <c r="M52" i="21"/>
  <c r="AS52" i="21" s="1"/>
  <c r="AC202" i="20"/>
  <c r="AB181" i="21"/>
  <c r="BH181" i="21" s="1"/>
  <c r="Z378" i="20"/>
  <c r="Y357" i="21"/>
  <c r="BE357" i="21" s="1"/>
  <c r="V382" i="20"/>
  <c r="U361" i="21"/>
  <c r="BA361" i="21" s="1"/>
  <c r="O303" i="20"/>
  <c r="N282" i="21"/>
  <c r="AT282" i="21" s="1"/>
  <c r="Z147" i="20"/>
  <c r="Y126" i="21"/>
  <c r="BE126" i="21" s="1"/>
  <c r="G366" i="20"/>
  <c r="F345" i="21"/>
  <c r="AL345" i="21" s="1"/>
  <c r="N359" i="20"/>
  <c r="M338" i="21"/>
  <c r="AS338" i="21" s="1"/>
  <c r="AE258" i="20"/>
  <c r="AE237" i="21" s="1"/>
  <c r="BK237" i="21" s="1"/>
  <c r="AD237" i="21"/>
  <c r="BJ237" i="21" s="1"/>
  <c r="T38" i="20"/>
  <c r="S17" i="21"/>
  <c r="AY17" i="21" s="1"/>
  <c r="AK75" i="23"/>
  <c r="AK93" i="23" s="1"/>
  <c r="AK111" i="23" s="1"/>
  <c r="F290" i="21"/>
  <c r="Q301" i="20"/>
  <c r="P280" i="21"/>
  <c r="AV280" i="21" s="1"/>
  <c r="Y206" i="20"/>
  <c r="X185" i="21"/>
  <c r="BD185" i="21" s="1"/>
  <c r="M129" i="20"/>
  <c r="L108" i="21"/>
  <c r="AR108" i="21" s="1"/>
  <c r="U440" i="20"/>
  <c r="T419" i="21"/>
  <c r="AZ419" i="21" s="1"/>
  <c r="AC144" i="20"/>
  <c r="AB123" i="21"/>
  <c r="BH123" i="21" s="1"/>
  <c r="P100" i="20"/>
  <c r="O79" i="21"/>
  <c r="AU79" i="21" s="1"/>
  <c r="L130" i="20"/>
  <c r="K109" i="21"/>
  <c r="AQ109" i="21" s="1"/>
  <c r="R355" i="20"/>
  <c r="Q334" i="21"/>
  <c r="AW334" i="21" s="1"/>
  <c r="AA461" i="20"/>
  <c r="Z440" i="21"/>
  <c r="BF440" i="21" s="1"/>
  <c r="X207" i="20"/>
  <c r="W186" i="21"/>
  <c r="BC186" i="21" s="1"/>
  <c r="AI77" i="23"/>
  <c r="AI95" i="23" s="1"/>
  <c r="AI113" i="23" s="1"/>
  <c r="D348" i="21"/>
  <c r="J178" i="1"/>
  <c r="H58" i="21"/>
  <c r="AM67" i="23"/>
  <c r="AM85" i="23" s="1"/>
  <c r="AM103" i="23" s="1"/>
  <c r="F136" i="20"/>
  <c r="E115" i="21"/>
  <c r="AK115" i="21" s="1"/>
  <c r="AK116" i="21" s="1"/>
  <c r="E137" i="20"/>
  <c r="Z320" i="20"/>
  <c r="Y299" i="21"/>
  <c r="BE299" i="21" s="1"/>
  <c r="AE55" i="20"/>
  <c r="AE34" i="21" s="1"/>
  <c r="BK34" i="21" s="1"/>
  <c r="AD34" i="21"/>
  <c r="BJ34" i="21" s="1"/>
  <c r="G166" i="20"/>
  <c r="I182" i="1" s="1"/>
  <c r="R155" i="20"/>
  <c r="Q134" i="21"/>
  <c r="AW134" i="21" s="1"/>
  <c r="Q99" i="20"/>
  <c r="P78" i="21"/>
  <c r="AV78" i="21" s="1"/>
  <c r="X236" i="20"/>
  <c r="W215" i="21"/>
  <c r="BC215" i="21" s="1"/>
  <c r="Q125" i="20"/>
  <c r="P104" i="21"/>
  <c r="AV104" i="21" s="1"/>
  <c r="AE373" i="20"/>
  <c r="AE352" i="21" s="1"/>
  <c r="BK352" i="21" s="1"/>
  <c r="AD352" i="21"/>
  <c r="BJ352" i="21" s="1"/>
  <c r="W381" i="20"/>
  <c r="V360" i="21"/>
  <c r="BB360" i="21" s="1"/>
  <c r="J48" i="20"/>
  <c r="I27" i="21"/>
  <c r="AO27" i="21" s="1"/>
  <c r="AA175" i="20"/>
  <c r="Z154" i="21"/>
  <c r="BF154" i="21" s="1"/>
  <c r="K47" i="20"/>
  <c r="J26" i="21"/>
  <c r="AP26" i="21" s="1"/>
  <c r="Z291" i="20"/>
  <c r="Y270" i="21"/>
  <c r="BE270" i="21" s="1"/>
  <c r="R184" i="20"/>
  <c r="Q163" i="21"/>
  <c r="AW163" i="21" s="1"/>
  <c r="W237" i="20"/>
  <c r="V216" i="21"/>
  <c r="BB216" i="21" s="1"/>
  <c r="S67" i="20"/>
  <c r="R46" i="21"/>
  <c r="AX46" i="21" s="1"/>
  <c r="Q329" i="20"/>
  <c r="P308" i="21"/>
  <c r="AV308" i="21" s="1"/>
  <c r="X349" i="20"/>
  <c r="W328" i="21"/>
  <c r="BC328" i="21" s="1"/>
  <c r="S298" i="20"/>
  <c r="R277" i="21"/>
  <c r="AX277" i="21" s="1"/>
  <c r="R97" i="20"/>
  <c r="Q76" i="21"/>
  <c r="AW76" i="21" s="1"/>
  <c r="S123" i="20"/>
  <c r="R102" i="21"/>
  <c r="AX102" i="21" s="1"/>
  <c r="X408" i="20"/>
  <c r="W387" i="21"/>
  <c r="BC387" i="21" s="1"/>
  <c r="K76" i="20"/>
  <c r="J55" i="21"/>
  <c r="AP55" i="21" s="1"/>
  <c r="Y436" i="20"/>
  <c r="X415" i="21"/>
  <c r="BD415" i="21" s="1"/>
  <c r="I424" i="20"/>
  <c r="H403" i="21"/>
  <c r="AN403" i="21" s="1"/>
  <c r="Q387" i="20"/>
  <c r="P366" i="21"/>
  <c r="AV366" i="21" s="1"/>
  <c r="Q415" i="20"/>
  <c r="P394" i="21"/>
  <c r="AV394" i="21" s="1"/>
  <c r="H253" i="20"/>
  <c r="J185" i="1" s="1"/>
  <c r="W92" i="20"/>
  <c r="V71" i="21"/>
  <c r="BB71" i="21" s="1"/>
  <c r="Z406" i="20"/>
  <c r="Y385" i="21"/>
  <c r="BE385" i="21" s="1"/>
  <c r="W119" i="20"/>
  <c r="V98" i="21"/>
  <c r="BB98" i="21" s="1"/>
  <c r="T269" i="20"/>
  <c r="S248" i="21"/>
  <c r="AY248" i="21" s="1"/>
  <c r="Q215" i="20"/>
  <c r="P194" i="21"/>
  <c r="AV194" i="21" s="1"/>
  <c r="AE200" i="20"/>
  <c r="AE179" i="21" s="1"/>
  <c r="BK179" i="21" s="1"/>
  <c r="AD179" i="21"/>
  <c r="BJ179" i="21" s="1"/>
  <c r="O188" i="20"/>
  <c r="N167" i="21"/>
  <c r="AT167" i="21" s="1"/>
  <c r="K422" i="20"/>
  <c r="J401" i="21"/>
  <c r="AP401" i="21" s="1"/>
  <c r="H281" i="20"/>
  <c r="G260" i="21"/>
  <c r="AM260" i="21" s="1"/>
  <c r="Y117" i="20"/>
  <c r="X96" i="21"/>
  <c r="BD96" i="21" s="1"/>
  <c r="AE171" i="20"/>
  <c r="AE150" i="21" s="1"/>
  <c r="BK150" i="21" s="1"/>
  <c r="AD150" i="21"/>
  <c r="BJ150" i="21" s="1"/>
  <c r="T384" i="20"/>
  <c r="S363" i="21"/>
  <c r="AY363" i="21" s="1"/>
  <c r="AB145" i="20"/>
  <c r="AA124" i="21"/>
  <c r="BG124" i="21" s="1"/>
  <c r="H339" i="20"/>
  <c r="G318" i="21"/>
  <c r="AM318" i="21" s="1"/>
  <c r="AM319" i="21" s="1"/>
  <c r="G340" i="20"/>
  <c r="I189" i="1" s="1"/>
  <c r="H365" i="20"/>
  <c r="G344" i="21"/>
  <c r="AM344" i="21" s="1"/>
  <c r="AB58" i="20"/>
  <c r="AA37" i="21"/>
  <c r="BG37" i="21" s="1"/>
  <c r="Q272" i="20"/>
  <c r="P251" i="21"/>
  <c r="AV251" i="21" s="1"/>
  <c r="Y90" i="20"/>
  <c r="X69" i="21"/>
  <c r="BD69" i="21" s="1"/>
  <c r="Y348" i="20"/>
  <c r="X327" i="21"/>
  <c r="BD327" i="21" s="1"/>
  <c r="W323" i="20"/>
  <c r="V302" i="21"/>
  <c r="BB302" i="21" s="1"/>
  <c r="U467" i="20"/>
  <c r="T446" i="21"/>
  <c r="AZ446" i="21" s="1"/>
  <c r="W35" i="20"/>
  <c r="V14" i="21"/>
  <c r="BB14" i="21" s="1"/>
  <c r="W150" i="20"/>
  <c r="V129" i="21"/>
  <c r="BB129" i="21" s="1"/>
  <c r="P273" i="20"/>
  <c r="O252" i="21"/>
  <c r="AU252" i="21" s="1"/>
  <c r="H310" i="20"/>
  <c r="G289" i="21"/>
  <c r="AM289" i="21" s="1"/>
  <c r="AM290" i="21" s="1"/>
  <c r="Y235" i="20"/>
  <c r="X214" i="21"/>
  <c r="BD214" i="21" s="1"/>
  <c r="V36" i="20"/>
  <c r="U15" i="21"/>
  <c r="BA15" i="21" s="1"/>
  <c r="I49" i="20"/>
  <c r="H28" i="21"/>
  <c r="AN28" i="21" s="1"/>
  <c r="AD28" i="20"/>
  <c r="AC7" i="21"/>
  <c r="BI7" i="21" s="1"/>
  <c r="G135" i="20"/>
  <c r="F114" i="21"/>
  <c r="AL114" i="21" s="1"/>
  <c r="G455" i="20"/>
  <c r="F434" i="21"/>
  <c r="AL434" i="21" s="1"/>
  <c r="AL435" i="21" s="1"/>
  <c r="I338" i="20"/>
  <c r="H317" i="21"/>
  <c r="AN317" i="21" s="1"/>
  <c r="T441" i="20"/>
  <c r="S420" i="21"/>
  <c r="AY420" i="21" s="1"/>
  <c r="AC231" i="20"/>
  <c r="AB210" i="21"/>
  <c r="BH210" i="21" s="1"/>
  <c r="J77" i="20"/>
  <c r="I56" i="21"/>
  <c r="AO56" i="21" s="1"/>
  <c r="I479" i="20"/>
  <c r="H458" i="21"/>
  <c r="AN458" i="21" s="1"/>
  <c r="U411" i="20"/>
  <c r="T390" i="21"/>
  <c r="AZ390" i="21" s="1"/>
  <c r="M475" i="20"/>
  <c r="L454" i="21"/>
  <c r="AR454" i="21" s="1"/>
  <c r="O43" i="20"/>
  <c r="N22" i="21"/>
  <c r="AT22" i="21" s="1"/>
  <c r="J394" i="20"/>
  <c r="I373" i="21"/>
  <c r="AO373" i="21" s="1"/>
  <c r="U65" i="20"/>
  <c r="T44" i="21"/>
  <c r="AZ44" i="21" s="1"/>
  <c r="AD85" i="20"/>
  <c r="AC64" i="21"/>
  <c r="BI64" i="21" s="1"/>
  <c r="AK70" i="23"/>
  <c r="AK88" i="23" s="1"/>
  <c r="AK106" i="23" s="1"/>
  <c r="F145" i="21"/>
  <c r="H396" i="20"/>
  <c r="G375" i="21"/>
  <c r="AM375" i="21" s="1"/>
  <c r="Z116" i="20"/>
  <c r="Y95" i="21"/>
  <c r="BE95" i="21" s="1"/>
  <c r="M219" i="20"/>
  <c r="L198" i="21"/>
  <c r="AR198" i="21" s="1"/>
  <c r="AA146" i="20"/>
  <c r="Z125" i="21"/>
  <c r="BF125" i="21" s="1"/>
  <c r="I453" i="20"/>
  <c r="H432" i="21"/>
  <c r="AN432" i="21" s="1"/>
  <c r="S183" i="20"/>
  <c r="R162" i="21"/>
  <c r="AX162" i="21" s="1"/>
  <c r="AC86" i="20"/>
  <c r="AB65" i="21"/>
  <c r="BH65" i="21" s="1"/>
  <c r="Z234" i="20"/>
  <c r="Y213" i="21"/>
  <c r="BE213" i="21" s="1"/>
  <c r="AB232" i="20"/>
  <c r="AA211" i="21"/>
  <c r="BG211" i="21" s="1"/>
  <c r="T182" i="20"/>
  <c r="S161" i="21"/>
  <c r="AY161" i="21" s="1"/>
  <c r="Y407" i="20"/>
  <c r="X386" i="21"/>
  <c r="BD386" i="21" s="1"/>
  <c r="Q41" i="20"/>
  <c r="P20" i="21"/>
  <c r="AV20" i="21" s="1"/>
  <c r="AD316" i="20"/>
  <c r="AC295" i="21"/>
  <c r="BI295" i="21" s="1"/>
  <c r="U383" i="20"/>
  <c r="T362" i="21"/>
  <c r="AZ362" i="21" s="1"/>
  <c r="R299" i="20"/>
  <c r="Q278" i="21"/>
  <c r="AW278" i="21" s="1"/>
  <c r="Q330" i="20"/>
  <c r="P309" i="21"/>
  <c r="AV309" i="21" s="1"/>
  <c r="R328" i="20"/>
  <c r="Q307" i="21"/>
  <c r="AW307" i="21" s="1"/>
  <c r="I395" i="20"/>
  <c r="H374" i="21"/>
  <c r="AN374" i="21" s="1"/>
  <c r="R470" i="20"/>
  <c r="Q449" i="21"/>
  <c r="AW449" i="21" s="1"/>
  <c r="P472" i="20"/>
  <c r="O451" i="21"/>
  <c r="AU451" i="21" s="1"/>
  <c r="E368" i="20"/>
  <c r="D347" i="21"/>
  <c r="AJ347" i="21" s="1"/>
  <c r="AJ348" i="21" s="1"/>
  <c r="AA319" i="20"/>
  <c r="Z298" i="21"/>
  <c r="BF298" i="21" s="1"/>
  <c r="V410" i="20"/>
  <c r="U389" i="21"/>
  <c r="BA389" i="21" s="1"/>
  <c r="AC375" i="20"/>
  <c r="AB354" i="21"/>
  <c r="BH354" i="21" s="1"/>
  <c r="J132" i="20"/>
  <c r="I111" i="21"/>
  <c r="AO111" i="21" s="1"/>
  <c r="S212" i="20"/>
  <c r="R191" i="21"/>
  <c r="AX191" i="21" s="1"/>
  <c r="M160" i="20"/>
  <c r="L139" i="21"/>
  <c r="AR139" i="21" s="1"/>
  <c r="O72" i="20"/>
  <c r="N51" i="21"/>
  <c r="AT51" i="21" s="1"/>
  <c r="K278" i="20"/>
  <c r="J257" i="21"/>
  <c r="AP257" i="21" s="1"/>
  <c r="T211" i="20"/>
  <c r="S190" i="21"/>
  <c r="AY190" i="21" s="1"/>
  <c r="I164" i="20"/>
  <c r="H143" i="21"/>
  <c r="AN143" i="21" s="1"/>
  <c r="G481" i="20"/>
  <c r="F460" i="21"/>
  <c r="AL460" i="21" s="1"/>
  <c r="S154" i="20"/>
  <c r="R133" i="21"/>
  <c r="AX133" i="21" s="1"/>
  <c r="U268" i="20"/>
  <c r="T247" i="21"/>
  <c r="AZ247" i="21" s="1"/>
  <c r="V324" i="20"/>
  <c r="U303" i="21"/>
  <c r="BA303" i="21" s="1"/>
  <c r="K477" i="20"/>
  <c r="J456" i="21"/>
  <c r="AP456" i="21" s="1"/>
  <c r="H480" i="20"/>
  <c r="G459" i="21"/>
  <c r="AM459" i="21" s="1"/>
  <c r="S39" i="20"/>
  <c r="R18" i="21"/>
  <c r="AX18" i="21" s="1"/>
  <c r="Y321" i="20"/>
  <c r="X300" i="21"/>
  <c r="BD300" i="21" s="1"/>
  <c r="J251" i="20"/>
  <c r="I230" i="21"/>
  <c r="AO230" i="21" s="1"/>
  <c r="AB87" i="20"/>
  <c r="AA66" i="21"/>
  <c r="BG66" i="21" s="1"/>
  <c r="Z462" i="20"/>
  <c r="Y441" i="21"/>
  <c r="BE441" i="21" s="1"/>
  <c r="L249" i="20"/>
  <c r="K228" i="21"/>
  <c r="AQ228" i="21" s="1"/>
  <c r="Q300" i="20"/>
  <c r="P279" i="21"/>
  <c r="AV279" i="21" s="1"/>
  <c r="AD402" i="20"/>
  <c r="AC381" i="21"/>
  <c r="BI381" i="21" s="1"/>
  <c r="X62" i="20"/>
  <c r="W41" i="21"/>
  <c r="BC41" i="21" s="1"/>
  <c r="M276" i="20"/>
  <c r="L255" i="21"/>
  <c r="AR255" i="21" s="1"/>
  <c r="P157" i="20"/>
  <c r="O136" i="21"/>
  <c r="AU136" i="21" s="1"/>
  <c r="N44" i="20"/>
  <c r="M23" i="21"/>
  <c r="AS23" i="21" s="1"/>
  <c r="AC432" i="20"/>
  <c r="AB411" i="21"/>
  <c r="BH411" i="21" s="1"/>
  <c r="Z32" i="20"/>
  <c r="Y11" i="21"/>
  <c r="BE11" i="21" s="1"/>
  <c r="W63" i="20"/>
  <c r="V42" i="21"/>
  <c r="BB42" i="21" s="1"/>
  <c r="T468" i="20"/>
  <c r="S447" i="21"/>
  <c r="AY447" i="21" s="1"/>
  <c r="AD374" i="20"/>
  <c r="AC353" i="21"/>
  <c r="BI353" i="21" s="1"/>
  <c r="AB289" i="20"/>
  <c r="AA268" i="21"/>
  <c r="BG268" i="21" s="1"/>
  <c r="X380" i="20"/>
  <c r="W359" i="21"/>
  <c r="BC359" i="21" s="1"/>
  <c r="W438" i="20"/>
  <c r="V417" i="21"/>
  <c r="BB417" i="21" s="1"/>
  <c r="U152" i="20"/>
  <c r="T131" i="21"/>
  <c r="AZ131" i="21" s="1"/>
  <c r="Y264" i="20"/>
  <c r="X243" i="21"/>
  <c r="BD243" i="21" s="1"/>
  <c r="M360" i="20"/>
  <c r="L339" i="21"/>
  <c r="AR339" i="21" s="1"/>
  <c r="I280" i="20"/>
  <c r="H259" i="21"/>
  <c r="AN259" i="21" s="1"/>
  <c r="V209" i="20"/>
  <c r="U188" i="21"/>
  <c r="BA188" i="21" s="1"/>
  <c r="O473" i="20"/>
  <c r="N452" i="21"/>
  <c r="AT452" i="21" s="1"/>
  <c r="AC403" i="20"/>
  <c r="AB382" i="21"/>
  <c r="BH382" i="21" s="1"/>
  <c r="W179" i="20"/>
  <c r="V158" i="21"/>
  <c r="BB158" i="21" s="1"/>
  <c r="U181" i="20"/>
  <c r="T160" i="21"/>
  <c r="AZ160" i="21" s="1"/>
  <c r="AL73" i="23"/>
  <c r="AL91" i="23" s="1"/>
  <c r="AL109" i="23" s="1"/>
  <c r="G232" i="21"/>
  <c r="M74" i="20"/>
  <c r="L53" i="21"/>
  <c r="AR53" i="21" s="1"/>
  <c r="R98" i="20"/>
  <c r="Q77" i="21"/>
  <c r="AW77" i="21" s="1"/>
  <c r="M420" i="20"/>
  <c r="L399" i="21"/>
  <c r="AR399" i="21" s="1"/>
  <c r="W266" i="20"/>
  <c r="V245" i="21"/>
  <c r="BB245" i="21" s="1"/>
  <c r="Z176" i="20"/>
  <c r="Y155" i="21"/>
  <c r="BE155" i="21" s="1"/>
  <c r="AA88" i="20"/>
  <c r="Z67" i="21"/>
  <c r="BF67" i="21" s="1"/>
  <c r="Q356" i="20"/>
  <c r="P335" i="21"/>
  <c r="AV335" i="21" s="1"/>
  <c r="V64" i="20"/>
  <c r="U43" i="21"/>
  <c r="BA43" i="21" s="1"/>
  <c r="P302" i="20"/>
  <c r="O281" i="21"/>
  <c r="AU281" i="21" s="1"/>
  <c r="J193" i="20"/>
  <c r="I172" i="21"/>
  <c r="AO172" i="21" s="1"/>
  <c r="I178" i="1"/>
  <c r="AL67" i="23"/>
  <c r="AL85" i="23" s="1"/>
  <c r="AL103" i="23" s="1"/>
  <c r="G58" i="21"/>
  <c r="R414" i="20"/>
  <c r="Q393" i="21"/>
  <c r="AW393" i="21" s="1"/>
  <c r="AB261" i="20"/>
  <c r="AA240" i="21"/>
  <c r="BG240" i="21" s="1"/>
  <c r="R68" i="20"/>
  <c r="Q47" i="21"/>
  <c r="AW47" i="21" s="1"/>
  <c r="AA31" i="20"/>
  <c r="Z10" i="21"/>
  <c r="BF10" i="21" s="1"/>
  <c r="N448" i="20"/>
  <c r="M427" i="21"/>
  <c r="AS427" i="21" s="1"/>
  <c r="AA290" i="20"/>
  <c r="Z269" i="21"/>
  <c r="BF269" i="21" s="1"/>
  <c r="L335" i="20"/>
  <c r="K314" i="21"/>
  <c r="AQ314" i="21" s="1"/>
  <c r="AD56" i="20"/>
  <c r="AC35" i="21"/>
  <c r="BI35" i="21" s="1"/>
  <c r="P245" i="20"/>
  <c r="O224" i="21"/>
  <c r="AU224" i="21" s="1"/>
  <c r="H454" i="20"/>
  <c r="G433" i="21"/>
  <c r="AM433" i="21" s="1"/>
  <c r="G456" i="20"/>
  <c r="I194" i="1" s="1"/>
  <c r="S442" i="20"/>
  <c r="R421" i="21"/>
  <c r="AX421" i="21" s="1"/>
  <c r="L306" i="20"/>
  <c r="K285" i="21"/>
  <c r="AQ285" i="21" s="1"/>
  <c r="AE315" i="20"/>
  <c r="AE294" i="21" s="1"/>
  <c r="BK294" i="21" s="1"/>
  <c r="AD294" i="21"/>
  <c r="BJ294" i="21" s="1"/>
  <c r="O332" i="20"/>
  <c r="N311" i="21"/>
  <c r="AT311" i="21" s="1"/>
  <c r="AA262" i="20"/>
  <c r="Z241" i="21"/>
  <c r="BF241" i="21" s="1"/>
  <c r="AC173" i="20"/>
  <c r="AB152" i="21"/>
  <c r="BH152" i="21" s="1"/>
  <c r="S469" i="20"/>
  <c r="R448" i="21"/>
  <c r="AX448" i="21" s="1"/>
  <c r="R242" i="20"/>
  <c r="Q221" i="21"/>
  <c r="AW221" i="21" s="1"/>
  <c r="K336" i="20"/>
  <c r="J315" i="21"/>
  <c r="AP315" i="21" s="1"/>
  <c r="V180" i="20"/>
  <c r="U159" i="21"/>
  <c r="BA159" i="21" s="1"/>
  <c r="N275" i="20"/>
  <c r="M254" i="21"/>
  <c r="AS254" i="21" s="1"/>
  <c r="Y177" i="20"/>
  <c r="X156" i="21"/>
  <c r="BD156" i="21" s="1"/>
  <c r="J423" i="20"/>
  <c r="I402" i="21"/>
  <c r="AO402" i="21" s="1"/>
  <c r="AE286" i="20"/>
  <c r="AE265" i="21" s="1"/>
  <c r="BK265" i="21" s="1"/>
  <c r="AD265" i="21"/>
  <c r="BJ265" i="21" s="1"/>
  <c r="M391" i="20"/>
  <c r="L370" i="21"/>
  <c r="AR370" i="21" s="1"/>
  <c r="L277" i="20"/>
  <c r="K256" i="21"/>
  <c r="AQ256" i="21" s="1"/>
  <c r="O358" i="20"/>
  <c r="N337" i="21"/>
  <c r="AT337" i="21" s="1"/>
  <c r="L421" i="20"/>
  <c r="K400" i="21"/>
  <c r="AQ400" i="21" s="1"/>
  <c r="AB404" i="20"/>
  <c r="AA383" i="21"/>
  <c r="BG383" i="21" s="1"/>
  <c r="O246" i="20"/>
  <c r="N225" i="21"/>
  <c r="AT225" i="21" s="1"/>
  <c r="T240" i="20"/>
  <c r="S219" i="21"/>
  <c r="AY219" i="21" s="1"/>
  <c r="R185" i="20"/>
  <c r="Q164" i="21"/>
  <c r="AW164" i="21" s="1"/>
  <c r="M449" i="20"/>
  <c r="L428" i="21"/>
  <c r="AR428" i="21" s="1"/>
  <c r="X293" i="20"/>
  <c r="W272" i="21"/>
  <c r="BC272" i="21" s="1"/>
  <c r="O389" i="20"/>
  <c r="N368" i="21"/>
  <c r="AT368" i="21" s="1"/>
  <c r="AE401" i="20"/>
  <c r="AE380" i="21" s="1"/>
  <c r="BK380" i="21" s="1"/>
  <c r="AD380" i="21"/>
  <c r="BJ380" i="21" s="1"/>
  <c r="AA115" i="20"/>
  <c r="Z94" i="21"/>
  <c r="BF94" i="21" s="1"/>
  <c r="Z347" i="20"/>
  <c r="Y326" i="21"/>
  <c r="BE326" i="21" s="1"/>
  <c r="AA204" i="20"/>
  <c r="Z183" i="21"/>
  <c r="BF183" i="21" s="1"/>
  <c r="Z435" i="20"/>
  <c r="Y414" i="21"/>
  <c r="BE414" i="21" s="1"/>
  <c r="L361" i="20"/>
  <c r="K340" i="21"/>
  <c r="AQ340" i="21" s="1"/>
  <c r="AD431" i="20"/>
  <c r="AC410" i="21"/>
  <c r="BI410" i="21" s="1"/>
  <c r="Y292" i="20"/>
  <c r="X271" i="21"/>
  <c r="BD271" i="21" s="1"/>
  <c r="AB460" i="20"/>
  <c r="AA439" i="21"/>
  <c r="BG439" i="21" s="1"/>
  <c r="AD230" i="20"/>
  <c r="AC209" i="21"/>
  <c r="BI209" i="21" s="1"/>
  <c r="V267" i="20"/>
  <c r="U246" i="21"/>
  <c r="BA246" i="21" s="1"/>
  <c r="Q70" i="20"/>
  <c r="P49" i="21"/>
  <c r="AV49" i="21" s="1"/>
  <c r="AC29" i="20"/>
  <c r="AB8" i="21"/>
  <c r="BH8" i="21" s="1"/>
  <c r="AK79" i="23"/>
  <c r="AK97" i="23" s="1"/>
  <c r="AK115" i="23" s="1"/>
  <c r="F406" i="21"/>
  <c r="AE84" i="20"/>
  <c r="AE63" i="21" s="1"/>
  <c r="BK63" i="21" s="1"/>
  <c r="AD63" i="21"/>
  <c r="BJ63" i="21" s="1"/>
  <c r="R386" i="20"/>
  <c r="Q365" i="21"/>
  <c r="AW365" i="21" s="1"/>
  <c r="N159" i="20"/>
  <c r="M138" i="21"/>
  <c r="AS138" i="21" s="1"/>
  <c r="V151" i="20"/>
  <c r="U130" i="21"/>
  <c r="BA130" i="21" s="1"/>
  <c r="N333" i="20"/>
  <c r="M312" i="21"/>
  <c r="AS312" i="21" s="1"/>
  <c r="V351" i="20"/>
  <c r="U330" i="21"/>
  <c r="BA330" i="21" s="1"/>
  <c r="Q471" i="20"/>
  <c r="P450" i="21"/>
  <c r="AV450" i="21" s="1"/>
  <c r="S96" i="20"/>
  <c r="R75" i="21"/>
  <c r="AX75" i="21" s="1"/>
  <c r="R443" i="20"/>
  <c r="Q422" i="21"/>
  <c r="AW422" i="21" s="1"/>
  <c r="P417" i="20"/>
  <c r="O396" i="21"/>
  <c r="AU396" i="21" s="1"/>
  <c r="J279" i="20"/>
  <c r="I258" i="21"/>
  <c r="AO258" i="21" s="1"/>
  <c r="S413" i="20"/>
  <c r="R392" i="21"/>
  <c r="AX392" i="21" s="1"/>
  <c r="X149" i="20"/>
  <c r="W128" i="21"/>
  <c r="BC128" i="21" s="1"/>
  <c r="U37" i="20"/>
  <c r="T16" i="21"/>
  <c r="AZ16" i="21" s="1"/>
  <c r="I309" i="20"/>
  <c r="H288" i="21"/>
  <c r="AN288" i="21" s="1"/>
  <c r="J478" i="20"/>
  <c r="I457" i="21"/>
  <c r="AO457" i="21" s="1"/>
  <c r="K393" i="20"/>
  <c r="J372" i="21"/>
  <c r="AP372" i="21" s="1"/>
  <c r="U210" i="20"/>
  <c r="T189" i="21"/>
  <c r="AZ189" i="21" s="1"/>
  <c r="AD201" i="20"/>
  <c r="AC180" i="21"/>
  <c r="BI180" i="21" s="1"/>
  <c r="L220" i="20"/>
  <c r="K199" i="21"/>
  <c r="AQ199" i="21" s="1"/>
  <c r="V120" i="20"/>
  <c r="U99" i="21"/>
  <c r="BA99" i="21" s="1"/>
  <c r="T153" i="20"/>
  <c r="S132" i="21"/>
  <c r="AY132" i="21" s="1"/>
  <c r="F482" i="20"/>
  <c r="E461" i="21"/>
  <c r="AK461" i="21" s="1"/>
  <c r="M305" i="20"/>
  <c r="L284" i="21"/>
  <c r="AR284" i="21" s="1"/>
  <c r="I107" i="20"/>
  <c r="I108" i="20" s="1"/>
  <c r="H86" i="21"/>
  <c r="AN86" i="21" s="1"/>
  <c r="AN87" i="21" s="1"/>
  <c r="H108" i="20"/>
  <c r="K451" i="20"/>
  <c r="J430" i="21"/>
  <c r="AP430" i="21" s="1"/>
  <c r="AH77" i="23"/>
  <c r="AH95" i="23" s="1"/>
  <c r="AH113" i="23" s="1"/>
  <c r="C348" i="21"/>
  <c r="Z60" i="20"/>
  <c r="Y39" i="21"/>
  <c r="BE39" i="21" s="1"/>
  <c r="R69" i="20"/>
  <c r="Q48" i="21"/>
  <c r="AW48" i="21" s="1"/>
  <c r="V295" i="20"/>
  <c r="U274" i="21"/>
  <c r="BA274" i="21" s="1"/>
  <c r="Z89" i="20"/>
  <c r="Y68" i="21"/>
  <c r="BE68" i="21" s="1"/>
  <c r="Q244" i="20"/>
  <c r="P223" i="21"/>
  <c r="AV223" i="21" s="1"/>
  <c r="I194" i="20"/>
  <c r="I195" i="20" s="1"/>
  <c r="K183" i="1" s="1"/>
  <c r="H173" i="21"/>
  <c r="AN173" i="21" s="1"/>
  <c r="AN174" i="21" s="1"/>
  <c r="O101" i="20"/>
  <c r="N80" i="21"/>
  <c r="AT80" i="21" s="1"/>
  <c r="M45" i="20"/>
  <c r="L24" i="21"/>
  <c r="AR24" i="21" s="1"/>
  <c r="L392" i="20"/>
  <c r="K371" i="21"/>
  <c r="AQ371" i="21" s="1"/>
  <c r="AA405" i="20"/>
  <c r="Z384" i="21"/>
  <c r="BF384" i="21" s="1"/>
  <c r="N474" i="20"/>
  <c r="M453" i="21"/>
  <c r="AS453" i="21" s="1"/>
  <c r="O274" i="20"/>
  <c r="N253" i="21"/>
  <c r="AT253" i="21" s="1"/>
  <c r="W208" i="20"/>
  <c r="V187" i="21"/>
  <c r="BB187" i="21" s="1"/>
  <c r="X91" i="20"/>
  <c r="W70" i="21"/>
  <c r="BC70" i="21" s="1"/>
  <c r="F456" i="20"/>
  <c r="H194" i="1" s="1"/>
  <c r="H22" i="1"/>
  <c r="V22" i="1"/>
  <c r="I22" i="1"/>
  <c r="T10" i="1"/>
  <c r="O22" i="1"/>
  <c r="X4" i="1"/>
  <c r="X22" i="1"/>
  <c r="F22" i="1"/>
  <c r="P4" i="1"/>
  <c r="F16" i="1"/>
  <c r="Z22" i="1"/>
  <c r="S4" i="1"/>
  <c r="O4" i="1"/>
  <c r="N10" i="1"/>
  <c r="I10" i="1"/>
  <c r="E4" i="1"/>
  <c r="AK104" i="23"/>
  <c r="T4" i="1"/>
  <c r="Y10" i="1"/>
  <c r="T22" i="1"/>
  <c r="G4" i="1"/>
  <c r="T16" i="1"/>
  <c r="Z4" i="1"/>
  <c r="O16" i="1"/>
  <c r="J16" i="1"/>
  <c r="M22" i="1"/>
  <c r="L16" i="1"/>
  <c r="J4" i="1"/>
  <c r="Q16" i="1"/>
  <c r="R16" i="1"/>
  <c r="E22" i="1"/>
  <c r="Q22" i="1"/>
  <c r="X16" i="1"/>
  <c r="U22" i="1"/>
  <c r="G16" i="1"/>
  <c r="J10" i="1"/>
  <c r="O10" i="1"/>
  <c r="K22" i="1"/>
  <c r="I16" i="1"/>
  <c r="R22" i="1"/>
  <c r="Z10" i="1"/>
  <c r="Q4" i="1"/>
  <c r="Y4" i="1"/>
  <c r="W4" i="1"/>
  <c r="W16" i="1"/>
  <c r="U16" i="1"/>
  <c r="J22" i="1"/>
  <c r="X10" i="1"/>
  <c r="V4" i="1"/>
  <c r="P16" i="1"/>
  <c r="N22" i="1"/>
  <c r="H10" i="1"/>
  <c r="S16" i="1"/>
  <c r="C256" i="20"/>
  <c r="C372" i="20" s="1"/>
  <c r="D24" i="20"/>
  <c r="C3" i="21"/>
  <c r="AH102" i="23" l="1"/>
  <c r="AH119" i="23" s="1"/>
  <c r="AI119" i="23" s="1"/>
  <c r="L89" i="1"/>
  <c r="P89" i="1"/>
  <c r="P71" i="1"/>
  <c r="L71" i="1"/>
  <c r="AI3" i="21"/>
  <c r="AI29" i="21" s="1"/>
  <c r="B3" i="1" s="1"/>
  <c r="AM144" i="21"/>
  <c r="AM145" i="21" s="1"/>
  <c r="F9" i="1" s="1"/>
  <c r="F11" i="1" s="1"/>
  <c r="C235" i="21"/>
  <c r="K179" i="1"/>
  <c r="I87" i="21"/>
  <c r="AN68" i="23"/>
  <c r="AN86" i="23" s="1"/>
  <c r="AN104" i="23" s="1"/>
  <c r="I203" i="21"/>
  <c r="AN72" i="23"/>
  <c r="AN90" i="23" s="1"/>
  <c r="AN108" i="23" s="1"/>
  <c r="W295" i="20"/>
  <c r="V274" i="21"/>
  <c r="BB274" i="21" s="1"/>
  <c r="AA60" i="20"/>
  <c r="Z39" i="21"/>
  <c r="BF39" i="21" s="1"/>
  <c r="K478" i="20"/>
  <c r="J457" i="21"/>
  <c r="AP457" i="21" s="1"/>
  <c r="V37" i="20"/>
  <c r="U16" i="21"/>
  <c r="BA16" i="21" s="1"/>
  <c r="W180" i="20"/>
  <c r="V159" i="21"/>
  <c r="BB159" i="21" s="1"/>
  <c r="AA176" i="20"/>
  <c r="Z155" i="21"/>
  <c r="BF155" i="21" s="1"/>
  <c r="Y380" i="20"/>
  <c r="X359" i="21"/>
  <c r="BD359" i="21" s="1"/>
  <c r="AE374" i="20"/>
  <c r="AE353" i="21" s="1"/>
  <c r="BK353" i="21" s="1"/>
  <c r="AD353" i="21"/>
  <c r="BJ353" i="21" s="1"/>
  <c r="O44" i="20"/>
  <c r="N23" i="21"/>
  <c r="AT23" i="21" s="1"/>
  <c r="K251" i="20"/>
  <c r="J230" i="21"/>
  <c r="AP230" i="21" s="1"/>
  <c r="I480" i="20"/>
  <c r="H459" i="21"/>
  <c r="AN459" i="21" s="1"/>
  <c r="W324" i="20"/>
  <c r="V303" i="21"/>
  <c r="BB303" i="21" s="1"/>
  <c r="K132" i="20"/>
  <c r="J111" i="21"/>
  <c r="AP111" i="21" s="1"/>
  <c r="W410" i="20"/>
  <c r="V389" i="21"/>
  <c r="BB389" i="21" s="1"/>
  <c r="V65" i="20"/>
  <c r="U44" i="21"/>
  <c r="BA44" i="21" s="1"/>
  <c r="I310" i="20"/>
  <c r="H289" i="21"/>
  <c r="AN289" i="21" s="1"/>
  <c r="AN290" i="21" s="1"/>
  <c r="H311" i="20"/>
  <c r="J188" i="1" s="1"/>
  <c r="V467" i="20"/>
  <c r="U446" i="21"/>
  <c r="BA446" i="21" s="1"/>
  <c r="R329" i="20"/>
  <c r="Q308" i="21"/>
  <c r="AW308" i="21" s="1"/>
  <c r="AB175" i="20"/>
  <c r="AA154" i="21"/>
  <c r="BG154" i="21" s="1"/>
  <c r="R125" i="20"/>
  <c r="Q104" i="21"/>
  <c r="AW104" i="21" s="1"/>
  <c r="G136" i="20"/>
  <c r="F115" i="21"/>
  <c r="AL115" i="21" s="1"/>
  <c r="AL116" i="21" s="1"/>
  <c r="F137" i="20"/>
  <c r="V440" i="20"/>
  <c r="U419" i="21"/>
  <c r="BA419" i="21" s="1"/>
  <c r="P303" i="20"/>
  <c r="O282" i="21"/>
  <c r="AU282" i="21" s="1"/>
  <c r="AA378" i="20"/>
  <c r="Z357" i="21"/>
  <c r="BF357" i="21" s="1"/>
  <c r="O73" i="20"/>
  <c r="N52" i="21"/>
  <c r="AT52" i="21" s="1"/>
  <c r="AB59" i="20"/>
  <c r="AA38" i="21"/>
  <c r="BG38" i="21" s="1"/>
  <c r="U66" i="20"/>
  <c r="T45" i="21"/>
  <c r="AZ45" i="21" s="1"/>
  <c r="W238" i="20"/>
  <c r="V217" i="21"/>
  <c r="BB217" i="21" s="1"/>
  <c r="Y118" i="20"/>
  <c r="X97" i="21"/>
  <c r="BD97" i="21" s="1"/>
  <c r="S271" i="20"/>
  <c r="R250" i="21"/>
  <c r="AX250" i="21" s="1"/>
  <c r="D464" i="21"/>
  <c r="AI81" i="23"/>
  <c r="AI99" i="23" s="1"/>
  <c r="AI117" i="23" s="1"/>
  <c r="AB233" i="20"/>
  <c r="AA212" i="21"/>
  <c r="BG212" i="21" s="1"/>
  <c r="H426" i="20"/>
  <c r="G405" i="21"/>
  <c r="AM405" i="21" s="1"/>
  <c r="AM406" i="21" s="1"/>
  <c r="G427" i="20"/>
  <c r="I193" i="1" s="1"/>
  <c r="P418" i="20"/>
  <c r="O397" i="21"/>
  <c r="AU397" i="21" s="1"/>
  <c r="R186" i="20"/>
  <c r="Q165" i="21"/>
  <c r="AW165" i="21" s="1"/>
  <c r="AC318" i="20"/>
  <c r="AB297" i="21"/>
  <c r="BH297" i="21" s="1"/>
  <c r="U326" i="20"/>
  <c r="T305" i="21"/>
  <c r="AZ305" i="21" s="1"/>
  <c r="AD288" i="20"/>
  <c r="AC267" i="21"/>
  <c r="BI267" i="21" s="1"/>
  <c r="Z463" i="20"/>
  <c r="Y442" i="21"/>
  <c r="BE442" i="21" s="1"/>
  <c r="Q126" i="20"/>
  <c r="P105" i="21"/>
  <c r="AV105" i="21" s="1"/>
  <c r="O218" i="20"/>
  <c r="N197" i="21"/>
  <c r="AT197" i="21" s="1"/>
  <c r="W466" i="20"/>
  <c r="V445" i="21"/>
  <c r="BB445" i="21" s="1"/>
  <c r="X465" i="20"/>
  <c r="W444" i="21"/>
  <c r="BC444" i="21" s="1"/>
  <c r="W93" i="20"/>
  <c r="V72" i="21"/>
  <c r="BB72" i="21" s="1"/>
  <c r="U297" i="20"/>
  <c r="T276" i="21"/>
  <c r="AZ276" i="21" s="1"/>
  <c r="AD57" i="20"/>
  <c r="AC36" i="21"/>
  <c r="BI36" i="21" s="1"/>
  <c r="P127" i="20"/>
  <c r="O106" i="21"/>
  <c r="AU106" i="21" s="1"/>
  <c r="M476" i="20"/>
  <c r="L455" i="21"/>
  <c r="AR455" i="21" s="1"/>
  <c r="X294" i="20"/>
  <c r="W273" i="21"/>
  <c r="BC273" i="21" s="1"/>
  <c r="V121" i="20"/>
  <c r="U100" i="21"/>
  <c r="BA100" i="21" s="1"/>
  <c r="T385" i="20"/>
  <c r="S364" i="21"/>
  <c r="AY364" i="21" s="1"/>
  <c r="L105" i="20"/>
  <c r="K84" i="21"/>
  <c r="AQ84" i="21" s="1"/>
  <c r="N334" i="20"/>
  <c r="M313" i="21"/>
  <c r="AS313" i="21" s="1"/>
  <c r="I165" i="20"/>
  <c r="H144" i="21"/>
  <c r="AD459" i="20"/>
  <c r="AC438" i="21"/>
  <c r="BI438" i="21" s="1"/>
  <c r="Q216" i="20"/>
  <c r="P195" i="21"/>
  <c r="AV195" i="21" s="1"/>
  <c r="Q71" i="20"/>
  <c r="P50" i="21"/>
  <c r="AV50" i="21" s="1"/>
  <c r="D256" i="20"/>
  <c r="E256" i="20" s="1"/>
  <c r="Y91" i="20"/>
  <c r="X70" i="21"/>
  <c r="BD70" i="21" s="1"/>
  <c r="X208" i="20"/>
  <c r="W187" i="21"/>
  <c r="BC187" i="21" s="1"/>
  <c r="J194" i="20"/>
  <c r="I173" i="21"/>
  <c r="AO173" i="21" s="1"/>
  <c r="AO174" i="21" s="1"/>
  <c r="L451" i="20"/>
  <c r="K430" i="21"/>
  <c r="AQ430" i="21" s="1"/>
  <c r="M220" i="20"/>
  <c r="L199" i="21"/>
  <c r="AR199" i="21" s="1"/>
  <c r="L393" i="20"/>
  <c r="K372" i="21"/>
  <c r="AQ372" i="21" s="1"/>
  <c r="K279" i="20"/>
  <c r="J258" i="21"/>
  <c r="AP258" i="21" s="1"/>
  <c r="AA347" i="20"/>
  <c r="Z326" i="21"/>
  <c r="BF326" i="21" s="1"/>
  <c r="AB115" i="20"/>
  <c r="AA94" i="21"/>
  <c r="BG94" i="21" s="1"/>
  <c r="Y293" i="20"/>
  <c r="X272" i="21"/>
  <c r="BD272" i="21" s="1"/>
  <c r="K423" i="20"/>
  <c r="J402" i="21"/>
  <c r="AP402" i="21" s="1"/>
  <c r="S242" i="20"/>
  <c r="R221" i="21"/>
  <c r="AX221" i="21" s="1"/>
  <c r="T442" i="20"/>
  <c r="S421" i="21"/>
  <c r="AY421" i="21" s="1"/>
  <c r="O448" i="20"/>
  <c r="N427" i="21"/>
  <c r="AT427" i="21" s="1"/>
  <c r="S68" i="20"/>
  <c r="R47" i="21"/>
  <c r="AX47" i="21" s="1"/>
  <c r="S414" i="20"/>
  <c r="R393" i="21"/>
  <c r="AX393" i="21" s="1"/>
  <c r="V181" i="20"/>
  <c r="U160" i="21"/>
  <c r="BA160" i="21" s="1"/>
  <c r="X63" i="20"/>
  <c r="W42" i="21"/>
  <c r="BC42" i="21" s="1"/>
  <c r="M249" i="20"/>
  <c r="L228" i="21"/>
  <c r="AR228" i="21" s="1"/>
  <c r="T39" i="20"/>
  <c r="S18" i="21"/>
  <c r="AY18" i="21" s="1"/>
  <c r="T154" i="20"/>
  <c r="S133" i="21"/>
  <c r="AY133" i="21" s="1"/>
  <c r="U211" i="20"/>
  <c r="T190" i="21"/>
  <c r="AZ190" i="21" s="1"/>
  <c r="T212" i="20"/>
  <c r="S191" i="21"/>
  <c r="AY191" i="21" s="1"/>
  <c r="F368" i="20"/>
  <c r="E347" i="21"/>
  <c r="AK347" i="21" s="1"/>
  <c r="AK348" i="21" s="1"/>
  <c r="S470" i="20"/>
  <c r="R449" i="21"/>
  <c r="AX449" i="21" s="1"/>
  <c r="V383" i="20"/>
  <c r="U362" i="21"/>
  <c r="BA362" i="21" s="1"/>
  <c r="Z407" i="20"/>
  <c r="Y386" i="21"/>
  <c r="BE386" i="21" s="1"/>
  <c r="T183" i="20"/>
  <c r="S162" i="21"/>
  <c r="AY162" i="21" s="1"/>
  <c r="N219" i="20"/>
  <c r="M198" i="21"/>
  <c r="AS198" i="21" s="1"/>
  <c r="I396" i="20"/>
  <c r="H375" i="21"/>
  <c r="AN375" i="21" s="1"/>
  <c r="P43" i="20"/>
  <c r="O22" i="21"/>
  <c r="AU22" i="21" s="1"/>
  <c r="V411" i="20"/>
  <c r="U390" i="21"/>
  <c r="BA390" i="21" s="1"/>
  <c r="K77" i="20"/>
  <c r="J56" i="21"/>
  <c r="AP56" i="21" s="1"/>
  <c r="J338" i="20"/>
  <c r="I317" i="21"/>
  <c r="AO317" i="21" s="1"/>
  <c r="H135" i="20"/>
  <c r="G114" i="21"/>
  <c r="AM114" i="21" s="1"/>
  <c r="Z90" i="20"/>
  <c r="Y69" i="21"/>
  <c r="BE69" i="21" s="1"/>
  <c r="AC58" i="20"/>
  <c r="AB37" i="21"/>
  <c r="BH37" i="21" s="1"/>
  <c r="I281" i="20"/>
  <c r="H260" i="21"/>
  <c r="AN260" i="21" s="1"/>
  <c r="H232" i="21"/>
  <c r="AM73" i="23"/>
  <c r="AM91" i="23" s="1"/>
  <c r="AM109" i="23" s="1"/>
  <c r="R387" i="20"/>
  <c r="Q366" i="21"/>
  <c r="AW366" i="21" s="1"/>
  <c r="Z436" i="20"/>
  <c r="Y415" i="21"/>
  <c r="BE415" i="21" s="1"/>
  <c r="Y408" i="20"/>
  <c r="X387" i="21"/>
  <c r="BD387" i="21" s="1"/>
  <c r="S184" i="20"/>
  <c r="R163" i="21"/>
  <c r="AX163" i="21" s="1"/>
  <c r="L47" i="20"/>
  <c r="K26" i="21"/>
  <c r="AQ26" i="21" s="1"/>
  <c r="AA320" i="20"/>
  <c r="Z299" i="21"/>
  <c r="BF299" i="21" s="1"/>
  <c r="Y207" i="20"/>
  <c r="X186" i="21"/>
  <c r="BD186" i="21" s="1"/>
  <c r="S355" i="20"/>
  <c r="R334" i="21"/>
  <c r="AX334" i="21" s="1"/>
  <c r="AD144" i="20"/>
  <c r="AC123" i="21"/>
  <c r="BI123" i="21" s="1"/>
  <c r="V325" i="20"/>
  <c r="U304" i="21"/>
  <c r="BA304" i="21" s="1"/>
  <c r="E369" i="20"/>
  <c r="G190" i="1" s="1"/>
  <c r="V296" i="20"/>
  <c r="U275" i="21"/>
  <c r="BA275" i="21" s="1"/>
  <c r="H203" i="21"/>
  <c r="AM72" i="23"/>
  <c r="AM90" i="23" s="1"/>
  <c r="AM108" i="23" s="1"/>
  <c r="AH81" i="23"/>
  <c r="AH99" i="23" s="1"/>
  <c r="AH117" i="23" s="1"/>
  <c r="C464" i="21"/>
  <c r="L250" i="20"/>
  <c r="K229" i="21"/>
  <c r="AQ229" i="21" s="1"/>
  <c r="Q446" i="20"/>
  <c r="P425" i="21"/>
  <c r="AV425" i="21" s="1"/>
  <c r="O128" i="20"/>
  <c r="N107" i="21"/>
  <c r="AT107" i="21" s="1"/>
  <c r="AE287" i="20"/>
  <c r="AE266" i="21" s="1"/>
  <c r="BK266" i="21" s="1"/>
  <c r="AD266" i="21"/>
  <c r="BJ266" i="21" s="1"/>
  <c r="Y34" i="20"/>
  <c r="X13" i="21"/>
  <c r="BD13" i="21" s="1"/>
  <c r="V239" i="20"/>
  <c r="U218" i="21"/>
  <c r="BA218" i="21" s="1"/>
  <c r="O189" i="20"/>
  <c r="N168" i="21"/>
  <c r="AT168" i="21" s="1"/>
  <c r="P217" i="20"/>
  <c r="O196" i="21"/>
  <c r="AU196" i="21" s="1"/>
  <c r="Y265" i="20"/>
  <c r="X244" i="21"/>
  <c r="BD244" i="21" s="1"/>
  <c r="N248" i="20"/>
  <c r="M227" i="21"/>
  <c r="AS227" i="21" s="1"/>
  <c r="U353" i="20"/>
  <c r="T332" i="21"/>
  <c r="AZ332" i="21" s="1"/>
  <c r="AE172" i="20"/>
  <c r="AE151" i="21" s="1"/>
  <c r="BK151" i="21" s="1"/>
  <c r="AD151" i="21"/>
  <c r="BJ151" i="21" s="1"/>
  <c r="V352" i="20"/>
  <c r="U331" i="21"/>
  <c r="BA331" i="21" s="1"/>
  <c r="Q357" i="20"/>
  <c r="P336" i="21"/>
  <c r="AV336" i="21" s="1"/>
  <c r="AB377" i="20"/>
  <c r="AA356" i="21"/>
  <c r="BG356" i="21" s="1"/>
  <c r="AD344" i="20"/>
  <c r="AC323" i="21"/>
  <c r="BI323" i="21" s="1"/>
  <c r="S213" i="20"/>
  <c r="R192" i="21"/>
  <c r="AX192" i="21" s="1"/>
  <c r="AA205" i="20"/>
  <c r="Z184" i="21"/>
  <c r="BF184" i="21" s="1"/>
  <c r="J78" i="20"/>
  <c r="J79" i="20" s="1"/>
  <c r="I57" i="21"/>
  <c r="AO57" i="21" s="1"/>
  <c r="AO58" i="21" s="1"/>
  <c r="I79" i="20"/>
  <c r="K163" i="20"/>
  <c r="J142" i="21"/>
  <c r="AP142" i="21" s="1"/>
  <c r="I134" i="20"/>
  <c r="H113" i="21"/>
  <c r="AN113" i="21" s="1"/>
  <c r="Y437" i="20"/>
  <c r="X416" i="21"/>
  <c r="BD416" i="21" s="1"/>
  <c r="Q331" i="20"/>
  <c r="P310" i="21"/>
  <c r="AV310" i="21" s="1"/>
  <c r="Z379" i="20"/>
  <c r="Y358" i="21"/>
  <c r="BE358" i="21" s="1"/>
  <c r="X409" i="20"/>
  <c r="W388" i="21"/>
  <c r="BC388" i="21" s="1"/>
  <c r="K452" i="20"/>
  <c r="J431" i="21"/>
  <c r="AP431" i="21" s="1"/>
  <c r="AA263" i="20"/>
  <c r="Z242" i="21"/>
  <c r="BF242" i="21" s="1"/>
  <c r="AB346" i="20"/>
  <c r="AA325" i="21"/>
  <c r="BG325" i="21" s="1"/>
  <c r="P274" i="20"/>
  <c r="O253" i="21"/>
  <c r="AU253" i="21" s="1"/>
  <c r="AB405" i="20"/>
  <c r="AA384" i="21"/>
  <c r="BG384" i="21" s="1"/>
  <c r="N45" i="20"/>
  <c r="M24" i="21"/>
  <c r="AS24" i="21" s="1"/>
  <c r="J179" i="1"/>
  <c r="H87" i="21"/>
  <c r="AM68" i="23"/>
  <c r="AM86" i="23" s="1"/>
  <c r="AM104" i="23" s="1"/>
  <c r="N305" i="20"/>
  <c r="M284" i="21"/>
  <c r="AS284" i="21" s="1"/>
  <c r="N449" i="20"/>
  <c r="M428" i="21"/>
  <c r="AS428" i="21" s="1"/>
  <c r="X179" i="20"/>
  <c r="W158" i="21"/>
  <c r="BC158" i="21" s="1"/>
  <c r="P473" i="20"/>
  <c r="O452" i="21"/>
  <c r="AU452" i="21" s="1"/>
  <c r="Z264" i="20"/>
  <c r="Y243" i="21"/>
  <c r="BE243" i="21" s="1"/>
  <c r="N276" i="20"/>
  <c r="M255" i="21"/>
  <c r="AS255" i="21" s="1"/>
  <c r="AE402" i="20"/>
  <c r="AE381" i="21" s="1"/>
  <c r="BK381" i="21" s="1"/>
  <c r="AD381" i="21"/>
  <c r="BJ381" i="21" s="1"/>
  <c r="AM70" i="23"/>
  <c r="AM88" i="23" s="1"/>
  <c r="AM106" i="23" s="1"/>
  <c r="H145" i="21"/>
  <c r="R330" i="20"/>
  <c r="Q309" i="21"/>
  <c r="AW309" i="21" s="1"/>
  <c r="U182" i="20"/>
  <c r="T161" i="21"/>
  <c r="AZ161" i="21" s="1"/>
  <c r="AA234" i="20"/>
  <c r="Z213" i="21"/>
  <c r="BF213" i="21" s="1"/>
  <c r="J453" i="20"/>
  <c r="I432" i="21"/>
  <c r="AO432" i="21" s="1"/>
  <c r="AE28" i="20"/>
  <c r="AE7" i="21" s="1"/>
  <c r="BK7" i="21" s="1"/>
  <c r="AD7" i="21"/>
  <c r="BJ7" i="21" s="1"/>
  <c r="W36" i="20"/>
  <c r="V15" i="21"/>
  <c r="BB15" i="21" s="1"/>
  <c r="X150" i="20"/>
  <c r="W129" i="21"/>
  <c r="BC129" i="21" s="1"/>
  <c r="Z348" i="20"/>
  <c r="Y327" i="21"/>
  <c r="BE327" i="21" s="1"/>
  <c r="P188" i="20"/>
  <c r="O167" i="21"/>
  <c r="AU167" i="21" s="1"/>
  <c r="X119" i="20"/>
  <c r="W98" i="21"/>
  <c r="BC98" i="21" s="1"/>
  <c r="X92" i="20"/>
  <c r="W71" i="21"/>
  <c r="BC71" i="21" s="1"/>
  <c r="T298" i="20"/>
  <c r="S277" i="21"/>
  <c r="AY277" i="21" s="1"/>
  <c r="X237" i="20"/>
  <c r="W216" i="21"/>
  <c r="BC216" i="21" s="1"/>
  <c r="X381" i="20"/>
  <c r="W360" i="21"/>
  <c r="BC360" i="21" s="1"/>
  <c r="R99" i="20"/>
  <c r="Q78" i="21"/>
  <c r="AW78" i="21" s="1"/>
  <c r="O304" i="20"/>
  <c r="N283" i="21"/>
  <c r="AT283" i="21" s="1"/>
  <c r="AC376" i="20"/>
  <c r="AB355" i="21"/>
  <c r="BH355" i="21" s="1"/>
  <c r="AK80" i="23"/>
  <c r="AK98" i="23" s="1"/>
  <c r="AK116" i="23" s="1"/>
  <c r="F435" i="21"/>
  <c r="O474" i="20"/>
  <c r="N453" i="21"/>
  <c r="AT453" i="21" s="1"/>
  <c r="M392" i="20"/>
  <c r="L371" i="21"/>
  <c r="AR371" i="21" s="1"/>
  <c r="AA89" i="20"/>
  <c r="Z68" i="21"/>
  <c r="BF68" i="21" s="1"/>
  <c r="S69" i="20"/>
  <c r="R48" i="21"/>
  <c r="AX48" i="21" s="1"/>
  <c r="T413" i="20"/>
  <c r="S392" i="21"/>
  <c r="AY392" i="21" s="1"/>
  <c r="S443" i="20"/>
  <c r="R422" i="21"/>
  <c r="AX422" i="21" s="1"/>
  <c r="R471" i="20"/>
  <c r="Q450" i="21"/>
  <c r="AW450" i="21" s="1"/>
  <c r="R70" i="20"/>
  <c r="Q49" i="21"/>
  <c r="AW49" i="21" s="1"/>
  <c r="AC460" i="20"/>
  <c r="AB439" i="21"/>
  <c r="BH439" i="21" s="1"/>
  <c r="AE431" i="20"/>
  <c r="AE410" i="21" s="1"/>
  <c r="BK410" i="21" s="1"/>
  <c r="AD410" i="21"/>
  <c r="BJ410" i="21" s="1"/>
  <c r="S185" i="20"/>
  <c r="R164" i="21"/>
  <c r="AX164" i="21" s="1"/>
  <c r="U240" i="20"/>
  <c r="T219" i="21"/>
  <c r="AZ219" i="21" s="1"/>
  <c r="AC404" i="20"/>
  <c r="AB383" i="21"/>
  <c r="BH383" i="21" s="1"/>
  <c r="P358" i="20"/>
  <c r="O337" i="21"/>
  <c r="AU337" i="21" s="1"/>
  <c r="O275" i="20"/>
  <c r="N254" i="21"/>
  <c r="AT254" i="21" s="1"/>
  <c r="AD173" i="20"/>
  <c r="AC152" i="21"/>
  <c r="BI152" i="21" s="1"/>
  <c r="P332" i="20"/>
  <c r="O311" i="21"/>
  <c r="AU311" i="21" s="1"/>
  <c r="M306" i="20"/>
  <c r="L285" i="21"/>
  <c r="AR285" i="21" s="1"/>
  <c r="Q245" i="20"/>
  <c r="P224" i="21"/>
  <c r="AV224" i="21" s="1"/>
  <c r="I174" i="21"/>
  <c r="AN71" i="23"/>
  <c r="AN89" i="23" s="1"/>
  <c r="AN107" i="23" s="1"/>
  <c r="Q302" i="20"/>
  <c r="P281" i="21"/>
  <c r="AV281" i="21" s="1"/>
  <c r="AB88" i="20"/>
  <c r="AA67" i="21"/>
  <c r="BG67" i="21" s="1"/>
  <c r="X266" i="20"/>
  <c r="W245" i="21"/>
  <c r="BC245" i="21" s="1"/>
  <c r="S98" i="20"/>
  <c r="R77" i="21"/>
  <c r="AX77" i="21" s="1"/>
  <c r="N360" i="20"/>
  <c r="M339" i="21"/>
  <c r="AS339" i="21" s="1"/>
  <c r="AC289" i="20"/>
  <c r="AB268" i="21"/>
  <c r="BH268" i="21" s="1"/>
  <c r="Q157" i="20"/>
  <c r="P136" i="21"/>
  <c r="AV136" i="21" s="1"/>
  <c r="Y62" i="20"/>
  <c r="X41" i="21"/>
  <c r="BD41" i="21" s="1"/>
  <c r="R300" i="20"/>
  <c r="Q279" i="21"/>
  <c r="AW279" i="21" s="1"/>
  <c r="AC87" i="20"/>
  <c r="AB66" i="21"/>
  <c r="BH66" i="21" s="1"/>
  <c r="L477" i="20"/>
  <c r="K456" i="21"/>
  <c r="AQ456" i="21" s="1"/>
  <c r="V268" i="20"/>
  <c r="U247" i="21"/>
  <c r="BA247" i="21" s="1"/>
  <c r="J164" i="20"/>
  <c r="I143" i="21"/>
  <c r="AO143" i="21" s="1"/>
  <c r="N160" i="20"/>
  <c r="M139" i="21"/>
  <c r="AS139" i="21" s="1"/>
  <c r="AC232" i="20"/>
  <c r="AB211" i="21"/>
  <c r="BH211" i="21" s="1"/>
  <c r="AD86" i="20"/>
  <c r="AC65" i="21"/>
  <c r="BI65" i="21" s="1"/>
  <c r="U441" i="20"/>
  <c r="T420" i="21"/>
  <c r="AZ420" i="21" s="1"/>
  <c r="J49" i="20"/>
  <c r="I28" i="21"/>
  <c r="AO28" i="21" s="1"/>
  <c r="Z235" i="20"/>
  <c r="Y214" i="21"/>
  <c r="BE214" i="21" s="1"/>
  <c r="Q273" i="20"/>
  <c r="P252" i="21"/>
  <c r="AV252" i="21" s="1"/>
  <c r="X35" i="20"/>
  <c r="W14" i="21"/>
  <c r="BC14" i="21" s="1"/>
  <c r="X323" i="20"/>
  <c r="W302" i="21"/>
  <c r="BC302" i="21" s="1"/>
  <c r="I339" i="20"/>
  <c r="H318" i="21"/>
  <c r="AN318" i="21" s="1"/>
  <c r="AN319" i="21" s="1"/>
  <c r="U269" i="20"/>
  <c r="T248" i="21"/>
  <c r="AZ248" i="21" s="1"/>
  <c r="Y236" i="20"/>
  <c r="X215" i="21"/>
  <c r="BD215" i="21" s="1"/>
  <c r="O359" i="20"/>
  <c r="N338" i="21"/>
  <c r="AT338" i="21" s="1"/>
  <c r="R156" i="20"/>
  <c r="Q135" i="21"/>
  <c r="AW135" i="21" s="1"/>
  <c r="AC203" i="20"/>
  <c r="AB182" i="21"/>
  <c r="BH182" i="21" s="1"/>
  <c r="J133" i="20"/>
  <c r="I112" i="21"/>
  <c r="AO112" i="21" s="1"/>
  <c r="U412" i="20"/>
  <c r="T391" i="21"/>
  <c r="AZ391" i="21" s="1"/>
  <c r="Q416" i="20"/>
  <c r="P395" i="21"/>
  <c r="AV395" i="21" s="1"/>
  <c r="AC433" i="20"/>
  <c r="AB412" i="21"/>
  <c r="BH412" i="21" s="1"/>
  <c r="AE143" i="20"/>
  <c r="AE122" i="21" s="1"/>
  <c r="BK122" i="21" s="1"/>
  <c r="AD122" i="21"/>
  <c r="BJ122" i="21" s="1"/>
  <c r="O390" i="20"/>
  <c r="N369" i="21"/>
  <c r="AT369" i="21" s="1"/>
  <c r="P447" i="20"/>
  <c r="O426" i="21"/>
  <c r="AU426" i="21" s="1"/>
  <c r="M191" i="20"/>
  <c r="L170" i="21"/>
  <c r="AR170" i="21" s="1"/>
  <c r="O102" i="20"/>
  <c r="N81" i="21"/>
  <c r="AT81" i="21" s="1"/>
  <c r="V94" i="20"/>
  <c r="U73" i="21"/>
  <c r="BA73" i="21" s="1"/>
  <c r="L362" i="20"/>
  <c r="K341" i="21"/>
  <c r="AQ341" i="21" s="1"/>
  <c r="AD317" i="20"/>
  <c r="AC296" i="21"/>
  <c r="BI296" i="21" s="1"/>
  <c r="P158" i="20"/>
  <c r="O137" i="21"/>
  <c r="AU137" i="21" s="1"/>
  <c r="S40" i="20"/>
  <c r="R19" i="21"/>
  <c r="AX19" i="21" s="1"/>
  <c r="AE112" i="20"/>
  <c r="AE91" i="21" s="1"/>
  <c r="BK91" i="21" s="1"/>
  <c r="AD91" i="21"/>
  <c r="BJ91" i="21" s="1"/>
  <c r="AC30" i="20"/>
  <c r="AB9" i="21"/>
  <c r="BH9" i="21" s="1"/>
  <c r="AE201" i="20"/>
  <c r="AE180" i="21" s="1"/>
  <c r="BK180" i="21" s="1"/>
  <c r="AD180" i="21"/>
  <c r="BJ180" i="21" s="1"/>
  <c r="T96" i="20"/>
  <c r="S75" i="21"/>
  <c r="AY75" i="21" s="1"/>
  <c r="W351" i="20"/>
  <c r="V330" i="21"/>
  <c r="BB330" i="21" s="1"/>
  <c r="O333" i="20"/>
  <c r="N312" i="21"/>
  <c r="AT312" i="21" s="1"/>
  <c r="O159" i="20"/>
  <c r="N138" i="21"/>
  <c r="AT138" i="21" s="1"/>
  <c r="AD29" i="20"/>
  <c r="AC8" i="21"/>
  <c r="BI8" i="21" s="1"/>
  <c r="AE230" i="20"/>
  <c r="AE209" i="21" s="1"/>
  <c r="BK209" i="21" s="1"/>
  <c r="AD209" i="21"/>
  <c r="BJ209" i="21" s="1"/>
  <c r="Z292" i="20"/>
  <c r="Y271" i="21"/>
  <c r="BE271" i="21" s="1"/>
  <c r="M361" i="20"/>
  <c r="L340" i="21"/>
  <c r="AR340" i="21" s="1"/>
  <c r="P246" i="20"/>
  <c r="O225" i="21"/>
  <c r="AU225" i="21" s="1"/>
  <c r="M421" i="20"/>
  <c r="L400" i="21"/>
  <c r="AR400" i="21" s="1"/>
  <c r="M277" i="20"/>
  <c r="L256" i="21"/>
  <c r="AR256" i="21" s="1"/>
  <c r="Z177" i="20"/>
  <c r="Y156" i="21"/>
  <c r="BE156" i="21" s="1"/>
  <c r="T469" i="20"/>
  <c r="S448" i="21"/>
  <c r="AY448" i="21" s="1"/>
  <c r="AB262" i="20"/>
  <c r="AA241" i="21"/>
  <c r="BG241" i="21" s="1"/>
  <c r="I454" i="20"/>
  <c r="H433" i="21"/>
  <c r="AN433" i="21" s="1"/>
  <c r="AE56" i="20"/>
  <c r="AE35" i="21" s="1"/>
  <c r="BK35" i="21" s="1"/>
  <c r="AD35" i="21"/>
  <c r="BJ35" i="21" s="1"/>
  <c r="K193" i="20"/>
  <c r="J172" i="21"/>
  <c r="AP172" i="21" s="1"/>
  <c r="W64" i="20"/>
  <c r="V43" i="21"/>
  <c r="BB43" i="21" s="1"/>
  <c r="N420" i="20"/>
  <c r="M399" i="21"/>
  <c r="AS399" i="21" s="1"/>
  <c r="N74" i="20"/>
  <c r="M53" i="21"/>
  <c r="AS53" i="21" s="1"/>
  <c r="J280" i="20"/>
  <c r="I259" i="21"/>
  <c r="AO259" i="21" s="1"/>
  <c r="P72" i="20"/>
  <c r="O51" i="21"/>
  <c r="AU51" i="21" s="1"/>
  <c r="AL76" i="23"/>
  <c r="AL94" i="23" s="1"/>
  <c r="AL112" i="23" s="1"/>
  <c r="G319" i="21"/>
  <c r="AC145" i="20"/>
  <c r="AB124" i="21"/>
  <c r="BH124" i="21" s="1"/>
  <c r="R215" i="20"/>
  <c r="Q194" i="21"/>
  <c r="AW194" i="21" s="1"/>
  <c r="G145" i="21"/>
  <c r="AL70" i="23"/>
  <c r="AL88" i="23" s="1"/>
  <c r="AL106" i="23" s="1"/>
  <c r="Z206" i="20"/>
  <c r="Y185" i="21"/>
  <c r="BE185" i="21" s="1"/>
  <c r="H366" i="20"/>
  <c r="G345" i="21"/>
  <c r="AM345" i="21" s="1"/>
  <c r="K363" i="20"/>
  <c r="J342" i="21"/>
  <c r="AP342" i="21" s="1"/>
  <c r="AN73" i="23"/>
  <c r="AN91" i="23" s="1"/>
  <c r="AN109" i="23" s="1"/>
  <c r="I232" i="21"/>
  <c r="J107" i="20"/>
  <c r="I86" i="21"/>
  <c r="AO86" i="21" s="1"/>
  <c r="AO87" i="21" s="1"/>
  <c r="G482" i="20"/>
  <c r="F461" i="21"/>
  <c r="AL461" i="21" s="1"/>
  <c r="U153" i="20"/>
  <c r="T132" i="21"/>
  <c r="AZ132" i="21" s="1"/>
  <c r="W120" i="20"/>
  <c r="V99" i="21"/>
  <c r="BB99" i="21" s="1"/>
  <c r="J309" i="20"/>
  <c r="I288" i="21"/>
  <c r="AO288" i="21" s="1"/>
  <c r="I311" i="20"/>
  <c r="K188" i="1" s="1"/>
  <c r="W151" i="20"/>
  <c r="V130" i="21"/>
  <c r="BB130" i="21" s="1"/>
  <c r="S386" i="20"/>
  <c r="R365" i="21"/>
  <c r="AX365" i="21" s="1"/>
  <c r="W267" i="20"/>
  <c r="V246" i="21"/>
  <c r="BB246" i="21" s="1"/>
  <c r="P389" i="20"/>
  <c r="O368" i="21"/>
  <c r="AU368" i="21" s="1"/>
  <c r="AL80" i="23"/>
  <c r="AL98" i="23" s="1"/>
  <c r="AL116" i="23" s="1"/>
  <c r="G435" i="21"/>
  <c r="AB290" i="20"/>
  <c r="AA269" i="21"/>
  <c r="BG269" i="21" s="1"/>
  <c r="R356" i="20"/>
  <c r="Q335" i="21"/>
  <c r="AW335" i="21" s="1"/>
  <c r="AD403" i="20"/>
  <c r="AC382" i="21"/>
  <c r="BI382" i="21" s="1"/>
  <c r="W209" i="20"/>
  <c r="V188" i="21"/>
  <c r="BB188" i="21" s="1"/>
  <c r="V152" i="20"/>
  <c r="U131" i="21"/>
  <c r="BA131" i="21" s="1"/>
  <c r="X438" i="20"/>
  <c r="W417" i="21"/>
  <c r="BC417" i="21" s="1"/>
  <c r="U468" i="20"/>
  <c r="T447" i="21"/>
  <c r="AZ447" i="21" s="1"/>
  <c r="AD432" i="20"/>
  <c r="AC411" i="21"/>
  <c r="BI411" i="21" s="1"/>
  <c r="AD375" i="20"/>
  <c r="AC354" i="21"/>
  <c r="BI354" i="21" s="1"/>
  <c r="S328" i="20"/>
  <c r="R307" i="21"/>
  <c r="AX307" i="21" s="1"/>
  <c r="S299" i="20"/>
  <c r="R278" i="21"/>
  <c r="AX278" i="21" s="1"/>
  <c r="R41" i="20"/>
  <c r="Q20" i="21"/>
  <c r="AW20" i="21" s="1"/>
  <c r="AB146" i="20"/>
  <c r="AA125" i="21"/>
  <c r="BG125" i="21" s="1"/>
  <c r="AE85" i="20"/>
  <c r="AE64" i="21" s="1"/>
  <c r="BK64" i="21" s="1"/>
  <c r="AD64" i="21"/>
  <c r="BJ64" i="21" s="1"/>
  <c r="U384" i="20"/>
  <c r="T363" i="21"/>
  <c r="AZ363" i="21" s="1"/>
  <c r="AA406" i="20"/>
  <c r="Z385" i="21"/>
  <c r="BF385" i="21" s="1"/>
  <c r="S97" i="20"/>
  <c r="R76" i="21"/>
  <c r="AX76" i="21" s="1"/>
  <c r="Y349" i="20"/>
  <c r="X328" i="21"/>
  <c r="BD328" i="21" s="1"/>
  <c r="T67" i="20"/>
  <c r="S46" i="21"/>
  <c r="AY46" i="21" s="1"/>
  <c r="K48" i="20"/>
  <c r="J27" i="21"/>
  <c r="AP27" i="21" s="1"/>
  <c r="G180" i="1"/>
  <c r="AJ69" i="23"/>
  <c r="AJ87" i="23" s="1"/>
  <c r="AJ105" i="23" s="1"/>
  <c r="E116" i="21"/>
  <c r="N129" i="20"/>
  <c r="M108" i="21"/>
  <c r="AS108" i="21" s="1"/>
  <c r="R301" i="20"/>
  <c r="Q280" i="21"/>
  <c r="AW280" i="21" s="1"/>
  <c r="U38" i="20"/>
  <c r="T17" i="21"/>
  <c r="AZ17" i="21" s="1"/>
  <c r="AA147" i="20"/>
  <c r="Z126" i="21"/>
  <c r="BF126" i="21" s="1"/>
  <c r="W382" i="20"/>
  <c r="V361" i="21"/>
  <c r="BB361" i="21" s="1"/>
  <c r="AD202" i="20"/>
  <c r="AC181" i="21"/>
  <c r="BI181" i="21" s="1"/>
  <c r="O419" i="20"/>
  <c r="N398" i="21"/>
  <c r="AT398" i="21" s="1"/>
  <c r="AC174" i="20"/>
  <c r="AB153" i="21"/>
  <c r="BH153" i="21" s="1"/>
  <c r="H397" i="20"/>
  <c r="G376" i="21"/>
  <c r="AM376" i="21" s="1"/>
  <c r="Y464" i="20"/>
  <c r="X443" i="21"/>
  <c r="BD443" i="21" s="1"/>
  <c r="Q388" i="20"/>
  <c r="P367" i="21"/>
  <c r="AV367" i="21" s="1"/>
  <c r="X350" i="20"/>
  <c r="W329" i="21"/>
  <c r="BC329" i="21" s="1"/>
  <c r="AC114" i="20"/>
  <c r="AB93" i="21"/>
  <c r="BH93" i="21" s="1"/>
  <c r="K337" i="20"/>
  <c r="J316" i="21"/>
  <c r="AP316" i="21" s="1"/>
  <c r="T354" i="20"/>
  <c r="S333" i="21"/>
  <c r="AY333" i="21" s="1"/>
  <c r="AE259" i="20"/>
  <c r="AE238" i="21" s="1"/>
  <c r="BK238" i="21" s="1"/>
  <c r="AD238" i="21"/>
  <c r="BJ238" i="21" s="1"/>
  <c r="AD260" i="20"/>
  <c r="AC239" i="21"/>
  <c r="BI239" i="21" s="1"/>
  <c r="N190" i="20"/>
  <c r="M169" i="21"/>
  <c r="AS169" i="21" s="1"/>
  <c r="K308" i="20"/>
  <c r="J287" i="21"/>
  <c r="AP287" i="21" s="1"/>
  <c r="Z61" i="20"/>
  <c r="Y40" i="21"/>
  <c r="BE40" i="21" s="1"/>
  <c r="J364" i="20"/>
  <c r="I343" i="21"/>
  <c r="AO343" i="21" s="1"/>
  <c r="L131" i="20"/>
  <c r="K110" i="21"/>
  <c r="AQ110" i="21" s="1"/>
  <c r="AE343" i="20"/>
  <c r="AE322" i="21" s="1"/>
  <c r="BK322" i="21" s="1"/>
  <c r="AD322" i="21"/>
  <c r="BJ322" i="21" s="1"/>
  <c r="P101" i="20"/>
  <c r="O80" i="21"/>
  <c r="AU80" i="21" s="1"/>
  <c r="R244" i="20"/>
  <c r="Q223" i="21"/>
  <c r="AW223" i="21" s="1"/>
  <c r="V210" i="20"/>
  <c r="U189" i="21"/>
  <c r="BA189" i="21" s="1"/>
  <c r="Y149" i="20"/>
  <c r="X128" i="21"/>
  <c r="BD128" i="21" s="1"/>
  <c r="Q417" i="20"/>
  <c r="P396" i="21"/>
  <c r="AV396" i="21" s="1"/>
  <c r="AA435" i="20"/>
  <c r="Z414" i="21"/>
  <c r="BF414" i="21" s="1"/>
  <c r="AB204" i="20"/>
  <c r="AA183" i="21"/>
  <c r="BG183" i="21" s="1"/>
  <c r="N391" i="20"/>
  <c r="M370" i="21"/>
  <c r="AS370" i="21" s="1"/>
  <c r="L336" i="20"/>
  <c r="K315" i="21"/>
  <c r="AQ315" i="21" s="1"/>
  <c r="M335" i="20"/>
  <c r="L314" i="21"/>
  <c r="AR314" i="21" s="1"/>
  <c r="AB31" i="20"/>
  <c r="AA10" i="21"/>
  <c r="BG10" i="21" s="1"/>
  <c r="AC261" i="20"/>
  <c r="AB240" i="21"/>
  <c r="BH240" i="21" s="1"/>
  <c r="AA32" i="20"/>
  <c r="Z11" i="21"/>
  <c r="BF11" i="21" s="1"/>
  <c r="AA462" i="20"/>
  <c r="Z441" i="21"/>
  <c r="BF441" i="21" s="1"/>
  <c r="Z321" i="20"/>
  <c r="Y300" i="21"/>
  <c r="BE300" i="21" s="1"/>
  <c r="H481" i="20"/>
  <c r="G460" i="21"/>
  <c r="AM460" i="21" s="1"/>
  <c r="L278" i="20"/>
  <c r="K257" i="21"/>
  <c r="AQ257" i="21" s="1"/>
  <c r="AB319" i="20"/>
  <c r="AA298" i="21"/>
  <c r="BG298" i="21" s="1"/>
  <c r="Q472" i="20"/>
  <c r="P451" i="21"/>
  <c r="AV451" i="21" s="1"/>
  <c r="J395" i="20"/>
  <c r="I374" i="21"/>
  <c r="AO374" i="21" s="1"/>
  <c r="AE316" i="20"/>
  <c r="AE295" i="21" s="1"/>
  <c r="BK295" i="21" s="1"/>
  <c r="AD295" i="21"/>
  <c r="BJ295" i="21" s="1"/>
  <c r="AA116" i="20"/>
  <c r="Z95" i="21"/>
  <c r="BF95" i="21" s="1"/>
  <c r="K394" i="20"/>
  <c r="J373" i="21"/>
  <c r="AP373" i="21" s="1"/>
  <c r="N475" i="20"/>
  <c r="M454" i="21"/>
  <c r="AS454" i="21" s="1"/>
  <c r="J479" i="20"/>
  <c r="I458" i="21"/>
  <c r="AO458" i="21" s="1"/>
  <c r="AD231" i="20"/>
  <c r="AC210" i="21"/>
  <c r="BI210" i="21" s="1"/>
  <c r="H340" i="20"/>
  <c r="J189" i="1" s="1"/>
  <c r="H455" i="20"/>
  <c r="G434" i="21"/>
  <c r="AM434" i="21" s="1"/>
  <c r="AM435" i="21" s="1"/>
  <c r="R272" i="20"/>
  <c r="Q251" i="21"/>
  <c r="AW251" i="21" s="1"/>
  <c r="I365" i="20"/>
  <c r="H344" i="21"/>
  <c r="AN344" i="21" s="1"/>
  <c r="Z117" i="20"/>
  <c r="Y96" i="21"/>
  <c r="BE96" i="21" s="1"/>
  <c r="L422" i="20"/>
  <c r="K401" i="21"/>
  <c r="AQ401" i="21" s="1"/>
  <c r="R415" i="20"/>
  <c r="Q394" i="21"/>
  <c r="AW394" i="21" s="1"/>
  <c r="J424" i="20"/>
  <c r="I403" i="21"/>
  <c r="AO403" i="21" s="1"/>
  <c r="L76" i="20"/>
  <c r="K55" i="21"/>
  <c r="AQ55" i="21" s="1"/>
  <c r="T123" i="20"/>
  <c r="S102" i="21"/>
  <c r="AY102" i="21" s="1"/>
  <c r="AA291" i="20"/>
  <c r="Z270" i="21"/>
  <c r="BF270" i="21" s="1"/>
  <c r="S155" i="20"/>
  <c r="R134" i="21"/>
  <c r="AX134" i="21" s="1"/>
  <c r="AB461" i="20"/>
  <c r="AA440" i="21"/>
  <c r="BG440" i="21" s="1"/>
  <c r="M130" i="20"/>
  <c r="L109" i="21"/>
  <c r="AR109" i="21" s="1"/>
  <c r="Q100" i="20"/>
  <c r="P79" i="21"/>
  <c r="AV79" i="21" s="1"/>
  <c r="W439" i="20"/>
  <c r="V418" i="21"/>
  <c r="BB418" i="21" s="1"/>
  <c r="M75" i="20"/>
  <c r="L54" i="21"/>
  <c r="AR54" i="21" s="1"/>
  <c r="G367" i="20"/>
  <c r="F346" i="21"/>
  <c r="AL346" i="21" s="1"/>
  <c r="U122" i="20"/>
  <c r="T101" i="21"/>
  <c r="AZ101" i="21" s="1"/>
  <c r="J223" i="20"/>
  <c r="J224" i="20" s="1"/>
  <c r="L184" i="1" s="1"/>
  <c r="I202" i="21"/>
  <c r="AO202" i="21" s="1"/>
  <c r="AO203" i="21" s="1"/>
  <c r="U95" i="20"/>
  <c r="T74" i="21"/>
  <c r="AZ74" i="21" s="1"/>
  <c r="Y322" i="20"/>
  <c r="X301" i="21"/>
  <c r="BD301" i="21" s="1"/>
  <c r="E484" i="20"/>
  <c r="D463" i="21"/>
  <c r="AJ463" i="21" s="1"/>
  <c r="AJ464" i="21" s="1"/>
  <c r="T241" i="20"/>
  <c r="S220" i="21"/>
  <c r="AY220" i="21" s="1"/>
  <c r="T270" i="20"/>
  <c r="S249" i="21"/>
  <c r="AY249" i="21" s="1"/>
  <c r="N103" i="20"/>
  <c r="M82" i="21"/>
  <c r="AS82" i="21" s="1"/>
  <c r="O247" i="20"/>
  <c r="N226" i="21"/>
  <c r="AT226" i="21" s="1"/>
  <c r="M450" i="20"/>
  <c r="L429" i="21"/>
  <c r="AR429" i="21" s="1"/>
  <c r="S214" i="20"/>
  <c r="R193" i="21"/>
  <c r="AX193" i="21" s="1"/>
  <c r="I425" i="20"/>
  <c r="H404" i="21"/>
  <c r="AN404" i="21" s="1"/>
  <c r="Y178" i="20"/>
  <c r="X157" i="21"/>
  <c r="BD157" i="21" s="1"/>
  <c r="S243" i="20"/>
  <c r="R222" i="21"/>
  <c r="AX222" i="21" s="1"/>
  <c r="L221" i="20"/>
  <c r="K200" i="21"/>
  <c r="AQ200" i="21" s="1"/>
  <c r="F483" i="20"/>
  <c r="E462" i="21"/>
  <c r="AK462" i="21" s="1"/>
  <c r="AB434" i="20"/>
  <c r="AA413" i="21"/>
  <c r="BG413" i="21" s="1"/>
  <c r="Q42" i="20"/>
  <c r="P21" i="21"/>
  <c r="AV21" i="21" s="1"/>
  <c r="M46" i="20"/>
  <c r="L25" i="21"/>
  <c r="AR25" i="21" s="1"/>
  <c r="M161" i="20"/>
  <c r="L140" i="21"/>
  <c r="AR140" i="21" s="1"/>
  <c r="L192" i="20"/>
  <c r="K171" i="21"/>
  <c r="AQ171" i="21" s="1"/>
  <c r="T327" i="20"/>
  <c r="S306" i="21"/>
  <c r="AY306" i="21" s="1"/>
  <c r="Z33" i="20"/>
  <c r="Y12" i="21"/>
  <c r="BE12" i="21" s="1"/>
  <c r="K106" i="20"/>
  <c r="J85" i="21"/>
  <c r="AP85" i="21" s="1"/>
  <c r="AC345" i="20"/>
  <c r="AB324" i="21"/>
  <c r="BH324" i="21" s="1"/>
  <c r="M104" i="20"/>
  <c r="L83" i="21"/>
  <c r="AR83" i="21" s="1"/>
  <c r="R444" i="20"/>
  <c r="Q423" i="21"/>
  <c r="AW423" i="21" s="1"/>
  <c r="J252" i="20"/>
  <c r="I231" i="21"/>
  <c r="AO231" i="21" s="1"/>
  <c r="AO232" i="21" s="1"/>
  <c r="Q187" i="20"/>
  <c r="P166" i="21"/>
  <c r="AV166" i="21" s="1"/>
  <c r="K222" i="20"/>
  <c r="J201" i="21"/>
  <c r="AP201" i="21" s="1"/>
  <c r="AD113" i="20"/>
  <c r="AC92" i="21"/>
  <c r="BI92" i="21" s="1"/>
  <c r="S124" i="20"/>
  <c r="R103" i="21"/>
  <c r="AX103" i="21" s="1"/>
  <c r="Q445" i="20"/>
  <c r="P424" i="21"/>
  <c r="AV424" i="21" s="1"/>
  <c r="Z148" i="20"/>
  <c r="Y127" i="21"/>
  <c r="BE127" i="21" s="1"/>
  <c r="L307" i="20"/>
  <c r="K286" i="21"/>
  <c r="AQ286" i="21" s="1"/>
  <c r="L162" i="20"/>
  <c r="K141" i="21"/>
  <c r="AQ141" i="21" s="1"/>
  <c r="F369" i="20"/>
  <c r="H190" i="1" s="1"/>
  <c r="D3" i="21"/>
  <c r="D50" i="20"/>
  <c r="F177" i="1" s="1"/>
  <c r="E24" i="20"/>
  <c r="C398" i="20"/>
  <c r="E192" i="1" s="1"/>
  <c r="C351" i="21"/>
  <c r="D372" i="20"/>
  <c r="L86" i="1" l="1"/>
  <c r="L91" i="1" s="1"/>
  <c r="P86" i="1"/>
  <c r="S71" i="1" s="1"/>
  <c r="P91" i="1"/>
  <c r="M71" i="1"/>
  <c r="O71" i="1" s="1"/>
  <c r="B5" i="1"/>
  <c r="AJ3" i="21"/>
  <c r="AJ29" i="21" s="1"/>
  <c r="C3" i="1" s="1"/>
  <c r="C5" i="1" s="1"/>
  <c r="AN144" i="21"/>
  <c r="AN145" i="21" s="1"/>
  <c r="G9" i="1" s="1"/>
  <c r="G11" i="1" s="1"/>
  <c r="AI235" i="21"/>
  <c r="AI261" i="21" s="1"/>
  <c r="B15" i="1" s="1"/>
  <c r="B17" i="1" s="1"/>
  <c r="AI351" i="21"/>
  <c r="AI377" i="21" s="1"/>
  <c r="B21" i="1" s="1"/>
  <c r="D235" i="21"/>
  <c r="J203" i="21"/>
  <c r="AO72" i="23"/>
  <c r="AO90" i="23" s="1"/>
  <c r="AO108" i="23" s="1"/>
  <c r="L178" i="1"/>
  <c r="AO67" i="23"/>
  <c r="AO85" i="23" s="1"/>
  <c r="AO103" i="23" s="1"/>
  <c r="J58" i="21"/>
  <c r="M192" i="20"/>
  <c r="L171" i="21"/>
  <c r="AR171" i="21" s="1"/>
  <c r="O103" i="20"/>
  <c r="N82" i="21"/>
  <c r="AT82" i="21" s="1"/>
  <c r="Z322" i="20"/>
  <c r="Y301" i="21"/>
  <c r="BE301" i="21" s="1"/>
  <c r="X439" i="20"/>
  <c r="W418" i="21"/>
  <c r="BC418" i="21" s="1"/>
  <c r="I455" i="20"/>
  <c r="H434" i="21"/>
  <c r="AN434" i="21" s="1"/>
  <c r="AN435" i="21" s="1"/>
  <c r="AC290" i="20"/>
  <c r="AB269" i="21"/>
  <c r="BH269" i="21" s="1"/>
  <c r="Q389" i="20"/>
  <c r="P368" i="21"/>
  <c r="AV368" i="21" s="1"/>
  <c r="N277" i="20"/>
  <c r="M256" i="21"/>
  <c r="AS256" i="21" s="1"/>
  <c r="AE29" i="20"/>
  <c r="AE8" i="21" s="1"/>
  <c r="BK8" i="21" s="1"/>
  <c r="AD8" i="21"/>
  <c r="BJ8" i="21" s="1"/>
  <c r="K49" i="20"/>
  <c r="J28" i="21"/>
  <c r="AP28" i="21" s="1"/>
  <c r="Y381" i="20"/>
  <c r="X360" i="21"/>
  <c r="BD360" i="21" s="1"/>
  <c r="AA264" i="20"/>
  <c r="Z243" i="21"/>
  <c r="BF243" i="21" s="1"/>
  <c r="Z265" i="20"/>
  <c r="Y244" i="21"/>
  <c r="BE244" i="21" s="1"/>
  <c r="Z293" i="20"/>
  <c r="Y272" i="21"/>
  <c r="BE272" i="21" s="1"/>
  <c r="X93" i="20"/>
  <c r="W72" i="21"/>
  <c r="BC72" i="21" s="1"/>
  <c r="AM75" i="23"/>
  <c r="AM93" i="23" s="1"/>
  <c r="AM111" i="23" s="1"/>
  <c r="H290" i="21"/>
  <c r="W65" i="20"/>
  <c r="V44" i="21"/>
  <c r="BB44" i="21" s="1"/>
  <c r="X410" i="20"/>
  <c r="W389" i="21"/>
  <c r="BC389" i="21" s="1"/>
  <c r="P44" i="20"/>
  <c r="O23" i="21"/>
  <c r="AU23" i="21" s="1"/>
  <c r="Z380" i="20"/>
  <c r="Y359" i="21"/>
  <c r="BE359" i="21" s="1"/>
  <c r="X180" i="20"/>
  <c r="W159" i="21"/>
  <c r="BC159" i="21" s="1"/>
  <c r="L478" i="20"/>
  <c r="K457" i="21"/>
  <c r="AQ457" i="21" s="1"/>
  <c r="X295" i="20"/>
  <c r="W274" i="21"/>
  <c r="BC274" i="21" s="1"/>
  <c r="N46" i="20"/>
  <c r="M25" i="21"/>
  <c r="AS25" i="21" s="1"/>
  <c r="M221" i="20"/>
  <c r="L200" i="21"/>
  <c r="AR200" i="21" s="1"/>
  <c r="N130" i="20"/>
  <c r="M109" i="21"/>
  <c r="AS109" i="21" s="1"/>
  <c r="M76" i="20"/>
  <c r="L55" i="21"/>
  <c r="AR55" i="21" s="1"/>
  <c r="M422" i="20"/>
  <c r="L401" i="21"/>
  <c r="AR401" i="21" s="1"/>
  <c r="S272" i="20"/>
  <c r="R251" i="21"/>
  <c r="AX251" i="21" s="1"/>
  <c r="AM76" i="23"/>
  <c r="AM94" i="23" s="1"/>
  <c r="AM112" i="23" s="1"/>
  <c r="H319" i="21"/>
  <c r="K479" i="20"/>
  <c r="J458" i="21"/>
  <c r="AP458" i="21" s="1"/>
  <c r="R472" i="20"/>
  <c r="Q451" i="21"/>
  <c r="AW451" i="21" s="1"/>
  <c r="I481" i="20"/>
  <c r="H460" i="21"/>
  <c r="AN460" i="21" s="1"/>
  <c r="AB462" i="20"/>
  <c r="AA441" i="21"/>
  <c r="BG441" i="21" s="1"/>
  <c r="AD261" i="20"/>
  <c r="AC240" i="21"/>
  <c r="BI240" i="21" s="1"/>
  <c r="R417" i="20"/>
  <c r="Q396" i="21"/>
  <c r="AW396" i="21" s="1"/>
  <c r="W210" i="20"/>
  <c r="V189" i="21"/>
  <c r="BB189" i="21" s="1"/>
  <c r="K364" i="20"/>
  <c r="J343" i="21"/>
  <c r="AP343" i="21" s="1"/>
  <c r="O190" i="20"/>
  <c r="N169" i="21"/>
  <c r="AT169" i="21" s="1"/>
  <c r="L337" i="20"/>
  <c r="K316" i="21"/>
  <c r="AQ316" i="21" s="1"/>
  <c r="I397" i="20"/>
  <c r="H376" i="21"/>
  <c r="AN376" i="21" s="1"/>
  <c r="AB147" i="20"/>
  <c r="AA126" i="21"/>
  <c r="BG126" i="21" s="1"/>
  <c r="S301" i="20"/>
  <c r="R280" i="21"/>
  <c r="AX280" i="21" s="1"/>
  <c r="L48" i="20"/>
  <c r="K27" i="21"/>
  <c r="AQ27" i="21" s="1"/>
  <c r="T97" i="20"/>
  <c r="S76" i="21"/>
  <c r="AY76" i="21" s="1"/>
  <c r="AC146" i="20"/>
  <c r="AB125" i="21"/>
  <c r="BH125" i="21" s="1"/>
  <c r="T386" i="20"/>
  <c r="S365" i="21"/>
  <c r="AY365" i="21" s="1"/>
  <c r="I366" i="20"/>
  <c r="H345" i="21"/>
  <c r="AN345" i="21" s="1"/>
  <c r="AD145" i="20"/>
  <c r="AC124" i="21"/>
  <c r="BI124" i="21" s="1"/>
  <c r="Q72" i="20"/>
  <c r="P51" i="21"/>
  <c r="AV51" i="21" s="1"/>
  <c r="O74" i="20"/>
  <c r="N53" i="21"/>
  <c r="AT53" i="21" s="1"/>
  <c r="X64" i="20"/>
  <c r="W43" i="21"/>
  <c r="BC43" i="21" s="1"/>
  <c r="AC262" i="20"/>
  <c r="AB241" i="21"/>
  <c r="BH241" i="21" s="1"/>
  <c r="U96" i="20"/>
  <c r="T75" i="21"/>
  <c r="AZ75" i="21" s="1"/>
  <c r="T40" i="20"/>
  <c r="S19" i="21"/>
  <c r="AY19" i="21" s="1"/>
  <c r="AE317" i="20"/>
  <c r="AE296" i="21" s="1"/>
  <c r="BK296" i="21" s="1"/>
  <c r="AD296" i="21"/>
  <c r="BJ296" i="21" s="1"/>
  <c r="W94" i="20"/>
  <c r="V73" i="21"/>
  <c r="BB73" i="21" s="1"/>
  <c r="V412" i="20"/>
  <c r="U391" i="21"/>
  <c r="BA391" i="21" s="1"/>
  <c r="P359" i="20"/>
  <c r="O338" i="21"/>
  <c r="AU338" i="21" s="1"/>
  <c r="Z236" i="20"/>
  <c r="Y215" i="21"/>
  <c r="BE215" i="21" s="1"/>
  <c r="AD87" i="20"/>
  <c r="AC66" i="21"/>
  <c r="BI66" i="21" s="1"/>
  <c r="Z62" i="20"/>
  <c r="Y41" i="21"/>
  <c r="BE41" i="21" s="1"/>
  <c r="AD289" i="20"/>
  <c r="AC268" i="21"/>
  <c r="BI268" i="21" s="1"/>
  <c r="T98" i="20"/>
  <c r="S77" i="21"/>
  <c r="AY77" i="21" s="1"/>
  <c r="AC88" i="20"/>
  <c r="AB67" i="21"/>
  <c r="BH67" i="21" s="1"/>
  <c r="AD404" i="20"/>
  <c r="AC383" i="21"/>
  <c r="BI383" i="21" s="1"/>
  <c r="T185" i="20"/>
  <c r="S164" i="21"/>
  <c r="AY164" i="21" s="1"/>
  <c r="AD460" i="20"/>
  <c r="AC439" i="21"/>
  <c r="BI439" i="21" s="1"/>
  <c r="T443" i="20"/>
  <c r="S422" i="21"/>
  <c r="AY422" i="21" s="1"/>
  <c r="P474" i="20"/>
  <c r="O453" i="21"/>
  <c r="AU453" i="21" s="1"/>
  <c r="AD376" i="20"/>
  <c r="AC355" i="21"/>
  <c r="BI355" i="21" s="1"/>
  <c r="Q188" i="20"/>
  <c r="P167" i="21"/>
  <c r="AV167" i="21" s="1"/>
  <c r="X36" i="20"/>
  <c r="W15" i="21"/>
  <c r="BC15" i="21" s="1"/>
  <c r="K453" i="20"/>
  <c r="J432" i="21"/>
  <c r="AP432" i="21" s="1"/>
  <c r="Y179" i="20"/>
  <c r="X158" i="21"/>
  <c r="BD158" i="21" s="1"/>
  <c r="AC405" i="20"/>
  <c r="AB384" i="21"/>
  <c r="BH384" i="21" s="1"/>
  <c r="Y409" i="20"/>
  <c r="X388" i="21"/>
  <c r="BD388" i="21" s="1"/>
  <c r="J134" i="20"/>
  <c r="I113" i="21"/>
  <c r="AO113" i="21" s="1"/>
  <c r="K178" i="1"/>
  <c r="I58" i="21"/>
  <c r="AN67" i="23"/>
  <c r="AN85" i="23" s="1"/>
  <c r="AN103" i="23" s="1"/>
  <c r="AB205" i="20"/>
  <c r="AA184" i="21"/>
  <c r="BG184" i="21" s="1"/>
  <c r="AE344" i="20"/>
  <c r="AE323" i="21" s="1"/>
  <c r="BK323" i="21" s="1"/>
  <c r="AD323" i="21"/>
  <c r="BJ323" i="21" s="1"/>
  <c r="R357" i="20"/>
  <c r="Q336" i="21"/>
  <c r="AW336" i="21" s="1"/>
  <c r="P189" i="20"/>
  <c r="O168" i="21"/>
  <c r="AU168" i="21" s="1"/>
  <c r="R446" i="20"/>
  <c r="Q425" i="21"/>
  <c r="AW425" i="21" s="1"/>
  <c r="W325" i="20"/>
  <c r="V304" i="21"/>
  <c r="BB304" i="21" s="1"/>
  <c r="AE144" i="20"/>
  <c r="AE123" i="21" s="1"/>
  <c r="BK123" i="21" s="1"/>
  <c r="AD123" i="21"/>
  <c r="BJ123" i="21" s="1"/>
  <c r="AA436" i="20"/>
  <c r="Z415" i="21"/>
  <c r="BF415" i="21" s="1"/>
  <c r="AA407" i="20"/>
  <c r="Z386" i="21"/>
  <c r="BF386" i="21" s="1"/>
  <c r="T470" i="20"/>
  <c r="S449" i="21"/>
  <c r="AY449" i="21" s="1"/>
  <c r="U212" i="20"/>
  <c r="T191" i="21"/>
  <c r="AZ191" i="21" s="1"/>
  <c r="L423" i="20"/>
  <c r="K402" i="21"/>
  <c r="AQ402" i="21" s="1"/>
  <c r="AB347" i="20"/>
  <c r="AA326" i="21"/>
  <c r="BG326" i="21" s="1"/>
  <c r="M393" i="20"/>
  <c r="L372" i="21"/>
  <c r="AR372" i="21" s="1"/>
  <c r="R71" i="20"/>
  <c r="Q50" i="21"/>
  <c r="AW50" i="21" s="1"/>
  <c r="AE459" i="20"/>
  <c r="AE438" i="21" s="1"/>
  <c r="BK438" i="21" s="1"/>
  <c r="AD438" i="21"/>
  <c r="BJ438" i="21" s="1"/>
  <c r="O334" i="20"/>
  <c r="N313" i="21"/>
  <c r="AT313" i="21" s="1"/>
  <c r="W121" i="20"/>
  <c r="V100" i="21"/>
  <c r="BB100" i="21" s="1"/>
  <c r="N476" i="20"/>
  <c r="M455" i="21"/>
  <c r="AS455" i="21" s="1"/>
  <c r="V297" i="20"/>
  <c r="U276" i="21"/>
  <c r="BA276" i="21" s="1"/>
  <c r="S186" i="20"/>
  <c r="R165" i="21"/>
  <c r="AX165" i="21" s="1"/>
  <c r="AL79" i="23"/>
  <c r="AL97" i="23" s="1"/>
  <c r="AL115" i="23" s="1"/>
  <c r="G406" i="21"/>
  <c r="Z118" i="20"/>
  <c r="Y97" i="21"/>
  <c r="BE97" i="21" s="1"/>
  <c r="P73" i="20"/>
  <c r="O52" i="21"/>
  <c r="AU52" i="21" s="1"/>
  <c r="Q303" i="20"/>
  <c r="P282" i="21"/>
  <c r="AV282" i="21" s="1"/>
  <c r="S125" i="20"/>
  <c r="R104" i="21"/>
  <c r="AX104" i="21" s="1"/>
  <c r="S329" i="20"/>
  <c r="R308" i="21"/>
  <c r="AX308" i="21" s="1"/>
  <c r="X324" i="20"/>
  <c r="W303" i="21"/>
  <c r="BC303" i="21" s="1"/>
  <c r="T243" i="20"/>
  <c r="S222" i="21"/>
  <c r="AY222" i="21" s="1"/>
  <c r="T214" i="20"/>
  <c r="S193" i="21"/>
  <c r="AY193" i="21" s="1"/>
  <c r="AA117" i="20"/>
  <c r="Z96" i="21"/>
  <c r="BF96" i="21" s="1"/>
  <c r="O475" i="20"/>
  <c r="N454" i="21"/>
  <c r="AT454" i="21" s="1"/>
  <c r="AB116" i="20"/>
  <c r="AA95" i="21"/>
  <c r="BG95" i="21" s="1"/>
  <c r="AB32" i="20"/>
  <c r="AA11" i="21"/>
  <c r="BG11" i="21" s="1"/>
  <c r="O391" i="20"/>
  <c r="N370" i="21"/>
  <c r="AT370" i="21" s="1"/>
  <c r="AC204" i="20"/>
  <c r="AB183" i="21"/>
  <c r="BH183" i="21" s="1"/>
  <c r="S244" i="20"/>
  <c r="R223" i="21"/>
  <c r="AX223" i="21" s="1"/>
  <c r="AA61" i="20"/>
  <c r="Z40" i="21"/>
  <c r="BF40" i="21" s="1"/>
  <c r="O129" i="20"/>
  <c r="N108" i="21"/>
  <c r="AT108" i="21" s="1"/>
  <c r="S41" i="20"/>
  <c r="R20" i="21"/>
  <c r="AX20" i="21" s="1"/>
  <c r="T328" i="20"/>
  <c r="S307" i="21"/>
  <c r="AY307" i="21" s="1"/>
  <c r="AE432" i="20"/>
  <c r="AE411" i="21" s="1"/>
  <c r="BK411" i="21" s="1"/>
  <c r="AD411" i="21"/>
  <c r="BJ411" i="21" s="1"/>
  <c r="Y438" i="20"/>
  <c r="X417" i="21"/>
  <c r="BD417" i="21" s="1"/>
  <c r="AE403" i="20"/>
  <c r="AE382" i="21" s="1"/>
  <c r="BK382" i="21" s="1"/>
  <c r="AD382" i="21"/>
  <c r="BJ382" i="21" s="1"/>
  <c r="X120" i="20"/>
  <c r="W99" i="21"/>
  <c r="BC99" i="21" s="1"/>
  <c r="Q246" i="20"/>
  <c r="P225" i="21"/>
  <c r="AV225" i="21" s="1"/>
  <c r="AD30" i="20"/>
  <c r="AC9" i="21"/>
  <c r="BI9" i="21" s="1"/>
  <c r="P102" i="20"/>
  <c r="O81" i="21"/>
  <c r="AU81" i="21" s="1"/>
  <c r="Q447" i="20"/>
  <c r="P426" i="21"/>
  <c r="AV426" i="21" s="1"/>
  <c r="K133" i="20"/>
  <c r="J112" i="21"/>
  <c r="AP112" i="21" s="1"/>
  <c r="AD203" i="20"/>
  <c r="AC182" i="21"/>
  <c r="BI182" i="21" s="1"/>
  <c r="V269" i="20"/>
  <c r="U248" i="21"/>
  <c r="BA248" i="21" s="1"/>
  <c r="Y323" i="20"/>
  <c r="X302" i="21"/>
  <c r="BD302" i="21" s="1"/>
  <c r="AE86" i="20"/>
  <c r="AE65" i="21" s="1"/>
  <c r="BK65" i="21" s="1"/>
  <c r="AD65" i="21"/>
  <c r="BJ65" i="21" s="1"/>
  <c r="O160" i="20"/>
  <c r="N139" i="21"/>
  <c r="AT139" i="21" s="1"/>
  <c r="W268" i="20"/>
  <c r="V247" i="21"/>
  <c r="BB247" i="21" s="1"/>
  <c r="Q332" i="20"/>
  <c r="P311" i="21"/>
  <c r="AV311" i="21" s="1"/>
  <c r="P275" i="20"/>
  <c r="O254" i="21"/>
  <c r="AU254" i="21" s="1"/>
  <c r="S70" i="20"/>
  <c r="R49" i="21"/>
  <c r="AX49" i="21" s="1"/>
  <c r="U413" i="20"/>
  <c r="T392" i="21"/>
  <c r="AZ392" i="21" s="1"/>
  <c r="Y92" i="20"/>
  <c r="X71" i="21"/>
  <c r="BD71" i="21" s="1"/>
  <c r="AB234" i="20"/>
  <c r="AA213" i="21"/>
  <c r="BG213" i="21" s="1"/>
  <c r="S330" i="20"/>
  <c r="R309" i="21"/>
  <c r="AX309" i="21" s="1"/>
  <c r="AB263" i="20"/>
  <c r="AA242" i="21"/>
  <c r="BG242" i="21" s="1"/>
  <c r="T355" i="20"/>
  <c r="S334" i="21"/>
  <c r="AY334" i="21" s="1"/>
  <c r="T184" i="20"/>
  <c r="S163" i="21"/>
  <c r="AY163" i="21" s="1"/>
  <c r="J281" i="20"/>
  <c r="I260" i="21"/>
  <c r="AO260" i="21" s="1"/>
  <c r="K338" i="20"/>
  <c r="J317" i="21"/>
  <c r="AP317" i="21" s="1"/>
  <c r="Q43" i="20"/>
  <c r="P22" i="21"/>
  <c r="AV22" i="21" s="1"/>
  <c r="V211" i="20"/>
  <c r="U190" i="21"/>
  <c r="BA190" i="21" s="1"/>
  <c r="U39" i="20"/>
  <c r="T18" i="21"/>
  <c r="AZ18" i="21" s="1"/>
  <c r="W181" i="20"/>
  <c r="V160" i="21"/>
  <c r="BB160" i="21" s="1"/>
  <c r="P448" i="20"/>
  <c r="O427" i="21"/>
  <c r="AU427" i="21" s="1"/>
  <c r="Z91" i="20"/>
  <c r="Y70" i="21"/>
  <c r="BE70" i="21" s="1"/>
  <c r="Q127" i="20"/>
  <c r="P106" i="21"/>
  <c r="AV106" i="21" s="1"/>
  <c r="X238" i="20"/>
  <c r="W217" i="21"/>
  <c r="BC217" i="21" s="1"/>
  <c r="M162" i="20"/>
  <c r="L141" i="21"/>
  <c r="AR141" i="21" s="1"/>
  <c r="AA148" i="20"/>
  <c r="Z127" i="21"/>
  <c r="BF127" i="21" s="1"/>
  <c r="AK77" i="23"/>
  <c r="AK95" i="23" s="1"/>
  <c r="AK113" i="23" s="1"/>
  <c r="F348" i="21"/>
  <c r="R187" i="20"/>
  <c r="Q166" i="21"/>
  <c r="AW166" i="21" s="1"/>
  <c r="U270" i="20"/>
  <c r="T249" i="21"/>
  <c r="AZ249" i="21" s="1"/>
  <c r="F484" i="20"/>
  <c r="E463" i="21"/>
  <c r="AK463" i="21" s="1"/>
  <c r="AK464" i="21" s="1"/>
  <c r="E485" i="20"/>
  <c r="G195" i="1" s="1"/>
  <c r="V95" i="20"/>
  <c r="U74" i="21"/>
  <c r="BA74" i="21" s="1"/>
  <c r="V122" i="20"/>
  <c r="U101" i="21"/>
  <c r="BA101" i="21" s="1"/>
  <c r="N75" i="20"/>
  <c r="M54" i="21"/>
  <c r="AS54" i="21" s="1"/>
  <c r="S415" i="20"/>
  <c r="R394" i="21"/>
  <c r="AX394" i="21" s="1"/>
  <c r="L394" i="20"/>
  <c r="K373" i="21"/>
  <c r="AQ373" i="21" s="1"/>
  <c r="K395" i="20"/>
  <c r="J374" i="21"/>
  <c r="AP374" i="21" s="1"/>
  <c r="M278" i="20"/>
  <c r="L257" i="21"/>
  <c r="AR257" i="21" s="1"/>
  <c r="M336" i="20"/>
  <c r="L315" i="21"/>
  <c r="AR315" i="21" s="1"/>
  <c r="Q101" i="20"/>
  <c r="P80" i="21"/>
  <c r="AV80" i="21" s="1"/>
  <c r="Y350" i="20"/>
  <c r="X329" i="21"/>
  <c r="BD329" i="21" s="1"/>
  <c r="P419" i="20"/>
  <c r="O398" i="21"/>
  <c r="AU398" i="21" s="1"/>
  <c r="X382" i="20"/>
  <c r="W361" i="21"/>
  <c r="BC361" i="21" s="1"/>
  <c r="Z349" i="20"/>
  <c r="Y328" i="21"/>
  <c r="BE328" i="21" s="1"/>
  <c r="H456" i="20"/>
  <c r="J194" i="1" s="1"/>
  <c r="T299" i="20"/>
  <c r="S278" i="21"/>
  <c r="AY278" i="21" s="1"/>
  <c r="AE375" i="20"/>
  <c r="AE354" i="21" s="1"/>
  <c r="BK354" i="21" s="1"/>
  <c r="AD354" i="21"/>
  <c r="BJ354" i="21" s="1"/>
  <c r="V468" i="20"/>
  <c r="U447" i="21"/>
  <c r="BA447" i="21" s="1"/>
  <c r="X209" i="20"/>
  <c r="W188" i="21"/>
  <c r="BC188" i="21" s="1"/>
  <c r="S356" i="20"/>
  <c r="R335" i="21"/>
  <c r="AX335" i="21" s="1"/>
  <c r="K309" i="20"/>
  <c r="J288" i="21"/>
  <c r="AP288" i="21" s="1"/>
  <c r="V153" i="20"/>
  <c r="U132" i="21"/>
  <c r="BA132" i="21" s="1"/>
  <c r="K107" i="20"/>
  <c r="J86" i="21"/>
  <c r="AP86" i="21" s="1"/>
  <c r="AP87" i="21" s="1"/>
  <c r="AA177" i="20"/>
  <c r="Z156" i="21"/>
  <c r="BF156" i="21" s="1"/>
  <c r="N421" i="20"/>
  <c r="M400" i="21"/>
  <c r="AS400" i="21" s="1"/>
  <c r="N361" i="20"/>
  <c r="M340" i="21"/>
  <c r="AS340" i="21" s="1"/>
  <c r="P159" i="20"/>
  <c r="O138" i="21"/>
  <c r="AU138" i="21" s="1"/>
  <c r="N191" i="20"/>
  <c r="M170" i="21"/>
  <c r="AS170" i="21" s="1"/>
  <c r="P390" i="20"/>
  <c r="O369" i="21"/>
  <c r="AU369" i="21" s="1"/>
  <c r="R416" i="20"/>
  <c r="Q395" i="21"/>
  <c r="AW395" i="21" s="1"/>
  <c r="S156" i="20"/>
  <c r="R135" i="21"/>
  <c r="AX135" i="21" s="1"/>
  <c r="J339" i="20"/>
  <c r="I318" i="21"/>
  <c r="AO318" i="21" s="1"/>
  <c r="AO319" i="21" s="1"/>
  <c r="I340" i="20"/>
  <c r="K189" i="1" s="1"/>
  <c r="Y35" i="20"/>
  <c r="X14" i="21"/>
  <c r="BD14" i="21" s="1"/>
  <c r="AA235" i="20"/>
  <c r="Z214" i="21"/>
  <c r="BF214" i="21" s="1"/>
  <c r="V441" i="20"/>
  <c r="U420" i="21"/>
  <c r="BA420" i="21" s="1"/>
  <c r="AD232" i="20"/>
  <c r="AC211" i="21"/>
  <c r="BI211" i="21" s="1"/>
  <c r="K164" i="20"/>
  <c r="J143" i="21"/>
  <c r="AP143" i="21" s="1"/>
  <c r="N306" i="20"/>
  <c r="M285" i="21"/>
  <c r="AS285" i="21" s="1"/>
  <c r="AE173" i="20"/>
  <c r="AE152" i="21" s="1"/>
  <c r="BK152" i="21" s="1"/>
  <c r="AD152" i="21"/>
  <c r="BJ152" i="21" s="1"/>
  <c r="T69" i="20"/>
  <c r="S48" i="21"/>
  <c r="AY48" i="21" s="1"/>
  <c r="N392" i="20"/>
  <c r="M371" i="21"/>
  <c r="AS371" i="21" s="1"/>
  <c r="S99" i="20"/>
  <c r="R78" i="21"/>
  <c r="AX78" i="21" s="1"/>
  <c r="U298" i="20"/>
  <c r="T277" i="21"/>
  <c r="AZ277" i="21" s="1"/>
  <c r="V182" i="20"/>
  <c r="U161" i="21"/>
  <c r="BA161" i="21" s="1"/>
  <c r="O276" i="20"/>
  <c r="N255" i="21"/>
  <c r="AT255" i="21" s="1"/>
  <c r="O305" i="20"/>
  <c r="N284" i="21"/>
  <c r="AT284" i="21" s="1"/>
  <c r="AC346" i="20"/>
  <c r="AB325" i="21"/>
  <c r="BH325" i="21" s="1"/>
  <c r="L452" i="20"/>
  <c r="K431" i="21"/>
  <c r="AQ431" i="21" s="1"/>
  <c r="R331" i="20"/>
  <c r="Q310" i="21"/>
  <c r="AW310" i="21" s="1"/>
  <c r="Z437" i="20"/>
  <c r="Y416" i="21"/>
  <c r="BE416" i="21" s="1"/>
  <c r="O248" i="20"/>
  <c r="N227" i="21"/>
  <c r="AT227" i="21" s="1"/>
  <c r="Z34" i="20"/>
  <c r="Y13" i="21"/>
  <c r="BE13" i="21" s="1"/>
  <c r="W296" i="20"/>
  <c r="V275" i="21"/>
  <c r="BB275" i="21" s="1"/>
  <c r="Z207" i="20"/>
  <c r="Y186" i="21"/>
  <c r="BE186" i="21" s="1"/>
  <c r="M47" i="20"/>
  <c r="L26" i="21"/>
  <c r="AR26" i="21" s="1"/>
  <c r="AD58" i="20"/>
  <c r="AC37" i="21"/>
  <c r="BI37" i="21" s="1"/>
  <c r="I135" i="20"/>
  <c r="H114" i="21"/>
  <c r="AN114" i="21" s="1"/>
  <c r="W411" i="20"/>
  <c r="V390" i="21"/>
  <c r="BB390" i="21" s="1"/>
  <c r="J396" i="20"/>
  <c r="I375" i="21"/>
  <c r="AO375" i="21" s="1"/>
  <c r="U183" i="20"/>
  <c r="T162" i="21"/>
  <c r="AZ162" i="21" s="1"/>
  <c r="U154" i="20"/>
  <c r="T133" i="21"/>
  <c r="AZ133" i="21" s="1"/>
  <c r="Y63" i="20"/>
  <c r="X42" i="21"/>
  <c r="BD42" i="21" s="1"/>
  <c r="T68" i="20"/>
  <c r="S47" i="21"/>
  <c r="AY47" i="21" s="1"/>
  <c r="T242" i="20"/>
  <c r="S221" i="21"/>
  <c r="AY221" i="21" s="1"/>
  <c r="M451" i="20"/>
  <c r="L430" i="21"/>
  <c r="AR430" i="21" s="1"/>
  <c r="Y208" i="20"/>
  <c r="X187" i="21"/>
  <c r="BD187" i="21" s="1"/>
  <c r="U385" i="20"/>
  <c r="T364" i="21"/>
  <c r="AZ364" i="21" s="1"/>
  <c r="AE57" i="20"/>
  <c r="AE36" i="21" s="1"/>
  <c r="BK36" i="21" s="1"/>
  <c r="AD36" i="21"/>
  <c r="BJ36" i="21" s="1"/>
  <c r="X466" i="20"/>
  <c r="W445" i="21"/>
  <c r="BC445" i="21" s="1"/>
  <c r="R126" i="20"/>
  <c r="Q105" i="21"/>
  <c r="AW105" i="21" s="1"/>
  <c r="AE288" i="20"/>
  <c r="AE267" i="21" s="1"/>
  <c r="BK267" i="21" s="1"/>
  <c r="AD267" i="21"/>
  <c r="BJ267" i="21" s="1"/>
  <c r="AC233" i="20"/>
  <c r="AB212" i="21"/>
  <c r="BH212" i="21" s="1"/>
  <c r="T271" i="20"/>
  <c r="S250" i="21"/>
  <c r="AY250" i="21" s="1"/>
  <c r="AC59" i="20"/>
  <c r="AB38" i="21"/>
  <c r="BH38" i="21" s="1"/>
  <c r="H136" i="20"/>
  <c r="G115" i="21"/>
  <c r="AM115" i="21" s="1"/>
  <c r="AM116" i="21" s="1"/>
  <c r="G137" i="20"/>
  <c r="J310" i="20"/>
  <c r="I289" i="21"/>
  <c r="AO289" i="21" s="1"/>
  <c r="AO290" i="21" s="1"/>
  <c r="L132" i="20"/>
  <c r="K111" i="21"/>
  <c r="AQ111" i="21" s="1"/>
  <c r="L251" i="20"/>
  <c r="K230" i="21"/>
  <c r="AQ230" i="21" s="1"/>
  <c r="AB176" i="20"/>
  <c r="AA155" i="21"/>
  <c r="BG155" i="21" s="1"/>
  <c r="W37" i="20"/>
  <c r="V16" i="21"/>
  <c r="BB16" i="21" s="1"/>
  <c r="AB60" i="20"/>
  <c r="AA39" i="21"/>
  <c r="BG39" i="21" s="1"/>
  <c r="J108" i="20"/>
  <c r="AE113" i="20"/>
  <c r="AE92" i="21" s="1"/>
  <c r="BK92" i="21" s="1"/>
  <c r="AD92" i="21"/>
  <c r="BJ92" i="21" s="1"/>
  <c r="K252" i="20"/>
  <c r="K253" i="20" s="1"/>
  <c r="M185" i="1" s="1"/>
  <c r="J231" i="21"/>
  <c r="AP231" i="21" s="1"/>
  <c r="AP232" i="21" s="1"/>
  <c r="U241" i="20"/>
  <c r="T220" i="21"/>
  <c r="AZ220" i="21" s="1"/>
  <c r="K223" i="20"/>
  <c r="K224" i="20" s="1"/>
  <c r="M184" i="1" s="1"/>
  <c r="J202" i="21"/>
  <c r="AP202" i="21" s="1"/>
  <c r="AP203" i="21" s="1"/>
  <c r="H367" i="20"/>
  <c r="G346" i="21"/>
  <c r="AM346" i="21" s="1"/>
  <c r="AC461" i="20"/>
  <c r="AB440" i="21"/>
  <c r="BH440" i="21" s="1"/>
  <c r="T155" i="20"/>
  <c r="S134" i="21"/>
  <c r="AY134" i="21" s="1"/>
  <c r="K424" i="20"/>
  <c r="J403" i="21"/>
  <c r="AP403" i="21" s="1"/>
  <c r="R388" i="20"/>
  <c r="Q367" i="21"/>
  <c r="AW367" i="21" s="1"/>
  <c r="AE202" i="20"/>
  <c r="AE181" i="21" s="1"/>
  <c r="BK181" i="21" s="1"/>
  <c r="AD181" i="21"/>
  <c r="BJ181" i="21" s="1"/>
  <c r="AB406" i="20"/>
  <c r="AA385" i="21"/>
  <c r="BG385" i="21" s="1"/>
  <c r="AN75" i="23"/>
  <c r="AN93" i="23" s="1"/>
  <c r="AN111" i="23" s="1"/>
  <c r="I290" i="21"/>
  <c r="H482" i="20"/>
  <c r="G461" i="21"/>
  <c r="AM461" i="21" s="1"/>
  <c r="U469" i="20"/>
  <c r="T448" i="21"/>
  <c r="AZ448" i="21" s="1"/>
  <c r="AA292" i="20"/>
  <c r="Z271" i="21"/>
  <c r="BF271" i="21" s="1"/>
  <c r="P333" i="20"/>
  <c r="O312" i="21"/>
  <c r="AU312" i="21" s="1"/>
  <c r="R273" i="20"/>
  <c r="Q252" i="21"/>
  <c r="AW252" i="21" s="1"/>
  <c r="R245" i="20"/>
  <c r="Q224" i="21"/>
  <c r="AW224" i="21" s="1"/>
  <c r="AB89" i="20"/>
  <c r="AA68" i="21"/>
  <c r="BG68" i="21" s="1"/>
  <c r="AA348" i="20"/>
  <c r="Z327" i="21"/>
  <c r="BF327" i="21" s="1"/>
  <c r="W239" i="20"/>
  <c r="V218" i="21"/>
  <c r="BB218" i="21" s="1"/>
  <c r="AB320" i="20"/>
  <c r="AA299" i="21"/>
  <c r="BG299" i="21" s="1"/>
  <c r="AA90" i="20"/>
  <c r="Z69" i="21"/>
  <c r="BF69" i="21" s="1"/>
  <c r="O219" i="20"/>
  <c r="N198" i="21"/>
  <c r="AT198" i="21" s="1"/>
  <c r="T414" i="20"/>
  <c r="S393" i="21"/>
  <c r="AY393" i="21" s="1"/>
  <c r="K194" i="20"/>
  <c r="J173" i="21"/>
  <c r="AP173" i="21" s="1"/>
  <c r="AP174" i="21" s="1"/>
  <c r="P218" i="20"/>
  <c r="O197" i="21"/>
  <c r="AU197" i="21" s="1"/>
  <c r="AA463" i="20"/>
  <c r="Z442" i="21"/>
  <c r="BF442" i="21" s="1"/>
  <c r="V326" i="20"/>
  <c r="U305" i="21"/>
  <c r="BA305" i="21" s="1"/>
  <c r="Q418" i="20"/>
  <c r="P397" i="21"/>
  <c r="AV397" i="21" s="1"/>
  <c r="H180" i="1"/>
  <c r="AK69" i="23"/>
  <c r="AK87" i="23" s="1"/>
  <c r="AK105" i="23" s="1"/>
  <c r="F116" i="21"/>
  <c r="J253" i="20"/>
  <c r="L185" i="1" s="1"/>
  <c r="N104" i="20"/>
  <c r="M83" i="21"/>
  <c r="AS83" i="21" s="1"/>
  <c r="L106" i="20"/>
  <c r="K85" i="21"/>
  <c r="AQ85" i="21" s="1"/>
  <c r="U327" i="20"/>
  <c r="T306" i="21"/>
  <c r="AZ306" i="21" s="1"/>
  <c r="AC434" i="20"/>
  <c r="AB413" i="21"/>
  <c r="BH413" i="21" s="1"/>
  <c r="T124" i="20"/>
  <c r="S103" i="21"/>
  <c r="AY103" i="21" s="1"/>
  <c r="Z178" i="20"/>
  <c r="Y157" i="21"/>
  <c r="BE157" i="21" s="1"/>
  <c r="J425" i="20"/>
  <c r="I404" i="21"/>
  <c r="AO404" i="21" s="1"/>
  <c r="P247" i="20"/>
  <c r="O226" i="21"/>
  <c r="AU226" i="21" s="1"/>
  <c r="C377" i="21"/>
  <c r="AH78" i="23"/>
  <c r="AH96" i="23" s="1"/>
  <c r="AH114" i="23" s="1"/>
  <c r="M307" i="20"/>
  <c r="L286" i="21"/>
  <c r="AR286" i="21" s="1"/>
  <c r="R445" i="20"/>
  <c r="Q424" i="21"/>
  <c r="AW424" i="21" s="1"/>
  <c r="L222" i="20"/>
  <c r="K201" i="21"/>
  <c r="AQ201" i="21" s="1"/>
  <c r="S444" i="20"/>
  <c r="R423" i="21"/>
  <c r="AX423" i="21" s="1"/>
  <c r="AD345" i="20"/>
  <c r="AC324" i="21"/>
  <c r="BI324" i="21" s="1"/>
  <c r="AA33" i="20"/>
  <c r="Z12" i="21"/>
  <c r="BF12" i="21" s="1"/>
  <c r="N161" i="20"/>
  <c r="M140" i="21"/>
  <c r="AS140" i="21" s="1"/>
  <c r="R42" i="20"/>
  <c r="Q21" i="21"/>
  <c r="AW21" i="21" s="1"/>
  <c r="G483" i="20"/>
  <c r="F462" i="21"/>
  <c r="AL462" i="21" s="1"/>
  <c r="N450" i="20"/>
  <c r="M429" i="21"/>
  <c r="AS429" i="21" s="1"/>
  <c r="R100" i="20"/>
  <c r="Q79" i="21"/>
  <c r="AW79" i="21" s="1"/>
  <c r="AB291" i="20"/>
  <c r="AA270" i="21"/>
  <c r="BG270" i="21" s="1"/>
  <c r="U123" i="20"/>
  <c r="T102" i="21"/>
  <c r="AZ102" i="21" s="1"/>
  <c r="J365" i="20"/>
  <c r="I344" i="21"/>
  <c r="AO344" i="21" s="1"/>
  <c r="AE231" i="20"/>
  <c r="AE210" i="21" s="1"/>
  <c r="BK210" i="21" s="1"/>
  <c r="AD210" i="21"/>
  <c r="BJ210" i="21" s="1"/>
  <c r="AC319" i="20"/>
  <c r="AB298" i="21"/>
  <c r="BH298" i="21" s="1"/>
  <c r="AA321" i="20"/>
  <c r="Z300" i="21"/>
  <c r="BF300" i="21" s="1"/>
  <c r="AC31" i="20"/>
  <c r="AB10" i="21"/>
  <c r="BH10" i="21" s="1"/>
  <c r="N335" i="20"/>
  <c r="M314" i="21"/>
  <c r="AS314" i="21" s="1"/>
  <c r="AB435" i="20"/>
  <c r="AA414" i="21"/>
  <c r="BG414" i="21" s="1"/>
  <c r="Z149" i="20"/>
  <c r="Y128" i="21"/>
  <c r="BE128" i="21" s="1"/>
  <c r="M131" i="20"/>
  <c r="L110" i="21"/>
  <c r="AR110" i="21" s="1"/>
  <c r="L308" i="20"/>
  <c r="K287" i="21"/>
  <c r="AQ287" i="21" s="1"/>
  <c r="AE260" i="20"/>
  <c r="AE239" i="21" s="1"/>
  <c r="BK239" i="21" s="1"/>
  <c r="AD239" i="21"/>
  <c r="BJ239" i="21" s="1"/>
  <c r="U354" i="20"/>
  <c r="T333" i="21"/>
  <c r="AZ333" i="21" s="1"/>
  <c r="AD114" i="20"/>
  <c r="AC93" i="21"/>
  <c r="BI93" i="21" s="1"/>
  <c r="Z464" i="20"/>
  <c r="Y443" i="21"/>
  <c r="BE443" i="21" s="1"/>
  <c r="AD174" i="20"/>
  <c r="AC153" i="21"/>
  <c r="BI153" i="21" s="1"/>
  <c r="V38" i="20"/>
  <c r="U17" i="21"/>
  <c r="BA17" i="21" s="1"/>
  <c r="U67" i="20"/>
  <c r="T46" i="21"/>
  <c r="AZ46" i="21" s="1"/>
  <c r="V384" i="20"/>
  <c r="U363" i="21"/>
  <c r="BA363" i="21" s="1"/>
  <c r="W152" i="20"/>
  <c r="V131" i="21"/>
  <c r="BB131" i="21" s="1"/>
  <c r="X267" i="20"/>
  <c r="W246" i="21"/>
  <c r="BC246" i="21" s="1"/>
  <c r="X151" i="20"/>
  <c r="W130" i="21"/>
  <c r="BC130" i="21" s="1"/>
  <c r="L363" i="20"/>
  <c r="K342" i="21"/>
  <c r="AQ342" i="21" s="1"/>
  <c r="AA206" i="20"/>
  <c r="Z185" i="21"/>
  <c r="BF185" i="21" s="1"/>
  <c r="S215" i="20"/>
  <c r="R194" i="21"/>
  <c r="AX194" i="21" s="1"/>
  <c r="K280" i="20"/>
  <c r="J259" i="21"/>
  <c r="AP259" i="21" s="1"/>
  <c r="O420" i="20"/>
  <c r="N399" i="21"/>
  <c r="AT399" i="21" s="1"/>
  <c r="L193" i="20"/>
  <c r="K172" i="21"/>
  <c r="AQ172" i="21" s="1"/>
  <c r="K195" i="20"/>
  <c r="M183" i="1" s="1"/>
  <c r="J454" i="20"/>
  <c r="I433" i="21"/>
  <c r="AO433" i="21" s="1"/>
  <c r="X351" i="20"/>
  <c r="W330" i="21"/>
  <c r="BC330" i="21" s="1"/>
  <c r="Q158" i="20"/>
  <c r="P137" i="21"/>
  <c r="AV137" i="21" s="1"/>
  <c r="M362" i="20"/>
  <c r="L341" i="21"/>
  <c r="AR341" i="21" s="1"/>
  <c r="AD433" i="20"/>
  <c r="AC412" i="21"/>
  <c r="BI412" i="21" s="1"/>
  <c r="M477" i="20"/>
  <c r="L456" i="21"/>
  <c r="AR456" i="21" s="1"/>
  <c r="S300" i="20"/>
  <c r="R279" i="21"/>
  <c r="AX279" i="21" s="1"/>
  <c r="R157" i="20"/>
  <c r="Q136" i="21"/>
  <c r="AW136" i="21" s="1"/>
  <c r="O360" i="20"/>
  <c r="N339" i="21"/>
  <c r="AT339" i="21" s="1"/>
  <c r="Y266" i="20"/>
  <c r="X245" i="21"/>
  <c r="BD245" i="21" s="1"/>
  <c r="R302" i="20"/>
  <c r="Q281" i="21"/>
  <c r="AW281" i="21" s="1"/>
  <c r="Q358" i="20"/>
  <c r="P337" i="21"/>
  <c r="AV337" i="21" s="1"/>
  <c r="V240" i="20"/>
  <c r="U219" i="21"/>
  <c r="BA219" i="21" s="1"/>
  <c r="S471" i="20"/>
  <c r="R450" i="21"/>
  <c r="AX450" i="21" s="1"/>
  <c r="P304" i="20"/>
  <c r="O283" i="21"/>
  <c r="AU283" i="21" s="1"/>
  <c r="Y237" i="20"/>
  <c r="X216" i="21"/>
  <c r="BD216" i="21" s="1"/>
  <c r="Y119" i="20"/>
  <c r="X98" i="21"/>
  <c r="BD98" i="21" s="1"/>
  <c r="Y150" i="20"/>
  <c r="X129" i="21"/>
  <c r="BD129" i="21" s="1"/>
  <c r="Q473" i="20"/>
  <c r="P452" i="21"/>
  <c r="AV452" i="21" s="1"/>
  <c r="O449" i="20"/>
  <c r="N428" i="21"/>
  <c r="AT428" i="21" s="1"/>
  <c r="O45" i="20"/>
  <c r="N24" i="21"/>
  <c r="AT24" i="21" s="1"/>
  <c r="Q274" i="20"/>
  <c r="P253" i="21"/>
  <c r="AV253" i="21" s="1"/>
  <c r="AA379" i="20"/>
  <c r="Z358" i="21"/>
  <c r="BF358" i="21" s="1"/>
  <c r="L163" i="20"/>
  <c r="K142" i="21"/>
  <c r="AQ142" i="21" s="1"/>
  <c r="K78" i="20"/>
  <c r="J57" i="21"/>
  <c r="AP57" i="21" s="1"/>
  <c r="AP58" i="21" s="1"/>
  <c r="T213" i="20"/>
  <c r="S192" i="21"/>
  <c r="AY192" i="21" s="1"/>
  <c r="AC377" i="20"/>
  <c r="AB356" i="21"/>
  <c r="BH356" i="21" s="1"/>
  <c r="W352" i="20"/>
  <c r="V331" i="21"/>
  <c r="BB331" i="21" s="1"/>
  <c r="V353" i="20"/>
  <c r="U332" i="21"/>
  <c r="BA332" i="21" s="1"/>
  <c r="Q217" i="20"/>
  <c r="P196" i="21"/>
  <c r="AV196" i="21" s="1"/>
  <c r="P128" i="20"/>
  <c r="O107" i="21"/>
  <c r="AU107" i="21" s="1"/>
  <c r="M250" i="20"/>
  <c r="L229" i="21"/>
  <c r="AR229" i="21" s="1"/>
  <c r="AJ77" i="23"/>
  <c r="AJ95" i="23" s="1"/>
  <c r="AJ113" i="23" s="1"/>
  <c r="E348" i="21"/>
  <c r="Z408" i="20"/>
  <c r="Y387" i="21"/>
  <c r="BE387" i="21" s="1"/>
  <c r="S387" i="20"/>
  <c r="R366" i="21"/>
  <c r="AX366" i="21" s="1"/>
  <c r="L77" i="20"/>
  <c r="K56" i="21"/>
  <c r="AQ56" i="21" s="1"/>
  <c r="W383" i="20"/>
  <c r="V362" i="21"/>
  <c r="BB362" i="21" s="1"/>
  <c r="G368" i="20"/>
  <c r="F347" i="21"/>
  <c r="AL347" i="21" s="1"/>
  <c r="AL348" i="21" s="1"/>
  <c r="N249" i="20"/>
  <c r="M228" i="21"/>
  <c r="AS228" i="21" s="1"/>
  <c r="U442" i="20"/>
  <c r="T421" i="21"/>
  <c r="AZ421" i="21" s="1"/>
  <c r="AC115" i="20"/>
  <c r="AB94" i="21"/>
  <c r="BH94" i="21" s="1"/>
  <c r="L279" i="20"/>
  <c r="K258" i="21"/>
  <c r="AQ258" i="21" s="1"/>
  <c r="N220" i="20"/>
  <c r="M199" i="21"/>
  <c r="AS199" i="21" s="1"/>
  <c r="R216" i="20"/>
  <c r="Q195" i="21"/>
  <c r="AW195" i="21" s="1"/>
  <c r="J165" i="20"/>
  <c r="I144" i="21"/>
  <c r="M105" i="20"/>
  <c r="L84" i="21"/>
  <c r="AR84" i="21" s="1"/>
  <c r="Y294" i="20"/>
  <c r="X273" i="21"/>
  <c r="BD273" i="21" s="1"/>
  <c r="Y465" i="20"/>
  <c r="X444" i="21"/>
  <c r="BD444" i="21" s="1"/>
  <c r="AD318" i="20"/>
  <c r="AC297" i="21"/>
  <c r="BI297" i="21" s="1"/>
  <c r="I426" i="20"/>
  <c r="I427" i="20" s="1"/>
  <c r="K193" i="1" s="1"/>
  <c r="H405" i="21"/>
  <c r="AN405" i="21" s="1"/>
  <c r="AN406" i="21" s="1"/>
  <c r="V66" i="20"/>
  <c r="U45" i="21"/>
  <c r="BA45" i="21" s="1"/>
  <c r="AB378" i="20"/>
  <c r="AA357" i="21"/>
  <c r="BG357" i="21" s="1"/>
  <c r="W440" i="20"/>
  <c r="V419" i="21"/>
  <c r="BB419" i="21" s="1"/>
  <c r="AC175" i="20"/>
  <c r="AB154" i="21"/>
  <c r="BH154" i="21" s="1"/>
  <c r="W467" i="20"/>
  <c r="V446" i="21"/>
  <c r="BB446" i="21" s="1"/>
  <c r="J480" i="20"/>
  <c r="I459" i="21"/>
  <c r="AO459" i="21" s="1"/>
  <c r="J195" i="20"/>
  <c r="L183" i="1" s="1"/>
  <c r="I166" i="20"/>
  <c r="K182" i="1" s="1"/>
  <c r="H427" i="20"/>
  <c r="J193" i="1" s="1"/>
  <c r="D29" i="21"/>
  <c r="AI66" i="23"/>
  <c r="AI84" i="23" s="1"/>
  <c r="AI102" i="23" s="1"/>
  <c r="E3" i="21"/>
  <c r="E50" i="20"/>
  <c r="G177" i="1" s="1"/>
  <c r="F24" i="20"/>
  <c r="E235" i="21"/>
  <c r="F256" i="20"/>
  <c r="D351" i="21"/>
  <c r="D398" i="20"/>
  <c r="F192" i="1" s="1"/>
  <c r="E372" i="20"/>
  <c r="Q91" i="1" l="1"/>
  <c r="P92" i="1"/>
  <c r="Q92" i="1" s="1"/>
  <c r="M86" i="1"/>
  <c r="B23" i="1"/>
  <c r="O26" i="1" s="1"/>
  <c r="AJ235" i="21"/>
  <c r="AJ261" i="21" s="1"/>
  <c r="C15" i="1" s="1"/>
  <c r="C17" i="1" s="1"/>
  <c r="M81" i="1"/>
  <c r="O81" i="1" s="1"/>
  <c r="AK235" i="21"/>
  <c r="AK261" i="21" s="1"/>
  <c r="D15" i="1" s="1"/>
  <c r="D17" i="1" s="1"/>
  <c r="AO144" i="21"/>
  <c r="AO145" i="21" s="1"/>
  <c r="H9" i="1" s="1"/>
  <c r="H11" i="1" s="1"/>
  <c r="AJ351" i="21"/>
  <c r="AJ377" i="21" s="1"/>
  <c r="C21" i="1" s="1"/>
  <c r="C23" i="1" s="1"/>
  <c r="C8" i="43"/>
  <c r="AK3" i="21"/>
  <c r="AK29" i="21" s="1"/>
  <c r="D3" i="1" s="1"/>
  <c r="D5" i="1" s="1"/>
  <c r="I406" i="21"/>
  <c r="AN79" i="23"/>
  <c r="AN97" i="23" s="1"/>
  <c r="AN115" i="23" s="1"/>
  <c r="AP73" i="23"/>
  <c r="AP91" i="23" s="1"/>
  <c r="AP109" i="23" s="1"/>
  <c r="K232" i="21"/>
  <c r="U213" i="20"/>
  <c r="T192" i="21"/>
  <c r="AZ192" i="21" s="1"/>
  <c r="M163" i="20"/>
  <c r="L142" i="21"/>
  <c r="AR142" i="21" s="1"/>
  <c r="P45" i="20"/>
  <c r="O24" i="21"/>
  <c r="AU24" i="21" s="1"/>
  <c r="L280" i="20"/>
  <c r="K259" i="21"/>
  <c r="AQ259" i="21" s="1"/>
  <c r="AE174" i="20"/>
  <c r="AE153" i="21" s="1"/>
  <c r="BK153" i="21" s="1"/>
  <c r="AD153" i="21"/>
  <c r="BJ153" i="21" s="1"/>
  <c r="S100" i="20"/>
  <c r="R79" i="21"/>
  <c r="AX79" i="21" s="1"/>
  <c r="H483" i="20"/>
  <c r="G462" i="21"/>
  <c r="AM462" i="21" s="1"/>
  <c r="O161" i="20"/>
  <c r="N140" i="21"/>
  <c r="AT140" i="21" s="1"/>
  <c r="AE345" i="20"/>
  <c r="AE324" i="21" s="1"/>
  <c r="BK324" i="21" s="1"/>
  <c r="AD324" i="21"/>
  <c r="BJ324" i="21" s="1"/>
  <c r="S445" i="20"/>
  <c r="R424" i="21"/>
  <c r="AX424" i="21" s="1"/>
  <c r="Q247" i="20"/>
  <c r="P226" i="21"/>
  <c r="AV226" i="21" s="1"/>
  <c r="AA178" i="20"/>
  <c r="Z157" i="21"/>
  <c r="BF157" i="21" s="1"/>
  <c r="V327" i="20"/>
  <c r="U306" i="21"/>
  <c r="BA306" i="21" s="1"/>
  <c r="R418" i="20"/>
  <c r="Q397" i="21"/>
  <c r="AW397" i="21" s="1"/>
  <c r="V469" i="20"/>
  <c r="U448" i="21"/>
  <c r="BA448" i="21" s="1"/>
  <c r="U155" i="20"/>
  <c r="T134" i="21"/>
  <c r="AZ134" i="21" s="1"/>
  <c r="I367" i="20"/>
  <c r="H346" i="21"/>
  <c r="AN346" i="21" s="1"/>
  <c r="K396" i="20"/>
  <c r="J375" i="21"/>
  <c r="AP375" i="21" s="1"/>
  <c r="T156" i="20"/>
  <c r="S135" i="21"/>
  <c r="AY135" i="21" s="1"/>
  <c r="AA349" i="20"/>
  <c r="Z328" i="21"/>
  <c r="BF328" i="21" s="1"/>
  <c r="L395" i="20"/>
  <c r="K374" i="21"/>
  <c r="AQ374" i="21" s="1"/>
  <c r="G484" i="20"/>
  <c r="G485" i="20" s="1"/>
  <c r="I195" i="1" s="1"/>
  <c r="F463" i="21"/>
  <c r="AL463" i="21" s="1"/>
  <c r="AL464" i="21" s="1"/>
  <c r="F485" i="20"/>
  <c r="H195" i="1" s="1"/>
  <c r="S187" i="20"/>
  <c r="R166" i="21"/>
  <c r="AX166" i="21" s="1"/>
  <c r="AB148" i="20"/>
  <c r="AA127" i="21"/>
  <c r="BG127" i="21" s="1"/>
  <c r="T330" i="20"/>
  <c r="S309" i="21"/>
  <c r="AY309" i="21" s="1"/>
  <c r="T70" i="20"/>
  <c r="S49" i="21"/>
  <c r="AY49" i="21" s="1"/>
  <c r="AC116" i="20"/>
  <c r="AB95" i="21"/>
  <c r="BH95" i="21" s="1"/>
  <c r="AC205" i="20"/>
  <c r="AB184" i="21"/>
  <c r="BH184" i="21" s="1"/>
  <c r="Z409" i="20"/>
  <c r="Y388" i="21"/>
  <c r="BE388" i="21" s="1"/>
  <c r="U98" i="20"/>
  <c r="T77" i="21"/>
  <c r="AZ77" i="21" s="1"/>
  <c r="Q359" i="20"/>
  <c r="P338" i="21"/>
  <c r="AV338" i="21" s="1"/>
  <c r="R72" i="20"/>
  <c r="Q51" i="21"/>
  <c r="AW51" i="21" s="1"/>
  <c r="J366" i="20"/>
  <c r="I345" i="21"/>
  <c r="AO345" i="21" s="1"/>
  <c r="AD146" i="20"/>
  <c r="AC125" i="21"/>
  <c r="BI125" i="21" s="1"/>
  <c r="N422" i="20"/>
  <c r="M401" i="21"/>
  <c r="AS401" i="21" s="1"/>
  <c r="O46" i="20"/>
  <c r="N25" i="21"/>
  <c r="AT25" i="21" s="1"/>
  <c r="M478" i="20"/>
  <c r="L457" i="21"/>
  <c r="AR457" i="21" s="1"/>
  <c r="AA380" i="20"/>
  <c r="Z359" i="21"/>
  <c r="BF359" i="21" s="1"/>
  <c r="Y410" i="20"/>
  <c r="X389" i="21"/>
  <c r="BD389" i="21" s="1"/>
  <c r="L49" i="20"/>
  <c r="K28" i="21"/>
  <c r="AQ28" i="21" s="1"/>
  <c r="Y439" i="20"/>
  <c r="X418" i="21"/>
  <c r="BD418" i="21" s="1"/>
  <c r="I145" i="21"/>
  <c r="AN70" i="23"/>
  <c r="AN88" i="23" s="1"/>
  <c r="AN106" i="23" s="1"/>
  <c r="K480" i="20"/>
  <c r="J459" i="21"/>
  <c r="AP459" i="21" s="1"/>
  <c r="Z294" i="20"/>
  <c r="Y273" i="21"/>
  <c r="BE273" i="21" s="1"/>
  <c r="N105" i="20"/>
  <c r="M84" i="21"/>
  <c r="AS84" i="21" s="1"/>
  <c r="S216" i="20"/>
  <c r="R195" i="21"/>
  <c r="AX195" i="21" s="1"/>
  <c r="O220" i="20"/>
  <c r="N199" i="21"/>
  <c r="AT199" i="21" s="1"/>
  <c r="AD115" i="20"/>
  <c r="AC94" i="21"/>
  <c r="BI94" i="21" s="1"/>
  <c r="M77" i="20"/>
  <c r="L56" i="21"/>
  <c r="AR56" i="21" s="1"/>
  <c r="Q128" i="20"/>
  <c r="P107" i="21"/>
  <c r="AV107" i="21" s="1"/>
  <c r="R473" i="20"/>
  <c r="Q452" i="21"/>
  <c r="AW452" i="21" s="1"/>
  <c r="T471" i="20"/>
  <c r="S450" i="21"/>
  <c r="AY450" i="21" s="1"/>
  <c r="R358" i="20"/>
  <c r="Q337" i="21"/>
  <c r="AW337" i="21" s="1"/>
  <c r="Z266" i="20"/>
  <c r="Y245" i="21"/>
  <c r="BE245" i="21" s="1"/>
  <c r="S157" i="20"/>
  <c r="R136" i="21"/>
  <c r="AX136" i="21" s="1"/>
  <c r="AE433" i="20"/>
  <c r="AE412" i="21" s="1"/>
  <c r="BK412" i="21" s="1"/>
  <c r="AD412" i="21"/>
  <c r="BJ412" i="21" s="1"/>
  <c r="R158" i="20"/>
  <c r="Q137" i="21"/>
  <c r="AW137" i="21" s="1"/>
  <c r="K454" i="20"/>
  <c r="J433" i="21"/>
  <c r="AP433" i="21" s="1"/>
  <c r="AB206" i="20"/>
  <c r="AA185" i="21"/>
  <c r="BG185" i="21" s="1"/>
  <c r="Y151" i="20"/>
  <c r="X130" i="21"/>
  <c r="BD130" i="21" s="1"/>
  <c r="X152" i="20"/>
  <c r="W131" i="21"/>
  <c r="BC131" i="21" s="1"/>
  <c r="V67" i="20"/>
  <c r="U46" i="21"/>
  <c r="BA46" i="21" s="1"/>
  <c r="O335" i="20"/>
  <c r="N314" i="21"/>
  <c r="AT314" i="21" s="1"/>
  <c r="AD319" i="20"/>
  <c r="AC298" i="21"/>
  <c r="BI298" i="21" s="1"/>
  <c r="AC291" i="20"/>
  <c r="AB270" i="21"/>
  <c r="BH270" i="21" s="1"/>
  <c r="M222" i="20"/>
  <c r="L201" i="21"/>
  <c r="AR201" i="21" s="1"/>
  <c r="O104" i="20"/>
  <c r="N83" i="21"/>
  <c r="AT83" i="21" s="1"/>
  <c r="AB463" i="20"/>
  <c r="AA442" i="21"/>
  <c r="BG442" i="21" s="1"/>
  <c r="L424" i="20"/>
  <c r="K403" i="21"/>
  <c r="AQ403" i="21" s="1"/>
  <c r="V241" i="20"/>
  <c r="U220" i="21"/>
  <c r="BA220" i="21" s="1"/>
  <c r="L179" i="1"/>
  <c r="AO68" i="23"/>
  <c r="AO86" i="23" s="1"/>
  <c r="AO104" i="23" s="1"/>
  <c r="J87" i="21"/>
  <c r="K310" i="20"/>
  <c r="J289" i="21"/>
  <c r="AP289" i="21" s="1"/>
  <c r="AP290" i="21" s="1"/>
  <c r="J311" i="20"/>
  <c r="L188" i="1" s="1"/>
  <c r="Y466" i="20"/>
  <c r="X445" i="21"/>
  <c r="BD445" i="21" s="1"/>
  <c r="Z208" i="20"/>
  <c r="Y187" i="21"/>
  <c r="BE187" i="21" s="1"/>
  <c r="N47" i="20"/>
  <c r="M26" i="21"/>
  <c r="AS26" i="21" s="1"/>
  <c r="AA34" i="20"/>
  <c r="Z13" i="21"/>
  <c r="BF13" i="21" s="1"/>
  <c r="S331" i="20"/>
  <c r="R310" i="21"/>
  <c r="AX310" i="21" s="1"/>
  <c r="AD346" i="20"/>
  <c r="AC325" i="21"/>
  <c r="BI325" i="21" s="1"/>
  <c r="P276" i="20"/>
  <c r="O255" i="21"/>
  <c r="AU255" i="21" s="1"/>
  <c r="T99" i="20"/>
  <c r="S78" i="21"/>
  <c r="AY78" i="21" s="1"/>
  <c r="U69" i="20"/>
  <c r="T48" i="21"/>
  <c r="AZ48" i="21" s="1"/>
  <c r="O306" i="20"/>
  <c r="N285" i="21"/>
  <c r="AT285" i="21" s="1"/>
  <c r="L164" i="20"/>
  <c r="K143" i="21"/>
  <c r="AQ143" i="21" s="1"/>
  <c r="W441" i="20"/>
  <c r="V420" i="21"/>
  <c r="BB420" i="21" s="1"/>
  <c r="Z35" i="20"/>
  <c r="Y14" i="21"/>
  <c r="BE14" i="21" s="1"/>
  <c r="AB177" i="20"/>
  <c r="AA156" i="21"/>
  <c r="BG156" i="21" s="1"/>
  <c r="W153" i="20"/>
  <c r="V132" i="21"/>
  <c r="BB132" i="21" s="1"/>
  <c r="T356" i="20"/>
  <c r="S335" i="21"/>
  <c r="AY335" i="21" s="1"/>
  <c r="W468" i="20"/>
  <c r="V447" i="21"/>
  <c r="BB447" i="21" s="1"/>
  <c r="U299" i="20"/>
  <c r="T278" i="21"/>
  <c r="AZ278" i="21" s="1"/>
  <c r="Q419" i="20"/>
  <c r="P398" i="21"/>
  <c r="AV398" i="21" s="1"/>
  <c r="R101" i="20"/>
  <c r="Q80" i="21"/>
  <c r="AW80" i="21" s="1"/>
  <c r="T415" i="20"/>
  <c r="S394" i="21"/>
  <c r="AY394" i="21" s="1"/>
  <c r="W95" i="20"/>
  <c r="V74" i="21"/>
  <c r="BB74" i="21" s="1"/>
  <c r="Y238" i="20"/>
  <c r="X217" i="21"/>
  <c r="BD217" i="21" s="1"/>
  <c r="X181" i="20"/>
  <c r="W160" i="21"/>
  <c r="BC160" i="21" s="1"/>
  <c r="W211" i="20"/>
  <c r="V190" i="21"/>
  <c r="BB190" i="21" s="1"/>
  <c r="L338" i="20"/>
  <c r="K317" i="21"/>
  <c r="AQ317" i="21" s="1"/>
  <c r="Z323" i="20"/>
  <c r="Y302" i="21"/>
  <c r="BE302" i="21" s="1"/>
  <c r="AE203" i="20"/>
  <c r="AE182" i="21" s="1"/>
  <c r="BK182" i="21" s="1"/>
  <c r="AD182" i="21"/>
  <c r="BJ182" i="21" s="1"/>
  <c r="R447" i="20"/>
  <c r="Q426" i="21"/>
  <c r="AW426" i="21" s="1"/>
  <c r="AE30" i="20"/>
  <c r="AE9" i="21" s="1"/>
  <c r="BK9" i="21" s="1"/>
  <c r="AD9" i="21"/>
  <c r="BJ9" i="21" s="1"/>
  <c r="Y120" i="20"/>
  <c r="X99" i="21"/>
  <c r="BD99" i="21" s="1"/>
  <c r="Z438" i="20"/>
  <c r="Y417" i="21"/>
  <c r="BE417" i="21" s="1"/>
  <c r="AB61" i="20"/>
  <c r="AA40" i="21"/>
  <c r="BG40" i="21" s="1"/>
  <c r="AB117" i="20"/>
  <c r="AA96" i="21"/>
  <c r="BG96" i="21" s="1"/>
  <c r="U243" i="20"/>
  <c r="T222" i="21"/>
  <c r="AZ222" i="21" s="1"/>
  <c r="Y324" i="20"/>
  <c r="X303" i="21"/>
  <c r="BD303" i="21" s="1"/>
  <c r="T125" i="20"/>
  <c r="S104" i="21"/>
  <c r="AY104" i="21" s="1"/>
  <c r="Q73" i="20"/>
  <c r="P52" i="21"/>
  <c r="AV52" i="21" s="1"/>
  <c r="P334" i="20"/>
  <c r="O313" i="21"/>
  <c r="AU313" i="21" s="1"/>
  <c r="S71" i="20"/>
  <c r="R50" i="21"/>
  <c r="AX50" i="21" s="1"/>
  <c r="AC347" i="20"/>
  <c r="AB326" i="21"/>
  <c r="BH326" i="21" s="1"/>
  <c r="U470" i="20"/>
  <c r="T449" i="21"/>
  <c r="AZ449" i="21" s="1"/>
  <c r="AB436" i="20"/>
  <c r="AA415" i="21"/>
  <c r="BG415" i="21" s="1"/>
  <c r="X325" i="20"/>
  <c r="W304" i="21"/>
  <c r="BC304" i="21" s="1"/>
  <c r="Q189" i="20"/>
  <c r="P168" i="21"/>
  <c r="AV168" i="21" s="1"/>
  <c r="K134" i="20"/>
  <c r="J113" i="21"/>
  <c r="AP113" i="21" s="1"/>
  <c r="Z179" i="20"/>
  <c r="Y158" i="21"/>
  <c r="BE158" i="21" s="1"/>
  <c r="L453" i="20"/>
  <c r="K432" i="21"/>
  <c r="AQ432" i="21" s="1"/>
  <c r="U185" i="20"/>
  <c r="T164" i="21"/>
  <c r="AZ164" i="21" s="1"/>
  <c r="AD262" i="20"/>
  <c r="AC241" i="21"/>
  <c r="BI241" i="21" s="1"/>
  <c r="M48" i="20"/>
  <c r="L27" i="21"/>
  <c r="AR27" i="21" s="1"/>
  <c r="AC147" i="20"/>
  <c r="AB126" i="21"/>
  <c r="BH126" i="21" s="1"/>
  <c r="P190" i="20"/>
  <c r="O169" i="21"/>
  <c r="AU169" i="21" s="1"/>
  <c r="X210" i="20"/>
  <c r="W189" i="21"/>
  <c r="BC189" i="21" s="1"/>
  <c r="AE261" i="20"/>
  <c r="AE240" i="21" s="1"/>
  <c r="BK240" i="21" s="1"/>
  <c r="AD240" i="21"/>
  <c r="BJ240" i="21" s="1"/>
  <c r="J481" i="20"/>
  <c r="I460" i="21"/>
  <c r="AO460" i="21" s="1"/>
  <c r="X467" i="20"/>
  <c r="W446" i="21"/>
  <c r="BC446" i="21" s="1"/>
  <c r="AC378" i="20"/>
  <c r="AB357" i="21"/>
  <c r="BH357" i="21" s="1"/>
  <c r="V442" i="20"/>
  <c r="U421" i="21"/>
  <c r="BA421" i="21" s="1"/>
  <c r="H368" i="20"/>
  <c r="G347" i="21"/>
  <c r="AM347" i="21" s="1"/>
  <c r="AM348" i="21" s="1"/>
  <c r="T387" i="20"/>
  <c r="S366" i="21"/>
  <c r="AY366" i="21" s="1"/>
  <c r="X352" i="20"/>
  <c r="W331" i="21"/>
  <c r="BC331" i="21" s="1"/>
  <c r="AE114" i="20"/>
  <c r="AE93" i="21" s="1"/>
  <c r="BK93" i="21" s="1"/>
  <c r="AD93" i="21"/>
  <c r="BJ93" i="21" s="1"/>
  <c r="U414" i="20"/>
  <c r="T393" i="21"/>
  <c r="AZ393" i="21" s="1"/>
  <c r="Q333" i="20"/>
  <c r="P312" i="21"/>
  <c r="AV312" i="21" s="1"/>
  <c r="AC60" i="20"/>
  <c r="AB39" i="21"/>
  <c r="BH39" i="21" s="1"/>
  <c r="AC176" i="20"/>
  <c r="AB155" i="21"/>
  <c r="BH155" i="21" s="1"/>
  <c r="V154" i="20"/>
  <c r="U133" i="21"/>
  <c r="BA133" i="21" s="1"/>
  <c r="J135" i="20"/>
  <c r="I114" i="21"/>
  <c r="AO114" i="21" s="1"/>
  <c r="R127" i="20"/>
  <c r="Q106" i="21"/>
  <c r="AW106" i="21" s="1"/>
  <c r="AA91" i="20"/>
  <c r="Z70" i="21"/>
  <c r="BF70" i="21" s="1"/>
  <c r="U355" i="20"/>
  <c r="T334" i="21"/>
  <c r="AZ334" i="21" s="1"/>
  <c r="R332" i="20"/>
  <c r="Q311" i="21"/>
  <c r="AW311" i="21" s="1"/>
  <c r="T41" i="20"/>
  <c r="S20" i="21"/>
  <c r="AY20" i="21" s="1"/>
  <c r="P391" i="20"/>
  <c r="O370" i="21"/>
  <c r="AU370" i="21" s="1"/>
  <c r="X94" i="20"/>
  <c r="W73" i="21"/>
  <c r="BC73" i="21" s="1"/>
  <c r="U40" i="20"/>
  <c r="T19" i="21"/>
  <c r="AZ19" i="21" s="1"/>
  <c r="Y64" i="20"/>
  <c r="X43" i="21"/>
  <c r="BD43" i="21" s="1"/>
  <c r="AM79" i="23"/>
  <c r="AM97" i="23" s="1"/>
  <c r="AM115" i="23" s="1"/>
  <c r="H406" i="21"/>
  <c r="J174" i="21"/>
  <c r="AO71" i="23"/>
  <c r="AO89" i="23" s="1"/>
  <c r="AO107" i="23" s="1"/>
  <c r="AD175" i="20"/>
  <c r="AC154" i="21"/>
  <c r="BI154" i="21" s="1"/>
  <c r="X440" i="20"/>
  <c r="W419" i="21"/>
  <c r="BC419" i="21" s="1"/>
  <c r="J426" i="20"/>
  <c r="I405" i="21"/>
  <c r="AO405" i="21" s="1"/>
  <c r="AO406" i="21" s="1"/>
  <c r="Z465" i="20"/>
  <c r="Y444" i="21"/>
  <c r="BE444" i="21" s="1"/>
  <c r="O249" i="20"/>
  <c r="N228" i="21"/>
  <c r="AT228" i="21" s="1"/>
  <c r="X383" i="20"/>
  <c r="W362" i="21"/>
  <c r="BC362" i="21" s="1"/>
  <c r="AA408" i="20"/>
  <c r="Z387" i="21"/>
  <c r="BF387" i="21" s="1"/>
  <c r="W353" i="20"/>
  <c r="V332" i="21"/>
  <c r="BB332" i="21" s="1"/>
  <c r="AD377" i="20"/>
  <c r="AC356" i="21"/>
  <c r="BI356" i="21" s="1"/>
  <c r="L78" i="20"/>
  <c r="K57" i="21"/>
  <c r="AQ57" i="21" s="1"/>
  <c r="AQ58" i="21" s="1"/>
  <c r="K79" i="20"/>
  <c r="AB379" i="20"/>
  <c r="AA358" i="21"/>
  <c r="BG358" i="21" s="1"/>
  <c r="R274" i="20"/>
  <c r="Q253" i="21"/>
  <c r="AW253" i="21" s="1"/>
  <c r="Z119" i="20"/>
  <c r="Y98" i="21"/>
  <c r="BE98" i="21" s="1"/>
  <c r="Q304" i="20"/>
  <c r="P283" i="21"/>
  <c r="AV283" i="21" s="1"/>
  <c r="N477" i="20"/>
  <c r="M456" i="21"/>
  <c r="AS456" i="21" s="1"/>
  <c r="K174" i="21"/>
  <c r="AP71" i="23"/>
  <c r="AP89" i="23" s="1"/>
  <c r="AP107" i="23" s="1"/>
  <c r="P420" i="20"/>
  <c r="O399" i="21"/>
  <c r="AU399" i="21" s="1"/>
  <c r="AA464" i="20"/>
  <c r="Z443" i="21"/>
  <c r="BF443" i="21" s="1"/>
  <c r="AC435" i="20"/>
  <c r="AB414" i="21"/>
  <c r="BH414" i="21" s="1"/>
  <c r="AB321" i="20"/>
  <c r="AA300" i="21"/>
  <c r="BG300" i="21" s="1"/>
  <c r="V123" i="20"/>
  <c r="U102" i="21"/>
  <c r="BA102" i="21" s="1"/>
  <c r="O450" i="20"/>
  <c r="N429" i="21"/>
  <c r="AT429" i="21" s="1"/>
  <c r="S42" i="20"/>
  <c r="R21" i="21"/>
  <c r="AX21" i="21" s="1"/>
  <c r="AB33" i="20"/>
  <c r="AA12" i="21"/>
  <c r="BG12" i="21" s="1"/>
  <c r="T444" i="20"/>
  <c r="S423" i="21"/>
  <c r="AY423" i="21" s="1"/>
  <c r="N307" i="20"/>
  <c r="M286" i="21"/>
  <c r="AS286" i="21" s="1"/>
  <c r="K425" i="20"/>
  <c r="J404" i="21"/>
  <c r="AP404" i="21" s="1"/>
  <c r="AD434" i="20"/>
  <c r="AC413" i="21"/>
  <c r="BI413" i="21" s="1"/>
  <c r="M106" i="20"/>
  <c r="L85" i="21"/>
  <c r="AR85" i="21" s="1"/>
  <c r="L194" i="20"/>
  <c r="K173" i="21"/>
  <c r="AQ173" i="21" s="1"/>
  <c r="AQ174" i="21" s="1"/>
  <c r="AB90" i="20"/>
  <c r="AA69" i="21"/>
  <c r="BG69" i="21" s="1"/>
  <c r="X239" i="20"/>
  <c r="W218" i="21"/>
  <c r="BC218" i="21" s="1"/>
  <c r="AB348" i="20"/>
  <c r="AA327" i="21"/>
  <c r="BG327" i="21" s="1"/>
  <c r="AC89" i="20"/>
  <c r="AB68" i="21"/>
  <c r="BH68" i="21" s="1"/>
  <c r="S273" i="20"/>
  <c r="R252" i="21"/>
  <c r="AX252" i="21" s="1"/>
  <c r="AB292" i="20"/>
  <c r="AA271" i="21"/>
  <c r="BG271" i="21" s="1"/>
  <c r="AD461" i="20"/>
  <c r="AC440" i="21"/>
  <c r="BI440" i="21" s="1"/>
  <c r="L223" i="20"/>
  <c r="K202" i="21"/>
  <c r="AQ202" i="21" s="1"/>
  <c r="AQ203" i="21" s="1"/>
  <c r="X37" i="20"/>
  <c r="W16" i="21"/>
  <c r="BC16" i="21" s="1"/>
  <c r="M132" i="20"/>
  <c r="L111" i="21"/>
  <c r="AR111" i="21" s="1"/>
  <c r="I180" i="1"/>
  <c r="G116" i="21"/>
  <c r="AL69" i="23"/>
  <c r="AL87" i="23" s="1"/>
  <c r="AL105" i="23" s="1"/>
  <c r="AD59" i="20"/>
  <c r="AC38" i="21"/>
  <c r="BI38" i="21" s="1"/>
  <c r="AD233" i="20"/>
  <c r="AC212" i="21"/>
  <c r="BI212" i="21" s="1"/>
  <c r="V385" i="20"/>
  <c r="U364" i="21"/>
  <c r="BA364" i="21" s="1"/>
  <c r="U68" i="20"/>
  <c r="T47" i="21"/>
  <c r="AZ47" i="21" s="1"/>
  <c r="Z63" i="20"/>
  <c r="Y42" i="21"/>
  <c r="BE42" i="21" s="1"/>
  <c r="V183" i="20"/>
  <c r="U162" i="21"/>
  <c r="BA162" i="21" s="1"/>
  <c r="X411" i="20"/>
  <c r="W390" i="21"/>
  <c r="BC390" i="21" s="1"/>
  <c r="AE58" i="20"/>
  <c r="AE37" i="21" s="1"/>
  <c r="BK37" i="21" s="1"/>
  <c r="AD37" i="21"/>
  <c r="BJ37" i="21" s="1"/>
  <c r="AA437" i="20"/>
  <c r="Z416" i="21"/>
  <c r="BF416" i="21" s="1"/>
  <c r="AN76" i="23"/>
  <c r="AN94" i="23" s="1"/>
  <c r="AN112" i="23" s="1"/>
  <c r="I319" i="21"/>
  <c r="S416" i="20"/>
  <c r="R395" i="21"/>
  <c r="AX395" i="21" s="1"/>
  <c r="O191" i="20"/>
  <c r="N170" i="21"/>
  <c r="AT170" i="21" s="1"/>
  <c r="Q159" i="20"/>
  <c r="P138" i="21"/>
  <c r="AV138" i="21" s="1"/>
  <c r="H435" i="21"/>
  <c r="AM80" i="23"/>
  <c r="AM98" i="23" s="1"/>
  <c r="AM116" i="23" s="1"/>
  <c r="N278" i="20"/>
  <c r="M257" i="21"/>
  <c r="AS257" i="21" s="1"/>
  <c r="M394" i="20"/>
  <c r="L373" i="21"/>
  <c r="AR373" i="21" s="1"/>
  <c r="W122" i="20"/>
  <c r="V101" i="21"/>
  <c r="BB101" i="21" s="1"/>
  <c r="AJ81" i="23"/>
  <c r="AJ99" i="23" s="1"/>
  <c r="AJ117" i="23" s="1"/>
  <c r="E464" i="21"/>
  <c r="V270" i="20"/>
  <c r="U249" i="21"/>
  <c r="BA249" i="21" s="1"/>
  <c r="N162" i="20"/>
  <c r="M141" i="21"/>
  <c r="AS141" i="21" s="1"/>
  <c r="U184" i="20"/>
  <c r="T163" i="21"/>
  <c r="AZ163" i="21" s="1"/>
  <c r="AC263" i="20"/>
  <c r="AB242" i="21"/>
  <c r="BH242" i="21" s="1"/>
  <c r="AC234" i="20"/>
  <c r="AB213" i="21"/>
  <c r="BH213" i="21" s="1"/>
  <c r="V413" i="20"/>
  <c r="U392" i="21"/>
  <c r="BA392" i="21" s="1"/>
  <c r="Q275" i="20"/>
  <c r="P254" i="21"/>
  <c r="AV254" i="21" s="1"/>
  <c r="X268" i="20"/>
  <c r="W247" i="21"/>
  <c r="BC247" i="21" s="1"/>
  <c r="U328" i="20"/>
  <c r="T307" i="21"/>
  <c r="AZ307" i="21" s="1"/>
  <c r="AD204" i="20"/>
  <c r="AC183" i="21"/>
  <c r="BI183" i="21" s="1"/>
  <c r="AC32" i="20"/>
  <c r="AB11" i="21"/>
  <c r="BH11" i="21" s="1"/>
  <c r="P475" i="20"/>
  <c r="O454" i="21"/>
  <c r="AU454" i="21" s="1"/>
  <c r="W297" i="20"/>
  <c r="V276" i="21"/>
  <c r="BB276" i="21" s="1"/>
  <c r="AD405" i="20"/>
  <c r="AC384" i="21"/>
  <c r="BI384" i="21" s="1"/>
  <c r="R188" i="20"/>
  <c r="Q167" i="21"/>
  <c r="AW167" i="21" s="1"/>
  <c r="Q474" i="20"/>
  <c r="P453" i="21"/>
  <c r="AV453" i="21" s="1"/>
  <c r="AD88" i="20"/>
  <c r="AC67" i="21"/>
  <c r="BI67" i="21" s="1"/>
  <c r="AE289" i="20"/>
  <c r="AE268" i="21" s="1"/>
  <c r="BK268" i="21" s="1"/>
  <c r="AD268" i="21"/>
  <c r="BJ268" i="21" s="1"/>
  <c r="AE87" i="20"/>
  <c r="AE66" i="21" s="1"/>
  <c r="BK66" i="21" s="1"/>
  <c r="AD66" i="21"/>
  <c r="BJ66" i="21" s="1"/>
  <c r="AA236" i="20"/>
  <c r="Z215" i="21"/>
  <c r="BF215" i="21" s="1"/>
  <c r="W412" i="20"/>
  <c r="V391" i="21"/>
  <c r="BB391" i="21" s="1"/>
  <c r="P74" i="20"/>
  <c r="O53" i="21"/>
  <c r="AU53" i="21" s="1"/>
  <c r="AE145" i="20"/>
  <c r="AE124" i="21" s="1"/>
  <c r="BK124" i="21" s="1"/>
  <c r="AD124" i="21"/>
  <c r="BJ124" i="21" s="1"/>
  <c r="U386" i="20"/>
  <c r="T365" i="21"/>
  <c r="AZ365" i="21" s="1"/>
  <c r="U97" i="20"/>
  <c r="T76" i="21"/>
  <c r="AZ76" i="21" s="1"/>
  <c r="M337" i="20"/>
  <c r="L316" i="21"/>
  <c r="AR316" i="21" s="1"/>
  <c r="L479" i="20"/>
  <c r="K458" i="21"/>
  <c r="AQ458" i="21" s="1"/>
  <c r="T272" i="20"/>
  <c r="S251" i="21"/>
  <c r="AY251" i="21" s="1"/>
  <c r="N76" i="20"/>
  <c r="M55" i="21"/>
  <c r="AS55" i="21" s="1"/>
  <c r="N221" i="20"/>
  <c r="M200" i="21"/>
  <c r="AS200" i="21" s="1"/>
  <c r="Y295" i="20"/>
  <c r="X274" i="21"/>
  <c r="BD274" i="21" s="1"/>
  <c r="Y180" i="20"/>
  <c r="X159" i="21"/>
  <c r="BD159" i="21" s="1"/>
  <c r="Q44" i="20"/>
  <c r="P23" i="21"/>
  <c r="AV23" i="21" s="1"/>
  <c r="X65" i="20"/>
  <c r="W44" i="21"/>
  <c r="BC44" i="21" s="1"/>
  <c r="Y93" i="20"/>
  <c r="X72" i="21"/>
  <c r="BD72" i="21" s="1"/>
  <c r="AA265" i="20"/>
  <c r="Z244" i="21"/>
  <c r="BF244" i="21" s="1"/>
  <c r="Z381" i="20"/>
  <c r="Y360" i="21"/>
  <c r="BE360" i="21" s="1"/>
  <c r="R389" i="20"/>
  <c r="Q368" i="21"/>
  <c r="AW368" i="21" s="1"/>
  <c r="J455" i="20"/>
  <c r="J456" i="20" s="1"/>
  <c r="L194" i="1" s="1"/>
  <c r="I434" i="21"/>
  <c r="AO434" i="21" s="1"/>
  <c r="AO435" i="21" s="1"/>
  <c r="I456" i="20"/>
  <c r="K194" i="1" s="1"/>
  <c r="AA322" i="20"/>
  <c r="Z301" i="21"/>
  <c r="BF301" i="21" s="1"/>
  <c r="AE318" i="20"/>
  <c r="AE297" i="21" s="1"/>
  <c r="BK297" i="21" s="1"/>
  <c r="AD297" i="21"/>
  <c r="BJ297" i="21" s="1"/>
  <c r="Z150" i="20"/>
  <c r="Y129" i="21"/>
  <c r="BE129" i="21" s="1"/>
  <c r="Z237" i="20"/>
  <c r="Y216" i="21"/>
  <c r="BE216" i="21" s="1"/>
  <c r="T300" i="20"/>
  <c r="S279" i="21"/>
  <c r="AY279" i="21" s="1"/>
  <c r="M193" i="20"/>
  <c r="L172" i="21"/>
  <c r="AR172" i="21" s="1"/>
  <c r="W38" i="20"/>
  <c r="V17" i="21"/>
  <c r="BB17" i="21" s="1"/>
  <c r="M308" i="20"/>
  <c r="L287" i="21"/>
  <c r="AR287" i="21" s="1"/>
  <c r="AC320" i="20"/>
  <c r="AB299" i="21"/>
  <c r="BH299" i="21" s="1"/>
  <c r="S245" i="20"/>
  <c r="R224" i="21"/>
  <c r="AX224" i="21" s="1"/>
  <c r="I136" i="20"/>
  <c r="H115" i="21"/>
  <c r="AN115" i="21" s="1"/>
  <c r="AN116" i="21" s="1"/>
  <c r="H137" i="20"/>
  <c r="U271" i="20"/>
  <c r="T250" i="21"/>
  <c r="AZ250" i="21" s="1"/>
  <c r="N451" i="20"/>
  <c r="M430" i="21"/>
  <c r="AS430" i="21" s="1"/>
  <c r="K339" i="20"/>
  <c r="J318" i="21"/>
  <c r="AP318" i="21" s="1"/>
  <c r="AP319" i="21" s="1"/>
  <c r="Q390" i="20"/>
  <c r="P369" i="21"/>
  <c r="AV369" i="21" s="1"/>
  <c r="O361" i="20"/>
  <c r="N340" i="21"/>
  <c r="AT340" i="21" s="1"/>
  <c r="O75" i="20"/>
  <c r="N54" i="21"/>
  <c r="AT54" i="21" s="1"/>
  <c r="Z92" i="20"/>
  <c r="Y71" i="21"/>
  <c r="BE71" i="21" s="1"/>
  <c r="P160" i="20"/>
  <c r="O139" i="21"/>
  <c r="AU139" i="21" s="1"/>
  <c r="T244" i="20"/>
  <c r="S223" i="21"/>
  <c r="AY223" i="21" s="1"/>
  <c r="O476" i="20"/>
  <c r="N455" i="21"/>
  <c r="AT455" i="21" s="1"/>
  <c r="AE376" i="20"/>
  <c r="AE355" i="21" s="1"/>
  <c r="BK355" i="21" s="1"/>
  <c r="AD355" i="21"/>
  <c r="BJ355" i="21" s="1"/>
  <c r="U443" i="20"/>
  <c r="T422" i="21"/>
  <c r="AZ422" i="21" s="1"/>
  <c r="AA62" i="20"/>
  <c r="Z41" i="21"/>
  <c r="BF41" i="21" s="1"/>
  <c r="O130" i="20"/>
  <c r="N109" i="21"/>
  <c r="AT109" i="21" s="1"/>
  <c r="AA293" i="20"/>
  <c r="Z272" i="21"/>
  <c r="BF272" i="21" s="1"/>
  <c r="AB264" i="20"/>
  <c r="AA243" i="21"/>
  <c r="BG243" i="21" s="1"/>
  <c r="O277" i="20"/>
  <c r="N256" i="21"/>
  <c r="AT256" i="21" s="1"/>
  <c r="AD290" i="20"/>
  <c r="AC269" i="21"/>
  <c r="BI269" i="21" s="1"/>
  <c r="P103" i="20"/>
  <c r="O82" i="21"/>
  <c r="AU82" i="21" s="1"/>
  <c r="W66" i="20"/>
  <c r="V45" i="21"/>
  <c r="BB45" i="21" s="1"/>
  <c r="K165" i="20"/>
  <c r="J144" i="21"/>
  <c r="M279" i="20"/>
  <c r="L258" i="21"/>
  <c r="AR258" i="21" s="1"/>
  <c r="N250" i="20"/>
  <c r="M229" i="21"/>
  <c r="AS229" i="21" s="1"/>
  <c r="R217" i="20"/>
  <c r="Q196" i="21"/>
  <c r="AW196" i="21" s="1"/>
  <c r="P449" i="20"/>
  <c r="O428" i="21"/>
  <c r="AU428" i="21" s="1"/>
  <c r="W240" i="20"/>
  <c r="V219" i="21"/>
  <c r="BB219" i="21" s="1"/>
  <c r="S302" i="20"/>
  <c r="R281" i="21"/>
  <c r="AX281" i="21" s="1"/>
  <c r="P360" i="20"/>
  <c r="O339" i="21"/>
  <c r="AU339" i="21" s="1"/>
  <c r="N362" i="20"/>
  <c r="M341" i="21"/>
  <c r="AS341" i="21" s="1"/>
  <c r="Y351" i="20"/>
  <c r="X330" i="21"/>
  <c r="BD330" i="21" s="1"/>
  <c r="T215" i="20"/>
  <c r="S194" i="21"/>
  <c r="AY194" i="21" s="1"/>
  <c r="M363" i="20"/>
  <c r="L342" i="21"/>
  <c r="AR342" i="21" s="1"/>
  <c r="Y267" i="20"/>
  <c r="X246" i="21"/>
  <c r="BD246" i="21" s="1"/>
  <c r="W384" i="20"/>
  <c r="V363" i="21"/>
  <c r="BB363" i="21" s="1"/>
  <c r="V354" i="20"/>
  <c r="U333" i="21"/>
  <c r="BA333" i="21" s="1"/>
  <c r="N131" i="20"/>
  <c r="M110" i="21"/>
  <c r="AS110" i="21" s="1"/>
  <c r="AA149" i="20"/>
  <c r="Z128" i="21"/>
  <c r="BF128" i="21" s="1"/>
  <c r="AD31" i="20"/>
  <c r="AC10" i="21"/>
  <c r="BI10" i="21" s="1"/>
  <c r="K365" i="20"/>
  <c r="J344" i="21"/>
  <c r="AP344" i="21" s="1"/>
  <c r="K203" i="21"/>
  <c r="AP72" i="23"/>
  <c r="AP90" i="23" s="1"/>
  <c r="AP108" i="23" s="1"/>
  <c r="U124" i="20"/>
  <c r="T103" i="21"/>
  <c r="AZ103" i="21" s="1"/>
  <c r="AO73" i="23"/>
  <c r="AO91" i="23" s="1"/>
  <c r="AO109" i="23" s="1"/>
  <c r="J232" i="21"/>
  <c r="W326" i="20"/>
  <c r="V305" i="21"/>
  <c r="BB305" i="21" s="1"/>
  <c r="Q218" i="20"/>
  <c r="P197" i="21"/>
  <c r="AV197" i="21" s="1"/>
  <c r="P219" i="20"/>
  <c r="O198" i="21"/>
  <c r="AU198" i="21" s="1"/>
  <c r="I482" i="20"/>
  <c r="H461" i="21"/>
  <c r="AN461" i="21" s="1"/>
  <c r="AC406" i="20"/>
  <c r="AB385" i="21"/>
  <c r="BH385" i="21" s="1"/>
  <c r="S388" i="20"/>
  <c r="R367" i="21"/>
  <c r="AX367" i="21" s="1"/>
  <c r="L252" i="20"/>
  <c r="K231" i="21"/>
  <c r="AQ231" i="21" s="1"/>
  <c r="AQ232" i="21" s="1"/>
  <c r="M251" i="20"/>
  <c r="L230" i="21"/>
  <c r="AR230" i="21" s="1"/>
  <c r="S126" i="20"/>
  <c r="R105" i="21"/>
  <c r="AX105" i="21" s="1"/>
  <c r="U242" i="20"/>
  <c r="T221" i="21"/>
  <c r="AZ221" i="21" s="1"/>
  <c r="AA207" i="20"/>
  <c r="Z186" i="21"/>
  <c r="BF186" i="21" s="1"/>
  <c r="X296" i="20"/>
  <c r="W275" i="21"/>
  <c r="BC275" i="21" s="1"/>
  <c r="P248" i="20"/>
  <c r="O227" i="21"/>
  <c r="AU227" i="21" s="1"/>
  <c r="M452" i="20"/>
  <c r="L431" i="21"/>
  <c r="AR431" i="21" s="1"/>
  <c r="P305" i="20"/>
  <c r="O284" i="21"/>
  <c r="AU284" i="21" s="1"/>
  <c r="W182" i="20"/>
  <c r="V161" i="21"/>
  <c r="BB161" i="21" s="1"/>
  <c r="V298" i="20"/>
  <c r="U277" i="21"/>
  <c r="BA277" i="21" s="1"/>
  <c r="O392" i="20"/>
  <c r="N371" i="21"/>
  <c r="AT371" i="21" s="1"/>
  <c r="J166" i="20"/>
  <c r="L182" i="1" s="1"/>
  <c r="AE232" i="20"/>
  <c r="AE211" i="21" s="1"/>
  <c r="BK211" i="21" s="1"/>
  <c r="AD211" i="21"/>
  <c r="BJ211" i="21" s="1"/>
  <c r="AB235" i="20"/>
  <c r="AA214" i="21"/>
  <c r="BG214" i="21" s="1"/>
  <c r="O421" i="20"/>
  <c r="N400" i="21"/>
  <c r="AT400" i="21" s="1"/>
  <c r="L107" i="20"/>
  <c r="K86" i="21"/>
  <c r="AQ86" i="21" s="1"/>
  <c r="AQ87" i="21" s="1"/>
  <c r="K108" i="20"/>
  <c r="L309" i="20"/>
  <c r="K288" i="21"/>
  <c r="AQ288" i="21" s="1"/>
  <c r="Y209" i="20"/>
  <c r="X188" i="21"/>
  <c r="BD188" i="21" s="1"/>
  <c r="Y382" i="20"/>
  <c r="X361" i="21"/>
  <c r="BD361" i="21" s="1"/>
  <c r="Z350" i="20"/>
  <c r="Y329" i="21"/>
  <c r="BE329" i="21" s="1"/>
  <c r="N336" i="20"/>
  <c r="M315" i="21"/>
  <c r="AS315" i="21" s="1"/>
  <c r="J340" i="20"/>
  <c r="L189" i="1" s="1"/>
  <c r="Q448" i="20"/>
  <c r="P427" i="21"/>
  <c r="AV427" i="21" s="1"/>
  <c r="V39" i="20"/>
  <c r="U18" i="21"/>
  <c r="BA18" i="21" s="1"/>
  <c r="R43" i="20"/>
  <c r="Q22" i="21"/>
  <c r="AW22" i="21" s="1"/>
  <c r="K281" i="20"/>
  <c r="J260" i="21"/>
  <c r="AP260" i="21" s="1"/>
  <c r="W269" i="20"/>
  <c r="V248" i="21"/>
  <c r="BB248" i="21" s="1"/>
  <c r="L133" i="20"/>
  <c r="K112" i="21"/>
  <c r="AQ112" i="21" s="1"/>
  <c r="Q102" i="20"/>
  <c r="P81" i="21"/>
  <c r="AV81" i="21" s="1"/>
  <c r="R246" i="20"/>
  <c r="Q225" i="21"/>
  <c r="AW225" i="21" s="1"/>
  <c r="P129" i="20"/>
  <c r="O108" i="21"/>
  <c r="AU108" i="21" s="1"/>
  <c r="U214" i="20"/>
  <c r="T193" i="21"/>
  <c r="AZ193" i="21" s="1"/>
  <c r="T329" i="20"/>
  <c r="S308" i="21"/>
  <c r="AY308" i="21" s="1"/>
  <c r="R303" i="20"/>
  <c r="Q282" i="21"/>
  <c r="AW282" i="21" s="1"/>
  <c r="AA118" i="20"/>
  <c r="Z97" i="21"/>
  <c r="BF97" i="21" s="1"/>
  <c r="T186" i="20"/>
  <c r="S165" i="21"/>
  <c r="AY165" i="21" s="1"/>
  <c r="X121" i="20"/>
  <c r="W100" i="21"/>
  <c r="BC100" i="21" s="1"/>
  <c r="N393" i="20"/>
  <c r="M372" i="21"/>
  <c r="AS372" i="21" s="1"/>
  <c r="M423" i="20"/>
  <c r="L402" i="21"/>
  <c r="AR402" i="21" s="1"/>
  <c r="V212" i="20"/>
  <c r="U191" i="21"/>
  <c r="BA191" i="21" s="1"/>
  <c r="AB407" i="20"/>
  <c r="AA386" i="21"/>
  <c r="BG386" i="21" s="1"/>
  <c r="S446" i="20"/>
  <c r="R425" i="21"/>
  <c r="AX425" i="21" s="1"/>
  <c r="S357" i="20"/>
  <c r="R336" i="21"/>
  <c r="AX336" i="21" s="1"/>
  <c r="Y36" i="20"/>
  <c r="X15" i="21"/>
  <c r="BD15" i="21" s="1"/>
  <c r="AE460" i="20"/>
  <c r="AE439" i="21" s="1"/>
  <c r="BK439" i="21" s="1"/>
  <c r="AD439" i="21"/>
  <c r="BJ439" i="21" s="1"/>
  <c r="AE404" i="20"/>
  <c r="AE383" i="21" s="1"/>
  <c r="BK383" i="21" s="1"/>
  <c r="AD383" i="21"/>
  <c r="BJ383" i="21" s="1"/>
  <c r="V96" i="20"/>
  <c r="U75" i="21"/>
  <c r="BA75" i="21" s="1"/>
  <c r="T301" i="20"/>
  <c r="S280" i="21"/>
  <c r="AY280" i="21" s="1"/>
  <c r="J397" i="20"/>
  <c r="I376" i="21"/>
  <c r="AO376" i="21" s="1"/>
  <c r="L364" i="20"/>
  <c r="K343" i="21"/>
  <c r="AQ343" i="21" s="1"/>
  <c r="S417" i="20"/>
  <c r="R396" i="21"/>
  <c r="AX396" i="21" s="1"/>
  <c r="AC462" i="20"/>
  <c r="AB441" i="21"/>
  <c r="BH441" i="21" s="1"/>
  <c r="S472" i="20"/>
  <c r="R451" i="21"/>
  <c r="AX451" i="21" s="1"/>
  <c r="N192" i="20"/>
  <c r="M171" i="21"/>
  <c r="AS171" i="21" s="1"/>
  <c r="G369" i="20"/>
  <c r="I190" i="1" s="1"/>
  <c r="D377" i="21"/>
  <c r="AI78" i="23"/>
  <c r="AI96" i="23" s="1"/>
  <c r="AI114" i="23" s="1"/>
  <c r="E29" i="21"/>
  <c r="AJ66" i="23"/>
  <c r="AJ84" i="23" s="1"/>
  <c r="AJ102" i="23" s="1"/>
  <c r="E398" i="20"/>
  <c r="G192" i="1" s="1"/>
  <c r="E351" i="21"/>
  <c r="F372" i="20"/>
  <c r="F3" i="21"/>
  <c r="F50" i="20"/>
  <c r="H177" i="1" s="1"/>
  <c r="G24" i="20"/>
  <c r="F235" i="21"/>
  <c r="G256" i="20"/>
  <c r="O86" i="1" l="1"/>
  <c r="M91" i="1"/>
  <c r="Q26" i="1"/>
  <c r="AL3" i="21"/>
  <c r="AL29" i="21" s="1"/>
  <c r="E3" i="1" s="1"/>
  <c r="E5" i="1" s="1"/>
  <c r="AP144" i="21"/>
  <c r="AP145" i="21" s="1"/>
  <c r="I9" i="1" s="1"/>
  <c r="I11" i="1" s="1"/>
  <c r="AL235" i="21"/>
  <c r="AL261" i="21" s="1"/>
  <c r="E15" i="1" s="1"/>
  <c r="E17" i="1" s="1"/>
  <c r="AK351" i="21"/>
  <c r="AK377" i="21" s="1"/>
  <c r="D21" i="1" s="1"/>
  <c r="D23" i="1" s="1"/>
  <c r="J435" i="21"/>
  <c r="AO80" i="23"/>
  <c r="AO98" i="23" s="1"/>
  <c r="AO116" i="23" s="1"/>
  <c r="M179" i="1"/>
  <c r="AP68" i="23"/>
  <c r="AP86" i="23" s="1"/>
  <c r="AP104" i="23" s="1"/>
  <c r="K87" i="21"/>
  <c r="AC235" i="20"/>
  <c r="AB214" i="21"/>
  <c r="BH214" i="21" s="1"/>
  <c r="M252" i="20"/>
  <c r="L231" i="21"/>
  <c r="AR231" i="21" s="1"/>
  <c r="AR232" i="21" s="1"/>
  <c r="L253" i="20"/>
  <c r="N185" i="1" s="1"/>
  <c r="AD406" i="20"/>
  <c r="AC385" i="21"/>
  <c r="BI385" i="21" s="1"/>
  <c r="R218" i="20"/>
  <c r="Q197" i="21"/>
  <c r="AW197" i="21" s="1"/>
  <c r="AB149" i="20"/>
  <c r="AA128" i="21"/>
  <c r="BG128" i="21" s="1"/>
  <c r="W354" i="20"/>
  <c r="V333" i="21"/>
  <c r="BB333" i="21" s="1"/>
  <c r="U215" i="20"/>
  <c r="T194" i="21"/>
  <c r="AZ194" i="21" s="1"/>
  <c r="Q360" i="20"/>
  <c r="P339" i="21"/>
  <c r="AV339" i="21" s="1"/>
  <c r="AA150" i="20"/>
  <c r="Z129" i="21"/>
  <c r="BF129" i="21" s="1"/>
  <c r="U272" i="20"/>
  <c r="T251" i="21"/>
  <c r="AZ251" i="21" s="1"/>
  <c r="N106" i="20"/>
  <c r="M85" i="21"/>
  <c r="AS85" i="21" s="1"/>
  <c r="P249" i="20"/>
  <c r="O228" i="21"/>
  <c r="AU228" i="21" s="1"/>
  <c r="K426" i="20"/>
  <c r="J405" i="21"/>
  <c r="AP405" i="21" s="1"/>
  <c r="AP406" i="21" s="1"/>
  <c r="J427" i="20"/>
  <c r="L193" i="1" s="1"/>
  <c r="AE175" i="20"/>
  <c r="AE154" i="21" s="1"/>
  <c r="BK154" i="21" s="1"/>
  <c r="AD154" i="21"/>
  <c r="BJ154" i="21" s="1"/>
  <c r="V40" i="20"/>
  <c r="U19" i="21"/>
  <c r="BA19" i="21" s="1"/>
  <c r="AD60" i="20"/>
  <c r="AC39" i="21"/>
  <c r="BI39" i="21" s="1"/>
  <c r="V414" i="20"/>
  <c r="U393" i="21"/>
  <c r="BA393" i="21" s="1"/>
  <c r="U387" i="20"/>
  <c r="T366" i="21"/>
  <c r="AZ366" i="21" s="1"/>
  <c r="K481" i="20"/>
  <c r="J460" i="21"/>
  <c r="AP460" i="21" s="1"/>
  <c r="R73" i="20"/>
  <c r="Q52" i="21"/>
  <c r="AW52" i="21" s="1"/>
  <c r="Z324" i="20"/>
  <c r="Y303" i="21"/>
  <c r="BE303" i="21" s="1"/>
  <c r="AC117" i="20"/>
  <c r="AB96" i="21"/>
  <c r="BH96" i="21" s="1"/>
  <c r="X211" i="20"/>
  <c r="W190" i="21"/>
  <c r="BC190" i="21" s="1"/>
  <c r="Z151" i="20"/>
  <c r="Y130" i="21"/>
  <c r="BE130" i="21" s="1"/>
  <c r="S158" i="20"/>
  <c r="R137" i="21"/>
  <c r="AX137" i="21" s="1"/>
  <c r="T157" i="20"/>
  <c r="S136" i="21"/>
  <c r="AY136" i="21" s="1"/>
  <c r="S358" i="20"/>
  <c r="R337" i="21"/>
  <c r="AX337" i="21" s="1"/>
  <c r="AA294" i="20"/>
  <c r="Z273" i="21"/>
  <c r="BF273" i="21" s="1"/>
  <c r="S418" i="20"/>
  <c r="R397" i="21"/>
  <c r="AX397" i="21" s="1"/>
  <c r="AB178" i="20"/>
  <c r="AA157" i="21"/>
  <c r="BG157" i="21" s="1"/>
  <c r="Q45" i="20"/>
  <c r="P24" i="21"/>
  <c r="AV24" i="21" s="1"/>
  <c r="V213" i="20"/>
  <c r="U192" i="21"/>
  <c r="BA192" i="21" s="1"/>
  <c r="G348" i="21"/>
  <c r="AL77" i="23"/>
  <c r="AL95" i="23" s="1"/>
  <c r="AL113" i="23" s="1"/>
  <c r="T472" i="20"/>
  <c r="S451" i="21"/>
  <c r="AY451" i="21" s="1"/>
  <c r="T417" i="20"/>
  <c r="S396" i="21"/>
  <c r="AY396" i="21" s="1"/>
  <c r="T446" i="20"/>
  <c r="S425" i="21"/>
  <c r="AY425" i="21" s="1"/>
  <c r="S303" i="20"/>
  <c r="R282" i="21"/>
  <c r="AX282" i="21" s="1"/>
  <c r="J319" i="21"/>
  <c r="AO76" i="23"/>
  <c r="AO94" i="23" s="1"/>
  <c r="AO112" i="23" s="1"/>
  <c r="AA350" i="20"/>
  <c r="Z329" i="21"/>
  <c r="BF329" i="21" s="1"/>
  <c r="Z209" i="20"/>
  <c r="Y188" i="21"/>
  <c r="BE188" i="21" s="1"/>
  <c r="Q248" i="20"/>
  <c r="P227" i="21"/>
  <c r="AV227" i="21" s="1"/>
  <c r="O362" i="20"/>
  <c r="N341" i="21"/>
  <c r="AT341" i="21" s="1"/>
  <c r="O250" i="20"/>
  <c r="N229" i="21"/>
  <c r="AT229" i="21" s="1"/>
  <c r="L165" i="20"/>
  <c r="K144" i="21"/>
  <c r="AE290" i="20"/>
  <c r="AE269" i="21" s="1"/>
  <c r="BK269" i="21" s="1"/>
  <c r="AD269" i="21"/>
  <c r="BJ269" i="21" s="1"/>
  <c r="AC264" i="20"/>
  <c r="AB243" i="21"/>
  <c r="BH243" i="21" s="1"/>
  <c r="P130" i="20"/>
  <c r="O109" i="21"/>
  <c r="AU109" i="21" s="1"/>
  <c r="U244" i="20"/>
  <c r="T223" i="21"/>
  <c r="AZ223" i="21" s="1"/>
  <c r="R390" i="20"/>
  <c r="Q369" i="21"/>
  <c r="AW369" i="21" s="1"/>
  <c r="J180" i="1"/>
  <c r="AM69" i="23"/>
  <c r="AM87" i="23" s="1"/>
  <c r="AM105" i="23" s="1"/>
  <c r="H116" i="21"/>
  <c r="T245" i="20"/>
  <c r="S224" i="21"/>
  <c r="AY224" i="21" s="1"/>
  <c r="N308" i="20"/>
  <c r="M287" i="21"/>
  <c r="AS287" i="21" s="1"/>
  <c r="N193" i="20"/>
  <c r="M172" i="21"/>
  <c r="AS172" i="21" s="1"/>
  <c r="AB322" i="20"/>
  <c r="AA301" i="21"/>
  <c r="BG301" i="21" s="1"/>
  <c r="Z295" i="20"/>
  <c r="Y274" i="21"/>
  <c r="BE274" i="21" s="1"/>
  <c r="N337" i="20"/>
  <c r="M316" i="21"/>
  <c r="AS316" i="21" s="1"/>
  <c r="V386" i="20"/>
  <c r="U365" i="21"/>
  <c r="BA365" i="21" s="1"/>
  <c r="AE405" i="20"/>
  <c r="AE384" i="21" s="1"/>
  <c r="BK384" i="21" s="1"/>
  <c r="AD384" i="21"/>
  <c r="BJ384" i="21" s="1"/>
  <c r="W413" i="20"/>
  <c r="V392" i="21"/>
  <c r="BB392" i="21" s="1"/>
  <c r="AD263" i="20"/>
  <c r="AC242" i="21"/>
  <c r="BI242" i="21" s="1"/>
  <c r="W270" i="20"/>
  <c r="V249" i="21"/>
  <c r="BB249" i="21" s="1"/>
  <c r="X122" i="20"/>
  <c r="W101" i="21"/>
  <c r="BC101" i="21" s="1"/>
  <c r="O278" i="20"/>
  <c r="N257" i="21"/>
  <c r="AT257" i="21" s="1"/>
  <c r="AB437" i="20"/>
  <c r="AA416" i="21"/>
  <c r="BG416" i="21" s="1"/>
  <c r="Y411" i="20"/>
  <c r="X390" i="21"/>
  <c r="BD390" i="21" s="1"/>
  <c r="V68" i="20"/>
  <c r="U47" i="21"/>
  <c r="BA47" i="21" s="1"/>
  <c r="AE233" i="20"/>
  <c r="AE212" i="21" s="1"/>
  <c r="BK212" i="21" s="1"/>
  <c r="AD212" i="21"/>
  <c r="BJ212" i="21" s="1"/>
  <c r="AC292" i="20"/>
  <c r="AB271" i="21"/>
  <c r="BH271" i="21" s="1"/>
  <c r="AD89" i="20"/>
  <c r="AC68" i="21"/>
  <c r="BI68" i="21" s="1"/>
  <c r="Y239" i="20"/>
  <c r="X218" i="21"/>
  <c r="BD218" i="21" s="1"/>
  <c r="M194" i="20"/>
  <c r="L173" i="21"/>
  <c r="AR173" i="21" s="1"/>
  <c r="AR174" i="21" s="1"/>
  <c r="U444" i="20"/>
  <c r="T423" i="21"/>
  <c r="AZ423" i="21" s="1"/>
  <c r="T42" i="20"/>
  <c r="S21" i="21"/>
  <c r="AY21" i="21" s="1"/>
  <c r="W123" i="20"/>
  <c r="V102" i="21"/>
  <c r="BB102" i="21" s="1"/>
  <c r="AD435" i="20"/>
  <c r="AC414" i="21"/>
  <c r="BI414" i="21" s="1"/>
  <c r="Q420" i="20"/>
  <c r="P399" i="21"/>
  <c r="AV399" i="21" s="1"/>
  <c r="R304" i="20"/>
  <c r="Q283" i="21"/>
  <c r="AW283" i="21" s="1"/>
  <c r="M178" i="1"/>
  <c r="K58" i="21"/>
  <c r="AP67" i="23"/>
  <c r="AP85" i="23" s="1"/>
  <c r="AP103" i="23" s="1"/>
  <c r="AE377" i="20"/>
  <c r="AE356" i="21" s="1"/>
  <c r="BK356" i="21" s="1"/>
  <c r="AD356" i="21"/>
  <c r="BJ356" i="21" s="1"/>
  <c r="Y383" i="20"/>
  <c r="X362" i="21"/>
  <c r="BD362" i="21" s="1"/>
  <c r="K135" i="20"/>
  <c r="J114" i="21"/>
  <c r="AP114" i="21" s="1"/>
  <c r="Y467" i="20"/>
  <c r="X446" i="21"/>
  <c r="BD446" i="21" s="1"/>
  <c r="Y210" i="20"/>
  <c r="X189" i="21"/>
  <c r="BD189" i="21" s="1"/>
  <c r="AD147" i="20"/>
  <c r="AC126" i="21"/>
  <c r="BI126" i="21" s="1"/>
  <c r="AE262" i="20"/>
  <c r="AE241" i="21" s="1"/>
  <c r="BK241" i="21" s="1"/>
  <c r="AD241" i="21"/>
  <c r="BJ241" i="21" s="1"/>
  <c r="AA179" i="20"/>
  <c r="Z158" i="21"/>
  <c r="BF158" i="21" s="1"/>
  <c r="R189" i="20"/>
  <c r="Q168" i="21"/>
  <c r="AW168" i="21" s="1"/>
  <c r="AC436" i="20"/>
  <c r="AB415" i="21"/>
  <c r="BH415" i="21" s="1"/>
  <c r="AA438" i="20"/>
  <c r="Z417" i="21"/>
  <c r="BF417" i="21" s="1"/>
  <c r="M338" i="20"/>
  <c r="L317" i="21"/>
  <c r="AR317" i="21" s="1"/>
  <c r="Z238" i="20"/>
  <c r="Y217" i="21"/>
  <c r="BE217" i="21" s="1"/>
  <c r="U415" i="20"/>
  <c r="T394" i="21"/>
  <c r="AZ394" i="21" s="1"/>
  <c r="U356" i="20"/>
  <c r="T335" i="21"/>
  <c r="AZ335" i="21" s="1"/>
  <c r="K166" i="20"/>
  <c r="M182" i="1" s="1"/>
  <c r="P306" i="20"/>
  <c r="O285" i="21"/>
  <c r="AU285" i="21" s="1"/>
  <c r="L310" i="20"/>
  <c r="K289" i="21"/>
  <c r="AQ289" i="21" s="1"/>
  <c r="AQ290" i="21" s="1"/>
  <c r="K311" i="20"/>
  <c r="M188" i="1" s="1"/>
  <c r="M424" i="20"/>
  <c r="L403" i="21"/>
  <c r="AR403" i="21" s="1"/>
  <c r="N222" i="20"/>
  <c r="M201" i="21"/>
  <c r="AS201" i="21" s="1"/>
  <c r="P335" i="20"/>
  <c r="O314" i="21"/>
  <c r="AU314" i="21" s="1"/>
  <c r="L454" i="20"/>
  <c r="K433" i="21"/>
  <c r="AQ433" i="21" s="1"/>
  <c r="S473" i="20"/>
  <c r="R452" i="21"/>
  <c r="AX452" i="21" s="1"/>
  <c r="N77" i="20"/>
  <c r="M56" i="21"/>
  <c r="AS56" i="21" s="1"/>
  <c r="P220" i="20"/>
  <c r="O199" i="21"/>
  <c r="AU199" i="21" s="1"/>
  <c r="O105" i="20"/>
  <c r="N84" i="21"/>
  <c r="AT84" i="21" s="1"/>
  <c r="P46" i="20"/>
  <c r="O25" i="21"/>
  <c r="AU25" i="21" s="1"/>
  <c r="AE146" i="20"/>
  <c r="AE125" i="21" s="1"/>
  <c r="BK125" i="21" s="1"/>
  <c r="AD125" i="21"/>
  <c r="BJ125" i="21" s="1"/>
  <c r="AA409" i="20"/>
  <c r="Z388" i="21"/>
  <c r="BF388" i="21" s="1"/>
  <c r="AD116" i="20"/>
  <c r="AC95" i="21"/>
  <c r="BI95" i="21" s="1"/>
  <c r="U330" i="20"/>
  <c r="T309" i="21"/>
  <c r="AZ309" i="21" s="1"/>
  <c r="H484" i="20"/>
  <c r="G463" i="21"/>
  <c r="AM463" i="21" s="1"/>
  <c r="AM464" i="21" s="1"/>
  <c r="AB349" i="20"/>
  <c r="AA328" i="21"/>
  <c r="BG328" i="21" s="1"/>
  <c r="J367" i="20"/>
  <c r="I346" i="21"/>
  <c r="AO346" i="21" s="1"/>
  <c r="T445" i="20"/>
  <c r="S424" i="21"/>
  <c r="AY424" i="21" s="1"/>
  <c r="P161" i="20"/>
  <c r="O140" i="21"/>
  <c r="AU140" i="21" s="1"/>
  <c r="U301" i="20"/>
  <c r="T280" i="21"/>
  <c r="AZ280" i="21" s="1"/>
  <c r="Z36" i="20"/>
  <c r="Y15" i="21"/>
  <c r="BE15" i="21" s="1"/>
  <c r="X269" i="20"/>
  <c r="W248" i="21"/>
  <c r="BC248" i="21" s="1"/>
  <c r="Z267" i="20"/>
  <c r="Y246" i="21"/>
  <c r="BE246" i="21" s="1"/>
  <c r="AB62" i="20"/>
  <c r="AA41" i="21"/>
  <c r="BG41" i="21" s="1"/>
  <c r="Q160" i="20"/>
  <c r="P139" i="21"/>
  <c r="AV139" i="21" s="1"/>
  <c r="P75" i="20"/>
  <c r="O54" i="21"/>
  <c r="AU54" i="21" s="1"/>
  <c r="V271" i="20"/>
  <c r="U250" i="21"/>
  <c r="BA250" i="21" s="1"/>
  <c r="AA381" i="20"/>
  <c r="Z360" i="21"/>
  <c r="BF360" i="21" s="1"/>
  <c r="Z93" i="20"/>
  <c r="Y72" i="21"/>
  <c r="BE72" i="21" s="1"/>
  <c r="R44" i="20"/>
  <c r="Q23" i="21"/>
  <c r="AW23" i="21" s="1"/>
  <c r="O221" i="20"/>
  <c r="N200" i="21"/>
  <c r="AT200" i="21" s="1"/>
  <c r="M223" i="20"/>
  <c r="L202" i="21"/>
  <c r="AR202" i="21" s="1"/>
  <c r="AR203" i="21" s="1"/>
  <c r="L224" i="20"/>
  <c r="N184" i="1" s="1"/>
  <c r="L425" i="20"/>
  <c r="K404" i="21"/>
  <c r="AQ404" i="21" s="1"/>
  <c r="W442" i="20"/>
  <c r="V421" i="21"/>
  <c r="BB421" i="21" s="1"/>
  <c r="V185" i="20"/>
  <c r="U164" i="21"/>
  <c r="BA164" i="21" s="1"/>
  <c r="T71" i="20"/>
  <c r="S50" i="21"/>
  <c r="AY50" i="21" s="1"/>
  <c r="X441" i="20"/>
  <c r="W420" i="21"/>
  <c r="BC420" i="21" s="1"/>
  <c r="Q276" i="20"/>
  <c r="P255" i="21"/>
  <c r="AV255" i="21" s="1"/>
  <c r="O47" i="20"/>
  <c r="N26" i="21"/>
  <c r="AT26" i="21" s="1"/>
  <c r="M49" i="20"/>
  <c r="L28" i="21"/>
  <c r="AR28" i="21" s="1"/>
  <c r="AB380" i="20"/>
  <c r="AA359" i="21"/>
  <c r="BG359" i="21" s="1"/>
  <c r="R359" i="20"/>
  <c r="Q338" i="21"/>
  <c r="AW338" i="21" s="1"/>
  <c r="U156" i="20"/>
  <c r="T135" i="21"/>
  <c r="AZ135" i="21" s="1"/>
  <c r="V155" i="20"/>
  <c r="U134" i="21"/>
  <c r="BA134" i="21" s="1"/>
  <c r="W212" i="20"/>
  <c r="V191" i="21"/>
  <c r="BB191" i="21" s="1"/>
  <c r="O393" i="20"/>
  <c r="N372" i="21"/>
  <c r="AT372" i="21" s="1"/>
  <c r="U186" i="20"/>
  <c r="T165" i="21"/>
  <c r="AZ165" i="21" s="1"/>
  <c r="V214" i="20"/>
  <c r="U193" i="21"/>
  <c r="BA193" i="21" s="1"/>
  <c r="S246" i="20"/>
  <c r="R225" i="21"/>
  <c r="AX225" i="21" s="1"/>
  <c r="P421" i="20"/>
  <c r="O400" i="21"/>
  <c r="AU400" i="21" s="1"/>
  <c r="P392" i="20"/>
  <c r="O371" i="21"/>
  <c r="AU371" i="21" s="1"/>
  <c r="O192" i="20"/>
  <c r="N171" i="21"/>
  <c r="AT171" i="21" s="1"/>
  <c r="K397" i="20"/>
  <c r="J376" i="21"/>
  <c r="AP376" i="21" s="1"/>
  <c r="W96" i="20"/>
  <c r="V75" i="21"/>
  <c r="BB75" i="21" s="1"/>
  <c r="M133" i="20"/>
  <c r="L112" i="21"/>
  <c r="AR112" i="21" s="1"/>
  <c r="L281" i="20"/>
  <c r="K260" i="21"/>
  <c r="AQ260" i="21" s="1"/>
  <c r="W39" i="20"/>
  <c r="V18" i="21"/>
  <c r="BB18" i="21" s="1"/>
  <c r="M107" i="20"/>
  <c r="M108" i="20" s="1"/>
  <c r="L86" i="21"/>
  <c r="AR86" i="21" s="1"/>
  <c r="AR87" i="21" s="1"/>
  <c r="L108" i="20"/>
  <c r="X182" i="20"/>
  <c r="W161" i="21"/>
  <c r="BC161" i="21" s="1"/>
  <c r="N452" i="20"/>
  <c r="M431" i="21"/>
  <c r="AS431" i="21" s="1"/>
  <c r="AB207" i="20"/>
  <c r="AA186" i="21"/>
  <c r="BG186" i="21" s="1"/>
  <c r="N251" i="20"/>
  <c r="M230" i="21"/>
  <c r="AS230" i="21" s="1"/>
  <c r="T388" i="20"/>
  <c r="S367" i="21"/>
  <c r="AY367" i="21" s="1"/>
  <c r="Q219" i="20"/>
  <c r="P198" i="21"/>
  <c r="AV198" i="21" s="1"/>
  <c r="X326" i="20"/>
  <c r="W305" i="21"/>
  <c r="BC305" i="21" s="1"/>
  <c r="AE31" i="20"/>
  <c r="AE10" i="21" s="1"/>
  <c r="BK10" i="21" s="1"/>
  <c r="AD10" i="21"/>
  <c r="BJ10" i="21" s="1"/>
  <c r="O131" i="20"/>
  <c r="N110" i="21"/>
  <c r="AT110" i="21" s="1"/>
  <c r="X384" i="20"/>
  <c r="W363" i="21"/>
  <c r="BC363" i="21" s="1"/>
  <c r="N363" i="20"/>
  <c r="M342" i="21"/>
  <c r="AS342" i="21" s="1"/>
  <c r="T302" i="20"/>
  <c r="S281" i="21"/>
  <c r="AY281" i="21" s="1"/>
  <c r="S217" i="20"/>
  <c r="R196" i="21"/>
  <c r="AX196" i="21" s="1"/>
  <c r="AA92" i="20"/>
  <c r="Z71" i="21"/>
  <c r="BF71" i="21" s="1"/>
  <c r="O451" i="20"/>
  <c r="N430" i="21"/>
  <c r="AT430" i="21" s="1"/>
  <c r="AA237" i="20"/>
  <c r="Z216" i="21"/>
  <c r="BF216" i="21" s="1"/>
  <c r="I435" i="21"/>
  <c r="AN80" i="23"/>
  <c r="AN98" i="23" s="1"/>
  <c r="AN116" i="23" s="1"/>
  <c r="S389" i="20"/>
  <c r="R368" i="21"/>
  <c r="AX368" i="21" s="1"/>
  <c r="AB265" i="20"/>
  <c r="AA244" i="21"/>
  <c r="BG244" i="21" s="1"/>
  <c r="Y65" i="20"/>
  <c r="X44" i="21"/>
  <c r="BD44" i="21" s="1"/>
  <c r="Z180" i="20"/>
  <c r="Y159" i="21"/>
  <c r="BE159" i="21" s="1"/>
  <c r="O76" i="20"/>
  <c r="N55" i="21"/>
  <c r="AT55" i="21" s="1"/>
  <c r="M479" i="20"/>
  <c r="L458" i="21"/>
  <c r="AR458" i="21" s="1"/>
  <c r="Q74" i="20"/>
  <c r="P53" i="21"/>
  <c r="AV53" i="21" s="1"/>
  <c r="AB236" i="20"/>
  <c r="AA215" i="21"/>
  <c r="BG215" i="21" s="1"/>
  <c r="S188" i="20"/>
  <c r="R167" i="21"/>
  <c r="AX167" i="21" s="1"/>
  <c r="X297" i="20"/>
  <c r="W276" i="21"/>
  <c r="BC276" i="21" s="1"/>
  <c r="AD32" i="20"/>
  <c r="AC11" i="21"/>
  <c r="BI11" i="21" s="1"/>
  <c r="V328" i="20"/>
  <c r="U307" i="21"/>
  <c r="BA307" i="21" s="1"/>
  <c r="R275" i="20"/>
  <c r="Q254" i="21"/>
  <c r="AW254" i="21" s="1"/>
  <c r="R159" i="20"/>
  <c r="Q138" i="21"/>
  <c r="AW138" i="21" s="1"/>
  <c r="T416" i="20"/>
  <c r="S395" i="21"/>
  <c r="AY395" i="21" s="1"/>
  <c r="Y37" i="20"/>
  <c r="X16" i="21"/>
  <c r="BD16" i="21" s="1"/>
  <c r="AE461" i="20"/>
  <c r="AE440" i="21" s="1"/>
  <c r="BK440" i="21" s="1"/>
  <c r="AD440" i="21"/>
  <c r="BJ440" i="21" s="1"/>
  <c r="AE434" i="20"/>
  <c r="AE413" i="21" s="1"/>
  <c r="BK413" i="21" s="1"/>
  <c r="AD413" i="21"/>
  <c r="BJ413" i="21" s="1"/>
  <c r="O477" i="20"/>
  <c r="N456" i="21"/>
  <c r="AT456" i="21" s="1"/>
  <c r="S274" i="20"/>
  <c r="R253" i="21"/>
  <c r="AX253" i="21" s="1"/>
  <c r="AA465" i="20"/>
  <c r="Z444" i="21"/>
  <c r="BF444" i="21" s="1"/>
  <c r="Y440" i="20"/>
  <c r="X419" i="21"/>
  <c r="BD419" i="21" s="1"/>
  <c r="Z64" i="20"/>
  <c r="Y43" i="21"/>
  <c r="BE43" i="21" s="1"/>
  <c r="Y94" i="20"/>
  <c r="X73" i="21"/>
  <c r="BD73" i="21" s="1"/>
  <c r="U41" i="20"/>
  <c r="T20" i="21"/>
  <c r="AZ20" i="21" s="1"/>
  <c r="V355" i="20"/>
  <c r="U334" i="21"/>
  <c r="BA334" i="21" s="1"/>
  <c r="S127" i="20"/>
  <c r="R106" i="21"/>
  <c r="AX106" i="21" s="1"/>
  <c r="AD176" i="20"/>
  <c r="AC155" i="21"/>
  <c r="BI155" i="21" s="1"/>
  <c r="R333" i="20"/>
  <c r="Q312" i="21"/>
  <c r="AW312" i="21" s="1"/>
  <c r="Y352" i="20"/>
  <c r="X331" i="21"/>
  <c r="BD331" i="21" s="1"/>
  <c r="I368" i="20"/>
  <c r="H347" i="21"/>
  <c r="AN347" i="21" s="1"/>
  <c r="AN348" i="21" s="1"/>
  <c r="AD378" i="20"/>
  <c r="AC357" i="21"/>
  <c r="BI357" i="21" s="1"/>
  <c r="AD347" i="20"/>
  <c r="AC326" i="21"/>
  <c r="BI326" i="21" s="1"/>
  <c r="Q334" i="20"/>
  <c r="P313" i="21"/>
  <c r="AV313" i="21" s="1"/>
  <c r="U125" i="20"/>
  <c r="T104" i="21"/>
  <c r="AZ104" i="21" s="1"/>
  <c r="V243" i="20"/>
  <c r="U222" i="21"/>
  <c r="BA222" i="21" s="1"/>
  <c r="Y181" i="20"/>
  <c r="X160" i="21"/>
  <c r="BD160" i="21" s="1"/>
  <c r="R419" i="20"/>
  <c r="Q398" i="21"/>
  <c r="AW398" i="21" s="1"/>
  <c r="AC177" i="20"/>
  <c r="AB156" i="21"/>
  <c r="BH156" i="21" s="1"/>
  <c r="AA35" i="20"/>
  <c r="Z14" i="21"/>
  <c r="BF14" i="21" s="1"/>
  <c r="U99" i="20"/>
  <c r="T78" i="21"/>
  <c r="AZ78" i="21" s="1"/>
  <c r="AE346" i="20"/>
  <c r="AE325" i="21" s="1"/>
  <c r="BK325" i="21" s="1"/>
  <c r="AD325" i="21"/>
  <c r="BJ325" i="21" s="1"/>
  <c r="AB34" i="20"/>
  <c r="AA13" i="21"/>
  <c r="BG13" i="21" s="1"/>
  <c r="Z466" i="20"/>
  <c r="Y445" i="21"/>
  <c r="BE445" i="21" s="1"/>
  <c r="W241" i="20"/>
  <c r="V220" i="21"/>
  <c r="BB220" i="21" s="1"/>
  <c r="P104" i="20"/>
  <c r="O83" i="21"/>
  <c r="AU83" i="21" s="1"/>
  <c r="AE319" i="20"/>
  <c r="AE298" i="21" s="1"/>
  <c r="BK298" i="21" s="1"/>
  <c r="AD298" i="21"/>
  <c r="BJ298" i="21" s="1"/>
  <c r="Y152" i="20"/>
  <c r="X131" i="21"/>
  <c r="BD131" i="21" s="1"/>
  <c r="AC206" i="20"/>
  <c r="AB185" i="21"/>
  <c r="BH185" i="21" s="1"/>
  <c r="AA266" i="20"/>
  <c r="Z245" i="21"/>
  <c r="BF245" i="21" s="1"/>
  <c r="L480" i="20"/>
  <c r="K459" i="21"/>
  <c r="AQ459" i="21" s="1"/>
  <c r="Z439" i="20"/>
  <c r="Y418" i="21"/>
  <c r="BE418" i="21" s="1"/>
  <c r="Z410" i="20"/>
  <c r="Y389" i="21"/>
  <c r="BE389" i="21" s="1"/>
  <c r="S72" i="20"/>
  <c r="R51" i="21"/>
  <c r="AX51" i="21" s="1"/>
  <c r="V98" i="20"/>
  <c r="U77" i="21"/>
  <c r="BA77" i="21" s="1"/>
  <c r="T187" i="20"/>
  <c r="S166" i="21"/>
  <c r="AY166" i="21" s="1"/>
  <c r="L396" i="20"/>
  <c r="K375" i="21"/>
  <c r="AQ375" i="21" s="1"/>
  <c r="W469" i="20"/>
  <c r="V448" i="21"/>
  <c r="BB448" i="21" s="1"/>
  <c r="W327" i="20"/>
  <c r="V306" i="21"/>
  <c r="BB306" i="21" s="1"/>
  <c r="R247" i="20"/>
  <c r="Q226" i="21"/>
  <c r="AW226" i="21" s="1"/>
  <c r="T100" i="20"/>
  <c r="S79" i="21"/>
  <c r="AY79" i="21" s="1"/>
  <c r="M280" i="20"/>
  <c r="L259" i="21"/>
  <c r="AR259" i="21" s="1"/>
  <c r="N163" i="20"/>
  <c r="M142" i="21"/>
  <c r="AS142" i="21" s="1"/>
  <c r="L195" i="20"/>
  <c r="N183" i="1" s="1"/>
  <c r="R102" i="20"/>
  <c r="Q81" i="21"/>
  <c r="AW81" i="21" s="1"/>
  <c r="S43" i="20"/>
  <c r="R22" i="21"/>
  <c r="AX22" i="21" s="1"/>
  <c r="R448" i="20"/>
  <c r="Q427" i="21"/>
  <c r="AW427" i="21" s="1"/>
  <c r="W298" i="20"/>
  <c r="V277" i="21"/>
  <c r="BB277" i="21" s="1"/>
  <c r="Q305" i="20"/>
  <c r="P284" i="21"/>
  <c r="AV284" i="21" s="1"/>
  <c r="V242" i="20"/>
  <c r="U221" i="21"/>
  <c r="BA221" i="21" s="1"/>
  <c r="X240" i="20"/>
  <c r="W219" i="21"/>
  <c r="BC219" i="21" s="1"/>
  <c r="U300" i="20"/>
  <c r="T279" i="21"/>
  <c r="AZ279" i="21" s="1"/>
  <c r="K455" i="20"/>
  <c r="J434" i="21"/>
  <c r="AP434" i="21" s="1"/>
  <c r="AP435" i="21" s="1"/>
  <c r="X412" i="20"/>
  <c r="W391" i="21"/>
  <c r="BC391" i="21" s="1"/>
  <c r="AE88" i="20"/>
  <c r="AE67" i="21" s="1"/>
  <c r="BK67" i="21" s="1"/>
  <c r="AD67" i="21"/>
  <c r="BJ67" i="21" s="1"/>
  <c r="Q475" i="20"/>
  <c r="P454" i="21"/>
  <c r="AV454" i="21" s="1"/>
  <c r="AE204" i="20"/>
  <c r="AE183" i="21" s="1"/>
  <c r="BK183" i="21" s="1"/>
  <c r="AD183" i="21"/>
  <c r="BJ183" i="21" s="1"/>
  <c r="Y268" i="20"/>
  <c r="X247" i="21"/>
  <c r="BD247" i="21" s="1"/>
  <c r="V184" i="20"/>
  <c r="U163" i="21"/>
  <c r="BA163" i="21" s="1"/>
  <c r="P191" i="20"/>
  <c r="O170" i="21"/>
  <c r="AU170" i="21" s="1"/>
  <c r="W183" i="20"/>
  <c r="V162" i="21"/>
  <c r="BB162" i="21" s="1"/>
  <c r="N132" i="20"/>
  <c r="M111" i="21"/>
  <c r="AS111" i="21" s="1"/>
  <c r="AA119" i="20"/>
  <c r="Z98" i="21"/>
  <c r="BF98" i="21" s="1"/>
  <c r="AC379" i="20"/>
  <c r="AB358" i="21"/>
  <c r="BH358" i="21" s="1"/>
  <c r="X353" i="20"/>
  <c r="W332" i="21"/>
  <c r="BC332" i="21" s="1"/>
  <c r="Q391" i="20"/>
  <c r="P370" i="21"/>
  <c r="AV370" i="21" s="1"/>
  <c r="S332" i="20"/>
  <c r="R311" i="21"/>
  <c r="AX311" i="21" s="1"/>
  <c r="AB91" i="20"/>
  <c r="AA70" i="21"/>
  <c r="BG70" i="21" s="1"/>
  <c r="W154" i="20"/>
  <c r="V133" i="21"/>
  <c r="BB133" i="21" s="1"/>
  <c r="V299" i="20"/>
  <c r="U278" i="21"/>
  <c r="BA278" i="21" s="1"/>
  <c r="T331" i="20"/>
  <c r="S310" i="21"/>
  <c r="AY310" i="21" s="1"/>
  <c r="W67" i="20"/>
  <c r="V46" i="21"/>
  <c r="BB46" i="21" s="1"/>
  <c r="AD462" i="20"/>
  <c r="AC441" i="21"/>
  <c r="BI441" i="21" s="1"/>
  <c r="M364" i="20"/>
  <c r="L343" i="21"/>
  <c r="AR343" i="21" s="1"/>
  <c r="T357" i="20"/>
  <c r="S336" i="21"/>
  <c r="AY336" i="21" s="1"/>
  <c r="AC407" i="20"/>
  <c r="AB386" i="21"/>
  <c r="BH386" i="21" s="1"/>
  <c r="N423" i="20"/>
  <c r="M402" i="21"/>
  <c r="AS402" i="21" s="1"/>
  <c r="Y121" i="20"/>
  <c r="X100" i="21"/>
  <c r="BD100" i="21" s="1"/>
  <c r="AB118" i="20"/>
  <c r="AA97" i="21"/>
  <c r="BG97" i="21" s="1"/>
  <c r="U329" i="20"/>
  <c r="T308" i="21"/>
  <c r="AZ308" i="21" s="1"/>
  <c r="Q129" i="20"/>
  <c r="P108" i="21"/>
  <c r="AV108" i="21" s="1"/>
  <c r="O336" i="20"/>
  <c r="N315" i="21"/>
  <c r="AT315" i="21" s="1"/>
  <c r="Z382" i="20"/>
  <c r="Y361" i="21"/>
  <c r="BE361" i="21" s="1"/>
  <c r="M309" i="20"/>
  <c r="L288" i="21"/>
  <c r="AR288" i="21" s="1"/>
  <c r="J145" i="21"/>
  <c r="AO70" i="23"/>
  <c r="AO88" i="23" s="1"/>
  <c r="AO106" i="23" s="1"/>
  <c r="Y296" i="20"/>
  <c r="X275" i="21"/>
  <c r="BD275" i="21" s="1"/>
  <c r="T126" i="20"/>
  <c r="S105" i="21"/>
  <c r="AY105" i="21" s="1"/>
  <c r="J482" i="20"/>
  <c r="I461" i="21"/>
  <c r="AO461" i="21" s="1"/>
  <c r="V124" i="20"/>
  <c r="U103" i="21"/>
  <c r="BA103" i="21" s="1"/>
  <c r="L365" i="20"/>
  <c r="K344" i="21"/>
  <c r="AQ344" i="21" s="1"/>
  <c r="Z351" i="20"/>
  <c r="Y330" i="21"/>
  <c r="BE330" i="21" s="1"/>
  <c r="Q449" i="20"/>
  <c r="P428" i="21"/>
  <c r="AV428" i="21" s="1"/>
  <c r="N279" i="20"/>
  <c r="M258" i="21"/>
  <c r="AS258" i="21" s="1"/>
  <c r="X66" i="20"/>
  <c r="W45" i="21"/>
  <c r="BC45" i="21" s="1"/>
  <c r="Q103" i="20"/>
  <c r="P82" i="21"/>
  <c r="AV82" i="21" s="1"/>
  <c r="P277" i="20"/>
  <c r="O256" i="21"/>
  <c r="AU256" i="21" s="1"/>
  <c r="AB293" i="20"/>
  <c r="AA272" i="21"/>
  <c r="BG272" i="21" s="1"/>
  <c r="V443" i="20"/>
  <c r="U422" i="21"/>
  <c r="BA422" i="21" s="1"/>
  <c r="P476" i="20"/>
  <c r="O455" i="21"/>
  <c r="AU455" i="21" s="1"/>
  <c r="P361" i="20"/>
  <c r="O340" i="21"/>
  <c r="AU340" i="21" s="1"/>
  <c r="L339" i="20"/>
  <c r="K318" i="21"/>
  <c r="AQ318" i="21" s="1"/>
  <c r="AQ319" i="21" s="1"/>
  <c r="K340" i="20"/>
  <c r="M189" i="1" s="1"/>
  <c r="J136" i="20"/>
  <c r="I115" i="21"/>
  <c r="AO115" i="21" s="1"/>
  <c r="AO116" i="21" s="1"/>
  <c r="AD320" i="20"/>
  <c r="AC299" i="21"/>
  <c r="BI299" i="21" s="1"/>
  <c r="X38" i="20"/>
  <c r="W17" i="21"/>
  <c r="BC17" i="21" s="1"/>
  <c r="V97" i="20"/>
  <c r="U76" i="21"/>
  <c r="BA76" i="21" s="1"/>
  <c r="R474" i="20"/>
  <c r="Q453" i="21"/>
  <c r="AW453" i="21" s="1"/>
  <c r="AD234" i="20"/>
  <c r="AC213" i="21"/>
  <c r="BI213" i="21" s="1"/>
  <c r="O162" i="20"/>
  <c r="N141" i="21"/>
  <c r="AT141" i="21" s="1"/>
  <c r="N394" i="20"/>
  <c r="M373" i="21"/>
  <c r="AS373" i="21" s="1"/>
  <c r="AA63" i="20"/>
  <c r="Z42" i="21"/>
  <c r="BF42" i="21" s="1"/>
  <c r="W385" i="20"/>
  <c r="V364" i="21"/>
  <c r="BB364" i="21" s="1"/>
  <c r="AE59" i="20"/>
  <c r="AE38" i="21" s="1"/>
  <c r="BK38" i="21" s="1"/>
  <c r="AD38" i="21"/>
  <c r="BJ38" i="21" s="1"/>
  <c r="T273" i="20"/>
  <c r="S252" i="21"/>
  <c r="AY252" i="21" s="1"/>
  <c r="AC348" i="20"/>
  <c r="AB327" i="21"/>
  <c r="BH327" i="21" s="1"/>
  <c r="AC90" i="20"/>
  <c r="AB69" i="21"/>
  <c r="BH69" i="21" s="1"/>
  <c r="O307" i="20"/>
  <c r="N286" i="21"/>
  <c r="AT286" i="21" s="1"/>
  <c r="AC33" i="20"/>
  <c r="AB12" i="21"/>
  <c r="BH12" i="21" s="1"/>
  <c r="P450" i="20"/>
  <c r="O429" i="21"/>
  <c r="AU429" i="21" s="1"/>
  <c r="AC321" i="20"/>
  <c r="AB300" i="21"/>
  <c r="BH300" i="21" s="1"/>
  <c r="AB464" i="20"/>
  <c r="AA443" i="21"/>
  <c r="BG443" i="21" s="1"/>
  <c r="M78" i="20"/>
  <c r="L57" i="21"/>
  <c r="AR57" i="21" s="1"/>
  <c r="AR58" i="21" s="1"/>
  <c r="L79" i="20"/>
  <c r="AB408" i="20"/>
  <c r="AA387" i="21"/>
  <c r="BG387" i="21" s="1"/>
  <c r="I137" i="20"/>
  <c r="Q190" i="20"/>
  <c r="P169" i="21"/>
  <c r="AV169" i="21" s="1"/>
  <c r="N48" i="20"/>
  <c r="M27" i="21"/>
  <c r="AS27" i="21" s="1"/>
  <c r="M453" i="20"/>
  <c r="L432" i="21"/>
  <c r="AR432" i="21" s="1"/>
  <c r="L134" i="20"/>
  <c r="K113" i="21"/>
  <c r="AQ113" i="21" s="1"/>
  <c r="Y325" i="20"/>
  <c r="X304" i="21"/>
  <c r="BD304" i="21" s="1"/>
  <c r="V470" i="20"/>
  <c r="U449" i="21"/>
  <c r="BA449" i="21" s="1"/>
  <c r="AC61" i="20"/>
  <c r="AB40" i="21"/>
  <c r="BH40" i="21" s="1"/>
  <c r="Z120" i="20"/>
  <c r="Y99" i="21"/>
  <c r="BE99" i="21" s="1"/>
  <c r="S447" i="20"/>
  <c r="R426" i="21"/>
  <c r="AX426" i="21" s="1"/>
  <c r="AA323" i="20"/>
  <c r="Z302" i="21"/>
  <c r="BF302" i="21" s="1"/>
  <c r="X95" i="20"/>
  <c r="W74" i="21"/>
  <c r="BC74" i="21" s="1"/>
  <c r="S101" i="20"/>
  <c r="R80" i="21"/>
  <c r="AX80" i="21" s="1"/>
  <c r="X468" i="20"/>
  <c r="W447" i="21"/>
  <c r="BC447" i="21" s="1"/>
  <c r="X153" i="20"/>
  <c r="W132" i="21"/>
  <c r="BC132" i="21" s="1"/>
  <c r="M164" i="20"/>
  <c r="L143" i="21"/>
  <c r="AR143" i="21" s="1"/>
  <c r="V69" i="20"/>
  <c r="U48" i="21"/>
  <c r="BA48" i="21" s="1"/>
  <c r="AA208" i="20"/>
  <c r="Z187" i="21"/>
  <c r="BF187" i="21" s="1"/>
  <c r="J290" i="21"/>
  <c r="AO75" i="23"/>
  <c r="AO93" i="23" s="1"/>
  <c r="AO111" i="23" s="1"/>
  <c r="AL81" i="23"/>
  <c r="AL99" i="23" s="1"/>
  <c r="AL117" i="23" s="1"/>
  <c r="G464" i="21"/>
  <c r="AC463" i="20"/>
  <c r="AB442" i="21"/>
  <c r="BH442" i="21" s="1"/>
  <c r="AD291" i="20"/>
  <c r="AC270" i="21"/>
  <c r="BI270" i="21" s="1"/>
  <c r="U471" i="20"/>
  <c r="T450" i="21"/>
  <c r="AZ450" i="21" s="1"/>
  <c r="R128" i="20"/>
  <c r="Q107" i="21"/>
  <c r="AW107" i="21" s="1"/>
  <c r="AE115" i="20"/>
  <c r="AE94" i="21" s="1"/>
  <c r="BK94" i="21" s="1"/>
  <c r="AD94" i="21"/>
  <c r="BJ94" i="21" s="1"/>
  <c r="T216" i="20"/>
  <c r="S195" i="21"/>
  <c r="AY195" i="21" s="1"/>
  <c r="N478" i="20"/>
  <c r="M457" i="21"/>
  <c r="AS457" i="21" s="1"/>
  <c r="O422" i="20"/>
  <c r="N401" i="21"/>
  <c r="AT401" i="21" s="1"/>
  <c r="K366" i="20"/>
  <c r="J345" i="21"/>
  <c r="AP345" i="21" s="1"/>
  <c r="AD205" i="20"/>
  <c r="AC184" i="21"/>
  <c r="BI184" i="21" s="1"/>
  <c r="U70" i="20"/>
  <c r="T49" i="21"/>
  <c r="AZ49" i="21" s="1"/>
  <c r="AC148" i="20"/>
  <c r="AB127" i="21"/>
  <c r="BH127" i="21" s="1"/>
  <c r="F464" i="21"/>
  <c r="AK81" i="23"/>
  <c r="AK99" i="23" s="1"/>
  <c r="AK117" i="23" s="1"/>
  <c r="M395" i="20"/>
  <c r="L374" i="21"/>
  <c r="AR374" i="21" s="1"/>
  <c r="H369" i="20"/>
  <c r="J190" i="1" s="1"/>
  <c r="I483" i="20"/>
  <c r="H462" i="21"/>
  <c r="AN462" i="21" s="1"/>
  <c r="F29" i="21"/>
  <c r="AK66" i="23"/>
  <c r="AK84" i="23" s="1"/>
  <c r="AK102" i="23" s="1"/>
  <c r="E377" i="21"/>
  <c r="AJ78" i="23"/>
  <c r="AJ96" i="23" s="1"/>
  <c r="AJ114" i="23" s="1"/>
  <c r="H256" i="20"/>
  <c r="G235" i="21"/>
  <c r="F398" i="20"/>
  <c r="H192" i="1" s="1"/>
  <c r="F351" i="21"/>
  <c r="G372" i="20"/>
  <c r="G3" i="21"/>
  <c r="G50" i="20"/>
  <c r="I177" i="1" s="1"/>
  <c r="H24" i="20"/>
  <c r="AM235" i="21" l="1"/>
  <c r="AM261" i="21" s="1"/>
  <c r="F15" i="1" s="1"/>
  <c r="F17" i="1" s="1"/>
  <c r="AQ144" i="21"/>
  <c r="AQ145" i="21" s="1"/>
  <c r="J9" i="1" s="1"/>
  <c r="J11" i="1" s="1"/>
  <c r="AL351" i="21"/>
  <c r="AL377" i="21" s="1"/>
  <c r="E21" i="1" s="1"/>
  <c r="E23" i="1" s="1"/>
  <c r="AM3" i="21"/>
  <c r="AM29" i="21" s="1"/>
  <c r="F3" i="1" s="1"/>
  <c r="F5" i="1" s="1"/>
  <c r="O179" i="1"/>
  <c r="M87" i="21"/>
  <c r="AR68" i="23"/>
  <c r="AR86" i="23" s="1"/>
  <c r="AR104" i="23" s="1"/>
  <c r="AB323" i="20"/>
  <c r="AA302" i="21"/>
  <c r="BG302" i="21" s="1"/>
  <c r="AA120" i="20"/>
  <c r="Z99" i="21"/>
  <c r="BF99" i="21" s="1"/>
  <c r="W470" i="20"/>
  <c r="V449" i="21"/>
  <c r="BB449" i="21" s="1"/>
  <c r="Q361" i="20"/>
  <c r="P340" i="21"/>
  <c r="AV340" i="21" s="1"/>
  <c r="W443" i="20"/>
  <c r="V422" i="21"/>
  <c r="BB422" i="21" s="1"/>
  <c r="O279" i="20"/>
  <c r="N258" i="21"/>
  <c r="AT258" i="21" s="1"/>
  <c r="U357" i="20"/>
  <c r="T336" i="21"/>
  <c r="AZ336" i="21" s="1"/>
  <c r="AE462" i="20"/>
  <c r="AE441" i="21" s="1"/>
  <c r="BK441" i="21" s="1"/>
  <c r="AD441" i="21"/>
  <c r="BJ441" i="21" s="1"/>
  <c r="R475" i="20"/>
  <c r="Q454" i="21"/>
  <c r="AW454" i="21" s="1"/>
  <c r="L174" i="21"/>
  <c r="AQ71" i="23"/>
  <c r="AQ89" i="23" s="1"/>
  <c r="AQ107" i="23" s="1"/>
  <c r="N280" i="20"/>
  <c r="M259" i="21"/>
  <c r="AS259" i="21" s="1"/>
  <c r="S247" i="20"/>
  <c r="R226" i="21"/>
  <c r="AX226" i="21" s="1"/>
  <c r="W98" i="20"/>
  <c r="V77" i="21"/>
  <c r="BB77" i="21" s="1"/>
  <c r="P477" i="20"/>
  <c r="O456" i="21"/>
  <c r="AU456" i="21" s="1"/>
  <c r="T188" i="20"/>
  <c r="S167" i="21"/>
  <c r="AY167" i="21" s="1"/>
  <c r="T217" i="20"/>
  <c r="S196" i="21"/>
  <c r="AY196" i="21" s="1"/>
  <c r="P131" i="20"/>
  <c r="O110" i="21"/>
  <c r="AU110" i="21" s="1"/>
  <c r="Y326" i="20"/>
  <c r="X305" i="21"/>
  <c r="BD305" i="21" s="1"/>
  <c r="U388" i="20"/>
  <c r="T367" i="21"/>
  <c r="AZ367" i="21" s="1"/>
  <c r="AC207" i="20"/>
  <c r="AB186" i="21"/>
  <c r="BH186" i="21" s="1"/>
  <c r="M281" i="20"/>
  <c r="L260" i="21"/>
  <c r="AR260" i="21" s="1"/>
  <c r="V186" i="20"/>
  <c r="U165" i="21"/>
  <c r="BA165" i="21" s="1"/>
  <c r="AC349" i="20"/>
  <c r="AB328" i="21"/>
  <c r="BH328" i="21" s="1"/>
  <c r="AB409" i="20"/>
  <c r="AA388" i="21"/>
  <c r="BG388" i="21" s="1"/>
  <c r="Z210" i="20"/>
  <c r="Y189" i="21"/>
  <c r="BE189" i="21" s="1"/>
  <c r="Z239" i="20"/>
  <c r="Y218" i="21"/>
  <c r="BE218" i="21" s="1"/>
  <c r="AD292" i="20"/>
  <c r="AC271" i="21"/>
  <c r="BI271" i="21" s="1"/>
  <c r="O337" i="20"/>
  <c r="N316" i="21"/>
  <c r="AT316" i="21" s="1"/>
  <c r="AD264" i="20"/>
  <c r="AC243" i="21"/>
  <c r="BI243" i="21" s="1"/>
  <c r="P362" i="20"/>
  <c r="O341" i="21"/>
  <c r="AU341" i="21" s="1"/>
  <c r="AM77" i="23"/>
  <c r="AM95" i="23" s="1"/>
  <c r="AM113" i="23" s="1"/>
  <c r="H348" i="21"/>
  <c r="AE291" i="20"/>
  <c r="AE270" i="21" s="1"/>
  <c r="BK270" i="21" s="1"/>
  <c r="AD270" i="21"/>
  <c r="BJ270" i="21" s="1"/>
  <c r="Y95" i="20"/>
  <c r="X74" i="21"/>
  <c r="BD74" i="21" s="1"/>
  <c r="N453" i="20"/>
  <c r="M432" i="21"/>
  <c r="AS432" i="21" s="1"/>
  <c r="AC408" i="20"/>
  <c r="AB387" i="21"/>
  <c r="BH387" i="21" s="1"/>
  <c r="AD321" i="20"/>
  <c r="AC300" i="21"/>
  <c r="BI300" i="21" s="1"/>
  <c r="AD33" i="20"/>
  <c r="AC12" i="21"/>
  <c r="BI12" i="21" s="1"/>
  <c r="AD90" i="20"/>
  <c r="AC69" i="21"/>
  <c r="BI69" i="21" s="1"/>
  <c r="U273" i="20"/>
  <c r="T252" i="21"/>
  <c r="AZ252" i="21" s="1"/>
  <c r="AB63" i="20"/>
  <c r="AA42" i="21"/>
  <c r="BG42" i="21" s="1"/>
  <c r="S474" i="20"/>
  <c r="R453" i="21"/>
  <c r="AX453" i="21" s="1"/>
  <c r="M339" i="20"/>
  <c r="M340" i="20" s="1"/>
  <c r="O189" i="1" s="1"/>
  <c r="L318" i="21"/>
  <c r="AR318" i="21" s="1"/>
  <c r="AR319" i="21" s="1"/>
  <c r="L340" i="20"/>
  <c r="N189" i="1" s="1"/>
  <c r="Q277" i="20"/>
  <c r="P256" i="21"/>
  <c r="AV256" i="21" s="1"/>
  <c r="AA351" i="20"/>
  <c r="Z330" i="21"/>
  <c r="BF330" i="21" s="1"/>
  <c r="Z296" i="20"/>
  <c r="Y275" i="21"/>
  <c r="BE275" i="21" s="1"/>
  <c r="N309" i="20"/>
  <c r="M288" i="21"/>
  <c r="AS288" i="21" s="1"/>
  <c r="P336" i="20"/>
  <c r="O315" i="21"/>
  <c r="AU315" i="21" s="1"/>
  <c r="V329" i="20"/>
  <c r="U308" i="21"/>
  <c r="BA308" i="21" s="1"/>
  <c r="U331" i="20"/>
  <c r="T310" i="21"/>
  <c r="AZ310" i="21" s="1"/>
  <c r="AC91" i="20"/>
  <c r="AB70" i="21"/>
  <c r="BH70" i="21" s="1"/>
  <c r="AB119" i="20"/>
  <c r="AA98" i="21"/>
  <c r="BG98" i="21" s="1"/>
  <c r="X183" i="20"/>
  <c r="W162" i="21"/>
  <c r="BC162" i="21" s="1"/>
  <c r="Y412" i="20"/>
  <c r="X391" i="21"/>
  <c r="BD391" i="21" s="1"/>
  <c r="R305" i="20"/>
  <c r="Q284" i="21"/>
  <c r="AW284" i="21" s="1"/>
  <c r="X469" i="20"/>
  <c r="W448" i="21"/>
  <c r="BC448" i="21" s="1"/>
  <c r="Z152" i="20"/>
  <c r="Y131" i="21"/>
  <c r="BE131" i="21" s="1"/>
  <c r="Q104" i="20"/>
  <c r="P83" i="21"/>
  <c r="AV83" i="21" s="1"/>
  <c r="AA466" i="20"/>
  <c r="Z445" i="21"/>
  <c r="BF445" i="21" s="1"/>
  <c r="AB35" i="20"/>
  <c r="AA14" i="21"/>
  <c r="BG14" i="21" s="1"/>
  <c r="S419" i="20"/>
  <c r="R398" i="21"/>
  <c r="AX398" i="21" s="1"/>
  <c r="R334" i="20"/>
  <c r="Q313" i="21"/>
  <c r="AW313" i="21" s="1"/>
  <c r="AE378" i="20"/>
  <c r="AE357" i="21" s="1"/>
  <c r="BK357" i="21" s="1"/>
  <c r="AD357" i="21"/>
  <c r="BJ357" i="21" s="1"/>
  <c r="Z352" i="20"/>
  <c r="Y331" i="21"/>
  <c r="BE331" i="21" s="1"/>
  <c r="AE176" i="20"/>
  <c r="AE155" i="21" s="1"/>
  <c r="BK155" i="21" s="1"/>
  <c r="AD155" i="21"/>
  <c r="BJ155" i="21" s="1"/>
  <c r="V41" i="20"/>
  <c r="U20" i="21"/>
  <c r="BA20" i="21" s="1"/>
  <c r="S159" i="20"/>
  <c r="R138" i="21"/>
  <c r="AX138" i="21" s="1"/>
  <c r="R74" i="20"/>
  <c r="Q53" i="21"/>
  <c r="AW53" i="21" s="1"/>
  <c r="P76" i="20"/>
  <c r="O55" i="21"/>
  <c r="AU55" i="21" s="1"/>
  <c r="Y182" i="20"/>
  <c r="X161" i="21"/>
  <c r="BD161" i="21" s="1"/>
  <c r="W185" i="20"/>
  <c r="V164" i="21"/>
  <c r="BB164" i="21" s="1"/>
  <c r="N223" i="20"/>
  <c r="M202" i="21"/>
  <c r="AS202" i="21" s="1"/>
  <c r="AS203" i="21" s="1"/>
  <c r="M224" i="20"/>
  <c r="O184" i="1" s="1"/>
  <c r="S44" i="20"/>
  <c r="R23" i="21"/>
  <c r="AX23" i="21" s="1"/>
  <c r="AB381" i="20"/>
  <c r="AA360" i="21"/>
  <c r="BG360" i="21" s="1"/>
  <c r="Q75" i="20"/>
  <c r="P54" i="21"/>
  <c r="AV54" i="21" s="1"/>
  <c r="AC62" i="20"/>
  <c r="AB41" i="21"/>
  <c r="BH41" i="21" s="1"/>
  <c r="Q161" i="20"/>
  <c r="P140" i="21"/>
  <c r="AV140" i="21" s="1"/>
  <c r="Q220" i="20"/>
  <c r="P199" i="21"/>
  <c r="AV199" i="21" s="1"/>
  <c r="T473" i="20"/>
  <c r="S452" i="21"/>
  <c r="AY452" i="21" s="1"/>
  <c r="M454" i="20"/>
  <c r="L433" i="21"/>
  <c r="AR433" i="21" s="1"/>
  <c r="O222" i="20"/>
  <c r="N201" i="21"/>
  <c r="AT201" i="21" s="1"/>
  <c r="AP70" i="23"/>
  <c r="AP88" i="23" s="1"/>
  <c r="AP106" i="23" s="1"/>
  <c r="K145" i="21"/>
  <c r="V415" i="20"/>
  <c r="U394" i="21"/>
  <c r="BA394" i="21" s="1"/>
  <c r="N338" i="20"/>
  <c r="M317" i="21"/>
  <c r="AS317" i="21" s="1"/>
  <c r="AD436" i="20"/>
  <c r="AC415" i="21"/>
  <c r="BI415" i="21" s="1"/>
  <c r="AB179" i="20"/>
  <c r="AA158" i="21"/>
  <c r="BG158" i="21" s="1"/>
  <c r="AE147" i="20"/>
  <c r="AE126" i="21" s="1"/>
  <c r="BK126" i="21" s="1"/>
  <c r="AD126" i="21"/>
  <c r="BJ126" i="21" s="1"/>
  <c r="S304" i="20"/>
  <c r="R283" i="21"/>
  <c r="AX283" i="21" s="1"/>
  <c r="AE435" i="20"/>
  <c r="AE414" i="21" s="1"/>
  <c r="BK414" i="21" s="1"/>
  <c r="AD414" i="21"/>
  <c r="BJ414" i="21" s="1"/>
  <c r="U42" i="20"/>
  <c r="T21" i="21"/>
  <c r="AZ21" i="21" s="1"/>
  <c r="W68" i="20"/>
  <c r="V47" i="21"/>
  <c r="BB47" i="21" s="1"/>
  <c r="X413" i="20"/>
  <c r="W392" i="21"/>
  <c r="BC392" i="21" s="1"/>
  <c r="W386" i="20"/>
  <c r="V365" i="21"/>
  <c r="BB365" i="21" s="1"/>
  <c r="O308" i="20"/>
  <c r="N287" i="21"/>
  <c r="AT287" i="21" s="1"/>
  <c r="AA209" i="20"/>
  <c r="Z188" i="21"/>
  <c r="BF188" i="21" s="1"/>
  <c r="U446" i="20"/>
  <c r="T425" i="21"/>
  <c r="AZ425" i="21" s="1"/>
  <c r="U472" i="20"/>
  <c r="T451" i="21"/>
  <c r="AZ451" i="21" s="1"/>
  <c r="W213" i="20"/>
  <c r="V192" i="21"/>
  <c r="BB192" i="21" s="1"/>
  <c r="AC178" i="20"/>
  <c r="AB157" i="21"/>
  <c r="BH157" i="21" s="1"/>
  <c r="T358" i="20"/>
  <c r="S337" i="21"/>
  <c r="AY337" i="21" s="1"/>
  <c r="T158" i="20"/>
  <c r="S137" i="21"/>
  <c r="AY137" i="21" s="1"/>
  <c r="Y211" i="20"/>
  <c r="X190" i="21"/>
  <c r="BD190" i="21" s="1"/>
  <c r="V387" i="20"/>
  <c r="U366" i="21"/>
  <c r="BA366" i="21" s="1"/>
  <c r="AE60" i="20"/>
  <c r="AE39" i="21" s="1"/>
  <c r="BK39" i="21" s="1"/>
  <c r="AD39" i="21"/>
  <c r="BJ39" i="21" s="1"/>
  <c r="AB150" i="20"/>
  <c r="AA129" i="21"/>
  <c r="BG129" i="21" s="1"/>
  <c r="V215" i="20"/>
  <c r="U194" i="21"/>
  <c r="BA194" i="21" s="1"/>
  <c r="AC149" i="20"/>
  <c r="AB128" i="21"/>
  <c r="BH128" i="21" s="1"/>
  <c r="AE406" i="20"/>
  <c r="AE385" i="21" s="1"/>
  <c r="BK385" i="21" s="1"/>
  <c r="AD385" i="21"/>
  <c r="BJ385" i="21" s="1"/>
  <c r="P422" i="20"/>
  <c r="O401" i="21"/>
  <c r="AU401" i="21" s="1"/>
  <c r="Y468" i="20"/>
  <c r="X447" i="21"/>
  <c r="BD447" i="21" s="1"/>
  <c r="N78" i="20"/>
  <c r="M57" i="21"/>
  <c r="AS57" i="21" s="1"/>
  <c r="AS58" i="21" s="1"/>
  <c r="M79" i="20"/>
  <c r="O394" i="20"/>
  <c r="N373" i="21"/>
  <c r="AT373" i="21" s="1"/>
  <c r="AE234" i="20"/>
  <c r="AE213" i="21" s="1"/>
  <c r="BK213" i="21" s="1"/>
  <c r="AD213" i="21"/>
  <c r="BJ213" i="21" s="1"/>
  <c r="Z268" i="20"/>
  <c r="Y247" i="21"/>
  <c r="BE247" i="21" s="1"/>
  <c r="T43" i="20"/>
  <c r="S22" i="21"/>
  <c r="AY22" i="21" s="1"/>
  <c r="Z181" i="20"/>
  <c r="Y160" i="21"/>
  <c r="BE160" i="21" s="1"/>
  <c r="Z94" i="20"/>
  <c r="Y73" i="21"/>
  <c r="BE73" i="21" s="1"/>
  <c r="Z440" i="20"/>
  <c r="Y419" i="21"/>
  <c r="BE419" i="21" s="1"/>
  <c r="AC265" i="20"/>
  <c r="AB244" i="21"/>
  <c r="BH244" i="21" s="1"/>
  <c r="Q392" i="20"/>
  <c r="P371" i="21"/>
  <c r="AV371" i="21" s="1"/>
  <c r="V156" i="20"/>
  <c r="U135" i="21"/>
  <c r="BA135" i="21" s="1"/>
  <c r="X442" i="20"/>
  <c r="W421" i="21"/>
  <c r="BC421" i="21" s="1"/>
  <c r="AA267" i="20"/>
  <c r="Z246" i="21"/>
  <c r="BF246" i="21" s="1"/>
  <c r="K290" i="21"/>
  <c r="AP75" i="23"/>
  <c r="AP93" i="23" s="1"/>
  <c r="AP111" i="23" s="1"/>
  <c r="L135" i="20"/>
  <c r="K114" i="21"/>
  <c r="AQ114" i="21" s="1"/>
  <c r="P278" i="20"/>
  <c r="O257" i="21"/>
  <c r="AU257" i="21" s="1"/>
  <c r="X270" i="20"/>
  <c r="W249" i="21"/>
  <c r="BC249" i="21" s="1"/>
  <c r="S390" i="20"/>
  <c r="R369" i="21"/>
  <c r="AX369" i="21" s="1"/>
  <c r="V244" i="20"/>
  <c r="U223" i="21"/>
  <c r="BA223" i="21" s="1"/>
  <c r="M165" i="20"/>
  <c r="L144" i="21"/>
  <c r="L166" i="20"/>
  <c r="N182" i="1" s="1"/>
  <c r="T418" i="20"/>
  <c r="S397" i="21"/>
  <c r="AY397" i="21" s="1"/>
  <c r="L426" i="20"/>
  <c r="K405" i="21"/>
  <c r="AQ405" i="21" s="1"/>
  <c r="AQ406" i="21" s="1"/>
  <c r="N252" i="20"/>
  <c r="M231" i="21"/>
  <c r="AS231" i="21" s="1"/>
  <c r="AS232" i="21" s="1"/>
  <c r="M253" i="20"/>
  <c r="O185" i="1" s="1"/>
  <c r="V70" i="20"/>
  <c r="U49" i="21"/>
  <c r="BA49" i="21" s="1"/>
  <c r="L366" i="20"/>
  <c r="K345" i="21"/>
  <c r="AQ345" i="21" s="1"/>
  <c r="O478" i="20"/>
  <c r="N457" i="21"/>
  <c r="AT457" i="21" s="1"/>
  <c r="V471" i="20"/>
  <c r="U450" i="21"/>
  <c r="BA450" i="21" s="1"/>
  <c r="K427" i="20"/>
  <c r="M193" i="1" s="1"/>
  <c r="AB208" i="20"/>
  <c r="AA187" i="21"/>
  <c r="BG187" i="21" s="1"/>
  <c r="N164" i="20"/>
  <c r="M143" i="21"/>
  <c r="AS143" i="21" s="1"/>
  <c r="Y153" i="20"/>
  <c r="X132" i="21"/>
  <c r="BD132" i="21" s="1"/>
  <c r="T101" i="20"/>
  <c r="S80" i="21"/>
  <c r="AY80" i="21" s="1"/>
  <c r="T447" i="20"/>
  <c r="S426" i="21"/>
  <c r="AY426" i="21" s="1"/>
  <c r="AD61" i="20"/>
  <c r="AC40" i="21"/>
  <c r="BI40" i="21" s="1"/>
  <c r="M134" i="20"/>
  <c r="L113" i="21"/>
  <c r="AR113" i="21" s="1"/>
  <c r="R190" i="20"/>
  <c r="Q169" i="21"/>
  <c r="AW169" i="21" s="1"/>
  <c r="N178" i="1"/>
  <c r="AQ67" i="23"/>
  <c r="AQ85" i="23" s="1"/>
  <c r="AQ103" i="23" s="1"/>
  <c r="L58" i="21"/>
  <c r="X385" i="20"/>
  <c r="W364" i="21"/>
  <c r="BC364" i="21" s="1"/>
  <c r="P162" i="20"/>
  <c r="O141" i="21"/>
  <c r="AU141" i="21" s="1"/>
  <c r="Y38" i="20"/>
  <c r="X17" i="21"/>
  <c r="BD17" i="21" s="1"/>
  <c r="K136" i="20"/>
  <c r="J115" i="21"/>
  <c r="AP115" i="21" s="1"/>
  <c r="AP116" i="21" s="1"/>
  <c r="J137" i="20"/>
  <c r="Q476" i="20"/>
  <c r="P455" i="21"/>
  <c r="AV455" i="21" s="1"/>
  <c r="Y66" i="20"/>
  <c r="X45" i="21"/>
  <c r="BD45" i="21" s="1"/>
  <c r="R449" i="20"/>
  <c r="Q428" i="21"/>
  <c r="AW428" i="21" s="1"/>
  <c r="W124" i="20"/>
  <c r="V103" i="21"/>
  <c r="BB103" i="21" s="1"/>
  <c r="Z121" i="20"/>
  <c r="Y100" i="21"/>
  <c r="BE100" i="21" s="1"/>
  <c r="AD407" i="20"/>
  <c r="AC386" i="21"/>
  <c r="BI386" i="21" s="1"/>
  <c r="N364" i="20"/>
  <c r="M343" i="21"/>
  <c r="AS343" i="21" s="1"/>
  <c r="X154" i="20"/>
  <c r="W133" i="21"/>
  <c r="BC133" i="21" s="1"/>
  <c r="R391" i="20"/>
  <c r="Q370" i="21"/>
  <c r="AW370" i="21" s="1"/>
  <c r="AD379" i="20"/>
  <c r="AC358" i="21"/>
  <c r="BI358" i="21" s="1"/>
  <c r="W184" i="20"/>
  <c r="V163" i="21"/>
  <c r="BB163" i="21" s="1"/>
  <c r="V300" i="20"/>
  <c r="U279" i="21"/>
  <c r="BA279" i="21" s="1"/>
  <c r="S448" i="20"/>
  <c r="R427" i="21"/>
  <c r="AX427" i="21" s="1"/>
  <c r="O163" i="20"/>
  <c r="N142" i="21"/>
  <c r="AT142" i="21" s="1"/>
  <c r="U100" i="20"/>
  <c r="T79" i="21"/>
  <c r="AZ79" i="21" s="1"/>
  <c r="U187" i="20"/>
  <c r="T166" i="21"/>
  <c r="AZ166" i="21" s="1"/>
  <c r="T72" i="20"/>
  <c r="S51" i="21"/>
  <c r="AY51" i="21" s="1"/>
  <c r="M480" i="20"/>
  <c r="L459" i="21"/>
  <c r="AR459" i="21" s="1"/>
  <c r="AD206" i="20"/>
  <c r="AC185" i="21"/>
  <c r="BI185" i="21" s="1"/>
  <c r="V125" i="20"/>
  <c r="U104" i="21"/>
  <c r="BA104" i="21" s="1"/>
  <c r="AA64" i="20"/>
  <c r="Z43" i="21"/>
  <c r="BF43" i="21" s="1"/>
  <c r="AB465" i="20"/>
  <c r="AA444" i="21"/>
  <c r="BG444" i="21" s="1"/>
  <c r="T274" i="20"/>
  <c r="S253" i="21"/>
  <c r="AY253" i="21" s="1"/>
  <c r="W328" i="20"/>
  <c r="V307" i="21"/>
  <c r="BB307" i="21" s="1"/>
  <c r="Y297" i="20"/>
  <c r="X276" i="21"/>
  <c r="BD276" i="21" s="1"/>
  <c r="AC236" i="20"/>
  <c r="AB215" i="21"/>
  <c r="BH215" i="21" s="1"/>
  <c r="Z65" i="20"/>
  <c r="Y44" i="21"/>
  <c r="BE44" i="21" s="1"/>
  <c r="T389" i="20"/>
  <c r="S368" i="21"/>
  <c r="AY368" i="21" s="1"/>
  <c r="AB92" i="20"/>
  <c r="AA71" i="21"/>
  <c r="BG71" i="21" s="1"/>
  <c r="U302" i="20"/>
  <c r="T281" i="21"/>
  <c r="AZ281" i="21" s="1"/>
  <c r="Y384" i="20"/>
  <c r="X363" i="21"/>
  <c r="BD363" i="21" s="1"/>
  <c r="R219" i="20"/>
  <c r="Q198" i="21"/>
  <c r="AW198" i="21" s="1"/>
  <c r="O251" i="20"/>
  <c r="N230" i="21"/>
  <c r="AT230" i="21" s="1"/>
  <c r="O452" i="20"/>
  <c r="N431" i="21"/>
  <c r="AT431" i="21" s="1"/>
  <c r="N179" i="1"/>
  <c r="AQ68" i="23"/>
  <c r="AQ86" i="23" s="1"/>
  <c r="AQ104" i="23" s="1"/>
  <c r="L87" i="21"/>
  <c r="X39" i="20"/>
  <c r="W18" i="21"/>
  <c r="BC18" i="21" s="1"/>
  <c r="X96" i="20"/>
  <c r="W75" i="21"/>
  <c r="BC75" i="21" s="1"/>
  <c r="P192" i="20"/>
  <c r="O171" i="21"/>
  <c r="AU171" i="21" s="1"/>
  <c r="Q421" i="20"/>
  <c r="P400" i="21"/>
  <c r="AV400" i="21" s="1"/>
  <c r="W214" i="20"/>
  <c r="V193" i="21"/>
  <c r="BB193" i="21" s="1"/>
  <c r="P393" i="20"/>
  <c r="O372" i="21"/>
  <c r="AU372" i="21" s="1"/>
  <c r="W155" i="20"/>
  <c r="V134" i="21"/>
  <c r="BB134" i="21" s="1"/>
  <c r="S359" i="20"/>
  <c r="R338" i="21"/>
  <c r="AX338" i="21" s="1"/>
  <c r="N49" i="20"/>
  <c r="M28" i="21"/>
  <c r="AS28" i="21" s="1"/>
  <c r="R276" i="20"/>
  <c r="Q255" i="21"/>
  <c r="AW255" i="21" s="1"/>
  <c r="M425" i="20"/>
  <c r="L404" i="21"/>
  <c r="AR404" i="21" s="1"/>
  <c r="Y269" i="20"/>
  <c r="X248" i="21"/>
  <c r="BD248" i="21" s="1"/>
  <c r="V301" i="20"/>
  <c r="U280" i="21"/>
  <c r="BA280" i="21" s="1"/>
  <c r="K367" i="20"/>
  <c r="J346" i="21"/>
  <c r="AP346" i="21" s="1"/>
  <c r="I484" i="20"/>
  <c r="H463" i="21"/>
  <c r="AN463" i="21" s="1"/>
  <c r="AN464" i="21" s="1"/>
  <c r="H485" i="20"/>
  <c r="J195" i="1" s="1"/>
  <c r="AE116" i="20"/>
  <c r="AE95" i="21" s="1"/>
  <c r="BK95" i="21" s="1"/>
  <c r="AD95" i="21"/>
  <c r="BJ95" i="21" s="1"/>
  <c r="P105" i="20"/>
  <c r="O84" i="21"/>
  <c r="AU84" i="21" s="1"/>
  <c r="M310" i="20"/>
  <c r="L289" i="21"/>
  <c r="AR289" i="21" s="1"/>
  <c r="AR290" i="21" s="1"/>
  <c r="L311" i="20"/>
  <c r="N188" i="1" s="1"/>
  <c r="Z467" i="20"/>
  <c r="Y446" i="21"/>
  <c r="BE446" i="21" s="1"/>
  <c r="Z383" i="20"/>
  <c r="Y362" i="21"/>
  <c r="BE362" i="21" s="1"/>
  <c r="N194" i="20"/>
  <c r="N195" i="20" s="1"/>
  <c r="P183" i="1" s="1"/>
  <c r="M173" i="21"/>
  <c r="AS173" i="21" s="1"/>
  <c r="AS174" i="21" s="1"/>
  <c r="M195" i="20"/>
  <c r="O183" i="1" s="1"/>
  <c r="AE89" i="20"/>
  <c r="AE68" i="21" s="1"/>
  <c r="BK68" i="21" s="1"/>
  <c r="AD68" i="21"/>
  <c r="BJ68" i="21" s="1"/>
  <c r="AC437" i="20"/>
  <c r="AB416" i="21"/>
  <c r="BH416" i="21" s="1"/>
  <c r="Y122" i="20"/>
  <c r="X101" i="21"/>
  <c r="BD101" i="21" s="1"/>
  <c r="AE263" i="20"/>
  <c r="AE242" i="21" s="1"/>
  <c r="BK242" i="21" s="1"/>
  <c r="AD242" i="21"/>
  <c r="BJ242" i="21" s="1"/>
  <c r="AA295" i="20"/>
  <c r="Z274" i="21"/>
  <c r="BF274" i="21" s="1"/>
  <c r="Q130" i="20"/>
  <c r="P109" i="21"/>
  <c r="AV109" i="21" s="1"/>
  <c r="P250" i="20"/>
  <c r="O229" i="21"/>
  <c r="AU229" i="21" s="1"/>
  <c r="AB294" i="20"/>
  <c r="AA273" i="21"/>
  <c r="BG273" i="21" s="1"/>
  <c r="AA324" i="20"/>
  <c r="Z303" i="21"/>
  <c r="BF303" i="21" s="1"/>
  <c r="J406" i="21"/>
  <c r="AO79" i="23"/>
  <c r="AO97" i="23" s="1"/>
  <c r="AO115" i="23" s="1"/>
  <c r="Q249" i="20"/>
  <c r="P228" i="21"/>
  <c r="AV228" i="21" s="1"/>
  <c r="V272" i="20"/>
  <c r="U251" i="21"/>
  <c r="BA251" i="21" s="1"/>
  <c r="AQ73" i="23"/>
  <c r="AQ91" i="23" s="1"/>
  <c r="AQ109" i="23" s="1"/>
  <c r="L232" i="21"/>
  <c r="AD235" i="20"/>
  <c r="AC214" i="21"/>
  <c r="BI214" i="21" s="1"/>
  <c r="AE205" i="20"/>
  <c r="AE184" i="21" s="1"/>
  <c r="BK184" i="21" s="1"/>
  <c r="AD184" i="21"/>
  <c r="BJ184" i="21" s="1"/>
  <c r="U216" i="20"/>
  <c r="T195" i="21"/>
  <c r="AZ195" i="21" s="1"/>
  <c r="S128" i="20"/>
  <c r="R107" i="21"/>
  <c r="AX107" i="21" s="1"/>
  <c r="W69" i="20"/>
  <c r="V48" i="21"/>
  <c r="BB48" i="21" s="1"/>
  <c r="W97" i="20"/>
  <c r="V76" i="21"/>
  <c r="BB76" i="21" s="1"/>
  <c r="AE320" i="20"/>
  <c r="AE299" i="21" s="1"/>
  <c r="BK299" i="21" s="1"/>
  <c r="AD299" i="21"/>
  <c r="BJ299" i="21" s="1"/>
  <c r="K482" i="20"/>
  <c r="J461" i="21"/>
  <c r="AP461" i="21" s="1"/>
  <c r="O423" i="20"/>
  <c r="N402" i="21"/>
  <c r="AT402" i="21" s="1"/>
  <c r="T332" i="20"/>
  <c r="S311" i="21"/>
  <c r="AY311" i="21" s="1"/>
  <c r="Y353" i="20"/>
  <c r="X332" i="21"/>
  <c r="BD332" i="21" s="1"/>
  <c r="Q191" i="20"/>
  <c r="P170" i="21"/>
  <c r="AV170" i="21" s="1"/>
  <c r="L455" i="20"/>
  <c r="K434" i="21"/>
  <c r="AQ434" i="21" s="1"/>
  <c r="AQ435" i="21" s="1"/>
  <c r="Y240" i="20"/>
  <c r="X219" i="21"/>
  <c r="BD219" i="21" s="1"/>
  <c r="AA410" i="20"/>
  <c r="Z389" i="21"/>
  <c r="BF389" i="21" s="1"/>
  <c r="AB266" i="20"/>
  <c r="AA245" i="21"/>
  <c r="BG245" i="21" s="1"/>
  <c r="T127" i="20"/>
  <c r="S106" i="21"/>
  <c r="AY106" i="21" s="1"/>
  <c r="S275" i="20"/>
  <c r="R254" i="21"/>
  <c r="AX254" i="21" s="1"/>
  <c r="AE32" i="20"/>
  <c r="AE11" i="21" s="1"/>
  <c r="BK11" i="21" s="1"/>
  <c r="AD11" i="21"/>
  <c r="BJ11" i="21" s="1"/>
  <c r="O363" i="20"/>
  <c r="N342" i="21"/>
  <c r="AT342" i="21" s="1"/>
  <c r="N107" i="20"/>
  <c r="M86" i="21"/>
  <c r="AS86" i="21" s="1"/>
  <c r="AS87" i="21" s="1"/>
  <c r="L397" i="20"/>
  <c r="K376" i="21"/>
  <c r="AQ376" i="21" s="1"/>
  <c r="T246" i="20"/>
  <c r="S225" i="21"/>
  <c r="AY225" i="21" s="1"/>
  <c r="X212" i="20"/>
  <c r="W191" i="21"/>
  <c r="BC191" i="21" s="1"/>
  <c r="AC380" i="20"/>
  <c r="AB359" i="21"/>
  <c r="BH359" i="21" s="1"/>
  <c r="P47" i="20"/>
  <c r="O26" i="21"/>
  <c r="AU26" i="21" s="1"/>
  <c r="Y441" i="20"/>
  <c r="X420" i="21"/>
  <c r="BD420" i="21" s="1"/>
  <c r="AA36" i="20"/>
  <c r="Z15" i="21"/>
  <c r="BF15" i="21" s="1"/>
  <c r="U445" i="20"/>
  <c r="T424" i="21"/>
  <c r="AZ424" i="21" s="1"/>
  <c r="V330" i="20"/>
  <c r="U309" i="21"/>
  <c r="BA309" i="21" s="1"/>
  <c r="Q46" i="20"/>
  <c r="P25" i="21"/>
  <c r="AV25" i="21" s="1"/>
  <c r="Q306" i="20"/>
  <c r="P285" i="21"/>
  <c r="AV285" i="21" s="1"/>
  <c r="AC322" i="20"/>
  <c r="AB301" i="21"/>
  <c r="BH301" i="21" s="1"/>
  <c r="S73" i="20"/>
  <c r="R52" i="21"/>
  <c r="AX52" i="21" s="1"/>
  <c r="O106" i="20"/>
  <c r="N85" i="21"/>
  <c r="AT85" i="21" s="1"/>
  <c r="J483" i="20"/>
  <c r="I462" i="21"/>
  <c r="AO462" i="21" s="1"/>
  <c r="N395" i="20"/>
  <c r="M374" i="21"/>
  <c r="AS374" i="21" s="1"/>
  <c r="AD148" i="20"/>
  <c r="AC127" i="21"/>
  <c r="BI127" i="21" s="1"/>
  <c r="AD463" i="20"/>
  <c r="AC442" i="21"/>
  <c r="BI442" i="21" s="1"/>
  <c r="Z325" i="20"/>
  <c r="Y304" i="21"/>
  <c r="BE304" i="21" s="1"/>
  <c r="O48" i="20"/>
  <c r="N27" i="21"/>
  <c r="AT27" i="21" s="1"/>
  <c r="K180" i="1"/>
  <c r="AN69" i="23"/>
  <c r="AN87" i="23" s="1"/>
  <c r="AN105" i="23" s="1"/>
  <c r="I116" i="21"/>
  <c r="AC464" i="20"/>
  <c r="AB443" i="21"/>
  <c r="BH443" i="21" s="1"/>
  <c r="Q450" i="20"/>
  <c r="P429" i="21"/>
  <c r="AV429" i="21" s="1"/>
  <c r="P307" i="20"/>
  <c r="O286" i="21"/>
  <c r="AU286" i="21" s="1"/>
  <c r="AD348" i="20"/>
  <c r="AC327" i="21"/>
  <c r="BI327" i="21" s="1"/>
  <c r="K319" i="21"/>
  <c r="AP76" i="23"/>
  <c r="AP94" i="23" s="1"/>
  <c r="AP112" i="23" s="1"/>
  <c r="AC293" i="20"/>
  <c r="AB272" i="21"/>
  <c r="BH272" i="21" s="1"/>
  <c r="R103" i="20"/>
  <c r="Q82" i="21"/>
  <c r="AW82" i="21" s="1"/>
  <c r="M365" i="20"/>
  <c r="L344" i="21"/>
  <c r="AR344" i="21" s="1"/>
  <c r="U126" i="20"/>
  <c r="T105" i="21"/>
  <c r="AZ105" i="21" s="1"/>
  <c r="AA382" i="20"/>
  <c r="Z361" i="21"/>
  <c r="BF361" i="21" s="1"/>
  <c r="R129" i="20"/>
  <c r="Q108" i="21"/>
  <c r="AW108" i="21" s="1"/>
  <c r="AC118" i="20"/>
  <c r="AB97" i="21"/>
  <c r="BH97" i="21" s="1"/>
  <c r="X67" i="20"/>
  <c r="W46" i="21"/>
  <c r="BC46" i="21" s="1"/>
  <c r="W299" i="20"/>
  <c r="V278" i="21"/>
  <c r="BB278" i="21" s="1"/>
  <c r="O132" i="20"/>
  <c r="N111" i="21"/>
  <c r="AT111" i="21" s="1"/>
  <c r="W242" i="20"/>
  <c r="V221" i="21"/>
  <c r="BB221" i="21" s="1"/>
  <c r="X298" i="20"/>
  <c r="W277" i="21"/>
  <c r="BC277" i="21" s="1"/>
  <c r="S102" i="20"/>
  <c r="R81" i="21"/>
  <c r="AX81" i="21" s="1"/>
  <c r="X327" i="20"/>
  <c r="W306" i="21"/>
  <c r="BC306" i="21" s="1"/>
  <c r="M396" i="20"/>
  <c r="L375" i="21"/>
  <c r="AR375" i="21" s="1"/>
  <c r="AA439" i="20"/>
  <c r="Z418" i="21"/>
  <c r="BF418" i="21" s="1"/>
  <c r="X241" i="20"/>
  <c r="W220" i="21"/>
  <c r="BC220" i="21" s="1"/>
  <c r="AC34" i="20"/>
  <c r="AB13" i="21"/>
  <c r="BH13" i="21" s="1"/>
  <c r="V99" i="20"/>
  <c r="U78" i="21"/>
  <c r="BA78" i="21" s="1"/>
  <c r="AD177" i="20"/>
  <c r="AC156" i="21"/>
  <c r="BI156" i="21" s="1"/>
  <c r="W243" i="20"/>
  <c r="V222" i="21"/>
  <c r="BB222" i="21" s="1"/>
  <c r="AE347" i="20"/>
  <c r="AE326" i="21" s="1"/>
  <c r="BK326" i="21" s="1"/>
  <c r="AD326" i="21"/>
  <c r="BJ326" i="21" s="1"/>
  <c r="J368" i="20"/>
  <c r="I347" i="21"/>
  <c r="AO347" i="21" s="1"/>
  <c r="AO348" i="21" s="1"/>
  <c r="I369" i="20"/>
  <c r="K190" i="1" s="1"/>
  <c r="S333" i="20"/>
  <c r="R312" i="21"/>
  <c r="AX312" i="21" s="1"/>
  <c r="W355" i="20"/>
  <c r="V334" i="21"/>
  <c r="BB334" i="21" s="1"/>
  <c r="Z37" i="20"/>
  <c r="Y16" i="21"/>
  <c r="BE16" i="21" s="1"/>
  <c r="U416" i="20"/>
  <c r="T395" i="21"/>
  <c r="AZ395" i="21" s="1"/>
  <c r="N479" i="20"/>
  <c r="M458" i="21"/>
  <c r="AS458" i="21" s="1"/>
  <c r="AA180" i="20"/>
  <c r="Z159" i="21"/>
  <c r="BF159" i="21" s="1"/>
  <c r="AB237" i="20"/>
  <c r="AA216" i="21"/>
  <c r="BG216" i="21" s="1"/>
  <c r="P451" i="20"/>
  <c r="O430" i="21"/>
  <c r="AU430" i="21" s="1"/>
  <c r="N133" i="20"/>
  <c r="M112" i="21"/>
  <c r="AS112" i="21" s="1"/>
  <c r="U71" i="20"/>
  <c r="T50" i="21"/>
  <c r="AZ50" i="21" s="1"/>
  <c r="AQ72" i="23"/>
  <c r="AQ90" i="23" s="1"/>
  <c r="AQ108" i="23" s="1"/>
  <c r="L203" i="21"/>
  <c r="P221" i="20"/>
  <c r="O200" i="21"/>
  <c r="AU200" i="21" s="1"/>
  <c r="AA93" i="20"/>
  <c r="Z72" i="21"/>
  <c r="BF72" i="21" s="1"/>
  <c r="W271" i="20"/>
  <c r="V250" i="21"/>
  <c r="BB250" i="21" s="1"/>
  <c r="R160" i="20"/>
  <c r="Q139" i="21"/>
  <c r="AW139" i="21" s="1"/>
  <c r="O77" i="20"/>
  <c r="N56" i="21"/>
  <c r="AT56" i="21" s="1"/>
  <c r="K456" i="20"/>
  <c r="M194" i="1" s="1"/>
  <c r="Q335" i="20"/>
  <c r="P314" i="21"/>
  <c r="AV314" i="21" s="1"/>
  <c r="N424" i="20"/>
  <c r="M403" i="21"/>
  <c r="AS403" i="21" s="1"/>
  <c r="V356" i="20"/>
  <c r="U335" i="21"/>
  <c r="BA335" i="21" s="1"/>
  <c r="AA238" i="20"/>
  <c r="Z217" i="21"/>
  <c r="BF217" i="21" s="1"/>
  <c r="AB438" i="20"/>
  <c r="AA417" i="21"/>
  <c r="BG417" i="21" s="1"/>
  <c r="S189" i="20"/>
  <c r="R168" i="21"/>
  <c r="AX168" i="21" s="1"/>
  <c r="R420" i="20"/>
  <c r="Q399" i="21"/>
  <c r="AW399" i="21" s="1"/>
  <c r="X123" i="20"/>
  <c r="W102" i="21"/>
  <c r="BC102" i="21" s="1"/>
  <c r="V444" i="20"/>
  <c r="U423" i="21"/>
  <c r="BA423" i="21" s="1"/>
  <c r="Z411" i="20"/>
  <c r="Y390" i="21"/>
  <c r="BE390" i="21" s="1"/>
  <c r="O193" i="20"/>
  <c r="N172" i="21"/>
  <c r="AT172" i="21" s="1"/>
  <c r="U245" i="20"/>
  <c r="T224" i="21"/>
  <c r="AZ224" i="21" s="1"/>
  <c r="R248" i="20"/>
  <c r="Q227" i="21"/>
  <c r="AW227" i="21" s="1"/>
  <c r="AB350" i="20"/>
  <c r="AA329" i="21"/>
  <c r="BG329" i="21" s="1"/>
  <c r="T303" i="20"/>
  <c r="S282" i="21"/>
  <c r="AY282" i="21" s="1"/>
  <c r="U417" i="20"/>
  <c r="T396" i="21"/>
  <c r="AZ396" i="21" s="1"/>
  <c r="R45" i="20"/>
  <c r="Q24" i="21"/>
  <c r="AW24" i="21" s="1"/>
  <c r="U157" i="20"/>
  <c r="T136" i="21"/>
  <c r="AZ136" i="21" s="1"/>
  <c r="AA151" i="20"/>
  <c r="Z130" i="21"/>
  <c r="BF130" i="21" s="1"/>
  <c r="AD117" i="20"/>
  <c r="AC96" i="21"/>
  <c r="BI96" i="21" s="1"/>
  <c r="L481" i="20"/>
  <c r="K460" i="21"/>
  <c r="AQ460" i="21" s="1"/>
  <c r="W414" i="20"/>
  <c r="V393" i="21"/>
  <c r="BB393" i="21" s="1"/>
  <c r="W40" i="20"/>
  <c r="V19" i="21"/>
  <c r="BB19" i="21" s="1"/>
  <c r="R360" i="20"/>
  <c r="Q339" i="21"/>
  <c r="AW339" i="21" s="1"/>
  <c r="X354" i="20"/>
  <c r="W333" i="21"/>
  <c r="BC333" i="21" s="1"/>
  <c r="S218" i="20"/>
  <c r="R197" i="21"/>
  <c r="AX197" i="21" s="1"/>
  <c r="F377" i="21"/>
  <c r="AK78" i="23"/>
  <c r="AK96" i="23" s="1"/>
  <c r="AK114" i="23" s="1"/>
  <c r="G29" i="21"/>
  <c r="AL66" i="23"/>
  <c r="AL84" i="23" s="1"/>
  <c r="AL102" i="23" s="1"/>
  <c r="H50" i="20"/>
  <c r="J177" i="1" s="1"/>
  <c r="H3" i="21"/>
  <c r="I24" i="20"/>
  <c r="G398" i="20"/>
  <c r="I192" i="1" s="1"/>
  <c r="G351" i="21"/>
  <c r="H372" i="20"/>
  <c r="H235" i="21"/>
  <c r="I256" i="20"/>
  <c r="AN235" i="21" l="1"/>
  <c r="AN261" i="21" s="1"/>
  <c r="G15" i="1" s="1"/>
  <c r="G17" i="1" s="1"/>
  <c r="AN3" i="21"/>
  <c r="AN29" i="21" s="1"/>
  <c r="G3" i="1" s="1"/>
  <c r="G5" i="1" s="1"/>
  <c r="AR144" i="21"/>
  <c r="AR145" i="21" s="1"/>
  <c r="K9" i="1" s="1"/>
  <c r="K11" i="1" s="1"/>
  <c r="AM351" i="21"/>
  <c r="AM377" i="21" s="1"/>
  <c r="F21" i="1" s="1"/>
  <c r="F23" i="1" s="1"/>
  <c r="N174" i="21"/>
  <c r="AS71" i="23"/>
  <c r="AS89" i="23" s="1"/>
  <c r="AS107" i="23" s="1"/>
  <c r="AR76" i="23"/>
  <c r="AR94" i="23" s="1"/>
  <c r="AR112" i="23" s="1"/>
  <c r="M319" i="21"/>
  <c r="V245" i="20"/>
  <c r="U224" i="21"/>
  <c r="BA224" i="21" s="1"/>
  <c r="AC438" i="20"/>
  <c r="AB417" i="21"/>
  <c r="BH417" i="21" s="1"/>
  <c r="X271" i="20"/>
  <c r="W250" i="21"/>
  <c r="BC250" i="21" s="1"/>
  <c r="O479" i="20"/>
  <c r="N458" i="21"/>
  <c r="AT458" i="21" s="1"/>
  <c r="X243" i="20"/>
  <c r="W222" i="21"/>
  <c r="BC222" i="21" s="1"/>
  <c r="AD118" i="20"/>
  <c r="AC97" i="21"/>
  <c r="BI97" i="21" s="1"/>
  <c r="P48" i="20"/>
  <c r="O27" i="21"/>
  <c r="AU27" i="21" s="1"/>
  <c r="AD322" i="20"/>
  <c r="AC301" i="21"/>
  <c r="BI301" i="21" s="1"/>
  <c r="R191" i="20"/>
  <c r="Q170" i="21"/>
  <c r="AW170" i="21" s="1"/>
  <c r="P423" i="20"/>
  <c r="O402" i="21"/>
  <c r="AU402" i="21" s="1"/>
  <c r="AM81" i="23"/>
  <c r="AM99" i="23" s="1"/>
  <c r="AM117" i="23" s="1"/>
  <c r="H464" i="21"/>
  <c r="L367" i="20"/>
  <c r="K346" i="21"/>
  <c r="AQ346" i="21" s="1"/>
  <c r="Z269" i="20"/>
  <c r="Y248" i="21"/>
  <c r="BE248" i="21" s="1"/>
  <c r="Q192" i="20"/>
  <c r="P171" i="21"/>
  <c r="AV171" i="21" s="1"/>
  <c r="S449" i="20"/>
  <c r="R428" i="21"/>
  <c r="AX428" i="21" s="1"/>
  <c r="Z153" i="20"/>
  <c r="Y132" i="21"/>
  <c r="BE132" i="21" s="1"/>
  <c r="AC208" i="20"/>
  <c r="AB187" i="21"/>
  <c r="BH187" i="21" s="1"/>
  <c r="M366" i="20"/>
  <c r="L345" i="21"/>
  <c r="AR345" i="21" s="1"/>
  <c r="W215" i="20"/>
  <c r="V194" i="21"/>
  <c r="BB194" i="21" s="1"/>
  <c r="X213" i="20"/>
  <c r="W192" i="21"/>
  <c r="BC192" i="21" s="1"/>
  <c r="P308" i="20"/>
  <c r="O287" i="21"/>
  <c r="AU287" i="21" s="1"/>
  <c r="T304" i="20"/>
  <c r="S283" i="21"/>
  <c r="AY283" i="21" s="1"/>
  <c r="AC63" i="20"/>
  <c r="AB42" i="21"/>
  <c r="BH42" i="21" s="1"/>
  <c r="AE90" i="20"/>
  <c r="AE69" i="21" s="1"/>
  <c r="BK69" i="21" s="1"/>
  <c r="AD69" i="21"/>
  <c r="BJ69" i="21" s="1"/>
  <c r="AE321" i="20"/>
  <c r="AE300" i="21" s="1"/>
  <c r="BK300" i="21" s="1"/>
  <c r="AD300" i="21"/>
  <c r="BJ300" i="21" s="1"/>
  <c r="Z95" i="20"/>
  <c r="Y74" i="21"/>
  <c r="BE74" i="21" s="1"/>
  <c r="AE292" i="20"/>
  <c r="AE271" i="21" s="1"/>
  <c r="BK271" i="21" s="1"/>
  <c r="AD271" i="21"/>
  <c r="BJ271" i="21" s="1"/>
  <c r="AD349" i="20"/>
  <c r="AC328" i="21"/>
  <c r="BI328" i="21" s="1"/>
  <c r="AB120" i="20"/>
  <c r="AA99" i="21"/>
  <c r="BG99" i="21" s="1"/>
  <c r="AB151" i="20"/>
  <c r="AA130" i="21"/>
  <c r="BG130" i="21" s="1"/>
  <c r="K435" i="21"/>
  <c r="AP80" i="23"/>
  <c r="AP98" i="23" s="1"/>
  <c r="AP116" i="23" s="1"/>
  <c r="AB180" i="20"/>
  <c r="AA159" i="21"/>
  <c r="BG159" i="21" s="1"/>
  <c r="AA37" i="20"/>
  <c r="Z16" i="21"/>
  <c r="BF16" i="21" s="1"/>
  <c r="T333" i="20"/>
  <c r="S312" i="21"/>
  <c r="AY312" i="21" s="1"/>
  <c r="Y298" i="20"/>
  <c r="X277" i="21"/>
  <c r="BD277" i="21" s="1"/>
  <c r="P132" i="20"/>
  <c r="O111" i="21"/>
  <c r="AU111" i="21" s="1"/>
  <c r="AB382" i="20"/>
  <c r="AA361" i="21"/>
  <c r="BG361" i="21" s="1"/>
  <c r="N365" i="20"/>
  <c r="M344" i="21"/>
  <c r="AS344" i="21" s="1"/>
  <c r="AD293" i="20"/>
  <c r="AC272" i="21"/>
  <c r="BI272" i="21" s="1"/>
  <c r="AE348" i="20"/>
  <c r="AE327" i="21" s="1"/>
  <c r="BK327" i="21" s="1"/>
  <c r="AD327" i="21"/>
  <c r="BJ327" i="21" s="1"/>
  <c r="R450" i="20"/>
  <c r="Q429" i="21"/>
  <c r="AW429" i="21" s="1"/>
  <c r="V445" i="20"/>
  <c r="U424" i="21"/>
  <c r="BA424" i="21" s="1"/>
  <c r="Z441" i="20"/>
  <c r="Y420" i="21"/>
  <c r="BE420" i="21" s="1"/>
  <c r="AD380" i="20"/>
  <c r="AC359" i="21"/>
  <c r="BI359" i="21" s="1"/>
  <c r="U246" i="20"/>
  <c r="T225" i="21"/>
  <c r="AZ225" i="21" s="1"/>
  <c r="O107" i="20"/>
  <c r="N86" i="21"/>
  <c r="AT86" i="21" s="1"/>
  <c r="AT87" i="21" s="1"/>
  <c r="N108" i="20"/>
  <c r="U127" i="20"/>
  <c r="T106" i="21"/>
  <c r="AZ106" i="21" s="1"/>
  <c r="U332" i="20"/>
  <c r="T311" i="21"/>
  <c r="AZ311" i="21" s="1"/>
  <c r="V216" i="20"/>
  <c r="U195" i="21"/>
  <c r="BA195" i="21" s="1"/>
  <c r="AE235" i="20"/>
  <c r="AE214" i="21" s="1"/>
  <c r="BK214" i="21" s="1"/>
  <c r="AD214" i="21"/>
  <c r="BJ214" i="21" s="1"/>
  <c r="W272" i="20"/>
  <c r="V251" i="21"/>
  <c r="BB251" i="21" s="1"/>
  <c r="AC294" i="20"/>
  <c r="AB273" i="21"/>
  <c r="BH273" i="21" s="1"/>
  <c r="Z122" i="20"/>
  <c r="Y101" i="21"/>
  <c r="BE101" i="21" s="1"/>
  <c r="AQ75" i="23"/>
  <c r="AQ93" i="23" s="1"/>
  <c r="AQ111" i="23" s="1"/>
  <c r="L290" i="21"/>
  <c r="Q105" i="20"/>
  <c r="P84" i="21"/>
  <c r="AV84" i="21" s="1"/>
  <c r="S276" i="20"/>
  <c r="R255" i="21"/>
  <c r="AX255" i="21" s="1"/>
  <c r="T359" i="20"/>
  <c r="S338" i="21"/>
  <c r="AY338" i="21" s="1"/>
  <c r="Q393" i="20"/>
  <c r="P372" i="21"/>
  <c r="AV372" i="21" s="1"/>
  <c r="P452" i="20"/>
  <c r="O431" i="21"/>
  <c r="AU431" i="21" s="1"/>
  <c r="S219" i="20"/>
  <c r="R198" i="21"/>
  <c r="AX198" i="21" s="1"/>
  <c r="V302" i="20"/>
  <c r="U281" i="21"/>
  <c r="BA281" i="21" s="1"/>
  <c r="U389" i="20"/>
  <c r="T368" i="21"/>
  <c r="AZ368" i="21" s="1"/>
  <c r="U274" i="20"/>
  <c r="T253" i="21"/>
  <c r="AZ253" i="21" s="1"/>
  <c r="AB64" i="20"/>
  <c r="AA43" i="21"/>
  <c r="BG43" i="21" s="1"/>
  <c r="W125" i="20"/>
  <c r="V104" i="21"/>
  <c r="BB104" i="21" s="1"/>
  <c r="N480" i="20"/>
  <c r="M459" i="21"/>
  <c r="AS459" i="21" s="1"/>
  <c r="V187" i="20"/>
  <c r="U166" i="21"/>
  <c r="BA166" i="21" s="1"/>
  <c r="P163" i="20"/>
  <c r="O142" i="21"/>
  <c r="AU142" i="21" s="1"/>
  <c r="W300" i="20"/>
  <c r="V279" i="21"/>
  <c r="BB279" i="21" s="1"/>
  <c r="AE379" i="20"/>
  <c r="AE358" i="21" s="1"/>
  <c r="BK358" i="21" s="1"/>
  <c r="AD358" i="21"/>
  <c r="BJ358" i="21" s="1"/>
  <c r="Y154" i="20"/>
  <c r="X133" i="21"/>
  <c r="BD133" i="21" s="1"/>
  <c r="AE407" i="20"/>
  <c r="AE386" i="21" s="1"/>
  <c r="BK386" i="21" s="1"/>
  <c r="AD386" i="21"/>
  <c r="BJ386" i="21" s="1"/>
  <c r="Q162" i="20"/>
  <c r="P141" i="21"/>
  <c r="AV141" i="21" s="1"/>
  <c r="S190" i="20"/>
  <c r="R169" i="21"/>
  <c r="AX169" i="21" s="1"/>
  <c r="AE61" i="20"/>
  <c r="AE40" i="21" s="1"/>
  <c r="BK40" i="21" s="1"/>
  <c r="AD40" i="21"/>
  <c r="BJ40" i="21" s="1"/>
  <c r="AP79" i="23"/>
  <c r="AP97" i="23" s="1"/>
  <c r="AP115" i="23" s="1"/>
  <c r="K406" i="21"/>
  <c r="O252" i="20"/>
  <c r="N231" i="21"/>
  <c r="AT231" i="21" s="1"/>
  <c r="AT232" i="21" s="1"/>
  <c r="N253" i="20"/>
  <c r="P185" i="1" s="1"/>
  <c r="U418" i="20"/>
  <c r="T397" i="21"/>
  <c r="AZ397" i="21" s="1"/>
  <c r="AA268" i="20"/>
  <c r="Z247" i="21"/>
  <c r="BF247" i="21" s="1"/>
  <c r="P394" i="20"/>
  <c r="O373" i="21"/>
  <c r="AU373" i="21" s="1"/>
  <c r="AC179" i="20"/>
  <c r="AB158" i="21"/>
  <c r="BH158" i="21" s="1"/>
  <c r="O338" i="20"/>
  <c r="N317" i="21"/>
  <c r="AT317" i="21" s="1"/>
  <c r="N454" i="20"/>
  <c r="M433" i="21"/>
  <c r="AS433" i="21" s="1"/>
  <c r="R220" i="20"/>
  <c r="Q199" i="21"/>
  <c r="AW199" i="21" s="1"/>
  <c r="AD62" i="20"/>
  <c r="AC41" i="21"/>
  <c r="BI41" i="21" s="1"/>
  <c r="AC381" i="20"/>
  <c r="AB360" i="21"/>
  <c r="BH360" i="21" s="1"/>
  <c r="T419" i="20"/>
  <c r="S398" i="21"/>
  <c r="AY398" i="21" s="1"/>
  <c r="AB466" i="20"/>
  <c r="AA445" i="21"/>
  <c r="BG445" i="21" s="1"/>
  <c r="Y469" i="20"/>
  <c r="X448" i="21"/>
  <c r="BD448" i="21" s="1"/>
  <c r="Z412" i="20"/>
  <c r="Y391" i="21"/>
  <c r="BE391" i="21" s="1"/>
  <c r="AC119" i="20"/>
  <c r="AB98" i="21"/>
  <c r="BH98" i="21" s="1"/>
  <c r="V331" i="20"/>
  <c r="U310" i="21"/>
  <c r="BA310" i="21" s="1"/>
  <c r="Q336" i="20"/>
  <c r="P315" i="21"/>
  <c r="AV315" i="21" s="1"/>
  <c r="AA296" i="20"/>
  <c r="Z275" i="21"/>
  <c r="BF275" i="21" s="1"/>
  <c r="R277" i="20"/>
  <c r="Q256" i="21"/>
  <c r="AW256" i="21" s="1"/>
  <c r="O453" i="20"/>
  <c r="N432" i="21"/>
  <c r="AT432" i="21" s="1"/>
  <c r="U188" i="20"/>
  <c r="T167" i="21"/>
  <c r="AZ167" i="21" s="1"/>
  <c r="X98" i="20"/>
  <c r="W77" i="21"/>
  <c r="BC77" i="21" s="1"/>
  <c r="O280" i="20"/>
  <c r="N259" i="21"/>
  <c r="AT259" i="21" s="1"/>
  <c r="S475" i="20"/>
  <c r="R454" i="21"/>
  <c r="AX454" i="21" s="1"/>
  <c r="V357" i="20"/>
  <c r="U336" i="21"/>
  <c r="BA336" i="21" s="1"/>
  <c r="X443" i="20"/>
  <c r="W422" i="21"/>
  <c r="BC422" i="21" s="1"/>
  <c r="V417" i="20"/>
  <c r="U396" i="21"/>
  <c r="BA396" i="21" s="1"/>
  <c r="W356" i="20"/>
  <c r="V335" i="21"/>
  <c r="BB335" i="21" s="1"/>
  <c r="R335" i="20"/>
  <c r="Q314" i="21"/>
  <c r="AW314" i="21" s="1"/>
  <c r="Q221" i="20"/>
  <c r="P200" i="21"/>
  <c r="AV200" i="21" s="1"/>
  <c r="Q451" i="20"/>
  <c r="P430" i="21"/>
  <c r="AV430" i="21" s="1"/>
  <c r="W99" i="20"/>
  <c r="V78" i="21"/>
  <c r="BB78" i="21" s="1"/>
  <c r="AB439" i="20"/>
  <c r="AA418" i="21"/>
  <c r="BG418" i="21" s="1"/>
  <c r="X299" i="20"/>
  <c r="W278" i="21"/>
  <c r="BC278" i="21" s="1"/>
  <c r="AE463" i="20"/>
  <c r="AE442" i="21" s="1"/>
  <c r="BK442" i="21" s="1"/>
  <c r="AD442" i="21"/>
  <c r="BJ442" i="21" s="1"/>
  <c r="P106" i="20"/>
  <c r="O85" i="21"/>
  <c r="AU85" i="21" s="1"/>
  <c r="R46" i="20"/>
  <c r="Q25" i="21"/>
  <c r="AW25" i="21" s="1"/>
  <c r="Z240" i="20"/>
  <c r="Y219" i="21"/>
  <c r="BE219" i="21" s="1"/>
  <c r="X69" i="20"/>
  <c r="W48" i="21"/>
  <c r="BC48" i="21" s="1"/>
  <c r="AB295" i="20"/>
  <c r="AA274" i="21"/>
  <c r="BG274" i="21" s="1"/>
  <c r="O194" i="20"/>
  <c r="N173" i="21"/>
  <c r="AT173" i="21" s="1"/>
  <c r="AT174" i="21" s="1"/>
  <c r="Z297" i="20"/>
  <c r="Y276" i="21"/>
  <c r="BE276" i="21" s="1"/>
  <c r="R476" i="20"/>
  <c r="Q455" i="21"/>
  <c r="AW455" i="21" s="1"/>
  <c r="L136" i="20"/>
  <c r="K115" i="21"/>
  <c r="AQ115" i="21" s="1"/>
  <c r="AQ116" i="21" s="1"/>
  <c r="K137" i="20"/>
  <c r="N165" i="20"/>
  <c r="M144" i="21"/>
  <c r="M166" i="20"/>
  <c r="O182" i="1" s="1"/>
  <c r="R392" i="20"/>
  <c r="Q371" i="21"/>
  <c r="AW371" i="21" s="1"/>
  <c r="AA181" i="20"/>
  <c r="Z160" i="21"/>
  <c r="BF160" i="21" s="1"/>
  <c r="Y413" i="20"/>
  <c r="X392" i="21"/>
  <c r="BD392" i="21" s="1"/>
  <c r="M203" i="21"/>
  <c r="AR72" i="23"/>
  <c r="AR90" i="23" s="1"/>
  <c r="AR108" i="23" s="1"/>
  <c r="X40" i="20"/>
  <c r="W19" i="21"/>
  <c r="BC19" i="21" s="1"/>
  <c r="M481" i="20"/>
  <c r="L460" i="21"/>
  <c r="AR460" i="21" s="1"/>
  <c r="AA411" i="20"/>
  <c r="Z390" i="21"/>
  <c r="BF390" i="21" s="1"/>
  <c r="Y123" i="20"/>
  <c r="X102" i="21"/>
  <c r="BD102" i="21" s="1"/>
  <c r="T218" i="20"/>
  <c r="S197" i="21"/>
  <c r="AY197" i="21" s="1"/>
  <c r="S360" i="20"/>
  <c r="R339" i="21"/>
  <c r="AX339" i="21" s="1"/>
  <c r="S45" i="20"/>
  <c r="R24" i="21"/>
  <c r="AX24" i="21" s="1"/>
  <c r="U303" i="20"/>
  <c r="T282" i="21"/>
  <c r="AZ282" i="21" s="1"/>
  <c r="S248" i="20"/>
  <c r="R227" i="21"/>
  <c r="AX227" i="21" s="1"/>
  <c r="T189" i="20"/>
  <c r="S168" i="21"/>
  <c r="AY168" i="21" s="1"/>
  <c r="AB238" i="20"/>
  <c r="AA217" i="21"/>
  <c r="BG217" i="21" s="1"/>
  <c r="O424" i="20"/>
  <c r="N403" i="21"/>
  <c r="AT403" i="21" s="1"/>
  <c r="S160" i="20"/>
  <c r="R139" i="21"/>
  <c r="AX139" i="21" s="1"/>
  <c r="AB93" i="20"/>
  <c r="AA72" i="21"/>
  <c r="BG72" i="21" s="1"/>
  <c r="O133" i="20"/>
  <c r="N112" i="21"/>
  <c r="AT112" i="21" s="1"/>
  <c r="AC237" i="20"/>
  <c r="AB216" i="21"/>
  <c r="BH216" i="21" s="1"/>
  <c r="I348" i="21"/>
  <c r="AN77" i="23"/>
  <c r="AN95" i="23" s="1"/>
  <c r="AN113" i="23" s="1"/>
  <c r="AE177" i="20"/>
  <c r="AE156" i="21" s="1"/>
  <c r="BK156" i="21" s="1"/>
  <c r="AD156" i="21"/>
  <c r="BJ156" i="21" s="1"/>
  <c r="AD34" i="20"/>
  <c r="AC13" i="21"/>
  <c r="BI13" i="21" s="1"/>
  <c r="N396" i="20"/>
  <c r="M375" i="21"/>
  <c r="AS375" i="21" s="1"/>
  <c r="Y67" i="20"/>
  <c r="X46" i="21"/>
  <c r="BD46" i="21" s="1"/>
  <c r="AA325" i="20"/>
  <c r="Z304" i="21"/>
  <c r="BF304" i="21" s="1"/>
  <c r="AE148" i="20"/>
  <c r="AE127" i="21" s="1"/>
  <c r="BK127" i="21" s="1"/>
  <c r="AD127" i="21"/>
  <c r="BJ127" i="21" s="1"/>
  <c r="K483" i="20"/>
  <c r="J462" i="21"/>
  <c r="AP462" i="21" s="1"/>
  <c r="T73" i="20"/>
  <c r="S52" i="21"/>
  <c r="AY52" i="21" s="1"/>
  <c r="R306" i="20"/>
  <c r="Q285" i="21"/>
  <c r="AW285" i="21" s="1"/>
  <c r="W330" i="20"/>
  <c r="V309" i="21"/>
  <c r="BB309" i="21" s="1"/>
  <c r="AB410" i="20"/>
  <c r="AA389" i="21"/>
  <c r="BG389" i="21" s="1"/>
  <c r="M455" i="20"/>
  <c r="M456" i="20" s="1"/>
  <c r="O194" i="1" s="1"/>
  <c r="L434" i="21"/>
  <c r="AR434" i="21" s="1"/>
  <c r="AR435" i="21" s="1"/>
  <c r="L456" i="20"/>
  <c r="N194" i="1" s="1"/>
  <c r="L482" i="20"/>
  <c r="K461" i="21"/>
  <c r="AQ461" i="21" s="1"/>
  <c r="X97" i="20"/>
  <c r="W76" i="21"/>
  <c r="BC76" i="21" s="1"/>
  <c r="R130" i="20"/>
  <c r="Q109" i="21"/>
  <c r="AW109" i="21" s="1"/>
  <c r="AR71" i="23"/>
  <c r="AR89" i="23" s="1"/>
  <c r="AR107" i="23" s="1"/>
  <c r="M174" i="21"/>
  <c r="AA383" i="20"/>
  <c r="Z362" i="21"/>
  <c r="BF362" i="21" s="1"/>
  <c r="J484" i="20"/>
  <c r="I463" i="21"/>
  <c r="AO463" i="21" s="1"/>
  <c r="AO464" i="21" s="1"/>
  <c r="I485" i="20"/>
  <c r="K195" i="1" s="1"/>
  <c r="W301" i="20"/>
  <c r="V280" i="21"/>
  <c r="BB280" i="21" s="1"/>
  <c r="N425" i="20"/>
  <c r="M404" i="21"/>
  <c r="AS404" i="21" s="1"/>
  <c r="R421" i="20"/>
  <c r="Q400" i="21"/>
  <c r="AW400" i="21" s="1"/>
  <c r="Y96" i="20"/>
  <c r="X75" i="21"/>
  <c r="BD75" i="21" s="1"/>
  <c r="AD236" i="20"/>
  <c r="AC215" i="21"/>
  <c r="BI215" i="21" s="1"/>
  <c r="X328" i="20"/>
  <c r="W307" i="21"/>
  <c r="BC307" i="21" s="1"/>
  <c r="X124" i="20"/>
  <c r="W103" i="21"/>
  <c r="BC103" i="21" s="1"/>
  <c r="Z66" i="20"/>
  <c r="Y45" i="21"/>
  <c r="BE45" i="21" s="1"/>
  <c r="L180" i="1"/>
  <c r="AO69" i="23"/>
  <c r="AO87" i="23" s="1"/>
  <c r="AO105" i="23" s="1"/>
  <c r="J116" i="21"/>
  <c r="Z38" i="20"/>
  <c r="Y17" i="21"/>
  <c r="BE17" i="21" s="1"/>
  <c r="U101" i="20"/>
  <c r="T80" i="21"/>
  <c r="AZ80" i="21" s="1"/>
  <c r="O164" i="20"/>
  <c r="N143" i="21"/>
  <c r="AT143" i="21" s="1"/>
  <c r="P478" i="20"/>
  <c r="O457" i="21"/>
  <c r="AU457" i="21" s="1"/>
  <c r="W70" i="20"/>
  <c r="V49" i="21"/>
  <c r="BB49" i="21" s="1"/>
  <c r="AQ70" i="23"/>
  <c r="AQ88" i="23" s="1"/>
  <c r="AQ106" i="23" s="1"/>
  <c r="L145" i="21"/>
  <c r="W244" i="20"/>
  <c r="V223" i="21"/>
  <c r="BB223" i="21" s="1"/>
  <c r="Y270" i="20"/>
  <c r="X249" i="21"/>
  <c r="BD249" i="21" s="1"/>
  <c r="M135" i="20"/>
  <c r="L114" i="21"/>
  <c r="AR114" i="21" s="1"/>
  <c r="AB267" i="20"/>
  <c r="AA246" i="21"/>
  <c r="BG246" i="21" s="1"/>
  <c r="W156" i="20"/>
  <c r="V135" i="21"/>
  <c r="BB135" i="21" s="1"/>
  <c r="AD265" i="20"/>
  <c r="AC244" i="21"/>
  <c r="BI244" i="21" s="1"/>
  <c r="AA94" i="20"/>
  <c r="Z73" i="21"/>
  <c r="BF73" i="21" s="1"/>
  <c r="O178" i="1"/>
  <c r="M58" i="21"/>
  <c r="AR67" i="23"/>
  <c r="AR85" i="23" s="1"/>
  <c r="AR103" i="23" s="1"/>
  <c r="Q422" i="20"/>
  <c r="P401" i="21"/>
  <c r="AV401" i="21" s="1"/>
  <c r="AD149" i="20"/>
  <c r="AC128" i="21"/>
  <c r="BI128" i="21" s="1"/>
  <c r="AC150" i="20"/>
  <c r="AB129" i="21"/>
  <c r="BH129" i="21" s="1"/>
  <c r="W387" i="20"/>
  <c r="V366" i="21"/>
  <c r="BB366" i="21" s="1"/>
  <c r="U158" i="20"/>
  <c r="T137" i="21"/>
  <c r="AZ137" i="21" s="1"/>
  <c r="AD178" i="20"/>
  <c r="AC157" i="21"/>
  <c r="BI157" i="21" s="1"/>
  <c r="V472" i="20"/>
  <c r="U451" i="21"/>
  <c r="BA451" i="21" s="1"/>
  <c r="AB209" i="20"/>
  <c r="AA188" i="21"/>
  <c r="BG188" i="21" s="1"/>
  <c r="X386" i="20"/>
  <c r="W365" i="21"/>
  <c r="BC365" i="21" s="1"/>
  <c r="X68" i="20"/>
  <c r="W47" i="21"/>
  <c r="BC47" i="21" s="1"/>
  <c r="O223" i="20"/>
  <c r="N202" i="21"/>
  <c r="AT202" i="21" s="1"/>
  <c r="AT203" i="21" s="1"/>
  <c r="N224" i="20"/>
  <c r="P184" i="1" s="1"/>
  <c r="Z182" i="20"/>
  <c r="Y161" i="21"/>
  <c r="BE161" i="21" s="1"/>
  <c r="S74" i="20"/>
  <c r="R53" i="21"/>
  <c r="AX53" i="21" s="1"/>
  <c r="W41" i="20"/>
  <c r="V20" i="21"/>
  <c r="BB20" i="21" s="1"/>
  <c r="AA352" i="20"/>
  <c r="Z331" i="21"/>
  <c r="BF331" i="21" s="1"/>
  <c r="AA152" i="20"/>
  <c r="Z131" i="21"/>
  <c r="BF131" i="21" s="1"/>
  <c r="AQ76" i="23"/>
  <c r="AQ94" i="23" s="1"/>
  <c r="AQ112" i="23" s="1"/>
  <c r="L319" i="21"/>
  <c r="T474" i="20"/>
  <c r="S453" i="21"/>
  <c r="AY453" i="21" s="1"/>
  <c r="V273" i="20"/>
  <c r="U252" i="21"/>
  <c r="BA252" i="21" s="1"/>
  <c r="AE33" i="20"/>
  <c r="AE12" i="21" s="1"/>
  <c r="BK12" i="21" s="1"/>
  <c r="AD12" i="21"/>
  <c r="BJ12" i="21" s="1"/>
  <c r="AD408" i="20"/>
  <c r="AC387" i="21"/>
  <c r="BI387" i="21" s="1"/>
  <c r="Q362" i="20"/>
  <c r="P341" i="21"/>
  <c r="AV341" i="21" s="1"/>
  <c r="P337" i="20"/>
  <c r="O316" i="21"/>
  <c r="AU316" i="21" s="1"/>
  <c r="AA239" i="20"/>
  <c r="Z218" i="21"/>
  <c r="BF218" i="21" s="1"/>
  <c r="AC409" i="20"/>
  <c r="AB388" i="21"/>
  <c r="BH388" i="21" s="1"/>
  <c r="W186" i="20"/>
  <c r="V165" i="21"/>
  <c r="BB165" i="21" s="1"/>
  <c r="AD207" i="20"/>
  <c r="AC186" i="21"/>
  <c r="BI186" i="21" s="1"/>
  <c r="Z326" i="20"/>
  <c r="Y305" i="21"/>
  <c r="BE305" i="21" s="1"/>
  <c r="X470" i="20"/>
  <c r="W449" i="21"/>
  <c r="BC449" i="21" s="1"/>
  <c r="AC323" i="20"/>
  <c r="AB302" i="21"/>
  <c r="BH302" i="21" s="1"/>
  <c r="Y354" i="20"/>
  <c r="X333" i="21"/>
  <c r="BD333" i="21" s="1"/>
  <c r="AC350" i="20"/>
  <c r="AB329" i="21"/>
  <c r="BH329" i="21" s="1"/>
  <c r="V71" i="20"/>
  <c r="U50" i="21"/>
  <c r="BA50" i="21" s="1"/>
  <c r="K368" i="20"/>
  <c r="J347" i="21"/>
  <c r="AP347" i="21" s="1"/>
  <c r="AP348" i="21" s="1"/>
  <c r="J369" i="20"/>
  <c r="L190" i="1" s="1"/>
  <c r="Y241" i="20"/>
  <c r="X220" i="21"/>
  <c r="BD220" i="21" s="1"/>
  <c r="Y327" i="20"/>
  <c r="X306" i="21"/>
  <c r="BD306" i="21" s="1"/>
  <c r="O395" i="20"/>
  <c r="N374" i="21"/>
  <c r="AT374" i="21" s="1"/>
  <c r="Q250" i="20"/>
  <c r="P229" i="21"/>
  <c r="AV229" i="21" s="1"/>
  <c r="AA467" i="20"/>
  <c r="Z446" i="21"/>
  <c r="BF446" i="21" s="1"/>
  <c r="Y39" i="20"/>
  <c r="X18" i="21"/>
  <c r="BD18" i="21" s="1"/>
  <c r="AA65" i="20"/>
  <c r="Z44" i="21"/>
  <c r="BF44" i="21" s="1"/>
  <c r="AA121" i="20"/>
  <c r="Z100" i="21"/>
  <c r="BF100" i="21" s="1"/>
  <c r="T390" i="20"/>
  <c r="S369" i="21"/>
  <c r="AY369" i="21" s="1"/>
  <c r="Q278" i="20"/>
  <c r="P257" i="21"/>
  <c r="AV257" i="21" s="1"/>
  <c r="Y442" i="20"/>
  <c r="X421" i="21"/>
  <c r="BD421" i="21" s="1"/>
  <c r="AA440" i="20"/>
  <c r="Z419" i="21"/>
  <c r="BF419" i="21" s="1"/>
  <c r="O78" i="20"/>
  <c r="N57" i="21"/>
  <c r="AT57" i="21" s="1"/>
  <c r="AT58" i="21" s="1"/>
  <c r="N79" i="20"/>
  <c r="Z211" i="20"/>
  <c r="Y190" i="21"/>
  <c r="BE190" i="21" s="1"/>
  <c r="U358" i="20"/>
  <c r="T337" i="21"/>
  <c r="AZ337" i="21" s="1"/>
  <c r="V446" i="20"/>
  <c r="U425" i="21"/>
  <c r="BA425" i="21" s="1"/>
  <c r="V42" i="20"/>
  <c r="U21" i="21"/>
  <c r="BA21" i="21" s="1"/>
  <c r="X185" i="20"/>
  <c r="W164" i="21"/>
  <c r="BC164" i="21" s="1"/>
  <c r="Q76" i="20"/>
  <c r="P55" i="21"/>
  <c r="AV55" i="21" s="1"/>
  <c r="T159" i="20"/>
  <c r="S138" i="21"/>
  <c r="AY138" i="21" s="1"/>
  <c r="R104" i="20"/>
  <c r="Q83" i="21"/>
  <c r="AW83" i="21" s="1"/>
  <c r="N339" i="20"/>
  <c r="M318" i="21"/>
  <c r="AS318" i="21" s="1"/>
  <c r="AS319" i="21" s="1"/>
  <c r="AE264" i="20"/>
  <c r="AE243" i="21" s="1"/>
  <c r="BK243" i="21" s="1"/>
  <c r="AD243" i="21"/>
  <c r="BJ243" i="21" s="1"/>
  <c r="AA210" i="20"/>
  <c r="Z189" i="21"/>
  <c r="BF189" i="21" s="1"/>
  <c r="N281" i="20"/>
  <c r="M260" i="21"/>
  <c r="AS260" i="21" s="1"/>
  <c r="V388" i="20"/>
  <c r="U367" i="21"/>
  <c r="BA367" i="21" s="1"/>
  <c r="Q131" i="20"/>
  <c r="P110" i="21"/>
  <c r="AV110" i="21" s="1"/>
  <c r="X414" i="20"/>
  <c r="W393" i="21"/>
  <c r="BC393" i="21" s="1"/>
  <c r="AE117" i="20"/>
  <c r="AE96" i="21" s="1"/>
  <c r="BK96" i="21" s="1"/>
  <c r="AD96" i="21"/>
  <c r="BJ96" i="21" s="1"/>
  <c r="V157" i="20"/>
  <c r="U136" i="21"/>
  <c r="BA136" i="21" s="1"/>
  <c r="P193" i="20"/>
  <c r="O172" i="21"/>
  <c r="AU172" i="21" s="1"/>
  <c r="W444" i="20"/>
  <c r="V423" i="21"/>
  <c r="BB423" i="21" s="1"/>
  <c r="S420" i="20"/>
  <c r="R399" i="21"/>
  <c r="AX399" i="21" s="1"/>
  <c r="P77" i="20"/>
  <c r="O56" i="21"/>
  <c r="AU56" i="21" s="1"/>
  <c r="V416" i="20"/>
  <c r="U395" i="21"/>
  <c r="BA395" i="21" s="1"/>
  <c r="X355" i="20"/>
  <c r="W334" i="21"/>
  <c r="BC334" i="21" s="1"/>
  <c r="T102" i="20"/>
  <c r="S81" i="21"/>
  <c r="AY81" i="21" s="1"/>
  <c r="X242" i="20"/>
  <c r="W221" i="21"/>
  <c r="BC221" i="21" s="1"/>
  <c r="S129" i="20"/>
  <c r="R108" i="21"/>
  <c r="AX108" i="21" s="1"/>
  <c r="V126" i="20"/>
  <c r="U105" i="21"/>
  <c r="BA105" i="21" s="1"/>
  <c r="S103" i="20"/>
  <c r="R82" i="21"/>
  <c r="AX82" i="21" s="1"/>
  <c r="Q307" i="20"/>
  <c r="P286" i="21"/>
  <c r="AV286" i="21" s="1"/>
  <c r="AD464" i="20"/>
  <c r="AC443" i="21"/>
  <c r="BI443" i="21" s="1"/>
  <c r="AB36" i="20"/>
  <c r="AA15" i="21"/>
  <c r="BG15" i="21" s="1"/>
  <c r="Q47" i="20"/>
  <c r="P26" i="21"/>
  <c r="AV26" i="21" s="1"/>
  <c r="Y212" i="20"/>
  <c r="X191" i="21"/>
  <c r="BD191" i="21" s="1"/>
  <c r="M397" i="20"/>
  <c r="L376" i="21"/>
  <c r="AR376" i="21" s="1"/>
  <c r="P363" i="20"/>
  <c r="O342" i="21"/>
  <c r="AU342" i="21" s="1"/>
  <c r="T275" i="20"/>
  <c r="S254" i="21"/>
  <c r="AY254" i="21" s="1"/>
  <c r="AC266" i="20"/>
  <c r="AB245" i="21"/>
  <c r="BH245" i="21" s="1"/>
  <c r="Z353" i="20"/>
  <c r="Y332" i="21"/>
  <c r="BE332" i="21" s="1"/>
  <c r="T128" i="20"/>
  <c r="S107" i="21"/>
  <c r="AY107" i="21" s="1"/>
  <c r="R249" i="20"/>
  <c r="Q228" i="21"/>
  <c r="AW228" i="21" s="1"/>
  <c r="AB324" i="20"/>
  <c r="AA303" i="21"/>
  <c r="BG303" i="21" s="1"/>
  <c r="AD437" i="20"/>
  <c r="AC416" i="21"/>
  <c r="BI416" i="21" s="1"/>
  <c r="N310" i="20"/>
  <c r="M289" i="21"/>
  <c r="AS289" i="21" s="1"/>
  <c r="AS290" i="21" s="1"/>
  <c r="M311" i="20"/>
  <c r="O188" i="1" s="1"/>
  <c r="O49" i="20"/>
  <c r="N28" i="21"/>
  <c r="AT28" i="21" s="1"/>
  <c r="X155" i="20"/>
  <c r="W134" i="21"/>
  <c r="BC134" i="21" s="1"/>
  <c r="X214" i="20"/>
  <c r="W193" i="21"/>
  <c r="BC193" i="21" s="1"/>
  <c r="P251" i="20"/>
  <c r="O230" i="21"/>
  <c r="AU230" i="21" s="1"/>
  <c r="Z384" i="20"/>
  <c r="Y363" i="21"/>
  <c r="BE363" i="21" s="1"/>
  <c r="AC92" i="20"/>
  <c r="AB71" i="21"/>
  <c r="BH71" i="21" s="1"/>
  <c r="AC465" i="20"/>
  <c r="AB444" i="21"/>
  <c r="BH444" i="21" s="1"/>
  <c r="AE206" i="20"/>
  <c r="AE185" i="21" s="1"/>
  <c r="BK185" i="21" s="1"/>
  <c r="AD185" i="21"/>
  <c r="BJ185" i="21" s="1"/>
  <c r="U72" i="20"/>
  <c r="T51" i="21"/>
  <c r="AZ51" i="21" s="1"/>
  <c r="V100" i="20"/>
  <c r="U79" i="21"/>
  <c r="BA79" i="21" s="1"/>
  <c r="T448" i="20"/>
  <c r="S427" i="21"/>
  <c r="AY427" i="21" s="1"/>
  <c r="X184" i="20"/>
  <c r="W163" i="21"/>
  <c r="BC163" i="21" s="1"/>
  <c r="S391" i="20"/>
  <c r="R370" i="21"/>
  <c r="AX370" i="21" s="1"/>
  <c r="O364" i="20"/>
  <c r="N343" i="21"/>
  <c r="AT343" i="21" s="1"/>
  <c r="Y385" i="20"/>
  <c r="X364" i="21"/>
  <c r="BD364" i="21" s="1"/>
  <c r="N134" i="20"/>
  <c r="M113" i="21"/>
  <c r="AS113" i="21" s="1"/>
  <c r="U447" i="20"/>
  <c r="T426" i="21"/>
  <c r="AZ426" i="21" s="1"/>
  <c r="W471" i="20"/>
  <c r="V450" i="21"/>
  <c r="BB450" i="21" s="1"/>
  <c r="M232" i="21"/>
  <c r="AR73" i="23"/>
  <c r="AR91" i="23" s="1"/>
  <c r="AR109" i="23" s="1"/>
  <c r="M426" i="20"/>
  <c r="L405" i="21"/>
  <c r="AR405" i="21" s="1"/>
  <c r="AR406" i="21" s="1"/>
  <c r="L427" i="20"/>
  <c r="N193" i="1" s="1"/>
  <c r="U43" i="20"/>
  <c r="T22" i="21"/>
  <c r="AZ22" i="21" s="1"/>
  <c r="Z468" i="20"/>
  <c r="Y447" i="21"/>
  <c r="BE447" i="21" s="1"/>
  <c r="AE436" i="20"/>
  <c r="AE415" i="21" s="1"/>
  <c r="BK415" i="21" s="1"/>
  <c r="AD415" i="21"/>
  <c r="BJ415" i="21" s="1"/>
  <c r="W415" i="20"/>
  <c r="V394" i="21"/>
  <c r="BB394" i="21" s="1"/>
  <c r="P222" i="20"/>
  <c r="O201" i="21"/>
  <c r="AU201" i="21" s="1"/>
  <c r="U473" i="20"/>
  <c r="T452" i="21"/>
  <c r="AZ452" i="21" s="1"/>
  <c r="R161" i="20"/>
  <c r="Q140" i="21"/>
  <c r="AW140" i="21" s="1"/>
  <c r="R75" i="20"/>
  <c r="Q54" i="21"/>
  <c r="AW54" i="21" s="1"/>
  <c r="T44" i="20"/>
  <c r="S23" i="21"/>
  <c r="AY23" i="21" s="1"/>
  <c r="S334" i="20"/>
  <c r="R313" i="21"/>
  <c r="AX313" i="21" s="1"/>
  <c r="AC35" i="20"/>
  <c r="AB14" i="21"/>
  <c r="BH14" i="21" s="1"/>
  <c r="S305" i="20"/>
  <c r="R284" i="21"/>
  <c r="AX284" i="21" s="1"/>
  <c r="Y183" i="20"/>
  <c r="X162" i="21"/>
  <c r="BD162" i="21" s="1"/>
  <c r="AD91" i="20"/>
  <c r="AC70" i="21"/>
  <c r="BI70" i="21" s="1"/>
  <c r="W329" i="20"/>
  <c r="V308" i="21"/>
  <c r="BB308" i="21" s="1"/>
  <c r="O309" i="20"/>
  <c r="N288" i="21"/>
  <c r="AT288" i="21" s="1"/>
  <c r="AB351" i="20"/>
  <c r="AA330" i="21"/>
  <c r="BG330" i="21" s="1"/>
  <c r="U217" i="20"/>
  <c r="T196" i="21"/>
  <c r="AZ196" i="21" s="1"/>
  <c r="Q477" i="20"/>
  <c r="P456" i="21"/>
  <c r="AV456" i="21" s="1"/>
  <c r="T247" i="20"/>
  <c r="S226" i="21"/>
  <c r="AY226" i="21" s="1"/>
  <c r="P279" i="20"/>
  <c r="O258" i="21"/>
  <c r="AU258" i="21" s="1"/>
  <c r="R361" i="20"/>
  <c r="Q340" i="21"/>
  <c r="AW340" i="21" s="1"/>
  <c r="H29" i="21"/>
  <c r="AM66" i="23"/>
  <c r="AM84" i="23" s="1"/>
  <c r="AM102" i="23" s="1"/>
  <c r="G377" i="21"/>
  <c r="AL78" i="23"/>
  <c r="AL96" i="23" s="1"/>
  <c r="AL114" i="23" s="1"/>
  <c r="I50" i="20"/>
  <c r="K177" i="1" s="1"/>
  <c r="I3" i="21"/>
  <c r="J24" i="20"/>
  <c r="I235" i="21"/>
  <c r="J256" i="20"/>
  <c r="H398" i="20"/>
  <c r="J192" i="1" s="1"/>
  <c r="H351" i="21"/>
  <c r="I372" i="20"/>
  <c r="AO3" i="21" l="1"/>
  <c r="AO29" i="21" s="1"/>
  <c r="H3" i="1" s="1"/>
  <c r="H5" i="1" s="1"/>
  <c r="AO235" i="21"/>
  <c r="AO261" i="21" s="1"/>
  <c r="H15" i="1" s="1"/>
  <c r="H17" i="1" s="1"/>
  <c r="AN351" i="21"/>
  <c r="AN377" i="21" s="1"/>
  <c r="G21" i="1" s="1"/>
  <c r="G23" i="1" s="1"/>
  <c r="AS144" i="21"/>
  <c r="AS145" i="21" s="1"/>
  <c r="L9" i="1" s="1"/>
  <c r="L11" i="1" s="1"/>
  <c r="S361" i="20"/>
  <c r="R340" i="21"/>
  <c r="AX340" i="21" s="1"/>
  <c r="X329" i="20"/>
  <c r="W308" i="21"/>
  <c r="BC308" i="21" s="1"/>
  <c r="V43" i="20"/>
  <c r="U22" i="21"/>
  <c r="BA22" i="21" s="1"/>
  <c r="Y184" i="20"/>
  <c r="X163" i="21"/>
  <c r="BD163" i="21" s="1"/>
  <c r="Q363" i="20"/>
  <c r="P342" i="21"/>
  <c r="AV342" i="21" s="1"/>
  <c r="AC36" i="20"/>
  <c r="AB15" i="21"/>
  <c r="BH15" i="21" s="1"/>
  <c r="W416" i="20"/>
  <c r="V395" i="21"/>
  <c r="BB395" i="21" s="1"/>
  <c r="Y185" i="20"/>
  <c r="X164" i="21"/>
  <c r="BD164" i="21" s="1"/>
  <c r="W446" i="20"/>
  <c r="V425" i="21"/>
  <c r="BB425" i="21" s="1"/>
  <c r="W71" i="20"/>
  <c r="V50" i="21"/>
  <c r="BB50" i="21" s="1"/>
  <c r="Y470" i="20"/>
  <c r="X449" i="21"/>
  <c r="BD449" i="21" s="1"/>
  <c r="AA66" i="20"/>
  <c r="Z45" i="21"/>
  <c r="BF45" i="21" s="1"/>
  <c r="P453" i="20"/>
  <c r="O432" i="21"/>
  <c r="AU432" i="21" s="1"/>
  <c r="AA412" i="20"/>
  <c r="Z391" i="21"/>
  <c r="BF391" i="21" s="1"/>
  <c r="AD381" i="20"/>
  <c r="AC360" i="21"/>
  <c r="BI360" i="21" s="1"/>
  <c r="Q394" i="20"/>
  <c r="P373" i="21"/>
  <c r="AV373" i="21" s="1"/>
  <c r="U359" i="20"/>
  <c r="T338" i="21"/>
  <c r="AZ338" i="21" s="1"/>
  <c r="AA122" i="20"/>
  <c r="Z101" i="21"/>
  <c r="BF101" i="21" s="1"/>
  <c r="W216" i="20"/>
  <c r="V195" i="21"/>
  <c r="BB195" i="21" s="1"/>
  <c r="P107" i="20"/>
  <c r="O86" i="21"/>
  <c r="AU86" i="21" s="1"/>
  <c r="AU87" i="21" s="1"/>
  <c r="O108" i="20"/>
  <c r="AE293" i="20"/>
  <c r="AE272" i="21" s="1"/>
  <c r="BK272" i="21" s="1"/>
  <c r="AD272" i="21"/>
  <c r="BJ272" i="21" s="1"/>
  <c r="X415" i="20"/>
  <c r="W394" i="21"/>
  <c r="BC394" i="21" s="1"/>
  <c r="L406" i="21"/>
  <c r="AQ79" i="23"/>
  <c r="AQ97" i="23" s="1"/>
  <c r="AQ115" i="23" s="1"/>
  <c r="V447" i="20"/>
  <c r="U426" i="21"/>
  <c r="BA426" i="21" s="1"/>
  <c r="W100" i="20"/>
  <c r="V79" i="21"/>
  <c r="BB79" i="21" s="1"/>
  <c r="AD92" i="20"/>
  <c r="AC71" i="21"/>
  <c r="BI71" i="21" s="1"/>
  <c r="Q251" i="20"/>
  <c r="P230" i="21"/>
  <c r="AV230" i="21" s="1"/>
  <c r="Y155" i="20"/>
  <c r="X134" i="21"/>
  <c r="BD134" i="21" s="1"/>
  <c r="M290" i="21"/>
  <c r="AR75" i="23"/>
  <c r="AR93" i="23" s="1"/>
  <c r="AR111" i="23" s="1"/>
  <c r="AE437" i="20"/>
  <c r="AE416" i="21" s="1"/>
  <c r="BK416" i="21" s="1"/>
  <c r="AD416" i="21"/>
  <c r="BJ416" i="21" s="1"/>
  <c r="S249" i="20"/>
  <c r="R228" i="21"/>
  <c r="AX228" i="21" s="1"/>
  <c r="W126" i="20"/>
  <c r="V105" i="21"/>
  <c r="BB105" i="21" s="1"/>
  <c r="Y242" i="20"/>
  <c r="X221" i="21"/>
  <c r="BD221" i="21" s="1"/>
  <c r="Y355" i="20"/>
  <c r="X334" i="21"/>
  <c r="BD334" i="21" s="1"/>
  <c r="R131" i="20"/>
  <c r="Q110" i="21"/>
  <c r="AW110" i="21" s="1"/>
  <c r="O281" i="20"/>
  <c r="N260" i="21"/>
  <c r="AT260" i="21" s="1"/>
  <c r="S104" i="20"/>
  <c r="R83" i="21"/>
  <c r="AX83" i="21" s="1"/>
  <c r="P178" i="1"/>
  <c r="AS67" i="23"/>
  <c r="AS85" i="23" s="1"/>
  <c r="AS103" i="23" s="1"/>
  <c r="N58" i="21"/>
  <c r="AB440" i="20"/>
  <c r="AA419" i="21"/>
  <c r="BG419" i="21" s="1"/>
  <c r="R278" i="20"/>
  <c r="Q257" i="21"/>
  <c r="AW257" i="21" s="1"/>
  <c r="AB121" i="20"/>
  <c r="AA100" i="21"/>
  <c r="BG100" i="21" s="1"/>
  <c r="Z39" i="20"/>
  <c r="Y18" i="21"/>
  <c r="BE18" i="21" s="1"/>
  <c r="R250" i="20"/>
  <c r="Q229" i="21"/>
  <c r="AW229" i="21" s="1"/>
  <c r="Z327" i="20"/>
  <c r="Y306" i="21"/>
  <c r="BE306" i="21" s="1"/>
  <c r="AE207" i="20"/>
  <c r="AE186" i="21" s="1"/>
  <c r="BK186" i="21" s="1"/>
  <c r="AD186" i="21"/>
  <c r="BJ186" i="21" s="1"/>
  <c r="AD409" i="20"/>
  <c r="AC388" i="21"/>
  <c r="BI388" i="21" s="1"/>
  <c r="U474" i="20"/>
  <c r="T453" i="21"/>
  <c r="AZ453" i="21" s="1"/>
  <c r="AB152" i="20"/>
  <c r="AA131" i="21"/>
  <c r="BG131" i="21" s="1"/>
  <c r="X41" i="20"/>
  <c r="W20" i="21"/>
  <c r="BC20" i="21" s="1"/>
  <c r="AA182" i="20"/>
  <c r="Z161" i="21"/>
  <c r="BF161" i="21" s="1"/>
  <c r="Y386" i="20"/>
  <c r="X365" i="21"/>
  <c r="BD365" i="21" s="1"/>
  <c r="W472" i="20"/>
  <c r="V451" i="21"/>
  <c r="BB451" i="21" s="1"/>
  <c r="V158" i="20"/>
  <c r="U137" i="21"/>
  <c r="BA137" i="21" s="1"/>
  <c r="AD150" i="20"/>
  <c r="AC129" i="21"/>
  <c r="BI129" i="21" s="1"/>
  <c r="R422" i="20"/>
  <c r="Q401" i="21"/>
  <c r="AW401" i="21" s="1"/>
  <c r="AE265" i="20"/>
  <c r="AE244" i="21" s="1"/>
  <c r="BK244" i="21" s="1"/>
  <c r="AD244" i="21"/>
  <c r="BJ244" i="21" s="1"/>
  <c r="AC267" i="20"/>
  <c r="AB246" i="21"/>
  <c r="BH246" i="21" s="1"/>
  <c r="Z270" i="20"/>
  <c r="Y249" i="21"/>
  <c r="BE249" i="21" s="1"/>
  <c r="Q478" i="20"/>
  <c r="P457" i="21"/>
  <c r="AV457" i="21" s="1"/>
  <c r="V101" i="20"/>
  <c r="U80" i="21"/>
  <c r="BA80" i="21" s="1"/>
  <c r="Y328" i="20"/>
  <c r="X307" i="21"/>
  <c r="BD307" i="21" s="1"/>
  <c r="Z96" i="20"/>
  <c r="Y75" i="21"/>
  <c r="BE75" i="21" s="1"/>
  <c r="O425" i="20"/>
  <c r="N404" i="21"/>
  <c r="AT404" i="21" s="1"/>
  <c r="O396" i="20"/>
  <c r="N375" i="21"/>
  <c r="AT375" i="21" s="1"/>
  <c r="AD237" i="20"/>
  <c r="AC216" i="21"/>
  <c r="BI216" i="21" s="1"/>
  <c r="T248" i="20"/>
  <c r="S227" i="21"/>
  <c r="AY227" i="21" s="1"/>
  <c r="T45" i="20"/>
  <c r="S24" i="21"/>
  <c r="AY24" i="21" s="1"/>
  <c r="U218" i="20"/>
  <c r="T197" i="21"/>
  <c r="AZ197" i="21" s="1"/>
  <c r="O165" i="20"/>
  <c r="N144" i="21"/>
  <c r="N166" i="20"/>
  <c r="P182" i="1" s="1"/>
  <c r="AC295" i="20"/>
  <c r="AB274" i="21"/>
  <c r="BH274" i="21" s="1"/>
  <c r="AA240" i="20"/>
  <c r="Z219" i="21"/>
  <c r="BF219" i="21" s="1"/>
  <c r="Q106" i="20"/>
  <c r="P85" i="21"/>
  <c r="AV85" i="21" s="1"/>
  <c r="Y299" i="20"/>
  <c r="X278" i="21"/>
  <c r="BD278" i="21" s="1"/>
  <c r="W417" i="20"/>
  <c r="V396" i="21"/>
  <c r="BB396" i="21" s="1"/>
  <c r="N232" i="21"/>
  <c r="AS73" i="23"/>
  <c r="AS91" i="23" s="1"/>
  <c r="AS109" i="23" s="1"/>
  <c r="T190" i="20"/>
  <c r="S169" i="21"/>
  <c r="AY169" i="21" s="1"/>
  <c r="Q163" i="20"/>
  <c r="P142" i="21"/>
  <c r="AV142" i="21" s="1"/>
  <c r="O480" i="20"/>
  <c r="N459" i="21"/>
  <c r="AT459" i="21" s="1"/>
  <c r="AC64" i="20"/>
  <c r="AB43" i="21"/>
  <c r="BH43" i="21" s="1"/>
  <c r="V389" i="20"/>
  <c r="U368" i="21"/>
  <c r="BA368" i="21" s="1"/>
  <c r="V127" i="20"/>
  <c r="U106" i="21"/>
  <c r="BA106" i="21" s="1"/>
  <c r="AE380" i="20"/>
  <c r="AE359" i="21" s="1"/>
  <c r="BK359" i="21" s="1"/>
  <c r="AD359" i="21"/>
  <c r="BJ359" i="21" s="1"/>
  <c r="W445" i="20"/>
  <c r="V424" i="21"/>
  <c r="BB424" i="21" s="1"/>
  <c r="Q308" i="20"/>
  <c r="P287" i="21"/>
  <c r="AV287" i="21" s="1"/>
  <c r="R192" i="20"/>
  <c r="Q171" i="21"/>
  <c r="AW171" i="21" s="1"/>
  <c r="M367" i="20"/>
  <c r="L346" i="21"/>
  <c r="AR346" i="21" s="1"/>
  <c r="Q423" i="20"/>
  <c r="P402" i="21"/>
  <c r="AV402" i="21" s="1"/>
  <c r="AE322" i="20"/>
  <c r="AE301" i="21" s="1"/>
  <c r="BK301" i="21" s="1"/>
  <c r="AD301" i="21"/>
  <c r="BJ301" i="21" s="1"/>
  <c r="AE118" i="20"/>
  <c r="AE97" i="21" s="1"/>
  <c r="BK97" i="21" s="1"/>
  <c r="AD97" i="21"/>
  <c r="BJ97" i="21" s="1"/>
  <c r="P479" i="20"/>
  <c r="O458" i="21"/>
  <c r="AU458" i="21" s="1"/>
  <c r="AD438" i="20"/>
  <c r="AC417" i="21"/>
  <c r="BI417" i="21" s="1"/>
  <c r="Z212" i="20"/>
  <c r="Y191" i="21"/>
  <c r="BE191" i="21" s="1"/>
  <c r="AA211" i="20"/>
  <c r="Z190" i="21"/>
  <c r="BF190" i="21" s="1"/>
  <c r="Z354" i="20"/>
  <c r="Y333" i="21"/>
  <c r="BE333" i="21" s="1"/>
  <c r="R362" i="20"/>
  <c r="Q341" i="21"/>
  <c r="AW341" i="21" s="1"/>
  <c r="AQ80" i="23"/>
  <c r="AQ98" i="23" s="1"/>
  <c r="AQ116" i="23" s="1"/>
  <c r="L435" i="21"/>
  <c r="AC410" i="20"/>
  <c r="AB389" i="21"/>
  <c r="BH389" i="21" s="1"/>
  <c r="S306" i="20"/>
  <c r="R285" i="21"/>
  <c r="AX285" i="21" s="1"/>
  <c r="L483" i="20"/>
  <c r="K462" i="21"/>
  <c r="AQ462" i="21" s="1"/>
  <c r="AB325" i="20"/>
  <c r="AA304" i="21"/>
  <c r="BG304" i="21" s="1"/>
  <c r="Z123" i="20"/>
  <c r="Y102" i="21"/>
  <c r="BE102" i="21" s="1"/>
  <c r="N481" i="20"/>
  <c r="M460" i="21"/>
  <c r="AS460" i="21" s="1"/>
  <c r="AB181" i="20"/>
  <c r="AA160" i="21"/>
  <c r="BG160" i="21" s="1"/>
  <c r="AA297" i="20"/>
  <c r="Z276" i="21"/>
  <c r="BF276" i="21" s="1"/>
  <c r="AC439" i="20"/>
  <c r="AB418" i="21"/>
  <c r="BH418" i="21" s="1"/>
  <c r="R451" i="20"/>
  <c r="Q430" i="21"/>
  <c r="AW430" i="21" s="1"/>
  <c r="S335" i="20"/>
  <c r="R314" i="21"/>
  <c r="AX314" i="21" s="1"/>
  <c r="T475" i="20"/>
  <c r="S454" i="21"/>
  <c r="AY454" i="21" s="1"/>
  <c r="W331" i="20"/>
  <c r="V310" i="21"/>
  <c r="BB310" i="21" s="1"/>
  <c r="P338" i="20"/>
  <c r="O317" i="21"/>
  <c r="AU317" i="21" s="1"/>
  <c r="AC382" i="20"/>
  <c r="AB361" i="21"/>
  <c r="BH361" i="21" s="1"/>
  <c r="AB37" i="20"/>
  <c r="AA16" i="21"/>
  <c r="BG16" i="21" s="1"/>
  <c r="AA153" i="20"/>
  <c r="Z132" i="21"/>
  <c r="BF132" i="21" s="1"/>
  <c r="Q279" i="20"/>
  <c r="P258" i="21"/>
  <c r="AV258" i="21" s="1"/>
  <c r="R477" i="20"/>
  <c r="Q456" i="21"/>
  <c r="AW456" i="21" s="1"/>
  <c r="AE91" i="20"/>
  <c r="AE70" i="21" s="1"/>
  <c r="BK70" i="21" s="1"/>
  <c r="AD70" i="21"/>
  <c r="BJ70" i="21" s="1"/>
  <c r="S161" i="20"/>
  <c r="R140" i="21"/>
  <c r="AX140" i="21" s="1"/>
  <c r="Q222" i="20"/>
  <c r="P201" i="21"/>
  <c r="AV201" i="21" s="1"/>
  <c r="AA468" i="20"/>
  <c r="Z447" i="21"/>
  <c r="BF447" i="21" s="1"/>
  <c r="Z385" i="20"/>
  <c r="Y364" i="21"/>
  <c r="BE364" i="21" s="1"/>
  <c r="T391" i="20"/>
  <c r="S370" i="21"/>
  <c r="AY370" i="21" s="1"/>
  <c r="U448" i="20"/>
  <c r="T427" i="21"/>
  <c r="AZ427" i="21" s="1"/>
  <c r="AA353" i="20"/>
  <c r="Z332" i="21"/>
  <c r="BF332" i="21" s="1"/>
  <c r="U275" i="20"/>
  <c r="T254" i="21"/>
  <c r="AZ254" i="21" s="1"/>
  <c r="N397" i="20"/>
  <c r="M376" i="21"/>
  <c r="AS376" i="21" s="1"/>
  <c r="R47" i="20"/>
  <c r="Q26" i="21"/>
  <c r="AW26" i="21" s="1"/>
  <c r="AE464" i="20"/>
  <c r="AE443" i="21" s="1"/>
  <c r="BK443" i="21" s="1"/>
  <c r="AD443" i="21"/>
  <c r="BJ443" i="21" s="1"/>
  <c r="T103" i="20"/>
  <c r="S82" i="21"/>
  <c r="AY82" i="21" s="1"/>
  <c r="Q77" i="20"/>
  <c r="P56" i="21"/>
  <c r="AV56" i="21" s="1"/>
  <c r="X444" i="20"/>
  <c r="W423" i="21"/>
  <c r="BC423" i="21" s="1"/>
  <c r="W157" i="20"/>
  <c r="V136" i="21"/>
  <c r="BB136" i="21" s="1"/>
  <c r="R76" i="20"/>
  <c r="Q55" i="21"/>
  <c r="AW55" i="21" s="1"/>
  <c r="W42" i="20"/>
  <c r="V21" i="21"/>
  <c r="BB21" i="21" s="1"/>
  <c r="V358" i="20"/>
  <c r="U337" i="21"/>
  <c r="BA337" i="21" s="1"/>
  <c r="L368" i="20"/>
  <c r="K347" i="21"/>
  <c r="AQ347" i="21" s="1"/>
  <c r="AQ348" i="21" s="1"/>
  <c r="K369" i="20"/>
  <c r="M190" i="1" s="1"/>
  <c r="AD350" i="20"/>
  <c r="AC329" i="21"/>
  <c r="BI329" i="21" s="1"/>
  <c r="AD323" i="20"/>
  <c r="AC302" i="21"/>
  <c r="BI302" i="21" s="1"/>
  <c r="Q337" i="20"/>
  <c r="P316" i="21"/>
  <c r="AV316" i="21" s="1"/>
  <c r="AE408" i="20"/>
  <c r="AE387" i="21" s="1"/>
  <c r="BK387" i="21" s="1"/>
  <c r="AD387" i="21"/>
  <c r="BJ387" i="21" s="1"/>
  <c r="W273" i="20"/>
  <c r="V252" i="21"/>
  <c r="BB252" i="21" s="1"/>
  <c r="N203" i="21"/>
  <c r="AS72" i="23"/>
  <c r="AS90" i="23" s="1"/>
  <c r="AS108" i="23" s="1"/>
  <c r="Y124" i="20"/>
  <c r="X103" i="21"/>
  <c r="BD103" i="21" s="1"/>
  <c r="K484" i="20"/>
  <c r="J463" i="21"/>
  <c r="AP463" i="21" s="1"/>
  <c r="AP464" i="21" s="1"/>
  <c r="J485" i="20"/>
  <c r="L195" i="1" s="1"/>
  <c r="M482" i="20"/>
  <c r="L461" i="21"/>
  <c r="AR461" i="21" s="1"/>
  <c r="N455" i="20"/>
  <c r="M434" i="21"/>
  <c r="AS434" i="21" s="1"/>
  <c r="AS435" i="21" s="1"/>
  <c r="X330" i="20"/>
  <c r="W309" i="21"/>
  <c r="BC309" i="21" s="1"/>
  <c r="U73" i="20"/>
  <c r="T52" i="21"/>
  <c r="AZ52" i="21" s="1"/>
  <c r="AC93" i="20"/>
  <c r="AB72" i="21"/>
  <c r="BH72" i="21" s="1"/>
  <c r="P424" i="20"/>
  <c r="O403" i="21"/>
  <c r="AU403" i="21" s="1"/>
  <c r="AB411" i="20"/>
  <c r="AA390" i="21"/>
  <c r="BG390" i="21" s="1"/>
  <c r="Y40" i="20"/>
  <c r="X19" i="21"/>
  <c r="BD19" i="21" s="1"/>
  <c r="Z413" i="20"/>
  <c r="Y392" i="21"/>
  <c r="BE392" i="21" s="1"/>
  <c r="S392" i="20"/>
  <c r="R371" i="21"/>
  <c r="AX371" i="21" s="1"/>
  <c r="M180" i="1"/>
  <c r="K116" i="21"/>
  <c r="AP69" i="23"/>
  <c r="AP87" i="23" s="1"/>
  <c r="AP105" i="23" s="1"/>
  <c r="S476" i="20"/>
  <c r="R455" i="21"/>
  <c r="AX455" i="21" s="1"/>
  <c r="P194" i="20"/>
  <c r="O173" i="21"/>
  <c r="AU173" i="21" s="1"/>
  <c r="AU174" i="21" s="1"/>
  <c r="O195" i="20"/>
  <c r="Q183" i="1" s="1"/>
  <c r="X99" i="20"/>
  <c r="W78" i="21"/>
  <c r="BC78" i="21" s="1"/>
  <c r="R221" i="20"/>
  <c r="Q200" i="21"/>
  <c r="AW200" i="21" s="1"/>
  <c r="W357" i="20"/>
  <c r="V336" i="21"/>
  <c r="BB336" i="21" s="1"/>
  <c r="P280" i="20"/>
  <c r="O259" i="21"/>
  <c r="AU259" i="21" s="1"/>
  <c r="V188" i="20"/>
  <c r="U167" i="21"/>
  <c r="BA167" i="21" s="1"/>
  <c r="S277" i="20"/>
  <c r="R256" i="21"/>
  <c r="AX256" i="21" s="1"/>
  <c r="R336" i="20"/>
  <c r="Q315" i="21"/>
  <c r="AW315" i="21" s="1"/>
  <c r="AD119" i="20"/>
  <c r="AC98" i="21"/>
  <c r="BI98" i="21" s="1"/>
  <c r="Z469" i="20"/>
  <c r="Y448" i="21"/>
  <c r="BE448" i="21" s="1"/>
  <c r="U419" i="20"/>
  <c r="T398" i="21"/>
  <c r="AZ398" i="21" s="1"/>
  <c r="AE62" i="20"/>
  <c r="AE41" i="21" s="1"/>
  <c r="BK41" i="21" s="1"/>
  <c r="AD41" i="21"/>
  <c r="BJ41" i="21" s="1"/>
  <c r="O454" i="20"/>
  <c r="N433" i="21"/>
  <c r="AT433" i="21" s="1"/>
  <c r="AD179" i="20"/>
  <c r="AC158" i="21"/>
  <c r="BI158" i="21" s="1"/>
  <c r="AB268" i="20"/>
  <c r="AA247" i="21"/>
  <c r="BG247" i="21" s="1"/>
  <c r="T219" i="20"/>
  <c r="S198" i="21"/>
  <c r="AY198" i="21" s="1"/>
  <c r="R393" i="20"/>
  <c r="Q372" i="21"/>
  <c r="AW372" i="21" s="1"/>
  <c r="T276" i="20"/>
  <c r="S255" i="21"/>
  <c r="AY255" i="21" s="1"/>
  <c r="AD294" i="20"/>
  <c r="AC273" i="21"/>
  <c r="BI273" i="21" s="1"/>
  <c r="V332" i="20"/>
  <c r="U311" i="21"/>
  <c r="BA311" i="21" s="1"/>
  <c r="N87" i="21"/>
  <c r="AS68" i="23"/>
  <c r="AS86" i="23" s="1"/>
  <c r="AS104" i="23" s="1"/>
  <c r="P179" i="1"/>
  <c r="O365" i="20"/>
  <c r="N344" i="21"/>
  <c r="AT344" i="21" s="1"/>
  <c r="Q132" i="20"/>
  <c r="P111" i="21"/>
  <c r="AV111" i="21" s="1"/>
  <c r="U333" i="20"/>
  <c r="T312" i="21"/>
  <c r="AZ312" i="21" s="1"/>
  <c r="AC180" i="20"/>
  <c r="AB159" i="21"/>
  <c r="BH159" i="21" s="1"/>
  <c r="AC151" i="20"/>
  <c r="AB130" i="21"/>
  <c r="BH130" i="21" s="1"/>
  <c r="AE349" i="20"/>
  <c r="AE328" i="21" s="1"/>
  <c r="BK328" i="21" s="1"/>
  <c r="AD328" i="21"/>
  <c r="BJ328" i="21" s="1"/>
  <c r="AA95" i="20"/>
  <c r="Z74" i="21"/>
  <c r="BF74" i="21" s="1"/>
  <c r="X215" i="20"/>
  <c r="W194" i="21"/>
  <c r="BC194" i="21" s="1"/>
  <c r="AD208" i="20"/>
  <c r="AC187" i="21"/>
  <c r="BI187" i="21" s="1"/>
  <c r="U247" i="20"/>
  <c r="T226" i="21"/>
  <c r="AZ226" i="21" s="1"/>
  <c r="V217" i="20"/>
  <c r="U196" i="21"/>
  <c r="BA196" i="21" s="1"/>
  <c r="S75" i="20"/>
  <c r="R54" i="21"/>
  <c r="AX54" i="21" s="1"/>
  <c r="V473" i="20"/>
  <c r="U452" i="21"/>
  <c r="BA452" i="21" s="1"/>
  <c r="P364" i="20"/>
  <c r="O343" i="21"/>
  <c r="AU343" i="21" s="1"/>
  <c r="AD266" i="20"/>
  <c r="AC245" i="21"/>
  <c r="BI245" i="21" s="1"/>
  <c r="R307" i="20"/>
  <c r="Q286" i="21"/>
  <c r="AW286" i="21" s="1"/>
  <c r="T420" i="20"/>
  <c r="S399" i="21"/>
  <c r="AY399" i="21" s="1"/>
  <c r="Q193" i="20"/>
  <c r="P172" i="21"/>
  <c r="AV172" i="21" s="1"/>
  <c r="J348" i="21"/>
  <c r="AO77" i="23"/>
  <c r="AO95" i="23" s="1"/>
  <c r="AO113" i="23" s="1"/>
  <c r="AB239" i="20"/>
  <c r="AA218" i="21"/>
  <c r="BG218" i="21" s="1"/>
  <c r="P223" i="20"/>
  <c r="O202" i="21"/>
  <c r="AU202" i="21" s="1"/>
  <c r="AU203" i="21" s="1"/>
  <c r="O224" i="20"/>
  <c r="Q184" i="1" s="1"/>
  <c r="AN81" i="23"/>
  <c r="AN99" i="23" s="1"/>
  <c r="AN117" i="23" s="1"/>
  <c r="I464" i="21"/>
  <c r="AB383" i="20"/>
  <c r="AA362" i="21"/>
  <c r="BG362" i="21" s="1"/>
  <c r="S130" i="20"/>
  <c r="R109" i="21"/>
  <c r="AX109" i="21" s="1"/>
  <c r="T160" i="20"/>
  <c r="S139" i="21"/>
  <c r="AY139" i="21" s="1"/>
  <c r="AC238" i="20"/>
  <c r="AB217" i="21"/>
  <c r="BH217" i="21" s="1"/>
  <c r="M136" i="20"/>
  <c r="L115" i="21"/>
  <c r="AR115" i="21" s="1"/>
  <c r="AR116" i="21" s="1"/>
  <c r="L137" i="20"/>
  <c r="Y98" i="20"/>
  <c r="X77" i="21"/>
  <c r="BD77" i="21" s="1"/>
  <c r="AB296" i="20"/>
  <c r="AA275" i="21"/>
  <c r="BG275" i="21" s="1"/>
  <c r="AC466" i="20"/>
  <c r="AB445" i="21"/>
  <c r="BH445" i="21" s="1"/>
  <c r="S220" i="20"/>
  <c r="R199" i="21"/>
  <c r="AX199" i="21" s="1"/>
  <c r="V418" i="20"/>
  <c r="U397" i="21"/>
  <c r="BA397" i="21" s="1"/>
  <c r="Q452" i="20"/>
  <c r="P431" i="21"/>
  <c r="AV431" i="21" s="1"/>
  <c r="R105" i="20"/>
  <c r="Q84" i="21"/>
  <c r="AW84" i="21" s="1"/>
  <c r="X272" i="20"/>
  <c r="W251" i="21"/>
  <c r="BC251" i="21" s="1"/>
  <c r="S450" i="20"/>
  <c r="R429" i="21"/>
  <c r="AX429" i="21" s="1"/>
  <c r="Z298" i="20"/>
  <c r="Y277" i="21"/>
  <c r="BE277" i="21" s="1"/>
  <c r="AC120" i="20"/>
  <c r="AB99" i="21"/>
  <c r="BH99" i="21" s="1"/>
  <c r="AD63" i="20"/>
  <c r="AC42" i="21"/>
  <c r="BI42" i="21" s="1"/>
  <c r="N366" i="20"/>
  <c r="M345" i="21"/>
  <c r="AS345" i="21" s="1"/>
  <c r="M435" i="21"/>
  <c r="AR80" i="23"/>
  <c r="AR98" i="23" s="1"/>
  <c r="AR116" i="23" s="1"/>
  <c r="P309" i="20"/>
  <c r="O288" i="21"/>
  <c r="AU288" i="21" s="1"/>
  <c r="Z183" i="20"/>
  <c r="Y162" i="21"/>
  <c r="BE162" i="21" s="1"/>
  <c r="AD35" i="20"/>
  <c r="AC14" i="21"/>
  <c r="BI14" i="21" s="1"/>
  <c r="U44" i="20"/>
  <c r="T23" i="21"/>
  <c r="AZ23" i="21" s="1"/>
  <c r="AC351" i="20"/>
  <c r="AB330" i="21"/>
  <c r="BH330" i="21" s="1"/>
  <c r="T305" i="20"/>
  <c r="S284" i="21"/>
  <c r="AY284" i="21" s="1"/>
  <c r="T334" i="20"/>
  <c r="S313" i="21"/>
  <c r="AY313" i="21" s="1"/>
  <c r="N426" i="20"/>
  <c r="M405" i="21"/>
  <c r="AS405" i="21" s="1"/>
  <c r="AS406" i="21" s="1"/>
  <c r="M427" i="20"/>
  <c r="O193" i="1" s="1"/>
  <c r="X471" i="20"/>
  <c r="W450" i="21"/>
  <c r="BC450" i="21" s="1"/>
  <c r="O134" i="20"/>
  <c r="N113" i="21"/>
  <c r="AT113" i="21" s="1"/>
  <c r="V72" i="20"/>
  <c r="U51" i="21"/>
  <c r="BA51" i="21" s="1"/>
  <c r="AD465" i="20"/>
  <c r="AC444" i="21"/>
  <c r="BI444" i="21" s="1"/>
  <c r="AA384" i="20"/>
  <c r="Z363" i="21"/>
  <c r="BF363" i="21" s="1"/>
  <c r="Y214" i="20"/>
  <c r="X193" i="21"/>
  <c r="BD193" i="21" s="1"/>
  <c r="P49" i="20"/>
  <c r="O28" i="21"/>
  <c r="AU28" i="21" s="1"/>
  <c r="O310" i="20"/>
  <c r="N289" i="21"/>
  <c r="AT289" i="21" s="1"/>
  <c r="AT290" i="21" s="1"/>
  <c r="N311" i="20"/>
  <c r="P188" i="1" s="1"/>
  <c r="AC324" i="20"/>
  <c r="AB303" i="21"/>
  <c r="BH303" i="21" s="1"/>
  <c r="U128" i="20"/>
  <c r="T107" i="21"/>
  <c r="AZ107" i="21" s="1"/>
  <c r="T129" i="20"/>
  <c r="S108" i="21"/>
  <c r="AY108" i="21" s="1"/>
  <c r="U102" i="20"/>
  <c r="T81" i="21"/>
  <c r="AZ81" i="21" s="1"/>
  <c r="Y414" i="20"/>
  <c r="X393" i="21"/>
  <c r="BD393" i="21" s="1"/>
  <c r="W388" i="20"/>
  <c r="V367" i="21"/>
  <c r="BB367" i="21" s="1"/>
  <c r="AB210" i="20"/>
  <c r="AA189" i="21"/>
  <c r="BG189" i="21" s="1"/>
  <c r="O339" i="20"/>
  <c r="N318" i="21"/>
  <c r="AT318" i="21" s="1"/>
  <c r="AT319" i="21" s="1"/>
  <c r="N340" i="20"/>
  <c r="P189" i="1" s="1"/>
  <c r="U159" i="20"/>
  <c r="T138" i="21"/>
  <c r="AZ138" i="21" s="1"/>
  <c r="P78" i="20"/>
  <c r="O57" i="21"/>
  <c r="AU57" i="21" s="1"/>
  <c r="AU58" i="21" s="1"/>
  <c r="O79" i="20"/>
  <c r="Z442" i="20"/>
  <c r="Y421" i="21"/>
  <c r="BE421" i="21" s="1"/>
  <c r="U390" i="20"/>
  <c r="T369" i="21"/>
  <c r="AZ369" i="21" s="1"/>
  <c r="AB65" i="20"/>
  <c r="AA44" i="21"/>
  <c r="BG44" i="21" s="1"/>
  <c r="AB467" i="20"/>
  <c r="AA446" i="21"/>
  <c r="BG446" i="21" s="1"/>
  <c r="P395" i="20"/>
  <c r="O374" i="21"/>
  <c r="AU374" i="21" s="1"/>
  <c r="Z241" i="20"/>
  <c r="Y220" i="21"/>
  <c r="BE220" i="21" s="1"/>
  <c r="AA326" i="20"/>
  <c r="Z305" i="21"/>
  <c r="BF305" i="21" s="1"/>
  <c r="X186" i="20"/>
  <c r="W165" i="21"/>
  <c r="BC165" i="21" s="1"/>
  <c r="AB352" i="20"/>
  <c r="AA331" i="21"/>
  <c r="BG331" i="21" s="1"/>
  <c r="T74" i="20"/>
  <c r="S53" i="21"/>
  <c r="AY53" i="21" s="1"/>
  <c r="Y68" i="20"/>
  <c r="X47" i="21"/>
  <c r="BD47" i="21" s="1"/>
  <c r="AC209" i="20"/>
  <c r="AB188" i="21"/>
  <c r="BH188" i="21" s="1"/>
  <c r="AE178" i="20"/>
  <c r="AE157" i="21" s="1"/>
  <c r="BK157" i="21" s="1"/>
  <c r="AD157" i="21"/>
  <c r="BJ157" i="21" s="1"/>
  <c r="X387" i="20"/>
  <c r="W366" i="21"/>
  <c r="BC366" i="21" s="1"/>
  <c r="AE149" i="20"/>
  <c r="AE128" i="21" s="1"/>
  <c r="BK128" i="21" s="1"/>
  <c r="AD128" i="21"/>
  <c r="BJ128" i="21" s="1"/>
  <c r="AB94" i="20"/>
  <c r="AA73" i="21"/>
  <c r="BG73" i="21" s="1"/>
  <c r="X156" i="20"/>
  <c r="W135" i="21"/>
  <c r="BC135" i="21" s="1"/>
  <c r="N135" i="20"/>
  <c r="M114" i="21"/>
  <c r="AS114" i="21" s="1"/>
  <c r="X244" i="20"/>
  <c r="W223" i="21"/>
  <c r="BC223" i="21" s="1"/>
  <c r="X70" i="20"/>
  <c r="W49" i="21"/>
  <c r="BC49" i="21" s="1"/>
  <c r="P164" i="20"/>
  <c r="O143" i="21"/>
  <c r="AU143" i="21" s="1"/>
  <c r="AA38" i="20"/>
  <c r="Z17" i="21"/>
  <c r="BF17" i="21" s="1"/>
  <c r="AE236" i="20"/>
  <c r="AE215" i="21" s="1"/>
  <c r="BK215" i="21" s="1"/>
  <c r="AD215" i="21"/>
  <c r="BJ215" i="21" s="1"/>
  <c r="S421" i="20"/>
  <c r="R400" i="21"/>
  <c r="AX400" i="21" s="1"/>
  <c r="X301" i="20"/>
  <c r="W280" i="21"/>
  <c r="BC280" i="21" s="1"/>
  <c r="Y97" i="20"/>
  <c r="X76" i="21"/>
  <c r="BD76" i="21" s="1"/>
  <c r="Z67" i="20"/>
  <c r="Y46" i="21"/>
  <c r="BE46" i="21" s="1"/>
  <c r="AE34" i="20"/>
  <c r="AE13" i="21" s="1"/>
  <c r="BK13" i="21" s="1"/>
  <c r="AD13" i="21"/>
  <c r="BJ13" i="21" s="1"/>
  <c r="P133" i="20"/>
  <c r="O112" i="21"/>
  <c r="AU112" i="21" s="1"/>
  <c r="U189" i="20"/>
  <c r="T168" i="21"/>
  <c r="AZ168" i="21" s="1"/>
  <c r="V303" i="20"/>
  <c r="U282" i="21"/>
  <c r="BA282" i="21" s="1"/>
  <c r="T360" i="20"/>
  <c r="S339" i="21"/>
  <c r="AY339" i="21" s="1"/>
  <c r="M145" i="21"/>
  <c r="AR70" i="23"/>
  <c r="AR88" i="23" s="1"/>
  <c r="AR106" i="23" s="1"/>
  <c r="Y69" i="20"/>
  <c r="X48" i="21"/>
  <c r="BD48" i="21" s="1"/>
  <c r="S46" i="20"/>
  <c r="R25" i="21"/>
  <c r="AX25" i="21" s="1"/>
  <c r="X356" i="20"/>
  <c r="W335" i="21"/>
  <c r="BC335" i="21" s="1"/>
  <c r="Y443" i="20"/>
  <c r="X422" i="21"/>
  <c r="BD422" i="21" s="1"/>
  <c r="P252" i="20"/>
  <c r="O231" i="21"/>
  <c r="AU231" i="21" s="1"/>
  <c r="AU232" i="21" s="1"/>
  <c r="O253" i="20"/>
  <c r="Q185" i="1" s="1"/>
  <c r="R162" i="20"/>
  <c r="Q141" i="21"/>
  <c r="AW141" i="21" s="1"/>
  <c r="Z154" i="20"/>
  <c r="Y133" i="21"/>
  <c r="BE133" i="21" s="1"/>
  <c r="X300" i="20"/>
  <c r="W279" i="21"/>
  <c r="BC279" i="21" s="1"/>
  <c r="W187" i="20"/>
  <c r="V166" i="21"/>
  <c r="BB166" i="21" s="1"/>
  <c r="X125" i="20"/>
  <c r="W104" i="21"/>
  <c r="BC104" i="21" s="1"/>
  <c r="V274" i="20"/>
  <c r="U253" i="21"/>
  <c r="BA253" i="21" s="1"/>
  <c r="W302" i="20"/>
  <c r="V281" i="21"/>
  <c r="BB281" i="21" s="1"/>
  <c r="V246" i="20"/>
  <c r="U225" i="21"/>
  <c r="BA225" i="21" s="1"/>
  <c r="AA441" i="20"/>
  <c r="Z420" i="21"/>
  <c r="BF420" i="21" s="1"/>
  <c r="U304" i="20"/>
  <c r="T283" i="21"/>
  <c r="AZ283" i="21" s="1"/>
  <c r="Y213" i="20"/>
  <c r="X192" i="21"/>
  <c r="BD192" i="21" s="1"/>
  <c r="T449" i="20"/>
  <c r="S428" i="21"/>
  <c r="AY428" i="21" s="1"/>
  <c r="AA269" i="20"/>
  <c r="Z248" i="21"/>
  <c r="BF248" i="21" s="1"/>
  <c r="S191" i="20"/>
  <c r="R170" i="21"/>
  <c r="AX170" i="21" s="1"/>
  <c r="Q48" i="20"/>
  <c r="P27" i="21"/>
  <c r="AV27" i="21" s="1"/>
  <c r="Y243" i="20"/>
  <c r="X222" i="21"/>
  <c r="BD222" i="21" s="1"/>
  <c r="Y271" i="20"/>
  <c r="X250" i="21"/>
  <c r="BD250" i="21" s="1"/>
  <c r="W245" i="20"/>
  <c r="V224" i="21"/>
  <c r="BB224" i="21" s="1"/>
  <c r="I29" i="21"/>
  <c r="AN66" i="23"/>
  <c r="AN84" i="23" s="1"/>
  <c r="AN102" i="23" s="1"/>
  <c r="H377" i="21"/>
  <c r="AM78" i="23"/>
  <c r="AM96" i="23" s="1"/>
  <c r="AM114" i="23" s="1"/>
  <c r="I398" i="20"/>
  <c r="K192" i="1" s="1"/>
  <c r="J372" i="20"/>
  <c r="I351" i="21"/>
  <c r="J3" i="21"/>
  <c r="J50" i="20"/>
  <c r="L177" i="1" s="1"/>
  <c r="K24" i="20"/>
  <c r="J235" i="21"/>
  <c r="K256" i="20"/>
  <c r="AP3" i="21" l="1"/>
  <c r="AP29" i="21" s="1"/>
  <c r="I3" i="1" s="1"/>
  <c r="I5" i="1" s="1"/>
  <c r="AP235" i="21"/>
  <c r="AP261" i="21" s="1"/>
  <c r="I15" i="1" s="1"/>
  <c r="I17" i="1" s="1"/>
  <c r="AO351" i="21"/>
  <c r="AO377" i="21" s="1"/>
  <c r="H21" i="1" s="1"/>
  <c r="H23" i="1" s="1"/>
  <c r="AT144" i="21"/>
  <c r="AT145" i="21" s="1"/>
  <c r="M9" i="1" s="1"/>
  <c r="M11" i="1" s="1"/>
  <c r="R48" i="20"/>
  <c r="Q27" i="21"/>
  <c r="AW27" i="21" s="1"/>
  <c r="U360" i="20"/>
  <c r="T339" i="21"/>
  <c r="AZ339" i="21" s="1"/>
  <c r="Q178" i="1"/>
  <c r="O58" i="21"/>
  <c r="AT67" i="23"/>
  <c r="AT85" i="23" s="1"/>
  <c r="AT103" i="23" s="1"/>
  <c r="Z214" i="20"/>
  <c r="Y193" i="21"/>
  <c r="BE193" i="21" s="1"/>
  <c r="AE465" i="20"/>
  <c r="AE444" i="21" s="1"/>
  <c r="BK444" i="21" s="1"/>
  <c r="AD444" i="21"/>
  <c r="BJ444" i="21" s="1"/>
  <c r="P134" i="20"/>
  <c r="O113" i="21"/>
  <c r="AU113" i="21" s="1"/>
  <c r="AE35" i="20"/>
  <c r="AE14" i="21" s="1"/>
  <c r="BK14" i="21" s="1"/>
  <c r="AD14" i="21"/>
  <c r="BJ14" i="21" s="1"/>
  <c r="AD120" i="20"/>
  <c r="AC99" i="21"/>
  <c r="BI99" i="21" s="1"/>
  <c r="W418" i="20"/>
  <c r="V397" i="21"/>
  <c r="BB397" i="21" s="1"/>
  <c r="AT71" i="23"/>
  <c r="AT89" i="23" s="1"/>
  <c r="AT107" i="23" s="1"/>
  <c r="O174" i="21"/>
  <c r="X273" i="20"/>
  <c r="W252" i="21"/>
  <c r="BC252" i="21" s="1"/>
  <c r="AB468" i="20"/>
  <c r="AA447" i="21"/>
  <c r="BG447" i="21" s="1"/>
  <c r="AB153" i="20"/>
  <c r="AA132" i="21"/>
  <c r="BG132" i="21" s="1"/>
  <c r="AD439" i="20"/>
  <c r="AC418" i="21"/>
  <c r="BI418" i="21" s="1"/>
  <c r="P165" i="20"/>
  <c r="O144" i="21"/>
  <c r="O166" i="20"/>
  <c r="Q182" i="1" s="1"/>
  <c r="P425" i="20"/>
  <c r="O404" i="21"/>
  <c r="AU404" i="21" s="1"/>
  <c r="AD267" i="20"/>
  <c r="AC246" i="21"/>
  <c r="BI246" i="21" s="1"/>
  <c r="W158" i="20"/>
  <c r="V137" i="21"/>
  <c r="BB137" i="21" s="1"/>
  <c r="Z185" i="20"/>
  <c r="Y164" i="21"/>
  <c r="BE164" i="21" s="1"/>
  <c r="AD36" i="20"/>
  <c r="AC15" i="21"/>
  <c r="BI15" i="21" s="1"/>
  <c r="T191" i="20"/>
  <c r="S170" i="21"/>
  <c r="AY170" i="21" s="1"/>
  <c r="U449" i="20"/>
  <c r="T428" i="21"/>
  <c r="AZ428" i="21" s="1"/>
  <c r="V304" i="20"/>
  <c r="U283" i="21"/>
  <c r="BA283" i="21" s="1"/>
  <c r="W246" i="20"/>
  <c r="V225" i="21"/>
  <c r="BB225" i="21" s="1"/>
  <c r="W274" i="20"/>
  <c r="V253" i="21"/>
  <c r="BB253" i="21" s="1"/>
  <c r="X187" i="20"/>
  <c r="W166" i="21"/>
  <c r="BC166" i="21" s="1"/>
  <c r="AA154" i="20"/>
  <c r="Z133" i="21"/>
  <c r="BF133" i="21" s="1"/>
  <c r="AA67" i="20"/>
  <c r="Z46" i="21"/>
  <c r="BF46" i="21" s="1"/>
  <c r="Y301" i="20"/>
  <c r="X280" i="21"/>
  <c r="BD280" i="21" s="1"/>
  <c r="Q164" i="20"/>
  <c r="P143" i="21"/>
  <c r="AV143" i="21" s="1"/>
  <c r="Y244" i="20"/>
  <c r="X223" i="21"/>
  <c r="BD223" i="21" s="1"/>
  <c r="Y156" i="20"/>
  <c r="X135" i="21"/>
  <c r="BD135" i="21" s="1"/>
  <c r="Z68" i="20"/>
  <c r="Y47" i="21"/>
  <c r="BE47" i="21" s="1"/>
  <c r="AC352" i="20"/>
  <c r="AB331" i="21"/>
  <c r="BH331" i="21" s="1"/>
  <c r="AB326" i="20"/>
  <c r="AA305" i="21"/>
  <c r="BG305" i="21" s="1"/>
  <c r="Q395" i="20"/>
  <c r="P374" i="21"/>
  <c r="AV374" i="21" s="1"/>
  <c r="AC65" i="20"/>
  <c r="AB44" i="21"/>
  <c r="BH44" i="21" s="1"/>
  <c r="AA442" i="20"/>
  <c r="Z421" i="21"/>
  <c r="BF421" i="21" s="1"/>
  <c r="P339" i="20"/>
  <c r="O318" i="21"/>
  <c r="AU318" i="21" s="1"/>
  <c r="AU319" i="21" s="1"/>
  <c r="O340" i="20"/>
  <c r="Q189" i="1" s="1"/>
  <c r="X388" i="20"/>
  <c r="W367" i="21"/>
  <c r="BC367" i="21" s="1"/>
  <c r="V102" i="20"/>
  <c r="U81" i="21"/>
  <c r="BA81" i="21" s="1"/>
  <c r="V128" i="20"/>
  <c r="U107" i="21"/>
  <c r="BA107" i="21" s="1"/>
  <c r="AR79" i="23"/>
  <c r="AR97" i="23" s="1"/>
  <c r="AR115" i="23" s="1"/>
  <c r="M406" i="21"/>
  <c r="U334" i="20"/>
  <c r="T313" i="21"/>
  <c r="AZ313" i="21" s="1"/>
  <c r="N136" i="20"/>
  <c r="M115" i="21"/>
  <c r="AS115" i="21" s="1"/>
  <c r="AS116" i="21" s="1"/>
  <c r="M137" i="20"/>
  <c r="U160" i="20"/>
  <c r="T139" i="21"/>
  <c r="AZ139" i="21" s="1"/>
  <c r="AC383" i="20"/>
  <c r="AB362" i="21"/>
  <c r="BH362" i="21" s="1"/>
  <c r="AA413" i="20"/>
  <c r="Z392" i="21"/>
  <c r="BF392" i="21" s="1"/>
  <c r="AC411" i="20"/>
  <c r="AB390" i="21"/>
  <c r="BH390" i="21" s="1"/>
  <c r="AD93" i="20"/>
  <c r="AC72" i="21"/>
  <c r="BI72" i="21" s="1"/>
  <c r="Y330" i="20"/>
  <c r="X309" i="21"/>
  <c r="BD309" i="21" s="1"/>
  <c r="N482" i="20"/>
  <c r="M461" i="21"/>
  <c r="AS461" i="21" s="1"/>
  <c r="M368" i="20"/>
  <c r="L347" i="21"/>
  <c r="AR347" i="21" s="1"/>
  <c r="AR348" i="21" s="1"/>
  <c r="L369" i="20"/>
  <c r="N190" i="1" s="1"/>
  <c r="X42" i="20"/>
  <c r="W21" i="21"/>
  <c r="BC21" i="21" s="1"/>
  <c r="X157" i="20"/>
  <c r="W136" i="21"/>
  <c r="BC136" i="21" s="1"/>
  <c r="R77" i="20"/>
  <c r="Q56" i="21"/>
  <c r="AW56" i="21" s="1"/>
  <c r="O397" i="20"/>
  <c r="N376" i="21"/>
  <c r="AT376" i="21" s="1"/>
  <c r="AB353" i="20"/>
  <c r="AA332" i="21"/>
  <c r="BG332" i="21" s="1"/>
  <c r="O481" i="20"/>
  <c r="N460" i="21"/>
  <c r="AT460" i="21" s="1"/>
  <c r="AC325" i="20"/>
  <c r="AB304" i="21"/>
  <c r="BH304" i="21" s="1"/>
  <c r="T306" i="20"/>
  <c r="S285" i="21"/>
  <c r="AY285" i="21" s="1"/>
  <c r="AA354" i="20"/>
  <c r="Z333" i="21"/>
  <c r="BF333" i="21" s="1"/>
  <c r="AA212" i="20"/>
  <c r="Z191" i="21"/>
  <c r="BF191" i="21" s="1"/>
  <c r="R423" i="20"/>
  <c r="Q402" i="21"/>
  <c r="AW402" i="21" s="1"/>
  <c r="S192" i="20"/>
  <c r="R171" i="21"/>
  <c r="AX171" i="21" s="1"/>
  <c r="X445" i="20"/>
  <c r="W424" i="21"/>
  <c r="BC424" i="21" s="1"/>
  <c r="W127" i="20"/>
  <c r="V106" i="21"/>
  <c r="BB106" i="21" s="1"/>
  <c r="AD64" i="20"/>
  <c r="AC43" i="21"/>
  <c r="BI43" i="21" s="1"/>
  <c r="R163" i="20"/>
  <c r="Q142" i="21"/>
  <c r="AW142" i="21" s="1"/>
  <c r="Z299" i="20"/>
  <c r="Y278" i="21"/>
  <c r="BE278" i="21" s="1"/>
  <c r="AB240" i="20"/>
  <c r="AA219" i="21"/>
  <c r="BG219" i="21" s="1"/>
  <c r="X472" i="20"/>
  <c r="W451" i="21"/>
  <c r="BC451" i="21" s="1"/>
  <c r="AB182" i="20"/>
  <c r="AA161" i="21"/>
  <c r="BG161" i="21" s="1"/>
  <c r="AC152" i="20"/>
  <c r="AB131" i="21"/>
  <c r="BH131" i="21" s="1"/>
  <c r="AE409" i="20"/>
  <c r="AE388" i="21" s="1"/>
  <c r="BK388" i="21" s="1"/>
  <c r="AD388" i="21"/>
  <c r="BJ388" i="21" s="1"/>
  <c r="AA327" i="20"/>
  <c r="Z306" i="21"/>
  <c r="BF306" i="21" s="1"/>
  <c r="AA39" i="20"/>
  <c r="Z18" i="21"/>
  <c r="BF18" i="21" s="1"/>
  <c r="S278" i="20"/>
  <c r="R257" i="21"/>
  <c r="AX257" i="21" s="1"/>
  <c r="T104" i="20"/>
  <c r="S83" i="21"/>
  <c r="AY83" i="21" s="1"/>
  <c r="S131" i="20"/>
  <c r="R110" i="21"/>
  <c r="AX110" i="21" s="1"/>
  <c r="Z242" i="20"/>
  <c r="Y221" i="21"/>
  <c r="BE221" i="21" s="1"/>
  <c r="T249" i="20"/>
  <c r="S228" i="21"/>
  <c r="AY228" i="21" s="1"/>
  <c r="R251" i="20"/>
  <c r="Q230" i="21"/>
  <c r="AW230" i="21" s="1"/>
  <c r="X100" i="20"/>
  <c r="W79" i="21"/>
  <c r="BC79" i="21" s="1"/>
  <c r="AB412" i="20"/>
  <c r="AA391" i="21"/>
  <c r="BG391" i="21" s="1"/>
  <c r="AB66" i="20"/>
  <c r="AA45" i="21"/>
  <c r="BG45" i="21" s="1"/>
  <c r="Z271" i="20"/>
  <c r="Y250" i="21"/>
  <c r="BE250" i="21" s="1"/>
  <c r="Q252" i="20"/>
  <c r="P231" i="21"/>
  <c r="AV231" i="21" s="1"/>
  <c r="AV232" i="21" s="1"/>
  <c r="P253" i="20"/>
  <c r="R185" i="1" s="1"/>
  <c r="P310" i="20"/>
  <c r="O289" i="21"/>
  <c r="AU289" i="21" s="1"/>
  <c r="AU290" i="21" s="1"/>
  <c r="O311" i="20"/>
  <c r="Q188" i="1" s="1"/>
  <c r="O366" i="20"/>
  <c r="N345" i="21"/>
  <c r="AT345" i="21" s="1"/>
  <c r="S105" i="20"/>
  <c r="R84" i="21"/>
  <c r="AX84" i="21" s="1"/>
  <c r="AE266" i="20"/>
  <c r="AE245" i="21" s="1"/>
  <c r="BK245" i="21" s="1"/>
  <c r="AD245" i="21"/>
  <c r="BJ245" i="21" s="1"/>
  <c r="W217" i="20"/>
  <c r="V196" i="21"/>
  <c r="BB196" i="21" s="1"/>
  <c r="AB95" i="20"/>
  <c r="AA74" i="21"/>
  <c r="BG74" i="21" s="1"/>
  <c r="V333" i="20"/>
  <c r="U312" i="21"/>
  <c r="BA312" i="21" s="1"/>
  <c r="P365" i="20"/>
  <c r="O344" i="21"/>
  <c r="AU344" i="21" s="1"/>
  <c r="AE294" i="20"/>
  <c r="AE273" i="21" s="1"/>
  <c r="BK273" i="21" s="1"/>
  <c r="AD273" i="21"/>
  <c r="BJ273" i="21" s="1"/>
  <c r="AC268" i="20"/>
  <c r="AB247" i="21"/>
  <c r="BH247" i="21" s="1"/>
  <c r="V419" i="20"/>
  <c r="U398" i="21"/>
  <c r="BA398" i="21" s="1"/>
  <c r="T277" i="20"/>
  <c r="S256" i="21"/>
  <c r="AY256" i="21" s="1"/>
  <c r="S221" i="20"/>
  <c r="R200" i="21"/>
  <c r="AX200" i="21" s="1"/>
  <c r="T161" i="20"/>
  <c r="S140" i="21"/>
  <c r="AY140" i="21" s="1"/>
  <c r="AD382" i="20"/>
  <c r="AC361" i="21"/>
  <c r="BI361" i="21" s="1"/>
  <c r="Q479" i="20"/>
  <c r="P458" i="21"/>
  <c r="AV458" i="21" s="1"/>
  <c r="U45" i="20"/>
  <c r="T24" i="21"/>
  <c r="AZ24" i="21" s="1"/>
  <c r="Z328" i="20"/>
  <c r="Y307" i="21"/>
  <c r="BE307" i="21" s="1"/>
  <c r="S422" i="20"/>
  <c r="R401" i="21"/>
  <c r="AX401" i="21" s="1"/>
  <c r="Q179" i="1"/>
  <c r="AT68" i="23"/>
  <c r="AT86" i="23" s="1"/>
  <c r="AT104" i="23" s="1"/>
  <c r="O87" i="21"/>
  <c r="X216" i="20"/>
  <c r="W195" i="21"/>
  <c r="BC195" i="21" s="1"/>
  <c r="V359" i="20"/>
  <c r="U338" i="21"/>
  <c r="BA338" i="21" s="1"/>
  <c r="AE381" i="20"/>
  <c r="AE360" i="21" s="1"/>
  <c r="BK360" i="21" s="1"/>
  <c r="AD360" i="21"/>
  <c r="BJ360" i="21" s="1"/>
  <c r="X71" i="20"/>
  <c r="W50" i="21"/>
  <c r="BC50" i="21" s="1"/>
  <c r="Z184" i="20"/>
  <c r="Y163" i="21"/>
  <c r="BE163" i="21" s="1"/>
  <c r="Z213" i="20"/>
  <c r="Y192" i="21"/>
  <c r="BE192" i="21" s="1"/>
  <c r="X302" i="20"/>
  <c r="W281" i="21"/>
  <c r="BC281" i="21" s="1"/>
  <c r="Y125" i="20"/>
  <c r="X104" i="21"/>
  <c r="BD104" i="21" s="1"/>
  <c r="S162" i="20"/>
  <c r="R141" i="21"/>
  <c r="AX141" i="21" s="1"/>
  <c r="Z97" i="20"/>
  <c r="Y76" i="21"/>
  <c r="BE76" i="21" s="1"/>
  <c r="AB38" i="20"/>
  <c r="AA17" i="21"/>
  <c r="BG17" i="21" s="1"/>
  <c r="O135" i="20"/>
  <c r="N114" i="21"/>
  <c r="AT114" i="21" s="1"/>
  <c r="AC94" i="20"/>
  <c r="AB73" i="21"/>
  <c r="BH73" i="21" s="1"/>
  <c r="Y387" i="20"/>
  <c r="X366" i="21"/>
  <c r="BD366" i="21" s="1"/>
  <c r="Y186" i="20"/>
  <c r="X165" i="21"/>
  <c r="BD165" i="21" s="1"/>
  <c r="N319" i="21"/>
  <c r="AS76" i="23"/>
  <c r="AS94" i="23" s="1"/>
  <c r="AS112" i="23" s="1"/>
  <c r="AC210" i="20"/>
  <c r="AB189" i="21"/>
  <c r="BH189" i="21" s="1"/>
  <c r="U129" i="20"/>
  <c r="T108" i="21"/>
  <c r="AZ108" i="21" s="1"/>
  <c r="AD324" i="20"/>
  <c r="AC303" i="21"/>
  <c r="BI303" i="21" s="1"/>
  <c r="O426" i="20"/>
  <c r="N405" i="21"/>
  <c r="AT405" i="21" s="1"/>
  <c r="AT406" i="21" s="1"/>
  <c r="N427" i="20"/>
  <c r="P193" i="1" s="1"/>
  <c r="U305" i="20"/>
  <c r="T284" i="21"/>
  <c r="AZ284" i="21" s="1"/>
  <c r="N180" i="1"/>
  <c r="AQ69" i="23"/>
  <c r="AQ87" i="23" s="1"/>
  <c r="AQ105" i="23" s="1"/>
  <c r="L116" i="21"/>
  <c r="AD238" i="20"/>
  <c r="AC217" i="21"/>
  <c r="BI217" i="21" s="1"/>
  <c r="T130" i="20"/>
  <c r="S109" i="21"/>
  <c r="AY109" i="21" s="1"/>
  <c r="T392" i="20"/>
  <c r="S371" i="21"/>
  <c r="AY371" i="21" s="1"/>
  <c r="Z40" i="20"/>
  <c r="Y19" i="21"/>
  <c r="BE19" i="21" s="1"/>
  <c r="Q424" i="20"/>
  <c r="P403" i="21"/>
  <c r="AV403" i="21" s="1"/>
  <c r="V73" i="20"/>
  <c r="U52" i="21"/>
  <c r="BA52" i="21" s="1"/>
  <c r="O455" i="20"/>
  <c r="N434" i="21"/>
  <c r="AT434" i="21" s="1"/>
  <c r="AT435" i="21" s="1"/>
  <c r="N456" i="20"/>
  <c r="P194" i="1" s="1"/>
  <c r="K348" i="21"/>
  <c r="AP77" i="23"/>
  <c r="AP95" i="23" s="1"/>
  <c r="AP113" i="23" s="1"/>
  <c r="W358" i="20"/>
  <c r="V337" i="21"/>
  <c r="BB337" i="21" s="1"/>
  <c r="S76" i="20"/>
  <c r="R55" i="21"/>
  <c r="AX55" i="21" s="1"/>
  <c r="Y444" i="20"/>
  <c r="X423" i="21"/>
  <c r="BD423" i="21" s="1"/>
  <c r="U103" i="20"/>
  <c r="T82" i="21"/>
  <c r="AZ82" i="21" s="1"/>
  <c r="S47" i="20"/>
  <c r="R26" i="21"/>
  <c r="AX26" i="21" s="1"/>
  <c r="V275" i="20"/>
  <c r="U254" i="21"/>
  <c r="BA254" i="21" s="1"/>
  <c r="AA123" i="20"/>
  <c r="Z102" i="21"/>
  <c r="BF102" i="21" s="1"/>
  <c r="M483" i="20"/>
  <c r="L462" i="21"/>
  <c r="AR462" i="21" s="1"/>
  <c r="AD410" i="20"/>
  <c r="AC389" i="21"/>
  <c r="BI389" i="21" s="1"/>
  <c r="S362" i="20"/>
  <c r="R341" i="21"/>
  <c r="AX341" i="21" s="1"/>
  <c r="AB211" i="20"/>
  <c r="AA190" i="21"/>
  <c r="BG190" i="21" s="1"/>
  <c r="N367" i="20"/>
  <c r="M346" i="21"/>
  <c r="AS346" i="21" s="1"/>
  <c r="R308" i="20"/>
  <c r="Q287" i="21"/>
  <c r="AW287" i="21" s="1"/>
  <c r="W389" i="20"/>
  <c r="V368" i="21"/>
  <c r="BB368" i="21" s="1"/>
  <c r="P480" i="20"/>
  <c r="O459" i="21"/>
  <c r="AU459" i="21" s="1"/>
  <c r="U190" i="20"/>
  <c r="T169" i="21"/>
  <c r="AZ169" i="21" s="1"/>
  <c r="X417" i="20"/>
  <c r="W396" i="21"/>
  <c r="BC396" i="21" s="1"/>
  <c r="R106" i="20"/>
  <c r="Q85" i="21"/>
  <c r="AW85" i="21" s="1"/>
  <c r="AD295" i="20"/>
  <c r="AC274" i="21"/>
  <c r="BI274" i="21" s="1"/>
  <c r="Z386" i="20"/>
  <c r="Y365" i="21"/>
  <c r="BE365" i="21" s="1"/>
  <c r="Y41" i="20"/>
  <c r="X20" i="21"/>
  <c r="BD20" i="21" s="1"/>
  <c r="V474" i="20"/>
  <c r="U453" i="21"/>
  <c r="BA453" i="21" s="1"/>
  <c r="S250" i="20"/>
  <c r="R229" i="21"/>
  <c r="AX229" i="21" s="1"/>
  <c r="AC121" i="20"/>
  <c r="AB100" i="21"/>
  <c r="BH100" i="21" s="1"/>
  <c r="AC440" i="20"/>
  <c r="AB419" i="21"/>
  <c r="BH419" i="21" s="1"/>
  <c r="P281" i="20"/>
  <c r="O260" i="21"/>
  <c r="AU260" i="21" s="1"/>
  <c r="Z355" i="20"/>
  <c r="Y334" i="21"/>
  <c r="BE334" i="21" s="1"/>
  <c r="X126" i="20"/>
  <c r="W105" i="21"/>
  <c r="BC105" i="21" s="1"/>
  <c r="Z155" i="20"/>
  <c r="Y134" i="21"/>
  <c r="BE134" i="21" s="1"/>
  <c r="AE92" i="20"/>
  <c r="AE71" i="21" s="1"/>
  <c r="BK71" i="21" s="1"/>
  <c r="AD71" i="21"/>
  <c r="BJ71" i="21" s="1"/>
  <c r="W447" i="20"/>
  <c r="V426" i="21"/>
  <c r="BB426" i="21" s="1"/>
  <c r="Y415" i="20"/>
  <c r="X394" i="21"/>
  <c r="BD394" i="21" s="1"/>
  <c r="Q453" i="20"/>
  <c r="P432" i="21"/>
  <c r="AV432" i="21" s="1"/>
  <c r="Y356" i="20"/>
  <c r="X335" i="21"/>
  <c r="BD335" i="21" s="1"/>
  <c r="Z69" i="20"/>
  <c r="Y48" i="21"/>
  <c r="BE48" i="21" s="1"/>
  <c r="V189" i="20"/>
  <c r="U168" i="21"/>
  <c r="BA168" i="21" s="1"/>
  <c r="V159" i="20"/>
  <c r="U138" i="21"/>
  <c r="BA138" i="21" s="1"/>
  <c r="AD351" i="20"/>
  <c r="AC330" i="21"/>
  <c r="BI330" i="21" s="1"/>
  <c r="Q309" i="20"/>
  <c r="P288" i="21"/>
  <c r="AV288" i="21" s="1"/>
  <c r="T450" i="20"/>
  <c r="S429" i="21"/>
  <c r="AY429" i="21" s="1"/>
  <c r="AD466" i="20"/>
  <c r="AC445" i="21"/>
  <c r="BI445" i="21" s="1"/>
  <c r="Z98" i="20"/>
  <c r="Y77" i="21"/>
  <c r="BE77" i="21" s="1"/>
  <c r="Q223" i="20"/>
  <c r="P202" i="21"/>
  <c r="AV202" i="21" s="1"/>
  <c r="AV203" i="21" s="1"/>
  <c r="P224" i="20"/>
  <c r="R184" i="1" s="1"/>
  <c r="U420" i="20"/>
  <c r="T399" i="21"/>
  <c r="AZ399" i="21" s="1"/>
  <c r="W473" i="20"/>
  <c r="V452" i="21"/>
  <c r="BB452" i="21" s="1"/>
  <c r="AE208" i="20"/>
  <c r="AE187" i="21" s="1"/>
  <c r="BK187" i="21" s="1"/>
  <c r="AD187" i="21"/>
  <c r="BJ187" i="21" s="1"/>
  <c r="AD151" i="20"/>
  <c r="AC130" i="21"/>
  <c r="BI130" i="21" s="1"/>
  <c r="S393" i="20"/>
  <c r="R372" i="21"/>
  <c r="AX372" i="21" s="1"/>
  <c r="P454" i="20"/>
  <c r="O433" i="21"/>
  <c r="AU433" i="21" s="1"/>
  <c r="AE119" i="20"/>
  <c r="AE98" i="21" s="1"/>
  <c r="BK98" i="21" s="1"/>
  <c r="AD98" i="21"/>
  <c r="BJ98" i="21" s="1"/>
  <c r="Q280" i="20"/>
  <c r="P259" i="21"/>
  <c r="AV259" i="21" s="1"/>
  <c r="T476" i="20"/>
  <c r="S455" i="21"/>
  <c r="AY455" i="21" s="1"/>
  <c r="J464" i="21"/>
  <c r="AO81" i="23"/>
  <c r="AO99" i="23" s="1"/>
  <c r="AO117" i="23" s="1"/>
  <c r="Z124" i="20"/>
  <c r="Y103" i="21"/>
  <c r="BE103" i="21" s="1"/>
  <c r="R337" i="20"/>
  <c r="Q316" i="21"/>
  <c r="AW316" i="21" s="1"/>
  <c r="AE350" i="20"/>
  <c r="AE329" i="21" s="1"/>
  <c r="BK329" i="21" s="1"/>
  <c r="AD329" i="21"/>
  <c r="BJ329" i="21" s="1"/>
  <c r="U391" i="20"/>
  <c r="T370" i="21"/>
  <c r="AZ370" i="21" s="1"/>
  <c r="S477" i="20"/>
  <c r="R456" i="21"/>
  <c r="AX456" i="21" s="1"/>
  <c r="X331" i="20"/>
  <c r="W310" i="21"/>
  <c r="BC310" i="21" s="1"/>
  <c r="T335" i="20"/>
  <c r="S314" i="21"/>
  <c r="AY314" i="21" s="1"/>
  <c r="AC181" i="20"/>
  <c r="AB160" i="21"/>
  <c r="BH160" i="21" s="1"/>
  <c r="AE237" i="20"/>
  <c r="AE216" i="21" s="1"/>
  <c r="BK216" i="21" s="1"/>
  <c r="AD216" i="21"/>
  <c r="BJ216" i="21" s="1"/>
  <c r="R478" i="20"/>
  <c r="Q457" i="21"/>
  <c r="AW457" i="21" s="1"/>
  <c r="Y329" i="20"/>
  <c r="X308" i="21"/>
  <c r="BD308" i="21" s="1"/>
  <c r="AB269" i="20"/>
  <c r="AA248" i="21"/>
  <c r="BG248" i="21" s="1"/>
  <c r="AB441" i="20"/>
  <c r="AA420" i="21"/>
  <c r="BG420" i="21" s="1"/>
  <c r="Y300" i="20"/>
  <c r="X279" i="21"/>
  <c r="BD279" i="21" s="1"/>
  <c r="T421" i="20"/>
  <c r="S400" i="21"/>
  <c r="AY400" i="21" s="1"/>
  <c r="Y70" i="20"/>
  <c r="X49" i="21"/>
  <c r="BD49" i="21" s="1"/>
  <c r="AD209" i="20"/>
  <c r="AC188" i="21"/>
  <c r="BI188" i="21" s="1"/>
  <c r="U74" i="20"/>
  <c r="T53" i="21"/>
  <c r="AZ53" i="21" s="1"/>
  <c r="AA241" i="20"/>
  <c r="Z220" i="21"/>
  <c r="BF220" i="21" s="1"/>
  <c r="AC467" i="20"/>
  <c r="AB446" i="21"/>
  <c r="BH446" i="21" s="1"/>
  <c r="V390" i="20"/>
  <c r="U369" i="21"/>
  <c r="BA369" i="21" s="1"/>
  <c r="Z414" i="20"/>
  <c r="Y393" i="21"/>
  <c r="BE393" i="21" s="1"/>
  <c r="X245" i="20"/>
  <c r="W224" i="21"/>
  <c r="BC224" i="21" s="1"/>
  <c r="Z243" i="20"/>
  <c r="Y222" i="21"/>
  <c r="BE222" i="21" s="1"/>
  <c r="O232" i="21"/>
  <c r="AT73" i="23"/>
  <c r="AT91" i="23" s="1"/>
  <c r="AT109" i="23" s="1"/>
  <c r="Z443" i="20"/>
  <c r="Y422" i="21"/>
  <c r="BE422" i="21" s="1"/>
  <c r="T46" i="20"/>
  <c r="S25" i="21"/>
  <c r="AY25" i="21" s="1"/>
  <c r="W303" i="20"/>
  <c r="V282" i="21"/>
  <c r="BB282" i="21" s="1"/>
  <c r="Q133" i="20"/>
  <c r="P112" i="21"/>
  <c r="AV112" i="21" s="1"/>
  <c r="Q78" i="20"/>
  <c r="P57" i="21"/>
  <c r="AV57" i="21" s="1"/>
  <c r="AV58" i="21" s="1"/>
  <c r="P79" i="20"/>
  <c r="N290" i="21"/>
  <c r="AS75" i="23"/>
  <c r="AS93" i="23" s="1"/>
  <c r="AS111" i="23" s="1"/>
  <c r="Q49" i="20"/>
  <c r="P28" i="21"/>
  <c r="AV28" i="21" s="1"/>
  <c r="AB384" i="20"/>
  <c r="AA363" i="21"/>
  <c r="BG363" i="21" s="1"/>
  <c r="W72" i="20"/>
  <c r="V51" i="21"/>
  <c r="BB51" i="21" s="1"/>
  <c r="Y471" i="20"/>
  <c r="X450" i="21"/>
  <c r="BD450" i="21" s="1"/>
  <c r="V44" i="20"/>
  <c r="U23" i="21"/>
  <c r="BA23" i="21" s="1"/>
  <c r="AA183" i="20"/>
  <c r="Z162" i="21"/>
  <c r="BF162" i="21" s="1"/>
  <c r="AE63" i="20"/>
  <c r="AE42" i="21" s="1"/>
  <c r="BK42" i="21" s="1"/>
  <c r="AD42" i="21"/>
  <c r="BJ42" i="21" s="1"/>
  <c r="AA298" i="20"/>
  <c r="Z277" i="21"/>
  <c r="BF277" i="21" s="1"/>
  <c r="Y272" i="20"/>
  <c r="X251" i="21"/>
  <c r="BD251" i="21" s="1"/>
  <c r="R452" i="20"/>
  <c r="Q431" i="21"/>
  <c r="AW431" i="21" s="1"/>
  <c r="T220" i="20"/>
  <c r="S199" i="21"/>
  <c r="AY199" i="21" s="1"/>
  <c r="AC296" i="20"/>
  <c r="AB275" i="21"/>
  <c r="BH275" i="21" s="1"/>
  <c r="AT72" i="23"/>
  <c r="AT90" i="23" s="1"/>
  <c r="AT108" i="23" s="1"/>
  <c r="O203" i="21"/>
  <c r="AC239" i="20"/>
  <c r="AB218" i="21"/>
  <c r="BH218" i="21" s="1"/>
  <c r="R193" i="20"/>
  <c r="Q172" i="21"/>
  <c r="AW172" i="21" s="1"/>
  <c r="S307" i="20"/>
  <c r="R286" i="21"/>
  <c r="AX286" i="21" s="1"/>
  <c r="Q364" i="20"/>
  <c r="P343" i="21"/>
  <c r="AV343" i="21" s="1"/>
  <c r="T75" i="20"/>
  <c r="S54" i="21"/>
  <c r="AY54" i="21" s="1"/>
  <c r="V247" i="20"/>
  <c r="U226" i="21"/>
  <c r="BA226" i="21" s="1"/>
  <c r="Y215" i="20"/>
  <c r="X194" i="21"/>
  <c r="BD194" i="21" s="1"/>
  <c r="AD180" i="20"/>
  <c r="AC159" i="21"/>
  <c r="BI159" i="21" s="1"/>
  <c r="R132" i="20"/>
  <c r="Q111" i="21"/>
  <c r="AW111" i="21" s="1"/>
  <c r="W332" i="20"/>
  <c r="V311" i="21"/>
  <c r="BB311" i="21" s="1"/>
  <c r="U276" i="20"/>
  <c r="T255" i="21"/>
  <c r="AZ255" i="21" s="1"/>
  <c r="U219" i="20"/>
  <c r="T198" i="21"/>
  <c r="AZ198" i="21" s="1"/>
  <c r="AE179" i="20"/>
  <c r="AE158" i="21" s="1"/>
  <c r="BK158" i="21" s="1"/>
  <c r="AD158" i="21"/>
  <c r="BJ158" i="21" s="1"/>
  <c r="AA469" i="20"/>
  <c r="Z448" i="21"/>
  <c r="BF448" i="21" s="1"/>
  <c r="S336" i="20"/>
  <c r="R315" i="21"/>
  <c r="AX315" i="21" s="1"/>
  <c r="W188" i="20"/>
  <c r="V167" i="21"/>
  <c r="BB167" i="21" s="1"/>
  <c r="X357" i="20"/>
  <c r="W336" i="21"/>
  <c r="BC336" i="21" s="1"/>
  <c r="Y99" i="20"/>
  <c r="X78" i="21"/>
  <c r="BD78" i="21" s="1"/>
  <c r="Q194" i="20"/>
  <c r="P173" i="21"/>
  <c r="AV173" i="21" s="1"/>
  <c r="AV174" i="21" s="1"/>
  <c r="P195" i="20"/>
  <c r="R183" i="1" s="1"/>
  <c r="L484" i="20"/>
  <c r="K463" i="21"/>
  <c r="AQ463" i="21" s="1"/>
  <c r="AQ464" i="21" s="1"/>
  <c r="K485" i="20"/>
  <c r="M195" i="1" s="1"/>
  <c r="AE323" i="20"/>
  <c r="AE302" i="21" s="1"/>
  <c r="BK302" i="21" s="1"/>
  <c r="AD302" i="21"/>
  <c r="BJ302" i="21" s="1"/>
  <c r="V448" i="20"/>
  <c r="U427" i="21"/>
  <c r="BA427" i="21" s="1"/>
  <c r="AA385" i="20"/>
  <c r="Z364" i="21"/>
  <c r="BF364" i="21" s="1"/>
  <c r="R222" i="20"/>
  <c r="Q201" i="21"/>
  <c r="AW201" i="21" s="1"/>
  <c r="R279" i="20"/>
  <c r="Q258" i="21"/>
  <c r="AW258" i="21" s="1"/>
  <c r="AC37" i="20"/>
  <c r="AB16" i="21"/>
  <c r="BH16" i="21" s="1"/>
  <c r="Q338" i="20"/>
  <c r="P317" i="21"/>
  <c r="AV317" i="21" s="1"/>
  <c r="U475" i="20"/>
  <c r="T454" i="21"/>
  <c r="AZ454" i="21" s="1"/>
  <c r="S451" i="20"/>
  <c r="R430" i="21"/>
  <c r="AX430" i="21" s="1"/>
  <c r="AB297" i="20"/>
  <c r="AA276" i="21"/>
  <c r="BG276" i="21" s="1"/>
  <c r="AE438" i="20"/>
  <c r="AE417" i="21" s="1"/>
  <c r="BK417" i="21" s="1"/>
  <c r="AD417" i="21"/>
  <c r="BJ417" i="21" s="1"/>
  <c r="N145" i="21"/>
  <c r="AS70" i="23"/>
  <c r="AS88" i="23" s="1"/>
  <c r="AS106" i="23" s="1"/>
  <c r="V218" i="20"/>
  <c r="U197" i="21"/>
  <c r="BA197" i="21" s="1"/>
  <c r="U248" i="20"/>
  <c r="T227" i="21"/>
  <c r="AZ227" i="21" s="1"/>
  <c r="P396" i="20"/>
  <c r="O375" i="21"/>
  <c r="AU375" i="21" s="1"/>
  <c r="AA96" i="20"/>
  <c r="Z75" i="21"/>
  <c r="BF75" i="21" s="1"/>
  <c r="W101" i="20"/>
  <c r="V80" i="21"/>
  <c r="BB80" i="21" s="1"/>
  <c r="AA270" i="20"/>
  <c r="Z249" i="21"/>
  <c r="BF249" i="21" s="1"/>
  <c r="AE150" i="20"/>
  <c r="AE129" i="21" s="1"/>
  <c r="BK129" i="21" s="1"/>
  <c r="AD129" i="21"/>
  <c r="BJ129" i="21" s="1"/>
  <c r="Q107" i="20"/>
  <c r="P86" i="21"/>
  <c r="AV86" i="21" s="1"/>
  <c r="AV87" i="21" s="1"/>
  <c r="P108" i="20"/>
  <c r="AB122" i="20"/>
  <c r="AA101" i="21"/>
  <c r="BG101" i="21" s="1"/>
  <c r="R394" i="20"/>
  <c r="Q373" i="21"/>
  <c r="AW373" i="21" s="1"/>
  <c r="Z470" i="20"/>
  <c r="Y449" i="21"/>
  <c r="BE449" i="21" s="1"/>
  <c r="X446" i="20"/>
  <c r="W425" i="21"/>
  <c r="BC425" i="21" s="1"/>
  <c r="X416" i="20"/>
  <c r="W395" i="21"/>
  <c r="BC395" i="21" s="1"/>
  <c r="R363" i="20"/>
  <c r="Q342" i="21"/>
  <c r="AW342" i="21" s="1"/>
  <c r="W43" i="20"/>
  <c r="V22" i="21"/>
  <c r="BB22" i="21" s="1"/>
  <c r="T361" i="20"/>
  <c r="S340" i="21"/>
  <c r="AY340" i="21" s="1"/>
  <c r="J29" i="21"/>
  <c r="AO66" i="23"/>
  <c r="AO84" i="23" s="1"/>
  <c r="AO102" i="23" s="1"/>
  <c r="I377" i="21"/>
  <c r="AN78" i="23"/>
  <c r="AN96" i="23" s="1"/>
  <c r="AN114" i="23" s="1"/>
  <c r="K235" i="21"/>
  <c r="L256" i="20"/>
  <c r="K50" i="20"/>
  <c r="M177" i="1" s="1"/>
  <c r="K3" i="21"/>
  <c r="L24" i="20"/>
  <c r="J398" i="20"/>
  <c r="L192" i="1" s="1"/>
  <c r="J351" i="21"/>
  <c r="K372" i="20"/>
  <c r="AP351" i="21" l="1"/>
  <c r="AP377" i="21" s="1"/>
  <c r="I21" i="1" s="1"/>
  <c r="I23" i="1" s="1"/>
  <c r="AU144" i="21"/>
  <c r="AU145" i="21" s="1"/>
  <c r="N9" i="1" s="1"/>
  <c r="N11" i="1" s="1"/>
  <c r="AQ235" i="21"/>
  <c r="AQ261" i="21" s="1"/>
  <c r="J15" i="1" s="1"/>
  <c r="J17" i="1" s="1"/>
  <c r="AQ3" i="21"/>
  <c r="AQ29" i="21" s="1"/>
  <c r="J3" i="1" s="1"/>
  <c r="J5" i="1" s="1"/>
  <c r="K464" i="21"/>
  <c r="AP81" i="23"/>
  <c r="AP99" i="23" s="1"/>
  <c r="AP117" i="23" s="1"/>
  <c r="X303" i="20"/>
  <c r="W282" i="21"/>
  <c r="BC282" i="21" s="1"/>
  <c r="AA414" i="20"/>
  <c r="Z393" i="21"/>
  <c r="BF393" i="21" s="1"/>
  <c r="V74" i="20"/>
  <c r="U53" i="21"/>
  <c r="BA53" i="21" s="1"/>
  <c r="AC269" i="20"/>
  <c r="AB248" i="21"/>
  <c r="BH248" i="21" s="1"/>
  <c r="AD181" i="20"/>
  <c r="AC160" i="21"/>
  <c r="BI160" i="21" s="1"/>
  <c r="V391" i="20"/>
  <c r="U370" i="21"/>
  <c r="BA370" i="21" s="1"/>
  <c r="S337" i="20"/>
  <c r="R316" i="21"/>
  <c r="AX316" i="21" s="1"/>
  <c r="R280" i="20"/>
  <c r="Q259" i="21"/>
  <c r="AW259" i="21" s="1"/>
  <c r="AE151" i="20"/>
  <c r="AE130" i="21" s="1"/>
  <c r="BK130" i="21" s="1"/>
  <c r="AD130" i="21"/>
  <c r="BJ130" i="21" s="1"/>
  <c r="N435" i="21"/>
  <c r="AS80" i="23"/>
  <c r="AS98" i="23" s="1"/>
  <c r="AS116" i="23" s="1"/>
  <c r="W73" i="20"/>
  <c r="V52" i="21"/>
  <c r="BB52" i="21" s="1"/>
  <c r="AA40" i="20"/>
  <c r="Z19" i="21"/>
  <c r="BF19" i="21" s="1"/>
  <c r="U130" i="20"/>
  <c r="T109" i="21"/>
  <c r="AZ109" i="21" s="1"/>
  <c r="Z186" i="20"/>
  <c r="Y165" i="21"/>
  <c r="BE165" i="21" s="1"/>
  <c r="AC95" i="20"/>
  <c r="AB74" i="21"/>
  <c r="BH74" i="21" s="1"/>
  <c r="P366" i="20"/>
  <c r="O345" i="21"/>
  <c r="AU345" i="21" s="1"/>
  <c r="AC412" i="20"/>
  <c r="AB391" i="21"/>
  <c r="BH391" i="21" s="1"/>
  <c r="S251" i="20"/>
  <c r="R230" i="21"/>
  <c r="AX230" i="21" s="1"/>
  <c r="AA242" i="20"/>
  <c r="Z221" i="21"/>
  <c r="BF221" i="21" s="1"/>
  <c r="AB39" i="20"/>
  <c r="AA18" i="21"/>
  <c r="BG18" i="21" s="1"/>
  <c r="AC182" i="20"/>
  <c r="AB161" i="21"/>
  <c r="BH161" i="21" s="1"/>
  <c r="S163" i="20"/>
  <c r="R142" i="21"/>
  <c r="AX142" i="21" s="1"/>
  <c r="T192" i="20"/>
  <c r="S171" i="21"/>
  <c r="AY171" i="21" s="1"/>
  <c r="AB212" i="20"/>
  <c r="AA191" i="21"/>
  <c r="BG191" i="21" s="1"/>
  <c r="P481" i="20"/>
  <c r="O460" i="21"/>
  <c r="AU460" i="21" s="1"/>
  <c r="P397" i="20"/>
  <c r="O376" i="21"/>
  <c r="AU376" i="21" s="1"/>
  <c r="Y157" i="20"/>
  <c r="X136" i="21"/>
  <c r="BD136" i="21" s="1"/>
  <c r="O180" i="1"/>
  <c r="M116" i="21"/>
  <c r="AR69" i="23"/>
  <c r="AR87" i="23" s="1"/>
  <c r="AR105" i="23" s="1"/>
  <c r="V334" i="20"/>
  <c r="U313" i="21"/>
  <c r="BA313" i="21" s="1"/>
  <c r="W128" i="20"/>
  <c r="V107" i="21"/>
  <c r="BB107" i="21" s="1"/>
  <c r="Q339" i="20"/>
  <c r="P318" i="21"/>
  <c r="AV318" i="21" s="1"/>
  <c r="AV319" i="21" s="1"/>
  <c r="P340" i="20"/>
  <c r="R189" i="1" s="1"/>
  <c r="AD65" i="20"/>
  <c r="AC44" i="21"/>
  <c r="BI44" i="21" s="1"/>
  <c r="AC326" i="20"/>
  <c r="AB305" i="21"/>
  <c r="BH305" i="21" s="1"/>
  <c r="AA68" i="20"/>
  <c r="Z47" i="21"/>
  <c r="BF47" i="21" s="1"/>
  <c r="Z244" i="20"/>
  <c r="Y223" i="21"/>
  <c r="BE223" i="21" s="1"/>
  <c r="Z301" i="20"/>
  <c r="Y280" i="21"/>
  <c r="BE280" i="21" s="1"/>
  <c r="AB154" i="20"/>
  <c r="AA133" i="21"/>
  <c r="BG133" i="21" s="1"/>
  <c r="X274" i="20"/>
  <c r="W253" i="21"/>
  <c r="BC253" i="21" s="1"/>
  <c r="W304" i="20"/>
  <c r="V283" i="21"/>
  <c r="BB283" i="21" s="1"/>
  <c r="O145" i="21"/>
  <c r="AT70" i="23"/>
  <c r="AT88" i="23" s="1"/>
  <c r="AT106" i="23" s="1"/>
  <c r="AE439" i="20"/>
  <c r="AE418" i="21" s="1"/>
  <c r="BK418" i="21" s="1"/>
  <c r="AD418" i="21"/>
  <c r="BJ418" i="21" s="1"/>
  <c r="AE120" i="20"/>
  <c r="AE99" i="21" s="1"/>
  <c r="BK99" i="21" s="1"/>
  <c r="AD99" i="21"/>
  <c r="BJ99" i="21" s="1"/>
  <c r="Q134" i="20"/>
  <c r="P113" i="21"/>
  <c r="AV113" i="21" s="1"/>
  <c r="AA214" i="20"/>
  <c r="Z193" i="21"/>
  <c r="BF193" i="21" s="1"/>
  <c r="X43" i="20"/>
  <c r="W22" i="21"/>
  <c r="BC22" i="21" s="1"/>
  <c r="Y416" i="20"/>
  <c r="X395" i="21"/>
  <c r="BD395" i="21" s="1"/>
  <c r="AA470" i="20"/>
  <c r="Z449" i="21"/>
  <c r="BF449" i="21" s="1"/>
  <c r="AC122" i="20"/>
  <c r="AB101" i="21"/>
  <c r="BH101" i="21" s="1"/>
  <c r="AB96" i="20"/>
  <c r="AA75" i="21"/>
  <c r="BG75" i="21" s="1"/>
  <c r="V248" i="20"/>
  <c r="U227" i="21"/>
  <c r="BA227" i="21" s="1"/>
  <c r="AC297" i="20"/>
  <c r="AB276" i="21"/>
  <c r="BH276" i="21" s="1"/>
  <c r="V475" i="20"/>
  <c r="U454" i="21"/>
  <c r="BA454" i="21" s="1"/>
  <c r="AD37" i="20"/>
  <c r="AC16" i="21"/>
  <c r="BI16" i="21" s="1"/>
  <c r="S222" i="20"/>
  <c r="R201" i="21"/>
  <c r="AX201" i="21" s="1"/>
  <c r="W448" i="20"/>
  <c r="V427" i="21"/>
  <c r="BB427" i="21" s="1"/>
  <c r="R194" i="20"/>
  <c r="Q173" i="21"/>
  <c r="AW173" i="21" s="1"/>
  <c r="AW174" i="21" s="1"/>
  <c r="Q195" i="20"/>
  <c r="S183" i="1" s="1"/>
  <c r="Y357" i="20"/>
  <c r="X336" i="21"/>
  <c r="BD336" i="21" s="1"/>
  <c r="T336" i="20"/>
  <c r="S315" i="21"/>
  <c r="AY315" i="21" s="1"/>
  <c r="V276" i="20"/>
  <c r="U255" i="21"/>
  <c r="BA255" i="21" s="1"/>
  <c r="S132" i="20"/>
  <c r="R111" i="21"/>
  <c r="AX111" i="21" s="1"/>
  <c r="Z215" i="20"/>
  <c r="Y194" i="21"/>
  <c r="BE194" i="21" s="1"/>
  <c r="U75" i="20"/>
  <c r="T54" i="21"/>
  <c r="AZ54" i="21" s="1"/>
  <c r="T307" i="20"/>
  <c r="S286" i="21"/>
  <c r="AY286" i="21" s="1"/>
  <c r="AD239" i="20"/>
  <c r="AC218" i="21"/>
  <c r="BI218" i="21" s="1"/>
  <c r="AD296" i="20"/>
  <c r="AC275" i="21"/>
  <c r="BI275" i="21" s="1"/>
  <c r="S452" i="20"/>
  <c r="R431" i="21"/>
  <c r="AX431" i="21" s="1"/>
  <c r="AB298" i="20"/>
  <c r="AA277" i="21"/>
  <c r="BG277" i="21" s="1"/>
  <c r="AB183" i="20"/>
  <c r="AA162" i="21"/>
  <c r="BG162" i="21" s="1"/>
  <c r="Z471" i="20"/>
  <c r="Y450" i="21"/>
  <c r="BE450" i="21" s="1"/>
  <c r="AC384" i="20"/>
  <c r="AB363" i="21"/>
  <c r="BH363" i="21" s="1"/>
  <c r="R223" i="20"/>
  <c r="Q202" i="21"/>
  <c r="AW202" i="21" s="1"/>
  <c r="AW203" i="21" s="1"/>
  <c r="Q224" i="20"/>
  <c r="S184" i="1" s="1"/>
  <c r="AE466" i="20"/>
  <c r="AE445" i="21" s="1"/>
  <c r="BK445" i="21" s="1"/>
  <c r="AD445" i="21"/>
  <c r="BJ445" i="21" s="1"/>
  <c r="R309" i="20"/>
  <c r="Q288" i="21"/>
  <c r="AW288" i="21" s="1"/>
  <c r="W159" i="20"/>
  <c r="V138" i="21"/>
  <c r="BB138" i="21" s="1"/>
  <c r="AA69" i="20"/>
  <c r="Z48" i="21"/>
  <c r="BF48" i="21" s="1"/>
  <c r="R453" i="20"/>
  <c r="Q432" i="21"/>
  <c r="AW432" i="21" s="1"/>
  <c r="X447" i="20"/>
  <c r="W426" i="21"/>
  <c r="BC426" i="21" s="1"/>
  <c r="AA155" i="20"/>
  <c r="Z134" i="21"/>
  <c r="BF134" i="21" s="1"/>
  <c r="AA355" i="20"/>
  <c r="Z334" i="21"/>
  <c r="BF334" i="21" s="1"/>
  <c r="AD440" i="20"/>
  <c r="AC419" i="21"/>
  <c r="BI419" i="21" s="1"/>
  <c r="T250" i="20"/>
  <c r="S229" i="21"/>
  <c r="AY229" i="21" s="1"/>
  <c r="Z41" i="20"/>
  <c r="Y20" i="21"/>
  <c r="BE20" i="21" s="1"/>
  <c r="AE295" i="20"/>
  <c r="AE274" i="21" s="1"/>
  <c r="BK274" i="21" s="1"/>
  <c r="AD274" i="21"/>
  <c r="BJ274" i="21" s="1"/>
  <c r="Y417" i="20"/>
  <c r="X396" i="21"/>
  <c r="BD396" i="21" s="1"/>
  <c r="Q480" i="20"/>
  <c r="P459" i="21"/>
  <c r="AV459" i="21" s="1"/>
  <c r="S308" i="20"/>
  <c r="R287" i="21"/>
  <c r="AX287" i="21" s="1"/>
  <c r="AC211" i="20"/>
  <c r="AB190" i="21"/>
  <c r="BH190" i="21" s="1"/>
  <c r="AE410" i="20"/>
  <c r="AE389" i="21" s="1"/>
  <c r="BK389" i="21" s="1"/>
  <c r="AD389" i="21"/>
  <c r="BJ389" i="21" s="1"/>
  <c r="AB123" i="20"/>
  <c r="AA102" i="21"/>
  <c r="BG102" i="21" s="1"/>
  <c r="T47" i="20"/>
  <c r="S26" i="21"/>
  <c r="AY26" i="21" s="1"/>
  <c r="Z444" i="20"/>
  <c r="Y423" i="21"/>
  <c r="BE423" i="21" s="1"/>
  <c r="X358" i="20"/>
  <c r="W337" i="21"/>
  <c r="BC337" i="21" s="1"/>
  <c r="T422" i="20"/>
  <c r="S401" i="21"/>
  <c r="AY401" i="21" s="1"/>
  <c r="V45" i="20"/>
  <c r="U24" i="21"/>
  <c r="BA24" i="21" s="1"/>
  <c r="AE382" i="20"/>
  <c r="AE361" i="21" s="1"/>
  <c r="BK361" i="21" s="1"/>
  <c r="AD361" i="21"/>
  <c r="BJ361" i="21" s="1"/>
  <c r="T221" i="20"/>
  <c r="S200" i="21"/>
  <c r="AY200" i="21" s="1"/>
  <c r="W419" i="20"/>
  <c r="V398" i="21"/>
  <c r="BB398" i="21" s="1"/>
  <c r="W333" i="20"/>
  <c r="V312" i="21"/>
  <c r="BB312" i="21" s="1"/>
  <c r="O290" i="21"/>
  <c r="AT75" i="23"/>
  <c r="AT93" i="23" s="1"/>
  <c r="AT111" i="23" s="1"/>
  <c r="N368" i="20"/>
  <c r="M347" i="21"/>
  <c r="AS347" i="21" s="1"/>
  <c r="AS348" i="21" s="1"/>
  <c r="M369" i="20"/>
  <c r="O190" i="1" s="1"/>
  <c r="Z330" i="20"/>
  <c r="Y309" i="21"/>
  <c r="BE309" i="21" s="1"/>
  <c r="AD411" i="20"/>
  <c r="AC390" i="21"/>
  <c r="BI390" i="21" s="1"/>
  <c r="AD383" i="20"/>
  <c r="AC362" i="21"/>
  <c r="BI362" i="21" s="1"/>
  <c r="Y388" i="20"/>
  <c r="X367" i="21"/>
  <c r="BD367" i="21" s="1"/>
  <c r="U191" i="20"/>
  <c r="T170" i="21"/>
  <c r="AZ170" i="21" s="1"/>
  <c r="AA185" i="20"/>
  <c r="Z164" i="21"/>
  <c r="BF164" i="21" s="1"/>
  <c r="AE267" i="20"/>
  <c r="AE246" i="21" s="1"/>
  <c r="BK246" i="21" s="1"/>
  <c r="AD246" i="21"/>
  <c r="BJ246" i="21" s="1"/>
  <c r="V360" i="20"/>
  <c r="U339" i="21"/>
  <c r="BA339" i="21" s="1"/>
  <c r="AB270" i="20"/>
  <c r="AA249" i="21"/>
  <c r="BG249" i="21" s="1"/>
  <c r="AA243" i="20"/>
  <c r="Z222" i="21"/>
  <c r="BF222" i="21" s="1"/>
  <c r="Z300" i="20"/>
  <c r="Y279" i="21"/>
  <c r="BE279" i="21" s="1"/>
  <c r="AS79" i="23"/>
  <c r="AS97" i="23" s="1"/>
  <c r="AS115" i="23" s="1"/>
  <c r="N406" i="21"/>
  <c r="AD210" i="20"/>
  <c r="AC189" i="21"/>
  <c r="BI189" i="21" s="1"/>
  <c r="AD94" i="20"/>
  <c r="AC73" i="21"/>
  <c r="BI73" i="21" s="1"/>
  <c r="T162" i="20"/>
  <c r="S141" i="21"/>
  <c r="AY141" i="21" s="1"/>
  <c r="Y302" i="20"/>
  <c r="X281" i="21"/>
  <c r="BD281" i="21" s="1"/>
  <c r="AA184" i="20"/>
  <c r="Z163" i="21"/>
  <c r="BF163" i="21" s="1"/>
  <c r="Y216" i="20"/>
  <c r="X195" i="21"/>
  <c r="BD195" i="21" s="1"/>
  <c r="AA271" i="20"/>
  <c r="Z250" i="21"/>
  <c r="BF250" i="21" s="1"/>
  <c r="U104" i="20"/>
  <c r="T83" i="21"/>
  <c r="AZ83" i="21" s="1"/>
  <c r="AC468" i="20"/>
  <c r="AB447" i="21"/>
  <c r="BH447" i="21" s="1"/>
  <c r="R179" i="1"/>
  <c r="AU68" i="23"/>
  <c r="AU86" i="23" s="1"/>
  <c r="AU104" i="23" s="1"/>
  <c r="P87" i="21"/>
  <c r="X101" i="20"/>
  <c r="W80" i="21"/>
  <c r="BC80" i="21" s="1"/>
  <c r="M484" i="20"/>
  <c r="L463" i="21"/>
  <c r="AR463" i="21" s="1"/>
  <c r="AR464" i="21" s="1"/>
  <c r="L485" i="20"/>
  <c r="N195" i="1" s="1"/>
  <c r="R178" i="1"/>
  <c r="P58" i="21"/>
  <c r="AU67" i="23"/>
  <c r="AU85" i="23" s="1"/>
  <c r="AU103" i="23" s="1"/>
  <c r="R133" i="20"/>
  <c r="Q112" i="21"/>
  <c r="AW112" i="21" s="1"/>
  <c r="U46" i="20"/>
  <c r="T25" i="21"/>
  <c r="AZ25" i="21" s="1"/>
  <c r="Y245" i="20"/>
  <c r="X224" i="21"/>
  <c r="BD224" i="21" s="1"/>
  <c r="W390" i="20"/>
  <c r="V369" i="21"/>
  <c r="BB369" i="21" s="1"/>
  <c r="AB241" i="20"/>
  <c r="AA220" i="21"/>
  <c r="BG220" i="21" s="1"/>
  <c r="AE209" i="20"/>
  <c r="AE188" i="21" s="1"/>
  <c r="BK188" i="21" s="1"/>
  <c r="AD188" i="21"/>
  <c r="BJ188" i="21" s="1"/>
  <c r="U421" i="20"/>
  <c r="T400" i="21"/>
  <c r="AZ400" i="21" s="1"/>
  <c r="AC441" i="20"/>
  <c r="AB420" i="21"/>
  <c r="BH420" i="21" s="1"/>
  <c r="Z329" i="20"/>
  <c r="Y308" i="21"/>
  <c r="BE308" i="21" s="1"/>
  <c r="U335" i="20"/>
  <c r="T314" i="21"/>
  <c r="AZ314" i="21" s="1"/>
  <c r="T477" i="20"/>
  <c r="S456" i="21"/>
  <c r="AY456" i="21" s="1"/>
  <c r="AA124" i="20"/>
  <c r="Z103" i="21"/>
  <c r="BF103" i="21" s="1"/>
  <c r="U476" i="20"/>
  <c r="T455" i="21"/>
  <c r="AZ455" i="21" s="1"/>
  <c r="T393" i="20"/>
  <c r="S372" i="21"/>
  <c r="AY372" i="21" s="1"/>
  <c r="V420" i="20"/>
  <c r="U399" i="21"/>
  <c r="BA399" i="21" s="1"/>
  <c r="P455" i="20"/>
  <c r="O434" i="21"/>
  <c r="AU434" i="21" s="1"/>
  <c r="AU435" i="21" s="1"/>
  <c r="O456" i="20"/>
  <c r="Q194" i="1" s="1"/>
  <c r="R424" i="20"/>
  <c r="Q403" i="21"/>
  <c r="AW403" i="21" s="1"/>
  <c r="U392" i="20"/>
  <c r="T371" i="21"/>
  <c r="AZ371" i="21" s="1"/>
  <c r="AE238" i="20"/>
  <c r="AE217" i="21" s="1"/>
  <c r="BK217" i="21" s="1"/>
  <c r="AD217" i="21"/>
  <c r="BJ217" i="21" s="1"/>
  <c r="P426" i="20"/>
  <c r="O405" i="21"/>
  <c r="AU405" i="21" s="1"/>
  <c r="AU406" i="21" s="1"/>
  <c r="O427" i="20"/>
  <c r="Q193" i="1" s="1"/>
  <c r="V129" i="20"/>
  <c r="U108" i="21"/>
  <c r="BA108" i="21" s="1"/>
  <c r="Z387" i="20"/>
  <c r="Y366" i="21"/>
  <c r="BE366" i="21" s="1"/>
  <c r="P135" i="20"/>
  <c r="O114" i="21"/>
  <c r="AU114" i="21" s="1"/>
  <c r="AA97" i="20"/>
  <c r="Z76" i="21"/>
  <c r="BF76" i="21" s="1"/>
  <c r="Z125" i="20"/>
  <c r="Y104" i="21"/>
  <c r="BE104" i="21" s="1"/>
  <c r="AA213" i="20"/>
  <c r="Z192" i="21"/>
  <c r="BF192" i="21" s="1"/>
  <c r="Y71" i="20"/>
  <c r="X50" i="21"/>
  <c r="BD50" i="21" s="1"/>
  <c r="W359" i="20"/>
  <c r="V338" i="21"/>
  <c r="BB338" i="21" s="1"/>
  <c r="X217" i="20"/>
  <c r="W196" i="21"/>
  <c r="BC196" i="21" s="1"/>
  <c r="T105" i="20"/>
  <c r="S84" i="21"/>
  <c r="AY84" i="21" s="1"/>
  <c r="R252" i="20"/>
  <c r="Q231" i="21"/>
  <c r="AW231" i="21" s="1"/>
  <c r="AW232" i="21" s="1"/>
  <c r="Q253" i="20"/>
  <c r="S185" i="1" s="1"/>
  <c r="AC66" i="20"/>
  <c r="AB45" i="21"/>
  <c r="BH45" i="21" s="1"/>
  <c r="Y100" i="20"/>
  <c r="X79" i="21"/>
  <c r="BD79" i="21" s="1"/>
  <c r="U249" i="20"/>
  <c r="T228" i="21"/>
  <c r="AZ228" i="21" s="1"/>
  <c r="T131" i="20"/>
  <c r="S110" i="21"/>
  <c r="AY110" i="21" s="1"/>
  <c r="T278" i="20"/>
  <c r="S257" i="21"/>
  <c r="AY257" i="21" s="1"/>
  <c r="AB327" i="20"/>
  <c r="AA306" i="21"/>
  <c r="BG306" i="21" s="1"/>
  <c r="AD152" i="20"/>
  <c r="AC131" i="21"/>
  <c r="BI131" i="21" s="1"/>
  <c r="Y472" i="20"/>
  <c r="X451" i="21"/>
  <c r="BD451" i="21" s="1"/>
  <c r="AA299" i="20"/>
  <c r="Z278" i="21"/>
  <c r="BF278" i="21" s="1"/>
  <c r="AE64" i="20"/>
  <c r="AE43" i="21" s="1"/>
  <c r="BK43" i="21" s="1"/>
  <c r="AD43" i="21"/>
  <c r="BJ43" i="21" s="1"/>
  <c r="Y445" i="20"/>
  <c r="X424" i="21"/>
  <c r="BD424" i="21" s="1"/>
  <c r="S423" i="20"/>
  <c r="R402" i="21"/>
  <c r="AX402" i="21" s="1"/>
  <c r="AB354" i="20"/>
  <c r="AA333" i="21"/>
  <c r="BG333" i="21" s="1"/>
  <c r="AD325" i="20"/>
  <c r="AC304" i="21"/>
  <c r="BI304" i="21" s="1"/>
  <c r="AC353" i="20"/>
  <c r="AB332" i="21"/>
  <c r="BH332" i="21" s="1"/>
  <c r="S77" i="20"/>
  <c r="R56" i="21"/>
  <c r="AX56" i="21" s="1"/>
  <c r="Y42" i="20"/>
  <c r="X21" i="21"/>
  <c r="BD21" i="21" s="1"/>
  <c r="O136" i="20"/>
  <c r="N115" i="21"/>
  <c r="AT115" i="21" s="1"/>
  <c r="AT116" i="21" s="1"/>
  <c r="N137" i="20"/>
  <c r="AT76" i="23"/>
  <c r="AT94" i="23" s="1"/>
  <c r="AT112" i="23" s="1"/>
  <c r="O319" i="21"/>
  <c r="AB442" i="20"/>
  <c r="AA421" i="21"/>
  <c r="BG421" i="21" s="1"/>
  <c r="R395" i="20"/>
  <c r="Q374" i="21"/>
  <c r="AW374" i="21" s="1"/>
  <c r="AD352" i="20"/>
  <c r="AC331" i="21"/>
  <c r="BI331" i="21" s="1"/>
  <c r="Z156" i="20"/>
  <c r="Y135" i="21"/>
  <c r="BE135" i="21" s="1"/>
  <c r="R164" i="20"/>
  <c r="Q143" i="21"/>
  <c r="AW143" i="21" s="1"/>
  <c r="AB67" i="20"/>
  <c r="AA46" i="21"/>
  <c r="BG46" i="21" s="1"/>
  <c r="Y187" i="20"/>
  <c r="X166" i="21"/>
  <c r="BD166" i="21" s="1"/>
  <c r="X246" i="20"/>
  <c r="W225" i="21"/>
  <c r="BC225" i="21" s="1"/>
  <c r="V449" i="20"/>
  <c r="U428" i="21"/>
  <c r="BA428" i="21" s="1"/>
  <c r="Q165" i="20"/>
  <c r="P144" i="21"/>
  <c r="P166" i="20"/>
  <c r="R182" i="1" s="1"/>
  <c r="AC153" i="20"/>
  <c r="AB132" i="21"/>
  <c r="BH132" i="21" s="1"/>
  <c r="Y273" i="20"/>
  <c r="X252" i="21"/>
  <c r="BD252" i="21" s="1"/>
  <c r="X418" i="20"/>
  <c r="W397" i="21"/>
  <c r="BC397" i="21" s="1"/>
  <c r="R107" i="20"/>
  <c r="Q86" i="21"/>
  <c r="AW86" i="21" s="1"/>
  <c r="AW87" i="21" s="1"/>
  <c r="Q108" i="20"/>
  <c r="R78" i="20"/>
  <c r="Q57" i="21"/>
  <c r="AW57" i="21" s="1"/>
  <c r="AW58" i="21" s="1"/>
  <c r="Q79" i="20"/>
  <c r="AA443" i="20"/>
  <c r="Z422" i="21"/>
  <c r="BF422" i="21" s="1"/>
  <c r="AD467" i="20"/>
  <c r="AC446" i="21"/>
  <c r="BI446" i="21" s="1"/>
  <c r="Z70" i="20"/>
  <c r="Y49" i="21"/>
  <c r="BE49" i="21" s="1"/>
  <c r="S478" i="20"/>
  <c r="R457" i="21"/>
  <c r="AX457" i="21" s="1"/>
  <c r="Y331" i="20"/>
  <c r="X310" i="21"/>
  <c r="BD310" i="21" s="1"/>
  <c r="Q454" i="20"/>
  <c r="P433" i="21"/>
  <c r="AV433" i="21" s="1"/>
  <c r="X473" i="20"/>
  <c r="W452" i="21"/>
  <c r="BC452" i="21" s="1"/>
  <c r="AE324" i="20"/>
  <c r="AE303" i="21" s="1"/>
  <c r="BK303" i="21" s="1"/>
  <c r="AD303" i="21"/>
  <c r="BJ303" i="21" s="1"/>
  <c r="AC38" i="20"/>
  <c r="AB17" i="21"/>
  <c r="BH17" i="21" s="1"/>
  <c r="P232" i="21"/>
  <c r="AU73" i="23"/>
  <c r="AU91" i="23" s="1"/>
  <c r="AU109" i="23" s="1"/>
  <c r="AC240" i="20"/>
  <c r="AB219" i="21"/>
  <c r="BH219" i="21" s="1"/>
  <c r="X127" i="20"/>
  <c r="W106" i="21"/>
  <c r="BC106" i="21" s="1"/>
  <c r="U306" i="20"/>
  <c r="T285" i="21"/>
  <c r="AZ285" i="21" s="1"/>
  <c r="U361" i="20"/>
  <c r="T340" i="21"/>
  <c r="AZ340" i="21" s="1"/>
  <c r="S363" i="20"/>
  <c r="R342" i="21"/>
  <c r="AX342" i="21" s="1"/>
  <c r="Y446" i="20"/>
  <c r="X425" i="21"/>
  <c r="BD425" i="21" s="1"/>
  <c r="S394" i="20"/>
  <c r="R373" i="21"/>
  <c r="AX373" i="21" s="1"/>
  <c r="Q396" i="20"/>
  <c r="P375" i="21"/>
  <c r="AV375" i="21" s="1"/>
  <c r="W218" i="20"/>
  <c r="V197" i="21"/>
  <c r="BB197" i="21" s="1"/>
  <c r="T451" i="20"/>
  <c r="S430" i="21"/>
  <c r="AY430" i="21" s="1"/>
  <c r="R338" i="20"/>
  <c r="Q317" i="21"/>
  <c r="AW317" i="21" s="1"/>
  <c r="S279" i="20"/>
  <c r="R258" i="21"/>
  <c r="AX258" i="21" s="1"/>
  <c r="AB385" i="20"/>
  <c r="AA364" i="21"/>
  <c r="BG364" i="21" s="1"/>
  <c r="AU71" i="23"/>
  <c r="AU89" i="23" s="1"/>
  <c r="AU107" i="23" s="1"/>
  <c r="P174" i="21"/>
  <c r="Z99" i="20"/>
  <c r="Y78" i="21"/>
  <c r="BE78" i="21" s="1"/>
  <c r="X188" i="20"/>
  <c r="W167" i="21"/>
  <c r="BC167" i="21" s="1"/>
  <c r="AB469" i="20"/>
  <c r="AA448" i="21"/>
  <c r="BG448" i="21" s="1"/>
  <c r="V219" i="20"/>
  <c r="U198" i="21"/>
  <c r="BA198" i="21" s="1"/>
  <c r="X332" i="20"/>
  <c r="W311" i="21"/>
  <c r="BC311" i="21" s="1"/>
  <c r="AE180" i="20"/>
  <c r="AE159" i="21" s="1"/>
  <c r="BK159" i="21" s="1"/>
  <c r="AD159" i="21"/>
  <c r="BJ159" i="21" s="1"/>
  <c r="W247" i="20"/>
  <c r="V226" i="21"/>
  <c r="BB226" i="21" s="1"/>
  <c r="R364" i="20"/>
  <c r="Q343" i="21"/>
  <c r="AW343" i="21" s="1"/>
  <c r="S193" i="20"/>
  <c r="R172" i="21"/>
  <c r="AX172" i="21" s="1"/>
  <c r="U220" i="20"/>
  <c r="T199" i="21"/>
  <c r="AZ199" i="21" s="1"/>
  <c r="Z272" i="20"/>
  <c r="Y251" i="21"/>
  <c r="BE251" i="21" s="1"/>
  <c r="W44" i="20"/>
  <c r="V23" i="21"/>
  <c r="BB23" i="21" s="1"/>
  <c r="X72" i="20"/>
  <c r="W51" i="21"/>
  <c r="BC51" i="21" s="1"/>
  <c r="R49" i="20"/>
  <c r="Q28" i="21"/>
  <c r="AW28" i="21" s="1"/>
  <c r="P203" i="21"/>
  <c r="AU72" i="23"/>
  <c r="AU90" i="23" s="1"/>
  <c r="AU108" i="23" s="1"/>
  <c r="AA98" i="20"/>
  <c r="Z77" i="21"/>
  <c r="BF77" i="21" s="1"/>
  <c r="U450" i="20"/>
  <c r="T429" i="21"/>
  <c r="AZ429" i="21" s="1"/>
  <c r="AE351" i="20"/>
  <c r="AE330" i="21" s="1"/>
  <c r="BK330" i="21" s="1"/>
  <c r="AD330" i="21"/>
  <c r="BJ330" i="21" s="1"/>
  <c r="W189" i="20"/>
  <c r="V168" i="21"/>
  <c r="BB168" i="21" s="1"/>
  <c r="Z356" i="20"/>
  <c r="Y335" i="21"/>
  <c r="BE335" i="21" s="1"/>
  <c r="Z415" i="20"/>
  <c r="Y394" i="21"/>
  <c r="BE394" i="21" s="1"/>
  <c r="Y126" i="20"/>
  <c r="X105" i="21"/>
  <c r="BD105" i="21" s="1"/>
  <c r="Q281" i="20"/>
  <c r="P260" i="21"/>
  <c r="AV260" i="21" s="1"/>
  <c r="AD121" i="20"/>
  <c r="AC100" i="21"/>
  <c r="BI100" i="21" s="1"/>
  <c r="W474" i="20"/>
  <c r="V453" i="21"/>
  <c r="BB453" i="21" s="1"/>
  <c r="AA386" i="20"/>
  <c r="Z365" i="21"/>
  <c r="BF365" i="21" s="1"/>
  <c r="S106" i="20"/>
  <c r="R85" i="21"/>
  <c r="AX85" i="21" s="1"/>
  <c r="V190" i="20"/>
  <c r="U169" i="21"/>
  <c r="BA169" i="21" s="1"/>
  <c r="X389" i="20"/>
  <c r="W368" i="21"/>
  <c r="BC368" i="21" s="1"/>
  <c r="O367" i="20"/>
  <c r="N346" i="21"/>
  <c r="AT346" i="21" s="1"/>
  <c r="T362" i="20"/>
  <c r="S341" i="21"/>
  <c r="AY341" i="21" s="1"/>
  <c r="N483" i="20"/>
  <c r="M462" i="21"/>
  <c r="AS462" i="21" s="1"/>
  <c r="W275" i="20"/>
  <c r="V254" i="21"/>
  <c r="BB254" i="21" s="1"/>
  <c r="V103" i="20"/>
  <c r="U82" i="21"/>
  <c r="BA82" i="21" s="1"/>
  <c r="T76" i="20"/>
  <c r="S55" i="21"/>
  <c r="AY55" i="21" s="1"/>
  <c r="V305" i="20"/>
  <c r="U284" i="21"/>
  <c r="BA284" i="21" s="1"/>
  <c r="AA328" i="20"/>
  <c r="Z307" i="21"/>
  <c r="BF307" i="21" s="1"/>
  <c r="R479" i="20"/>
  <c r="Q458" i="21"/>
  <c r="AW458" i="21" s="1"/>
  <c r="U161" i="20"/>
  <c r="T140" i="21"/>
  <c r="AZ140" i="21" s="1"/>
  <c r="U277" i="20"/>
  <c r="T256" i="21"/>
  <c r="AZ256" i="21" s="1"/>
  <c r="AD268" i="20"/>
  <c r="AC247" i="21"/>
  <c r="BI247" i="21" s="1"/>
  <c r="Q365" i="20"/>
  <c r="P344" i="21"/>
  <c r="AV344" i="21" s="1"/>
  <c r="Q310" i="20"/>
  <c r="P289" i="21"/>
  <c r="AV289" i="21" s="1"/>
  <c r="AV290" i="21" s="1"/>
  <c r="P311" i="20"/>
  <c r="R188" i="1" s="1"/>
  <c r="AQ77" i="23"/>
  <c r="AQ95" i="23" s="1"/>
  <c r="AQ113" i="23" s="1"/>
  <c r="L348" i="21"/>
  <c r="O482" i="20"/>
  <c r="N461" i="21"/>
  <c r="AT461" i="21" s="1"/>
  <c r="AE93" i="20"/>
  <c r="AE72" i="21" s="1"/>
  <c r="BK72" i="21" s="1"/>
  <c r="AD72" i="21"/>
  <c r="BJ72" i="21" s="1"/>
  <c r="AB413" i="20"/>
  <c r="AA392" i="21"/>
  <c r="BG392" i="21" s="1"/>
  <c r="V160" i="20"/>
  <c r="U139" i="21"/>
  <c r="BA139" i="21" s="1"/>
  <c r="W102" i="20"/>
  <c r="V81" i="21"/>
  <c r="BB81" i="21" s="1"/>
  <c r="AE36" i="20"/>
  <c r="AE15" i="21" s="1"/>
  <c r="BK15" i="21" s="1"/>
  <c r="AD15" i="21"/>
  <c r="BJ15" i="21" s="1"/>
  <c r="X158" i="20"/>
  <c r="W137" i="21"/>
  <c r="BC137" i="21" s="1"/>
  <c r="Q425" i="20"/>
  <c r="P404" i="21"/>
  <c r="AV404" i="21" s="1"/>
  <c r="S48" i="20"/>
  <c r="R27" i="21"/>
  <c r="AX27" i="21" s="1"/>
  <c r="K29" i="21"/>
  <c r="AP66" i="23"/>
  <c r="AP84" i="23" s="1"/>
  <c r="AP102" i="23" s="1"/>
  <c r="J377" i="21"/>
  <c r="AO78" i="23"/>
  <c r="AO96" i="23" s="1"/>
  <c r="AO114" i="23" s="1"/>
  <c r="K398" i="20"/>
  <c r="M192" i="1" s="1"/>
  <c r="K351" i="21"/>
  <c r="L372" i="20"/>
  <c r="L235" i="21"/>
  <c r="M256" i="20"/>
  <c r="L50" i="20"/>
  <c r="N177" i="1" s="1"/>
  <c r="L3" i="21"/>
  <c r="M24" i="20"/>
  <c r="AQ351" i="21" l="1"/>
  <c r="AQ377" i="21" s="1"/>
  <c r="J21" i="1" s="1"/>
  <c r="J23" i="1" s="1"/>
  <c r="AR235" i="21"/>
  <c r="AR261" i="21" s="1"/>
  <c r="K15" i="1" s="1"/>
  <c r="K17" i="1" s="1"/>
  <c r="AV144" i="21"/>
  <c r="AV145" i="21" s="1"/>
  <c r="O9" i="1" s="1"/>
  <c r="O11" i="1" s="1"/>
  <c r="AR3" i="21"/>
  <c r="AR29" i="21" s="1"/>
  <c r="K3" i="1" s="1"/>
  <c r="K5" i="1" s="1"/>
  <c r="T48" i="20"/>
  <c r="S27" i="21"/>
  <c r="AY27" i="21" s="1"/>
  <c r="X102" i="20"/>
  <c r="W81" i="21"/>
  <c r="BC81" i="21" s="1"/>
  <c r="P482" i="20"/>
  <c r="O461" i="21"/>
  <c r="AU461" i="21" s="1"/>
  <c r="S78" i="20"/>
  <c r="R57" i="21"/>
  <c r="AX57" i="21" s="1"/>
  <c r="AX58" i="21" s="1"/>
  <c r="R79" i="20"/>
  <c r="R165" i="20"/>
  <c r="Q144" i="21"/>
  <c r="Q166" i="20"/>
  <c r="S182" i="1" s="1"/>
  <c r="AA156" i="20"/>
  <c r="Z135" i="21"/>
  <c r="BF135" i="21" s="1"/>
  <c r="S252" i="20"/>
  <c r="R231" i="21"/>
  <c r="AX231" i="21" s="1"/>
  <c r="AX232" i="21" s="1"/>
  <c r="R253" i="20"/>
  <c r="T185" i="1" s="1"/>
  <c r="AA125" i="20"/>
  <c r="Z104" i="21"/>
  <c r="BF104" i="21" s="1"/>
  <c r="U393" i="20"/>
  <c r="T372" i="21"/>
  <c r="AZ372" i="21" s="1"/>
  <c r="V335" i="20"/>
  <c r="U314" i="21"/>
  <c r="BA314" i="21" s="1"/>
  <c r="X390" i="20"/>
  <c r="W369" i="21"/>
  <c r="BC369" i="21" s="1"/>
  <c r="N484" i="20"/>
  <c r="M463" i="21"/>
  <c r="AS463" i="21" s="1"/>
  <c r="AS464" i="21" s="1"/>
  <c r="M485" i="20"/>
  <c r="O195" i="1" s="1"/>
  <c r="AC123" i="20"/>
  <c r="AB102" i="21"/>
  <c r="BH102" i="21" s="1"/>
  <c r="T222" i="20"/>
  <c r="S201" i="21"/>
  <c r="AY201" i="21" s="1"/>
  <c r="W248" i="20"/>
  <c r="V227" i="21"/>
  <c r="BB227" i="21" s="1"/>
  <c r="Y274" i="20"/>
  <c r="X253" i="21"/>
  <c r="BD253" i="21" s="1"/>
  <c r="AB68" i="20"/>
  <c r="AA47" i="21"/>
  <c r="BG47" i="21" s="1"/>
  <c r="Z157" i="20"/>
  <c r="Y136" i="21"/>
  <c r="BE136" i="21" s="1"/>
  <c r="U192" i="20"/>
  <c r="T171" i="21"/>
  <c r="AZ171" i="21" s="1"/>
  <c r="AB242" i="20"/>
  <c r="AA221" i="21"/>
  <c r="BG221" i="21" s="1"/>
  <c r="AE181" i="20"/>
  <c r="AE160" i="21" s="1"/>
  <c r="BK160" i="21" s="1"/>
  <c r="AD160" i="21"/>
  <c r="BJ160" i="21" s="1"/>
  <c r="P290" i="21"/>
  <c r="AU75" i="23"/>
  <c r="AU93" i="23" s="1"/>
  <c r="AU111" i="23" s="1"/>
  <c r="R365" i="20"/>
  <c r="Q344" i="21"/>
  <c r="AW344" i="21" s="1"/>
  <c r="V277" i="20"/>
  <c r="U256" i="21"/>
  <c r="BA256" i="21" s="1"/>
  <c r="S479" i="20"/>
  <c r="R458" i="21"/>
  <c r="AX458" i="21" s="1"/>
  <c r="W305" i="20"/>
  <c r="V284" i="21"/>
  <c r="BB284" i="21" s="1"/>
  <c r="W103" i="20"/>
  <c r="V82" i="21"/>
  <c r="BB82" i="21" s="1"/>
  <c r="O483" i="20"/>
  <c r="N462" i="21"/>
  <c r="AT462" i="21" s="1"/>
  <c r="P367" i="20"/>
  <c r="O346" i="21"/>
  <c r="AU346" i="21" s="1"/>
  <c r="W190" i="20"/>
  <c r="V169" i="21"/>
  <c r="BB169" i="21" s="1"/>
  <c r="AB386" i="20"/>
  <c r="AA365" i="21"/>
  <c r="BG365" i="21" s="1"/>
  <c r="AE121" i="20"/>
  <c r="AE100" i="21" s="1"/>
  <c r="BK100" i="21" s="1"/>
  <c r="AD100" i="21"/>
  <c r="BJ100" i="21" s="1"/>
  <c r="Z126" i="20"/>
  <c r="Y105" i="21"/>
  <c r="BE105" i="21" s="1"/>
  <c r="AA356" i="20"/>
  <c r="Z335" i="21"/>
  <c r="BF335" i="21" s="1"/>
  <c r="AB98" i="20"/>
  <c r="AA77" i="21"/>
  <c r="BG77" i="21" s="1"/>
  <c r="S49" i="20"/>
  <c r="R28" i="21"/>
  <c r="AX28" i="21" s="1"/>
  <c r="X44" i="20"/>
  <c r="W23" i="21"/>
  <c r="BC23" i="21" s="1"/>
  <c r="V220" i="20"/>
  <c r="U199" i="21"/>
  <c r="BA199" i="21" s="1"/>
  <c r="S364" i="20"/>
  <c r="R343" i="21"/>
  <c r="AX343" i="21" s="1"/>
  <c r="W219" i="20"/>
  <c r="V198" i="21"/>
  <c r="BB198" i="21" s="1"/>
  <c r="Y188" i="20"/>
  <c r="X167" i="21"/>
  <c r="BD167" i="21" s="1"/>
  <c r="T279" i="20"/>
  <c r="S258" i="21"/>
  <c r="AY258" i="21" s="1"/>
  <c r="U451" i="20"/>
  <c r="T430" i="21"/>
  <c r="AZ430" i="21" s="1"/>
  <c r="R396" i="20"/>
  <c r="Q375" i="21"/>
  <c r="AW375" i="21" s="1"/>
  <c r="Z446" i="20"/>
  <c r="Y425" i="21"/>
  <c r="BE425" i="21" s="1"/>
  <c r="V361" i="20"/>
  <c r="U340" i="21"/>
  <c r="BA340" i="21" s="1"/>
  <c r="Y127" i="20"/>
  <c r="X106" i="21"/>
  <c r="BD106" i="21" s="1"/>
  <c r="R454" i="20"/>
  <c r="Q433" i="21"/>
  <c r="AW433" i="21" s="1"/>
  <c r="T478" i="20"/>
  <c r="S457" i="21"/>
  <c r="AY457" i="21" s="1"/>
  <c r="AE467" i="20"/>
  <c r="AE446" i="21" s="1"/>
  <c r="BK446" i="21" s="1"/>
  <c r="AD446" i="21"/>
  <c r="BJ446" i="21" s="1"/>
  <c r="S107" i="20"/>
  <c r="R86" i="21"/>
  <c r="AX86" i="21" s="1"/>
  <c r="AX87" i="21" s="1"/>
  <c r="R108" i="20"/>
  <c r="Z273" i="20"/>
  <c r="Y252" i="21"/>
  <c r="BE252" i="21" s="1"/>
  <c r="P136" i="20"/>
  <c r="O115" i="21"/>
  <c r="AU115" i="21" s="1"/>
  <c r="AU116" i="21" s="1"/>
  <c r="O137" i="20"/>
  <c r="T77" i="20"/>
  <c r="S56" i="21"/>
  <c r="AY56" i="21" s="1"/>
  <c r="AE325" i="20"/>
  <c r="AE304" i="21" s="1"/>
  <c r="BK304" i="21" s="1"/>
  <c r="AD304" i="21"/>
  <c r="BJ304" i="21" s="1"/>
  <c r="T423" i="20"/>
  <c r="S402" i="21"/>
  <c r="AY402" i="21" s="1"/>
  <c r="Z472" i="20"/>
  <c r="Y451" i="21"/>
  <c r="BE451" i="21" s="1"/>
  <c r="AC327" i="20"/>
  <c r="AB306" i="21"/>
  <c r="BH306" i="21" s="1"/>
  <c r="U131" i="20"/>
  <c r="T110" i="21"/>
  <c r="AZ110" i="21" s="1"/>
  <c r="Z100" i="20"/>
  <c r="Y79" i="21"/>
  <c r="BE79" i="21" s="1"/>
  <c r="Q426" i="20"/>
  <c r="P405" i="21"/>
  <c r="AV405" i="21" s="1"/>
  <c r="AV406" i="21" s="1"/>
  <c r="P427" i="20"/>
  <c r="R193" i="1" s="1"/>
  <c r="V392" i="20"/>
  <c r="U371" i="21"/>
  <c r="BA371" i="21" s="1"/>
  <c r="AD468" i="20"/>
  <c r="AC447" i="21"/>
  <c r="BI447" i="21" s="1"/>
  <c r="AB271" i="20"/>
  <c r="AA250" i="21"/>
  <c r="BG250" i="21" s="1"/>
  <c r="AB184" i="20"/>
  <c r="AA163" i="21"/>
  <c r="BG163" i="21" s="1"/>
  <c r="U162" i="20"/>
  <c r="T141" i="21"/>
  <c r="AZ141" i="21" s="1"/>
  <c r="AE210" i="20"/>
  <c r="AE189" i="21" s="1"/>
  <c r="BK189" i="21" s="1"/>
  <c r="AD189" i="21"/>
  <c r="BJ189" i="21" s="1"/>
  <c r="AA300" i="20"/>
  <c r="Z279" i="21"/>
  <c r="BF279" i="21" s="1"/>
  <c r="AC270" i="20"/>
  <c r="AB249" i="21"/>
  <c r="BH249" i="21" s="1"/>
  <c r="V191" i="20"/>
  <c r="U170" i="21"/>
  <c r="BA170" i="21" s="1"/>
  <c r="AE383" i="20"/>
  <c r="AE362" i="21" s="1"/>
  <c r="BK362" i="21" s="1"/>
  <c r="AD362" i="21"/>
  <c r="BJ362" i="21" s="1"/>
  <c r="AA330" i="20"/>
  <c r="Z309" i="21"/>
  <c r="BF309" i="21" s="1"/>
  <c r="AV72" i="23"/>
  <c r="AV90" i="23" s="1"/>
  <c r="AV108" i="23" s="1"/>
  <c r="Q203" i="21"/>
  <c r="AD384" i="20"/>
  <c r="AC363" i="21"/>
  <c r="BI363" i="21" s="1"/>
  <c r="AC183" i="20"/>
  <c r="AB162" i="21"/>
  <c r="BH162" i="21" s="1"/>
  <c r="T452" i="20"/>
  <c r="S431" i="21"/>
  <c r="AY431" i="21" s="1"/>
  <c r="AE239" i="20"/>
  <c r="AE218" i="21" s="1"/>
  <c r="BK218" i="21" s="1"/>
  <c r="AD218" i="21"/>
  <c r="BJ218" i="21" s="1"/>
  <c r="V75" i="20"/>
  <c r="U54" i="21"/>
  <c r="BA54" i="21" s="1"/>
  <c r="T132" i="20"/>
  <c r="S111" i="21"/>
  <c r="AY111" i="21" s="1"/>
  <c r="U336" i="20"/>
  <c r="T315" i="21"/>
  <c r="AZ315" i="21" s="1"/>
  <c r="R339" i="20"/>
  <c r="Q318" i="21"/>
  <c r="AW318" i="21" s="1"/>
  <c r="AW319" i="21" s="1"/>
  <c r="Q340" i="20"/>
  <c r="S189" i="1" s="1"/>
  <c r="W334" i="20"/>
  <c r="V313" i="21"/>
  <c r="BB313" i="21" s="1"/>
  <c r="Y158" i="20"/>
  <c r="X137" i="21"/>
  <c r="BD137" i="21" s="1"/>
  <c r="AC413" i="20"/>
  <c r="AB392" i="21"/>
  <c r="BH392" i="21" s="1"/>
  <c r="Y246" i="20"/>
  <c r="X225" i="21"/>
  <c r="BD225" i="21" s="1"/>
  <c r="S395" i="20"/>
  <c r="R374" i="21"/>
  <c r="AX374" i="21" s="1"/>
  <c r="Z71" i="20"/>
  <c r="Y50" i="21"/>
  <c r="BE50" i="21" s="1"/>
  <c r="Q455" i="20"/>
  <c r="P434" i="21"/>
  <c r="AV434" i="21" s="1"/>
  <c r="AV435" i="21" s="1"/>
  <c r="P456" i="20"/>
  <c r="R194" i="1" s="1"/>
  <c r="AB124" i="20"/>
  <c r="AA103" i="21"/>
  <c r="BG103" i="21" s="1"/>
  <c r="AD441" i="20"/>
  <c r="AC420" i="21"/>
  <c r="BI420" i="21" s="1"/>
  <c r="V46" i="20"/>
  <c r="U25" i="21"/>
  <c r="BA25" i="21" s="1"/>
  <c r="AR77" i="23"/>
  <c r="AR95" i="23" s="1"/>
  <c r="AR113" i="23" s="1"/>
  <c r="M348" i="21"/>
  <c r="X419" i="20"/>
  <c r="W398" i="21"/>
  <c r="BC398" i="21" s="1"/>
  <c r="U422" i="20"/>
  <c r="T401" i="21"/>
  <c r="AZ401" i="21" s="1"/>
  <c r="AA444" i="20"/>
  <c r="Z423" i="21"/>
  <c r="BF423" i="21" s="1"/>
  <c r="AD211" i="20"/>
  <c r="AC190" i="21"/>
  <c r="BI190" i="21" s="1"/>
  <c r="R480" i="20"/>
  <c r="Q459" i="21"/>
  <c r="AW459" i="21" s="1"/>
  <c r="U250" i="20"/>
  <c r="T229" i="21"/>
  <c r="AZ229" i="21" s="1"/>
  <c r="AB355" i="20"/>
  <c r="AA334" i="21"/>
  <c r="BG334" i="21" s="1"/>
  <c r="Y447" i="20"/>
  <c r="X426" i="21"/>
  <c r="BD426" i="21" s="1"/>
  <c r="AB69" i="20"/>
  <c r="AA48" i="21"/>
  <c r="BG48" i="21" s="1"/>
  <c r="S309" i="20"/>
  <c r="R288" i="21"/>
  <c r="AX288" i="21" s="1"/>
  <c r="S194" i="20"/>
  <c r="R173" i="21"/>
  <c r="AX173" i="21" s="1"/>
  <c r="AX174" i="21" s="1"/>
  <c r="R195" i="20"/>
  <c r="T183" i="1" s="1"/>
  <c r="W475" i="20"/>
  <c r="V454" i="21"/>
  <c r="BB454" i="21" s="1"/>
  <c r="AD122" i="20"/>
  <c r="AC101" i="21"/>
  <c r="BI101" i="21" s="1"/>
  <c r="Z416" i="20"/>
  <c r="Y395" i="21"/>
  <c r="BE395" i="21" s="1"/>
  <c r="AB214" i="20"/>
  <c r="AA193" i="21"/>
  <c r="BG193" i="21" s="1"/>
  <c r="AA301" i="20"/>
  <c r="Z280" i="21"/>
  <c r="BF280" i="21" s="1"/>
  <c r="AE65" i="20"/>
  <c r="AE44" i="21" s="1"/>
  <c r="BK44" i="21" s="1"/>
  <c r="AD44" i="21"/>
  <c r="BJ44" i="21" s="1"/>
  <c r="Q481" i="20"/>
  <c r="P460" i="21"/>
  <c r="AV460" i="21" s="1"/>
  <c r="AD182" i="20"/>
  <c r="AC161" i="21"/>
  <c r="BI161" i="21" s="1"/>
  <c r="AD412" i="20"/>
  <c r="AC391" i="21"/>
  <c r="BI391" i="21" s="1"/>
  <c r="AD95" i="20"/>
  <c r="AC74" i="21"/>
  <c r="BI74" i="21" s="1"/>
  <c r="V130" i="20"/>
  <c r="U109" i="21"/>
  <c r="BA109" i="21" s="1"/>
  <c r="X73" i="20"/>
  <c r="W52" i="21"/>
  <c r="BC52" i="21" s="1"/>
  <c r="T337" i="20"/>
  <c r="S316" i="21"/>
  <c r="AY316" i="21" s="1"/>
  <c r="Y303" i="20"/>
  <c r="X282" i="21"/>
  <c r="BD282" i="21" s="1"/>
  <c r="R310" i="20"/>
  <c r="Q289" i="21"/>
  <c r="AW289" i="21" s="1"/>
  <c r="AW290" i="21" s="1"/>
  <c r="Q311" i="20"/>
  <c r="S188" i="1" s="1"/>
  <c r="AE268" i="20"/>
  <c r="AE247" i="21" s="1"/>
  <c r="BK247" i="21" s="1"/>
  <c r="AD247" i="21"/>
  <c r="BJ247" i="21" s="1"/>
  <c r="V161" i="20"/>
  <c r="U140" i="21"/>
  <c r="BA140" i="21" s="1"/>
  <c r="AB328" i="20"/>
  <c r="AA307" i="21"/>
  <c r="BG307" i="21" s="1"/>
  <c r="U76" i="20"/>
  <c r="T55" i="21"/>
  <c r="AZ55" i="21" s="1"/>
  <c r="X275" i="20"/>
  <c r="W254" i="21"/>
  <c r="BC254" i="21" s="1"/>
  <c r="U362" i="20"/>
  <c r="T341" i="21"/>
  <c r="AZ341" i="21" s="1"/>
  <c r="Y389" i="20"/>
  <c r="X368" i="21"/>
  <c r="BD368" i="21" s="1"/>
  <c r="T106" i="20"/>
  <c r="S85" i="21"/>
  <c r="AY85" i="21" s="1"/>
  <c r="X474" i="20"/>
  <c r="W453" i="21"/>
  <c r="BC453" i="21" s="1"/>
  <c r="R281" i="20"/>
  <c r="Q260" i="21"/>
  <c r="AW260" i="21" s="1"/>
  <c r="AA415" i="20"/>
  <c r="Z394" i="21"/>
  <c r="BF394" i="21" s="1"/>
  <c r="X189" i="20"/>
  <c r="W168" i="21"/>
  <c r="BC168" i="21" s="1"/>
  <c r="V450" i="20"/>
  <c r="U429" i="21"/>
  <c r="BA429" i="21" s="1"/>
  <c r="Y72" i="20"/>
  <c r="X51" i="21"/>
  <c r="BD51" i="21" s="1"/>
  <c r="AA272" i="20"/>
  <c r="Z251" i="21"/>
  <c r="BF251" i="21" s="1"/>
  <c r="T193" i="20"/>
  <c r="S172" i="21"/>
  <c r="AY172" i="21" s="1"/>
  <c r="X247" i="20"/>
  <c r="W226" i="21"/>
  <c r="BC226" i="21" s="1"/>
  <c r="Y332" i="20"/>
  <c r="X311" i="21"/>
  <c r="BD311" i="21" s="1"/>
  <c r="AC469" i="20"/>
  <c r="AB448" i="21"/>
  <c r="BH448" i="21" s="1"/>
  <c r="AA99" i="20"/>
  <c r="Z78" i="21"/>
  <c r="BF78" i="21" s="1"/>
  <c r="AC385" i="20"/>
  <c r="AB364" i="21"/>
  <c r="BH364" i="21" s="1"/>
  <c r="S338" i="20"/>
  <c r="R317" i="21"/>
  <c r="AX317" i="21" s="1"/>
  <c r="X218" i="20"/>
  <c r="W197" i="21"/>
  <c r="BC197" i="21" s="1"/>
  <c r="T394" i="20"/>
  <c r="S373" i="21"/>
  <c r="AY373" i="21" s="1"/>
  <c r="T363" i="20"/>
  <c r="S342" i="21"/>
  <c r="AY342" i="21" s="1"/>
  <c r="V306" i="20"/>
  <c r="U285" i="21"/>
  <c r="BA285" i="21" s="1"/>
  <c r="AD240" i="20"/>
  <c r="AC219" i="21"/>
  <c r="BI219" i="21" s="1"/>
  <c r="AD38" i="20"/>
  <c r="AC17" i="21"/>
  <c r="BI17" i="21" s="1"/>
  <c r="Y473" i="20"/>
  <c r="X452" i="21"/>
  <c r="BD452" i="21" s="1"/>
  <c r="Z331" i="20"/>
  <c r="Y310" i="21"/>
  <c r="BE310" i="21" s="1"/>
  <c r="AA70" i="20"/>
  <c r="Z49" i="21"/>
  <c r="BF49" i="21" s="1"/>
  <c r="AB443" i="20"/>
  <c r="AA422" i="21"/>
  <c r="BG422" i="21" s="1"/>
  <c r="S179" i="1"/>
  <c r="AV68" i="23"/>
  <c r="AV86" i="23" s="1"/>
  <c r="AV104" i="23" s="1"/>
  <c r="Q87" i="21"/>
  <c r="Y418" i="20"/>
  <c r="X397" i="21"/>
  <c r="BD397" i="21" s="1"/>
  <c r="AD153" i="20"/>
  <c r="AC132" i="21"/>
  <c r="BI132" i="21" s="1"/>
  <c r="P180" i="1"/>
  <c r="AS69" i="23"/>
  <c r="AS87" i="23" s="1"/>
  <c r="AS105" i="23" s="1"/>
  <c r="N116" i="21"/>
  <c r="Z42" i="20"/>
  <c r="Y21" i="21"/>
  <c r="BE21" i="21" s="1"/>
  <c r="AD353" i="20"/>
  <c r="AC332" i="21"/>
  <c r="BI332" i="21" s="1"/>
  <c r="AC354" i="20"/>
  <c r="AB333" i="21"/>
  <c r="BH333" i="21" s="1"/>
  <c r="Z445" i="20"/>
  <c r="Y424" i="21"/>
  <c r="BE424" i="21" s="1"/>
  <c r="AB299" i="20"/>
  <c r="AA278" i="21"/>
  <c r="BG278" i="21" s="1"/>
  <c r="AE152" i="20"/>
  <c r="AE131" i="21" s="1"/>
  <c r="BK131" i="21" s="1"/>
  <c r="AD131" i="21"/>
  <c r="BJ131" i="21" s="1"/>
  <c r="U278" i="20"/>
  <c r="T257" i="21"/>
  <c r="AZ257" i="21" s="1"/>
  <c r="V249" i="20"/>
  <c r="U228" i="21"/>
  <c r="BA228" i="21" s="1"/>
  <c r="AD66" i="20"/>
  <c r="AC45" i="21"/>
  <c r="BI45" i="21" s="1"/>
  <c r="AT79" i="23"/>
  <c r="AT97" i="23" s="1"/>
  <c r="AT115" i="23" s="1"/>
  <c r="O406" i="21"/>
  <c r="S424" i="20"/>
  <c r="R403" i="21"/>
  <c r="AX403" i="21" s="1"/>
  <c r="V104" i="20"/>
  <c r="U83" i="21"/>
  <c r="BA83" i="21" s="1"/>
  <c r="Z216" i="20"/>
  <c r="Y195" i="21"/>
  <c r="BE195" i="21" s="1"/>
  <c r="Z302" i="20"/>
  <c r="Y281" i="21"/>
  <c r="BE281" i="21" s="1"/>
  <c r="AE94" i="20"/>
  <c r="AE73" i="21" s="1"/>
  <c r="BK73" i="21" s="1"/>
  <c r="AD73" i="21"/>
  <c r="BJ73" i="21" s="1"/>
  <c r="AB243" i="20"/>
  <c r="AA222" i="21"/>
  <c r="BG222" i="21" s="1"/>
  <c r="W360" i="20"/>
  <c r="V339" i="21"/>
  <c r="BB339" i="21" s="1"/>
  <c r="AB185" i="20"/>
  <c r="AA164" i="21"/>
  <c r="BG164" i="21" s="1"/>
  <c r="Z388" i="20"/>
  <c r="Y367" i="21"/>
  <c r="BE367" i="21" s="1"/>
  <c r="AE411" i="20"/>
  <c r="AE390" i="21" s="1"/>
  <c r="BK390" i="21" s="1"/>
  <c r="AD390" i="21"/>
  <c r="BJ390" i="21" s="1"/>
  <c r="S223" i="20"/>
  <c r="R202" i="21"/>
  <c r="AX202" i="21" s="1"/>
  <c r="AX203" i="21" s="1"/>
  <c r="R224" i="20"/>
  <c r="T184" i="1" s="1"/>
  <c r="AA471" i="20"/>
  <c r="Z450" i="21"/>
  <c r="BF450" i="21" s="1"/>
  <c r="AC298" i="20"/>
  <c r="AB277" i="21"/>
  <c r="BH277" i="21" s="1"/>
  <c r="AE296" i="20"/>
  <c r="AE275" i="21" s="1"/>
  <c r="BK275" i="21" s="1"/>
  <c r="AD275" i="21"/>
  <c r="BJ275" i="21" s="1"/>
  <c r="U307" i="20"/>
  <c r="T286" i="21"/>
  <c r="AZ286" i="21" s="1"/>
  <c r="AA215" i="20"/>
  <c r="Z194" i="21"/>
  <c r="BF194" i="21" s="1"/>
  <c r="W276" i="20"/>
  <c r="V255" i="21"/>
  <c r="BB255" i="21" s="1"/>
  <c r="Z357" i="20"/>
  <c r="Y336" i="21"/>
  <c r="BE336" i="21" s="1"/>
  <c r="AU76" i="23"/>
  <c r="AU94" i="23" s="1"/>
  <c r="AU112" i="23" s="1"/>
  <c r="P319" i="21"/>
  <c r="X128" i="20"/>
  <c r="W107" i="21"/>
  <c r="BC107" i="21" s="1"/>
  <c r="AC67" i="20"/>
  <c r="AB46" i="21"/>
  <c r="BH46" i="21" s="1"/>
  <c r="Y217" i="20"/>
  <c r="X196" i="21"/>
  <c r="BD196" i="21" s="1"/>
  <c r="Q135" i="20"/>
  <c r="P114" i="21"/>
  <c r="AV114" i="21" s="1"/>
  <c r="W129" i="20"/>
  <c r="V108" i="21"/>
  <c r="BB108" i="21" s="1"/>
  <c r="W74" i="20"/>
  <c r="V53" i="21"/>
  <c r="BB53" i="21" s="1"/>
  <c r="R425" i="20"/>
  <c r="Q404" i="21"/>
  <c r="AW404" i="21" s="1"/>
  <c r="W160" i="20"/>
  <c r="V139" i="21"/>
  <c r="BB139" i="21" s="1"/>
  <c r="S178" i="1"/>
  <c r="AV67" i="23"/>
  <c r="AV85" i="23" s="1"/>
  <c r="AV103" i="23" s="1"/>
  <c r="Q58" i="21"/>
  <c r="AU70" i="23"/>
  <c r="AU88" i="23" s="1"/>
  <c r="AU106" i="23" s="1"/>
  <c r="P145" i="21"/>
  <c r="W449" i="20"/>
  <c r="V428" i="21"/>
  <c r="BB428" i="21" s="1"/>
  <c r="Z187" i="20"/>
  <c r="Y166" i="21"/>
  <c r="BE166" i="21" s="1"/>
  <c r="S164" i="20"/>
  <c r="R143" i="21"/>
  <c r="AX143" i="21" s="1"/>
  <c r="AE352" i="20"/>
  <c r="AE331" i="21" s="1"/>
  <c r="BK331" i="21" s="1"/>
  <c r="AD331" i="21"/>
  <c r="BJ331" i="21" s="1"/>
  <c r="AC442" i="20"/>
  <c r="AB421" i="21"/>
  <c r="BH421" i="21" s="1"/>
  <c r="Q232" i="21"/>
  <c r="AV73" i="23"/>
  <c r="AV91" i="23" s="1"/>
  <c r="AV109" i="23" s="1"/>
  <c r="U105" i="20"/>
  <c r="T84" i="21"/>
  <c r="AZ84" i="21" s="1"/>
  <c r="X359" i="20"/>
  <c r="W338" i="21"/>
  <c r="BC338" i="21" s="1"/>
  <c r="AB213" i="20"/>
  <c r="AA192" i="21"/>
  <c r="BG192" i="21" s="1"/>
  <c r="AB97" i="20"/>
  <c r="AA76" i="21"/>
  <c r="BG76" i="21" s="1"/>
  <c r="AA387" i="20"/>
  <c r="Z366" i="21"/>
  <c r="BF366" i="21" s="1"/>
  <c r="O435" i="21"/>
  <c r="AT80" i="23"/>
  <c r="AT98" i="23" s="1"/>
  <c r="AT116" i="23" s="1"/>
  <c r="W420" i="20"/>
  <c r="V399" i="21"/>
  <c r="BB399" i="21" s="1"/>
  <c r="V476" i="20"/>
  <c r="U455" i="21"/>
  <c r="BA455" i="21" s="1"/>
  <c r="U477" i="20"/>
  <c r="T456" i="21"/>
  <c r="AZ456" i="21" s="1"/>
  <c r="AA329" i="20"/>
  <c r="Z308" i="21"/>
  <c r="BF308" i="21" s="1"/>
  <c r="V421" i="20"/>
  <c r="U400" i="21"/>
  <c r="BA400" i="21" s="1"/>
  <c r="AC241" i="20"/>
  <c r="AB220" i="21"/>
  <c r="BH220" i="21" s="1"/>
  <c r="Z245" i="20"/>
  <c r="Y224" i="21"/>
  <c r="BE224" i="21" s="1"/>
  <c r="S133" i="20"/>
  <c r="R112" i="21"/>
  <c r="AX112" i="21" s="1"/>
  <c r="AQ81" i="23"/>
  <c r="AQ99" i="23" s="1"/>
  <c r="AQ117" i="23" s="1"/>
  <c r="L464" i="21"/>
  <c r="Y101" i="20"/>
  <c r="X80" i="21"/>
  <c r="BD80" i="21" s="1"/>
  <c r="O368" i="20"/>
  <c r="N347" i="21"/>
  <c r="AT347" i="21" s="1"/>
  <c r="AT348" i="21" s="1"/>
  <c r="N369" i="20"/>
  <c r="P190" i="1" s="1"/>
  <c r="X333" i="20"/>
  <c r="W312" i="21"/>
  <c r="BC312" i="21" s="1"/>
  <c r="U221" i="20"/>
  <c r="T200" i="21"/>
  <c r="AZ200" i="21" s="1"/>
  <c r="W45" i="20"/>
  <c r="V24" i="21"/>
  <c r="BB24" i="21" s="1"/>
  <c r="Y358" i="20"/>
  <c r="X337" i="21"/>
  <c r="BD337" i="21" s="1"/>
  <c r="U47" i="20"/>
  <c r="T26" i="21"/>
  <c r="AZ26" i="21" s="1"/>
  <c r="T308" i="20"/>
  <c r="S287" i="21"/>
  <c r="AY287" i="21" s="1"/>
  <c r="Z417" i="20"/>
  <c r="Y396" i="21"/>
  <c r="BE396" i="21" s="1"/>
  <c r="AA41" i="20"/>
  <c r="Z20" i="21"/>
  <c r="BF20" i="21" s="1"/>
  <c r="AE440" i="20"/>
  <c r="AE419" i="21" s="1"/>
  <c r="BK419" i="21" s="1"/>
  <c r="AD419" i="21"/>
  <c r="BJ419" i="21" s="1"/>
  <c r="AB155" i="20"/>
  <c r="AA134" i="21"/>
  <c r="BG134" i="21" s="1"/>
  <c r="S453" i="20"/>
  <c r="R432" i="21"/>
  <c r="AX432" i="21" s="1"/>
  <c r="X159" i="20"/>
  <c r="W138" i="21"/>
  <c r="BC138" i="21" s="1"/>
  <c r="Q174" i="21"/>
  <c r="AV71" i="23"/>
  <c r="AV89" i="23" s="1"/>
  <c r="AV107" i="23" s="1"/>
  <c r="X448" i="20"/>
  <c r="W427" i="21"/>
  <c r="BC427" i="21" s="1"/>
  <c r="AE37" i="20"/>
  <c r="AE16" i="21" s="1"/>
  <c r="BK16" i="21" s="1"/>
  <c r="AD16" i="21"/>
  <c r="BJ16" i="21" s="1"/>
  <c r="AD297" i="20"/>
  <c r="AC276" i="21"/>
  <c r="BI276" i="21" s="1"/>
  <c r="AC96" i="20"/>
  <c r="AB75" i="21"/>
  <c r="BH75" i="21" s="1"/>
  <c r="AB470" i="20"/>
  <c r="AA449" i="21"/>
  <c r="BG449" i="21" s="1"/>
  <c r="Y43" i="20"/>
  <c r="X22" i="21"/>
  <c r="BD22" i="21" s="1"/>
  <c r="R134" i="20"/>
  <c r="Q113" i="21"/>
  <c r="AW113" i="21" s="1"/>
  <c r="X304" i="20"/>
  <c r="W283" i="21"/>
  <c r="BC283" i="21" s="1"/>
  <c r="AC154" i="20"/>
  <c r="AB133" i="21"/>
  <c r="BH133" i="21" s="1"/>
  <c r="AA244" i="20"/>
  <c r="Z223" i="21"/>
  <c r="BF223" i="21" s="1"/>
  <c r="AD326" i="20"/>
  <c r="AC305" i="21"/>
  <c r="BI305" i="21" s="1"/>
  <c r="Q397" i="20"/>
  <c r="P376" i="21"/>
  <c r="AV376" i="21" s="1"/>
  <c r="AC212" i="20"/>
  <c r="AB191" i="21"/>
  <c r="BH191" i="21" s="1"/>
  <c r="T163" i="20"/>
  <c r="S142" i="21"/>
  <c r="AY142" i="21" s="1"/>
  <c r="AC39" i="20"/>
  <c r="AB18" i="21"/>
  <c r="BH18" i="21" s="1"/>
  <c r="T251" i="20"/>
  <c r="S230" i="21"/>
  <c r="AY230" i="21" s="1"/>
  <c r="Q366" i="20"/>
  <c r="P345" i="21"/>
  <c r="AV345" i="21" s="1"/>
  <c r="AA186" i="20"/>
  <c r="Z165" i="21"/>
  <c r="BF165" i="21" s="1"/>
  <c r="AB40" i="20"/>
  <c r="AA19" i="21"/>
  <c r="BG19" i="21" s="1"/>
  <c r="S280" i="20"/>
  <c r="R259" i="21"/>
  <c r="AX259" i="21" s="1"/>
  <c r="W391" i="20"/>
  <c r="V370" i="21"/>
  <c r="BB370" i="21" s="1"/>
  <c r="AD269" i="20"/>
  <c r="AC248" i="21"/>
  <c r="BI248" i="21" s="1"/>
  <c r="AB414" i="20"/>
  <c r="AA393" i="21"/>
  <c r="BG393" i="21" s="1"/>
  <c r="L29" i="21"/>
  <c r="AQ66" i="23"/>
  <c r="AQ84" i="23" s="1"/>
  <c r="AQ102" i="23" s="1"/>
  <c r="K377" i="21"/>
  <c r="AP78" i="23"/>
  <c r="AP96" i="23" s="1"/>
  <c r="AP114" i="23" s="1"/>
  <c r="L351" i="21"/>
  <c r="L398" i="20"/>
  <c r="N192" i="1" s="1"/>
  <c r="M372" i="20"/>
  <c r="M50" i="20"/>
  <c r="O177" i="1" s="1"/>
  <c r="M3" i="21"/>
  <c r="N24" i="20"/>
  <c r="M235" i="21"/>
  <c r="N256" i="20"/>
  <c r="AS235" i="21" l="1"/>
  <c r="AS261" i="21" s="1"/>
  <c r="L15" i="1" s="1"/>
  <c r="L17" i="1" s="1"/>
  <c r="AR351" i="21"/>
  <c r="AR377" i="21" s="1"/>
  <c r="K21" i="1" s="1"/>
  <c r="K23" i="1" s="1"/>
  <c r="AW144" i="21"/>
  <c r="AW145" i="21" s="1"/>
  <c r="P9" i="1" s="1"/>
  <c r="P11" i="1" s="1"/>
  <c r="AS3" i="21"/>
  <c r="AS29" i="21" s="1"/>
  <c r="L3" i="1" s="1"/>
  <c r="L5" i="1" s="1"/>
  <c r="Z101" i="20"/>
  <c r="Y80" i="21"/>
  <c r="BE80" i="21" s="1"/>
  <c r="AB329" i="20"/>
  <c r="AA308" i="21"/>
  <c r="BG308" i="21" s="1"/>
  <c r="AC97" i="20"/>
  <c r="AB76" i="21"/>
  <c r="BH76" i="21" s="1"/>
  <c r="Y359" i="20"/>
  <c r="X338" i="21"/>
  <c r="BD338" i="21" s="1"/>
  <c r="AA187" i="20"/>
  <c r="Z166" i="21"/>
  <c r="BF166" i="21" s="1"/>
  <c r="AC243" i="20"/>
  <c r="AB222" i="21"/>
  <c r="BH222" i="21" s="1"/>
  <c r="AA302" i="20"/>
  <c r="Z281" i="21"/>
  <c r="BF281" i="21" s="1"/>
  <c r="W104" i="20"/>
  <c r="V83" i="21"/>
  <c r="BB83" i="21" s="1"/>
  <c r="W249" i="20"/>
  <c r="V228" i="21"/>
  <c r="BB228" i="21" s="1"/>
  <c r="AE240" i="20"/>
  <c r="AE219" i="21" s="1"/>
  <c r="BK219" i="21" s="1"/>
  <c r="AD219" i="21"/>
  <c r="BJ219" i="21" s="1"/>
  <c r="AB272" i="20"/>
  <c r="AA251" i="21"/>
  <c r="BG251" i="21" s="1"/>
  <c r="AW71" i="23"/>
  <c r="AW89" i="23" s="1"/>
  <c r="AW107" i="23" s="1"/>
  <c r="R174" i="21"/>
  <c r="AD183" i="20"/>
  <c r="AC162" i="21"/>
  <c r="BI162" i="21" s="1"/>
  <c r="AD270" i="20"/>
  <c r="AC249" i="21"/>
  <c r="BI249" i="21" s="1"/>
  <c r="Q180" i="1"/>
  <c r="O116" i="21"/>
  <c r="AT69" i="23"/>
  <c r="AT87" i="23" s="1"/>
  <c r="AT105" i="23" s="1"/>
  <c r="AA273" i="20"/>
  <c r="Z252" i="21"/>
  <c r="BF252" i="21" s="1"/>
  <c r="AR81" i="23"/>
  <c r="AR99" i="23" s="1"/>
  <c r="AR117" i="23" s="1"/>
  <c r="M464" i="21"/>
  <c r="Y390" i="20"/>
  <c r="X369" i="21"/>
  <c r="BD369" i="21" s="1"/>
  <c r="V393" i="20"/>
  <c r="U372" i="21"/>
  <c r="BA372" i="21" s="1"/>
  <c r="AC414" i="20"/>
  <c r="AB393" i="21"/>
  <c r="BH393" i="21" s="1"/>
  <c r="X391" i="20"/>
  <c r="W370" i="21"/>
  <c r="BC370" i="21" s="1"/>
  <c r="AC40" i="20"/>
  <c r="AB19" i="21"/>
  <c r="BH19" i="21" s="1"/>
  <c r="R366" i="20"/>
  <c r="Q345" i="21"/>
  <c r="AW345" i="21" s="1"/>
  <c r="AD39" i="20"/>
  <c r="AC18" i="21"/>
  <c r="BI18" i="21" s="1"/>
  <c r="AD212" i="20"/>
  <c r="AC191" i="21"/>
  <c r="BI191" i="21" s="1"/>
  <c r="AE326" i="20"/>
  <c r="AE305" i="21" s="1"/>
  <c r="BK305" i="21" s="1"/>
  <c r="AD305" i="21"/>
  <c r="BJ305" i="21" s="1"/>
  <c r="AD154" i="20"/>
  <c r="AC133" i="21"/>
  <c r="BI133" i="21" s="1"/>
  <c r="S134" i="20"/>
  <c r="R113" i="21"/>
  <c r="AX113" i="21" s="1"/>
  <c r="AC470" i="20"/>
  <c r="AB449" i="21"/>
  <c r="BH449" i="21" s="1"/>
  <c r="AE297" i="20"/>
  <c r="AE276" i="21" s="1"/>
  <c r="BK276" i="21" s="1"/>
  <c r="AD276" i="21"/>
  <c r="BJ276" i="21" s="1"/>
  <c r="Y448" i="20"/>
  <c r="X427" i="21"/>
  <c r="BD427" i="21" s="1"/>
  <c r="Y159" i="20"/>
  <c r="X138" i="21"/>
  <c r="BD138" i="21" s="1"/>
  <c r="AC155" i="20"/>
  <c r="AB134" i="21"/>
  <c r="BH134" i="21" s="1"/>
  <c r="AB41" i="20"/>
  <c r="AA20" i="21"/>
  <c r="BG20" i="21" s="1"/>
  <c r="U308" i="20"/>
  <c r="T287" i="21"/>
  <c r="AZ287" i="21" s="1"/>
  <c r="Z358" i="20"/>
  <c r="Y337" i="21"/>
  <c r="BE337" i="21" s="1"/>
  <c r="V221" i="20"/>
  <c r="U200" i="21"/>
  <c r="BA200" i="21" s="1"/>
  <c r="X160" i="20"/>
  <c r="W139" i="21"/>
  <c r="BC139" i="21" s="1"/>
  <c r="X74" i="20"/>
  <c r="W53" i="21"/>
  <c r="BC53" i="21" s="1"/>
  <c r="R135" i="20"/>
  <c r="Q114" i="21"/>
  <c r="AW114" i="21" s="1"/>
  <c r="AD67" i="20"/>
  <c r="AC46" i="21"/>
  <c r="BI46" i="21" s="1"/>
  <c r="X276" i="20"/>
  <c r="W255" i="21"/>
  <c r="BC255" i="21" s="1"/>
  <c r="V307" i="20"/>
  <c r="U286" i="21"/>
  <c r="BA286" i="21" s="1"/>
  <c r="AD298" i="20"/>
  <c r="AC277" i="21"/>
  <c r="BI277" i="21" s="1"/>
  <c r="Z418" i="20"/>
  <c r="Y397" i="21"/>
  <c r="BE397" i="21" s="1"/>
  <c r="Q290" i="21"/>
  <c r="AV75" i="23"/>
  <c r="AV93" i="23" s="1"/>
  <c r="AV111" i="23" s="1"/>
  <c r="Z303" i="20"/>
  <c r="Y282" i="21"/>
  <c r="BE282" i="21" s="1"/>
  <c r="Y73" i="20"/>
  <c r="X52" i="21"/>
  <c r="BD52" i="21" s="1"/>
  <c r="AE95" i="20"/>
  <c r="AE74" i="21" s="1"/>
  <c r="BK74" i="21" s="1"/>
  <c r="AD74" i="21"/>
  <c r="BJ74" i="21" s="1"/>
  <c r="AE182" i="20"/>
  <c r="AE161" i="21" s="1"/>
  <c r="BK161" i="21" s="1"/>
  <c r="AD161" i="21"/>
  <c r="BJ161" i="21" s="1"/>
  <c r="AC214" i="20"/>
  <c r="AB193" i="21"/>
  <c r="BH193" i="21" s="1"/>
  <c r="AE122" i="20"/>
  <c r="AE101" i="21" s="1"/>
  <c r="BK101" i="21" s="1"/>
  <c r="AD101" i="21"/>
  <c r="BJ101" i="21" s="1"/>
  <c r="R455" i="20"/>
  <c r="Q434" i="21"/>
  <c r="AW434" i="21" s="1"/>
  <c r="AW435" i="21" s="1"/>
  <c r="Q456" i="20"/>
  <c r="S194" i="1" s="1"/>
  <c r="T395" i="20"/>
  <c r="S374" i="21"/>
  <c r="AY374" i="21" s="1"/>
  <c r="AD413" i="20"/>
  <c r="AC392" i="21"/>
  <c r="BI392" i="21" s="1"/>
  <c r="X334" i="20"/>
  <c r="W313" i="21"/>
  <c r="BC313" i="21" s="1"/>
  <c r="R426" i="20"/>
  <c r="Q405" i="21"/>
  <c r="AW405" i="21" s="1"/>
  <c r="AW406" i="21" s="1"/>
  <c r="Q427" i="20"/>
  <c r="S193" i="1" s="1"/>
  <c r="V131" i="20"/>
  <c r="U110" i="21"/>
  <c r="BA110" i="21" s="1"/>
  <c r="AA472" i="20"/>
  <c r="Z451" i="21"/>
  <c r="BF451" i="21" s="1"/>
  <c r="T179" i="1"/>
  <c r="R87" i="21"/>
  <c r="AW68" i="23"/>
  <c r="AW86" i="23" s="1"/>
  <c r="AW104" i="23" s="1"/>
  <c r="S454" i="20"/>
  <c r="R433" i="21"/>
  <c r="AX433" i="21" s="1"/>
  <c r="W361" i="20"/>
  <c r="V340" i="21"/>
  <c r="BB340" i="21" s="1"/>
  <c r="S396" i="20"/>
  <c r="R375" i="21"/>
  <c r="AX375" i="21" s="1"/>
  <c r="U279" i="20"/>
  <c r="T258" i="21"/>
  <c r="AZ258" i="21" s="1"/>
  <c r="X219" i="20"/>
  <c r="W198" i="21"/>
  <c r="BC198" i="21" s="1"/>
  <c r="W220" i="20"/>
  <c r="V199" i="21"/>
  <c r="BB199" i="21" s="1"/>
  <c r="T49" i="20"/>
  <c r="S28" i="21"/>
  <c r="AY28" i="21" s="1"/>
  <c r="AB356" i="20"/>
  <c r="AA335" i="21"/>
  <c r="BG335" i="21" s="1"/>
  <c r="X190" i="20"/>
  <c r="W169" i="21"/>
  <c r="BC169" i="21" s="1"/>
  <c r="P483" i="20"/>
  <c r="O462" i="21"/>
  <c r="AU462" i="21" s="1"/>
  <c r="X305" i="20"/>
  <c r="W284" i="21"/>
  <c r="BC284" i="21" s="1"/>
  <c r="W277" i="20"/>
  <c r="V256" i="21"/>
  <c r="BB256" i="21" s="1"/>
  <c r="AC242" i="20"/>
  <c r="AB221" i="21"/>
  <c r="BH221" i="21" s="1"/>
  <c r="AA157" i="20"/>
  <c r="Z136" i="21"/>
  <c r="BF136" i="21" s="1"/>
  <c r="Z274" i="20"/>
  <c r="Y253" i="21"/>
  <c r="BE253" i="21" s="1"/>
  <c r="U222" i="20"/>
  <c r="T201" i="21"/>
  <c r="AZ201" i="21" s="1"/>
  <c r="T252" i="20"/>
  <c r="S231" i="21"/>
  <c r="AY231" i="21" s="1"/>
  <c r="AY232" i="21" s="1"/>
  <c r="S253" i="20"/>
  <c r="U185" i="1" s="1"/>
  <c r="T78" i="20"/>
  <c r="S57" i="21"/>
  <c r="AY57" i="21" s="1"/>
  <c r="AY58" i="21" s="1"/>
  <c r="S79" i="20"/>
  <c r="Y102" i="20"/>
  <c r="X81" i="21"/>
  <c r="BD81" i="21" s="1"/>
  <c r="T133" i="20"/>
  <c r="S112" i="21"/>
  <c r="AY112" i="21" s="1"/>
  <c r="AW72" i="23"/>
  <c r="AW90" i="23" s="1"/>
  <c r="AW108" i="23" s="1"/>
  <c r="R203" i="21"/>
  <c r="AA445" i="20"/>
  <c r="Z424" i="21"/>
  <c r="BF424" i="21" s="1"/>
  <c r="AE353" i="20"/>
  <c r="AE332" i="21" s="1"/>
  <c r="BK332" i="21" s="1"/>
  <c r="AD332" i="21"/>
  <c r="BJ332" i="21" s="1"/>
  <c r="Z473" i="20"/>
  <c r="Y452" i="21"/>
  <c r="BE452" i="21" s="1"/>
  <c r="Y218" i="20"/>
  <c r="X197" i="21"/>
  <c r="BD197" i="21" s="1"/>
  <c r="Y247" i="20"/>
  <c r="X226" i="21"/>
  <c r="BD226" i="21" s="1"/>
  <c r="AB415" i="20"/>
  <c r="AA394" i="21"/>
  <c r="BG394" i="21" s="1"/>
  <c r="Z389" i="20"/>
  <c r="Y368" i="21"/>
  <c r="BE368" i="21" s="1"/>
  <c r="AC328" i="20"/>
  <c r="AB307" i="21"/>
  <c r="BH307" i="21" s="1"/>
  <c r="U132" i="20"/>
  <c r="T111" i="21"/>
  <c r="AZ111" i="21" s="1"/>
  <c r="P368" i="20"/>
  <c r="O347" i="21"/>
  <c r="AU347" i="21" s="1"/>
  <c r="AU348" i="21" s="1"/>
  <c r="O369" i="20"/>
  <c r="Q190" i="1" s="1"/>
  <c r="AA245" i="20"/>
  <c r="Z224" i="21"/>
  <c r="BF224" i="21" s="1"/>
  <c r="W421" i="20"/>
  <c r="V400" i="21"/>
  <c r="BB400" i="21" s="1"/>
  <c r="V477" i="20"/>
  <c r="U456" i="21"/>
  <c r="BA456" i="21" s="1"/>
  <c r="X420" i="20"/>
  <c r="W399" i="21"/>
  <c r="BC399" i="21" s="1"/>
  <c r="AB387" i="20"/>
  <c r="AA366" i="21"/>
  <c r="BG366" i="21" s="1"/>
  <c r="AC213" i="20"/>
  <c r="AB192" i="21"/>
  <c r="BH192" i="21" s="1"/>
  <c r="V105" i="20"/>
  <c r="U84" i="21"/>
  <c r="BA84" i="21" s="1"/>
  <c r="AD442" i="20"/>
  <c r="AC421" i="21"/>
  <c r="BI421" i="21" s="1"/>
  <c r="T164" i="20"/>
  <c r="S143" i="21"/>
  <c r="AY143" i="21" s="1"/>
  <c r="X449" i="20"/>
  <c r="W428" i="21"/>
  <c r="BC428" i="21" s="1"/>
  <c r="T223" i="20"/>
  <c r="S202" i="21"/>
  <c r="AY202" i="21" s="1"/>
  <c r="AY203" i="21" s="1"/>
  <c r="S224" i="20"/>
  <c r="U184" i="1" s="1"/>
  <c r="AA388" i="20"/>
  <c r="Z367" i="21"/>
  <c r="BF367" i="21" s="1"/>
  <c r="X360" i="20"/>
  <c r="W339" i="21"/>
  <c r="BC339" i="21" s="1"/>
  <c r="AA216" i="20"/>
  <c r="Z195" i="21"/>
  <c r="BF195" i="21" s="1"/>
  <c r="T424" i="20"/>
  <c r="S403" i="21"/>
  <c r="AY403" i="21" s="1"/>
  <c r="AE66" i="20"/>
  <c r="AE45" i="21" s="1"/>
  <c r="BK45" i="21" s="1"/>
  <c r="AD45" i="21"/>
  <c r="BJ45" i="21" s="1"/>
  <c r="V278" i="20"/>
  <c r="U257" i="21"/>
  <c r="BA257" i="21" s="1"/>
  <c r="AC299" i="20"/>
  <c r="AB278" i="21"/>
  <c r="BH278" i="21" s="1"/>
  <c r="AD354" i="20"/>
  <c r="AC333" i="21"/>
  <c r="BI333" i="21" s="1"/>
  <c r="AA42" i="20"/>
  <c r="Z21" i="21"/>
  <c r="BF21" i="21" s="1"/>
  <c r="AC443" i="20"/>
  <c r="AB422" i="21"/>
  <c r="BH422" i="21" s="1"/>
  <c r="AA331" i="20"/>
  <c r="Z310" i="21"/>
  <c r="BF310" i="21" s="1"/>
  <c r="AE38" i="20"/>
  <c r="AE17" i="21" s="1"/>
  <c r="BK17" i="21" s="1"/>
  <c r="AD17" i="21"/>
  <c r="BJ17" i="21" s="1"/>
  <c r="W306" i="20"/>
  <c r="V285" i="21"/>
  <c r="BB285" i="21" s="1"/>
  <c r="U394" i="20"/>
  <c r="T373" i="21"/>
  <c r="AZ373" i="21" s="1"/>
  <c r="T338" i="20"/>
  <c r="S317" i="21"/>
  <c r="AY317" i="21" s="1"/>
  <c r="AB99" i="20"/>
  <c r="AA78" i="21"/>
  <c r="BG78" i="21" s="1"/>
  <c r="Z332" i="20"/>
  <c r="Y311" i="21"/>
  <c r="BE311" i="21" s="1"/>
  <c r="U193" i="20"/>
  <c r="T172" i="21"/>
  <c r="AZ172" i="21" s="1"/>
  <c r="Z72" i="20"/>
  <c r="Y51" i="21"/>
  <c r="BE51" i="21" s="1"/>
  <c r="Y189" i="20"/>
  <c r="X168" i="21"/>
  <c r="BD168" i="21" s="1"/>
  <c r="S281" i="20"/>
  <c r="R260" i="21"/>
  <c r="AX260" i="21" s="1"/>
  <c r="U106" i="20"/>
  <c r="T85" i="21"/>
  <c r="AZ85" i="21" s="1"/>
  <c r="V362" i="20"/>
  <c r="U341" i="21"/>
  <c r="BA341" i="21" s="1"/>
  <c r="V76" i="20"/>
  <c r="U55" i="21"/>
  <c r="BA55" i="21" s="1"/>
  <c r="W161" i="20"/>
  <c r="V140" i="21"/>
  <c r="BB140" i="21" s="1"/>
  <c r="T194" i="20"/>
  <c r="S173" i="21"/>
  <c r="AY173" i="21" s="1"/>
  <c r="AY174" i="21" s="1"/>
  <c r="S195" i="20"/>
  <c r="U183" i="1" s="1"/>
  <c r="AC69" i="20"/>
  <c r="AB48" i="21"/>
  <c r="BH48" i="21" s="1"/>
  <c r="AC355" i="20"/>
  <c r="AB334" i="21"/>
  <c r="BH334" i="21" s="1"/>
  <c r="S480" i="20"/>
  <c r="R459" i="21"/>
  <c r="AX459" i="21" s="1"/>
  <c r="AB444" i="20"/>
  <c r="AA423" i="21"/>
  <c r="BG423" i="21" s="1"/>
  <c r="Y419" i="20"/>
  <c r="X398" i="21"/>
  <c r="BD398" i="21" s="1"/>
  <c r="W46" i="20"/>
  <c r="V25" i="21"/>
  <c r="BB25" i="21" s="1"/>
  <c r="AC124" i="20"/>
  <c r="AB103" i="21"/>
  <c r="BH103" i="21" s="1"/>
  <c r="Q319" i="21"/>
  <c r="AV76" i="23"/>
  <c r="AV94" i="23" s="1"/>
  <c r="AV112" i="23" s="1"/>
  <c r="V336" i="20"/>
  <c r="U315" i="21"/>
  <c r="BA315" i="21" s="1"/>
  <c r="W75" i="20"/>
  <c r="V54" i="21"/>
  <c r="BB54" i="21" s="1"/>
  <c r="U452" i="20"/>
  <c r="T431" i="21"/>
  <c r="AZ431" i="21" s="1"/>
  <c r="AE384" i="20"/>
  <c r="AE363" i="21" s="1"/>
  <c r="BK363" i="21" s="1"/>
  <c r="AD363" i="21"/>
  <c r="BJ363" i="21" s="1"/>
  <c r="AB330" i="20"/>
  <c r="AA309" i="21"/>
  <c r="BG309" i="21" s="1"/>
  <c r="W191" i="20"/>
  <c r="V170" i="21"/>
  <c r="BB170" i="21" s="1"/>
  <c r="AB300" i="20"/>
  <c r="AA279" i="21"/>
  <c r="BG279" i="21" s="1"/>
  <c r="V162" i="20"/>
  <c r="U141" i="21"/>
  <c r="BA141" i="21" s="1"/>
  <c r="AC271" i="20"/>
  <c r="AB250" i="21"/>
  <c r="BH250" i="21" s="1"/>
  <c r="W392" i="20"/>
  <c r="V371" i="21"/>
  <c r="BB371" i="21" s="1"/>
  <c r="Q136" i="20"/>
  <c r="P115" i="21"/>
  <c r="AV115" i="21" s="1"/>
  <c r="AV116" i="21" s="1"/>
  <c r="P137" i="20"/>
  <c r="O484" i="20"/>
  <c r="N463" i="21"/>
  <c r="AT463" i="21" s="1"/>
  <c r="AT464" i="21" s="1"/>
  <c r="N485" i="20"/>
  <c r="P195" i="1" s="1"/>
  <c r="W335" i="20"/>
  <c r="V314" i="21"/>
  <c r="BB314" i="21" s="1"/>
  <c r="AB125" i="20"/>
  <c r="AA104" i="21"/>
  <c r="BG104" i="21" s="1"/>
  <c r="S165" i="20"/>
  <c r="R144" i="21"/>
  <c r="R166" i="20"/>
  <c r="T182" i="1" s="1"/>
  <c r="AS77" i="23"/>
  <c r="AS95" i="23" s="1"/>
  <c r="AS113" i="23" s="1"/>
  <c r="N348" i="21"/>
  <c r="AD241" i="20"/>
  <c r="AC220" i="21"/>
  <c r="BI220" i="21" s="1"/>
  <c r="W476" i="20"/>
  <c r="V455" i="21"/>
  <c r="BB455" i="21" s="1"/>
  <c r="AC185" i="20"/>
  <c r="AB164" i="21"/>
  <c r="BH164" i="21" s="1"/>
  <c r="AB70" i="20"/>
  <c r="AA49" i="21"/>
  <c r="BG49" i="21" s="1"/>
  <c r="U363" i="20"/>
  <c r="T342" i="21"/>
  <c r="AZ342" i="21" s="1"/>
  <c r="AD385" i="20"/>
  <c r="AC364" i="21"/>
  <c r="BI364" i="21" s="1"/>
  <c r="AD469" i="20"/>
  <c r="AC448" i="21"/>
  <c r="BI448" i="21" s="1"/>
  <c r="W450" i="20"/>
  <c r="V429" i="21"/>
  <c r="BB429" i="21" s="1"/>
  <c r="Y474" i="20"/>
  <c r="X453" i="21"/>
  <c r="BD453" i="21" s="1"/>
  <c r="Y275" i="20"/>
  <c r="X254" i="21"/>
  <c r="BD254" i="21" s="1"/>
  <c r="T309" i="20"/>
  <c r="S288" i="21"/>
  <c r="AY288" i="21" s="1"/>
  <c r="Z447" i="20"/>
  <c r="Y426" i="21"/>
  <c r="BE426" i="21" s="1"/>
  <c r="V250" i="20"/>
  <c r="U229" i="21"/>
  <c r="BA229" i="21" s="1"/>
  <c r="AE211" i="20"/>
  <c r="AE190" i="21" s="1"/>
  <c r="BK190" i="21" s="1"/>
  <c r="AD190" i="21"/>
  <c r="BJ190" i="21" s="1"/>
  <c r="V422" i="20"/>
  <c r="U401" i="21"/>
  <c r="BA401" i="21" s="1"/>
  <c r="AE441" i="20"/>
  <c r="AE420" i="21" s="1"/>
  <c r="BK420" i="21" s="1"/>
  <c r="AD420" i="21"/>
  <c r="BJ420" i="21" s="1"/>
  <c r="S339" i="20"/>
  <c r="R318" i="21"/>
  <c r="AX318" i="21" s="1"/>
  <c r="AX319" i="21" s="1"/>
  <c r="R340" i="20"/>
  <c r="T189" i="1" s="1"/>
  <c r="AC184" i="20"/>
  <c r="AB163" i="21"/>
  <c r="BH163" i="21" s="1"/>
  <c r="AE468" i="20"/>
  <c r="AE447" i="21" s="1"/>
  <c r="BK447" i="21" s="1"/>
  <c r="AD447" i="21"/>
  <c r="BJ447" i="21" s="1"/>
  <c r="AV70" i="23"/>
  <c r="AV88" i="23" s="1"/>
  <c r="AV106" i="23" s="1"/>
  <c r="Q145" i="21"/>
  <c r="AE269" i="20"/>
  <c r="AE248" i="21" s="1"/>
  <c r="BK248" i="21" s="1"/>
  <c r="AD248" i="21"/>
  <c r="BJ248" i="21" s="1"/>
  <c r="T280" i="20"/>
  <c r="S259" i="21"/>
  <c r="AY259" i="21" s="1"/>
  <c r="AB186" i="20"/>
  <c r="AA165" i="21"/>
  <c r="BG165" i="21" s="1"/>
  <c r="U251" i="20"/>
  <c r="T230" i="21"/>
  <c r="AZ230" i="21" s="1"/>
  <c r="U163" i="20"/>
  <c r="T142" i="21"/>
  <c r="AZ142" i="21" s="1"/>
  <c r="R397" i="20"/>
  <c r="Q376" i="21"/>
  <c r="AW376" i="21" s="1"/>
  <c r="AB244" i="20"/>
  <c r="AA223" i="21"/>
  <c r="BG223" i="21" s="1"/>
  <c r="Y304" i="20"/>
  <c r="X283" i="21"/>
  <c r="BD283" i="21" s="1"/>
  <c r="Z43" i="20"/>
  <c r="Y22" i="21"/>
  <c r="BE22" i="21" s="1"/>
  <c r="AD96" i="20"/>
  <c r="AC75" i="21"/>
  <c r="BI75" i="21" s="1"/>
  <c r="T453" i="20"/>
  <c r="S432" i="21"/>
  <c r="AY432" i="21" s="1"/>
  <c r="AA417" i="20"/>
  <c r="Z396" i="21"/>
  <c r="BF396" i="21" s="1"/>
  <c r="V47" i="20"/>
  <c r="U26" i="21"/>
  <c r="BA26" i="21" s="1"/>
  <c r="X45" i="20"/>
  <c r="W24" i="21"/>
  <c r="BC24" i="21" s="1"/>
  <c r="Y333" i="20"/>
  <c r="X312" i="21"/>
  <c r="BD312" i="21" s="1"/>
  <c r="S425" i="20"/>
  <c r="R404" i="21"/>
  <c r="AX404" i="21" s="1"/>
  <c r="X129" i="20"/>
  <c r="W108" i="21"/>
  <c r="BC108" i="21" s="1"/>
  <c r="Z217" i="20"/>
  <c r="Y196" i="21"/>
  <c r="BE196" i="21" s="1"/>
  <c r="Y128" i="20"/>
  <c r="X107" i="21"/>
  <c r="BD107" i="21" s="1"/>
  <c r="AA357" i="20"/>
  <c r="Z336" i="21"/>
  <c r="BF336" i="21" s="1"/>
  <c r="AB215" i="20"/>
  <c r="AA194" i="21"/>
  <c r="BG194" i="21" s="1"/>
  <c r="AB471" i="20"/>
  <c r="AA450" i="21"/>
  <c r="BG450" i="21" s="1"/>
  <c r="AE153" i="20"/>
  <c r="AE132" i="21" s="1"/>
  <c r="BK132" i="21" s="1"/>
  <c r="AD132" i="21"/>
  <c r="BJ132" i="21" s="1"/>
  <c r="S310" i="20"/>
  <c r="R289" i="21"/>
  <c r="AX289" i="21" s="1"/>
  <c r="AX290" i="21" s="1"/>
  <c r="R311" i="20"/>
  <c r="T188" i="1" s="1"/>
  <c r="U337" i="20"/>
  <c r="T316" i="21"/>
  <c r="AZ316" i="21" s="1"/>
  <c r="W130" i="20"/>
  <c r="V109" i="21"/>
  <c r="BB109" i="21" s="1"/>
  <c r="AE412" i="20"/>
  <c r="AE391" i="21" s="1"/>
  <c r="BK391" i="21" s="1"/>
  <c r="AD391" i="21"/>
  <c r="BJ391" i="21" s="1"/>
  <c r="R481" i="20"/>
  <c r="Q460" i="21"/>
  <c r="AW460" i="21" s="1"/>
  <c r="AB301" i="20"/>
  <c r="AA280" i="21"/>
  <c r="BG280" i="21" s="1"/>
  <c r="AA416" i="20"/>
  <c r="Z395" i="21"/>
  <c r="BF395" i="21" s="1"/>
  <c r="X475" i="20"/>
  <c r="W454" i="21"/>
  <c r="BC454" i="21" s="1"/>
  <c r="P435" i="21"/>
  <c r="AU80" i="23"/>
  <c r="AU98" i="23" s="1"/>
  <c r="AU116" i="23" s="1"/>
  <c r="AA71" i="20"/>
  <c r="Z50" i="21"/>
  <c r="BF50" i="21" s="1"/>
  <c r="Z246" i="20"/>
  <c r="Y225" i="21"/>
  <c r="BE225" i="21" s="1"/>
  <c r="Z158" i="20"/>
  <c r="Y137" i="21"/>
  <c r="BE137" i="21" s="1"/>
  <c r="AU79" i="23"/>
  <c r="AU97" i="23" s="1"/>
  <c r="AU115" i="23" s="1"/>
  <c r="P406" i="21"/>
  <c r="AA100" i="20"/>
  <c r="Z79" i="21"/>
  <c r="BF79" i="21" s="1"/>
  <c r="AD327" i="20"/>
  <c r="AC306" i="21"/>
  <c r="BI306" i="21" s="1"/>
  <c r="U423" i="20"/>
  <c r="T402" i="21"/>
  <c r="AZ402" i="21" s="1"/>
  <c r="U77" i="20"/>
  <c r="T56" i="21"/>
  <c r="AZ56" i="21" s="1"/>
  <c r="T107" i="20"/>
  <c r="S86" i="21"/>
  <c r="AY86" i="21" s="1"/>
  <c r="AY87" i="21" s="1"/>
  <c r="S108" i="20"/>
  <c r="U478" i="20"/>
  <c r="T457" i="21"/>
  <c r="AZ457" i="21" s="1"/>
  <c r="Z127" i="20"/>
  <c r="Y106" i="21"/>
  <c r="BE106" i="21" s="1"/>
  <c r="AA446" i="20"/>
  <c r="Z425" i="21"/>
  <c r="BF425" i="21" s="1"/>
  <c r="V451" i="20"/>
  <c r="U430" i="21"/>
  <c r="BA430" i="21" s="1"/>
  <c r="Z188" i="20"/>
  <c r="Y167" i="21"/>
  <c r="BE167" i="21" s="1"/>
  <c r="T364" i="20"/>
  <c r="S343" i="21"/>
  <c r="AY343" i="21" s="1"/>
  <c r="Y44" i="20"/>
  <c r="X23" i="21"/>
  <c r="BD23" i="21" s="1"/>
  <c r="AC98" i="20"/>
  <c r="AB77" i="21"/>
  <c r="BH77" i="21" s="1"/>
  <c r="AA126" i="20"/>
  <c r="Z105" i="21"/>
  <c r="BF105" i="21" s="1"/>
  <c r="AC386" i="20"/>
  <c r="AB365" i="21"/>
  <c r="BH365" i="21" s="1"/>
  <c r="Q367" i="20"/>
  <c r="P346" i="21"/>
  <c r="AV346" i="21" s="1"/>
  <c r="X103" i="20"/>
  <c r="W82" i="21"/>
  <c r="BC82" i="21" s="1"/>
  <c r="T479" i="20"/>
  <c r="S458" i="21"/>
  <c r="AY458" i="21" s="1"/>
  <c r="S365" i="20"/>
  <c r="R344" i="21"/>
  <c r="AX344" i="21" s="1"/>
  <c r="V192" i="20"/>
  <c r="U171" i="21"/>
  <c r="BA171" i="21" s="1"/>
  <c r="AC68" i="20"/>
  <c r="AB47" i="21"/>
  <c r="BH47" i="21" s="1"/>
  <c r="X248" i="20"/>
  <c r="W227" i="21"/>
  <c r="BC227" i="21" s="1"/>
  <c r="AD123" i="20"/>
  <c r="AC102" i="21"/>
  <c r="BI102" i="21" s="1"/>
  <c r="AW73" i="23"/>
  <c r="AW91" i="23" s="1"/>
  <c r="AW109" i="23" s="1"/>
  <c r="R232" i="21"/>
  <c r="AB156" i="20"/>
  <c r="AA135" i="21"/>
  <c r="BG135" i="21" s="1"/>
  <c r="T178" i="1"/>
  <c r="R58" i="21"/>
  <c r="AW67" i="23"/>
  <c r="AW85" i="23" s="1"/>
  <c r="AW103" i="23" s="1"/>
  <c r="Q482" i="20"/>
  <c r="P461" i="21"/>
  <c r="AV461" i="21" s="1"/>
  <c r="U48" i="20"/>
  <c r="T27" i="21"/>
  <c r="AZ27" i="21" s="1"/>
  <c r="L377" i="21"/>
  <c r="AQ78" i="23"/>
  <c r="AQ96" i="23" s="1"/>
  <c r="AQ114" i="23" s="1"/>
  <c r="M29" i="21"/>
  <c r="AR66" i="23"/>
  <c r="AR84" i="23" s="1"/>
  <c r="AR102" i="23" s="1"/>
  <c r="M398" i="20"/>
  <c r="O192" i="1" s="1"/>
  <c r="M351" i="21"/>
  <c r="N372" i="20"/>
  <c r="N235" i="21"/>
  <c r="O256" i="20"/>
  <c r="N50" i="20"/>
  <c r="P177" i="1" s="1"/>
  <c r="N3" i="21"/>
  <c r="O24" i="20"/>
  <c r="AT235" i="21" l="1"/>
  <c r="AT261" i="21" s="1"/>
  <c r="M15" i="1" s="1"/>
  <c r="M17" i="1" s="1"/>
  <c r="AT3" i="21"/>
  <c r="AT29" i="21" s="1"/>
  <c r="M3" i="1" s="1"/>
  <c r="M5" i="1" s="1"/>
  <c r="AS351" i="21"/>
  <c r="AS377" i="21" s="1"/>
  <c r="L21" i="1" s="1"/>
  <c r="L23" i="1" s="1"/>
  <c r="AX144" i="21"/>
  <c r="AX145" i="21" s="1"/>
  <c r="Q9" i="1" s="1"/>
  <c r="Q11" i="1" s="1"/>
  <c r="U107" i="20"/>
  <c r="T86" i="21"/>
  <c r="AZ86" i="21" s="1"/>
  <c r="AZ87" i="21" s="1"/>
  <c r="T108" i="20"/>
  <c r="AB71" i="20"/>
  <c r="AA50" i="21"/>
  <c r="BG50" i="21" s="1"/>
  <c r="N464" i="21"/>
  <c r="AS81" i="23"/>
  <c r="AS99" i="23" s="1"/>
  <c r="AS117" i="23" s="1"/>
  <c r="Z189" i="20"/>
  <c r="Y168" i="21"/>
  <c r="BE168" i="21" s="1"/>
  <c r="S232" i="21"/>
  <c r="AX73" i="23"/>
  <c r="AX91" i="23" s="1"/>
  <c r="AX109" i="23" s="1"/>
  <c r="X277" i="20"/>
  <c r="W256" i="21"/>
  <c r="BC256" i="21" s="1"/>
  <c r="X220" i="20"/>
  <c r="W199" i="21"/>
  <c r="BC199" i="21" s="1"/>
  <c r="X361" i="20"/>
  <c r="W340" i="21"/>
  <c r="BC340" i="21" s="1"/>
  <c r="S426" i="20"/>
  <c r="R405" i="21"/>
  <c r="AX405" i="21" s="1"/>
  <c r="AX406" i="21" s="1"/>
  <c r="R427" i="20"/>
  <c r="T193" i="1" s="1"/>
  <c r="AE413" i="20"/>
  <c r="AE392" i="21" s="1"/>
  <c r="BK392" i="21" s="1"/>
  <c r="AD392" i="21"/>
  <c r="BJ392" i="21" s="1"/>
  <c r="AC329" i="20"/>
  <c r="AB308" i="21"/>
  <c r="BH308" i="21" s="1"/>
  <c r="AC156" i="20"/>
  <c r="AB135" i="21"/>
  <c r="BH135" i="21" s="1"/>
  <c r="AE123" i="20"/>
  <c r="AE102" i="21" s="1"/>
  <c r="BK102" i="21" s="1"/>
  <c r="AD102" i="21"/>
  <c r="BJ102" i="21" s="1"/>
  <c r="AD68" i="20"/>
  <c r="AC47" i="21"/>
  <c r="BI47" i="21" s="1"/>
  <c r="T365" i="20"/>
  <c r="S344" i="21"/>
  <c r="AY344" i="21" s="1"/>
  <c r="Y103" i="20"/>
  <c r="X82" i="21"/>
  <c r="BD82" i="21" s="1"/>
  <c r="AD386" i="20"/>
  <c r="AC365" i="21"/>
  <c r="BI365" i="21" s="1"/>
  <c r="AD98" i="20"/>
  <c r="AC77" i="21"/>
  <c r="BI77" i="21" s="1"/>
  <c r="U364" i="20"/>
  <c r="T343" i="21"/>
  <c r="AZ343" i="21" s="1"/>
  <c r="W451" i="20"/>
  <c r="V430" i="21"/>
  <c r="BB430" i="21" s="1"/>
  <c r="AA127" i="20"/>
  <c r="Z106" i="21"/>
  <c r="BF106" i="21" s="1"/>
  <c r="T310" i="20"/>
  <c r="S289" i="21"/>
  <c r="AY289" i="21" s="1"/>
  <c r="AY290" i="21" s="1"/>
  <c r="S311" i="20"/>
  <c r="U188" i="1" s="1"/>
  <c r="AC471" i="20"/>
  <c r="AB450" i="21"/>
  <c r="BH450" i="21" s="1"/>
  <c r="AB357" i="20"/>
  <c r="AA336" i="21"/>
  <c r="BG336" i="21" s="1"/>
  <c r="AA217" i="20"/>
  <c r="Z196" i="21"/>
  <c r="BF196" i="21" s="1"/>
  <c r="T425" i="20"/>
  <c r="S404" i="21"/>
  <c r="AY404" i="21" s="1"/>
  <c r="Y45" i="20"/>
  <c r="X24" i="21"/>
  <c r="BD24" i="21" s="1"/>
  <c r="AB417" i="20"/>
  <c r="AA396" i="21"/>
  <c r="BG396" i="21" s="1"/>
  <c r="AE96" i="20"/>
  <c r="AE75" i="21" s="1"/>
  <c r="BK75" i="21" s="1"/>
  <c r="AD75" i="21"/>
  <c r="BJ75" i="21" s="1"/>
  <c r="Z304" i="20"/>
  <c r="Y283" i="21"/>
  <c r="BE283" i="21" s="1"/>
  <c r="S397" i="20"/>
  <c r="R376" i="21"/>
  <c r="AX376" i="21" s="1"/>
  <c r="V251" i="20"/>
  <c r="U230" i="21"/>
  <c r="BA230" i="21" s="1"/>
  <c r="U280" i="20"/>
  <c r="T259" i="21"/>
  <c r="AZ259" i="21" s="1"/>
  <c r="AD184" i="20"/>
  <c r="AC163" i="21"/>
  <c r="BI163" i="21" s="1"/>
  <c r="T165" i="20"/>
  <c r="S144" i="21"/>
  <c r="S166" i="20"/>
  <c r="U182" i="1" s="1"/>
  <c r="X335" i="20"/>
  <c r="W314" i="21"/>
  <c r="BC314" i="21" s="1"/>
  <c r="R180" i="1"/>
  <c r="AU69" i="23"/>
  <c r="AU87" i="23" s="1"/>
  <c r="AU105" i="23" s="1"/>
  <c r="P116" i="21"/>
  <c r="X392" i="20"/>
  <c r="W371" i="21"/>
  <c r="BC371" i="21" s="1"/>
  <c r="W162" i="20"/>
  <c r="V141" i="21"/>
  <c r="BB141" i="21" s="1"/>
  <c r="X191" i="20"/>
  <c r="W170" i="21"/>
  <c r="BC170" i="21" s="1"/>
  <c r="X75" i="20"/>
  <c r="W54" i="21"/>
  <c r="BC54" i="21" s="1"/>
  <c r="X46" i="20"/>
  <c r="W25" i="21"/>
  <c r="BC25" i="21" s="1"/>
  <c r="AC444" i="20"/>
  <c r="AB423" i="21"/>
  <c r="BH423" i="21" s="1"/>
  <c r="AD355" i="20"/>
  <c r="AC334" i="21"/>
  <c r="BI334" i="21" s="1"/>
  <c r="AX72" i="23"/>
  <c r="AX90" i="23" s="1"/>
  <c r="AX108" i="23" s="1"/>
  <c r="S203" i="21"/>
  <c r="Y449" i="20"/>
  <c r="X428" i="21"/>
  <c r="BD428" i="21" s="1"/>
  <c r="AE442" i="20"/>
  <c r="AE421" i="21" s="1"/>
  <c r="BK421" i="21" s="1"/>
  <c r="AD421" i="21"/>
  <c r="BJ421" i="21" s="1"/>
  <c r="AD213" i="20"/>
  <c r="AC192" i="21"/>
  <c r="BI192" i="21" s="1"/>
  <c r="Y420" i="20"/>
  <c r="X399" i="21"/>
  <c r="BD399" i="21" s="1"/>
  <c r="X421" i="20"/>
  <c r="W400" i="21"/>
  <c r="BC400" i="21" s="1"/>
  <c r="U78" i="20"/>
  <c r="T57" i="21"/>
  <c r="AZ57" i="21" s="1"/>
  <c r="AZ58" i="21" s="1"/>
  <c r="T79" i="20"/>
  <c r="AB472" i="20"/>
  <c r="AA451" i="21"/>
  <c r="BG451" i="21" s="1"/>
  <c r="AV80" i="23"/>
  <c r="AV98" i="23" s="1"/>
  <c r="AV116" i="23" s="1"/>
  <c r="Q435" i="21"/>
  <c r="Z73" i="20"/>
  <c r="Y52" i="21"/>
  <c r="BE52" i="21" s="1"/>
  <c r="AE298" i="20"/>
  <c r="AE277" i="21" s="1"/>
  <c r="BK277" i="21" s="1"/>
  <c r="AD277" i="21"/>
  <c r="BJ277" i="21" s="1"/>
  <c r="Y276" i="20"/>
  <c r="X255" i="21"/>
  <c r="BD255" i="21" s="1"/>
  <c r="S135" i="20"/>
  <c r="R114" i="21"/>
  <c r="AX114" i="21" s="1"/>
  <c r="Y160" i="20"/>
  <c r="X139" i="21"/>
  <c r="BD139" i="21" s="1"/>
  <c r="AA358" i="20"/>
  <c r="Z337" i="21"/>
  <c r="BF337" i="21" s="1"/>
  <c r="AC41" i="20"/>
  <c r="AB20" i="21"/>
  <c r="BH20" i="21" s="1"/>
  <c r="Z159" i="20"/>
  <c r="Y138" i="21"/>
  <c r="BE138" i="21" s="1"/>
  <c r="T134" i="20"/>
  <c r="S113" i="21"/>
  <c r="AY113" i="21" s="1"/>
  <c r="AE39" i="20"/>
  <c r="AE18" i="21" s="1"/>
  <c r="BK18" i="21" s="1"/>
  <c r="AD18" i="21"/>
  <c r="BJ18" i="21" s="1"/>
  <c r="AD40" i="20"/>
  <c r="AC19" i="21"/>
  <c r="BI19" i="21" s="1"/>
  <c r="AD414" i="20"/>
  <c r="AC393" i="21"/>
  <c r="BI393" i="21" s="1"/>
  <c r="Z390" i="20"/>
  <c r="Y369" i="21"/>
  <c r="BE369" i="21" s="1"/>
  <c r="AB273" i="20"/>
  <c r="AA252" i="21"/>
  <c r="BG252" i="21" s="1"/>
  <c r="V48" i="20"/>
  <c r="U27" i="21"/>
  <c r="BA27" i="21" s="1"/>
  <c r="V423" i="20"/>
  <c r="U402" i="21"/>
  <c r="BA402" i="21" s="1"/>
  <c r="AA158" i="20"/>
  <c r="Z137" i="21"/>
  <c r="BF137" i="21" s="1"/>
  <c r="Y475" i="20"/>
  <c r="X454" i="21"/>
  <c r="BD454" i="21" s="1"/>
  <c r="AC301" i="20"/>
  <c r="AB280" i="21"/>
  <c r="BH280" i="21" s="1"/>
  <c r="V337" i="20"/>
  <c r="U316" i="21"/>
  <c r="BA316" i="21" s="1"/>
  <c r="R319" i="21"/>
  <c r="AW76" i="23"/>
  <c r="AW94" i="23" s="1"/>
  <c r="AW112" i="23" s="1"/>
  <c r="AA447" i="20"/>
  <c r="Z426" i="21"/>
  <c r="BF426" i="21" s="1"/>
  <c r="X450" i="20"/>
  <c r="W429" i="21"/>
  <c r="BC429" i="21" s="1"/>
  <c r="AE385" i="20"/>
  <c r="AE364" i="21" s="1"/>
  <c r="BK364" i="21" s="1"/>
  <c r="AD364" i="21"/>
  <c r="BJ364" i="21" s="1"/>
  <c r="AC70" i="20"/>
  <c r="AB49" i="21"/>
  <c r="BH49" i="21" s="1"/>
  <c r="X476" i="20"/>
  <c r="W455" i="21"/>
  <c r="BC455" i="21" s="1"/>
  <c r="V106" i="20"/>
  <c r="U85" i="21"/>
  <c r="BA85" i="21" s="1"/>
  <c r="AE354" i="20"/>
  <c r="AE333" i="21" s="1"/>
  <c r="BK333" i="21" s="1"/>
  <c r="AD333" i="21"/>
  <c r="BJ333" i="21" s="1"/>
  <c r="W278" i="20"/>
  <c r="V257" i="21"/>
  <c r="BB257" i="21" s="1"/>
  <c r="U424" i="20"/>
  <c r="T403" i="21"/>
  <c r="AZ403" i="21" s="1"/>
  <c r="Y360" i="20"/>
  <c r="X339" i="21"/>
  <c r="BD339" i="21" s="1"/>
  <c r="AD328" i="20"/>
  <c r="AC307" i="21"/>
  <c r="BI307" i="21" s="1"/>
  <c r="Z218" i="20"/>
  <c r="Y197" i="21"/>
  <c r="BE197" i="21" s="1"/>
  <c r="V222" i="20"/>
  <c r="U201" i="21"/>
  <c r="BA201" i="21" s="1"/>
  <c r="AC356" i="20"/>
  <c r="AB335" i="21"/>
  <c r="BH335" i="21" s="1"/>
  <c r="AE270" i="20"/>
  <c r="AE249" i="21" s="1"/>
  <c r="BK249" i="21" s="1"/>
  <c r="AD249" i="21"/>
  <c r="BJ249" i="21" s="1"/>
  <c r="X104" i="20"/>
  <c r="W83" i="21"/>
  <c r="BC83" i="21" s="1"/>
  <c r="AD243" i="20"/>
  <c r="AC222" i="21"/>
  <c r="BI222" i="21" s="1"/>
  <c r="Y248" i="20"/>
  <c r="X227" i="21"/>
  <c r="BD227" i="21" s="1"/>
  <c r="W192" i="20"/>
  <c r="V171" i="21"/>
  <c r="BB171" i="21" s="1"/>
  <c r="U479" i="20"/>
  <c r="T458" i="21"/>
  <c r="AZ458" i="21" s="1"/>
  <c r="R367" i="20"/>
  <c r="Q346" i="21"/>
  <c r="AW346" i="21" s="1"/>
  <c r="AB126" i="20"/>
  <c r="AA105" i="21"/>
  <c r="BG105" i="21" s="1"/>
  <c r="Z44" i="20"/>
  <c r="Y23" i="21"/>
  <c r="BE23" i="21" s="1"/>
  <c r="AA188" i="20"/>
  <c r="Z167" i="21"/>
  <c r="BF167" i="21" s="1"/>
  <c r="AB446" i="20"/>
  <c r="AA425" i="21"/>
  <c r="BG425" i="21" s="1"/>
  <c r="V478" i="20"/>
  <c r="U457" i="21"/>
  <c r="BA457" i="21" s="1"/>
  <c r="R290" i="21"/>
  <c r="AW75" i="23"/>
  <c r="AW93" i="23" s="1"/>
  <c r="AW111" i="23" s="1"/>
  <c r="AC215" i="20"/>
  <c r="AB194" i="21"/>
  <c r="BH194" i="21" s="1"/>
  <c r="Z128" i="20"/>
  <c r="Y107" i="21"/>
  <c r="BE107" i="21" s="1"/>
  <c r="Y129" i="20"/>
  <c r="X108" i="21"/>
  <c r="BD108" i="21" s="1"/>
  <c r="Z333" i="20"/>
  <c r="Y312" i="21"/>
  <c r="BE312" i="21" s="1"/>
  <c r="W47" i="20"/>
  <c r="V26" i="21"/>
  <c r="BB26" i="21" s="1"/>
  <c r="U453" i="20"/>
  <c r="T432" i="21"/>
  <c r="AZ432" i="21" s="1"/>
  <c r="AA43" i="20"/>
  <c r="Z22" i="21"/>
  <c r="BF22" i="21" s="1"/>
  <c r="AC244" i="20"/>
  <c r="AB223" i="21"/>
  <c r="BH223" i="21" s="1"/>
  <c r="V163" i="20"/>
  <c r="U142" i="21"/>
  <c r="BA142" i="21" s="1"/>
  <c r="AC186" i="20"/>
  <c r="AB165" i="21"/>
  <c r="BH165" i="21" s="1"/>
  <c r="R145" i="21"/>
  <c r="AW70" i="23"/>
  <c r="AW88" i="23" s="1"/>
  <c r="AW106" i="23" s="1"/>
  <c r="AC125" i="20"/>
  <c r="AB104" i="21"/>
  <c r="BH104" i="21" s="1"/>
  <c r="R136" i="20"/>
  <c r="Q115" i="21"/>
  <c r="AW115" i="21" s="1"/>
  <c r="AW116" i="21" s="1"/>
  <c r="Q137" i="20"/>
  <c r="AD271" i="20"/>
  <c r="AC250" i="21"/>
  <c r="BI250" i="21" s="1"/>
  <c r="AC300" i="20"/>
  <c r="AB279" i="21"/>
  <c r="BH279" i="21" s="1"/>
  <c r="AC330" i="20"/>
  <c r="AB309" i="21"/>
  <c r="BH309" i="21" s="1"/>
  <c r="V452" i="20"/>
  <c r="U431" i="21"/>
  <c r="BA431" i="21" s="1"/>
  <c r="W336" i="20"/>
  <c r="V315" i="21"/>
  <c r="BB315" i="21" s="1"/>
  <c r="AD124" i="20"/>
  <c r="AC103" i="21"/>
  <c r="BI103" i="21" s="1"/>
  <c r="Z419" i="20"/>
  <c r="Y398" i="21"/>
  <c r="BE398" i="21" s="1"/>
  <c r="T480" i="20"/>
  <c r="S459" i="21"/>
  <c r="AY459" i="21" s="1"/>
  <c r="AD69" i="20"/>
  <c r="AC48" i="21"/>
  <c r="BI48" i="21" s="1"/>
  <c r="U223" i="20"/>
  <c r="T202" i="21"/>
  <c r="AZ202" i="21" s="1"/>
  <c r="AZ203" i="21" s="1"/>
  <c r="T224" i="20"/>
  <c r="V184" i="1" s="1"/>
  <c r="U164" i="20"/>
  <c r="T143" i="21"/>
  <c r="AZ143" i="21" s="1"/>
  <c r="W105" i="20"/>
  <c r="V84" i="21"/>
  <c r="BB84" i="21" s="1"/>
  <c r="AC387" i="20"/>
  <c r="AB366" i="21"/>
  <c r="BH366" i="21" s="1"/>
  <c r="W477" i="20"/>
  <c r="V456" i="21"/>
  <c r="BB456" i="21" s="1"/>
  <c r="AB245" i="20"/>
  <c r="AA224" i="21"/>
  <c r="BG224" i="21" s="1"/>
  <c r="U178" i="1"/>
  <c r="AX67" i="23"/>
  <c r="AX85" i="23" s="1"/>
  <c r="AX103" i="23" s="1"/>
  <c r="S58" i="21"/>
  <c r="W131" i="20"/>
  <c r="V110" i="21"/>
  <c r="BB110" i="21" s="1"/>
  <c r="S455" i="20"/>
  <c r="R434" i="21"/>
  <c r="AX434" i="21" s="1"/>
  <c r="AX435" i="21" s="1"/>
  <c r="R456" i="20"/>
  <c r="T194" i="1" s="1"/>
  <c r="AD214" i="20"/>
  <c r="AC193" i="21"/>
  <c r="BI193" i="21" s="1"/>
  <c r="AA303" i="20"/>
  <c r="Z282" i="21"/>
  <c r="BF282" i="21" s="1"/>
  <c r="AA418" i="20"/>
  <c r="Z397" i="21"/>
  <c r="BF397" i="21" s="1"/>
  <c r="W307" i="20"/>
  <c r="V286" i="21"/>
  <c r="BB286" i="21" s="1"/>
  <c r="AE67" i="20"/>
  <c r="AE46" i="21" s="1"/>
  <c r="BK46" i="21" s="1"/>
  <c r="AD46" i="21"/>
  <c r="BJ46" i="21" s="1"/>
  <c r="Y74" i="20"/>
  <c r="X53" i="21"/>
  <c r="BD53" i="21" s="1"/>
  <c r="W221" i="20"/>
  <c r="V200" i="21"/>
  <c r="BB200" i="21" s="1"/>
  <c r="V308" i="20"/>
  <c r="U287" i="21"/>
  <c r="BA287" i="21" s="1"/>
  <c r="AD155" i="20"/>
  <c r="AC134" i="21"/>
  <c r="BI134" i="21" s="1"/>
  <c r="Z448" i="20"/>
  <c r="Y427" i="21"/>
  <c r="BE427" i="21" s="1"/>
  <c r="AD470" i="20"/>
  <c r="AC449" i="21"/>
  <c r="BI449" i="21" s="1"/>
  <c r="AE154" i="20"/>
  <c r="AE133" i="21" s="1"/>
  <c r="BK133" i="21" s="1"/>
  <c r="AD133" i="21"/>
  <c r="BJ133" i="21" s="1"/>
  <c r="AE212" i="20"/>
  <c r="AE191" i="21" s="1"/>
  <c r="BK191" i="21" s="1"/>
  <c r="AD191" i="21"/>
  <c r="BJ191" i="21" s="1"/>
  <c r="S366" i="20"/>
  <c r="R345" i="21"/>
  <c r="AX345" i="21" s="1"/>
  <c r="Y391" i="20"/>
  <c r="X370" i="21"/>
  <c r="BD370" i="21" s="1"/>
  <c r="W393" i="20"/>
  <c r="V372" i="21"/>
  <c r="BB372" i="21" s="1"/>
  <c r="AB100" i="20"/>
  <c r="AA79" i="21"/>
  <c r="BG79" i="21" s="1"/>
  <c r="Z275" i="20"/>
  <c r="Y254" i="21"/>
  <c r="BE254" i="21" s="1"/>
  <c r="U194" i="20"/>
  <c r="T173" i="21"/>
  <c r="AZ173" i="21" s="1"/>
  <c r="AZ174" i="21" s="1"/>
  <c r="T195" i="20"/>
  <c r="V183" i="1" s="1"/>
  <c r="W76" i="20"/>
  <c r="V55" i="21"/>
  <c r="BB55" i="21" s="1"/>
  <c r="V193" i="20"/>
  <c r="U172" i="21"/>
  <c r="BA172" i="21" s="1"/>
  <c r="AC99" i="20"/>
  <c r="AB78" i="21"/>
  <c r="BH78" i="21" s="1"/>
  <c r="V394" i="20"/>
  <c r="U373" i="21"/>
  <c r="BA373" i="21" s="1"/>
  <c r="AD443" i="20"/>
  <c r="AC422" i="21"/>
  <c r="BI422" i="21" s="1"/>
  <c r="Q368" i="20"/>
  <c r="P347" i="21"/>
  <c r="AV347" i="21" s="1"/>
  <c r="AV348" i="21" s="1"/>
  <c r="P369" i="20"/>
  <c r="R190" i="1" s="1"/>
  <c r="AC415" i="20"/>
  <c r="AB394" i="21"/>
  <c r="BH394" i="21" s="1"/>
  <c r="Z102" i="20"/>
  <c r="Y81" i="21"/>
  <c r="BE81" i="21" s="1"/>
  <c r="AB157" i="20"/>
  <c r="AA136" i="21"/>
  <c r="BG136" i="21" s="1"/>
  <c r="Q483" i="20"/>
  <c r="P462" i="21"/>
  <c r="AV462" i="21" s="1"/>
  <c r="V279" i="20"/>
  <c r="U258" i="21"/>
  <c r="BA258" i="21" s="1"/>
  <c r="Z359" i="20"/>
  <c r="Y338" i="21"/>
  <c r="BE338" i="21" s="1"/>
  <c r="R482" i="20"/>
  <c r="Q461" i="21"/>
  <c r="AW461" i="21" s="1"/>
  <c r="U179" i="1"/>
  <c r="AX68" i="23"/>
  <c r="AX86" i="23" s="1"/>
  <c r="AX104" i="23" s="1"/>
  <c r="S87" i="21"/>
  <c r="V77" i="20"/>
  <c r="U56" i="21"/>
  <c r="BA56" i="21" s="1"/>
  <c r="AE327" i="20"/>
  <c r="AE306" i="21" s="1"/>
  <c r="BK306" i="21" s="1"/>
  <c r="AD306" i="21"/>
  <c r="BJ306" i="21" s="1"/>
  <c r="AA246" i="20"/>
  <c r="Z225" i="21"/>
  <c r="BF225" i="21" s="1"/>
  <c r="AB416" i="20"/>
  <c r="AA395" i="21"/>
  <c r="BG395" i="21" s="1"/>
  <c r="S481" i="20"/>
  <c r="R460" i="21"/>
  <c r="AX460" i="21" s="1"/>
  <c r="X130" i="20"/>
  <c r="W109" i="21"/>
  <c r="BC109" i="21" s="1"/>
  <c r="T339" i="20"/>
  <c r="S318" i="21"/>
  <c r="AY318" i="21" s="1"/>
  <c r="AY319" i="21" s="1"/>
  <c r="S340" i="20"/>
  <c r="U189" i="1" s="1"/>
  <c r="W422" i="20"/>
  <c r="V401" i="21"/>
  <c r="BB401" i="21" s="1"/>
  <c r="W250" i="20"/>
  <c r="V229" i="21"/>
  <c r="BB229" i="21" s="1"/>
  <c r="U309" i="20"/>
  <c r="T288" i="21"/>
  <c r="AZ288" i="21" s="1"/>
  <c r="Z474" i="20"/>
  <c r="Y453" i="21"/>
  <c r="BE453" i="21" s="1"/>
  <c r="AE469" i="20"/>
  <c r="AE448" i="21" s="1"/>
  <c r="BK448" i="21" s="1"/>
  <c r="AD448" i="21"/>
  <c r="BJ448" i="21" s="1"/>
  <c r="V363" i="20"/>
  <c r="U342" i="21"/>
  <c r="BA342" i="21" s="1"/>
  <c r="AD185" i="20"/>
  <c r="AC164" i="21"/>
  <c r="BI164" i="21" s="1"/>
  <c r="AE241" i="20"/>
  <c r="AE220" i="21" s="1"/>
  <c r="BK220" i="21" s="1"/>
  <c r="AD220" i="21"/>
  <c r="BJ220" i="21" s="1"/>
  <c r="P484" i="20"/>
  <c r="O463" i="21"/>
  <c r="AU463" i="21" s="1"/>
  <c r="AU464" i="21" s="1"/>
  <c r="O485" i="20"/>
  <c r="Q195" i="1" s="1"/>
  <c r="S174" i="21"/>
  <c r="AX71" i="23"/>
  <c r="AX89" i="23" s="1"/>
  <c r="AX107" i="23" s="1"/>
  <c r="X161" i="20"/>
  <c r="W140" i="21"/>
  <c r="BC140" i="21" s="1"/>
  <c r="W362" i="20"/>
  <c r="V341" i="21"/>
  <c r="BB341" i="21" s="1"/>
  <c r="T281" i="20"/>
  <c r="S260" i="21"/>
  <c r="AY260" i="21" s="1"/>
  <c r="AA72" i="20"/>
  <c r="Z51" i="21"/>
  <c r="BF51" i="21" s="1"/>
  <c r="AA332" i="20"/>
  <c r="Z311" i="21"/>
  <c r="BF311" i="21" s="1"/>
  <c r="U338" i="20"/>
  <c r="T317" i="21"/>
  <c r="AZ317" i="21" s="1"/>
  <c r="X306" i="20"/>
  <c r="W285" i="21"/>
  <c r="BC285" i="21" s="1"/>
  <c r="AB331" i="20"/>
  <c r="AA310" i="21"/>
  <c r="BG310" i="21" s="1"/>
  <c r="AB42" i="20"/>
  <c r="AA21" i="21"/>
  <c r="BG21" i="21" s="1"/>
  <c r="AD299" i="20"/>
  <c r="AC278" i="21"/>
  <c r="BI278" i="21" s="1"/>
  <c r="AB216" i="20"/>
  <c r="AA195" i="21"/>
  <c r="BG195" i="21" s="1"/>
  <c r="AB388" i="20"/>
  <c r="AA367" i="21"/>
  <c r="BG367" i="21" s="1"/>
  <c r="O348" i="21"/>
  <c r="AT77" i="23"/>
  <c r="AT95" i="23" s="1"/>
  <c r="AT113" i="23" s="1"/>
  <c r="V132" i="20"/>
  <c r="U111" i="21"/>
  <c r="BA111" i="21" s="1"/>
  <c r="AA389" i="20"/>
  <c r="Z368" i="21"/>
  <c r="BF368" i="21" s="1"/>
  <c r="Z247" i="20"/>
  <c r="Y226" i="21"/>
  <c r="BE226" i="21" s="1"/>
  <c r="AA473" i="20"/>
  <c r="Z452" i="21"/>
  <c r="BF452" i="21" s="1"/>
  <c r="AB445" i="20"/>
  <c r="AA424" i="21"/>
  <c r="BG424" i="21" s="1"/>
  <c r="U133" i="20"/>
  <c r="T112" i="21"/>
  <c r="AZ112" i="21" s="1"/>
  <c r="U252" i="20"/>
  <c r="T231" i="21"/>
  <c r="AZ231" i="21" s="1"/>
  <c r="AZ232" i="21" s="1"/>
  <c r="T253" i="20"/>
  <c r="V185" i="1" s="1"/>
  <c r="AA274" i="20"/>
  <c r="Z253" i="21"/>
  <c r="BF253" i="21" s="1"/>
  <c r="AD242" i="20"/>
  <c r="AC221" i="21"/>
  <c r="BI221" i="21" s="1"/>
  <c r="Y305" i="20"/>
  <c r="X284" i="21"/>
  <c r="BD284" i="21" s="1"/>
  <c r="Y190" i="20"/>
  <c r="X169" i="21"/>
  <c r="BD169" i="21" s="1"/>
  <c r="U49" i="20"/>
  <c r="T28" i="21"/>
  <c r="AZ28" i="21" s="1"/>
  <c r="Y219" i="20"/>
  <c r="X198" i="21"/>
  <c r="BD198" i="21" s="1"/>
  <c r="T396" i="20"/>
  <c r="S375" i="21"/>
  <c r="AY375" i="21" s="1"/>
  <c r="T454" i="20"/>
  <c r="S433" i="21"/>
  <c r="AY433" i="21" s="1"/>
  <c r="Q406" i="21"/>
  <c r="AV79" i="23"/>
  <c r="AV97" i="23" s="1"/>
  <c r="AV115" i="23" s="1"/>
  <c r="Y334" i="20"/>
  <c r="X313" i="21"/>
  <c r="BD313" i="21" s="1"/>
  <c r="U395" i="20"/>
  <c r="T374" i="21"/>
  <c r="AZ374" i="21" s="1"/>
  <c r="AE183" i="20"/>
  <c r="AE162" i="21" s="1"/>
  <c r="BK162" i="21" s="1"/>
  <c r="AD162" i="21"/>
  <c r="BJ162" i="21" s="1"/>
  <c r="AC272" i="20"/>
  <c r="AB251" i="21"/>
  <c r="BH251" i="21" s="1"/>
  <c r="X249" i="20"/>
  <c r="W228" i="21"/>
  <c r="BC228" i="21" s="1"/>
  <c r="AB302" i="20"/>
  <c r="AA281" i="21"/>
  <c r="BG281" i="21" s="1"/>
  <c r="AB187" i="20"/>
  <c r="AA166" i="21"/>
  <c r="BG166" i="21" s="1"/>
  <c r="AD97" i="20"/>
  <c r="AC76" i="21"/>
  <c r="BI76" i="21" s="1"/>
  <c r="AA101" i="20"/>
  <c r="Z80" i="21"/>
  <c r="BF80" i="21" s="1"/>
  <c r="N29" i="21"/>
  <c r="AS66" i="23"/>
  <c r="AS84" i="23" s="1"/>
  <c r="AS102" i="23" s="1"/>
  <c r="M377" i="21"/>
  <c r="AR78" i="23"/>
  <c r="AR96" i="23" s="1"/>
  <c r="AR114" i="23" s="1"/>
  <c r="O50" i="20"/>
  <c r="Q177" i="1" s="1"/>
  <c r="O3" i="21"/>
  <c r="P24" i="20"/>
  <c r="N398" i="20"/>
  <c r="P192" i="1" s="1"/>
  <c r="N351" i="21"/>
  <c r="O372" i="20"/>
  <c r="O235" i="21"/>
  <c r="P256" i="20"/>
  <c r="AT351" i="21" l="1"/>
  <c r="AT377" i="21" s="1"/>
  <c r="M21" i="1" s="1"/>
  <c r="M23" i="1" s="1"/>
  <c r="AU235" i="21"/>
  <c r="AU261" i="21" s="1"/>
  <c r="N15" i="1" s="1"/>
  <c r="N17" i="1" s="1"/>
  <c r="AU3" i="21"/>
  <c r="AU29" i="21" s="1"/>
  <c r="N3" i="1" s="1"/>
  <c r="N5" i="1" s="1"/>
  <c r="AY144" i="21"/>
  <c r="AY145" i="21" s="1"/>
  <c r="R9" i="1" s="1"/>
  <c r="R11" i="1" s="1"/>
  <c r="AY73" i="23"/>
  <c r="AY91" i="23" s="1"/>
  <c r="AY109" i="23" s="1"/>
  <c r="T232" i="21"/>
  <c r="AB473" i="20"/>
  <c r="AA452" i="21"/>
  <c r="BG452" i="21" s="1"/>
  <c r="AC216" i="20"/>
  <c r="AB195" i="21"/>
  <c r="BH195" i="21" s="1"/>
  <c r="AC42" i="20"/>
  <c r="AB21" i="21"/>
  <c r="BH21" i="21" s="1"/>
  <c r="AB332" i="20"/>
  <c r="AA311" i="21"/>
  <c r="BG311" i="21" s="1"/>
  <c r="U281" i="20"/>
  <c r="T260" i="21"/>
  <c r="AZ260" i="21" s="1"/>
  <c r="Y161" i="20"/>
  <c r="X140" i="21"/>
  <c r="BD140" i="21" s="1"/>
  <c r="T481" i="20"/>
  <c r="S460" i="21"/>
  <c r="AY460" i="21" s="1"/>
  <c r="R368" i="20"/>
  <c r="Q347" i="21"/>
  <c r="AW347" i="21" s="1"/>
  <c r="AW348" i="21" s="1"/>
  <c r="Q369" i="20"/>
  <c r="S190" i="1" s="1"/>
  <c r="W193" i="20"/>
  <c r="V172" i="21"/>
  <c r="BB172" i="21" s="1"/>
  <c r="T455" i="20"/>
  <c r="S434" i="21"/>
  <c r="AY434" i="21" s="1"/>
  <c r="AY435" i="21" s="1"/>
  <c r="S456" i="20"/>
  <c r="U194" i="1" s="1"/>
  <c r="AE69" i="20"/>
  <c r="AE48" i="21" s="1"/>
  <c r="BK48" i="21" s="1"/>
  <c r="AD48" i="21"/>
  <c r="BJ48" i="21" s="1"/>
  <c r="X336" i="20"/>
  <c r="W315" i="21"/>
  <c r="BC315" i="21" s="1"/>
  <c r="AE271" i="20"/>
  <c r="AE250" i="21" s="1"/>
  <c r="BK250" i="21" s="1"/>
  <c r="AD250" i="21"/>
  <c r="BJ250" i="21" s="1"/>
  <c r="V178" i="1"/>
  <c r="T58" i="21"/>
  <c r="AY67" i="23"/>
  <c r="AY85" i="23" s="1"/>
  <c r="AY103" i="23" s="1"/>
  <c r="Y421" i="20"/>
  <c r="X400" i="21"/>
  <c r="BD400" i="21" s="1"/>
  <c r="AE355" i="20"/>
  <c r="AE334" i="21" s="1"/>
  <c r="BK334" i="21" s="1"/>
  <c r="AD334" i="21"/>
  <c r="BJ334" i="21" s="1"/>
  <c r="Y191" i="20"/>
  <c r="X170" i="21"/>
  <c r="BD170" i="21" s="1"/>
  <c r="Y392" i="20"/>
  <c r="X371" i="21"/>
  <c r="BD371" i="21" s="1"/>
  <c r="AB217" i="20"/>
  <c r="AA196" i="21"/>
  <c r="BG196" i="21" s="1"/>
  <c r="AW79" i="23"/>
  <c r="AW97" i="23" s="1"/>
  <c r="AW115" i="23" s="1"/>
  <c r="R406" i="21"/>
  <c r="AC71" i="20"/>
  <c r="AB50" i="21"/>
  <c r="BH50" i="21" s="1"/>
  <c r="AB101" i="20"/>
  <c r="AA80" i="21"/>
  <c r="BG80" i="21" s="1"/>
  <c r="AC187" i="20"/>
  <c r="AB166" i="21"/>
  <c r="BH166" i="21" s="1"/>
  <c r="Y249" i="20"/>
  <c r="X228" i="21"/>
  <c r="BD228" i="21" s="1"/>
  <c r="Z334" i="20"/>
  <c r="Y313" i="21"/>
  <c r="BE313" i="21" s="1"/>
  <c r="U454" i="20"/>
  <c r="T433" i="21"/>
  <c r="AZ433" i="21" s="1"/>
  <c r="Z219" i="20"/>
  <c r="Y198" i="21"/>
  <c r="BE198" i="21" s="1"/>
  <c r="Z190" i="20"/>
  <c r="Y169" i="21"/>
  <c r="BE169" i="21" s="1"/>
  <c r="AE242" i="20"/>
  <c r="AE221" i="21" s="1"/>
  <c r="BK221" i="21" s="1"/>
  <c r="AD221" i="21"/>
  <c r="BJ221" i="21" s="1"/>
  <c r="Q484" i="20"/>
  <c r="P463" i="21"/>
  <c r="AV463" i="21" s="1"/>
  <c r="AV464" i="21" s="1"/>
  <c r="P485" i="20"/>
  <c r="R195" i="1" s="1"/>
  <c r="AE185" i="20"/>
  <c r="AE164" i="21" s="1"/>
  <c r="BK164" i="21" s="1"/>
  <c r="AD164" i="21"/>
  <c r="BJ164" i="21" s="1"/>
  <c r="V309" i="20"/>
  <c r="U288" i="21"/>
  <c r="BA288" i="21" s="1"/>
  <c r="X422" i="20"/>
  <c r="W401" i="21"/>
  <c r="BC401" i="21" s="1"/>
  <c r="S482" i="20"/>
  <c r="R461" i="21"/>
  <c r="AX461" i="21" s="1"/>
  <c r="W279" i="20"/>
  <c r="V258" i="21"/>
  <c r="BB258" i="21" s="1"/>
  <c r="AC157" i="20"/>
  <c r="AB136" i="21"/>
  <c r="BH136" i="21" s="1"/>
  <c r="AD415" i="20"/>
  <c r="AC394" i="21"/>
  <c r="BI394" i="21" s="1"/>
  <c r="V194" i="20"/>
  <c r="U173" i="21"/>
  <c r="BA173" i="21" s="1"/>
  <c r="BA174" i="21" s="1"/>
  <c r="U195" i="20"/>
  <c r="W183" i="1" s="1"/>
  <c r="AC100" i="20"/>
  <c r="AB79" i="21"/>
  <c r="BH79" i="21" s="1"/>
  <c r="Z391" i="20"/>
  <c r="Y370" i="21"/>
  <c r="BE370" i="21" s="1"/>
  <c r="AE470" i="20"/>
  <c r="AE449" i="21" s="1"/>
  <c r="BK449" i="21" s="1"/>
  <c r="AD449" i="21"/>
  <c r="BJ449" i="21" s="1"/>
  <c r="AE155" i="20"/>
  <c r="AE134" i="21" s="1"/>
  <c r="BK134" i="21" s="1"/>
  <c r="AD134" i="21"/>
  <c r="BJ134" i="21" s="1"/>
  <c r="X221" i="20"/>
  <c r="W200" i="21"/>
  <c r="BC200" i="21" s="1"/>
  <c r="AB418" i="20"/>
  <c r="AA397" i="21"/>
  <c r="BG397" i="21" s="1"/>
  <c r="AE214" i="20"/>
  <c r="AE193" i="21" s="1"/>
  <c r="BK193" i="21" s="1"/>
  <c r="AD193" i="21"/>
  <c r="BJ193" i="21" s="1"/>
  <c r="X477" i="20"/>
  <c r="W456" i="21"/>
  <c r="BC456" i="21" s="1"/>
  <c r="X105" i="20"/>
  <c r="W84" i="21"/>
  <c r="BC84" i="21" s="1"/>
  <c r="S180" i="1"/>
  <c r="Q116" i="21"/>
  <c r="AV69" i="23"/>
  <c r="AV87" i="23" s="1"/>
  <c r="AV105" i="23" s="1"/>
  <c r="AD125" i="20"/>
  <c r="AC104" i="21"/>
  <c r="BI104" i="21" s="1"/>
  <c r="AD186" i="20"/>
  <c r="AC165" i="21"/>
  <c r="BI165" i="21" s="1"/>
  <c r="AD244" i="20"/>
  <c r="AC223" i="21"/>
  <c r="BI223" i="21" s="1"/>
  <c r="V453" i="20"/>
  <c r="U432" i="21"/>
  <c r="BA432" i="21" s="1"/>
  <c r="AA333" i="20"/>
  <c r="Z312" i="21"/>
  <c r="BF312" i="21" s="1"/>
  <c r="AA128" i="20"/>
  <c r="Z107" i="21"/>
  <c r="BF107" i="21" s="1"/>
  <c r="AC446" i="20"/>
  <c r="AB425" i="21"/>
  <c r="BH425" i="21" s="1"/>
  <c r="AA44" i="20"/>
  <c r="Z23" i="21"/>
  <c r="BF23" i="21" s="1"/>
  <c r="S367" i="20"/>
  <c r="R346" i="21"/>
  <c r="AX346" i="21" s="1"/>
  <c r="X192" i="20"/>
  <c r="W171" i="21"/>
  <c r="BC171" i="21" s="1"/>
  <c r="AE243" i="20"/>
  <c r="AE222" i="21" s="1"/>
  <c r="BK222" i="21" s="1"/>
  <c r="AD222" i="21"/>
  <c r="BJ222" i="21" s="1"/>
  <c r="W222" i="20"/>
  <c r="V201" i="21"/>
  <c r="BB201" i="21" s="1"/>
  <c r="AE328" i="20"/>
  <c r="AE307" i="21" s="1"/>
  <c r="BK307" i="21" s="1"/>
  <c r="AD307" i="21"/>
  <c r="BJ307" i="21" s="1"/>
  <c r="V424" i="20"/>
  <c r="U403" i="21"/>
  <c r="BA403" i="21" s="1"/>
  <c r="Y476" i="20"/>
  <c r="X455" i="21"/>
  <c r="BD455" i="21" s="1"/>
  <c r="AB447" i="20"/>
  <c r="AA426" i="21"/>
  <c r="BG426" i="21" s="1"/>
  <c r="W337" i="20"/>
  <c r="V316" i="21"/>
  <c r="BB316" i="21" s="1"/>
  <c r="Z475" i="20"/>
  <c r="Y454" i="21"/>
  <c r="BE454" i="21" s="1"/>
  <c r="W423" i="20"/>
  <c r="V402" i="21"/>
  <c r="BB402" i="21" s="1"/>
  <c r="AC273" i="20"/>
  <c r="AB252" i="21"/>
  <c r="BH252" i="21" s="1"/>
  <c r="AE414" i="20"/>
  <c r="AE393" i="21" s="1"/>
  <c r="BK393" i="21" s="1"/>
  <c r="AD393" i="21"/>
  <c r="BJ393" i="21" s="1"/>
  <c r="AA159" i="20"/>
  <c r="Z138" i="21"/>
  <c r="BF138" i="21" s="1"/>
  <c r="AB358" i="20"/>
  <c r="AA337" i="21"/>
  <c r="BG337" i="21" s="1"/>
  <c r="T135" i="20"/>
  <c r="S114" i="21"/>
  <c r="AY114" i="21" s="1"/>
  <c r="Y335" i="20"/>
  <c r="X314" i="21"/>
  <c r="BD314" i="21" s="1"/>
  <c r="AX75" i="23"/>
  <c r="AX93" i="23" s="1"/>
  <c r="AX111" i="23" s="1"/>
  <c r="S290" i="21"/>
  <c r="AB127" i="20"/>
  <c r="AA106" i="21"/>
  <c r="BG106" i="21" s="1"/>
  <c r="V364" i="20"/>
  <c r="U343" i="21"/>
  <c r="BA343" i="21" s="1"/>
  <c r="AE386" i="20"/>
  <c r="AE365" i="21" s="1"/>
  <c r="BK365" i="21" s="1"/>
  <c r="AD365" i="21"/>
  <c r="BJ365" i="21" s="1"/>
  <c r="U365" i="20"/>
  <c r="T344" i="21"/>
  <c r="AZ344" i="21" s="1"/>
  <c r="AD329" i="20"/>
  <c r="AC308" i="21"/>
  <c r="BI308" i="21" s="1"/>
  <c r="V179" i="1"/>
  <c r="AY68" i="23"/>
  <c r="AY86" i="23" s="1"/>
  <c r="AY104" i="23" s="1"/>
  <c r="T87" i="21"/>
  <c r="V133" i="20"/>
  <c r="U112" i="21"/>
  <c r="BA112" i="21" s="1"/>
  <c r="Y306" i="20"/>
  <c r="X285" i="21"/>
  <c r="BD285" i="21" s="1"/>
  <c r="W77" i="20"/>
  <c r="V56" i="21"/>
  <c r="BB56" i="21" s="1"/>
  <c r="AY72" i="23"/>
  <c r="AY90" i="23" s="1"/>
  <c r="AY108" i="23" s="1"/>
  <c r="T203" i="21"/>
  <c r="AE213" i="20"/>
  <c r="AE192" i="21" s="1"/>
  <c r="BK192" i="21" s="1"/>
  <c r="AD192" i="21"/>
  <c r="BJ192" i="21" s="1"/>
  <c r="Y46" i="20"/>
  <c r="X25" i="21"/>
  <c r="BD25" i="21" s="1"/>
  <c r="U165" i="20"/>
  <c r="T144" i="21"/>
  <c r="T166" i="20"/>
  <c r="V182" i="1" s="1"/>
  <c r="V280" i="20"/>
  <c r="U259" i="21"/>
  <c r="BA259" i="21" s="1"/>
  <c r="T397" i="20"/>
  <c r="S376" i="21"/>
  <c r="AY376" i="21" s="1"/>
  <c r="Z45" i="20"/>
  <c r="Y24" i="21"/>
  <c r="BE24" i="21" s="1"/>
  <c r="AD471" i="20"/>
  <c r="AC450" i="21"/>
  <c r="BI450" i="21" s="1"/>
  <c r="Y361" i="20"/>
  <c r="X340" i="21"/>
  <c r="BD340" i="21" s="1"/>
  <c r="AA189" i="20"/>
  <c r="Z168" i="21"/>
  <c r="BF168" i="21" s="1"/>
  <c r="AC445" i="20"/>
  <c r="AB424" i="21"/>
  <c r="BH424" i="21" s="1"/>
  <c r="AC388" i="20"/>
  <c r="AB367" i="21"/>
  <c r="BH367" i="21" s="1"/>
  <c r="AC331" i="20"/>
  <c r="AB310" i="21"/>
  <c r="BH310" i="21" s="1"/>
  <c r="AB72" i="20"/>
  <c r="AA51" i="21"/>
  <c r="BG51" i="21" s="1"/>
  <c r="S319" i="21"/>
  <c r="AX76" i="23"/>
  <c r="AX94" i="23" s="1"/>
  <c r="AX112" i="23" s="1"/>
  <c r="AC416" i="20"/>
  <c r="AB395" i="21"/>
  <c r="BH395" i="21" s="1"/>
  <c r="AU77" i="23"/>
  <c r="AU95" i="23" s="1"/>
  <c r="AU113" i="23" s="1"/>
  <c r="P348" i="21"/>
  <c r="AE443" i="20"/>
  <c r="AE422" i="21" s="1"/>
  <c r="BK422" i="21" s="1"/>
  <c r="AD422" i="21"/>
  <c r="BJ422" i="21" s="1"/>
  <c r="AD99" i="20"/>
  <c r="AC78" i="21"/>
  <c r="BI78" i="21" s="1"/>
  <c r="X76" i="20"/>
  <c r="W55" i="21"/>
  <c r="BC55" i="21" s="1"/>
  <c r="R435" i="21"/>
  <c r="AW80" i="23"/>
  <c r="AW98" i="23" s="1"/>
  <c r="AW116" i="23" s="1"/>
  <c r="X131" i="20"/>
  <c r="W110" i="21"/>
  <c r="BC110" i="21" s="1"/>
  <c r="V223" i="20"/>
  <c r="U202" i="21"/>
  <c r="BA202" i="21" s="1"/>
  <c r="BA203" i="21" s="1"/>
  <c r="U224" i="20"/>
  <c r="W184" i="1" s="1"/>
  <c r="U480" i="20"/>
  <c r="T459" i="21"/>
  <c r="AZ459" i="21" s="1"/>
  <c r="AE124" i="20"/>
  <c r="AE103" i="21" s="1"/>
  <c r="BK103" i="21" s="1"/>
  <c r="AD103" i="21"/>
  <c r="BJ103" i="21" s="1"/>
  <c r="W452" i="20"/>
  <c r="V431" i="21"/>
  <c r="BB431" i="21" s="1"/>
  <c r="AD300" i="20"/>
  <c r="AC279" i="21"/>
  <c r="BI279" i="21" s="1"/>
  <c r="V78" i="20"/>
  <c r="U57" i="21"/>
  <c r="BA57" i="21" s="1"/>
  <c r="BA58" i="21" s="1"/>
  <c r="U79" i="20"/>
  <c r="Z420" i="20"/>
  <c r="Y399" i="21"/>
  <c r="BE399" i="21" s="1"/>
  <c r="AD444" i="20"/>
  <c r="AC423" i="21"/>
  <c r="BI423" i="21" s="1"/>
  <c r="Y75" i="20"/>
  <c r="X54" i="21"/>
  <c r="BD54" i="21" s="1"/>
  <c r="X162" i="20"/>
  <c r="W141" i="21"/>
  <c r="BC141" i="21" s="1"/>
  <c r="S145" i="21"/>
  <c r="AX70" i="23"/>
  <c r="AX88" i="23" s="1"/>
  <c r="AX106" i="23" s="1"/>
  <c r="AE184" i="20"/>
  <c r="AE163" i="21" s="1"/>
  <c r="BK163" i="21" s="1"/>
  <c r="AD163" i="21"/>
  <c r="BJ163" i="21" s="1"/>
  <c r="W251" i="20"/>
  <c r="V230" i="21"/>
  <c r="BB230" i="21" s="1"/>
  <c r="AA304" i="20"/>
  <c r="Z283" i="21"/>
  <c r="BF283" i="21" s="1"/>
  <c r="AC417" i="20"/>
  <c r="AB396" i="21"/>
  <c r="BH396" i="21" s="1"/>
  <c r="U425" i="20"/>
  <c r="T404" i="21"/>
  <c r="AZ404" i="21" s="1"/>
  <c r="AC357" i="20"/>
  <c r="AB336" i="21"/>
  <c r="BH336" i="21" s="1"/>
  <c r="T426" i="20"/>
  <c r="S405" i="21"/>
  <c r="AY405" i="21" s="1"/>
  <c r="AY406" i="21" s="1"/>
  <c r="S427" i="20"/>
  <c r="U193" i="1" s="1"/>
  <c r="Y220" i="20"/>
  <c r="X199" i="21"/>
  <c r="BD199" i="21" s="1"/>
  <c r="AB389" i="20"/>
  <c r="AA368" i="21"/>
  <c r="BG368" i="21" s="1"/>
  <c r="U339" i="20"/>
  <c r="T318" i="21"/>
  <c r="AZ318" i="21" s="1"/>
  <c r="AZ319" i="21" s="1"/>
  <c r="T340" i="20"/>
  <c r="V189" i="1" s="1"/>
  <c r="AB246" i="20"/>
  <c r="AA225" i="21"/>
  <c r="BG225" i="21" s="1"/>
  <c r="W394" i="20"/>
  <c r="V373" i="21"/>
  <c r="BB373" i="21" s="1"/>
  <c r="AA419" i="20"/>
  <c r="Z398" i="21"/>
  <c r="BF398" i="21" s="1"/>
  <c r="AD330" i="20"/>
  <c r="AC309" i="21"/>
  <c r="BI309" i="21" s="1"/>
  <c r="Z449" i="20"/>
  <c r="Y428" i="21"/>
  <c r="BE428" i="21" s="1"/>
  <c r="Y277" i="20"/>
  <c r="X256" i="21"/>
  <c r="BD256" i="21" s="1"/>
  <c r="V252" i="20"/>
  <c r="U231" i="21"/>
  <c r="BA231" i="21" s="1"/>
  <c r="BA232" i="21" s="1"/>
  <c r="U253" i="20"/>
  <c r="W185" i="1" s="1"/>
  <c r="AA247" i="20"/>
  <c r="Z226" i="21"/>
  <c r="BF226" i="21" s="1"/>
  <c r="W132" i="20"/>
  <c r="V111" i="21"/>
  <c r="BB111" i="21" s="1"/>
  <c r="AE299" i="20"/>
  <c r="AE278" i="21" s="1"/>
  <c r="BK278" i="21" s="1"/>
  <c r="AD278" i="21"/>
  <c r="BJ278" i="21" s="1"/>
  <c r="V338" i="20"/>
  <c r="U317" i="21"/>
  <c r="BA317" i="21" s="1"/>
  <c r="X362" i="20"/>
  <c r="W341" i="21"/>
  <c r="BC341" i="21" s="1"/>
  <c r="Y130" i="20"/>
  <c r="X109" i="21"/>
  <c r="BD109" i="21" s="1"/>
  <c r="AE97" i="20"/>
  <c r="AE76" i="21" s="1"/>
  <c r="BK76" i="21" s="1"/>
  <c r="AD76" i="21"/>
  <c r="BJ76" i="21" s="1"/>
  <c r="AC302" i="20"/>
  <c r="AB281" i="21"/>
  <c r="BH281" i="21" s="1"/>
  <c r="AD272" i="20"/>
  <c r="AC251" i="21"/>
  <c r="BI251" i="21" s="1"/>
  <c r="V395" i="20"/>
  <c r="U374" i="21"/>
  <c r="BA374" i="21" s="1"/>
  <c r="U396" i="20"/>
  <c r="T375" i="21"/>
  <c r="AZ375" i="21" s="1"/>
  <c r="V49" i="20"/>
  <c r="U28" i="21"/>
  <c r="BA28" i="21" s="1"/>
  <c r="Z305" i="20"/>
  <c r="Y284" i="21"/>
  <c r="BE284" i="21" s="1"/>
  <c r="AB274" i="20"/>
  <c r="AA253" i="21"/>
  <c r="BG253" i="21" s="1"/>
  <c r="O464" i="21"/>
  <c r="AT81" i="23"/>
  <c r="AT99" i="23" s="1"/>
  <c r="AT117" i="23" s="1"/>
  <c r="W363" i="20"/>
  <c r="V342" i="21"/>
  <c r="BB342" i="21" s="1"/>
  <c r="AA474" i="20"/>
  <c r="Z453" i="21"/>
  <c r="BF453" i="21" s="1"/>
  <c r="X250" i="20"/>
  <c r="W229" i="21"/>
  <c r="BC229" i="21" s="1"/>
  <c r="AA359" i="20"/>
  <c r="Z338" i="21"/>
  <c r="BF338" i="21" s="1"/>
  <c r="R483" i="20"/>
  <c r="Q462" i="21"/>
  <c r="AW462" i="21" s="1"/>
  <c r="AA102" i="20"/>
  <c r="Z81" i="21"/>
  <c r="BF81" i="21" s="1"/>
  <c r="T174" i="21"/>
  <c r="AY71" i="23"/>
  <c r="AY89" i="23" s="1"/>
  <c r="AY107" i="23" s="1"/>
  <c r="AA275" i="20"/>
  <c r="Z254" i="21"/>
  <c r="BF254" i="21" s="1"/>
  <c r="X393" i="20"/>
  <c r="W372" i="21"/>
  <c r="BC372" i="21" s="1"/>
  <c r="T366" i="20"/>
  <c r="S345" i="21"/>
  <c r="AY345" i="21" s="1"/>
  <c r="AA448" i="20"/>
  <c r="Z427" i="21"/>
  <c r="BF427" i="21" s="1"/>
  <c r="W308" i="20"/>
  <c r="V287" i="21"/>
  <c r="BB287" i="21" s="1"/>
  <c r="Z74" i="20"/>
  <c r="Y53" i="21"/>
  <c r="BE53" i="21" s="1"/>
  <c r="X307" i="20"/>
  <c r="W286" i="21"/>
  <c r="BC286" i="21" s="1"/>
  <c r="AB303" i="20"/>
  <c r="AA282" i="21"/>
  <c r="BG282" i="21" s="1"/>
  <c r="AC245" i="20"/>
  <c r="AB224" i="21"/>
  <c r="BH224" i="21" s="1"/>
  <c r="AD387" i="20"/>
  <c r="AC366" i="21"/>
  <c r="BI366" i="21" s="1"/>
  <c r="V164" i="20"/>
  <c r="U143" i="21"/>
  <c r="BA143" i="21" s="1"/>
  <c r="S136" i="20"/>
  <c r="R115" i="21"/>
  <c r="AX115" i="21" s="1"/>
  <c r="AX116" i="21" s="1"/>
  <c r="R137" i="20"/>
  <c r="W163" i="20"/>
  <c r="V142" i="21"/>
  <c r="BB142" i="21" s="1"/>
  <c r="AB43" i="20"/>
  <c r="AA22" i="21"/>
  <c r="BG22" i="21" s="1"/>
  <c r="X47" i="20"/>
  <c r="W26" i="21"/>
  <c r="BC26" i="21" s="1"/>
  <c r="Z129" i="20"/>
  <c r="Y108" i="21"/>
  <c r="BE108" i="21" s="1"/>
  <c r="AD215" i="20"/>
  <c r="AC194" i="21"/>
  <c r="BI194" i="21" s="1"/>
  <c r="W478" i="20"/>
  <c r="V457" i="21"/>
  <c r="BB457" i="21" s="1"/>
  <c r="AB188" i="20"/>
  <c r="AA167" i="21"/>
  <c r="BG167" i="21" s="1"/>
  <c r="AC126" i="20"/>
  <c r="AB105" i="21"/>
  <c r="BH105" i="21" s="1"/>
  <c r="V479" i="20"/>
  <c r="U458" i="21"/>
  <c r="BA458" i="21" s="1"/>
  <c r="Z248" i="20"/>
  <c r="Y227" i="21"/>
  <c r="BE227" i="21" s="1"/>
  <c r="Y104" i="20"/>
  <c r="X83" i="21"/>
  <c r="BD83" i="21" s="1"/>
  <c r="AD356" i="20"/>
  <c r="AC335" i="21"/>
  <c r="BI335" i="21" s="1"/>
  <c r="AA218" i="20"/>
  <c r="Z197" i="21"/>
  <c r="BF197" i="21" s="1"/>
  <c r="Z360" i="20"/>
  <c r="Y339" i="21"/>
  <c r="BE339" i="21" s="1"/>
  <c r="X278" i="20"/>
  <c r="W257" i="21"/>
  <c r="BC257" i="21" s="1"/>
  <c r="W106" i="20"/>
  <c r="V85" i="21"/>
  <c r="BB85" i="21" s="1"/>
  <c r="AD70" i="20"/>
  <c r="AC49" i="21"/>
  <c r="BI49" i="21" s="1"/>
  <c r="Y450" i="20"/>
  <c r="X429" i="21"/>
  <c r="BD429" i="21" s="1"/>
  <c r="AD301" i="20"/>
  <c r="AC280" i="21"/>
  <c r="BI280" i="21" s="1"/>
  <c r="AB158" i="20"/>
  <c r="AA137" i="21"/>
  <c r="BG137" i="21" s="1"/>
  <c r="W48" i="20"/>
  <c r="V27" i="21"/>
  <c r="BB27" i="21" s="1"/>
  <c r="AA390" i="20"/>
  <c r="Z369" i="21"/>
  <c r="BF369" i="21" s="1"/>
  <c r="AE40" i="20"/>
  <c r="AE19" i="21" s="1"/>
  <c r="BK19" i="21" s="1"/>
  <c r="AD19" i="21"/>
  <c r="BJ19" i="21" s="1"/>
  <c r="U134" i="20"/>
  <c r="T113" i="21"/>
  <c r="AZ113" i="21" s="1"/>
  <c r="AD41" i="20"/>
  <c r="AC20" i="21"/>
  <c r="BI20" i="21" s="1"/>
  <c r="Z160" i="20"/>
  <c r="Y139" i="21"/>
  <c r="BE139" i="21" s="1"/>
  <c r="Z276" i="20"/>
  <c r="Y255" i="21"/>
  <c r="BE255" i="21" s="1"/>
  <c r="AA73" i="20"/>
  <c r="Z52" i="21"/>
  <c r="BF52" i="21" s="1"/>
  <c r="AC472" i="20"/>
  <c r="AB451" i="21"/>
  <c r="BH451" i="21" s="1"/>
  <c r="U310" i="20"/>
  <c r="T289" i="21"/>
  <c r="AZ289" i="21" s="1"/>
  <c r="AZ290" i="21" s="1"/>
  <c r="T311" i="20"/>
  <c r="V188" i="1" s="1"/>
  <c r="X451" i="20"/>
  <c r="W430" i="21"/>
  <c r="BC430" i="21" s="1"/>
  <c r="AE98" i="20"/>
  <c r="AE77" i="21" s="1"/>
  <c r="BK77" i="21" s="1"/>
  <c r="AD77" i="21"/>
  <c r="BJ77" i="21" s="1"/>
  <c r="Z103" i="20"/>
  <c r="Y82" i="21"/>
  <c r="BE82" i="21" s="1"/>
  <c r="AE68" i="20"/>
  <c r="AE47" i="21" s="1"/>
  <c r="BK47" i="21" s="1"/>
  <c r="AD47" i="21"/>
  <c r="BJ47" i="21" s="1"/>
  <c r="AD156" i="20"/>
  <c r="AC135" i="21"/>
  <c r="BI135" i="21" s="1"/>
  <c r="V107" i="20"/>
  <c r="U86" i="21"/>
  <c r="BA86" i="21" s="1"/>
  <c r="BA87" i="21" s="1"/>
  <c r="U108" i="20"/>
  <c r="N377" i="21"/>
  <c r="AS78" i="23"/>
  <c r="AS96" i="23" s="1"/>
  <c r="AS114" i="23" s="1"/>
  <c r="O29" i="21"/>
  <c r="AT66" i="23"/>
  <c r="AT84" i="23" s="1"/>
  <c r="AT102" i="23" s="1"/>
  <c r="P235" i="21"/>
  <c r="Q256" i="20"/>
  <c r="P50" i="20"/>
  <c r="R177" i="1" s="1"/>
  <c r="P3" i="21"/>
  <c r="Q24" i="20"/>
  <c r="O398" i="20"/>
  <c r="Q192" i="1" s="1"/>
  <c r="O351" i="21"/>
  <c r="P372" i="20"/>
  <c r="AV3" i="21" l="1"/>
  <c r="AV29" i="21" s="1"/>
  <c r="O3" i="1" s="1"/>
  <c r="O5" i="1" s="1"/>
  <c r="AU351" i="21"/>
  <c r="AU377" i="21" s="1"/>
  <c r="N21" i="1" s="1"/>
  <c r="N23" i="1" s="1"/>
  <c r="AZ144" i="21"/>
  <c r="AZ145" i="21" s="1"/>
  <c r="S9" i="1" s="1"/>
  <c r="S11" i="1" s="1"/>
  <c r="AV235" i="21"/>
  <c r="AV261" i="21" s="1"/>
  <c r="O15" i="1" s="1"/>
  <c r="O17" i="1" s="1"/>
  <c r="AE70" i="20"/>
  <c r="AE49" i="21" s="1"/>
  <c r="BK49" i="21" s="1"/>
  <c r="AD49" i="21"/>
  <c r="BJ49" i="21" s="1"/>
  <c r="AB218" i="20"/>
  <c r="AA197" i="21"/>
  <c r="BG197" i="21" s="1"/>
  <c r="AC188" i="20"/>
  <c r="AB167" i="21"/>
  <c r="BH167" i="21" s="1"/>
  <c r="Y47" i="20"/>
  <c r="X26" i="21"/>
  <c r="BD26" i="21" s="1"/>
  <c r="W78" i="20"/>
  <c r="V57" i="21"/>
  <c r="BB57" i="21" s="1"/>
  <c r="BB58" i="21" s="1"/>
  <c r="V79" i="20"/>
  <c r="V480" i="20"/>
  <c r="U459" i="21"/>
  <c r="BA459" i="21" s="1"/>
  <c r="T145" i="21"/>
  <c r="AY70" i="23"/>
  <c r="AY88" i="23" s="1"/>
  <c r="AY106" i="23" s="1"/>
  <c r="Y105" i="20"/>
  <c r="X84" i="21"/>
  <c r="BD84" i="21" s="1"/>
  <c r="V454" i="20"/>
  <c r="U433" i="21"/>
  <c r="BA433" i="21" s="1"/>
  <c r="AX80" i="23"/>
  <c r="AX98" i="23" s="1"/>
  <c r="AX116" i="23" s="1"/>
  <c r="S435" i="21"/>
  <c r="X193" i="20"/>
  <c r="W172" i="21"/>
  <c r="BC172" i="21" s="1"/>
  <c r="T180" i="1"/>
  <c r="AW69" i="23"/>
  <c r="AW87" i="23" s="1"/>
  <c r="AW105" i="23" s="1"/>
  <c r="R116" i="21"/>
  <c r="W164" i="20"/>
  <c r="V143" i="21"/>
  <c r="BB143" i="21" s="1"/>
  <c r="AD245" i="20"/>
  <c r="AC224" i="21"/>
  <c r="BI224" i="21" s="1"/>
  <c r="Y307" i="20"/>
  <c r="X286" i="21"/>
  <c r="BD286" i="21" s="1"/>
  <c r="X308" i="20"/>
  <c r="W287" i="21"/>
  <c r="BC287" i="21" s="1"/>
  <c r="U366" i="20"/>
  <c r="T345" i="21"/>
  <c r="AZ345" i="21" s="1"/>
  <c r="AB275" i="20"/>
  <c r="AA254" i="21"/>
  <c r="BG254" i="21" s="1"/>
  <c r="AB102" i="20"/>
  <c r="AA81" i="21"/>
  <c r="BG81" i="21" s="1"/>
  <c r="AB359" i="20"/>
  <c r="AA338" i="21"/>
  <c r="BG338" i="21" s="1"/>
  <c r="AB474" i="20"/>
  <c r="AA453" i="21"/>
  <c r="BG453" i="21" s="1"/>
  <c r="AA305" i="20"/>
  <c r="Z284" i="21"/>
  <c r="BF284" i="21" s="1"/>
  <c r="V396" i="20"/>
  <c r="U375" i="21"/>
  <c r="BA375" i="21" s="1"/>
  <c r="AE272" i="20"/>
  <c r="AE251" i="21" s="1"/>
  <c r="BK251" i="21" s="1"/>
  <c r="AD251" i="21"/>
  <c r="BJ251" i="21" s="1"/>
  <c r="Y362" i="20"/>
  <c r="X341" i="21"/>
  <c r="BD341" i="21" s="1"/>
  <c r="AB247" i="20"/>
  <c r="AA226" i="21"/>
  <c r="BG226" i="21" s="1"/>
  <c r="AB419" i="20"/>
  <c r="AA398" i="21"/>
  <c r="BG398" i="21" s="1"/>
  <c r="AC246" i="20"/>
  <c r="AB225" i="21"/>
  <c r="BH225" i="21" s="1"/>
  <c r="AX79" i="23"/>
  <c r="AX97" i="23" s="1"/>
  <c r="AX115" i="23" s="1"/>
  <c r="S406" i="21"/>
  <c r="AD357" i="20"/>
  <c r="AC336" i="21"/>
  <c r="BI336" i="21" s="1"/>
  <c r="AD417" i="20"/>
  <c r="AC396" i="21"/>
  <c r="BI396" i="21" s="1"/>
  <c r="X251" i="20"/>
  <c r="W230" i="21"/>
  <c r="BC230" i="21" s="1"/>
  <c r="Z75" i="20"/>
  <c r="Y54" i="21"/>
  <c r="BE54" i="21" s="1"/>
  <c r="AA420" i="20"/>
  <c r="Z399" i="21"/>
  <c r="BF399" i="21" s="1"/>
  <c r="U203" i="21"/>
  <c r="AZ72" i="23"/>
  <c r="AZ90" i="23" s="1"/>
  <c r="AZ108" i="23" s="1"/>
  <c r="Y131" i="20"/>
  <c r="X110" i="21"/>
  <c r="BD110" i="21" s="1"/>
  <c r="Y76" i="20"/>
  <c r="X55" i="21"/>
  <c r="BD55" i="21" s="1"/>
  <c r="AD416" i="20"/>
  <c r="AC395" i="21"/>
  <c r="BI395" i="21" s="1"/>
  <c r="AC72" i="20"/>
  <c r="AB51" i="21"/>
  <c r="BH51" i="21" s="1"/>
  <c r="AD388" i="20"/>
  <c r="AC367" i="21"/>
  <c r="BI367" i="21" s="1"/>
  <c r="AB189" i="20"/>
  <c r="AA168" i="21"/>
  <c r="BG168" i="21" s="1"/>
  <c r="AE471" i="20"/>
  <c r="AE450" i="21" s="1"/>
  <c r="BK450" i="21" s="1"/>
  <c r="AD450" i="21"/>
  <c r="BJ450" i="21" s="1"/>
  <c r="U397" i="20"/>
  <c r="T376" i="21"/>
  <c r="AZ376" i="21" s="1"/>
  <c r="V365" i="20"/>
  <c r="U344" i="21"/>
  <c r="BA344" i="21" s="1"/>
  <c r="W364" i="20"/>
  <c r="V343" i="21"/>
  <c r="BB343" i="21" s="1"/>
  <c r="U135" i="20"/>
  <c r="T114" i="21"/>
  <c r="AZ114" i="21" s="1"/>
  <c r="AB159" i="20"/>
  <c r="AA138" i="21"/>
  <c r="BG138" i="21" s="1"/>
  <c r="AD273" i="20"/>
  <c r="AC252" i="21"/>
  <c r="BI252" i="21" s="1"/>
  <c r="AA475" i="20"/>
  <c r="Z454" i="21"/>
  <c r="BF454" i="21" s="1"/>
  <c r="AC447" i="20"/>
  <c r="AB426" i="21"/>
  <c r="BH426" i="21" s="1"/>
  <c r="W424" i="20"/>
  <c r="V403" i="21"/>
  <c r="BB403" i="21" s="1"/>
  <c r="X222" i="20"/>
  <c r="W201" i="21"/>
  <c r="BC201" i="21" s="1"/>
  <c r="Y192" i="20"/>
  <c r="X171" i="21"/>
  <c r="BD171" i="21" s="1"/>
  <c r="AB44" i="20"/>
  <c r="AA23" i="21"/>
  <c r="BG23" i="21" s="1"/>
  <c r="AB128" i="20"/>
  <c r="AA107" i="21"/>
  <c r="BG107" i="21" s="1"/>
  <c r="W453" i="20"/>
  <c r="V432" i="21"/>
  <c r="BB432" i="21" s="1"/>
  <c r="AE186" i="20"/>
  <c r="AE165" i="21" s="1"/>
  <c r="BK165" i="21" s="1"/>
  <c r="AD165" i="21"/>
  <c r="BJ165" i="21" s="1"/>
  <c r="U174" i="21"/>
  <c r="AZ71" i="23"/>
  <c r="AZ89" i="23" s="1"/>
  <c r="AZ107" i="23" s="1"/>
  <c r="AE415" i="20"/>
  <c r="AE394" i="21" s="1"/>
  <c r="BK394" i="21" s="1"/>
  <c r="AD394" i="21"/>
  <c r="BJ394" i="21" s="1"/>
  <c r="X279" i="20"/>
  <c r="W258" i="21"/>
  <c r="BC258" i="21" s="1"/>
  <c r="Y422" i="20"/>
  <c r="X401" i="21"/>
  <c r="BD401" i="21" s="1"/>
  <c r="Y336" i="20"/>
  <c r="X315" i="21"/>
  <c r="BD315" i="21" s="1"/>
  <c r="AV77" i="23"/>
  <c r="AV95" i="23" s="1"/>
  <c r="AV113" i="23" s="1"/>
  <c r="Q348" i="21"/>
  <c r="U481" i="20"/>
  <c r="T460" i="21"/>
  <c r="AZ460" i="21" s="1"/>
  <c r="V281" i="20"/>
  <c r="U260" i="21"/>
  <c r="BA260" i="21" s="1"/>
  <c r="AD42" i="20"/>
  <c r="AC21" i="21"/>
  <c r="BI21" i="21" s="1"/>
  <c r="AC473" i="20"/>
  <c r="AB452" i="21"/>
  <c r="BH452" i="21" s="1"/>
  <c r="T290" i="21"/>
  <c r="AY75" i="23"/>
  <c r="AY93" i="23" s="1"/>
  <c r="AY111" i="23" s="1"/>
  <c r="AD472" i="20"/>
  <c r="AC451" i="21"/>
  <c r="BI451" i="21" s="1"/>
  <c r="AE41" i="20"/>
  <c r="AE20" i="21" s="1"/>
  <c r="BK20" i="21" s="1"/>
  <c r="AD20" i="21"/>
  <c r="BJ20" i="21" s="1"/>
  <c r="AE301" i="20"/>
  <c r="AE280" i="21" s="1"/>
  <c r="BK280" i="21" s="1"/>
  <c r="AD280" i="21"/>
  <c r="BJ280" i="21" s="1"/>
  <c r="Y278" i="20"/>
  <c r="X257" i="21"/>
  <c r="BD257" i="21" s="1"/>
  <c r="W479" i="20"/>
  <c r="V458" i="21"/>
  <c r="BB458" i="21" s="1"/>
  <c r="AE215" i="20"/>
  <c r="AE194" i="21" s="1"/>
  <c r="BK194" i="21" s="1"/>
  <c r="AD194" i="21"/>
  <c r="BJ194" i="21" s="1"/>
  <c r="X163" i="20"/>
  <c r="W142" i="21"/>
  <c r="BC142" i="21" s="1"/>
  <c r="W252" i="20"/>
  <c r="V231" i="21"/>
  <c r="BB231" i="21" s="1"/>
  <c r="BB232" i="21" s="1"/>
  <c r="V253" i="20"/>
  <c r="X185" i="1" s="1"/>
  <c r="AA449" i="20"/>
  <c r="Z428" i="21"/>
  <c r="BF428" i="21" s="1"/>
  <c r="Z46" i="20"/>
  <c r="Y25" i="21"/>
  <c r="BE25" i="21" s="1"/>
  <c r="Z306" i="20"/>
  <c r="Y285" i="21"/>
  <c r="BE285" i="21" s="1"/>
  <c r="R484" i="20"/>
  <c r="Q463" i="21"/>
  <c r="AW463" i="21" s="1"/>
  <c r="AW464" i="21" s="1"/>
  <c r="Q485" i="20"/>
  <c r="S195" i="1" s="1"/>
  <c r="Z249" i="20"/>
  <c r="Y228" i="21"/>
  <c r="BE228" i="21" s="1"/>
  <c r="AC101" i="20"/>
  <c r="AB80" i="21"/>
  <c r="BH80" i="21" s="1"/>
  <c r="W107" i="20"/>
  <c r="V86" i="21"/>
  <c r="BB86" i="21" s="1"/>
  <c r="BB87" i="21" s="1"/>
  <c r="V108" i="20"/>
  <c r="AB73" i="20"/>
  <c r="AA52" i="21"/>
  <c r="BG52" i="21" s="1"/>
  <c r="AC158" i="20"/>
  <c r="AB137" i="21"/>
  <c r="BH137" i="21" s="1"/>
  <c r="AZ73" i="23"/>
  <c r="AZ91" i="23" s="1"/>
  <c r="AZ109" i="23" s="1"/>
  <c r="U232" i="21"/>
  <c r="Z277" i="20"/>
  <c r="Y256" i="21"/>
  <c r="BE256" i="21" s="1"/>
  <c r="AY76" i="23"/>
  <c r="AY94" i="23" s="1"/>
  <c r="AY112" i="23" s="1"/>
  <c r="T319" i="21"/>
  <c r="AC389" i="20"/>
  <c r="AB368" i="21"/>
  <c r="BH368" i="21" s="1"/>
  <c r="W178" i="1"/>
  <c r="AZ67" i="23"/>
  <c r="AZ85" i="23" s="1"/>
  <c r="AZ103" i="23" s="1"/>
  <c r="U58" i="21"/>
  <c r="AE300" i="20"/>
  <c r="AE279" i="21" s="1"/>
  <c r="BK279" i="21" s="1"/>
  <c r="AD279" i="21"/>
  <c r="BJ279" i="21" s="1"/>
  <c r="V165" i="20"/>
  <c r="U144" i="21"/>
  <c r="U166" i="20"/>
  <c r="W182" i="1" s="1"/>
  <c r="X77" i="20"/>
  <c r="W56" i="21"/>
  <c r="BC56" i="21" s="1"/>
  <c r="W133" i="20"/>
  <c r="V112" i="21"/>
  <c r="BB112" i="21" s="1"/>
  <c r="Y477" i="20"/>
  <c r="X456" i="21"/>
  <c r="BD456" i="21" s="1"/>
  <c r="AC418" i="20"/>
  <c r="AB397" i="21"/>
  <c r="BH397" i="21" s="1"/>
  <c r="AA391" i="20"/>
  <c r="Z370" i="21"/>
  <c r="BF370" i="21" s="1"/>
  <c r="P464" i="21"/>
  <c r="AU81" i="23"/>
  <c r="AU99" i="23" s="1"/>
  <c r="AU117" i="23" s="1"/>
  <c r="AA219" i="20"/>
  <c r="Z198" i="21"/>
  <c r="BF198" i="21" s="1"/>
  <c r="AA334" i="20"/>
  <c r="Z313" i="21"/>
  <c r="BF313" i="21" s="1"/>
  <c r="AD187" i="20"/>
  <c r="AC166" i="21"/>
  <c r="BI166" i="21" s="1"/>
  <c r="AD71" i="20"/>
  <c r="AC50" i="21"/>
  <c r="BI50" i="21" s="1"/>
  <c r="AC217" i="20"/>
  <c r="AB196" i="21"/>
  <c r="BH196" i="21" s="1"/>
  <c r="Z191" i="20"/>
  <c r="Y170" i="21"/>
  <c r="BE170" i="21" s="1"/>
  <c r="Z421" i="20"/>
  <c r="Y400" i="21"/>
  <c r="BE400" i="21" s="1"/>
  <c r="U455" i="20"/>
  <c r="T434" i="21"/>
  <c r="AZ434" i="21" s="1"/>
  <c r="AZ435" i="21" s="1"/>
  <c r="T456" i="20"/>
  <c r="V194" i="1" s="1"/>
  <c r="AA276" i="20"/>
  <c r="Z255" i="21"/>
  <c r="BF255" i="21" s="1"/>
  <c r="X48" i="20"/>
  <c r="W27" i="21"/>
  <c r="BC27" i="21" s="1"/>
  <c r="Z104" i="20"/>
  <c r="Y83" i="21"/>
  <c r="BE83" i="21" s="1"/>
  <c r="V339" i="20"/>
  <c r="U318" i="21"/>
  <c r="BA318" i="21" s="1"/>
  <c r="BA319" i="21" s="1"/>
  <c r="U340" i="20"/>
  <c r="W189" i="1" s="1"/>
  <c r="Z220" i="20"/>
  <c r="Y199" i="21"/>
  <c r="BE199" i="21" s="1"/>
  <c r="X452" i="20"/>
  <c r="W431" i="21"/>
  <c r="BC431" i="21" s="1"/>
  <c r="Y221" i="20"/>
  <c r="X200" i="21"/>
  <c r="BD200" i="21" s="1"/>
  <c r="AD100" i="20"/>
  <c r="AC79" i="21"/>
  <c r="BI79" i="21" s="1"/>
  <c r="AA190" i="20"/>
  <c r="Z169" i="21"/>
  <c r="BF169" i="21" s="1"/>
  <c r="Z392" i="20"/>
  <c r="Y371" i="21"/>
  <c r="BE371" i="21" s="1"/>
  <c r="V310" i="20"/>
  <c r="U289" i="21"/>
  <c r="BA289" i="21" s="1"/>
  <c r="BA290" i="21" s="1"/>
  <c r="U311" i="20"/>
  <c r="W188" i="1" s="1"/>
  <c r="AA160" i="20"/>
  <c r="Z139" i="21"/>
  <c r="BF139" i="21" s="1"/>
  <c r="V134" i="20"/>
  <c r="U113" i="21"/>
  <c r="BA113" i="21" s="1"/>
  <c r="AB390" i="20"/>
  <c r="AA369" i="21"/>
  <c r="BG369" i="21" s="1"/>
  <c r="Z450" i="20"/>
  <c r="Y429" i="21"/>
  <c r="BE429" i="21" s="1"/>
  <c r="X106" i="20"/>
  <c r="W85" i="21"/>
  <c r="BC85" i="21" s="1"/>
  <c r="AA360" i="20"/>
  <c r="Z339" i="21"/>
  <c r="BF339" i="21" s="1"/>
  <c r="AE356" i="20"/>
  <c r="AE335" i="21" s="1"/>
  <c r="BK335" i="21" s="1"/>
  <c r="AD335" i="21"/>
  <c r="BJ335" i="21" s="1"/>
  <c r="AA248" i="20"/>
  <c r="Z227" i="21"/>
  <c r="BF227" i="21" s="1"/>
  <c r="AD126" i="20"/>
  <c r="AC105" i="21"/>
  <c r="BI105" i="21" s="1"/>
  <c r="X478" i="20"/>
  <c r="W457" i="21"/>
  <c r="BC457" i="21" s="1"/>
  <c r="AA129" i="20"/>
  <c r="Z108" i="21"/>
  <c r="BF108" i="21" s="1"/>
  <c r="AC43" i="20"/>
  <c r="AB22" i="21"/>
  <c r="BH22" i="21" s="1"/>
  <c r="W179" i="1"/>
  <c r="U87" i="21"/>
  <c r="AZ68" i="23"/>
  <c r="AZ86" i="23" s="1"/>
  <c r="AZ104" i="23" s="1"/>
  <c r="AE156" i="20"/>
  <c r="AE135" i="21" s="1"/>
  <c r="BK135" i="21" s="1"/>
  <c r="AD135" i="21"/>
  <c r="BJ135" i="21" s="1"/>
  <c r="AA103" i="20"/>
  <c r="Z82" i="21"/>
  <c r="BF82" i="21" s="1"/>
  <c r="Y451" i="20"/>
  <c r="X430" i="21"/>
  <c r="BD430" i="21" s="1"/>
  <c r="T136" i="20"/>
  <c r="S115" i="21"/>
  <c r="AY115" i="21" s="1"/>
  <c r="AY116" i="21" s="1"/>
  <c r="S137" i="20"/>
  <c r="AE387" i="20"/>
  <c r="AE366" i="21" s="1"/>
  <c r="BK366" i="21" s="1"/>
  <c r="AD366" i="21"/>
  <c r="BJ366" i="21" s="1"/>
  <c r="AC303" i="20"/>
  <c r="AB282" i="21"/>
  <c r="BH282" i="21" s="1"/>
  <c r="AA74" i="20"/>
  <c r="Z53" i="21"/>
  <c r="BF53" i="21" s="1"/>
  <c r="AB448" i="20"/>
  <c r="AA427" i="21"/>
  <c r="BG427" i="21" s="1"/>
  <c r="Y393" i="20"/>
  <c r="X372" i="21"/>
  <c r="BD372" i="21" s="1"/>
  <c r="S483" i="20"/>
  <c r="R462" i="21"/>
  <c r="AX462" i="21" s="1"/>
  <c r="Y250" i="20"/>
  <c r="X229" i="21"/>
  <c r="BD229" i="21" s="1"/>
  <c r="X363" i="20"/>
  <c r="W342" i="21"/>
  <c r="BC342" i="21" s="1"/>
  <c r="AC274" i="20"/>
  <c r="AB253" i="21"/>
  <c r="BH253" i="21" s="1"/>
  <c r="W49" i="20"/>
  <c r="V28" i="21"/>
  <c r="BB28" i="21" s="1"/>
  <c r="W395" i="20"/>
  <c r="V374" i="21"/>
  <c r="BB374" i="21" s="1"/>
  <c r="AD302" i="20"/>
  <c r="AC281" i="21"/>
  <c r="BI281" i="21" s="1"/>
  <c r="Z130" i="20"/>
  <c r="Y109" i="21"/>
  <c r="BE109" i="21" s="1"/>
  <c r="W338" i="20"/>
  <c r="V317" i="21"/>
  <c r="BB317" i="21" s="1"/>
  <c r="X132" i="20"/>
  <c r="W111" i="21"/>
  <c r="BC111" i="21" s="1"/>
  <c r="AE330" i="20"/>
  <c r="AE309" i="21" s="1"/>
  <c r="BK309" i="21" s="1"/>
  <c r="AD309" i="21"/>
  <c r="BJ309" i="21" s="1"/>
  <c r="X394" i="20"/>
  <c r="W373" i="21"/>
  <c r="BC373" i="21" s="1"/>
  <c r="U426" i="20"/>
  <c r="T405" i="21"/>
  <c r="AZ405" i="21" s="1"/>
  <c r="AZ406" i="21" s="1"/>
  <c r="T427" i="20"/>
  <c r="V193" i="1" s="1"/>
  <c r="V425" i="20"/>
  <c r="U404" i="21"/>
  <c r="BA404" i="21" s="1"/>
  <c r="AB304" i="20"/>
  <c r="AA283" i="21"/>
  <c r="BG283" i="21" s="1"/>
  <c r="Y162" i="20"/>
  <c r="X141" i="21"/>
  <c r="BD141" i="21" s="1"/>
  <c r="AE444" i="20"/>
  <c r="AE423" i="21" s="1"/>
  <c r="BK423" i="21" s="1"/>
  <c r="AD423" i="21"/>
  <c r="BJ423" i="21" s="1"/>
  <c r="W223" i="20"/>
  <c r="V202" i="21"/>
  <c r="BB202" i="21" s="1"/>
  <c r="BB203" i="21" s="1"/>
  <c r="V224" i="20"/>
  <c r="X184" i="1" s="1"/>
  <c r="AE99" i="20"/>
  <c r="AE78" i="21" s="1"/>
  <c r="BK78" i="21" s="1"/>
  <c r="AD78" i="21"/>
  <c r="BJ78" i="21" s="1"/>
  <c r="AD331" i="20"/>
  <c r="AC310" i="21"/>
  <c r="BI310" i="21" s="1"/>
  <c r="AD445" i="20"/>
  <c r="AC424" i="21"/>
  <c r="BI424" i="21" s="1"/>
  <c r="Z361" i="20"/>
  <c r="Y340" i="21"/>
  <c r="BE340" i="21" s="1"/>
  <c r="AA45" i="20"/>
  <c r="Z24" i="21"/>
  <c r="BF24" i="21" s="1"/>
  <c r="W280" i="20"/>
  <c r="V259" i="21"/>
  <c r="BB259" i="21" s="1"/>
  <c r="AE329" i="20"/>
  <c r="AE308" i="21" s="1"/>
  <c r="BK308" i="21" s="1"/>
  <c r="AD308" i="21"/>
  <c r="BJ308" i="21" s="1"/>
  <c r="AC127" i="20"/>
  <c r="AB106" i="21"/>
  <c r="BH106" i="21" s="1"/>
  <c r="Z335" i="20"/>
  <c r="Y314" i="21"/>
  <c r="BE314" i="21" s="1"/>
  <c r="AC358" i="20"/>
  <c r="AB337" i="21"/>
  <c r="BH337" i="21" s="1"/>
  <c r="X423" i="20"/>
  <c r="W402" i="21"/>
  <c r="BC402" i="21" s="1"/>
  <c r="X337" i="20"/>
  <c r="W316" i="21"/>
  <c r="BC316" i="21" s="1"/>
  <c r="Z476" i="20"/>
  <c r="Y455" i="21"/>
  <c r="BE455" i="21" s="1"/>
  <c r="T367" i="20"/>
  <c r="S346" i="21"/>
  <c r="AY346" i="21" s="1"/>
  <c r="AD446" i="20"/>
  <c r="AC425" i="21"/>
  <c r="BI425" i="21" s="1"/>
  <c r="AB333" i="20"/>
  <c r="AA312" i="21"/>
  <c r="BG312" i="21" s="1"/>
  <c r="AE244" i="20"/>
  <c r="AE223" i="21" s="1"/>
  <c r="BK223" i="21" s="1"/>
  <c r="AD223" i="21"/>
  <c r="BJ223" i="21" s="1"/>
  <c r="AE125" i="20"/>
  <c r="AE104" i="21" s="1"/>
  <c r="BK104" i="21" s="1"/>
  <c r="AD104" i="21"/>
  <c r="BJ104" i="21" s="1"/>
  <c r="W194" i="20"/>
  <c r="V173" i="21"/>
  <c r="BB173" i="21" s="1"/>
  <c r="BB174" i="21" s="1"/>
  <c r="V195" i="20"/>
  <c r="X183" i="1" s="1"/>
  <c r="AD157" i="20"/>
  <c r="AC136" i="21"/>
  <c r="BI136" i="21" s="1"/>
  <c r="T482" i="20"/>
  <c r="S461" i="21"/>
  <c r="AY461" i="21" s="1"/>
  <c r="W309" i="20"/>
  <c r="V288" i="21"/>
  <c r="BB288" i="21" s="1"/>
  <c r="S368" i="20"/>
  <c r="R347" i="21"/>
  <c r="AX347" i="21" s="1"/>
  <c r="AX348" i="21" s="1"/>
  <c r="R369" i="20"/>
  <c r="T190" i="1" s="1"/>
  <c r="Z161" i="20"/>
  <c r="Y140" i="21"/>
  <c r="BE140" i="21" s="1"/>
  <c r="AC332" i="20"/>
  <c r="AB311" i="21"/>
  <c r="BH311" i="21" s="1"/>
  <c r="AD216" i="20"/>
  <c r="AC195" i="21"/>
  <c r="BI195" i="21" s="1"/>
  <c r="O377" i="21"/>
  <c r="AT78" i="23"/>
  <c r="AT96" i="23" s="1"/>
  <c r="AT114" i="23" s="1"/>
  <c r="P29" i="21"/>
  <c r="AU66" i="23"/>
  <c r="AU84" i="23" s="1"/>
  <c r="AU102" i="23" s="1"/>
  <c r="P398" i="20"/>
  <c r="R192" i="1" s="1"/>
  <c r="Q372" i="20"/>
  <c r="P351" i="21"/>
  <c r="R256" i="20"/>
  <c r="Q235" i="21"/>
  <c r="Q3" i="21"/>
  <c r="Q50" i="20"/>
  <c r="S177" i="1" s="1"/>
  <c r="R24" i="20"/>
  <c r="AW3" i="21" l="1"/>
  <c r="AW29" i="21" s="1"/>
  <c r="P3" i="1" s="1"/>
  <c r="P5" i="1" s="1"/>
  <c r="AW235" i="21"/>
  <c r="AW261" i="21" s="1"/>
  <c r="P15" i="1" s="1"/>
  <c r="P17" i="1" s="1"/>
  <c r="BA144" i="21"/>
  <c r="BA145" i="21" s="1"/>
  <c r="T9" i="1" s="1"/>
  <c r="T11" i="1" s="1"/>
  <c r="AV351" i="21"/>
  <c r="AV377" i="21" s="1"/>
  <c r="O21" i="1" s="1"/>
  <c r="O23" i="1" s="1"/>
  <c r="Y337" i="20"/>
  <c r="X316" i="21"/>
  <c r="BD316" i="21" s="1"/>
  <c r="AD127" i="20"/>
  <c r="AC106" i="21"/>
  <c r="BI106" i="21" s="1"/>
  <c r="AA361" i="20"/>
  <c r="Z340" i="21"/>
  <c r="BF340" i="21" s="1"/>
  <c r="AE331" i="20"/>
  <c r="AE310" i="21" s="1"/>
  <c r="BK310" i="21" s="1"/>
  <c r="AD310" i="21"/>
  <c r="BJ310" i="21" s="1"/>
  <c r="V426" i="20"/>
  <c r="U405" i="21"/>
  <c r="BA405" i="21" s="1"/>
  <c r="BA406" i="21" s="1"/>
  <c r="U427" i="20"/>
  <c r="W193" i="1" s="1"/>
  <c r="X338" i="20"/>
  <c r="W317" i="21"/>
  <c r="BC317" i="21" s="1"/>
  <c r="X49" i="20"/>
  <c r="W28" i="21"/>
  <c r="BC28" i="21" s="1"/>
  <c r="AC448" i="20"/>
  <c r="AB427" i="21"/>
  <c r="BH427" i="21" s="1"/>
  <c r="AD43" i="20"/>
  <c r="AC22" i="21"/>
  <c r="BI22" i="21" s="1"/>
  <c r="AB248" i="20"/>
  <c r="AA227" i="21"/>
  <c r="BG227" i="21" s="1"/>
  <c r="AB360" i="20"/>
  <c r="AA339" i="21"/>
  <c r="BG339" i="21" s="1"/>
  <c r="AA450" i="20"/>
  <c r="Z429" i="21"/>
  <c r="BF429" i="21" s="1"/>
  <c r="W339" i="20"/>
  <c r="V318" i="21"/>
  <c r="BB318" i="21" s="1"/>
  <c r="BB319" i="21" s="1"/>
  <c r="V340" i="20"/>
  <c r="X189" i="1" s="1"/>
  <c r="AC73" i="20"/>
  <c r="AB52" i="21"/>
  <c r="BH52" i="21" s="1"/>
  <c r="Z105" i="20"/>
  <c r="Y84" i="21"/>
  <c r="BE84" i="21" s="1"/>
  <c r="W480" i="20"/>
  <c r="V459" i="21"/>
  <c r="BB459" i="21" s="1"/>
  <c r="T368" i="20"/>
  <c r="S347" i="21"/>
  <c r="AY347" i="21" s="1"/>
  <c r="AY348" i="21" s="1"/>
  <c r="S369" i="20"/>
  <c r="U190" i="1" s="1"/>
  <c r="U482" i="20"/>
  <c r="T461" i="21"/>
  <c r="AZ461" i="21" s="1"/>
  <c r="X223" i="20"/>
  <c r="W202" i="21"/>
  <c r="BC202" i="21" s="1"/>
  <c r="BC203" i="21" s="1"/>
  <c r="W224" i="20"/>
  <c r="Y184" i="1" s="1"/>
  <c r="Z162" i="20"/>
  <c r="Y141" i="21"/>
  <c r="BE141" i="21" s="1"/>
  <c r="W425" i="20"/>
  <c r="V404" i="21"/>
  <c r="BB404" i="21" s="1"/>
  <c r="U136" i="20"/>
  <c r="T115" i="21"/>
  <c r="AZ115" i="21" s="1"/>
  <c r="AZ116" i="21" s="1"/>
  <c r="T137" i="20"/>
  <c r="AB103" i="20"/>
  <c r="AA82" i="21"/>
  <c r="BG82" i="21" s="1"/>
  <c r="W310" i="20"/>
  <c r="V289" i="21"/>
  <c r="BB289" i="21" s="1"/>
  <c r="BB290" i="21" s="1"/>
  <c r="V311" i="20"/>
  <c r="X188" i="1" s="1"/>
  <c r="AB190" i="20"/>
  <c r="AA169" i="21"/>
  <c r="BG169" i="21" s="1"/>
  <c r="Z221" i="20"/>
  <c r="Y200" i="21"/>
  <c r="BE200" i="21" s="1"/>
  <c r="AA220" i="20"/>
  <c r="Z199" i="21"/>
  <c r="BF199" i="21" s="1"/>
  <c r="V455" i="20"/>
  <c r="U434" i="21"/>
  <c r="BA434" i="21" s="1"/>
  <c r="BA435" i="21" s="1"/>
  <c r="U456" i="20"/>
  <c r="W194" i="1" s="1"/>
  <c r="AA191" i="20"/>
  <c r="Z170" i="21"/>
  <c r="BF170" i="21" s="1"/>
  <c r="AE71" i="20"/>
  <c r="AE50" i="21" s="1"/>
  <c r="BK50" i="21" s="1"/>
  <c r="AD50" i="21"/>
  <c r="BJ50" i="21" s="1"/>
  <c r="AB334" i="20"/>
  <c r="AA313" i="21"/>
  <c r="BG313" i="21" s="1"/>
  <c r="U145" i="21"/>
  <c r="AZ70" i="23"/>
  <c r="AZ88" i="23" s="1"/>
  <c r="AZ106" i="23" s="1"/>
  <c r="X179" i="1"/>
  <c r="BA68" i="23"/>
  <c r="BA86" i="23" s="1"/>
  <c r="BA104" i="23" s="1"/>
  <c r="V87" i="21"/>
  <c r="AD101" i="20"/>
  <c r="AC80" i="21"/>
  <c r="BI80" i="21" s="1"/>
  <c r="V232" i="21"/>
  <c r="BA73" i="23"/>
  <c r="BA91" i="23" s="1"/>
  <c r="BA109" i="23" s="1"/>
  <c r="Y163" i="20"/>
  <c r="X142" i="21"/>
  <c r="BD142" i="21" s="1"/>
  <c r="X479" i="20"/>
  <c r="W458" i="21"/>
  <c r="BC458" i="21" s="1"/>
  <c r="AE472" i="20"/>
  <c r="AE451" i="21" s="1"/>
  <c r="BK451" i="21" s="1"/>
  <c r="AD451" i="21"/>
  <c r="BJ451" i="21" s="1"/>
  <c r="AD473" i="20"/>
  <c r="AC452" i="21"/>
  <c r="BI452" i="21" s="1"/>
  <c r="W281" i="20"/>
  <c r="V260" i="21"/>
  <c r="BB260" i="21" s="1"/>
  <c r="Z422" i="20"/>
  <c r="Y401" i="21"/>
  <c r="BE401" i="21" s="1"/>
  <c r="AC128" i="20"/>
  <c r="AB107" i="21"/>
  <c r="BH107" i="21" s="1"/>
  <c r="Z192" i="20"/>
  <c r="Y171" i="21"/>
  <c r="BE171" i="21" s="1"/>
  <c r="X424" i="20"/>
  <c r="W403" i="21"/>
  <c r="BC403" i="21" s="1"/>
  <c r="AB475" i="20"/>
  <c r="AA454" i="21"/>
  <c r="BG454" i="21" s="1"/>
  <c r="AC159" i="20"/>
  <c r="AB138" i="21"/>
  <c r="BH138" i="21" s="1"/>
  <c r="X364" i="20"/>
  <c r="W343" i="21"/>
  <c r="BC343" i="21" s="1"/>
  <c r="V397" i="20"/>
  <c r="U376" i="21"/>
  <c r="BA376" i="21" s="1"/>
  <c r="AC189" i="20"/>
  <c r="AB168" i="21"/>
  <c r="BH168" i="21" s="1"/>
  <c r="AD72" i="20"/>
  <c r="AC51" i="21"/>
  <c r="BI51" i="21" s="1"/>
  <c r="Z76" i="20"/>
  <c r="Y55" i="21"/>
  <c r="BE55" i="21" s="1"/>
  <c r="AA75" i="20"/>
  <c r="Z54" i="21"/>
  <c r="BF54" i="21" s="1"/>
  <c r="AE417" i="20"/>
  <c r="AE396" i="21" s="1"/>
  <c r="BK396" i="21" s="1"/>
  <c r="AD396" i="21"/>
  <c r="BJ396" i="21" s="1"/>
  <c r="AC419" i="20"/>
  <c r="AB398" i="21"/>
  <c r="BH398" i="21" s="1"/>
  <c r="Z362" i="20"/>
  <c r="Y341" i="21"/>
  <c r="BE341" i="21" s="1"/>
  <c r="W396" i="20"/>
  <c r="V375" i="21"/>
  <c r="BB375" i="21" s="1"/>
  <c r="AC474" i="20"/>
  <c r="AB453" i="21"/>
  <c r="BH453" i="21" s="1"/>
  <c r="AC102" i="20"/>
  <c r="AB81" i="21"/>
  <c r="BH81" i="21" s="1"/>
  <c r="V366" i="20"/>
  <c r="U345" i="21"/>
  <c r="BA345" i="21" s="1"/>
  <c r="Z307" i="20"/>
  <c r="Y286" i="21"/>
  <c r="BE286" i="21" s="1"/>
  <c r="X164" i="20"/>
  <c r="W143" i="21"/>
  <c r="BC143" i="21" s="1"/>
  <c r="X178" i="1"/>
  <c r="V58" i="21"/>
  <c r="BA67" i="23"/>
  <c r="BA85" i="23" s="1"/>
  <c r="BA103" i="23" s="1"/>
  <c r="Z47" i="20"/>
  <c r="Y26" i="21"/>
  <c r="BE26" i="21" s="1"/>
  <c r="AC218" i="20"/>
  <c r="AB197" i="21"/>
  <c r="BH197" i="21" s="1"/>
  <c r="V174" i="21"/>
  <c r="BA71" i="23"/>
  <c r="BA89" i="23" s="1"/>
  <c r="BA107" i="23" s="1"/>
  <c r="U367" i="20"/>
  <c r="T346" i="21"/>
  <c r="AZ346" i="21" s="1"/>
  <c r="AD358" i="20"/>
  <c r="AC337" i="21"/>
  <c r="BI337" i="21" s="1"/>
  <c r="X280" i="20"/>
  <c r="W259" i="21"/>
  <c r="BC259" i="21" s="1"/>
  <c r="Y48" i="20"/>
  <c r="X27" i="21"/>
  <c r="BD27" i="21" s="1"/>
  <c r="AB391" i="20"/>
  <c r="AA370" i="21"/>
  <c r="BG370" i="21" s="1"/>
  <c r="Z477" i="20"/>
  <c r="Y456" i="21"/>
  <c r="BE456" i="21" s="1"/>
  <c r="Y77" i="20"/>
  <c r="X56" i="21"/>
  <c r="BD56" i="21" s="1"/>
  <c r="AA306" i="20"/>
  <c r="Z285" i="21"/>
  <c r="BF285" i="21" s="1"/>
  <c r="AE216" i="20"/>
  <c r="AE195" i="21" s="1"/>
  <c r="BK195" i="21" s="1"/>
  <c r="AD195" i="21"/>
  <c r="BJ195" i="21" s="1"/>
  <c r="AA161" i="20"/>
  <c r="Z140" i="21"/>
  <c r="BF140" i="21" s="1"/>
  <c r="X194" i="20"/>
  <c r="W173" i="21"/>
  <c r="BC173" i="21" s="1"/>
  <c r="BC174" i="21" s="1"/>
  <c r="W195" i="20"/>
  <c r="Y183" i="1" s="1"/>
  <c r="AE446" i="20"/>
  <c r="AE425" i="21" s="1"/>
  <c r="BK425" i="21" s="1"/>
  <c r="AD425" i="21"/>
  <c r="BJ425" i="21" s="1"/>
  <c r="AA476" i="20"/>
  <c r="Z455" i="21"/>
  <c r="BF455" i="21" s="1"/>
  <c r="Y423" i="20"/>
  <c r="X402" i="21"/>
  <c r="BD402" i="21" s="1"/>
  <c r="AA335" i="20"/>
  <c r="Z314" i="21"/>
  <c r="BF314" i="21" s="1"/>
  <c r="AB45" i="20"/>
  <c r="AA24" i="21"/>
  <c r="BG24" i="21" s="1"/>
  <c r="AE445" i="20"/>
  <c r="AE424" i="21" s="1"/>
  <c r="BK424" i="21" s="1"/>
  <c r="AD424" i="21"/>
  <c r="BJ424" i="21" s="1"/>
  <c r="T406" i="21"/>
  <c r="AY79" i="23"/>
  <c r="AY97" i="23" s="1"/>
  <c r="AY115" i="23" s="1"/>
  <c r="Y394" i="20"/>
  <c r="X373" i="21"/>
  <c r="BD373" i="21" s="1"/>
  <c r="Y132" i="20"/>
  <c r="X111" i="21"/>
  <c r="BD111" i="21" s="1"/>
  <c r="AA130" i="20"/>
  <c r="Z109" i="21"/>
  <c r="BF109" i="21" s="1"/>
  <c r="X395" i="20"/>
  <c r="W374" i="21"/>
  <c r="BC374" i="21" s="1"/>
  <c r="AD274" i="20"/>
  <c r="AC253" i="21"/>
  <c r="BI253" i="21" s="1"/>
  <c r="Z250" i="20"/>
  <c r="Y229" i="21"/>
  <c r="BE229" i="21" s="1"/>
  <c r="Z393" i="20"/>
  <c r="Y372" i="21"/>
  <c r="BE372" i="21" s="1"/>
  <c r="AB74" i="20"/>
  <c r="AA53" i="21"/>
  <c r="BG53" i="21" s="1"/>
  <c r="AB129" i="20"/>
  <c r="AA108" i="21"/>
  <c r="BG108" i="21" s="1"/>
  <c r="AE126" i="20"/>
  <c r="AE105" i="21" s="1"/>
  <c r="BK105" i="21" s="1"/>
  <c r="AD105" i="21"/>
  <c r="BJ105" i="21" s="1"/>
  <c r="Y106" i="20"/>
  <c r="X85" i="21"/>
  <c r="BD85" i="21" s="1"/>
  <c r="AC390" i="20"/>
  <c r="AB369" i="21"/>
  <c r="BH369" i="21" s="1"/>
  <c r="AB160" i="20"/>
  <c r="AA139" i="21"/>
  <c r="BG139" i="21" s="1"/>
  <c r="U319" i="21"/>
  <c r="AZ76" i="23"/>
  <c r="AZ94" i="23" s="1"/>
  <c r="AZ112" i="23" s="1"/>
  <c r="AA104" i="20"/>
  <c r="Z83" i="21"/>
  <c r="BF83" i="21" s="1"/>
  <c r="AB276" i="20"/>
  <c r="AA255" i="21"/>
  <c r="BG255" i="21" s="1"/>
  <c r="AD418" i="20"/>
  <c r="AC397" i="21"/>
  <c r="BI397" i="21" s="1"/>
  <c r="X133" i="20"/>
  <c r="W112" i="21"/>
  <c r="BC112" i="21" s="1"/>
  <c r="AD389" i="20"/>
  <c r="AC368" i="21"/>
  <c r="BI368" i="21" s="1"/>
  <c r="AA277" i="20"/>
  <c r="Z256" i="21"/>
  <c r="BF256" i="21" s="1"/>
  <c r="AD158" i="20"/>
  <c r="AC137" i="21"/>
  <c r="BI137" i="21" s="1"/>
  <c r="S484" i="20"/>
  <c r="R463" i="21"/>
  <c r="AX463" i="21" s="1"/>
  <c r="AX464" i="21" s="1"/>
  <c r="R485" i="20"/>
  <c r="T195" i="1" s="1"/>
  <c r="AA46" i="20"/>
  <c r="Z25" i="21"/>
  <c r="BF25" i="21" s="1"/>
  <c r="Y193" i="20"/>
  <c r="X172" i="21"/>
  <c r="BD172" i="21" s="1"/>
  <c r="W454" i="20"/>
  <c r="V433" i="21"/>
  <c r="BB433" i="21" s="1"/>
  <c r="AD332" i="20"/>
  <c r="AC311" i="21"/>
  <c r="BI311" i="21" s="1"/>
  <c r="AC333" i="20"/>
  <c r="AB312" i="21"/>
  <c r="BH312" i="21" s="1"/>
  <c r="AE302" i="20"/>
  <c r="AE281" i="21" s="1"/>
  <c r="BK281" i="21" s="1"/>
  <c r="AD281" i="21"/>
  <c r="BJ281" i="21" s="1"/>
  <c r="Y363" i="20"/>
  <c r="X342" i="21"/>
  <c r="BD342" i="21" s="1"/>
  <c r="T483" i="20"/>
  <c r="S462" i="21"/>
  <c r="AY462" i="21" s="1"/>
  <c r="AD303" i="20"/>
  <c r="AC282" i="21"/>
  <c r="BI282" i="21" s="1"/>
  <c r="Y478" i="20"/>
  <c r="X457" i="21"/>
  <c r="BD457" i="21" s="1"/>
  <c r="W134" i="20"/>
  <c r="V113" i="21"/>
  <c r="BB113" i="21" s="1"/>
  <c r="Q464" i="21"/>
  <c r="AV81" i="23"/>
  <c r="AV99" i="23" s="1"/>
  <c r="AV117" i="23" s="1"/>
  <c r="AB449" i="20"/>
  <c r="AA428" i="21"/>
  <c r="BG428" i="21" s="1"/>
  <c r="R348" i="21"/>
  <c r="AW77" i="23"/>
  <c r="AW95" i="23" s="1"/>
  <c r="AW113" i="23" s="1"/>
  <c r="X309" i="20"/>
  <c r="W288" i="21"/>
  <c r="BC288" i="21" s="1"/>
  <c r="AE157" i="20"/>
  <c r="AE136" i="21" s="1"/>
  <c r="BK136" i="21" s="1"/>
  <c r="AD136" i="21"/>
  <c r="BJ136" i="21" s="1"/>
  <c r="BA72" i="23"/>
  <c r="BA90" i="23" s="1"/>
  <c r="BA108" i="23" s="1"/>
  <c r="V203" i="21"/>
  <c r="AC304" i="20"/>
  <c r="AB283" i="21"/>
  <c r="BH283" i="21" s="1"/>
  <c r="U180" i="1"/>
  <c r="S116" i="21"/>
  <c r="AX69" i="23"/>
  <c r="AX87" i="23" s="1"/>
  <c r="AX105" i="23" s="1"/>
  <c r="Z451" i="20"/>
  <c r="Y430" i="21"/>
  <c r="BE430" i="21" s="1"/>
  <c r="AZ75" i="23"/>
  <c r="AZ93" i="23" s="1"/>
  <c r="AZ111" i="23" s="1"/>
  <c r="U290" i="21"/>
  <c r="AA392" i="20"/>
  <c r="Z371" i="21"/>
  <c r="BF371" i="21" s="1"/>
  <c r="AE100" i="20"/>
  <c r="AE79" i="21" s="1"/>
  <c r="BK79" i="21" s="1"/>
  <c r="AD79" i="21"/>
  <c r="BJ79" i="21" s="1"/>
  <c r="Y452" i="20"/>
  <c r="X431" i="21"/>
  <c r="BD431" i="21" s="1"/>
  <c r="T435" i="21"/>
  <c r="AY80" i="23"/>
  <c r="AY98" i="23" s="1"/>
  <c r="AY116" i="23" s="1"/>
  <c r="AA421" i="20"/>
  <c r="Z400" i="21"/>
  <c r="BF400" i="21" s="1"/>
  <c r="AD217" i="20"/>
  <c r="AC196" i="21"/>
  <c r="BI196" i="21" s="1"/>
  <c r="AE187" i="20"/>
  <c r="AE166" i="21" s="1"/>
  <c r="BK166" i="21" s="1"/>
  <c r="AD166" i="21"/>
  <c r="BJ166" i="21" s="1"/>
  <c r="AB219" i="20"/>
  <c r="AA198" i="21"/>
  <c r="BG198" i="21" s="1"/>
  <c r="W165" i="20"/>
  <c r="V144" i="21"/>
  <c r="V166" i="20"/>
  <c r="X182" i="1" s="1"/>
  <c r="X107" i="20"/>
  <c r="W86" i="21"/>
  <c r="BC86" i="21" s="1"/>
  <c r="BC87" i="21" s="1"/>
  <c r="W108" i="20"/>
  <c r="AA249" i="20"/>
  <c r="Z228" i="21"/>
  <c r="BF228" i="21" s="1"/>
  <c r="X252" i="20"/>
  <c r="W231" i="21"/>
  <c r="BC231" i="21" s="1"/>
  <c r="BC232" i="21" s="1"/>
  <c r="W253" i="20"/>
  <c r="Y185" i="1" s="1"/>
  <c r="Z278" i="20"/>
  <c r="Y257" i="21"/>
  <c r="BE257" i="21" s="1"/>
  <c r="AE42" i="20"/>
  <c r="AE21" i="21" s="1"/>
  <c r="BK21" i="21" s="1"/>
  <c r="AD21" i="21"/>
  <c r="BJ21" i="21" s="1"/>
  <c r="V481" i="20"/>
  <c r="U460" i="21"/>
  <c r="BA460" i="21" s="1"/>
  <c r="Z336" i="20"/>
  <c r="Y315" i="21"/>
  <c r="BE315" i="21" s="1"/>
  <c r="Y279" i="20"/>
  <c r="X258" i="21"/>
  <c r="BD258" i="21" s="1"/>
  <c r="X453" i="20"/>
  <c r="W432" i="21"/>
  <c r="BC432" i="21" s="1"/>
  <c r="AC44" i="20"/>
  <c r="AB23" i="21"/>
  <c r="BH23" i="21" s="1"/>
  <c r="Y222" i="20"/>
  <c r="X201" i="21"/>
  <c r="BD201" i="21" s="1"/>
  <c r="AD447" i="20"/>
  <c r="AC426" i="21"/>
  <c r="BI426" i="21" s="1"/>
  <c r="AE273" i="20"/>
  <c r="AE252" i="21" s="1"/>
  <c r="BK252" i="21" s="1"/>
  <c r="AD252" i="21"/>
  <c r="BJ252" i="21" s="1"/>
  <c r="V135" i="20"/>
  <c r="U114" i="21"/>
  <c r="BA114" i="21" s="1"/>
  <c r="W365" i="20"/>
  <c r="V344" i="21"/>
  <c r="BB344" i="21" s="1"/>
  <c r="AE388" i="20"/>
  <c r="AE367" i="21" s="1"/>
  <c r="BK367" i="21" s="1"/>
  <c r="AD367" i="21"/>
  <c r="BJ367" i="21" s="1"/>
  <c r="AE416" i="20"/>
  <c r="AE395" i="21" s="1"/>
  <c r="BK395" i="21" s="1"/>
  <c r="AD395" i="21"/>
  <c r="BJ395" i="21" s="1"/>
  <c r="Z131" i="20"/>
  <c r="Y110" i="21"/>
  <c r="BE110" i="21" s="1"/>
  <c r="AB420" i="20"/>
  <c r="AA399" i="21"/>
  <c r="BG399" i="21" s="1"/>
  <c r="Y251" i="20"/>
  <c r="X230" i="21"/>
  <c r="BD230" i="21" s="1"/>
  <c r="AE357" i="20"/>
  <c r="AE336" i="21" s="1"/>
  <c r="BK336" i="21" s="1"/>
  <c r="AD336" i="21"/>
  <c r="BJ336" i="21" s="1"/>
  <c r="AD246" i="20"/>
  <c r="AC225" i="21"/>
  <c r="BI225" i="21" s="1"/>
  <c r="AC247" i="20"/>
  <c r="AB226" i="21"/>
  <c r="BH226" i="21" s="1"/>
  <c r="AB305" i="20"/>
  <c r="AA284" i="21"/>
  <c r="BG284" i="21" s="1"/>
  <c r="AC359" i="20"/>
  <c r="AB338" i="21"/>
  <c r="BH338" i="21" s="1"/>
  <c r="AC275" i="20"/>
  <c r="AB254" i="21"/>
  <c r="BH254" i="21" s="1"/>
  <c r="Y308" i="20"/>
  <c r="X287" i="21"/>
  <c r="BD287" i="21" s="1"/>
  <c r="AE245" i="20"/>
  <c r="AE224" i="21" s="1"/>
  <c r="BK224" i="21" s="1"/>
  <c r="AD224" i="21"/>
  <c r="BJ224" i="21" s="1"/>
  <c r="X78" i="20"/>
  <c r="W57" i="21"/>
  <c r="BC57" i="21" s="1"/>
  <c r="BC58" i="21" s="1"/>
  <c r="W79" i="20"/>
  <c r="AD188" i="20"/>
  <c r="AC167" i="21"/>
  <c r="BI167" i="21" s="1"/>
  <c r="Q29" i="21"/>
  <c r="AV66" i="23"/>
  <c r="AV84" i="23" s="1"/>
  <c r="AV102" i="23" s="1"/>
  <c r="P377" i="21"/>
  <c r="AU78" i="23"/>
  <c r="AU96" i="23" s="1"/>
  <c r="AU114" i="23" s="1"/>
  <c r="R3" i="21"/>
  <c r="S24" i="20"/>
  <c r="R50" i="20"/>
  <c r="T177" i="1" s="1"/>
  <c r="R235" i="21"/>
  <c r="S256" i="20"/>
  <c r="Q351" i="21"/>
  <c r="R372" i="20"/>
  <c r="AX3" i="21" l="1"/>
  <c r="AX29" i="21" s="1"/>
  <c r="Q3" i="1" s="1"/>
  <c r="Q5" i="1" s="1"/>
  <c r="BB144" i="21"/>
  <c r="BB145" i="21" s="1"/>
  <c r="U9" i="1" s="1"/>
  <c r="U11" i="1" s="1"/>
  <c r="AW351" i="21"/>
  <c r="AW377" i="21" s="1"/>
  <c r="P21" i="1" s="1"/>
  <c r="P23" i="1" s="1"/>
  <c r="AX235" i="21"/>
  <c r="AX261" i="21" s="1"/>
  <c r="Q15" i="1" s="1"/>
  <c r="Q17" i="1" s="1"/>
  <c r="AC305" i="20"/>
  <c r="AB284" i="21"/>
  <c r="BH284" i="21" s="1"/>
  <c r="AA131" i="20"/>
  <c r="Z110" i="21"/>
  <c r="BF110" i="21" s="1"/>
  <c r="AE447" i="20"/>
  <c r="AE426" i="21" s="1"/>
  <c r="BK426" i="21" s="1"/>
  <c r="AD426" i="21"/>
  <c r="BJ426" i="21" s="1"/>
  <c r="Z478" i="20"/>
  <c r="Y457" i="21"/>
  <c r="BE457" i="21" s="1"/>
  <c r="U483" i="20"/>
  <c r="T462" i="21"/>
  <c r="AZ462" i="21" s="1"/>
  <c r="AE332" i="20"/>
  <c r="AE311" i="21" s="1"/>
  <c r="BK311" i="21" s="1"/>
  <c r="AD311" i="21"/>
  <c r="BJ311" i="21" s="1"/>
  <c r="Y280" i="20"/>
  <c r="X259" i="21"/>
  <c r="BD259" i="21" s="1"/>
  <c r="V367" i="20"/>
  <c r="U346" i="21"/>
  <c r="BA346" i="21" s="1"/>
  <c r="V319" i="21"/>
  <c r="BA76" i="23"/>
  <c r="BA94" i="23" s="1"/>
  <c r="BA112" i="23" s="1"/>
  <c r="AB450" i="20"/>
  <c r="AA429" i="21"/>
  <c r="BG429" i="21" s="1"/>
  <c r="AC248" i="20"/>
  <c r="AB227" i="21"/>
  <c r="BH227" i="21" s="1"/>
  <c r="AD448" i="20"/>
  <c r="AC427" i="21"/>
  <c r="BI427" i="21" s="1"/>
  <c r="Y338" i="20"/>
  <c r="X317" i="21"/>
  <c r="BD317" i="21" s="1"/>
  <c r="BB73" i="23"/>
  <c r="BB91" i="23" s="1"/>
  <c r="BB109" i="23" s="1"/>
  <c r="W232" i="21"/>
  <c r="AB249" i="20"/>
  <c r="AA228" i="21"/>
  <c r="BG228" i="21" s="1"/>
  <c r="V145" i="21"/>
  <c r="BA70" i="23"/>
  <c r="BA88" i="23" s="1"/>
  <c r="BA106" i="23" s="1"/>
  <c r="AC219" i="20"/>
  <c r="AB198" i="21"/>
  <c r="BH198" i="21" s="1"/>
  <c r="AE217" i="20"/>
  <c r="AE196" i="21" s="1"/>
  <c r="BK196" i="21" s="1"/>
  <c r="AD196" i="21"/>
  <c r="BJ196" i="21" s="1"/>
  <c r="T484" i="20"/>
  <c r="S463" i="21"/>
  <c r="AY463" i="21" s="1"/>
  <c r="AY464" i="21" s="1"/>
  <c r="S485" i="20"/>
  <c r="U195" i="1" s="1"/>
  <c r="AB277" i="20"/>
  <c r="AA256" i="21"/>
  <c r="BG256" i="21" s="1"/>
  <c r="Y133" i="20"/>
  <c r="X112" i="21"/>
  <c r="BD112" i="21" s="1"/>
  <c r="AC276" i="20"/>
  <c r="AB255" i="21"/>
  <c r="BH255" i="21" s="1"/>
  <c r="AD390" i="20"/>
  <c r="AC369" i="21"/>
  <c r="BI369" i="21" s="1"/>
  <c r="AC74" i="20"/>
  <c r="AB53" i="21"/>
  <c r="BH53" i="21" s="1"/>
  <c r="AA250" i="20"/>
  <c r="Z229" i="21"/>
  <c r="BF229" i="21" s="1"/>
  <c r="Y395" i="20"/>
  <c r="X374" i="21"/>
  <c r="BD374" i="21" s="1"/>
  <c r="Z132" i="20"/>
  <c r="Y111" i="21"/>
  <c r="BE111" i="21" s="1"/>
  <c r="AC45" i="20"/>
  <c r="AB24" i="21"/>
  <c r="BH24" i="21" s="1"/>
  <c r="Z423" i="20"/>
  <c r="Y402" i="21"/>
  <c r="BE402" i="21" s="1"/>
  <c r="AA307" i="20"/>
  <c r="Z286" i="21"/>
  <c r="BF286" i="21" s="1"/>
  <c r="AD102" i="20"/>
  <c r="AC81" i="21"/>
  <c r="BI81" i="21" s="1"/>
  <c r="X396" i="20"/>
  <c r="W375" i="21"/>
  <c r="BC375" i="21" s="1"/>
  <c r="AD419" i="20"/>
  <c r="AC398" i="21"/>
  <c r="BI398" i="21" s="1"/>
  <c r="AB75" i="20"/>
  <c r="AA54" i="21"/>
  <c r="BG54" i="21" s="1"/>
  <c r="AE72" i="20"/>
  <c r="AE51" i="21" s="1"/>
  <c r="BK51" i="21" s="1"/>
  <c r="AD51" i="21"/>
  <c r="BJ51" i="21" s="1"/>
  <c r="W397" i="20"/>
  <c r="V376" i="21"/>
  <c r="BB376" i="21" s="1"/>
  <c r="AD159" i="20"/>
  <c r="AC138" i="21"/>
  <c r="BI138" i="21" s="1"/>
  <c r="Y424" i="20"/>
  <c r="X403" i="21"/>
  <c r="BD403" i="21" s="1"/>
  <c r="AD128" i="20"/>
  <c r="AC107" i="21"/>
  <c r="BI107" i="21" s="1"/>
  <c r="X281" i="20"/>
  <c r="W260" i="21"/>
  <c r="BC260" i="21" s="1"/>
  <c r="Z163" i="20"/>
  <c r="Y142" i="21"/>
  <c r="BE142" i="21" s="1"/>
  <c r="AE101" i="20"/>
  <c r="AE80" i="21" s="1"/>
  <c r="BK80" i="21" s="1"/>
  <c r="AD80" i="21"/>
  <c r="BJ80" i="21" s="1"/>
  <c r="AZ80" i="23"/>
  <c r="AZ98" i="23" s="1"/>
  <c r="AZ116" i="23" s="1"/>
  <c r="U435" i="21"/>
  <c r="AB220" i="20"/>
  <c r="AA199" i="21"/>
  <c r="BG199" i="21" s="1"/>
  <c r="AC190" i="20"/>
  <c r="AB169" i="21"/>
  <c r="BH169" i="21" s="1"/>
  <c r="V136" i="20"/>
  <c r="U115" i="21"/>
  <c r="BA115" i="21" s="1"/>
  <c r="BA116" i="21" s="1"/>
  <c r="U137" i="20"/>
  <c r="AA162" i="20"/>
  <c r="Z141" i="21"/>
  <c r="BF141" i="21" s="1"/>
  <c r="U368" i="20"/>
  <c r="T347" i="21"/>
  <c r="AZ347" i="21" s="1"/>
  <c r="AZ348" i="21" s="1"/>
  <c r="T369" i="20"/>
  <c r="V190" i="1" s="1"/>
  <c r="AA105" i="20"/>
  <c r="Z84" i="21"/>
  <c r="BF84" i="21" s="1"/>
  <c r="AZ79" i="23"/>
  <c r="AZ97" i="23" s="1"/>
  <c r="AZ115" i="23" s="1"/>
  <c r="U406" i="21"/>
  <c r="AE127" i="20"/>
  <c r="AE106" i="21" s="1"/>
  <c r="BK106" i="21" s="1"/>
  <c r="AD106" i="21"/>
  <c r="BJ106" i="21" s="1"/>
  <c r="Z279" i="20"/>
  <c r="Y258" i="21"/>
  <c r="BE258" i="21" s="1"/>
  <c r="AD304" i="20"/>
  <c r="AC283" i="21"/>
  <c r="BI283" i="21" s="1"/>
  <c r="Z193" i="20"/>
  <c r="Y172" i="21"/>
  <c r="BE172" i="21" s="1"/>
  <c r="Z77" i="20"/>
  <c r="Y56" i="21"/>
  <c r="BE56" i="21" s="1"/>
  <c r="Z308" i="20"/>
  <c r="Y287" i="21"/>
  <c r="BE287" i="21" s="1"/>
  <c r="AD247" i="20"/>
  <c r="AC226" i="21"/>
  <c r="BI226" i="21" s="1"/>
  <c r="Z222" i="20"/>
  <c r="Y201" i="21"/>
  <c r="BE201" i="21" s="1"/>
  <c r="Y453" i="20"/>
  <c r="X432" i="21"/>
  <c r="BD432" i="21" s="1"/>
  <c r="AA336" i="20"/>
  <c r="Z315" i="21"/>
  <c r="BF315" i="21" s="1"/>
  <c r="Y179" i="1"/>
  <c r="W87" i="21"/>
  <c r="BB68" i="23"/>
  <c r="BB86" i="23" s="1"/>
  <c r="BB104" i="23" s="1"/>
  <c r="Y309" i="20"/>
  <c r="X288" i="21"/>
  <c r="BD288" i="21" s="1"/>
  <c r="AC449" i="20"/>
  <c r="AB428" i="21"/>
  <c r="BH428" i="21" s="1"/>
  <c r="X134" i="20"/>
  <c r="W113" i="21"/>
  <c r="BC113" i="21" s="1"/>
  <c r="AE303" i="20"/>
  <c r="AE282" i="21" s="1"/>
  <c r="BK282" i="21" s="1"/>
  <c r="AD282" i="21"/>
  <c r="BJ282" i="21" s="1"/>
  <c r="Z363" i="20"/>
  <c r="Y342" i="21"/>
  <c r="BE342" i="21" s="1"/>
  <c r="AD333" i="20"/>
  <c r="AC312" i="21"/>
  <c r="BI312" i="21" s="1"/>
  <c r="X454" i="20"/>
  <c r="W433" i="21"/>
  <c r="BC433" i="21" s="1"/>
  <c r="AB46" i="20"/>
  <c r="AA25" i="21"/>
  <c r="BG25" i="21" s="1"/>
  <c r="W174" i="21"/>
  <c r="BB71" i="23"/>
  <c r="BB89" i="23" s="1"/>
  <c r="BB107" i="23" s="1"/>
  <c r="AB161" i="20"/>
  <c r="AA140" i="21"/>
  <c r="BG140" i="21" s="1"/>
  <c r="AB306" i="20"/>
  <c r="AA285" i="21"/>
  <c r="BG285" i="21" s="1"/>
  <c r="AA477" i="20"/>
  <c r="Z456" i="21"/>
  <c r="BF456" i="21" s="1"/>
  <c r="Z48" i="20"/>
  <c r="Y27" i="21"/>
  <c r="BE27" i="21" s="1"/>
  <c r="AE358" i="20"/>
  <c r="AE337" i="21" s="1"/>
  <c r="BK337" i="21" s="1"/>
  <c r="AD337" i="21"/>
  <c r="BJ337" i="21" s="1"/>
  <c r="AA47" i="20"/>
  <c r="Z26" i="21"/>
  <c r="BF26" i="21" s="1"/>
  <c r="V290" i="21"/>
  <c r="BA75" i="23"/>
  <c r="BA93" i="23" s="1"/>
  <c r="BA111" i="23" s="1"/>
  <c r="AC103" i="20"/>
  <c r="AB82" i="21"/>
  <c r="BH82" i="21" s="1"/>
  <c r="W203" i="21"/>
  <c r="BB72" i="23"/>
  <c r="BB90" i="23" s="1"/>
  <c r="BB108" i="23" s="1"/>
  <c r="V482" i="20"/>
  <c r="U461" i="21"/>
  <c r="BA461" i="21" s="1"/>
  <c r="X339" i="20"/>
  <c r="W318" i="21"/>
  <c r="BC318" i="21" s="1"/>
  <c r="BC319" i="21" s="1"/>
  <c r="W340" i="20"/>
  <c r="Y189" i="1" s="1"/>
  <c r="AC360" i="20"/>
  <c r="AB339" i="21"/>
  <c r="BH339" i="21" s="1"/>
  <c r="AE43" i="20"/>
  <c r="AE22" i="21" s="1"/>
  <c r="BK22" i="21" s="1"/>
  <c r="AD22" i="21"/>
  <c r="BJ22" i="21" s="1"/>
  <c r="Y49" i="20"/>
  <c r="X28" i="21"/>
  <c r="BD28" i="21" s="1"/>
  <c r="Y178" i="1"/>
  <c r="BB67" i="23"/>
  <c r="BB85" i="23" s="1"/>
  <c r="BB103" i="23" s="1"/>
  <c r="W58" i="21"/>
  <c r="AD275" i="20"/>
  <c r="AC254" i="21"/>
  <c r="BI254" i="21" s="1"/>
  <c r="AE246" i="20"/>
  <c r="AE225" i="21" s="1"/>
  <c r="BK225" i="21" s="1"/>
  <c r="AD225" i="21"/>
  <c r="BJ225" i="21" s="1"/>
  <c r="Z251" i="20"/>
  <c r="Y230" i="21"/>
  <c r="BE230" i="21" s="1"/>
  <c r="W135" i="20"/>
  <c r="V114" i="21"/>
  <c r="BB114" i="21" s="1"/>
  <c r="AD44" i="20"/>
  <c r="AC23" i="21"/>
  <c r="BI23" i="21" s="1"/>
  <c r="W481" i="20"/>
  <c r="V460" i="21"/>
  <c r="BB460" i="21" s="1"/>
  <c r="AA278" i="20"/>
  <c r="Z257" i="21"/>
  <c r="BF257" i="21" s="1"/>
  <c r="Y107" i="20"/>
  <c r="X86" i="21"/>
  <c r="BD86" i="21" s="1"/>
  <c r="BD87" i="21" s="1"/>
  <c r="X108" i="20"/>
  <c r="Y194" i="20"/>
  <c r="X173" i="21"/>
  <c r="BD173" i="21" s="1"/>
  <c r="BD174" i="21" s="1"/>
  <c r="X195" i="20"/>
  <c r="Z183" i="1" s="1"/>
  <c r="AC391" i="20"/>
  <c r="AB370" i="21"/>
  <c r="BH370" i="21" s="1"/>
  <c r="AD218" i="20"/>
  <c r="AC197" i="21"/>
  <c r="BI197" i="21" s="1"/>
  <c r="AC334" i="20"/>
  <c r="AB313" i="21"/>
  <c r="BH313" i="21" s="1"/>
  <c r="AB191" i="20"/>
  <c r="AA170" i="21"/>
  <c r="BG170" i="21" s="1"/>
  <c r="X310" i="20"/>
  <c r="W289" i="21"/>
  <c r="BC289" i="21" s="1"/>
  <c r="BC290" i="21" s="1"/>
  <c r="W311" i="20"/>
  <c r="Y188" i="1" s="1"/>
  <c r="Y223" i="20"/>
  <c r="X202" i="21"/>
  <c r="BD202" i="21" s="1"/>
  <c r="BD203" i="21" s="1"/>
  <c r="X224" i="20"/>
  <c r="Z184" i="1" s="1"/>
  <c r="Y78" i="20"/>
  <c r="X57" i="21"/>
  <c r="BD57" i="21" s="1"/>
  <c r="BD58" i="21" s="1"/>
  <c r="X79" i="20"/>
  <c r="AD359" i="20"/>
  <c r="AC338" i="21"/>
  <c r="BI338" i="21" s="1"/>
  <c r="AC420" i="20"/>
  <c r="AB399" i="21"/>
  <c r="BH399" i="21" s="1"/>
  <c r="X365" i="20"/>
  <c r="W344" i="21"/>
  <c r="BC344" i="21" s="1"/>
  <c r="AE188" i="20"/>
  <c r="AE167" i="21" s="1"/>
  <c r="BK167" i="21" s="1"/>
  <c r="AD167" i="21"/>
  <c r="BJ167" i="21" s="1"/>
  <c r="Y252" i="20"/>
  <c r="X231" i="21"/>
  <c r="BD231" i="21" s="1"/>
  <c r="BD232" i="21" s="1"/>
  <c r="X253" i="20"/>
  <c r="Z185" i="1" s="1"/>
  <c r="X165" i="20"/>
  <c r="W144" i="21"/>
  <c r="W166" i="20"/>
  <c r="Y182" i="1" s="1"/>
  <c r="AB421" i="20"/>
  <c r="AA400" i="21"/>
  <c r="BG400" i="21" s="1"/>
  <c r="Z452" i="20"/>
  <c r="Y431" i="21"/>
  <c r="BE431" i="21" s="1"/>
  <c r="AB392" i="20"/>
  <c r="AA371" i="21"/>
  <c r="BG371" i="21" s="1"/>
  <c r="AA451" i="20"/>
  <c r="Z430" i="21"/>
  <c r="BF430" i="21" s="1"/>
  <c r="R464" i="21"/>
  <c r="AW81" i="23"/>
  <c r="AW99" i="23" s="1"/>
  <c r="AW117" i="23" s="1"/>
  <c r="AE158" i="20"/>
  <c r="AE137" i="21" s="1"/>
  <c r="BK137" i="21" s="1"/>
  <c r="AD137" i="21"/>
  <c r="BJ137" i="21" s="1"/>
  <c r="AE389" i="20"/>
  <c r="AE368" i="21" s="1"/>
  <c r="BK368" i="21" s="1"/>
  <c r="AD368" i="21"/>
  <c r="BJ368" i="21" s="1"/>
  <c r="AE418" i="20"/>
  <c r="AE397" i="21" s="1"/>
  <c r="BK397" i="21" s="1"/>
  <c r="AD397" i="21"/>
  <c r="BJ397" i="21" s="1"/>
  <c r="AB104" i="20"/>
  <c r="AA83" i="21"/>
  <c r="BG83" i="21" s="1"/>
  <c r="AC160" i="20"/>
  <c r="AB139" i="21"/>
  <c r="BH139" i="21" s="1"/>
  <c r="Z106" i="20"/>
  <c r="Y85" i="21"/>
  <c r="BE85" i="21" s="1"/>
  <c r="AC129" i="20"/>
  <c r="AB108" i="21"/>
  <c r="BH108" i="21" s="1"/>
  <c r="AA393" i="20"/>
  <c r="Z372" i="21"/>
  <c r="BF372" i="21" s="1"/>
  <c r="AE274" i="20"/>
  <c r="AE253" i="21" s="1"/>
  <c r="BK253" i="21" s="1"/>
  <c r="AD253" i="21"/>
  <c r="BJ253" i="21" s="1"/>
  <c r="AB130" i="20"/>
  <c r="AA109" i="21"/>
  <c r="BG109" i="21" s="1"/>
  <c r="Z394" i="20"/>
  <c r="Y373" i="21"/>
  <c r="BE373" i="21" s="1"/>
  <c r="AB335" i="20"/>
  <c r="AA314" i="21"/>
  <c r="BG314" i="21" s="1"/>
  <c r="AB476" i="20"/>
  <c r="AA455" i="21"/>
  <c r="BG455" i="21" s="1"/>
  <c r="Y164" i="20"/>
  <c r="X143" i="21"/>
  <c r="BD143" i="21" s="1"/>
  <c r="W366" i="20"/>
  <c r="V345" i="21"/>
  <c r="BB345" i="21" s="1"/>
  <c r="AD474" i="20"/>
  <c r="AC453" i="21"/>
  <c r="BI453" i="21" s="1"/>
  <c r="AA362" i="20"/>
  <c r="Z341" i="21"/>
  <c r="BF341" i="21" s="1"/>
  <c r="AA76" i="20"/>
  <c r="Z55" i="21"/>
  <c r="BF55" i="21" s="1"/>
  <c r="AD189" i="20"/>
  <c r="AC168" i="21"/>
  <c r="BI168" i="21" s="1"/>
  <c r="Y364" i="20"/>
  <c r="X343" i="21"/>
  <c r="BD343" i="21" s="1"/>
  <c r="AC475" i="20"/>
  <c r="AB454" i="21"/>
  <c r="BH454" i="21" s="1"/>
  <c r="AA192" i="20"/>
  <c r="Z171" i="21"/>
  <c r="BF171" i="21" s="1"/>
  <c r="AA422" i="20"/>
  <c r="Z401" i="21"/>
  <c r="BF401" i="21" s="1"/>
  <c r="AE473" i="20"/>
  <c r="AE452" i="21" s="1"/>
  <c r="BK452" i="21" s="1"/>
  <c r="AD452" i="21"/>
  <c r="BJ452" i="21" s="1"/>
  <c r="Y479" i="20"/>
  <c r="X458" i="21"/>
  <c r="BD458" i="21" s="1"/>
  <c r="W455" i="20"/>
  <c r="V434" i="21"/>
  <c r="BB434" i="21" s="1"/>
  <c r="BB435" i="21" s="1"/>
  <c r="V456" i="20"/>
  <c r="X194" i="1" s="1"/>
  <c r="AA221" i="20"/>
  <c r="Z200" i="21"/>
  <c r="BF200" i="21" s="1"/>
  <c r="V180" i="1"/>
  <c r="T116" i="21"/>
  <c r="AY69" i="23"/>
  <c r="AY87" i="23" s="1"/>
  <c r="AY105" i="23" s="1"/>
  <c r="X425" i="20"/>
  <c r="W404" i="21"/>
  <c r="BC404" i="21" s="1"/>
  <c r="S348" i="21"/>
  <c r="AX77" i="23"/>
  <c r="AX95" i="23" s="1"/>
  <c r="AX113" i="23" s="1"/>
  <c r="X480" i="20"/>
  <c r="W459" i="21"/>
  <c r="BC459" i="21" s="1"/>
  <c r="AD73" i="20"/>
  <c r="AC52" i="21"/>
  <c r="BI52" i="21" s="1"/>
  <c r="W426" i="20"/>
  <c r="V405" i="21"/>
  <c r="BB405" i="21" s="1"/>
  <c r="BB406" i="21" s="1"/>
  <c r="V427" i="20"/>
  <c r="X193" i="1" s="1"/>
  <c r="AB361" i="20"/>
  <c r="AA340" i="21"/>
  <c r="BG340" i="21" s="1"/>
  <c r="Z337" i="20"/>
  <c r="Y316" i="21"/>
  <c r="BE316" i="21" s="1"/>
  <c r="R29" i="21"/>
  <c r="AW66" i="23"/>
  <c r="AW84" i="23" s="1"/>
  <c r="AW102" i="23" s="1"/>
  <c r="S50" i="20"/>
  <c r="U177" i="1" s="1"/>
  <c r="S3" i="21"/>
  <c r="T24" i="20"/>
  <c r="R351" i="21"/>
  <c r="S372" i="20"/>
  <c r="T256" i="20"/>
  <c r="S235" i="21"/>
  <c r="AY235" i="21" l="1"/>
  <c r="AY261" i="21" s="1"/>
  <c r="R15" i="1" s="1"/>
  <c r="R17" i="1" s="1"/>
  <c r="AY3" i="21"/>
  <c r="AY29" i="21" s="1"/>
  <c r="R3" i="1" s="1"/>
  <c r="R5" i="1" s="1"/>
  <c r="AX351" i="21"/>
  <c r="AX377" i="21" s="1"/>
  <c r="Q21" i="1" s="1"/>
  <c r="Q23" i="1" s="1"/>
  <c r="BC144" i="21"/>
  <c r="BC145" i="21" s="1"/>
  <c r="V9" i="1" s="1"/>
  <c r="V11" i="1" s="1"/>
  <c r="X426" i="20"/>
  <c r="W405" i="21"/>
  <c r="BC405" i="21" s="1"/>
  <c r="BC406" i="21" s="1"/>
  <c r="W427" i="20"/>
  <c r="Y193" i="1" s="1"/>
  <c r="Y425" i="20"/>
  <c r="X404" i="21"/>
  <c r="BD404" i="21" s="1"/>
  <c r="X232" i="21"/>
  <c r="BC73" i="23"/>
  <c r="BC91" i="23" s="1"/>
  <c r="BC109" i="23" s="1"/>
  <c r="AD420" i="20"/>
  <c r="AC399" i="21"/>
  <c r="BI399" i="21" s="1"/>
  <c r="Z223" i="20"/>
  <c r="Y202" i="21"/>
  <c r="BE202" i="21" s="1"/>
  <c r="BE203" i="21" s="1"/>
  <c r="Y224" i="20"/>
  <c r="AA184" i="1" s="1"/>
  <c r="Z49" i="20"/>
  <c r="Y28" i="21"/>
  <c r="BE28" i="21" s="1"/>
  <c r="Z453" i="20"/>
  <c r="Y432" i="21"/>
  <c r="BE432" i="21" s="1"/>
  <c r="AE304" i="20"/>
  <c r="AE283" i="21" s="1"/>
  <c r="BK283" i="21" s="1"/>
  <c r="AD283" i="21"/>
  <c r="BJ283" i="21" s="1"/>
  <c r="X397" i="20"/>
  <c r="W376" i="21"/>
  <c r="BC376" i="21" s="1"/>
  <c r="AB307" i="20"/>
  <c r="AA286" i="21"/>
  <c r="BG286" i="21" s="1"/>
  <c r="AB221" i="20"/>
  <c r="AA200" i="21"/>
  <c r="BG200" i="21" s="1"/>
  <c r="W145" i="21"/>
  <c r="BB70" i="23"/>
  <c r="BB88" i="23" s="1"/>
  <c r="BB106" i="23" s="1"/>
  <c r="Z78" i="20"/>
  <c r="Y57" i="21"/>
  <c r="BE57" i="21" s="1"/>
  <c r="BE58" i="21" s="1"/>
  <c r="Y79" i="20"/>
  <c r="W290" i="21"/>
  <c r="BB75" i="23"/>
  <c r="BB93" i="23" s="1"/>
  <c r="BB111" i="23" s="1"/>
  <c r="AC191" i="20"/>
  <c r="AB170" i="21"/>
  <c r="BH170" i="21" s="1"/>
  <c r="AE218" i="20"/>
  <c r="AE197" i="21" s="1"/>
  <c r="BK197" i="21" s="1"/>
  <c r="AD197" i="21"/>
  <c r="BJ197" i="21" s="1"/>
  <c r="Z107" i="20"/>
  <c r="Y86" i="21"/>
  <c r="BE86" i="21" s="1"/>
  <c r="BE87" i="21" s="1"/>
  <c r="Y108" i="20"/>
  <c r="X481" i="20"/>
  <c r="W460" i="21"/>
  <c r="BC460" i="21" s="1"/>
  <c r="X135" i="20"/>
  <c r="W114" i="21"/>
  <c r="BC114" i="21" s="1"/>
  <c r="W319" i="21"/>
  <c r="BB76" i="23"/>
  <c r="BB94" i="23" s="1"/>
  <c r="BB112" i="23" s="1"/>
  <c r="W482" i="20"/>
  <c r="V461" i="21"/>
  <c r="BB461" i="21" s="1"/>
  <c r="AD103" i="20"/>
  <c r="AC82" i="21"/>
  <c r="BI82" i="21" s="1"/>
  <c r="AB47" i="20"/>
  <c r="AA26" i="21"/>
  <c r="BG26" i="21" s="1"/>
  <c r="AA48" i="20"/>
  <c r="Z27" i="21"/>
  <c r="BF27" i="21" s="1"/>
  <c r="AC306" i="20"/>
  <c r="AB285" i="21"/>
  <c r="BH285" i="21" s="1"/>
  <c r="Y454" i="20"/>
  <c r="X433" i="21"/>
  <c r="BD433" i="21" s="1"/>
  <c r="AA363" i="20"/>
  <c r="Z342" i="21"/>
  <c r="BF342" i="21" s="1"/>
  <c r="Y134" i="20"/>
  <c r="X113" i="21"/>
  <c r="BD113" i="21" s="1"/>
  <c r="Z309" i="20"/>
  <c r="Y288" i="21"/>
  <c r="BE288" i="21" s="1"/>
  <c r="AY77" i="23"/>
  <c r="AY95" i="23" s="1"/>
  <c r="AY113" i="23" s="1"/>
  <c r="T348" i="21"/>
  <c r="AB162" i="20"/>
  <c r="AA141" i="21"/>
  <c r="BG141" i="21" s="1"/>
  <c r="AX81" i="23"/>
  <c r="AX99" i="23" s="1"/>
  <c r="AX117" i="23" s="1"/>
  <c r="S464" i="21"/>
  <c r="AE448" i="20"/>
  <c r="AE427" i="21" s="1"/>
  <c r="BK427" i="21" s="1"/>
  <c r="AD427" i="21"/>
  <c r="BJ427" i="21" s="1"/>
  <c r="AC450" i="20"/>
  <c r="AB429" i="21"/>
  <c r="BH429" i="21" s="1"/>
  <c r="W367" i="20"/>
  <c r="V346" i="21"/>
  <c r="BB346" i="21" s="1"/>
  <c r="AA478" i="20"/>
  <c r="Z457" i="21"/>
  <c r="BF457" i="21" s="1"/>
  <c r="AB131" i="20"/>
  <c r="AA110" i="21"/>
  <c r="BG110" i="21" s="1"/>
  <c r="Y480" i="20"/>
  <c r="X459" i="21"/>
  <c r="BD459" i="21" s="1"/>
  <c r="X455" i="20"/>
  <c r="W434" i="21"/>
  <c r="BC434" i="21" s="1"/>
  <c r="BC435" i="21" s="1"/>
  <c r="W456" i="20"/>
  <c r="Y194" i="1" s="1"/>
  <c r="Z364" i="20"/>
  <c r="Y343" i="21"/>
  <c r="BE343" i="21" s="1"/>
  <c r="AE474" i="20"/>
  <c r="AE453" i="21" s="1"/>
  <c r="BK453" i="21" s="1"/>
  <c r="AD453" i="21"/>
  <c r="BJ453" i="21" s="1"/>
  <c r="AC335" i="20"/>
  <c r="AB314" i="21"/>
  <c r="BH314" i="21" s="1"/>
  <c r="AC130" i="20"/>
  <c r="AB109" i="21"/>
  <c r="BH109" i="21" s="1"/>
  <c r="AA106" i="20"/>
  <c r="Z85" i="21"/>
  <c r="BF85" i="21" s="1"/>
  <c r="AC104" i="20"/>
  <c r="AB83" i="21"/>
  <c r="BH83" i="21" s="1"/>
  <c r="AC421" i="20"/>
  <c r="AB400" i="21"/>
  <c r="BH400" i="21" s="1"/>
  <c r="BC71" i="23"/>
  <c r="BC89" i="23" s="1"/>
  <c r="BC107" i="23" s="1"/>
  <c r="X174" i="21"/>
  <c r="AD360" i="20"/>
  <c r="AC339" i="21"/>
  <c r="BI339" i="21" s="1"/>
  <c r="AE247" i="20"/>
  <c r="AE226" i="21" s="1"/>
  <c r="BK226" i="21" s="1"/>
  <c r="AD226" i="21"/>
  <c r="BJ226" i="21" s="1"/>
  <c r="AA77" i="20"/>
  <c r="Z56" i="21"/>
  <c r="BF56" i="21" s="1"/>
  <c r="AC220" i="20"/>
  <c r="AB199" i="21"/>
  <c r="BH199" i="21" s="1"/>
  <c r="Z424" i="20"/>
  <c r="Y403" i="21"/>
  <c r="BE403" i="21" s="1"/>
  <c r="Y396" i="20"/>
  <c r="X375" i="21"/>
  <c r="BD375" i="21" s="1"/>
  <c r="AD45" i="20"/>
  <c r="AC24" i="21"/>
  <c r="BI24" i="21" s="1"/>
  <c r="AD74" i="20"/>
  <c r="AC53" i="21"/>
  <c r="BI53" i="21" s="1"/>
  <c r="AD276" i="20"/>
  <c r="AC255" i="21"/>
  <c r="BI255" i="21" s="1"/>
  <c r="AC277" i="20"/>
  <c r="AB256" i="21"/>
  <c r="BH256" i="21" s="1"/>
  <c r="AC361" i="20"/>
  <c r="AB340" i="21"/>
  <c r="BH340" i="21" s="1"/>
  <c r="BA79" i="23"/>
  <c r="BA97" i="23" s="1"/>
  <c r="BA115" i="23" s="1"/>
  <c r="V406" i="21"/>
  <c r="AE73" i="20"/>
  <c r="AE52" i="21" s="1"/>
  <c r="BK52" i="21" s="1"/>
  <c r="AD52" i="21"/>
  <c r="BJ52" i="21" s="1"/>
  <c r="BA80" i="23"/>
  <c r="BA98" i="23" s="1"/>
  <c r="BA116" i="23" s="1"/>
  <c r="V435" i="21"/>
  <c r="Z479" i="20"/>
  <c r="Y458" i="21"/>
  <c r="BE458" i="21" s="1"/>
  <c r="AB422" i="20"/>
  <c r="AA401" i="21"/>
  <c r="BG401" i="21" s="1"/>
  <c r="AD475" i="20"/>
  <c r="AC454" i="21"/>
  <c r="BI454" i="21" s="1"/>
  <c r="AE189" i="20"/>
  <c r="AE168" i="21" s="1"/>
  <c r="BK168" i="21" s="1"/>
  <c r="AD168" i="21"/>
  <c r="BJ168" i="21" s="1"/>
  <c r="AB362" i="20"/>
  <c r="AA341" i="21"/>
  <c r="BG341" i="21" s="1"/>
  <c r="X366" i="20"/>
  <c r="W345" i="21"/>
  <c r="BC345" i="21" s="1"/>
  <c r="AC476" i="20"/>
  <c r="AB455" i="21"/>
  <c r="BH455" i="21" s="1"/>
  <c r="AA394" i="20"/>
  <c r="Z373" i="21"/>
  <c r="BF373" i="21" s="1"/>
  <c r="AD129" i="20"/>
  <c r="AC108" i="21"/>
  <c r="BI108" i="21" s="1"/>
  <c r="AD160" i="20"/>
  <c r="AC139" i="21"/>
  <c r="BI139" i="21" s="1"/>
  <c r="AB451" i="20"/>
  <c r="AA430" i="21"/>
  <c r="BG430" i="21" s="1"/>
  <c r="AA452" i="20"/>
  <c r="Z431" i="21"/>
  <c r="BF431" i="21" s="1"/>
  <c r="Z252" i="20"/>
  <c r="Y231" i="21"/>
  <c r="BE231" i="21" s="1"/>
  <c r="BE232" i="21" s="1"/>
  <c r="Y253" i="20"/>
  <c r="AA185" i="1" s="1"/>
  <c r="Y365" i="20"/>
  <c r="X344" i="21"/>
  <c r="BD344" i="21" s="1"/>
  <c r="AE359" i="20"/>
  <c r="AE338" i="21" s="1"/>
  <c r="BK338" i="21" s="1"/>
  <c r="AD338" i="21"/>
  <c r="BJ338" i="21" s="1"/>
  <c r="BC72" i="23"/>
  <c r="BC90" i="23" s="1"/>
  <c r="BC108" i="23" s="1"/>
  <c r="X203" i="21"/>
  <c r="Z194" i="20"/>
  <c r="Y173" i="21"/>
  <c r="BE173" i="21" s="1"/>
  <c r="BE174" i="21" s="1"/>
  <c r="Y195" i="20"/>
  <c r="AA183" i="1" s="1"/>
  <c r="AB336" i="20"/>
  <c r="AA315" i="21"/>
  <c r="BG315" i="21" s="1"/>
  <c r="AA222" i="20"/>
  <c r="Z201" i="21"/>
  <c r="BF201" i="21" s="1"/>
  <c r="AA308" i="20"/>
  <c r="Z287" i="21"/>
  <c r="BF287" i="21" s="1"/>
  <c r="AA193" i="20"/>
  <c r="Z172" i="21"/>
  <c r="BF172" i="21" s="1"/>
  <c r="AA279" i="20"/>
  <c r="Z258" i="21"/>
  <c r="BF258" i="21" s="1"/>
  <c r="W180" i="1"/>
  <c r="AZ69" i="23"/>
  <c r="AZ87" i="23" s="1"/>
  <c r="AZ105" i="23" s="1"/>
  <c r="U116" i="21"/>
  <c r="AD190" i="20"/>
  <c r="AC169" i="21"/>
  <c r="BI169" i="21" s="1"/>
  <c r="AA163" i="20"/>
  <c r="Z142" i="21"/>
  <c r="BF142" i="21" s="1"/>
  <c r="AE128" i="20"/>
  <c r="AE107" i="21" s="1"/>
  <c r="BK107" i="21" s="1"/>
  <c r="AD107" i="21"/>
  <c r="BJ107" i="21" s="1"/>
  <c r="AE159" i="20"/>
  <c r="AE138" i="21" s="1"/>
  <c r="BK138" i="21" s="1"/>
  <c r="AD138" i="21"/>
  <c r="BJ138" i="21" s="1"/>
  <c r="AE419" i="20"/>
  <c r="AE398" i="21" s="1"/>
  <c r="BK398" i="21" s="1"/>
  <c r="AD398" i="21"/>
  <c r="BJ398" i="21" s="1"/>
  <c r="AE102" i="20"/>
  <c r="AE81" i="21" s="1"/>
  <c r="BK81" i="21" s="1"/>
  <c r="AD81" i="21"/>
  <c r="BJ81" i="21" s="1"/>
  <c r="AA423" i="20"/>
  <c r="Z402" i="21"/>
  <c r="BF402" i="21" s="1"/>
  <c r="AA132" i="20"/>
  <c r="Z111" i="21"/>
  <c r="BF111" i="21" s="1"/>
  <c r="AB250" i="20"/>
  <c r="AA229" i="21"/>
  <c r="BG229" i="21" s="1"/>
  <c r="AE390" i="20"/>
  <c r="AE369" i="21" s="1"/>
  <c r="BK369" i="21" s="1"/>
  <c r="AD369" i="21"/>
  <c r="BJ369" i="21" s="1"/>
  <c r="Z133" i="20"/>
  <c r="Y112" i="21"/>
  <c r="BE112" i="21" s="1"/>
  <c r="AB192" i="20"/>
  <c r="AA171" i="21"/>
  <c r="BG171" i="21" s="1"/>
  <c r="AB76" i="20"/>
  <c r="AA55" i="21"/>
  <c r="BG55" i="21" s="1"/>
  <c r="Z164" i="20"/>
  <c r="Y143" i="21"/>
  <c r="BE143" i="21" s="1"/>
  <c r="AB393" i="20"/>
  <c r="AA372" i="21"/>
  <c r="BG372" i="21" s="1"/>
  <c r="AC392" i="20"/>
  <c r="AB371" i="21"/>
  <c r="BH371" i="21" s="1"/>
  <c r="AB105" i="20"/>
  <c r="AA84" i="21"/>
  <c r="BG84" i="21" s="1"/>
  <c r="W136" i="20"/>
  <c r="V115" i="21"/>
  <c r="BB115" i="21" s="1"/>
  <c r="BB116" i="21" s="1"/>
  <c r="V137" i="20"/>
  <c r="Y281" i="20"/>
  <c r="X260" i="21"/>
  <c r="BD260" i="21" s="1"/>
  <c r="AC75" i="20"/>
  <c r="AB54" i="21"/>
  <c r="BH54" i="21" s="1"/>
  <c r="Z395" i="20"/>
  <c r="Y374" i="21"/>
  <c r="BE374" i="21" s="1"/>
  <c r="AA337" i="20"/>
  <c r="Z316" i="21"/>
  <c r="BF316" i="21" s="1"/>
  <c r="Y165" i="20"/>
  <c r="X144" i="21"/>
  <c r="X166" i="20"/>
  <c r="Z182" i="1" s="1"/>
  <c r="Z178" i="1"/>
  <c r="BC67" i="23"/>
  <c r="BC85" i="23" s="1"/>
  <c r="BC103" i="23" s="1"/>
  <c r="X58" i="21"/>
  <c r="Y310" i="20"/>
  <c r="X289" i="21"/>
  <c r="BD289" i="21" s="1"/>
  <c r="BD290" i="21" s="1"/>
  <c r="X311" i="20"/>
  <c r="Z188" i="1" s="1"/>
  <c r="AD334" i="20"/>
  <c r="AC313" i="21"/>
  <c r="BI313" i="21" s="1"/>
  <c r="AD391" i="20"/>
  <c r="AC370" i="21"/>
  <c r="BI370" i="21" s="1"/>
  <c r="Z179" i="1"/>
  <c r="X87" i="21"/>
  <c r="BC68" i="23"/>
  <c r="BC86" i="23" s="1"/>
  <c r="BC104" i="23" s="1"/>
  <c r="AB278" i="20"/>
  <c r="AA257" i="21"/>
  <c r="BG257" i="21" s="1"/>
  <c r="AE44" i="20"/>
  <c r="AE23" i="21" s="1"/>
  <c r="BK23" i="21" s="1"/>
  <c r="AD23" i="21"/>
  <c r="BJ23" i="21" s="1"/>
  <c r="AA251" i="20"/>
  <c r="Z230" i="21"/>
  <c r="BF230" i="21" s="1"/>
  <c r="AE275" i="20"/>
  <c r="AE254" i="21" s="1"/>
  <c r="BK254" i="21" s="1"/>
  <c r="AD254" i="21"/>
  <c r="BJ254" i="21" s="1"/>
  <c r="Y339" i="20"/>
  <c r="X318" i="21"/>
  <c r="BD318" i="21" s="1"/>
  <c r="BD319" i="21" s="1"/>
  <c r="X340" i="20"/>
  <c r="Z189" i="1" s="1"/>
  <c r="AB477" i="20"/>
  <c r="AA456" i="21"/>
  <c r="BG456" i="21" s="1"/>
  <c r="AC161" i="20"/>
  <c r="AB140" i="21"/>
  <c r="BH140" i="21" s="1"/>
  <c r="AC46" i="20"/>
  <c r="AB25" i="21"/>
  <c r="BH25" i="21" s="1"/>
  <c r="AE333" i="20"/>
  <c r="AE312" i="21" s="1"/>
  <c r="BK312" i="21" s="1"/>
  <c r="AD312" i="21"/>
  <c r="BJ312" i="21" s="1"/>
  <c r="AD449" i="20"/>
  <c r="AC428" i="21"/>
  <c r="BI428" i="21" s="1"/>
  <c r="V368" i="20"/>
  <c r="U347" i="21"/>
  <c r="BA347" i="21" s="1"/>
  <c r="BA348" i="21" s="1"/>
  <c r="U369" i="20"/>
  <c r="W190" i="1" s="1"/>
  <c r="U484" i="20"/>
  <c r="T463" i="21"/>
  <c r="AZ463" i="21" s="1"/>
  <c r="AZ464" i="21" s="1"/>
  <c r="T485" i="20"/>
  <c r="V195" i="1" s="1"/>
  <c r="AD219" i="20"/>
  <c r="AC198" i="21"/>
  <c r="BI198" i="21" s="1"/>
  <c r="AC249" i="20"/>
  <c r="AB228" i="21"/>
  <c r="BH228" i="21" s="1"/>
  <c r="Z338" i="20"/>
  <c r="Y317" i="21"/>
  <c r="BE317" i="21" s="1"/>
  <c r="AD248" i="20"/>
  <c r="AC227" i="21"/>
  <c r="BI227" i="21" s="1"/>
  <c r="Z280" i="20"/>
  <c r="Y259" i="21"/>
  <c r="BE259" i="21" s="1"/>
  <c r="V483" i="20"/>
  <c r="U462" i="21"/>
  <c r="BA462" i="21" s="1"/>
  <c r="AD305" i="20"/>
  <c r="AC284" i="21"/>
  <c r="BI284" i="21" s="1"/>
  <c r="S29" i="21"/>
  <c r="AX66" i="23"/>
  <c r="AX84" i="23" s="1"/>
  <c r="AX102" i="23" s="1"/>
  <c r="T50" i="20"/>
  <c r="V177" i="1" s="1"/>
  <c r="T3" i="21"/>
  <c r="U24" i="20"/>
  <c r="U256" i="20"/>
  <c r="T235" i="21"/>
  <c r="S351" i="21"/>
  <c r="T372" i="20"/>
  <c r="AZ235" i="21" l="1"/>
  <c r="AZ261" i="21" s="1"/>
  <c r="S15" i="1" s="1"/>
  <c r="S17" i="1" s="1"/>
  <c r="AY351" i="21"/>
  <c r="AY377" i="21" s="1"/>
  <c r="R21" i="1" s="1"/>
  <c r="R23" i="1" s="1"/>
  <c r="AZ3" i="21"/>
  <c r="AZ29" i="21" s="1"/>
  <c r="S3" i="1" s="1"/>
  <c r="S5" i="1" s="1"/>
  <c r="BD144" i="21"/>
  <c r="BD145" i="21" s="1"/>
  <c r="W9" i="1" s="1"/>
  <c r="W11" i="1" s="1"/>
  <c r="AY81" i="23"/>
  <c r="AY99" i="23" s="1"/>
  <c r="AY117" i="23" s="1"/>
  <c r="T464" i="21"/>
  <c r="X145" i="21"/>
  <c r="BC70" i="23"/>
  <c r="BC88" i="23" s="1"/>
  <c r="BC106" i="23" s="1"/>
  <c r="AC451" i="20"/>
  <c r="AB430" i="21"/>
  <c r="BH430" i="21" s="1"/>
  <c r="AD476" i="20"/>
  <c r="AC455" i="21"/>
  <c r="BI455" i="21" s="1"/>
  <c r="AC362" i="20"/>
  <c r="AB341" i="21"/>
  <c r="BH341" i="21" s="1"/>
  <c r="AA479" i="20"/>
  <c r="Z458" i="21"/>
  <c r="BF458" i="21" s="1"/>
  <c r="AD361" i="20"/>
  <c r="AC340" i="21"/>
  <c r="BI340" i="21" s="1"/>
  <c r="AA424" i="20"/>
  <c r="Z403" i="21"/>
  <c r="BF403" i="21" s="1"/>
  <c r="AE360" i="20"/>
  <c r="AE339" i="21" s="1"/>
  <c r="BK339" i="21" s="1"/>
  <c r="AD339" i="21"/>
  <c r="BJ339" i="21" s="1"/>
  <c r="AB106" i="20"/>
  <c r="AA85" i="21"/>
  <c r="BG85" i="21" s="1"/>
  <c r="AA364" i="20"/>
  <c r="Z343" i="21"/>
  <c r="BF343" i="21" s="1"/>
  <c r="AA107" i="20"/>
  <c r="Z86" i="21"/>
  <c r="BF86" i="21" s="1"/>
  <c r="BF87" i="21" s="1"/>
  <c r="Z108" i="20"/>
  <c r="AD191" i="20"/>
  <c r="AC170" i="21"/>
  <c r="BI170" i="21" s="1"/>
  <c r="Y203" i="21"/>
  <c r="BD72" i="23"/>
  <c r="BD90" i="23" s="1"/>
  <c r="BD108" i="23" s="1"/>
  <c r="AE420" i="20"/>
  <c r="AE399" i="21" s="1"/>
  <c r="BK399" i="21" s="1"/>
  <c r="AD399" i="21"/>
  <c r="BJ399" i="21" s="1"/>
  <c r="Z425" i="20"/>
  <c r="Y404" i="21"/>
  <c r="BE404" i="21" s="1"/>
  <c r="W483" i="20"/>
  <c r="V462" i="21"/>
  <c r="BB462" i="21" s="1"/>
  <c r="AE248" i="20"/>
  <c r="AE227" i="21" s="1"/>
  <c r="BK227" i="21" s="1"/>
  <c r="AD227" i="21"/>
  <c r="BJ227" i="21" s="1"/>
  <c r="AD249" i="20"/>
  <c r="AC228" i="21"/>
  <c r="BI228" i="21" s="1"/>
  <c r="W368" i="20"/>
  <c r="V347" i="21"/>
  <c r="BB347" i="21" s="1"/>
  <c r="BB348" i="21" s="1"/>
  <c r="V369" i="20"/>
  <c r="X190" i="1" s="1"/>
  <c r="AD161" i="20"/>
  <c r="AC140" i="21"/>
  <c r="BI140" i="21" s="1"/>
  <c r="AE334" i="20"/>
  <c r="AE313" i="21" s="1"/>
  <c r="BK313" i="21" s="1"/>
  <c r="AD313" i="21"/>
  <c r="BJ313" i="21" s="1"/>
  <c r="X136" i="20"/>
  <c r="W115" i="21"/>
  <c r="BC115" i="21" s="1"/>
  <c r="BC116" i="21" s="1"/>
  <c r="W137" i="20"/>
  <c r="AD392" i="20"/>
  <c r="AC371" i="21"/>
  <c r="BI371" i="21" s="1"/>
  <c r="AA164" i="20"/>
  <c r="Z143" i="21"/>
  <c r="BF143" i="21" s="1"/>
  <c r="AC192" i="20"/>
  <c r="AB171" i="21"/>
  <c r="BH171" i="21" s="1"/>
  <c r="AB132" i="20"/>
  <c r="AA111" i="21"/>
  <c r="BG111" i="21" s="1"/>
  <c r="AB163" i="20"/>
  <c r="AA142" i="21"/>
  <c r="BG142" i="21" s="1"/>
  <c r="BD71" i="23"/>
  <c r="BD89" i="23" s="1"/>
  <c r="BD107" i="23" s="1"/>
  <c r="Y174" i="21"/>
  <c r="Z365" i="20"/>
  <c r="Y344" i="21"/>
  <c r="BE344" i="21" s="1"/>
  <c r="W435" i="21"/>
  <c r="BB80" i="23"/>
  <c r="BB98" i="23" s="1"/>
  <c r="BB116" i="23" s="1"/>
  <c r="Z480" i="20"/>
  <c r="Y459" i="21"/>
  <c r="BE459" i="21" s="1"/>
  <c r="AB478" i="20"/>
  <c r="AA457" i="21"/>
  <c r="BG457" i="21" s="1"/>
  <c r="AD450" i="20"/>
  <c r="AC429" i="21"/>
  <c r="BI429" i="21" s="1"/>
  <c r="Z134" i="20"/>
  <c r="Y113" i="21"/>
  <c r="BE113" i="21" s="1"/>
  <c r="Z454" i="20"/>
  <c r="Y433" i="21"/>
  <c r="BE433" i="21" s="1"/>
  <c r="AB48" i="20"/>
  <c r="AA27" i="21"/>
  <c r="BG27" i="21" s="1"/>
  <c r="AE103" i="20"/>
  <c r="AE82" i="21" s="1"/>
  <c r="BK82" i="21" s="1"/>
  <c r="AD82" i="21"/>
  <c r="BJ82" i="21" s="1"/>
  <c r="Y481" i="20"/>
  <c r="X460" i="21"/>
  <c r="BD460" i="21" s="1"/>
  <c r="AA78" i="20"/>
  <c r="Z57" i="21"/>
  <c r="BF57" i="21" s="1"/>
  <c r="BF58" i="21" s="1"/>
  <c r="Z79" i="20"/>
  <c r="AC221" i="20"/>
  <c r="AB200" i="21"/>
  <c r="BH200" i="21" s="1"/>
  <c r="Y397" i="20"/>
  <c r="X376" i="21"/>
  <c r="BD376" i="21" s="1"/>
  <c r="AA453" i="20"/>
  <c r="Z432" i="21"/>
  <c r="BF432" i="21" s="1"/>
  <c r="W406" i="21"/>
  <c r="BB79" i="23"/>
  <c r="BB97" i="23" s="1"/>
  <c r="BB115" i="23" s="1"/>
  <c r="Z310" i="20"/>
  <c r="Y289" i="21"/>
  <c r="BE289" i="21" s="1"/>
  <c r="BE290" i="21" s="1"/>
  <c r="Y311" i="20"/>
  <c r="AA188" i="1" s="1"/>
  <c r="AB337" i="20"/>
  <c r="AA316" i="21"/>
  <c r="BG316" i="21" s="1"/>
  <c r="AD75" i="20"/>
  <c r="AC54" i="21"/>
  <c r="BI54" i="21" s="1"/>
  <c r="AE45" i="20"/>
  <c r="AE24" i="21" s="1"/>
  <c r="BK24" i="21" s="1"/>
  <c r="AD24" i="21"/>
  <c r="BJ24" i="21" s="1"/>
  <c r="AB77" i="20"/>
  <c r="AA56" i="21"/>
  <c r="BG56" i="21" s="1"/>
  <c r="AD421" i="20"/>
  <c r="AC400" i="21"/>
  <c r="BI400" i="21" s="1"/>
  <c r="AD335" i="20"/>
  <c r="AC314" i="21"/>
  <c r="BI314" i="21" s="1"/>
  <c r="V484" i="20"/>
  <c r="U463" i="21"/>
  <c r="BA463" i="21" s="1"/>
  <c r="BA464" i="21" s="1"/>
  <c r="U485" i="20"/>
  <c r="W195" i="1" s="1"/>
  <c r="Z339" i="20"/>
  <c r="Y318" i="21"/>
  <c r="BE318" i="21" s="1"/>
  <c r="BE319" i="21" s="1"/>
  <c r="Y340" i="20"/>
  <c r="AA189" i="1" s="1"/>
  <c r="AB251" i="20"/>
  <c r="AA230" i="21"/>
  <c r="BG230" i="21" s="1"/>
  <c r="AC278" i="20"/>
  <c r="AB257" i="21"/>
  <c r="BH257" i="21" s="1"/>
  <c r="BC75" i="23"/>
  <c r="BC93" i="23" s="1"/>
  <c r="BC111" i="23" s="1"/>
  <c r="X290" i="21"/>
  <c r="Z165" i="20"/>
  <c r="Y144" i="21"/>
  <c r="Y166" i="20"/>
  <c r="AA182" i="1" s="1"/>
  <c r="AA395" i="20"/>
  <c r="Z374" i="21"/>
  <c r="BF374" i="21" s="1"/>
  <c r="Z281" i="20"/>
  <c r="Y260" i="21"/>
  <c r="BE260" i="21" s="1"/>
  <c r="AB193" i="20"/>
  <c r="AA172" i="21"/>
  <c r="BG172" i="21" s="1"/>
  <c r="AB222" i="20"/>
  <c r="AA201" i="21"/>
  <c r="BG201" i="21" s="1"/>
  <c r="BD73" i="23"/>
  <c r="BD91" i="23" s="1"/>
  <c r="BD109" i="23" s="1"/>
  <c r="Y232" i="21"/>
  <c r="AB452" i="20"/>
  <c r="AA431" i="21"/>
  <c r="BG431" i="21" s="1"/>
  <c r="AE160" i="20"/>
  <c r="AE139" i="21" s="1"/>
  <c r="BK139" i="21" s="1"/>
  <c r="AD139" i="21"/>
  <c r="BJ139" i="21" s="1"/>
  <c r="AB394" i="20"/>
  <c r="AA373" i="21"/>
  <c r="BG373" i="21" s="1"/>
  <c r="Y366" i="20"/>
  <c r="X345" i="21"/>
  <c r="BD345" i="21" s="1"/>
  <c r="AC422" i="20"/>
  <c r="AB401" i="21"/>
  <c r="BH401" i="21" s="1"/>
  <c r="AD277" i="20"/>
  <c r="AC256" i="21"/>
  <c r="BI256" i="21" s="1"/>
  <c r="AE74" i="20"/>
  <c r="AE53" i="21" s="1"/>
  <c r="BK53" i="21" s="1"/>
  <c r="AD53" i="21"/>
  <c r="BJ53" i="21" s="1"/>
  <c r="Z396" i="20"/>
  <c r="Y375" i="21"/>
  <c r="BE375" i="21" s="1"/>
  <c r="AD220" i="20"/>
  <c r="AC199" i="21"/>
  <c r="BI199" i="21" s="1"/>
  <c r="AD104" i="20"/>
  <c r="AC83" i="21"/>
  <c r="BI83" i="21" s="1"/>
  <c r="AD130" i="20"/>
  <c r="AC109" i="21"/>
  <c r="BI109" i="21" s="1"/>
  <c r="AA179" i="1"/>
  <c r="Y87" i="21"/>
  <c r="BD68" i="23"/>
  <c r="BD86" i="23" s="1"/>
  <c r="BD104" i="23" s="1"/>
  <c r="AA223" i="20"/>
  <c r="Z202" i="21"/>
  <c r="BF202" i="21" s="1"/>
  <c r="BF203" i="21" s="1"/>
  <c r="Z224" i="20"/>
  <c r="AB184" i="1" s="1"/>
  <c r="X319" i="21"/>
  <c r="BC76" i="23"/>
  <c r="BC94" i="23" s="1"/>
  <c r="BC112" i="23" s="1"/>
  <c r="AB279" i="20"/>
  <c r="AA258" i="21"/>
  <c r="BG258" i="21" s="1"/>
  <c r="AB308" i="20"/>
  <c r="AA287" i="21"/>
  <c r="BG287" i="21" s="1"/>
  <c r="AC336" i="20"/>
  <c r="AB315" i="21"/>
  <c r="BH315" i="21" s="1"/>
  <c r="AA252" i="20"/>
  <c r="Z231" i="21"/>
  <c r="BF231" i="21" s="1"/>
  <c r="BF232" i="21" s="1"/>
  <c r="Z253" i="20"/>
  <c r="AB185" i="1" s="1"/>
  <c r="AE129" i="20"/>
  <c r="AE108" i="21" s="1"/>
  <c r="BK108" i="21" s="1"/>
  <c r="AD108" i="21"/>
  <c r="BJ108" i="21" s="1"/>
  <c r="AE475" i="20"/>
  <c r="AE454" i="21" s="1"/>
  <c r="BK454" i="21" s="1"/>
  <c r="AD454" i="21"/>
  <c r="BJ454" i="21" s="1"/>
  <c r="AE276" i="20"/>
  <c r="AE255" i="21" s="1"/>
  <c r="BK255" i="21" s="1"/>
  <c r="AD255" i="21"/>
  <c r="BJ255" i="21" s="1"/>
  <c r="AE305" i="20"/>
  <c r="AE284" i="21" s="1"/>
  <c r="BK284" i="21" s="1"/>
  <c r="AD284" i="21"/>
  <c r="BJ284" i="21" s="1"/>
  <c r="AA280" i="20"/>
  <c r="Z259" i="21"/>
  <c r="BF259" i="21" s="1"/>
  <c r="AA338" i="20"/>
  <c r="Z317" i="21"/>
  <c r="BF317" i="21" s="1"/>
  <c r="AE219" i="20"/>
  <c r="AE198" i="21" s="1"/>
  <c r="BK198" i="21" s="1"/>
  <c r="AD198" i="21"/>
  <c r="BJ198" i="21" s="1"/>
  <c r="AZ77" i="23"/>
  <c r="AZ95" i="23" s="1"/>
  <c r="AZ113" i="23" s="1"/>
  <c r="U348" i="21"/>
  <c r="AE449" i="20"/>
  <c r="AE428" i="21" s="1"/>
  <c r="BK428" i="21" s="1"/>
  <c r="AD428" i="21"/>
  <c r="BJ428" i="21" s="1"/>
  <c r="AD46" i="20"/>
  <c r="AC25" i="21"/>
  <c r="BI25" i="21" s="1"/>
  <c r="AC477" i="20"/>
  <c r="AB456" i="21"/>
  <c r="BH456" i="21" s="1"/>
  <c r="AE391" i="20"/>
  <c r="AE370" i="21" s="1"/>
  <c r="BK370" i="21" s="1"/>
  <c r="AD370" i="21"/>
  <c r="BJ370" i="21" s="1"/>
  <c r="X180" i="1"/>
  <c r="V116" i="21"/>
  <c r="BA69" i="23"/>
  <c r="BA87" i="23" s="1"/>
  <c r="BA105" i="23" s="1"/>
  <c r="AC105" i="20"/>
  <c r="AB84" i="21"/>
  <c r="BH84" i="21" s="1"/>
  <c r="AC393" i="20"/>
  <c r="AB372" i="21"/>
  <c r="BH372" i="21" s="1"/>
  <c r="AC76" i="20"/>
  <c r="AB55" i="21"/>
  <c r="BH55" i="21" s="1"/>
  <c r="AA133" i="20"/>
  <c r="Z112" i="21"/>
  <c r="BF112" i="21" s="1"/>
  <c r="AC250" i="20"/>
  <c r="AB229" i="21"/>
  <c r="BH229" i="21" s="1"/>
  <c r="AB423" i="20"/>
  <c r="AA402" i="21"/>
  <c r="BG402" i="21" s="1"/>
  <c r="AE190" i="20"/>
  <c r="AE169" i="21" s="1"/>
  <c r="BK169" i="21" s="1"/>
  <c r="AD169" i="21"/>
  <c r="BJ169" i="21" s="1"/>
  <c r="AA194" i="20"/>
  <c r="Z173" i="21"/>
  <c r="BF173" i="21" s="1"/>
  <c r="BF174" i="21" s="1"/>
  <c r="Z195" i="20"/>
  <c r="AB183" i="1" s="1"/>
  <c r="Y455" i="20"/>
  <c r="X434" i="21"/>
  <c r="BD434" i="21" s="1"/>
  <c r="BD435" i="21" s="1"/>
  <c r="X456" i="20"/>
  <c r="Z194" i="1" s="1"/>
  <c r="AC131" i="20"/>
  <c r="AB110" i="21"/>
  <c r="BH110" i="21" s="1"/>
  <c r="X367" i="20"/>
  <c r="W346" i="21"/>
  <c r="BC346" i="21" s="1"/>
  <c r="AC162" i="20"/>
  <c r="AB141" i="21"/>
  <c r="BH141" i="21" s="1"/>
  <c r="AA309" i="20"/>
  <c r="Z288" i="21"/>
  <c r="BF288" i="21" s="1"/>
  <c r="AB363" i="20"/>
  <c r="AA342" i="21"/>
  <c r="BG342" i="21" s="1"/>
  <c r="AD306" i="20"/>
  <c r="AC285" i="21"/>
  <c r="BI285" i="21" s="1"/>
  <c r="AC47" i="20"/>
  <c r="AB26" i="21"/>
  <c r="BH26" i="21" s="1"/>
  <c r="X482" i="20"/>
  <c r="W461" i="21"/>
  <c r="BC461" i="21" s="1"/>
  <c r="Y135" i="20"/>
  <c r="X114" i="21"/>
  <c r="BD114" i="21" s="1"/>
  <c r="AA178" i="1"/>
  <c r="Y58" i="21"/>
  <c r="BD67" i="23"/>
  <c r="BD85" i="23" s="1"/>
  <c r="BD103" i="23" s="1"/>
  <c r="AC307" i="20"/>
  <c r="AB286" i="21"/>
  <c r="BH286" i="21" s="1"/>
  <c r="AA49" i="20"/>
  <c r="Z28" i="21"/>
  <c r="BF28" i="21" s="1"/>
  <c r="Y426" i="20"/>
  <c r="X405" i="21"/>
  <c r="BD405" i="21" s="1"/>
  <c r="BD406" i="21" s="1"/>
  <c r="X427" i="20"/>
  <c r="Z193" i="1" s="1"/>
  <c r="T29" i="21"/>
  <c r="AY66" i="23"/>
  <c r="AY84" i="23" s="1"/>
  <c r="AY102" i="23" s="1"/>
  <c r="U235" i="21"/>
  <c r="V256" i="20"/>
  <c r="T351" i="21"/>
  <c r="U372" i="20"/>
  <c r="U3" i="21"/>
  <c r="U50" i="20"/>
  <c r="W177" i="1" s="1"/>
  <c r="V24" i="20"/>
  <c r="BE144" i="21" l="1"/>
  <c r="BE145" i="21" s="1"/>
  <c r="X9" i="1" s="1"/>
  <c r="X11" i="1" s="1"/>
  <c r="BA3" i="21"/>
  <c r="BA29" i="21" s="1"/>
  <c r="T3" i="1" s="1"/>
  <c r="T5" i="1" s="1"/>
  <c r="AZ351" i="21"/>
  <c r="AZ377" i="21" s="1"/>
  <c r="S21" i="1" s="1"/>
  <c r="S23" i="1" s="1"/>
  <c r="BA235" i="21"/>
  <c r="BA261" i="21" s="1"/>
  <c r="T15" i="1" s="1"/>
  <c r="T17" i="1" s="1"/>
  <c r="BC79" i="23"/>
  <c r="BC97" i="23" s="1"/>
  <c r="BC115" i="23" s="1"/>
  <c r="X406" i="21"/>
  <c r="AD47" i="20"/>
  <c r="AC26" i="21"/>
  <c r="BI26" i="21" s="1"/>
  <c r="AC363" i="20"/>
  <c r="AB342" i="21"/>
  <c r="BH342" i="21" s="1"/>
  <c r="AD162" i="20"/>
  <c r="AC141" i="21"/>
  <c r="BI141" i="21" s="1"/>
  <c r="AD131" i="20"/>
  <c r="AC110" i="21"/>
  <c r="BI110" i="21" s="1"/>
  <c r="AD250" i="20"/>
  <c r="AC229" i="21"/>
  <c r="BI229" i="21" s="1"/>
  <c r="AD76" i="20"/>
  <c r="AC55" i="21"/>
  <c r="BI55" i="21" s="1"/>
  <c r="AD105" i="20"/>
  <c r="AC84" i="21"/>
  <c r="BI84" i="21" s="1"/>
  <c r="Z203" i="21"/>
  <c r="BE72" i="23"/>
  <c r="BE90" i="23" s="1"/>
  <c r="BE108" i="23" s="1"/>
  <c r="AA165" i="20"/>
  <c r="Z144" i="21"/>
  <c r="Z166" i="20"/>
  <c r="AB182" i="1" s="1"/>
  <c r="AD278" i="20"/>
  <c r="AC257" i="21"/>
  <c r="BI257" i="21" s="1"/>
  <c r="AC48" i="20"/>
  <c r="AB27" i="21"/>
  <c r="BH27" i="21" s="1"/>
  <c r="AA425" i="20"/>
  <c r="Z404" i="21"/>
  <c r="BF404" i="21" s="1"/>
  <c r="AB49" i="20"/>
  <c r="AA28" i="21"/>
  <c r="BG28" i="21" s="1"/>
  <c r="X435" i="21"/>
  <c r="BC80" i="23"/>
  <c r="BC98" i="23" s="1"/>
  <c r="BC116" i="23" s="1"/>
  <c r="AE46" i="20"/>
  <c r="AE25" i="21" s="1"/>
  <c r="BK25" i="21" s="1"/>
  <c r="AD25" i="21"/>
  <c r="BJ25" i="21" s="1"/>
  <c r="AB338" i="20"/>
  <c r="AA317" i="21"/>
  <c r="BG317" i="21" s="1"/>
  <c r="AE104" i="20"/>
  <c r="AE83" i="21" s="1"/>
  <c r="BK83" i="21" s="1"/>
  <c r="AD83" i="21"/>
  <c r="BJ83" i="21" s="1"/>
  <c r="AA396" i="20"/>
  <c r="Z375" i="21"/>
  <c r="BF375" i="21" s="1"/>
  <c r="AE277" i="20"/>
  <c r="AE256" i="21" s="1"/>
  <c r="BK256" i="21" s="1"/>
  <c r="AD256" i="21"/>
  <c r="BJ256" i="21" s="1"/>
  <c r="Z366" i="20"/>
  <c r="Y345" i="21"/>
  <c r="BE345" i="21" s="1"/>
  <c r="AC193" i="20"/>
  <c r="AB172" i="21"/>
  <c r="BH172" i="21" s="1"/>
  <c r="AB395" i="20"/>
  <c r="AA374" i="21"/>
  <c r="BG374" i="21" s="1"/>
  <c r="AA339" i="20"/>
  <c r="Z318" i="21"/>
  <c r="BF318" i="21" s="1"/>
  <c r="BF319" i="21" s="1"/>
  <c r="Y290" i="21"/>
  <c r="BD75" i="23"/>
  <c r="BD93" i="23" s="1"/>
  <c r="BD111" i="23" s="1"/>
  <c r="Z397" i="20"/>
  <c r="Y376" i="21"/>
  <c r="BE376" i="21" s="1"/>
  <c r="Y136" i="20"/>
  <c r="X115" i="21"/>
  <c r="BD115" i="21" s="1"/>
  <c r="BD116" i="21" s="1"/>
  <c r="X137" i="20"/>
  <c r="AE161" i="20"/>
  <c r="AE140" i="21" s="1"/>
  <c r="BK140" i="21" s="1"/>
  <c r="AD140" i="21"/>
  <c r="BJ140" i="21" s="1"/>
  <c r="AB107" i="20"/>
  <c r="AA86" i="21"/>
  <c r="BG86" i="21" s="1"/>
  <c r="BG87" i="21" s="1"/>
  <c r="AA108" i="20"/>
  <c r="AC106" i="20"/>
  <c r="AB85" i="21"/>
  <c r="BH85" i="21" s="1"/>
  <c r="AB424" i="20"/>
  <c r="AA403" i="21"/>
  <c r="BG403" i="21" s="1"/>
  <c r="AB479" i="20"/>
  <c r="AA458" i="21"/>
  <c r="BG458" i="21" s="1"/>
  <c r="AE476" i="20"/>
  <c r="AE455" i="21" s="1"/>
  <c r="BK455" i="21" s="1"/>
  <c r="AD455" i="21"/>
  <c r="BJ455" i="21" s="1"/>
  <c r="Z135" i="20"/>
  <c r="Y114" i="21"/>
  <c r="BE114" i="21" s="1"/>
  <c r="AD336" i="20"/>
  <c r="AC315" i="21"/>
  <c r="BI315" i="21" s="1"/>
  <c r="AB178" i="1"/>
  <c r="BE67" i="23"/>
  <c r="BE85" i="23" s="1"/>
  <c r="BE103" i="23" s="1"/>
  <c r="Z58" i="21"/>
  <c r="AA134" i="20"/>
  <c r="Z113" i="21"/>
  <c r="BF113" i="21" s="1"/>
  <c r="AC132" i="20"/>
  <c r="AB111" i="21"/>
  <c r="BH111" i="21" s="1"/>
  <c r="AB164" i="20"/>
  <c r="AA143" i="21"/>
  <c r="BG143" i="21" s="1"/>
  <c r="Z426" i="20"/>
  <c r="Y405" i="21"/>
  <c r="BE405" i="21" s="1"/>
  <c r="BE406" i="21" s="1"/>
  <c r="Y427" i="20"/>
  <c r="AA193" i="1" s="1"/>
  <c r="Y482" i="20"/>
  <c r="X461" i="21"/>
  <c r="BD461" i="21" s="1"/>
  <c r="AE306" i="20"/>
  <c r="AE285" i="21" s="1"/>
  <c r="BK285" i="21" s="1"/>
  <c r="AD285" i="21"/>
  <c r="BJ285" i="21" s="1"/>
  <c r="AB309" i="20"/>
  <c r="AA288" i="21"/>
  <c r="BG288" i="21" s="1"/>
  <c r="Y367" i="20"/>
  <c r="X346" i="21"/>
  <c r="BD346" i="21" s="1"/>
  <c r="AB194" i="20"/>
  <c r="AA173" i="21"/>
  <c r="BG173" i="21" s="1"/>
  <c r="BG174" i="21" s="1"/>
  <c r="AA195" i="20"/>
  <c r="AC183" i="1" s="1"/>
  <c r="AC423" i="20"/>
  <c r="AB402" i="21"/>
  <c r="BH402" i="21" s="1"/>
  <c r="AB133" i="20"/>
  <c r="AA112" i="21"/>
  <c r="BG112" i="21" s="1"/>
  <c r="AD393" i="20"/>
  <c r="AC372" i="21"/>
  <c r="BI372" i="21" s="1"/>
  <c r="AB252" i="20"/>
  <c r="AA231" i="21"/>
  <c r="BG231" i="21" s="1"/>
  <c r="BG232" i="21" s="1"/>
  <c r="AA253" i="20"/>
  <c r="AC185" i="1" s="1"/>
  <c r="AC308" i="20"/>
  <c r="AB287" i="21"/>
  <c r="BH287" i="21" s="1"/>
  <c r="AB223" i="20"/>
  <c r="AA202" i="21"/>
  <c r="BG202" i="21" s="1"/>
  <c r="BG203" i="21" s="1"/>
  <c r="AA224" i="20"/>
  <c r="AC184" i="1" s="1"/>
  <c r="BD70" i="23"/>
  <c r="BD88" i="23" s="1"/>
  <c r="BD106" i="23" s="1"/>
  <c r="Y145" i="21"/>
  <c r="AC251" i="20"/>
  <c r="AB230" i="21"/>
  <c r="BH230" i="21" s="1"/>
  <c r="AZ81" i="23"/>
  <c r="AZ99" i="23" s="1"/>
  <c r="AZ117" i="23" s="1"/>
  <c r="U464" i="21"/>
  <c r="AE335" i="20"/>
  <c r="AE314" i="21" s="1"/>
  <c r="BK314" i="21" s="1"/>
  <c r="AD314" i="21"/>
  <c r="BJ314" i="21" s="1"/>
  <c r="AC77" i="20"/>
  <c r="AB56" i="21"/>
  <c r="BH56" i="21" s="1"/>
  <c r="AE75" i="20"/>
  <c r="AE54" i="21" s="1"/>
  <c r="BK54" i="21" s="1"/>
  <c r="AD54" i="21"/>
  <c r="BJ54" i="21" s="1"/>
  <c r="AB78" i="20"/>
  <c r="AA57" i="21"/>
  <c r="BG57" i="21" s="1"/>
  <c r="BG58" i="21" s="1"/>
  <c r="AA79" i="20"/>
  <c r="AA454" i="20"/>
  <c r="Z433" i="21"/>
  <c r="BF433" i="21" s="1"/>
  <c r="AE450" i="20"/>
  <c r="AE429" i="21" s="1"/>
  <c r="BK429" i="21" s="1"/>
  <c r="AD429" i="21"/>
  <c r="BJ429" i="21" s="1"/>
  <c r="AA480" i="20"/>
  <c r="Z459" i="21"/>
  <c r="BF459" i="21" s="1"/>
  <c r="AA365" i="20"/>
  <c r="Z344" i="21"/>
  <c r="BF344" i="21" s="1"/>
  <c r="AC163" i="20"/>
  <c r="AB142" i="21"/>
  <c r="BH142" i="21" s="1"/>
  <c r="AD192" i="20"/>
  <c r="AC171" i="21"/>
  <c r="BI171" i="21" s="1"/>
  <c r="AE392" i="20"/>
  <c r="AE371" i="21" s="1"/>
  <c r="BK371" i="21" s="1"/>
  <c r="AD371" i="21"/>
  <c r="BJ371" i="21" s="1"/>
  <c r="V348" i="21"/>
  <c r="BA77" i="23"/>
  <c r="BA95" i="23" s="1"/>
  <c r="BA113" i="23" s="1"/>
  <c r="AE249" i="20"/>
  <c r="AE228" i="21" s="1"/>
  <c r="BK228" i="21" s="1"/>
  <c r="AD228" i="21"/>
  <c r="BJ228" i="21" s="1"/>
  <c r="X483" i="20"/>
  <c r="W462" i="21"/>
  <c r="BC462" i="21" s="1"/>
  <c r="AE191" i="20"/>
  <c r="AE170" i="21" s="1"/>
  <c r="BK170" i="21" s="1"/>
  <c r="AD170" i="21"/>
  <c r="BJ170" i="21" s="1"/>
  <c r="Z174" i="21"/>
  <c r="BE71" i="23"/>
  <c r="BE89" i="23" s="1"/>
  <c r="BE107" i="23" s="1"/>
  <c r="BE73" i="23"/>
  <c r="BE91" i="23" s="1"/>
  <c r="BE109" i="23" s="1"/>
  <c r="Z232" i="21"/>
  <c r="AC279" i="20"/>
  <c r="AB258" i="21"/>
  <c r="BH258" i="21" s="1"/>
  <c r="W484" i="20"/>
  <c r="V463" i="21"/>
  <c r="BB463" i="21" s="1"/>
  <c r="BB464" i="21" s="1"/>
  <c r="V485" i="20"/>
  <c r="X195" i="1" s="1"/>
  <c r="AE421" i="20"/>
  <c r="AE400" i="21" s="1"/>
  <c r="BK400" i="21" s="1"/>
  <c r="AD400" i="21"/>
  <c r="BJ400" i="21" s="1"/>
  <c r="AC337" i="20"/>
  <c r="AB316" i="21"/>
  <c r="BH316" i="21" s="1"/>
  <c r="Z481" i="20"/>
  <c r="Y460" i="21"/>
  <c r="BE460" i="21" s="1"/>
  <c r="AC478" i="20"/>
  <c r="AB457" i="21"/>
  <c r="BH457" i="21" s="1"/>
  <c r="X368" i="20"/>
  <c r="W347" i="21"/>
  <c r="BC347" i="21" s="1"/>
  <c r="BC348" i="21" s="1"/>
  <c r="W369" i="20"/>
  <c r="Y190" i="1" s="1"/>
  <c r="AD307" i="20"/>
  <c r="AC286" i="21"/>
  <c r="BI286" i="21" s="1"/>
  <c r="Z455" i="20"/>
  <c r="Y434" i="21"/>
  <c r="BE434" i="21" s="1"/>
  <c r="BE435" i="21" s="1"/>
  <c r="Y456" i="20"/>
  <c r="AA194" i="1" s="1"/>
  <c r="AD477" i="20"/>
  <c r="AC456" i="21"/>
  <c r="BI456" i="21" s="1"/>
  <c r="AB280" i="20"/>
  <c r="AA259" i="21"/>
  <c r="BG259" i="21" s="1"/>
  <c r="AE130" i="20"/>
  <c r="AE109" i="21" s="1"/>
  <c r="BK109" i="21" s="1"/>
  <c r="AD109" i="21"/>
  <c r="BJ109" i="21" s="1"/>
  <c r="AE220" i="20"/>
  <c r="AE199" i="21" s="1"/>
  <c r="BK199" i="21" s="1"/>
  <c r="AD199" i="21"/>
  <c r="BJ199" i="21" s="1"/>
  <c r="AD422" i="20"/>
  <c r="AC401" i="21"/>
  <c r="BI401" i="21" s="1"/>
  <c r="AC394" i="20"/>
  <c r="AB373" i="21"/>
  <c r="BH373" i="21" s="1"/>
  <c r="AC452" i="20"/>
  <c r="AB431" i="21"/>
  <c r="BH431" i="21" s="1"/>
  <c r="AC222" i="20"/>
  <c r="AB201" i="21"/>
  <c r="BH201" i="21" s="1"/>
  <c r="AA281" i="20"/>
  <c r="Z260" i="21"/>
  <c r="BF260" i="21" s="1"/>
  <c r="Y319" i="21"/>
  <c r="BD76" i="23"/>
  <c r="BD94" i="23" s="1"/>
  <c r="BD112" i="23" s="1"/>
  <c r="AA310" i="20"/>
  <c r="Z289" i="21"/>
  <c r="BF289" i="21" s="1"/>
  <c r="BF290" i="21" s="1"/>
  <c r="Z311" i="20"/>
  <c r="AB188" i="1" s="1"/>
  <c r="AB453" i="20"/>
  <c r="AA432" i="21"/>
  <c r="BG432" i="21" s="1"/>
  <c r="AD221" i="20"/>
  <c r="AC200" i="21"/>
  <c r="BI200" i="21" s="1"/>
  <c r="Y180" i="1"/>
  <c r="W116" i="21"/>
  <c r="BB69" i="23"/>
  <c r="BB87" i="23" s="1"/>
  <c r="BB105" i="23" s="1"/>
  <c r="AB179" i="1"/>
  <c r="BE68" i="23"/>
  <c r="BE86" i="23" s="1"/>
  <c r="BE104" i="23" s="1"/>
  <c r="Z87" i="21"/>
  <c r="AB364" i="20"/>
  <c r="AA343" i="21"/>
  <c r="BG343" i="21" s="1"/>
  <c r="AE361" i="20"/>
  <c r="AE340" i="21" s="1"/>
  <c r="BK340" i="21" s="1"/>
  <c r="AD340" i="21"/>
  <c r="BJ340" i="21" s="1"/>
  <c r="AD362" i="20"/>
  <c r="AC341" i="21"/>
  <c r="BI341" i="21" s="1"/>
  <c r="AD451" i="20"/>
  <c r="AC430" i="21"/>
  <c r="BI430" i="21" s="1"/>
  <c r="U29" i="21"/>
  <c r="AZ66" i="23"/>
  <c r="AZ84" i="23" s="1"/>
  <c r="AZ102" i="23" s="1"/>
  <c r="U351" i="21"/>
  <c r="V372" i="20"/>
  <c r="V50" i="20"/>
  <c r="X177" i="1" s="1"/>
  <c r="V3" i="21"/>
  <c r="W24" i="20"/>
  <c r="V235" i="21"/>
  <c r="W256" i="20"/>
  <c r="BB3" i="21" l="1"/>
  <c r="BB29" i="21" s="1"/>
  <c r="U3" i="1" s="1"/>
  <c r="U5" i="1" s="1"/>
  <c r="BB235" i="21"/>
  <c r="BB261" i="21" s="1"/>
  <c r="U15" i="1" s="1"/>
  <c r="U17" i="1" s="1"/>
  <c r="BA351" i="21"/>
  <c r="BA377" i="21" s="1"/>
  <c r="T21" i="1" s="1"/>
  <c r="T23" i="1" s="1"/>
  <c r="BF144" i="21"/>
  <c r="BF145" i="21" s="1"/>
  <c r="Y9" i="1" s="1"/>
  <c r="Y11" i="1" s="1"/>
  <c r="AE451" i="20"/>
  <c r="AE430" i="21" s="1"/>
  <c r="BK430" i="21" s="1"/>
  <c r="AD430" i="21"/>
  <c r="BJ430" i="21" s="1"/>
  <c r="Y435" i="21"/>
  <c r="BD80" i="23"/>
  <c r="BD98" i="23" s="1"/>
  <c r="BD116" i="23" s="1"/>
  <c r="AE307" i="20"/>
  <c r="AE286" i="21" s="1"/>
  <c r="BK286" i="21" s="1"/>
  <c r="AD286" i="21"/>
  <c r="BJ286" i="21" s="1"/>
  <c r="AB365" i="20"/>
  <c r="AA344" i="21"/>
  <c r="BG344" i="21" s="1"/>
  <c r="AA174" i="21"/>
  <c r="BF71" i="23"/>
  <c r="BF89" i="23" s="1"/>
  <c r="BF107" i="23" s="1"/>
  <c r="Z180" i="1"/>
  <c r="BC69" i="23"/>
  <c r="BC87" i="23" s="1"/>
  <c r="BC105" i="23" s="1"/>
  <c r="X116" i="21"/>
  <c r="AA397" i="20"/>
  <c r="Z376" i="21"/>
  <c r="BF376" i="21" s="1"/>
  <c r="AB339" i="20"/>
  <c r="AA318" i="21"/>
  <c r="BG318" i="21" s="1"/>
  <c r="BG319" i="21" s="1"/>
  <c r="AD193" i="20"/>
  <c r="AC172" i="21"/>
  <c r="BI172" i="21" s="1"/>
  <c r="Z290" i="21"/>
  <c r="BE75" i="23"/>
  <c r="BE93" i="23" s="1"/>
  <c r="BE111" i="23" s="1"/>
  <c r="AD222" i="20"/>
  <c r="AC201" i="21"/>
  <c r="BI201" i="21" s="1"/>
  <c r="AD394" i="20"/>
  <c r="AC373" i="21"/>
  <c r="BI373" i="21" s="1"/>
  <c r="AC280" i="20"/>
  <c r="AB259" i="21"/>
  <c r="BH259" i="21" s="1"/>
  <c r="W348" i="21"/>
  <c r="BB77" i="23"/>
  <c r="BB95" i="23" s="1"/>
  <c r="BB113" i="23" s="1"/>
  <c r="AD478" i="20"/>
  <c r="AC457" i="21"/>
  <c r="BI457" i="21" s="1"/>
  <c r="AD337" i="20"/>
  <c r="AC316" i="21"/>
  <c r="BI316" i="21" s="1"/>
  <c r="AC78" i="20"/>
  <c r="AB57" i="21"/>
  <c r="BH57" i="21" s="1"/>
  <c r="BH58" i="21" s="1"/>
  <c r="AD77" i="20"/>
  <c r="AC56" i="21"/>
  <c r="BI56" i="21" s="1"/>
  <c r="AC252" i="20"/>
  <c r="AB231" i="21"/>
  <c r="BH231" i="21" s="1"/>
  <c r="BH232" i="21" s="1"/>
  <c r="AC133" i="20"/>
  <c r="AB112" i="21"/>
  <c r="BH112" i="21" s="1"/>
  <c r="AA426" i="20"/>
  <c r="Z405" i="21"/>
  <c r="BF405" i="21" s="1"/>
  <c r="BF406" i="21" s="1"/>
  <c r="Z427" i="20"/>
  <c r="AB193" i="1" s="1"/>
  <c r="AD132" i="20"/>
  <c r="AC111" i="21"/>
  <c r="BI111" i="21" s="1"/>
  <c r="AC107" i="20"/>
  <c r="AB86" i="21"/>
  <c r="BH86" i="21" s="1"/>
  <c r="BH87" i="21" s="1"/>
  <c r="AB165" i="20"/>
  <c r="AA144" i="21"/>
  <c r="AA166" i="20"/>
  <c r="AC182" i="1" s="1"/>
  <c r="AE105" i="20"/>
  <c r="AE84" i="21" s="1"/>
  <c r="BK84" i="21" s="1"/>
  <c r="AD84" i="21"/>
  <c r="BJ84" i="21" s="1"/>
  <c r="AE250" i="20"/>
  <c r="AE229" i="21" s="1"/>
  <c r="BK229" i="21" s="1"/>
  <c r="AD229" i="21"/>
  <c r="BJ229" i="21" s="1"/>
  <c r="AE162" i="20"/>
  <c r="AE141" i="21" s="1"/>
  <c r="BK141" i="21" s="1"/>
  <c r="AD141" i="21"/>
  <c r="BJ141" i="21" s="1"/>
  <c r="AE47" i="20"/>
  <c r="AE26" i="21" s="1"/>
  <c r="BK26" i="21" s="1"/>
  <c r="AD26" i="21"/>
  <c r="BJ26" i="21" s="1"/>
  <c r="AC453" i="20"/>
  <c r="AB432" i="21"/>
  <c r="BH432" i="21" s="1"/>
  <c r="AC223" i="20"/>
  <c r="AB202" i="21"/>
  <c r="BH202" i="21" s="1"/>
  <c r="BH203" i="21" s="1"/>
  <c r="Z367" i="20"/>
  <c r="Y346" i="21"/>
  <c r="BE346" i="21" s="1"/>
  <c r="AE336" i="20"/>
  <c r="AE315" i="21" s="1"/>
  <c r="BK315" i="21" s="1"/>
  <c r="AD315" i="21"/>
  <c r="BJ315" i="21" s="1"/>
  <c r="AC424" i="20"/>
  <c r="AB403" i="21"/>
  <c r="BH403" i="21" s="1"/>
  <c r="AC49" i="20"/>
  <c r="AB28" i="21"/>
  <c r="BH28" i="21" s="1"/>
  <c r="AD48" i="20"/>
  <c r="AC27" i="21"/>
  <c r="BI27" i="21" s="1"/>
  <c r="AE362" i="20"/>
  <c r="AE341" i="21" s="1"/>
  <c r="BK341" i="21" s="1"/>
  <c r="AD341" i="21"/>
  <c r="BJ341" i="21" s="1"/>
  <c r="AC364" i="20"/>
  <c r="AB343" i="21"/>
  <c r="BH343" i="21" s="1"/>
  <c r="AE221" i="20"/>
  <c r="AE200" i="21" s="1"/>
  <c r="BK200" i="21" s="1"/>
  <c r="AD200" i="21"/>
  <c r="BJ200" i="21" s="1"/>
  <c r="AA455" i="20"/>
  <c r="Z434" i="21"/>
  <c r="BF434" i="21" s="1"/>
  <c r="BF435" i="21" s="1"/>
  <c r="Z456" i="20"/>
  <c r="AB194" i="1" s="1"/>
  <c r="X484" i="20"/>
  <c r="W463" i="21"/>
  <c r="BC463" i="21" s="1"/>
  <c r="BC464" i="21" s="1"/>
  <c r="W485" i="20"/>
  <c r="Y195" i="1" s="1"/>
  <c r="AD163" i="20"/>
  <c r="AC142" i="21"/>
  <c r="BI142" i="21" s="1"/>
  <c r="AB480" i="20"/>
  <c r="AA459" i="21"/>
  <c r="BG459" i="21" s="1"/>
  <c r="AB454" i="20"/>
  <c r="AA433" i="21"/>
  <c r="BG433" i="21" s="1"/>
  <c r="AA203" i="21"/>
  <c r="BF72" i="23"/>
  <c r="BF90" i="23" s="1"/>
  <c r="BF108" i="23" s="1"/>
  <c r="AD308" i="20"/>
  <c r="AC287" i="21"/>
  <c r="BI287" i="21" s="1"/>
  <c r="AC194" i="20"/>
  <c r="AB173" i="21"/>
  <c r="BH173" i="21" s="1"/>
  <c r="BH174" i="21" s="1"/>
  <c r="AC309" i="20"/>
  <c r="AB288" i="21"/>
  <c r="BH288" i="21" s="1"/>
  <c r="Z482" i="20"/>
  <c r="Y461" i="21"/>
  <c r="BE461" i="21" s="1"/>
  <c r="AA135" i="20"/>
  <c r="Z114" i="21"/>
  <c r="BF114" i="21" s="1"/>
  <c r="AC479" i="20"/>
  <c r="AB458" i="21"/>
  <c r="BH458" i="21" s="1"/>
  <c r="AD106" i="20"/>
  <c r="AC85" i="21"/>
  <c r="BI85" i="21" s="1"/>
  <c r="Z136" i="20"/>
  <c r="Y115" i="21"/>
  <c r="BE115" i="21" s="1"/>
  <c r="BE116" i="21" s="1"/>
  <c r="Y137" i="20"/>
  <c r="AC395" i="20"/>
  <c r="AB374" i="21"/>
  <c r="BH374" i="21" s="1"/>
  <c r="AA366" i="20"/>
  <c r="Z345" i="21"/>
  <c r="BF345" i="21" s="1"/>
  <c r="AB396" i="20"/>
  <c r="AA375" i="21"/>
  <c r="BG375" i="21" s="1"/>
  <c r="AC338" i="20"/>
  <c r="AB317" i="21"/>
  <c r="BH317" i="21" s="1"/>
  <c r="AB425" i="20"/>
  <c r="AA404" i="21"/>
  <c r="BG404" i="21" s="1"/>
  <c r="AE278" i="20"/>
  <c r="AE257" i="21" s="1"/>
  <c r="BK257" i="21" s="1"/>
  <c r="AD257" i="21"/>
  <c r="BJ257" i="21" s="1"/>
  <c r="BA81" i="23"/>
  <c r="BA99" i="23" s="1"/>
  <c r="BA117" i="23" s="1"/>
  <c r="V464" i="21"/>
  <c r="AD279" i="20"/>
  <c r="AC258" i="21"/>
  <c r="BI258" i="21" s="1"/>
  <c r="Y483" i="20"/>
  <c r="X462" i="21"/>
  <c r="BD462" i="21" s="1"/>
  <c r="AE192" i="20"/>
  <c r="AE171" i="21" s="1"/>
  <c r="BK171" i="21" s="1"/>
  <c r="AD171" i="21"/>
  <c r="BJ171" i="21" s="1"/>
  <c r="AB310" i="20"/>
  <c r="AA289" i="21"/>
  <c r="BG289" i="21" s="1"/>
  <c r="BG290" i="21" s="1"/>
  <c r="AA311" i="20"/>
  <c r="AC188" i="1" s="1"/>
  <c r="AB281" i="20"/>
  <c r="AA260" i="21"/>
  <c r="BG260" i="21" s="1"/>
  <c r="AD452" i="20"/>
  <c r="AC431" i="21"/>
  <c r="BI431" i="21" s="1"/>
  <c r="AE422" i="20"/>
  <c r="AE401" i="21" s="1"/>
  <c r="BK401" i="21" s="1"/>
  <c r="AD401" i="21"/>
  <c r="BJ401" i="21" s="1"/>
  <c r="AE477" i="20"/>
  <c r="AE456" i="21" s="1"/>
  <c r="BK456" i="21" s="1"/>
  <c r="AD456" i="21"/>
  <c r="BJ456" i="21" s="1"/>
  <c r="Y368" i="20"/>
  <c r="X347" i="21"/>
  <c r="BD347" i="21" s="1"/>
  <c r="BD348" i="21" s="1"/>
  <c r="X369" i="20"/>
  <c r="Z190" i="1" s="1"/>
  <c r="AA481" i="20"/>
  <c r="Z460" i="21"/>
  <c r="BF460" i="21" s="1"/>
  <c r="AC178" i="1"/>
  <c r="BF67" i="23"/>
  <c r="BF85" i="23" s="1"/>
  <c r="BF103" i="23" s="1"/>
  <c r="AA58" i="21"/>
  <c r="AD251" i="20"/>
  <c r="AC230" i="21"/>
  <c r="BI230" i="21" s="1"/>
  <c r="BF73" i="23"/>
  <c r="BF91" i="23" s="1"/>
  <c r="BF109" i="23" s="1"/>
  <c r="AA232" i="21"/>
  <c r="AE393" i="20"/>
  <c r="AE372" i="21" s="1"/>
  <c r="BK372" i="21" s="1"/>
  <c r="AD372" i="21"/>
  <c r="BJ372" i="21" s="1"/>
  <c r="AD423" i="20"/>
  <c r="AC402" i="21"/>
  <c r="BI402" i="21" s="1"/>
  <c r="Y406" i="21"/>
  <c r="BD79" i="23"/>
  <c r="BD97" i="23" s="1"/>
  <c r="BD115" i="23" s="1"/>
  <c r="AC164" i="20"/>
  <c r="AB143" i="21"/>
  <c r="BH143" i="21" s="1"/>
  <c r="AB134" i="20"/>
  <c r="AA113" i="21"/>
  <c r="BG113" i="21" s="1"/>
  <c r="AC179" i="1"/>
  <c r="AA87" i="21"/>
  <c r="BF68" i="23"/>
  <c r="BF86" i="23" s="1"/>
  <c r="BF104" i="23" s="1"/>
  <c r="Z145" i="21"/>
  <c r="BE70" i="23"/>
  <c r="BE88" i="23" s="1"/>
  <c r="BE106" i="23" s="1"/>
  <c r="AE76" i="20"/>
  <c r="AE55" i="21" s="1"/>
  <c r="BK55" i="21" s="1"/>
  <c r="AD55" i="21"/>
  <c r="BJ55" i="21" s="1"/>
  <c r="AE131" i="20"/>
  <c r="AE110" i="21" s="1"/>
  <c r="BK110" i="21" s="1"/>
  <c r="AD110" i="21"/>
  <c r="BJ110" i="21" s="1"/>
  <c r="AD363" i="20"/>
  <c r="AC342" i="21"/>
  <c r="BI342" i="21" s="1"/>
  <c r="V29" i="21"/>
  <c r="BA66" i="23"/>
  <c r="BA84" i="23" s="1"/>
  <c r="BA102" i="23" s="1"/>
  <c r="V351" i="21"/>
  <c r="W372" i="20"/>
  <c r="W235" i="21"/>
  <c r="X256" i="20"/>
  <c r="W50" i="20"/>
  <c r="Y177" i="1" s="1"/>
  <c r="X24" i="20"/>
  <c r="W3" i="21"/>
  <c r="BC235" i="21" l="1"/>
  <c r="BC261" i="21" s="1"/>
  <c r="V15" i="1" s="1"/>
  <c r="V17" i="1" s="1"/>
  <c r="BG144" i="21"/>
  <c r="BG145" i="21" s="1"/>
  <c r="Z9" i="1" s="1"/>
  <c r="Z11" i="1" s="1"/>
  <c r="BC3" i="21"/>
  <c r="BC29" i="21" s="1"/>
  <c r="V3" i="1" s="1"/>
  <c r="V5" i="1" s="1"/>
  <c r="BB351" i="21"/>
  <c r="BB377" i="21" s="1"/>
  <c r="U21" i="1" s="1"/>
  <c r="U23" i="1" s="1"/>
  <c r="AD479" i="20"/>
  <c r="AC458" i="21"/>
  <c r="BI458" i="21" s="1"/>
  <c r="AA482" i="20"/>
  <c r="Z461" i="21"/>
  <c r="BF461" i="21" s="1"/>
  <c r="AD194" i="20"/>
  <c r="AC173" i="21"/>
  <c r="BI173" i="21" s="1"/>
  <c r="BI174" i="21" s="1"/>
  <c r="AC480" i="20"/>
  <c r="AB459" i="21"/>
  <c r="BH459" i="21" s="1"/>
  <c r="AB455" i="20"/>
  <c r="AA434" i="21"/>
  <c r="BG434" i="21" s="1"/>
  <c r="BG435" i="21" s="1"/>
  <c r="AA456" i="20"/>
  <c r="AC194" i="1" s="1"/>
  <c r="AE48" i="20"/>
  <c r="AE27" i="21" s="1"/>
  <c r="BK27" i="21" s="1"/>
  <c r="AD27" i="21"/>
  <c r="BJ27" i="21" s="1"/>
  <c r="AA367" i="20"/>
  <c r="Z346" i="21"/>
  <c r="BF346" i="21" s="1"/>
  <c r="AD453" i="20"/>
  <c r="AC432" i="21"/>
  <c r="BI432" i="21" s="1"/>
  <c r="Z406" i="21"/>
  <c r="BE79" i="23"/>
  <c r="BE97" i="23" s="1"/>
  <c r="BE115" i="23" s="1"/>
  <c r="AE77" i="20"/>
  <c r="AE56" i="21" s="1"/>
  <c r="BK56" i="21" s="1"/>
  <c r="AD56" i="21"/>
  <c r="BJ56" i="21" s="1"/>
  <c r="AE337" i="20"/>
  <c r="AE316" i="21" s="1"/>
  <c r="BK316" i="21" s="1"/>
  <c r="AD316" i="21"/>
  <c r="BJ316" i="21" s="1"/>
  <c r="AE394" i="20"/>
  <c r="AE373" i="21" s="1"/>
  <c r="BK373" i="21" s="1"/>
  <c r="AD373" i="21"/>
  <c r="BJ373" i="21" s="1"/>
  <c r="AC339" i="20"/>
  <c r="AB318" i="21"/>
  <c r="BH318" i="21" s="1"/>
  <c r="BH319" i="21" s="1"/>
  <c r="AC310" i="20"/>
  <c r="AB289" i="21"/>
  <c r="BH289" i="21" s="1"/>
  <c r="BH290" i="21" s="1"/>
  <c r="Z483" i="20"/>
  <c r="Y462" i="21"/>
  <c r="BE462" i="21" s="1"/>
  <c r="AC425" i="20"/>
  <c r="AB404" i="21"/>
  <c r="BH404" i="21" s="1"/>
  <c r="AC396" i="20"/>
  <c r="AB375" i="21"/>
  <c r="BH375" i="21" s="1"/>
  <c r="AD395" i="20"/>
  <c r="AC374" i="21"/>
  <c r="BI374" i="21" s="1"/>
  <c r="Y484" i="20"/>
  <c r="X463" i="21"/>
  <c r="BD463" i="21" s="1"/>
  <c r="BD464" i="21" s="1"/>
  <c r="X485" i="20"/>
  <c r="Z195" i="1" s="1"/>
  <c r="AA145" i="21"/>
  <c r="BF70" i="23"/>
  <c r="BF88" i="23" s="1"/>
  <c r="BF106" i="23" s="1"/>
  <c r="AD107" i="20"/>
  <c r="AC86" i="21"/>
  <c r="BI86" i="21" s="1"/>
  <c r="BI87" i="21" s="1"/>
  <c r="AC365" i="20"/>
  <c r="AB344" i="21"/>
  <c r="BH344" i="21" s="1"/>
  <c r="X348" i="21"/>
  <c r="BC77" i="23"/>
  <c r="BC95" i="23" s="1"/>
  <c r="BC113" i="23" s="1"/>
  <c r="AD364" i="20"/>
  <c r="AC343" i="21"/>
  <c r="BI343" i="21" s="1"/>
  <c r="AD424" i="20"/>
  <c r="AC403" i="21"/>
  <c r="BI403" i="21" s="1"/>
  <c r="AD133" i="20"/>
  <c r="AC112" i="21"/>
  <c r="BI112" i="21" s="1"/>
  <c r="AC134" i="20"/>
  <c r="AB113" i="21"/>
  <c r="BH113" i="21" s="1"/>
  <c r="AE251" i="20"/>
  <c r="AE230" i="21" s="1"/>
  <c r="BK230" i="21" s="1"/>
  <c r="AD230" i="21"/>
  <c r="BJ230" i="21" s="1"/>
  <c r="Z368" i="20"/>
  <c r="Y347" i="21"/>
  <c r="BE347" i="21" s="1"/>
  <c r="BE348" i="21" s="1"/>
  <c r="Y369" i="20"/>
  <c r="AA190" i="1" s="1"/>
  <c r="AC281" i="20"/>
  <c r="AB260" i="21"/>
  <c r="BH260" i="21" s="1"/>
  <c r="AA180" i="1"/>
  <c r="BD69" i="23"/>
  <c r="BD87" i="23" s="1"/>
  <c r="BD105" i="23" s="1"/>
  <c r="Y116" i="21"/>
  <c r="AE106" i="20"/>
  <c r="AE85" i="21" s="1"/>
  <c r="BK85" i="21" s="1"/>
  <c r="AD85" i="21"/>
  <c r="BJ85" i="21" s="1"/>
  <c r="AB135" i="20"/>
  <c r="AA114" i="21"/>
  <c r="BG114" i="21" s="1"/>
  <c r="AD309" i="20"/>
  <c r="AC288" i="21"/>
  <c r="BI288" i="21" s="1"/>
  <c r="AE308" i="20"/>
  <c r="AE287" i="21" s="1"/>
  <c r="BK287" i="21" s="1"/>
  <c r="AD287" i="21"/>
  <c r="BJ287" i="21" s="1"/>
  <c r="AC454" i="20"/>
  <c r="AB433" i="21"/>
  <c r="BH433" i="21" s="1"/>
  <c r="AE163" i="20"/>
  <c r="AE142" i="21" s="1"/>
  <c r="BK142" i="21" s="1"/>
  <c r="AD142" i="21"/>
  <c r="BJ142" i="21" s="1"/>
  <c r="Z435" i="21"/>
  <c r="BE80" i="23"/>
  <c r="BE98" i="23" s="1"/>
  <c r="BE116" i="23" s="1"/>
  <c r="AD49" i="20"/>
  <c r="AC28" i="21"/>
  <c r="BI28" i="21" s="1"/>
  <c r="AD223" i="20"/>
  <c r="AC202" i="21"/>
  <c r="BI202" i="21" s="1"/>
  <c r="BI203" i="21" s="1"/>
  <c r="AB426" i="20"/>
  <c r="AA405" i="21"/>
  <c r="BG405" i="21" s="1"/>
  <c r="BG406" i="21" s="1"/>
  <c r="AA427" i="20"/>
  <c r="AC193" i="1" s="1"/>
  <c r="AD252" i="20"/>
  <c r="AC231" i="21"/>
  <c r="BI231" i="21" s="1"/>
  <c r="BI232" i="21" s="1"/>
  <c r="AD78" i="20"/>
  <c r="AC57" i="21"/>
  <c r="BI57" i="21" s="1"/>
  <c r="BI58" i="21" s="1"/>
  <c r="AE478" i="20"/>
  <c r="AE457" i="21" s="1"/>
  <c r="BK457" i="21" s="1"/>
  <c r="AD457" i="21"/>
  <c r="BJ457" i="21" s="1"/>
  <c r="AD280" i="20"/>
  <c r="AC259" i="21"/>
  <c r="BI259" i="21" s="1"/>
  <c r="AE222" i="20"/>
  <c r="AE201" i="21" s="1"/>
  <c r="BK201" i="21" s="1"/>
  <c r="AD201" i="21"/>
  <c r="BJ201" i="21" s="1"/>
  <c r="AE193" i="20"/>
  <c r="AE172" i="21" s="1"/>
  <c r="BK172" i="21" s="1"/>
  <c r="AD172" i="21"/>
  <c r="BJ172" i="21" s="1"/>
  <c r="AB397" i="20"/>
  <c r="AA376" i="21"/>
  <c r="BG376" i="21" s="1"/>
  <c r="AD164" i="20"/>
  <c r="AC143" i="21"/>
  <c r="BI143" i="21" s="1"/>
  <c r="AE423" i="20"/>
  <c r="AE402" i="21" s="1"/>
  <c r="BK402" i="21" s="1"/>
  <c r="AD402" i="21"/>
  <c r="BJ402" i="21" s="1"/>
  <c r="AE452" i="20"/>
  <c r="AE431" i="21" s="1"/>
  <c r="BK431" i="21" s="1"/>
  <c r="AD431" i="21"/>
  <c r="BJ431" i="21" s="1"/>
  <c r="AA136" i="20"/>
  <c r="Z115" i="21"/>
  <c r="BF115" i="21" s="1"/>
  <c r="BF116" i="21" s="1"/>
  <c r="Z137" i="20"/>
  <c r="AE363" i="20"/>
  <c r="AE342" i="21" s="1"/>
  <c r="BK342" i="21" s="1"/>
  <c r="AD342" i="21"/>
  <c r="BJ342" i="21" s="1"/>
  <c r="AB481" i="20"/>
  <c r="AA460" i="21"/>
  <c r="BG460" i="21" s="1"/>
  <c r="AA290" i="21"/>
  <c r="BF75" i="23"/>
  <c r="BF93" i="23" s="1"/>
  <c r="BF111" i="23" s="1"/>
  <c r="AE279" i="20"/>
  <c r="AE258" i="21" s="1"/>
  <c r="BK258" i="21" s="1"/>
  <c r="AD258" i="21"/>
  <c r="BJ258" i="21" s="1"/>
  <c r="AD338" i="20"/>
  <c r="AC317" i="21"/>
  <c r="BI317" i="21" s="1"/>
  <c r="AB366" i="20"/>
  <c r="AA345" i="21"/>
  <c r="BG345" i="21" s="1"/>
  <c r="BB81" i="23"/>
  <c r="BB99" i="23" s="1"/>
  <c r="BB117" i="23" s="1"/>
  <c r="W464" i="21"/>
  <c r="AC165" i="20"/>
  <c r="AB144" i="21"/>
  <c r="AE132" i="20"/>
  <c r="AE111" i="21" s="1"/>
  <c r="BK111" i="21" s="1"/>
  <c r="AD111" i="21"/>
  <c r="BJ111" i="21" s="1"/>
  <c r="W29" i="21"/>
  <c r="BB66" i="23"/>
  <c r="BB84" i="23" s="1"/>
  <c r="BB102" i="23" s="1"/>
  <c r="X235" i="21"/>
  <c r="Y256" i="20"/>
  <c r="X3" i="21"/>
  <c r="Y24" i="20"/>
  <c r="X50" i="20"/>
  <c r="Z177" i="1" s="1"/>
  <c r="W351" i="21"/>
  <c r="X372" i="20"/>
  <c r="BC351" i="21" l="1"/>
  <c r="BC377" i="21" s="1"/>
  <c r="V21" i="1" s="1"/>
  <c r="V23" i="1" s="1"/>
  <c r="BD235" i="21"/>
  <c r="BD261" i="21" s="1"/>
  <c r="W15" i="1" s="1"/>
  <c r="W17" i="1" s="1"/>
  <c r="BD3" i="21"/>
  <c r="BD29" i="21" s="1"/>
  <c r="W3" i="1" s="1"/>
  <c r="W5" i="1" s="1"/>
  <c r="BH144" i="21"/>
  <c r="BH145" i="21" s="1"/>
  <c r="AA9" i="1" s="1"/>
  <c r="AA11" i="1" s="1"/>
  <c r="AE395" i="20"/>
  <c r="AE374" i="21" s="1"/>
  <c r="BK374" i="21" s="1"/>
  <c r="AD374" i="21"/>
  <c r="BJ374" i="21" s="1"/>
  <c r="AD310" i="20"/>
  <c r="AC289" i="21"/>
  <c r="BI289" i="21" s="1"/>
  <c r="BI290" i="21" s="1"/>
  <c r="AE338" i="20"/>
  <c r="AE317" i="21" s="1"/>
  <c r="BK317" i="21" s="1"/>
  <c r="AD317" i="21"/>
  <c r="BJ317" i="21" s="1"/>
  <c r="AA406" i="21"/>
  <c r="BF79" i="23"/>
  <c r="BF97" i="23" s="1"/>
  <c r="BF115" i="23" s="1"/>
  <c r="AE223" i="20"/>
  <c r="AE202" i="21" s="1"/>
  <c r="BK202" i="21" s="1"/>
  <c r="BK203" i="21" s="1"/>
  <c r="AD202" i="21"/>
  <c r="BJ202" i="21" s="1"/>
  <c r="BJ203" i="21" s="1"/>
  <c r="AD454" i="20"/>
  <c r="AC433" i="21"/>
  <c r="BI433" i="21" s="1"/>
  <c r="AE309" i="20"/>
  <c r="AE288" i="21" s="1"/>
  <c r="BK288" i="21" s="1"/>
  <c r="AD288" i="21"/>
  <c r="BJ288" i="21" s="1"/>
  <c r="AA368" i="20"/>
  <c r="Z347" i="21"/>
  <c r="BF347" i="21" s="1"/>
  <c r="BF348" i="21" s="1"/>
  <c r="Z369" i="20"/>
  <c r="AB190" i="1" s="1"/>
  <c r="AD134" i="20"/>
  <c r="AC113" i="21"/>
  <c r="BI113" i="21" s="1"/>
  <c r="AE424" i="20"/>
  <c r="AE403" i="21" s="1"/>
  <c r="BK403" i="21" s="1"/>
  <c r="AD403" i="21"/>
  <c r="BJ403" i="21" s="1"/>
  <c r="AE107" i="20"/>
  <c r="AE86" i="21" s="1"/>
  <c r="BK86" i="21" s="1"/>
  <c r="BK87" i="21" s="1"/>
  <c r="AD86" i="21"/>
  <c r="BJ86" i="21" s="1"/>
  <c r="BJ87" i="21" s="1"/>
  <c r="AA435" i="21"/>
  <c r="BF80" i="23"/>
  <c r="BF98" i="23" s="1"/>
  <c r="BF116" i="23" s="1"/>
  <c r="AD480" i="20"/>
  <c r="AC459" i="21"/>
  <c r="BI459" i="21" s="1"/>
  <c r="AB482" i="20"/>
  <c r="AA461" i="21"/>
  <c r="BG461" i="21" s="1"/>
  <c r="AB136" i="20"/>
  <c r="AA115" i="21"/>
  <c r="BG115" i="21" s="1"/>
  <c r="BG116" i="21" s="1"/>
  <c r="AA137" i="20"/>
  <c r="AC397" i="20"/>
  <c r="AB376" i="21"/>
  <c r="BH376" i="21" s="1"/>
  <c r="BC81" i="23"/>
  <c r="BC99" i="23" s="1"/>
  <c r="BC117" i="23" s="1"/>
  <c r="X464" i="21"/>
  <c r="AD425" i="20"/>
  <c r="AC404" i="21"/>
  <c r="BI404" i="21" s="1"/>
  <c r="AE453" i="20"/>
  <c r="AE432" i="21" s="1"/>
  <c r="BK432" i="21" s="1"/>
  <c r="AD432" i="21"/>
  <c r="BJ432" i="21" s="1"/>
  <c r="AB180" i="1"/>
  <c r="Z116" i="21"/>
  <c r="BE69" i="23"/>
  <c r="BE87" i="23" s="1"/>
  <c r="BE105" i="23" s="1"/>
  <c r="AE164" i="20"/>
  <c r="AE143" i="21" s="1"/>
  <c r="BK143" i="21" s="1"/>
  <c r="AD143" i="21"/>
  <c r="BJ143" i="21" s="1"/>
  <c r="AE280" i="20"/>
  <c r="AE259" i="21" s="1"/>
  <c r="BK259" i="21" s="1"/>
  <c r="AD259" i="21"/>
  <c r="BJ259" i="21" s="1"/>
  <c r="AE78" i="20"/>
  <c r="AE57" i="21" s="1"/>
  <c r="BK57" i="21" s="1"/>
  <c r="BK58" i="21" s="1"/>
  <c r="AD57" i="21"/>
  <c r="BJ57" i="21" s="1"/>
  <c r="BJ58" i="21" s="1"/>
  <c r="AD281" i="20"/>
  <c r="AC260" i="21"/>
  <c r="BI260" i="21" s="1"/>
  <c r="Z484" i="20"/>
  <c r="Y463" i="21"/>
  <c r="BE463" i="21" s="1"/>
  <c r="BE464" i="21" s="1"/>
  <c r="Y485" i="20"/>
  <c r="AA195" i="1" s="1"/>
  <c r="AD396" i="20"/>
  <c r="AC375" i="21"/>
  <c r="BI375" i="21" s="1"/>
  <c r="AA483" i="20"/>
  <c r="Z462" i="21"/>
  <c r="BF462" i="21" s="1"/>
  <c r="AD339" i="20"/>
  <c r="AC318" i="21"/>
  <c r="BI318" i="21" s="1"/>
  <c r="BI319" i="21" s="1"/>
  <c r="AB367" i="20"/>
  <c r="AA346" i="21"/>
  <c r="BG346" i="21" s="1"/>
  <c r="AE252" i="20"/>
  <c r="AE231" i="21" s="1"/>
  <c r="BK231" i="21" s="1"/>
  <c r="BK232" i="21" s="1"/>
  <c r="AD231" i="21"/>
  <c r="BJ231" i="21" s="1"/>
  <c r="BJ232" i="21" s="1"/>
  <c r="AD165" i="20"/>
  <c r="AC144" i="21"/>
  <c r="AC366" i="20"/>
  <c r="AB345" i="21"/>
  <c r="BH345" i="21" s="1"/>
  <c r="AC481" i="20"/>
  <c r="AB460" i="21"/>
  <c r="BH460" i="21" s="1"/>
  <c r="AC426" i="20"/>
  <c r="AB405" i="21"/>
  <c r="BH405" i="21" s="1"/>
  <c r="BH406" i="21" s="1"/>
  <c r="AE49" i="20"/>
  <c r="AE28" i="21" s="1"/>
  <c r="BK28" i="21" s="1"/>
  <c r="AD28" i="21"/>
  <c r="BJ28" i="21" s="1"/>
  <c r="AC135" i="20"/>
  <c r="AB114" i="21"/>
  <c r="BH114" i="21" s="1"/>
  <c r="BD77" i="23"/>
  <c r="BD95" i="23" s="1"/>
  <c r="BD113" i="23" s="1"/>
  <c r="Y348" i="21"/>
  <c r="AE133" i="20"/>
  <c r="AE112" i="21" s="1"/>
  <c r="BK112" i="21" s="1"/>
  <c r="AD112" i="21"/>
  <c r="BJ112" i="21" s="1"/>
  <c r="AE364" i="20"/>
  <c r="AE343" i="21" s="1"/>
  <c r="BK343" i="21" s="1"/>
  <c r="AD343" i="21"/>
  <c r="BJ343" i="21" s="1"/>
  <c r="AD365" i="20"/>
  <c r="AC344" i="21"/>
  <c r="BI344" i="21" s="1"/>
  <c r="AC455" i="20"/>
  <c r="AB434" i="21"/>
  <c r="BH434" i="21" s="1"/>
  <c r="BH435" i="21" s="1"/>
  <c r="AE194" i="20"/>
  <c r="AE173" i="21" s="1"/>
  <c r="BK173" i="21" s="1"/>
  <c r="BK174" i="21" s="1"/>
  <c r="AD173" i="21"/>
  <c r="BJ173" i="21" s="1"/>
  <c r="BJ174" i="21" s="1"/>
  <c r="AE479" i="20"/>
  <c r="AE458" i="21" s="1"/>
  <c r="BK458" i="21" s="1"/>
  <c r="AD458" i="21"/>
  <c r="BJ458" i="21" s="1"/>
  <c r="X29" i="21"/>
  <c r="BC66" i="23"/>
  <c r="BC84" i="23" s="1"/>
  <c r="BC102" i="23" s="1"/>
  <c r="Y50" i="20"/>
  <c r="AA177" i="1" s="1"/>
  <c r="Y3" i="21"/>
  <c r="Z24" i="20"/>
  <c r="X351" i="21"/>
  <c r="Y372" i="20"/>
  <c r="Y235" i="21"/>
  <c r="Z256" i="20"/>
  <c r="BD351" i="21" l="1"/>
  <c r="BD377" i="21" s="1"/>
  <c r="W21" i="1" s="1"/>
  <c r="W23" i="1" s="1"/>
  <c r="BE235" i="21"/>
  <c r="BE261" i="21" s="1"/>
  <c r="X15" i="1" s="1"/>
  <c r="X17" i="1" s="1"/>
  <c r="BE3" i="21"/>
  <c r="BE29" i="21" s="1"/>
  <c r="X3" i="1" s="1"/>
  <c r="X5" i="1" s="1"/>
  <c r="BI144" i="21"/>
  <c r="BI145" i="21" s="1"/>
  <c r="AB9" i="1" s="1"/>
  <c r="AB11" i="1" s="1"/>
  <c r="AA484" i="20"/>
  <c r="Z463" i="21"/>
  <c r="BF463" i="21" s="1"/>
  <c r="BF464" i="21" s="1"/>
  <c r="Z485" i="20"/>
  <c r="AB195" i="1" s="1"/>
  <c r="AC180" i="1"/>
  <c r="BF69" i="23"/>
  <c r="BF87" i="23" s="1"/>
  <c r="BF105" i="23" s="1"/>
  <c r="AA116" i="21"/>
  <c r="AC482" i="20"/>
  <c r="AB461" i="21"/>
  <c r="BH461" i="21" s="1"/>
  <c r="AE365" i="20"/>
  <c r="AE344" i="21" s="1"/>
  <c r="BK344" i="21" s="1"/>
  <c r="AD344" i="21"/>
  <c r="BJ344" i="21" s="1"/>
  <c r="AD135" i="20"/>
  <c r="AC114" i="21"/>
  <c r="BI114" i="21" s="1"/>
  <c r="AD426" i="20"/>
  <c r="AC405" i="21"/>
  <c r="BI405" i="21" s="1"/>
  <c r="BI406" i="21" s="1"/>
  <c r="AD366" i="20"/>
  <c r="AC345" i="21"/>
  <c r="BI345" i="21" s="1"/>
  <c r="AE339" i="20"/>
  <c r="AE318" i="21" s="1"/>
  <c r="BK318" i="21" s="1"/>
  <c r="BK319" i="21" s="1"/>
  <c r="AD318" i="21"/>
  <c r="BJ318" i="21" s="1"/>
  <c r="BJ319" i="21" s="1"/>
  <c r="AE396" i="20"/>
  <c r="AE375" i="21" s="1"/>
  <c r="BK375" i="21" s="1"/>
  <c r="AD375" i="21"/>
  <c r="BJ375" i="21" s="1"/>
  <c r="AB368" i="20"/>
  <c r="AA347" i="21"/>
  <c r="BG347" i="21" s="1"/>
  <c r="BG348" i="21" s="1"/>
  <c r="AE454" i="20"/>
  <c r="AE433" i="21" s="1"/>
  <c r="BK433" i="21" s="1"/>
  <c r="AD433" i="21"/>
  <c r="BJ433" i="21" s="1"/>
  <c r="AE310" i="20"/>
  <c r="AE289" i="21" s="1"/>
  <c r="BK289" i="21" s="1"/>
  <c r="BK290" i="21" s="1"/>
  <c r="AD289" i="21"/>
  <c r="BJ289" i="21" s="1"/>
  <c r="BJ290" i="21" s="1"/>
  <c r="BD81" i="23"/>
  <c r="BD99" i="23" s="1"/>
  <c r="BD117" i="23" s="1"/>
  <c r="Y464" i="21"/>
  <c r="AE281" i="20"/>
  <c r="AE260" i="21" s="1"/>
  <c r="BK260" i="21" s="1"/>
  <c r="AD260" i="21"/>
  <c r="BJ260" i="21" s="1"/>
  <c r="AC136" i="20"/>
  <c r="AB115" i="21"/>
  <c r="BH115" i="21" s="1"/>
  <c r="BH116" i="21" s="1"/>
  <c r="AE480" i="20"/>
  <c r="AE459" i="21" s="1"/>
  <c r="BK459" i="21" s="1"/>
  <c r="AD459" i="21"/>
  <c r="BJ459" i="21" s="1"/>
  <c r="AE134" i="20"/>
  <c r="AE113" i="21" s="1"/>
  <c r="BK113" i="21" s="1"/>
  <c r="AD113" i="21"/>
  <c r="BJ113" i="21" s="1"/>
  <c r="AD455" i="20"/>
  <c r="AC434" i="21"/>
  <c r="BI434" i="21" s="1"/>
  <c r="BI435" i="21" s="1"/>
  <c r="AD481" i="20"/>
  <c r="AC460" i="21"/>
  <c r="BI460" i="21" s="1"/>
  <c r="AE165" i="20"/>
  <c r="AE144" i="21" s="1"/>
  <c r="AD144" i="21"/>
  <c r="AC367" i="20"/>
  <c r="AB346" i="21"/>
  <c r="BH346" i="21" s="1"/>
  <c r="AB483" i="20"/>
  <c r="AA462" i="21"/>
  <c r="BG462" i="21" s="1"/>
  <c r="AE425" i="20"/>
  <c r="AE404" i="21" s="1"/>
  <c r="BK404" i="21" s="1"/>
  <c r="AD404" i="21"/>
  <c r="BJ404" i="21" s="1"/>
  <c r="AD397" i="20"/>
  <c r="AC376" i="21"/>
  <c r="BI376" i="21" s="1"/>
  <c r="Z348" i="21"/>
  <c r="BE77" i="23"/>
  <c r="BE95" i="23" s="1"/>
  <c r="BE113" i="23" s="1"/>
  <c r="Y29" i="21"/>
  <c r="BD66" i="23"/>
  <c r="BD84" i="23" s="1"/>
  <c r="BD102" i="23" s="1"/>
  <c r="AA256" i="20"/>
  <c r="Z235" i="21"/>
  <c r="Z50" i="20"/>
  <c r="AB177" i="1" s="1"/>
  <c r="AA24" i="20"/>
  <c r="Z3" i="21"/>
  <c r="Z372" i="20"/>
  <c r="Y351" i="21"/>
  <c r="BE351" i="21" l="1"/>
  <c r="BE377" i="21" s="1"/>
  <c r="X21" i="1" s="1"/>
  <c r="X23" i="1" s="1"/>
  <c r="BK144" i="21"/>
  <c r="BK145" i="21" s="1"/>
  <c r="AD9" i="1" s="1"/>
  <c r="AD11" i="1" s="1"/>
  <c r="BF235" i="21"/>
  <c r="BF261" i="21" s="1"/>
  <c r="Y15" i="1" s="1"/>
  <c r="Y17" i="1" s="1"/>
  <c r="BF3" i="21"/>
  <c r="BF29" i="21" s="1"/>
  <c r="Y3" i="1" s="1"/>
  <c r="Y5" i="1" s="1"/>
  <c r="BJ144" i="21"/>
  <c r="BJ145" i="21" s="1"/>
  <c r="AC9" i="1" s="1"/>
  <c r="AC11" i="1" s="1"/>
  <c r="AD136" i="20"/>
  <c r="AC115" i="21"/>
  <c r="BI115" i="21" s="1"/>
  <c r="BI116" i="21" s="1"/>
  <c r="AD482" i="20"/>
  <c r="AC461" i="21"/>
  <c r="BI461" i="21" s="1"/>
  <c r="Z464" i="21"/>
  <c r="BE81" i="23"/>
  <c r="BE99" i="23" s="1"/>
  <c r="BE117" i="23" s="1"/>
  <c r="AD367" i="20"/>
  <c r="AC346" i="21"/>
  <c r="BI346" i="21" s="1"/>
  <c r="AE397" i="20"/>
  <c r="AE376" i="21" s="1"/>
  <c r="BK376" i="21" s="1"/>
  <c r="AD376" i="21"/>
  <c r="BJ376" i="21" s="1"/>
  <c r="AC483" i="20"/>
  <c r="AB462" i="21"/>
  <c r="BH462" i="21" s="1"/>
  <c r="AE455" i="20"/>
  <c r="AE434" i="21" s="1"/>
  <c r="BK434" i="21" s="1"/>
  <c r="BK435" i="21" s="1"/>
  <c r="AD434" i="21"/>
  <c r="BJ434" i="21" s="1"/>
  <c r="BJ435" i="21" s="1"/>
  <c r="AC368" i="20"/>
  <c r="AB347" i="21"/>
  <c r="BH347" i="21" s="1"/>
  <c r="BH348" i="21" s="1"/>
  <c r="AE426" i="20"/>
  <c r="AE405" i="21" s="1"/>
  <c r="BK405" i="21" s="1"/>
  <c r="BK406" i="21" s="1"/>
  <c r="AD405" i="21"/>
  <c r="BJ405" i="21" s="1"/>
  <c r="BJ406" i="21" s="1"/>
  <c r="AE481" i="20"/>
  <c r="AE460" i="21" s="1"/>
  <c r="BK460" i="21" s="1"/>
  <c r="AD460" i="21"/>
  <c r="BJ460" i="21" s="1"/>
  <c r="AE366" i="20"/>
  <c r="AE345" i="21" s="1"/>
  <c r="BK345" i="21" s="1"/>
  <c r="AD345" i="21"/>
  <c r="BJ345" i="21" s="1"/>
  <c r="AE135" i="20"/>
  <c r="AE114" i="21" s="1"/>
  <c r="BK114" i="21" s="1"/>
  <c r="AD114" i="21"/>
  <c r="BJ114" i="21" s="1"/>
  <c r="AB484" i="20"/>
  <c r="AA463" i="21"/>
  <c r="BG463" i="21" s="1"/>
  <c r="BG464" i="21" s="1"/>
  <c r="AA485" i="20"/>
  <c r="AC195" i="1" s="1"/>
  <c r="Z29" i="21"/>
  <c r="BE66" i="23"/>
  <c r="BE84" i="23" s="1"/>
  <c r="BE102" i="23" s="1"/>
  <c r="AA50" i="20"/>
  <c r="AC177" i="1" s="1"/>
  <c r="AA3" i="21"/>
  <c r="AB24" i="20"/>
  <c r="Z351" i="21"/>
  <c r="AA372" i="20"/>
  <c r="AA235" i="21"/>
  <c r="AB256" i="20"/>
  <c r="BG3" i="21" l="1"/>
  <c r="BG29" i="21" s="1"/>
  <c r="Z3" i="1" s="1"/>
  <c r="Z5" i="1" s="1"/>
  <c r="BF351" i="21"/>
  <c r="BF377" i="21" s="1"/>
  <c r="Y21" i="1" s="1"/>
  <c r="Y23" i="1" s="1"/>
  <c r="BG235" i="21"/>
  <c r="BG261" i="21" s="1"/>
  <c r="Z15" i="1" s="1"/>
  <c r="Z17" i="1" s="1"/>
  <c r="BF81" i="23"/>
  <c r="BF99" i="23" s="1"/>
  <c r="BF117" i="23" s="1"/>
  <c r="AA464" i="21"/>
  <c r="AD368" i="20"/>
  <c r="AC347" i="21"/>
  <c r="BI347" i="21" s="1"/>
  <c r="BI348" i="21" s="1"/>
  <c r="AD483" i="20"/>
  <c r="AC462" i="21"/>
  <c r="BI462" i="21" s="1"/>
  <c r="AE367" i="20"/>
  <c r="AE346" i="21" s="1"/>
  <c r="BK346" i="21" s="1"/>
  <c r="AD346" i="21"/>
  <c r="BJ346" i="21" s="1"/>
  <c r="AE482" i="20"/>
  <c r="AE461" i="21" s="1"/>
  <c r="BK461" i="21" s="1"/>
  <c r="AD461" i="21"/>
  <c r="BJ461" i="21" s="1"/>
  <c r="AC484" i="20"/>
  <c r="AB463" i="21"/>
  <c r="BH463" i="21" s="1"/>
  <c r="BH464" i="21" s="1"/>
  <c r="AE136" i="20"/>
  <c r="AE115" i="21" s="1"/>
  <c r="BK115" i="21" s="1"/>
  <c r="BK116" i="21" s="1"/>
  <c r="AD115" i="21"/>
  <c r="BJ115" i="21" s="1"/>
  <c r="BJ116" i="21" s="1"/>
  <c r="AA29" i="21"/>
  <c r="BF66" i="23"/>
  <c r="BF84" i="23" s="1"/>
  <c r="BF102" i="23" s="1"/>
  <c r="AA351" i="21"/>
  <c r="AB372" i="20"/>
  <c r="AB235" i="21"/>
  <c r="AC256" i="20"/>
  <c r="AB3" i="21"/>
  <c r="AC24" i="20"/>
  <c r="BH3" i="21" l="1"/>
  <c r="BH29" i="21" s="1"/>
  <c r="AA3" i="1" s="1"/>
  <c r="AA5" i="1" s="1"/>
  <c r="BG351" i="21"/>
  <c r="BG377" i="21" s="1"/>
  <c r="Z21" i="1" s="1"/>
  <c r="Z23" i="1" s="1"/>
  <c r="BH235" i="21"/>
  <c r="BH261" i="21" s="1"/>
  <c r="AA15" i="1" s="1"/>
  <c r="AA17" i="1" s="1"/>
  <c r="AD484" i="20"/>
  <c r="AC463" i="21"/>
  <c r="BI463" i="21" s="1"/>
  <c r="BI464" i="21" s="1"/>
  <c r="AE368" i="20"/>
  <c r="AE347" i="21" s="1"/>
  <c r="BK347" i="21" s="1"/>
  <c r="BK348" i="21" s="1"/>
  <c r="AD347" i="21"/>
  <c r="BJ347" i="21" s="1"/>
  <c r="BJ348" i="21" s="1"/>
  <c r="AE483" i="20"/>
  <c r="AE462" i="21" s="1"/>
  <c r="BK462" i="21" s="1"/>
  <c r="AD462" i="21"/>
  <c r="BJ462" i="21" s="1"/>
  <c r="AC235" i="21"/>
  <c r="AD256" i="20"/>
  <c r="AC3" i="21"/>
  <c r="AD24" i="20"/>
  <c r="AB351" i="21"/>
  <c r="AC372" i="20"/>
  <c r="BI3" i="21" l="1"/>
  <c r="BI29" i="21" s="1"/>
  <c r="AB3" i="1" s="1"/>
  <c r="AB5" i="1" s="1"/>
  <c r="BH351" i="21"/>
  <c r="BH377" i="21" s="1"/>
  <c r="AA21" i="1" s="1"/>
  <c r="AA23" i="1" s="1"/>
  <c r="BI235" i="21"/>
  <c r="BI261" i="21" s="1"/>
  <c r="AB15" i="1" s="1"/>
  <c r="AB17" i="1" s="1"/>
  <c r="AE484" i="20"/>
  <c r="AE463" i="21" s="1"/>
  <c r="BK463" i="21" s="1"/>
  <c r="BK464" i="21" s="1"/>
  <c r="AD463" i="21"/>
  <c r="BJ463" i="21" s="1"/>
  <c r="BJ464" i="21" s="1"/>
  <c r="AE24" i="20"/>
  <c r="AE3" i="21" s="1"/>
  <c r="AD3" i="21"/>
  <c r="AC351" i="21"/>
  <c r="AD372" i="20"/>
  <c r="AE256" i="20"/>
  <c r="AE235" i="21" s="1"/>
  <c r="AD235" i="21"/>
  <c r="BJ235" i="21" l="1"/>
  <c r="BJ261" i="21" s="1"/>
  <c r="AC15" i="1" s="1"/>
  <c r="AC17" i="1" s="1"/>
  <c r="BK235" i="21"/>
  <c r="BK261" i="21" s="1"/>
  <c r="AD15" i="1" s="1"/>
  <c r="AD17" i="1" s="1"/>
  <c r="BK3" i="21"/>
  <c r="BK29" i="21" s="1"/>
  <c r="AD3" i="1" s="1"/>
  <c r="AD5" i="1" s="1"/>
  <c r="BI351" i="21"/>
  <c r="BI377" i="21" s="1"/>
  <c r="AB21" i="1" s="1"/>
  <c r="AB23" i="1" s="1"/>
  <c r="BJ3" i="21"/>
  <c r="BJ29" i="21" s="1"/>
  <c r="AC3" i="1" s="1"/>
  <c r="AC5" i="1" s="1"/>
  <c r="AD351" i="21"/>
  <c r="AE372" i="20"/>
  <c r="AE351" i="21" s="1"/>
  <c r="BK351" i="21" l="1"/>
  <c r="BK377" i="21" s="1"/>
  <c r="AD21" i="1" s="1"/>
  <c r="AD23" i="1" s="1"/>
  <c r="BJ351" i="21"/>
  <c r="BJ377" i="21" s="1"/>
  <c r="AC21" i="1" s="1"/>
  <c r="AC23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Alessandro Chiodi</author>
  </authors>
  <commentList>
    <comment ref="D22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 xml:space="preserve">Million of Passenger km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3" authorId="0" shapeId="0" xr:uid="{00000000-0006-0000-0300-000002000000}">
      <text>
        <r>
          <rPr>
            <b/>
            <sz val="9"/>
            <color indexed="81"/>
            <rFont val="Tahoma"/>
            <family val="2"/>
          </rPr>
          <t xml:space="preserve">Million of Passenger km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4" authorId="0" shapeId="0" xr:uid="{00000000-0006-0000-0300-000003000000}">
      <text>
        <r>
          <rPr>
            <b/>
            <sz val="9"/>
            <color indexed="81"/>
            <rFont val="Tahoma"/>
            <family val="2"/>
          </rPr>
          <t xml:space="preserve">Million of vehicle km
</t>
        </r>
      </text>
    </comment>
    <comment ref="D25" authorId="0" shapeId="0" xr:uid="{00000000-0006-0000-0300-000004000000}">
      <text>
        <r>
          <rPr>
            <b/>
            <sz val="9"/>
            <color indexed="81"/>
            <rFont val="Tahoma"/>
            <family val="2"/>
          </rPr>
          <t xml:space="preserve">Million of tonne km
</t>
        </r>
      </text>
    </comment>
    <comment ref="D26" authorId="0" shapeId="0" xr:uid="{00000000-0006-0000-0300-000005000000}">
      <text>
        <r>
          <rPr>
            <b/>
            <sz val="9"/>
            <color indexed="81"/>
            <rFont val="Tahoma"/>
            <family val="2"/>
          </rPr>
          <t xml:space="preserve">Million of tonne km
</t>
        </r>
      </text>
    </comment>
    <comment ref="D27" authorId="0" shapeId="0" xr:uid="{00000000-0006-0000-0300-000006000000}">
      <text>
        <r>
          <rPr>
            <b/>
            <sz val="9"/>
            <color indexed="81"/>
            <rFont val="Tahoma"/>
            <family val="2"/>
          </rPr>
          <t xml:space="preserve">Million of Passenger km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8" authorId="0" shapeId="0" xr:uid="{00000000-0006-0000-0300-000007000000}">
      <text>
        <r>
          <rPr>
            <b/>
            <sz val="9"/>
            <color indexed="81"/>
            <rFont val="Tahoma"/>
            <family val="2"/>
          </rPr>
          <t xml:space="preserve">Million of Passenger km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9" authorId="0" shapeId="0" xr:uid="{00000000-0006-0000-0300-000008000000}">
      <text>
        <r>
          <rPr>
            <b/>
            <sz val="9"/>
            <color indexed="81"/>
            <rFont val="Tahoma"/>
            <family val="2"/>
          </rPr>
          <t xml:space="preserve">Million of Passenger km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0" authorId="0" shapeId="0" xr:uid="{00000000-0006-0000-0300-000009000000}">
      <text>
        <r>
          <rPr>
            <b/>
            <sz val="9"/>
            <color indexed="81"/>
            <rFont val="Tahoma"/>
            <family val="2"/>
          </rPr>
          <t xml:space="preserve">Million of Passenger km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1" authorId="0" shapeId="0" xr:uid="{00000000-0006-0000-0300-00000A000000}">
      <text>
        <r>
          <rPr>
            <b/>
            <sz val="9"/>
            <color indexed="81"/>
            <rFont val="Tahoma"/>
            <family val="2"/>
          </rPr>
          <t xml:space="preserve">Million of Passenger km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2" authorId="0" shapeId="0" xr:uid="{00000000-0006-0000-0300-00000B000000}">
      <text>
        <r>
          <rPr>
            <b/>
            <sz val="9"/>
            <color indexed="81"/>
            <rFont val="Tahoma"/>
            <family val="2"/>
          </rPr>
          <t xml:space="preserve">Million of Passenger km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42" authorId="0" shapeId="0" xr:uid="{00000000-0006-0000-0300-00000C000000}">
      <text>
        <r>
          <rPr>
            <sz val="9"/>
            <color indexed="81"/>
            <rFont val="Tahoma"/>
            <family val="2"/>
          </rPr>
          <t>Particulate Matter &lt;10 µm</t>
        </r>
      </text>
    </comment>
    <comment ref="B43" authorId="0" shapeId="0" xr:uid="{00000000-0006-0000-0300-00000D000000}">
      <text>
        <r>
          <rPr>
            <sz val="9"/>
            <color indexed="81"/>
            <rFont val="Tahoma"/>
            <family val="2"/>
          </rPr>
          <t>Particulate Matter &lt;2.5 µm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Alessandro Chiodi</author>
  </authors>
  <commentList>
    <comment ref="A9" authorId="0" shapeId="0" xr:uid="{00000000-0006-0000-0700-000002000000}">
      <text>
        <r>
          <rPr>
            <sz val="9"/>
            <color indexed="81"/>
            <rFont val="Tahoma"/>
            <family val="2"/>
          </rPr>
          <t>Particulate Matter &lt;10 µm</t>
        </r>
      </text>
    </comment>
    <comment ref="A10" authorId="0" shapeId="0" xr:uid="{00000000-0006-0000-0700-000003000000}">
      <text>
        <r>
          <rPr>
            <sz val="9"/>
            <color indexed="81"/>
            <rFont val="Tahoma"/>
            <family val="2"/>
          </rPr>
          <t>Particulate Matter &lt;2.5 µm</t>
        </r>
      </text>
    </comment>
    <comment ref="C17" authorId="0" shapeId="0" xr:uid="{C53E9E35-082C-41A5-840A-A438E2F6CC36}">
      <text>
        <r>
          <rPr>
            <b/>
            <sz val="9"/>
            <color indexed="81"/>
            <rFont val="Tahoma"/>
            <charset val="1"/>
          </rPr>
          <t>Alessandro Chiodi:</t>
        </r>
        <r>
          <rPr>
            <sz val="9"/>
            <color indexed="81"/>
            <rFont val="Tahoma"/>
            <charset val="1"/>
          </rPr>
          <t xml:space="preserve">
Emission factor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Eamonn Mulholland 110345319</author>
    <author>Alessandro Chiodi</author>
  </authors>
  <commentList>
    <comment ref="I26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Eamonn Mulholland 110345319:
-11% if you use the SEAI values (holding values constant from 2009 back)</t>
        </r>
      </text>
    </comment>
    <comment ref="F30" authorId="1" shapeId="0" xr:uid="{00000000-0006-0000-0A00-000002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Used for calibrating consumption</t>
        </r>
      </text>
    </comment>
    <comment ref="A67" authorId="0" shapeId="0" xr:uid="{00000000-0006-0000-0A00-000003000000}">
      <text>
        <r>
          <rPr>
            <b/>
            <sz val="9"/>
            <color indexed="81"/>
            <rFont val="Tahoma"/>
            <family val="2"/>
          </rPr>
          <t>Eamonn Mulholland 110345319:</t>
        </r>
        <r>
          <rPr>
            <sz val="9"/>
            <color indexed="81"/>
            <rFont val="Tahoma"/>
            <family val="2"/>
          </rPr>
          <t xml:space="preserve">
Source: CVRT</t>
        </r>
      </text>
    </comment>
    <comment ref="A70" authorId="0" shapeId="0" xr:uid="{00000000-0006-0000-0A00-000004000000}">
      <text>
        <r>
          <rPr>
            <b/>
            <sz val="9"/>
            <color indexed="81"/>
            <rFont val="Tahoma"/>
            <family val="2"/>
          </rPr>
          <t>Eamonn Mulholland 110345319:</t>
        </r>
        <r>
          <rPr>
            <sz val="9"/>
            <color indexed="81"/>
            <rFont val="Tahoma"/>
            <family val="2"/>
          </rPr>
          <t xml:space="preserve">
Source: TRACCS</t>
        </r>
      </text>
    </comment>
    <comment ref="E99" authorId="0" shapeId="0" xr:uid="{00000000-0006-0000-0A00-000005000000}">
      <text>
        <r>
          <rPr>
            <b/>
            <sz val="9"/>
            <color indexed="81"/>
            <rFont val="Tahoma"/>
            <family val="2"/>
          </rPr>
          <t>Used TRACCS mileage</t>
        </r>
      </text>
    </comment>
    <comment ref="E100" authorId="0" shapeId="0" xr:uid="{00000000-0006-0000-0A00-000006000000}">
      <text>
        <r>
          <rPr>
            <b/>
            <sz val="9"/>
            <color indexed="81"/>
            <rFont val="Tahoma"/>
            <family val="2"/>
          </rPr>
          <t>Used TRACCS mileage</t>
        </r>
      </text>
    </comment>
    <comment ref="E111" authorId="0" shapeId="0" xr:uid="{00000000-0006-0000-0A00-000007000000}">
      <text>
        <r>
          <rPr>
            <b/>
            <sz val="9"/>
            <color indexed="81"/>
            <rFont val="Tahoma"/>
            <family val="2"/>
          </rPr>
          <t>Eamonn Mulholland 110345319:</t>
        </r>
        <r>
          <rPr>
            <sz val="9"/>
            <color indexed="81"/>
            <rFont val="Tahoma"/>
            <family val="2"/>
          </rPr>
          <t xml:space="preserve">
Taken as the average mileage between 1995 and 2005 (pre-recession)</t>
        </r>
      </text>
    </comment>
    <comment ref="E112" authorId="0" shapeId="0" xr:uid="{00000000-0006-0000-0A00-000008000000}">
      <text>
        <r>
          <rPr>
            <b/>
            <sz val="9"/>
            <color indexed="81"/>
            <rFont val="Tahoma"/>
            <family val="2"/>
          </rPr>
          <t>Used TRACCS mileage</t>
        </r>
      </text>
    </comment>
    <comment ref="E113" authorId="0" shapeId="0" xr:uid="{00000000-0006-0000-0A00-000009000000}">
      <text>
        <r>
          <rPr>
            <b/>
            <sz val="9"/>
            <color indexed="81"/>
            <rFont val="Tahoma"/>
            <family val="2"/>
          </rPr>
          <t>Used TRACCS mileage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MULHOLLAND Eamonn, IEA/STO/ETP/EDT</author>
  </authors>
  <commentList>
    <comment ref="E92" authorId="0" shapeId="0" xr:uid="{00000000-0006-0000-0B00-000001000000}">
      <text>
        <r>
          <rPr>
            <b/>
            <sz val="9"/>
            <color indexed="81"/>
            <rFont val="Tahoma"/>
            <family val="2"/>
          </rPr>
          <t>MULHOLLAND Eamonn, IEA/STO/ETP/EDT:</t>
        </r>
        <r>
          <rPr>
            <sz val="9"/>
            <color indexed="81"/>
            <rFont val="Tahoma"/>
            <family val="2"/>
          </rPr>
          <t xml:space="preserve">
Source: Irish TIMES v.1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Alessandro Chiodi</author>
  </authors>
  <commentList>
    <comment ref="E32" authorId="0" shapeId="0" xr:uid="{00000000-0006-0000-0C00-000001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Assumption Liquid biofuels = 50% of Ethanol and 50% of Biodiesel
</t>
        </r>
      </text>
    </comment>
    <comment ref="F32" authorId="0" shapeId="0" xr:uid="{00000000-0006-0000-0C00-000002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Assumption Liquid biofuels = 50% of Ethanol and 50% of Biodiesel
</t>
        </r>
      </text>
    </comment>
    <comment ref="G32" authorId="0" shapeId="0" xr:uid="{00000000-0006-0000-0C00-000003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Assumption Liquid biofuels = 50% of Ethanol and 50% of Biodiesel
</t>
        </r>
      </text>
    </comment>
    <comment ref="E33" authorId="0" shapeId="0" xr:uid="{00000000-0006-0000-0C00-000004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Assumption Liquid biofuels = 50% of Ethanol and 50% of Biodiesel
</t>
        </r>
      </text>
    </comment>
    <comment ref="F33" authorId="0" shapeId="0" xr:uid="{00000000-0006-0000-0C00-000005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Assumption Liquid biofuels = 50% of Ethanol and 50% of Biodiesel
</t>
        </r>
      </text>
    </comment>
    <comment ref="G33" authorId="0" shapeId="0" xr:uid="{00000000-0006-0000-0C00-000006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Assumption Liquid biofuels = 50% of Ethanol and 50% of Biodiesel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Eamonn Mulholland 110345319</author>
  </authors>
  <commentList>
    <comment ref="V3" authorId="0" shapeId="0" xr:uid="{00000000-0006-0000-0D00-000001000000}">
      <text>
        <r>
          <rPr>
            <b/>
            <sz val="9"/>
            <color indexed="81"/>
            <rFont val="Tahoma"/>
            <family val="2"/>
          </rPr>
          <t>Eamonn Mulholland 110345319:</t>
        </r>
        <r>
          <rPr>
            <sz val="9"/>
            <color indexed="81"/>
            <rFont val="Tahoma"/>
            <family val="2"/>
          </rPr>
          <t xml:space="preserve">
Last year of available data from Eurostat</t>
        </r>
      </text>
    </comment>
    <comment ref="A7" authorId="0" shapeId="0" xr:uid="{00000000-0006-0000-0D00-000002000000}">
      <text>
        <r>
          <rPr>
            <b/>
            <sz val="9"/>
            <color indexed="81"/>
            <rFont val="Tahoma"/>
            <family val="2"/>
          </rPr>
          <t>Eamonn Mulholland 110345319:</t>
        </r>
        <r>
          <rPr>
            <sz val="9"/>
            <color indexed="81"/>
            <rFont val="Tahoma"/>
            <family val="2"/>
          </rPr>
          <t xml:space="preserve">
Based off National sales of Jet Kerosene</t>
        </r>
      </text>
    </comment>
    <comment ref="A8" authorId="0" shapeId="0" xr:uid="{00000000-0006-0000-0D00-000003000000}">
      <text>
        <r>
          <rPr>
            <b/>
            <sz val="9"/>
            <color indexed="81"/>
            <rFont val="Tahoma"/>
            <family val="2"/>
          </rPr>
          <t>Eamonn Mulholland 110345319:</t>
        </r>
        <r>
          <rPr>
            <sz val="9"/>
            <color indexed="81"/>
            <rFont val="Tahoma"/>
            <family val="2"/>
          </rPr>
          <t xml:space="preserve">
Based off national sales of Jet Kerosene</t>
        </r>
      </text>
    </comment>
    <comment ref="A9" authorId="0" shapeId="0" xr:uid="{00000000-0006-0000-0D00-000004000000}">
      <text>
        <r>
          <rPr>
            <b/>
            <sz val="9"/>
            <color indexed="81"/>
            <rFont val="Tahoma"/>
            <family val="2"/>
          </rPr>
          <t>Eamonn Mulholland 110345319:</t>
        </r>
        <r>
          <rPr>
            <sz val="9"/>
            <color indexed="81"/>
            <rFont val="Tahoma"/>
            <family val="2"/>
          </rPr>
          <t xml:space="preserve">
Based off national sales of Jet Kerosene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Eamonn Mulholland 110345319</author>
  </authors>
  <commentList>
    <comment ref="A1" authorId="0" shapeId="0" xr:uid="{00000000-0006-0000-0E00-000001000000}">
      <text>
        <r>
          <rPr>
            <b/>
            <sz val="9"/>
            <color indexed="81"/>
            <rFont val="Tahoma"/>
            <family val="2"/>
          </rPr>
          <t>Eamonn Mulholland 110345319:</t>
        </r>
        <r>
          <rPr>
            <sz val="9"/>
            <color indexed="81"/>
            <rFont val="Tahoma"/>
            <family val="2"/>
          </rPr>
          <t xml:space="preserve">
Source: VRU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MULHOLLAND Eamonn, IEA/STO/ETP/EDT</author>
  </authors>
  <commentList>
    <comment ref="A1" authorId="0" shapeId="0" xr:uid="{00000000-0006-0000-0F00-000001000000}">
      <text>
        <r>
          <rPr>
            <b/>
            <sz val="9"/>
            <color indexed="81"/>
            <rFont val="Tahoma"/>
            <family val="2"/>
          </rPr>
          <t>MULHOLLAND Eamonn, IEA/STO/ETP/EDT:</t>
        </r>
        <r>
          <rPr>
            <sz val="9"/>
            <color indexed="81"/>
            <rFont val="Tahoma"/>
            <family val="2"/>
          </rPr>
          <t xml:space="preserve">
Source: NCT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Eamonn Mulholland 110345319</author>
  </authors>
  <commentList>
    <comment ref="A1" authorId="0" shapeId="0" xr:uid="{00000000-0006-0000-1200-000001000000}">
      <text>
        <r>
          <rPr>
            <b/>
            <sz val="9"/>
            <color indexed="81"/>
            <rFont val="Tahoma"/>
            <family val="2"/>
          </rPr>
          <t>Eamonn Mulholland 110345319:</t>
        </r>
        <r>
          <rPr>
            <sz val="9"/>
            <color indexed="81"/>
            <rFont val="Tahoma"/>
            <family val="2"/>
          </rPr>
          <t xml:space="preserve">
Source: SEAI - Provided through a linkage of VRU to UK database collection of SEC for different makes and models of vehicles. Contact Martin Howley for more information.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Eamonn Mulholland 110345319</author>
  </authors>
  <commentList>
    <comment ref="A3" authorId="0" shapeId="0" xr:uid="{00000000-0006-0000-1500-000001000000}">
      <text>
        <r>
          <rPr>
            <b/>
            <sz val="9"/>
            <color indexed="81"/>
            <rFont val="Tahoma"/>
            <family val="2"/>
          </rPr>
          <t>Eamonn Mulholland 110345319:</t>
        </r>
        <r>
          <rPr>
            <sz val="9"/>
            <color indexed="81"/>
            <rFont val="Tahoma"/>
            <family val="2"/>
          </rPr>
          <t xml:space="preserve">
These were assumed following the data on http://www.nra.ie/policy-publications/project-appraisal-guideli/Unit-6.2-Guidance-on-Using-Coba.pdf</t>
        </r>
      </text>
    </comment>
    <comment ref="AC10" authorId="0" shapeId="0" xr:uid="{00000000-0006-0000-1500-000002000000}">
      <text>
        <r>
          <rPr>
            <b/>
            <sz val="9"/>
            <color indexed="81"/>
            <rFont val="Tahoma"/>
            <family val="2"/>
          </rPr>
          <t>Eamonn Mulholland 110345319:</t>
        </r>
        <r>
          <rPr>
            <sz val="9"/>
            <color indexed="81"/>
            <rFont val="Tahoma"/>
            <family val="2"/>
          </rPr>
          <t xml:space="preserve">
This value was chosen as to give all PSVs a occupancy rate of 7.23 based off CSO data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Eamonn Mulholland 110345319</author>
  </authors>
  <commentList>
    <comment ref="A15" authorId="0" shapeId="0" xr:uid="{00000000-0006-0000-1600-000001000000}">
      <text>
        <r>
          <rPr>
            <b/>
            <sz val="9"/>
            <color indexed="81"/>
            <rFont val="Tahoma"/>
            <family val="2"/>
          </rPr>
          <t>Eamonn Mulholland 110345319:</t>
        </r>
        <r>
          <rPr>
            <sz val="9"/>
            <color indexed="81"/>
            <rFont val="Tahoma"/>
            <family val="2"/>
          </rPr>
          <t xml:space="preserve">
Source: http://www.epa.ie/pubs/reports/air/airemissions/Emission_Factors_for_2014_V1313112014.pdf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Eamonn Mulholland 110345319</author>
  </authors>
  <commentList>
    <comment ref="A1" authorId="0" shapeId="0" xr:uid="{00000000-0006-0000-1800-000001000000}">
      <text>
        <r>
          <rPr>
            <b/>
            <sz val="9"/>
            <color indexed="81"/>
            <rFont val="Tahoma"/>
            <family val="2"/>
          </rPr>
          <t>Eamonn Mulholland 110345319:</t>
        </r>
        <r>
          <rPr>
            <sz val="9"/>
            <color indexed="81"/>
            <rFont val="Tahoma"/>
            <family val="2"/>
          </rPr>
          <t xml:space="preserve">
UK TIMES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MULHOLLAND Eamonn, IEA/STO/ETP/EDT</author>
    <author>Eamonn Mulholland 110345319</author>
  </authors>
  <commentList>
    <comment ref="A1" authorId="0" shapeId="0" xr:uid="{00000000-0006-0000-1A00-000001000000}">
      <text>
        <r>
          <rPr>
            <b/>
            <sz val="9"/>
            <color indexed="81"/>
            <rFont val="Tahoma"/>
            <family val="2"/>
          </rPr>
          <t>MULHOLLAND Eamonn, IEA/STO/ETP/EDT:</t>
        </r>
        <r>
          <rPr>
            <sz val="9"/>
            <color indexed="81"/>
            <rFont val="Tahoma"/>
            <family val="2"/>
          </rPr>
          <t xml:space="preserve">
Source: VRU</t>
        </r>
      </text>
    </comment>
    <comment ref="A2" authorId="1" shapeId="0" xr:uid="{00000000-0006-0000-1A00-000002000000}">
      <text>
        <r>
          <rPr>
            <b/>
            <sz val="9"/>
            <color indexed="81"/>
            <rFont val="Tahoma"/>
            <family val="2"/>
          </rPr>
          <t>Eamonn Mulholland 110345319:</t>
        </r>
        <r>
          <rPr>
            <sz val="9"/>
            <color indexed="81"/>
            <rFont val="Tahoma"/>
            <family val="2"/>
          </rPr>
          <t xml:space="preserve">
Source: Vehicle Registration Unit - DTTAS</t>
        </r>
      </text>
    </comment>
    <comment ref="AG2" authorId="1" shapeId="0" xr:uid="{00000000-0006-0000-1A00-000003000000}">
      <text>
        <r>
          <rPr>
            <b/>
            <sz val="9"/>
            <color indexed="81"/>
            <rFont val="Tahoma"/>
            <family val="2"/>
          </rPr>
          <t>Eamonn Mulholland 110345319:</t>
        </r>
        <r>
          <rPr>
            <sz val="9"/>
            <color indexed="81"/>
            <rFont val="Tahoma"/>
            <family val="2"/>
          </rPr>
          <t xml:space="preserve">
Source: Vehicle Registration Unit - DTTAS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Eamonn Mulholland 110345319</author>
  </authors>
  <commentList>
    <comment ref="A2" authorId="0" shapeId="0" xr:uid="{00000000-0006-0000-1B00-000001000000}">
      <text>
        <r>
          <rPr>
            <b/>
            <sz val="9"/>
            <color indexed="81"/>
            <rFont val="Tahoma"/>
            <family val="2"/>
          </rPr>
          <t>Eamonn Mulholland 110345319:</t>
        </r>
        <r>
          <rPr>
            <sz val="9"/>
            <color indexed="81"/>
            <rFont val="Tahoma"/>
            <family val="2"/>
          </rPr>
          <t xml:space="preserve">
Source: Commercial Vehicle Road Worthiness Testing - accessed through SEAI</t>
        </r>
      </text>
    </comment>
    <comment ref="A14" authorId="0" shapeId="0" xr:uid="{00000000-0006-0000-1B00-000002000000}">
      <text>
        <r>
          <rPr>
            <b/>
            <sz val="9"/>
            <color indexed="81"/>
            <rFont val="Tahoma"/>
            <family val="2"/>
          </rPr>
          <t>Eamonn Mulholland 110345319:</t>
        </r>
        <r>
          <rPr>
            <sz val="9"/>
            <color indexed="81"/>
            <rFont val="Tahoma"/>
            <family val="2"/>
          </rPr>
          <t xml:space="preserve">
Source: Commercial Vehicle Road Worthiness Testing - accessed through SEAI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Eamonn Mulholland 110345319</author>
  </authors>
  <commentList>
    <comment ref="A2" authorId="0" shapeId="0" xr:uid="{00000000-0006-0000-1D00-000001000000}">
      <text>
        <r>
          <rPr>
            <b/>
            <sz val="9"/>
            <color indexed="81"/>
            <rFont val="Tahoma"/>
            <family val="2"/>
          </rPr>
          <t>Eamonn Mulholland 110345319:</t>
        </r>
        <r>
          <rPr>
            <sz val="9"/>
            <color indexed="81"/>
            <rFont val="Tahoma"/>
            <family val="2"/>
          </rPr>
          <t xml:space="preserve">
Source CSO Road Freight Survey</t>
        </r>
      </text>
    </comment>
    <comment ref="G2" authorId="0" shapeId="0" xr:uid="{00000000-0006-0000-1D00-000002000000}">
      <text>
        <r>
          <rPr>
            <b/>
            <sz val="9"/>
            <color indexed="81"/>
            <rFont val="Tahoma"/>
            <family val="2"/>
          </rPr>
          <t>Eamonn Mulholland 110345319:</t>
        </r>
        <r>
          <rPr>
            <sz val="9"/>
            <color indexed="81"/>
            <rFont val="Tahoma"/>
            <family val="2"/>
          </rPr>
          <t xml:space="preserve">
Source CSO Road Freight Survey</t>
        </r>
      </text>
    </comment>
    <comment ref="A25" authorId="0" shapeId="0" xr:uid="{00000000-0006-0000-1D00-000003000000}">
      <text>
        <r>
          <rPr>
            <b/>
            <sz val="9"/>
            <color indexed="81"/>
            <rFont val="Tahoma"/>
            <family val="2"/>
          </rPr>
          <t>Eamonn Mulholland 110345319:</t>
        </r>
        <r>
          <rPr>
            <sz val="9"/>
            <color indexed="81"/>
            <rFont val="Tahoma"/>
            <family val="2"/>
          </rPr>
          <t xml:space="preserve">
Necessary because there is no milage values past 2010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  <author>Eamonn Mulholland 110345319</author>
  </authors>
  <commentList>
    <comment ref="AF7" authorId="0" shapeId="0" xr:uid="{00000000-0006-0000-1F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to EU 27
30th July 2014</t>
        </r>
      </text>
    </comment>
    <comment ref="B8" authorId="1" shapeId="0" xr:uid="{00000000-0006-0000-1F00-000002000000}">
      <text>
        <r>
          <rPr>
            <b/>
            <sz val="9"/>
            <color indexed="81"/>
            <rFont val="Tahoma"/>
            <family val="2"/>
          </rPr>
          <t>Eamonn Mulholland 110345319:</t>
        </r>
        <r>
          <rPr>
            <sz val="9"/>
            <color indexed="81"/>
            <rFont val="Tahoma"/>
            <family val="2"/>
          </rPr>
          <t xml:space="preserve">
Factor of 1.3761 chosen to match SEC of 0.0636 MJ/tkm used by the SEAI
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Eamonn Mulholland 110345319</author>
  </authors>
  <commentList>
    <comment ref="A1" authorId="0" shapeId="0" xr:uid="{00000000-0006-0000-2000-000001000000}">
      <text>
        <r>
          <rPr>
            <b/>
            <sz val="9"/>
            <color indexed="81"/>
            <rFont val="Tahoma"/>
            <family val="2"/>
          </rPr>
          <t>Eamonn Mulholland 110345319:</t>
        </r>
        <r>
          <rPr>
            <sz val="9"/>
            <color indexed="81"/>
            <rFont val="Tahoma"/>
            <family val="2"/>
          </rPr>
          <t xml:space="preserve">
Source: VRU - DTTAS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Eamonn Mulholland 110345319</author>
  </authors>
  <commentList>
    <comment ref="A4" authorId="0" shapeId="0" xr:uid="{00000000-0006-0000-2100-000001000000}">
      <text>
        <r>
          <rPr>
            <b/>
            <sz val="9"/>
            <color indexed="81"/>
            <rFont val="Tahoma"/>
            <family val="2"/>
          </rPr>
          <t>Eamonn Mulholland 110345319:</t>
        </r>
        <r>
          <rPr>
            <sz val="9"/>
            <color indexed="81"/>
            <rFont val="Tahoma"/>
            <family val="2"/>
          </rPr>
          <t xml:space="preserve">
Based off National sales of Jet Kerosene</t>
        </r>
      </text>
    </comment>
    <comment ref="A5" authorId="0" shapeId="0" xr:uid="{00000000-0006-0000-2100-000002000000}">
      <text>
        <r>
          <rPr>
            <b/>
            <sz val="9"/>
            <color indexed="81"/>
            <rFont val="Tahoma"/>
            <family val="2"/>
          </rPr>
          <t>Eamonn Mulholland 110345319:</t>
        </r>
        <r>
          <rPr>
            <sz val="9"/>
            <color indexed="81"/>
            <rFont val="Tahoma"/>
            <family val="2"/>
          </rPr>
          <t xml:space="preserve">
Based off national sales of Jet Kerosene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MULHOLLAND Eamonn, IEA/STO/ETP/EDT</author>
  </authors>
  <commentList>
    <comment ref="E57" authorId="0" shapeId="0" xr:uid="{00000000-0006-0000-2700-000001000000}">
      <text>
        <r>
          <rPr>
            <b/>
            <sz val="9"/>
            <color indexed="81"/>
            <rFont val="Tahoma"/>
            <family val="2"/>
          </rPr>
          <t>MULHOLLAND Eamonn, IEA/STO/ETP/EDT:</t>
        </r>
        <r>
          <rPr>
            <sz val="9"/>
            <color indexed="81"/>
            <rFont val="Tahoma"/>
            <family val="2"/>
          </rPr>
          <t xml:space="preserve">
Source: Bus Bulletin - To be updated if a better source is found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Eamonn Mulholland 110345319</author>
  </authors>
  <commentList>
    <comment ref="A25" authorId="0" shapeId="0" xr:uid="{00000000-0006-0000-2900-000001000000}">
      <text>
        <r>
          <rPr>
            <b/>
            <sz val="9"/>
            <color indexed="81"/>
            <rFont val="Tahoma"/>
            <family val="2"/>
          </rPr>
          <t>Eamonn Mulholland 110345319:</t>
        </r>
        <r>
          <rPr>
            <sz val="9"/>
            <color indexed="81"/>
            <rFont val="Tahoma"/>
            <family val="2"/>
          </rPr>
          <t xml:space="preserve">
Same division of vintages as private cars assumed</t>
        </r>
      </text>
    </comment>
    <comment ref="A54" authorId="0" shapeId="0" xr:uid="{00000000-0006-0000-2900-000002000000}">
      <text>
        <r>
          <rPr>
            <b/>
            <sz val="9"/>
            <color indexed="81"/>
            <rFont val="Tahoma"/>
            <family val="2"/>
          </rPr>
          <t>Eamonn Mulholland 110345319:</t>
        </r>
        <r>
          <rPr>
            <sz val="9"/>
            <color indexed="81"/>
            <rFont val="Tahoma"/>
            <family val="2"/>
          </rPr>
          <t xml:space="preserve">
Same division of vintages as private cars assumed</t>
        </r>
      </text>
    </comment>
  </commentList>
</comments>
</file>

<file path=xl/sharedStrings.xml><?xml version="1.0" encoding="utf-8"?>
<sst xmlns="http://schemas.openxmlformats.org/spreadsheetml/2006/main" count="5988" uniqueCount="1384">
  <si>
    <t>Small</t>
  </si>
  <si>
    <t>Light Medium</t>
  </si>
  <si>
    <t>Heavy Medium</t>
  </si>
  <si>
    <t>Large</t>
  </si>
  <si>
    <t>Bands</t>
  </si>
  <si>
    <t>Engine Size (cc)</t>
  </si>
  <si>
    <t>0 - 1100</t>
  </si>
  <si>
    <t>1101 - 1500</t>
  </si>
  <si>
    <t>1501 - 1800</t>
  </si>
  <si>
    <t>&gt; 1800</t>
  </si>
  <si>
    <t>Vintage</t>
  </si>
  <si>
    <t>Year of Registration/Vintage</t>
  </si>
  <si>
    <t>Light Medium Petrol Cars - Probablility of Survival</t>
  </si>
  <si>
    <t>Heavy Medium Petrol Cars - Probablility of Survival</t>
  </si>
  <si>
    <t>Small Petrol Cars - Age Profile</t>
  </si>
  <si>
    <t>Light Medium Petrol Cars - Age Profile</t>
  </si>
  <si>
    <t>Heavy Medium Petrol Cars - Age Profile</t>
  </si>
  <si>
    <t>Large Petrol Cars - Age Profile</t>
  </si>
  <si>
    <t>Small Diesel Cars - Age Profile</t>
  </si>
  <si>
    <t>Light Medium Diesel Cars - Age Profile</t>
  </si>
  <si>
    <t>Heavy Medium Diesel Cars - Age Profile</t>
  </si>
  <si>
    <t>Large Diesel Cars - Age Profile</t>
  </si>
  <si>
    <t>Small Petrol Cars - Probablility of Survival</t>
  </si>
  <si>
    <t>Large Petrol Cars - Probablility of Survival</t>
  </si>
  <si>
    <t>Small Diesel Cars - Probablility of Survival</t>
  </si>
  <si>
    <t>Light Medium Diesel Cars - Probablility of Survival</t>
  </si>
  <si>
    <t>Heavy Medium Cars - Probablility of Survival</t>
  </si>
  <si>
    <t>Large Diesel Cars - Probablility of Survival</t>
  </si>
  <si>
    <t>Small Petrol and Ethanol Cars - Age Profile</t>
  </si>
  <si>
    <t>Small Petrol and Ethanol Cars - Probablility of Survival</t>
  </si>
  <si>
    <t>Small Petrol and Electric Cars - Age Profile</t>
  </si>
  <si>
    <t>Small Petrol and Electric Cars - Probablility of Survival</t>
  </si>
  <si>
    <t>Indexed Prob</t>
  </si>
  <si>
    <t>Cumulative Prob</t>
  </si>
  <si>
    <t>&gt;15</t>
  </si>
  <si>
    <t>Petrol - 2012</t>
  </si>
  <si>
    <t>Diesel - 2012</t>
  </si>
  <si>
    <t>Petrol and Ethanol - 2012</t>
  </si>
  <si>
    <t>Petrol and Electric - 2012</t>
  </si>
  <si>
    <t>Total</t>
  </si>
  <si>
    <t>Survival Rates</t>
  </si>
  <si>
    <t>Small Petrol</t>
  </si>
  <si>
    <t>Light Medium Petrol</t>
  </si>
  <si>
    <t>Heavy Medium Petrol</t>
  </si>
  <si>
    <t>Large Petrol</t>
  </si>
  <si>
    <t>Small Diesel</t>
  </si>
  <si>
    <t>Light Medium Diesel</t>
  </si>
  <si>
    <t>Heavy Medium Diesel</t>
  </si>
  <si>
    <t>Large Diesel</t>
  </si>
  <si>
    <t>Small Petrol and Ethanol</t>
  </si>
  <si>
    <t>Light Medium Petrol and Ethanol</t>
  </si>
  <si>
    <t>Heavy Medium Petrol and Ethanol</t>
  </si>
  <si>
    <t>Large Petrol and Ethanol</t>
  </si>
  <si>
    <t>Small Petrol and Electric</t>
  </si>
  <si>
    <t>Light Medium Petrol and Electric</t>
  </si>
  <si>
    <t>Heavy Medium Petrol and Electric</t>
  </si>
  <si>
    <t>Large Petrol and Electric</t>
  </si>
  <si>
    <t>Year of Manufacture</t>
  </si>
  <si>
    <t>Pre-1990</t>
  </si>
  <si>
    <t>LV Hourly Traffic</t>
  </si>
  <si>
    <t>HV Hourly Traffic</t>
  </si>
  <si>
    <t>HGV Sub Class- OGV1 Hourly Traffic</t>
  </si>
  <si>
    <t>HGV Sub Class- Artic Hourly Traffic</t>
  </si>
  <si>
    <t>BUS Hourly Traffic</t>
  </si>
  <si>
    <t>Total Hourly Traffic</t>
  </si>
  <si>
    <t>Sept 2013 AADT Proportion/Hours</t>
  </si>
  <si>
    <t>Spritmonitor.de (Germany)</t>
  </si>
  <si>
    <t>HonestJohn.co.uk (UK)</t>
  </si>
  <si>
    <t>What Car? (UK)</t>
  </si>
  <si>
    <t>Auto Motor und Sport (Germany)</t>
  </si>
  <si>
    <t>AUTO BILD (Germany)</t>
  </si>
  <si>
    <t>Travelcard (Netherlands)</t>
  </si>
  <si>
    <t>LeasePlan (Germany)</t>
  </si>
  <si>
    <t>TCS (Switzerland)</t>
  </si>
  <si>
    <t>Source: From Laboratory to Road - ICCT available from http://www.theicct.org/sites/default/files/publications/ICCT_LaboratoryToRoad_2014_Report_English.pdf</t>
  </si>
  <si>
    <t>Euro 6</t>
  </si>
  <si>
    <t>Euro 5</t>
  </si>
  <si>
    <t>Euro 4</t>
  </si>
  <si>
    <t>Euro 3</t>
  </si>
  <si>
    <t>Euro 2</t>
  </si>
  <si>
    <t>Euro 1</t>
  </si>
  <si>
    <t>2005 - 2007</t>
  </si>
  <si>
    <t>post 2014</t>
  </si>
  <si>
    <t>2008 - 2014</t>
  </si>
  <si>
    <t>2000 - 2004</t>
  </si>
  <si>
    <t>1996 - 1999</t>
  </si>
  <si>
    <t>Euro Standard</t>
  </si>
  <si>
    <t>Years</t>
  </si>
  <si>
    <t>pre 1996</t>
  </si>
  <si>
    <t>Stock</t>
  </si>
  <si>
    <t>SEC</t>
  </si>
  <si>
    <t>On-Road Factor</t>
  </si>
  <si>
    <t>Year</t>
  </si>
  <si>
    <t>Source: http://www.nra.ie/policy-publications/project-appraisal-guideli/Unit-6.11-National-Parameter-Value-Sheets.pdf</t>
  </si>
  <si>
    <t>Flow Groups</t>
  </si>
  <si>
    <t>Flow Group</t>
  </si>
  <si>
    <t>Flow Group 1/6</t>
  </si>
  <si>
    <t>Weekday Hours</t>
  </si>
  <si>
    <t>Weekend Hours</t>
  </si>
  <si>
    <t>No. of Hours in Flow Group</t>
  </si>
  <si>
    <t>Total Hours</t>
  </si>
  <si>
    <t>Time of Day</t>
  </si>
  <si>
    <t>Overnight Off-Peak</t>
  </si>
  <si>
    <t>Daytime Off-Peak</t>
  </si>
  <si>
    <t>Adjacent to Peak</t>
  </si>
  <si>
    <t>Peak</t>
  </si>
  <si>
    <t>Total Average Occupancy Rate</t>
  </si>
  <si>
    <t>Work</t>
  </si>
  <si>
    <t>Vehicle Occupancy Rates</t>
  </si>
  <si>
    <t>Vehicle Proportions</t>
  </si>
  <si>
    <t>Commuting</t>
  </si>
  <si>
    <t>Other-non Work</t>
  </si>
  <si>
    <t>All</t>
  </si>
  <si>
    <t>Flow Group 2/7</t>
  </si>
  <si>
    <t>Flow Group 3/8</t>
  </si>
  <si>
    <t>Flow Group 4/9</t>
  </si>
  <si>
    <t>Private Car Occupancy Value</t>
  </si>
  <si>
    <t>Small LGV</t>
  </si>
  <si>
    <t>Medium LGV</t>
  </si>
  <si>
    <t>Large LGV</t>
  </si>
  <si>
    <t>Small HGV</t>
  </si>
  <si>
    <t>Medium HGV</t>
  </si>
  <si>
    <t>Motorbike</t>
  </si>
  <si>
    <t>Private Car</t>
  </si>
  <si>
    <t>LGV</t>
  </si>
  <si>
    <t>Bus</t>
  </si>
  <si>
    <t>HGV</t>
  </si>
  <si>
    <t>Weekday</t>
  </si>
  <si>
    <t>Weekend</t>
  </si>
  <si>
    <t>Hour</t>
  </si>
  <si>
    <t>Source: NRA Traffic Data Monitoring Sites (Taken from all the Data sites for the month of September 2013)</t>
  </si>
  <si>
    <t>Large HGV</t>
  </si>
  <si>
    <t>Unladen Weight (kg)</t>
  </si>
  <si>
    <t>0 - 813</t>
  </si>
  <si>
    <t>814 - 1524</t>
  </si>
  <si>
    <t>1525 - 2032</t>
  </si>
  <si>
    <t>2033 - 7500</t>
  </si>
  <si>
    <t>7501 - 12500</t>
  </si>
  <si>
    <t>&gt; 12500</t>
  </si>
  <si>
    <t xml:space="preserve">Year of Registration </t>
  </si>
  <si>
    <t>Not Exceeding 610</t>
  </si>
  <si>
    <t>611 - 813</t>
  </si>
  <si>
    <t>814 - 1016</t>
  </si>
  <si>
    <t>1017 - 1270</t>
  </si>
  <si>
    <t>1271 - 1524</t>
  </si>
  <si>
    <t>1525 - 1778</t>
  </si>
  <si>
    <t>1779 - 2032</t>
  </si>
  <si>
    <t>2033 - 2286</t>
  </si>
  <si>
    <t>2287 - 2546</t>
  </si>
  <si>
    <t>2547 - 2794</t>
  </si>
  <si>
    <t>2795 - 3048</t>
  </si>
  <si>
    <t>3049 - 3302</t>
  </si>
  <si>
    <t>3303 - 3556</t>
  </si>
  <si>
    <t>3557 - 3810</t>
  </si>
  <si>
    <t>3811 - 4064</t>
  </si>
  <si>
    <t>4065 - 5080</t>
  </si>
  <si>
    <t>5081 - 6096</t>
  </si>
  <si>
    <t>6097 - 7112</t>
  </si>
  <si>
    <t>8129 - 9144</t>
  </si>
  <si>
    <t>9145 - 10160</t>
  </si>
  <si>
    <t>10161 - 11176</t>
  </si>
  <si>
    <t>11177 - 12192</t>
  </si>
  <si>
    <t>12193 - 13208</t>
  </si>
  <si>
    <t>13209 - 14224</t>
  </si>
  <si>
    <t>14225 - 15240</t>
  </si>
  <si>
    <t>Exceeding 15241</t>
  </si>
  <si>
    <t>Grand Total</t>
  </si>
  <si>
    <t>1993 and earlier years</t>
  </si>
  <si>
    <t>7113 - 7500</t>
  </si>
  <si>
    <t>7501 - 8128</t>
  </si>
  <si>
    <t>12193 - 12500</t>
  </si>
  <si>
    <t>12501 - 13208</t>
  </si>
  <si>
    <t>0 - 610</t>
  </si>
  <si>
    <t>TOTAL</t>
  </si>
  <si>
    <t>Petrol - vkm</t>
  </si>
  <si>
    <t>Diesel - vkm</t>
  </si>
  <si>
    <t>Million Tonne km/year</t>
  </si>
  <si>
    <t>Agriculture and Foodstuffs (Mtkm)</t>
  </si>
  <si>
    <t>-</t>
  </si>
  <si>
    <t>Crude and Machinery (Mtkm)</t>
  </si>
  <si>
    <t>Other (Mtkm)</t>
  </si>
  <si>
    <t>Light Petrol</t>
  </si>
  <si>
    <t>Active Units: average pkm/year</t>
  </si>
  <si>
    <t>Active Units: average vkm/year</t>
  </si>
  <si>
    <t>Active Units: MJ/vkm</t>
  </si>
  <si>
    <t>Petrol</t>
  </si>
  <si>
    <t>Passenger km (million)</t>
  </si>
  <si>
    <t>Diesel</t>
  </si>
  <si>
    <t>Petrol and Ethanol</t>
  </si>
  <si>
    <t>Petrol and Electric</t>
  </si>
  <si>
    <t>SEC (MJ/vkm)</t>
  </si>
  <si>
    <t>Petrol LGV</t>
  </si>
  <si>
    <t>Vehicle km (million)</t>
  </si>
  <si>
    <t>Diesel LGV</t>
  </si>
  <si>
    <t>Heavy LGV</t>
  </si>
  <si>
    <t>Heavy HGV</t>
  </si>
  <si>
    <t>&gt;18</t>
  </si>
  <si>
    <t>Small Petrol LGV</t>
  </si>
  <si>
    <t>Medium Petrol LGV</t>
  </si>
  <si>
    <t>Large Petrol LGV</t>
  </si>
  <si>
    <t>Small Petrol HGV</t>
  </si>
  <si>
    <t>Medium Petrol HGV</t>
  </si>
  <si>
    <t>Large Petrol HGV</t>
  </si>
  <si>
    <t>Small Diesel LGV</t>
  </si>
  <si>
    <t>Medium Diesel LGV</t>
  </si>
  <si>
    <t>Large Diesel LGV</t>
  </si>
  <si>
    <t>Small Diesel HGV</t>
  </si>
  <si>
    <t>Medium Diesel HGV</t>
  </si>
  <si>
    <t>Large Diesel HGV</t>
  </si>
  <si>
    <t>Small Diesel LGV - Age Profile</t>
  </si>
  <si>
    <t>Medium Diesel LGV - Age Profile</t>
  </si>
  <si>
    <t>Large Diesel LGV - Age Profile</t>
  </si>
  <si>
    <t>Small Diesel LGV - Probablility of Survival</t>
  </si>
  <si>
    <t>Medium Diesel LGV - Probablility of Survival</t>
  </si>
  <si>
    <t>Large Diesel LGV - Probablility of Survival</t>
  </si>
  <si>
    <t>Small Diesel HGV - Age Profile</t>
  </si>
  <si>
    <t>Medium Diesel HGV - Age Profile</t>
  </si>
  <si>
    <t>Large Diesel HGV - Age Profile</t>
  </si>
  <si>
    <t>Small Diesel HGV - Probablility of Survival</t>
  </si>
  <si>
    <t>Medium Diesel HGV - Probablility of Survival</t>
  </si>
  <si>
    <t>Large Diesel HGV - Probablility of Survival</t>
  </si>
  <si>
    <t>Survival Rates - Diesel</t>
  </si>
  <si>
    <t>Active Units: Number of vehicles</t>
  </si>
  <si>
    <t>Active Units: Number of Vehicles</t>
  </si>
  <si>
    <t>Active Units: Vkm</t>
  </si>
  <si>
    <t>Active Units: MJ/km</t>
  </si>
  <si>
    <t>Active Units: Mtkm</t>
  </si>
  <si>
    <t>Diesel HGV</t>
  </si>
  <si>
    <t>Petrol HGV</t>
  </si>
  <si>
    <t>Tonne km (million)</t>
  </si>
  <si>
    <t>2012 Tkm/Vehicle</t>
  </si>
  <si>
    <t>Gasoline</t>
  </si>
  <si>
    <t>Energy (TJ)</t>
  </si>
  <si>
    <t>Diesel Small HGV</t>
  </si>
  <si>
    <t>Diesel Medium HGV</t>
  </si>
  <si>
    <t>Diesel Large HGV</t>
  </si>
  <si>
    <t>Tkm/Vkm</t>
  </si>
  <si>
    <t>SEC (MJ/tkm)</t>
  </si>
  <si>
    <t>EU-27 Energy per Tonne km</t>
  </si>
  <si>
    <t>Ktoe/tkm</t>
  </si>
  <si>
    <t>TRAACS</t>
  </si>
  <si>
    <t>MJ/tkm</t>
  </si>
  <si>
    <t>ktoe/tkm</t>
  </si>
  <si>
    <t>TIMES</t>
  </si>
  <si>
    <t>Energy Balance</t>
  </si>
  <si>
    <t>Difference</t>
  </si>
  <si>
    <t>AIRP_PR</t>
  </si>
  <si>
    <t>CORK airport - BRUSSELS airport</t>
  </si>
  <si>
    <t>UNIT/TIME</t>
  </si>
  <si>
    <t>2010</t>
  </si>
  <si>
    <t>2011</t>
  </si>
  <si>
    <t>2012</t>
  </si>
  <si>
    <t>2013</t>
  </si>
  <si>
    <t>2014</t>
  </si>
  <si>
    <t>Passengers</t>
  </si>
  <si>
    <t>Distance Travelled (km)</t>
  </si>
  <si>
    <t>Average Distance Travelled (km)</t>
  </si>
  <si>
    <t>Million Passenger Kilometers</t>
  </si>
  <si>
    <t>CORK airport - MUENCHEN airport</t>
  </si>
  <si>
    <t>Passenger Kilometers</t>
  </si>
  <si>
    <t>CORK airport - GRAN CANARIA airport</t>
  </si>
  <si>
    <t>CORK airport - LANZAROTE airport</t>
  </si>
  <si>
    <t>CORK airport - TENERIFE SUR/REINA SOFIA airport</t>
  </si>
  <si>
    <t>CORK airport - ALICANTE airport</t>
  </si>
  <si>
    <t>CORK airport - BARCELONA/EL PRAT airport</t>
  </si>
  <si>
    <t>CORK airport - MALAGA/COSTA DEL SOL airport</t>
  </si>
  <si>
    <t>CORK airport - PALMA DE MALLORCA airport</t>
  </si>
  <si>
    <t>CORK airport - REUS airport</t>
  </si>
  <si>
    <t>CORK airport - NICE-COTE D'AZUR airport</t>
  </si>
  <si>
    <t>CORK airport - PARIS-CHARLES DE GAULLE airport</t>
  </si>
  <si>
    <t>CORK airport - DUBLIN airport</t>
  </si>
  <si>
    <t>CORK airport - ROMA/FIUMICINO airport</t>
  </si>
  <si>
    <t>CORK airport - VILNIUS INTL airport</t>
  </si>
  <si>
    <t>CORK airport - AMSTERDAM/SCHIPHOL airport</t>
  </si>
  <si>
    <t>CORK airport - GDANSK IM LECHA WALESY airport</t>
  </si>
  <si>
    <t>CORK airport - KRAKOW/BALICE airport</t>
  </si>
  <si>
    <t>CORK airport - KATOWICE/PYRZOWICE airport</t>
  </si>
  <si>
    <t>CORK airport - POZNAN/LAWICA airport</t>
  </si>
  <si>
    <t>CORK airport - CHOPINA W WARSZAWIE airport</t>
  </si>
  <si>
    <t>CORK airport - WROCLAW/STRACHOWICE airport</t>
  </si>
  <si>
    <t>CORK airport - FARO airport</t>
  </si>
  <si>
    <t>CORK airport - BIRMINGHAM airport</t>
  </si>
  <si>
    <t>CORK airport - MANCHESTER airport</t>
  </si>
  <si>
    <t>CORK airport - BRISTOL airport</t>
  </si>
  <si>
    <t>CORK airport - LIVERPOOL airport</t>
  </si>
  <si>
    <t>CORK airport - LONDON GATWICK airport</t>
  </si>
  <si>
    <t>CORK airport - LONDON HEATHROW airport</t>
  </si>
  <si>
    <t>CORK airport - NEWCASTLE airport</t>
  </si>
  <si>
    <t>CORK airport - EAST MIDLANDS airport</t>
  </si>
  <si>
    <t>CORK airport - GLASGOW airport</t>
  </si>
  <si>
    <t>CORK airport - EDINBURGH airport</t>
  </si>
  <si>
    <t>CORK airport - LONDON STANSTED airport</t>
  </si>
  <si>
    <t>GALWAY airport - DUBLIN airport</t>
  </si>
  <si>
    <t>GALWAY airport - MANCHESTER airport</t>
  </si>
  <si>
    <t>GALWAY airport - LONDON LUTON airport</t>
  </si>
  <si>
    <t>GALWAY airport - EDINBURGH airport</t>
  </si>
  <si>
    <t>DUBLIN airport - ABU DHABI INTERNATIONAL airport</t>
  </si>
  <si>
    <t>DUBLIN airport - DUBAI INTERNATIONAL airport</t>
  </si>
  <si>
    <t>DUBLIN airport - WIEN-SCHWECHAT airport</t>
  </si>
  <si>
    <t>DUBLIN airport - BRUSSELS airport</t>
  </si>
  <si>
    <t>DUBLIN airport - CHARLEROI/BRUSSELS SOUTH airport</t>
  </si>
  <si>
    <t>DUBLIN airport - TORONTO/LESTER B. PEARSON INTL, ON airport</t>
  </si>
  <si>
    <t>DUBLIN airport - GENEVA airport</t>
  </si>
  <si>
    <t>DUBLIN airport - ZURICH airport</t>
  </si>
  <si>
    <t>DUBLIN airport - PRAHA/RUZYNE airport</t>
  </si>
  <si>
    <t>DUBLIN airport - BERLIN-SCHOENEFELD airport</t>
  </si>
  <si>
    <t>DUBLIN airport - FRANKFURT/MAIN airport</t>
  </si>
  <si>
    <t>DUBLIN airport - HAMBURG airport</t>
  </si>
  <si>
    <t>DUBLIN airport - DUESSELDORF airport</t>
  </si>
  <si>
    <t>DUBLIN airport - MUENCHEN airport</t>
  </si>
  <si>
    <t>DUBLIN airport - FRANKFURT-HAHN airport</t>
  </si>
  <si>
    <t>DUBLIN airport - KOBENHAVN/KASTRUP airport</t>
  </si>
  <si>
    <t>DUBLIN airport - FUERTEVENTURA airport</t>
  </si>
  <si>
    <t>DUBLIN airport - GRAN CANARIA airport</t>
  </si>
  <si>
    <t>DUBLIN airport - LANZAROTE airport</t>
  </si>
  <si>
    <t>DUBLIN airport - TENERIFE SUR/REINA SOFIA airport</t>
  </si>
  <si>
    <t>DUBLIN airport - ALICANTE airport</t>
  </si>
  <si>
    <t>DUBLIN airport - BARCELONA/EL PRAT airport</t>
  </si>
  <si>
    <t>DUBLIN airport - GIRONA airport</t>
  </si>
  <si>
    <t>DUBLIN airport - MURCIA/SAN JAVIER airport</t>
  </si>
  <si>
    <t>DUBLIN airport - MADRID/BARAJAS airport</t>
  </si>
  <si>
    <t>DUBLIN airport - MALAGA/COSTA DEL SOL airport</t>
  </si>
  <si>
    <t>DUBLIN airport - PALMA DE MALLORCA airport</t>
  </si>
  <si>
    <t>DUBLIN airport - REUS airport</t>
  </si>
  <si>
    <t>DUBLIN airport - LYON SAINT-EXUPERY airport</t>
  </si>
  <si>
    <t>DUBLIN airport - NICE-COTE D'AZUR airport</t>
  </si>
  <si>
    <t>DUBLIN airport - BEAUVAIS-TILLE airport</t>
  </si>
  <si>
    <t>DUBLIN airport - PARIS-CHARLES DE GAULLE airport</t>
  </si>
  <si>
    <t>DUBLIN airport - BUDAPEST LISZT FERENC INTERNATIONAL airport</t>
  </si>
  <si>
    <t>DUBLIN airport - CORK airport</t>
  </si>
  <si>
    <t>DUBLIN airport - KERRY airport</t>
  </si>
  <si>
    <t>DUBLIN airport - MILANO/MALPENSA airport</t>
  </si>
  <si>
    <t>DUBLIN airport - BERGAMO/ORIO AL SERIO airport</t>
  </si>
  <si>
    <t>DUBLIN airport - MILANO/LINATE airport</t>
  </si>
  <si>
    <t>DUBLIN airport - ROMA/CIAMPINO (MIL.) airport</t>
  </si>
  <si>
    <t>DUBLIN airport - ROMA/FIUMICINO airport</t>
  </si>
  <si>
    <t>DUBLIN airport - KAUNAS INTL airport</t>
  </si>
  <si>
    <t>DUBLIN airport - VILNIUS INTL airport</t>
  </si>
  <si>
    <t>DUBLIN airport - RIGA airport</t>
  </si>
  <si>
    <t>DUBLIN airport - AMSTERDAM/SCHIPHOL airport</t>
  </si>
  <si>
    <t>DUBLIN airport - EINDHOVEN/EINDHOVEN airport</t>
  </si>
  <si>
    <t>DUBLIN airport - OSLO/GARDERMOEN airport</t>
  </si>
  <si>
    <t>DUBLIN airport - MOSS/RYGGE airport</t>
  </si>
  <si>
    <t>DUBLIN airport - KRAKOW/BALICE airport</t>
  </si>
  <si>
    <t>DUBLIN airport - WARSZAWA/MODLIN airport</t>
  </si>
  <si>
    <t>DUBLIN airport - CHOPINA W WARSZAWIE airport</t>
  </si>
  <si>
    <t>DUBLIN airport - WROCLAW/STRACHOWICE airport</t>
  </si>
  <si>
    <t>DUBLIN airport - FARO airport</t>
  </si>
  <si>
    <t>DUBLIN airport - LISBOA airport</t>
  </si>
  <si>
    <t>DUBLIN airport - BUCURESTI/HENRI COANDA airport</t>
  </si>
  <si>
    <t>DUBLIN airport - STOCKHOLM/ARLANDA airport</t>
  </si>
  <si>
    <t>DUBLIN airport - BRATISLAVA/M.R.STEFANIK airport</t>
  </si>
  <si>
    <t>DUBLIN airport - ISTANBUL/ATATURK airport</t>
  </si>
  <si>
    <t>DUBLIN airport - BIRMINGHAM airport</t>
  </si>
  <si>
    <t>DUBLIN airport - MANCHESTER airport</t>
  </si>
  <si>
    <t>DUBLIN airport - BRISTOL airport</t>
  </si>
  <si>
    <t>DUBLIN airport - LIVERPOOL airport</t>
  </si>
  <si>
    <t>DUBLIN airport - LONDON LUTON airport</t>
  </si>
  <si>
    <t>DUBLIN airport - SOUTHAMPTON airport</t>
  </si>
  <si>
    <t>DUBLIN airport - LONDON GATWICK airport</t>
  </si>
  <si>
    <t>DUBLIN airport - LONDON/CITY airport</t>
  </si>
  <si>
    <t>DUBLIN airport - LONDON HEATHROW airport</t>
  </si>
  <si>
    <t>DUBLIN airport - LEEDS BRADFORD airport</t>
  </si>
  <si>
    <t>DUBLIN airport - NEWCASTLE airport</t>
  </si>
  <si>
    <t>DUBLIN airport - EAST MIDLANDS airport</t>
  </si>
  <si>
    <t>DUBLIN airport - GLASGOW airport</t>
  </si>
  <si>
    <t>DUBLIN airport - EDINBURGH airport</t>
  </si>
  <si>
    <t>DUBLIN airport - PRESTWICK airport</t>
  </si>
  <si>
    <t>DUBLIN airport - LONDON STANSTED airport</t>
  </si>
  <si>
    <t>DUBLIN airport - HARTSFIELD - JACKSON ATLANTA INTERNATIONAL, GA. airport</t>
  </si>
  <si>
    <t>DUBLIN airport - BOSTON/GENERAL EDWARD LAWRENCE LOGAN INTERNATIONAL, MA. airport</t>
  </si>
  <si>
    <t>DUBLIN airport - NEWARK LIBERTY INTERNATIONAL, NJ. airport</t>
  </si>
  <si>
    <t>DUBLIN airport - WASHINGTON DULLES INTERNATIONAL, DC. airport</t>
  </si>
  <si>
    <t>DUBLIN airport - NEW YORK/JOHN F. KENNEDY INTERNATIONAL, NY. airport</t>
  </si>
  <si>
    <t>DUBLIN airport - ORLANDO INTERNATIONAL, FL. airport</t>
  </si>
  <si>
    <t>DUBLIN airport - CHICAGO - O'HARE INTERNATIONAL, IL. airport</t>
  </si>
  <si>
    <t>DUBLIN airport - PHILADELPHIA INTERNATIONAL, PA. airport</t>
  </si>
  <si>
    <t>DUBLIN airport - SAN FRANCISCO/INTL,CA. airport</t>
  </si>
  <si>
    <t>IRELAND WEST airport - LANZAROTE airport</t>
  </si>
  <si>
    <t>IRELAND WEST airport - ALICANTE airport</t>
  </si>
  <si>
    <t>IRELAND WEST airport - REUS airport</t>
  </si>
  <si>
    <t>IRELAND WEST airport - FARO airport</t>
  </si>
  <si>
    <t>IRELAND WEST airport - BIRMINGHAM airport</t>
  </si>
  <si>
    <t>IRELAND WEST airport - MANCHESTER airport</t>
  </si>
  <si>
    <t>IRELAND WEST airport - BRISTOL airport</t>
  </si>
  <si>
    <t>IRELAND WEST airport - LIVERPOOL airport</t>
  </si>
  <si>
    <t>IRELAND WEST airport - LONDON LUTON airport</t>
  </si>
  <si>
    <t>IRELAND WEST airport - LONDON GATWICK airport</t>
  </si>
  <si>
    <t>IRELAND WEST airport - LEEDS BRADFORD airport</t>
  </si>
  <si>
    <t>IRELAND WEST airport - EAST MIDLANDS airport</t>
  </si>
  <si>
    <t>IRELAND WEST airport - LONDON STANSTED airport</t>
  </si>
  <si>
    <t>KERRY airport - FRANKFURT-HAHN airport</t>
  </si>
  <si>
    <t>KERRY airport - ALICANTE airport</t>
  </si>
  <si>
    <t>KERRY airport - DUBLIN airport</t>
  </si>
  <si>
    <t>KERRY airport - FARO airport</t>
  </si>
  <si>
    <t>KERRY airport - LONDON LUTON airport</t>
  </si>
  <si>
    <t>KERRY airport - LONDON STANSTED airport</t>
  </si>
  <si>
    <t>SHANNON airport - BERLIN-SCHOENEFELD airport</t>
  </si>
  <si>
    <t>SHANNON airport - MEMMINGEN airport</t>
  </si>
  <si>
    <t>SHANNON airport - LANZAROTE airport</t>
  </si>
  <si>
    <t>SHANNON airport - ALICANTE airport</t>
  </si>
  <si>
    <t>SHANNON airport - MALAGA/COSTA DEL SOL airport</t>
  </si>
  <si>
    <t>SHANNON airport - PALMA DE MALLORCA airport</t>
  </si>
  <si>
    <t>SHANNON airport - BEAUVAIS-TILLE airport</t>
  </si>
  <si>
    <t>SHANNON airport - PARIS-CHARLES DE GAULLE airport</t>
  </si>
  <si>
    <t>SHANNON airport - NANTES ATLANTIQUE airport</t>
  </si>
  <si>
    <t>SHANNON airport - DUBLIN airport</t>
  </si>
  <si>
    <t>SHANNON airport - KRAKOW/BALICE airport</t>
  </si>
  <si>
    <t>SHANNON airport - WARSZAWA/MODLIN airport</t>
  </si>
  <si>
    <t>SHANNON airport - WROCLAW/STRACHOWICE airport</t>
  </si>
  <si>
    <t>SHANNON airport - FARO airport</t>
  </si>
  <si>
    <t>SHANNON airport - BIRMINGHAM airport</t>
  </si>
  <si>
    <t>SHANNON airport - MANCHESTER airport</t>
  </si>
  <si>
    <t>SHANNON airport - BRISTOL airport</t>
  </si>
  <si>
    <t>SHANNON airport - LIVERPOOL airport</t>
  </si>
  <si>
    <t>SHANNON airport - LONDON GATWICK airport</t>
  </si>
  <si>
    <t>SHANNON airport - LONDON HEATHROW airport</t>
  </si>
  <si>
    <t>SHANNON airport - EDINBURGH airport</t>
  </si>
  <si>
    <t>SHANNON airport - LONDON STANSTED airport</t>
  </si>
  <si>
    <t>SHANNON airport - BOSTON/GENERAL EDWARD LAWRENCE LOGAN INTERNATIONAL, MA. airport</t>
  </si>
  <si>
    <t>SHANNON airport - NEWARK LIBERTY INTERNATIONAL, NJ. airport</t>
  </si>
  <si>
    <t>SHANNON airport - NEW YORK/JOHN F. KENNEDY INTERNATIONAL, NY. airport</t>
  </si>
  <si>
    <t>SHANNON airport - CHICAGO - O'HARE INTERNATIONAL, IL. airport</t>
  </si>
  <si>
    <t>SHANNON airport - PHILADELPHIA INTERNATIONAL, PA. airport</t>
  </si>
  <si>
    <t>Origin</t>
  </si>
  <si>
    <t>Destination</t>
  </si>
  <si>
    <t>Distance (km)</t>
  </si>
  <si>
    <t xml:space="preserve">CORK airport </t>
  </si>
  <si>
    <t xml:space="preserve"> BRUSSELS airport</t>
  </si>
  <si>
    <t xml:space="preserve"> MUENCHEN airport</t>
  </si>
  <si>
    <t xml:space="preserve"> GRAN CANARIA airport</t>
  </si>
  <si>
    <t xml:space="preserve"> LANZAROTE airport</t>
  </si>
  <si>
    <t xml:space="preserve"> TENERIFE SUR/REINA SOFIA airport</t>
  </si>
  <si>
    <t xml:space="preserve"> ALICANTE airport</t>
  </si>
  <si>
    <t xml:space="preserve"> BARCELONA/EL PRAT airport</t>
  </si>
  <si>
    <t xml:space="preserve"> MALAGA/COSTA DEL SOL airport</t>
  </si>
  <si>
    <t xml:space="preserve"> PALMA DE MALLORCA airport</t>
  </si>
  <si>
    <t xml:space="preserve"> REUS airport</t>
  </si>
  <si>
    <t xml:space="preserve"> NICE - COTE D'AZUR airport</t>
  </si>
  <si>
    <t xml:space="preserve"> PARIS - CHARLES DE GAULLE airport</t>
  </si>
  <si>
    <t xml:space="preserve"> DUBLIN airport</t>
  </si>
  <si>
    <t xml:space="preserve"> ROMA/FIUMICINO airport</t>
  </si>
  <si>
    <t xml:space="preserve"> VILNIUS INTL airport</t>
  </si>
  <si>
    <t xml:space="preserve"> AMSTERDAM/SCHIPHOL airport</t>
  </si>
  <si>
    <t xml:space="preserve"> GDANSK IM LECHA WALESY airport</t>
  </si>
  <si>
    <t xml:space="preserve"> KRAKOW/BALICE airport</t>
  </si>
  <si>
    <t xml:space="preserve"> KATOWICE/PYRZOWICE airport</t>
  </si>
  <si>
    <t xml:space="preserve"> POZNAN/LAWICA airport</t>
  </si>
  <si>
    <t xml:space="preserve"> CHOPINA W WARSZAWIE airport</t>
  </si>
  <si>
    <t xml:space="preserve"> WROCLAW/STRACHOWICE airport</t>
  </si>
  <si>
    <t xml:space="preserve"> FARO airport</t>
  </si>
  <si>
    <t xml:space="preserve"> BIRMINGHAM airport</t>
  </si>
  <si>
    <t xml:space="preserve"> MANCHESTER airport</t>
  </si>
  <si>
    <t xml:space="preserve"> BRISTOL airport</t>
  </si>
  <si>
    <t xml:space="preserve"> LIVERPOOL airport</t>
  </si>
  <si>
    <t xml:space="preserve"> LONDON GATWICK airport</t>
  </si>
  <si>
    <t xml:space="preserve"> LONDON HEATHROW airport</t>
  </si>
  <si>
    <t xml:space="preserve"> NEWCASTLE airport</t>
  </si>
  <si>
    <t xml:space="preserve"> EAST MIDLANDS airport</t>
  </si>
  <si>
    <t xml:space="preserve"> GLASGOW airport</t>
  </si>
  <si>
    <t xml:space="preserve"> EDINBURGH airport</t>
  </si>
  <si>
    <t xml:space="preserve"> LONDON STANSTED airport</t>
  </si>
  <si>
    <t xml:space="preserve">GALWAY airport </t>
  </si>
  <si>
    <t xml:space="preserve"> LONDON LUTON airport</t>
  </si>
  <si>
    <t xml:space="preserve">DUBLIN airport </t>
  </si>
  <si>
    <t xml:space="preserve"> ABU DHABI INTERNATIONAL airport</t>
  </si>
  <si>
    <t xml:space="preserve"> DUBAI INTERNATIONAL airport</t>
  </si>
  <si>
    <t xml:space="preserve"> WIEN - SCHWECHAT airport</t>
  </si>
  <si>
    <t xml:space="preserve"> CHARLEROI/BRUSSELS SOUTH airport</t>
  </si>
  <si>
    <t xml:space="preserve"> TORONTO/LESTER B. PEARSON INTL, ON airport</t>
  </si>
  <si>
    <t xml:space="preserve"> GENEVA airport</t>
  </si>
  <si>
    <t xml:space="preserve"> ZURICH airport</t>
  </si>
  <si>
    <t xml:space="preserve"> PRAHA/RUZYNE airport</t>
  </si>
  <si>
    <t xml:space="preserve"> BERLIN - SCHOENEFELD airport</t>
  </si>
  <si>
    <t xml:space="preserve"> FRANKFURT/MAIN airport</t>
  </si>
  <si>
    <t xml:space="preserve"> HAMBURG airport</t>
  </si>
  <si>
    <t xml:space="preserve"> DUESSELDORF airport</t>
  </si>
  <si>
    <t xml:space="preserve"> FRANKFURT - HAHN airport</t>
  </si>
  <si>
    <t xml:space="preserve"> KOBENHAVN/KASTRUP airport</t>
  </si>
  <si>
    <t xml:space="preserve"> FUERTEVENTURA airport</t>
  </si>
  <si>
    <t xml:space="preserve"> GIRONA airport</t>
  </si>
  <si>
    <t xml:space="preserve"> MURCIA/SAN JAVIER airport</t>
  </si>
  <si>
    <t xml:space="preserve"> MADRID/BARAJAS airport</t>
  </si>
  <si>
    <t xml:space="preserve"> LYON SAINT - EXUPERY airport</t>
  </si>
  <si>
    <t xml:space="preserve"> BEAUVAIS - TILLE airport</t>
  </si>
  <si>
    <t xml:space="preserve"> BUDAPEST LISZT FERENC INTERNATIONAL airport</t>
  </si>
  <si>
    <t xml:space="preserve"> CORK airport</t>
  </si>
  <si>
    <t xml:space="preserve"> KERRY airport</t>
  </si>
  <si>
    <t xml:space="preserve"> MILANO/MALPENSA airport</t>
  </si>
  <si>
    <t xml:space="preserve"> BERGAMO/ORIO AL SERIO airport</t>
  </si>
  <si>
    <t xml:space="preserve"> MILANO/LINATE airport</t>
  </si>
  <si>
    <t xml:space="preserve"> ROMA/CIAMPINO (MIL.) airport</t>
  </si>
  <si>
    <t xml:space="preserve"> KAUNAS INTL airport</t>
  </si>
  <si>
    <t xml:space="preserve"> RIGA airport</t>
  </si>
  <si>
    <t xml:space="preserve"> EINDHOVEN/EINDHOVEN airport</t>
  </si>
  <si>
    <t xml:space="preserve"> OSLO/GARDERMOEN airport</t>
  </si>
  <si>
    <t xml:space="preserve"> MOSS/RYGGE airport</t>
  </si>
  <si>
    <t xml:space="preserve"> WARSZAWA/MODLIN airport</t>
  </si>
  <si>
    <t xml:space="preserve"> LISBOA airport</t>
  </si>
  <si>
    <t xml:space="preserve"> BUCURESTI/HENRI COANDA airport</t>
  </si>
  <si>
    <t xml:space="preserve"> STOCKHOLM/ARLANDA airport</t>
  </si>
  <si>
    <t xml:space="preserve"> BRATISLAVA/M.R.STEFANIK airport</t>
  </si>
  <si>
    <t xml:space="preserve"> ISTANBUL/ATATURK airport</t>
  </si>
  <si>
    <t xml:space="preserve"> SOUTHAMPTON airport</t>
  </si>
  <si>
    <t xml:space="preserve"> LONDON/CITY airport</t>
  </si>
  <si>
    <t xml:space="preserve"> LEEDS BRADFORD airport</t>
  </si>
  <si>
    <t xml:space="preserve"> PRESTWICK airport</t>
  </si>
  <si>
    <t xml:space="preserve"> HARTSFIELD -  JACKSON ATLANTA INTERNATIONAL, GA. Airport</t>
  </si>
  <si>
    <t xml:space="preserve"> BOSTON/GENERAL EDWARD LAWRENCE LOGAN INTERNATIONAL, MA. airport</t>
  </si>
  <si>
    <t xml:space="preserve"> NEWARK LIBERTY INTERNATIONAL, NJ. airport</t>
  </si>
  <si>
    <t xml:space="preserve"> WASHINGTON DULLES INTERNATIONAL, DC. airport</t>
  </si>
  <si>
    <t xml:space="preserve"> NEW YORK/JOHN F. KENNEDY INTERNATIONAL, NY. airport</t>
  </si>
  <si>
    <t xml:space="preserve"> ORLANDO INTERNATIONAL, FL. airport</t>
  </si>
  <si>
    <t xml:space="preserve"> CHICAGO - O'HARE INTERNATIONAL, IL. Airport</t>
  </si>
  <si>
    <t xml:space="preserve"> PHILADELPHIA INTERNATIONAL, PA. airport</t>
  </si>
  <si>
    <t xml:space="preserve"> SAN FRANCISCO/INTL,CA. airport</t>
  </si>
  <si>
    <t xml:space="preserve">IRELAND WEST airport </t>
  </si>
  <si>
    <t xml:space="preserve">KERRY airport </t>
  </si>
  <si>
    <t xml:space="preserve">SHANNON airport </t>
  </si>
  <si>
    <t xml:space="preserve"> MEMMINGEN airport</t>
  </si>
  <si>
    <t xml:space="preserve"> NANTES ATLANTIQUE airport</t>
  </si>
  <si>
    <t xml:space="preserve"> CHICAGO -  O'HARE INTERNATIONAL, IL. Airport</t>
  </si>
  <si>
    <t>CSO Data on Air Freight</t>
  </si>
  <si>
    <t>Air Freight ( kt)</t>
  </si>
  <si>
    <t xml:space="preserve">  Dublin</t>
  </si>
  <si>
    <t xml:space="preserve">  Shannon</t>
  </si>
  <si>
    <t xml:space="preserve">  Cork</t>
  </si>
  <si>
    <t xml:space="preserve">  Galway</t>
  </si>
  <si>
    <t xml:space="preserve">  Kerry</t>
  </si>
  <si>
    <t xml:space="preserve">  Knock</t>
  </si>
  <si>
    <t xml:space="preserve">    Arrival</t>
  </si>
  <si>
    <t xml:space="preserve">    Departure</t>
  </si>
  <si>
    <t>Activity &amp; Demand Index</t>
  </si>
  <si>
    <t>Activity Aircraft Movements</t>
  </si>
  <si>
    <t>Total Aviation Energy</t>
  </si>
  <si>
    <t>National Energy (ktoe)</t>
  </si>
  <si>
    <t>International Energy (ktoe)</t>
  </si>
  <si>
    <t>Activity Passenger numbers ('000)</t>
  </si>
  <si>
    <t>Passenger Kilometers (Million)</t>
  </si>
  <si>
    <t>Domestic Aviation (ktoe)</t>
  </si>
  <si>
    <t>LGV (ktoe)</t>
  </si>
  <si>
    <t>HGV (ktoe)</t>
  </si>
  <si>
    <t>Private Cars (ktoe)</t>
  </si>
  <si>
    <t>Dublin Bus</t>
  </si>
  <si>
    <t>Luas</t>
  </si>
  <si>
    <t>Rail</t>
  </si>
  <si>
    <t>Thousands</t>
  </si>
  <si>
    <t>Scheduled services</t>
  </si>
  <si>
    <t>Dublin city services</t>
  </si>
  <si>
    <t>Provincial city and town services</t>
  </si>
  <si>
    <t>Other scheduled services</t>
  </si>
  <si>
    <t>School transport scheme</t>
  </si>
  <si>
    <t>Total passengers</t>
  </si>
  <si>
    <t>Vehicle kilometres</t>
  </si>
  <si>
    <t>Total vehicle kilometres</t>
  </si>
  <si>
    <t>Litres of fuel used</t>
  </si>
  <si>
    <t>Dublin Bus - diesel</t>
  </si>
  <si>
    <t>*</t>
  </si>
  <si>
    <t>Bus Éireann - diesel</t>
  </si>
  <si>
    <t>Total fuel used</t>
  </si>
  <si>
    <t>Summary of scheduled bus passenger services, 2006 - 2014</t>
  </si>
  <si>
    <t>Million</t>
  </si>
  <si>
    <t>City/town services</t>
  </si>
  <si>
    <t>Cork city</t>
  </si>
  <si>
    <t>Galway city</t>
  </si>
  <si>
    <t xml:space="preserve">Limerick city </t>
  </si>
  <si>
    <t>Waterford city</t>
  </si>
  <si>
    <t>Stage carriage/commuter</t>
  </si>
  <si>
    <t>Expressway/eurolines</t>
  </si>
  <si>
    <t>Schools</t>
  </si>
  <si>
    <t>Other services</t>
  </si>
  <si>
    <t>Source: Bus Éireann</t>
  </si>
  <si>
    <t>Bus Éireann passenger numbers, 2011 - 2014</t>
  </si>
  <si>
    <t>Source: Bus Éireann/Dublin Bus</t>
  </si>
  <si>
    <t>Number of buses</t>
  </si>
  <si>
    <t>Limerick city</t>
  </si>
  <si>
    <t>Sligo town</t>
  </si>
  <si>
    <t>Navan town</t>
  </si>
  <si>
    <t>Athlone town</t>
  </si>
  <si>
    <t>Dundalk, Drogheda, Balbriggan</t>
  </si>
  <si>
    <t>Bus Éireann fleet, 2011 - 2014</t>
  </si>
  <si>
    <t>Number of licensed bus operators by county, 2007 - 2012</t>
  </si>
  <si>
    <t>Number of passengers</t>
  </si>
  <si>
    <t>Source: DTTAS</t>
  </si>
  <si>
    <t>Operator</t>
  </si>
  <si>
    <t>Bus Éireann</t>
  </si>
  <si>
    <t>Bus Éireann - City Fleet</t>
  </si>
  <si>
    <t>Bus Éireann - Services Fleet</t>
  </si>
  <si>
    <t>7.5 years</t>
  </si>
  <si>
    <t>5.6 Years</t>
  </si>
  <si>
    <t>5.4 Years</t>
  </si>
  <si>
    <t>Source: Bus Bulletin 2013</t>
  </si>
  <si>
    <t>Average Age - 2012</t>
  </si>
  <si>
    <t>Red line</t>
  </si>
  <si>
    <t>Green line</t>
  </si>
  <si>
    <t>Number of trams</t>
  </si>
  <si>
    <t>Capacity of tram</t>
  </si>
  <si>
    <t>Passengers carried</t>
  </si>
  <si>
    <t>Passenger kilometres</t>
  </si>
  <si>
    <t>Average number of stops per passenger</t>
  </si>
  <si>
    <t>Timeliness (% services to timetable)</t>
  </si>
  <si>
    <t>Luas infrastructure, 2014</t>
  </si>
  <si>
    <t>Mainline and other services</t>
  </si>
  <si>
    <t>..</t>
  </si>
  <si>
    <t>Dublin suburban services</t>
  </si>
  <si>
    <t>DART</t>
  </si>
  <si>
    <t>International journeys</t>
  </si>
  <si>
    <t>Freight traffic tonnes</t>
  </si>
  <si>
    <t>Freight traffic tonnes kilometres</t>
  </si>
  <si>
    <t>.. Data not available at time of publication.</t>
  </si>
  <si>
    <r>
      <rPr>
        <vertAlign val="superscript"/>
        <sz val="8"/>
        <rFont val="Arial"/>
        <family val="2"/>
      </rPr>
      <t>1</t>
    </r>
    <r>
      <rPr>
        <sz val="8"/>
        <rFont val="Arial"/>
        <family val="2"/>
      </rPr>
      <t xml:space="preserve"> Decrease in passengers in mainline and other services in 2013 is due to the reclassification of Kildare, Navan and Wicklow </t>
    </r>
  </si>
  <si>
    <t xml:space="preserve">   previously included in mainline services now included in Dublin suburban.</t>
  </si>
  <si>
    <r>
      <rPr>
        <vertAlign val="superscript"/>
        <sz val="8"/>
        <rFont val="Arial"/>
        <family val="2"/>
      </rPr>
      <t>2</t>
    </r>
    <r>
      <rPr>
        <sz val="8"/>
        <rFont val="Arial"/>
        <family val="2"/>
      </rPr>
      <t xml:space="preserve"> Increase in passengers in Dublin surburban services in 2013 is due to the reclassification of Kildare, Navan and Wicklow </t>
    </r>
  </si>
  <si>
    <t>Source: Iarnród Éireann</t>
  </si>
  <si>
    <t>Summary of passenger and freight traffic by rail, 2008- 2014</t>
  </si>
  <si>
    <t>Luas infrastructure, 2012</t>
  </si>
  <si>
    <t>Vehicle Kilometers ('000)</t>
  </si>
  <si>
    <t>Passenger Kilometers ('000)</t>
  </si>
  <si>
    <t>Year/Operator Seat km (Millions)</t>
  </si>
  <si>
    <t>Passengers ('000)</t>
  </si>
  <si>
    <t>Source: Railway Procurement Agency</t>
  </si>
  <si>
    <t>Luas infrastructure, 2013</t>
  </si>
  <si>
    <t>Luas infrastructure, 2009</t>
  </si>
  <si>
    <t>Luas infrastructure, 2010</t>
  </si>
  <si>
    <t>Luas infrastructure, 2011</t>
  </si>
  <si>
    <t>Luas infrastructure, 2008</t>
  </si>
  <si>
    <t>Luas infrastructure, 2006</t>
  </si>
  <si>
    <t>Luas infrastructure, 2007</t>
  </si>
  <si>
    <t>Specific Energy Consumption</t>
  </si>
  <si>
    <t>Energy (ktoe)</t>
  </si>
  <si>
    <t>SEAI Energy Balance</t>
  </si>
  <si>
    <t xml:space="preserve">Electricity for traction </t>
  </si>
  <si>
    <t xml:space="preserve">Diesel oil for traction </t>
  </si>
  <si>
    <t xml:space="preserve">Road Fuel </t>
  </si>
  <si>
    <t xml:space="preserve">Electricity other </t>
  </si>
  <si>
    <t xml:space="preserve">Gas for heating </t>
  </si>
  <si>
    <t xml:space="preserve">Total Energy use MWhr </t>
  </si>
  <si>
    <t xml:space="preserve">Passenger M km </t>
  </si>
  <si>
    <t xml:space="preserve">Total Energy use MWhr per 10,000 Passenger km </t>
  </si>
  <si>
    <t xml:space="preserve">Train M km </t>
  </si>
  <si>
    <t xml:space="preserve">Total Energy use MWhr per 100 Train km </t>
  </si>
  <si>
    <t xml:space="preserve">Number of Electricity Accounts (MPRN) </t>
  </si>
  <si>
    <t xml:space="preserve">Cost of Energy based on Diesel Oil </t>
  </si>
  <si>
    <t>Multiplying Factor</t>
  </si>
  <si>
    <t>Factor</t>
  </si>
  <si>
    <t>Average Mileage</t>
  </si>
  <si>
    <t>Total Mileage</t>
  </si>
  <si>
    <t>Total Energy</t>
  </si>
  <si>
    <t>SEC (MJ/pkm)</t>
  </si>
  <si>
    <t>Rail (ktoe/million pkm)</t>
  </si>
  <si>
    <t>Luas (ktoe/million pkm)</t>
  </si>
  <si>
    <t>Measure</t>
  </si>
  <si>
    <t>Vehicle</t>
  </si>
  <si>
    <t>Fuel</t>
  </si>
  <si>
    <t>CC Band</t>
  </si>
  <si>
    <t>Units</t>
  </si>
  <si>
    <t>Statistics For Public Service Vehicles, By Vehicle Category</t>
  </si>
  <si>
    <t>National Vehicle Stock</t>
  </si>
  <si>
    <t>PSV</t>
  </si>
  <si>
    <t>Small PSV</t>
  </si>
  <si>
    <t>Vehicles</t>
  </si>
  <si>
    <t>Combined</t>
  </si>
  <si>
    <t>NCT National Vehicle Stock</t>
  </si>
  <si>
    <t>Hackney</t>
  </si>
  <si>
    <t>Taxi</t>
  </si>
  <si>
    <t>WC Accessible</t>
  </si>
  <si>
    <t>Limo</t>
  </si>
  <si>
    <t>Average Annual Distance</t>
  </si>
  <si>
    <t>Miles/Year</t>
  </si>
  <si>
    <t>Annual Average Distance in Miles for Private Diesel Cars By Engine CC Band</t>
  </si>
  <si>
    <t>Taxi &amp; Hack</t>
  </si>
  <si>
    <t>Miles</t>
  </si>
  <si>
    <t>Kilometers</t>
  </si>
  <si>
    <t>Average Combined (Metric)</t>
  </si>
  <si>
    <t>1801-1900</t>
  </si>
  <si>
    <t>l/100km</t>
  </si>
  <si>
    <t>1901-2000</t>
  </si>
  <si>
    <t>2001-2100</t>
  </si>
  <si>
    <t>2101-2200</t>
  </si>
  <si>
    <t>1801-2200</t>
  </si>
  <si>
    <t>Average Urban (Metric)</t>
  </si>
  <si>
    <t>Average Urban (Met) + Factor</t>
  </si>
  <si>
    <t>Average Annual Consumption</t>
  </si>
  <si>
    <t>Litres/Year</t>
  </si>
  <si>
    <t>ktoe/Year</t>
  </si>
  <si>
    <t>National VehicleStock</t>
  </si>
  <si>
    <t>National Annual Fuel Consumption</t>
  </si>
  <si>
    <t>Tonnes/Year</t>
  </si>
  <si>
    <t>toe/Year</t>
  </si>
  <si>
    <t>Rail - Diesel</t>
  </si>
  <si>
    <t>Rail - Electric</t>
  </si>
  <si>
    <t>Taxis and Hackneys - Diesel</t>
  </si>
  <si>
    <t>Taxis and Hackneys - Petrol</t>
  </si>
  <si>
    <t>Total goods handled</t>
  </si>
  <si>
    <t>Source: CSO</t>
  </si>
  <si>
    <t>Region of trade</t>
  </si>
  <si>
    <t>Goods handled</t>
  </si>
  <si>
    <t>Foreign trade</t>
  </si>
  <si>
    <t>Great Britain &amp; Northern Ireland</t>
  </si>
  <si>
    <t>Other E.U.</t>
  </si>
  <si>
    <t>Non-E.U.</t>
  </si>
  <si>
    <t>Other ports</t>
  </si>
  <si>
    <t>Coastal trade</t>
  </si>
  <si>
    <t>Goods received</t>
  </si>
  <si>
    <t>Total goods received</t>
  </si>
  <si>
    <t>Goods forwarded</t>
  </si>
  <si>
    <t>Non E.U.</t>
  </si>
  <si>
    <t>Total goods forwarded</t>
  </si>
  <si>
    <t>Tonnage of goods handled by Irish ports classified by region of trade, 2008-2014</t>
  </si>
  <si>
    <t>'000 tonnes</t>
  </si>
  <si>
    <t>Non-EU</t>
  </si>
  <si>
    <t>Domestic</t>
  </si>
  <si>
    <t>Domestic million pkm</t>
  </si>
  <si>
    <t>EU million pkm</t>
  </si>
  <si>
    <t>Non-EU million pkm</t>
  </si>
  <si>
    <t>Percentage of Flights</t>
  </si>
  <si>
    <t>EU Aviation (ktoe)</t>
  </si>
  <si>
    <t>Non-EU Aviation (ktoe)</t>
  </si>
  <si>
    <t>~FI_Comm</t>
  </si>
  <si>
    <t>~FI_Process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</si>
  <si>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</si>
  <si>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</si>
  <si>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</si>
  <si>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</si>
  <si>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</si>
  <si>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</si>
  <si>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</si>
  <si>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</si>
  <si>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Sets</t>
  </si>
  <si>
    <t>TechName</t>
  </si>
  <si>
    <t>TechDesc</t>
  </si>
  <si>
    <t>Tact</t>
  </si>
  <si>
    <t>Tcap</t>
  </si>
  <si>
    <t>Tslvl</t>
  </si>
  <si>
    <t>PrimaryCG</t>
  </si>
  <si>
    <t>000V</t>
  </si>
  <si>
    <t>~FI_T</t>
  </si>
  <si>
    <t>*TechDesc</t>
  </si>
  <si>
    <t>Comm-IN</t>
  </si>
  <si>
    <t>Comm-OUT</t>
  </si>
  <si>
    <t>*Technology Name</t>
  </si>
  <si>
    <t>Technology Description</t>
  </si>
  <si>
    <t>Input Commodity</t>
  </si>
  <si>
    <t>Output Commodity</t>
  </si>
  <si>
    <t>TRAGSL</t>
  </si>
  <si>
    <t>TCAR</t>
  </si>
  <si>
    <t>EFF</t>
  </si>
  <si>
    <t>ACTFLO</t>
  </si>
  <si>
    <t>Occupancy</t>
  </si>
  <si>
    <t>Efficiency (MVkm/PJ)</t>
  </si>
  <si>
    <t>Mileage</t>
  </si>
  <si>
    <t>Vehicle Efficiency</t>
  </si>
  <si>
    <t>Vehicle Stock</t>
  </si>
  <si>
    <t>Vehicle Mileage</t>
  </si>
  <si>
    <t>Vehicle Occupancy</t>
  </si>
  <si>
    <t>*Petrol Cars</t>
  </si>
  <si>
    <t>*Diesel Cars</t>
  </si>
  <si>
    <t>*Petrol and Ethanol</t>
  </si>
  <si>
    <t>*Petrol and Electric</t>
  </si>
  <si>
    <t>NRG</t>
  </si>
  <si>
    <t>TRADST</t>
  </si>
  <si>
    <t>TRAELC</t>
  </si>
  <si>
    <t>Gasoline (TRA)</t>
  </si>
  <si>
    <t>Diesel (TRA)</t>
  </si>
  <si>
    <t>Electricity (TRA)</t>
  </si>
  <si>
    <t>PJ</t>
  </si>
  <si>
    <t>ELC</t>
  </si>
  <si>
    <t>DAYNITE</t>
  </si>
  <si>
    <t>DEM</t>
  </si>
  <si>
    <t>Private Transport Demand</t>
  </si>
  <si>
    <t>Commodities and Processes</t>
  </si>
  <si>
    <t>*LGV</t>
  </si>
  <si>
    <t>*HGV</t>
  </si>
  <si>
    <t>Freight Transport - LGV Gasoline</t>
  </si>
  <si>
    <t>Freight Transport - LGV Diesel</t>
  </si>
  <si>
    <t>Freight Transport - HGV Gasoline</t>
  </si>
  <si>
    <t>Freight Transport - HGV Diesel</t>
  </si>
  <si>
    <t>Mpkm</t>
  </si>
  <si>
    <t>DMD</t>
  </si>
  <si>
    <t>Mtkm</t>
  </si>
  <si>
    <t xml:space="preserve">Commodities </t>
  </si>
  <si>
    <t>Processes</t>
  </si>
  <si>
    <t>Vehicle Tonnage</t>
  </si>
  <si>
    <t>Tonnage</t>
  </si>
  <si>
    <t>Aviation Existing - Domestic</t>
  </si>
  <si>
    <t>Aviation Existing - International EU</t>
  </si>
  <si>
    <t>Aviation Existing - International Non-EU</t>
  </si>
  <si>
    <t>PJ-a</t>
  </si>
  <si>
    <t>TRAKER</t>
  </si>
  <si>
    <t>Kerosene (TRA)</t>
  </si>
  <si>
    <t>Cap2Act</t>
  </si>
  <si>
    <t>Aviation</t>
  </si>
  <si>
    <t>Fuel Techs - Sectoral infrastructure</t>
  </si>
  <si>
    <t>PRE</t>
  </si>
  <si>
    <t>OILDST</t>
  </si>
  <si>
    <t>OILGSL</t>
  </si>
  <si>
    <t>OILKER</t>
  </si>
  <si>
    <t>ELCD</t>
  </si>
  <si>
    <t>PJa</t>
  </si>
  <si>
    <t>~COMEMI</t>
  </si>
  <si>
    <t>*Unit</t>
  </si>
  <si>
    <t>kt/PJ</t>
  </si>
  <si>
    <t>Emission - Dynamic coefficients</t>
  </si>
  <si>
    <t>TRACO2N</t>
  </si>
  <si>
    <t>TRACH4N</t>
  </si>
  <si>
    <t>TRASO2N</t>
  </si>
  <si>
    <t>TRANOXN</t>
  </si>
  <si>
    <t>Attribute</t>
  </si>
  <si>
    <t>*Source</t>
  </si>
  <si>
    <t>Demand</t>
  </si>
  <si>
    <t>ENV</t>
  </si>
  <si>
    <t>Methane (TRA)</t>
  </si>
  <si>
    <t>Sulphur Oxides (TRA)</t>
  </si>
  <si>
    <t>Nitrogen Oxide (TRA)</t>
  </si>
  <si>
    <t>kt</t>
  </si>
  <si>
    <t>BIOETH2G</t>
  </si>
  <si>
    <t>BIOETH1G</t>
  </si>
  <si>
    <t>~FI_T: Stock</t>
  </si>
  <si>
    <t>~FI_T: EFF</t>
  </si>
  <si>
    <t>~FI_T: AF</t>
  </si>
  <si>
    <t>Light Medium Petrol and Ethanol Cars - Age Profile</t>
  </si>
  <si>
    <t>Light Medium Petrol and Ethanol Cars - Probablility of Survival</t>
  </si>
  <si>
    <t>Light Medium Petrol and Electric Cars - Age Profile</t>
  </si>
  <si>
    <t>Light Medium Petrol and Electric Cars - Probablility of Survival</t>
  </si>
  <si>
    <t>Heavy Medium Petrol and Ethanol Cars - Age Profile</t>
  </si>
  <si>
    <t>Heavy Medium Petrol and Ethanol Cars - Probablility of Survival</t>
  </si>
  <si>
    <t>Heavy Medium Petrol and Electric Cars - Age Profile</t>
  </si>
  <si>
    <t>Heavy Medium Petrol and Electric Cars - Probablility of Survival</t>
  </si>
  <si>
    <t>Large Petrol and Ethanol Cars - Age Profile</t>
  </si>
  <si>
    <t>Large Petrol and Ethanol Cars - Probablility of Survival</t>
  </si>
  <si>
    <t>Large Petrol and Electric Cars - Age Profile</t>
  </si>
  <si>
    <t>Large Petrol and Electric Cars - Probablility of Survival</t>
  </si>
  <si>
    <t>Efficiency (MJ/vkm)</t>
  </si>
  <si>
    <t>Mileage (Vkm)</t>
  </si>
  <si>
    <t>PHEV</t>
  </si>
  <si>
    <t>Electricity</t>
  </si>
  <si>
    <r>
      <t>t CO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/TJ</t>
    </r>
  </si>
  <si>
    <t>Feedstock</t>
  </si>
  <si>
    <t>Description</t>
  </si>
  <si>
    <t>Fuel Type</t>
  </si>
  <si>
    <t>Total Volume (l)</t>
  </si>
  <si>
    <t>Volume Reported as Actual Values (l)</t>
  </si>
  <si>
    <t>Percentage of Total Volume of Feedstock (%)</t>
  </si>
  <si>
    <t>ECCORN</t>
  </si>
  <si>
    <t>NECCOR</t>
  </si>
  <si>
    <t>SCANE</t>
  </si>
  <si>
    <t>WHEAT</t>
  </si>
  <si>
    <t>Wheat</t>
  </si>
  <si>
    <t>SBEET</t>
  </si>
  <si>
    <t>BARL</t>
  </si>
  <si>
    <t>Barley</t>
  </si>
  <si>
    <t>UCO</t>
  </si>
  <si>
    <t>TALL1</t>
  </si>
  <si>
    <t>OSR</t>
  </si>
  <si>
    <t>SBE</t>
  </si>
  <si>
    <t>PALM</t>
  </si>
  <si>
    <t>SOY</t>
  </si>
  <si>
    <t>Soybean</t>
  </si>
  <si>
    <t>TALL3</t>
  </si>
  <si>
    <t>Bioethanol</t>
  </si>
  <si>
    <t>Biodiesel</t>
  </si>
  <si>
    <t>Corn – EC</t>
  </si>
  <si>
    <t>Corn – Non EC</t>
  </si>
  <si>
    <t>Sugar Cane</t>
  </si>
  <si>
    <t>Sugar Beet</t>
  </si>
  <si>
    <t>Used Cooking Oil</t>
  </si>
  <si>
    <t>Tallow – Category1</t>
  </si>
  <si>
    <t>Oilseed Rape</t>
  </si>
  <si>
    <t>Spent Bleached Earth</t>
  </si>
  <si>
    <t>Palm Oil</t>
  </si>
  <si>
    <t>Tallow – Category 3</t>
  </si>
  <si>
    <t>Default Values</t>
  </si>
  <si>
    <t>Minimum</t>
  </si>
  <si>
    <t>Average</t>
  </si>
  <si>
    <t>Maximum</t>
  </si>
  <si>
    <r>
      <t>Carbon Intensities (gCO2</t>
    </r>
    <r>
      <rPr>
        <b/>
        <vertAlign val="subscript"/>
        <sz val="11"/>
        <color theme="0"/>
        <rFont val="Calibri"/>
        <family val="2"/>
        <scheme val="minor"/>
      </rPr>
      <t>e</t>
    </r>
    <r>
      <rPr>
        <b/>
        <sz val="11"/>
        <color theme="0"/>
        <rFont val="Calibri"/>
        <family val="2"/>
        <scheme val="minor"/>
      </rPr>
      <t>/MJ)</t>
    </r>
  </si>
  <si>
    <t>HVO</t>
  </si>
  <si>
    <t>ME</t>
  </si>
  <si>
    <t>EtOH</t>
  </si>
  <si>
    <t>Hydrotreated Vegetable Oil (Biodiesel)</t>
  </si>
  <si>
    <t>Methyl Ester (Biodiesel)</t>
  </si>
  <si>
    <t>Used Cooking Oil (Biodiesel)</t>
  </si>
  <si>
    <t>Plug in Hybrid Mix</t>
  </si>
  <si>
    <t>Percentage Mix</t>
  </si>
  <si>
    <t>Biofuels - Diesel</t>
  </si>
  <si>
    <t>Biofuels - Ethanol</t>
  </si>
  <si>
    <t>Litres</t>
  </si>
  <si>
    <t>Biofuels Penetration - Ethanol</t>
  </si>
  <si>
    <t>Biofuels Penetration - Diesel</t>
  </si>
  <si>
    <t>2 to 5 Tonnes</t>
  </si>
  <si>
    <t>5 to 7.5 Tonnes</t>
  </si>
  <si>
    <t>7.5 to 10 Tonnes</t>
  </si>
  <si>
    <t>10 to 12.5 Tonnes</t>
  </si>
  <si>
    <t>Over 12.5 Tonnes</t>
  </si>
  <si>
    <t>BIODST1G</t>
  </si>
  <si>
    <t>BIODST2G</t>
  </si>
  <si>
    <t>TRAE85</t>
  </si>
  <si>
    <t>Ethanol E85 (TRA)</t>
  </si>
  <si>
    <t>Mvkm</t>
  </si>
  <si>
    <t>HGV Freight Demand</t>
  </si>
  <si>
    <t>LGV Freight Demand</t>
  </si>
  <si>
    <t>TAVI-D</t>
  </si>
  <si>
    <t>TAVI-EU</t>
  </si>
  <si>
    <t>TAVI-NEU</t>
  </si>
  <si>
    <t>Aviation Demand Domestic</t>
  </si>
  <si>
    <t>Aviation Demand EU</t>
  </si>
  <si>
    <t>Aviation Demand International</t>
  </si>
  <si>
    <t>TRAPM10</t>
  </si>
  <si>
    <t>TRAPM25</t>
  </si>
  <si>
    <t>Correction Factor</t>
  </si>
  <si>
    <t>MTkm</t>
  </si>
  <si>
    <t>Length of line (km)</t>
  </si>
  <si>
    <t>Journey time (minutes)</t>
  </si>
  <si>
    <t>Length of tram (km)</t>
  </si>
  <si>
    <t>Average length of journey (km)</t>
  </si>
  <si>
    <t>Bus Éireann - Rural</t>
  </si>
  <si>
    <t>Bus Éireann - Urban</t>
  </si>
  <si>
    <t>Year/Operator Number of Buses</t>
  </si>
  <si>
    <t>Passenger Kilometers per Bus</t>
  </si>
  <si>
    <t>CSO Average Distance Travelled to School (km)</t>
  </si>
  <si>
    <t>School Buses</t>
  </si>
  <si>
    <t>Rural Bus</t>
  </si>
  <si>
    <t>Urban Bus</t>
  </si>
  <si>
    <t>School Bus</t>
  </si>
  <si>
    <t>Rural</t>
  </si>
  <si>
    <t>Urban</t>
  </si>
  <si>
    <t>Base Year Bus Fleet Projections</t>
  </si>
  <si>
    <t>Base Year Passenger Kilometers Projections</t>
  </si>
  <si>
    <t>School</t>
  </si>
  <si>
    <t>Vehicle km</t>
  </si>
  <si>
    <t>Passenger km</t>
  </si>
  <si>
    <t>l/100pkm</t>
  </si>
  <si>
    <t xml:space="preserve">Fuel </t>
  </si>
  <si>
    <t>MJ/l</t>
  </si>
  <si>
    <t>Petrol Taxis and Hackneys</t>
  </si>
  <si>
    <t>Diesel Taxis and Hackneys</t>
  </si>
  <si>
    <t>Survival Profile</t>
  </si>
  <si>
    <t>Rural Bus (ktoe/million pkm)</t>
  </si>
  <si>
    <t>Urban Bus (ktoe/million pkm)</t>
  </si>
  <si>
    <t>School Bus (ktoe/million pkm)</t>
  </si>
  <si>
    <t>Taxis and Hackneys (ktoe/million pkm)</t>
  </si>
  <si>
    <t>*Bus</t>
  </si>
  <si>
    <t>*Rail</t>
  </si>
  <si>
    <t>*PSV</t>
  </si>
  <si>
    <t>Public Transport - URBAN Diesel</t>
  </si>
  <si>
    <t>Public Transport - SCHOOL Diesel</t>
  </si>
  <si>
    <t>Public Transport - RURAL Diesel</t>
  </si>
  <si>
    <t>Public Transport - PSV Diesel</t>
  </si>
  <si>
    <t>Public Transport - PSV Gasoline</t>
  </si>
  <si>
    <t>TPSV</t>
  </si>
  <si>
    <t>Public Service Vehicle Demand</t>
  </si>
  <si>
    <t>Bus Occupancy Rate</t>
  </si>
  <si>
    <t>ACT</t>
  </si>
  <si>
    <t>FLO</t>
  </si>
  <si>
    <t>should be</t>
  </si>
  <si>
    <t>ACTFLO~2013</t>
  </si>
  <si>
    <t>ACTFLO~2014</t>
  </si>
  <si>
    <t>Intercity</t>
  </si>
  <si>
    <t>22000 Class DMU InterCity Railcar (ICR)</t>
  </si>
  <si>
    <t>Type</t>
  </si>
  <si>
    <t>Number In Service</t>
  </si>
  <si>
    <t>Seating Capacity</t>
  </si>
  <si>
    <t>Date Built</t>
  </si>
  <si>
    <t>3 Car Set</t>
  </si>
  <si>
    <t>2007 - 2009 / 2011 - 2012</t>
  </si>
  <si>
    <t>4 Car Set</t>
  </si>
  <si>
    <t>2007 - 2009</t>
  </si>
  <si>
    <t>5 Car (1st Class) Set (Premier)</t>
  </si>
  <si>
    <t>Mark IV</t>
  </si>
  <si>
    <t>Generating Control Car</t>
  </si>
  <si>
    <t>Nil</t>
  </si>
  <si>
    <t>2004 - 2005</t>
  </si>
  <si>
    <t>Buffet Vehicle</t>
  </si>
  <si>
    <t>First Class</t>
  </si>
  <si>
    <t>Standard Class</t>
  </si>
  <si>
    <t>Standard End</t>
  </si>
  <si>
    <t>Commuter</t>
  </si>
  <si>
    <t>29000 Class DMU (Diesel Multiple Unit)</t>
  </si>
  <si>
    <t>2800 Class DMU (Diesel Multiple Unit)</t>
  </si>
  <si>
    <t>2600 Class DMU (Diesel Multiple Unit)</t>
  </si>
  <si>
    <t>2002 - 2005</t>
  </si>
  <si>
    <t>2 Car Set</t>
  </si>
  <si>
    <t>8500-20 Class EMU (Electrical Multiple Unit)</t>
  </si>
  <si>
    <t>8100/8300 Class EMU (Electrical Multiple Unit)</t>
  </si>
  <si>
    <t>8520 Series: 4 Car Set</t>
  </si>
  <si>
    <t>2003 - 2004</t>
  </si>
  <si>
    <t>8510 Series: 4 Car Set</t>
  </si>
  <si>
    <t>8500 Series: 4 Car Set</t>
  </si>
  <si>
    <t>1983 *</t>
  </si>
  <si>
    <t>IWT (International Warehousing and Transport)</t>
  </si>
  <si>
    <t>6 trains per week Monday to Friday</t>
  </si>
  <si>
    <t>Intermodal</t>
  </si>
  <si>
    <t>Ballina and Dublin Port</t>
  </si>
  <si>
    <t>DFDS (Det Forenede Dampskibs-Selskab)</t>
  </si>
  <si>
    <t>2 trains per week</t>
  </si>
  <si>
    <t>Ballina and Belview Port (near Waterford City)</t>
  </si>
  <si>
    <t>Coillte</t>
  </si>
  <si>
    <t>3 trains from both Ballina and Westport to Waterford on a weekly basis</t>
  </si>
  <si>
    <t>Pulpwood</t>
  </si>
  <si>
    <t>Ballina / Westport and Waterford</t>
  </si>
  <si>
    <t>Boliden/Tara Mines</t>
  </si>
  <si>
    <t>3 trains per day from Tara Mines to Dublin Port 5 days per week</t>
  </si>
  <si>
    <t>Mineral Ore</t>
  </si>
  <si>
    <t>Tara Mines (near Navan) and Dublin Port</t>
  </si>
  <si>
    <t>Freight Fleet</t>
  </si>
  <si>
    <t>Service</t>
  </si>
  <si>
    <t>Train Type</t>
  </si>
  <si>
    <t>Operates Between</t>
  </si>
  <si>
    <t>Public Transport - LIGHT RAIL Electric</t>
  </si>
  <si>
    <t>Public Transport - HEAVY RAIL Diesel</t>
  </si>
  <si>
    <t>Public Transport - HEAVY RAIL Electric</t>
  </si>
  <si>
    <t>*RAIL</t>
  </si>
  <si>
    <t>Freight Transport - Rail Diesel</t>
  </si>
  <si>
    <t>TFRAIL</t>
  </si>
  <si>
    <t>Rail Freight Demand</t>
  </si>
  <si>
    <t>Annual Distance (km)</t>
  </si>
  <si>
    <t>Distance per Trip (km)</t>
  </si>
  <si>
    <t>Lifetime of stock</t>
  </si>
  <si>
    <t>4-20 Years</t>
  </si>
  <si>
    <t>Public Urban Bus Demand</t>
  </si>
  <si>
    <t>Public Rural Bus Demand</t>
  </si>
  <si>
    <t>Public School Bus Demand</t>
  </si>
  <si>
    <t>TPRL</t>
  </si>
  <si>
    <t>Public Light Rail Demand</t>
  </si>
  <si>
    <t>TPRH</t>
  </si>
  <si>
    <t>Public Heavy Rail Demand</t>
  </si>
  <si>
    <t>TPBR</t>
  </si>
  <si>
    <t>TPBU</t>
  </si>
  <si>
    <t>TPBS</t>
  </si>
  <si>
    <t>TFLGV</t>
  </si>
  <si>
    <t>TFHGV</t>
  </si>
  <si>
    <t>Life</t>
  </si>
  <si>
    <t>Pub (ktoe)</t>
  </si>
  <si>
    <t>Aviation (ktoe)</t>
  </si>
  <si>
    <t>Navigation</t>
  </si>
  <si>
    <t>NACE 
(Rev 2)</t>
  </si>
  <si>
    <t xml:space="preserve"> Coal</t>
  </si>
  <si>
    <t xml:space="preserve"> Bituminous Coal</t>
  </si>
  <si>
    <t xml:space="preserve"> Anthracite + Manufactured Ovoids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</si>
  <si>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</si>
  <si>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</si>
  <si>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</si>
  <si>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</si>
  <si>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</si>
  <si>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</si>
  <si>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</si>
  <si>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</si>
  <si>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</si>
  <si>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</si>
  <si>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</si>
  <si>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</si>
  <si>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</si>
  <si>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</si>
  <si>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</si>
  <si>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</si>
  <si>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</si>
  <si>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</si>
  <si>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</si>
  <si>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</si>
  <si>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</si>
  <si>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</si>
  <si>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</si>
  <si>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</si>
  <si>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Biomass &amp;   Renewable  Waste</t>
  </si>
  <si>
    <t xml:space="preserve"> Landfill Gas</t>
  </si>
  <si>
    <t xml:space="preserve"> Biogas</t>
  </si>
  <si>
    <t xml:space="preserve"> Liquid Biofuel</t>
  </si>
  <si>
    <t xml:space="preserve"> Solar</t>
  </si>
  <si>
    <t xml:space="preserve"> Geothermal</t>
  </si>
  <si>
    <t xml:space="preserve"> Non-Renewable  Waste</t>
  </si>
  <si>
    <t xml:space="preserve"> Electricity</t>
  </si>
  <si>
    <t xml:space="preserve"> Heat</t>
  </si>
  <si>
    <t xml:space="preserve"> TOTAL</t>
  </si>
  <si>
    <t xml:space="preserve">Units = ktoe
</t>
  </si>
  <si>
    <t>Fuel Tourism</t>
  </si>
  <si>
    <t>Unspecified</t>
  </si>
  <si>
    <t>Navigation Existing</t>
  </si>
  <si>
    <t>Unspecified/Fuel Turism</t>
  </si>
  <si>
    <t>TNAV</t>
  </si>
  <si>
    <t>TOTH</t>
  </si>
  <si>
    <t>Navigation Demand</t>
  </si>
  <si>
    <t>Unspecified/Fuel Turism Demand</t>
  </si>
  <si>
    <t>TRAETH</t>
  </si>
  <si>
    <t>Ethanol (TRA)</t>
  </si>
  <si>
    <t>TRABDL</t>
  </si>
  <si>
    <t>Biodiesel (TRA)</t>
  </si>
  <si>
    <t>Fuel Blending</t>
  </si>
  <si>
    <t>Share-I</t>
  </si>
  <si>
    <t>SEAI Balance</t>
  </si>
  <si>
    <t>check</t>
  </si>
  <si>
    <t>data check</t>
  </si>
  <si>
    <t>unit</t>
  </si>
  <si>
    <t>Share-I~2013</t>
  </si>
  <si>
    <t>Share-I~2014</t>
  </si>
  <si>
    <t>ACT =Mvkm</t>
  </si>
  <si>
    <t>FLO - Mpkm</t>
  </si>
  <si>
    <t>Active Units: total pkm</t>
  </si>
  <si>
    <t>Active Units: Average vkm</t>
  </si>
  <si>
    <t>Active Units: Total vkm</t>
  </si>
  <si>
    <t>Luas Summary</t>
  </si>
  <si>
    <t>Load Tkm/Vkm</t>
  </si>
  <si>
    <t>Fuel Blendings</t>
  </si>
  <si>
    <t>TRAGSL_BLD</t>
  </si>
  <si>
    <t>TRAGSLE</t>
  </si>
  <si>
    <t>TRADSTB</t>
  </si>
  <si>
    <t>Input</t>
  </si>
  <si>
    <t>Input~2015</t>
  </si>
  <si>
    <t>Input~2020</t>
  </si>
  <si>
    <t>Input~2025</t>
  </si>
  <si>
    <t>Input~2030</t>
  </si>
  <si>
    <t>Input~2035</t>
  </si>
  <si>
    <t>Input~2040</t>
  </si>
  <si>
    <t>Blended Gasoline (TRA)</t>
  </si>
  <si>
    <t>Blended Diesel (TRA)</t>
  </si>
  <si>
    <t>TRADST_BLD</t>
  </si>
  <si>
    <t>Fuel Blending - Gasoline wt Ethanol</t>
  </si>
  <si>
    <t>Fuel Blending - Diesel wt Biodiesel</t>
  </si>
  <si>
    <t>TRAE85_BLD</t>
  </si>
  <si>
    <t>Fuel Blending - E85</t>
  </si>
  <si>
    <t>Particulate Matter &lt;10 µm (TRA)</t>
  </si>
  <si>
    <t>Particulate Matter &lt;2.5 µm (TRA)</t>
  </si>
  <si>
    <t>TRAGAS</t>
  </si>
  <si>
    <t>Natural Gas (TRA)</t>
  </si>
  <si>
    <t>TRALPG</t>
  </si>
  <si>
    <t>Liquefied Petroleum Gas (TRA)</t>
  </si>
  <si>
    <t>OILLPG</t>
  </si>
  <si>
    <t>GASNAT</t>
  </si>
  <si>
    <t>TRAHVO</t>
  </si>
  <si>
    <t>Hydrotreated Vegetable Oil (TRA)</t>
  </si>
  <si>
    <t>*Petrol 2 Wheelers</t>
  </si>
  <si>
    <t>MVkm</t>
  </si>
  <si>
    <t>PRIVATE MOTORCYCLES BY AGE, FUEL TYPE AND ENGINE CAPACITY - All Years</t>
  </si>
  <si>
    <t>CUBIC CENTIMETRES</t>
  </si>
  <si>
    <t>Up to 75</t>
  </si>
  <si>
    <t>76 to 150</t>
  </si>
  <si>
    <t>151 to 250</t>
  </si>
  <si>
    <t>251 and over</t>
  </si>
  <si>
    <t>Active Units: Bn vkm/PJ</t>
  </si>
  <si>
    <t>TMOT</t>
  </si>
  <si>
    <t>Motorcycle Demand</t>
  </si>
  <si>
    <t>Motorcycle Existing - Gasoline</t>
  </si>
  <si>
    <t>AF</t>
  </si>
  <si>
    <t>Other</t>
  </si>
  <si>
    <t>Irish TIMES Energy System Model</t>
  </si>
  <si>
    <t>Document type:</t>
  </si>
  <si>
    <t xml:space="preserve">Base Year Template </t>
  </si>
  <si>
    <t>Sector:</t>
  </si>
  <si>
    <t>Developer:</t>
  </si>
  <si>
    <t>Energy Policy Modelling Group, UCC</t>
  </si>
  <si>
    <t>Transport sector (TRA)</t>
  </si>
  <si>
    <t>Active Units: km</t>
  </si>
  <si>
    <t>AuD</t>
  </si>
  <si>
    <t>AuE</t>
  </si>
  <si>
    <t>AuN</t>
  </si>
  <si>
    <t>AuP</t>
  </si>
  <si>
    <t>SpD</t>
  </si>
  <si>
    <t>SpE</t>
  </si>
  <si>
    <t>SpN</t>
  </si>
  <si>
    <t>SpP</t>
  </si>
  <si>
    <t>SuD</t>
  </si>
  <si>
    <t>SuE</t>
  </si>
  <si>
    <t>SuN</t>
  </si>
  <si>
    <t>SuP</t>
  </si>
  <si>
    <t>WiD</t>
  </si>
  <si>
    <t>WiE</t>
  </si>
  <si>
    <t>WiN</t>
  </si>
  <si>
    <t>WiP</t>
  </si>
  <si>
    <t>COM_FR</t>
  </si>
  <si>
    <t>~FI_T:</t>
  </si>
  <si>
    <t/>
  </si>
  <si>
    <t>TC</t>
  </si>
  <si>
    <t>TL</t>
  </si>
  <si>
    <t>TF</t>
  </si>
  <si>
    <t>TW</t>
  </si>
  <si>
    <t>TR</t>
  </si>
  <si>
    <t>*Driver</t>
  </si>
  <si>
    <t>Existing Private Car - Small Gasoline</t>
  </si>
  <si>
    <t>Existing Private Car - Light Medium Gasoline</t>
  </si>
  <si>
    <t>Existing Private Car - Heavy Medium Gasoline</t>
  </si>
  <si>
    <t>Existing Private Car - Large Gasoline</t>
  </si>
  <si>
    <t>Existing Private Car - Small Diesel</t>
  </si>
  <si>
    <t>Existing Private Car - Light Medium Diesel</t>
  </si>
  <si>
    <t>Existing Private Car - Heavy Medium Diesel</t>
  </si>
  <si>
    <t>Existing Private Car - Large Diesel</t>
  </si>
  <si>
    <t>Existing Private Car - Small Petrol and Ethanol</t>
  </si>
  <si>
    <t>Existing Private Car - Light Medium Petrol and Ethanol</t>
  </si>
  <si>
    <t>Existing Private Car - Heavy Medium Petrol and Ethanol</t>
  </si>
  <si>
    <t>Existing Private Car - Large Petrol and Ethanol</t>
  </si>
  <si>
    <t>Existing Private Car - Small Petrol and Electric</t>
  </si>
  <si>
    <t>Existing Private Car - Light Medium Petrol and Electric</t>
  </si>
  <si>
    <t>Existing Private Car - Heavy Medium Petrol and Electric</t>
  </si>
  <si>
    <t>Existing Private Car - Large Petrol and Electric</t>
  </si>
  <si>
    <t>TMotGSL_00</t>
  </si>
  <si>
    <t>TAvi_00_ROI</t>
  </si>
  <si>
    <t>TAvi_00_EU</t>
  </si>
  <si>
    <t>TAvi_00_Non-EU</t>
  </si>
  <si>
    <t>TNav_00_ROI</t>
  </si>
  <si>
    <t>TOth_00_ROI</t>
  </si>
  <si>
    <t>TPubELC_LRAIL_00</t>
  </si>
  <si>
    <t>TPubELC_HRAIL_00</t>
  </si>
  <si>
    <t>TPubDST_HRAIL_00</t>
  </si>
  <si>
    <t>TPubDST_PSV_00</t>
  </si>
  <si>
    <t>TPubGSL_PSV_00</t>
  </si>
  <si>
    <t>TFreGSL_LGV_00</t>
  </si>
  <si>
    <t>TFreDST_LGV_00</t>
  </si>
  <si>
    <t>TFreGSL_HGV_00</t>
  </si>
  <si>
    <t>TFreDST_HGV_00</t>
  </si>
  <si>
    <t>TFreDST_RAIL_00</t>
  </si>
  <si>
    <t>Carbon Dioxide - Combustion (TRA)</t>
  </si>
  <si>
    <t xml:space="preserve">2012                         Units = ktoe
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</si>
  <si>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</si>
  <si>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</si>
  <si>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</si>
  <si>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</si>
  <si>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</si>
  <si>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</si>
  <si>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</si>
  <si>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</si>
  <si>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</si>
  <si>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</si>
  <si>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</si>
  <si>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</si>
  <si>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</si>
  <si>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</si>
  <si>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Combined Heat and Power Plants - Electricity</t>
  </si>
  <si>
    <t>Combined Heat and Power Plants - Heat</t>
  </si>
  <si>
    <t>Pumped Storage Generation</t>
  </si>
  <si>
    <t>Oil Refineries</t>
  </si>
  <si>
    <t>Exchanges and transfers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</si>
  <si>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</si>
  <si>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</si>
  <si>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</si>
  <si>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</si>
  <si>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</si>
  <si>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</si>
  <si>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</si>
  <si>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</si>
  <si>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</si>
  <si>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</si>
  <si>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</si>
  <si>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</si>
  <si>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</si>
  <si>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</si>
  <si>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</si>
  <si>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</si>
  <si>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</si>
  <si>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</si>
  <si>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</si>
  <si>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</si>
  <si>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</si>
  <si>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</si>
  <si>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</si>
  <si>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</si>
  <si>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</si>
  <si>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</si>
  <si>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</si>
  <si>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</si>
  <si>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</si>
  <si>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</si>
  <si>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</si>
  <si>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</si>
  <si>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</si>
  <si>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</si>
  <si>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</si>
  <si>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</si>
  <si>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</si>
  <si>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</si>
  <si>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</si>
  <si>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Domestic Aviation</t>
  </si>
  <si>
    <t>International Aviation</t>
  </si>
  <si>
    <t>Residential</t>
  </si>
  <si>
    <t>Commercial/Public Services</t>
  </si>
  <si>
    <t>Commercial Services</t>
  </si>
  <si>
    <t>Public Services</t>
  </si>
  <si>
    <t>Agricultural</t>
  </si>
  <si>
    <t>Fisheries</t>
  </si>
  <si>
    <t>Statistical Difference</t>
  </si>
  <si>
    <t>* Industry sub-sectoral breakdown is based on the CIP 2009.</t>
  </si>
  <si>
    <t>Last Updated : 24th August 2016</t>
  </si>
  <si>
    <t>2012 provisional data</t>
  </si>
  <si>
    <t>2012 provisional data based on 2011 breakdown</t>
  </si>
  <si>
    <t>2011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</si>
  <si>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</si>
  <si>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</si>
  <si>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Consumption</t>
  </si>
  <si>
    <t>ktoe</t>
  </si>
  <si>
    <t>NOTE:</t>
  </si>
  <si>
    <t>with 20% we get closer values</t>
  </si>
  <si>
    <t>Long term</t>
  </si>
  <si>
    <t>+ Moto</t>
  </si>
  <si>
    <t>Tot Cars</t>
  </si>
  <si>
    <t>demand</t>
  </si>
  <si>
    <t>consumption</t>
  </si>
  <si>
    <t>Stock Gasoline HGV</t>
  </si>
  <si>
    <t>On-road factor</t>
  </si>
  <si>
    <t>CSO</t>
  </si>
  <si>
    <t>TRACCS (gasoline)</t>
  </si>
  <si>
    <t>TRACCS (diesel)</t>
  </si>
  <si>
    <t>Pasti~2012</t>
  </si>
  <si>
    <t>INVCOST</t>
  </si>
  <si>
    <t>NCAP_BND~UP~0</t>
  </si>
  <si>
    <t>€/GJa</t>
  </si>
  <si>
    <t>Interpolation</t>
  </si>
  <si>
    <t>Table of contents</t>
  </si>
  <si>
    <t>Sheet</t>
  </si>
  <si>
    <t>EB2012</t>
  </si>
  <si>
    <t>SEAI 2012 energy balance in ktoe</t>
  </si>
  <si>
    <t>Tab colour legend</t>
  </si>
  <si>
    <t>Capacity</t>
  </si>
  <si>
    <t>Currency (year)</t>
  </si>
  <si>
    <t>Milion Euro 2012</t>
  </si>
  <si>
    <t>Base year</t>
  </si>
  <si>
    <t>000V or PJ-a</t>
  </si>
  <si>
    <t>Commodities</t>
  </si>
  <si>
    <t>TIMES commodities list for the sector</t>
  </si>
  <si>
    <t>TRA_FuelTechs</t>
  </si>
  <si>
    <t>TRA_FuelBlending</t>
  </si>
  <si>
    <t>Demands</t>
  </si>
  <si>
    <t>Emi</t>
  </si>
  <si>
    <t>Emission coefficients for the transport sector</t>
  </si>
  <si>
    <t>Energy service demands for the transport sector</t>
  </si>
  <si>
    <t>CAR</t>
  </si>
  <si>
    <t>MOTO</t>
  </si>
  <si>
    <t>FREH</t>
  </si>
  <si>
    <t>PUB</t>
  </si>
  <si>
    <t>NAV</t>
  </si>
  <si>
    <t>AVI</t>
  </si>
  <si>
    <t>Private cars</t>
  </si>
  <si>
    <t>General inputs</t>
  </si>
  <si>
    <t>Motorcycles</t>
  </si>
  <si>
    <t>Freight</t>
  </si>
  <si>
    <t>Public</t>
  </si>
  <si>
    <t>…</t>
  </si>
  <si>
    <t>Data elaboration sheets</t>
  </si>
  <si>
    <t>TIMES inputs for Cars</t>
  </si>
  <si>
    <t>TIMES inputs for Moto</t>
  </si>
  <si>
    <t>TIMES inputs for Freight</t>
  </si>
  <si>
    <t>TIMES inputs for Public</t>
  </si>
  <si>
    <t>TIMES inputs for Navigation</t>
  </si>
  <si>
    <t>TIMES inputs for Aviation</t>
  </si>
  <si>
    <t>Fuel blending</t>
  </si>
  <si>
    <t>Fuel sectoral technologies/infrastructure</t>
  </si>
  <si>
    <t>TCarGSL_Small_00</t>
  </si>
  <si>
    <t>TCarGSL_LM_00</t>
  </si>
  <si>
    <t>TCarGSL_HM_00</t>
  </si>
  <si>
    <t>TCarGSL_Large_00</t>
  </si>
  <si>
    <t>TCarDST_Small_00</t>
  </si>
  <si>
    <t>TCarDST_LM_00</t>
  </si>
  <si>
    <t>TCarDST_HM_00</t>
  </si>
  <si>
    <t>TCarDST_Large_00</t>
  </si>
  <si>
    <t>*TCarE85_Small_00</t>
  </si>
  <si>
    <t>TCarE85_LM_00</t>
  </si>
  <si>
    <t>TCarE85_HM_00</t>
  </si>
  <si>
    <t>TCarE85_Large_00</t>
  </si>
  <si>
    <t>TPubDST_UBUS_00</t>
  </si>
  <si>
    <t>TPubDST_RBUS_00</t>
  </si>
  <si>
    <t>TPubDST_SBUS_00</t>
  </si>
  <si>
    <t>TCarPHG_Small_00</t>
  </si>
  <si>
    <t>TCarPHG_LM_00</t>
  </si>
  <si>
    <t>TCarPHG_HM_00</t>
  </si>
  <si>
    <t>TCarPHG_Large_00</t>
  </si>
  <si>
    <t>VDA_EMCB</t>
  </si>
  <si>
    <t>Other_Indexes</t>
  </si>
  <si>
    <t>TRAGSLN</t>
  </si>
  <si>
    <t>TRADSTN</t>
  </si>
  <si>
    <t>Navigation Gasoline (TRA)</t>
  </si>
  <si>
    <t>Navigation Diesel (TRA)</t>
  </si>
  <si>
    <t>TRAKERI</t>
  </si>
  <si>
    <t>International Aviation Kerosene (TRA)</t>
  </si>
  <si>
    <t>Secondary name change (for right emissions accounting)</t>
  </si>
  <si>
    <t>SUPH2GD</t>
  </si>
  <si>
    <t>Hydrogen gaseous (TRA)</t>
  </si>
  <si>
    <t>TRAH2G</t>
  </si>
  <si>
    <t>TRAH2L</t>
  </si>
  <si>
    <t>Hydrogen liquid (TRA)</t>
  </si>
  <si>
    <t>SEASON</t>
  </si>
  <si>
    <t>TRABGS</t>
  </si>
  <si>
    <t>Biogas (TRA)</t>
  </si>
  <si>
    <t>BIOGAS1G</t>
  </si>
  <si>
    <t>BIOGAS2G</t>
  </si>
  <si>
    <t>SUPH2LD</t>
  </si>
  <si>
    <t>TH2</t>
  </si>
  <si>
    <t>TB</t>
  </si>
  <si>
    <t>UKTM_v1.2.3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</si>
</sst>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&quot;$&quot;#,##0_);\(&quot;$&quot;#,##0\)"/>
    <numFmt numFmtId="165" formatCode="_-* #,##0_-;\-* #,##0_-;_-* &quot;-&quot;??_-;_-@_-"/>
    <numFmt numFmtId="166" formatCode="#,###,###,##0"/>
    <numFmt numFmtId="167" formatCode="_-* #,##0.0_-;\-* #,##0.0_-;_-* &quot;-&quot;??_-;_-@_-"/>
    <numFmt numFmtId="168" formatCode="_-* #,##0.00000_-;\-* #,##0.00000_-;_-* &quot;-&quot;??_-;_-@_-"/>
    <numFmt numFmtId="169" formatCode="0.0"/>
    <numFmt numFmtId="170" formatCode="0.0000"/>
    <numFmt numFmtId="171" formatCode="_-* #,##0\ _z_ł_-;\-* #,##0\ _z_ł_-;_-* &quot;-&quot;??\ _z_ł_-;_-@_-"/>
    <numFmt numFmtId="172" formatCode="#,##0.0"/>
    <numFmt numFmtId="173" formatCode="0.000000"/>
    <numFmt numFmtId="174" formatCode="0.00000"/>
    <numFmt numFmtId="175" formatCode="0.000000000"/>
    <numFmt numFmtId="176" formatCode="\Te\x\t"/>
    <numFmt numFmtId="177" formatCode="0.0%"/>
    <numFmt numFmtId="178" formatCode="_ * #,##0_ ;_ * \-#,##0_ ;_ * &quot;-&quot;_ ;_ @_ "/>
    <numFmt numFmtId="179" formatCode="_ * #,##0.00_ ;_ * \-#,##0.00_ ;_ * &quot;-&quot;??_ ;_ @_ "/>
    <numFmt numFmtId="180" formatCode="_([$€]* #,##0.00_);_([$€]* \(#,##0.00\);_([$€]* &quot;-&quot;??_);_(@_)"/>
    <numFmt numFmtId="181" formatCode="_-[$€-2]\ * #,##0.00_-;\-[$€-2]\ * #,##0.00_-;_-[$€-2]\ * &quot;-&quot;??_-"/>
    <numFmt numFmtId="182" formatCode="#,##0;\-\ #,##0;_-\ &quot;- &quot;"/>
    <numFmt numFmtId="183" formatCode="_ &quot;kr&quot;\ * #,##0_ ;_ &quot;kr&quot;\ * \-#,##0_ ;_ &quot;kr&quot;\ * &quot;-&quot;_ ;_ @_ "/>
    <numFmt numFmtId="184" formatCode="_ &quot;kr&quot;\ * #,##0.00_ ;_ &quot;kr&quot;\ * \-#,##0.00_ ;_ &quot;kr&quot;\ * &quot;-&quot;??_ ;_ @_ "/>
    <numFmt numFmtId="185" formatCode="_([$€-2]* #,##0.00_);_([$€-2]* \(#,##0.00\);_([$€-2]* &quot;-&quot;??_)"/>
    <numFmt numFmtId="186" formatCode="\(##\);\(##\)"/>
    <numFmt numFmtId="187" formatCode="_-&quot;€&quot;\ * #,##0.00_-;\-&quot;€&quot;\ * #,##0.00_-;_-&quot;€&quot;\ * &quot;-&quot;??_-;_-@_-"/>
    <numFmt numFmtId="188" formatCode="0.000"/>
    <numFmt numFmtId="189" formatCode="#,###,###,##0.000"/>
    <numFmt numFmtId="190" formatCode="_-[$€]* #,##0.00_-;\-[$€]* #,##0.00_-;_-[$€]* &quot;-&quot;??_-;_-@_-"/>
    <numFmt numFmtId="191" formatCode="#,##0.0000"/>
    <numFmt numFmtId="192" formatCode="_-&quot;$&quot;* #,##0.00_-;\-&quot;$&quot;* #,##0.00_-;_-&quot;$&quot;* &quot;-&quot;??_-;_-@_-"/>
    <numFmt numFmtId="193" formatCode="General_)"/>
    <numFmt numFmtId="194" formatCode="_-* #,##0.00_-;\-* #,##0.00_-;_-* \-??_-;_-@_-"/>
    <numFmt numFmtId="195" formatCode="[&gt;0.5]#,##0;[&lt;-0.5]\-#,##0;\-"/>
    <numFmt numFmtId="196" formatCode="_-[$€-2]* #,##0.00_-;\-[$€-2]* #,##0.00_-;_-[$€-2]* &quot;-&quot;??_-"/>
    <numFmt numFmtId="197" formatCode="_-* #,##0\ &quot;F&quot;_-;\-* #,##0\ &quot;F&quot;_-;_-* &quot;-&quot;\ &quot;F&quot;_-;_-@_-"/>
    <numFmt numFmtId="198" formatCode="_-* #,##0\ _F_-;\-* #,##0\ _F_-;_-* &quot;-&quot;\ _F_-;_-@_-"/>
    <numFmt numFmtId="199" formatCode="_-* #,##0.00\ &quot;F&quot;_-;\-* #,##0.00\ &quot;F&quot;_-;_-* &quot;-&quot;??\ &quot;F&quot;_-;_-@_-"/>
    <numFmt numFmtId="200" formatCode="_-* #,##0.00\ _F_-;\-* #,##0.00\ _F_-;_-* &quot;-&quot;??\ _F_-;_-@_-"/>
    <numFmt numFmtId="201" formatCode="#,##0.0;\-#,##0.0;&quot;-&quot;"/>
    <numFmt numFmtId="202" formatCode="dd/mm/yyyy;@"/>
    <numFmt numFmtId="203" formatCode="#,##0.0;[Red]\-#,##0.0"/>
    <numFmt numFmtId="204" formatCode="_(&quot;$&quot;* #,##0.00_);_(&quot;$&quot;* \(#,##0.00\);_(&quot;$&quot;* &quot;-&quot;??_);_(@_)"/>
    <numFmt numFmtId="205" formatCode="_-* #,##0.00\ &quot;€&quot;_-;\-* #,##0.00\ &quot;€&quot;_-;_-* &quot;-&quot;??\ &quot;€&quot;_-;_-@_-"/>
    <numFmt numFmtId="206" formatCode="_-* #,##0.00\ _€_-;\-* #,##0.00\ _€_-;_-* &quot;-&quot;??\ _€_-;_-@_-"/>
  </numFmts>
  <fonts count="17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i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8"/>
      <color theme="1"/>
      <name val="Calibri"/>
      <family val="2"/>
      <scheme val="minor"/>
    </font>
    <font>
      <b/>
      <sz val="9"/>
      <name val="Arial"/>
      <family val="2"/>
    </font>
    <font>
      <b/>
      <sz val="8"/>
      <color theme="1"/>
      <name val="Arial"/>
      <family val="2"/>
    </font>
    <font>
      <b/>
      <sz val="11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color theme="1"/>
      <name val="Arial"/>
      <family val="2"/>
    </font>
    <font>
      <b/>
      <sz val="11"/>
      <color theme="1"/>
      <name val="Arial"/>
      <family val="2"/>
    </font>
    <font>
      <sz val="9"/>
      <color theme="1"/>
      <name val="MS Sans Serif"/>
      <family val="2"/>
      <charset val="161"/>
    </font>
    <font>
      <sz val="11"/>
      <name val="Arial"/>
      <family val="2"/>
    </font>
    <font>
      <sz val="10"/>
      <name val="Myriad Pro"/>
      <family val="2"/>
    </font>
    <font>
      <b/>
      <sz val="10"/>
      <name val="Myriad Pro"/>
      <family val="2"/>
    </font>
    <font>
      <sz val="9"/>
      <name val="Times New Roman"/>
      <family val="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b/>
      <sz val="11"/>
      <color indexed="63"/>
      <name val="Calibri"/>
      <family val="2"/>
    </font>
    <font>
      <b/>
      <sz val="18"/>
      <color indexed="62"/>
      <name val="Cambria"/>
      <family val="2"/>
    </font>
    <font>
      <sz val="11"/>
      <color indexed="10"/>
      <name val="Calibri"/>
      <family val="2"/>
    </font>
    <font>
      <b/>
      <sz val="11"/>
      <color indexed="10"/>
      <name val="Calibri"/>
      <family val="2"/>
    </font>
    <font>
      <sz val="12"/>
      <name val="Arial"/>
      <family val="2"/>
    </font>
    <font>
      <sz val="11"/>
      <color indexed="19"/>
      <name val="Calibri"/>
      <family val="2"/>
    </font>
    <font>
      <b/>
      <sz val="10"/>
      <name val="Myriad Pro"/>
      <family val="2"/>
    </font>
    <font>
      <sz val="10"/>
      <name val="Myriad Pro"/>
      <family val="2"/>
    </font>
    <font>
      <sz val="8"/>
      <color rgb="FFFF0000"/>
      <name val="Arial"/>
      <family val="2"/>
    </font>
    <font>
      <vertAlign val="superscript"/>
      <sz val="8"/>
      <name val="Arial"/>
      <family val="2"/>
    </font>
    <font>
      <b/>
      <i/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8"/>
      <color indexed="8"/>
      <name val="Arial"/>
      <family val="2"/>
    </font>
    <font>
      <sz val="10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sz val="11"/>
      <color indexed="17"/>
      <name val="Calibri"/>
      <family val="2"/>
      <charset val="238"/>
    </font>
    <font>
      <b/>
      <sz val="11"/>
      <color indexed="63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0"/>
      <name val="Arial"/>
      <family val="2"/>
      <charset val="238"/>
    </font>
    <font>
      <b/>
      <sz val="11"/>
      <color indexed="8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60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4"/>
      <color indexed="9"/>
      <name val="Arial"/>
      <family val="2"/>
    </font>
    <font>
      <b/>
      <sz val="10"/>
      <color theme="4"/>
      <name val="Arial"/>
      <family val="2"/>
    </font>
    <font>
      <u/>
      <sz val="10"/>
      <color indexed="12"/>
      <name val="Arial"/>
      <family val="2"/>
    </font>
    <font>
      <sz val="10"/>
      <name val="Courier"/>
      <family val="3"/>
    </font>
    <font>
      <b/>
      <sz val="11"/>
      <color indexed="52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9"/>
      <color indexed="8"/>
      <name val="Times New Roman"/>
      <family val="1"/>
    </font>
    <font>
      <b/>
      <sz val="9"/>
      <name val="Times New Roman"/>
      <family val="1"/>
    </font>
    <font>
      <sz val="10"/>
      <name val="Helvetica"/>
      <family val="2"/>
    </font>
    <font>
      <b/>
      <sz val="12"/>
      <name val="Arial"/>
      <family val="2"/>
    </font>
    <font>
      <sz val="8"/>
      <color indexed="9"/>
      <name val="Arial"/>
      <family val="2"/>
    </font>
    <font>
      <sz val="11"/>
      <color theme="1"/>
      <name val="Calibri"/>
      <family val="2"/>
      <charset val="186"/>
      <scheme val="minor"/>
    </font>
    <font>
      <u/>
      <sz val="12"/>
      <color indexed="20"/>
      <name val="宋体"/>
      <charset val="134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b/>
      <sz val="12"/>
      <name val="Times New Roman"/>
      <family val="1"/>
    </font>
    <font>
      <b/>
      <vertAlign val="superscript"/>
      <sz val="12"/>
      <color indexed="54"/>
      <name val="Arial"/>
      <family val="2"/>
    </font>
    <font>
      <sz val="9"/>
      <name val="Verdana"/>
      <family val="2"/>
    </font>
    <font>
      <i/>
      <sz val="9"/>
      <color indexed="60"/>
      <name val="Verdana"/>
      <family val="2"/>
    </font>
    <font>
      <b/>
      <sz val="9"/>
      <name val="Verdana"/>
      <family val="2"/>
    </font>
    <font>
      <sz val="10"/>
      <name val="Verdana"/>
      <family val="2"/>
    </font>
    <font>
      <b/>
      <sz val="11"/>
      <color theme="0"/>
      <name val="Calibri"/>
      <family val="2"/>
    </font>
    <font>
      <sz val="11"/>
      <color rgb="FF000098"/>
      <name val="Calibri"/>
      <family val="2"/>
    </font>
    <font>
      <sz val="8"/>
      <name val="Tahoma"/>
      <family val="2"/>
    </font>
    <font>
      <sz val="16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indexed="9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vertAlign val="subscript"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666666"/>
      <name val="Inherit"/>
    </font>
    <font>
      <sz val="11"/>
      <color rgb="FF000000"/>
      <name val="Inherit"/>
    </font>
    <font>
      <sz val="24"/>
      <color theme="1"/>
      <name val="Calibri"/>
      <family val="2"/>
      <scheme val="minor"/>
    </font>
    <font>
      <sz val="11"/>
      <color rgb="FFFFFFFF"/>
      <name val="Inherit"/>
    </font>
    <font>
      <sz val="10"/>
      <name val="MS Sans Serif"/>
      <family val="2"/>
    </font>
    <font>
      <b/>
      <sz val="11"/>
      <name val="Myriad Pro"/>
      <family val="2"/>
    </font>
    <font>
      <b/>
      <u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</font>
    <font>
      <u/>
      <sz val="11"/>
      <color theme="1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FA7D00"/>
      <name val="Calibri"/>
      <family val="2"/>
      <scheme val="minor"/>
    </font>
    <font>
      <sz val="10"/>
      <name val="Arial"/>
      <family val="2"/>
    </font>
    <font>
      <sz val="10"/>
      <name val="Times New Roman"/>
      <family val="1"/>
    </font>
    <font>
      <sz val="11"/>
      <color indexed="60"/>
      <name val="Calibri"/>
      <family val="2"/>
      <charset val="161"/>
    </font>
    <font>
      <sz val="12"/>
      <color theme="1"/>
      <name val="Myriad Pro"/>
      <family val="2"/>
    </font>
    <font>
      <sz val="10"/>
      <name val="Calibri"/>
      <family val="2"/>
    </font>
    <font>
      <sz val="12"/>
      <color indexed="8"/>
      <name val="Times New Roman"/>
      <family val="1"/>
    </font>
    <font>
      <sz val="11"/>
      <color indexed="8"/>
      <name val="Arial"/>
      <family val="2"/>
    </font>
    <font>
      <sz val="10"/>
      <name val="Arial Cyr"/>
      <charset val="204"/>
    </font>
    <font>
      <b/>
      <sz val="12"/>
      <color indexed="8"/>
      <name val="Times New Roman"/>
      <family val="1"/>
    </font>
    <font>
      <u/>
      <sz val="10"/>
      <color indexed="12"/>
      <name val="Times New Roman"/>
      <family val="1"/>
    </font>
    <font>
      <sz val="8"/>
      <name val="Helv"/>
    </font>
    <font>
      <u/>
      <sz val="11"/>
      <color theme="10"/>
      <name val="Calibri"/>
      <family val="2"/>
    </font>
    <font>
      <sz val="11"/>
      <color rgb="FF9C6500"/>
      <name val="Calibri"/>
      <family val="2"/>
      <scheme val="minor"/>
    </font>
    <font>
      <sz val="9"/>
      <name val="Arial"/>
      <family val="2"/>
    </font>
    <font>
      <sz val="10"/>
      <color indexed="8"/>
      <name val="MS Sans Serif"/>
      <family val="2"/>
    </font>
    <font>
      <b/>
      <sz val="12.6"/>
      <color indexed="8"/>
      <name val="Times New Roman"/>
      <family val="1"/>
    </font>
    <font>
      <sz val="10"/>
      <color theme="1"/>
      <name val="Arial"/>
      <family val="2"/>
    </font>
    <font>
      <b/>
      <sz val="18"/>
      <color indexed="56"/>
      <name val="Cambria"/>
      <family val="1"/>
    </font>
    <font>
      <i/>
      <sz val="10"/>
      <name val="Arial"/>
      <family val="2"/>
    </font>
    <font>
      <u/>
      <sz val="10"/>
      <color indexed="12"/>
      <name val="Tahoma"/>
      <family val="2"/>
    </font>
    <font>
      <b/>
      <i/>
      <sz val="10"/>
      <name val="Arial"/>
      <family val="2"/>
    </font>
    <font>
      <sz val="14"/>
      <name val="Arial"/>
      <family val="2"/>
    </font>
    <font>
      <sz val="10"/>
      <name val="Arial Cyr"/>
    </font>
    <font>
      <u/>
      <sz val="7.5"/>
      <color indexed="12"/>
      <name val="Arial"/>
      <family val="2"/>
    </font>
    <font>
      <i/>
      <sz val="12"/>
      <name val="Times New Roman"/>
      <family val="1"/>
    </font>
    <font>
      <b/>
      <i/>
      <sz val="11"/>
      <color rgb="FFFF0000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sz val="10"/>
      <name val="Myriad Pro"/>
      <family val="2"/>
    </font>
    <font>
      <sz val="10"/>
      <name val="Arial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u/>
      <sz val="9.9"/>
      <color theme="10"/>
      <name val="Calibri"/>
      <family val="2"/>
    </font>
    <font>
      <b/>
      <sz val="14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sz val="16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u/>
      <sz val="12"/>
      <color indexed="20"/>
      <name val="??"/>
      <charset val="134"/>
    </font>
    <font>
      <sz val="11"/>
      <color rgb="FF9C6500"/>
      <name val="Calibri"/>
      <family val="2"/>
      <charset val="161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106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9"/>
      </patternFill>
    </fill>
    <fill>
      <patternFill patternType="solid">
        <fgColor indexed="43"/>
      </patternFill>
    </fill>
    <fill>
      <patternFill patternType="solid">
        <fgColor indexed="45"/>
      </patternFill>
    </fill>
    <fill>
      <patternFill patternType="solid">
        <fgColor indexed="53"/>
      </patternFill>
    </fill>
    <fill>
      <patternFill patternType="solid">
        <fgColor indexed="51"/>
      </patternFill>
    </fill>
    <fill>
      <patternFill patternType="solid">
        <fgColor indexed="55"/>
      </patternFill>
    </fill>
    <fill>
      <patternFill patternType="solid">
        <fgColor indexed="46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9"/>
        <bgColor indexed="0"/>
      </patternFill>
    </fill>
    <fill>
      <patternFill patternType="solid">
        <fgColor rgb="FFFFFF9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65"/>
        <bgColor indexed="9"/>
      </patternFill>
    </fill>
    <fill>
      <patternFill patternType="solid">
        <fgColor rgb="FFFF00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indexed="31"/>
      </patternFill>
    </fill>
    <fill>
      <patternFill patternType="solid">
        <fgColor indexed="42"/>
      </patternFill>
    </fill>
    <fill>
      <patternFill patternType="solid">
        <fgColor indexed="1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22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9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solid">
        <fgColor indexed="52"/>
        <bgColor indexed="64"/>
      </patternFill>
    </fill>
    <fill>
      <patternFill patternType="mediumGray">
        <fgColor indexed="9"/>
        <bgColor indexed="52"/>
      </patternFill>
    </fill>
    <fill>
      <patternFill patternType="solid">
        <fgColor rgb="FF1B429A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3333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9F9FA"/>
        <bgColor indexed="64"/>
      </patternFill>
    </fill>
    <fill>
      <patternFill patternType="solid">
        <fgColor rgb="FF5C5C5D"/>
        <bgColor indexed="64"/>
      </patternFill>
    </fill>
    <fill>
      <patternFill patternType="solid">
        <fgColor theme="0" tint="-0.14999847407452621"/>
        <bgColor indexed="0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15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indexed="41"/>
        <bgColor indexed="64"/>
      </patternFill>
    </fill>
    <fill>
      <patternFill patternType="darkTrellis"/>
    </fill>
    <fill>
      <patternFill patternType="solid">
        <fgColor rgb="FFC2D69A"/>
        <bgColor indexed="64"/>
      </patternFill>
    </fill>
  </fills>
  <borders count="48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medium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double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double">
        <color auto="1"/>
      </left>
      <right style="thin">
        <color auto="1"/>
      </right>
      <top/>
      <bottom/>
      <diagonal/>
    </border>
    <border>
      <left style="double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 style="thin">
        <color auto="1"/>
      </left>
      <right style="medium">
        <color auto="1"/>
      </right>
      <top style="double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double">
        <color auto="1"/>
      </top>
      <bottom style="medium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double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auto="1"/>
      </left>
      <right/>
      <top/>
      <bottom style="dashed">
        <color auto="1"/>
      </bottom>
      <diagonal/>
    </border>
    <border>
      <left/>
      <right/>
      <top/>
      <bottom style="dashed">
        <color auto="1"/>
      </bottom>
      <diagonal/>
    </border>
    <border>
      <left/>
      <right style="medium">
        <color auto="1"/>
      </right>
      <top/>
      <bottom style="dashed">
        <color auto="1"/>
      </bottom>
      <diagonal/>
    </border>
    <border>
      <left style="double">
        <color auto="1"/>
      </left>
      <right/>
      <top style="double">
        <color auto="1"/>
      </top>
      <bottom style="medium">
        <color auto="1"/>
      </bottom>
      <diagonal/>
    </border>
    <border>
      <left/>
      <right/>
      <top style="double">
        <color auto="1"/>
      </top>
      <bottom style="medium">
        <color auto="1"/>
      </bottom>
      <diagonal/>
    </border>
    <border>
      <left/>
      <right style="medium">
        <color auto="1"/>
      </right>
      <top style="double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4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double">
        <color auto="1"/>
      </left>
      <right/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double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medium">
        <color auto="1"/>
      </right>
      <top/>
      <bottom style="double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double">
        <color auto="1"/>
      </top>
      <bottom style="medium">
        <color auto="1"/>
      </bottom>
      <diagonal/>
    </border>
    <border>
      <left style="medium">
        <color auto="1"/>
      </left>
      <right style="double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double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1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double">
        <color indexed="64"/>
      </right>
      <top/>
      <bottom/>
      <diagonal/>
    </border>
    <border>
      <left style="medium">
        <color auto="1"/>
      </left>
      <right style="double">
        <color auto="1"/>
      </right>
      <top style="medium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/>
      <right style="double">
        <color auto="1"/>
      </right>
      <top style="medium">
        <color auto="1"/>
      </top>
      <bottom/>
      <diagonal/>
    </border>
    <border>
      <left/>
      <right style="double">
        <color auto="1"/>
      </right>
      <top/>
      <bottom/>
      <diagonal/>
    </border>
    <border>
      <left/>
      <right style="double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 style="medium">
        <color auto="1"/>
      </right>
      <top style="double">
        <color auto="1"/>
      </top>
      <bottom style="medium">
        <color auto="1"/>
      </bottom>
      <diagonal/>
    </border>
    <border>
      <left/>
      <right/>
      <top style="double">
        <color auto="1"/>
      </top>
      <bottom style="medium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medium">
        <color auto="1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auto="1"/>
      </left>
      <right style="thin">
        <color auto="1"/>
      </right>
      <top style="medium">
        <color auto="1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indexed="12"/>
      </bottom>
      <diagonal/>
    </border>
    <border>
      <left style="medium">
        <color auto="1"/>
      </left>
      <right/>
      <top style="double">
        <color auto="1"/>
      </top>
      <bottom style="medium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ck">
        <color rgb="FF6AB0E0"/>
      </bottom>
      <diagonal/>
    </border>
    <border>
      <left/>
      <right/>
      <top/>
      <bottom style="medium">
        <color rgb="FF6AB0E0"/>
      </bottom>
      <diagonal/>
    </border>
    <border>
      <left style="double">
        <color auto="1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 style="double">
        <color auto="1"/>
      </bottom>
      <diagonal/>
    </border>
    <border>
      <left/>
      <right style="medium">
        <color auto="1"/>
      </right>
      <top style="medium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double">
        <color auto="1"/>
      </right>
      <top/>
      <bottom/>
      <diagonal/>
    </border>
    <border>
      <left style="medium">
        <color rgb="FFEAEAEA"/>
      </left>
      <right style="medium">
        <color rgb="FFEAEAEA"/>
      </right>
      <top style="medium">
        <color rgb="FFEAEAEA"/>
      </top>
      <bottom style="medium">
        <color rgb="FFEAEAEA"/>
      </bottom>
      <diagonal/>
    </border>
    <border>
      <left/>
      <right style="medium">
        <color rgb="FFEAEAEA"/>
      </right>
      <top/>
      <bottom/>
      <diagonal/>
    </border>
    <border>
      <left style="medium">
        <color rgb="FFEAEAEA"/>
      </left>
      <right/>
      <top style="medium">
        <color rgb="FFEAEAEA"/>
      </top>
      <bottom style="medium">
        <color rgb="FFEAEAEA"/>
      </bottom>
      <diagonal/>
    </border>
    <border>
      <left style="medium">
        <color rgb="FFEAEAEA"/>
      </left>
      <right/>
      <top/>
      <bottom style="medium">
        <color rgb="FFEAEAEA"/>
      </bottom>
      <diagonal/>
    </border>
    <border>
      <left/>
      <right/>
      <top/>
      <bottom style="medium">
        <color rgb="FFEAEAEA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rgb="FF333300"/>
      </top>
      <bottom/>
      <diagonal/>
    </border>
    <border>
      <left/>
      <right/>
      <top/>
      <bottom style="thin">
        <color rgb="FF333300"/>
      </bottom>
      <diagonal/>
    </border>
    <border>
      <left/>
      <right/>
      <top style="thin">
        <color rgb="FF333300"/>
      </top>
      <bottom style="thin">
        <color rgb="FF333300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12"/>
      </top>
      <bottom/>
      <diagonal/>
    </border>
    <border>
      <left/>
      <right/>
      <top style="thin">
        <color indexed="12"/>
      </top>
      <bottom/>
      <diagonal/>
    </border>
    <border>
      <left style="thin">
        <color auto="1"/>
      </left>
      <right/>
      <top style="thin">
        <color rgb="FF333300"/>
      </top>
      <bottom style="thin">
        <color rgb="FF333300"/>
      </bottom>
      <diagonal/>
    </border>
    <border>
      <left/>
      <right style="thin">
        <color auto="1"/>
      </right>
      <top style="thin">
        <color rgb="FF333300"/>
      </top>
      <bottom style="thin">
        <color rgb="FF333300"/>
      </bottom>
      <diagonal/>
    </border>
    <border>
      <left style="thin">
        <color auto="1"/>
      </left>
      <right/>
      <top style="thin">
        <color rgb="FF333300"/>
      </top>
      <bottom/>
      <diagonal/>
    </border>
    <border>
      <left/>
      <right style="thin">
        <color auto="1"/>
      </right>
      <top style="thin">
        <color rgb="FF333300"/>
      </top>
      <bottom/>
      <diagonal/>
    </border>
    <border>
      <left style="thin">
        <color auto="1"/>
      </left>
      <right/>
      <top/>
      <bottom style="thin">
        <color rgb="FF333300"/>
      </bottom>
      <diagonal/>
    </border>
    <border>
      <left/>
      <right style="thin">
        <color auto="1"/>
      </right>
      <top/>
      <bottom style="thin">
        <color rgb="FF333300"/>
      </bottom>
      <diagonal/>
    </border>
    <border>
      <left/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auto="1"/>
      </right>
      <top style="thin">
        <color rgb="FF333300"/>
      </top>
      <bottom style="medium">
        <color auto="1"/>
      </bottom>
      <diagonal/>
    </border>
    <border>
      <left/>
      <right style="medium">
        <color rgb="FF333300"/>
      </right>
      <top style="thin">
        <color rgb="FF333300"/>
      </top>
      <bottom/>
      <diagonal/>
    </border>
    <border>
      <left/>
      <right style="medium">
        <color rgb="FF333300"/>
      </right>
      <top/>
      <bottom style="thin">
        <color rgb="FF333300"/>
      </bottom>
      <diagonal/>
    </border>
    <border>
      <left/>
      <right style="medium">
        <color rgb="FF333300"/>
      </right>
      <top/>
      <bottom/>
      <diagonal/>
    </border>
    <border>
      <left style="thin">
        <color auto="1"/>
      </left>
      <right/>
      <top style="medium">
        <color rgb="FF333300"/>
      </top>
      <bottom/>
      <diagonal/>
    </border>
    <border>
      <left/>
      <right/>
      <top style="medium">
        <color rgb="FF333300"/>
      </top>
      <bottom/>
      <diagonal/>
    </border>
    <border>
      <left/>
      <right style="medium">
        <color rgb="FF333300"/>
      </right>
      <top style="medium">
        <color rgb="FF333300"/>
      </top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indexed="12"/>
      </top>
      <bottom/>
      <diagonal/>
    </border>
    <border>
      <left/>
      <right style="medium">
        <color auto="1"/>
      </right>
      <top style="thin">
        <color indexed="12"/>
      </top>
      <bottom/>
      <diagonal/>
    </border>
    <border>
      <left style="medium">
        <color auto="1"/>
      </left>
      <right/>
      <top style="thin">
        <color rgb="FF333300"/>
      </top>
      <bottom style="medium">
        <color auto="1"/>
      </bottom>
      <diagonal/>
    </border>
    <border>
      <left style="thin">
        <color auto="1"/>
      </left>
      <right/>
      <top style="thin">
        <color rgb="FF333300"/>
      </top>
      <bottom style="medium">
        <color auto="1"/>
      </bottom>
      <diagonal/>
    </border>
    <border>
      <left/>
      <right/>
      <top style="thin">
        <color rgb="FF333300"/>
      </top>
      <bottom style="medium">
        <color auto="1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thin">
        <color auto="1"/>
      </left>
      <right/>
      <top style="thin">
        <color indexed="12"/>
      </top>
      <bottom/>
      <diagonal/>
    </border>
    <border>
      <left/>
      <right style="medium">
        <color indexed="64"/>
      </right>
      <top/>
      <bottom style="thin">
        <color indexed="12"/>
      </bottom>
      <diagonal/>
    </border>
    <border>
      <left/>
      <right style="thin">
        <color auto="1"/>
      </right>
      <top style="thin">
        <color indexed="12"/>
      </top>
      <bottom/>
      <diagonal/>
    </border>
    <border>
      <left/>
      <right style="medium">
        <color indexed="64"/>
      </right>
      <top style="thin">
        <color rgb="FF333300"/>
      </top>
      <bottom style="thin">
        <color rgb="FF333300"/>
      </bottom>
      <diagonal/>
    </border>
    <border>
      <left/>
      <right style="medium">
        <color indexed="64"/>
      </right>
      <top/>
      <bottom style="thin">
        <color rgb="FF333300"/>
      </bottom>
      <diagonal/>
    </border>
    <border>
      <left style="medium">
        <color indexed="64"/>
      </left>
      <right/>
      <top style="medium">
        <color rgb="FF333300"/>
      </top>
      <bottom/>
      <diagonal/>
    </border>
    <border>
      <left/>
      <right style="medium">
        <color indexed="64"/>
      </right>
      <top style="thin">
        <color rgb="FF333300"/>
      </top>
      <bottom/>
      <diagonal/>
    </border>
    <border>
      <left style="medium">
        <color indexed="64"/>
      </left>
      <right/>
      <top/>
      <bottom style="thin">
        <color rgb="FF333300"/>
      </bottom>
      <diagonal/>
    </border>
    <border>
      <left style="medium">
        <color indexed="64"/>
      </left>
      <right/>
      <top style="thin">
        <color rgb="FF333300"/>
      </top>
      <bottom/>
      <diagonal/>
    </border>
    <border>
      <left/>
      <right style="medium">
        <color rgb="FF333300"/>
      </right>
      <top/>
      <bottom style="medium">
        <color indexed="64"/>
      </bottom>
      <diagonal/>
    </border>
    <border>
      <left style="double">
        <color auto="1"/>
      </left>
      <right style="medium">
        <color auto="1"/>
      </right>
      <top style="medium">
        <color auto="1"/>
      </top>
      <bottom/>
      <diagonal/>
    </border>
    <border>
      <left style="double">
        <color auto="1"/>
      </left>
      <right style="medium">
        <color auto="1"/>
      </right>
      <top/>
      <bottom/>
      <diagonal/>
    </border>
    <border>
      <left style="double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4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64"/>
      </right>
      <top style="thin">
        <color indexed="8"/>
      </top>
      <bottom/>
      <diagonal/>
    </border>
    <border>
      <left style="medium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64"/>
      </right>
      <top/>
      <bottom style="thin">
        <color indexed="8"/>
      </bottom>
      <diagonal/>
    </border>
    <border>
      <left style="medium">
        <color indexed="64"/>
      </left>
      <right style="thin">
        <color indexed="8"/>
      </right>
      <top/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 style="medium">
        <color indexed="64"/>
      </bottom>
      <diagonal/>
    </border>
    <border>
      <left style="thin">
        <color indexed="8"/>
      </left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1328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6" fillId="0" borderId="0"/>
    <xf numFmtId="0" fontId="23" fillId="21" borderId="0" applyNumberFormat="0" applyBorder="0" applyAlignment="0" applyProtection="0"/>
    <xf numFmtId="0" fontId="23" fillId="22" borderId="0" applyNumberFormat="0" applyBorder="0" applyAlignment="0" applyProtection="0"/>
    <xf numFmtId="0" fontId="23" fillId="23" borderId="0" applyNumberFormat="0" applyBorder="0" applyAlignment="0" applyProtection="0"/>
    <xf numFmtId="0" fontId="23" fillId="24" borderId="0" applyNumberFormat="0" applyBorder="0" applyAlignment="0" applyProtection="0"/>
    <xf numFmtId="0" fontId="23" fillId="25" borderId="0" applyNumberFormat="0" applyBorder="0" applyAlignment="0" applyProtection="0"/>
    <xf numFmtId="0" fontId="23" fillId="23" borderId="0" applyNumberFormat="0" applyBorder="0" applyAlignment="0" applyProtection="0"/>
    <xf numFmtId="49" fontId="22" fillId="0" borderId="107" applyNumberFormat="0" applyFont="0" applyFill="0" applyBorder="0" applyProtection="0">
      <alignment horizontal="left" vertical="center" indent="2"/>
    </xf>
    <xf numFmtId="0" fontId="23" fillId="25" borderId="0" applyNumberFormat="0" applyBorder="0" applyAlignment="0" applyProtection="0"/>
    <xf numFmtId="0" fontId="23" fillId="22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25" borderId="0" applyNumberFormat="0" applyBorder="0" applyAlignment="0" applyProtection="0"/>
    <xf numFmtId="0" fontId="23" fillId="23" borderId="0" applyNumberFormat="0" applyBorder="0" applyAlignment="0" applyProtection="0"/>
    <xf numFmtId="0" fontId="24" fillId="25" borderId="0" applyNumberFormat="0" applyBorder="0" applyAlignment="0" applyProtection="0"/>
    <xf numFmtId="0" fontId="24" fillId="29" borderId="0" applyNumberFormat="0" applyBorder="0" applyAlignment="0" applyProtection="0"/>
    <xf numFmtId="0" fontId="24" fillId="30" borderId="0" applyNumberFormat="0" applyBorder="0" applyAlignment="0" applyProtection="0"/>
    <xf numFmtId="0" fontId="24" fillId="28" borderId="0" applyNumberFormat="0" applyBorder="0" applyAlignment="0" applyProtection="0"/>
    <xf numFmtId="0" fontId="24" fillId="25" borderId="0" applyNumberFormat="0" applyBorder="0" applyAlignment="0" applyProtection="0"/>
    <xf numFmtId="0" fontId="24" fillId="22" borderId="0" applyNumberFormat="0" applyBorder="0" applyAlignment="0" applyProtection="0"/>
    <xf numFmtId="0" fontId="35" fillId="0" borderId="0" applyNumberFormat="0" applyFill="0" applyBorder="0" applyAlignment="0" applyProtection="0"/>
    <xf numFmtId="0" fontId="36" fillId="26" borderId="108" applyNumberFormat="0" applyAlignment="0" applyProtection="0"/>
    <xf numFmtId="0" fontId="35" fillId="0" borderId="109" applyNumberFormat="0" applyFill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23" borderId="111" applyNumberFormat="0" applyFont="0" applyAlignment="0" applyProtection="0"/>
    <xf numFmtId="0" fontId="32" fillId="27" borderId="108" applyNumberFormat="0" applyAlignment="0" applyProtection="0"/>
    <xf numFmtId="0" fontId="25" fillId="32" borderId="0" applyNumberFormat="0" applyBorder="0" applyAlignment="0" applyProtection="0"/>
    <xf numFmtId="0" fontId="38" fillId="27" borderId="0" applyNumberFormat="0" applyBorder="0" applyAlignment="0" applyProtection="0"/>
    <xf numFmtId="0" fontId="15" fillId="0" borderId="0"/>
    <xf numFmtId="9" fontId="6" fillId="0" borderId="0" applyFont="0" applyFill="0" applyBorder="0" applyAlignment="0" applyProtection="0"/>
    <xf numFmtId="0" fontId="28" fillId="25" borderId="0" applyNumberFormat="0" applyBorder="0" applyAlignment="0" applyProtection="0"/>
    <xf numFmtId="0" fontId="33" fillId="26" borderId="112" applyNumberFormat="0" applyAlignment="0" applyProtection="0"/>
    <xf numFmtId="0" fontId="37" fillId="0" borderId="0"/>
    <xf numFmtId="0" fontId="27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29" fillId="0" borderId="113" applyNumberFormat="0" applyFill="0" applyAlignment="0" applyProtection="0"/>
    <xf numFmtId="0" fontId="30" fillId="0" borderId="114" applyNumberFormat="0" applyFill="0" applyAlignment="0" applyProtection="0"/>
    <xf numFmtId="0" fontId="31" fillId="0" borderId="115" applyNumberFormat="0" applyFill="0" applyAlignment="0" applyProtection="0"/>
    <xf numFmtId="0" fontId="31" fillId="0" borderId="0" applyNumberFormat="0" applyFill="0" applyBorder="0" applyAlignment="0" applyProtection="0"/>
    <xf numFmtId="0" fontId="26" fillId="31" borderId="110" applyNumberFormat="0" applyAlignment="0" applyProtection="0"/>
    <xf numFmtId="0" fontId="1" fillId="0" borderId="0"/>
    <xf numFmtId="49" fontId="22" fillId="0" borderId="44" applyNumberFormat="0" applyFont="0" applyFill="0" applyBorder="0" applyProtection="0">
      <alignment horizontal="left" vertical="center" indent="2"/>
    </xf>
    <xf numFmtId="0" fontId="36" fillId="26" borderId="124" applyNumberFormat="0" applyAlignment="0" applyProtection="0"/>
    <xf numFmtId="0" fontId="6" fillId="23" borderId="125" applyNumberFormat="0" applyFont="0" applyAlignment="0" applyProtection="0"/>
    <xf numFmtId="0" fontId="32" fillId="27" borderId="124" applyNumberFormat="0" applyAlignment="0" applyProtection="0"/>
    <xf numFmtId="0" fontId="33" fillId="26" borderId="126" applyNumberFormat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44" fillId="0" borderId="0"/>
    <xf numFmtId="0" fontId="45" fillId="0" borderId="0"/>
    <xf numFmtId="0" fontId="44" fillId="0" borderId="0"/>
    <xf numFmtId="0" fontId="6" fillId="0" borderId="0"/>
    <xf numFmtId="0" fontId="47" fillId="44" borderId="0" applyNumberFormat="0" applyBorder="0" applyAlignment="0" applyProtection="0"/>
    <xf numFmtId="0" fontId="6" fillId="0" borderId="0"/>
    <xf numFmtId="0" fontId="6" fillId="0" borderId="0"/>
    <xf numFmtId="0" fontId="51" fillId="47" borderId="0" applyNumberFormat="0" applyBorder="0" applyAlignment="0" applyProtection="0"/>
    <xf numFmtId="0" fontId="51" fillId="28" borderId="0" applyNumberFormat="0" applyBorder="0" applyAlignment="0" applyProtection="0"/>
    <xf numFmtId="0" fontId="51" fillId="48" borderId="0" applyNumberFormat="0" applyBorder="0" applyAlignment="0" applyProtection="0"/>
    <xf numFmtId="0" fontId="51" fillId="32" borderId="0" applyNumberFormat="0" applyBorder="0" applyAlignment="0" applyProtection="0"/>
    <xf numFmtId="0" fontId="51" fillId="25" borderId="0" applyNumberFormat="0" applyBorder="0" applyAlignment="0" applyProtection="0"/>
    <xf numFmtId="0" fontId="51" fillId="24" borderId="0" applyNumberFormat="0" applyBorder="0" applyAlignment="0" applyProtection="0"/>
    <xf numFmtId="0" fontId="51" fillId="21" borderId="0" applyNumberFormat="0" applyBorder="0" applyAlignment="0" applyProtection="0"/>
    <xf numFmtId="0" fontId="51" fillId="22" borderId="0" applyNumberFormat="0" applyBorder="0" applyAlignment="0" applyProtection="0"/>
    <xf numFmtId="0" fontId="51" fillId="49" borderId="0" applyNumberFormat="0" applyBorder="0" applyAlignment="0" applyProtection="0"/>
    <xf numFmtId="0" fontId="51" fillId="32" borderId="0" applyNumberFormat="0" applyBorder="0" applyAlignment="0" applyProtection="0"/>
    <xf numFmtId="0" fontId="51" fillId="21" borderId="0" applyNumberFormat="0" applyBorder="0" applyAlignment="0" applyProtection="0"/>
    <xf numFmtId="0" fontId="51" fillId="30" borderId="0" applyNumberFormat="0" applyBorder="0" applyAlignment="0" applyProtection="0"/>
    <xf numFmtId="0" fontId="52" fillId="50" borderId="0" applyNumberFormat="0" applyBorder="0" applyAlignment="0" applyProtection="0"/>
    <xf numFmtId="0" fontId="52" fillId="22" borderId="0" applyNumberFormat="0" applyBorder="0" applyAlignment="0" applyProtection="0"/>
    <xf numFmtId="0" fontId="52" fillId="49" borderId="0" applyNumberFormat="0" applyBorder="0" applyAlignment="0" applyProtection="0"/>
    <xf numFmtId="0" fontId="52" fillId="51" borderId="0" applyNumberFormat="0" applyBorder="0" applyAlignment="0" applyProtection="0"/>
    <xf numFmtId="0" fontId="52" fillId="52" borderId="0" applyNumberFormat="0" applyBorder="0" applyAlignment="0" applyProtection="0"/>
    <xf numFmtId="0" fontId="52" fillId="53" borderId="0" applyNumberFormat="0" applyBorder="0" applyAlignment="0" applyProtection="0"/>
    <xf numFmtId="0" fontId="53" fillId="24" borderId="159" applyNumberFormat="0" applyAlignment="0" applyProtection="0"/>
    <xf numFmtId="0" fontId="54" fillId="0" borderId="0" applyNumberFormat="0" applyFill="0" applyBorder="0" applyAlignment="0" applyProtection="0"/>
    <xf numFmtId="0" fontId="55" fillId="0" borderId="160" applyNumberFormat="0" applyFill="0" applyAlignment="0" applyProtection="0"/>
    <xf numFmtId="0" fontId="56" fillId="0" borderId="161" applyNumberFormat="0" applyFill="0" applyAlignment="0" applyProtection="0"/>
    <xf numFmtId="0" fontId="57" fillId="0" borderId="162" applyNumberFormat="0" applyFill="0" applyAlignment="0" applyProtection="0"/>
    <xf numFmtId="0" fontId="57" fillId="0" borderId="0" applyNumberFormat="0" applyFill="0" applyBorder="0" applyAlignment="0" applyProtection="0"/>
    <xf numFmtId="0" fontId="58" fillId="31" borderId="163" applyNumberFormat="0" applyAlignment="0" applyProtection="0"/>
    <xf numFmtId="43" fontId="6" fillId="0" borderId="0" applyFont="0" applyFill="0" applyBorder="0" applyAlignment="0" applyProtection="0"/>
    <xf numFmtId="0" fontId="59" fillId="0" borderId="0" applyNumberFormat="0" applyFill="0" applyBorder="0" applyAlignment="0" applyProtection="0"/>
    <xf numFmtId="0" fontId="60" fillId="0" borderId="164" applyNumberFormat="0" applyFill="0" applyAlignment="0" applyProtection="0"/>
    <xf numFmtId="0" fontId="51" fillId="23" borderId="165" applyNumberFormat="0" applyFont="0" applyAlignment="0" applyProtection="0"/>
    <xf numFmtId="0" fontId="52" fillId="54" borderId="0" applyNumberFormat="0" applyBorder="0" applyAlignment="0" applyProtection="0"/>
    <xf numFmtId="0" fontId="52" fillId="55" borderId="0" applyNumberFormat="0" applyBorder="0" applyAlignment="0" applyProtection="0"/>
    <xf numFmtId="0" fontId="52" fillId="56" borderId="0" applyNumberFormat="0" applyBorder="0" applyAlignment="0" applyProtection="0"/>
    <xf numFmtId="0" fontId="52" fillId="51" borderId="0" applyNumberFormat="0" applyBorder="0" applyAlignment="0" applyProtection="0"/>
    <xf numFmtId="0" fontId="52" fillId="52" borderId="0" applyNumberFormat="0" applyBorder="0" applyAlignment="0" applyProtection="0"/>
    <xf numFmtId="0" fontId="52" fillId="29" borderId="0" applyNumberFormat="0" applyBorder="0" applyAlignment="0" applyProtection="0"/>
    <xf numFmtId="0" fontId="61" fillId="48" borderId="0" applyNumberFormat="0" applyBorder="0" applyAlignment="0" applyProtection="0"/>
    <xf numFmtId="0" fontId="62" fillId="57" borderId="166" applyNumberFormat="0" applyAlignment="0" applyProtection="0"/>
    <xf numFmtId="0" fontId="63" fillId="0" borderId="0" applyNumberFormat="0" applyFill="0" applyBorder="0" applyAlignment="0" applyProtection="0"/>
    <xf numFmtId="0" fontId="64" fillId="0" borderId="0"/>
    <xf numFmtId="0" fontId="6" fillId="0" borderId="0"/>
    <xf numFmtId="0" fontId="44" fillId="0" borderId="0"/>
    <xf numFmtId="0" fontId="65" fillId="0" borderId="167" applyNumberFormat="0" applyFill="0" applyAlignment="0" applyProtection="0"/>
    <xf numFmtId="0" fontId="66" fillId="28" borderId="0" applyNumberFormat="0" applyBorder="0" applyAlignment="0" applyProtection="0"/>
    <xf numFmtId="0" fontId="67" fillId="27" borderId="0" applyNumberFormat="0" applyBorder="0" applyAlignment="0" applyProtection="0"/>
    <xf numFmtId="0" fontId="68" fillId="57" borderId="159" applyNumberFormat="0" applyAlignment="0" applyProtection="0"/>
    <xf numFmtId="0" fontId="69" fillId="46" borderId="0">
      <alignment horizontal="left"/>
    </xf>
    <xf numFmtId="0" fontId="70" fillId="0" borderId="0"/>
    <xf numFmtId="0" fontId="6" fillId="0" borderId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6" fillId="0" borderId="0" applyNumberFormat="0" applyFont="0" applyFill="0" applyBorder="0" applyProtection="0">
      <alignment horizontal="left" vertical="center" indent="5"/>
    </xf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4" fontId="81" fillId="58" borderId="158">
      <alignment horizontal="right" vertical="center"/>
    </xf>
    <xf numFmtId="4" fontId="81" fillId="58" borderId="158">
      <alignment horizontal="right" vertical="center"/>
    </xf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2" fillId="0" borderId="168">
      <alignment horizontal="left" vertical="center" wrapText="1" indent="2"/>
    </xf>
    <xf numFmtId="180" fontId="6" fillId="0" borderId="0" applyFont="0" applyFill="0" applyBorder="0" applyAlignment="0" applyProtection="0"/>
    <xf numFmtId="185" fontId="6" fillId="0" borderId="0" applyFont="0" applyFill="0" applyBorder="0" applyAlignment="0" applyProtection="0"/>
    <xf numFmtId="185" fontId="6" fillId="0" borderId="0" applyFont="0" applyFill="0" applyBorder="0" applyAlignment="0" applyProtection="0"/>
    <xf numFmtId="185" fontId="6" fillId="0" borderId="0" applyFont="0" applyFill="0" applyBorder="0" applyAlignment="0" applyProtection="0"/>
    <xf numFmtId="185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185" fontId="6" fillId="0" borderId="0" applyFont="0" applyFill="0" applyBorder="0" applyAlignment="0" applyProtection="0"/>
    <xf numFmtId="185" fontId="6" fillId="0" borderId="0" applyFont="0" applyFill="0" applyBorder="0" applyAlignment="0" applyProtection="0"/>
    <xf numFmtId="185" fontId="6" fillId="0" borderId="0" applyFont="0" applyFill="0" applyBorder="0" applyAlignment="0" applyProtection="0"/>
    <xf numFmtId="185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185" fontId="6" fillId="0" borderId="0" applyFont="0" applyFill="0" applyBorder="0" applyAlignment="0" applyProtection="0"/>
    <xf numFmtId="185" fontId="6" fillId="0" borderId="0" applyFont="0" applyFill="0" applyBorder="0" applyAlignment="0" applyProtection="0"/>
    <xf numFmtId="185" fontId="6" fillId="0" borderId="0" applyFont="0" applyFill="0" applyBorder="0" applyAlignment="0" applyProtection="0"/>
    <xf numFmtId="185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5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5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185" fontId="6" fillId="0" borderId="0" applyFont="0" applyFill="0" applyBorder="0" applyAlignment="0" applyProtection="0"/>
    <xf numFmtId="185" fontId="6" fillId="0" borderId="0" applyFont="0" applyFill="0" applyBorder="0" applyAlignment="0" applyProtection="0"/>
    <xf numFmtId="185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185" fontId="6" fillId="0" borderId="0" applyFont="0" applyFill="0" applyBorder="0" applyAlignment="0" applyProtection="0"/>
    <xf numFmtId="185" fontId="6" fillId="0" borderId="0" applyFont="0" applyFill="0" applyBorder="0" applyAlignment="0" applyProtection="0"/>
    <xf numFmtId="185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5" fontId="6" fillId="0" borderId="0" applyFont="0" applyFill="0" applyBorder="0" applyAlignment="0" applyProtection="0"/>
    <xf numFmtId="185" fontId="6" fillId="0" borderId="0" applyFont="0" applyFill="0" applyBorder="0" applyAlignment="0" applyProtection="0"/>
    <xf numFmtId="185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5" fontId="6" fillId="0" borderId="0" applyFont="0" applyFill="0" applyBorder="0" applyAlignment="0" applyProtection="0"/>
    <xf numFmtId="185" fontId="6" fillId="0" borderId="0" applyFont="0" applyFill="0" applyBorder="0" applyAlignment="0" applyProtection="0"/>
    <xf numFmtId="185" fontId="6" fillId="0" borderId="0" applyFont="0" applyFill="0" applyBorder="0" applyAlignment="0" applyProtection="0"/>
    <xf numFmtId="185" fontId="6" fillId="0" borderId="0" applyFont="0" applyFill="0" applyBorder="0" applyAlignment="0" applyProtection="0"/>
    <xf numFmtId="185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185" fontId="6" fillId="0" borderId="0" applyFont="0" applyFill="0" applyBorder="0" applyAlignment="0" applyProtection="0"/>
    <xf numFmtId="185" fontId="6" fillId="0" borderId="0" applyFont="0" applyFill="0" applyBorder="0" applyAlignment="0" applyProtection="0"/>
    <xf numFmtId="185" fontId="6" fillId="0" borderId="0" applyFont="0" applyFill="0" applyBorder="0" applyAlignment="0" applyProtection="0"/>
    <xf numFmtId="185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185" fontId="6" fillId="0" borderId="0" applyFont="0" applyFill="0" applyBorder="0" applyAlignment="0" applyProtection="0"/>
    <xf numFmtId="185" fontId="6" fillId="0" borderId="0" applyFont="0" applyFill="0" applyBorder="0" applyAlignment="0" applyProtection="0"/>
    <xf numFmtId="185" fontId="6" fillId="0" borderId="0" applyFont="0" applyFill="0" applyBorder="0" applyAlignment="0" applyProtection="0"/>
    <xf numFmtId="185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185" fontId="6" fillId="0" borderId="0" applyFont="0" applyFill="0" applyBorder="0" applyAlignment="0" applyProtection="0"/>
    <xf numFmtId="185" fontId="6" fillId="0" borderId="0" applyFont="0" applyFill="0" applyBorder="0" applyAlignment="0" applyProtection="0"/>
    <xf numFmtId="185" fontId="6" fillId="0" borderId="0" applyFont="0" applyFill="0" applyBorder="0" applyAlignment="0" applyProtection="0"/>
    <xf numFmtId="185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185" fontId="6" fillId="0" borderId="0" applyFont="0" applyFill="0" applyBorder="0" applyAlignment="0" applyProtection="0"/>
    <xf numFmtId="185" fontId="6" fillId="0" borderId="0" applyFont="0" applyFill="0" applyBorder="0" applyAlignment="0" applyProtection="0"/>
    <xf numFmtId="185" fontId="6" fillId="0" borderId="0" applyFont="0" applyFill="0" applyBorder="0" applyAlignment="0" applyProtection="0"/>
    <xf numFmtId="185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185" fontId="6" fillId="0" borderId="0" applyFont="0" applyFill="0" applyBorder="0" applyAlignment="0" applyProtection="0"/>
    <xf numFmtId="185" fontId="6" fillId="0" borderId="0" applyFont="0" applyFill="0" applyBorder="0" applyAlignment="0" applyProtection="0"/>
    <xf numFmtId="185" fontId="6" fillId="0" borderId="0" applyFont="0" applyFill="0" applyBorder="0" applyAlignment="0" applyProtection="0"/>
    <xf numFmtId="185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74" fillId="0" borderId="160" applyNumberFormat="0" applyFill="0" applyAlignment="0" applyProtection="0"/>
    <xf numFmtId="0" fontId="74" fillId="0" borderId="160" applyNumberFormat="0" applyFill="0" applyAlignment="0" applyProtection="0"/>
    <xf numFmtId="0" fontId="74" fillId="0" borderId="160" applyNumberFormat="0" applyFill="0" applyAlignment="0" applyProtection="0"/>
    <xf numFmtId="0" fontId="74" fillId="0" borderId="160" applyNumberFormat="0" applyFill="0" applyAlignment="0" applyProtection="0"/>
    <xf numFmtId="0" fontId="74" fillId="0" borderId="160" applyNumberFormat="0" applyFill="0" applyAlignment="0" applyProtection="0"/>
    <xf numFmtId="0" fontId="74" fillId="0" borderId="160" applyNumberFormat="0" applyFill="0" applyAlignment="0" applyProtection="0"/>
    <xf numFmtId="0" fontId="74" fillId="0" borderId="160" applyNumberFormat="0" applyFill="0" applyAlignment="0" applyProtection="0"/>
    <xf numFmtId="0" fontId="74" fillId="0" borderId="160" applyNumberFormat="0" applyFill="0" applyAlignment="0" applyProtection="0"/>
    <xf numFmtId="0" fontId="74" fillId="0" borderId="160" applyNumberFormat="0" applyFill="0" applyAlignment="0" applyProtection="0"/>
    <xf numFmtId="0" fontId="74" fillId="0" borderId="160" applyNumberFormat="0" applyFill="0" applyAlignment="0" applyProtection="0"/>
    <xf numFmtId="0" fontId="74" fillId="0" borderId="160" applyNumberFormat="0" applyFill="0" applyAlignment="0" applyProtection="0"/>
    <xf numFmtId="0" fontId="74" fillId="0" borderId="160" applyNumberFormat="0" applyFill="0" applyAlignment="0" applyProtection="0"/>
    <xf numFmtId="0" fontId="74" fillId="0" borderId="160" applyNumberFormat="0" applyFill="0" applyAlignment="0" applyProtection="0"/>
    <xf numFmtId="0" fontId="74" fillId="0" borderId="160" applyNumberFormat="0" applyFill="0" applyAlignment="0" applyProtection="0"/>
    <xf numFmtId="0" fontId="74" fillId="0" borderId="160" applyNumberFormat="0" applyFill="0" applyAlignment="0" applyProtection="0"/>
    <xf numFmtId="0" fontId="74" fillId="0" borderId="160" applyNumberFormat="0" applyFill="0" applyAlignment="0" applyProtection="0"/>
    <xf numFmtId="0" fontId="74" fillId="0" borderId="160" applyNumberFormat="0" applyFill="0" applyAlignment="0" applyProtection="0"/>
    <xf numFmtId="0" fontId="74" fillId="0" borderId="160" applyNumberFormat="0" applyFill="0" applyAlignment="0" applyProtection="0"/>
    <xf numFmtId="0" fontId="74" fillId="0" borderId="160" applyNumberFormat="0" applyFill="0" applyAlignment="0" applyProtection="0"/>
    <xf numFmtId="0" fontId="74" fillId="0" borderId="160" applyNumberFormat="0" applyFill="0" applyAlignment="0" applyProtection="0"/>
    <xf numFmtId="0" fontId="74" fillId="0" borderId="160" applyNumberFormat="0" applyFill="0" applyAlignment="0" applyProtection="0"/>
    <xf numFmtId="0" fontId="74" fillId="0" borderId="160" applyNumberFormat="0" applyFill="0" applyAlignment="0" applyProtection="0"/>
    <xf numFmtId="0" fontId="74" fillId="0" borderId="160" applyNumberFormat="0" applyFill="0" applyAlignment="0" applyProtection="0"/>
    <xf numFmtId="0" fontId="74" fillId="0" borderId="160" applyNumberFormat="0" applyFill="0" applyAlignment="0" applyProtection="0"/>
    <xf numFmtId="0" fontId="74" fillId="0" borderId="160" applyNumberFormat="0" applyFill="0" applyAlignment="0" applyProtection="0"/>
    <xf numFmtId="0" fontId="74" fillId="0" borderId="160" applyNumberFormat="0" applyFill="0" applyAlignment="0" applyProtection="0"/>
    <xf numFmtId="0" fontId="74" fillId="0" borderId="160" applyNumberFormat="0" applyFill="0" applyAlignment="0" applyProtection="0"/>
    <xf numFmtId="0" fontId="74" fillId="0" borderId="160" applyNumberFormat="0" applyFill="0" applyAlignment="0" applyProtection="0"/>
    <xf numFmtId="0" fontId="74" fillId="0" borderId="160" applyNumberFormat="0" applyFill="0" applyAlignment="0" applyProtection="0"/>
    <xf numFmtId="0" fontId="74" fillId="0" borderId="160" applyNumberFormat="0" applyFill="0" applyAlignment="0" applyProtection="0"/>
    <xf numFmtId="0" fontId="74" fillId="0" borderId="160" applyNumberFormat="0" applyFill="0" applyAlignment="0" applyProtection="0"/>
    <xf numFmtId="0" fontId="74" fillId="0" borderId="160" applyNumberFormat="0" applyFill="0" applyAlignment="0" applyProtection="0"/>
    <xf numFmtId="0" fontId="74" fillId="0" borderId="160" applyNumberFormat="0" applyFill="0" applyAlignment="0" applyProtection="0"/>
    <xf numFmtId="0" fontId="74" fillId="0" borderId="160" applyNumberFormat="0" applyFill="0" applyAlignment="0" applyProtection="0"/>
    <xf numFmtId="0" fontId="74" fillId="0" borderId="160" applyNumberFormat="0" applyFill="0" applyAlignment="0" applyProtection="0"/>
    <xf numFmtId="0" fontId="74" fillId="0" borderId="160" applyNumberFormat="0" applyFill="0" applyAlignment="0" applyProtection="0"/>
    <xf numFmtId="0" fontId="74" fillId="0" borderId="160" applyNumberFormat="0" applyFill="0" applyAlignment="0" applyProtection="0"/>
    <xf numFmtId="0" fontId="74" fillId="0" borderId="160" applyNumberFormat="0" applyFill="0" applyAlignment="0" applyProtection="0"/>
    <xf numFmtId="0" fontId="74" fillId="0" borderId="160" applyNumberFormat="0" applyFill="0" applyAlignment="0" applyProtection="0"/>
    <xf numFmtId="0" fontId="74" fillId="0" borderId="160" applyNumberFormat="0" applyFill="0" applyAlignment="0" applyProtection="0"/>
    <xf numFmtId="0" fontId="74" fillId="0" borderId="160" applyNumberFormat="0" applyFill="0" applyAlignment="0" applyProtection="0"/>
    <xf numFmtId="0" fontId="74" fillId="0" borderId="160" applyNumberFormat="0" applyFill="0" applyAlignment="0" applyProtection="0"/>
    <xf numFmtId="0" fontId="74" fillId="0" borderId="160" applyNumberFormat="0" applyFill="0" applyAlignment="0" applyProtection="0"/>
    <xf numFmtId="0" fontId="74" fillId="0" borderId="160" applyNumberFormat="0" applyFill="0" applyAlignment="0" applyProtection="0"/>
    <xf numFmtId="0" fontId="74" fillId="0" borderId="160" applyNumberFormat="0" applyFill="0" applyAlignment="0" applyProtection="0"/>
    <xf numFmtId="0" fontId="74" fillId="0" borderId="160" applyNumberFormat="0" applyFill="0" applyAlignment="0" applyProtection="0"/>
    <xf numFmtId="0" fontId="74" fillId="0" borderId="160" applyNumberFormat="0" applyFill="0" applyAlignment="0" applyProtection="0"/>
    <xf numFmtId="0" fontId="74" fillId="0" borderId="160" applyNumberFormat="0" applyFill="0" applyAlignment="0" applyProtection="0"/>
    <xf numFmtId="0" fontId="74" fillId="0" borderId="160" applyNumberFormat="0" applyFill="0" applyAlignment="0" applyProtection="0"/>
    <xf numFmtId="0" fontId="74" fillId="0" borderId="160" applyNumberFormat="0" applyFill="0" applyAlignment="0" applyProtection="0"/>
    <xf numFmtId="0" fontId="74" fillId="0" borderId="160" applyNumberFormat="0" applyFill="0" applyAlignment="0" applyProtection="0"/>
    <xf numFmtId="0" fontId="74" fillId="0" borderId="160" applyNumberFormat="0" applyFill="0" applyAlignment="0" applyProtection="0"/>
    <xf numFmtId="0" fontId="74" fillId="0" borderId="160" applyNumberFormat="0" applyFill="0" applyAlignment="0" applyProtection="0"/>
    <xf numFmtId="0" fontId="74" fillId="0" borderId="160" applyNumberFormat="0" applyFill="0" applyAlignment="0" applyProtection="0"/>
    <xf numFmtId="0" fontId="74" fillId="0" borderId="160" applyNumberFormat="0" applyFill="0" applyAlignment="0" applyProtection="0"/>
    <xf numFmtId="0" fontId="74" fillId="0" borderId="160" applyNumberFormat="0" applyFill="0" applyAlignment="0" applyProtection="0"/>
    <xf numFmtId="0" fontId="74" fillId="0" borderId="160" applyNumberFormat="0" applyFill="0" applyAlignment="0" applyProtection="0"/>
    <xf numFmtId="0" fontId="74" fillId="0" borderId="160" applyNumberFormat="0" applyFill="0" applyAlignment="0" applyProtection="0"/>
    <xf numFmtId="0" fontId="74" fillId="0" borderId="160" applyNumberFormat="0" applyFill="0" applyAlignment="0" applyProtection="0"/>
    <xf numFmtId="0" fontId="75" fillId="0" borderId="161" applyNumberFormat="0" applyFill="0" applyAlignment="0" applyProtection="0"/>
    <xf numFmtId="0" fontId="75" fillId="0" borderId="161" applyNumberFormat="0" applyFill="0" applyAlignment="0" applyProtection="0"/>
    <xf numFmtId="0" fontId="75" fillId="0" borderId="161" applyNumberFormat="0" applyFill="0" applyAlignment="0" applyProtection="0"/>
    <xf numFmtId="0" fontId="75" fillId="0" borderId="161" applyNumberFormat="0" applyFill="0" applyAlignment="0" applyProtection="0"/>
    <xf numFmtId="0" fontId="75" fillId="0" borderId="161" applyNumberFormat="0" applyFill="0" applyAlignment="0" applyProtection="0"/>
    <xf numFmtId="0" fontId="75" fillId="0" borderId="161" applyNumberFormat="0" applyFill="0" applyAlignment="0" applyProtection="0"/>
    <xf numFmtId="0" fontId="75" fillId="0" borderId="161" applyNumberFormat="0" applyFill="0" applyAlignment="0" applyProtection="0"/>
    <xf numFmtId="0" fontId="75" fillId="0" borderId="161" applyNumberFormat="0" applyFill="0" applyAlignment="0" applyProtection="0"/>
    <xf numFmtId="0" fontId="75" fillId="0" borderId="161" applyNumberFormat="0" applyFill="0" applyAlignment="0" applyProtection="0"/>
    <xf numFmtId="0" fontId="75" fillId="0" borderId="161" applyNumberFormat="0" applyFill="0" applyAlignment="0" applyProtection="0"/>
    <xf numFmtId="0" fontId="75" fillId="0" borderId="161" applyNumberFormat="0" applyFill="0" applyAlignment="0" applyProtection="0"/>
    <xf numFmtId="0" fontId="75" fillId="0" borderId="161" applyNumberFormat="0" applyFill="0" applyAlignment="0" applyProtection="0"/>
    <xf numFmtId="0" fontId="75" fillId="0" borderId="161" applyNumberFormat="0" applyFill="0" applyAlignment="0" applyProtection="0"/>
    <xf numFmtId="0" fontId="75" fillId="0" borderId="161" applyNumberFormat="0" applyFill="0" applyAlignment="0" applyProtection="0"/>
    <xf numFmtId="0" fontId="75" fillId="0" borderId="161" applyNumberFormat="0" applyFill="0" applyAlignment="0" applyProtection="0"/>
    <xf numFmtId="0" fontId="75" fillId="0" borderId="161" applyNumberFormat="0" applyFill="0" applyAlignment="0" applyProtection="0"/>
    <xf numFmtId="0" fontId="75" fillId="0" borderId="161" applyNumberFormat="0" applyFill="0" applyAlignment="0" applyProtection="0"/>
    <xf numFmtId="0" fontId="75" fillId="0" borderId="161" applyNumberFormat="0" applyFill="0" applyAlignment="0" applyProtection="0"/>
    <xf numFmtId="0" fontId="75" fillId="0" borderId="161" applyNumberFormat="0" applyFill="0" applyAlignment="0" applyProtection="0"/>
    <xf numFmtId="0" fontId="75" fillId="0" borderId="161" applyNumberFormat="0" applyFill="0" applyAlignment="0" applyProtection="0"/>
    <xf numFmtId="0" fontId="75" fillId="0" borderId="161" applyNumberFormat="0" applyFill="0" applyAlignment="0" applyProtection="0"/>
    <xf numFmtId="0" fontId="75" fillId="0" borderId="161" applyNumberFormat="0" applyFill="0" applyAlignment="0" applyProtection="0"/>
    <xf numFmtId="0" fontId="75" fillId="0" borderId="161" applyNumberFormat="0" applyFill="0" applyAlignment="0" applyProtection="0"/>
    <xf numFmtId="0" fontId="75" fillId="0" borderId="161" applyNumberFormat="0" applyFill="0" applyAlignment="0" applyProtection="0"/>
    <xf numFmtId="0" fontId="75" fillId="0" borderId="161" applyNumberFormat="0" applyFill="0" applyAlignment="0" applyProtection="0"/>
    <xf numFmtId="0" fontId="75" fillId="0" borderId="161" applyNumberFormat="0" applyFill="0" applyAlignment="0" applyProtection="0"/>
    <xf numFmtId="0" fontId="75" fillId="0" borderId="161" applyNumberFormat="0" applyFill="0" applyAlignment="0" applyProtection="0"/>
    <xf numFmtId="0" fontId="75" fillId="0" borderId="161" applyNumberFormat="0" applyFill="0" applyAlignment="0" applyProtection="0"/>
    <xf numFmtId="0" fontId="75" fillId="0" borderId="161" applyNumberFormat="0" applyFill="0" applyAlignment="0" applyProtection="0"/>
    <xf numFmtId="0" fontId="75" fillId="0" borderId="161" applyNumberFormat="0" applyFill="0" applyAlignment="0" applyProtection="0"/>
    <xf numFmtId="0" fontId="75" fillId="0" borderId="161" applyNumberFormat="0" applyFill="0" applyAlignment="0" applyProtection="0"/>
    <xf numFmtId="0" fontId="75" fillId="0" borderId="161" applyNumberFormat="0" applyFill="0" applyAlignment="0" applyProtection="0"/>
    <xf numFmtId="0" fontId="75" fillId="0" borderId="161" applyNumberFormat="0" applyFill="0" applyAlignment="0" applyProtection="0"/>
    <xf numFmtId="0" fontId="75" fillId="0" borderId="161" applyNumberFormat="0" applyFill="0" applyAlignment="0" applyProtection="0"/>
    <xf numFmtId="0" fontId="75" fillId="0" borderId="161" applyNumberFormat="0" applyFill="0" applyAlignment="0" applyProtection="0"/>
    <xf numFmtId="0" fontId="75" fillId="0" borderId="161" applyNumberFormat="0" applyFill="0" applyAlignment="0" applyProtection="0"/>
    <xf numFmtId="0" fontId="75" fillId="0" borderId="161" applyNumberFormat="0" applyFill="0" applyAlignment="0" applyProtection="0"/>
    <xf numFmtId="0" fontId="75" fillId="0" borderId="161" applyNumberFormat="0" applyFill="0" applyAlignment="0" applyProtection="0"/>
    <xf numFmtId="0" fontId="75" fillId="0" borderId="161" applyNumberFormat="0" applyFill="0" applyAlignment="0" applyProtection="0"/>
    <xf numFmtId="0" fontId="75" fillId="0" borderId="161" applyNumberFormat="0" applyFill="0" applyAlignment="0" applyProtection="0"/>
    <xf numFmtId="0" fontId="75" fillId="0" borderId="161" applyNumberFormat="0" applyFill="0" applyAlignment="0" applyProtection="0"/>
    <xf numFmtId="0" fontId="75" fillId="0" borderId="161" applyNumberFormat="0" applyFill="0" applyAlignment="0" applyProtection="0"/>
    <xf numFmtId="0" fontId="75" fillId="0" borderId="161" applyNumberFormat="0" applyFill="0" applyAlignment="0" applyProtection="0"/>
    <xf numFmtId="0" fontId="75" fillId="0" borderId="161" applyNumberFormat="0" applyFill="0" applyAlignment="0" applyProtection="0"/>
    <xf numFmtId="0" fontId="75" fillId="0" borderId="161" applyNumberFormat="0" applyFill="0" applyAlignment="0" applyProtection="0"/>
    <xf numFmtId="0" fontId="75" fillId="0" borderId="161" applyNumberFormat="0" applyFill="0" applyAlignment="0" applyProtection="0"/>
    <xf numFmtId="0" fontId="75" fillId="0" borderId="161" applyNumberFormat="0" applyFill="0" applyAlignment="0" applyProtection="0"/>
    <xf numFmtId="0" fontId="75" fillId="0" borderId="161" applyNumberFormat="0" applyFill="0" applyAlignment="0" applyProtection="0"/>
    <xf numFmtId="0" fontId="75" fillId="0" borderId="161" applyNumberFormat="0" applyFill="0" applyAlignment="0" applyProtection="0"/>
    <xf numFmtId="0" fontId="75" fillId="0" borderId="161" applyNumberFormat="0" applyFill="0" applyAlignment="0" applyProtection="0"/>
    <xf numFmtId="0" fontId="75" fillId="0" borderId="161" applyNumberFormat="0" applyFill="0" applyAlignment="0" applyProtection="0"/>
    <xf numFmtId="0" fontId="75" fillId="0" borderId="161" applyNumberFormat="0" applyFill="0" applyAlignment="0" applyProtection="0"/>
    <xf numFmtId="0" fontId="75" fillId="0" borderId="161" applyNumberFormat="0" applyFill="0" applyAlignment="0" applyProtection="0"/>
    <xf numFmtId="0" fontId="75" fillId="0" borderId="161" applyNumberFormat="0" applyFill="0" applyAlignment="0" applyProtection="0"/>
    <xf numFmtId="0" fontId="75" fillId="0" borderId="161" applyNumberFormat="0" applyFill="0" applyAlignment="0" applyProtection="0"/>
    <xf numFmtId="0" fontId="75" fillId="0" borderId="161" applyNumberFormat="0" applyFill="0" applyAlignment="0" applyProtection="0"/>
    <xf numFmtId="0" fontId="75" fillId="0" borderId="161" applyNumberFormat="0" applyFill="0" applyAlignment="0" applyProtection="0"/>
    <xf numFmtId="0" fontId="75" fillId="0" borderId="161" applyNumberFormat="0" applyFill="0" applyAlignment="0" applyProtection="0"/>
    <xf numFmtId="0" fontId="75" fillId="0" borderId="161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1" fillId="0" borderId="0" applyNumberFormat="0" applyFill="0" applyBorder="0" applyAlignment="0" applyProtection="0">
      <alignment vertical="top"/>
      <protection locked="0"/>
    </xf>
    <xf numFmtId="0" fontId="71" fillId="0" borderId="0" applyNumberFormat="0" applyFill="0" applyBorder="0" applyAlignment="0" applyProtection="0">
      <alignment vertical="top"/>
      <protection locked="0"/>
    </xf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4" fontId="22" fillId="0" borderId="0" applyBorder="0">
      <alignment horizontal="right" vertical="center"/>
    </xf>
    <xf numFmtId="0" fontId="77" fillId="0" borderId="164" applyNumberFormat="0" applyFill="0" applyAlignment="0" applyProtection="0"/>
    <xf numFmtId="0" fontId="77" fillId="0" borderId="164" applyNumberFormat="0" applyFill="0" applyAlignment="0" applyProtection="0"/>
    <xf numFmtId="0" fontId="77" fillId="0" borderId="164" applyNumberFormat="0" applyFill="0" applyAlignment="0" applyProtection="0"/>
    <xf numFmtId="0" fontId="77" fillId="0" borderId="164" applyNumberFormat="0" applyFill="0" applyAlignment="0" applyProtection="0"/>
    <xf numFmtId="0" fontId="77" fillId="0" borderId="164" applyNumberFormat="0" applyFill="0" applyAlignment="0" applyProtection="0"/>
    <xf numFmtId="0" fontId="77" fillId="0" borderId="164" applyNumberFormat="0" applyFill="0" applyAlignment="0" applyProtection="0"/>
    <xf numFmtId="0" fontId="77" fillId="0" borderId="164" applyNumberFormat="0" applyFill="0" applyAlignment="0" applyProtection="0"/>
    <xf numFmtId="0" fontId="77" fillId="0" borderId="164" applyNumberFormat="0" applyFill="0" applyAlignment="0" applyProtection="0"/>
    <xf numFmtId="0" fontId="77" fillId="0" borderId="164" applyNumberFormat="0" applyFill="0" applyAlignment="0" applyProtection="0"/>
    <xf numFmtId="0" fontId="77" fillId="0" borderId="164" applyNumberFormat="0" applyFill="0" applyAlignment="0" applyProtection="0"/>
    <xf numFmtId="0" fontId="77" fillId="0" borderId="164" applyNumberFormat="0" applyFill="0" applyAlignment="0" applyProtection="0"/>
    <xf numFmtId="0" fontId="77" fillId="0" borderId="164" applyNumberFormat="0" applyFill="0" applyAlignment="0" applyProtection="0"/>
    <xf numFmtId="0" fontId="77" fillId="0" borderId="164" applyNumberFormat="0" applyFill="0" applyAlignment="0" applyProtection="0"/>
    <xf numFmtId="0" fontId="77" fillId="0" borderId="164" applyNumberFormat="0" applyFill="0" applyAlignment="0" applyProtection="0"/>
    <xf numFmtId="0" fontId="77" fillId="0" borderId="164" applyNumberFormat="0" applyFill="0" applyAlignment="0" applyProtection="0"/>
    <xf numFmtId="0" fontId="77" fillId="0" borderId="164" applyNumberFormat="0" applyFill="0" applyAlignment="0" applyProtection="0"/>
    <xf numFmtId="0" fontId="77" fillId="0" borderId="164" applyNumberFormat="0" applyFill="0" applyAlignment="0" applyProtection="0"/>
    <xf numFmtId="0" fontId="77" fillId="0" borderId="164" applyNumberFormat="0" applyFill="0" applyAlignment="0" applyProtection="0"/>
    <xf numFmtId="0" fontId="77" fillId="0" borderId="164" applyNumberFormat="0" applyFill="0" applyAlignment="0" applyProtection="0"/>
    <xf numFmtId="0" fontId="77" fillId="0" borderId="164" applyNumberFormat="0" applyFill="0" applyAlignment="0" applyProtection="0"/>
    <xf numFmtId="0" fontId="77" fillId="0" borderId="164" applyNumberFormat="0" applyFill="0" applyAlignment="0" applyProtection="0"/>
    <xf numFmtId="0" fontId="77" fillId="0" borderId="164" applyNumberFormat="0" applyFill="0" applyAlignment="0" applyProtection="0"/>
    <xf numFmtId="0" fontId="77" fillId="0" borderId="164" applyNumberFormat="0" applyFill="0" applyAlignment="0" applyProtection="0"/>
    <xf numFmtId="0" fontId="77" fillId="0" borderId="164" applyNumberFormat="0" applyFill="0" applyAlignment="0" applyProtection="0"/>
    <xf numFmtId="0" fontId="77" fillId="0" borderId="164" applyNumberFormat="0" applyFill="0" applyAlignment="0" applyProtection="0"/>
    <xf numFmtId="0" fontId="77" fillId="0" borderId="164" applyNumberFormat="0" applyFill="0" applyAlignment="0" applyProtection="0"/>
    <xf numFmtId="0" fontId="77" fillId="0" borderId="164" applyNumberFormat="0" applyFill="0" applyAlignment="0" applyProtection="0"/>
    <xf numFmtId="0" fontId="77" fillId="0" borderId="164" applyNumberFormat="0" applyFill="0" applyAlignment="0" applyProtection="0"/>
    <xf numFmtId="0" fontId="77" fillId="0" borderId="164" applyNumberFormat="0" applyFill="0" applyAlignment="0" applyProtection="0"/>
    <xf numFmtId="0" fontId="77" fillId="0" borderId="164" applyNumberFormat="0" applyFill="0" applyAlignment="0" applyProtection="0"/>
    <xf numFmtId="0" fontId="77" fillId="0" borderId="164" applyNumberFormat="0" applyFill="0" applyAlignment="0" applyProtection="0"/>
    <xf numFmtId="0" fontId="77" fillId="0" borderId="164" applyNumberFormat="0" applyFill="0" applyAlignment="0" applyProtection="0"/>
    <xf numFmtId="0" fontId="77" fillId="0" borderId="164" applyNumberFormat="0" applyFill="0" applyAlignment="0" applyProtection="0"/>
    <xf numFmtId="0" fontId="77" fillId="0" borderId="164" applyNumberFormat="0" applyFill="0" applyAlignment="0" applyProtection="0"/>
    <xf numFmtId="0" fontId="77" fillId="0" borderId="164" applyNumberFormat="0" applyFill="0" applyAlignment="0" applyProtection="0"/>
    <xf numFmtId="0" fontId="77" fillId="0" borderId="164" applyNumberFormat="0" applyFill="0" applyAlignment="0" applyProtection="0"/>
    <xf numFmtId="0" fontId="77" fillId="0" borderId="164" applyNumberFormat="0" applyFill="0" applyAlignment="0" applyProtection="0"/>
    <xf numFmtId="0" fontId="77" fillId="0" borderId="164" applyNumberFormat="0" applyFill="0" applyAlignment="0" applyProtection="0"/>
    <xf numFmtId="0" fontId="77" fillId="0" borderId="164" applyNumberFormat="0" applyFill="0" applyAlignment="0" applyProtection="0"/>
    <xf numFmtId="0" fontId="77" fillId="0" borderId="164" applyNumberFormat="0" applyFill="0" applyAlignment="0" applyProtection="0"/>
    <xf numFmtId="0" fontId="77" fillId="0" borderId="164" applyNumberFormat="0" applyFill="0" applyAlignment="0" applyProtection="0"/>
    <xf numFmtId="0" fontId="77" fillId="0" borderId="164" applyNumberFormat="0" applyFill="0" applyAlignment="0" applyProtection="0"/>
    <xf numFmtId="0" fontId="77" fillId="0" borderId="164" applyNumberFormat="0" applyFill="0" applyAlignment="0" applyProtection="0"/>
    <xf numFmtId="0" fontId="77" fillId="0" borderId="164" applyNumberFormat="0" applyFill="0" applyAlignment="0" applyProtection="0"/>
    <xf numFmtId="0" fontId="77" fillId="0" borderId="164" applyNumberFormat="0" applyFill="0" applyAlignment="0" applyProtection="0"/>
    <xf numFmtId="0" fontId="77" fillId="0" borderId="164" applyNumberFormat="0" applyFill="0" applyAlignment="0" applyProtection="0"/>
    <xf numFmtId="0" fontId="77" fillId="0" borderId="164" applyNumberFormat="0" applyFill="0" applyAlignment="0" applyProtection="0"/>
    <xf numFmtId="0" fontId="77" fillId="0" borderId="164" applyNumberFormat="0" applyFill="0" applyAlignment="0" applyProtection="0"/>
    <xf numFmtId="0" fontId="77" fillId="0" borderId="164" applyNumberFormat="0" applyFill="0" applyAlignment="0" applyProtection="0"/>
    <xf numFmtId="0" fontId="77" fillId="0" borderId="164" applyNumberFormat="0" applyFill="0" applyAlignment="0" applyProtection="0"/>
    <xf numFmtId="0" fontId="77" fillId="0" borderId="164" applyNumberFormat="0" applyFill="0" applyAlignment="0" applyProtection="0"/>
    <xf numFmtId="0" fontId="77" fillId="0" borderId="164" applyNumberFormat="0" applyFill="0" applyAlignment="0" applyProtection="0"/>
    <xf numFmtId="0" fontId="77" fillId="0" borderId="164" applyNumberFormat="0" applyFill="0" applyAlignment="0" applyProtection="0"/>
    <xf numFmtId="0" fontId="77" fillId="0" borderId="164" applyNumberFormat="0" applyFill="0" applyAlignment="0" applyProtection="0"/>
    <xf numFmtId="0" fontId="77" fillId="0" borderId="164" applyNumberFormat="0" applyFill="0" applyAlignment="0" applyProtection="0"/>
    <xf numFmtId="0" fontId="77" fillId="0" borderId="164" applyNumberFormat="0" applyFill="0" applyAlignment="0" applyProtection="0"/>
    <xf numFmtId="0" fontId="77" fillId="0" borderId="164" applyNumberFormat="0" applyFill="0" applyAlignment="0" applyProtection="0"/>
    <xf numFmtId="0" fontId="77" fillId="0" borderId="164" applyNumberFormat="0" applyFill="0" applyAlignment="0" applyProtection="0"/>
    <xf numFmtId="0" fontId="77" fillId="0" borderId="164" applyNumberFormat="0" applyFill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1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23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3" fillId="0" borderId="0"/>
    <xf numFmtId="0" fontId="6" fillId="0" borderId="0"/>
    <xf numFmtId="0" fontId="2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0" fillId="0" borderId="0"/>
    <xf numFmtId="0" fontId="6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" fontId="22" fillId="0" borderId="158" applyFill="0" applyBorder="0" applyProtection="0">
      <alignment horizontal="right" vertical="center"/>
    </xf>
    <xf numFmtId="0" fontId="82" fillId="0" borderId="0" applyNumberFormat="0" applyFill="0" applyBorder="0" applyProtection="0">
      <alignment horizontal="left" vertical="center"/>
    </xf>
    <xf numFmtId="0" fontId="6" fillId="59" borderId="0" applyNumberFormat="0" applyFont="0" applyBorder="0" applyAlignment="0" applyProtection="0"/>
    <xf numFmtId="0" fontId="6" fillId="0" borderId="0"/>
    <xf numFmtId="0" fontId="6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2" fillId="0" borderId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23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23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23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182" fontId="6" fillId="0" borderId="0" applyFont="0" applyFill="0" applyBorder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9" fontId="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86" fillId="0" borderId="0" applyFont="0" applyFill="0" applyBorder="0" applyAlignment="0" applyProtection="0"/>
    <xf numFmtId="179" fontId="83" fillId="0" borderId="0" applyFont="0" applyFill="0" applyBorder="0" applyAlignment="0" applyProtection="0"/>
    <xf numFmtId="178" fontId="83" fillId="0" borderId="0" applyFont="0" applyFill="0" applyBorder="0" applyAlignment="0" applyProtection="0"/>
    <xf numFmtId="183" fontId="83" fillId="0" borderId="0" applyFont="0" applyFill="0" applyBorder="0" applyAlignment="0" applyProtection="0"/>
    <xf numFmtId="0" fontId="6" fillId="0" borderId="158" applyNumberFormat="0" applyFill="0" applyProtection="0">
      <alignment horizontal="right"/>
    </xf>
    <xf numFmtId="0" fontId="6" fillId="0" borderId="158" applyNumberFormat="0" applyFill="0" applyProtection="0">
      <alignment horizontal="right"/>
    </xf>
    <xf numFmtId="0" fontId="5" fillId="60" borderId="158" applyNumberFormat="0" applyProtection="0">
      <alignment horizontal="right"/>
    </xf>
    <xf numFmtId="0" fontId="84" fillId="60" borderId="0" applyNumberFormat="0" applyBorder="0" applyProtection="0">
      <alignment horizontal="left"/>
    </xf>
    <xf numFmtId="0" fontId="5" fillId="60" borderId="158" applyNumberFormat="0" applyProtection="0">
      <alignment horizontal="left"/>
    </xf>
    <xf numFmtId="0" fontId="6" fillId="0" borderId="158" applyNumberFormat="0" applyFill="0" applyProtection="0">
      <alignment horizontal="right"/>
    </xf>
    <xf numFmtId="0" fontId="6" fillId="0" borderId="158" applyNumberFormat="0" applyFill="0" applyProtection="0">
      <alignment horizontal="right"/>
    </xf>
    <xf numFmtId="0" fontId="85" fillId="61" borderId="0" applyNumberFormat="0" applyBorder="0" applyProtection="0">
      <alignment horizontal="left"/>
    </xf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184" fontId="83" fillId="0" borderId="0" applyFon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49" fontId="6" fillId="62" borderId="170">
      <alignment vertical="top" wrapText="1"/>
    </xf>
    <xf numFmtId="3" fontId="88" fillId="0" borderId="170">
      <alignment horizontal="right" vertical="top"/>
    </xf>
    <xf numFmtId="0" fontId="5" fillId="63" borderId="158">
      <alignment horizontal="centerContinuous" vertical="top" wrapText="1"/>
    </xf>
    <xf numFmtId="0" fontId="89" fillId="0" borderId="0">
      <alignment vertical="top" wrapText="1"/>
    </xf>
    <xf numFmtId="181" fontId="6" fillId="0" borderId="0" applyFont="0" applyFill="0" applyBorder="0" applyAlignment="0" applyProtection="0"/>
    <xf numFmtId="0" fontId="9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23" borderId="165" applyNumberFormat="0" applyFont="0" applyAlignment="0" applyProtection="0"/>
    <xf numFmtId="186" fontId="91" fillId="0" borderId="0">
      <alignment horizontal="right"/>
    </xf>
    <xf numFmtId="0" fontId="89" fillId="0" borderId="0">
      <alignment vertical="top" wrapText="1"/>
    </xf>
    <xf numFmtId="172" fontId="92" fillId="64" borderId="171">
      <alignment vertical="center"/>
    </xf>
    <xf numFmtId="177" fontId="93" fillId="64" borderId="171">
      <alignment vertical="center"/>
    </xf>
    <xf numFmtId="172" fontId="94" fillId="65" borderId="171">
      <alignment vertical="center"/>
    </xf>
    <xf numFmtId="0" fontId="6" fillId="66" borderId="172" applyBorder="0">
      <alignment horizontal="left" vertical="center"/>
    </xf>
    <xf numFmtId="49" fontId="6" fillId="67" borderId="158">
      <alignment vertical="center" wrapText="1"/>
    </xf>
    <xf numFmtId="0" fontId="6" fillId="68" borderId="169">
      <alignment horizontal="left" vertical="center" wrapText="1"/>
    </xf>
    <xf numFmtId="0" fontId="11" fillId="69" borderId="158">
      <alignment horizontal="left" vertical="center" wrapText="1"/>
    </xf>
    <xf numFmtId="0" fontId="6" fillId="70" borderId="158">
      <alignment horizontal="left" vertical="center" wrapText="1"/>
    </xf>
    <xf numFmtId="0" fontId="6" fillId="71" borderId="158">
      <alignment horizontal="left" vertical="center" wrapText="1"/>
    </xf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95" fillId="0" borderId="0"/>
    <xf numFmtId="0" fontId="1" fillId="0" borderId="0" applyNumberFormat="0" applyFont="0" applyFill="0" applyBorder="0" applyProtection="0">
      <alignment vertical="center"/>
    </xf>
    <xf numFmtId="9" fontId="1" fillId="0" borderId="0" applyFont="0" applyFill="0" applyBorder="0" applyAlignment="0" applyProtection="0"/>
    <xf numFmtId="0" fontId="87" fillId="0" borderId="0" applyNumberFormat="0" applyFill="0" applyBorder="0" applyAlignment="0" applyProtection="0">
      <alignment vertical="center"/>
    </xf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9" fontId="6" fillId="0" borderId="0" applyFont="0" applyFill="0" applyBorder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0" fontId="73" fillId="57" borderId="159" applyNumberFormat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32" fillId="24" borderId="159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22" fillId="0" borderId="158" applyFill="0" applyBorder="0" applyProtection="0">
      <alignment horizontal="right" vertical="center"/>
    </xf>
    <xf numFmtId="0" fontId="6" fillId="0" borderId="0"/>
    <xf numFmtId="0" fontId="1" fillId="0" borderId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23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23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23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0" fontId="33" fillId="57" borderId="166" applyNumberFormat="0" applyAlignment="0" applyProtection="0"/>
    <xf numFmtId="9" fontId="1" fillId="0" borderId="0" applyFont="0" applyFill="0" applyBorder="0" applyAlignment="0" applyProtection="0"/>
    <xf numFmtId="0" fontId="6" fillId="0" borderId="158" applyNumberFormat="0" applyFill="0" applyProtection="0">
      <alignment horizontal="right"/>
    </xf>
    <xf numFmtId="0" fontId="6" fillId="0" borderId="158" applyNumberFormat="0" applyFill="0" applyProtection="0">
      <alignment horizontal="right"/>
    </xf>
    <xf numFmtId="0" fontId="5" fillId="60" borderId="158" applyNumberFormat="0" applyProtection="0">
      <alignment horizontal="right"/>
    </xf>
    <xf numFmtId="0" fontId="5" fillId="60" borderId="158" applyNumberFormat="0" applyProtection="0">
      <alignment horizontal="left"/>
    </xf>
    <xf numFmtId="0" fontId="6" fillId="0" borderId="158" applyNumberFormat="0" applyFill="0" applyProtection="0">
      <alignment horizontal="right"/>
    </xf>
    <xf numFmtId="0" fontId="6" fillId="0" borderId="158" applyNumberFormat="0" applyFill="0" applyProtection="0">
      <alignment horizontal="right"/>
    </xf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0" fontId="80" fillId="0" borderId="167" applyNumberFormat="0" applyFill="0" applyAlignment="0" applyProtection="0"/>
    <xf numFmtId="4" fontId="22" fillId="0" borderId="158" applyFill="0" applyBorder="0" applyProtection="0">
      <alignment horizontal="right" vertical="center"/>
    </xf>
    <xf numFmtId="0" fontId="6" fillId="0" borderId="158" applyNumberFormat="0" applyFill="0" applyProtection="0">
      <alignment horizontal="right"/>
    </xf>
    <xf numFmtId="0" fontId="6" fillId="0" borderId="158" applyNumberFormat="0" applyFill="0" applyProtection="0">
      <alignment horizontal="right"/>
    </xf>
    <xf numFmtId="0" fontId="5" fillId="60" borderId="158" applyNumberFormat="0" applyProtection="0">
      <alignment horizontal="right"/>
    </xf>
    <xf numFmtId="0" fontId="5" fillId="60" borderId="158" applyNumberFormat="0" applyProtection="0">
      <alignment horizontal="left"/>
    </xf>
    <xf numFmtId="0" fontId="6" fillId="0" borderId="158" applyNumberFormat="0" applyFill="0" applyProtection="0">
      <alignment horizontal="right"/>
    </xf>
    <xf numFmtId="0" fontId="6" fillId="0" borderId="158" applyNumberFormat="0" applyFill="0" applyProtection="0">
      <alignment horizontal="right"/>
    </xf>
    <xf numFmtId="0" fontId="6" fillId="0" borderId="0"/>
    <xf numFmtId="187" fontId="6" fillId="0" borderId="0" applyFont="0" applyFill="0" applyBorder="0" applyAlignment="0" applyProtection="0"/>
    <xf numFmtId="187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7" fontId="6" fillId="0" borderId="0" applyFont="0" applyFill="0" applyBorder="0" applyAlignment="0" applyProtection="0"/>
    <xf numFmtId="0" fontId="6" fillId="0" borderId="0"/>
    <xf numFmtId="0" fontId="37" fillId="0" borderId="0"/>
    <xf numFmtId="0" fontId="96" fillId="72" borderId="173"/>
    <xf numFmtId="0" fontId="97" fillId="0" borderId="174"/>
    <xf numFmtId="0" fontId="6" fillId="0" borderId="0"/>
    <xf numFmtId="49" fontId="22" fillId="0" borderId="158" applyNumberFormat="0" applyFont="0" applyFill="0" applyBorder="0" applyProtection="0">
      <alignment horizontal="left" vertical="center" indent="2"/>
    </xf>
    <xf numFmtId="43" fontId="6" fillId="0" borderId="0" applyFont="0" applyFill="0" applyBorder="0" applyAlignment="0" applyProtection="0"/>
    <xf numFmtId="0" fontId="23" fillId="47" borderId="0" applyNumberFormat="0" applyBorder="0" applyAlignment="0" applyProtection="0"/>
    <xf numFmtId="0" fontId="23" fillId="28" borderId="0" applyNumberFormat="0" applyBorder="0" applyAlignment="0" applyProtection="0"/>
    <xf numFmtId="0" fontId="23" fillId="48" borderId="0" applyNumberFormat="0" applyBorder="0" applyAlignment="0" applyProtection="0"/>
    <xf numFmtId="0" fontId="23" fillId="32" borderId="0" applyNumberFormat="0" applyBorder="0" applyAlignment="0" applyProtection="0"/>
    <xf numFmtId="0" fontId="23" fillId="25" borderId="0" applyNumberFormat="0" applyBorder="0" applyAlignment="0" applyProtection="0"/>
    <xf numFmtId="0" fontId="23" fillId="24" borderId="0" applyNumberFormat="0" applyBorder="0" applyAlignment="0" applyProtection="0"/>
    <xf numFmtId="0" fontId="23" fillId="21" borderId="0" applyNumberFormat="0" applyBorder="0" applyAlignment="0" applyProtection="0"/>
    <xf numFmtId="0" fontId="23" fillId="22" borderId="0" applyNumberFormat="0" applyBorder="0" applyAlignment="0" applyProtection="0"/>
    <xf numFmtId="0" fontId="23" fillId="49" borderId="0" applyNumberFormat="0" applyBorder="0" applyAlignment="0" applyProtection="0"/>
    <xf numFmtId="0" fontId="23" fillId="32" borderId="0" applyNumberFormat="0" applyBorder="0" applyAlignment="0" applyProtection="0"/>
    <xf numFmtId="0" fontId="23" fillId="21" borderId="0" applyNumberFormat="0" applyBorder="0" applyAlignment="0" applyProtection="0"/>
    <xf numFmtId="0" fontId="23" fillId="30" borderId="0" applyNumberFormat="0" applyBorder="0" applyAlignment="0" applyProtection="0"/>
    <xf numFmtId="0" fontId="24" fillId="50" borderId="0" applyNumberFormat="0" applyBorder="0" applyAlignment="0" applyProtection="0"/>
    <xf numFmtId="0" fontId="24" fillId="22" borderId="0" applyNumberFormat="0" applyBorder="0" applyAlignment="0" applyProtection="0"/>
    <xf numFmtId="0" fontId="24" fillId="49" borderId="0" applyNumberFormat="0" applyBorder="0" applyAlignment="0" applyProtection="0"/>
    <xf numFmtId="0" fontId="24" fillId="51" borderId="0" applyNumberFormat="0" applyBorder="0" applyAlignment="0" applyProtection="0"/>
    <xf numFmtId="0" fontId="24" fillId="52" borderId="0" applyNumberFormat="0" applyBorder="0" applyAlignment="0" applyProtection="0"/>
    <xf numFmtId="0" fontId="24" fillId="53" borderId="0" applyNumberFormat="0" applyBorder="0" applyAlignment="0" applyProtection="0"/>
    <xf numFmtId="0" fontId="73" fillId="57" borderId="159" applyNumberFormat="0" applyAlignment="0" applyProtection="0"/>
    <xf numFmtId="0" fontId="77" fillId="0" borderId="164" applyNumberFormat="0" applyFill="0" applyAlignment="0" applyProtection="0"/>
    <xf numFmtId="0" fontId="26" fillId="31" borderId="163" applyNumberFormat="0" applyAlignment="0" applyProtection="0"/>
    <xf numFmtId="0" fontId="24" fillId="54" borderId="0" applyNumberFormat="0" applyBorder="0" applyAlignment="0" applyProtection="0"/>
    <xf numFmtId="0" fontId="24" fillId="55" borderId="0" applyNumberFormat="0" applyBorder="0" applyAlignment="0" applyProtection="0"/>
    <xf numFmtId="0" fontId="24" fillId="56" borderId="0" applyNumberFormat="0" applyBorder="0" applyAlignment="0" applyProtection="0"/>
    <xf numFmtId="0" fontId="24" fillId="51" borderId="0" applyNumberFormat="0" applyBorder="0" applyAlignment="0" applyProtection="0"/>
    <xf numFmtId="0" fontId="24" fillId="52" borderId="0" applyNumberFormat="0" applyBorder="0" applyAlignment="0" applyProtection="0"/>
    <xf numFmtId="0" fontId="24" fillId="29" borderId="0" applyNumberFormat="0" applyBorder="0" applyAlignment="0" applyProtection="0"/>
    <xf numFmtId="41" fontId="6" fillId="0" borderId="0" applyFont="0" applyFill="0" applyBorder="0" applyAlignment="0" applyProtection="0"/>
    <xf numFmtId="187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8" fillId="27" borderId="0" applyNumberFormat="0" applyBorder="0" applyAlignment="0" applyProtection="0"/>
    <xf numFmtId="0" fontId="98" fillId="0" borderId="0"/>
    <xf numFmtId="0" fontId="2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23" borderId="165" applyNumberFormat="0" applyFont="0" applyAlignment="0" applyProtection="0"/>
    <xf numFmtId="182" fontId="6" fillId="0" borderId="0" applyFont="0" applyFill="0" applyBorder="0" applyAlignment="0" applyProtection="0"/>
    <xf numFmtId="0" fontId="35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4" fillId="0" borderId="160" applyNumberFormat="0" applyFill="0" applyAlignment="0" applyProtection="0"/>
    <xf numFmtId="0" fontId="75" fillId="0" borderId="161" applyNumberFormat="0" applyFill="0" applyAlignment="0" applyProtection="0"/>
    <xf numFmtId="0" fontId="76" fillId="0" borderId="162" applyNumberFormat="0" applyFill="0" applyAlignment="0" applyProtection="0"/>
    <xf numFmtId="0" fontId="76" fillId="0" borderId="0" applyNumberFormat="0" applyFill="0" applyBorder="0" applyAlignment="0" applyProtection="0"/>
    <xf numFmtId="0" fontId="80" fillId="0" borderId="167" applyNumberFormat="0" applyFill="0" applyAlignment="0" applyProtection="0"/>
    <xf numFmtId="0" fontId="25" fillId="28" borderId="0" applyNumberFormat="0" applyBorder="0" applyAlignment="0" applyProtection="0"/>
    <xf numFmtId="0" fontId="28" fillId="48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111" fillId="0" borderId="0"/>
    <xf numFmtId="43" fontId="1" fillId="0" borderId="0" applyFont="0" applyFill="0" applyBorder="0" applyAlignment="0" applyProtection="0"/>
    <xf numFmtId="0" fontId="23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9" fontId="22" fillId="0" borderId="280" applyNumberFormat="0" applyFont="0" applyFill="0" applyBorder="0" applyProtection="0">
      <alignment horizontal="left" vertical="center" indent="2"/>
    </xf>
    <xf numFmtId="0" fontId="36" fillId="26" borderId="281" applyNumberForma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23" borderId="282" applyNumberFormat="0" applyFont="0" applyAlignment="0" applyProtection="0"/>
    <xf numFmtId="0" fontId="32" fillId="27" borderId="281" applyNumberFormat="0" applyAlignment="0" applyProtection="0"/>
    <xf numFmtId="0" fontId="33" fillId="26" borderId="283" applyNumberFormat="0" applyAlignment="0" applyProtection="0"/>
    <xf numFmtId="0" fontId="26" fillId="31" borderId="163" applyNumberFormat="0" applyAlignment="0" applyProtection="0"/>
    <xf numFmtId="49" fontId="22" fillId="0" borderId="280" applyNumberFormat="0" applyFont="0" applyFill="0" applyBorder="0" applyProtection="0">
      <alignment horizontal="left" vertical="center" indent="2"/>
    </xf>
    <xf numFmtId="0" fontId="36" fillId="26" borderId="281" applyNumberFormat="0" applyAlignment="0" applyProtection="0"/>
    <xf numFmtId="0" fontId="6" fillId="23" borderId="282" applyNumberFormat="0" applyFont="0" applyAlignment="0" applyProtection="0"/>
    <xf numFmtId="0" fontId="32" fillId="27" borderId="281" applyNumberFormat="0" applyAlignment="0" applyProtection="0"/>
    <xf numFmtId="0" fontId="33" fillId="26" borderId="283" applyNumberFormat="0" applyAlignment="0" applyProtection="0"/>
    <xf numFmtId="43" fontId="6" fillId="0" borderId="0" applyFont="0" applyFill="0" applyBorder="0" applyAlignment="0" applyProtection="0"/>
    <xf numFmtId="0" fontId="80" fillId="0" borderId="284" applyNumberFormat="0" applyFill="0" applyAlignment="0" applyProtection="0"/>
    <xf numFmtId="0" fontId="53" fillId="24" borderId="281" applyNumberFormat="0" applyAlignment="0" applyProtection="0"/>
    <xf numFmtId="0" fontId="51" fillId="23" borderId="282" applyNumberFormat="0" applyFont="0" applyAlignment="0" applyProtection="0"/>
    <xf numFmtId="0" fontId="62" fillId="57" borderId="283" applyNumberFormat="0" applyAlignment="0" applyProtection="0"/>
    <xf numFmtId="0" fontId="65" fillId="0" borderId="284" applyNumberFormat="0" applyFill="0" applyAlignment="0" applyProtection="0"/>
    <xf numFmtId="0" fontId="68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2" fillId="0" borderId="285">
      <alignment horizontal="left" vertical="center" wrapText="1" indent="2"/>
    </xf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4" fontId="22" fillId="0" borderId="280" applyFill="0" applyBorder="0" applyProtection="0">
      <alignment horizontal="right" vertical="center"/>
    </xf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23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23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23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6" fillId="0" borderId="280" applyNumberFormat="0" applyFill="0" applyProtection="0">
      <alignment horizontal="right"/>
    </xf>
    <xf numFmtId="0" fontId="6" fillId="0" borderId="280" applyNumberFormat="0" applyFill="0" applyProtection="0">
      <alignment horizontal="right"/>
    </xf>
    <xf numFmtId="0" fontId="5" fillId="60" borderId="280" applyNumberFormat="0" applyProtection="0">
      <alignment horizontal="right"/>
    </xf>
    <xf numFmtId="0" fontId="5" fillId="60" borderId="280" applyNumberFormat="0" applyProtection="0">
      <alignment horizontal="left"/>
    </xf>
    <xf numFmtId="0" fontId="6" fillId="0" borderId="280" applyNumberFormat="0" applyFill="0" applyProtection="0">
      <alignment horizontal="right"/>
    </xf>
    <xf numFmtId="0" fontId="6" fillId="0" borderId="280" applyNumberFormat="0" applyFill="0" applyProtection="0">
      <alignment horizontal="right"/>
    </xf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49" fontId="6" fillId="62" borderId="287">
      <alignment vertical="top" wrapText="1"/>
    </xf>
    <xf numFmtId="0" fontId="23" fillId="23" borderId="282" applyNumberFormat="0" applyFont="0" applyAlignment="0" applyProtection="0"/>
    <xf numFmtId="172" fontId="92" fillId="64" borderId="288">
      <alignment vertical="center"/>
    </xf>
    <xf numFmtId="177" fontId="93" fillId="64" borderId="288">
      <alignment vertical="center"/>
    </xf>
    <xf numFmtId="172" fontId="94" fillId="65" borderId="288">
      <alignment vertical="center"/>
    </xf>
    <xf numFmtId="0" fontId="6" fillId="66" borderId="289" applyBorder="0">
      <alignment horizontal="left" vertical="center"/>
    </xf>
    <xf numFmtId="49" fontId="6" fillId="67" borderId="280">
      <alignment vertical="center" wrapText="1"/>
    </xf>
    <xf numFmtId="0" fontId="6" fillId="68" borderId="286">
      <alignment horizontal="left" vertical="center" wrapText="1"/>
    </xf>
    <xf numFmtId="0" fontId="11" fillId="69" borderId="280">
      <alignment horizontal="left" vertical="center" wrapText="1"/>
    </xf>
    <xf numFmtId="0" fontId="6" fillId="70" borderId="280">
      <alignment horizontal="left" vertical="center" wrapText="1"/>
    </xf>
    <xf numFmtId="0" fontId="6" fillId="71" borderId="280">
      <alignment horizontal="left" vertical="center" wrapText="1"/>
    </xf>
    <xf numFmtId="43" fontId="1" fillId="0" borderId="0" applyFont="0" applyFill="0" applyBorder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4" fontId="22" fillId="0" borderId="280" applyFill="0" applyBorder="0" applyProtection="0">
      <alignment horizontal="right" vertical="center"/>
    </xf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23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23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23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6" fillId="0" borderId="280" applyNumberFormat="0" applyFill="0" applyProtection="0">
      <alignment horizontal="right"/>
    </xf>
    <xf numFmtId="0" fontId="6" fillId="0" borderId="280" applyNumberFormat="0" applyFill="0" applyProtection="0">
      <alignment horizontal="right"/>
    </xf>
    <xf numFmtId="0" fontId="5" fillId="60" borderId="280" applyNumberFormat="0" applyProtection="0">
      <alignment horizontal="right"/>
    </xf>
    <xf numFmtId="0" fontId="5" fillId="60" borderId="280" applyNumberFormat="0" applyProtection="0">
      <alignment horizontal="left"/>
    </xf>
    <xf numFmtId="0" fontId="6" fillId="0" borderId="280" applyNumberFormat="0" applyFill="0" applyProtection="0">
      <alignment horizontal="right"/>
    </xf>
    <xf numFmtId="0" fontId="6" fillId="0" borderId="280" applyNumberFormat="0" applyFill="0" applyProtection="0">
      <alignment horizontal="right"/>
    </xf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4" fontId="22" fillId="0" borderId="280" applyFill="0" applyBorder="0" applyProtection="0">
      <alignment horizontal="right" vertical="center"/>
    </xf>
    <xf numFmtId="0" fontId="6" fillId="0" borderId="280" applyNumberFormat="0" applyFill="0" applyProtection="0">
      <alignment horizontal="right"/>
    </xf>
    <xf numFmtId="0" fontId="6" fillId="0" borderId="280" applyNumberFormat="0" applyFill="0" applyProtection="0">
      <alignment horizontal="right"/>
    </xf>
    <xf numFmtId="0" fontId="5" fillId="60" borderId="280" applyNumberFormat="0" applyProtection="0">
      <alignment horizontal="right"/>
    </xf>
    <xf numFmtId="0" fontId="5" fillId="60" borderId="280" applyNumberFormat="0" applyProtection="0">
      <alignment horizontal="left"/>
    </xf>
    <xf numFmtId="0" fontId="6" fillId="0" borderId="280" applyNumberFormat="0" applyFill="0" applyProtection="0">
      <alignment horizontal="right"/>
    </xf>
    <xf numFmtId="0" fontId="6" fillId="0" borderId="280" applyNumberFormat="0" applyFill="0" applyProtection="0">
      <alignment horizontal="right"/>
    </xf>
    <xf numFmtId="49" fontId="22" fillId="0" borderId="280" applyNumberFormat="0" applyFont="0" applyFill="0" applyBorder="0" applyProtection="0">
      <alignment horizontal="left" vertical="center" indent="2"/>
    </xf>
    <xf numFmtId="43" fontId="6" fillId="0" borderId="0" applyFont="0" applyFill="0" applyBorder="0" applyAlignment="0" applyProtection="0"/>
    <xf numFmtId="0" fontId="73" fillId="57" borderId="281" applyNumberFormat="0" applyAlignment="0" applyProtection="0"/>
    <xf numFmtId="41" fontId="6" fillId="0" borderId="0" applyFont="0" applyFill="0" applyBorder="0" applyAlignment="0" applyProtection="0"/>
    <xf numFmtId="0" fontId="6" fillId="23" borderId="282" applyNumberFormat="0" applyFont="0" applyAlignment="0" applyProtection="0"/>
    <xf numFmtId="0" fontId="80" fillId="0" borderId="284" applyNumberFormat="0" applyFill="0" applyAlignment="0" applyProtection="0"/>
    <xf numFmtId="43" fontId="6" fillId="0" borderId="0" applyFont="0" applyFill="0" applyBorder="0" applyAlignment="0" applyProtection="0"/>
    <xf numFmtId="4" fontId="22" fillId="0" borderId="290" applyFill="0" applyBorder="0" applyProtection="0">
      <alignment horizontal="right" vertical="center"/>
    </xf>
    <xf numFmtId="49" fontId="22" fillId="0" borderId="290" applyNumberFormat="0" applyFont="0" applyFill="0" applyBorder="0" applyProtection="0">
      <alignment horizontal="left" vertical="center" indent="2"/>
    </xf>
    <xf numFmtId="0" fontId="36" fillId="26" borderId="281" applyNumberFormat="0" applyAlignment="0" applyProtection="0"/>
    <xf numFmtId="0" fontId="6" fillId="23" borderId="282" applyNumberFormat="0" applyFont="0" applyAlignment="0" applyProtection="0"/>
    <xf numFmtId="0" fontId="32" fillId="27" borderId="281" applyNumberFormat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33" fillId="26" borderId="283" applyNumberFormat="0" applyAlignment="0" applyProtection="0"/>
    <xf numFmtId="0" fontId="80" fillId="0" borderId="284" applyNumberFormat="0" applyFill="0" applyAlignment="0" applyProtection="0"/>
    <xf numFmtId="0" fontId="31" fillId="0" borderId="115" applyNumberFormat="0" applyFill="0" applyAlignment="0" applyProtection="0"/>
    <xf numFmtId="0" fontId="26" fillId="31" borderId="163" applyNumberFormat="0" applyAlignment="0" applyProtection="0"/>
    <xf numFmtId="0" fontId="36" fillId="26" borderId="281" applyNumberFormat="0" applyAlignment="0" applyProtection="0"/>
    <xf numFmtId="0" fontId="6" fillId="23" borderId="282" applyNumberFormat="0" applyFont="0" applyAlignment="0" applyProtection="0"/>
    <xf numFmtId="0" fontId="32" fillId="27" borderId="281" applyNumberFormat="0" applyAlignment="0" applyProtection="0"/>
    <xf numFmtId="0" fontId="33" fillId="26" borderId="283" applyNumberFormat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53" fillId="24" borderId="281" applyNumberFormat="0" applyAlignment="0" applyProtection="0"/>
    <xf numFmtId="0" fontId="57" fillId="0" borderId="162" applyNumberFormat="0" applyFill="0" applyAlignment="0" applyProtection="0"/>
    <xf numFmtId="0" fontId="58" fillId="31" borderId="163" applyNumberFormat="0" applyAlignment="0" applyProtection="0"/>
    <xf numFmtId="0" fontId="51" fillId="23" borderId="282" applyNumberFormat="0" applyFont="0" applyAlignment="0" applyProtection="0"/>
    <xf numFmtId="0" fontId="62" fillId="57" borderId="283" applyNumberFormat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65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68" fillId="57" borderId="281" applyNumberFormat="0" applyAlignment="0" applyProtection="0"/>
    <xf numFmtId="0" fontId="80" fillId="0" borderId="284" applyNumberFormat="0" applyFill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22" fillId="0" borderId="285">
      <alignment horizontal="left" vertical="center" wrapText="1" indent="2"/>
    </xf>
    <xf numFmtId="0" fontId="22" fillId="0" borderId="285">
      <alignment horizontal="left" vertical="center" wrapText="1" indent="2"/>
    </xf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2" fillId="0" borderId="285">
      <alignment horizontal="left" vertical="center" wrapText="1" indent="2"/>
    </xf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23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23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23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49" fontId="6" fillId="62" borderId="287">
      <alignment vertical="top" wrapText="1"/>
    </xf>
    <xf numFmtId="0" fontId="23" fillId="23" borderId="282" applyNumberFormat="0" applyFont="0" applyAlignment="0" applyProtection="0"/>
    <xf numFmtId="172" fontId="92" fillId="64" borderId="288">
      <alignment vertical="center"/>
    </xf>
    <xf numFmtId="177" fontId="93" fillId="64" borderId="288">
      <alignment vertical="center"/>
    </xf>
    <xf numFmtId="172" fontId="94" fillId="65" borderId="288">
      <alignment vertical="center"/>
    </xf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23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23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4" fontId="22" fillId="0" borderId="290" applyFill="0" applyBorder="0" applyProtection="0">
      <alignment horizontal="right" vertical="center"/>
    </xf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23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23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23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80" fillId="0" borderId="284" applyNumberFormat="0" applyFill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6" fillId="0" borderId="290" applyNumberFormat="0" applyFill="0" applyProtection="0">
      <alignment horizontal="right"/>
    </xf>
    <xf numFmtId="0" fontId="6" fillId="0" borderId="290" applyNumberFormat="0" applyFill="0" applyProtection="0">
      <alignment horizontal="right"/>
    </xf>
    <xf numFmtId="0" fontId="5" fillId="60" borderId="290" applyNumberFormat="0" applyProtection="0">
      <alignment horizontal="right"/>
    </xf>
    <xf numFmtId="0" fontId="80" fillId="0" borderId="284" applyNumberFormat="0" applyFill="0" applyAlignment="0" applyProtection="0"/>
    <xf numFmtId="0" fontId="5" fillId="60" borderId="290" applyNumberFormat="0" applyProtection="0">
      <alignment horizontal="left"/>
    </xf>
    <xf numFmtId="0" fontId="6" fillId="0" borderId="290" applyNumberFormat="0" applyFill="0" applyProtection="0">
      <alignment horizontal="right"/>
    </xf>
    <xf numFmtId="0" fontId="6" fillId="0" borderId="290" applyNumberFormat="0" applyFill="0" applyProtection="0">
      <alignment horizontal="right"/>
    </xf>
    <xf numFmtId="0" fontId="80" fillId="0" borderId="284" applyNumberFormat="0" applyFill="0" applyAlignment="0" applyProtection="0"/>
    <xf numFmtId="0" fontId="32" fillId="24" borderId="281" applyNumberFormat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32" fillId="24" borderId="281" applyNumberFormat="0" applyAlignment="0" applyProtection="0"/>
    <xf numFmtId="49" fontId="22" fillId="0" borderId="290" applyNumberFormat="0" applyFont="0" applyFill="0" applyBorder="0" applyProtection="0">
      <alignment horizontal="left" vertical="center" indent="2"/>
    </xf>
    <xf numFmtId="0" fontId="26" fillId="31" borderId="163" applyNumberFormat="0" applyAlignment="0" applyProtection="0"/>
    <xf numFmtId="0" fontId="76" fillId="0" borderId="162" applyNumberFormat="0" applyFill="0" applyAlignment="0" applyProtection="0"/>
    <xf numFmtId="0" fontId="32" fillId="24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49" fontId="22" fillId="0" borderId="290" applyNumberFormat="0" applyFont="0" applyFill="0" applyBorder="0" applyProtection="0">
      <alignment horizontal="left" vertical="center" indent="2"/>
    </xf>
    <xf numFmtId="43" fontId="1" fillId="0" borderId="0" applyFont="0" applyFill="0" applyBorder="0" applyAlignment="0" applyProtection="0"/>
    <xf numFmtId="49" fontId="6" fillId="62" borderId="287">
      <alignment vertical="top" wrapText="1"/>
    </xf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23" fillId="23" borderId="282" applyNumberFormat="0" applyFont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172" fontId="92" fillId="64" borderId="288">
      <alignment vertical="center"/>
    </xf>
    <xf numFmtId="177" fontId="93" fillId="64" borderId="288">
      <alignment vertical="center"/>
    </xf>
    <xf numFmtId="172" fontId="94" fillId="65" borderId="288">
      <alignment vertical="center"/>
    </xf>
    <xf numFmtId="0" fontId="6" fillId="66" borderId="289" applyBorder="0">
      <alignment horizontal="left" vertical="center"/>
    </xf>
    <xf numFmtId="49" fontId="6" fillId="67" borderId="290">
      <alignment vertical="center" wrapText="1"/>
    </xf>
    <xf numFmtId="0" fontId="6" fillId="68" borderId="286">
      <alignment horizontal="left" vertical="center" wrapText="1"/>
    </xf>
    <xf numFmtId="0" fontId="11" fillId="69" borderId="290">
      <alignment horizontal="left" vertical="center" wrapText="1"/>
    </xf>
    <xf numFmtId="0" fontId="6" fillId="70" borderId="290">
      <alignment horizontal="left" vertical="center" wrapText="1"/>
    </xf>
    <xf numFmtId="0" fontId="6" fillId="71" borderId="290">
      <alignment horizontal="left" vertical="center" wrapText="1"/>
    </xf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23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33" fillId="57" borderId="283" applyNumberFormat="0" applyAlignment="0" applyProtection="0"/>
    <xf numFmtId="4" fontId="22" fillId="0" borderId="290" applyFill="0" applyBorder="0" applyProtection="0">
      <alignment horizontal="right" vertical="center"/>
    </xf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23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23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23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80" fillId="0" borderId="284" applyNumberFormat="0" applyFill="0" applyAlignment="0" applyProtection="0"/>
    <xf numFmtId="0" fontId="6" fillId="0" borderId="290" applyNumberFormat="0" applyFill="0" applyProtection="0">
      <alignment horizontal="right"/>
    </xf>
    <xf numFmtId="0" fontId="6" fillId="0" borderId="290" applyNumberFormat="0" applyFill="0" applyProtection="0">
      <alignment horizontal="right"/>
    </xf>
    <xf numFmtId="0" fontId="5" fillId="60" borderId="290" applyNumberFormat="0" applyProtection="0">
      <alignment horizontal="right"/>
    </xf>
    <xf numFmtId="0" fontId="5" fillId="60" borderId="290" applyNumberFormat="0" applyProtection="0">
      <alignment horizontal="left"/>
    </xf>
    <xf numFmtId="0" fontId="6" fillId="0" borderId="290" applyNumberFormat="0" applyFill="0" applyProtection="0">
      <alignment horizontal="right"/>
    </xf>
    <xf numFmtId="0" fontId="6" fillId="0" borderId="290" applyNumberFormat="0" applyFill="0" applyProtection="0">
      <alignment horizontal="right"/>
    </xf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4" fontId="22" fillId="0" borderId="290" applyFill="0" applyBorder="0" applyProtection="0">
      <alignment horizontal="right" vertical="center"/>
    </xf>
    <xf numFmtId="0" fontId="6" fillId="0" borderId="290" applyNumberFormat="0" applyFill="0" applyProtection="0">
      <alignment horizontal="right"/>
    </xf>
    <xf numFmtId="0" fontId="6" fillId="0" borderId="290" applyNumberFormat="0" applyFill="0" applyProtection="0">
      <alignment horizontal="right"/>
    </xf>
    <xf numFmtId="0" fontId="5" fillId="60" borderId="290" applyNumberFormat="0" applyProtection="0">
      <alignment horizontal="right"/>
    </xf>
    <xf numFmtId="0" fontId="5" fillId="60" borderId="290" applyNumberFormat="0" applyProtection="0">
      <alignment horizontal="left"/>
    </xf>
    <xf numFmtId="0" fontId="6" fillId="0" borderId="290" applyNumberFormat="0" applyFill="0" applyProtection="0">
      <alignment horizontal="right"/>
    </xf>
    <xf numFmtId="0" fontId="6" fillId="0" borderId="290" applyNumberFormat="0" applyFill="0" applyProtection="0">
      <alignment horizontal="right"/>
    </xf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49" fontId="22" fillId="0" borderId="290" applyNumberFormat="0" applyFont="0" applyFill="0" applyBorder="0" applyProtection="0">
      <alignment horizontal="left" vertical="center" indent="2"/>
    </xf>
    <xf numFmtId="0" fontId="73" fillId="57" borderId="281" applyNumberFormat="0" applyAlignment="0" applyProtection="0"/>
    <xf numFmtId="0" fontId="26" fillId="31" borderId="163" applyNumberFormat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6" fillId="23" borderId="282" applyNumberFormat="0" applyFont="0" applyAlignment="0" applyProtection="0"/>
    <xf numFmtId="0" fontId="80" fillId="0" borderId="284" applyNumberFormat="0" applyFill="0" applyAlignment="0" applyProtection="0"/>
    <xf numFmtId="0" fontId="76" fillId="0" borderId="162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6" fillId="0" borderId="290" applyNumberFormat="0" applyFill="0" applyProtection="0">
      <alignment horizontal="right"/>
    </xf>
    <xf numFmtId="0" fontId="6" fillId="0" borderId="290" applyNumberFormat="0" applyFill="0" applyProtection="0">
      <alignment horizontal="right"/>
    </xf>
    <xf numFmtId="0" fontId="5" fillId="60" borderId="290" applyNumberFormat="0" applyProtection="0">
      <alignment horizontal="right"/>
    </xf>
    <xf numFmtId="0" fontId="5" fillId="60" borderId="290" applyNumberFormat="0" applyProtection="0">
      <alignment horizontal="left"/>
    </xf>
    <xf numFmtId="0" fontId="6" fillId="0" borderId="290" applyNumberFormat="0" applyFill="0" applyProtection="0">
      <alignment horizontal="right"/>
    </xf>
    <xf numFmtId="0" fontId="6" fillId="0" borderId="290" applyNumberFormat="0" applyFill="0" applyProtection="0">
      <alignment horizontal="right"/>
    </xf>
    <xf numFmtId="0" fontId="65" fillId="0" borderId="284" applyNumberFormat="0" applyFill="0" applyAlignment="0" applyProtection="0"/>
    <xf numFmtId="0" fontId="51" fillId="23" borderId="282" applyNumberFormat="0" applyFont="0" applyAlignment="0" applyProtection="0"/>
    <xf numFmtId="0" fontId="33" fillId="26" borderId="283" applyNumberFormat="0" applyAlignment="0" applyProtection="0"/>
    <xf numFmtId="0" fontId="32" fillId="27" borderId="281" applyNumberFormat="0" applyAlignment="0" applyProtection="0"/>
    <xf numFmtId="0" fontId="6" fillId="23" borderId="282" applyNumberFormat="0" applyFont="0" applyAlignment="0" applyProtection="0"/>
    <xf numFmtId="0" fontId="36" fillId="26" borderId="281" applyNumberFormat="0" applyAlignment="0" applyProtection="0"/>
    <xf numFmtId="49" fontId="22" fillId="0" borderId="290" applyNumberFormat="0" applyFont="0" applyFill="0" applyBorder="0" applyProtection="0">
      <alignment horizontal="left" vertical="center" indent="2"/>
    </xf>
    <xf numFmtId="0" fontId="26" fillId="31" borderId="163" applyNumberFormat="0" applyAlignment="0" applyProtection="0"/>
    <xf numFmtId="0" fontId="31" fillId="0" borderId="115" applyNumberFormat="0" applyFill="0" applyAlignment="0" applyProtection="0"/>
    <xf numFmtId="0" fontId="33" fillId="26" borderId="283" applyNumberFormat="0" applyAlignment="0" applyProtection="0"/>
    <xf numFmtId="0" fontId="32" fillId="27" borderId="281" applyNumberFormat="0" applyAlignment="0" applyProtection="0"/>
    <xf numFmtId="0" fontId="6" fillId="23" borderId="282" applyNumberFormat="0" applyFont="0" applyAlignment="0" applyProtection="0"/>
    <xf numFmtId="0" fontId="36" fillId="26" borderId="281" applyNumberFormat="0" applyAlignment="0" applyProtection="0"/>
    <xf numFmtId="49" fontId="22" fillId="0" borderId="290" applyNumberFormat="0" applyFont="0" applyFill="0" applyBorder="0" applyProtection="0">
      <alignment horizontal="left" vertical="center" indent="2"/>
    </xf>
    <xf numFmtId="43" fontId="1" fillId="0" borderId="0" applyFont="0" applyFill="0" applyBorder="0" applyAlignment="0" applyProtection="0"/>
    <xf numFmtId="0" fontId="6" fillId="66" borderId="289" applyBorder="0">
      <alignment horizontal="left" vertical="center"/>
    </xf>
    <xf numFmtId="49" fontId="6" fillId="67" borderId="290">
      <alignment vertical="center" wrapText="1"/>
    </xf>
    <xf numFmtId="0" fontId="6" fillId="68" borderId="286">
      <alignment horizontal="left" vertical="center" wrapText="1"/>
    </xf>
    <xf numFmtId="0" fontId="11" fillId="69" borderId="290">
      <alignment horizontal="left" vertical="center" wrapText="1"/>
    </xf>
    <xf numFmtId="0" fontId="6" fillId="70" borderId="290">
      <alignment horizontal="left" vertical="center" wrapText="1"/>
    </xf>
    <xf numFmtId="0" fontId="6" fillId="71" borderId="290">
      <alignment horizontal="left" vertical="center" wrapText="1"/>
    </xf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4" fontId="22" fillId="0" borderId="290" applyFill="0" applyBorder="0" applyProtection="0">
      <alignment horizontal="right" vertical="center"/>
    </xf>
    <xf numFmtId="0" fontId="6" fillId="0" borderId="290" applyNumberFormat="0" applyFill="0" applyProtection="0">
      <alignment horizontal="right"/>
    </xf>
    <xf numFmtId="0" fontId="6" fillId="0" borderId="290" applyNumberFormat="0" applyFill="0" applyProtection="0">
      <alignment horizontal="right"/>
    </xf>
    <xf numFmtId="0" fontId="5" fillId="60" borderId="290" applyNumberFormat="0" applyProtection="0">
      <alignment horizontal="right"/>
    </xf>
    <xf numFmtId="0" fontId="5" fillId="60" borderId="290" applyNumberFormat="0" applyProtection="0">
      <alignment horizontal="left"/>
    </xf>
    <xf numFmtId="0" fontId="6" fillId="0" borderId="290" applyNumberFormat="0" applyFill="0" applyProtection="0">
      <alignment horizontal="right"/>
    </xf>
    <xf numFmtId="0" fontId="6" fillId="0" borderId="290" applyNumberFormat="0" applyFill="0" applyProtection="0">
      <alignment horizontal="right"/>
    </xf>
    <xf numFmtId="0" fontId="68" fillId="57" borderId="281" applyNumberFormat="0" applyAlignment="0" applyProtection="0"/>
    <xf numFmtId="0" fontId="62" fillId="57" borderId="283" applyNumberFormat="0" applyAlignment="0" applyProtection="0"/>
    <xf numFmtId="0" fontId="57" fillId="0" borderId="162" applyNumberFormat="0" applyFill="0" applyAlignment="0" applyProtection="0"/>
    <xf numFmtId="0" fontId="53" fillId="24" borderId="281" applyNumberFormat="0" applyAlignment="0" applyProtection="0"/>
    <xf numFmtId="4" fontId="22" fillId="0" borderId="290" applyFill="0" applyBorder="0" applyProtection="0">
      <alignment horizontal="right" vertical="center"/>
    </xf>
    <xf numFmtId="0" fontId="6" fillId="0" borderId="290" applyNumberFormat="0" applyFill="0" applyProtection="0">
      <alignment horizontal="right"/>
    </xf>
    <xf numFmtId="0" fontId="6" fillId="0" borderId="290" applyNumberFormat="0" applyFill="0" applyProtection="0">
      <alignment horizontal="right"/>
    </xf>
    <xf numFmtId="0" fontId="5" fillId="60" borderId="290" applyNumberFormat="0" applyProtection="0">
      <alignment horizontal="right"/>
    </xf>
    <xf numFmtId="0" fontId="5" fillId="60" borderId="290" applyNumberFormat="0" applyProtection="0">
      <alignment horizontal="left"/>
    </xf>
    <xf numFmtId="0" fontId="6" fillId="0" borderId="290" applyNumberFormat="0" applyFill="0" applyProtection="0">
      <alignment horizontal="right"/>
    </xf>
    <xf numFmtId="0" fontId="6" fillId="0" borderId="290" applyNumberFormat="0" applyFill="0" applyProtection="0">
      <alignment horizontal="right"/>
    </xf>
    <xf numFmtId="49" fontId="22" fillId="0" borderId="290" applyNumberFormat="0" applyFont="0" applyFill="0" applyBorder="0" applyProtection="0">
      <alignment horizontal="left" vertical="center" indent="2"/>
    </xf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32" fillId="24" borderId="281" applyNumberFormat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3" fillId="57" borderId="281" applyNumberFormat="0" applyAlignment="0" applyProtection="0"/>
    <xf numFmtId="0" fontId="6" fillId="23" borderId="282" applyNumberFormat="0" applyFont="0" applyAlignment="0" applyProtection="0"/>
    <xf numFmtId="0" fontId="76" fillId="0" borderId="162" applyNumberFormat="0" applyFill="0" applyAlignment="0" applyProtection="0"/>
    <xf numFmtId="0" fontId="80" fillId="0" borderId="284" applyNumberFormat="0" applyFill="0" applyAlignment="0" applyProtection="0"/>
    <xf numFmtId="43" fontId="1" fillId="0" borderId="0" applyFont="0" applyFill="0" applyBorder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49" fontId="22" fillId="0" borderId="290" applyNumberFormat="0" applyFont="0" applyFill="0" applyBorder="0" applyProtection="0">
      <alignment horizontal="left" vertical="center" indent="2"/>
    </xf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36" fillId="26" borderId="281" applyNumberForma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23" borderId="282" applyNumberFormat="0" applyFont="0" applyAlignment="0" applyProtection="0"/>
    <xf numFmtId="0" fontId="32" fillId="27" borderId="281" applyNumberFormat="0" applyAlignment="0" applyProtection="0"/>
    <xf numFmtId="0" fontId="73" fillId="57" borderId="281" applyNumberFormat="0" applyAlignment="0" applyProtection="0"/>
    <xf numFmtId="0" fontId="33" fillId="26" borderId="283" applyNumberFormat="0" applyAlignment="0" applyProtection="0"/>
    <xf numFmtId="49" fontId="22" fillId="0" borderId="290" applyNumberFormat="0" applyFont="0" applyFill="0" applyBorder="0" applyProtection="0">
      <alignment horizontal="left" vertical="center" indent="2"/>
    </xf>
    <xf numFmtId="0" fontId="36" fillId="26" borderId="281" applyNumberFormat="0" applyAlignment="0" applyProtection="0"/>
    <xf numFmtId="0" fontId="6" fillId="23" borderId="282" applyNumberFormat="0" applyFont="0" applyAlignment="0" applyProtection="0"/>
    <xf numFmtId="0" fontId="32" fillId="27" borderId="281" applyNumberFormat="0" applyAlignment="0" applyProtection="0"/>
    <xf numFmtId="0" fontId="33" fillId="26" borderId="283" applyNumberFormat="0" applyAlignment="0" applyProtection="0"/>
    <xf numFmtId="43" fontId="6" fillId="0" borderId="0" applyFont="0" applyFill="0" applyBorder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76" fillId="0" borderId="162" applyNumberFormat="0" applyFill="0" applyAlignment="0" applyProtection="0"/>
    <xf numFmtId="0" fontId="57" fillId="0" borderId="162" applyNumberFormat="0" applyFill="0" applyAlignment="0" applyProtection="0"/>
    <xf numFmtId="0" fontId="58" fillId="31" borderId="163" applyNumberFormat="0" applyAlignment="0" applyProtection="0"/>
    <xf numFmtId="0" fontId="26" fillId="31" borderId="163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26" fillId="31" borderId="163" applyNumberForma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23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23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23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33" fillId="57" borderId="283" applyNumberFormat="0" applyAlignment="0" applyProtection="0"/>
    <xf numFmtId="4" fontId="22" fillId="0" borderId="290" applyFill="0" applyBorder="0" applyProtection="0">
      <alignment horizontal="right" vertical="center"/>
    </xf>
    <xf numFmtId="0" fontId="6" fillId="23" borderId="282" applyNumberFormat="0" applyFon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6" fillId="71" borderId="290">
      <alignment horizontal="left" vertical="center" wrapText="1"/>
    </xf>
    <xf numFmtId="0" fontId="6" fillId="70" borderId="290">
      <alignment horizontal="left" vertical="center" wrapText="1"/>
    </xf>
    <xf numFmtId="0" fontId="11" fillId="69" borderId="290">
      <alignment horizontal="left" vertical="center" wrapText="1"/>
    </xf>
    <xf numFmtId="0" fontId="6" fillId="68" borderId="286">
      <alignment horizontal="left" vertical="center" wrapText="1"/>
    </xf>
    <xf numFmtId="49" fontId="6" fillId="67" borderId="290">
      <alignment vertical="center" wrapText="1"/>
    </xf>
    <xf numFmtId="0" fontId="6" fillId="66" borderId="289" applyBorder="0">
      <alignment horizontal="left" vertical="center"/>
    </xf>
    <xf numFmtId="172" fontId="94" fillId="65" borderId="288">
      <alignment vertical="center"/>
    </xf>
    <xf numFmtId="177" fontId="93" fillId="64" borderId="288">
      <alignment vertical="center"/>
    </xf>
    <xf numFmtId="172" fontId="92" fillId="64" borderId="288">
      <alignment vertical="center"/>
    </xf>
    <xf numFmtId="0" fontId="33" fillId="57" borderId="283" applyNumberFormat="0" applyAlignment="0" applyProtection="0"/>
    <xf numFmtId="0" fontId="33" fillId="57" borderId="283" applyNumberFormat="0" applyAlignment="0" applyProtection="0"/>
    <xf numFmtId="0" fontId="23" fillId="23" borderId="282" applyNumberFormat="0" applyFont="0" applyAlignment="0" applyProtection="0"/>
    <xf numFmtId="0" fontId="32" fillId="24" borderId="281" applyNumberFormat="0" applyAlignment="0" applyProtection="0"/>
    <xf numFmtId="49" fontId="6" fillId="62" borderId="287">
      <alignment vertical="top" wrapText="1"/>
    </xf>
    <xf numFmtId="43" fontId="1" fillId="0" borderId="0" applyFont="0" applyFill="0" applyBorder="0" applyAlignment="0" applyProtection="0"/>
    <xf numFmtId="0" fontId="6" fillId="0" borderId="290" applyNumberFormat="0" applyFill="0" applyProtection="0">
      <alignment horizontal="right"/>
    </xf>
    <xf numFmtId="49" fontId="22" fillId="0" borderId="290" applyNumberFormat="0" applyFont="0" applyFill="0" applyBorder="0" applyProtection="0">
      <alignment horizontal="left" vertical="center" indent="2"/>
    </xf>
    <xf numFmtId="0" fontId="73" fillId="57" borderId="281" applyNumberFormat="0" applyAlignment="0" applyProtection="0"/>
    <xf numFmtId="0" fontId="36" fillId="26" borderId="281" applyNumberFormat="0" applyAlignment="0" applyProtection="0"/>
    <xf numFmtId="0" fontId="6" fillId="23" borderId="282" applyNumberFormat="0" applyFont="0" applyAlignment="0" applyProtection="0"/>
    <xf numFmtId="0" fontId="32" fillId="27" borderId="281" applyNumberFormat="0" applyAlignment="0" applyProtection="0"/>
    <xf numFmtId="0" fontId="33" fillId="26" borderId="283" applyNumberFormat="0" applyAlignment="0" applyProtection="0"/>
    <xf numFmtId="0" fontId="26" fillId="31" borderId="163" applyNumberFormat="0" applyAlignment="0" applyProtection="0"/>
    <xf numFmtId="0" fontId="36" fillId="26" borderId="281" applyNumberFormat="0" applyAlignment="0" applyProtection="0"/>
    <xf numFmtId="0" fontId="6" fillId="23" borderId="282" applyNumberFormat="0" applyFont="0" applyAlignment="0" applyProtection="0"/>
    <xf numFmtId="0" fontId="32" fillId="27" borderId="281" applyNumberFormat="0" applyAlignment="0" applyProtection="0"/>
    <xf numFmtId="0" fontId="33" fillId="26" borderId="283" applyNumberFormat="0" applyAlignment="0" applyProtection="0"/>
    <xf numFmtId="0" fontId="6" fillId="0" borderId="290" applyNumberFormat="0" applyFill="0" applyProtection="0">
      <alignment horizontal="right"/>
    </xf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53" fillId="24" borderId="281" applyNumberFormat="0" applyAlignment="0" applyProtection="0"/>
    <xf numFmtId="0" fontId="51" fillId="23" borderId="282" applyNumberFormat="0" applyFont="0" applyAlignment="0" applyProtection="0"/>
    <xf numFmtId="0" fontId="62" fillId="57" borderId="283" applyNumberFormat="0" applyAlignment="0" applyProtection="0"/>
    <xf numFmtId="0" fontId="65" fillId="0" borderId="284" applyNumberFormat="0" applyFill="0" applyAlignment="0" applyProtection="0"/>
    <xf numFmtId="0" fontId="68" fillId="57" borderId="281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6" fillId="0" borderId="290" applyNumberFormat="0" applyFill="0" applyProtection="0">
      <alignment horizontal="right"/>
    </xf>
    <xf numFmtId="0" fontId="6" fillId="0" borderId="290" applyNumberFormat="0" applyFill="0" applyProtection="0">
      <alignment horizontal="right"/>
    </xf>
    <xf numFmtId="0" fontId="5" fillId="60" borderId="290" applyNumberFormat="0" applyProtection="0">
      <alignment horizontal="left"/>
    </xf>
    <xf numFmtId="0" fontId="33" fillId="57" borderId="283" applyNumberFormat="0" applyAlignment="0" applyProtection="0"/>
    <xf numFmtId="0" fontId="5" fillId="60" borderId="290" applyNumberFormat="0" applyProtection="0">
      <alignment horizontal="right"/>
    </xf>
    <xf numFmtId="0" fontId="6" fillId="0" borderId="290" applyNumberFormat="0" applyFill="0" applyProtection="0">
      <alignment horizontal="right"/>
    </xf>
    <xf numFmtId="0" fontId="6" fillId="0" borderId="290" applyNumberFormat="0" applyFill="0" applyProtection="0">
      <alignment horizontal="right"/>
    </xf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23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23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23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4" fontId="22" fillId="0" borderId="290" applyFill="0" applyBorder="0" applyProtection="0">
      <alignment horizontal="right" vertical="center"/>
    </xf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23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23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23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4" fontId="22" fillId="0" borderId="290" applyFill="0" applyBorder="0" applyProtection="0">
      <alignment horizontal="right" vertical="center"/>
    </xf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2" fillId="0" borderId="285">
      <alignment horizontal="left" vertical="center" wrapText="1" indent="2"/>
    </xf>
    <xf numFmtId="0" fontId="22" fillId="0" borderId="285">
      <alignment horizontal="left" vertical="center" wrapText="1" indent="2"/>
    </xf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22" fillId="0" borderId="285">
      <alignment horizontal="left" vertical="center" wrapText="1" indent="2"/>
    </xf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4" fontId="22" fillId="0" borderId="290" applyFill="0" applyBorder="0" applyProtection="0">
      <alignment horizontal="right" vertical="center"/>
    </xf>
    <xf numFmtId="0" fontId="6" fillId="0" borderId="290" applyNumberFormat="0" applyFill="0" applyProtection="0">
      <alignment horizontal="right"/>
    </xf>
    <xf numFmtId="0" fontId="6" fillId="0" borderId="290" applyNumberFormat="0" applyFill="0" applyProtection="0">
      <alignment horizontal="right"/>
    </xf>
    <xf numFmtId="0" fontId="5" fillId="60" borderId="290" applyNumberFormat="0" applyProtection="0">
      <alignment horizontal="right"/>
    </xf>
    <xf numFmtId="0" fontId="5" fillId="60" borderId="290" applyNumberFormat="0" applyProtection="0">
      <alignment horizontal="left"/>
    </xf>
    <xf numFmtId="0" fontId="6" fillId="0" borderId="290" applyNumberFormat="0" applyFill="0" applyProtection="0">
      <alignment horizontal="right"/>
    </xf>
    <xf numFmtId="0" fontId="6" fillId="0" borderId="290" applyNumberFormat="0" applyFill="0" applyProtection="0">
      <alignment horizontal="right"/>
    </xf>
    <xf numFmtId="0" fontId="68" fillId="57" borderId="281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62" fillId="57" borderId="283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51" fillId="23" borderId="282" applyNumberFormat="0" applyFont="0" applyAlignment="0" applyProtection="0"/>
    <xf numFmtId="0" fontId="32" fillId="24" borderId="281" applyNumberFormat="0" applyAlignment="0" applyProtection="0"/>
    <xf numFmtId="0" fontId="57" fillId="0" borderId="162" applyNumberFormat="0" applyFill="0" applyAlignment="0" applyProtection="0"/>
    <xf numFmtId="0" fontId="53" fillId="24" borderId="281" applyNumberForma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33" fillId="26" borderId="283" applyNumberFormat="0" applyAlignment="0" applyProtection="0"/>
    <xf numFmtId="0" fontId="32" fillId="27" borderId="281" applyNumberFormat="0" applyAlignment="0" applyProtection="0"/>
    <xf numFmtId="0" fontId="6" fillId="23" borderId="282" applyNumberFormat="0" applyFont="0" applyAlignment="0" applyProtection="0"/>
    <xf numFmtId="0" fontId="36" fillId="26" borderId="281" applyNumberFormat="0" applyAlignment="0" applyProtection="0"/>
    <xf numFmtId="49" fontId="22" fillId="0" borderId="290" applyNumberFormat="0" applyFont="0" applyFill="0" applyBorder="0" applyProtection="0">
      <alignment horizontal="left" vertical="center" indent="2"/>
    </xf>
    <xf numFmtId="0" fontId="5" fillId="60" borderId="290" applyNumberFormat="0" applyProtection="0">
      <alignment horizontal="right"/>
    </xf>
    <xf numFmtId="0" fontId="31" fillId="0" borderId="115" applyNumberFormat="0" applyFill="0" applyAlignment="0" applyProtection="0"/>
    <xf numFmtId="0" fontId="6" fillId="0" borderId="290" applyNumberFormat="0" applyFill="0" applyProtection="0">
      <alignment horizontal="right"/>
    </xf>
    <xf numFmtId="0" fontId="6" fillId="0" borderId="290" applyNumberFormat="0" applyFill="0" applyProtection="0">
      <alignment horizontal="right"/>
    </xf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26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2" fillId="24" borderId="281" applyNumberFormat="0" applyAlignment="0" applyProtection="0"/>
    <xf numFmtId="0" fontId="32" fillId="27" borderId="281" applyNumberFormat="0" applyAlignment="0" applyProtection="0"/>
    <xf numFmtId="0" fontId="6" fillId="23" borderId="282" applyNumberFormat="0" applyFont="0" applyAlignment="0" applyProtection="0"/>
    <xf numFmtId="0" fontId="36" fillId="26" borderId="281" applyNumberFormat="0" applyAlignment="0" applyProtection="0"/>
    <xf numFmtId="0" fontId="26" fillId="31" borderId="163" applyNumberFormat="0" applyAlignment="0" applyProtection="0"/>
    <xf numFmtId="0" fontId="33" fillId="57" borderId="283" applyNumberFormat="0" applyAlignment="0" applyProtection="0"/>
    <xf numFmtId="43" fontId="1" fillId="0" borderId="0" applyFont="0" applyFill="0" applyBorder="0" applyAlignment="0" applyProtection="0"/>
    <xf numFmtId="0" fontId="73" fillId="57" borderId="281" applyNumberFormat="0" applyAlignment="0" applyProtection="0"/>
    <xf numFmtId="49" fontId="6" fillId="67" borderId="290">
      <alignment vertical="center" wrapText="1"/>
    </xf>
    <xf numFmtId="0" fontId="6" fillId="68" borderId="286">
      <alignment horizontal="left" vertical="center" wrapText="1"/>
    </xf>
    <xf numFmtId="0" fontId="11" fillId="69" borderId="290">
      <alignment horizontal="left" vertical="center" wrapText="1"/>
    </xf>
    <xf numFmtId="0" fontId="6" fillId="70" borderId="290">
      <alignment horizontal="left" vertical="center" wrapText="1"/>
    </xf>
    <xf numFmtId="0" fontId="6" fillId="71" borderId="290">
      <alignment horizontal="left" vertical="center" wrapText="1"/>
    </xf>
    <xf numFmtId="43" fontId="1" fillId="0" borderId="0" applyFont="0" applyFill="0" applyBorder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0" fontId="76" fillId="0" borderId="162" applyNumberFormat="0" applyFill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4" fontId="22" fillId="0" borderId="290" applyFill="0" applyBorder="0" applyProtection="0">
      <alignment horizontal="right" vertical="center"/>
    </xf>
    <xf numFmtId="0" fontId="6" fillId="0" borderId="290" applyNumberFormat="0" applyFill="0" applyProtection="0">
      <alignment horizontal="right"/>
    </xf>
    <xf numFmtId="0" fontId="6" fillId="0" borderId="290" applyNumberFormat="0" applyFill="0" applyProtection="0">
      <alignment horizontal="right"/>
    </xf>
    <xf numFmtId="0" fontId="5" fillId="60" borderId="290" applyNumberFormat="0" applyProtection="0">
      <alignment horizontal="right"/>
    </xf>
    <xf numFmtId="0" fontId="5" fillId="60" borderId="290" applyNumberFormat="0" applyProtection="0">
      <alignment horizontal="left"/>
    </xf>
    <xf numFmtId="0" fontId="6" fillId="0" borderId="290" applyNumberFormat="0" applyFill="0" applyProtection="0">
      <alignment horizontal="right"/>
    </xf>
    <xf numFmtId="0" fontId="6" fillId="0" borderId="290" applyNumberFormat="0" applyFill="0" applyProtection="0">
      <alignment horizontal="right"/>
    </xf>
    <xf numFmtId="0" fontId="33" fillId="57" borderId="283" applyNumberFormat="0" applyAlignment="0" applyProtection="0"/>
    <xf numFmtId="0" fontId="33" fillId="57" borderId="283" applyNumberFormat="0" applyAlignment="0" applyProtection="0"/>
    <xf numFmtId="0" fontId="65" fillId="0" borderId="284" applyNumberFormat="0" applyFill="0" applyAlignment="0" applyProtection="0"/>
    <xf numFmtId="0" fontId="6" fillId="23" borderId="282" applyNumberFormat="0" applyFon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58" fillId="31" borderId="163" applyNumberFormat="0" applyAlignment="0" applyProtection="0"/>
    <xf numFmtId="4" fontId="22" fillId="0" borderId="290" applyFill="0" applyBorder="0" applyProtection="0">
      <alignment horizontal="right" vertical="center"/>
    </xf>
    <xf numFmtId="0" fontId="6" fillId="0" borderId="290" applyNumberFormat="0" applyFill="0" applyProtection="0">
      <alignment horizontal="right"/>
    </xf>
    <xf numFmtId="0" fontId="6" fillId="0" borderId="290" applyNumberFormat="0" applyFill="0" applyProtection="0">
      <alignment horizontal="right"/>
    </xf>
    <xf numFmtId="0" fontId="5" fillId="60" borderId="290" applyNumberFormat="0" applyProtection="0">
      <alignment horizontal="right"/>
    </xf>
    <xf numFmtId="0" fontId="5" fillId="60" borderId="290" applyNumberFormat="0" applyProtection="0">
      <alignment horizontal="left"/>
    </xf>
    <xf numFmtId="0" fontId="6" fillId="0" borderId="290" applyNumberFormat="0" applyFill="0" applyProtection="0">
      <alignment horizontal="right"/>
    </xf>
    <xf numFmtId="0" fontId="6" fillId="0" borderId="290" applyNumberFormat="0" applyFill="0" applyProtection="0">
      <alignment horizontal="right"/>
    </xf>
    <xf numFmtId="49" fontId="22" fillId="0" borderId="290" applyNumberFormat="0" applyFont="0" applyFill="0" applyBorder="0" applyProtection="0">
      <alignment horizontal="left" vertical="center" indent="2"/>
    </xf>
    <xf numFmtId="43" fontId="6" fillId="0" borderId="0" applyFont="0" applyFill="0" applyBorder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76" fillId="0" borderId="162" applyNumberFormat="0" applyFill="0" applyAlignment="0" applyProtection="0"/>
    <xf numFmtId="0" fontId="26" fillId="31" borderId="163" applyNumberFormat="0" applyAlignment="0" applyProtection="0"/>
    <xf numFmtId="41" fontId="6" fillId="0" borderId="0" applyFont="0" applyFill="0" applyBorder="0" applyAlignment="0" applyProtection="0"/>
    <xf numFmtId="0" fontId="76" fillId="0" borderId="162" applyNumberFormat="0" applyFill="0" applyAlignment="0" applyProtection="0"/>
    <xf numFmtId="43" fontId="6" fillId="0" borderId="0" applyFont="0" applyFill="0" applyBorder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6" fillId="0" borderId="290" applyNumberFormat="0" applyFill="0" applyProtection="0">
      <alignment horizontal="right"/>
    </xf>
    <xf numFmtId="0" fontId="6" fillId="0" borderId="290" applyNumberFormat="0" applyFill="0" applyProtection="0">
      <alignment horizontal="right"/>
    </xf>
    <xf numFmtId="0" fontId="5" fillId="60" borderId="290" applyNumberFormat="0" applyProtection="0">
      <alignment horizontal="right"/>
    </xf>
    <xf numFmtId="0" fontId="5" fillId="60" borderId="290" applyNumberFormat="0" applyProtection="0">
      <alignment horizontal="left"/>
    </xf>
    <xf numFmtId="0" fontId="6" fillId="0" borderId="290" applyNumberFormat="0" applyFill="0" applyProtection="0">
      <alignment horizontal="right"/>
    </xf>
    <xf numFmtId="0" fontId="6" fillId="0" borderId="290" applyNumberFormat="0" applyFill="0" applyProtection="0">
      <alignment horizontal="right"/>
    </xf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4" fontId="22" fillId="0" borderId="290" applyFill="0" applyBorder="0" applyProtection="0">
      <alignment horizontal="right" vertical="center"/>
    </xf>
    <xf numFmtId="0" fontId="6" fillId="0" borderId="290" applyNumberFormat="0" applyFill="0" applyProtection="0">
      <alignment horizontal="right"/>
    </xf>
    <xf numFmtId="0" fontId="6" fillId="0" borderId="290" applyNumberFormat="0" applyFill="0" applyProtection="0">
      <alignment horizontal="right"/>
    </xf>
    <xf numFmtId="0" fontId="5" fillId="60" borderId="290" applyNumberFormat="0" applyProtection="0">
      <alignment horizontal="right"/>
    </xf>
    <xf numFmtId="0" fontId="5" fillId="60" borderId="290" applyNumberFormat="0" applyProtection="0">
      <alignment horizontal="left"/>
    </xf>
    <xf numFmtId="0" fontId="6" fillId="0" borderId="290" applyNumberFormat="0" applyFill="0" applyProtection="0">
      <alignment horizontal="right"/>
    </xf>
    <xf numFmtId="0" fontId="6" fillId="0" borderId="290" applyNumberFormat="0" applyFill="0" applyProtection="0">
      <alignment horizontal="right"/>
    </xf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49" fontId="22" fillId="0" borderId="290" applyNumberFormat="0" applyFont="0" applyFill="0" applyBorder="0" applyProtection="0">
      <alignment horizontal="left" vertical="center" indent="2"/>
    </xf>
    <xf numFmtId="0" fontId="73" fillId="57" borderId="281" applyNumberFormat="0" applyAlignment="0" applyProtection="0"/>
    <xf numFmtId="0" fontId="26" fillId="31" borderId="16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6" fillId="23" borderId="282" applyNumberFormat="0" applyFon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76" fillId="0" borderId="162" applyNumberFormat="0" applyFill="0" applyAlignment="0" applyProtection="0"/>
    <xf numFmtId="0" fontId="80" fillId="0" borderId="284" applyNumberFormat="0" applyFill="0" applyAlignment="0" applyProtection="0"/>
    <xf numFmtId="0" fontId="5" fillId="60" borderId="290" applyNumberFormat="0" applyProtection="0">
      <alignment horizontal="left"/>
    </xf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23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23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23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68" fillId="57" borderId="281" applyNumberFormat="0" applyAlignment="0" applyProtection="0"/>
    <xf numFmtId="0" fontId="65" fillId="0" borderId="284" applyNumberFormat="0" applyFill="0" applyAlignment="0" applyProtection="0"/>
    <xf numFmtId="0" fontId="62" fillId="57" borderId="283" applyNumberFormat="0" applyAlignment="0" applyProtection="0"/>
    <xf numFmtId="0" fontId="51" fillId="23" borderId="282" applyNumberFormat="0" applyFont="0" applyAlignment="0" applyProtection="0"/>
    <xf numFmtId="0" fontId="58" fillId="31" borderId="163" applyNumberFormat="0" applyAlignment="0" applyProtection="0"/>
    <xf numFmtId="0" fontId="53" fillId="24" borderId="281" applyNumberFormat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33" fillId="26" borderId="283" applyNumberFormat="0" applyAlignment="0" applyProtection="0"/>
    <xf numFmtId="0" fontId="32" fillId="27" borderId="281" applyNumberFormat="0" applyAlignment="0" applyProtection="0"/>
    <xf numFmtId="0" fontId="6" fillId="23" borderId="282" applyNumberFormat="0" applyFont="0" applyAlignment="0" applyProtection="0"/>
    <xf numFmtId="0" fontId="36" fillId="26" borderId="281" applyNumberFormat="0" applyAlignment="0" applyProtection="0"/>
    <xf numFmtId="49" fontId="22" fillId="0" borderId="290" applyNumberFormat="0" applyFont="0" applyFill="0" applyBorder="0" applyProtection="0">
      <alignment horizontal="left" vertical="center" indent="2"/>
    </xf>
    <xf numFmtId="0" fontId="33" fillId="26" borderId="283" applyNumberFormat="0" applyAlignment="0" applyProtection="0"/>
    <xf numFmtId="0" fontId="32" fillId="27" borderId="281" applyNumberFormat="0" applyAlignment="0" applyProtection="0"/>
    <xf numFmtId="0" fontId="6" fillId="23" borderId="282" applyNumberFormat="0" applyFont="0" applyAlignment="0" applyProtection="0"/>
    <xf numFmtId="0" fontId="36" fillId="26" borderId="281" applyNumberFormat="0" applyAlignment="0" applyProtection="0"/>
    <xf numFmtId="49" fontId="22" fillId="0" borderId="290" applyNumberFormat="0" applyFont="0" applyFill="0" applyBorder="0" applyProtection="0">
      <alignment horizontal="left" vertical="center" indent="2"/>
    </xf>
    <xf numFmtId="43" fontId="1" fillId="0" borderId="0" applyFont="0" applyFill="0" applyBorder="0" applyAlignment="0" applyProtection="0"/>
    <xf numFmtId="49" fontId="6" fillId="62" borderId="287">
      <alignment vertical="top" wrapText="1"/>
    </xf>
    <xf numFmtId="0" fontId="23" fillId="23" borderId="282" applyNumberFormat="0" applyFont="0" applyAlignment="0" applyProtection="0"/>
    <xf numFmtId="172" fontId="92" fillId="64" borderId="288">
      <alignment vertical="center"/>
    </xf>
    <xf numFmtId="177" fontId="93" fillId="64" borderId="288">
      <alignment vertical="center"/>
    </xf>
    <xf numFmtId="172" fontId="94" fillId="65" borderId="288">
      <alignment vertical="center"/>
    </xf>
    <xf numFmtId="0" fontId="6" fillId="66" borderId="289" applyBorder="0">
      <alignment horizontal="left" vertical="center"/>
    </xf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23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23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23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73" fillId="57" borderId="281" applyNumberFormat="0" applyAlignment="0" applyProtection="0"/>
    <xf numFmtId="0" fontId="6" fillId="23" borderId="282" applyNumberFormat="0" applyFont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49" fontId="6" fillId="62" borderId="287">
      <alignment vertical="top" wrapText="1"/>
    </xf>
    <xf numFmtId="0" fontId="23" fillId="23" borderId="282" applyNumberFormat="0" applyFont="0" applyAlignment="0" applyProtection="0"/>
    <xf numFmtId="172" fontId="92" fillId="64" borderId="288">
      <alignment vertical="center"/>
    </xf>
    <xf numFmtId="177" fontId="93" fillId="64" borderId="288">
      <alignment vertical="center"/>
    </xf>
    <xf numFmtId="172" fontId="94" fillId="65" borderId="288">
      <alignment vertical="center"/>
    </xf>
    <xf numFmtId="0" fontId="6" fillId="66" borderId="289" applyBorder="0">
      <alignment horizontal="left" vertical="center"/>
    </xf>
    <xf numFmtId="49" fontId="6" fillId="67" borderId="290">
      <alignment vertical="center" wrapText="1"/>
    </xf>
    <xf numFmtId="0" fontId="6" fillId="68" borderId="286">
      <alignment horizontal="left" vertical="center" wrapText="1"/>
    </xf>
    <xf numFmtId="0" fontId="11" fillId="69" borderId="290">
      <alignment horizontal="left" vertical="center" wrapText="1"/>
    </xf>
    <xf numFmtId="0" fontId="6" fillId="70" borderId="290">
      <alignment horizontal="left" vertical="center" wrapText="1"/>
    </xf>
    <xf numFmtId="0" fontId="6" fillId="71" borderId="290">
      <alignment horizontal="left" vertical="center" wrapText="1"/>
    </xf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4" fontId="22" fillId="0" borderId="290" applyFill="0" applyBorder="0" applyProtection="0">
      <alignment horizontal="right" vertical="center"/>
    </xf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23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23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23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6" fillId="0" borderId="290" applyNumberFormat="0" applyFill="0" applyProtection="0">
      <alignment horizontal="right"/>
    </xf>
    <xf numFmtId="0" fontId="6" fillId="0" borderId="290" applyNumberFormat="0" applyFill="0" applyProtection="0">
      <alignment horizontal="right"/>
    </xf>
    <xf numFmtId="0" fontId="5" fillId="60" borderId="290" applyNumberFormat="0" applyProtection="0">
      <alignment horizontal="right"/>
    </xf>
    <xf numFmtId="0" fontId="5" fillId="60" borderId="290" applyNumberFormat="0" applyProtection="0">
      <alignment horizontal="left"/>
    </xf>
    <xf numFmtId="0" fontId="6" fillId="0" borderId="290" applyNumberFormat="0" applyFill="0" applyProtection="0">
      <alignment horizontal="right"/>
    </xf>
    <xf numFmtId="0" fontId="6" fillId="0" borderId="290" applyNumberFormat="0" applyFill="0" applyProtection="0">
      <alignment horizontal="right"/>
    </xf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4" fontId="22" fillId="0" borderId="290" applyFill="0" applyBorder="0" applyProtection="0">
      <alignment horizontal="right" vertical="center"/>
    </xf>
    <xf numFmtId="0" fontId="6" fillId="0" borderId="290" applyNumberFormat="0" applyFill="0" applyProtection="0">
      <alignment horizontal="right"/>
    </xf>
    <xf numFmtId="0" fontId="6" fillId="0" borderId="290" applyNumberFormat="0" applyFill="0" applyProtection="0">
      <alignment horizontal="right"/>
    </xf>
    <xf numFmtId="0" fontId="5" fillId="60" borderId="290" applyNumberFormat="0" applyProtection="0">
      <alignment horizontal="right"/>
    </xf>
    <xf numFmtId="0" fontId="5" fillId="60" borderId="290" applyNumberFormat="0" applyProtection="0">
      <alignment horizontal="left"/>
    </xf>
    <xf numFmtId="0" fontId="6" fillId="0" borderId="290" applyNumberFormat="0" applyFill="0" applyProtection="0">
      <alignment horizontal="right"/>
    </xf>
    <xf numFmtId="0" fontId="6" fillId="0" borderId="290" applyNumberFormat="0" applyFill="0" applyProtection="0">
      <alignment horizontal="right"/>
    </xf>
    <xf numFmtId="49" fontId="22" fillId="0" borderId="290" applyNumberFormat="0" applyFont="0" applyFill="0" applyBorder="0" applyProtection="0">
      <alignment horizontal="left" vertical="center" indent="2"/>
    </xf>
    <xf numFmtId="0" fontId="73" fillId="57" borderId="281" applyNumberFormat="0" applyAlignment="0" applyProtection="0"/>
    <xf numFmtId="0" fontId="26" fillId="31" borderId="163" applyNumberFormat="0" applyAlignment="0" applyProtection="0"/>
    <xf numFmtId="0" fontId="6" fillId="23" borderId="282" applyNumberFormat="0" applyFont="0" applyAlignment="0" applyProtection="0"/>
    <xf numFmtId="0" fontId="80" fillId="0" borderId="284" applyNumberFormat="0" applyFill="0" applyAlignment="0" applyProtection="0"/>
    <xf numFmtId="43" fontId="1" fillId="0" borderId="0" applyFont="0" applyFill="0" applyBorder="0" applyAlignment="0" applyProtection="0"/>
    <xf numFmtId="49" fontId="22" fillId="0" borderId="290" applyNumberFormat="0" applyFont="0" applyFill="0" applyBorder="0" applyProtection="0">
      <alignment horizontal="left" vertical="center" indent="2"/>
    </xf>
    <xf numFmtId="0" fontId="36" fillId="26" borderId="281" applyNumberForma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23" borderId="282" applyNumberFormat="0" applyFont="0" applyAlignment="0" applyProtection="0"/>
    <xf numFmtId="0" fontId="32" fillId="27" borderId="281" applyNumberFormat="0" applyAlignment="0" applyProtection="0"/>
    <xf numFmtId="0" fontId="33" fillId="26" borderId="283" applyNumberFormat="0" applyAlignment="0" applyProtection="0"/>
    <xf numFmtId="0" fontId="26" fillId="31" borderId="163" applyNumberFormat="0" applyAlignment="0" applyProtection="0"/>
    <xf numFmtId="49" fontId="22" fillId="0" borderId="290" applyNumberFormat="0" applyFont="0" applyFill="0" applyBorder="0" applyProtection="0">
      <alignment horizontal="left" vertical="center" indent="2"/>
    </xf>
    <xf numFmtId="0" fontId="36" fillId="26" borderId="281" applyNumberFormat="0" applyAlignment="0" applyProtection="0"/>
    <xf numFmtId="0" fontId="6" fillId="23" borderId="282" applyNumberFormat="0" applyFont="0" applyAlignment="0" applyProtection="0"/>
    <xf numFmtId="0" fontId="32" fillId="27" borderId="281" applyNumberFormat="0" applyAlignment="0" applyProtection="0"/>
    <xf numFmtId="0" fontId="33" fillId="26" borderId="283" applyNumberFormat="0" applyAlignment="0" applyProtection="0"/>
    <xf numFmtId="43" fontId="6" fillId="0" borderId="0" applyFont="0" applyFill="0" applyBorder="0" applyAlignment="0" applyProtection="0"/>
    <xf numFmtId="0" fontId="53" fillId="24" borderId="281" applyNumberFormat="0" applyAlignment="0" applyProtection="0"/>
    <xf numFmtId="0" fontId="58" fillId="31" borderId="163" applyNumberFormat="0" applyAlignment="0" applyProtection="0"/>
    <xf numFmtId="0" fontId="51" fillId="23" borderId="282" applyNumberFormat="0" applyFont="0" applyAlignment="0" applyProtection="0"/>
    <xf numFmtId="0" fontId="62" fillId="57" borderId="283" applyNumberFormat="0" applyAlignment="0" applyProtection="0"/>
    <xf numFmtId="0" fontId="65" fillId="0" borderId="284" applyNumberFormat="0" applyFill="0" applyAlignment="0" applyProtection="0"/>
    <xf numFmtId="0" fontId="68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2" fillId="0" borderId="285">
      <alignment horizontal="left" vertical="center" wrapText="1" indent="2"/>
    </xf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4" fontId="22" fillId="0" borderId="290" applyFill="0" applyBorder="0" applyProtection="0">
      <alignment horizontal="right" vertical="center"/>
    </xf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23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23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23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6" fillId="0" borderId="290" applyNumberFormat="0" applyFill="0" applyProtection="0">
      <alignment horizontal="right"/>
    </xf>
    <xf numFmtId="0" fontId="6" fillId="0" borderId="290" applyNumberFormat="0" applyFill="0" applyProtection="0">
      <alignment horizontal="right"/>
    </xf>
    <xf numFmtId="0" fontId="5" fillId="60" borderId="290" applyNumberFormat="0" applyProtection="0">
      <alignment horizontal="right"/>
    </xf>
    <xf numFmtId="0" fontId="5" fillId="60" borderId="290" applyNumberFormat="0" applyProtection="0">
      <alignment horizontal="left"/>
    </xf>
    <xf numFmtId="0" fontId="6" fillId="0" borderId="290" applyNumberFormat="0" applyFill="0" applyProtection="0">
      <alignment horizontal="right"/>
    </xf>
    <xf numFmtId="0" fontId="6" fillId="0" borderId="290" applyNumberFormat="0" applyFill="0" applyProtection="0">
      <alignment horizontal="right"/>
    </xf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49" fontId="6" fillId="62" borderId="287">
      <alignment vertical="top" wrapText="1"/>
    </xf>
    <xf numFmtId="0" fontId="23" fillId="23" borderId="282" applyNumberFormat="0" applyFont="0" applyAlignment="0" applyProtection="0"/>
    <xf numFmtId="172" fontId="92" fillId="64" borderId="288">
      <alignment vertical="center"/>
    </xf>
    <xf numFmtId="177" fontId="93" fillId="64" borderId="288">
      <alignment vertical="center"/>
    </xf>
    <xf numFmtId="172" fontId="94" fillId="65" borderId="288">
      <alignment vertical="center"/>
    </xf>
    <xf numFmtId="0" fontId="6" fillId="66" borderId="289" applyBorder="0">
      <alignment horizontal="left" vertical="center"/>
    </xf>
    <xf numFmtId="49" fontId="6" fillId="67" borderId="290">
      <alignment vertical="center" wrapText="1"/>
    </xf>
    <xf numFmtId="0" fontId="6" fillId="68" borderId="286">
      <alignment horizontal="left" vertical="center" wrapText="1"/>
    </xf>
    <xf numFmtId="0" fontId="11" fillId="69" borderId="290">
      <alignment horizontal="left" vertical="center" wrapText="1"/>
    </xf>
    <xf numFmtId="0" fontId="6" fillId="70" borderId="290">
      <alignment horizontal="left" vertical="center" wrapText="1"/>
    </xf>
    <xf numFmtId="0" fontId="6" fillId="71" borderId="290">
      <alignment horizontal="left" vertical="center" wrapText="1"/>
    </xf>
    <xf numFmtId="43" fontId="1" fillId="0" borderId="0" applyFont="0" applyFill="0" applyBorder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0" fontId="73" fillId="57" borderId="281" applyNumberFormat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0" fontId="32" fillId="24" borderId="281" applyNumberFormat="0" applyAlignment="0" applyProtection="0"/>
    <xf numFmtId="4" fontId="22" fillId="0" borderId="290" applyFill="0" applyBorder="0" applyProtection="0">
      <alignment horizontal="right" vertical="center"/>
    </xf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23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23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23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33" fillId="57" borderId="283" applyNumberFormat="0" applyAlignment="0" applyProtection="0"/>
    <xf numFmtId="0" fontId="6" fillId="0" borderId="290" applyNumberFormat="0" applyFill="0" applyProtection="0">
      <alignment horizontal="right"/>
    </xf>
    <xf numFmtId="0" fontId="6" fillId="0" borderId="290" applyNumberFormat="0" applyFill="0" applyProtection="0">
      <alignment horizontal="right"/>
    </xf>
    <xf numFmtId="0" fontId="5" fillId="60" borderId="290" applyNumberFormat="0" applyProtection="0">
      <alignment horizontal="right"/>
    </xf>
    <xf numFmtId="0" fontId="5" fillId="60" borderId="290" applyNumberFormat="0" applyProtection="0">
      <alignment horizontal="left"/>
    </xf>
    <xf numFmtId="0" fontId="6" fillId="0" borderId="290" applyNumberFormat="0" applyFill="0" applyProtection="0">
      <alignment horizontal="right"/>
    </xf>
    <xf numFmtId="0" fontId="6" fillId="0" borderId="290" applyNumberFormat="0" applyFill="0" applyProtection="0">
      <alignment horizontal="right"/>
    </xf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0" fontId="80" fillId="0" borderId="284" applyNumberFormat="0" applyFill="0" applyAlignment="0" applyProtection="0"/>
    <xf numFmtId="4" fontId="22" fillId="0" borderId="290" applyFill="0" applyBorder="0" applyProtection="0">
      <alignment horizontal="right" vertical="center"/>
    </xf>
    <xf numFmtId="0" fontId="6" fillId="0" borderId="290" applyNumberFormat="0" applyFill="0" applyProtection="0">
      <alignment horizontal="right"/>
    </xf>
    <xf numFmtId="0" fontId="6" fillId="0" borderId="290" applyNumberFormat="0" applyFill="0" applyProtection="0">
      <alignment horizontal="right"/>
    </xf>
    <xf numFmtId="0" fontId="5" fillId="60" borderId="290" applyNumberFormat="0" applyProtection="0">
      <alignment horizontal="right"/>
    </xf>
    <xf numFmtId="0" fontId="5" fillId="60" borderId="290" applyNumberFormat="0" applyProtection="0">
      <alignment horizontal="left"/>
    </xf>
    <xf numFmtId="0" fontId="6" fillId="0" borderId="290" applyNumberFormat="0" applyFill="0" applyProtection="0">
      <alignment horizontal="right"/>
    </xf>
    <xf numFmtId="0" fontId="6" fillId="0" borderId="290" applyNumberFormat="0" applyFill="0" applyProtection="0">
      <alignment horizontal="right"/>
    </xf>
    <xf numFmtId="49" fontId="22" fillId="0" borderId="290" applyNumberFormat="0" applyFont="0" applyFill="0" applyBorder="0" applyProtection="0">
      <alignment horizontal="left" vertical="center" indent="2"/>
    </xf>
    <xf numFmtId="43" fontId="6" fillId="0" borderId="0" applyFont="0" applyFill="0" applyBorder="0" applyAlignment="0" applyProtection="0"/>
    <xf numFmtId="0" fontId="73" fillId="57" borderId="281" applyNumberFormat="0" applyAlignment="0" applyProtection="0"/>
    <xf numFmtId="0" fontId="26" fillId="31" borderId="163" applyNumberFormat="0" applyAlignment="0" applyProtection="0"/>
    <xf numFmtId="41" fontId="6" fillId="0" borderId="0" applyFont="0" applyFill="0" applyBorder="0" applyAlignment="0" applyProtection="0"/>
    <xf numFmtId="0" fontId="6" fillId="23" borderId="282" applyNumberFormat="0" applyFont="0" applyAlignment="0" applyProtection="0"/>
    <xf numFmtId="0" fontId="80" fillId="0" borderId="284" applyNumberFormat="0" applyFill="0" applyAlignment="0" applyProtection="0"/>
    <xf numFmtId="43" fontId="6" fillId="0" borderId="0" applyFont="0" applyFill="0" applyBorder="0" applyAlignment="0" applyProtection="0"/>
    <xf numFmtId="0" fontId="117" fillId="0" borderId="0" applyNumberFormat="0" applyFill="0" applyBorder="0" applyAlignment="0" applyProtection="0"/>
    <xf numFmtId="0" fontId="123" fillId="0" borderId="0"/>
    <xf numFmtId="9" fontId="6" fillId="0" borderId="0" applyFont="0" applyFill="0" applyBorder="0" applyAlignment="0" applyProtection="0"/>
    <xf numFmtId="0" fontId="6" fillId="0" borderId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6" fillId="0" borderId="0"/>
    <xf numFmtId="0" fontId="1" fillId="0" borderId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185" fontId="6" fillId="0" borderId="0" applyFont="0" applyFill="0" applyBorder="0" applyAlignment="0" applyProtection="0"/>
    <xf numFmtId="185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185" fontId="6" fillId="0" borderId="0" applyFont="0" applyFill="0" applyBorder="0" applyAlignment="0" applyProtection="0"/>
    <xf numFmtId="185" fontId="6" fillId="0" borderId="0" applyFont="0" applyFill="0" applyBorder="0" applyAlignment="0" applyProtection="0"/>
    <xf numFmtId="185" fontId="6" fillId="0" borderId="0" applyFont="0" applyFill="0" applyBorder="0" applyAlignment="0" applyProtection="0"/>
    <xf numFmtId="185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90" fontId="6" fillId="0" borderId="0" applyFont="0" applyFill="0" applyBorder="0" applyAlignment="0" applyProtection="0"/>
    <xf numFmtId="190" fontId="6" fillId="0" borderId="0" applyFont="0" applyFill="0" applyBorder="0" applyAlignment="0" applyProtection="0"/>
    <xf numFmtId="190" fontId="6" fillId="0" borderId="0" applyFont="0" applyFill="0" applyBorder="0" applyAlignment="0" applyProtection="0"/>
    <xf numFmtId="190" fontId="6" fillId="0" borderId="0" applyFont="0" applyFill="0" applyBorder="0" applyAlignment="0" applyProtection="0"/>
    <xf numFmtId="190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90" fontId="6" fillId="0" borderId="0" applyFont="0" applyFill="0" applyBorder="0" applyAlignment="0" applyProtection="0"/>
    <xf numFmtId="0" fontId="125" fillId="27" borderId="0" applyNumberFormat="0" applyBorder="0" applyAlignment="0" applyProtection="0"/>
    <xf numFmtId="0" fontId="1" fillId="0" borderId="0"/>
    <xf numFmtId="0" fontId="6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26" fillId="0" borderId="0"/>
    <xf numFmtId="0" fontId="1" fillId="0" borderId="0"/>
    <xf numFmtId="0" fontId="6" fillId="0" borderId="0"/>
    <xf numFmtId="0" fontId="126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23" fillId="0" borderId="0"/>
    <xf numFmtId="0" fontId="6" fillId="0" borderId="0"/>
    <xf numFmtId="0" fontId="23" fillId="0" borderId="0"/>
    <xf numFmtId="0" fontId="1" fillId="0" borderId="0"/>
    <xf numFmtId="0" fontId="6" fillId="0" borderId="0"/>
    <xf numFmtId="0" fontId="23" fillId="0" borderId="0"/>
    <xf numFmtId="0" fontId="6" fillId="0" borderId="0"/>
    <xf numFmtId="0" fontId="1" fillId="0" borderId="0"/>
    <xf numFmtId="0" fontId="6" fillId="0" borderId="0"/>
    <xf numFmtId="0" fontId="6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23" fillId="0" borderId="0"/>
    <xf numFmtId="0" fontId="23" fillId="0" borderId="0"/>
    <xf numFmtId="0" fontId="6" fillId="0" borderId="0"/>
    <xf numFmtId="0" fontId="6" fillId="0" borderId="0"/>
    <xf numFmtId="0" fontId="23" fillId="0" borderId="0"/>
    <xf numFmtId="0" fontId="6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3" fillId="0" borderId="0"/>
    <xf numFmtId="0" fontId="20" fillId="0" borderId="0"/>
    <xf numFmtId="0" fontId="20" fillId="0" borderId="0"/>
    <xf numFmtId="0" fontId="23" fillId="0" borderId="0"/>
    <xf numFmtId="0" fontId="23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6" fillId="0" borderId="0"/>
    <xf numFmtId="0" fontId="23" fillId="0" borderId="0"/>
    <xf numFmtId="0" fontId="6" fillId="0" borderId="0"/>
    <xf numFmtId="0" fontId="1" fillId="0" borderId="0"/>
    <xf numFmtId="0" fontId="6" fillId="0" borderId="0" applyNumberFormat="0" applyFont="0" applyFill="0" applyBorder="0" applyAlignment="0" applyProtection="0"/>
    <xf numFmtId="0" fontId="6" fillId="0" borderId="0"/>
    <xf numFmtId="0" fontId="23" fillId="0" borderId="0"/>
    <xf numFmtId="0" fontId="1" fillId="0" borderId="0"/>
    <xf numFmtId="0" fontId="6" fillId="0" borderId="0"/>
    <xf numFmtId="0" fontId="6" fillId="0" borderId="0"/>
    <xf numFmtId="0" fontId="1" fillId="0" borderId="0"/>
    <xf numFmtId="0" fontId="2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" fontId="22" fillId="0" borderId="280" applyFill="0" applyBorder="0" applyProtection="0">
      <alignment horizontal="right" vertical="center"/>
    </xf>
    <xf numFmtId="0" fontId="1" fillId="0" borderId="0"/>
    <xf numFmtId="0" fontId="6" fillId="0" borderId="0"/>
    <xf numFmtId="0" fontId="6" fillId="0" borderId="0"/>
    <xf numFmtId="0" fontId="23" fillId="23" borderId="282" applyNumberFormat="0" applyFont="0" applyAlignment="0" applyProtection="0"/>
    <xf numFmtId="0" fontId="23" fillId="23" borderId="282" applyNumberFormat="0" applyFont="0" applyAlignment="0" applyProtection="0"/>
    <xf numFmtId="182" fontId="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280" applyNumberFormat="0" applyFill="0" applyProtection="0">
      <alignment horizontal="right"/>
    </xf>
    <xf numFmtId="0" fontId="6" fillId="0" borderId="280" applyNumberFormat="0" applyFill="0" applyProtection="0">
      <alignment horizontal="right"/>
    </xf>
    <xf numFmtId="0" fontId="5" fillId="60" borderId="280" applyNumberFormat="0" applyProtection="0">
      <alignment horizontal="right"/>
    </xf>
    <xf numFmtId="0" fontId="84" fillId="60" borderId="0" applyNumberFormat="0" applyBorder="0" applyProtection="0">
      <alignment horizontal="left"/>
    </xf>
    <xf numFmtId="0" fontId="5" fillId="60" borderId="280" applyNumberFormat="0" applyProtection="0">
      <alignment horizontal="left"/>
    </xf>
    <xf numFmtId="0" fontId="6" fillId="0" borderId="280" applyNumberFormat="0" applyFill="0" applyProtection="0">
      <alignment horizontal="right"/>
    </xf>
    <xf numFmtId="0" fontId="6" fillId="0" borderId="280" applyNumberFormat="0" applyFill="0" applyProtection="0">
      <alignment horizontal="right"/>
    </xf>
    <xf numFmtId="0" fontId="85" fillId="61" borderId="0" applyNumberFormat="0" applyBorder="0" applyProtection="0">
      <alignment horizontal="left"/>
    </xf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1" fillId="0" borderId="0"/>
    <xf numFmtId="0" fontId="1" fillId="0" borderId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81" fillId="36" borderId="290">
      <alignment horizontal="right" vertical="center"/>
    </xf>
    <xf numFmtId="0" fontId="128" fillId="36" borderId="290">
      <alignment horizontal="right" vertical="center"/>
    </xf>
    <xf numFmtId="0" fontId="81" fillId="58" borderId="290">
      <alignment horizontal="right" vertical="center"/>
    </xf>
    <xf numFmtId="0" fontId="81" fillId="58" borderId="290">
      <alignment horizontal="right" vertical="center"/>
    </xf>
    <xf numFmtId="0" fontId="81" fillId="58" borderId="323">
      <alignment horizontal="right" vertical="center"/>
    </xf>
    <xf numFmtId="0" fontId="22" fillId="0" borderId="290">
      <alignment horizontal="right" vertical="center"/>
    </xf>
    <xf numFmtId="0" fontId="22" fillId="0" borderId="290" applyNumberFormat="0" applyFill="0" applyAlignment="0" applyProtection="0"/>
    <xf numFmtId="0" fontId="22" fillId="59" borderId="290"/>
    <xf numFmtId="0" fontId="6" fillId="0" borderId="290" applyNumberFormat="0" applyFill="0" applyProtection="0">
      <alignment horizontal="right"/>
    </xf>
    <xf numFmtId="0" fontId="6" fillId="0" borderId="290" applyNumberFormat="0" applyFill="0" applyProtection="0">
      <alignment horizontal="right"/>
    </xf>
    <xf numFmtId="0" fontId="5" fillId="60" borderId="290" applyNumberFormat="0" applyProtection="0">
      <alignment horizontal="right"/>
    </xf>
    <xf numFmtId="0" fontId="5" fillId="60" borderId="290" applyNumberFormat="0" applyProtection="0">
      <alignment horizontal="left"/>
    </xf>
    <xf numFmtId="0" fontId="6" fillId="0" borderId="290" applyNumberFormat="0" applyFill="0" applyProtection="0">
      <alignment horizontal="right"/>
    </xf>
    <xf numFmtId="0" fontId="6" fillId="0" borderId="290" applyNumberFormat="0" applyFill="0" applyProtection="0">
      <alignment horizontal="right"/>
    </xf>
    <xf numFmtId="49" fontId="22" fillId="0" borderId="290" applyNumberFormat="0" applyFont="0" applyFill="0" applyBorder="0" applyProtection="0">
      <alignment horizontal="left" vertical="center" indent="2"/>
    </xf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80" fillId="0" borderId="327" applyNumberFormat="0" applyFill="0" applyAlignment="0" applyProtection="0"/>
    <xf numFmtId="0" fontId="80" fillId="0" borderId="327" applyNumberFormat="0" applyFill="0" applyAlignment="0" applyProtection="0"/>
    <xf numFmtId="0" fontId="80" fillId="0" borderId="327" applyNumberFormat="0" applyFill="0" applyAlignment="0" applyProtection="0"/>
    <xf numFmtId="0" fontId="80" fillId="0" borderId="327" applyNumberFormat="0" applyFill="0" applyAlignment="0" applyProtection="0"/>
    <xf numFmtId="0" fontId="80" fillId="0" borderId="327" applyNumberFormat="0" applyFill="0" applyAlignment="0" applyProtection="0"/>
    <xf numFmtId="0" fontId="80" fillId="0" borderId="327" applyNumberFormat="0" applyFill="0" applyAlignment="0" applyProtection="0"/>
    <xf numFmtId="0" fontId="80" fillId="0" borderId="327" applyNumberFormat="0" applyFill="0" applyAlignment="0" applyProtection="0"/>
    <xf numFmtId="0" fontId="80" fillId="0" borderId="327" applyNumberFormat="0" applyFill="0" applyAlignment="0" applyProtection="0"/>
    <xf numFmtId="0" fontId="80" fillId="0" borderId="327" applyNumberFormat="0" applyFill="0" applyAlignment="0" applyProtection="0"/>
    <xf numFmtId="0" fontId="80" fillId="0" borderId="32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6" fillId="0" borderId="0"/>
    <xf numFmtId="0" fontId="1" fillId="0" borderId="0"/>
    <xf numFmtId="0" fontId="6" fillId="0" borderId="0" applyNumberFormat="0" applyFont="0" applyFill="0" applyBorder="0" applyProtection="0">
      <alignment horizontal="left" vertical="center" indent="2"/>
    </xf>
    <xf numFmtId="0" fontId="6" fillId="0" borderId="0" applyNumberFormat="0" applyFont="0" applyFill="0" applyBorder="0" applyProtection="0">
      <alignment horizontal="left" vertical="center" indent="2"/>
    </xf>
    <xf numFmtId="0" fontId="6" fillId="0" borderId="0" applyNumberFormat="0" applyFont="0" applyFill="0" applyBorder="0" applyProtection="0">
      <alignment horizontal="left" vertical="center" indent="2"/>
    </xf>
    <xf numFmtId="4" fontId="22" fillId="36" borderId="0" applyBorder="0">
      <alignment horizontal="right" vertical="center"/>
    </xf>
    <xf numFmtId="43" fontId="124" fillId="0" borderId="0" applyFont="0" applyFill="0" applyBorder="0" applyAlignment="0" applyProtection="0"/>
    <xf numFmtId="0" fontId="81" fillId="0" borderId="0" applyNumberFormat="0">
      <alignment horizontal="right"/>
    </xf>
    <xf numFmtId="0" fontId="81" fillId="0" borderId="324">
      <alignment horizontal="left" vertical="top" wrapText="1"/>
    </xf>
    <xf numFmtId="0" fontId="90" fillId="0" borderId="0" applyNumberFormat="0" applyFill="0" applyBorder="0" applyAlignment="0" applyProtection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59" borderId="0" applyNumberFormat="0" applyFont="0" applyBorder="0" applyAlignment="0" applyProtection="0"/>
    <xf numFmtId="0" fontId="6" fillId="59" borderId="0" applyNumberFormat="0" applyFont="0" applyBorder="0" applyAlignment="0" applyProtection="0"/>
    <xf numFmtId="0" fontId="82" fillId="62" borderId="0" applyBorder="0" applyAlignment="0"/>
    <xf numFmtId="0" fontId="22" fillId="62" borderId="0" applyBorder="0">
      <alignment horizontal="right" vertical="center"/>
    </xf>
    <xf numFmtId="4" fontId="22" fillId="36" borderId="0" applyBorder="0">
      <alignment horizontal="right" vertical="center"/>
    </xf>
    <xf numFmtId="0" fontId="81" fillId="36" borderId="280">
      <alignment horizontal="right" vertical="center"/>
    </xf>
    <xf numFmtId="0" fontId="128" fillId="36" borderId="280">
      <alignment horizontal="right" vertical="center"/>
    </xf>
    <xf numFmtId="0" fontId="81" fillId="58" borderId="280">
      <alignment horizontal="right" vertical="center"/>
    </xf>
    <xf numFmtId="0" fontId="81" fillId="58" borderId="280">
      <alignment horizontal="right" vertical="center"/>
    </xf>
    <xf numFmtId="0" fontId="81" fillId="58" borderId="46">
      <alignment horizontal="right" vertical="center"/>
    </xf>
    <xf numFmtId="0" fontId="81" fillId="58" borderId="321">
      <alignment horizontal="right" vertical="center"/>
    </xf>
    <xf numFmtId="0" fontId="81" fillId="58" borderId="323">
      <alignment horizontal="right" vertical="center"/>
    </xf>
    <xf numFmtId="0" fontId="22" fillId="58" borderId="285">
      <alignment horizontal="left" vertical="center" wrapText="1" indent="2"/>
    </xf>
    <xf numFmtId="0" fontId="22" fillId="36" borderId="321">
      <alignment horizontal="left" vertical="center"/>
    </xf>
    <xf numFmtId="0" fontId="129" fillId="92" borderId="325">
      <alignment horizontal="center" vertical="center" wrapText="1"/>
    </xf>
    <xf numFmtId="0" fontId="6" fillId="0" borderId="216"/>
    <xf numFmtId="0" fontId="130" fillId="0" borderId="322"/>
    <xf numFmtId="0" fontId="22" fillId="0" borderId="280">
      <alignment horizontal="right" vertical="center"/>
    </xf>
    <xf numFmtId="1" fontId="131" fillId="36" borderId="0" applyBorder="0">
      <alignment horizontal="right" vertical="center"/>
    </xf>
    <xf numFmtId="0" fontId="1" fillId="0" borderId="0"/>
    <xf numFmtId="0" fontId="1" fillId="0" borderId="0"/>
    <xf numFmtId="0" fontId="22" fillId="0" borderId="280" applyNumberFormat="0" applyFill="0" applyAlignment="0" applyProtection="0"/>
    <xf numFmtId="0" fontId="22" fillId="59" borderId="280"/>
    <xf numFmtId="0" fontId="6" fillId="0" borderId="0"/>
    <xf numFmtId="0" fontId="132" fillId="0" borderId="0" applyNumberFormat="0" applyFill="0" applyBorder="0" applyAlignment="0" applyProtection="0"/>
    <xf numFmtId="0" fontId="22" fillId="0" borderId="0"/>
    <xf numFmtId="18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91" fontId="22" fillId="0" borderId="0" applyBorder="0">
      <alignment horizontal="right"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124" fillId="0" borderId="0" applyFont="0" applyFill="0" applyBorder="0" applyAlignment="0" applyProtection="0"/>
    <xf numFmtId="180" fontId="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280" applyNumberFormat="0" applyFill="0" applyProtection="0">
      <alignment horizontal="right"/>
    </xf>
    <xf numFmtId="0" fontId="6" fillId="0" borderId="280" applyNumberFormat="0" applyFill="0" applyProtection="0">
      <alignment horizontal="right"/>
    </xf>
    <xf numFmtId="0" fontId="5" fillId="60" borderId="280" applyNumberFormat="0" applyProtection="0">
      <alignment horizontal="right"/>
    </xf>
    <xf numFmtId="0" fontId="84" fillId="60" borderId="0" applyNumberFormat="0" applyBorder="0" applyProtection="0">
      <alignment horizontal="left"/>
    </xf>
    <xf numFmtId="0" fontId="5" fillId="60" borderId="280" applyNumberFormat="0" applyProtection="0">
      <alignment horizontal="left"/>
    </xf>
    <xf numFmtId="0" fontId="6" fillId="0" borderId="280" applyNumberFormat="0" applyFill="0" applyProtection="0">
      <alignment horizontal="right"/>
    </xf>
    <xf numFmtId="0" fontId="6" fillId="0" borderId="280" applyNumberFormat="0" applyFill="0" applyProtection="0">
      <alignment horizontal="right"/>
    </xf>
    <xf numFmtId="0" fontId="85" fillId="61" borderId="0" applyNumberFormat="0" applyBorder="0" applyProtection="0">
      <alignment horizontal="left"/>
    </xf>
    <xf numFmtId="0" fontId="79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30" fillId="0" borderId="0" applyNumberFormat="0" applyFont="0" applyFill="0" applyBorder="0" applyProtection="0">
      <alignment horizontal="left" vertical="center" indent="5"/>
    </xf>
    <xf numFmtId="4" fontId="22" fillId="0" borderId="0" applyFill="0" applyBorder="0" applyProtection="0">
      <alignment horizontal="right" vertical="center"/>
    </xf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49" fontId="22" fillId="0" borderId="280" applyNumberFormat="0" applyFont="0" applyFill="0" applyBorder="0" applyProtection="0">
      <alignment horizontal="left" vertical="center" indent="2"/>
    </xf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7" borderId="0" applyNumberFormat="0" applyBorder="0" applyAlignment="0" applyProtection="0"/>
    <xf numFmtId="0" fontId="23" fillId="27" borderId="0" applyNumberFormat="0" applyBorder="0" applyAlignment="0" applyProtection="0"/>
    <xf numFmtId="0" fontId="23" fillId="27" borderId="0" applyNumberFormat="0" applyBorder="0" applyAlignment="0" applyProtection="0"/>
    <xf numFmtId="0" fontId="23" fillId="27" borderId="0" applyNumberFormat="0" applyBorder="0" applyAlignment="0" applyProtection="0"/>
    <xf numFmtId="0" fontId="23" fillId="27" borderId="0" applyNumberFormat="0" applyBorder="0" applyAlignment="0" applyProtection="0"/>
    <xf numFmtId="0" fontId="23" fillId="27" borderId="0" applyNumberFormat="0" applyBorder="0" applyAlignment="0" applyProtection="0"/>
    <xf numFmtId="0" fontId="23" fillId="27" borderId="0" applyNumberFormat="0" applyBorder="0" applyAlignment="0" applyProtection="0"/>
    <xf numFmtId="0" fontId="23" fillId="27" borderId="0" applyNumberFormat="0" applyBorder="0" applyAlignment="0" applyProtection="0"/>
    <xf numFmtId="0" fontId="23" fillId="27" borderId="0" applyNumberFormat="0" applyBorder="0" applyAlignment="0" applyProtection="0"/>
    <xf numFmtId="0" fontId="23" fillId="27" borderId="0" applyNumberFormat="0" applyBorder="0" applyAlignment="0" applyProtection="0"/>
    <xf numFmtId="0" fontId="23" fillId="27" borderId="0" applyNumberFormat="0" applyBorder="0" applyAlignment="0" applyProtection="0"/>
    <xf numFmtId="0" fontId="23" fillId="27" borderId="0" applyNumberFormat="0" applyBorder="0" applyAlignment="0" applyProtection="0"/>
    <xf numFmtId="0" fontId="23" fillId="27" borderId="0" applyNumberFormat="0" applyBorder="0" applyAlignment="0" applyProtection="0"/>
    <xf numFmtId="0" fontId="23" fillId="27" borderId="0" applyNumberFormat="0" applyBorder="0" applyAlignment="0" applyProtection="0"/>
    <xf numFmtId="0" fontId="23" fillId="27" borderId="0" applyNumberFormat="0" applyBorder="0" applyAlignment="0" applyProtection="0"/>
    <xf numFmtId="0" fontId="23" fillId="27" borderId="0" applyNumberFormat="0" applyBorder="0" applyAlignment="0" applyProtection="0"/>
    <xf numFmtId="0" fontId="23" fillId="27" borderId="0" applyNumberFormat="0" applyBorder="0" applyAlignment="0" applyProtection="0"/>
    <xf numFmtId="0" fontId="23" fillId="27" borderId="0" applyNumberFormat="0" applyBorder="0" applyAlignment="0" applyProtection="0"/>
    <xf numFmtId="0" fontId="23" fillId="27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28" borderId="0" applyNumberFormat="0" applyBorder="0" applyAlignment="0" applyProtection="0"/>
    <xf numFmtId="0" fontId="24" fillId="28" borderId="0" applyNumberFormat="0" applyBorder="0" applyAlignment="0" applyProtection="0"/>
    <xf numFmtId="0" fontId="24" fillId="28" borderId="0" applyNumberFormat="0" applyBorder="0" applyAlignment="0" applyProtection="0"/>
    <xf numFmtId="0" fontId="24" fillId="28" borderId="0" applyNumberFormat="0" applyBorder="0" applyAlignment="0" applyProtection="0"/>
    <xf numFmtId="0" fontId="24" fillId="28" borderId="0" applyNumberFormat="0" applyBorder="0" applyAlignment="0" applyProtection="0"/>
    <xf numFmtId="0" fontId="24" fillId="28" borderId="0" applyNumberFormat="0" applyBorder="0" applyAlignment="0" applyProtection="0"/>
    <xf numFmtId="0" fontId="24" fillId="28" borderId="0" applyNumberFormat="0" applyBorder="0" applyAlignment="0" applyProtection="0"/>
    <xf numFmtId="0" fontId="24" fillId="28" borderId="0" applyNumberFormat="0" applyBorder="0" applyAlignment="0" applyProtection="0"/>
    <xf numFmtId="0" fontId="24" fillId="28" borderId="0" applyNumberFormat="0" applyBorder="0" applyAlignment="0" applyProtection="0"/>
    <xf numFmtId="0" fontId="24" fillId="28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5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93" borderId="0" applyNumberFormat="0" applyBorder="0" applyAlignment="0" applyProtection="0"/>
    <xf numFmtId="0" fontId="24" fillId="93" borderId="0" applyNumberFormat="0" applyBorder="0" applyAlignment="0" applyProtection="0"/>
    <xf numFmtId="0" fontId="24" fillId="93" borderId="0" applyNumberFormat="0" applyBorder="0" applyAlignment="0" applyProtection="0"/>
    <xf numFmtId="0" fontId="24" fillId="93" borderId="0" applyNumberFormat="0" applyBorder="0" applyAlignment="0" applyProtection="0"/>
    <xf numFmtId="0" fontId="24" fillId="93" borderId="0" applyNumberFormat="0" applyBorder="0" applyAlignment="0" applyProtection="0"/>
    <xf numFmtId="0" fontId="24" fillId="93" borderId="0" applyNumberFormat="0" applyBorder="0" applyAlignment="0" applyProtection="0"/>
    <xf numFmtId="0" fontId="24" fillId="93" borderId="0" applyNumberFormat="0" applyBorder="0" applyAlignment="0" applyProtection="0"/>
    <xf numFmtId="0" fontId="24" fillId="93" borderId="0" applyNumberFormat="0" applyBorder="0" applyAlignment="0" applyProtection="0"/>
    <xf numFmtId="0" fontId="24" fillId="93" borderId="0" applyNumberFormat="0" applyBorder="0" applyAlignment="0" applyProtection="0"/>
    <xf numFmtId="0" fontId="24" fillId="93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30" borderId="0" applyNumberFormat="0" applyBorder="0" applyAlignment="0" applyProtection="0"/>
    <xf numFmtId="0" fontId="24" fillId="94" borderId="0" applyNumberFormat="0" applyBorder="0" applyAlignment="0" applyProtection="0"/>
    <xf numFmtId="0" fontId="24" fillId="94" borderId="0" applyNumberFormat="0" applyBorder="0" applyAlignment="0" applyProtection="0"/>
    <xf numFmtId="0" fontId="24" fillId="94" borderId="0" applyNumberFormat="0" applyBorder="0" applyAlignment="0" applyProtection="0"/>
    <xf numFmtId="0" fontId="24" fillId="94" borderId="0" applyNumberFormat="0" applyBorder="0" applyAlignment="0" applyProtection="0"/>
    <xf numFmtId="0" fontId="24" fillId="94" borderId="0" applyNumberFormat="0" applyBorder="0" applyAlignment="0" applyProtection="0"/>
    <xf numFmtId="0" fontId="24" fillId="94" borderId="0" applyNumberFormat="0" applyBorder="0" applyAlignment="0" applyProtection="0"/>
    <xf numFmtId="0" fontId="24" fillId="94" borderId="0" applyNumberFormat="0" applyBorder="0" applyAlignment="0" applyProtection="0"/>
    <xf numFmtId="0" fontId="24" fillId="94" borderId="0" applyNumberFormat="0" applyBorder="0" applyAlignment="0" applyProtection="0"/>
    <xf numFmtId="0" fontId="24" fillId="94" borderId="0" applyNumberFormat="0" applyBorder="0" applyAlignment="0" applyProtection="0"/>
    <xf numFmtId="0" fontId="24" fillId="94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5" fillId="32" borderId="0" applyNumberFormat="0" applyBorder="0" applyAlignment="0" applyProtection="0"/>
    <xf numFmtId="0" fontId="25" fillId="32" borderId="0" applyNumberFormat="0" applyBorder="0" applyAlignment="0" applyProtection="0"/>
    <xf numFmtId="0" fontId="25" fillId="32" borderId="0" applyNumberFormat="0" applyBorder="0" applyAlignment="0" applyProtection="0"/>
    <xf numFmtId="0" fontId="25" fillId="32" borderId="0" applyNumberFormat="0" applyBorder="0" applyAlignment="0" applyProtection="0"/>
    <xf numFmtId="0" fontId="25" fillId="32" borderId="0" applyNumberFormat="0" applyBorder="0" applyAlignment="0" applyProtection="0"/>
    <xf numFmtId="0" fontId="25" fillId="32" borderId="0" applyNumberFormat="0" applyBorder="0" applyAlignment="0" applyProtection="0"/>
    <xf numFmtId="0" fontId="25" fillId="32" borderId="0" applyNumberFormat="0" applyBorder="0" applyAlignment="0" applyProtection="0"/>
    <xf numFmtId="0" fontId="25" fillId="32" borderId="0" applyNumberFormat="0" applyBorder="0" applyAlignment="0" applyProtection="0"/>
    <xf numFmtId="0" fontId="25" fillId="32" borderId="0" applyNumberFormat="0" applyBorder="0" applyAlignment="0" applyProtection="0"/>
    <xf numFmtId="0" fontId="25" fillId="32" borderId="0" applyNumberFormat="0" applyBorder="0" applyAlignment="0" applyProtection="0"/>
    <xf numFmtId="0" fontId="36" fillId="26" borderId="281" applyNumberFormat="0" applyAlignment="0" applyProtection="0"/>
    <xf numFmtId="0" fontId="36" fillId="26" borderId="281" applyNumberFormat="0" applyAlignment="0" applyProtection="0"/>
    <xf numFmtId="0" fontId="36" fillId="26" borderId="281" applyNumberFormat="0" applyAlignment="0" applyProtection="0"/>
    <xf numFmtId="0" fontId="36" fillId="26" borderId="281" applyNumberFormat="0" applyAlignment="0" applyProtection="0"/>
    <xf numFmtId="0" fontId="36" fillId="26" borderId="281" applyNumberFormat="0" applyAlignment="0" applyProtection="0"/>
    <xf numFmtId="0" fontId="36" fillId="26" borderId="281" applyNumberFormat="0" applyAlignment="0" applyProtection="0"/>
    <xf numFmtId="0" fontId="36" fillId="26" borderId="281" applyNumberFormat="0" applyAlignment="0" applyProtection="0"/>
    <xf numFmtId="0" fontId="36" fillId="26" borderId="281" applyNumberFormat="0" applyAlignment="0" applyProtection="0"/>
    <xf numFmtId="0" fontId="36" fillId="26" borderId="281" applyNumberFormat="0" applyAlignment="0" applyProtection="0"/>
    <xf numFmtId="0" fontId="36" fillId="26" borderId="281" applyNumberFormat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0" fontId="1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0" fontId="1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92" fontId="6" fillId="0" borderId="0" applyFont="0" applyFill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8" fillId="25" borderId="0" applyNumberFormat="0" applyBorder="0" applyAlignment="0" applyProtection="0"/>
    <xf numFmtId="0" fontId="29" fillId="0" borderId="113" applyNumberFormat="0" applyFill="0" applyAlignment="0" applyProtection="0"/>
    <xf numFmtId="0" fontId="29" fillId="0" borderId="113" applyNumberFormat="0" applyFill="0" applyAlignment="0" applyProtection="0"/>
    <xf numFmtId="0" fontId="29" fillId="0" borderId="113" applyNumberFormat="0" applyFill="0" applyAlignment="0" applyProtection="0"/>
    <xf numFmtId="0" fontId="29" fillId="0" borderId="113" applyNumberFormat="0" applyFill="0" applyAlignment="0" applyProtection="0"/>
    <xf numFmtId="0" fontId="29" fillId="0" borderId="113" applyNumberFormat="0" applyFill="0" applyAlignment="0" applyProtection="0"/>
    <xf numFmtId="0" fontId="29" fillId="0" borderId="113" applyNumberFormat="0" applyFill="0" applyAlignment="0" applyProtection="0"/>
    <xf numFmtId="0" fontId="29" fillId="0" borderId="113" applyNumberFormat="0" applyFill="0" applyAlignment="0" applyProtection="0"/>
    <xf numFmtId="0" fontId="29" fillId="0" borderId="113" applyNumberFormat="0" applyFill="0" applyAlignment="0" applyProtection="0"/>
    <xf numFmtId="0" fontId="29" fillId="0" borderId="113" applyNumberFormat="0" applyFill="0" applyAlignment="0" applyProtection="0"/>
    <xf numFmtId="0" fontId="29" fillId="0" borderId="113" applyNumberFormat="0" applyFill="0" applyAlignment="0" applyProtection="0"/>
    <xf numFmtId="0" fontId="30" fillId="0" borderId="114" applyNumberFormat="0" applyFill="0" applyAlignment="0" applyProtection="0"/>
    <xf numFmtId="0" fontId="30" fillId="0" borderId="114" applyNumberFormat="0" applyFill="0" applyAlignment="0" applyProtection="0"/>
    <xf numFmtId="0" fontId="30" fillId="0" borderId="114" applyNumberFormat="0" applyFill="0" applyAlignment="0" applyProtection="0"/>
    <xf numFmtId="0" fontId="30" fillId="0" borderId="114" applyNumberFormat="0" applyFill="0" applyAlignment="0" applyProtection="0"/>
    <xf numFmtId="0" fontId="30" fillId="0" borderId="114" applyNumberFormat="0" applyFill="0" applyAlignment="0" applyProtection="0"/>
    <xf numFmtId="0" fontId="30" fillId="0" borderId="114" applyNumberFormat="0" applyFill="0" applyAlignment="0" applyProtection="0"/>
    <xf numFmtId="0" fontId="30" fillId="0" borderId="114" applyNumberFormat="0" applyFill="0" applyAlignment="0" applyProtection="0"/>
    <xf numFmtId="0" fontId="30" fillId="0" borderId="114" applyNumberFormat="0" applyFill="0" applyAlignment="0" applyProtection="0"/>
    <xf numFmtId="0" fontId="30" fillId="0" borderId="114" applyNumberFormat="0" applyFill="0" applyAlignment="0" applyProtection="0"/>
    <xf numFmtId="0" fontId="30" fillId="0" borderId="114" applyNumberFormat="0" applyFill="0" applyAlignment="0" applyProtection="0"/>
    <xf numFmtId="0" fontId="31" fillId="0" borderId="326" applyNumberFormat="0" applyFill="0" applyAlignment="0" applyProtection="0"/>
    <xf numFmtId="0" fontId="31" fillId="0" borderId="326" applyNumberFormat="0" applyFill="0" applyAlignment="0" applyProtection="0"/>
    <xf numFmtId="0" fontId="31" fillId="0" borderId="326" applyNumberFormat="0" applyFill="0" applyAlignment="0" applyProtection="0"/>
    <xf numFmtId="0" fontId="31" fillId="0" borderId="326" applyNumberFormat="0" applyFill="0" applyAlignment="0" applyProtection="0"/>
    <xf numFmtId="0" fontId="31" fillId="0" borderId="326" applyNumberFormat="0" applyFill="0" applyAlignment="0" applyProtection="0"/>
    <xf numFmtId="0" fontId="31" fillId="0" borderId="326" applyNumberFormat="0" applyFill="0" applyAlignment="0" applyProtection="0"/>
    <xf numFmtId="0" fontId="31" fillId="0" borderId="326" applyNumberFormat="0" applyFill="0" applyAlignment="0" applyProtection="0"/>
    <xf numFmtId="0" fontId="31" fillId="0" borderId="326" applyNumberFormat="0" applyFill="0" applyAlignment="0" applyProtection="0"/>
    <xf numFmtId="0" fontId="31" fillId="0" borderId="326" applyNumberFormat="0" applyFill="0" applyAlignment="0" applyProtection="0"/>
    <xf numFmtId="0" fontId="31" fillId="0" borderId="326" applyNumberFormat="0" applyFill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134" fillId="0" borderId="0" applyNumberFormat="0" applyFill="0" applyBorder="0" applyAlignment="0" applyProtection="0">
      <alignment vertical="top"/>
      <protection locked="0"/>
    </xf>
    <xf numFmtId="0" fontId="32" fillId="27" borderId="281" applyNumberFormat="0" applyAlignment="0" applyProtection="0"/>
    <xf numFmtId="0" fontId="32" fillId="27" borderId="281" applyNumberFormat="0" applyAlignment="0" applyProtection="0"/>
    <xf numFmtId="0" fontId="32" fillId="27" borderId="281" applyNumberFormat="0" applyAlignment="0" applyProtection="0"/>
    <xf numFmtId="0" fontId="32" fillId="27" borderId="281" applyNumberFormat="0" applyAlignment="0" applyProtection="0"/>
    <xf numFmtId="0" fontId="32" fillId="27" borderId="281" applyNumberFormat="0" applyAlignment="0" applyProtection="0"/>
    <xf numFmtId="0" fontId="32" fillId="27" borderId="281" applyNumberFormat="0" applyAlignment="0" applyProtection="0"/>
    <xf numFmtId="0" fontId="32" fillId="27" borderId="281" applyNumberFormat="0" applyAlignment="0" applyProtection="0"/>
    <xf numFmtId="0" fontId="32" fillId="27" borderId="281" applyNumberFormat="0" applyAlignment="0" applyProtection="0"/>
    <xf numFmtId="0" fontId="32" fillId="27" borderId="281" applyNumberFormat="0" applyAlignment="0" applyProtection="0"/>
    <xf numFmtId="0" fontId="32" fillId="27" borderId="281" applyNumberFormat="0" applyAlignment="0" applyProtection="0"/>
    <xf numFmtId="0" fontId="35" fillId="0" borderId="109" applyNumberFormat="0" applyFill="0" applyAlignment="0" applyProtection="0"/>
    <xf numFmtId="0" fontId="35" fillId="0" borderId="109" applyNumberFormat="0" applyFill="0" applyAlignment="0" applyProtection="0"/>
    <xf numFmtId="0" fontId="35" fillId="0" borderId="109" applyNumberFormat="0" applyFill="0" applyAlignment="0" applyProtection="0"/>
    <xf numFmtId="0" fontId="35" fillId="0" borderId="109" applyNumberFormat="0" applyFill="0" applyAlignment="0" applyProtection="0"/>
    <xf numFmtId="0" fontId="35" fillId="0" borderId="109" applyNumberFormat="0" applyFill="0" applyAlignment="0" applyProtection="0"/>
    <xf numFmtId="0" fontId="35" fillId="0" borderId="109" applyNumberFormat="0" applyFill="0" applyAlignment="0" applyProtection="0"/>
    <xf numFmtId="0" fontId="35" fillId="0" borderId="109" applyNumberFormat="0" applyFill="0" applyAlignment="0" applyProtection="0"/>
    <xf numFmtId="0" fontId="35" fillId="0" borderId="109" applyNumberFormat="0" applyFill="0" applyAlignment="0" applyProtection="0"/>
    <xf numFmtId="0" fontId="35" fillId="0" borderId="109" applyNumberFormat="0" applyFill="0" applyAlignment="0" applyProtection="0"/>
    <xf numFmtId="0" fontId="35" fillId="0" borderId="109" applyNumberFormat="0" applyFill="0" applyAlignment="0" applyProtection="0"/>
    <xf numFmtId="0" fontId="38" fillId="27" borderId="0" applyNumberFormat="0" applyBorder="0" applyAlignment="0" applyProtection="0"/>
    <xf numFmtId="0" fontId="38" fillId="27" borderId="0" applyNumberFormat="0" applyBorder="0" applyAlignment="0" applyProtection="0"/>
    <xf numFmtId="0" fontId="38" fillId="27" borderId="0" applyNumberFormat="0" applyBorder="0" applyAlignment="0" applyProtection="0"/>
    <xf numFmtId="0" fontId="38" fillId="27" borderId="0" applyNumberFormat="0" applyBorder="0" applyAlignment="0" applyProtection="0"/>
    <xf numFmtId="0" fontId="38" fillId="27" borderId="0" applyNumberFormat="0" applyBorder="0" applyAlignment="0" applyProtection="0"/>
    <xf numFmtId="0" fontId="38" fillId="27" borderId="0" applyNumberFormat="0" applyBorder="0" applyAlignment="0" applyProtection="0"/>
    <xf numFmtId="0" fontId="38" fillId="27" borderId="0" applyNumberFormat="0" applyBorder="0" applyAlignment="0" applyProtection="0"/>
    <xf numFmtId="0" fontId="38" fillId="27" borderId="0" applyNumberFormat="0" applyBorder="0" applyAlignment="0" applyProtection="0"/>
    <xf numFmtId="0" fontId="38" fillId="27" borderId="0" applyNumberFormat="0" applyBorder="0" applyAlignment="0" applyProtection="0"/>
    <xf numFmtId="0" fontId="38" fillId="27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1" fillId="0" borderId="0"/>
    <xf numFmtId="164" fontId="133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164" fontId="133" fillId="0" borderId="0">
      <alignment vertical="center"/>
    </xf>
    <xf numFmtId="164" fontId="133" fillId="0" borderId="0">
      <alignment vertical="center"/>
    </xf>
    <xf numFmtId="164" fontId="133" fillId="0" borderId="0">
      <alignment vertical="center"/>
    </xf>
    <xf numFmtId="164" fontId="133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33" fillId="0" borderId="0">
      <alignment vertical="center"/>
    </xf>
    <xf numFmtId="164" fontId="133" fillId="0" borderId="0">
      <alignment vertical="center"/>
    </xf>
    <xf numFmtId="164" fontId="13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164" fontId="133" fillId="0" borderId="0">
      <alignment vertical="center"/>
    </xf>
    <xf numFmtId="164" fontId="133" fillId="0" borderId="0">
      <alignment vertical="center"/>
    </xf>
    <xf numFmtId="164" fontId="133" fillId="0" borderId="0">
      <alignment vertical="center"/>
    </xf>
    <xf numFmtId="164" fontId="133" fillId="0" borderId="0">
      <alignment vertical="center"/>
    </xf>
    <xf numFmtId="0" fontId="1" fillId="0" borderId="0"/>
    <xf numFmtId="177" fontId="133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6" fillId="0" borderId="0"/>
    <xf numFmtId="177" fontId="133" fillId="0" borderId="0">
      <alignment vertical="center"/>
    </xf>
    <xf numFmtId="0" fontId="1" fillId="0" borderId="0"/>
    <xf numFmtId="0" fontId="1" fillId="0" borderId="0"/>
    <xf numFmtId="0" fontId="1" fillId="0" borderId="0"/>
    <xf numFmtId="0" fontId="6" fillId="0" borderId="0" applyNumberFormat="0" applyFont="0" applyFill="0" applyBorder="0" applyAlignment="0" applyProtection="0"/>
    <xf numFmtId="0" fontId="1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93" fontId="133" fillId="0" borderId="0">
      <alignment vertical="center"/>
    </xf>
    <xf numFmtId="0" fontId="6" fillId="0" borderId="0"/>
    <xf numFmtId="0" fontId="6" fillId="0" borderId="0"/>
    <xf numFmtId="0" fontId="6" fillId="0" borderId="0"/>
    <xf numFmtId="0" fontId="2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0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0" fontId="33" fillId="26" borderId="283" applyNumberFormat="0" applyAlignment="0" applyProtection="0"/>
    <xf numFmtId="0" fontId="33" fillId="26" borderId="283" applyNumberFormat="0" applyAlignment="0" applyProtection="0"/>
    <xf numFmtId="0" fontId="33" fillId="26" borderId="283" applyNumberFormat="0" applyAlignment="0" applyProtection="0"/>
    <xf numFmtId="0" fontId="33" fillId="26" borderId="283" applyNumberFormat="0" applyAlignment="0" applyProtection="0"/>
    <xf numFmtId="0" fontId="33" fillId="26" borderId="283" applyNumberFormat="0" applyAlignment="0" applyProtection="0"/>
    <xf numFmtId="0" fontId="33" fillId="26" borderId="283" applyNumberFormat="0" applyAlignment="0" applyProtection="0"/>
    <xf numFmtId="0" fontId="33" fillId="26" borderId="283" applyNumberFormat="0" applyAlignment="0" applyProtection="0"/>
    <xf numFmtId="0" fontId="33" fillId="26" borderId="283" applyNumberFormat="0" applyAlignment="0" applyProtection="0"/>
    <xf numFmtId="0" fontId="33" fillId="26" borderId="283" applyNumberFormat="0" applyAlignment="0" applyProtection="0"/>
    <xf numFmtId="0" fontId="33" fillId="26" borderId="283" applyNumberForma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80" fillId="0" borderId="327" applyNumberFormat="0" applyFill="0" applyAlignment="0" applyProtection="0"/>
    <xf numFmtId="0" fontId="80" fillId="0" borderId="327" applyNumberFormat="0" applyFill="0" applyAlignment="0" applyProtection="0"/>
    <xf numFmtId="0" fontId="80" fillId="0" borderId="327" applyNumberFormat="0" applyFill="0" applyAlignment="0" applyProtection="0"/>
    <xf numFmtId="0" fontId="80" fillId="0" borderId="327" applyNumberFormat="0" applyFill="0" applyAlignment="0" applyProtection="0"/>
    <xf numFmtId="0" fontId="80" fillId="0" borderId="327" applyNumberFormat="0" applyFill="0" applyAlignment="0" applyProtection="0"/>
    <xf numFmtId="0" fontId="80" fillId="0" borderId="327" applyNumberFormat="0" applyFill="0" applyAlignment="0" applyProtection="0"/>
    <xf numFmtId="0" fontId="80" fillId="0" borderId="327" applyNumberFormat="0" applyFill="0" applyAlignment="0" applyProtection="0"/>
    <xf numFmtId="0" fontId="80" fillId="0" borderId="327" applyNumberFormat="0" applyFill="0" applyAlignment="0" applyProtection="0"/>
    <xf numFmtId="0" fontId="80" fillId="0" borderId="327" applyNumberFormat="0" applyFill="0" applyAlignment="0" applyProtection="0"/>
    <xf numFmtId="0" fontId="80" fillId="0" borderId="327" applyNumberFormat="0" applyFill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6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33" fillId="26" borderId="283" applyNumberFormat="0" applyAlignment="0" applyProtection="0"/>
    <xf numFmtId="0" fontId="33" fillId="26" borderId="283" applyNumberFormat="0" applyAlignment="0" applyProtection="0"/>
    <xf numFmtId="0" fontId="33" fillId="26" borderId="283" applyNumberFormat="0" applyAlignment="0" applyProtection="0"/>
    <xf numFmtId="0" fontId="33" fillId="26" borderId="283" applyNumberFormat="0" applyAlignment="0" applyProtection="0"/>
    <xf numFmtId="0" fontId="33" fillId="26" borderId="283" applyNumberFormat="0" applyAlignment="0" applyProtection="0"/>
    <xf numFmtId="0" fontId="33" fillId="26" borderId="283" applyNumberFormat="0" applyAlignment="0" applyProtection="0"/>
    <xf numFmtId="0" fontId="33" fillId="26" borderId="283" applyNumberFormat="0" applyAlignment="0" applyProtection="0"/>
    <xf numFmtId="0" fontId="33" fillId="26" borderId="283" applyNumberFormat="0" applyAlignment="0" applyProtection="0"/>
    <xf numFmtId="0" fontId="33" fillId="26" borderId="283" applyNumberFormat="0" applyAlignment="0" applyProtection="0"/>
    <xf numFmtId="0" fontId="33" fillId="26" borderId="283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35" fillId="81" borderId="0" applyNumberFormat="0" applyBorder="0" applyAlignment="0" applyProtection="0"/>
    <xf numFmtId="0" fontId="136" fillId="0" borderId="0"/>
    <xf numFmtId="0" fontId="137" fillId="0" borderId="0"/>
    <xf numFmtId="43" fontId="138" fillId="0" borderId="0" applyFont="0" applyFill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4" fillId="50" borderId="0" applyNumberFormat="0" applyBorder="0" applyAlignment="0" applyProtection="0"/>
    <xf numFmtId="0" fontId="24" fillId="22" borderId="0" applyNumberFormat="0" applyBorder="0" applyAlignment="0" applyProtection="0"/>
    <xf numFmtId="0" fontId="24" fillId="49" borderId="0" applyNumberFormat="0" applyBorder="0" applyAlignment="0" applyProtection="0"/>
    <xf numFmtId="0" fontId="24" fillId="51" borderId="0" applyNumberFormat="0" applyBorder="0" applyAlignment="0" applyProtection="0"/>
    <xf numFmtId="0" fontId="24" fillId="52" borderId="0" applyNumberFormat="0" applyBorder="0" applyAlignment="0" applyProtection="0"/>
    <xf numFmtId="0" fontId="24" fillId="53" borderId="0" applyNumberFormat="0" applyBorder="0" applyAlignment="0" applyProtection="0"/>
    <xf numFmtId="0" fontId="24" fillId="54" borderId="0" applyNumberFormat="0" applyBorder="0" applyAlignment="0" applyProtection="0"/>
    <xf numFmtId="0" fontId="24" fillId="55" borderId="0" applyNumberFormat="0" applyBorder="0" applyAlignment="0" applyProtection="0"/>
    <xf numFmtId="0" fontId="24" fillId="56" borderId="0" applyNumberFormat="0" applyBorder="0" applyAlignment="0" applyProtection="0"/>
    <xf numFmtId="0" fontId="24" fillId="51" borderId="0" applyNumberFormat="0" applyBorder="0" applyAlignment="0" applyProtection="0"/>
    <xf numFmtId="0" fontId="24" fillId="52" borderId="0" applyNumberFormat="0" applyBorder="0" applyAlignment="0" applyProtection="0"/>
    <xf numFmtId="0" fontId="24" fillId="29" borderId="0" applyNumberFormat="0" applyBorder="0" applyAlignment="0" applyProtection="0"/>
    <xf numFmtId="0" fontId="33" fillId="57" borderId="283" applyNumberFormat="0" applyAlignment="0" applyProtection="0"/>
    <xf numFmtId="0" fontId="73" fillId="57" borderId="281" applyNumberForma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32" fillId="24" borderId="281" applyNumberFormat="0" applyAlignment="0" applyProtection="0"/>
    <xf numFmtId="0" fontId="80" fillId="0" borderId="284" applyNumberFormat="0" applyFill="0" applyAlignment="0" applyProtection="0"/>
    <xf numFmtId="0" fontId="27" fillId="0" borderId="0" applyNumberFormat="0" applyFill="0" applyBorder="0" applyAlignment="0" applyProtection="0"/>
    <xf numFmtId="181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90" fontId="6" fillId="0" borderId="0" applyFont="0" applyFill="0" applyBorder="0" applyAlignment="0" applyProtection="0"/>
    <xf numFmtId="0" fontId="28" fillId="48" borderId="0" applyNumberFormat="0" applyBorder="0" applyAlignment="0" applyProtection="0"/>
    <xf numFmtId="0" fontId="23" fillId="0" borderId="0"/>
    <xf numFmtId="0" fontId="6" fillId="0" borderId="0"/>
    <xf numFmtId="0" fontId="23" fillId="0" borderId="0"/>
    <xf numFmtId="0" fontId="23" fillId="0" borderId="0"/>
    <xf numFmtId="0" fontId="23" fillId="0" borderId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23" fillId="23" borderId="282" applyNumberFormat="0" applyFont="0" applyAlignment="0" applyProtection="0"/>
    <xf numFmtId="0" fontId="6" fillId="23" borderId="282" applyNumberFormat="0" applyFont="0" applyAlignment="0" applyProtection="0"/>
    <xf numFmtId="0" fontId="6" fillId="23" borderId="282" applyNumberFormat="0" applyFont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5" fillId="28" borderId="0" applyNumberFormat="0" applyBorder="0" applyAlignment="0" applyProtection="0"/>
    <xf numFmtId="0" fontId="79" fillId="0" borderId="0" applyNumberFormat="0" applyFill="0" applyBorder="0" applyAlignment="0" applyProtection="0"/>
    <xf numFmtId="0" fontId="74" fillId="0" borderId="160" applyNumberFormat="0" applyFill="0" applyAlignment="0" applyProtection="0"/>
    <xf numFmtId="0" fontId="75" fillId="0" borderId="161" applyNumberFormat="0" applyFill="0" applyAlignment="0" applyProtection="0"/>
    <xf numFmtId="0" fontId="76" fillId="0" borderId="319" applyNumberFormat="0" applyFill="0" applyAlignment="0" applyProtection="0"/>
    <xf numFmtId="0" fontId="76" fillId="0" borderId="0" applyNumberFormat="0" applyFill="0" applyBorder="0" applyAlignment="0" applyProtection="0"/>
    <xf numFmtId="0" fontId="77" fillId="0" borderId="164" applyNumberFormat="0" applyFill="0" applyAlignment="0" applyProtection="0"/>
    <xf numFmtId="0" fontId="35" fillId="0" borderId="0" applyNumberFormat="0" applyFill="0" applyBorder="0" applyAlignment="0" applyProtection="0"/>
    <xf numFmtId="43" fontId="1" fillId="0" borderId="0" applyFont="0" applyFill="0" applyBorder="0" applyAlignment="0" applyProtection="0"/>
    <xf numFmtId="0" fontId="26" fillId="31" borderId="163" applyNumberFormat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3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3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84" borderId="0" applyNumberFormat="0" applyBorder="0" applyAlignment="0" applyProtection="0"/>
    <xf numFmtId="0" fontId="1" fillId="85" borderId="0" applyNumberFormat="0" applyBorder="0" applyAlignment="0" applyProtection="0"/>
    <xf numFmtId="0" fontId="1" fillId="86" borderId="0" applyNumberFormat="0" applyBorder="0" applyAlignment="0" applyProtection="0"/>
    <xf numFmtId="0" fontId="1" fillId="89" borderId="0" applyNumberFormat="0" applyBorder="0" applyAlignment="0" applyProtection="0"/>
    <xf numFmtId="0" fontId="1" fillId="87" borderId="0" applyNumberFormat="0" applyBorder="0" applyAlignment="0" applyProtection="0"/>
    <xf numFmtId="0" fontId="145" fillId="0" borderId="0" applyNumberFormat="0" applyFont="0" applyFill="0" applyBorder="0" applyProtection="0">
      <alignment horizontal="left" vertical="center" indent="5"/>
    </xf>
    <xf numFmtId="0" fontId="145" fillId="0" borderId="0" applyNumberFormat="0" applyFont="0" applyFill="0" applyBorder="0" applyProtection="0">
      <alignment horizontal="left" vertical="center" indent="5"/>
    </xf>
    <xf numFmtId="0" fontId="47" fillId="88" borderId="0" applyNumberFormat="0" applyBorder="0" applyAlignment="0" applyProtection="0"/>
    <xf numFmtId="0" fontId="47" fillId="90" borderId="0" applyNumberFormat="0" applyBorder="0" applyAlignment="0" applyProtection="0"/>
    <xf numFmtId="0" fontId="47" fillId="91" borderId="0" applyNumberFormat="0" applyBorder="0" applyAlignment="0" applyProtection="0"/>
    <xf numFmtId="0" fontId="5" fillId="0" borderId="0">
      <alignment horizontal="center" vertical="center"/>
    </xf>
    <xf numFmtId="0" fontId="148" fillId="95" borderId="0"/>
    <xf numFmtId="0" fontId="5" fillId="9" borderId="320">
      <alignment horizontal="center" vertical="center" wrapText="1"/>
    </xf>
    <xf numFmtId="0" fontId="6" fillId="9" borderId="320">
      <alignment horizontal="center" vertical="center" wrapText="1"/>
    </xf>
    <xf numFmtId="0" fontId="6" fillId="9" borderId="320">
      <alignment horizontal="center" vertical="center" wrapText="1"/>
    </xf>
    <xf numFmtId="0" fontId="6" fillId="9" borderId="320">
      <alignment horizontal="center" vertical="center" wrapText="1"/>
    </xf>
    <xf numFmtId="4" fontId="82" fillId="0" borderId="178" applyFill="0" applyBorder="0" applyProtection="0">
      <alignment horizontal="right" vertical="center"/>
    </xf>
    <xf numFmtId="0" fontId="122" fillId="82" borderId="316" applyNumberFormat="0" applyAlignment="0" applyProtection="0"/>
    <xf numFmtId="0" fontId="149" fillId="82" borderId="316" applyNumberFormat="0" applyAlignment="0" applyProtection="0"/>
    <xf numFmtId="1" fontId="1" fillId="96" borderId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94" fontId="6" fillId="0" borderId="0" applyFill="0" applyBorder="0" applyAlignment="0" applyProtection="0"/>
    <xf numFmtId="194" fontId="6" fillId="0" borderId="0" applyFill="0" applyBorder="0" applyAlignment="0" applyProtection="0"/>
    <xf numFmtId="194" fontId="6" fillId="0" borderId="0" applyFill="0" applyBorder="0" applyAlignment="0" applyProtection="0"/>
    <xf numFmtId="43" fontId="4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4" fillId="0" borderId="0" applyFont="0" applyFill="0" applyBorder="0" applyAlignment="0" applyProtection="0"/>
    <xf numFmtId="43" fontId="124" fillId="0" borderId="0" applyFont="0" applyFill="0" applyBorder="0" applyAlignment="0" applyProtection="0"/>
    <xf numFmtId="43" fontId="12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1" fontId="1" fillId="97" borderId="0"/>
    <xf numFmtId="0" fontId="6" fillId="6" borderId="0"/>
    <xf numFmtId="0" fontId="6" fillId="6" borderId="0"/>
    <xf numFmtId="0" fontId="6" fillId="12" borderId="291">
      <alignment horizontal="center" vertical="center" wrapText="1"/>
    </xf>
    <xf numFmtId="0" fontId="6" fillId="12" borderId="291">
      <alignment horizontal="center" vertical="center" wrapText="1"/>
    </xf>
    <xf numFmtId="0" fontId="6" fillId="12" borderId="291">
      <alignment horizontal="center" vertical="center" wrapText="1"/>
    </xf>
    <xf numFmtId="0" fontId="6" fillId="12" borderId="277">
      <alignment horizontal="center" vertical="center" wrapText="1"/>
    </xf>
    <xf numFmtId="0" fontId="6" fillId="12" borderId="277">
      <alignment horizontal="center" vertical="center" wrapText="1"/>
    </xf>
    <xf numFmtId="0" fontId="6" fillId="12" borderId="277">
      <alignment horizontal="center" vertical="center" wrapText="1"/>
    </xf>
    <xf numFmtId="0" fontId="6" fillId="12" borderId="291">
      <alignment horizontal="center" vertical="center" wrapText="1"/>
    </xf>
    <xf numFmtId="0" fontId="143" fillId="0" borderId="0"/>
    <xf numFmtId="180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196" fontId="6" fillId="0" borderId="0" applyFont="0" applyFill="0" applyBorder="0" applyAlignment="0" applyProtection="0"/>
    <xf numFmtId="196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180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5" fillId="0" borderId="279" applyNumberFormat="0">
      <alignment horizontal="center" wrapText="1"/>
    </xf>
    <xf numFmtId="0" fontId="5" fillId="0" borderId="279" applyNumberFormat="0">
      <alignment horizontal="center" wrapText="1"/>
    </xf>
    <xf numFmtId="0" fontId="5" fillId="0" borderId="279" applyNumberFormat="0">
      <alignment horizontal="center" wrapText="1"/>
    </xf>
    <xf numFmtId="0" fontId="69" fillId="46" borderId="0">
      <alignment horizontal="left"/>
    </xf>
    <xf numFmtId="195" fontId="144" fillId="0" borderId="0">
      <alignment horizontal="left" vertical="center"/>
    </xf>
    <xf numFmtId="195" fontId="144" fillId="0" borderId="0">
      <alignment horizontal="left" vertical="center"/>
    </xf>
    <xf numFmtId="0" fontId="142" fillId="0" borderId="0" applyNumberFormat="0" applyFill="0" applyBorder="0" applyAlignment="0" applyProtection="0">
      <alignment vertical="top"/>
      <protection locked="0"/>
    </xf>
    <xf numFmtId="0" fontId="142" fillId="0" borderId="0" applyNumberFormat="0" applyFill="0" applyBorder="0" applyAlignment="0" applyProtection="0">
      <alignment vertical="top"/>
      <protection locked="0"/>
    </xf>
    <xf numFmtId="0" fontId="117" fillId="0" borderId="0" applyNumberFormat="0" applyFill="0" applyBorder="0" applyAlignment="0" applyProtection="0"/>
    <xf numFmtId="0" fontId="146" fillId="0" borderId="0" applyNumberFormat="0" applyFill="0" applyBorder="0" applyAlignment="0" applyProtection="0">
      <alignment vertical="top"/>
      <protection locked="0"/>
    </xf>
    <xf numFmtId="0" fontId="117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4" fontId="22" fillId="0" borderId="328">
      <alignment horizontal="right" vertical="center"/>
    </xf>
    <xf numFmtId="0" fontId="150" fillId="0" borderId="317" applyNumberFormat="0" applyFill="0" applyAlignment="0" applyProtection="0"/>
    <xf numFmtId="198" fontId="6" fillId="0" borderId="0" applyFont="0" applyFill="0" applyBorder="0" applyAlignment="0" applyProtection="0"/>
    <xf numFmtId="200" fontId="6" fillId="0" borderId="0" applyFont="0" applyFill="0" applyBorder="0" applyAlignment="0" applyProtection="0"/>
    <xf numFmtId="197" fontId="6" fillId="0" borderId="0" applyFont="0" applyFill="0" applyBorder="0" applyAlignment="0" applyProtection="0"/>
    <xf numFmtId="199" fontId="6" fillId="0" borderId="0" applyFont="0" applyFill="0" applyBorder="0" applyAlignment="0" applyProtection="0"/>
    <xf numFmtId="0" fontId="6" fillId="0" borderId="0"/>
    <xf numFmtId="0" fontId="6" fillId="0" borderId="0"/>
    <xf numFmtId="0" fontId="1" fillId="0" borderId="0"/>
    <xf numFmtId="0" fontId="37" fillId="0" borderId="0"/>
    <xf numFmtId="0" fontId="37" fillId="0" borderId="0"/>
    <xf numFmtId="0" fontId="37" fillId="0" borderId="0"/>
    <xf numFmtId="0" fontId="1" fillId="0" borderId="0"/>
    <xf numFmtId="0" fontId="1" fillId="0" borderId="0"/>
    <xf numFmtId="0" fontId="124" fillId="0" borderId="0"/>
    <xf numFmtId="0" fontId="124" fillId="0" borderId="0"/>
    <xf numFmtId="0" fontId="1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23" fillId="0" borderId="0"/>
    <xf numFmtId="0" fontId="6" fillId="0" borderId="0"/>
    <xf numFmtId="0" fontId="1" fillId="0" borderId="0"/>
    <xf numFmtId="0" fontId="6" fillId="0" borderId="0"/>
    <xf numFmtId="0" fontId="2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6" fillId="0" borderId="0"/>
    <xf numFmtId="0" fontId="6" fillId="0" borderId="0"/>
    <xf numFmtId="0" fontId="1" fillId="0" borderId="0"/>
    <xf numFmtId="0" fontId="46" fillId="0" borderId="0"/>
    <xf numFmtId="0" fontId="1" fillId="0" borderId="0"/>
    <xf numFmtId="0" fontId="1" fillId="0" borderId="0"/>
    <xf numFmtId="0" fontId="6" fillId="0" borderId="0"/>
    <xf numFmtId="0" fontId="2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139" fillId="0" borderId="0"/>
    <xf numFmtId="0" fontId="1" fillId="0" borderId="0"/>
    <xf numFmtId="0" fontId="1" fillId="0" borderId="0"/>
    <xf numFmtId="0" fontId="6" fillId="0" borderId="0"/>
    <xf numFmtId="0" fontId="23" fillId="0" borderId="0"/>
    <xf numFmtId="0" fontId="13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5" fillId="59" borderId="0" applyNumberFormat="0" applyFont="0" applyBorder="0" applyAlignment="0" applyProtection="0"/>
    <xf numFmtId="0" fontId="145" fillId="59" borderId="0" applyNumberFormat="0" applyFont="0" applyBorder="0" applyAlignment="0" applyProtection="0"/>
    <xf numFmtId="0" fontId="23" fillId="83" borderId="318" applyNumberFormat="0" applyFont="0" applyAlignment="0" applyProtection="0"/>
    <xf numFmtId="0" fontId="23" fillId="83" borderId="318" applyNumberFormat="0" applyFont="0" applyAlignment="0" applyProtection="0"/>
    <xf numFmtId="201" fontId="6" fillId="0" borderId="0" applyFont="0" applyFill="0" applyBorder="0" applyAlignment="0" applyProtection="0"/>
    <xf numFmtId="201" fontId="6" fillId="0" borderId="0" applyFont="0" applyFill="0" applyBorder="0" applyAlignment="0" applyProtection="0"/>
    <xf numFmtId="9" fontId="6" fillId="0" borderId="0" applyFill="0" applyBorder="0" applyAlignment="0" applyProtection="0"/>
    <xf numFmtId="9" fontId="6" fillId="0" borderId="0" applyFont="0" applyFill="0" applyBorder="0" applyAlignment="0" applyProtection="0"/>
    <xf numFmtId="9" fontId="6" fillId="0" borderId="0" applyFill="0" applyBorder="0" applyAlignment="0" applyProtection="0"/>
    <xf numFmtId="9" fontId="6" fillId="0" borderId="0" applyFont="0" applyFill="0" applyBorder="0" applyAlignment="0" applyProtection="0"/>
    <xf numFmtId="195" fontId="124" fillId="0" borderId="0" applyFill="0" applyBorder="0" applyAlignment="0" applyProtection="0"/>
    <xf numFmtId="0" fontId="6" fillId="0" borderId="0"/>
    <xf numFmtId="0" fontId="6" fillId="0" borderId="0"/>
    <xf numFmtId="0" fontId="22" fillId="59" borderId="290"/>
    <xf numFmtId="0" fontId="147" fillId="0" borderId="0"/>
    <xf numFmtId="0" fontId="44" fillId="0" borderId="0">
      <alignment vertical="top"/>
    </xf>
    <xf numFmtId="0" fontId="6" fillId="0" borderId="290" applyNumberFormat="0" applyFill="0" applyProtection="0">
      <alignment horizontal="right"/>
    </xf>
    <xf numFmtId="0" fontId="6" fillId="0" borderId="290" applyNumberFormat="0" applyFill="0" applyProtection="0">
      <alignment horizontal="right"/>
    </xf>
    <xf numFmtId="0" fontId="5" fillId="60" borderId="290" applyNumberFormat="0" applyProtection="0">
      <alignment horizontal="right"/>
    </xf>
    <xf numFmtId="0" fontId="5" fillId="60" borderId="290" applyNumberFormat="0" applyProtection="0">
      <alignment horizontal="left"/>
    </xf>
    <xf numFmtId="0" fontId="6" fillId="0" borderId="290" applyNumberFormat="0" applyFill="0" applyProtection="0">
      <alignment horizontal="right"/>
    </xf>
    <xf numFmtId="0" fontId="6" fillId="0" borderId="290" applyNumberFormat="0" applyFill="0" applyProtection="0">
      <alignment horizontal="right"/>
    </xf>
    <xf numFmtId="0" fontId="70" fillId="0" borderId="0"/>
    <xf numFmtId="0" fontId="140" fillId="0" borderId="0" applyNumberFormat="0" applyFill="0" applyBorder="0" applyAlignment="0" applyProtection="0"/>
    <xf numFmtId="0" fontId="141" fillId="2" borderId="277">
      <alignment horizontal="center" vertical="center" wrapText="1"/>
    </xf>
    <xf numFmtId="0" fontId="141" fillId="2" borderId="277">
      <alignment horizontal="center" vertical="center" wrapText="1"/>
    </xf>
    <xf numFmtId="0" fontId="141" fillId="2" borderId="277">
      <alignment vertical="center" wrapText="1"/>
    </xf>
    <xf numFmtId="0" fontId="123" fillId="0" borderId="0"/>
    <xf numFmtId="0" fontId="57" fillId="0" borderId="319" applyNumberFormat="0" applyFill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51" fillId="0" borderId="0"/>
    <xf numFmtId="0" fontId="151" fillId="0" borderId="0"/>
    <xf numFmtId="0" fontId="151" fillId="0" borderId="0"/>
    <xf numFmtId="0" fontId="151" fillId="0" borderId="0"/>
    <xf numFmtId="0" fontId="151" fillId="0" borderId="0"/>
    <xf numFmtId="0" fontId="151" fillId="0" borderId="0"/>
    <xf numFmtId="0" fontId="123" fillId="0" borderId="0"/>
    <xf numFmtId="9" fontId="123" fillId="0" borderId="0" applyFont="0" applyFill="0" applyBorder="0" applyAlignment="0" applyProtection="0"/>
    <xf numFmtId="0" fontId="6" fillId="23" borderId="346" applyNumberFormat="0" applyFont="0" applyAlignment="0" applyProtection="0"/>
    <xf numFmtId="0" fontId="6" fillId="23" borderId="346" applyNumberFormat="0" applyFont="0" applyAlignment="0" applyProtection="0"/>
    <xf numFmtId="0" fontId="6" fillId="23" borderId="346" applyNumberFormat="0" applyFont="0" applyAlignment="0" applyProtection="0"/>
    <xf numFmtId="0" fontId="80" fillId="0" borderId="357" applyNumberFormat="0" applyFill="0" applyAlignment="0" applyProtection="0"/>
    <xf numFmtId="0" fontId="73" fillId="57" borderId="344" applyNumberFormat="0" applyAlignment="0" applyProtection="0"/>
    <xf numFmtId="0" fontId="80" fillId="0" borderId="353" applyNumberFormat="0" applyFill="0" applyAlignment="0" applyProtection="0"/>
    <xf numFmtId="0" fontId="32" fillId="24" borderId="344" applyNumberFormat="0" applyAlignment="0" applyProtection="0"/>
    <xf numFmtId="0" fontId="32" fillId="24" borderId="344" applyNumberFormat="0" applyAlignment="0" applyProtection="0"/>
    <xf numFmtId="0" fontId="73" fillId="57" borderId="348" applyNumberFormat="0" applyAlignment="0" applyProtection="0"/>
    <xf numFmtId="0" fontId="6" fillId="23" borderId="346" applyNumberFormat="0" applyFont="0" applyAlignment="0" applyProtection="0"/>
    <xf numFmtId="0" fontId="6" fillId="23" borderId="346" applyNumberFormat="0" applyFont="0" applyAlignment="0" applyProtection="0"/>
    <xf numFmtId="0" fontId="80" fillId="0" borderId="357" applyNumberFormat="0" applyFill="0" applyAlignment="0" applyProtection="0"/>
    <xf numFmtId="0" fontId="73" fillId="57" borderId="348" applyNumberFormat="0" applyAlignment="0" applyProtection="0"/>
    <xf numFmtId="0" fontId="32" fillId="24" borderId="344" applyNumberFormat="0" applyAlignment="0" applyProtection="0"/>
    <xf numFmtId="0" fontId="32" fillId="24" borderId="344" applyNumberFormat="0" applyAlignment="0" applyProtection="0"/>
    <xf numFmtId="0" fontId="33" fillId="57" borderId="351" applyNumberFormat="0" applyAlignment="0" applyProtection="0"/>
    <xf numFmtId="0" fontId="80" fillId="0" borderId="357" applyNumberFormat="0" applyFill="0" applyAlignment="0" applyProtection="0"/>
    <xf numFmtId="0" fontId="6" fillId="23" borderId="350" applyNumberFormat="0" applyFont="0" applyAlignment="0" applyProtection="0"/>
    <xf numFmtId="0" fontId="32" fillId="24" borderId="344" applyNumberFormat="0" applyAlignment="0" applyProtection="0"/>
    <xf numFmtId="0" fontId="32" fillId="24" borderId="344" applyNumberFormat="0" applyAlignment="0" applyProtection="0"/>
    <xf numFmtId="0" fontId="33" fillId="57" borderId="351" applyNumberFormat="0" applyAlignment="0" applyProtection="0"/>
    <xf numFmtId="0" fontId="6" fillId="23" borderId="346" applyNumberFormat="0" applyFont="0" applyAlignment="0" applyProtection="0"/>
    <xf numFmtId="0" fontId="6" fillId="23" borderId="346" applyNumberFormat="0" applyFont="0" applyAlignment="0" applyProtection="0"/>
    <xf numFmtId="0" fontId="6" fillId="23" borderId="346" applyNumberFormat="0" applyFont="0" applyAlignment="0" applyProtection="0"/>
    <xf numFmtId="0" fontId="73" fillId="57" borderId="348" applyNumberFormat="0" applyAlignment="0" applyProtection="0"/>
    <xf numFmtId="0" fontId="32" fillId="24" borderId="348" applyNumberFormat="0" applyAlignment="0" applyProtection="0"/>
    <xf numFmtId="0" fontId="73" fillId="57" borderId="348" applyNumberFormat="0" applyAlignment="0" applyProtection="0"/>
    <xf numFmtId="0" fontId="80" fillId="0" borderId="342" applyNumberFormat="0" applyFill="0" applyAlignment="0" applyProtection="0"/>
    <xf numFmtId="0" fontId="80" fillId="0" borderId="342" applyNumberFormat="0" applyFill="0" applyAlignment="0" applyProtection="0"/>
    <xf numFmtId="0" fontId="80" fillId="0" borderId="342" applyNumberFormat="0" applyFill="0" applyAlignment="0" applyProtection="0"/>
    <xf numFmtId="0" fontId="80" fillId="0" borderId="342" applyNumberFormat="0" applyFill="0" applyAlignment="0" applyProtection="0"/>
    <xf numFmtId="0" fontId="80" fillId="0" borderId="342" applyNumberFormat="0" applyFill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6" fillId="23" borderId="350" applyNumberFormat="0" applyFont="0" applyAlignment="0" applyProtection="0"/>
    <xf numFmtId="0" fontId="80" fillId="0" borderId="353" applyNumberFormat="0" applyFill="0" applyAlignment="0" applyProtection="0"/>
    <xf numFmtId="0" fontId="23" fillId="23" borderId="350" applyNumberFormat="0" applyFont="0" applyAlignment="0" applyProtection="0"/>
    <xf numFmtId="0" fontId="73" fillId="57" borderId="348" applyNumberFormat="0" applyAlignment="0" applyProtection="0"/>
    <xf numFmtId="0" fontId="80" fillId="0" borderId="353" applyNumberFormat="0" applyFill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33" fillId="57" borderId="351" applyNumberFormat="0" applyAlignment="0" applyProtection="0"/>
    <xf numFmtId="0" fontId="80" fillId="0" borderId="353" applyNumberFormat="0" applyFill="0" applyAlignment="0" applyProtection="0"/>
    <xf numFmtId="0" fontId="33" fillId="57" borderId="351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33" fillId="26" borderId="336" applyNumberFormat="0" applyAlignment="0" applyProtection="0"/>
    <xf numFmtId="0" fontId="32" fillId="24" borderId="344" applyNumberFormat="0" applyAlignment="0" applyProtection="0"/>
    <xf numFmtId="0" fontId="32" fillId="24" borderId="344" applyNumberFormat="0" applyAlignment="0" applyProtection="0"/>
    <xf numFmtId="0" fontId="32" fillId="24" borderId="344" applyNumberFormat="0" applyAlignment="0" applyProtection="0"/>
    <xf numFmtId="0" fontId="32" fillId="24" borderId="344" applyNumberFormat="0" applyAlignment="0" applyProtection="0"/>
    <xf numFmtId="0" fontId="32" fillId="24" borderId="344" applyNumberFormat="0" applyAlignment="0" applyProtection="0"/>
    <xf numFmtId="0" fontId="32" fillId="24" borderId="344" applyNumberFormat="0" applyAlignment="0" applyProtection="0"/>
    <xf numFmtId="0" fontId="32" fillId="24" borderId="344" applyNumberFormat="0" applyAlignment="0" applyProtection="0"/>
    <xf numFmtId="0" fontId="32" fillId="24" borderId="344" applyNumberFormat="0" applyAlignment="0" applyProtection="0"/>
    <xf numFmtId="0" fontId="32" fillId="24" borderId="344" applyNumberFormat="0" applyAlignment="0" applyProtection="0"/>
    <xf numFmtId="0" fontId="32" fillId="24" borderId="344" applyNumberFormat="0" applyAlignment="0" applyProtection="0"/>
    <xf numFmtId="0" fontId="32" fillId="24" borderId="344" applyNumberFormat="0" applyAlignment="0" applyProtection="0"/>
    <xf numFmtId="0" fontId="32" fillId="24" borderId="344" applyNumberFormat="0" applyAlignment="0" applyProtection="0"/>
    <xf numFmtId="0" fontId="32" fillId="24" borderId="344" applyNumberFormat="0" applyAlignment="0" applyProtection="0"/>
    <xf numFmtId="0" fontId="32" fillId="24" borderId="344" applyNumberFormat="0" applyAlignment="0" applyProtection="0"/>
    <xf numFmtId="0" fontId="32" fillId="24" borderId="344" applyNumberFormat="0" applyAlignment="0" applyProtection="0"/>
    <xf numFmtId="0" fontId="32" fillId="24" borderId="344" applyNumberFormat="0" applyAlignment="0" applyProtection="0"/>
    <xf numFmtId="0" fontId="32" fillId="24" borderId="344" applyNumberFormat="0" applyAlignment="0" applyProtection="0"/>
    <xf numFmtId="0" fontId="32" fillId="24" borderId="344" applyNumberFormat="0" applyAlignment="0" applyProtection="0"/>
    <xf numFmtId="0" fontId="32" fillId="24" borderId="344" applyNumberFormat="0" applyAlignment="0" applyProtection="0"/>
    <xf numFmtId="0" fontId="32" fillId="24" borderId="344" applyNumberFormat="0" applyAlignment="0" applyProtection="0"/>
    <xf numFmtId="0" fontId="32" fillId="24" borderId="344" applyNumberFormat="0" applyAlignment="0" applyProtection="0"/>
    <xf numFmtId="0" fontId="32" fillId="24" borderId="344" applyNumberFormat="0" applyAlignment="0" applyProtection="0"/>
    <xf numFmtId="0" fontId="32" fillId="24" borderId="344" applyNumberFormat="0" applyAlignment="0" applyProtection="0"/>
    <xf numFmtId="0" fontId="32" fillId="24" borderId="344" applyNumberFormat="0" applyAlignment="0" applyProtection="0"/>
    <xf numFmtId="0" fontId="32" fillId="24" borderId="344" applyNumberFormat="0" applyAlignment="0" applyProtection="0"/>
    <xf numFmtId="0" fontId="32" fillId="24" borderId="344" applyNumberFormat="0" applyAlignment="0" applyProtection="0"/>
    <xf numFmtId="0" fontId="32" fillId="24" borderId="344" applyNumberFormat="0" applyAlignment="0" applyProtection="0"/>
    <xf numFmtId="0" fontId="33" fillId="57" borderId="351" applyNumberFormat="0" applyAlignment="0" applyProtection="0"/>
    <xf numFmtId="0" fontId="6" fillId="23" borderId="350" applyNumberFormat="0" applyFon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3" fillId="26" borderId="351" applyNumberForma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33" fillId="57" borderId="351" applyNumberFormat="0" applyAlignment="0" applyProtection="0"/>
    <xf numFmtId="0" fontId="32" fillId="27" borderId="159" applyNumberFormat="0" applyAlignment="0" applyProtection="0"/>
    <xf numFmtId="0" fontId="32" fillId="27" borderId="159" applyNumberFormat="0" applyAlignment="0" applyProtection="0"/>
    <xf numFmtId="0" fontId="32" fillId="27" borderId="159" applyNumberFormat="0" applyAlignment="0" applyProtection="0"/>
    <xf numFmtId="0" fontId="32" fillId="27" borderId="159" applyNumberFormat="0" applyAlignment="0" applyProtection="0"/>
    <xf numFmtId="49" fontId="22" fillId="0" borderId="354" applyNumberFormat="0" applyFont="0" applyFill="0" applyBorder="0" applyProtection="0">
      <alignment horizontal="left" vertical="center" indent="2"/>
    </xf>
    <xf numFmtId="0" fontId="32" fillId="27" borderId="348" applyNumberFormat="0" applyAlignment="0" applyProtection="0"/>
    <xf numFmtId="0" fontId="6" fillId="23" borderId="350" applyNumberFormat="0" applyFont="0" applyAlignment="0" applyProtection="0"/>
    <xf numFmtId="0" fontId="33" fillId="57" borderId="351" applyNumberFormat="0" applyAlignment="0" applyProtection="0"/>
    <xf numFmtId="0" fontId="32" fillId="24" borderId="348" applyNumberFormat="0" applyAlignment="0" applyProtection="0"/>
    <xf numFmtId="0" fontId="36" fillId="26" borderId="159" applyNumberFormat="0" applyAlignment="0" applyProtection="0"/>
    <xf numFmtId="0" fontId="36" fillId="26" borderId="159" applyNumberFormat="0" applyAlignment="0" applyProtection="0"/>
    <xf numFmtId="0" fontId="36" fillId="26" borderId="159" applyNumberFormat="0" applyAlignment="0" applyProtection="0"/>
    <xf numFmtId="0" fontId="36" fillId="26" borderId="159" applyNumberFormat="0" applyAlignment="0" applyProtection="0"/>
    <xf numFmtId="0" fontId="36" fillId="26" borderId="159" applyNumberFormat="0" applyAlignment="0" applyProtection="0"/>
    <xf numFmtId="0" fontId="80" fillId="0" borderId="353" applyNumberFormat="0" applyFill="0" applyAlignment="0" applyProtection="0"/>
    <xf numFmtId="0" fontId="73" fillId="57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6" fillId="23" borderId="350" applyNumberFormat="0" applyFon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6" fillId="26" borderId="348" applyNumberFormat="0" applyAlignment="0" applyProtection="0"/>
    <xf numFmtId="49" fontId="22" fillId="0" borderId="339" applyNumberFormat="0" applyFont="0" applyFill="0" applyBorder="0" applyProtection="0">
      <alignment horizontal="left" vertical="center" indent="2"/>
    </xf>
    <xf numFmtId="0" fontId="5" fillId="60" borderId="354" applyNumberFormat="0" applyProtection="0">
      <alignment horizontal="left"/>
    </xf>
    <xf numFmtId="0" fontId="80" fillId="0" borderId="353" applyNumberFormat="0" applyFill="0" applyAlignment="0" applyProtection="0"/>
    <xf numFmtId="0" fontId="6" fillId="23" borderId="350" applyNumberFormat="0" applyFon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80" fillId="0" borderId="357" applyNumberFormat="0" applyFill="0" applyAlignment="0" applyProtection="0"/>
    <xf numFmtId="0" fontId="32" fillId="24" borderId="348" applyNumberFormat="0" applyAlignment="0" applyProtection="0"/>
    <xf numFmtId="0" fontId="33" fillId="57" borderId="351" applyNumberFormat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73" fillId="57" borderId="348" applyNumberFormat="0" applyAlignment="0" applyProtection="0"/>
    <xf numFmtId="0" fontId="80" fillId="0" borderId="353" applyNumberFormat="0" applyFill="0" applyAlignment="0" applyProtection="0"/>
    <xf numFmtId="0" fontId="33" fillId="26" borderId="351" applyNumberFormat="0" applyAlignment="0" applyProtection="0"/>
    <xf numFmtId="0" fontId="32" fillId="24" borderId="344" applyNumberFormat="0" applyAlignment="0" applyProtection="0"/>
    <xf numFmtId="0" fontId="32" fillId="24" borderId="344" applyNumberFormat="0" applyAlignment="0" applyProtection="0"/>
    <xf numFmtId="0" fontId="32" fillId="24" borderId="344" applyNumberFormat="0" applyAlignment="0" applyProtection="0"/>
    <xf numFmtId="0" fontId="32" fillId="24" borderId="344" applyNumberFormat="0" applyAlignment="0" applyProtection="0"/>
    <xf numFmtId="0" fontId="33" fillId="57" borderId="351" applyNumberFormat="0" applyAlignment="0" applyProtection="0"/>
    <xf numFmtId="0" fontId="32" fillId="24" borderId="348" applyNumberFormat="0" applyAlignment="0" applyProtection="0"/>
    <xf numFmtId="0" fontId="6" fillId="23" borderId="346" applyNumberFormat="0" applyFont="0" applyAlignment="0" applyProtection="0"/>
    <xf numFmtId="0" fontId="6" fillId="23" borderId="346" applyNumberFormat="0" applyFont="0" applyAlignment="0" applyProtection="0"/>
    <xf numFmtId="0" fontId="6" fillId="23" borderId="346" applyNumberFormat="0" applyFont="0" applyAlignment="0" applyProtection="0"/>
    <xf numFmtId="0" fontId="6" fillId="23" borderId="346" applyNumberFormat="0" applyFont="0" applyAlignment="0" applyProtection="0"/>
    <xf numFmtId="0" fontId="6" fillId="23" borderId="350" applyNumberFormat="0" applyFon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33" fillId="57" borderId="351" applyNumberFormat="0" applyAlignment="0" applyProtection="0"/>
    <xf numFmtId="0" fontId="33" fillId="26" borderId="351" applyNumberFormat="0" applyAlignment="0" applyProtection="0"/>
    <xf numFmtId="0" fontId="73" fillId="57" borderId="348" applyNumberFormat="0" applyAlignment="0" applyProtection="0"/>
    <xf numFmtId="0" fontId="32" fillId="24" borderId="344" applyNumberFormat="0" applyAlignment="0" applyProtection="0"/>
    <xf numFmtId="0" fontId="32" fillId="24" borderId="344" applyNumberFormat="0" applyAlignment="0" applyProtection="0"/>
    <xf numFmtId="0" fontId="32" fillId="24" borderId="344" applyNumberFormat="0" applyAlignment="0" applyProtection="0"/>
    <xf numFmtId="0" fontId="23" fillId="23" borderId="350" applyNumberFormat="0" applyFont="0" applyAlignment="0" applyProtection="0"/>
    <xf numFmtId="0" fontId="32" fillId="24" borderId="348" applyNumberFormat="0" applyAlignment="0" applyProtection="0"/>
    <xf numFmtId="0" fontId="6" fillId="23" borderId="346" applyNumberFormat="0" applyFont="0" applyAlignment="0" applyProtection="0"/>
    <xf numFmtId="0" fontId="6" fillId="23" borderId="346" applyNumberFormat="0" applyFont="0" applyAlignment="0" applyProtection="0"/>
    <xf numFmtId="0" fontId="6" fillId="23" borderId="346" applyNumberFormat="0" applyFont="0" applyAlignment="0" applyProtection="0"/>
    <xf numFmtId="0" fontId="6" fillId="23" borderId="346" applyNumberFormat="0" applyFont="0" applyAlignment="0" applyProtection="0"/>
    <xf numFmtId="0" fontId="6" fillId="23" borderId="346" applyNumberFormat="0" applyFont="0" applyAlignment="0" applyProtection="0"/>
    <xf numFmtId="0" fontId="6" fillId="23" borderId="346" applyNumberFormat="0" applyFont="0" applyAlignment="0" applyProtection="0"/>
    <xf numFmtId="0" fontId="80" fillId="0" borderId="357" applyNumberFormat="0" applyFill="0" applyAlignment="0" applyProtection="0"/>
    <xf numFmtId="0" fontId="80" fillId="0" borderId="353" applyNumberFormat="0" applyFill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23" fillId="23" borderId="350" applyNumberFormat="0" applyFon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2" fillId="24" borderId="344" applyNumberFormat="0" applyAlignment="0" applyProtection="0"/>
    <xf numFmtId="0" fontId="32" fillId="24" borderId="344" applyNumberFormat="0" applyAlignment="0" applyProtection="0"/>
    <xf numFmtId="0" fontId="32" fillId="24" borderId="344" applyNumberFormat="0" applyAlignment="0" applyProtection="0"/>
    <xf numFmtId="0" fontId="32" fillId="24" borderId="344" applyNumberFormat="0" applyAlignment="0" applyProtection="0"/>
    <xf numFmtId="0" fontId="32" fillId="24" borderId="348" applyNumberFormat="0" applyAlignment="0" applyProtection="0"/>
    <xf numFmtId="0" fontId="6" fillId="23" borderId="346" applyNumberFormat="0" applyFont="0" applyAlignment="0" applyProtection="0"/>
    <xf numFmtId="0" fontId="6" fillId="23" borderId="346" applyNumberFormat="0" applyFont="0" applyAlignment="0" applyProtection="0"/>
    <xf numFmtId="0" fontId="23" fillId="23" borderId="346" applyNumberFormat="0" applyFont="0" applyAlignment="0" applyProtection="0"/>
    <xf numFmtId="0" fontId="6" fillId="23" borderId="346" applyNumberFormat="0" applyFont="0" applyAlignment="0" applyProtection="0"/>
    <xf numFmtId="0" fontId="6" fillId="23" borderId="346" applyNumberFormat="0" applyFont="0" applyAlignment="0" applyProtection="0"/>
    <xf numFmtId="0" fontId="6" fillId="23" borderId="346" applyNumberFormat="0" applyFont="0" applyAlignment="0" applyProtection="0"/>
    <xf numFmtId="0" fontId="6" fillId="23" borderId="346" applyNumberFormat="0" applyFont="0" applyAlignment="0" applyProtection="0"/>
    <xf numFmtId="0" fontId="33" fillId="57" borderId="351" applyNumberFormat="0" applyAlignment="0" applyProtection="0"/>
    <xf numFmtId="0" fontId="80" fillId="0" borderId="353" applyNumberFormat="0" applyFill="0" applyAlignment="0" applyProtection="0"/>
    <xf numFmtId="0" fontId="33" fillId="57" borderId="351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33" fillId="57" borderId="351" applyNumberFormat="0" applyAlignment="0" applyProtection="0"/>
    <xf numFmtId="0" fontId="73" fillId="57" borderId="348" applyNumberFormat="0" applyAlignment="0" applyProtection="0"/>
    <xf numFmtId="0" fontId="80" fillId="0" borderId="338" applyNumberFormat="0" applyFill="0" applyAlignment="0" applyProtection="0"/>
    <xf numFmtId="0" fontId="6" fillId="0" borderId="339" applyNumberFormat="0" applyFill="0" applyProtection="0">
      <alignment horizontal="right"/>
    </xf>
    <xf numFmtId="0" fontId="6" fillId="0" borderId="339" applyNumberFormat="0" applyFill="0" applyProtection="0">
      <alignment horizontal="right"/>
    </xf>
    <xf numFmtId="0" fontId="5" fillId="60" borderId="339" applyNumberFormat="0" applyProtection="0">
      <alignment horizontal="left"/>
    </xf>
    <xf numFmtId="0" fontId="5" fillId="60" borderId="339" applyNumberFormat="0" applyProtection="0">
      <alignment horizontal="right"/>
    </xf>
    <xf numFmtId="0" fontId="6" fillId="0" borderId="339" applyNumberFormat="0" applyFill="0" applyProtection="0">
      <alignment horizontal="right"/>
    </xf>
    <xf numFmtId="0" fontId="6" fillId="0" borderId="339" applyNumberFormat="0" applyFill="0" applyProtection="0">
      <alignment horizontal="right"/>
    </xf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2" fillId="24" borderId="344" applyNumberFormat="0" applyAlignment="0" applyProtection="0"/>
    <xf numFmtId="0" fontId="32" fillId="24" borderId="344" applyNumberFormat="0" applyAlignment="0" applyProtection="0"/>
    <xf numFmtId="0" fontId="32" fillId="24" borderId="344" applyNumberFormat="0" applyAlignment="0" applyProtection="0"/>
    <xf numFmtId="0" fontId="32" fillId="24" borderId="344" applyNumberFormat="0" applyAlignment="0" applyProtection="0"/>
    <xf numFmtId="0" fontId="32" fillId="24" borderId="344" applyNumberFormat="0" applyAlignment="0" applyProtection="0"/>
    <xf numFmtId="0" fontId="6" fillId="23" borderId="346" applyNumberFormat="0" applyFont="0" applyAlignment="0" applyProtection="0"/>
    <xf numFmtId="0" fontId="6" fillId="23" borderId="346" applyNumberFormat="0" applyFont="0" applyAlignment="0" applyProtection="0"/>
    <xf numFmtId="0" fontId="6" fillId="23" borderId="346" applyNumberFormat="0" applyFont="0" applyAlignment="0" applyProtection="0"/>
    <xf numFmtId="0" fontId="6" fillId="23" borderId="346" applyNumberFormat="0" applyFont="0" applyAlignment="0" applyProtection="0"/>
    <xf numFmtId="0" fontId="6" fillId="23" borderId="346" applyNumberFormat="0" applyFont="0" applyAlignment="0" applyProtection="0"/>
    <xf numFmtId="0" fontId="6" fillId="23" borderId="346" applyNumberFormat="0" applyFont="0" applyAlignment="0" applyProtection="0"/>
    <xf numFmtId="0" fontId="6" fillId="23" borderId="346" applyNumberFormat="0" applyFont="0" applyAlignment="0" applyProtection="0"/>
    <xf numFmtId="0" fontId="6" fillId="23" borderId="346" applyNumberFormat="0" applyFont="0" applyAlignment="0" applyProtection="0"/>
    <xf numFmtId="0" fontId="6" fillId="23" borderId="350" applyNumberFormat="0" applyFont="0" applyAlignment="0" applyProtection="0"/>
    <xf numFmtId="0" fontId="80" fillId="0" borderId="353" applyNumberFormat="0" applyFill="0" applyAlignment="0" applyProtection="0"/>
    <xf numFmtId="0" fontId="33" fillId="57" borderId="351" applyNumberFormat="0" applyAlignment="0" applyProtection="0"/>
    <xf numFmtId="0" fontId="73" fillId="57" borderId="348" applyNumberFormat="0" applyAlignment="0" applyProtection="0"/>
    <xf numFmtId="0" fontId="22" fillId="59" borderId="339"/>
    <xf numFmtId="0" fontId="22" fillId="0" borderId="339" applyNumberFormat="0" applyFill="0" applyAlignment="0" applyProtection="0"/>
    <xf numFmtId="0" fontId="33" fillId="57" borderId="351" applyNumberFormat="0" applyAlignment="0" applyProtection="0"/>
    <xf numFmtId="0" fontId="22" fillId="0" borderId="339">
      <alignment horizontal="right" vertical="center"/>
    </xf>
    <xf numFmtId="0" fontId="22" fillId="58" borderId="257">
      <alignment horizontal="left" vertical="center" wrapText="1" indent="2"/>
    </xf>
    <xf numFmtId="0" fontId="81" fillId="58" borderId="341">
      <alignment horizontal="right" vertical="center"/>
    </xf>
    <xf numFmtId="0" fontId="81" fillId="58" borderId="339">
      <alignment horizontal="right" vertical="center"/>
    </xf>
    <xf numFmtId="0" fontId="81" fillId="58" borderId="339">
      <alignment horizontal="right" vertical="center"/>
    </xf>
    <xf numFmtId="0" fontId="128" fillId="36" borderId="339">
      <alignment horizontal="right" vertical="center"/>
    </xf>
    <xf numFmtId="0" fontId="81" fillId="36" borderId="339">
      <alignment horizontal="right" vertical="center"/>
    </xf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32" fillId="24" borderId="344" applyNumberFormat="0" applyAlignment="0" applyProtection="0"/>
    <xf numFmtId="0" fontId="5" fillId="9" borderId="355">
      <alignment horizontal="center" vertical="center" wrapText="1"/>
    </xf>
    <xf numFmtId="0" fontId="23" fillId="23" borderId="346" applyNumberFormat="0" applyFont="0" applyAlignment="0" applyProtection="0"/>
    <xf numFmtId="0" fontId="80" fillId="0" borderId="353" applyNumberFormat="0" applyFill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6" fillId="23" borderId="350" applyNumberFormat="0" applyFont="0" applyAlignment="0" applyProtection="0"/>
    <xf numFmtId="0" fontId="33" fillId="57" borderId="351" applyNumberFormat="0" applyAlignment="0" applyProtection="0"/>
    <xf numFmtId="0" fontId="80" fillId="0" borderId="353" applyNumberFormat="0" applyFill="0" applyAlignment="0" applyProtection="0"/>
    <xf numFmtId="0" fontId="6" fillId="23" borderId="350" applyNumberFormat="0" applyFont="0" applyAlignment="0" applyProtection="0"/>
    <xf numFmtId="0" fontId="33" fillId="57" borderId="351" applyNumberFormat="0" applyAlignment="0" applyProtection="0"/>
    <xf numFmtId="0" fontId="80" fillId="0" borderId="353" applyNumberFormat="0" applyFill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80" fillId="0" borderId="353" applyNumberFormat="0" applyFill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32" fillId="24" borderId="348" applyNumberFormat="0" applyAlignment="0" applyProtection="0"/>
    <xf numFmtId="0" fontId="33" fillId="26" borderId="351" applyNumberForma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33" fillId="57" borderId="351" applyNumberFormat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80" fillId="0" borderId="353" applyNumberFormat="0" applyFill="0" applyAlignment="0" applyProtection="0"/>
    <xf numFmtId="0" fontId="33" fillId="57" borderId="351" applyNumberFormat="0" applyAlignment="0" applyProtection="0"/>
    <xf numFmtId="0" fontId="6" fillId="23" borderId="350" applyNumberFormat="0" applyFont="0" applyAlignment="0" applyProtection="0"/>
    <xf numFmtId="0" fontId="80" fillId="0" borderId="353" applyNumberFormat="0" applyFill="0" applyAlignment="0" applyProtection="0"/>
    <xf numFmtId="49" fontId="6" fillId="62" borderId="345">
      <alignment vertical="top" wrapText="1"/>
    </xf>
    <xf numFmtId="0" fontId="32" fillId="24" borderId="344" applyNumberFormat="0" applyAlignment="0" applyProtection="0"/>
    <xf numFmtId="0" fontId="32" fillId="24" borderId="344" applyNumberFormat="0" applyAlignment="0" applyProtection="0"/>
    <xf numFmtId="0" fontId="33" fillId="57" borderId="351" applyNumberFormat="0" applyAlignment="0" applyProtection="0"/>
    <xf numFmtId="0" fontId="32" fillId="27" borderId="348" applyNumberFormat="0" applyAlignment="0" applyProtection="0"/>
    <xf numFmtId="0" fontId="33" fillId="57" borderId="351" applyNumberFormat="0" applyAlignment="0" applyProtection="0"/>
    <xf numFmtId="0" fontId="32" fillId="24" borderId="348" applyNumberFormat="0" applyAlignment="0" applyProtection="0"/>
    <xf numFmtId="0" fontId="6" fillId="23" borderId="350" applyNumberFormat="0" applyFont="0" applyAlignment="0" applyProtection="0"/>
    <xf numFmtId="0" fontId="33" fillId="57" borderId="351" applyNumberFormat="0" applyAlignment="0" applyProtection="0"/>
    <xf numFmtId="0" fontId="80" fillId="0" borderId="353" applyNumberFormat="0" applyFill="0" applyAlignment="0" applyProtection="0"/>
    <xf numFmtId="0" fontId="33" fillId="57" borderId="351" applyNumberFormat="0" applyAlignment="0" applyProtection="0"/>
    <xf numFmtId="0" fontId="80" fillId="0" borderId="353" applyNumberFormat="0" applyFill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32" fillId="24" borderId="348" applyNumberFormat="0" applyAlignment="0" applyProtection="0"/>
    <xf numFmtId="0" fontId="6" fillId="9" borderId="355">
      <alignment horizontal="center" vertical="center" wrapText="1"/>
    </xf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6" fillId="23" borderId="350" applyNumberFormat="0" applyFont="0" applyAlignment="0" applyProtection="0"/>
    <xf numFmtId="0" fontId="32" fillId="24" borderId="348" applyNumberForma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80" fillId="0" borderId="353" applyNumberFormat="0" applyFill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80" fillId="0" borderId="353" applyNumberFormat="0" applyFill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33" fillId="57" borderId="351" applyNumberFormat="0" applyAlignment="0" applyProtection="0"/>
    <xf numFmtId="0" fontId="33" fillId="26" borderId="351" applyNumberFormat="0" applyAlignment="0" applyProtection="0"/>
    <xf numFmtId="0" fontId="33" fillId="26" borderId="351" applyNumberFormat="0" applyAlignment="0" applyProtection="0"/>
    <xf numFmtId="0" fontId="32" fillId="24" borderId="348" applyNumberFormat="0" applyAlignment="0" applyProtection="0"/>
    <xf numFmtId="0" fontId="53" fillId="24" borderId="348" applyNumberFormat="0" applyAlignment="0" applyProtection="0"/>
    <xf numFmtId="0" fontId="6" fillId="23" borderId="350" applyNumberFormat="0" applyFont="0" applyAlignment="0" applyProtection="0"/>
    <xf numFmtId="0" fontId="33" fillId="57" borderId="351" applyNumberFormat="0" applyAlignment="0" applyProtection="0"/>
    <xf numFmtId="0" fontId="80" fillId="0" borderId="353" applyNumberFormat="0" applyFill="0" applyAlignment="0" applyProtection="0"/>
    <xf numFmtId="172" fontId="92" fillId="64" borderId="352">
      <alignment vertical="center"/>
    </xf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6" fillId="23" borderId="350" applyNumberFormat="0" applyFont="0" applyAlignment="0" applyProtection="0"/>
    <xf numFmtId="0" fontId="33" fillId="57" borderId="336" applyNumberFormat="0" applyAlignment="0" applyProtection="0"/>
    <xf numFmtId="0" fontId="80" fillId="0" borderId="342" applyNumberFormat="0" applyFill="0" applyAlignment="0" applyProtection="0"/>
    <xf numFmtId="0" fontId="80" fillId="0" borderId="342" applyNumberFormat="0" applyFill="0" applyAlignment="0" applyProtection="0"/>
    <xf numFmtId="0" fontId="80" fillId="0" borderId="342" applyNumberFormat="0" applyFill="0" applyAlignment="0" applyProtection="0"/>
    <xf numFmtId="0" fontId="80" fillId="0" borderId="342" applyNumberFormat="0" applyFill="0" applyAlignment="0" applyProtection="0"/>
    <xf numFmtId="0" fontId="80" fillId="0" borderId="342" applyNumberFormat="0" applyFill="0" applyAlignment="0" applyProtection="0"/>
    <xf numFmtId="0" fontId="80" fillId="0" borderId="342" applyNumberFormat="0" applyFill="0" applyAlignment="0" applyProtection="0"/>
    <xf numFmtId="0" fontId="80" fillId="0" borderId="342" applyNumberFormat="0" applyFill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49" fontId="22" fillId="0" borderId="335" applyNumberFormat="0" applyFont="0" applyFill="0" applyBorder="0" applyProtection="0">
      <alignment horizontal="left" vertical="center" indent="2"/>
    </xf>
    <xf numFmtId="0" fontId="33" fillId="57" borderId="336" applyNumberFormat="0" applyAlignment="0" applyProtection="0"/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5" fillId="60" borderId="335" applyNumberFormat="0" applyProtection="0">
      <alignment horizontal="left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22" fillId="0" borderId="335" applyNumberFormat="0" applyFill="0" applyAlignment="0" applyProtection="0"/>
    <xf numFmtId="0" fontId="81" fillId="58" borderId="341">
      <alignment horizontal="right" vertical="center"/>
    </xf>
    <xf numFmtId="0" fontId="81" fillId="58" borderId="335">
      <alignment horizontal="right" vertical="center"/>
    </xf>
    <xf numFmtId="0" fontId="81" fillId="36" borderId="335">
      <alignment horizontal="right" vertical="center"/>
    </xf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6" fillId="23" borderId="350" applyNumberFormat="0" applyFont="0" applyAlignment="0" applyProtection="0"/>
    <xf numFmtId="0" fontId="80" fillId="0" borderId="357" applyNumberFormat="0" applyFill="0" applyAlignment="0" applyProtection="0"/>
    <xf numFmtId="0" fontId="6" fillId="23" borderId="350" applyNumberFormat="0" applyFont="0" applyAlignment="0" applyProtection="0"/>
    <xf numFmtId="0" fontId="80" fillId="0" borderId="353" applyNumberFormat="0" applyFill="0" applyAlignment="0" applyProtection="0"/>
    <xf numFmtId="0" fontId="6" fillId="23" borderId="350" applyNumberFormat="0" applyFont="0" applyAlignment="0" applyProtection="0"/>
    <xf numFmtId="0" fontId="33" fillId="57" borderId="351" applyNumberForma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80" fillId="0" borderId="353" applyNumberFormat="0" applyFill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5" fillId="60" borderId="354" applyNumberFormat="0" applyProtection="0">
      <alignment horizontal="right"/>
    </xf>
    <xf numFmtId="0" fontId="33" fillId="57" borderId="351" applyNumberFormat="0" applyAlignment="0" applyProtection="0"/>
    <xf numFmtId="0" fontId="6" fillId="12" borderId="358">
      <alignment horizontal="center" vertical="center" wrapText="1"/>
    </xf>
    <xf numFmtId="0" fontId="6" fillId="0" borderId="339" applyNumberFormat="0" applyFill="0" applyProtection="0">
      <alignment horizontal="right"/>
    </xf>
    <xf numFmtId="0" fontId="6" fillId="0" borderId="339" applyNumberFormat="0" applyFill="0" applyProtection="0">
      <alignment horizontal="right"/>
    </xf>
    <xf numFmtId="0" fontId="5" fillId="60" borderId="339" applyNumberFormat="0" applyProtection="0">
      <alignment horizontal="left"/>
    </xf>
    <xf numFmtId="0" fontId="5" fillId="60" borderId="339" applyNumberFormat="0" applyProtection="0">
      <alignment horizontal="right"/>
    </xf>
    <xf numFmtId="0" fontId="6" fillId="0" borderId="339" applyNumberFormat="0" applyFill="0" applyProtection="0">
      <alignment horizontal="right"/>
    </xf>
    <xf numFmtId="0" fontId="6" fillId="0" borderId="339" applyNumberFormat="0" applyFill="0" applyProtection="0">
      <alignment horizontal="right"/>
    </xf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80" fillId="0" borderId="353" applyNumberFormat="0" applyFill="0" applyAlignment="0" applyProtection="0"/>
    <xf numFmtId="0" fontId="32" fillId="24" borderId="348" applyNumberForma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80" fillId="0" borderId="353" applyNumberFormat="0" applyFill="0" applyAlignment="0" applyProtection="0"/>
    <xf numFmtId="0" fontId="33" fillId="57" borderId="351" applyNumberFormat="0" applyAlignment="0" applyProtection="0"/>
    <xf numFmtId="0" fontId="80" fillId="0" borderId="353" applyNumberFormat="0" applyFill="0" applyAlignment="0" applyProtection="0"/>
    <xf numFmtId="0" fontId="22" fillId="0" borderId="354">
      <alignment horizontal="right" vertical="center"/>
    </xf>
    <xf numFmtId="0" fontId="33" fillId="57" borderId="351" applyNumberFormat="0" applyAlignment="0" applyProtection="0"/>
    <xf numFmtId="0" fontId="80" fillId="0" borderId="353" applyNumberFormat="0" applyFill="0" applyAlignment="0" applyProtection="0"/>
    <xf numFmtId="0" fontId="33" fillId="57" borderId="351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32" fillId="24" borderId="348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23" fillId="23" borderId="350" applyNumberFormat="0" applyFont="0" applyAlignment="0" applyProtection="0"/>
    <xf numFmtId="0" fontId="33" fillId="57" borderId="351" applyNumberFormat="0" applyAlignment="0" applyProtection="0"/>
    <xf numFmtId="0" fontId="32" fillId="24" borderId="344" applyNumberFormat="0" applyAlignment="0" applyProtection="0"/>
    <xf numFmtId="0" fontId="32" fillId="24" borderId="344" applyNumberFormat="0" applyAlignment="0" applyProtection="0"/>
    <xf numFmtId="0" fontId="32" fillId="24" borderId="344" applyNumberFormat="0" applyAlignment="0" applyProtection="0"/>
    <xf numFmtId="0" fontId="6" fillId="23" borderId="346" applyNumberFormat="0" applyFon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80" fillId="0" borderId="353" applyNumberFormat="0" applyFill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80" fillId="0" borderId="353" applyNumberFormat="0" applyFill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80" fillId="0" borderId="353" applyNumberFormat="0" applyFill="0" applyAlignment="0" applyProtection="0"/>
    <xf numFmtId="177" fontId="93" fillId="64" borderId="352">
      <alignment vertical="center"/>
    </xf>
    <xf numFmtId="0" fontId="33" fillId="57" borderId="351" applyNumberFormat="0" applyAlignment="0" applyProtection="0"/>
    <xf numFmtId="0" fontId="73" fillId="57" borderId="159" applyNumberFormat="0" applyAlignment="0" applyProtection="0"/>
    <xf numFmtId="0" fontId="81" fillId="58" borderId="354">
      <alignment horizontal="right" vertical="center"/>
    </xf>
    <xf numFmtId="0" fontId="32" fillId="27" borderId="344" applyNumberFormat="0" applyAlignment="0" applyProtection="0"/>
    <xf numFmtId="0" fontId="32" fillId="27" borderId="344" applyNumberFormat="0" applyAlignment="0" applyProtection="0"/>
    <xf numFmtId="0" fontId="32" fillId="27" borderId="344" applyNumberFormat="0" applyAlignment="0" applyProtection="0"/>
    <xf numFmtId="0" fontId="32" fillId="27" borderId="344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6" fillId="0" borderId="0"/>
    <xf numFmtId="0" fontId="36" fillId="26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3" fillId="57" borderId="351" applyNumberFormat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73" fillId="57" borderId="348" applyNumberFormat="0" applyAlignment="0" applyProtection="0"/>
    <xf numFmtId="0" fontId="32" fillId="24" borderId="348" applyNumberFormat="0" applyAlignment="0" applyProtection="0"/>
    <xf numFmtId="0" fontId="80" fillId="0" borderId="353" applyNumberFormat="0" applyFill="0" applyAlignment="0" applyProtection="0"/>
    <xf numFmtId="0" fontId="32" fillId="24" borderId="348" applyNumberFormat="0" applyAlignment="0" applyProtection="0"/>
    <xf numFmtId="172" fontId="94" fillId="65" borderId="352">
      <alignment vertical="center"/>
    </xf>
    <xf numFmtId="0" fontId="80" fillId="0" borderId="353" applyNumberFormat="0" applyFill="0" applyAlignment="0" applyProtection="0"/>
    <xf numFmtId="0" fontId="32" fillId="24" borderId="348" applyNumberFormat="0" applyAlignment="0" applyProtection="0"/>
    <xf numFmtId="0" fontId="80" fillId="0" borderId="353" applyNumberFormat="0" applyFill="0" applyAlignment="0" applyProtection="0"/>
    <xf numFmtId="0" fontId="33" fillId="57" borderId="351" applyNumberFormat="0" applyAlignment="0" applyProtection="0"/>
    <xf numFmtId="0" fontId="80" fillId="0" borderId="353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6" fillId="23" borderId="346" applyNumberFormat="0" applyFont="0" applyAlignment="0" applyProtection="0"/>
    <xf numFmtId="0" fontId="6" fillId="23" borderId="346" applyNumberFormat="0" applyFont="0" applyAlignment="0" applyProtection="0"/>
    <xf numFmtId="0" fontId="6" fillId="23" borderId="346" applyNumberFormat="0" applyFont="0" applyAlignment="0" applyProtection="0"/>
    <xf numFmtId="0" fontId="6" fillId="23" borderId="346" applyNumberFormat="0" applyFont="0" applyAlignment="0" applyProtection="0"/>
    <xf numFmtId="0" fontId="6" fillId="23" borderId="346" applyNumberFormat="0" applyFont="0" applyAlignment="0" applyProtection="0"/>
    <xf numFmtId="0" fontId="6" fillId="23" borderId="346" applyNumberFormat="0" applyFont="0" applyAlignment="0" applyProtection="0"/>
    <xf numFmtId="0" fontId="6" fillId="23" borderId="346" applyNumberFormat="0" applyFont="0" applyAlignment="0" applyProtection="0"/>
    <xf numFmtId="0" fontId="6" fillId="23" borderId="346" applyNumberFormat="0" applyFont="0" applyAlignment="0" applyProtection="0"/>
    <xf numFmtId="0" fontId="6" fillId="23" borderId="346" applyNumberFormat="0" applyFont="0" applyAlignment="0" applyProtection="0"/>
    <xf numFmtId="0" fontId="6" fillId="23" borderId="346" applyNumberFormat="0" applyFont="0" applyAlignment="0" applyProtection="0"/>
    <xf numFmtId="0" fontId="6" fillId="23" borderId="346" applyNumberFormat="0" applyFont="0" applyAlignment="0" applyProtection="0"/>
    <xf numFmtId="0" fontId="6" fillId="23" borderId="346" applyNumberFormat="0" applyFont="0" applyAlignment="0" applyProtection="0"/>
    <xf numFmtId="0" fontId="6" fillId="23" borderId="346" applyNumberFormat="0" applyFont="0" applyAlignment="0" applyProtection="0"/>
    <xf numFmtId="0" fontId="6" fillId="23" borderId="346" applyNumberFormat="0" applyFont="0" applyAlignment="0" applyProtection="0"/>
    <xf numFmtId="0" fontId="80" fillId="0" borderId="357" applyNumberFormat="0" applyFill="0" applyAlignment="0" applyProtection="0"/>
    <xf numFmtId="0" fontId="32" fillId="24" borderId="348" applyNumberFormat="0" applyAlignment="0" applyProtection="0"/>
    <xf numFmtId="0" fontId="6" fillId="23" borderId="350" applyNumberFormat="0" applyFon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4" fontId="22" fillId="0" borderId="330" applyFill="0" applyBorder="0" applyProtection="0">
      <alignment horizontal="right" vertical="center"/>
    </xf>
    <xf numFmtId="4" fontId="22" fillId="0" borderId="330" applyFill="0" applyBorder="0" applyProtection="0">
      <alignment horizontal="right" vertical="center"/>
    </xf>
    <xf numFmtId="4" fontId="22" fillId="0" borderId="330" applyFill="0" applyBorder="0" applyProtection="0">
      <alignment horizontal="right" vertical="center"/>
    </xf>
    <xf numFmtId="0" fontId="32" fillId="24" borderId="348" applyNumberFormat="0" applyAlignment="0" applyProtection="0"/>
    <xf numFmtId="0" fontId="23" fillId="23" borderId="346" applyNumberFormat="0" applyFont="0" applyAlignment="0" applyProtection="0"/>
    <xf numFmtId="0" fontId="23" fillId="23" borderId="346" applyNumberFormat="0" applyFont="0" applyAlignment="0" applyProtection="0"/>
    <xf numFmtId="0" fontId="32" fillId="27" borderId="348" applyNumberFormat="0" applyAlignment="0" applyProtection="0"/>
    <xf numFmtId="0" fontId="33" fillId="26" borderId="351" applyNumberFormat="0" applyAlignment="0" applyProtection="0"/>
    <xf numFmtId="0" fontId="80" fillId="0" borderId="357" applyNumberFormat="0" applyFill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6" fillId="12" borderId="358">
      <alignment horizontal="center" vertical="center" wrapText="1"/>
    </xf>
    <xf numFmtId="0" fontId="23" fillId="23" borderId="350" applyNumberFormat="0" applyFont="0" applyAlignment="0" applyProtection="0"/>
    <xf numFmtId="0" fontId="32" fillId="27" borderId="348" applyNumberFormat="0" applyAlignment="0" applyProtection="0"/>
    <xf numFmtId="0" fontId="6" fillId="12" borderId="358">
      <alignment horizontal="center" vertical="center" wrapText="1"/>
    </xf>
    <xf numFmtId="0" fontId="73" fillId="57" borderId="348" applyNumberFormat="0" applyAlignment="0" applyProtection="0"/>
    <xf numFmtId="0" fontId="73" fillId="57" borderId="348" applyNumberFormat="0" applyAlignment="0" applyProtection="0"/>
    <xf numFmtId="172" fontId="94" fillId="65" borderId="352">
      <alignment vertical="center"/>
    </xf>
    <xf numFmtId="0" fontId="80" fillId="0" borderId="353" applyNumberFormat="0" applyFill="0" applyAlignment="0" applyProtection="0"/>
    <xf numFmtId="0" fontId="6" fillId="0" borderId="330" applyNumberFormat="0" applyFill="0" applyProtection="0">
      <alignment horizontal="right"/>
    </xf>
    <xf numFmtId="0" fontId="6" fillId="0" borderId="330" applyNumberFormat="0" applyFill="0" applyProtection="0">
      <alignment horizontal="right"/>
    </xf>
    <xf numFmtId="0" fontId="6" fillId="0" borderId="330" applyNumberFormat="0" applyFill="0" applyProtection="0">
      <alignment horizontal="right"/>
    </xf>
    <xf numFmtId="0" fontId="6" fillId="0" borderId="330" applyNumberFormat="0" applyFill="0" applyProtection="0">
      <alignment horizontal="right"/>
    </xf>
    <xf numFmtId="0" fontId="6" fillId="0" borderId="330" applyNumberFormat="0" applyFill="0" applyProtection="0">
      <alignment horizontal="right"/>
    </xf>
    <xf numFmtId="0" fontId="6" fillId="0" borderId="330" applyNumberFormat="0" applyFill="0" applyProtection="0">
      <alignment horizontal="right"/>
    </xf>
    <xf numFmtId="0" fontId="5" fillId="60" borderId="330" applyNumberFormat="0" applyProtection="0">
      <alignment horizontal="right"/>
    </xf>
    <xf numFmtId="0" fontId="5" fillId="60" borderId="330" applyNumberFormat="0" applyProtection="0">
      <alignment horizontal="right"/>
    </xf>
    <xf numFmtId="0" fontId="5" fillId="60" borderId="330" applyNumberFormat="0" applyProtection="0">
      <alignment horizontal="right"/>
    </xf>
    <xf numFmtId="0" fontId="5" fillId="60" borderId="330" applyNumberFormat="0" applyProtection="0">
      <alignment horizontal="left"/>
    </xf>
    <xf numFmtId="0" fontId="5" fillId="60" borderId="330" applyNumberFormat="0" applyProtection="0">
      <alignment horizontal="left"/>
    </xf>
    <xf numFmtId="0" fontId="5" fillId="60" borderId="330" applyNumberFormat="0" applyProtection="0">
      <alignment horizontal="left"/>
    </xf>
    <xf numFmtId="0" fontId="6" fillId="0" borderId="330" applyNumberFormat="0" applyFill="0" applyProtection="0">
      <alignment horizontal="right"/>
    </xf>
    <xf numFmtId="0" fontId="6" fillId="0" borderId="330" applyNumberFormat="0" applyFill="0" applyProtection="0">
      <alignment horizontal="right"/>
    </xf>
    <xf numFmtId="0" fontId="6" fillId="0" borderId="330" applyNumberFormat="0" applyFill="0" applyProtection="0">
      <alignment horizontal="right"/>
    </xf>
    <xf numFmtId="0" fontId="6" fillId="0" borderId="330" applyNumberFormat="0" applyFill="0" applyProtection="0">
      <alignment horizontal="right"/>
    </xf>
    <xf numFmtId="0" fontId="6" fillId="0" borderId="330" applyNumberFormat="0" applyFill="0" applyProtection="0">
      <alignment horizontal="right"/>
    </xf>
    <xf numFmtId="0" fontId="6" fillId="0" borderId="330" applyNumberFormat="0" applyFill="0" applyProtection="0">
      <alignment horizontal="right"/>
    </xf>
    <xf numFmtId="0" fontId="6" fillId="66" borderId="331" applyBorder="0">
      <alignment horizontal="left" vertical="center"/>
    </xf>
    <xf numFmtId="49" fontId="6" fillId="67" borderId="330">
      <alignment vertical="center" wrapText="1"/>
    </xf>
    <xf numFmtId="0" fontId="6" fillId="68" borderId="329">
      <alignment horizontal="left" vertical="center" wrapText="1"/>
    </xf>
    <xf numFmtId="0" fontId="11" fillId="69" borderId="330">
      <alignment horizontal="left" vertical="center" wrapText="1"/>
    </xf>
    <xf numFmtId="0" fontId="6" fillId="70" borderId="330">
      <alignment horizontal="left" vertical="center" wrapText="1"/>
    </xf>
    <xf numFmtId="0" fontId="6" fillId="71" borderId="330">
      <alignment horizontal="left" vertical="center" wrapText="1"/>
    </xf>
    <xf numFmtId="0" fontId="73" fillId="57" borderId="348" applyNumberFormat="0" applyAlignment="0" applyProtection="0"/>
    <xf numFmtId="0" fontId="32" fillId="24" borderId="348" applyNumberFormat="0" applyAlignment="0" applyProtection="0"/>
    <xf numFmtId="0" fontId="33" fillId="57" borderId="351" applyNumberFormat="0" applyAlignment="0" applyProtection="0"/>
    <xf numFmtId="0" fontId="32" fillId="24" borderId="348" applyNumberForma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6" fillId="23" borderId="350" applyNumberFormat="0" applyFont="0" applyAlignment="0" applyProtection="0"/>
    <xf numFmtId="0" fontId="36" fillId="26" borderId="344" applyNumberFormat="0" applyAlignment="0" applyProtection="0"/>
    <xf numFmtId="0" fontId="36" fillId="26" borderId="344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32" fillId="27" borderId="344" applyNumberFormat="0" applyAlignment="0" applyProtection="0"/>
    <xf numFmtId="0" fontId="32" fillId="27" borderId="344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6" fillId="23" borderId="346" applyNumberFormat="0" applyFont="0" applyAlignment="0" applyProtection="0"/>
    <xf numFmtId="0" fontId="80" fillId="0" borderId="353" applyNumberFormat="0" applyFill="0" applyAlignment="0" applyProtection="0"/>
    <xf numFmtId="0" fontId="33" fillId="57" borderId="351" applyNumberFormat="0" applyAlignment="0" applyProtection="0"/>
    <xf numFmtId="0" fontId="62" fillId="57" borderId="351" applyNumberFormat="0" applyAlignment="0" applyProtection="0"/>
    <xf numFmtId="0" fontId="80" fillId="0" borderId="353" applyNumberFormat="0" applyFill="0" applyAlignment="0" applyProtection="0"/>
    <xf numFmtId="0" fontId="6" fillId="23" borderId="346" applyNumberFormat="0" applyFont="0" applyAlignment="0" applyProtection="0"/>
    <xf numFmtId="0" fontId="6" fillId="23" borderId="346" applyNumberFormat="0" applyFont="0" applyAlignment="0" applyProtection="0"/>
    <xf numFmtId="0" fontId="6" fillId="23" borderId="346" applyNumberFormat="0" applyFont="0" applyAlignment="0" applyProtection="0"/>
    <xf numFmtId="0" fontId="33" fillId="57" borderId="351" applyNumberFormat="0" applyAlignment="0" applyProtection="0"/>
    <xf numFmtId="0" fontId="73" fillId="57" borderId="348" applyNumberFormat="0" applyAlignment="0" applyProtection="0"/>
    <xf numFmtId="0" fontId="6" fillId="23" borderId="350" applyNumberFormat="0" applyFont="0" applyAlignment="0" applyProtection="0"/>
    <xf numFmtId="0" fontId="73" fillId="57" borderId="348" applyNumberFormat="0" applyAlignment="0" applyProtection="0"/>
    <xf numFmtId="0" fontId="32" fillId="24" borderId="344" applyNumberFormat="0" applyAlignment="0" applyProtection="0"/>
    <xf numFmtId="0" fontId="6" fillId="23" borderId="346" applyNumberFormat="0" applyFont="0" applyAlignment="0" applyProtection="0"/>
    <xf numFmtId="0" fontId="6" fillId="23" borderId="346" applyNumberFormat="0" applyFont="0" applyAlignment="0" applyProtection="0"/>
    <xf numFmtId="0" fontId="6" fillId="23" borderId="350" applyNumberFormat="0" applyFont="0" applyAlignment="0" applyProtection="0"/>
    <xf numFmtId="0" fontId="32" fillId="24" borderId="344" applyNumberFormat="0" applyAlignment="0" applyProtection="0"/>
    <xf numFmtId="0" fontId="6" fillId="23" borderId="346" applyNumberFormat="0" applyFont="0" applyAlignment="0" applyProtection="0"/>
    <xf numFmtId="0" fontId="6" fillId="23" borderId="346" applyNumberFormat="0" applyFont="0" applyAlignment="0" applyProtection="0"/>
    <xf numFmtId="0" fontId="6" fillId="23" borderId="346" applyNumberFormat="0" applyFont="0" applyAlignment="0" applyProtection="0"/>
    <xf numFmtId="0" fontId="6" fillId="23" borderId="346" applyNumberFormat="0" applyFon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32" fillId="24" borderId="344" applyNumberFormat="0" applyAlignment="0" applyProtection="0"/>
    <xf numFmtId="0" fontId="32" fillId="24" borderId="344" applyNumberFormat="0" applyAlignment="0" applyProtection="0"/>
    <xf numFmtId="0" fontId="80" fillId="0" borderId="357" applyNumberFormat="0" applyFill="0" applyAlignment="0" applyProtection="0"/>
    <xf numFmtId="0" fontId="6" fillId="0" borderId="0"/>
    <xf numFmtId="0" fontId="32" fillId="24" borderId="348" applyNumberFormat="0" applyAlignment="0" applyProtection="0"/>
    <xf numFmtId="0" fontId="6" fillId="23" borderId="346" applyNumberFormat="0" applyFont="0" applyAlignment="0" applyProtection="0"/>
    <xf numFmtId="0" fontId="6" fillId="23" borderId="346" applyNumberFormat="0" applyFont="0" applyAlignment="0" applyProtection="0"/>
    <xf numFmtId="0" fontId="6" fillId="23" borderId="346" applyNumberFormat="0" applyFont="0" applyAlignment="0" applyProtection="0"/>
    <xf numFmtId="0" fontId="73" fillId="57" borderId="348" applyNumberFormat="0" applyAlignment="0" applyProtection="0"/>
    <xf numFmtId="0" fontId="32" fillId="24" borderId="348" applyNumberFormat="0" applyAlignment="0" applyProtection="0"/>
    <xf numFmtId="0" fontId="80" fillId="0" borderId="342" applyNumberFormat="0" applyFill="0" applyAlignment="0" applyProtection="0"/>
    <xf numFmtId="0" fontId="80" fillId="0" borderId="342" applyNumberFormat="0" applyFill="0" applyAlignment="0" applyProtection="0"/>
    <xf numFmtId="0" fontId="80" fillId="0" borderId="342" applyNumberFormat="0" applyFill="0" applyAlignment="0" applyProtection="0"/>
    <xf numFmtId="0" fontId="80" fillId="0" borderId="342" applyNumberFormat="0" applyFill="0" applyAlignment="0" applyProtection="0"/>
    <xf numFmtId="0" fontId="80" fillId="0" borderId="342" applyNumberFormat="0" applyFill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73" fillId="57" borderId="348" applyNumberFormat="0" applyAlignment="0" applyProtection="0"/>
    <xf numFmtId="0" fontId="6" fillId="23" borderId="350" applyNumberFormat="0" applyFon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33" fillId="26" borderId="336" applyNumberFormat="0" applyAlignment="0" applyProtection="0"/>
    <xf numFmtId="0" fontId="33" fillId="26" borderId="336" applyNumberFormat="0" applyAlignment="0" applyProtection="0"/>
    <xf numFmtId="0" fontId="33" fillId="26" borderId="336" applyNumberFormat="0" applyAlignment="0" applyProtection="0"/>
    <xf numFmtId="0" fontId="33" fillId="26" borderId="336" applyNumberFormat="0" applyAlignment="0" applyProtection="0"/>
    <xf numFmtId="0" fontId="6" fillId="23" borderId="165" applyNumberFormat="0" applyFont="0" applyAlignment="0" applyProtection="0"/>
    <xf numFmtId="0" fontId="32" fillId="24" borderId="344" applyNumberFormat="0" applyAlignment="0" applyProtection="0"/>
    <xf numFmtId="0" fontId="32" fillId="24" borderId="344" applyNumberFormat="0" applyAlignment="0" applyProtection="0"/>
    <xf numFmtId="0" fontId="32" fillId="24" borderId="344" applyNumberFormat="0" applyAlignment="0" applyProtection="0"/>
    <xf numFmtId="0" fontId="32" fillId="24" borderId="344" applyNumberFormat="0" applyAlignment="0" applyProtection="0"/>
    <xf numFmtId="0" fontId="32" fillId="24" borderId="344" applyNumberFormat="0" applyAlignment="0" applyProtection="0"/>
    <xf numFmtId="0" fontId="32" fillId="24" borderId="344" applyNumberFormat="0" applyAlignment="0" applyProtection="0"/>
    <xf numFmtId="0" fontId="32" fillId="24" borderId="344" applyNumberFormat="0" applyAlignment="0" applyProtection="0"/>
    <xf numFmtId="0" fontId="32" fillId="24" borderId="344" applyNumberFormat="0" applyAlignment="0" applyProtection="0"/>
    <xf numFmtId="0" fontId="32" fillId="24" borderId="344" applyNumberFormat="0" applyAlignment="0" applyProtection="0"/>
    <xf numFmtId="0" fontId="32" fillId="24" borderId="344" applyNumberFormat="0" applyAlignment="0" applyProtection="0"/>
    <xf numFmtId="0" fontId="32" fillId="24" borderId="344" applyNumberFormat="0" applyAlignment="0" applyProtection="0"/>
    <xf numFmtId="0" fontId="32" fillId="24" borderId="344" applyNumberFormat="0" applyAlignment="0" applyProtection="0"/>
    <xf numFmtId="0" fontId="32" fillId="24" borderId="344" applyNumberFormat="0" applyAlignment="0" applyProtection="0"/>
    <xf numFmtId="0" fontId="32" fillId="24" borderId="344" applyNumberFormat="0" applyAlignment="0" applyProtection="0"/>
    <xf numFmtId="0" fontId="32" fillId="24" borderId="344" applyNumberFormat="0" applyAlignment="0" applyProtection="0"/>
    <xf numFmtId="0" fontId="32" fillId="24" borderId="344" applyNumberFormat="0" applyAlignment="0" applyProtection="0"/>
    <xf numFmtId="0" fontId="32" fillId="24" borderId="344" applyNumberFormat="0" applyAlignment="0" applyProtection="0"/>
    <xf numFmtId="0" fontId="32" fillId="24" borderId="344" applyNumberFormat="0" applyAlignment="0" applyProtection="0"/>
    <xf numFmtId="0" fontId="32" fillId="24" borderId="344" applyNumberFormat="0" applyAlignment="0" applyProtection="0"/>
    <xf numFmtId="0" fontId="32" fillId="24" borderId="344" applyNumberFormat="0" applyAlignment="0" applyProtection="0"/>
    <xf numFmtId="0" fontId="32" fillId="24" borderId="344" applyNumberFormat="0" applyAlignment="0" applyProtection="0"/>
    <xf numFmtId="0" fontId="32" fillId="24" borderId="344" applyNumberFormat="0" applyAlignment="0" applyProtection="0"/>
    <xf numFmtId="0" fontId="32" fillId="24" borderId="344" applyNumberFormat="0" applyAlignment="0" applyProtection="0"/>
    <xf numFmtId="0" fontId="32" fillId="24" borderId="344" applyNumberFormat="0" applyAlignment="0" applyProtection="0"/>
    <xf numFmtId="0" fontId="32" fillId="24" borderId="344" applyNumberFormat="0" applyAlignment="0" applyProtection="0"/>
    <xf numFmtId="0" fontId="32" fillId="24" borderId="344" applyNumberFormat="0" applyAlignment="0" applyProtection="0"/>
    <xf numFmtId="0" fontId="32" fillId="24" borderId="344" applyNumberFormat="0" applyAlignment="0" applyProtection="0"/>
    <xf numFmtId="0" fontId="32" fillId="24" borderId="344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3" fillId="57" borderId="351" applyNumberFormat="0" applyAlignment="0" applyProtection="0"/>
    <xf numFmtId="0" fontId="32" fillId="24" borderId="348" applyNumberForma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80" fillId="0" borderId="353" applyNumberFormat="0" applyFill="0" applyAlignment="0" applyProtection="0"/>
    <xf numFmtId="0" fontId="73" fillId="57" borderId="348" applyNumberFormat="0" applyAlignment="0" applyProtection="0"/>
    <xf numFmtId="0" fontId="32" fillId="27" borderId="159" applyNumberFormat="0" applyAlignment="0" applyProtection="0"/>
    <xf numFmtId="0" fontId="32" fillId="27" borderId="159" applyNumberFormat="0" applyAlignment="0" applyProtection="0"/>
    <xf numFmtId="0" fontId="32" fillId="27" borderId="159" applyNumberFormat="0" applyAlignment="0" applyProtection="0"/>
    <xf numFmtId="0" fontId="32" fillId="27" borderId="159" applyNumberFormat="0" applyAlignment="0" applyProtection="0"/>
    <xf numFmtId="0" fontId="32" fillId="27" borderId="159" applyNumberFormat="0" applyAlignment="0" applyProtection="0"/>
    <xf numFmtId="0" fontId="32" fillId="27" borderId="348" applyNumberFormat="0" applyAlignment="0" applyProtection="0"/>
    <xf numFmtId="0" fontId="33" fillId="26" borderId="351" applyNumberFormat="0" applyAlignment="0" applyProtection="0"/>
    <xf numFmtId="0" fontId="73" fillId="57" borderId="348" applyNumberFormat="0" applyAlignment="0" applyProtection="0"/>
    <xf numFmtId="0" fontId="32" fillId="24" borderId="348" applyNumberFormat="0" applyAlignment="0" applyProtection="0"/>
    <xf numFmtId="0" fontId="36" fillId="26" borderId="159" applyNumberFormat="0" applyAlignment="0" applyProtection="0"/>
    <xf numFmtId="0" fontId="36" fillId="26" borderId="159" applyNumberFormat="0" applyAlignment="0" applyProtection="0"/>
    <xf numFmtId="0" fontId="36" fillId="26" borderId="159" applyNumberFormat="0" applyAlignment="0" applyProtection="0"/>
    <xf numFmtId="0" fontId="36" fillId="26" borderId="159" applyNumberFormat="0" applyAlignment="0" applyProtection="0"/>
    <xf numFmtId="0" fontId="36" fillId="26" borderId="159" applyNumberFormat="0" applyAlignment="0" applyProtection="0"/>
    <xf numFmtId="0" fontId="5" fillId="60" borderId="354" applyNumberFormat="0" applyProtection="0">
      <alignment horizontal="right"/>
    </xf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73" fillId="57" borderId="348" applyNumberFormat="0" applyAlignment="0" applyProtection="0"/>
    <xf numFmtId="0" fontId="6" fillId="23" borderId="350" applyNumberFormat="0" applyFon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6" fillId="23" borderId="350" applyNumberFormat="0" applyFont="0" applyAlignment="0" applyProtection="0"/>
    <xf numFmtId="0" fontId="36" fillId="26" borderId="344" applyNumberFormat="0" applyAlignment="0" applyProtection="0"/>
    <xf numFmtId="0" fontId="73" fillId="57" borderId="348" applyNumberFormat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33" fillId="57" borderId="351" applyNumberForma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32" fillId="24" borderId="344" applyNumberFormat="0" applyAlignment="0" applyProtection="0"/>
    <xf numFmtId="0" fontId="32" fillId="24" borderId="344" applyNumberFormat="0" applyAlignment="0" applyProtection="0"/>
    <xf numFmtId="0" fontId="6" fillId="23" borderId="346" applyNumberFormat="0" applyFont="0" applyAlignment="0" applyProtection="0"/>
    <xf numFmtId="0" fontId="80" fillId="0" borderId="353" applyNumberFormat="0" applyFill="0" applyAlignment="0" applyProtection="0"/>
    <xf numFmtId="0" fontId="73" fillId="57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6" fillId="0" borderId="0"/>
    <xf numFmtId="0" fontId="32" fillId="24" borderId="348" applyNumberFormat="0" applyAlignment="0" applyProtection="0"/>
    <xf numFmtId="0" fontId="6" fillId="23" borderId="350" applyNumberFormat="0" applyFon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6" fillId="23" borderId="346" applyNumberFormat="0" applyFont="0" applyAlignment="0" applyProtection="0"/>
    <xf numFmtId="0" fontId="23" fillId="23" borderId="346" applyNumberFormat="0" applyFont="0" applyAlignment="0" applyProtection="0"/>
    <xf numFmtId="0" fontId="6" fillId="23" borderId="346" applyNumberFormat="0" applyFont="0" applyAlignment="0" applyProtection="0"/>
    <xf numFmtId="0" fontId="6" fillId="23" borderId="346" applyNumberFormat="0" applyFont="0" applyAlignment="0" applyProtection="0"/>
    <xf numFmtId="0" fontId="6" fillId="23" borderId="346" applyNumberFormat="0" applyFont="0" applyAlignment="0" applyProtection="0"/>
    <xf numFmtId="0" fontId="6" fillId="23" borderId="346" applyNumberFormat="0" applyFon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2" fillId="24" borderId="348" applyNumberFormat="0" applyAlignment="0" applyProtection="0"/>
    <xf numFmtId="0" fontId="32" fillId="27" borderId="348" applyNumberFormat="0" applyAlignment="0" applyProtection="0"/>
    <xf numFmtId="0" fontId="33" fillId="57" borderId="351" applyNumberFormat="0" applyAlignment="0" applyProtection="0"/>
    <xf numFmtId="0" fontId="73" fillId="57" borderId="348" applyNumberFormat="0" applyAlignment="0" applyProtection="0"/>
    <xf numFmtId="0" fontId="80" fillId="0" borderId="357" applyNumberFormat="0" applyFill="0" applyAlignment="0" applyProtection="0"/>
    <xf numFmtId="49" fontId="6" fillId="62" borderId="349">
      <alignment vertical="top" wrapText="1"/>
    </xf>
    <xf numFmtId="0" fontId="6" fillId="9" borderId="355">
      <alignment horizontal="center" vertical="center" wrapText="1"/>
    </xf>
    <xf numFmtId="0" fontId="80" fillId="0" borderId="353" applyNumberFormat="0" applyFill="0" applyAlignment="0" applyProtection="0"/>
    <xf numFmtId="0" fontId="73" fillId="57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6" fillId="0" borderId="354" applyNumberFormat="0" applyFill="0" applyProtection="0">
      <alignment horizontal="right"/>
    </xf>
    <xf numFmtId="0" fontId="6" fillId="0" borderId="354" applyNumberFormat="0" applyFill="0" applyProtection="0">
      <alignment horizontal="right"/>
    </xf>
    <xf numFmtId="0" fontId="32" fillId="24" borderId="348" applyNumberFormat="0" applyAlignment="0" applyProtection="0"/>
    <xf numFmtId="0" fontId="80" fillId="0" borderId="353" applyNumberFormat="0" applyFill="0" applyAlignment="0" applyProtection="0"/>
    <xf numFmtId="0" fontId="51" fillId="23" borderId="350" applyNumberFormat="0" applyFont="0" applyAlignment="0" applyProtection="0"/>
    <xf numFmtId="0" fontId="6" fillId="0" borderId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6" fillId="26" borderId="344" applyNumberForma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73" fillId="57" borderId="348" applyNumberFormat="0" applyAlignment="0" applyProtection="0"/>
    <xf numFmtId="0" fontId="32" fillId="27" borderId="344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73" fillId="57" borderId="348" applyNumberFormat="0" applyAlignment="0" applyProtection="0"/>
    <xf numFmtId="0" fontId="23" fillId="23" borderId="350" applyNumberFormat="0" applyFont="0" applyAlignment="0" applyProtection="0"/>
    <xf numFmtId="0" fontId="33" fillId="57" borderId="351" applyNumberFormat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6" fillId="23" borderId="346" applyNumberFormat="0" applyFont="0" applyAlignment="0" applyProtection="0"/>
    <xf numFmtId="0" fontId="6" fillId="23" borderId="346" applyNumberFormat="0" applyFont="0" applyAlignment="0" applyProtection="0"/>
    <xf numFmtId="0" fontId="73" fillId="57" borderId="348" applyNumberFormat="0" applyAlignment="0" applyProtection="0"/>
    <xf numFmtId="0" fontId="33" fillId="57" borderId="351" applyNumberFormat="0" applyAlignment="0" applyProtection="0"/>
    <xf numFmtId="0" fontId="32" fillId="24" borderId="348" applyNumberFormat="0" applyAlignment="0" applyProtection="0"/>
    <xf numFmtId="0" fontId="80" fillId="0" borderId="353" applyNumberFormat="0" applyFill="0" applyAlignment="0" applyProtection="0"/>
    <xf numFmtId="0" fontId="32" fillId="24" borderId="348" applyNumberFormat="0" applyAlignment="0" applyProtection="0"/>
    <xf numFmtId="0" fontId="6" fillId="23" borderId="350" applyNumberFormat="0" applyFont="0" applyAlignment="0" applyProtection="0"/>
    <xf numFmtId="0" fontId="33" fillId="57" borderId="351" applyNumberFormat="0" applyAlignment="0" applyProtection="0"/>
    <xf numFmtId="0" fontId="73" fillId="57" borderId="348" applyNumberFormat="0" applyAlignment="0" applyProtection="0"/>
    <xf numFmtId="0" fontId="6" fillId="23" borderId="350" applyNumberFormat="0" applyFont="0" applyAlignment="0" applyProtection="0"/>
    <xf numFmtId="0" fontId="32" fillId="24" borderId="348" applyNumberFormat="0" applyAlignment="0" applyProtection="0"/>
    <xf numFmtId="0" fontId="80" fillId="0" borderId="353" applyNumberFormat="0" applyFill="0" applyAlignment="0" applyProtection="0"/>
    <xf numFmtId="0" fontId="32" fillId="24" borderId="348" applyNumberFormat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23" borderId="346" applyNumberFormat="0" applyFont="0" applyAlignment="0" applyProtection="0"/>
    <xf numFmtId="0" fontId="6" fillId="23" borderId="346" applyNumberFormat="0" applyFont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32" fillId="27" borderId="348" applyNumberFormat="0" applyAlignment="0" applyProtection="0"/>
    <xf numFmtId="0" fontId="81" fillId="36" borderId="330">
      <alignment horizontal="right" vertical="center"/>
    </xf>
    <xf numFmtId="0" fontId="128" fillId="36" borderId="330">
      <alignment horizontal="right" vertical="center"/>
    </xf>
    <xf numFmtId="0" fontId="81" fillId="58" borderId="330">
      <alignment horizontal="right" vertical="center"/>
    </xf>
    <xf numFmtId="0" fontId="81" fillId="58" borderId="330">
      <alignment horizontal="right" vertical="center"/>
    </xf>
    <xf numFmtId="0" fontId="81" fillId="58" borderId="332">
      <alignment horizontal="right" vertical="center"/>
    </xf>
    <xf numFmtId="0" fontId="22" fillId="0" borderId="330">
      <alignment horizontal="right" vertical="center"/>
    </xf>
    <xf numFmtId="0" fontId="22" fillId="0" borderId="330" applyNumberFormat="0" applyFill="0" applyAlignment="0" applyProtection="0"/>
    <xf numFmtId="0" fontId="22" fillId="59" borderId="330"/>
    <xf numFmtId="0" fontId="6" fillId="0" borderId="330" applyNumberFormat="0" applyFill="0" applyProtection="0">
      <alignment horizontal="right"/>
    </xf>
    <xf numFmtId="0" fontId="6" fillId="0" borderId="330" applyNumberFormat="0" applyFill="0" applyProtection="0">
      <alignment horizontal="right"/>
    </xf>
    <xf numFmtId="0" fontId="5" fillId="60" borderId="330" applyNumberFormat="0" applyProtection="0">
      <alignment horizontal="right"/>
    </xf>
    <xf numFmtId="0" fontId="5" fillId="60" borderId="330" applyNumberFormat="0" applyProtection="0">
      <alignment horizontal="left"/>
    </xf>
    <xf numFmtId="0" fontId="6" fillId="0" borderId="330" applyNumberFormat="0" applyFill="0" applyProtection="0">
      <alignment horizontal="right"/>
    </xf>
    <xf numFmtId="0" fontId="6" fillId="0" borderId="330" applyNumberFormat="0" applyFill="0" applyProtection="0">
      <alignment horizontal="right"/>
    </xf>
    <xf numFmtId="49" fontId="22" fillId="0" borderId="330" applyNumberFormat="0" applyFont="0" applyFill="0" applyBorder="0" applyProtection="0">
      <alignment horizontal="left" vertical="center" indent="2"/>
    </xf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80" fillId="0" borderId="333" applyNumberFormat="0" applyFill="0" applyAlignment="0" applyProtection="0"/>
    <xf numFmtId="0" fontId="80" fillId="0" borderId="333" applyNumberFormat="0" applyFill="0" applyAlignment="0" applyProtection="0"/>
    <xf numFmtId="0" fontId="80" fillId="0" borderId="333" applyNumberFormat="0" applyFill="0" applyAlignment="0" applyProtection="0"/>
    <xf numFmtId="0" fontId="80" fillId="0" borderId="333" applyNumberFormat="0" applyFill="0" applyAlignment="0" applyProtection="0"/>
    <xf numFmtId="0" fontId="80" fillId="0" borderId="333" applyNumberFormat="0" applyFill="0" applyAlignment="0" applyProtection="0"/>
    <xf numFmtId="0" fontId="80" fillId="0" borderId="333" applyNumberFormat="0" applyFill="0" applyAlignment="0" applyProtection="0"/>
    <xf numFmtId="0" fontId="80" fillId="0" borderId="333" applyNumberFormat="0" applyFill="0" applyAlignment="0" applyProtection="0"/>
    <xf numFmtId="0" fontId="80" fillId="0" borderId="333" applyNumberFormat="0" applyFill="0" applyAlignment="0" applyProtection="0"/>
    <xf numFmtId="0" fontId="80" fillId="0" borderId="333" applyNumberFormat="0" applyFill="0" applyAlignment="0" applyProtection="0"/>
    <xf numFmtId="0" fontId="80" fillId="0" borderId="333" applyNumberFormat="0" applyFill="0" applyAlignment="0" applyProtection="0"/>
    <xf numFmtId="0" fontId="36" fillId="26" borderId="348" applyNumberFormat="0" applyAlignment="0" applyProtection="0"/>
    <xf numFmtId="0" fontId="32" fillId="24" borderId="348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73" fillId="57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3" fillId="57" borderId="351" applyNumberFormat="0" applyAlignment="0" applyProtection="0"/>
    <xf numFmtId="0" fontId="80" fillId="0" borderId="353" applyNumberFormat="0" applyFill="0" applyAlignment="0" applyProtection="0"/>
    <xf numFmtId="0" fontId="73" fillId="57" borderId="348" applyNumberFormat="0" applyAlignment="0" applyProtection="0"/>
    <xf numFmtId="0" fontId="33" fillId="57" borderId="351" applyNumberFormat="0" applyAlignment="0" applyProtection="0"/>
    <xf numFmtId="0" fontId="6" fillId="0" borderId="354" applyNumberFormat="0" applyFill="0" applyProtection="0">
      <alignment horizontal="right"/>
    </xf>
    <xf numFmtId="0" fontId="33" fillId="26" borderId="351" applyNumberFormat="0" applyAlignment="0" applyProtection="0"/>
    <xf numFmtId="0" fontId="33" fillId="57" borderId="351" applyNumberFormat="0" applyAlignment="0" applyProtection="0"/>
    <xf numFmtId="0" fontId="73" fillId="57" borderId="348" applyNumberFormat="0" applyAlignment="0" applyProtection="0"/>
    <xf numFmtId="0" fontId="6" fillId="23" borderId="350" applyNumberFormat="0" applyFont="0" applyAlignment="0" applyProtection="0"/>
    <xf numFmtId="0" fontId="32" fillId="27" borderId="344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73" fillId="57" borderId="348" applyNumberFormat="0" applyAlignment="0" applyProtection="0"/>
    <xf numFmtId="0" fontId="32" fillId="24" borderId="348" applyNumberFormat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80" fillId="0" borderId="353" applyNumberFormat="0" applyFill="0" applyAlignment="0" applyProtection="0"/>
    <xf numFmtId="0" fontId="73" fillId="57" borderId="348" applyNumberFormat="0" applyAlignment="0" applyProtection="0"/>
    <xf numFmtId="0" fontId="33" fillId="57" borderId="351" applyNumberFormat="0" applyAlignment="0" applyProtection="0"/>
    <xf numFmtId="0" fontId="73" fillId="57" borderId="348" applyNumberFormat="0" applyAlignment="0" applyProtection="0"/>
    <xf numFmtId="0" fontId="33" fillId="57" borderId="351" applyNumberFormat="0" applyAlignment="0" applyProtection="0"/>
    <xf numFmtId="0" fontId="81" fillId="58" borderId="354">
      <alignment horizontal="right" vertical="center"/>
    </xf>
    <xf numFmtId="0" fontId="73" fillId="57" borderId="348" applyNumberFormat="0" applyAlignment="0" applyProtection="0"/>
    <xf numFmtId="0" fontId="6" fillId="23" borderId="350" applyNumberFormat="0" applyFont="0" applyAlignment="0" applyProtection="0"/>
    <xf numFmtId="0" fontId="33" fillId="57" borderId="351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32" fillId="24" borderId="348" applyNumberFormat="0" applyAlignment="0" applyProtection="0"/>
    <xf numFmtId="0" fontId="33" fillId="57" borderId="351" applyNumberFormat="0" applyAlignment="0" applyProtection="0"/>
    <xf numFmtId="0" fontId="32" fillId="24" borderId="348" applyNumberFormat="0" applyAlignment="0" applyProtection="0"/>
    <xf numFmtId="0" fontId="33" fillId="57" borderId="351" applyNumberFormat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6" fillId="66" borderId="347" applyBorder="0">
      <alignment horizontal="left" vertical="center"/>
    </xf>
    <xf numFmtId="0" fontId="73" fillId="57" borderId="348" applyNumberFormat="0" applyAlignment="0" applyProtection="0"/>
    <xf numFmtId="0" fontId="6" fillId="0" borderId="354" applyNumberFormat="0" applyFill="0" applyProtection="0">
      <alignment horizontal="right"/>
    </xf>
    <xf numFmtId="0" fontId="73" fillId="57" borderId="348" applyNumberFormat="0" applyAlignment="0" applyProtection="0"/>
    <xf numFmtId="0" fontId="73" fillId="57" borderId="348" applyNumberFormat="0" applyAlignment="0" applyProtection="0"/>
    <xf numFmtId="0" fontId="32" fillId="24" borderId="348" applyNumberFormat="0" applyAlignment="0" applyProtection="0"/>
    <xf numFmtId="0" fontId="6" fillId="23" borderId="350" applyNumberFormat="0" applyFont="0" applyAlignment="0" applyProtection="0"/>
    <xf numFmtId="0" fontId="32" fillId="24" borderId="348" applyNumberFormat="0" applyAlignment="0" applyProtection="0"/>
    <xf numFmtId="0" fontId="80" fillId="0" borderId="353" applyNumberFormat="0" applyFill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73" fillId="57" borderId="348" applyNumberFormat="0" applyAlignment="0" applyProtection="0"/>
    <xf numFmtId="0" fontId="32" fillId="27" borderId="344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80" fillId="0" borderId="353" applyNumberFormat="0" applyFill="0" applyAlignment="0" applyProtection="0"/>
    <xf numFmtId="0" fontId="32" fillId="24" borderId="348" applyNumberFormat="0" applyAlignment="0" applyProtection="0"/>
    <xf numFmtId="0" fontId="6" fillId="23" borderId="350" applyNumberFormat="0" applyFont="0" applyAlignment="0" applyProtection="0"/>
    <xf numFmtId="0" fontId="73" fillId="57" borderId="348" applyNumberFormat="0" applyAlignment="0" applyProtection="0"/>
    <xf numFmtId="43" fontId="124" fillId="0" borderId="0" applyFont="0" applyFill="0" applyBorder="0" applyAlignment="0" applyProtection="0"/>
    <xf numFmtId="0" fontId="6" fillId="68" borderId="334">
      <alignment horizontal="left" vertical="center" wrapText="1"/>
    </xf>
    <xf numFmtId="0" fontId="6" fillId="0" borderId="335" applyNumberFormat="0" applyFill="0" applyProtection="0">
      <alignment horizontal="right"/>
    </xf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4" fontId="22" fillId="0" borderId="335" applyFill="0" applyBorder="0" applyProtection="0">
      <alignment horizontal="right" vertical="center"/>
    </xf>
    <xf numFmtId="0" fontId="32" fillId="24" borderId="348" applyNumberFormat="0" applyAlignment="0" applyProtection="0"/>
    <xf numFmtId="0" fontId="33" fillId="57" borderId="351" applyNumberFormat="0" applyAlignment="0" applyProtection="0"/>
    <xf numFmtId="4" fontId="22" fillId="0" borderId="354" applyFill="0" applyBorder="0" applyProtection="0">
      <alignment horizontal="right" vertical="center"/>
    </xf>
    <xf numFmtId="0" fontId="81" fillId="58" borderId="332">
      <alignment horizontal="right" vertical="center"/>
    </xf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33" fillId="57" borderId="351" applyNumberFormat="0" applyAlignment="0" applyProtection="0"/>
    <xf numFmtId="0" fontId="23" fillId="23" borderId="350" applyNumberFormat="0" applyFont="0" applyAlignment="0" applyProtection="0"/>
    <xf numFmtId="0" fontId="33" fillId="57" borderId="351" applyNumberFormat="0" applyAlignment="0" applyProtection="0"/>
    <xf numFmtId="0" fontId="73" fillId="57" borderId="348" applyNumberFormat="0" applyAlignment="0" applyProtection="0"/>
    <xf numFmtId="0" fontId="32" fillId="24" borderId="348" applyNumberFormat="0" applyAlignment="0" applyProtection="0"/>
    <xf numFmtId="0" fontId="80" fillId="0" borderId="357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2" fillId="24" borderId="344" applyNumberFormat="0" applyAlignment="0" applyProtection="0"/>
    <xf numFmtId="43" fontId="124" fillId="0" borderId="0" applyFont="0" applyFill="0" applyBorder="0" applyAlignment="0" applyProtection="0"/>
    <xf numFmtId="0" fontId="32" fillId="24" borderId="348" applyNumberForma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80" fillId="0" borderId="353" applyNumberFormat="0" applyFill="0" applyAlignment="0" applyProtection="0"/>
    <xf numFmtId="0" fontId="80" fillId="0" borderId="357" applyNumberFormat="0" applyFill="0" applyAlignment="0" applyProtection="0"/>
    <xf numFmtId="0" fontId="32" fillId="24" borderId="348" applyNumberFormat="0" applyAlignment="0" applyProtection="0"/>
    <xf numFmtId="0" fontId="33" fillId="57" borderId="351" applyNumberFormat="0" applyAlignment="0" applyProtection="0"/>
    <xf numFmtId="0" fontId="6" fillId="23" borderId="350" applyNumberFormat="0" applyFont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6" fillId="0" borderId="335" applyNumberFormat="0" applyFill="0" applyProtection="0">
      <alignment horizontal="right"/>
    </xf>
    <xf numFmtId="172" fontId="94" fillId="65" borderId="337">
      <alignment vertical="center"/>
    </xf>
    <xf numFmtId="0" fontId="5" fillId="60" borderId="335" applyNumberFormat="0" applyProtection="0">
      <alignment horizontal="left"/>
    </xf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73" fillId="57" borderId="348" applyNumberFormat="0" applyAlignment="0" applyProtection="0"/>
    <xf numFmtId="0" fontId="32" fillId="24" borderId="344" applyNumberFormat="0" applyAlignment="0" applyProtection="0"/>
    <xf numFmtId="0" fontId="6" fillId="23" borderId="350" applyNumberFormat="0" applyFont="0" applyAlignment="0" applyProtection="0"/>
    <xf numFmtId="43" fontId="12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80" fillId="0" borderId="353" applyNumberFormat="0" applyFill="0" applyAlignment="0" applyProtection="0"/>
    <xf numFmtId="0" fontId="23" fillId="23" borderId="165" applyNumberFormat="0" applyFont="0" applyAlignment="0" applyProtection="0"/>
    <xf numFmtId="0" fontId="32" fillId="24" borderId="348" applyNumberFormat="0" applyAlignment="0" applyProtection="0"/>
    <xf numFmtId="0" fontId="80" fillId="0" borderId="353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6" fillId="0" borderId="335" applyNumberFormat="0" applyFill="0" applyProtection="0">
      <alignment horizontal="right"/>
    </xf>
    <xf numFmtId="177" fontId="93" fillId="64" borderId="337">
      <alignment vertical="center"/>
    </xf>
    <xf numFmtId="0" fontId="5" fillId="60" borderId="335" applyNumberFormat="0" applyProtection="0">
      <alignment horizontal="left"/>
    </xf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2" fillId="24" borderId="344" applyNumberFormat="0" applyAlignment="0" applyProtection="0"/>
    <xf numFmtId="0" fontId="6" fillId="23" borderId="346" applyNumberFormat="0" applyFont="0" applyAlignment="0" applyProtection="0"/>
    <xf numFmtId="0" fontId="33" fillId="57" borderId="351" applyNumberFormat="0" applyAlignment="0" applyProtection="0"/>
    <xf numFmtId="177" fontId="93" fillId="64" borderId="352">
      <alignment vertical="center"/>
    </xf>
    <xf numFmtId="43" fontId="124" fillId="0" borderId="0" applyFont="0" applyFill="0" applyBorder="0" applyAlignment="0" applyProtection="0"/>
    <xf numFmtId="0" fontId="6" fillId="23" borderId="346" applyNumberFormat="0" applyFon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23" borderId="350" applyNumberFormat="0" applyFont="0" applyAlignment="0" applyProtection="0"/>
    <xf numFmtId="0" fontId="80" fillId="0" borderId="353" applyNumberFormat="0" applyFill="0" applyAlignment="0" applyProtection="0"/>
    <xf numFmtId="0" fontId="23" fillId="23" borderId="165" applyNumberFormat="0" applyFont="0" applyAlignment="0" applyProtection="0"/>
    <xf numFmtId="0" fontId="36" fillId="26" borderId="344" applyNumberFormat="0" applyAlignment="0" applyProtection="0"/>
    <xf numFmtId="0" fontId="6" fillId="23" borderId="350" applyNumberFormat="0" applyFont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33" fillId="57" borderId="351" applyNumberFormat="0" applyAlignment="0" applyProtection="0"/>
    <xf numFmtId="0" fontId="6" fillId="0" borderId="335" applyNumberFormat="0" applyFill="0" applyProtection="0">
      <alignment horizontal="right"/>
    </xf>
    <xf numFmtId="172" fontId="92" fillId="64" borderId="337">
      <alignment vertical="center"/>
    </xf>
    <xf numFmtId="0" fontId="5" fillId="60" borderId="335" applyNumberFormat="0" applyProtection="0">
      <alignment horizontal="left"/>
    </xf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2" fillId="24" borderId="344" applyNumberFormat="0" applyAlignment="0" applyProtection="0"/>
    <xf numFmtId="0" fontId="6" fillId="23" borderId="346" applyNumberFormat="0" applyFont="0" applyAlignment="0" applyProtection="0"/>
    <xf numFmtId="0" fontId="6" fillId="23" borderId="350" applyNumberFormat="0" applyFont="0" applyAlignment="0" applyProtection="0"/>
    <xf numFmtId="43" fontId="124" fillId="0" borderId="0" applyFont="0" applyFill="0" applyBorder="0" applyAlignment="0" applyProtection="0"/>
    <xf numFmtId="0" fontId="73" fillId="57" borderId="348" applyNumberFormat="0" applyAlignment="0" applyProtection="0"/>
    <xf numFmtId="0" fontId="6" fillId="9" borderId="355">
      <alignment horizontal="center" vertical="center" wrapText="1"/>
    </xf>
    <xf numFmtId="0" fontId="6" fillId="23" borderId="346" applyNumberFormat="0" applyFont="0" applyAlignment="0" applyProtection="0"/>
    <xf numFmtId="0" fontId="23" fillId="23" borderId="346" applyNumberFormat="0" applyFont="0" applyAlignment="0" applyProtection="0"/>
    <xf numFmtId="0" fontId="6" fillId="23" borderId="346" applyNumberFormat="0" applyFont="0" applyAlignment="0" applyProtection="0"/>
    <xf numFmtId="0" fontId="6" fillId="23" borderId="346" applyNumberFormat="0" applyFont="0" applyAlignment="0" applyProtection="0"/>
    <xf numFmtId="0" fontId="6" fillId="23" borderId="346" applyNumberFormat="0" applyFont="0" applyAlignment="0" applyProtection="0"/>
    <xf numFmtId="0" fontId="80" fillId="0" borderId="357" applyNumberFormat="0" applyFill="0" applyAlignment="0" applyProtection="0"/>
    <xf numFmtId="0" fontId="80" fillId="0" borderId="357" applyNumberFormat="0" applyFill="0" applyAlignment="0" applyProtection="0"/>
    <xf numFmtId="0" fontId="6" fillId="23" borderId="350" applyNumberFormat="0" applyFont="0" applyAlignment="0" applyProtection="0"/>
    <xf numFmtId="0" fontId="32" fillId="24" borderId="348" applyNumberFormat="0" applyAlignment="0" applyProtection="0"/>
    <xf numFmtId="0" fontId="80" fillId="0" borderId="353" applyNumberFormat="0" applyFill="0" applyAlignment="0" applyProtection="0"/>
    <xf numFmtId="0" fontId="6" fillId="23" borderId="350" applyNumberFormat="0" applyFont="0" applyAlignment="0" applyProtection="0"/>
    <xf numFmtId="0" fontId="80" fillId="0" borderId="353" applyNumberFormat="0" applyFill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73" fillId="57" borderId="344" applyNumberFormat="0" applyAlignment="0" applyProtection="0"/>
    <xf numFmtId="0" fontId="33" fillId="26" borderId="336" applyNumberFormat="0" applyAlignment="0" applyProtection="0"/>
    <xf numFmtId="0" fontId="33" fillId="26" borderId="336" applyNumberFormat="0" applyAlignment="0" applyProtection="0"/>
    <xf numFmtId="0" fontId="33" fillId="26" borderId="336" applyNumberFormat="0" applyAlignment="0" applyProtection="0"/>
    <xf numFmtId="0" fontId="33" fillId="26" borderId="336" applyNumberFormat="0" applyAlignment="0" applyProtection="0"/>
    <xf numFmtId="0" fontId="33" fillId="26" borderId="336" applyNumberFormat="0" applyAlignment="0" applyProtection="0"/>
    <xf numFmtId="0" fontId="6" fillId="23" borderId="165" applyNumberFormat="0" applyFont="0" applyAlignment="0" applyProtection="0"/>
    <xf numFmtId="0" fontId="32" fillId="24" borderId="344" applyNumberFormat="0" applyAlignment="0" applyProtection="0"/>
    <xf numFmtId="0" fontId="32" fillId="24" borderId="344" applyNumberFormat="0" applyAlignment="0" applyProtection="0"/>
    <xf numFmtId="0" fontId="32" fillId="24" borderId="344" applyNumberFormat="0" applyAlignment="0" applyProtection="0"/>
    <xf numFmtId="0" fontId="32" fillId="24" borderId="344" applyNumberFormat="0" applyAlignment="0" applyProtection="0"/>
    <xf numFmtId="0" fontId="32" fillId="24" borderId="344" applyNumberFormat="0" applyAlignment="0" applyProtection="0"/>
    <xf numFmtId="0" fontId="32" fillId="24" borderId="344" applyNumberFormat="0" applyAlignment="0" applyProtection="0"/>
    <xf numFmtId="0" fontId="32" fillId="24" borderId="344" applyNumberFormat="0" applyAlignment="0" applyProtection="0"/>
    <xf numFmtId="0" fontId="32" fillId="24" borderId="344" applyNumberFormat="0" applyAlignment="0" applyProtection="0"/>
    <xf numFmtId="0" fontId="32" fillId="24" borderId="344" applyNumberFormat="0" applyAlignment="0" applyProtection="0"/>
    <xf numFmtId="0" fontId="80" fillId="0" borderId="353" applyNumberFormat="0" applyFill="0" applyAlignment="0" applyProtection="0"/>
    <xf numFmtId="0" fontId="33" fillId="57" borderId="351" applyNumberFormat="0" applyAlignment="0" applyProtection="0"/>
    <xf numFmtId="0" fontId="32" fillId="27" borderId="159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80" fillId="0" borderId="353" applyNumberFormat="0" applyFill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6" fillId="23" borderId="346" applyNumberFormat="0" applyFont="0" applyAlignment="0" applyProtection="0"/>
    <xf numFmtId="0" fontId="6" fillId="23" borderId="346" applyNumberFormat="0" applyFont="0" applyAlignment="0" applyProtection="0"/>
    <xf numFmtId="0" fontId="33" fillId="57" borderId="351" applyNumberFormat="0" applyAlignment="0" applyProtection="0"/>
    <xf numFmtId="0" fontId="32" fillId="24" borderId="344" applyNumberFormat="0" applyAlignment="0" applyProtection="0"/>
    <xf numFmtId="0" fontId="32" fillId="24" borderId="344" applyNumberFormat="0" applyAlignment="0" applyProtection="0"/>
    <xf numFmtId="0" fontId="6" fillId="23" borderId="346" applyNumberFormat="0" applyFont="0" applyAlignment="0" applyProtection="0"/>
    <xf numFmtId="0" fontId="80" fillId="0" borderId="353" applyNumberFormat="0" applyFill="0" applyAlignment="0" applyProtection="0"/>
    <xf numFmtId="0" fontId="22" fillId="59" borderId="354"/>
    <xf numFmtId="0" fontId="33" fillId="57" borderId="351" applyNumberFormat="0" applyAlignment="0" applyProtection="0"/>
    <xf numFmtId="0" fontId="23" fillId="23" borderId="350" applyNumberFormat="0" applyFon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80" fillId="0" borderId="353" applyNumberFormat="0" applyFill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23" borderId="350" applyNumberFormat="0" applyFont="0" applyAlignment="0" applyProtection="0"/>
    <xf numFmtId="0" fontId="33" fillId="57" borderId="351" applyNumberFormat="0" applyAlignment="0" applyProtection="0"/>
    <xf numFmtId="0" fontId="80" fillId="0" borderId="353" applyNumberFormat="0" applyFill="0" applyAlignment="0" applyProtection="0"/>
    <xf numFmtId="0" fontId="73" fillId="57" borderId="348" applyNumberForma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3" fillId="57" borderId="348" applyNumberForma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80" fillId="0" borderId="353" applyNumberFormat="0" applyFill="0" applyAlignment="0" applyProtection="0"/>
    <xf numFmtId="0" fontId="6" fillId="23" borderId="350" applyNumberFormat="0" applyFont="0" applyAlignment="0" applyProtection="0"/>
    <xf numFmtId="0" fontId="33" fillId="57" borderId="351" applyNumberFormat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42" applyNumberFormat="0" applyFill="0" applyAlignment="0" applyProtection="0"/>
    <xf numFmtId="0" fontId="80" fillId="0" borderId="342" applyNumberFormat="0" applyFill="0" applyAlignment="0" applyProtection="0"/>
    <xf numFmtId="0" fontId="80" fillId="0" borderId="342" applyNumberFormat="0" applyFill="0" applyAlignment="0" applyProtection="0"/>
    <xf numFmtId="0" fontId="5" fillId="60" borderId="335" applyNumberFormat="0" applyProtection="0">
      <alignment horizontal="right"/>
    </xf>
    <xf numFmtId="0" fontId="22" fillId="59" borderId="335"/>
    <xf numFmtId="0" fontId="22" fillId="0" borderId="335">
      <alignment horizontal="right" vertical="center"/>
    </xf>
    <xf numFmtId="0" fontId="81" fillId="58" borderId="335">
      <alignment horizontal="right" vertical="center"/>
    </xf>
    <xf numFmtId="0" fontId="128" fillId="36" borderId="335">
      <alignment horizontal="right" vertical="center"/>
    </xf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80" fillId="0" borderId="353" applyNumberFormat="0" applyFill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80" fillId="0" borderId="353" applyNumberFormat="0" applyFill="0" applyAlignment="0" applyProtection="0"/>
    <xf numFmtId="0" fontId="33" fillId="26" borderId="351" applyNumberFormat="0" applyAlignment="0" applyProtection="0"/>
    <xf numFmtId="0" fontId="33" fillId="26" borderId="351" applyNumberFormat="0" applyAlignment="0" applyProtection="0"/>
    <xf numFmtId="0" fontId="6" fillId="0" borderId="354" applyNumberFormat="0" applyFill="0" applyProtection="0">
      <alignment horizontal="right"/>
    </xf>
    <xf numFmtId="0" fontId="6" fillId="23" borderId="346" applyNumberFormat="0" applyFont="0" applyAlignment="0" applyProtection="0"/>
    <xf numFmtId="0" fontId="6" fillId="23" borderId="346" applyNumberFormat="0" applyFont="0" applyAlignment="0" applyProtection="0"/>
    <xf numFmtId="0" fontId="6" fillId="23" borderId="346" applyNumberFormat="0" applyFont="0" applyAlignment="0" applyProtection="0"/>
    <xf numFmtId="0" fontId="6" fillId="23" borderId="346" applyNumberFormat="0" applyFont="0" applyAlignment="0" applyProtection="0"/>
    <xf numFmtId="0" fontId="6" fillId="23" borderId="346" applyNumberFormat="0" applyFont="0" applyAlignment="0" applyProtection="0"/>
    <xf numFmtId="0" fontId="6" fillId="23" borderId="346" applyNumberFormat="0" applyFont="0" applyAlignment="0" applyProtection="0"/>
    <xf numFmtId="0" fontId="6" fillId="23" borderId="346" applyNumberFormat="0" applyFont="0" applyAlignment="0" applyProtection="0"/>
    <xf numFmtId="0" fontId="6" fillId="23" borderId="346" applyNumberFormat="0" applyFont="0" applyAlignment="0" applyProtection="0"/>
    <xf numFmtId="0" fontId="6" fillId="23" borderId="346" applyNumberFormat="0" applyFont="0" applyAlignment="0" applyProtection="0"/>
    <xf numFmtId="0" fontId="6" fillId="23" borderId="346" applyNumberFormat="0" applyFont="0" applyAlignment="0" applyProtection="0"/>
    <xf numFmtId="0" fontId="73" fillId="57" borderId="348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23" fillId="23" borderId="346" applyNumberFormat="0" applyFont="0" applyAlignment="0" applyProtection="0"/>
    <xf numFmtId="0" fontId="6" fillId="23" borderId="346" applyNumberFormat="0" applyFont="0" applyAlignment="0" applyProtection="0"/>
    <xf numFmtId="0" fontId="6" fillId="23" borderId="346" applyNumberFormat="0" applyFont="0" applyAlignment="0" applyProtection="0"/>
    <xf numFmtId="0" fontId="6" fillId="23" borderId="346" applyNumberFormat="0" applyFont="0" applyAlignment="0" applyProtection="0"/>
    <xf numFmtId="0" fontId="6" fillId="23" borderId="346" applyNumberFormat="0" applyFont="0" applyAlignment="0" applyProtection="0"/>
    <xf numFmtId="0" fontId="6" fillId="23" borderId="346" applyNumberFormat="0" applyFont="0" applyAlignment="0" applyProtection="0"/>
    <xf numFmtId="0" fontId="6" fillId="23" borderId="346" applyNumberFormat="0" applyFont="0" applyAlignment="0" applyProtection="0"/>
    <xf numFmtId="0" fontId="6" fillId="23" borderId="346" applyNumberFormat="0" applyFont="0" applyAlignment="0" applyProtection="0"/>
    <xf numFmtId="0" fontId="6" fillId="23" borderId="346" applyNumberFormat="0" applyFont="0" applyAlignment="0" applyProtection="0"/>
    <xf numFmtId="0" fontId="6" fillId="23" borderId="346" applyNumberFormat="0" applyFont="0" applyAlignment="0" applyProtection="0"/>
    <xf numFmtId="0" fontId="6" fillId="23" borderId="346" applyNumberFormat="0" applyFont="0" applyAlignment="0" applyProtection="0"/>
    <xf numFmtId="0" fontId="6" fillId="23" borderId="346" applyNumberFormat="0" applyFont="0" applyAlignment="0" applyProtection="0"/>
    <xf numFmtId="0" fontId="6" fillId="23" borderId="346" applyNumberFormat="0" applyFont="0" applyAlignment="0" applyProtection="0"/>
    <xf numFmtId="0" fontId="33" fillId="57" borderId="351" applyNumberFormat="0" applyAlignment="0" applyProtection="0"/>
    <xf numFmtId="0" fontId="81" fillId="58" borderId="356">
      <alignment horizontal="right" vertical="center"/>
    </xf>
    <xf numFmtId="0" fontId="6" fillId="23" borderId="350" applyNumberFormat="0" applyFont="0" applyAlignment="0" applyProtection="0"/>
    <xf numFmtId="0" fontId="80" fillId="0" borderId="353" applyNumberFormat="0" applyFill="0" applyAlignment="0" applyProtection="0"/>
    <xf numFmtId="0" fontId="6" fillId="23" borderId="350" applyNumberFormat="0" applyFont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6" fillId="0" borderId="0"/>
    <xf numFmtId="0" fontId="6" fillId="23" borderId="350" applyNumberFormat="0" applyFon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6" fillId="23" borderId="350" applyNumberFormat="0" applyFont="0" applyAlignment="0" applyProtection="0"/>
    <xf numFmtId="0" fontId="73" fillId="57" borderId="348" applyNumberFormat="0" applyAlignment="0" applyProtection="0"/>
    <xf numFmtId="49" fontId="6" fillId="62" borderId="349">
      <alignment vertical="top" wrapText="1"/>
    </xf>
    <xf numFmtId="0" fontId="32" fillId="24" borderId="348" applyNumberFormat="0" applyAlignment="0" applyProtection="0"/>
    <xf numFmtId="0" fontId="32" fillId="24" borderId="348" applyNumberFormat="0" applyAlignment="0" applyProtection="0"/>
    <xf numFmtId="0" fontId="73" fillId="57" borderId="348" applyNumberFormat="0" applyAlignment="0" applyProtection="0"/>
    <xf numFmtId="0" fontId="33" fillId="57" borderId="351" applyNumberFormat="0" applyAlignment="0" applyProtection="0"/>
    <xf numFmtId="0" fontId="22" fillId="0" borderId="257">
      <alignment horizontal="left" vertical="center" wrapText="1" indent="2"/>
    </xf>
    <xf numFmtId="0" fontId="36" fillId="26" borderId="348" applyNumberFormat="0" applyAlignment="0" applyProtection="0"/>
    <xf numFmtId="0" fontId="32" fillId="27" borderId="348" applyNumberFormat="0" applyAlignment="0" applyProtection="0"/>
    <xf numFmtId="0" fontId="33" fillId="26" borderId="351" applyNumberFormat="0" applyAlignment="0" applyProtection="0"/>
    <xf numFmtId="0" fontId="33" fillId="57" borderId="351" applyNumberFormat="0" applyAlignment="0" applyProtection="0"/>
    <xf numFmtId="0" fontId="73" fillId="57" borderId="348" applyNumberFormat="0" applyAlignment="0" applyProtection="0"/>
    <xf numFmtId="0" fontId="6" fillId="23" borderId="350" applyNumberFormat="0" applyFon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3" fillId="57" borderId="351" applyNumberFormat="0" applyAlignment="0" applyProtection="0"/>
    <xf numFmtId="0" fontId="80" fillId="0" borderId="353" applyNumberFormat="0" applyFill="0" applyAlignment="0" applyProtection="0"/>
    <xf numFmtId="0" fontId="80" fillId="0" borderId="333" applyNumberFormat="0" applyFill="0" applyAlignment="0" applyProtection="0"/>
    <xf numFmtId="0" fontId="80" fillId="0" borderId="333" applyNumberFormat="0" applyFill="0" applyAlignment="0" applyProtection="0"/>
    <xf numFmtId="0" fontId="80" fillId="0" borderId="333" applyNumberFormat="0" applyFill="0" applyAlignment="0" applyProtection="0"/>
    <xf numFmtId="0" fontId="80" fillId="0" borderId="333" applyNumberFormat="0" applyFill="0" applyAlignment="0" applyProtection="0"/>
    <xf numFmtId="0" fontId="80" fillId="0" borderId="333" applyNumberFormat="0" applyFill="0" applyAlignment="0" applyProtection="0"/>
    <xf numFmtId="0" fontId="80" fillId="0" borderId="333" applyNumberFormat="0" applyFill="0" applyAlignment="0" applyProtection="0"/>
    <xf numFmtId="0" fontId="80" fillId="0" borderId="333" applyNumberFormat="0" applyFill="0" applyAlignment="0" applyProtection="0"/>
    <xf numFmtId="0" fontId="80" fillId="0" borderId="333" applyNumberFormat="0" applyFill="0" applyAlignment="0" applyProtection="0"/>
    <xf numFmtId="0" fontId="80" fillId="0" borderId="333" applyNumberFormat="0" applyFill="0" applyAlignment="0" applyProtection="0"/>
    <xf numFmtId="0" fontId="80" fillId="0" borderId="333" applyNumberFormat="0" applyFill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23" borderId="350" applyNumberFormat="0" applyFont="0" applyAlignment="0" applyProtection="0"/>
    <xf numFmtId="0" fontId="23" fillId="23" borderId="165" applyNumberFormat="0" applyFont="0" applyAlignment="0" applyProtection="0"/>
    <xf numFmtId="0" fontId="36" fillId="26" borderId="344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6" fillId="0" borderId="335" applyNumberFormat="0" applyFill="0" applyProtection="0">
      <alignment horizontal="right"/>
    </xf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2" fillId="24" borderId="348" applyNumberFormat="0" applyAlignment="0" applyProtection="0"/>
    <xf numFmtId="0" fontId="81" fillId="58" borderId="356">
      <alignment horizontal="right" vertical="center"/>
    </xf>
    <xf numFmtId="0" fontId="32" fillId="24" borderId="344" applyNumberFormat="0" applyAlignment="0" applyProtection="0"/>
    <xf numFmtId="0" fontId="6" fillId="23" borderId="346" applyNumberFormat="0" applyFont="0" applyAlignment="0" applyProtection="0"/>
    <xf numFmtId="0" fontId="80" fillId="0" borderId="353" applyNumberFormat="0" applyFill="0" applyAlignment="0" applyProtection="0"/>
    <xf numFmtId="0" fontId="73" fillId="57" borderId="348" applyNumberFormat="0" applyAlignment="0" applyProtection="0"/>
    <xf numFmtId="0" fontId="32" fillId="24" borderId="348" applyNumberFormat="0" applyAlignment="0" applyProtection="0"/>
    <xf numFmtId="43" fontId="12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33" fillId="57" borderId="351" applyNumberFormat="0" applyAlignment="0" applyProtection="0"/>
    <xf numFmtId="0" fontId="23" fillId="23" borderId="165" applyNumberFormat="0" applyFont="0" applyAlignment="0" applyProtection="0"/>
    <xf numFmtId="0" fontId="36" fillId="26" borderId="344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32" fillId="27" borderId="344" applyNumberFormat="0" applyAlignment="0" applyProtection="0"/>
    <xf numFmtId="0" fontId="80" fillId="0" borderId="353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5" fillId="60" borderId="335" applyNumberFormat="0" applyProtection="0">
      <alignment horizontal="right"/>
    </xf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2" fillId="24" borderId="348" applyNumberFormat="0" applyAlignment="0" applyProtection="0"/>
    <xf numFmtId="0" fontId="32" fillId="24" borderId="344" applyNumberFormat="0" applyAlignment="0" applyProtection="0"/>
    <xf numFmtId="0" fontId="32" fillId="24" borderId="348" applyNumberFormat="0" applyAlignment="0" applyProtection="0"/>
    <xf numFmtId="0" fontId="6" fillId="23" borderId="346" applyNumberFormat="0" applyFont="0" applyAlignment="0" applyProtection="0"/>
    <xf numFmtId="0" fontId="80" fillId="0" borderId="357" applyNumberFormat="0" applyFill="0" applyAlignment="0" applyProtection="0"/>
    <xf numFmtId="43" fontId="124" fillId="0" borderId="0" applyFont="0" applyFill="0" applyBorder="0" applyAlignment="0" applyProtection="0"/>
    <xf numFmtId="0" fontId="33" fillId="57" borderId="351" applyNumberForma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33" fillId="57" borderId="351" applyNumberFormat="0" applyAlignment="0" applyProtection="0"/>
    <xf numFmtId="0" fontId="80" fillId="0" borderId="353" applyNumberFormat="0" applyFill="0" applyAlignment="0" applyProtection="0"/>
    <xf numFmtId="0" fontId="36" fillId="26" borderId="344" applyNumberFormat="0" applyAlignment="0" applyProtection="0"/>
    <xf numFmtId="0" fontId="73" fillId="57" borderId="348" applyNumberFormat="0" applyAlignment="0" applyProtection="0"/>
    <xf numFmtId="0" fontId="32" fillId="24" borderId="348" applyNumberFormat="0" applyAlignment="0" applyProtection="0"/>
    <xf numFmtId="0" fontId="5" fillId="60" borderId="354" applyNumberFormat="0" applyProtection="0">
      <alignment horizontal="left"/>
    </xf>
    <xf numFmtId="0" fontId="73" fillId="57" borderId="348" applyNumberFormat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6" fillId="0" borderId="335" applyNumberFormat="0" applyFill="0" applyProtection="0">
      <alignment horizontal="right"/>
    </xf>
    <xf numFmtId="0" fontId="5" fillId="60" borderId="335" applyNumberFormat="0" applyProtection="0">
      <alignment horizontal="right"/>
    </xf>
    <xf numFmtId="0" fontId="80" fillId="0" borderId="353" applyNumberFormat="0" applyFill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4" fontId="22" fillId="0" borderId="335" applyFill="0" applyBorder="0" applyProtection="0">
      <alignment horizontal="right" vertical="center"/>
    </xf>
    <xf numFmtId="0" fontId="32" fillId="24" borderId="344" applyNumberFormat="0" applyAlignment="0" applyProtection="0"/>
    <xf numFmtId="0" fontId="80" fillId="0" borderId="353" applyNumberFormat="0" applyFill="0" applyAlignment="0" applyProtection="0"/>
    <xf numFmtId="0" fontId="6" fillId="23" borderId="346" applyNumberFormat="0" applyFont="0" applyAlignment="0" applyProtection="0"/>
    <xf numFmtId="0" fontId="6" fillId="23" borderId="350" applyNumberFormat="0" applyFont="0" applyAlignment="0" applyProtection="0"/>
    <xf numFmtId="0" fontId="80" fillId="0" borderId="353" applyNumberFormat="0" applyFill="0" applyAlignment="0" applyProtection="0"/>
    <xf numFmtId="43" fontId="12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80" fillId="0" borderId="353" applyNumberFormat="0" applyFill="0" applyAlignment="0" applyProtection="0"/>
    <xf numFmtId="0" fontId="73" fillId="57" borderId="348" applyNumberFormat="0" applyAlignment="0" applyProtection="0"/>
    <xf numFmtId="0" fontId="81" fillId="36" borderId="354">
      <alignment horizontal="right" vertical="center"/>
    </xf>
    <xf numFmtId="0" fontId="33" fillId="26" borderId="351" applyNumberFormat="0" applyAlignment="0" applyProtection="0"/>
    <xf numFmtId="0" fontId="36" fillId="26" borderId="344" applyNumberFormat="0" applyAlignment="0" applyProtection="0"/>
    <xf numFmtId="0" fontId="73" fillId="57" borderId="348" applyNumberFormat="0" applyAlignment="0" applyProtection="0"/>
    <xf numFmtId="0" fontId="32" fillId="24" borderId="348" applyNumberFormat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6" fillId="71" borderId="335">
      <alignment horizontal="left" vertical="center" wrapText="1"/>
    </xf>
    <xf numFmtId="0" fontId="6" fillId="0" borderId="335" applyNumberFormat="0" applyFill="0" applyProtection="0">
      <alignment horizontal="right"/>
    </xf>
    <xf numFmtId="0" fontId="5" fillId="60" borderId="335" applyNumberFormat="0" applyProtection="0">
      <alignment horizontal="right"/>
    </xf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4" fontId="22" fillId="0" borderId="335" applyFill="0" applyBorder="0" applyProtection="0">
      <alignment horizontal="right" vertical="center"/>
    </xf>
    <xf numFmtId="0" fontId="128" fillId="36" borderId="354">
      <alignment horizontal="right" vertical="center"/>
    </xf>
    <xf numFmtId="0" fontId="6" fillId="23" borderId="346" applyNumberFormat="0" applyFont="0" applyAlignment="0" applyProtection="0"/>
    <xf numFmtId="0" fontId="80" fillId="0" borderId="353" applyNumberFormat="0" applyFill="0" applyAlignment="0" applyProtection="0"/>
    <xf numFmtId="0" fontId="33" fillId="26" borderId="351" applyNumberFormat="0" applyAlignment="0" applyProtection="0"/>
    <xf numFmtId="43" fontId="12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32" fillId="24" borderId="348" applyNumberFormat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6" fillId="70" borderId="335">
      <alignment horizontal="left" vertical="center" wrapText="1"/>
    </xf>
    <xf numFmtId="49" fontId="6" fillId="67" borderId="335">
      <alignment vertical="center" wrapText="1"/>
    </xf>
    <xf numFmtId="0" fontId="6" fillId="0" borderId="335" applyNumberFormat="0" applyFill="0" applyProtection="0">
      <alignment horizontal="right"/>
    </xf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6" fillId="23" borderId="346" applyNumberFormat="0" applyFont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33" fillId="26" borderId="351" applyNumberFormat="0" applyAlignment="0" applyProtection="0"/>
    <xf numFmtId="43" fontId="12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33" fillId="57" borderId="336" applyNumberFormat="0" applyAlignment="0" applyProtection="0"/>
    <xf numFmtId="0" fontId="6" fillId="23" borderId="346" applyNumberFormat="0" applyFont="0" applyAlignment="0" applyProtection="0"/>
    <xf numFmtId="0" fontId="33" fillId="57" borderId="351" applyNumberFormat="0" applyAlignment="0" applyProtection="0"/>
    <xf numFmtId="0" fontId="73" fillId="57" borderId="348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38" fillId="0" borderId="0" applyFont="0" applyFill="0" applyBorder="0" applyAlignment="0" applyProtection="0"/>
    <xf numFmtId="0" fontId="32" fillId="24" borderId="344" applyNumberForma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354" applyNumberFormat="0" applyFill="0" applyProtection="0">
      <alignment horizontal="right"/>
    </xf>
    <xf numFmtId="0" fontId="33" fillId="57" borderId="336" applyNumberFormat="0" applyAlignment="0" applyProtection="0"/>
    <xf numFmtId="0" fontId="33" fillId="57" borderId="336" applyNumberFormat="0" applyAlignment="0" applyProtection="0"/>
    <xf numFmtId="0" fontId="6" fillId="23" borderId="346" applyNumberFormat="0" applyFont="0" applyAlignment="0" applyProtection="0"/>
    <xf numFmtId="0" fontId="73" fillId="57" borderId="348" applyNumberFormat="0" applyAlignment="0" applyProtection="0"/>
    <xf numFmtId="43" fontId="1" fillId="0" borderId="0" applyFont="0" applyFill="0" applyBorder="0" applyAlignment="0" applyProtection="0"/>
    <xf numFmtId="0" fontId="6" fillId="0" borderId="330" applyNumberFormat="0" applyFill="0" applyProtection="0">
      <alignment horizontal="right"/>
    </xf>
    <xf numFmtId="0" fontId="6" fillId="0" borderId="330" applyNumberFormat="0" applyFill="0" applyProtection="0">
      <alignment horizontal="right"/>
    </xf>
    <xf numFmtId="0" fontId="5" fillId="60" borderId="330" applyNumberFormat="0" applyProtection="0">
      <alignment horizontal="right"/>
    </xf>
    <xf numFmtId="0" fontId="5" fillId="60" borderId="330" applyNumberFormat="0" applyProtection="0">
      <alignment horizontal="left"/>
    </xf>
    <xf numFmtId="0" fontId="6" fillId="0" borderId="330" applyNumberFormat="0" applyFill="0" applyProtection="0">
      <alignment horizontal="right"/>
    </xf>
    <xf numFmtId="0" fontId="6" fillId="0" borderId="330" applyNumberFormat="0" applyFill="0" applyProtection="0">
      <alignment horizontal="right"/>
    </xf>
    <xf numFmtId="0" fontId="6" fillId="66" borderId="331" applyBorder="0">
      <alignment horizontal="left" vertical="center"/>
    </xf>
    <xf numFmtId="49" fontId="6" fillId="67" borderId="330">
      <alignment vertical="center" wrapText="1"/>
    </xf>
    <xf numFmtId="0" fontId="6" fillId="68" borderId="329">
      <alignment horizontal="left" vertical="center" wrapText="1"/>
    </xf>
    <xf numFmtId="0" fontId="11" fillId="69" borderId="330">
      <alignment horizontal="left" vertical="center" wrapText="1"/>
    </xf>
    <xf numFmtId="0" fontId="6" fillId="70" borderId="330">
      <alignment horizontal="left" vertical="center" wrapText="1"/>
    </xf>
    <xf numFmtId="0" fontId="6" fillId="71" borderId="330">
      <alignment horizontal="left" vertical="center" wrapText="1"/>
    </xf>
    <xf numFmtId="43" fontId="1" fillId="0" borderId="0" applyFont="0" applyFill="0" applyBorder="0" applyAlignment="0" applyProtection="0"/>
    <xf numFmtId="0" fontId="32" fillId="24" borderId="348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3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3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" fillId="23" borderId="346" applyNumberFormat="0" applyFont="0" applyAlignment="0" applyProtection="0"/>
    <xf numFmtId="0" fontId="80" fillId="0" borderId="353" applyNumberFormat="0" applyFill="0" applyAlignment="0" applyProtection="0"/>
    <xf numFmtId="0" fontId="80" fillId="0" borderId="357" applyNumberFormat="0" applyFill="0" applyAlignment="0" applyProtection="0"/>
    <xf numFmtId="0" fontId="33" fillId="57" borderId="351" applyNumberFormat="0" applyAlignment="0" applyProtection="0"/>
    <xf numFmtId="0" fontId="5" fillId="9" borderId="278">
      <alignment horizontal="center" vertical="center" wrapText="1"/>
    </xf>
    <xf numFmtId="0" fontId="6" fillId="9" borderId="278">
      <alignment horizontal="center" vertical="center" wrapText="1"/>
    </xf>
    <xf numFmtId="0" fontId="6" fillId="9" borderId="278">
      <alignment horizontal="center" vertical="center" wrapText="1"/>
    </xf>
    <xf numFmtId="0" fontId="6" fillId="9" borderId="278">
      <alignment horizontal="center" vertical="center" wrapText="1"/>
    </xf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4" fillId="0" borderId="0" applyFont="0" applyFill="0" applyBorder="0" applyAlignment="0" applyProtection="0"/>
    <xf numFmtId="43" fontId="124" fillId="0" borderId="0" applyFont="0" applyFill="0" applyBorder="0" applyAlignment="0" applyProtection="0"/>
    <xf numFmtId="43" fontId="12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12" borderId="156">
      <alignment horizontal="center" vertical="center" wrapText="1"/>
    </xf>
    <xf numFmtId="0" fontId="6" fillId="12" borderId="156">
      <alignment horizontal="center" vertical="center" wrapText="1"/>
    </xf>
    <xf numFmtId="0" fontId="6" fillId="12" borderId="156">
      <alignment horizontal="center" vertical="center" wrapText="1"/>
    </xf>
    <xf numFmtId="0" fontId="6" fillId="12" borderId="156">
      <alignment horizontal="center" vertical="center" wrapText="1"/>
    </xf>
    <xf numFmtId="0" fontId="36" fillId="26" borderId="348" applyNumberFormat="0" applyAlignment="0" applyProtection="0"/>
    <xf numFmtId="0" fontId="6" fillId="23" borderId="350" applyNumberFormat="0" applyFont="0" applyAlignment="0" applyProtection="0"/>
    <xf numFmtId="0" fontId="33" fillId="57" borderId="351" applyNumberFormat="0" applyAlignment="0" applyProtection="0"/>
    <xf numFmtId="0" fontId="80" fillId="0" borderId="353" applyNumberFormat="0" applyFill="0" applyAlignment="0" applyProtection="0"/>
    <xf numFmtId="0" fontId="33" fillId="57" borderId="351" applyNumberFormat="0" applyAlignment="0" applyProtection="0"/>
    <xf numFmtId="0" fontId="32" fillId="24" borderId="348" applyNumberFormat="0" applyAlignment="0" applyProtection="0"/>
    <xf numFmtId="172" fontId="92" fillId="64" borderId="352">
      <alignment vertical="center"/>
    </xf>
    <xf numFmtId="0" fontId="6" fillId="23" borderId="350" applyNumberFormat="0" applyFont="0" applyAlignment="0" applyProtection="0"/>
    <xf numFmtId="4" fontId="22" fillId="0" borderId="339" applyFill="0" applyBorder="0" applyProtection="0">
      <alignment horizontal="right" vertical="center"/>
    </xf>
    <xf numFmtId="0" fontId="6" fillId="23" borderId="346" applyNumberFormat="0" applyFont="0" applyAlignment="0" applyProtection="0"/>
    <xf numFmtId="0" fontId="32" fillId="24" borderId="348" applyNumberFormat="0" applyAlignment="0" applyProtection="0"/>
    <xf numFmtId="0" fontId="80" fillId="0" borderId="353" applyNumberFormat="0" applyFill="0" applyAlignment="0" applyProtection="0"/>
    <xf numFmtId="0" fontId="80" fillId="0" borderId="338" applyNumberFormat="0" applyFill="0" applyAlignment="0" applyProtection="0"/>
    <xf numFmtId="0" fontId="80" fillId="0" borderId="338" applyNumberFormat="0" applyFill="0" applyAlignment="0" applyProtection="0"/>
    <xf numFmtId="0" fontId="11" fillId="69" borderId="335">
      <alignment horizontal="left" vertical="center" wrapText="1"/>
    </xf>
    <xf numFmtId="0" fontId="80" fillId="0" borderId="353" applyNumberFormat="0" applyFill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73" fillId="57" borderId="348" applyNumberFormat="0" applyAlignment="0" applyProtection="0"/>
    <xf numFmtId="0" fontId="32" fillId="24" borderId="348" applyNumberFormat="0" applyAlignment="0" applyProtection="0"/>
    <xf numFmtId="0" fontId="6" fillId="23" borderId="346" applyNumberFormat="0" applyFont="0" applyAlignment="0" applyProtection="0"/>
    <xf numFmtId="0" fontId="23" fillId="23" borderId="346" applyNumberFormat="0" applyFont="0" applyAlignment="0" applyProtection="0"/>
    <xf numFmtId="0" fontId="23" fillId="23" borderId="346" applyNumberFormat="0" applyFont="0" applyAlignment="0" applyProtection="0"/>
    <xf numFmtId="0" fontId="22" fillId="59" borderId="330"/>
    <xf numFmtId="0" fontId="6" fillId="0" borderId="330" applyNumberFormat="0" applyFill="0" applyProtection="0">
      <alignment horizontal="right"/>
    </xf>
    <xf numFmtId="0" fontId="6" fillId="0" borderId="330" applyNumberFormat="0" applyFill="0" applyProtection="0">
      <alignment horizontal="right"/>
    </xf>
    <xf numFmtId="0" fontId="6" fillId="0" borderId="330" applyNumberFormat="0" applyFill="0" applyProtection="0">
      <alignment horizontal="right"/>
    </xf>
    <xf numFmtId="0" fontId="6" fillId="0" borderId="330" applyNumberFormat="0" applyFill="0" applyProtection="0">
      <alignment horizontal="right"/>
    </xf>
    <xf numFmtId="0" fontId="5" fillId="60" borderId="330" applyNumberFormat="0" applyProtection="0">
      <alignment horizontal="right"/>
    </xf>
    <xf numFmtId="0" fontId="5" fillId="60" borderId="330" applyNumberFormat="0" applyProtection="0">
      <alignment horizontal="right"/>
    </xf>
    <xf numFmtId="0" fontId="5" fillId="60" borderId="330" applyNumberFormat="0" applyProtection="0">
      <alignment horizontal="right"/>
    </xf>
    <xf numFmtId="0" fontId="5" fillId="60" borderId="330" applyNumberFormat="0" applyProtection="0">
      <alignment horizontal="left"/>
    </xf>
    <xf numFmtId="0" fontId="5" fillId="60" borderId="330" applyNumberFormat="0" applyProtection="0">
      <alignment horizontal="left"/>
    </xf>
    <xf numFmtId="0" fontId="5" fillId="60" borderId="330" applyNumberFormat="0" applyProtection="0">
      <alignment horizontal="left"/>
    </xf>
    <xf numFmtId="0" fontId="6" fillId="0" borderId="330" applyNumberFormat="0" applyFill="0" applyProtection="0">
      <alignment horizontal="right"/>
    </xf>
    <xf numFmtId="0" fontId="6" fillId="0" borderId="330" applyNumberFormat="0" applyFill="0" applyProtection="0">
      <alignment horizontal="right"/>
    </xf>
    <xf numFmtId="0" fontId="6" fillId="0" borderId="330" applyNumberFormat="0" applyFill="0" applyProtection="0">
      <alignment horizontal="right"/>
    </xf>
    <xf numFmtId="0" fontId="6" fillId="0" borderId="330" applyNumberFormat="0" applyFill="0" applyProtection="0">
      <alignment horizontal="right"/>
    </xf>
    <xf numFmtId="0" fontId="32" fillId="24" borderId="348" applyNumberFormat="0" applyAlignment="0" applyProtection="0"/>
    <xf numFmtId="0" fontId="36" fillId="26" borderId="344" applyNumberFormat="0" applyAlignment="0" applyProtection="0"/>
    <xf numFmtId="0" fontId="32" fillId="24" borderId="344" applyNumberFormat="0" applyAlignment="0" applyProtection="0"/>
    <xf numFmtId="0" fontId="32" fillId="24" borderId="344" applyNumberFormat="0" applyAlignment="0" applyProtection="0"/>
    <xf numFmtId="0" fontId="32" fillId="24" borderId="344" applyNumberFormat="0" applyAlignment="0" applyProtection="0"/>
    <xf numFmtId="0" fontId="32" fillId="24" borderId="344" applyNumberFormat="0" applyAlignment="0" applyProtection="0"/>
    <xf numFmtId="0" fontId="6" fillId="23" borderId="350" applyNumberFormat="0" applyFont="0" applyAlignment="0" applyProtection="0"/>
    <xf numFmtId="0" fontId="80" fillId="0" borderId="353" applyNumberFormat="0" applyFill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23" borderId="346" applyNumberFormat="0" applyFont="0" applyAlignment="0" applyProtection="0"/>
    <xf numFmtId="0" fontId="6" fillId="23" borderId="346" applyNumberFormat="0" applyFont="0" applyAlignment="0" applyProtection="0"/>
    <xf numFmtId="0" fontId="6" fillId="23" borderId="346" applyNumberFormat="0" applyFont="0" applyAlignment="0" applyProtection="0"/>
    <xf numFmtId="0" fontId="32" fillId="24" borderId="348" applyNumberFormat="0" applyAlignment="0" applyProtection="0"/>
    <xf numFmtId="0" fontId="73" fillId="57" borderId="348" applyNumberFormat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73" fillId="57" borderId="348" applyNumberFormat="0" applyAlignment="0" applyProtection="0"/>
    <xf numFmtId="0" fontId="80" fillId="0" borderId="353" applyNumberFormat="0" applyFill="0" applyAlignment="0" applyProtection="0"/>
    <xf numFmtId="0" fontId="6" fillId="23" borderId="350" applyNumberFormat="0" applyFont="0" applyAlignment="0" applyProtection="0"/>
    <xf numFmtId="0" fontId="32" fillId="27" borderId="348" applyNumberFormat="0" applyAlignment="0" applyProtection="0"/>
    <xf numFmtId="0" fontId="33" fillId="57" borderId="351" applyNumberFormat="0" applyAlignment="0" applyProtection="0"/>
    <xf numFmtId="0" fontId="6" fillId="23" borderId="346" applyNumberFormat="0" applyFont="0" applyAlignment="0" applyProtection="0"/>
    <xf numFmtId="0" fontId="6" fillId="23" borderId="346" applyNumberFormat="0" applyFont="0" applyAlignment="0" applyProtection="0"/>
    <xf numFmtId="0" fontId="6" fillId="23" borderId="346" applyNumberFormat="0" applyFont="0" applyAlignment="0" applyProtection="0"/>
    <xf numFmtId="0" fontId="6" fillId="23" borderId="346" applyNumberFormat="0" applyFont="0" applyAlignment="0" applyProtection="0"/>
    <xf numFmtId="0" fontId="6" fillId="23" borderId="346" applyNumberFormat="0" applyFont="0" applyAlignment="0" applyProtection="0"/>
    <xf numFmtId="0" fontId="6" fillId="23" borderId="346" applyNumberFormat="0" applyFont="0" applyAlignment="0" applyProtection="0"/>
    <xf numFmtId="0" fontId="6" fillId="23" borderId="346" applyNumberFormat="0" applyFont="0" applyAlignment="0" applyProtection="0"/>
    <xf numFmtId="0" fontId="6" fillId="23" borderId="346" applyNumberFormat="0" applyFont="0" applyAlignment="0" applyProtection="0"/>
    <xf numFmtId="0" fontId="6" fillId="12" borderId="358">
      <alignment horizontal="center" vertical="center" wrapText="1"/>
    </xf>
    <xf numFmtId="0" fontId="32" fillId="24" borderId="344" applyNumberFormat="0" applyAlignment="0" applyProtection="0"/>
    <xf numFmtId="0" fontId="32" fillId="24" borderId="344" applyNumberFormat="0" applyAlignment="0" applyProtection="0"/>
    <xf numFmtId="0" fontId="32" fillId="24" borderId="344" applyNumberFormat="0" applyAlignment="0" applyProtection="0"/>
    <xf numFmtId="0" fontId="32" fillId="24" borderId="344" applyNumberFormat="0" applyAlignment="0" applyProtection="0"/>
    <xf numFmtId="0" fontId="73" fillId="57" borderId="348" applyNumberFormat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33" fillId="57" borderId="351" applyNumberFormat="0" applyAlignment="0" applyProtection="0"/>
    <xf numFmtId="0" fontId="73" fillId="57" borderId="344" applyNumberFormat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33" fillId="26" borderId="336" applyNumberFormat="0" applyAlignment="0" applyProtection="0"/>
    <xf numFmtId="0" fontId="33" fillId="26" borderId="336" applyNumberFormat="0" applyAlignment="0" applyProtection="0"/>
    <xf numFmtId="0" fontId="33" fillId="26" borderId="336" applyNumberFormat="0" applyAlignment="0" applyProtection="0"/>
    <xf numFmtId="0" fontId="33" fillId="26" borderId="336" applyNumberFormat="0" applyAlignment="0" applyProtection="0"/>
    <xf numFmtId="0" fontId="33" fillId="26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26" borderId="336" applyNumberFormat="0" applyAlignment="0" applyProtection="0"/>
    <xf numFmtId="0" fontId="33" fillId="26" borderId="336" applyNumberFormat="0" applyAlignment="0" applyProtection="0"/>
    <xf numFmtId="0" fontId="33" fillId="26" borderId="336" applyNumberFormat="0" applyAlignment="0" applyProtection="0"/>
    <xf numFmtId="0" fontId="33" fillId="26" borderId="336" applyNumberFormat="0" applyAlignment="0" applyProtection="0"/>
    <xf numFmtId="0" fontId="33" fillId="26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36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33" fillId="57" borderId="336" applyNumberFormat="0" applyAlignment="0" applyProtection="0"/>
    <xf numFmtId="0" fontId="73" fillId="57" borderId="159" applyNumberFormat="0" applyAlignment="0" applyProtection="0"/>
    <xf numFmtId="0" fontId="32" fillId="24" borderId="159" applyNumberFormat="0" applyAlignment="0" applyProtection="0"/>
    <xf numFmtId="0" fontId="80" fillId="0" borderId="338" applyNumberFormat="0" applyFill="0" applyAlignment="0" applyProtection="0"/>
    <xf numFmtId="0" fontId="23" fillId="23" borderId="165" applyNumberFormat="0" applyFont="0" applyAlignment="0" applyProtection="0"/>
    <xf numFmtId="0" fontId="6" fillId="23" borderId="165" applyNumberFormat="0" applyFont="0" applyAlignment="0" applyProtection="0"/>
    <xf numFmtId="0" fontId="6" fillId="23" borderId="165" applyNumberFormat="0" applyFont="0" applyAlignment="0" applyProtection="0"/>
    <xf numFmtId="49" fontId="6" fillId="62" borderId="170">
      <alignment vertical="top" wrapText="1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5" fillId="60" borderId="335" applyNumberFormat="0" applyProtection="0">
      <alignment horizontal="right"/>
    </xf>
    <xf numFmtId="0" fontId="5" fillId="60" borderId="335" applyNumberFormat="0" applyProtection="0">
      <alignment horizontal="left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172" fontId="92" fillId="64" borderId="337">
      <alignment vertical="center"/>
    </xf>
    <xf numFmtId="177" fontId="93" fillId="64" borderId="337">
      <alignment vertical="center"/>
    </xf>
    <xf numFmtId="172" fontId="94" fillId="65" borderId="337">
      <alignment vertical="center"/>
    </xf>
    <xf numFmtId="0" fontId="6" fillId="66" borderId="172" applyBorder="0">
      <alignment horizontal="left" vertical="center"/>
    </xf>
    <xf numFmtId="49" fontId="6" fillId="67" borderId="335">
      <alignment vertical="center" wrapText="1"/>
    </xf>
    <xf numFmtId="0" fontId="6" fillId="68" borderId="334">
      <alignment horizontal="left" vertical="center" wrapText="1"/>
    </xf>
    <xf numFmtId="0" fontId="11" fillId="69" borderId="335">
      <alignment horizontal="left" vertical="center" wrapText="1"/>
    </xf>
    <xf numFmtId="0" fontId="6" fillId="70" borderId="335">
      <alignment horizontal="left" vertical="center" wrapText="1"/>
    </xf>
    <xf numFmtId="0" fontId="6" fillId="71" borderId="335">
      <alignment horizontal="left" vertical="center" wrapText="1"/>
    </xf>
    <xf numFmtId="0" fontId="32" fillId="27" borderId="348" applyNumberFormat="0" applyAlignment="0" applyProtection="0"/>
    <xf numFmtId="0" fontId="80" fillId="0" borderId="353" applyNumberFormat="0" applyFill="0" applyAlignment="0" applyProtection="0"/>
    <xf numFmtId="0" fontId="5" fillId="9" borderId="340">
      <alignment horizontal="center" vertical="center" wrapText="1"/>
    </xf>
    <xf numFmtId="0" fontId="6" fillId="9" borderId="340">
      <alignment horizontal="center" vertical="center" wrapText="1"/>
    </xf>
    <xf numFmtId="0" fontId="6" fillId="9" borderId="340">
      <alignment horizontal="center" vertical="center" wrapText="1"/>
    </xf>
    <xf numFmtId="0" fontId="6" fillId="9" borderId="340">
      <alignment horizontal="center" vertical="center" wrapText="1"/>
    </xf>
    <xf numFmtId="0" fontId="73" fillId="57" borderId="159" applyNumberFormat="0" applyAlignment="0" applyProtection="0"/>
    <xf numFmtId="0" fontId="80" fillId="0" borderId="353" applyNumberFormat="0" applyFill="0" applyAlignment="0" applyProtection="0"/>
    <xf numFmtId="0" fontId="36" fillId="26" borderId="348" applyNumberFormat="0" applyAlignment="0" applyProtection="0"/>
    <xf numFmtId="0" fontId="36" fillId="26" borderId="348" applyNumberFormat="0" applyAlignment="0" applyProtection="0"/>
    <xf numFmtId="0" fontId="6" fillId="12" borderId="343">
      <alignment horizontal="center" vertical="center" wrapText="1"/>
    </xf>
    <xf numFmtId="0" fontId="6" fillId="12" borderId="343">
      <alignment horizontal="center" vertical="center" wrapText="1"/>
    </xf>
    <xf numFmtId="0" fontId="6" fillId="12" borderId="343">
      <alignment horizontal="center" vertical="center" wrapText="1"/>
    </xf>
    <xf numFmtId="0" fontId="6" fillId="12" borderId="343">
      <alignment horizontal="center" vertical="center" wrapText="1"/>
    </xf>
    <xf numFmtId="0" fontId="32" fillId="24" borderId="159" applyNumberFormat="0" applyAlignment="0" applyProtection="0"/>
    <xf numFmtId="0" fontId="33" fillId="26" borderId="351" applyNumberFormat="0" applyAlignment="0" applyProtection="0"/>
    <xf numFmtId="0" fontId="33" fillId="26" borderId="351" applyNumberFormat="0" applyAlignment="0" applyProtection="0"/>
    <xf numFmtId="0" fontId="33" fillId="57" borderId="351" applyNumberFormat="0" applyAlignment="0" applyProtection="0"/>
    <xf numFmtId="0" fontId="73" fillId="57" borderId="348" applyNumberFormat="0" applyAlignment="0" applyProtection="0"/>
    <xf numFmtId="0" fontId="6" fillId="23" borderId="350" applyNumberFormat="0" applyFont="0" applyAlignment="0" applyProtection="0"/>
    <xf numFmtId="0" fontId="33" fillId="57" borderId="351" applyNumberFormat="0" applyAlignment="0" applyProtection="0"/>
    <xf numFmtId="0" fontId="6" fillId="23" borderId="346" applyNumberFormat="0" applyFont="0" applyAlignment="0" applyProtection="0"/>
    <xf numFmtId="0" fontId="23" fillId="23" borderId="346" applyNumberFormat="0" applyFont="0" applyAlignment="0" applyProtection="0"/>
    <xf numFmtId="0" fontId="6" fillId="23" borderId="346" applyNumberFormat="0" applyFont="0" applyAlignment="0" applyProtection="0"/>
    <xf numFmtId="0" fontId="32" fillId="24" borderId="344" applyNumberFormat="0" applyAlignment="0" applyProtection="0"/>
    <xf numFmtId="0" fontId="32" fillId="24" borderId="344" applyNumberFormat="0" applyAlignment="0" applyProtection="0"/>
    <xf numFmtId="0" fontId="23" fillId="23" borderId="165" applyNumberFormat="0" applyFont="0" applyAlignment="0" applyProtection="0"/>
    <xf numFmtId="0" fontId="73" fillId="57" borderId="348" applyNumberFormat="0" applyAlignment="0" applyProtection="0"/>
    <xf numFmtId="0" fontId="22" fillId="59" borderId="335"/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5" fillId="60" borderId="335" applyNumberFormat="0" applyProtection="0">
      <alignment horizontal="right"/>
    </xf>
    <xf numFmtId="0" fontId="5" fillId="60" borderId="335" applyNumberFormat="0" applyProtection="0">
      <alignment horizontal="right"/>
    </xf>
    <xf numFmtId="0" fontId="5" fillId="60" borderId="335" applyNumberFormat="0" applyProtection="0">
      <alignment horizontal="right"/>
    </xf>
    <xf numFmtId="0" fontId="5" fillId="60" borderId="335" applyNumberFormat="0" applyProtection="0">
      <alignment horizontal="left"/>
    </xf>
    <xf numFmtId="0" fontId="5" fillId="60" borderId="335" applyNumberFormat="0" applyProtection="0">
      <alignment horizontal="left"/>
    </xf>
    <xf numFmtId="0" fontId="5" fillId="60" borderId="335" applyNumberFormat="0" applyProtection="0">
      <alignment horizontal="left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33" fillId="26" borderId="351" applyNumberFormat="0" applyAlignment="0" applyProtection="0"/>
    <xf numFmtId="0" fontId="80" fillId="0" borderId="338" applyNumberFormat="0" applyFill="0" applyAlignment="0" applyProtection="0"/>
    <xf numFmtId="0" fontId="32" fillId="24" borderId="348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62" fillId="57" borderId="336" applyNumberFormat="0" applyAlignment="0" applyProtection="0"/>
    <xf numFmtId="0" fontId="33" fillId="26" borderId="351" applyNumberFormat="0" applyAlignment="0" applyProtection="0"/>
    <xf numFmtId="0" fontId="65" fillId="0" borderId="338" applyNumberFormat="0" applyFill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80" fillId="0" borderId="357" applyNumberFormat="0" applyFill="0" applyAlignment="0" applyProtection="0"/>
    <xf numFmtId="0" fontId="80" fillId="0" borderId="357" applyNumberFormat="0" applyFill="0" applyAlignment="0" applyProtection="0"/>
    <xf numFmtId="0" fontId="33" fillId="57" borderId="351" applyNumberFormat="0" applyAlignment="0" applyProtection="0"/>
    <xf numFmtId="0" fontId="80" fillId="0" borderId="357" applyNumberFormat="0" applyFill="0" applyAlignment="0" applyProtection="0"/>
    <xf numFmtId="0" fontId="80" fillId="0" borderId="357" applyNumberFormat="0" applyFill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6" fillId="23" borderId="350" applyNumberFormat="0" applyFont="0" applyAlignment="0" applyProtection="0"/>
    <xf numFmtId="0" fontId="73" fillId="57" borderId="344" applyNumberFormat="0" applyAlignment="0" applyProtection="0"/>
    <xf numFmtId="0" fontId="32" fillId="24" borderId="344" applyNumberFormat="0" applyAlignment="0" applyProtection="0"/>
    <xf numFmtId="0" fontId="33" fillId="57" borderId="351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23" fillId="23" borderId="346" applyNumberFormat="0" applyFont="0" applyAlignment="0" applyProtection="0"/>
    <xf numFmtId="0" fontId="6" fillId="23" borderId="346" applyNumberFormat="0" applyFont="0" applyAlignment="0" applyProtection="0"/>
    <xf numFmtId="0" fontId="6" fillId="23" borderId="346" applyNumberFormat="0" applyFont="0" applyAlignment="0" applyProtection="0"/>
    <xf numFmtId="49" fontId="6" fillId="62" borderId="345">
      <alignment vertical="top" wrapText="1"/>
    </xf>
    <xf numFmtId="0" fontId="73" fillId="57" borderId="344" applyNumberFormat="0" applyAlignment="0" applyProtection="0"/>
    <xf numFmtId="0" fontId="32" fillId="24" borderId="344" applyNumberFormat="0" applyAlignment="0" applyProtection="0"/>
    <xf numFmtId="0" fontId="33" fillId="26" borderId="351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23" fillId="23" borderId="346" applyNumberFormat="0" applyFont="0" applyAlignment="0" applyProtection="0"/>
    <xf numFmtId="0" fontId="53" fillId="24" borderId="344" applyNumberFormat="0" applyAlignment="0" applyProtection="0"/>
    <xf numFmtId="0" fontId="51" fillId="23" borderId="346" applyNumberFormat="0" applyFont="0" applyAlignment="0" applyProtection="0"/>
    <xf numFmtId="0" fontId="68" fillId="57" borderId="344" applyNumberFormat="0" applyAlignment="0" applyProtection="0"/>
    <xf numFmtId="0" fontId="36" fillId="26" borderId="348" applyNumberFormat="0" applyAlignment="0" applyProtection="0"/>
    <xf numFmtId="0" fontId="36" fillId="26" borderId="348" applyNumberFormat="0" applyAlignment="0" applyProtection="0"/>
    <xf numFmtId="0" fontId="36" fillId="26" borderId="348" applyNumberFormat="0" applyAlignment="0" applyProtection="0"/>
    <xf numFmtId="0" fontId="33" fillId="57" borderId="351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6" fillId="66" borderId="347" applyBorder="0">
      <alignment horizontal="left" vertical="center"/>
    </xf>
    <xf numFmtId="0" fontId="22" fillId="0" borderId="354" applyNumberFormat="0" applyFill="0" applyAlignment="0" applyProtection="0"/>
    <xf numFmtId="0" fontId="23" fillId="23" borderId="350" applyNumberFormat="0" applyFont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73" fillId="57" borderId="348" applyNumberFormat="0" applyAlignment="0" applyProtection="0"/>
    <xf numFmtId="0" fontId="6" fillId="23" borderId="350" applyNumberFormat="0" applyFont="0" applyAlignment="0" applyProtection="0"/>
    <xf numFmtId="0" fontId="65" fillId="0" borderId="353" applyNumberFormat="0" applyFill="0" applyAlignment="0" applyProtection="0"/>
    <xf numFmtId="0" fontId="80" fillId="0" borderId="353" applyNumberFormat="0" applyFill="0" applyAlignment="0" applyProtection="0"/>
    <xf numFmtId="0" fontId="6" fillId="0" borderId="354" applyNumberFormat="0" applyFill="0" applyProtection="0">
      <alignment horizontal="right"/>
    </xf>
    <xf numFmtId="0" fontId="6" fillId="0" borderId="354" applyNumberFormat="0" applyFill="0" applyProtection="0">
      <alignment horizontal="right"/>
    </xf>
    <xf numFmtId="0" fontId="32" fillId="24" borderId="348" applyNumberFormat="0" applyAlignment="0" applyProtection="0"/>
    <xf numFmtId="0" fontId="68" fillId="57" borderId="348" applyNumberFormat="0" applyAlignment="0" applyProtection="0"/>
    <xf numFmtId="0" fontId="152" fillId="0" borderId="0"/>
    <xf numFmtId="0" fontId="15" fillId="0" borderId="0"/>
    <xf numFmtId="43" fontId="6" fillId="0" borderId="0" applyFont="0" applyFill="0" applyBorder="0" applyAlignment="0" applyProtection="0"/>
    <xf numFmtId="0" fontId="6" fillId="0" borderId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6" fillId="66" borderId="423" applyBorder="0">
      <alignment horizontal="left" vertical="center"/>
    </xf>
    <xf numFmtId="0" fontId="6" fillId="68" borderId="454">
      <alignment horizontal="left" vertical="center" wrapText="1"/>
    </xf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0" fontId="6" fillId="23" borderId="350" applyNumberFormat="0" applyFont="0" applyAlignment="0" applyProtection="0"/>
    <xf numFmtId="0" fontId="76" fillId="0" borderId="319" applyNumberFormat="0" applyFill="0" applyAlignment="0" applyProtection="0"/>
    <xf numFmtId="0" fontId="80" fillId="0" borderId="353" applyNumberFormat="0" applyFill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9" fontId="22" fillId="0" borderId="335" applyNumberFormat="0" applyFont="0" applyFill="0" applyBorder="0" applyProtection="0">
      <alignment horizontal="left" vertical="center" indent="2"/>
    </xf>
    <xf numFmtId="0" fontId="36" fillId="26" borderId="348" applyNumberForma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23" borderId="350" applyNumberFormat="0" applyFont="0" applyAlignment="0" applyProtection="0"/>
    <xf numFmtId="0" fontId="32" fillId="27" borderId="348" applyNumberFormat="0" applyAlignment="0" applyProtection="0"/>
    <xf numFmtId="0" fontId="15" fillId="0" borderId="0"/>
    <xf numFmtId="0" fontId="33" fillId="26" borderId="351" applyNumberFormat="0" applyAlignment="0" applyProtection="0"/>
    <xf numFmtId="0" fontId="31" fillId="0" borderId="326" applyNumberFormat="0" applyFill="0" applyAlignment="0" applyProtection="0"/>
    <xf numFmtId="49" fontId="22" fillId="0" borderId="335" applyNumberFormat="0" applyFont="0" applyFill="0" applyBorder="0" applyProtection="0">
      <alignment horizontal="left" vertical="center" indent="2"/>
    </xf>
    <xf numFmtId="0" fontId="36" fillId="26" borderId="348" applyNumberFormat="0" applyAlignment="0" applyProtection="0"/>
    <xf numFmtId="0" fontId="6" fillId="23" borderId="350" applyNumberFormat="0" applyFont="0" applyAlignment="0" applyProtection="0"/>
    <xf numFmtId="0" fontId="32" fillId="27" borderId="348" applyNumberFormat="0" applyAlignment="0" applyProtection="0"/>
    <xf numFmtId="0" fontId="33" fillId="26" borderId="351" applyNumberFormat="0" applyAlignment="0" applyProtection="0"/>
    <xf numFmtId="43" fontId="6" fillId="0" borderId="0" applyFont="0" applyFill="0" applyBorder="0" applyAlignment="0" applyProtection="0"/>
    <xf numFmtId="0" fontId="53" fillId="24" borderId="348" applyNumberFormat="0" applyAlignment="0" applyProtection="0"/>
    <xf numFmtId="0" fontId="51" fillId="23" borderId="350" applyNumberFormat="0" applyFont="0" applyAlignment="0" applyProtection="0"/>
    <xf numFmtId="0" fontId="62" fillId="57" borderId="351" applyNumberFormat="0" applyAlignment="0" applyProtection="0"/>
    <xf numFmtId="0" fontId="65" fillId="0" borderId="353" applyNumberFormat="0" applyFill="0" applyAlignment="0" applyProtection="0"/>
    <xf numFmtId="0" fontId="68" fillId="57" borderId="348" applyNumberFormat="0" applyAlignment="0" applyProtection="0"/>
    <xf numFmtId="0" fontId="6" fillId="0" borderId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22" fillId="0" borderId="285">
      <alignment horizontal="left" vertical="center" wrapText="1" indent="2"/>
    </xf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2" fillId="0" borderId="285">
      <alignment horizontal="left" vertical="center" wrapText="1" indent="2"/>
    </xf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4" fontId="22" fillId="0" borderId="335" applyFill="0" applyBorder="0" applyProtection="0">
      <alignment horizontal="right" vertical="center"/>
    </xf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5" fillId="60" borderId="335" applyNumberFormat="0" applyProtection="0">
      <alignment horizontal="right"/>
    </xf>
    <xf numFmtId="0" fontId="5" fillId="60" borderId="335" applyNumberFormat="0" applyProtection="0">
      <alignment horizontal="left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58" fillId="31" borderId="163" applyNumberFormat="0" applyAlignment="0" applyProtection="0"/>
    <xf numFmtId="0" fontId="57" fillId="0" borderId="319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33" fillId="26" borderId="351" applyNumberFormat="0" applyAlignment="0" applyProtection="0"/>
    <xf numFmtId="0" fontId="32" fillId="27" borderId="348" applyNumberFormat="0" applyAlignment="0" applyProtection="0"/>
    <xf numFmtId="0" fontId="6" fillId="23" borderId="350" applyNumberFormat="0" applyFont="0" applyAlignment="0" applyProtection="0"/>
    <xf numFmtId="0" fontId="36" fillId="26" borderId="348" applyNumberFormat="0" applyAlignment="0" applyProtection="0"/>
    <xf numFmtId="0" fontId="26" fillId="31" borderId="163" applyNumberFormat="0" applyAlignment="0" applyProtection="0"/>
    <xf numFmtId="0" fontId="31" fillId="0" borderId="326" applyNumberFormat="0" applyFill="0" applyAlignment="0" applyProtection="0"/>
    <xf numFmtId="0" fontId="33" fillId="26" borderId="351" applyNumberFormat="0" applyAlignment="0" applyProtection="0"/>
    <xf numFmtId="0" fontId="32" fillId="27" borderId="348" applyNumberFormat="0" applyAlignment="0" applyProtection="0"/>
    <xf numFmtId="0" fontId="6" fillId="23" borderId="350" applyNumberFormat="0" applyFont="0" applyAlignment="0" applyProtection="0"/>
    <xf numFmtId="0" fontId="36" fillId="26" borderId="348" applyNumberFormat="0" applyAlignment="0" applyProtection="0"/>
    <xf numFmtId="49" fontId="22" fillId="0" borderId="335" applyNumberFormat="0" applyFont="0" applyFill="0" applyBorder="0" applyProtection="0">
      <alignment horizontal="left" vertical="center" indent="2"/>
    </xf>
    <xf numFmtId="43" fontId="1" fillId="0" borderId="0" applyFont="0" applyFill="0" applyBorder="0" applyAlignment="0" applyProtection="0"/>
    <xf numFmtId="49" fontId="6" fillId="62" borderId="349">
      <alignment vertical="top" wrapText="1"/>
    </xf>
    <xf numFmtId="0" fontId="23" fillId="23" borderId="350" applyNumberFormat="0" applyFont="0" applyAlignment="0" applyProtection="0"/>
    <xf numFmtId="172" fontId="92" fillId="64" borderId="352">
      <alignment vertical="center"/>
    </xf>
    <xf numFmtId="177" fontId="93" fillId="64" borderId="352">
      <alignment vertical="center"/>
    </xf>
    <xf numFmtId="172" fontId="94" fillId="65" borderId="352">
      <alignment vertical="center"/>
    </xf>
    <xf numFmtId="0" fontId="6" fillId="66" borderId="423" applyBorder="0">
      <alignment horizontal="left" vertical="center"/>
    </xf>
    <xf numFmtId="49" fontId="6" fillId="67" borderId="335">
      <alignment vertical="center" wrapText="1"/>
    </xf>
    <xf numFmtId="0" fontId="6" fillId="68" borderId="454">
      <alignment horizontal="left" vertical="center" wrapText="1"/>
    </xf>
    <xf numFmtId="0" fontId="11" fillId="69" borderId="335">
      <alignment horizontal="left" vertical="center" wrapText="1"/>
    </xf>
    <xf numFmtId="0" fontId="6" fillId="70" borderId="335">
      <alignment horizontal="left" vertical="center" wrapText="1"/>
    </xf>
    <xf numFmtId="0" fontId="6" fillId="71" borderId="335">
      <alignment horizontal="left" vertical="center" wrapText="1"/>
    </xf>
    <xf numFmtId="43" fontId="1" fillId="0" borderId="0" applyFont="0" applyFill="0" applyBorder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20" fillId="0" borderId="0"/>
    <xf numFmtId="4" fontId="22" fillId="0" borderId="335" applyFill="0" applyBorder="0" applyProtection="0">
      <alignment horizontal="right" vertical="center"/>
    </xf>
    <xf numFmtId="0" fontId="6" fillId="0" borderId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5" fillId="60" borderId="335" applyNumberFormat="0" applyProtection="0">
      <alignment horizontal="right"/>
    </xf>
    <xf numFmtId="0" fontId="5" fillId="60" borderId="335" applyNumberFormat="0" applyProtection="0">
      <alignment horizontal="left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4" fontId="22" fillId="0" borderId="335" applyFill="0" applyBorder="0" applyProtection="0">
      <alignment horizontal="right" vertical="center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5" fillId="60" borderId="335" applyNumberFormat="0" applyProtection="0">
      <alignment horizontal="right"/>
    </xf>
    <xf numFmtId="0" fontId="5" fillId="60" borderId="335" applyNumberFormat="0" applyProtection="0">
      <alignment horizontal="left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6" fillId="0" borderId="0"/>
    <xf numFmtId="0" fontId="6" fillId="0" borderId="0"/>
    <xf numFmtId="49" fontId="22" fillId="0" borderId="335" applyNumberFormat="0" applyFont="0" applyFill="0" applyBorder="0" applyProtection="0">
      <alignment horizontal="left" vertical="center" indent="2"/>
    </xf>
    <xf numFmtId="43" fontId="6" fillId="0" borderId="0" applyFont="0" applyFill="0" applyBorder="0" applyAlignment="0" applyProtection="0"/>
    <xf numFmtId="0" fontId="73" fillId="57" borderId="348" applyNumberFormat="0" applyAlignment="0" applyProtection="0"/>
    <xf numFmtId="41" fontId="6" fillId="0" borderId="0" applyFont="0" applyFill="0" applyBorder="0" applyAlignment="0" applyProtection="0"/>
    <xf numFmtId="0" fontId="6" fillId="23" borderId="350" applyNumberFormat="0" applyFont="0" applyAlignment="0" applyProtection="0"/>
    <xf numFmtId="0" fontId="76" fillId="0" borderId="319" applyNumberFormat="0" applyFill="0" applyAlignment="0" applyProtection="0"/>
    <xf numFmtId="0" fontId="80" fillId="0" borderId="353" applyNumberFormat="0" applyFill="0" applyAlignment="0" applyProtection="0"/>
    <xf numFmtId="0" fontId="6" fillId="0" borderId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9" fontId="22" fillId="0" borderId="335" applyNumberFormat="0" applyFont="0" applyFill="0" applyBorder="0" applyProtection="0">
      <alignment horizontal="left" vertical="center" indent="2"/>
    </xf>
    <xf numFmtId="0" fontId="36" fillId="26" borderId="348" applyNumberForma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23" borderId="350" applyNumberFormat="0" applyFont="0" applyAlignment="0" applyProtection="0"/>
    <xf numFmtId="0" fontId="32" fillId="27" borderId="348" applyNumberFormat="0" applyAlignment="0" applyProtection="0"/>
    <xf numFmtId="0" fontId="33" fillId="26" borderId="351" applyNumberFormat="0" applyAlignment="0" applyProtection="0"/>
    <xf numFmtId="49" fontId="22" fillId="0" borderId="335" applyNumberFormat="0" applyFont="0" applyFill="0" applyBorder="0" applyProtection="0">
      <alignment horizontal="left" vertical="center" indent="2"/>
    </xf>
    <xf numFmtId="0" fontId="36" fillId="26" borderId="348" applyNumberFormat="0" applyAlignment="0" applyProtection="0"/>
    <xf numFmtId="0" fontId="6" fillId="23" borderId="350" applyNumberFormat="0" applyFont="0" applyAlignment="0" applyProtection="0"/>
    <xf numFmtId="0" fontId="32" fillId="27" borderId="348" applyNumberFormat="0" applyAlignment="0" applyProtection="0"/>
    <xf numFmtId="0" fontId="33" fillId="26" borderId="351" applyNumberFormat="0" applyAlignment="0" applyProtection="0"/>
    <xf numFmtId="43" fontId="6" fillId="0" borderId="0" applyFont="0" applyFill="0" applyBorder="0" applyAlignment="0" applyProtection="0"/>
    <xf numFmtId="0" fontId="80" fillId="0" borderId="353" applyNumberFormat="0" applyFill="0" applyAlignment="0" applyProtection="0"/>
    <xf numFmtId="0" fontId="53" fillId="24" borderId="348" applyNumberFormat="0" applyAlignment="0" applyProtection="0"/>
    <xf numFmtId="0" fontId="51" fillId="23" borderId="350" applyNumberFormat="0" applyFont="0" applyAlignment="0" applyProtection="0"/>
    <xf numFmtId="0" fontId="62" fillId="57" borderId="351" applyNumberFormat="0" applyAlignment="0" applyProtection="0"/>
    <xf numFmtId="0" fontId="65" fillId="0" borderId="353" applyNumberFormat="0" applyFill="0" applyAlignment="0" applyProtection="0"/>
    <xf numFmtId="0" fontId="68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4" fontId="22" fillId="0" borderId="335" applyFill="0" applyBorder="0" applyProtection="0">
      <alignment horizontal="right" vertical="center"/>
    </xf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5" fillId="60" borderId="335" applyNumberFormat="0" applyProtection="0">
      <alignment horizontal="right"/>
    </xf>
    <xf numFmtId="0" fontId="5" fillId="60" borderId="335" applyNumberFormat="0" applyProtection="0">
      <alignment horizontal="left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49" fontId="6" fillId="62" borderId="349">
      <alignment vertical="top" wrapText="1"/>
    </xf>
    <xf numFmtId="0" fontId="23" fillId="23" borderId="350" applyNumberFormat="0" applyFont="0" applyAlignment="0" applyProtection="0"/>
    <xf numFmtId="172" fontId="92" fillId="64" borderId="352">
      <alignment vertical="center"/>
    </xf>
    <xf numFmtId="177" fontId="93" fillId="64" borderId="352">
      <alignment vertical="center"/>
    </xf>
    <xf numFmtId="172" fontId="94" fillId="65" borderId="352">
      <alignment vertical="center"/>
    </xf>
    <xf numFmtId="0" fontId="6" fillId="66" borderId="423" applyBorder="0">
      <alignment horizontal="left" vertical="center"/>
    </xf>
    <xf numFmtId="49" fontId="6" fillId="67" borderId="335">
      <alignment vertical="center" wrapText="1"/>
    </xf>
    <xf numFmtId="0" fontId="6" fillId="68" borderId="454">
      <alignment horizontal="left" vertical="center" wrapText="1"/>
    </xf>
    <xf numFmtId="0" fontId="11" fillId="69" borderId="335">
      <alignment horizontal="left" vertical="center" wrapText="1"/>
    </xf>
    <xf numFmtId="0" fontId="6" fillId="70" borderId="335">
      <alignment horizontal="left" vertical="center" wrapText="1"/>
    </xf>
    <xf numFmtId="0" fontId="6" fillId="71" borderId="335">
      <alignment horizontal="left" vertical="center" wrapText="1"/>
    </xf>
    <xf numFmtId="43" fontId="1" fillId="0" borderId="0" applyFont="0" applyFill="0" applyBorder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4" fontId="22" fillId="0" borderId="335" applyFill="0" applyBorder="0" applyProtection="0">
      <alignment horizontal="right" vertical="center"/>
    </xf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5" fillId="60" borderId="335" applyNumberFormat="0" applyProtection="0">
      <alignment horizontal="right"/>
    </xf>
    <xf numFmtId="0" fontId="5" fillId="60" borderId="335" applyNumberFormat="0" applyProtection="0">
      <alignment horizontal="left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4" fontId="22" fillId="0" borderId="335" applyFill="0" applyBorder="0" applyProtection="0">
      <alignment horizontal="right" vertical="center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5" fillId="60" borderId="335" applyNumberFormat="0" applyProtection="0">
      <alignment horizontal="right"/>
    </xf>
    <xf numFmtId="0" fontId="5" fillId="60" borderId="335" applyNumberFormat="0" applyProtection="0">
      <alignment horizontal="left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49" fontId="22" fillId="0" borderId="335" applyNumberFormat="0" applyFont="0" applyFill="0" applyBorder="0" applyProtection="0">
      <alignment horizontal="left" vertical="center" indent="2"/>
    </xf>
    <xf numFmtId="43" fontId="6" fillId="0" borderId="0" applyFont="0" applyFill="0" applyBorder="0" applyAlignment="0" applyProtection="0"/>
    <xf numFmtId="0" fontId="73" fillId="57" borderId="348" applyNumberFormat="0" applyAlignment="0" applyProtection="0"/>
    <xf numFmtId="41" fontId="6" fillId="0" borderId="0" applyFont="0" applyFill="0" applyBorder="0" applyAlignment="0" applyProtection="0"/>
    <xf numFmtId="0" fontId="6" fillId="23" borderId="350" applyNumberFormat="0" applyFont="0" applyAlignment="0" applyProtection="0"/>
    <xf numFmtId="0" fontId="80" fillId="0" borderId="353" applyNumberFormat="0" applyFill="0" applyAlignment="0" applyProtection="0"/>
    <xf numFmtId="43" fontId="6" fillId="0" borderId="0" applyFont="0" applyFill="0" applyBorder="0" applyAlignment="0" applyProtection="0"/>
    <xf numFmtId="4" fontId="22" fillId="0" borderId="335" applyFill="0" applyBorder="0" applyProtection="0">
      <alignment horizontal="right" vertical="center"/>
    </xf>
    <xf numFmtId="0" fontId="36" fillId="26" borderId="348" applyNumberFormat="0" applyAlignment="0" applyProtection="0"/>
    <xf numFmtId="0" fontId="6" fillId="23" borderId="350" applyNumberFormat="0" applyFont="0" applyAlignment="0" applyProtection="0"/>
    <xf numFmtId="0" fontId="32" fillId="27" borderId="348" applyNumberFormat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33" fillId="26" borderId="351" applyNumberFormat="0" applyAlignment="0" applyProtection="0"/>
    <xf numFmtId="0" fontId="80" fillId="0" borderId="353" applyNumberFormat="0" applyFill="0" applyAlignment="0" applyProtection="0"/>
    <xf numFmtId="0" fontId="31" fillId="0" borderId="326" applyNumberFormat="0" applyFill="0" applyAlignment="0" applyProtection="0"/>
    <xf numFmtId="0" fontId="36" fillId="26" borderId="348" applyNumberFormat="0" applyAlignment="0" applyProtection="0"/>
    <xf numFmtId="0" fontId="6" fillId="23" borderId="350" applyNumberFormat="0" applyFont="0" applyAlignment="0" applyProtection="0"/>
    <xf numFmtId="0" fontId="32" fillId="27" borderId="348" applyNumberFormat="0" applyAlignment="0" applyProtection="0"/>
    <xf numFmtId="0" fontId="33" fillId="26" borderId="351" applyNumberFormat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53" fillId="24" borderId="348" applyNumberFormat="0" applyAlignment="0" applyProtection="0"/>
    <xf numFmtId="0" fontId="57" fillId="0" borderId="319" applyNumberFormat="0" applyFill="0" applyAlignment="0" applyProtection="0"/>
    <xf numFmtId="0" fontId="51" fillId="23" borderId="350" applyNumberFormat="0" applyFont="0" applyAlignment="0" applyProtection="0"/>
    <xf numFmtId="0" fontId="62" fillId="57" borderId="351" applyNumberFormat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65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68" fillId="57" borderId="348" applyNumberFormat="0" applyAlignment="0" applyProtection="0"/>
    <xf numFmtId="0" fontId="80" fillId="0" borderId="353" applyNumberFormat="0" applyFill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49" fontId="6" fillId="62" borderId="349">
      <alignment vertical="top" wrapText="1"/>
    </xf>
    <xf numFmtId="0" fontId="23" fillId="23" borderId="350" applyNumberFormat="0" applyFont="0" applyAlignment="0" applyProtection="0"/>
    <xf numFmtId="172" fontId="92" fillId="64" borderId="352">
      <alignment vertical="center"/>
    </xf>
    <xf numFmtId="177" fontId="93" fillId="64" borderId="352">
      <alignment vertical="center"/>
    </xf>
    <xf numFmtId="172" fontId="94" fillId="65" borderId="352">
      <alignment vertical="center"/>
    </xf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4" fontId="22" fillId="0" borderId="335" applyFill="0" applyBorder="0" applyProtection="0">
      <alignment horizontal="right" vertical="center"/>
    </xf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80" fillId="0" borderId="353" applyNumberFormat="0" applyFill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32" fillId="24" borderId="348" applyNumberFormat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32" fillId="24" borderId="348" applyNumberFormat="0" applyAlignment="0" applyProtection="0"/>
    <xf numFmtId="49" fontId="22" fillId="0" borderId="335" applyNumberFormat="0" applyFont="0" applyFill="0" applyBorder="0" applyProtection="0">
      <alignment horizontal="left" vertical="center" indent="2"/>
    </xf>
    <xf numFmtId="0" fontId="76" fillId="0" borderId="319" applyNumberFormat="0" applyFill="0" applyAlignment="0" applyProtection="0"/>
    <xf numFmtId="0" fontId="32" fillId="24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49" fontId="22" fillId="0" borderId="335" applyNumberFormat="0" applyFont="0" applyFill="0" applyBorder="0" applyProtection="0">
      <alignment horizontal="left" vertical="center" indent="2"/>
    </xf>
    <xf numFmtId="43" fontId="1" fillId="0" borderId="0" applyFont="0" applyFill="0" applyBorder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6" fillId="66" borderId="423" applyBorder="0">
      <alignment horizontal="left" vertical="center"/>
    </xf>
    <xf numFmtId="0" fontId="6" fillId="68" borderId="454">
      <alignment horizontal="left" vertical="center" wrapText="1"/>
    </xf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33" fillId="57" borderId="351" applyNumberFormat="0" applyAlignment="0" applyProtection="0"/>
    <xf numFmtId="4" fontId="22" fillId="0" borderId="335" applyFill="0" applyBorder="0" applyProtection="0">
      <alignment horizontal="right" vertical="center"/>
    </xf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4" fontId="22" fillId="0" borderId="335" applyFill="0" applyBorder="0" applyProtection="0">
      <alignment horizontal="right" vertical="center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5" fillId="60" borderId="335" applyNumberFormat="0" applyProtection="0">
      <alignment horizontal="right"/>
    </xf>
    <xf numFmtId="0" fontId="5" fillId="60" borderId="335" applyNumberFormat="0" applyProtection="0">
      <alignment horizontal="left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49" fontId="22" fillId="0" borderId="335" applyNumberFormat="0" applyFont="0" applyFill="0" applyBorder="0" applyProtection="0">
      <alignment horizontal="left" vertical="center" indent="2"/>
    </xf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6" fillId="23" borderId="350" applyNumberFormat="0" applyFont="0" applyAlignment="0" applyProtection="0"/>
    <xf numFmtId="0" fontId="80" fillId="0" borderId="353" applyNumberFormat="0" applyFill="0" applyAlignment="0" applyProtection="0"/>
    <xf numFmtId="0" fontId="76" fillId="0" borderId="319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5" fillId="60" borderId="335" applyNumberFormat="0" applyProtection="0">
      <alignment horizontal="right"/>
    </xf>
    <xf numFmtId="0" fontId="5" fillId="60" borderId="335" applyNumberFormat="0" applyProtection="0">
      <alignment horizontal="left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65" fillId="0" borderId="353" applyNumberFormat="0" applyFill="0" applyAlignment="0" applyProtection="0"/>
    <xf numFmtId="0" fontId="51" fillId="23" borderId="350" applyNumberFormat="0" applyFont="0" applyAlignment="0" applyProtection="0"/>
    <xf numFmtId="0" fontId="33" fillId="26" borderId="351" applyNumberFormat="0" applyAlignment="0" applyProtection="0"/>
    <xf numFmtId="0" fontId="32" fillId="27" borderId="348" applyNumberFormat="0" applyAlignment="0" applyProtection="0"/>
    <xf numFmtId="0" fontId="6" fillId="23" borderId="350" applyNumberFormat="0" applyFont="0" applyAlignment="0" applyProtection="0"/>
    <xf numFmtId="0" fontId="36" fillId="26" borderId="348" applyNumberFormat="0" applyAlignment="0" applyProtection="0"/>
    <xf numFmtId="49" fontId="22" fillId="0" borderId="335" applyNumberFormat="0" applyFont="0" applyFill="0" applyBorder="0" applyProtection="0">
      <alignment horizontal="left" vertical="center" indent="2"/>
    </xf>
    <xf numFmtId="0" fontId="31" fillId="0" borderId="326" applyNumberFormat="0" applyFill="0" applyAlignment="0" applyProtection="0"/>
    <xf numFmtId="0" fontId="33" fillId="26" borderId="351" applyNumberFormat="0" applyAlignment="0" applyProtection="0"/>
    <xf numFmtId="0" fontId="32" fillId="27" borderId="348" applyNumberFormat="0" applyAlignment="0" applyProtection="0"/>
    <xf numFmtId="0" fontId="6" fillId="23" borderId="350" applyNumberFormat="0" applyFont="0" applyAlignment="0" applyProtection="0"/>
    <xf numFmtId="0" fontId="36" fillId="26" borderId="348" applyNumberFormat="0" applyAlignment="0" applyProtection="0"/>
    <xf numFmtId="49" fontId="22" fillId="0" borderId="335" applyNumberFormat="0" applyFont="0" applyFill="0" applyBorder="0" applyProtection="0">
      <alignment horizontal="left" vertical="center" indent="2"/>
    </xf>
    <xf numFmtId="43" fontId="1" fillId="0" borderId="0" applyFont="0" applyFill="0" applyBorder="0" applyAlignment="0" applyProtection="0"/>
    <xf numFmtId="0" fontId="6" fillId="66" borderId="423" applyBorder="0">
      <alignment horizontal="left" vertical="center"/>
    </xf>
    <xf numFmtId="49" fontId="6" fillId="67" borderId="335">
      <alignment vertical="center" wrapText="1"/>
    </xf>
    <xf numFmtId="0" fontId="6" fillId="68" borderId="454">
      <alignment horizontal="left" vertical="center" wrapText="1"/>
    </xf>
    <xf numFmtId="0" fontId="11" fillId="69" borderId="335">
      <alignment horizontal="left" vertical="center" wrapText="1"/>
    </xf>
    <xf numFmtId="0" fontId="6" fillId="70" borderId="335">
      <alignment horizontal="left" vertical="center" wrapText="1"/>
    </xf>
    <xf numFmtId="0" fontId="6" fillId="71" borderId="335">
      <alignment horizontal="left" vertical="center" wrapText="1"/>
    </xf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4" fontId="22" fillId="0" borderId="335" applyFill="0" applyBorder="0" applyProtection="0">
      <alignment horizontal="right" vertical="center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5" fillId="60" borderId="335" applyNumberFormat="0" applyProtection="0">
      <alignment horizontal="right"/>
    </xf>
    <xf numFmtId="0" fontId="5" fillId="60" borderId="335" applyNumberFormat="0" applyProtection="0">
      <alignment horizontal="left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68" fillId="57" borderId="348" applyNumberFormat="0" applyAlignment="0" applyProtection="0"/>
    <xf numFmtId="0" fontId="62" fillId="57" borderId="351" applyNumberFormat="0" applyAlignment="0" applyProtection="0"/>
    <xf numFmtId="0" fontId="57" fillId="0" borderId="319" applyNumberFormat="0" applyFill="0" applyAlignment="0" applyProtection="0"/>
    <xf numFmtId="0" fontId="53" fillId="24" borderId="348" applyNumberFormat="0" applyAlignment="0" applyProtection="0"/>
    <xf numFmtId="4" fontId="22" fillId="0" borderId="335" applyFill="0" applyBorder="0" applyProtection="0">
      <alignment horizontal="right" vertical="center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49" fontId="22" fillId="0" borderId="335" applyNumberFormat="0" applyFont="0" applyFill="0" applyBorder="0" applyProtection="0">
      <alignment horizontal="left" vertical="center" indent="2"/>
    </xf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32" fillId="24" borderId="348" applyNumberFormat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3" fillId="57" borderId="348" applyNumberFormat="0" applyAlignment="0" applyProtection="0"/>
    <xf numFmtId="0" fontId="6" fillId="23" borderId="350" applyNumberFormat="0" applyFont="0" applyAlignment="0" applyProtection="0"/>
    <xf numFmtId="0" fontId="76" fillId="0" borderId="319" applyNumberFormat="0" applyFill="0" applyAlignment="0" applyProtection="0"/>
    <xf numFmtId="0" fontId="80" fillId="0" borderId="353" applyNumberFormat="0" applyFill="0" applyAlignment="0" applyProtection="0"/>
    <xf numFmtId="43" fontId="1" fillId="0" borderId="0" applyFont="0" applyFill="0" applyBorder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49" fontId="22" fillId="0" borderId="335" applyNumberFormat="0" applyFont="0" applyFill="0" applyBorder="0" applyProtection="0">
      <alignment horizontal="left" vertical="center" indent="2"/>
    </xf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36" fillId="26" borderId="348" applyNumberForma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23" borderId="350" applyNumberFormat="0" applyFont="0" applyAlignment="0" applyProtection="0"/>
    <xf numFmtId="0" fontId="32" fillId="27" borderId="348" applyNumberFormat="0" applyAlignment="0" applyProtection="0"/>
    <xf numFmtId="0" fontId="73" fillId="57" borderId="348" applyNumberFormat="0" applyAlignment="0" applyProtection="0"/>
    <xf numFmtId="0" fontId="33" fillId="26" borderId="351" applyNumberFormat="0" applyAlignment="0" applyProtection="0"/>
    <xf numFmtId="49" fontId="22" fillId="0" borderId="335" applyNumberFormat="0" applyFont="0" applyFill="0" applyBorder="0" applyProtection="0">
      <alignment horizontal="left" vertical="center" indent="2"/>
    </xf>
    <xf numFmtId="0" fontId="36" fillId="26" borderId="348" applyNumberFormat="0" applyAlignment="0" applyProtection="0"/>
    <xf numFmtId="0" fontId="6" fillId="23" borderId="350" applyNumberFormat="0" applyFont="0" applyAlignment="0" applyProtection="0"/>
    <xf numFmtId="0" fontId="32" fillId="27" borderId="348" applyNumberFormat="0" applyAlignment="0" applyProtection="0"/>
    <xf numFmtId="0" fontId="33" fillId="26" borderId="351" applyNumberFormat="0" applyAlignment="0" applyProtection="0"/>
    <xf numFmtId="43" fontId="6" fillId="0" borderId="0" applyFont="0" applyFill="0" applyBorder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76" fillId="0" borderId="319" applyNumberFormat="0" applyFill="0" applyAlignment="0" applyProtection="0"/>
    <xf numFmtId="0" fontId="57" fillId="0" borderId="319" applyNumberFormat="0" applyFill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33" fillId="57" borderId="351" applyNumberFormat="0" applyAlignment="0" applyProtection="0"/>
    <xf numFmtId="4" fontId="22" fillId="0" borderId="335" applyFill="0" applyBorder="0" applyProtection="0">
      <alignment horizontal="right" vertical="center"/>
    </xf>
    <xf numFmtId="0" fontId="6" fillId="23" borderId="350" applyNumberFormat="0" applyFon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6" fillId="71" borderId="335">
      <alignment horizontal="left" vertical="center" wrapText="1"/>
    </xf>
    <xf numFmtId="0" fontId="6" fillId="70" borderId="335">
      <alignment horizontal="left" vertical="center" wrapText="1"/>
    </xf>
    <xf numFmtId="0" fontId="11" fillId="69" borderId="335">
      <alignment horizontal="left" vertical="center" wrapText="1"/>
    </xf>
    <xf numFmtId="0" fontId="6" fillId="68" borderId="454">
      <alignment horizontal="left" vertical="center" wrapText="1"/>
    </xf>
    <xf numFmtId="49" fontId="6" fillId="67" borderId="335">
      <alignment vertical="center" wrapText="1"/>
    </xf>
    <xf numFmtId="0" fontId="6" fillId="66" borderId="423" applyBorder="0">
      <alignment horizontal="left" vertical="center"/>
    </xf>
    <xf numFmtId="172" fontId="94" fillId="65" borderId="352">
      <alignment vertical="center"/>
    </xf>
    <xf numFmtId="177" fontId="93" fillId="64" borderId="352">
      <alignment vertical="center"/>
    </xf>
    <xf numFmtId="172" fontId="92" fillId="64" borderId="352">
      <alignment vertical="center"/>
    </xf>
    <xf numFmtId="0" fontId="33" fillId="57" borderId="351" applyNumberFormat="0" applyAlignment="0" applyProtection="0"/>
    <xf numFmtId="0" fontId="33" fillId="57" borderId="351" applyNumberFormat="0" applyAlignment="0" applyProtection="0"/>
    <xf numFmtId="0" fontId="23" fillId="23" borderId="350" applyNumberFormat="0" applyFont="0" applyAlignment="0" applyProtection="0"/>
    <xf numFmtId="0" fontId="32" fillId="24" borderId="348" applyNumberFormat="0" applyAlignment="0" applyProtection="0"/>
    <xf numFmtId="49" fontId="6" fillId="62" borderId="349">
      <alignment vertical="top" wrapText="1"/>
    </xf>
    <xf numFmtId="43" fontId="1" fillId="0" borderId="0" applyFont="0" applyFill="0" applyBorder="0" applyAlignment="0" applyProtection="0"/>
    <xf numFmtId="0" fontId="6" fillId="0" borderId="335" applyNumberFormat="0" applyFill="0" applyProtection="0">
      <alignment horizontal="right"/>
    </xf>
    <xf numFmtId="49" fontId="22" fillId="0" borderId="335" applyNumberFormat="0" applyFont="0" applyFill="0" applyBorder="0" applyProtection="0">
      <alignment horizontal="left" vertical="center" indent="2"/>
    </xf>
    <xf numFmtId="0" fontId="73" fillId="57" borderId="348" applyNumberFormat="0" applyAlignment="0" applyProtection="0"/>
    <xf numFmtId="0" fontId="36" fillId="26" borderId="348" applyNumberFormat="0" applyAlignment="0" applyProtection="0"/>
    <xf numFmtId="0" fontId="6" fillId="23" borderId="350" applyNumberFormat="0" applyFont="0" applyAlignment="0" applyProtection="0"/>
    <xf numFmtId="0" fontId="32" fillId="27" borderId="348" applyNumberFormat="0" applyAlignment="0" applyProtection="0"/>
    <xf numFmtId="0" fontId="33" fillId="26" borderId="351" applyNumberFormat="0" applyAlignment="0" applyProtection="0"/>
    <xf numFmtId="0" fontId="36" fillId="26" borderId="348" applyNumberFormat="0" applyAlignment="0" applyProtection="0"/>
    <xf numFmtId="0" fontId="6" fillId="23" borderId="350" applyNumberFormat="0" applyFont="0" applyAlignment="0" applyProtection="0"/>
    <xf numFmtId="0" fontId="32" fillId="27" borderId="348" applyNumberFormat="0" applyAlignment="0" applyProtection="0"/>
    <xf numFmtId="0" fontId="33" fillId="26" borderId="351" applyNumberFormat="0" applyAlignment="0" applyProtection="0"/>
    <xf numFmtId="0" fontId="6" fillId="0" borderId="335" applyNumberFormat="0" applyFill="0" applyProtection="0">
      <alignment horizontal="right"/>
    </xf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53" fillId="24" borderId="348" applyNumberFormat="0" applyAlignment="0" applyProtection="0"/>
    <xf numFmtId="0" fontId="51" fillId="23" borderId="350" applyNumberFormat="0" applyFont="0" applyAlignment="0" applyProtection="0"/>
    <xf numFmtId="0" fontId="62" fillId="57" borderId="351" applyNumberFormat="0" applyAlignment="0" applyProtection="0"/>
    <xf numFmtId="0" fontId="65" fillId="0" borderId="353" applyNumberFormat="0" applyFill="0" applyAlignment="0" applyProtection="0"/>
    <xf numFmtId="0" fontId="68" fillId="57" borderId="348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5" fillId="60" borderId="335" applyNumberFormat="0" applyProtection="0">
      <alignment horizontal="left"/>
    </xf>
    <xf numFmtId="0" fontId="33" fillId="57" borderId="351" applyNumberFormat="0" applyAlignment="0" applyProtection="0"/>
    <xf numFmtId="0" fontId="5" fillId="60" borderId="335" applyNumberFormat="0" applyProtection="0">
      <alignment horizontal="right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4" fontId="22" fillId="0" borderId="335" applyFill="0" applyBorder="0" applyProtection="0">
      <alignment horizontal="right" vertical="center"/>
    </xf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4" fontId="22" fillId="0" borderId="335" applyFill="0" applyBorder="0" applyProtection="0">
      <alignment horizontal="right" vertical="center"/>
    </xf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4" fontId="22" fillId="0" borderId="335" applyFill="0" applyBorder="0" applyProtection="0">
      <alignment horizontal="right" vertical="center"/>
    </xf>
    <xf numFmtId="0" fontId="68" fillId="57" borderId="348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62" fillId="57" borderId="351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51" fillId="23" borderId="350" applyNumberFormat="0" applyFont="0" applyAlignment="0" applyProtection="0"/>
    <xf numFmtId="0" fontId="32" fillId="24" borderId="348" applyNumberFormat="0" applyAlignment="0" applyProtection="0"/>
    <xf numFmtId="0" fontId="57" fillId="0" borderId="319" applyNumberFormat="0" applyFill="0" applyAlignment="0" applyProtection="0"/>
    <xf numFmtId="0" fontId="53" fillId="24" borderId="348" applyNumberForma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33" fillId="26" borderId="351" applyNumberFormat="0" applyAlignment="0" applyProtection="0"/>
    <xf numFmtId="0" fontId="32" fillId="27" borderId="348" applyNumberFormat="0" applyAlignment="0" applyProtection="0"/>
    <xf numFmtId="0" fontId="6" fillId="23" borderId="350" applyNumberFormat="0" applyFont="0" applyAlignment="0" applyProtection="0"/>
    <xf numFmtId="0" fontId="36" fillId="26" borderId="348" applyNumberFormat="0" applyAlignment="0" applyProtection="0"/>
    <xf numFmtId="49" fontId="22" fillId="0" borderId="335" applyNumberFormat="0" applyFont="0" applyFill="0" applyBorder="0" applyProtection="0">
      <alignment horizontal="left" vertical="center" indent="2"/>
    </xf>
    <xf numFmtId="0" fontId="5" fillId="60" borderId="335" applyNumberFormat="0" applyProtection="0">
      <alignment horizontal="right"/>
    </xf>
    <xf numFmtId="0" fontId="31" fillId="0" borderId="326" applyNumberFormat="0" applyFill="0" applyAlignment="0" applyProtection="0"/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26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2" fillId="24" borderId="348" applyNumberFormat="0" applyAlignment="0" applyProtection="0"/>
    <xf numFmtId="0" fontId="32" fillId="27" borderId="348" applyNumberFormat="0" applyAlignment="0" applyProtection="0"/>
    <xf numFmtId="0" fontId="6" fillId="23" borderId="350" applyNumberFormat="0" applyFont="0" applyAlignment="0" applyProtection="0"/>
    <xf numFmtId="0" fontId="36" fillId="26" borderId="348" applyNumberFormat="0" applyAlignment="0" applyProtection="0"/>
    <xf numFmtId="0" fontId="33" fillId="57" borderId="351" applyNumberFormat="0" applyAlignment="0" applyProtection="0"/>
    <xf numFmtId="43" fontId="1" fillId="0" borderId="0" applyFont="0" applyFill="0" applyBorder="0" applyAlignment="0" applyProtection="0"/>
    <xf numFmtId="0" fontId="73" fillId="57" borderId="348" applyNumberFormat="0" applyAlignment="0" applyProtection="0"/>
    <xf numFmtId="49" fontId="6" fillId="67" borderId="335">
      <alignment vertical="center" wrapText="1"/>
    </xf>
    <xf numFmtId="0" fontId="6" fillId="68" borderId="454">
      <alignment horizontal="left" vertical="center" wrapText="1"/>
    </xf>
    <xf numFmtId="0" fontId="11" fillId="69" borderId="335">
      <alignment horizontal="left" vertical="center" wrapText="1"/>
    </xf>
    <xf numFmtId="0" fontId="6" fillId="70" borderId="335">
      <alignment horizontal="left" vertical="center" wrapText="1"/>
    </xf>
    <xf numFmtId="0" fontId="6" fillId="71" borderId="335">
      <alignment horizontal="left" vertical="center" wrapText="1"/>
    </xf>
    <xf numFmtId="43" fontId="1" fillId="0" borderId="0" applyFont="0" applyFill="0" applyBorder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4" fontId="22" fillId="0" borderId="335" applyFill="0" applyBorder="0" applyProtection="0">
      <alignment horizontal="right" vertical="center"/>
    </xf>
    <xf numFmtId="0" fontId="33" fillId="57" borderId="351" applyNumberFormat="0" applyAlignment="0" applyProtection="0"/>
    <xf numFmtId="0" fontId="33" fillId="57" borderId="351" applyNumberFormat="0" applyAlignment="0" applyProtection="0"/>
    <xf numFmtId="0" fontId="65" fillId="0" borderId="353" applyNumberFormat="0" applyFill="0" applyAlignment="0" applyProtection="0"/>
    <xf numFmtId="0" fontId="6" fillId="23" borderId="350" applyNumberFormat="0" applyFon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4" fontId="22" fillId="0" borderId="335" applyFill="0" applyBorder="0" applyProtection="0">
      <alignment horizontal="right" vertical="center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5" fillId="60" borderId="335" applyNumberFormat="0" applyProtection="0">
      <alignment horizontal="right"/>
    </xf>
    <xf numFmtId="0" fontId="5" fillId="60" borderId="335" applyNumberFormat="0" applyProtection="0">
      <alignment horizontal="left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49" fontId="22" fillId="0" borderId="335" applyNumberFormat="0" applyFont="0" applyFill="0" applyBorder="0" applyProtection="0">
      <alignment horizontal="left" vertical="center" indent="2"/>
    </xf>
    <xf numFmtId="43" fontId="6" fillId="0" borderId="0" applyFont="0" applyFill="0" applyBorder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76" fillId="0" borderId="319" applyNumberFormat="0" applyFill="0" applyAlignment="0" applyProtection="0"/>
    <xf numFmtId="41" fontId="6" fillId="0" borderId="0" applyFont="0" applyFill="0" applyBorder="0" applyAlignment="0" applyProtection="0"/>
    <xf numFmtId="0" fontId="76" fillId="0" borderId="319" applyNumberFormat="0" applyFill="0" applyAlignment="0" applyProtection="0"/>
    <xf numFmtId="43" fontId="6" fillId="0" borderId="0" applyFont="0" applyFill="0" applyBorder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5" fillId="60" borderId="335" applyNumberFormat="0" applyProtection="0">
      <alignment horizontal="right"/>
    </xf>
    <xf numFmtId="0" fontId="5" fillId="60" borderId="335" applyNumberFormat="0" applyProtection="0">
      <alignment horizontal="left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4" fontId="22" fillId="0" borderId="335" applyFill="0" applyBorder="0" applyProtection="0">
      <alignment horizontal="right" vertical="center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5" fillId="60" borderId="335" applyNumberFormat="0" applyProtection="0">
      <alignment horizontal="right"/>
    </xf>
    <xf numFmtId="0" fontId="5" fillId="60" borderId="335" applyNumberFormat="0" applyProtection="0">
      <alignment horizontal="left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49" fontId="22" fillId="0" borderId="335" applyNumberFormat="0" applyFont="0" applyFill="0" applyBorder="0" applyProtection="0">
      <alignment horizontal="left" vertical="center" indent="2"/>
    </xf>
    <xf numFmtId="0" fontId="73" fillId="57" borderId="348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6" fillId="23" borderId="350" applyNumberFormat="0" applyFon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76" fillId="0" borderId="319" applyNumberFormat="0" applyFill="0" applyAlignment="0" applyProtection="0"/>
    <xf numFmtId="0" fontId="80" fillId="0" borderId="353" applyNumberFormat="0" applyFill="0" applyAlignment="0" applyProtection="0"/>
    <xf numFmtId="0" fontId="5" fillId="60" borderId="335" applyNumberFormat="0" applyProtection="0">
      <alignment horizontal="left"/>
    </xf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68" fillId="57" borderId="348" applyNumberFormat="0" applyAlignment="0" applyProtection="0"/>
    <xf numFmtId="0" fontId="65" fillId="0" borderId="353" applyNumberFormat="0" applyFill="0" applyAlignment="0" applyProtection="0"/>
    <xf numFmtId="0" fontId="62" fillId="57" borderId="351" applyNumberFormat="0" applyAlignment="0" applyProtection="0"/>
    <xf numFmtId="0" fontId="51" fillId="23" borderId="350" applyNumberFormat="0" applyFont="0" applyAlignment="0" applyProtection="0"/>
    <xf numFmtId="0" fontId="53" fillId="24" borderId="348" applyNumberFormat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33" fillId="26" borderId="351" applyNumberFormat="0" applyAlignment="0" applyProtection="0"/>
    <xf numFmtId="0" fontId="32" fillId="27" borderId="348" applyNumberFormat="0" applyAlignment="0" applyProtection="0"/>
    <xf numFmtId="0" fontId="6" fillId="23" borderId="350" applyNumberFormat="0" applyFont="0" applyAlignment="0" applyProtection="0"/>
    <xf numFmtId="0" fontId="36" fillId="26" borderId="348" applyNumberFormat="0" applyAlignment="0" applyProtection="0"/>
    <xf numFmtId="49" fontId="22" fillId="0" borderId="335" applyNumberFormat="0" applyFont="0" applyFill="0" applyBorder="0" applyProtection="0">
      <alignment horizontal="left" vertical="center" indent="2"/>
    </xf>
    <xf numFmtId="0" fontId="33" fillId="26" borderId="351" applyNumberFormat="0" applyAlignment="0" applyProtection="0"/>
    <xf numFmtId="0" fontId="32" fillId="27" borderId="348" applyNumberFormat="0" applyAlignment="0" applyProtection="0"/>
    <xf numFmtId="0" fontId="6" fillId="23" borderId="350" applyNumberFormat="0" applyFont="0" applyAlignment="0" applyProtection="0"/>
    <xf numFmtId="0" fontId="36" fillId="26" borderId="348" applyNumberFormat="0" applyAlignment="0" applyProtection="0"/>
    <xf numFmtId="49" fontId="22" fillId="0" borderId="335" applyNumberFormat="0" applyFont="0" applyFill="0" applyBorder="0" applyProtection="0">
      <alignment horizontal="left" vertical="center" indent="2"/>
    </xf>
    <xf numFmtId="43" fontId="1" fillId="0" borderId="0" applyFont="0" applyFill="0" applyBorder="0" applyAlignment="0" applyProtection="0"/>
    <xf numFmtId="49" fontId="6" fillId="62" borderId="349">
      <alignment vertical="top" wrapText="1"/>
    </xf>
    <xf numFmtId="0" fontId="23" fillId="23" borderId="350" applyNumberFormat="0" applyFont="0" applyAlignment="0" applyProtection="0"/>
    <xf numFmtId="172" fontId="92" fillId="64" borderId="352">
      <alignment vertical="center"/>
    </xf>
    <xf numFmtId="177" fontId="93" fillId="64" borderId="352">
      <alignment vertical="center"/>
    </xf>
    <xf numFmtId="172" fontId="94" fillId="65" borderId="352">
      <alignment vertical="center"/>
    </xf>
    <xf numFmtId="0" fontId="6" fillId="66" borderId="423" applyBorder="0">
      <alignment horizontal="left" vertical="center"/>
    </xf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73" fillId="57" borderId="348" applyNumberFormat="0" applyAlignment="0" applyProtection="0"/>
    <xf numFmtId="0" fontId="6" fillId="23" borderId="350" applyNumberFormat="0" applyFont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49" fontId="6" fillId="62" borderId="349">
      <alignment vertical="top" wrapText="1"/>
    </xf>
    <xf numFmtId="0" fontId="23" fillId="23" borderId="350" applyNumberFormat="0" applyFont="0" applyAlignment="0" applyProtection="0"/>
    <xf numFmtId="172" fontId="92" fillId="64" borderId="352">
      <alignment vertical="center"/>
    </xf>
    <xf numFmtId="177" fontId="93" fillId="64" borderId="352">
      <alignment vertical="center"/>
    </xf>
    <xf numFmtId="172" fontId="94" fillId="65" borderId="352">
      <alignment vertical="center"/>
    </xf>
    <xf numFmtId="0" fontId="6" fillId="66" borderId="423" applyBorder="0">
      <alignment horizontal="left" vertical="center"/>
    </xf>
    <xf numFmtId="49" fontId="6" fillId="67" borderId="335">
      <alignment vertical="center" wrapText="1"/>
    </xf>
    <xf numFmtId="0" fontId="6" fillId="68" borderId="454">
      <alignment horizontal="left" vertical="center" wrapText="1"/>
    </xf>
    <xf numFmtId="0" fontId="11" fillId="69" borderId="335">
      <alignment horizontal="left" vertical="center" wrapText="1"/>
    </xf>
    <xf numFmtId="0" fontId="6" fillId="70" borderId="335">
      <alignment horizontal="left" vertical="center" wrapText="1"/>
    </xf>
    <xf numFmtId="0" fontId="6" fillId="71" borderId="335">
      <alignment horizontal="left" vertical="center" wrapText="1"/>
    </xf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4" fontId="22" fillId="0" borderId="335" applyFill="0" applyBorder="0" applyProtection="0">
      <alignment horizontal="right" vertical="center"/>
    </xf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5" fillId="60" borderId="335" applyNumberFormat="0" applyProtection="0">
      <alignment horizontal="right"/>
    </xf>
    <xf numFmtId="0" fontId="5" fillId="60" borderId="335" applyNumberFormat="0" applyProtection="0">
      <alignment horizontal="left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4" fontId="22" fillId="0" borderId="335" applyFill="0" applyBorder="0" applyProtection="0">
      <alignment horizontal="right" vertical="center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5" fillId="60" borderId="335" applyNumberFormat="0" applyProtection="0">
      <alignment horizontal="right"/>
    </xf>
    <xf numFmtId="0" fontId="5" fillId="60" borderId="335" applyNumberFormat="0" applyProtection="0">
      <alignment horizontal="left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49" fontId="22" fillId="0" borderId="335" applyNumberFormat="0" applyFont="0" applyFill="0" applyBorder="0" applyProtection="0">
      <alignment horizontal="left" vertical="center" indent="2"/>
    </xf>
    <xf numFmtId="0" fontId="73" fillId="57" borderId="348" applyNumberFormat="0" applyAlignment="0" applyProtection="0"/>
    <xf numFmtId="0" fontId="6" fillId="23" borderId="350" applyNumberFormat="0" applyFont="0" applyAlignment="0" applyProtection="0"/>
    <xf numFmtId="0" fontId="80" fillId="0" borderId="353" applyNumberFormat="0" applyFill="0" applyAlignment="0" applyProtection="0"/>
    <xf numFmtId="43" fontId="1" fillId="0" borderId="0" applyFont="0" applyFill="0" applyBorder="0" applyAlignment="0" applyProtection="0"/>
    <xf numFmtId="49" fontId="22" fillId="0" borderId="335" applyNumberFormat="0" applyFont="0" applyFill="0" applyBorder="0" applyProtection="0">
      <alignment horizontal="left" vertical="center" indent="2"/>
    </xf>
    <xf numFmtId="0" fontId="36" fillId="26" borderId="348" applyNumberForma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23" borderId="350" applyNumberFormat="0" applyFont="0" applyAlignment="0" applyProtection="0"/>
    <xf numFmtId="0" fontId="32" fillId="27" borderId="348" applyNumberFormat="0" applyAlignment="0" applyProtection="0"/>
    <xf numFmtId="0" fontId="33" fillId="26" borderId="351" applyNumberFormat="0" applyAlignment="0" applyProtection="0"/>
    <xf numFmtId="49" fontId="22" fillId="0" borderId="335" applyNumberFormat="0" applyFont="0" applyFill="0" applyBorder="0" applyProtection="0">
      <alignment horizontal="left" vertical="center" indent="2"/>
    </xf>
    <xf numFmtId="0" fontId="36" fillId="26" borderId="348" applyNumberFormat="0" applyAlignment="0" applyProtection="0"/>
    <xf numFmtId="0" fontId="6" fillId="23" borderId="350" applyNumberFormat="0" applyFont="0" applyAlignment="0" applyProtection="0"/>
    <xf numFmtId="0" fontId="32" fillId="27" borderId="348" applyNumberFormat="0" applyAlignment="0" applyProtection="0"/>
    <xf numFmtId="0" fontId="33" fillId="26" borderId="351" applyNumberFormat="0" applyAlignment="0" applyProtection="0"/>
    <xf numFmtId="43" fontId="6" fillId="0" borderId="0" applyFont="0" applyFill="0" applyBorder="0" applyAlignment="0" applyProtection="0"/>
    <xf numFmtId="0" fontId="53" fillId="24" borderId="348" applyNumberFormat="0" applyAlignment="0" applyProtection="0"/>
    <xf numFmtId="0" fontId="51" fillId="23" borderId="350" applyNumberFormat="0" applyFont="0" applyAlignment="0" applyProtection="0"/>
    <xf numFmtId="0" fontId="62" fillId="57" borderId="351" applyNumberFormat="0" applyAlignment="0" applyProtection="0"/>
    <xf numFmtId="0" fontId="65" fillId="0" borderId="353" applyNumberFormat="0" applyFill="0" applyAlignment="0" applyProtection="0"/>
    <xf numFmtId="0" fontId="68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4" fontId="22" fillId="0" borderId="335" applyFill="0" applyBorder="0" applyProtection="0">
      <alignment horizontal="right" vertical="center"/>
    </xf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5" fillId="60" borderId="335" applyNumberFormat="0" applyProtection="0">
      <alignment horizontal="right"/>
    </xf>
    <xf numFmtId="0" fontId="5" fillId="60" borderId="335" applyNumberFormat="0" applyProtection="0">
      <alignment horizontal="left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49" fontId="6" fillId="62" borderId="349">
      <alignment vertical="top" wrapText="1"/>
    </xf>
    <xf numFmtId="0" fontId="23" fillId="23" borderId="350" applyNumberFormat="0" applyFont="0" applyAlignment="0" applyProtection="0"/>
    <xf numFmtId="172" fontId="92" fillId="64" borderId="352">
      <alignment vertical="center"/>
    </xf>
    <xf numFmtId="177" fontId="93" fillId="64" borderId="352">
      <alignment vertical="center"/>
    </xf>
    <xf numFmtId="172" fontId="94" fillId="65" borderId="352">
      <alignment vertical="center"/>
    </xf>
    <xf numFmtId="0" fontId="6" fillId="66" borderId="423" applyBorder="0">
      <alignment horizontal="left" vertical="center"/>
    </xf>
    <xf numFmtId="49" fontId="6" fillId="67" borderId="335">
      <alignment vertical="center" wrapText="1"/>
    </xf>
    <xf numFmtId="0" fontId="6" fillId="68" borderId="454">
      <alignment horizontal="left" vertical="center" wrapText="1"/>
    </xf>
    <xf numFmtId="0" fontId="11" fillId="69" borderId="335">
      <alignment horizontal="left" vertical="center" wrapText="1"/>
    </xf>
    <xf numFmtId="0" fontId="6" fillId="70" borderId="335">
      <alignment horizontal="left" vertical="center" wrapText="1"/>
    </xf>
    <xf numFmtId="0" fontId="6" fillId="71" borderId="335">
      <alignment horizontal="left" vertical="center" wrapText="1"/>
    </xf>
    <xf numFmtId="43" fontId="1" fillId="0" borderId="0" applyFont="0" applyFill="0" applyBorder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4" fontId="22" fillId="0" borderId="335" applyFill="0" applyBorder="0" applyProtection="0">
      <alignment horizontal="right" vertical="center"/>
    </xf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5" fillId="60" borderId="335" applyNumberFormat="0" applyProtection="0">
      <alignment horizontal="right"/>
    </xf>
    <xf numFmtId="0" fontId="5" fillId="60" borderId="335" applyNumberFormat="0" applyProtection="0">
      <alignment horizontal="left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4" fontId="22" fillId="0" borderId="335" applyFill="0" applyBorder="0" applyProtection="0">
      <alignment horizontal="right" vertical="center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5" fillId="60" borderId="335" applyNumberFormat="0" applyProtection="0">
      <alignment horizontal="right"/>
    </xf>
    <xf numFmtId="0" fontId="5" fillId="60" borderId="335" applyNumberFormat="0" applyProtection="0">
      <alignment horizontal="left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49" fontId="22" fillId="0" borderId="335" applyNumberFormat="0" applyFont="0" applyFill="0" applyBorder="0" applyProtection="0">
      <alignment horizontal="left" vertical="center" indent="2"/>
    </xf>
    <xf numFmtId="43" fontId="6" fillId="0" borderId="0" applyFont="0" applyFill="0" applyBorder="0" applyAlignment="0" applyProtection="0"/>
    <xf numFmtId="0" fontId="73" fillId="57" borderId="348" applyNumberFormat="0" applyAlignment="0" applyProtection="0"/>
    <xf numFmtId="41" fontId="6" fillId="0" borderId="0" applyFont="0" applyFill="0" applyBorder="0" applyAlignment="0" applyProtection="0"/>
    <xf numFmtId="0" fontId="6" fillId="23" borderId="350" applyNumberFormat="0" applyFont="0" applyAlignment="0" applyProtection="0"/>
    <xf numFmtId="0" fontId="80" fillId="0" borderId="353" applyNumberFormat="0" applyFill="0" applyAlignment="0" applyProtection="0"/>
    <xf numFmtId="43" fontId="6" fillId="0" borderId="0" applyFont="0" applyFill="0" applyBorder="0" applyAlignment="0" applyProtection="0"/>
    <xf numFmtId="0" fontId="6" fillId="66" borderId="423" applyBorder="0">
      <alignment horizontal="left" vertical="center"/>
    </xf>
    <xf numFmtId="0" fontId="6" fillId="68" borderId="454">
      <alignment horizontal="left" vertical="center" wrapText="1"/>
    </xf>
    <xf numFmtId="49" fontId="22" fillId="0" borderId="335" applyNumberFormat="0" applyFont="0" applyFill="0" applyBorder="0" applyProtection="0">
      <alignment horizontal="left" vertical="center" indent="2"/>
    </xf>
    <xf numFmtId="0" fontId="73" fillId="57" borderId="348" applyNumberFormat="0" applyAlignment="0" applyProtection="0"/>
    <xf numFmtId="0" fontId="26" fillId="31" borderId="163" applyNumberFormat="0" applyAlignment="0" applyProtection="0"/>
    <xf numFmtId="0" fontId="6" fillId="23" borderId="350" applyNumberFormat="0" applyFont="0" applyAlignment="0" applyProtection="0"/>
    <xf numFmtId="0" fontId="76" fillId="0" borderId="319" applyNumberFormat="0" applyFill="0" applyAlignment="0" applyProtection="0"/>
    <xf numFmtId="0" fontId="80" fillId="0" borderId="353" applyNumberFormat="0" applyFill="0" applyAlignment="0" applyProtection="0"/>
    <xf numFmtId="49" fontId="22" fillId="0" borderId="335" applyNumberFormat="0" applyFont="0" applyFill="0" applyBorder="0" applyProtection="0">
      <alignment horizontal="left" vertical="center" indent="2"/>
    </xf>
    <xf numFmtId="0" fontId="36" fillId="26" borderId="348" applyNumberFormat="0" applyAlignment="0" applyProtection="0"/>
    <xf numFmtId="0" fontId="6" fillId="23" borderId="350" applyNumberFormat="0" applyFont="0" applyAlignment="0" applyProtection="0"/>
    <xf numFmtId="0" fontId="32" fillId="27" borderId="348" applyNumberFormat="0" applyAlignment="0" applyProtection="0"/>
    <xf numFmtId="0" fontId="33" fillId="26" borderId="351" applyNumberFormat="0" applyAlignment="0" applyProtection="0"/>
    <xf numFmtId="0" fontId="26" fillId="31" borderId="163" applyNumberFormat="0" applyAlignment="0" applyProtection="0"/>
    <xf numFmtId="49" fontId="22" fillId="0" borderId="335" applyNumberFormat="0" applyFont="0" applyFill="0" applyBorder="0" applyProtection="0">
      <alignment horizontal="left" vertical="center" indent="2"/>
    </xf>
    <xf numFmtId="0" fontId="36" fillId="26" borderId="348" applyNumberFormat="0" applyAlignment="0" applyProtection="0"/>
    <xf numFmtId="0" fontId="6" fillId="23" borderId="350" applyNumberFormat="0" applyFont="0" applyAlignment="0" applyProtection="0"/>
    <xf numFmtId="0" fontId="32" fillId="27" borderId="348" applyNumberFormat="0" applyAlignment="0" applyProtection="0"/>
    <xf numFmtId="0" fontId="33" fillId="26" borderId="351" applyNumberFormat="0" applyAlignment="0" applyProtection="0"/>
    <xf numFmtId="0" fontId="80" fillId="0" borderId="353" applyNumberFormat="0" applyFill="0" applyAlignment="0" applyProtection="0"/>
    <xf numFmtId="0" fontId="53" fillId="24" borderId="348" applyNumberFormat="0" applyAlignment="0" applyProtection="0"/>
    <xf numFmtId="0" fontId="51" fillId="23" borderId="350" applyNumberFormat="0" applyFont="0" applyAlignment="0" applyProtection="0"/>
    <xf numFmtId="0" fontId="62" fillId="57" borderId="351" applyNumberFormat="0" applyAlignment="0" applyProtection="0"/>
    <xf numFmtId="0" fontId="65" fillId="0" borderId="353" applyNumberFormat="0" applyFill="0" applyAlignment="0" applyProtection="0"/>
    <xf numFmtId="0" fontId="68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22" fillId="0" borderId="285">
      <alignment horizontal="left" vertical="center" wrapText="1" indent="2"/>
    </xf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4" fontId="22" fillId="0" borderId="335" applyFill="0" applyBorder="0" applyProtection="0">
      <alignment horizontal="right" vertical="center"/>
    </xf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5" fillId="60" borderId="335" applyNumberFormat="0" applyProtection="0">
      <alignment horizontal="right"/>
    </xf>
    <xf numFmtId="0" fontId="5" fillId="60" borderId="335" applyNumberFormat="0" applyProtection="0">
      <alignment horizontal="left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49" fontId="6" fillId="62" borderId="349">
      <alignment vertical="top" wrapText="1"/>
    </xf>
    <xf numFmtId="0" fontId="23" fillId="23" borderId="350" applyNumberFormat="0" applyFont="0" applyAlignment="0" applyProtection="0"/>
    <xf numFmtId="172" fontId="92" fillId="64" borderId="352">
      <alignment vertical="center"/>
    </xf>
    <xf numFmtId="177" fontId="93" fillId="64" borderId="352">
      <alignment vertical="center"/>
    </xf>
    <xf numFmtId="172" fontId="94" fillId="65" borderId="352">
      <alignment vertical="center"/>
    </xf>
    <xf numFmtId="0" fontId="6" fillId="66" borderId="423" applyBorder="0">
      <alignment horizontal="left" vertical="center"/>
    </xf>
    <xf numFmtId="49" fontId="6" fillId="67" borderId="335">
      <alignment vertical="center" wrapText="1"/>
    </xf>
    <xf numFmtId="0" fontId="6" fillId="68" borderId="454">
      <alignment horizontal="left" vertical="center" wrapText="1"/>
    </xf>
    <xf numFmtId="0" fontId="11" fillId="69" borderId="335">
      <alignment horizontal="left" vertical="center" wrapText="1"/>
    </xf>
    <xf numFmtId="0" fontId="6" fillId="70" borderId="335">
      <alignment horizontal="left" vertical="center" wrapText="1"/>
    </xf>
    <xf numFmtId="0" fontId="6" fillId="71" borderId="335">
      <alignment horizontal="left" vertical="center" wrapText="1"/>
    </xf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4" fontId="22" fillId="0" borderId="335" applyFill="0" applyBorder="0" applyProtection="0">
      <alignment horizontal="right" vertical="center"/>
    </xf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5" fillId="60" borderId="335" applyNumberFormat="0" applyProtection="0">
      <alignment horizontal="right"/>
    </xf>
    <xf numFmtId="0" fontId="5" fillId="60" borderId="335" applyNumberFormat="0" applyProtection="0">
      <alignment horizontal="left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4" fontId="22" fillId="0" borderId="335" applyFill="0" applyBorder="0" applyProtection="0">
      <alignment horizontal="right" vertical="center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5" fillId="60" borderId="335" applyNumberFormat="0" applyProtection="0">
      <alignment horizontal="right"/>
    </xf>
    <xf numFmtId="0" fontId="5" fillId="60" borderId="335" applyNumberFormat="0" applyProtection="0">
      <alignment horizontal="left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49" fontId="22" fillId="0" borderId="335" applyNumberFormat="0" applyFont="0" applyFill="0" applyBorder="0" applyProtection="0">
      <alignment horizontal="left" vertical="center" indent="2"/>
    </xf>
    <xf numFmtId="0" fontId="73" fillId="57" borderId="348" applyNumberFormat="0" applyAlignment="0" applyProtection="0"/>
    <xf numFmtId="0" fontId="6" fillId="23" borderId="350" applyNumberFormat="0" applyFont="0" applyAlignment="0" applyProtection="0"/>
    <xf numFmtId="0" fontId="80" fillId="0" borderId="353" applyNumberFormat="0" applyFill="0" applyAlignment="0" applyProtection="0"/>
    <xf numFmtId="4" fontId="22" fillId="0" borderId="335" applyFill="0" applyBorder="0" applyProtection="0">
      <alignment horizontal="right" vertical="center"/>
    </xf>
    <xf numFmtId="0" fontId="36" fillId="26" borderId="348" applyNumberFormat="0" applyAlignment="0" applyProtection="0"/>
    <xf numFmtId="0" fontId="6" fillId="23" borderId="350" applyNumberFormat="0" applyFont="0" applyAlignment="0" applyProtection="0"/>
    <xf numFmtId="0" fontId="32" fillId="27" borderId="348" applyNumberFormat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33" fillId="26" borderId="351" applyNumberFormat="0" applyAlignment="0" applyProtection="0"/>
    <xf numFmtId="0" fontId="80" fillId="0" borderId="353" applyNumberFormat="0" applyFill="0" applyAlignment="0" applyProtection="0"/>
    <xf numFmtId="0" fontId="31" fillId="0" borderId="326" applyNumberFormat="0" applyFill="0" applyAlignment="0" applyProtection="0"/>
    <xf numFmtId="0" fontId="26" fillId="31" borderId="163" applyNumberFormat="0" applyAlignment="0" applyProtection="0"/>
    <xf numFmtId="0" fontId="36" fillId="26" borderId="348" applyNumberFormat="0" applyAlignment="0" applyProtection="0"/>
    <xf numFmtId="0" fontId="6" fillId="23" borderId="350" applyNumberFormat="0" applyFont="0" applyAlignment="0" applyProtection="0"/>
    <xf numFmtId="0" fontId="32" fillId="27" borderId="348" applyNumberFormat="0" applyAlignment="0" applyProtection="0"/>
    <xf numFmtId="0" fontId="33" fillId="26" borderId="351" applyNumberFormat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53" fillId="24" borderId="348" applyNumberFormat="0" applyAlignment="0" applyProtection="0"/>
    <xf numFmtId="0" fontId="57" fillId="0" borderId="319" applyNumberFormat="0" applyFill="0" applyAlignment="0" applyProtection="0"/>
    <xf numFmtId="0" fontId="58" fillId="31" borderId="163" applyNumberFormat="0" applyAlignment="0" applyProtection="0"/>
    <xf numFmtId="0" fontId="51" fillId="23" borderId="350" applyNumberFormat="0" applyFont="0" applyAlignment="0" applyProtection="0"/>
    <xf numFmtId="0" fontId="62" fillId="57" borderId="351" applyNumberFormat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65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68" fillId="57" borderId="348" applyNumberFormat="0" applyAlignment="0" applyProtection="0"/>
    <xf numFmtId="0" fontId="80" fillId="0" borderId="353" applyNumberFormat="0" applyFill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22" fillId="0" borderId="285">
      <alignment horizontal="left" vertical="center" wrapText="1" indent="2"/>
    </xf>
    <xf numFmtId="0" fontId="22" fillId="0" borderId="285">
      <alignment horizontal="left" vertical="center" wrapText="1" indent="2"/>
    </xf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2" fillId="0" borderId="285">
      <alignment horizontal="left" vertical="center" wrapText="1" indent="2"/>
    </xf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49" fontId="6" fillId="62" borderId="349">
      <alignment vertical="top" wrapText="1"/>
    </xf>
    <xf numFmtId="0" fontId="23" fillId="23" borderId="350" applyNumberFormat="0" applyFont="0" applyAlignment="0" applyProtection="0"/>
    <xf numFmtId="172" fontId="92" fillId="64" borderId="352">
      <alignment vertical="center"/>
    </xf>
    <xf numFmtId="177" fontId="93" fillId="64" borderId="352">
      <alignment vertical="center"/>
    </xf>
    <xf numFmtId="172" fontId="94" fillId="65" borderId="352">
      <alignment vertical="center"/>
    </xf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4" fontId="22" fillId="0" borderId="335" applyFill="0" applyBorder="0" applyProtection="0">
      <alignment horizontal="right" vertical="center"/>
    </xf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80" fillId="0" borderId="353" applyNumberFormat="0" applyFill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32" fillId="24" borderId="348" applyNumberFormat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32" fillId="24" borderId="348" applyNumberFormat="0" applyAlignment="0" applyProtection="0"/>
    <xf numFmtId="49" fontId="22" fillId="0" borderId="335" applyNumberFormat="0" applyFont="0" applyFill="0" applyBorder="0" applyProtection="0">
      <alignment horizontal="left" vertical="center" indent="2"/>
    </xf>
    <xf numFmtId="0" fontId="26" fillId="31" borderId="163" applyNumberFormat="0" applyAlignment="0" applyProtection="0"/>
    <xf numFmtId="0" fontId="76" fillId="0" borderId="319" applyNumberFormat="0" applyFill="0" applyAlignment="0" applyProtection="0"/>
    <xf numFmtId="0" fontId="32" fillId="24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49" fontId="22" fillId="0" borderId="335" applyNumberFormat="0" applyFont="0" applyFill="0" applyBorder="0" applyProtection="0">
      <alignment horizontal="left" vertical="center" indent="2"/>
    </xf>
    <xf numFmtId="49" fontId="6" fillId="62" borderId="349">
      <alignment vertical="top" wrapText="1"/>
    </xf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172" fontId="92" fillId="64" borderId="352">
      <alignment vertical="center"/>
    </xf>
    <xf numFmtId="177" fontId="93" fillId="64" borderId="352">
      <alignment vertical="center"/>
    </xf>
    <xf numFmtId="172" fontId="94" fillId="65" borderId="352">
      <alignment vertical="center"/>
    </xf>
    <xf numFmtId="0" fontId="6" fillId="66" borderId="423" applyBorder="0">
      <alignment horizontal="left" vertical="center"/>
    </xf>
    <xf numFmtId="49" fontId="6" fillId="67" borderId="335">
      <alignment vertical="center" wrapText="1"/>
    </xf>
    <xf numFmtId="0" fontId="6" fillId="68" borderId="454">
      <alignment horizontal="left" vertical="center" wrapText="1"/>
    </xf>
    <xf numFmtId="0" fontId="11" fillId="69" borderId="335">
      <alignment horizontal="left" vertical="center" wrapText="1"/>
    </xf>
    <xf numFmtId="0" fontId="6" fillId="70" borderId="335">
      <alignment horizontal="left" vertical="center" wrapText="1"/>
    </xf>
    <xf numFmtId="0" fontId="6" fillId="71" borderId="335">
      <alignment horizontal="left" vertical="center" wrapText="1"/>
    </xf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33" fillId="57" borderId="351" applyNumberFormat="0" applyAlignment="0" applyProtection="0"/>
    <xf numFmtId="4" fontId="22" fillId="0" borderId="335" applyFill="0" applyBorder="0" applyProtection="0">
      <alignment horizontal="right" vertical="center"/>
    </xf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4" fontId="22" fillId="0" borderId="335" applyFill="0" applyBorder="0" applyProtection="0">
      <alignment horizontal="right" vertical="center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5" fillId="60" borderId="335" applyNumberFormat="0" applyProtection="0">
      <alignment horizontal="right"/>
    </xf>
    <xf numFmtId="0" fontId="5" fillId="60" borderId="335" applyNumberFormat="0" applyProtection="0">
      <alignment horizontal="left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49" fontId="22" fillId="0" borderId="335" applyNumberFormat="0" applyFont="0" applyFill="0" applyBorder="0" applyProtection="0">
      <alignment horizontal="left" vertical="center" indent="2"/>
    </xf>
    <xf numFmtId="0" fontId="73" fillId="57" borderId="348" applyNumberFormat="0" applyAlignment="0" applyProtection="0"/>
    <xf numFmtId="0" fontId="26" fillId="31" borderId="163" applyNumberFormat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6" fillId="23" borderId="350" applyNumberFormat="0" applyFont="0" applyAlignment="0" applyProtection="0"/>
    <xf numFmtId="0" fontId="80" fillId="0" borderId="353" applyNumberFormat="0" applyFill="0" applyAlignment="0" applyProtection="0"/>
    <xf numFmtId="0" fontId="76" fillId="0" borderId="319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5" fillId="60" borderId="335" applyNumberFormat="0" applyProtection="0">
      <alignment horizontal="right"/>
    </xf>
    <xf numFmtId="0" fontId="5" fillId="60" borderId="335" applyNumberFormat="0" applyProtection="0">
      <alignment horizontal="left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65" fillId="0" borderId="353" applyNumberFormat="0" applyFill="0" applyAlignment="0" applyProtection="0"/>
    <xf numFmtId="0" fontId="51" fillId="23" borderId="350" applyNumberFormat="0" applyFont="0" applyAlignment="0" applyProtection="0"/>
    <xf numFmtId="0" fontId="33" fillId="26" borderId="351" applyNumberFormat="0" applyAlignment="0" applyProtection="0"/>
    <xf numFmtId="0" fontId="32" fillId="27" borderId="348" applyNumberFormat="0" applyAlignment="0" applyProtection="0"/>
    <xf numFmtId="0" fontId="6" fillId="23" borderId="350" applyNumberFormat="0" applyFont="0" applyAlignment="0" applyProtection="0"/>
    <xf numFmtId="0" fontId="36" fillId="26" borderId="348" applyNumberFormat="0" applyAlignment="0" applyProtection="0"/>
    <xf numFmtId="49" fontId="22" fillId="0" borderId="335" applyNumberFormat="0" applyFont="0" applyFill="0" applyBorder="0" applyProtection="0">
      <alignment horizontal="left" vertical="center" indent="2"/>
    </xf>
    <xf numFmtId="0" fontId="26" fillId="31" borderId="163" applyNumberFormat="0" applyAlignment="0" applyProtection="0"/>
    <xf numFmtId="0" fontId="31" fillId="0" borderId="326" applyNumberFormat="0" applyFill="0" applyAlignment="0" applyProtection="0"/>
    <xf numFmtId="0" fontId="33" fillId="26" borderId="351" applyNumberFormat="0" applyAlignment="0" applyProtection="0"/>
    <xf numFmtId="0" fontId="32" fillId="27" borderId="348" applyNumberFormat="0" applyAlignment="0" applyProtection="0"/>
    <xf numFmtId="0" fontId="6" fillId="23" borderId="350" applyNumberFormat="0" applyFont="0" applyAlignment="0" applyProtection="0"/>
    <xf numFmtId="0" fontId="36" fillId="26" borderId="348" applyNumberFormat="0" applyAlignment="0" applyProtection="0"/>
    <xf numFmtId="49" fontId="22" fillId="0" borderId="335" applyNumberFormat="0" applyFont="0" applyFill="0" applyBorder="0" applyProtection="0">
      <alignment horizontal="left" vertical="center" indent="2"/>
    </xf>
    <xf numFmtId="0" fontId="6" fillId="66" borderId="423" applyBorder="0">
      <alignment horizontal="left" vertical="center"/>
    </xf>
    <xf numFmtId="49" fontId="6" fillId="67" borderId="335">
      <alignment vertical="center" wrapText="1"/>
    </xf>
    <xf numFmtId="0" fontId="6" fillId="68" borderId="454">
      <alignment horizontal="left" vertical="center" wrapText="1"/>
    </xf>
    <xf numFmtId="0" fontId="11" fillId="69" borderId="335">
      <alignment horizontal="left" vertical="center" wrapText="1"/>
    </xf>
    <xf numFmtId="0" fontId="6" fillId="70" borderId="335">
      <alignment horizontal="left" vertical="center" wrapText="1"/>
    </xf>
    <xf numFmtId="0" fontId="6" fillId="71" borderId="335">
      <alignment horizontal="left" vertical="center" wrapText="1"/>
    </xf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4" fontId="22" fillId="0" borderId="335" applyFill="0" applyBorder="0" applyProtection="0">
      <alignment horizontal="right" vertical="center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5" fillId="60" borderId="335" applyNumberFormat="0" applyProtection="0">
      <alignment horizontal="right"/>
    </xf>
    <xf numFmtId="0" fontId="5" fillId="60" borderId="335" applyNumberFormat="0" applyProtection="0">
      <alignment horizontal="left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68" fillId="57" borderId="348" applyNumberFormat="0" applyAlignment="0" applyProtection="0"/>
    <xf numFmtId="0" fontId="62" fillId="57" borderId="351" applyNumberFormat="0" applyAlignment="0" applyProtection="0"/>
    <xf numFmtId="0" fontId="57" fillId="0" borderId="319" applyNumberFormat="0" applyFill="0" applyAlignment="0" applyProtection="0"/>
    <xf numFmtId="0" fontId="53" fillId="24" borderId="348" applyNumberFormat="0" applyAlignment="0" applyProtection="0"/>
    <xf numFmtId="4" fontId="22" fillId="0" borderId="335" applyFill="0" applyBorder="0" applyProtection="0">
      <alignment horizontal="right" vertical="center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5" fillId="60" borderId="335" applyNumberFormat="0" applyProtection="0">
      <alignment horizontal="right"/>
    </xf>
    <xf numFmtId="0" fontId="5" fillId="60" borderId="335" applyNumberFormat="0" applyProtection="0">
      <alignment horizontal="left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49" fontId="22" fillId="0" borderId="335" applyNumberFormat="0" applyFont="0" applyFill="0" applyBorder="0" applyProtection="0">
      <alignment horizontal="left" vertical="center" indent="2"/>
    </xf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32" fillId="24" borderId="348" applyNumberFormat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3" fillId="57" borderId="348" applyNumberFormat="0" applyAlignment="0" applyProtection="0"/>
    <xf numFmtId="0" fontId="6" fillId="23" borderId="350" applyNumberFormat="0" applyFont="0" applyAlignment="0" applyProtection="0"/>
    <xf numFmtId="0" fontId="76" fillId="0" borderId="319" applyNumberFormat="0" applyFill="0" applyAlignment="0" applyProtection="0"/>
    <xf numFmtId="0" fontId="80" fillId="0" borderId="353" applyNumberFormat="0" applyFill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49" fontId="22" fillId="0" borderId="335" applyNumberFormat="0" applyFont="0" applyFill="0" applyBorder="0" applyProtection="0">
      <alignment horizontal="left" vertical="center" indent="2"/>
    </xf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36" fillId="26" borderId="348" applyNumberFormat="0" applyAlignment="0" applyProtection="0"/>
    <xf numFmtId="0" fontId="6" fillId="23" borderId="350" applyNumberFormat="0" applyFont="0" applyAlignment="0" applyProtection="0"/>
    <xf numFmtId="0" fontId="32" fillId="27" borderId="348" applyNumberFormat="0" applyAlignment="0" applyProtection="0"/>
    <xf numFmtId="0" fontId="73" fillId="57" borderId="348" applyNumberFormat="0" applyAlignment="0" applyProtection="0"/>
    <xf numFmtId="0" fontId="33" fillId="26" borderId="351" applyNumberFormat="0" applyAlignment="0" applyProtection="0"/>
    <xf numFmtId="49" fontId="22" fillId="0" borderId="335" applyNumberFormat="0" applyFont="0" applyFill="0" applyBorder="0" applyProtection="0">
      <alignment horizontal="left" vertical="center" indent="2"/>
    </xf>
    <xf numFmtId="0" fontId="36" fillId="26" borderId="348" applyNumberFormat="0" applyAlignment="0" applyProtection="0"/>
    <xf numFmtId="0" fontId="6" fillId="23" borderId="350" applyNumberFormat="0" applyFont="0" applyAlignment="0" applyProtection="0"/>
    <xf numFmtId="0" fontId="32" fillId="27" borderId="348" applyNumberFormat="0" applyAlignment="0" applyProtection="0"/>
    <xf numFmtId="0" fontId="33" fillId="26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76" fillId="0" borderId="319" applyNumberFormat="0" applyFill="0" applyAlignment="0" applyProtection="0"/>
    <xf numFmtId="0" fontId="57" fillId="0" borderId="319" applyNumberFormat="0" applyFill="0" applyAlignment="0" applyProtection="0"/>
    <xf numFmtId="0" fontId="58" fillId="31" borderId="163" applyNumberFormat="0" applyAlignment="0" applyProtection="0"/>
    <xf numFmtId="0" fontId="26" fillId="31" borderId="163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26" fillId="31" borderId="163" applyNumberForma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33" fillId="57" borderId="351" applyNumberFormat="0" applyAlignment="0" applyProtection="0"/>
    <xf numFmtId="4" fontId="22" fillId="0" borderId="335" applyFill="0" applyBorder="0" applyProtection="0">
      <alignment horizontal="right" vertical="center"/>
    </xf>
    <xf numFmtId="0" fontId="6" fillId="23" borderId="350" applyNumberFormat="0" applyFon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6" fillId="71" borderId="335">
      <alignment horizontal="left" vertical="center" wrapText="1"/>
    </xf>
    <xf numFmtId="0" fontId="6" fillId="70" borderId="335">
      <alignment horizontal="left" vertical="center" wrapText="1"/>
    </xf>
    <xf numFmtId="0" fontId="11" fillId="69" borderId="335">
      <alignment horizontal="left" vertical="center" wrapText="1"/>
    </xf>
    <xf numFmtId="0" fontId="6" fillId="68" borderId="454">
      <alignment horizontal="left" vertical="center" wrapText="1"/>
    </xf>
    <xf numFmtId="49" fontId="6" fillId="67" borderId="335">
      <alignment vertical="center" wrapText="1"/>
    </xf>
    <xf numFmtId="0" fontId="6" fillId="66" borderId="423" applyBorder="0">
      <alignment horizontal="left" vertical="center"/>
    </xf>
    <xf numFmtId="172" fontId="94" fillId="65" borderId="352">
      <alignment vertical="center"/>
    </xf>
    <xf numFmtId="177" fontId="93" fillId="64" borderId="352">
      <alignment vertical="center"/>
    </xf>
    <xf numFmtId="172" fontId="92" fillId="64" borderId="352">
      <alignment vertical="center"/>
    </xf>
    <xf numFmtId="0" fontId="33" fillId="57" borderId="351" applyNumberFormat="0" applyAlignment="0" applyProtection="0"/>
    <xf numFmtId="0" fontId="33" fillId="57" borderId="351" applyNumberFormat="0" applyAlignment="0" applyProtection="0"/>
    <xf numFmtId="0" fontId="23" fillId="23" borderId="350" applyNumberFormat="0" applyFont="0" applyAlignment="0" applyProtection="0"/>
    <xf numFmtId="0" fontId="32" fillId="24" borderId="348" applyNumberFormat="0" applyAlignment="0" applyProtection="0"/>
    <xf numFmtId="49" fontId="6" fillId="62" borderId="349">
      <alignment vertical="top" wrapText="1"/>
    </xf>
    <xf numFmtId="0" fontId="6" fillId="0" borderId="335" applyNumberFormat="0" applyFill="0" applyProtection="0">
      <alignment horizontal="right"/>
    </xf>
    <xf numFmtId="49" fontId="22" fillId="0" borderId="335" applyNumberFormat="0" applyFont="0" applyFill="0" applyBorder="0" applyProtection="0">
      <alignment horizontal="left" vertical="center" indent="2"/>
    </xf>
    <xf numFmtId="0" fontId="73" fillId="57" borderId="348" applyNumberFormat="0" applyAlignment="0" applyProtection="0"/>
    <xf numFmtId="0" fontId="36" fillId="26" borderId="348" applyNumberFormat="0" applyAlignment="0" applyProtection="0"/>
    <xf numFmtId="0" fontId="6" fillId="23" borderId="350" applyNumberFormat="0" applyFont="0" applyAlignment="0" applyProtection="0"/>
    <xf numFmtId="0" fontId="32" fillId="27" borderId="348" applyNumberFormat="0" applyAlignment="0" applyProtection="0"/>
    <xf numFmtId="0" fontId="33" fillId="26" borderId="351" applyNumberFormat="0" applyAlignment="0" applyProtection="0"/>
    <xf numFmtId="0" fontId="26" fillId="31" borderId="163" applyNumberFormat="0" applyAlignment="0" applyProtection="0"/>
    <xf numFmtId="0" fontId="36" fillId="26" borderId="348" applyNumberFormat="0" applyAlignment="0" applyProtection="0"/>
    <xf numFmtId="0" fontId="6" fillId="23" borderId="350" applyNumberFormat="0" applyFont="0" applyAlignment="0" applyProtection="0"/>
    <xf numFmtId="0" fontId="32" fillId="27" borderId="348" applyNumberFormat="0" applyAlignment="0" applyProtection="0"/>
    <xf numFmtId="0" fontId="33" fillId="26" borderId="351" applyNumberFormat="0" applyAlignment="0" applyProtection="0"/>
    <xf numFmtId="0" fontId="6" fillId="0" borderId="335" applyNumberFormat="0" applyFill="0" applyProtection="0">
      <alignment horizontal="right"/>
    </xf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53" fillId="24" borderId="348" applyNumberFormat="0" applyAlignment="0" applyProtection="0"/>
    <xf numFmtId="0" fontId="51" fillId="23" borderId="350" applyNumberFormat="0" applyFont="0" applyAlignment="0" applyProtection="0"/>
    <xf numFmtId="0" fontId="62" fillId="57" borderId="351" applyNumberFormat="0" applyAlignment="0" applyProtection="0"/>
    <xf numFmtId="0" fontId="65" fillId="0" borderId="353" applyNumberFormat="0" applyFill="0" applyAlignment="0" applyProtection="0"/>
    <xf numFmtId="0" fontId="68" fillId="57" borderId="348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5" fillId="60" borderId="335" applyNumberFormat="0" applyProtection="0">
      <alignment horizontal="left"/>
    </xf>
    <xf numFmtId="0" fontId="33" fillId="57" borderId="351" applyNumberFormat="0" applyAlignment="0" applyProtection="0"/>
    <xf numFmtId="0" fontId="5" fillId="60" borderId="335" applyNumberFormat="0" applyProtection="0">
      <alignment horizontal="right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4" fontId="22" fillId="0" borderId="335" applyFill="0" applyBorder="0" applyProtection="0">
      <alignment horizontal="right" vertical="center"/>
    </xf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4" fontId="22" fillId="0" borderId="335" applyFill="0" applyBorder="0" applyProtection="0">
      <alignment horizontal="right" vertical="center"/>
    </xf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2" fillId="0" borderId="285">
      <alignment horizontal="left" vertical="center" wrapText="1" indent="2"/>
    </xf>
    <xf numFmtId="0" fontId="22" fillId="0" borderId="285">
      <alignment horizontal="left" vertical="center" wrapText="1" indent="2"/>
    </xf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22" fillId="0" borderId="285">
      <alignment horizontal="left" vertical="center" wrapText="1" indent="2"/>
    </xf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4" fontId="22" fillId="0" borderId="335" applyFill="0" applyBorder="0" applyProtection="0">
      <alignment horizontal="right" vertical="center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5" fillId="60" borderId="335" applyNumberFormat="0" applyProtection="0">
      <alignment horizontal="right"/>
    </xf>
    <xf numFmtId="0" fontId="5" fillId="60" borderId="335" applyNumberFormat="0" applyProtection="0">
      <alignment horizontal="left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68" fillId="57" borderId="348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62" fillId="57" borderId="351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51" fillId="23" borderId="350" applyNumberFormat="0" applyFont="0" applyAlignment="0" applyProtection="0"/>
    <xf numFmtId="0" fontId="32" fillId="24" borderId="348" applyNumberFormat="0" applyAlignment="0" applyProtection="0"/>
    <xf numFmtId="0" fontId="57" fillId="0" borderId="319" applyNumberFormat="0" applyFill="0" applyAlignment="0" applyProtection="0"/>
    <xf numFmtId="0" fontId="53" fillId="24" borderId="348" applyNumberForma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33" fillId="26" borderId="351" applyNumberFormat="0" applyAlignment="0" applyProtection="0"/>
    <xf numFmtId="0" fontId="32" fillId="27" borderId="348" applyNumberFormat="0" applyAlignment="0" applyProtection="0"/>
    <xf numFmtId="0" fontId="6" fillId="23" borderId="350" applyNumberFormat="0" applyFont="0" applyAlignment="0" applyProtection="0"/>
    <xf numFmtId="0" fontId="36" fillId="26" borderId="348" applyNumberFormat="0" applyAlignment="0" applyProtection="0"/>
    <xf numFmtId="49" fontId="22" fillId="0" borderId="335" applyNumberFormat="0" applyFont="0" applyFill="0" applyBorder="0" applyProtection="0">
      <alignment horizontal="left" vertical="center" indent="2"/>
    </xf>
    <xf numFmtId="0" fontId="5" fillId="60" borderId="335" applyNumberFormat="0" applyProtection="0">
      <alignment horizontal="right"/>
    </xf>
    <xf numFmtId="0" fontId="31" fillId="0" borderId="326" applyNumberFormat="0" applyFill="0" applyAlignment="0" applyProtection="0"/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26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2" fillId="24" borderId="348" applyNumberFormat="0" applyAlignment="0" applyProtection="0"/>
    <xf numFmtId="0" fontId="32" fillId="27" borderId="348" applyNumberFormat="0" applyAlignment="0" applyProtection="0"/>
    <xf numFmtId="0" fontId="6" fillId="23" borderId="350" applyNumberFormat="0" applyFont="0" applyAlignment="0" applyProtection="0"/>
    <xf numFmtId="0" fontId="36" fillId="26" borderId="348" applyNumberFormat="0" applyAlignment="0" applyProtection="0"/>
    <xf numFmtId="0" fontId="26" fillId="31" borderId="163" applyNumberFormat="0" applyAlignment="0" applyProtection="0"/>
    <xf numFmtId="0" fontId="33" fillId="57" borderId="351" applyNumberFormat="0" applyAlignment="0" applyProtection="0"/>
    <xf numFmtId="0" fontId="73" fillId="57" borderId="348" applyNumberFormat="0" applyAlignment="0" applyProtection="0"/>
    <xf numFmtId="49" fontId="6" fillId="67" borderId="335">
      <alignment vertical="center" wrapText="1"/>
    </xf>
    <xf numFmtId="0" fontId="6" fillId="68" borderId="454">
      <alignment horizontal="left" vertical="center" wrapText="1"/>
    </xf>
    <xf numFmtId="0" fontId="11" fillId="69" borderId="335">
      <alignment horizontal="left" vertical="center" wrapText="1"/>
    </xf>
    <xf numFmtId="0" fontId="6" fillId="70" borderId="335">
      <alignment horizontal="left" vertical="center" wrapText="1"/>
    </xf>
    <xf numFmtId="0" fontId="6" fillId="71" borderId="335">
      <alignment horizontal="left" vertical="center" wrapText="1"/>
    </xf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4" fontId="22" fillId="0" borderId="335" applyFill="0" applyBorder="0" applyProtection="0">
      <alignment horizontal="right" vertical="center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5" fillId="60" borderId="335" applyNumberFormat="0" applyProtection="0">
      <alignment horizontal="right"/>
    </xf>
    <xf numFmtId="0" fontId="5" fillId="60" borderId="335" applyNumberFormat="0" applyProtection="0">
      <alignment horizontal="left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33" fillId="57" borderId="351" applyNumberFormat="0" applyAlignment="0" applyProtection="0"/>
    <xf numFmtId="0" fontId="33" fillId="57" borderId="351" applyNumberFormat="0" applyAlignment="0" applyProtection="0"/>
    <xf numFmtId="0" fontId="65" fillId="0" borderId="353" applyNumberFormat="0" applyFill="0" applyAlignment="0" applyProtection="0"/>
    <xf numFmtId="0" fontId="6" fillId="23" borderId="350" applyNumberFormat="0" applyFon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58" fillId="31" borderId="163" applyNumberFormat="0" applyAlignment="0" applyProtection="0"/>
    <xf numFmtId="4" fontId="22" fillId="0" borderId="335" applyFill="0" applyBorder="0" applyProtection="0">
      <alignment horizontal="right" vertical="center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5" fillId="60" borderId="335" applyNumberFormat="0" applyProtection="0">
      <alignment horizontal="right"/>
    </xf>
    <xf numFmtId="0" fontId="5" fillId="60" borderId="335" applyNumberFormat="0" applyProtection="0">
      <alignment horizontal="left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49" fontId="22" fillId="0" borderId="335" applyNumberFormat="0" applyFont="0" applyFill="0" applyBorder="0" applyProtection="0">
      <alignment horizontal="left" vertical="center" indent="2"/>
    </xf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76" fillId="0" borderId="319" applyNumberFormat="0" applyFill="0" applyAlignment="0" applyProtection="0"/>
    <xf numFmtId="0" fontId="26" fillId="31" borderId="163" applyNumberFormat="0" applyAlignment="0" applyProtection="0"/>
    <xf numFmtId="0" fontId="76" fillId="0" borderId="319" applyNumberFormat="0" applyFill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5" fillId="60" borderId="335" applyNumberFormat="0" applyProtection="0">
      <alignment horizontal="right"/>
    </xf>
    <xf numFmtId="0" fontId="5" fillId="60" borderId="335" applyNumberFormat="0" applyProtection="0">
      <alignment horizontal="left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4" fontId="22" fillId="0" borderId="335" applyFill="0" applyBorder="0" applyProtection="0">
      <alignment horizontal="right" vertical="center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5" fillId="60" borderId="335" applyNumberFormat="0" applyProtection="0">
      <alignment horizontal="right"/>
    </xf>
    <xf numFmtId="0" fontId="5" fillId="60" borderId="335" applyNumberFormat="0" applyProtection="0">
      <alignment horizontal="left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49" fontId="22" fillId="0" borderId="335" applyNumberFormat="0" applyFont="0" applyFill="0" applyBorder="0" applyProtection="0">
      <alignment horizontal="left" vertical="center" indent="2"/>
    </xf>
    <xf numFmtId="0" fontId="73" fillId="57" borderId="348" applyNumberFormat="0" applyAlignment="0" applyProtection="0"/>
    <xf numFmtId="0" fontId="26" fillId="31" borderId="163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6" fillId="23" borderId="350" applyNumberFormat="0" applyFon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76" fillId="0" borderId="319" applyNumberFormat="0" applyFill="0" applyAlignment="0" applyProtection="0"/>
    <xf numFmtId="0" fontId="80" fillId="0" borderId="353" applyNumberFormat="0" applyFill="0" applyAlignment="0" applyProtection="0"/>
    <xf numFmtId="0" fontId="5" fillId="60" borderId="335" applyNumberFormat="0" applyProtection="0">
      <alignment horizontal="left"/>
    </xf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68" fillId="57" borderId="348" applyNumberFormat="0" applyAlignment="0" applyProtection="0"/>
    <xf numFmtId="0" fontId="65" fillId="0" borderId="353" applyNumberFormat="0" applyFill="0" applyAlignment="0" applyProtection="0"/>
    <xf numFmtId="0" fontId="62" fillId="57" borderId="351" applyNumberFormat="0" applyAlignment="0" applyProtection="0"/>
    <xf numFmtId="0" fontId="51" fillId="23" borderId="350" applyNumberFormat="0" applyFont="0" applyAlignment="0" applyProtection="0"/>
    <xf numFmtId="0" fontId="58" fillId="31" borderId="163" applyNumberFormat="0" applyAlignment="0" applyProtection="0"/>
    <xf numFmtId="0" fontId="53" fillId="24" borderId="348" applyNumberFormat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33" fillId="26" borderId="351" applyNumberFormat="0" applyAlignment="0" applyProtection="0"/>
    <xf numFmtId="0" fontId="32" fillId="27" borderId="348" applyNumberFormat="0" applyAlignment="0" applyProtection="0"/>
    <xf numFmtId="0" fontId="6" fillId="23" borderId="350" applyNumberFormat="0" applyFont="0" applyAlignment="0" applyProtection="0"/>
    <xf numFmtId="0" fontId="36" fillId="26" borderId="348" applyNumberFormat="0" applyAlignment="0" applyProtection="0"/>
    <xf numFmtId="49" fontId="22" fillId="0" borderId="335" applyNumberFormat="0" applyFont="0" applyFill="0" applyBorder="0" applyProtection="0">
      <alignment horizontal="left" vertical="center" indent="2"/>
    </xf>
    <xf numFmtId="0" fontId="33" fillId="26" borderId="351" applyNumberFormat="0" applyAlignment="0" applyProtection="0"/>
    <xf numFmtId="0" fontId="32" fillId="27" borderId="348" applyNumberFormat="0" applyAlignment="0" applyProtection="0"/>
    <xf numFmtId="0" fontId="6" fillId="23" borderId="350" applyNumberFormat="0" applyFont="0" applyAlignment="0" applyProtection="0"/>
    <xf numFmtId="0" fontId="36" fillId="26" borderId="348" applyNumberFormat="0" applyAlignment="0" applyProtection="0"/>
    <xf numFmtId="49" fontId="22" fillId="0" borderId="335" applyNumberFormat="0" applyFont="0" applyFill="0" applyBorder="0" applyProtection="0">
      <alignment horizontal="left" vertical="center" indent="2"/>
    </xf>
    <xf numFmtId="49" fontId="6" fillId="62" borderId="349">
      <alignment vertical="top" wrapText="1"/>
    </xf>
    <xf numFmtId="0" fontId="23" fillId="23" borderId="350" applyNumberFormat="0" applyFont="0" applyAlignment="0" applyProtection="0"/>
    <xf numFmtId="172" fontId="92" fillId="64" borderId="352">
      <alignment vertical="center"/>
    </xf>
    <xf numFmtId="177" fontId="93" fillId="64" borderId="352">
      <alignment vertical="center"/>
    </xf>
    <xf numFmtId="172" fontId="94" fillId="65" borderId="352">
      <alignment vertical="center"/>
    </xf>
    <xf numFmtId="0" fontId="6" fillId="66" borderId="423" applyBorder="0">
      <alignment horizontal="left" vertical="center"/>
    </xf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73" fillId="57" borderId="348" applyNumberFormat="0" applyAlignment="0" applyProtection="0"/>
    <xf numFmtId="0" fontId="6" fillId="23" borderId="350" applyNumberFormat="0" applyFont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49" fontId="6" fillId="62" borderId="349">
      <alignment vertical="top" wrapText="1"/>
    </xf>
    <xf numFmtId="0" fontId="23" fillId="23" borderId="350" applyNumberFormat="0" applyFont="0" applyAlignment="0" applyProtection="0"/>
    <xf numFmtId="172" fontId="92" fillId="64" borderId="352">
      <alignment vertical="center"/>
    </xf>
    <xf numFmtId="177" fontId="93" fillId="64" borderId="352">
      <alignment vertical="center"/>
    </xf>
    <xf numFmtId="172" fontId="94" fillId="65" borderId="352">
      <alignment vertical="center"/>
    </xf>
    <xf numFmtId="0" fontId="6" fillId="66" borderId="423" applyBorder="0">
      <alignment horizontal="left" vertical="center"/>
    </xf>
    <xf numFmtId="49" fontId="6" fillId="67" borderId="335">
      <alignment vertical="center" wrapText="1"/>
    </xf>
    <xf numFmtId="0" fontId="6" fillId="68" borderId="454">
      <alignment horizontal="left" vertical="center" wrapText="1"/>
    </xf>
    <xf numFmtId="0" fontId="11" fillId="69" borderId="335">
      <alignment horizontal="left" vertical="center" wrapText="1"/>
    </xf>
    <xf numFmtId="0" fontId="6" fillId="70" borderId="335">
      <alignment horizontal="left" vertical="center" wrapText="1"/>
    </xf>
    <xf numFmtId="0" fontId="6" fillId="71" borderId="335">
      <alignment horizontal="left" vertical="center" wrapText="1"/>
    </xf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4" fontId="22" fillId="0" borderId="335" applyFill="0" applyBorder="0" applyProtection="0">
      <alignment horizontal="right" vertical="center"/>
    </xf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5" fillId="60" borderId="335" applyNumberFormat="0" applyProtection="0">
      <alignment horizontal="right"/>
    </xf>
    <xf numFmtId="0" fontId="5" fillId="60" borderId="335" applyNumberFormat="0" applyProtection="0">
      <alignment horizontal="left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4" fontId="22" fillId="0" borderId="335" applyFill="0" applyBorder="0" applyProtection="0">
      <alignment horizontal="right" vertical="center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5" fillId="60" borderId="335" applyNumberFormat="0" applyProtection="0">
      <alignment horizontal="right"/>
    </xf>
    <xf numFmtId="0" fontId="5" fillId="60" borderId="335" applyNumberFormat="0" applyProtection="0">
      <alignment horizontal="left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49" fontId="22" fillId="0" borderId="335" applyNumberFormat="0" applyFont="0" applyFill="0" applyBorder="0" applyProtection="0">
      <alignment horizontal="left" vertical="center" indent="2"/>
    </xf>
    <xf numFmtId="0" fontId="73" fillId="57" borderId="348" applyNumberFormat="0" applyAlignment="0" applyProtection="0"/>
    <xf numFmtId="0" fontId="26" fillId="31" borderId="163" applyNumberFormat="0" applyAlignment="0" applyProtection="0"/>
    <xf numFmtId="0" fontId="6" fillId="23" borderId="350" applyNumberFormat="0" applyFont="0" applyAlignment="0" applyProtection="0"/>
    <xf numFmtId="0" fontId="80" fillId="0" borderId="353" applyNumberFormat="0" applyFill="0" applyAlignment="0" applyProtection="0"/>
    <xf numFmtId="49" fontId="22" fillId="0" borderId="335" applyNumberFormat="0" applyFont="0" applyFill="0" applyBorder="0" applyProtection="0">
      <alignment horizontal="left" vertical="center" indent="2"/>
    </xf>
    <xf numFmtId="0" fontId="36" fillId="26" borderId="348" applyNumberFormat="0" applyAlignment="0" applyProtection="0"/>
    <xf numFmtId="0" fontId="6" fillId="23" borderId="350" applyNumberFormat="0" applyFont="0" applyAlignment="0" applyProtection="0"/>
    <xf numFmtId="0" fontId="32" fillId="27" borderId="348" applyNumberFormat="0" applyAlignment="0" applyProtection="0"/>
    <xf numFmtId="0" fontId="33" fillId="26" borderId="351" applyNumberFormat="0" applyAlignment="0" applyProtection="0"/>
    <xf numFmtId="0" fontId="26" fillId="31" borderId="163" applyNumberFormat="0" applyAlignment="0" applyProtection="0"/>
    <xf numFmtId="49" fontId="22" fillId="0" borderId="335" applyNumberFormat="0" applyFont="0" applyFill="0" applyBorder="0" applyProtection="0">
      <alignment horizontal="left" vertical="center" indent="2"/>
    </xf>
    <xf numFmtId="0" fontId="36" fillId="26" borderId="348" applyNumberFormat="0" applyAlignment="0" applyProtection="0"/>
    <xf numFmtId="0" fontId="6" fillId="23" borderId="350" applyNumberFormat="0" applyFont="0" applyAlignment="0" applyProtection="0"/>
    <xf numFmtId="0" fontId="32" fillId="27" borderId="348" applyNumberFormat="0" applyAlignment="0" applyProtection="0"/>
    <xf numFmtId="0" fontId="33" fillId="26" borderId="351" applyNumberFormat="0" applyAlignment="0" applyProtection="0"/>
    <xf numFmtId="0" fontId="53" fillId="24" borderId="348" applyNumberFormat="0" applyAlignment="0" applyProtection="0"/>
    <xf numFmtId="0" fontId="58" fillId="31" borderId="163" applyNumberFormat="0" applyAlignment="0" applyProtection="0"/>
    <xf numFmtId="0" fontId="51" fillId="23" borderId="350" applyNumberFormat="0" applyFont="0" applyAlignment="0" applyProtection="0"/>
    <xf numFmtId="0" fontId="62" fillId="57" borderId="351" applyNumberFormat="0" applyAlignment="0" applyProtection="0"/>
    <xf numFmtId="0" fontId="65" fillId="0" borderId="353" applyNumberFormat="0" applyFill="0" applyAlignment="0" applyProtection="0"/>
    <xf numFmtId="0" fontId="68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2" fillId="0" borderId="285">
      <alignment horizontal="left" vertical="center" wrapText="1" indent="2"/>
    </xf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4" fontId="22" fillId="0" borderId="335" applyFill="0" applyBorder="0" applyProtection="0">
      <alignment horizontal="right" vertical="center"/>
    </xf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5" fillId="60" borderId="335" applyNumberFormat="0" applyProtection="0">
      <alignment horizontal="right"/>
    </xf>
    <xf numFmtId="0" fontId="5" fillId="60" borderId="335" applyNumberFormat="0" applyProtection="0">
      <alignment horizontal="left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49" fontId="6" fillId="62" borderId="349">
      <alignment vertical="top" wrapText="1"/>
    </xf>
    <xf numFmtId="0" fontId="23" fillId="23" borderId="350" applyNumberFormat="0" applyFont="0" applyAlignment="0" applyProtection="0"/>
    <xf numFmtId="172" fontId="92" fillId="64" borderId="352">
      <alignment vertical="center"/>
    </xf>
    <xf numFmtId="177" fontId="93" fillId="64" borderId="352">
      <alignment vertical="center"/>
    </xf>
    <xf numFmtId="172" fontId="94" fillId="65" borderId="352">
      <alignment vertical="center"/>
    </xf>
    <xf numFmtId="0" fontId="6" fillId="66" borderId="423" applyBorder="0">
      <alignment horizontal="left" vertical="center"/>
    </xf>
    <xf numFmtId="49" fontId="6" fillId="67" borderId="335">
      <alignment vertical="center" wrapText="1"/>
    </xf>
    <xf numFmtId="0" fontId="6" fillId="68" borderId="454">
      <alignment horizontal="left" vertical="center" wrapText="1"/>
    </xf>
    <xf numFmtId="0" fontId="11" fillId="69" borderId="335">
      <alignment horizontal="left" vertical="center" wrapText="1"/>
    </xf>
    <xf numFmtId="0" fontId="6" fillId="70" borderId="335">
      <alignment horizontal="left" vertical="center" wrapText="1"/>
    </xf>
    <xf numFmtId="0" fontId="6" fillId="71" borderId="335">
      <alignment horizontal="left" vertical="center" wrapText="1"/>
    </xf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4" fontId="22" fillId="0" borderId="335" applyFill="0" applyBorder="0" applyProtection="0">
      <alignment horizontal="right" vertical="center"/>
    </xf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5" fillId="60" borderId="335" applyNumberFormat="0" applyProtection="0">
      <alignment horizontal="right"/>
    </xf>
    <xf numFmtId="0" fontId="5" fillId="60" borderId="335" applyNumberFormat="0" applyProtection="0">
      <alignment horizontal="left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4" fontId="22" fillId="0" borderId="335" applyFill="0" applyBorder="0" applyProtection="0">
      <alignment horizontal="right" vertical="center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5" fillId="60" borderId="335" applyNumberFormat="0" applyProtection="0">
      <alignment horizontal="right"/>
    </xf>
    <xf numFmtId="0" fontId="5" fillId="60" borderId="335" applyNumberFormat="0" applyProtection="0">
      <alignment horizontal="left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49" fontId="22" fillId="0" borderId="335" applyNumberFormat="0" applyFont="0" applyFill="0" applyBorder="0" applyProtection="0">
      <alignment horizontal="left" vertical="center" indent="2"/>
    </xf>
    <xf numFmtId="0" fontId="73" fillId="57" borderId="348" applyNumberFormat="0" applyAlignment="0" applyProtection="0"/>
    <xf numFmtId="0" fontId="26" fillId="31" borderId="163" applyNumberFormat="0" applyAlignment="0" applyProtection="0"/>
    <xf numFmtId="0" fontId="6" fillId="23" borderId="350" applyNumberFormat="0" applyFont="0" applyAlignment="0" applyProtection="0"/>
    <xf numFmtId="0" fontId="80" fillId="0" borderId="353" applyNumberFormat="0" applyFill="0" applyAlignment="0" applyProtection="0"/>
    <xf numFmtId="0" fontId="152" fillId="0" borderId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185" fontId="6" fillId="0" borderId="0" applyFont="0" applyFill="0" applyBorder="0" applyAlignment="0" applyProtection="0"/>
    <xf numFmtId="185" fontId="6" fillId="0" borderId="0" applyFont="0" applyFill="0" applyBorder="0" applyAlignment="0" applyProtection="0"/>
    <xf numFmtId="190" fontId="6" fillId="0" borderId="0" applyFont="0" applyFill="0" applyBorder="0" applyAlignment="0" applyProtection="0"/>
    <xf numFmtId="0" fontId="1" fillId="0" borderId="0"/>
    <xf numFmtId="0" fontId="126" fillId="0" borderId="0"/>
    <xf numFmtId="0" fontId="6" fillId="0" borderId="0"/>
    <xf numFmtId="0" fontId="126" fillId="0" borderId="0"/>
    <xf numFmtId="0" fontId="23" fillId="0" borderId="0"/>
    <xf numFmtId="0" fontId="6" fillId="0" borderId="0"/>
    <xf numFmtId="0" fontId="6" fillId="0" borderId="0"/>
    <xf numFmtId="0" fontId="23" fillId="0" borderId="0"/>
    <xf numFmtId="0" fontId="6" fillId="0" borderId="0"/>
    <xf numFmtId="0" fontId="1" fillId="0" borderId="0"/>
    <xf numFmtId="0" fontId="1" fillId="0" borderId="0"/>
    <xf numFmtId="0" fontId="20" fillId="0" borderId="0"/>
    <xf numFmtId="0" fontId="23" fillId="0" borderId="0"/>
    <xf numFmtId="0" fontId="6" fillId="0" borderId="0"/>
    <xf numFmtId="0" fontId="23" fillId="0" borderId="0"/>
    <xf numFmtId="0" fontId="6" fillId="0" borderId="0"/>
    <xf numFmtId="0" fontId="6" fillId="0" borderId="0"/>
    <xf numFmtId="4" fontId="22" fillId="0" borderId="335" applyFill="0" applyBorder="0" applyProtection="0">
      <alignment horizontal="right" vertical="center"/>
    </xf>
    <xf numFmtId="0" fontId="6" fillId="0" borderId="0"/>
    <xf numFmtId="0" fontId="23" fillId="23" borderId="350" applyNumberFormat="0" applyFont="0" applyAlignment="0" applyProtection="0"/>
    <xf numFmtId="0" fontId="23" fillId="23" borderId="350" applyNumberFormat="0" applyFont="0" applyAlignment="0" applyProtection="0"/>
    <xf numFmtId="0" fontId="23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 applyNumberFormat="0" applyFont="0" applyFill="0" applyBorder="0" applyProtection="0">
      <alignment horizontal="left" vertical="center" indent="2"/>
    </xf>
    <xf numFmtId="0" fontId="6" fillId="0" borderId="0" applyNumberFormat="0" applyFont="0" applyFill="0" applyBorder="0" applyProtection="0">
      <alignment horizontal="left" vertical="center" indent="2"/>
    </xf>
    <xf numFmtId="0" fontId="6" fillId="0" borderId="0" applyNumberFormat="0" applyFont="0" applyFill="0" applyBorder="0" applyProtection="0">
      <alignment horizontal="left" vertical="center" indent="2"/>
    </xf>
    <xf numFmtId="43" fontId="1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1" fillId="58" borderId="455">
      <alignment horizontal="right" vertical="center"/>
    </xf>
    <xf numFmtId="0" fontId="1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43" fontId="124" fillId="0" borderId="0" applyFont="0" applyFill="0" applyBorder="0" applyAlignment="0" applyProtection="0"/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5" fillId="60" borderId="335" applyNumberFormat="0" applyProtection="0">
      <alignment horizontal="right"/>
    </xf>
    <xf numFmtId="0" fontId="5" fillId="60" borderId="335" applyNumberFormat="0" applyProtection="0">
      <alignment horizontal="left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4" fontId="22" fillId="0" borderId="0" applyFill="0" applyBorder="0" applyProtection="0">
      <alignment horizontal="right" vertical="center"/>
    </xf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43" fontId="12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4" fillId="0" borderId="0" applyFont="0" applyFill="0" applyBorder="0" applyAlignment="0" applyProtection="0"/>
    <xf numFmtId="49" fontId="22" fillId="0" borderId="335" applyNumberFormat="0" applyFont="0" applyFill="0" applyBorder="0" applyProtection="0">
      <alignment horizontal="left" vertical="center" indent="2"/>
    </xf>
    <xf numFmtId="0" fontId="36" fillId="26" borderId="348" applyNumberFormat="0" applyAlignment="0" applyProtection="0"/>
    <xf numFmtId="0" fontId="36" fillId="26" borderId="348" applyNumberFormat="0" applyAlignment="0" applyProtection="0"/>
    <xf numFmtId="0" fontId="36" fillId="26" borderId="348" applyNumberFormat="0" applyAlignment="0" applyProtection="0"/>
    <xf numFmtId="0" fontId="36" fillId="26" borderId="348" applyNumberFormat="0" applyAlignment="0" applyProtection="0"/>
    <xf numFmtId="0" fontId="36" fillId="26" borderId="348" applyNumberFormat="0" applyAlignment="0" applyProtection="0"/>
    <xf numFmtId="0" fontId="36" fillId="26" borderId="348" applyNumberFormat="0" applyAlignment="0" applyProtection="0"/>
    <xf numFmtId="0" fontId="36" fillId="26" borderId="348" applyNumberFormat="0" applyAlignment="0" applyProtection="0"/>
    <xf numFmtId="0" fontId="36" fillId="26" borderId="348" applyNumberFormat="0" applyAlignment="0" applyProtection="0"/>
    <xf numFmtId="0" fontId="36" fillId="26" borderId="348" applyNumberFormat="0" applyAlignment="0" applyProtection="0"/>
    <xf numFmtId="0" fontId="36" fillId="26" borderId="348" applyNumberFormat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0" fontId="1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31" fillId="0" borderId="326" applyNumberFormat="0" applyFill="0" applyAlignment="0" applyProtection="0"/>
    <xf numFmtId="0" fontId="31" fillId="0" borderId="326" applyNumberFormat="0" applyFill="0" applyAlignment="0" applyProtection="0"/>
    <xf numFmtId="0" fontId="31" fillId="0" borderId="326" applyNumberFormat="0" applyFill="0" applyAlignment="0" applyProtection="0"/>
    <xf numFmtId="0" fontId="31" fillId="0" borderId="326" applyNumberFormat="0" applyFill="0" applyAlignment="0" applyProtection="0"/>
    <xf numFmtId="0" fontId="31" fillId="0" borderId="326" applyNumberFormat="0" applyFill="0" applyAlignment="0" applyProtection="0"/>
    <xf numFmtId="0" fontId="31" fillId="0" borderId="326" applyNumberFormat="0" applyFill="0" applyAlignment="0" applyProtection="0"/>
    <xf numFmtId="0" fontId="31" fillId="0" borderId="326" applyNumberFormat="0" applyFill="0" applyAlignment="0" applyProtection="0"/>
    <xf numFmtId="0" fontId="31" fillId="0" borderId="326" applyNumberFormat="0" applyFill="0" applyAlignment="0" applyProtection="0"/>
    <xf numFmtId="0" fontId="31" fillId="0" borderId="326" applyNumberFormat="0" applyFill="0" applyAlignment="0" applyProtection="0"/>
    <xf numFmtId="0" fontId="31" fillId="0" borderId="326" applyNumberFormat="0" applyFill="0" applyAlignment="0" applyProtection="0"/>
    <xf numFmtId="0" fontId="32" fillId="27" borderId="348" applyNumberFormat="0" applyAlignment="0" applyProtection="0"/>
    <xf numFmtId="0" fontId="32" fillId="27" borderId="348" applyNumberFormat="0" applyAlignment="0" applyProtection="0"/>
    <xf numFmtId="0" fontId="32" fillId="27" borderId="348" applyNumberFormat="0" applyAlignment="0" applyProtection="0"/>
    <xf numFmtId="0" fontId="32" fillId="27" borderId="348" applyNumberFormat="0" applyAlignment="0" applyProtection="0"/>
    <xf numFmtId="0" fontId="32" fillId="27" borderId="348" applyNumberFormat="0" applyAlignment="0" applyProtection="0"/>
    <xf numFmtId="0" fontId="32" fillId="27" borderId="348" applyNumberFormat="0" applyAlignment="0" applyProtection="0"/>
    <xf numFmtId="0" fontId="32" fillId="27" borderId="348" applyNumberFormat="0" applyAlignment="0" applyProtection="0"/>
    <xf numFmtId="0" fontId="32" fillId="27" borderId="348" applyNumberFormat="0" applyAlignment="0" applyProtection="0"/>
    <xf numFmtId="0" fontId="32" fillId="27" borderId="348" applyNumberFormat="0" applyAlignment="0" applyProtection="0"/>
    <xf numFmtId="0" fontId="32" fillId="27" borderId="348" applyNumberFormat="0" applyAlignment="0" applyProtection="0"/>
    <xf numFmtId="0" fontId="1" fillId="0" borderId="0"/>
    <xf numFmtId="0" fontId="6" fillId="0" borderId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33" fillId="26" borderId="351" applyNumberFormat="0" applyAlignment="0" applyProtection="0"/>
    <xf numFmtId="0" fontId="33" fillId="26" borderId="351" applyNumberFormat="0" applyAlignment="0" applyProtection="0"/>
    <xf numFmtId="0" fontId="33" fillId="26" borderId="351" applyNumberFormat="0" applyAlignment="0" applyProtection="0"/>
    <xf numFmtId="0" fontId="33" fillId="26" borderId="351" applyNumberFormat="0" applyAlignment="0" applyProtection="0"/>
    <xf numFmtId="0" fontId="33" fillId="26" borderId="351" applyNumberFormat="0" applyAlignment="0" applyProtection="0"/>
    <xf numFmtId="0" fontId="33" fillId="26" borderId="351" applyNumberFormat="0" applyAlignment="0" applyProtection="0"/>
    <xf numFmtId="0" fontId="33" fillId="26" borderId="351" applyNumberFormat="0" applyAlignment="0" applyProtection="0"/>
    <xf numFmtId="0" fontId="33" fillId="26" borderId="351" applyNumberFormat="0" applyAlignment="0" applyProtection="0"/>
    <xf numFmtId="0" fontId="33" fillId="26" borderId="351" applyNumberFormat="0" applyAlignment="0" applyProtection="0"/>
    <xf numFmtId="0" fontId="33" fillId="26" borderId="351" applyNumberFormat="0" applyAlignment="0" applyProtection="0"/>
    <xf numFmtId="0" fontId="80" fillId="0" borderId="357" applyNumberFormat="0" applyFill="0" applyAlignment="0" applyProtection="0"/>
    <xf numFmtId="0" fontId="80" fillId="0" borderId="357" applyNumberFormat="0" applyFill="0" applyAlignment="0" applyProtection="0"/>
    <xf numFmtId="0" fontId="80" fillId="0" borderId="357" applyNumberFormat="0" applyFill="0" applyAlignment="0" applyProtection="0"/>
    <xf numFmtId="0" fontId="80" fillId="0" borderId="357" applyNumberFormat="0" applyFill="0" applyAlignment="0" applyProtection="0"/>
    <xf numFmtId="0" fontId="80" fillId="0" borderId="357" applyNumberFormat="0" applyFill="0" applyAlignment="0" applyProtection="0"/>
    <xf numFmtId="0" fontId="80" fillId="0" borderId="357" applyNumberFormat="0" applyFill="0" applyAlignment="0" applyProtection="0"/>
    <xf numFmtId="0" fontId="80" fillId="0" borderId="357" applyNumberFormat="0" applyFill="0" applyAlignment="0" applyProtection="0"/>
    <xf numFmtId="0" fontId="80" fillId="0" borderId="357" applyNumberFormat="0" applyFill="0" applyAlignment="0" applyProtection="0"/>
    <xf numFmtId="0" fontId="80" fillId="0" borderId="357" applyNumberFormat="0" applyFill="0" applyAlignment="0" applyProtection="0"/>
    <xf numFmtId="0" fontId="80" fillId="0" borderId="357" applyNumberFormat="0" applyFill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1" fillId="0" borderId="0"/>
    <xf numFmtId="0" fontId="1" fillId="0" borderId="0"/>
    <xf numFmtId="0" fontId="6" fillId="0" borderId="0"/>
    <xf numFmtId="0" fontId="1" fillId="0" borderId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181" fontId="6" fillId="0" borderId="0" applyFont="0" applyFill="0" applyBorder="0" applyAlignment="0" applyProtection="0"/>
    <xf numFmtId="187" fontId="6" fillId="0" borderId="0" applyFont="0" applyFill="0" applyBorder="0" applyAlignment="0" applyProtection="0"/>
    <xf numFmtId="185" fontId="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9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6" fillId="0" borderId="0"/>
    <xf numFmtId="0" fontId="86" fillId="0" borderId="0"/>
    <xf numFmtId="0" fontId="86" fillId="0" borderId="0"/>
    <xf numFmtId="0" fontId="1" fillId="0" borderId="0" applyNumberFormat="0" applyFont="0" applyFill="0" applyBorder="0" applyProtection="0">
      <alignment vertical="center"/>
    </xf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6" fillId="0" borderId="0"/>
    <xf numFmtId="0" fontId="6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22" fillId="0" borderId="335" applyFill="0" applyBorder="0" applyProtection="0">
      <alignment horizontal="right" vertical="center"/>
    </xf>
    <xf numFmtId="4" fontId="22" fillId="0" borderId="335" applyFill="0" applyBorder="0" applyProtection="0">
      <alignment horizontal="right" vertical="center"/>
    </xf>
    <xf numFmtId="0" fontId="1" fillId="0" borderId="0"/>
    <xf numFmtId="0" fontId="37" fillId="0" borderId="0"/>
    <xf numFmtId="0" fontId="6" fillId="23" borderId="350" applyNumberFormat="0" applyFont="0" applyAlignment="0" applyProtection="0"/>
    <xf numFmtId="9" fontId="2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6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5" fillId="60" borderId="335" applyNumberFormat="0" applyProtection="0">
      <alignment horizontal="right"/>
    </xf>
    <xf numFmtId="0" fontId="5" fillId="60" borderId="335" applyNumberFormat="0" applyProtection="0">
      <alignment horizontal="right"/>
    </xf>
    <xf numFmtId="0" fontId="5" fillId="60" borderId="335" applyNumberFormat="0" applyProtection="0">
      <alignment horizontal="left"/>
    </xf>
    <xf numFmtId="0" fontId="5" fillId="60" borderId="335" applyNumberFormat="0" applyProtection="0">
      <alignment horizontal="left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49" fontId="6" fillId="67" borderId="335">
      <alignment vertical="center" wrapText="1"/>
    </xf>
    <xf numFmtId="0" fontId="6" fillId="68" borderId="454">
      <alignment horizontal="left" vertical="center" wrapText="1"/>
    </xf>
    <xf numFmtId="0" fontId="11" fillId="69" borderId="335">
      <alignment horizontal="left" vertical="center" wrapText="1"/>
    </xf>
    <xf numFmtId="0" fontId="6" fillId="70" borderId="335">
      <alignment horizontal="left" vertical="center" wrapText="1"/>
    </xf>
    <xf numFmtId="0" fontId="6" fillId="71" borderId="335">
      <alignment horizontal="left" vertical="center" wrapText="1"/>
    </xf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6" fillId="0" borderId="0" applyFont="0" applyFill="0" applyBorder="0" applyAlignment="0" applyProtection="0"/>
    <xf numFmtId="0" fontId="6" fillId="0" borderId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 applyNumberFormat="0" applyFont="0" applyFill="0" applyBorder="0" applyProtection="0">
      <alignment vertical="center"/>
    </xf>
    <xf numFmtId="9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85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6" fillId="0" borderId="0"/>
    <xf numFmtId="0" fontId="6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3" fillId="23" borderId="350" applyNumberFormat="0" applyFont="0" applyAlignment="0" applyProtection="0"/>
    <xf numFmtId="182" fontId="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84" fillId="60" borderId="0" applyNumberFormat="0" applyBorder="0" applyProtection="0">
      <alignment horizontal="left"/>
    </xf>
    <xf numFmtId="0" fontId="85" fillId="61" borderId="0" applyNumberFormat="0" applyBorder="0" applyProtection="0">
      <alignment horizontal="left"/>
    </xf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1" fillId="0" borderId="0"/>
    <xf numFmtId="9" fontId="2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6" fillId="0" borderId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6" fillId="0" borderId="0"/>
    <xf numFmtId="0" fontId="156" fillId="0" borderId="0" applyNumberFormat="0" applyFill="0" applyBorder="0" applyAlignment="0" applyProtection="0">
      <alignment vertical="top"/>
      <protection locked="0"/>
    </xf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85" fontId="6" fillId="0" borderId="0" applyFont="0" applyFill="0" applyBorder="0" applyAlignment="0" applyProtection="0"/>
    <xf numFmtId="0" fontId="1" fillId="0" borderId="0"/>
    <xf numFmtId="0" fontId="6" fillId="0" borderId="0"/>
    <xf numFmtId="0" fontId="6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6" fillId="0" borderId="0"/>
    <xf numFmtId="0" fontId="23" fillId="0" borderId="0"/>
    <xf numFmtId="0" fontId="1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0" fillId="0" borderId="0"/>
    <xf numFmtId="9" fontId="2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126" fillId="0" borderId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6" fillId="0" borderId="0" applyNumberFormat="0" applyFont="0" applyFill="0" applyBorder="0" applyProtection="0">
      <alignment horizontal="left" vertical="center" indent="2"/>
    </xf>
    <xf numFmtId="43" fontId="1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24" fillId="0" borderId="0" applyFont="0" applyFill="0" applyBorder="0" applyAlignment="0" applyProtection="0"/>
    <xf numFmtId="0" fontId="1" fillId="0" borderId="0"/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5" fillId="60" borderId="335" applyNumberFormat="0" applyProtection="0">
      <alignment horizontal="right"/>
    </xf>
    <xf numFmtId="0" fontId="5" fillId="60" borderId="335" applyNumberFormat="0" applyProtection="0">
      <alignment horizontal="left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" fontId="22" fillId="0" borderId="0" applyFill="0" applyBorder="0" applyProtection="0">
      <alignment horizontal="right" vertical="center"/>
    </xf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36" fillId="26" borderId="348" applyNumberFormat="0" applyAlignment="0" applyProtection="0"/>
    <xf numFmtId="0" fontId="36" fillId="26" borderId="348" applyNumberFormat="0" applyAlignment="0" applyProtection="0"/>
    <xf numFmtId="0" fontId="36" fillId="26" borderId="348" applyNumberFormat="0" applyAlignment="0" applyProtection="0"/>
    <xf numFmtId="0" fontId="36" fillId="26" borderId="348" applyNumberFormat="0" applyAlignment="0" applyProtection="0"/>
    <xf numFmtId="0" fontId="36" fillId="26" borderId="348" applyNumberFormat="0" applyAlignment="0" applyProtection="0"/>
    <xf numFmtId="0" fontId="36" fillId="26" borderId="348" applyNumberFormat="0" applyAlignment="0" applyProtection="0"/>
    <xf numFmtId="0" fontId="36" fillId="26" borderId="348" applyNumberFormat="0" applyAlignment="0" applyProtection="0"/>
    <xf numFmtId="0" fontId="36" fillId="26" borderId="348" applyNumberFormat="0" applyAlignment="0" applyProtection="0"/>
    <xf numFmtId="0" fontId="36" fillId="26" borderId="348" applyNumberFormat="0" applyAlignment="0" applyProtection="0"/>
    <xf numFmtId="0" fontId="36" fillId="26" borderId="348" applyNumberFormat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32" fillId="27" borderId="348" applyNumberFormat="0" applyAlignment="0" applyProtection="0"/>
    <xf numFmtId="0" fontId="32" fillId="27" borderId="348" applyNumberFormat="0" applyAlignment="0" applyProtection="0"/>
    <xf numFmtId="0" fontId="32" fillId="27" borderId="348" applyNumberFormat="0" applyAlignment="0" applyProtection="0"/>
    <xf numFmtId="0" fontId="32" fillId="27" borderId="348" applyNumberFormat="0" applyAlignment="0" applyProtection="0"/>
    <xf numFmtId="0" fontId="32" fillId="27" borderId="348" applyNumberFormat="0" applyAlignment="0" applyProtection="0"/>
    <xf numFmtId="0" fontId="32" fillId="27" borderId="348" applyNumberFormat="0" applyAlignment="0" applyProtection="0"/>
    <xf numFmtId="0" fontId="32" fillId="27" borderId="348" applyNumberFormat="0" applyAlignment="0" applyProtection="0"/>
    <xf numFmtId="0" fontId="32" fillId="27" borderId="348" applyNumberFormat="0" applyAlignment="0" applyProtection="0"/>
    <xf numFmtId="0" fontId="32" fillId="27" borderId="348" applyNumberFormat="0" applyAlignment="0" applyProtection="0"/>
    <xf numFmtId="0" fontId="32" fillId="27" borderId="348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1" fillId="0" borderId="0"/>
    <xf numFmtId="0" fontId="6" fillId="0" borderId="0"/>
    <xf numFmtId="0" fontId="33" fillId="26" borderId="351" applyNumberFormat="0" applyAlignment="0" applyProtection="0"/>
    <xf numFmtId="0" fontId="33" fillId="26" borderId="351" applyNumberFormat="0" applyAlignment="0" applyProtection="0"/>
    <xf numFmtId="0" fontId="33" fillId="26" borderId="351" applyNumberFormat="0" applyAlignment="0" applyProtection="0"/>
    <xf numFmtId="0" fontId="33" fillId="26" borderId="351" applyNumberFormat="0" applyAlignment="0" applyProtection="0"/>
    <xf numFmtId="0" fontId="33" fillId="26" borderId="351" applyNumberFormat="0" applyAlignment="0" applyProtection="0"/>
    <xf numFmtId="0" fontId="33" fillId="26" borderId="351" applyNumberFormat="0" applyAlignment="0" applyProtection="0"/>
    <xf numFmtId="0" fontId="33" fillId="26" borderId="351" applyNumberFormat="0" applyAlignment="0" applyProtection="0"/>
    <xf numFmtId="0" fontId="33" fillId="26" borderId="351" applyNumberFormat="0" applyAlignment="0" applyProtection="0"/>
    <xf numFmtId="0" fontId="33" fillId="26" borderId="351" applyNumberFormat="0" applyAlignment="0" applyProtection="0"/>
    <xf numFmtId="0" fontId="33" fillId="26" borderId="351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2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23" borderId="350" applyNumberFormat="0" applyFont="0" applyAlignment="0" applyProtection="0"/>
    <xf numFmtId="0" fontId="15" fillId="0" borderId="0"/>
    <xf numFmtId="0" fontId="1" fillId="0" borderId="0"/>
    <xf numFmtId="49" fontId="22" fillId="0" borderId="335" applyNumberFormat="0" applyFont="0" applyFill="0" applyBorder="0" applyProtection="0">
      <alignment horizontal="left" vertical="center" indent="2"/>
    </xf>
    <xf numFmtId="0" fontId="6" fillId="23" borderId="350" applyNumberFormat="0" applyFont="0" applyAlignment="0" applyProtection="0"/>
    <xf numFmtId="43" fontId="6" fillId="0" borderId="0" applyFont="0" applyFill="0" applyBorder="0" applyAlignment="0" applyProtection="0"/>
    <xf numFmtId="0" fontId="53" fillId="24" borderId="348" applyNumberFormat="0" applyAlignment="0" applyProtection="0"/>
    <xf numFmtId="0" fontId="51" fillId="23" borderId="350" applyNumberFormat="0" applyFont="0" applyAlignment="0" applyProtection="0"/>
    <xf numFmtId="0" fontId="68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22" fillId="0" borderId="335" applyFill="0" applyBorder="0" applyProtection="0">
      <alignment horizontal="right" vertical="center"/>
    </xf>
    <xf numFmtId="0" fontId="1" fillId="0" borderId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9" fontId="1" fillId="0" borderId="0" applyFont="0" applyFill="0" applyBorder="0" applyAlignment="0" applyProtection="0"/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5" fillId="60" borderId="335" applyNumberFormat="0" applyProtection="0">
      <alignment horizontal="right"/>
    </xf>
    <xf numFmtId="0" fontId="5" fillId="60" borderId="335" applyNumberFormat="0" applyProtection="0">
      <alignment horizontal="left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1" fillId="0" borderId="0"/>
    <xf numFmtId="0" fontId="1" fillId="0" borderId="0"/>
    <xf numFmtId="0" fontId="1" fillId="0" borderId="0"/>
    <xf numFmtId="0" fontId="1" fillId="0" borderId="0"/>
    <xf numFmtId="0" fontId="23" fillId="23" borderId="350" applyNumberFormat="0" applyFont="0" applyAlignment="0" applyProtection="0"/>
    <xf numFmtId="49" fontId="6" fillId="67" borderId="335">
      <alignment vertical="center" wrapText="1"/>
    </xf>
    <xf numFmtId="0" fontId="11" fillId="69" borderId="335">
      <alignment horizontal="left" vertical="center" wrapText="1"/>
    </xf>
    <xf numFmtId="0" fontId="6" fillId="70" borderId="335">
      <alignment horizontal="left" vertical="center" wrapText="1"/>
    </xf>
    <xf numFmtId="0" fontId="6" fillId="71" borderId="335">
      <alignment horizontal="left" vertical="center" wrapText="1"/>
    </xf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 applyNumberFormat="0" applyFont="0" applyFill="0" applyBorder="0" applyProtection="0">
      <alignment vertical="center"/>
    </xf>
    <xf numFmtId="9" fontId="1" fillId="0" borderId="0" applyFont="0" applyFill="0" applyBorder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22" fillId="0" borderId="335" applyFill="0" applyBorder="0" applyProtection="0">
      <alignment horizontal="right" vertical="center"/>
    </xf>
    <xf numFmtId="0" fontId="1" fillId="0" borderId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9" fontId="1" fillId="0" borderId="0" applyFont="0" applyFill="0" applyBorder="0" applyAlignment="0" applyProtection="0"/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5" fillId="60" borderId="335" applyNumberFormat="0" applyProtection="0">
      <alignment horizontal="right"/>
    </xf>
    <xf numFmtId="0" fontId="5" fillId="60" borderId="335" applyNumberFormat="0" applyProtection="0">
      <alignment horizontal="left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4" fontId="22" fillId="0" borderId="335" applyFill="0" applyBorder="0" applyProtection="0">
      <alignment horizontal="right" vertical="center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5" fillId="60" borderId="335" applyNumberFormat="0" applyProtection="0">
      <alignment horizontal="right"/>
    </xf>
    <xf numFmtId="0" fontId="5" fillId="60" borderId="335" applyNumberFormat="0" applyProtection="0">
      <alignment horizontal="left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49" fontId="22" fillId="0" borderId="335" applyNumberFormat="0" applyFont="0" applyFill="0" applyBorder="0" applyProtection="0">
      <alignment horizontal="left" vertical="center" indent="2"/>
    </xf>
    <xf numFmtId="43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0" fontId="23" fillId="0" borderId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9" fontId="22" fillId="0" borderId="468" applyNumberFormat="0" applyFont="0" applyFill="0" applyBorder="0" applyProtection="0">
      <alignment horizontal="left" vertical="center" indent="2"/>
    </xf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23" borderId="350" applyNumberFormat="0" applyFont="0" applyAlignment="0" applyProtection="0"/>
    <xf numFmtId="49" fontId="22" fillId="0" borderId="468" applyNumberFormat="0" applyFont="0" applyFill="0" applyBorder="0" applyProtection="0">
      <alignment horizontal="left" vertical="center" indent="2"/>
    </xf>
    <xf numFmtId="0" fontId="6" fillId="23" borderId="350" applyNumberFormat="0" applyFont="0" applyAlignment="0" applyProtection="0"/>
    <xf numFmtId="43" fontId="6" fillId="0" borderId="0" applyFont="0" applyFill="0" applyBorder="0" applyAlignment="0" applyProtection="0"/>
    <xf numFmtId="0" fontId="51" fillId="23" borderId="350" applyNumberFormat="0" applyFont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" fontId="22" fillId="0" borderId="468" applyFill="0" applyBorder="0" applyProtection="0">
      <alignment horizontal="right" vertical="center"/>
    </xf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0" borderId="468" applyNumberFormat="0" applyFill="0" applyProtection="0">
      <alignment horizontal="right"/>
    </xf>
    <xf numFmtId="0" fontId="6" fillId="0" borderId="468" applyNumberFormat="0" applyFill="0" applyProtection="0">
      <alignment horizontal="right"/>
    </xf>
    <xf numFmtId="0" fontId="5" fillId="60" borderId="468" applyNumberFormat="0" applyProtection="0">
      <alignment horizontal="right"/>
    </xf>
    <xf numFmtId="0" fontId="5" fillId="60" borderId="468" applyNumberFormat="0" applyProtection="0">
      <alignment horizontal="left"/>
    </xf>
    <xf numFmtId="0" fontId="6" fillId="0" borderId="468" applyNumberFormat="0" applyFill="0" applyProtection="0">
      <alignment horizontal="right"/>
    </xf>
    <xf numFmtId="0" fontId="6" fillId="0" borderId="468" applyNumberFormat="0" applyFill="0" applyProtection="0">
      <alignment horizontal="right"/>
    </xf>
    <xf numFmtId="0" fontId="23" fillId="23" borderId="350" applyNumberFormat="0" applyFont="0" applyAlignment="0" applyProtection="0"/>
    <xf numFmtId="49" fontId="6" fillId="67" borderId="468">
      <alignment vertical="center" wrapText="1"/>
    </xf>
    <xf numFmtId="0" fontId="6" fillId="68" borderId="454">
      <alignment horizontal="left" vertical="center" wrapText="1"/>
    </xf>
    <xf numFmtId="0" fontId="11" fillId="69" borderId="468">
      <alignment horizontal="left" vertical="center" wrapText="1"/>
    </xf>
    <xf numFmtId="0" fontId="6" fillId="70" borderId="468">
      <alignment horizontal="left" vertical="center" wrapText="1"/>
    </xf>
    <xf numFmtId="0" fontId="6" fillId="71" borderId="468">
      <alignment horizontal="left" vertical="center" wrapText="1"/>
    </xf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" fontId="22" fillId="0" borderId="468" applyFill="0" applyBorder="0" applyProtection="0">
      <alignment horizontal="right" vertical="center"/>
    </xf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0" borderId="468" applyNumberFormat="0" applyFill="0" applyProtection="0">
      <alignment horizontal="right"/>
    </xf>
    <xf numFmtId="0" fontId="6" fillId="0" borderId="468" applyNumberFormat="0" applyFill="0" applyProtection="0">
      <alignment horizontal="right"/>
    </xf>
    <xf numFmtId="0" fontId="5" fillId="60" borderId="468" applyNumberFormat="0" applyProtection="0">
      <alignment horizontal="right"/>
    </xf>
    <xf numFmtId="0" fontId="5" fillId="60" borderId="468" applyNumberFormat="0" applyProtection="0">
      <alignment horizontal="left"/>
    </xf>
    <xf numFmtId="0" fontId="6" fillId="0" borderId="468" applyNumberFormat="0" applyFill="0" applyProtection="0">
      <alignment horizontal="right"/>
    </xf>
    <xf numFmtId="0" fontId="6" fillId="0" borderId="468" applyNumberFormat="0" applyFill="0" applyProtection="0">
      <alignment horizontal="right"/>
    </xf>
    <xf numFmtId="4" fontId="22" fillId="0" borderId="468" applyFill="0" applyBorder="0" applyProtection="0">
      <alignment horizontal="right" vertical="center"/>
    </xf>
    <xf numFmtId="0" fontId="6" fillId="0" borderId="468" applyNumberFormat="0" applyFill="0" applyProtection="0">
      <alignment horizontal="right"/>
    </xf>
    <xf numFmtId="0" fontId="6" fillId="0" borderId="468" applyNumberFormat="0" applyFill="0" applyProtection="0">
      <alignment horizontal="right"/>
    </xf>
    <xf numFmtId="0" fontId="5" fillId="60" borderId="468" applyNumberFormat="0" applyProtection="0">
      <alignment horizontal="right"/>
    </xf>
    <xf numFmtId="0" fontId="5" fillId="60" borderId="468" applyNumberFormat="0" applyProtection="0">
      <alignment horizontal="left"/>
    </xf>
    <xf numFmtId="0" fontId="6" fillId="0" borderId="468" applyNumberFormat="0" applyFill="0" applyProtection="0">
      <alignment horizontal="right"/>
    </xf>
    <xf numFmtId="0" fontId="6" fillId="0" borderId="468" applyNumberFormat="0" applyFill="0" applyProtection="0">
      <alignment horizontal="right"/>
    </xf>
    <xf numFmtId="49" fontId="22" fillId="0" borderId="468" applyNumberFormat="0" applyFont="0" applyFill="0" applyBorder="0" applyProtection="0">
      <alignment horizontal="left" vertical="center" indent="2"/>
    </xf>
    <xf numFmtId="43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0" fontId="6" fillId="23" borderId="350" applyNumberFormat="0" applyFont="0" applyAlignment="0" applyProtection="0"/>
    <xf numFmtId="43" fontId="6" fillId="0" borderId="0" applyFont="0" applyFill="0" applyBorder="0" applyAlignment="0" applyProtection="0"/>
    <xf numFmtId="4" fontId="22" fillId="0" borderId="335" applyFill="0" applyBorder="0" applyProtection="0">
      <alignment horizontal="right" vertical="center"/>
    </xf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80" fillId="0" borderId="353" applyNumberFormat="0" applyFill="0" applyAlignment="0" applyProtection="0"/>
    <xf numFmtId="0" fontId="51" fillId="23" borderId="350" applyNumberFormat="0" applyFont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4" fontId="22" fillId="0" borderId="335" applyFill="0" applyBorder="0" applyProtection="0">
      <alignment horizontal="right" vertical="center"/>
    </xf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49" fontId="22" fillId="0" borderId="335" applyNumberFormat="0" applyFont="0" applyFill="0" applyBorder="0" applyProtection="0">
      <alignment horizontal="left" vertical="center" indent="2"/>
    </xf>
    <xf numFmtId="49" fontId="22" fillId="0" borderId="335" applyNumberFormat="0" applyFont="0" applyFill="0" applyBorder="0" applyProtection="0">
      <alignment horizontal="left" vertical="center" indent="2"/>
    </xf>
    <xf numFmtId="43" fontId="1" fillId="0" borderId="0" applyFont="0" applyFill="0" applyBorder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49" fontId="6" fillId="67" borderId="335">
      <alignment vertical="center" wrapText="1"/>
    </xf>
    <xf numFmtId="0" fontId="6" fillId="68" borderId="454">
      <alignment horizontal="left" vertical="center" wrapText="1"/>
    </xf>
    <xf numFmtId="0" fontId="11" fillId="69" borderId="335">
      <alignment horizontal="left" vertical="center" wrapText="1"/>
    </xf>
    <xf numFmtId="0" fontId="6" fillId="70" borderId="335">
      <alignment horizontal="left" vertical="center" wrapText="1"/>
    </xf>
    <xf numFmtId="0" fontId="6" fillId="71" borderId="335">
      <alignment horizontal="left" vertical="center" wrapText="1"/>
    </xf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4" fontId="22" fillId="0" borderId="335" applyFill="0" applyBorder="0" applyProtection="0">
      <alignment horizontal="right" vertical="center"/>
    </xf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5" fillId="60" borderId="335" applyNumberFormat="0" applyProtection="0">
      <alignment horizontal="right"/>
    </xf>
    <xf numFmtId="0" fontId="5" fillId="60" borderId="335" applyNumberFormat="0" applyProtection="0">
      <alignment horizontal="left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4" fontId="22" fillId="0" borderId="335" applyFill="0" applyBorder="0" applyProtection="0">
      <alignment horizontal="right" vertical="center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5" fillId="60" borderId="335" applyNumberFormat="0" applyProtection="0">
      <alignment horizontal="right"/>
    </xf>
    <xf numFmtId="0" fontId="5" fillId="60" borderId="335" applyNumberFormat="0" applyProtection="0">
      <alignment horizontal="left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49" fontId="22" fillId="0" borderId="335" applyNumberFormat="0" applyFont="0" applyFill="0" applyBorder="0" applyProtection="0">
      <alignment horizontal="left" vertical="center" indent="2"/>
    </xf>
    <xf numFmtId="0" fontId="73" fillId="57" borderId="348" applyNumberFormat="0" applyAlignment="0" applyProtection="0"/>
    <xf numFmtId="0" fontId="80" fillId="0" borderId="353" applyNumberFormat="0" applyFill="0" applyAlignment="0" applyProtection="0"/>
    <xf numFmtId="0" fontId="6" fillId="23" borderId="350" applyNumberFormat="0" applyFont="0" applyAlignment="0" applyProtection="0"/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5" fillId="60" borderId="335" applyNumberFormat="0" applyProtection="0">
      <alignment horizontal="right"/>
    </xf>
    <xf numFmtId="0" fontId="5" fillId="60" borderId="335" applyNumberFormat="0" applyProtection="0">
      <alignment horizontal="left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51" fillId="23" borderId="350" applyNumberFormat="0" applyFont="0" applyAlignment="0" applyProtection="0"/>
    <xf numFmtId="0" fontId="6" fillId="23" borderId="350" applyNumberFormat="0" applyFont="0" applyAlignment="0" applyProtection="0"/>
    <xf numFmtId="49" fontId="22" fillId="0" borderId="335" applyNumberFormat="0" applyFont="0" applyFill="0" applyBorder="0" applyProtection="0">
      <alignment horizontal="left" vertical="center" indent="2"/>
    </xf>
    <xf numFmtId="0" fontId="6" fillId="23" borderId="350" applyNumberFormat="0" applyFont="0" applyAlignment="0" applyProtection="0"/>
    <xf numFmtId="49" fontId="22" fillId="0" borderId="335" applyNumberFormat="0" applyFont="0" applyFill="0" applyBorder="0" applyProtection="0">
      <alignment horizontal="left" vertical="center" indent="2"/>
    </xf>
    <xf numFmtId="43" fontId="1" fillId="0" borderId="0" applyFont="0" applyFill="0" applyBorder="0" applyAlignment="0" applyProtection="0"/>
    <xf numFmtId="49" fontId="6" fillId="67" borderId="335">
      <alignment vertical="center" wrapText="1"/>
    </xf>
    <xf numFmtId="0" fontId="6" fillId="68" borderId="454">
      <alignment horizontal="left" vertical="center" wrapText="1"/>
    </xf>
    <xf numFmtId="0" fontId="11" fillId="69" borderId="335">
      <alignment horizontal="left" vertical="center" wrapText="1"/>
    </xf>
    <xf numFmtId="0" fontId="6" fillId="70" borderId="335">
      <alignment horizontal="left" vertical="center" wrapText="1"/>
    </xf>
    <xf numFmtId="0" fontId="6" fillId="71" borderId="335">
      <alignment horizontal="left" vertical="center" wrapText="1"/>
    </xf>
    <xf numFmtId="4" fontId="22" fillId="0" borderId="335" applyFill="0" applyBorder="0" applyProtection="0">
      <alignment horizontal="right" vertical="center"/>
    </xf>
    <xf numFmtId="49" fontId="22" fillId="0" borderId="335" applyNumberFormat="0" applyFont="0" applyFill="0" applyBorder="0" applyProtection="0">
      <alignment horizontal="left" vertical="center" indent="2"/>
    </xf>
    <xf numFmtId="0" fontId="6" fillId="23" borderId="350" applyNumberFormat="0" applyFont="0" applyAlignment="0" applyProtection="0"/>
    <xf numFmtId="43" fontId="1" fillId="0" borderId="0" applyFont="0" applyFill="0" applyBorder="0" applyAlignment="0" applyProtection="0"/>
    <xf numFmtId="49" fontId="22" fillId="0" borderId="335" applyNumberFormat="0" applyFont="0" applyFill="0" applyBorder="0" applyProtection="0">
      <alignment horizontal="left" vertical="center" indent="2"/>
    </xf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23" borderId="350" applyNumberFormat="0" applyFont="0" applyAlignment="0" applyProtection="0"/>
    <xf numFmtId="49" fontId="22" fillId="0" borderId="335" applyNumberFormat="0" applyFont="0" applyFill="0" applyBorder="0" applyProtection="0">
      <alignment horizontal="left" vertical="center" indent="2"/>
    </xf>
    <xf numFmtId="0" fontId="6" fillId="23" borderId="350" applyNumberFormat="0" applyFont="0" applyAlignment="0" applyProtection="0"/>
    <xf numFmtId="43" fontId="6" fillId="0" borderId="0" applyFont="0" applyFill="0" applyBorder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4" fontId="22" fillId="0" borderId="335" applyFill="0" applyBorder="0" applyProtection="0">
      <alignment horizontal="right" vertical="center"/>
    </xf>
    <xf numFmtId="0" fontId="6" fillId="23" borderId="350" applyNumberFormat="0" applyFont="0" applyAlignment="0" applyProtection="0"/>
    <xf numFmtId="0" fontId="6" fillId="71" borderId="335">
      <alignment horizontal="left" vertical="center" wrapText="1"/>
    </xf>
    <xf numFmtId="0" fontId="6" fillId="70" borderId="335">
      <alignment horizontal="left" vertical="center" wrapText="1"/>
    </xf>
    <xf numFmtId="0" fontId="11" fillId="69" borderId="335">
      <alignment horizontal="left" vertical="center" wrapText="1"/>
    </xf>
    <xf numFmtId="0" fontId="6" fillId="68" borderId="454">
      <alignment horizontal="left" vertical="center" wrapText="1"/>
    </xf>
    <xf numFmtId="49" fontId="6" fillId="67" borderId="335">
      <alignment vertical="center" wrapText="1"/>
    </xf>
    <xf numFmtId="0" fontId="23" fillId="23" borderId="350" applyNumberFormat="0" applyFont="0" applyAlignment="0" applyProtection="0"/>
    <xf numFmtId="43" fontId="1" fillId="0" borderId="0" applyFont="0" applyFill="0" applyBorder="0" applyAlignment="0" applyProtection="0"/>
    <xf numFmtId="0" fontId="6" fillId="0" borderId="335" applyNumberFormat="0" applyFill="0" applyProtection="0">
      <alignment horizontal="right"/>
    </xf>
    <xf numFmtId="49" fontId="22" fillId="0" borderId="335" applyNumberFormat="0" applyFont="0" applyFill="0" applyBorder="0" applyProtection="0">
      <alignment horizontal="left" vertical="center" indent="2"/>
    </xf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0" borderId="335" applyNumberFormat="0" applyFill="0" applyProtection="0">
      <alignment horizontal="right"/>
    </xf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51" fillId="23" borderId="350" applyNumberFormat="0" applyFont="0" applyAlignment="0" applyProtection="0"/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5" fillId="60" borderId="335" applyNumberFormat="0" applyProtection="0">
      <alignment horizontal="left"/>
    </xf>
    <xf numFmtId="0" fontId="5" fillId="60" borderId="335" applyNumberFormat="0" applyProtection="0">
      <alignment horizontal="right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4" fontId="22" fillId="0" borderId="335" applyFill="0" applyBorder="0" applyProtection="0">
      <alignment horizontal="right" vertical="center"/>
    </xf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4" fontId="22" fillId="0" borderId="335" applyFill="0" applyBorder="0" applyProtection="0">
      <alignment horizontal="right" vertical="center"/>
    </xf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" fontId="22" fillId="0" borderId="335" applyFill="0" applyBorder="0" applyProtection="0">
      <alignment horizontal="right" vertical="center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5" fillId="60" borderId="335" applyNumberFormat="0" applyProtection="0">
      <alignment horizontal="right"/>
    </xf>
    <xf numFmtId="0" fontId="5" fillId="60" borderId="335" applyNumberFormat="0" applyProtection="0">
      <alignment horizontal="left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51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49" fontId="22" fillId="0" borderId="335" applyNumberFormat="0" applyFont="0" applyFill="0" applyBorder="0" applyProtection="0">
      <alignment horizontal="left" vertical="center" indent="2"/>
    </xf>
    <xf numFmtId="0" fontId="5" fillId="60" borderId="335" applyNumberFormat="0" applyProtection="0">
      <alignment horizontal="right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6" fillId="23" borderId="350" applyNumberFormat="0" applyFont="0" applyAlignment="0" applyProtection="0"/>
    <xf numFmtId="43" fontId="1" fillId="0" borderId="0" applyFont="0" applyFill="0" applyBorder="0" applyAlignment="0" applyProtection="0"/>
    <xf numFmtId="49" fontId="6" fillId="67" borderId="335">
      <alignment vertical="center" wrapText="1"/>
    </xf>
    <xf numFmtId="0" fontId="6" fillId="68" borderId="454">
      <alignment horizontal="left" vertical="center" wrapText="1"/>
    </xf>
    <xf numFmtId="0" fontId="11" fillId="69" borderId="335">
      <alignment horizontal="left" vertical="center" wrapText="1"/>
    </xf>
    <xf numFmtId="0" fontId="6" fillId="70" borderId="335">
      <alignment horizontal="left" vertical="center" wrapText="1"/>
    </xf>
    <xf numFmtId="0" fontId="6" fillId="71" borderId="335">
      <alignment horizontal="left" vertical="center" wrapText="1"/>
    </xf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" fontId="22" fillId="0" borderId="335" applyFill="0" applyBorder="0" applyProtection="0">
      <alignment horizontal="right" vertical="center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5" fillId="60" borderId="335" applyNumberFormat="0" applyProtection="0">
      <alignment horizontal="right"/>
    </xf>
    <xf numFmtId="0" fontId="5" fillId="60" borderId="335" applyNumberFormat="0" applyProtection="0">
      <alignment horizontal="left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6" fillId="23" borderId="350" applyNumberFormat="0" applyFont="0" applyAlignment="0" applyProtection="0"/>
    <xf numFmtId="4" fontId="22" fillId="0" borderId="335" applyFill="0" applyBorder="0" applyProtection="0">
      <alignment horizontal="right" vertical="center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5" fillId="60" borderId="335" applyNumberFormat="0" applyProtection="0">
      <alignment horizontal="right"/>
    </xf>
    <xf numFmtId="0" fontId="5" fillId="60" borderId="335" applyNumberFormat="0" applyProtection="0">
      <alignment horizontal="left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49" fontId="22" fillId="0" borderId="335" applyNumberFormat="0" applyFont="0" applyFill="0" applyBorder="0" applyProtection="0">
      <alignment horizontal="left" vertical="center" indent="2"/>
    </xf>
    <xf numFmtId="43" fontId="6" fillId="0" borderId="0" applyFont="0" applyFill="0" applyBorder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41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5" fillId="60" borderId="335" applyNumberFormat="0" applyProtection="0">
      <alignment horizontal="right"/>
    </xf>
    <xf numFmtId="0" fontId="5" fillId="60" borderId="335" applyNumberFormat="0" applyProtection="0">
      <alignment horizontal="left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4" fontId="22" fillId="0" borderId="335" applyFill="0" applyBorder="0" applyProtection="0">
      <alignment horizontal="right" vertical="center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5" fillId="60" borderId="335" applyNumberFormat="0" applyProtection="0">
      <alignment horizontal="right"/>
    </xf>
    <xf numFmtId="0" fontId="5" fillId="60" borderId="335" applyNumberFormat="0" applyProtection="0">
      <alignment horizontal="left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49" fontId="22" fillId="0" borderId="335" applyNumberFormat="0" applyFont="0" applyFill="0" applyBorder="0" applyProtection="0">
      <alignment horizontal="left" vertical="center" indent="2"/>
    </xf>
    <xf numFmtId="0" fontId="6" fillId="23" borderId="350" applyNumberFormat="0" applyFont="0" applyAlignment="0" applyProtection="0"/>
    <xf numFmtId="0" fontId="5" fillId="60" borderId="335" applyNumberFormat="0" applyProtection="0">
      <alignment horizontal="left"/>
    </xf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51" fillId="23" borderId="350" applyNumberFormat="0" applyFont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6" fillId="23" borderId="350" applyNumberFormat="0" applyFont="0" applyAlignment="0" applyProtection="0"/>
    <xf numFmtId="49" fontId="22" fillId="0" borderId="335" applyNumberFormat="0" applyFont="0" applyFill="0" applyBorder="0" applyProtection="0">
      <alignment horizontal="left" vertical="center" indent="2"/>
    </xf>
    <xf numFmtId="0" fontId="6" fillId="23" borderId="350" applyNumberFormat="0" applyFont="0" applyAlignment="0" applyProtection="0"/>
    <xf numFmtId="49" fontId="22" fillId="0" borderId="335" applyNumberFormat="0" applyFont="0" applyFill="0" applyBorder="0" applyProtection="0">
      <alignment horizontal="left" vertical="center" indent="2"/>
    </xf>
    <xf numFmtId="43" fontId="1" fillId="0" borderId="0" applyFont="0" applyFill="0" applyBorder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49" fontId="6" fillId="67" borderId="335">
      <alignment vertical="center" wrapText="1"/>
    </xf>
    <xf numFmtId="0" fontId="6" fillId="68" borderId="454">
      <alignment horizontal="left" vertical="center" wrapText="1"/>
    </xf>
    <xf numFmtId="0" fontId="11" fillId="69" borderId="335">
      <alignment horizontal="left" vertical="center" wrapText="1"/>
    </xf>
    <xf numFmtId="0" fontId="6" fillId="70" borderId="335">
      <alignment horizontal="left" vertical="center" wrapText="1"/>
    </xf>
    <xf numFmtId="0" fontId="6" fillId="71" borderId="335">
      <alignment horizontal="left" vertical="center" wrapText="1"/>
    </xf>
    <xf numFmtId="4" fontId="22" fillId="0" borderId="335" applyFill="0" applyBorder="0" applyProtection="0">
      <alignment horizontal="right" vertical="center"/>
    </xf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5" fillId="60" borderId="335" applyNumberFormat="0" applyProtection="0">
      <alignment horizontal="right"/>
    </xf>
    <xf numFmtId="0" fontId="5" fillId="60" borderId="335" applyNumberFormat="0" applyProtection="0">
      <alignment horizontal="left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4" fontId="22" fillId="0" borderId="335" applyFill="0" applyBorder="0" applyProtection="0">
      <alignment horizontal="right" vertical="center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5" fillId="60" borderId="335" applyNumberFormat="0" applyProtection="0">
      <alignment horizontal="right"/>
    </xf>
    <xf numFmtId="0" fontId="5" fillId="60" borderId="335" applyNumberFormat="0" applyProtection="0">
      <alignment horizontal="left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49" fontId="22" fillId="0" borderId="335" applyNumberFormat="0" applyFont="0" applyFill="0" applyBorder="0" applyProtection="0">
      <alignment horizontal="left" vertical="center" indent="2"/>
    </xf>
    <xf numFmtId="0" fontId="6" fillId="23" borderId="350" applyNumberFormat="0" applyFont="0" applyAlignment="0" applyProtection="0"/>
    <xf numFmtId="43" fontId="1" fillId="0" borderId="0" applyFont="0" applyFill="0" applyBorder="0" applyAlignment="0" applyProtection="0"/>
    <xf numFmtId="49" fontId="22" fillId="0" borderId="335" applyNumberFormat="0" applyFont="0" applyFill="0" applyBorder="0" applyProtection="0">
      <alignment horizontal="left" vertical="center" indent="2"/>
    </xf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23" borderId="350" applyNumberFormat="0" applyFont="0" applyAlignment="0" applyProtection="0"/>
    <xf numFmtId="49" fontId="22" fillId="0" borderId="335" applyNumberFormat="0" applyFont="0" applyFill="0" applyBorder="0" applyProtection="0">
      <alignment horizontal="left" vertical="center" indent="2"/>
    </xf>
    <xf numFmtId="0" fontId="6" fillId="23" borderId="350" applyNumberFormat="0" applyFont="0" applyAlignment="0" applyProtection="0"/>
    <xf numFmtId="43" fontId="6" fillId="0" borderId="0" applyFont="0" applyFill="0" applyBorder="0" applyAlignment="0" applyProtection="0"/>
    <xf numFmtId="0" fontId="51" fillId="23" borderId="350" applyNumberFormat="0" applyFont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" fontId="22" fillId="0" borderId="335" applyFill="0" applyBorder="0" applyProtection="0">
      <alignment horizontal="right" vertical="center"/>
    </xf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5" fillId="60" borderId="335" applyNumberFormat="0" applyProtection="0">
      <alignment horizontal="right"/>
    </xf>
    <xf numFmtId="0" fontId="5" fillId="60" borderId="335" applyNumberFormat="0" applyProtection="0">
      <alignment horizontal="left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23" fillId="23" borderId="350" applyNumberFormat="0" applyFont="0" applyAlignment="0" applyProtection="0"/>
    <xf numFmtId="49" fontId="6" fillId="67" borderId="335">
      <alignment vertical="center" wrapText="1"/>
    </xf>
    <xf numFmtId="0" fontId="6" fillId="68" borderId="454">
      <alignment horizontal="left" vertical="center" wrapText="1"/>
    </xf>
    <xf numFmtId="0" fontId="11" fillId="69" borderId="335">
      <alignment horizontal="left" vertical="center" wrapText="1"/>
    </xf>
    <xf numFmtId="0" fontId="6" fillId="70" borderId="335">
      <alignment horizontal="left" vertical="center" wrapText="1"/>
    </xf>
    <xf numFmtId="0" fontId="6" fillId="71" borderId="335">
      <alignment horizontal="left" vertical="center" wrapText="1"/>
    </xf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" fontId="22" fillId="0" borderId="335" applyFill="0" applyBorder="0" applyProtection="0">
      <alignment horizontal="right" vertical="center"/>
    </xf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5" fillId="60" borderId="335" applyNumberFormat="0" applyProtection="0">
      <alignment horizontal="right"/>
    </xf>
    <xf numFmtId="0" fontId="5" fillId="60" borderId="335" applyNumberFormat="0" applyProtection="0">
      <alignment horizontal="left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4" fontId="22" fillId="0" borderId="335" applyFill="0" applyBorder="0" applyProtection="0">
      <alignment horizontal="right" vertical="center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5" fillId="60" borderId="335" applyNumberFormat="0" applyProtection="0">
      <alignment horizontal="right"/>
    </xf>
    <xf numFmtId="0" fontId="5" fillId="60" borderId="335" applyNumberFormat="0" applyProtection="0">
      <alignment horizontal="left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49" fontId="22" fillId="0" borderId="335" applyNumberFormat="0" applyFont="0" applyFill="0" applyBorder="0" applyProtection="0">
      <alignment horizontal="left" vertical="center" indent="2"/>
    </xf>
    <xf numFmtId="43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0" fontId="6" fillId="23" borderId="350" applyNumberFormat="0" applyFont="0" applyAlignment="0" applyProtection="0"/>
    <xf numFmtId="43" fontId="6" fillId="0" borderId="0" applyFont="0" applyFill="0" applyBorder="0" applyAlignment="0" applyProtection="0"/>
    <xf numFmtId="0" fontId="6" fillId="0" borderId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6" fillId="0" borderId="0"/>
    <xf numFmtId="0" fontId="1" fillId="0" borderId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185" fontId="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4" fontId="22" fillId="0" borderId="468" applyFill="0" applyBorder="0" applyProtection="0">
      <alignment horizontal="right" vertical="center"/>
    </xf>
    <xf numFmtId="0" fontId="1" fillId="0" borderId="0"/>
    <xf numFmtId="0" fontId="23" fillId="23" borderId="350" applyNumberFormat="0" applyFont="0" applyAlignment="0" applyProtection="0"/>
    <xf numFmtId="0" fontId="23" fillId="23" borderId="350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468" applyNumberFormat="0" applyFill="0" applyProtection="0">
      <alignment horizontal="right"/>
    </xf>
    <xf numFmtId="0" fontId="6" fillId="0" borderId="468" applyNumberFormat="0" applyFill="0" applyProtection="0">
      <alignment horizontal="right"/>
    </xf>
    <xf numFmtId="0" fontId="5" fillId="60" borderId="468" applyNumberFormat="0" applyProtection="0">
      <alignment horizontal="right"/>
    </xf>
    <xf numFmtId="0" fontId="5" fillId="60" borderId="468" applyNumberFormat="0" applyProtection="0">
      <alignment horizontal="left"/>
    </xf>
    <xf numFmtId="0" fontId="6" fillId="0" borderId="468" applyNumberFormat="0" applyFill="0" applyProtection="0">
      <alignment horizontal="right"/>
    </xf>
    <xf numFmtId="0" fontId="6" fillId="0" borderId="468" applyNumberFormat="0" applyFill="0" applyProtection="0">
      <alignment horizontal="right"/>
    </xf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1" fillId="0" borderId="0"/>
    <xf numFmtId="0" fontId="1" fillId="0" borderId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81" fillId="58" borderId="467">
      <alignment horizontal="right" vertical="center"/>
    </xf>
    <xf numFmtId="49" fontId="22" fillId="0" borderId="335" applyNumberFormat="0" applyFont="0" applyFill="0" applyBorder="0" applyProtection="0">
      <alignment horizontal="left" vertical="center" indent="2"/>
    </xf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80" fillId="0" borderId="357" applyNumberFormat="0" applyFill="0" applyAlignment="0" applyProtection="0"/>
    <xf numFmtId="0" fontId="80" fillId="0" borderId="357" applyNumberFormat="0" applyFill="0" applyAlignment="0" applyProtection="0"/>
    <xf numFmtId="0" fontId="80" fillId="0" borderId="357" applyNumberFormat="0" applyFill="0" applyAlignment="0" applyProtection="0"/>
    <xf numFmtId="0" fontId="80" fillId="0" borderId="357" applyNumberFormat="0" applyFill="0" applyAlignment="0" applyProtection="0"/>
    <xf numFmtId="0" fontId="80" fillId="0" borderId="357" applyNumberFormat="0" applyFill="0" applyAlignment="0" applyProtection="0"/>
    <xf numFmtId="0" fontId="80" fillId="0" borderId="357" applyNumberFormat="0" applyFill="0" applyAlignment="0" applyProtection="0"/>
    <xf numFmtId="0" fontId="80" fillId="0" borderId="357" applyNumberFormat="0" applyFill="0" applyAlignment="0" applyProtection="0"/>
    <xf numFmtId="0" fontId="80" fillId="0" borderId="357" applyNumberFormat="0" applyFill="0" applyAlignment="0" applyProtection="0"/>
    <xf numFmtId="0" fontId="80" fillId="0" borderId="357" applyNumberFormat="0" applyFill="0" applyAlignment="0" applyProtection="0"/>
    <xf numFmtId="0" fontId="80" fillId="0" borderId="35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6" fillId="0" borderId="0" applyNumberFormat="0" applyFont="0" applyFill="0" applyBorder="0" applyProtection="0">
      <alignment horizontal="left" vertical="center" indent="2"/>
    </xf>
    <xf numFmtId="0" fontId="6" fillId="0" borderId="0" applyNumberFormat="0" applyFont="0" applyFill="0" applyBorder="0" applyProtection="0">
      <alignment horizontal="left" vertical="center" indent="2"/>
    </xf>
    <xf numFmtId="43" fontId="1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1" fillId="36" borderId="468">
      <alignment horizontal="right" vertical="center"/>
    </xf>
    <xf numFmtId="0" fontId="128" fillId="36" borderId="468">
      <alignment horizontal="right" vertical="center"/>
    </xf>
    <xf numFmtId="0" fontId="81" fillId="58" borderId="468">
      <alignment horizontal="right" vertical="center"/>
    </xf>
    <xf numFmtId="0" fontId="81" fillId="58" borderId="468">
      <alignment horizontal="right" vertical="center"/>
    </xf>
    <xf numFmtId="0" fontId="81" fillId="58" borderId="467">
      <alignment horizontal="right" vertical="center"/>
    </xf>
    <xf numFmtId="0" fontId="22" fillId="0" borderId="468">
      <alignment horizontal="right" vertical="center"/>
    </xf>
    <xf numFmtId="0" fontId="1" fillId="0" borderId="0"/>
    <xf numFmtId="0" fontId="1" fillId="0" borderId="0"/>
    <xf numFmtId="0" fontId="22" fillId="0" borderId="468" applyNumberFormat="0" applyFill="0" applyAlignment="0" applyProtection="0"/>
    <xf numFmtId="0" fontId="22" fillId="59" borderId="468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468" applyNumberFormat="0" applyFill="0" applyProtection="0">
      <alignment horizontal="right"/>
    </xf>
    <xf numFmtId="0" fontId="6" fillId="0" borderId="468" applyNumberFormat="0" applyFill="0" applyProtection="0">
      <alignment horizontal="right"/>
    </xf>
    <xf numFmtId="0" fontId="5" fillId="60" borderId="468" applyNumberFormat="0" applyProtection="0">
      <alignment horizontal="right"/>
    </xf>
    <xf numFmtId="0" fontId="5" fillId="60" borderId="468" applyNumberFormat="0" applyProtection="0">
      <alignment horizontal="left"/>
    </xf>
    <xf numFmtId="0" fontId="6" fillId="0" borderId="468" applyNumberFormat="0" applyFill="0" applyProtection="0">
      <alignment horizontal="right"/>
    </xf>
    <xf numFmtId="0" fontId="6" fillId="0" borderId="468" applyNumberFormat="0" applyFill="0" applyProtection="0">
      <alignment horizontal="right"/>
    </xf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" fontId="22" fillId="0" borderId="0" applyFill="0" applyBorder="0" applyProtection="0">
      <alignment horizontal="right" vertical="center"/>
    </xf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9" fontId="22" fillId="0" borderId="468" applyNumberFormat="0" applyFont="0" applyFill="0" applyBorder="0" applyProtection="0">
      <alignment horizontal="left" vertical="center" indent="2"/>
    </xf>
    <xf numFmtId="0" fontId="36" fillId="26" borderId="348" applyNumberFormat="0" applyAlignment="0" applyProtection="0"/>
    <xf numFmtId="0" fontId="36" fillId="26" borderId="348" applyNumberFormat="0" applyAlignment="0" applyProtection="0"/>
    <xf numFmtId="0" fontId="36" fillId="26" borderId="348" applyNumberFormat="0" applyAlignment="0" applyProtection="0"/>
    <xf numFmtId="0" fontId="36" fillId="26" borderId="348" applyNumberFormat="0" applyAlignment="0" applyProtection="0"/>
    <xf numFmtId="0" fontId="36" fillId="26" borderId="348" applyNumberFormat="0" applyAlignment="0" applyProtection="0"/>
    <xf numFmtId="0" fontId="36" fillId="26" borderId="348" applyNumberFormat="0" applyAlignment="0" applyProtection="0"/>
    <xf numFmtId="0" fontId="36" fillId="26" borderId="348" applyNumberFormat="0" applyAlignment="0" applyProtection="0"/>
    <xf numFmtId="0" fontId="36" fillId="26" borderId="348" applyNumberFormat="0" applyAlignment="0" applyProtection="0"/>
    <xf numFmtId="0" fontId="36" fillId="26" borderId="348" applyNumberFormat="0" applyAlignment="0" applyProtection="0"/>
    <xf numFmtId="0" fontId="36" fillId="26" borderId="348" applyNumberFormat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31" fillId="0" borderId="326" applyNumberFormat="0" applyFill="0" applyAlignment="0" applyProtection="0"/>
    <xf numFmtId="0" fontId="31" fillId="0" borderId="326" applyNumberFormat="0" applyFill="0" applyAlignment="0" applyProtection="0"/>
    <xf numFmtId="0" fontId="31" fillId="0" borderId="326" applyNumberFormat="0" applyFill="0" applyAlignment="0" applyProtection="0"/>
    <xf numFmtId="0" fontId="31" fillId="0" borderId="326" applyNumberFormat="0" applyFill="0" applyAlignment="0" applyProtection="0"/>
    <xf numFmtId="0" fontId="31" fillId="0" borderId="326" applyNumberFormat="0" applyFill="0" applyAlignment="0" applyProtection="0"/>
    <xf numFmtId="0" fontId="31" fillId="0" borderId="326" applyNumberFormat="0" applyFill="0" applyAlignment="0" applyProtection="0"/>
    <xf numFmtId="0" fontId="31" fillId="0" borderId="326" applyNumberFormat="0" applyFill="0" applyAlignment="0" applyProtection="0"/>
    <xf numFmtId="0" fontId="31" fillId="0" borderId="326" applyNumberFormat="0" applyFill="0" applyAlignment="0" applyProtection="0"/>
    <xf numFmtId="0" fontId="31" fillId="0" borderId="326" applyNumberFormat="0" applyFill="0" applyAlignment="0" applyProtection="0"/>
    <xf numFmtId="0" fontId="31" fillId="0" borderId="326" applyNumberFormat="0" applyFill="0" applyAlignment="0" applyProtection="0"/>
    <xf numFmtId="0" fontId="32" fillId="27" borderId="348" applyNumberFormat="0" applyAlignment="0" applyProtection="0"/>
    <xf numFmtId="0" fontId="32" fillId="27" borderId="348" applyNumberFormat="0" applyAlignment="0" applyProtection="0"/>
    <xf numFmtId="0" fontId="32" fillId="27" borderId="348" applyNumberFormat="0" applyAlignment="0" applyProtection="0"/>
    <xf numFmtId="0" fontId="32" fillId="27" borderId="348" applyNumberFormat="0" applyAlignment="0" applyProtection="0"/>
    <xf numFmtId="0" fontId="32" fillId="27" borderId="348" applyNumberFormat="0" applyAlignment="0" applyProtection="0"/>
    <xf numFmtId="0" fontId="32" fillId="27" borderId="348" applyNumberFormat="0" applyAlignment="0" applyProtection="0"/>
    <xf numFmtId="0" fontId="32" fillId="27" borderId="348" applyNumberFormat="0" applyAlignment="0" applyProtection="0"/>
    <xf numFmtId="0" fontId="32" fillId="27" borderId="348" applyNumberFormat="0" applyAlignment="0" applyProtection="0"/>
    <xf numFmtId="0" fontId="32" fillId="27" borderId="348" applyNumberFormat="0" applyAlignment="0" applyProtection="0"/>
    <xf numFmtId="0" fontId="32" fillId="27" borderId="348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33" fillId="26" borderId="351" applyNumberFormat="0" applyAlignment="0" applyProtection="0"/>
    <xf numFmtId="0" fontId="33" fillId="26" borderId="351" applyNumberFormat="0" applyAlignment="0" applyProtection="0"/>
    <xf numFmtId="0" fontId="33" fillId="26" borderId="351" applyNumberFormat="0" applyAlignment="0" applyProtection="0"/>
    <xf numFmtId="0" fontId="33" fillId="26" borderId="351" applyNumberFormat="0" applyAlignment="0" applyProtection="0"/>
    <xf numFmtId="0" fontId="33" fillId="26" borderId="351" applyNumberFormat="0" applyAlignment="0" applyProtection="0"/>
    <xf numFmtId="0" fontId="33" fillId="26" borderId="351" applyNumberFormat="0" applyAlignment="0" applyProtection="0"/>
    <xf numFmtId="0" fontId="33" fillId="26" borderId="351" applyNumberFormat="0" applyAlignment="0" applyProtection="0"/>
    <xf numFmtId="0" fontId="33" fillId="26" borderId="351" applyNumberFormat="0" applyAlignment="0" applyProtection="0"/>
    <xf numFmtId="0" fontId="33" fillId="26" borderId="351" applyNumberFormat="0" applyAlignment="0" applyProtection="0"/>
    <xf numFmtId="0" fontId="33" fillId="26" borderId="351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80" fillId="0" borderId="357" applyNumberFormat="0" applyFill="0" applyAlignment="0" applyProtection="0"/>
    <xf numFmtId="0" fontId="80" fillId="0" borderId="357" applyNumberFormat="0" applyFill="0" applyAlignment="0" applyProtection="0"/>
    <xf numFmtId="0" fontId="80" fillId="0" borderId="357" applyNumberFormat="0" applyFill="0" applyAlignment="0" applyProtection="0"/>
    <xf numFmtId="0" fontId="80" fillId="0" borderId="357" applyNumberFormat="0" applyFill="0" applyAlignment="0" applyProtection="0"/>
    <xf numFmtId="0" fontId="80" fillId="0" borderId="357" applyNumberFormat="0" applyFill="0" applyAlignment="0" applyProtection="0"/>
    <xf numFmtId="0" fontId="80" fillId="0" borderId="357" applyNumberFormat="0" applyFill="0" applyAlignment="0" applyProtection="0"/>
    <xf numFmtId="0" fontId="80" fillId="0" borderId="357" applyNumberFormat="0" applyFill="0" applyAlignment="0" applyProtection="0"/>
    <xf numFmtId="0" fontId="80" fillId="0" borderId="357" applyNumberFormat="0" applyFill="0" applyAlignment="0" applyProtection="0"/>
    <xf numFmtId="0" fontId="80" fillId="0" borderId="357" applyNumberFormat="0" applyFill="0" applyAlignment="0" applyProtection="0"/>
    <xf numFmtId="0" fontId="80" fillId="0" borderId="357" applyNumberFormat="0" applyFill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33" fillId="26" borderId="351" applyNumberFormat="0" applyAlignment="0" applyProtection="0"/>
    <xf numFmtId="0" fontId="33" fillId="26" borderId="351" applyNumberFormat="0" applyAlignment="0" applyProtection="0"/>
    <xf numFmtId="0" fontId="33" fillId="26" borderId="351" applyNumberFormat="0" applyAlignment="0" applyProtection="0"/>
    <xf numFmtId="0" fontId="33" fillId="26" borderId="351" applyNumberFormat="0" applyAlignment="0" applyProtection="0"/>
    <xf numFmtId="0" fontId="33" fillId="26" borderId="351" applyNumberFormat="0" applyAlignment="0" applyProtection="0"/>
    <xf numFmtId="0" fontId="33" fillId="26" borderId="351" applyNumberFormat="0" applyAlignment="0" applyProtection="0"/>
    <xf numFmtId="0" fontId="33" fillId="26" borderId="351" applyNumberFormat="0" applyAlignment="0" applyProtection="0"/>
    <xf numFmtId="0" fontId="33" fillId="26" borderId="351" applyNumberFormat="0" applyAlignment="0" applyProtection="0"/>
    <xf numFmtId="0" fontId="33" fillId="26" borderId="351" applyNumberFormat="0" applyAlignment="0" applyProtection="0"/>
    <xf numFmtId="0" fontId="33" fillId="26" borderId="351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3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23" fillId="23" borderId="350" applyNumberFormat="0" applyFont="0" applyAlignment="0" applyProtection="0"/>
    <xf numFmtId="9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3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3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" fillId="9" borderId="461">
      <alignment horizontal="center" vertical="center" wrapText="1"/>
    </xf>
    <xf numFmtId="0" fontId="6" fillId="9" borderId="461">
      <alignment horizontal="center" vertical="center" wrapText="1"/>
    </xf>
    <xf numFmtId="0" fontId="6" fillId="9" borderId="461">
      <alignment horizontal="center" vertical="center" wrapText="1"/>
    </xf>
    <xf numFmtId="0" fontId="6" fillId="9" borderId="461">
      <alignment horizontal="center" vertical="center" wrapText="1"/>
    </xf>
    <xf numFmtId="4" fontId="82" fillId="0" borderId="457" applyFill="0" applyBorder="0" applyProtection="0">
      <alignment horizontal="right" vertical="center"/>
    </xf>
    <xf numFmtId="0" fontId="122" fillId="82" borderId="316" applyNumberFormat="0" applyAlignment="0" applyProtection="0"/>
    <xf numFmtId="0" fontId="149" fillId="82" borderId="316" applyNumberFormat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94" fontId="6" fillId="0" borderId="0" applyFill="0" applyBorder="0" applyAlignment="0" applyProtection="0"/>
    <xf numFmtId="194" fontId="6" fillId="0" borderId="0" applyFill="0" applyBorder="0" applyAlignment="0" applyProtection="0"/>
    <xf numFmtId="43" fontId="4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4" fillId="0" borderId="0" applyFont="0" applyFill="0" applyBorder="0" applyAlignment="0" applyProtection="0"/>
    <xf numFmtId="43" fontId="124" fillId="0" borderId="0" applyFont="0" applyFill="0" applyBorder="0" applyAlignment="0" applyProtection="0"/>
    <xf numFmtId="43" fontId="12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12" borderId="453">
      <alignment horizontal="center" vertical="center" wrapText="1"/>
    </xf>
    <xf numFmtId="0" fontId="6" fillId="12" borderId="453">
      <alignment horizontal="center" vertical="center" wrapText="1"/>
    </xf>
    <xf numFmtId="0" fontId="6" fillId="12" borderId="453">
      <alignment horizontal="center" vertical="center" wrapText="1"/>
    </xf>
    <xf numFmtId="0" fontId="6" fillId="12" borderId="453">
      <alignment horizontal="center" vertical="center" wrapText="1"/>
    </xf>
    <xf numFmtId="180" fontId="6" fillId="0" borderId="0" applyFont="0" applyFill="0" applyBorder="0" applyAlignment="0" applyProtection="0"/>
    <xf numFmtId="0" fontId="5" fillId="0" borderId="462" applyNumberFormat="0">
      <alignment horizontal="center" wrapText="1"/>
    </xf>
    <xf numFmtId="0" fontId="5" fillId="0" borderId="462" applyNumberFormat="0">
      <alignment horizontal="center" wrapText="1"/>
    </xf>
    <xf numFmtId="0" fontId="5" fillId="0" borderId="462" applyNumberFormat="0">
      <alignment horizontal="center" wrapText="1"/>
    </xf>
    <xf numFmtId="0" fontId="142" fillId="0" borderId="0" applyNumberFormat="0" applyFill="0" applyBorder="0" applyAlignment="0" applyProtection="0">
      <alignment vertical="top"/>
      <protection locked="0"/>
    </xf>
    <xf numFmtId="0" fontId="6" fillId="0" borderId="0"/>
    <xf numFmtId="0" fontId="37" fillId="0" borderId="0"/>
    <xf numFmtId="0" fontId="37" fillId="0" borderId="0"/>
    <xf numFmtId="0" fontId="37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3" fillId="0" borderId="0"/>
    <xf numFmtId="0" fontId="6" fillId="0" borderId="0"/>
    <xf numFmtId="0" fontId="6" fillId="0" borderId="0"/>
    <xf numFmtId="0" fontId="1" fillId="0" borderId="0"/>
    <xf numFmtId="0" fontId="6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139" fillId="0" borderId="0"/>
    <xf numFmtId="0" fontId="1" fillId="0" borderId="0"/>
    <xf numFmtId="0" fontId="6" fillId="0" borderId="0"/>
    <xf numFmtId="0" fontId="1" fillId="0" borderId="0"/>
    <xf numFmtId="0" fontId="23" fillId="83" borderId="318" applyNumberFormat="0" applyFont="0" applyAlignment="0" applyProtection="0"/>
    <xf numFmtId="0" fontId="23" fillId="83" borderId="318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5" fillId="60" borderId="335" applyNumberFormat="0" applyProtection="0">
      <alignment horizontal="right"/>
    </xf>
    <xf numFmtId="0" fontId="5" fillId="60" borderId="335" applyNumberFormat="0" applyProtection="0">
      <alignment horizontal="left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6" fillId="0" borderId="0"/>
    <xf numFmtId="0" fontId="57" fillId="0" borderId="319" applyNumberFormat="0" applyFill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6" fillId="0" borderId="0" applyFont="0" applyFill="0" applyBorder="0" applyAlignment="0" applyProtection="0"/>
    <xf numFmtId="0" fontId="73" fillId="57" borderId="348" applyNumberFormat="0" applyAlignment="0" applyProtection="0"/>
    <xf numFmtId="0" fontId="80" fillId="0" borderId="353" applyNumberFormat="0" applyFill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73" fillId="57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3" fillId="57" borderId="351" applyNumberFormat="0" applyAlignment="0" applyProtection="0"/>
    <xf numFmtId="0" fontId="6" fillId="23" borderId="350" applyNumberFormat="0" applyFon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3" fillId="57" borderId="351" applyNumberFormat="0" applyAlignment="0" applyProtection="0"/>
    <xf numFmtId="0" fontId="73" fillId="57" borderId="348" applyNumberFormat="0" applyAlignment="0" applyProtection="0"/>
    <xf numFmtId="0" fontId="32" fillId="24" borderId="348" applyNumberFormat="0" applyAlignment="0" applyProtection="0"/>
    <xf numFmtId="0" fontId="73" fillId="57" borderId="348" applyNumberFormat="0" applyAlignment="0" applyProtection="0"/>
    <xf numFmtId="0" fontId="80" fillId="0" borderId="357" applyNumberFormat="0" applyFill="0" applyAlignment="0" applyProtection="0"/>
    <xf numFmtId="0" fontId="80" fillId="0" borderId="357" applyNumberFormat="0" applyFill="0" applyAlignment="0" applyProtection="0"/>
    <xf numFmtId="0" fontId="80" fillId="0" borderId="357" applyNumberFormat="0" applyFill="0" applyAlignment="0" applyProtection="0"/>
    <xf numFmtId="0" fontId="80" fillId="0" borderId="357" applyNumberFormat="0" applyFill="0" applyAlignment="0" applyProtection="0"/>
    <xf numFmtId="0" fontId="80" fillId="0" borderId="357" applyNumberFormat="0" applyFill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6" fillId="23" borderId="350" applyNumberFormat="0" applyFont="0" applyAlignment="0" applyProtection="0"/>
    <xf numFmtId="0" fontId="80" fillId="0" borderId="353" applyNumberFormat="0" applyFill="0" applyAlignment="0" applyProtection="0"/>
    <xf numFmtId="0" fontId="23" fillId="23" borderId="350" applyNumberFormat="0" applyFont="0" applyAlignment="0" applyProtection="0"/>
    <xf numFmtId="0" fontId="73" fillId="57" borderId="348" applyNumberFormat="0" applyAlignment="0" applyProtection="0"/>
    <xf numFmtId="0" fontId="80" fillId="0" borderId="353" applyNumberFormat="0" applyFill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33" fillId="57" borderId="351" applyNumberFormat="0" applyAlignment="0" applyProtection="0"/>
    <xf numFmtId="0" fontId="80" fillId="0" borderId="353" applyNumberFormat="0" applyFill="0" applyAlignment="0" applyProtection="0"/>
    <xf numFmtId="0" fontId="33" fillId="57" borderId="351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33" fillId="26" borderId="351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3" fillId="57" borderId="351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33" fillId="57" borderId="351" applyNumberFormat="0" applyAlignment="0" applyProtection="0"/>
    <xf numFmtId="0" fontId="32" fillId="27" borderId="348" applyNumberFormat="0" applyAlignment="0" applyProtection="0"/>
    <xf numFmtId="0" fontId="32" fillId="27" borderId="348" applyNumberFormat="0" applyAlignment="0" applyProtection="0"/>
    <xf numFmtId="0" fontId="32" fillId="27" borderId="348" applyNumberFormat="0" applyAlignment="0" applyProtection="0"/>
    <xf numFmtId="0" fontId="32" fillId="27" borderId="348" applyNumberFormat="0" applyAlignment="0" applyProtection="0"/>
    <xf numFmtId="49" fontId="22" fillId="0" borderId="468" applyNumberFormat="0" applyFont="0" applyFill="0" applyBorder="0" applyProtection="0">
      <alignment horizontal="left" vertical="center" indent="2"/>
    </xf>
    <xf numFmtId="0" fontId="32" fillId="24" borderId="348" applyNumberFormat="0" applyAlignment="0" applyProtection="0"/>
    <xf numFmtId="0" fontId="36" fillId="26" borderId="348" applyNumberFormat="0" applyAlignment="0" applyProtection="0"/>
    <xf numFmtId="0" fontId="36" fillId="26" borderId="348" applyNumberFormat="0" applyAlignment="0" applyProtection="0"/>
    <xf numFmtId="0" fontId="36" fillId="26" borderId="348" applyNumberFormat="0" applyAlignment="0" applyProtection="0"/>
    <xf numFmtId="0" fontId="36" fillId="26" borderId="348" applyNumberFormat="0" applyAlignment="0" applyProtection="0"/>
    <xf numFmtId="0" fontId="36" fillId="26" borderId="348" applyNumberFormat="0" applyAlignment="0" applyProtection="0"/>
    <xf numFmtId="0" fontId="80" fillId="0" borderId="353" applyNumberFormat="0" applyFill="0" applyAlignment="0" applyProtection="0"/>
    <xf numFmtId="0" fontId="73" fillId="57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6" fillId="23" borderId="350" applyNumberFormat="0" applyFon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49" fontId="22" fillId="0" borderId="468" applyNumberFormat="0" applyFont="0" applyFill="0" applyBorder="0" applyProtection="0">
      <alignment horizontal="left" vertical="center" indent="2"/>
    </xf>
    <xf numFmtId="0" fontId="5" fillId="60" borderId="468" applyNumberFormat="0" applyProtection="0">
      <alignment horizontal="left"/>
    </xf>
    <xf numFmtId="0" fontId="80" fillId="0" borderId="353" applyNumberFormat="0" applyFill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3" fillId="57" borderId="351" applyNumberFormat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73" fillId="57" borderId="348" applyNumberFormat="0" applyAlignment="0" applyProtection="0"/>
    <xf numFmtId="0" fontId="80" fillId="0" borderId="353" applyNumberFormat="0" applyFill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3" fillId="57" borderId="351" applyNumberFormat="0" applyAlignment="0" applyProtection="0"/>
    <xf numFmtId="0" fontId="32" fillId="24" borderId="348" applyNumberFormat="0" applyAlignment="0" applyProtection="0"/>
    <xf numFmtId="0" fontId="6" fillId="23" borderId="350" applyNumberFormat="0" applyFon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80" fillId="0" borderId="353" applyNumberFormat="0" applyFill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33" fillId="57" borderId="351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80" fillId="0" borderId="353" applyNumberFormat="0" applyFill="0" applyAlignment="0" applyProtection="0"/>
    <xf numFmtId="0" fontId="33" fillId="57" borderId="351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6" fillId="0" borderId="468" applyNumberFormat="0" applyFill="0" applyProtection="0">
      <alignment horizontal="right"/>
    </xf>
    <xf numFmtId="0" fontId="6" fillId="0" borderId="468" applyNumberFormat="0" applyFill="0" applyProtection="0">
      <alignment horizontal="right"/>
    </xf>
    <xf numFmtId="0" fontId="5" fillId="60" borderId="468" applyNumberFormat="0" applyProtection="0">
      <alignment horizontal="left"/>
    </xf>
    <xf numFmtId="0" fontId="5" fillId="60" borderId="468" applyNumberFormat="0" applyProtection="0">
      <alignment horizontal="right"/>
    </xf>
    <xf numFmtId="0" fontId="6" fillId="0" borderId="468" applyNumberFormat="0" applyFill="0" applyProtection="0">
      <alignment horizontal="right"/>
    </xf>
    <xf numFmtId="0" fontId="6" fillId="0" borderId="468" applyNumberFormat="0" applyFill="0" applyProtection="0">
      <alignment horizontal="right"/>
    </xf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6" fillId="23" borderId="350" applyNumberFormat="0" applyFont="0" applyAlignment="0" applyProtection="0"/>
    <xf numFmtId="0" fontId="80" fillId="0" borderId="353" applyNumberFormat="0" applyFill="0" applyAlignment="0" applyProtection="0"/>
    <xf numFmtId="0" fontId="33" fillId="57" borderId="351" applyNumberFormat="0" applyAlignment="0" applyProtection="0"/>
    <xf numFmtId="0" fontId="73" fillId="57" borderId="348" applyNumberFormat="0" applyAlignment="0" applyProtection="0"/>
    <xf numFmtId="0" fontId="22" fillId="59" borderId="468"/>
    <xf numFmtId="0" fontId="22" fillId="0" borderId="468" applyNumberFormat="0" applyFill="0" applyAlignment="0" applyProtection="0"/>
    <xf numFmtId="0" fontId="22" fillId="0" borderId="468">
      <alignment horizontal="right" vertical="center"/>
    </xf>
    <xf numFmtId="0" fontId="22" fillId="58" borderId="285">
      <alignment horizontal="left" vertical="center" wrapText="1" indent="2"/>
    </xf>
    <xf numFmtId="0" fontId="81" fillId="58" borderId="467">
      <alignment horizontal="right" vertical="center"/>
    </xf>
    <xf numFmtId="0" fontId="81" fillId="58" borderId="468">
      <alignment horizontal="right" vertical="center"/>
    </xf>
    <xf numFmtId="0" fontId="81" fillId="58" borderId="468">
      <alignment horizontal="right" vertical="center"/>
    </xf>
    <xf numFmtId="0" fontId="128" fillId="36" borderId="468">
      <alignment horizontal="right" vertical="center"/>
    </xf>
    <xf numFmtId="0" fontId="81" fillId="36" borderId="468">
      <alignment horizontal="right" vertical="center"/>
    </xf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32" fillId="24" borderId="348" applyNumberFormat="0" applyAlignment="0" applyProtection="0"/>
    <xf numFmtId="0" fontId="5" fillId="9" borderId="466">
      <alignment horizontal="center" vertical="center" wrapText="1"/>
    </xf>
    <xf numFmtId="0" fontId="80" fillId="0" borderId="353" applyNumberFormat="0" applyFill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6" fillId="23" borderId="350" applyNumberFormat="0" applyFont="0" applyAlignment="0" applyProtection="0"/>
    <xf numFmtId="0" fontId="33" fillId="57" borderId="351" applyNumberFormat="0" applyAlignment="0" applyProtection="0"/>
    <xf numFmtId="0" fontId="80" fillId="0" borderId="353" applyNumberFormat="0" applyFill="0" applyAlignment="0" applyProtection="0"/>
    <xf numFmtId="0" fontId="6" fillId="23" borderId="350" applyNumberFormat="0" applyFont="0" applyAlignment="0" applyProtection="0"/>
    <xf numFmtId="0" fontId="33" fillId="57" borderId="351" applyNumberFormat="0" applyAlignment="0" applyProtection="0"/>
    <xf numFmtId="0" fontId="80" fillId="0" borderId="353" applyNumberFormat="0" applyFill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80" fillId="0" borderId="353" applyNumberFormat="0" applyFill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32" fillId="24" borderId="348" applyNumberForma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33" fillId="57" borderId="351" applyNumberFormat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80" fillId="0" borderId="353" applyNumberFormat="0" applyFill="0" applyAlignment="0" applyProtection="0"/>
    <xf numFmtId="0" fontId="33" fillId="57" borderId="351" applyNumberFormat="0" applyAlignment="0" applyProtection="0"/>
    <xf numFmtId="0" fontId="6" fillId="23" borderId="350" applyNumberFormat="0" applyFont="0" applyAlignment="0" applyProtection="0"/>
    <xf numFmtId="0" fontId="80" fillId="0" borderId="353" applyNumberFormat="0" applyFill="0" applyAlignment="0" applyProtection="0"/>
    <xf numFmtId="49" fontId="6" fillId="62" borderId="349">
      <alignment vertical="top" wrapText="1"/>
    </xf>
    <xf numFmtId="0" fontId="32" fillId="24" borderId="348" applyNumberFormat="0" applyAlignment="0" applyProtection="0"/>
    <xf numFmtId="0" fontId="32" fillId="24" borderId="348" applyNumberFormat="0" applyAlignment="0" applyProtection="0"/>
    <xf numFmtId="0" fontId="33" fillId="57" borderId="351" applyNumberFormat="0" applyAlignment="0" applyProtection="0"/>
    <xf numFmtId="0" fontId="32" fillId="24" borderId="348" applyNumberFormat="0" applyAlignment="0" applyProtection="0"/>
    <xf numFmtId="0" fontId="6" fillId="23" borderId="350" applyNumberFormat="0" applyFont="0" applyAlignment="0" applyProtection="0"/>
    <xf numFmtId="0" fontId="33" fillId="57" borderId="351" applyNumberFormat="0" applyAlignment="0" applyProtection="0"/>
    <xf numFmtId="0" fontId="80" fillId="0" borderId="353" applyNumberFormat="0" applyFill="0" applyAlignment="0" applyProtection="0"/>
    <xf numFmtId="0" fontId="33" fillId="57" borderId="351" applyNumberFormat="0" applyAlignment="0" applyProtection="0"/>
    <xf numFmtId="0" fontId="80" fillId="0" borderId="353" applyNumberFormat="0" applyFill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32" fillId="24" borderId="348" applyNumberFormat="0" applyAlignment="0" applyProtection="0"/>
    <xf numFmtId="0" fontId="6" fillId="9" borderId="466">
      <alignment horizontal="center" vertical="center" wrapText="1"/>
    </xf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6" fillId="23" borderId="350" applyNumberFormat="0" applyFont="0" applyAlignment="0" applyProtection="0"/>
    <xf numFmtId="0" fontId="32" fillId="24" borderId="348" applyNumberForma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80" fillId="0" borderId="353" applyNumberFormat="0" applyFill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80" fillId="0" borderId="353" applyNumberFormat="0" applyFill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33" fillId="57" borderId="351" applyNumberFormat="0" applyAlignment="0" applyProtection="0"/>
    <xf numFmtId="0" fontId="53" fillId="24" borderId="348" applyNumberFormat="0" applyAlignment="0" applyProtection="0"/>
    <xf numFmtId="0" fontId="6" fillId="23" borderId="350" applyNumberFormat="0" applyFont="0" applyAlignment="0" applyProtection="0"/>
    <xf numFmtId="0" fontId="33" fillId="57" borderId="351" applyNumberFormat="0" applyAlignment="0" applyProtection="0"/>
    <xf numFmtId="0" fontId="80" fillId="0" borderId="353" applyNumberFormat="0" applyFill="0" applyAlignment="0" applyProtection="0"/>
    <xf numFmtId="172" fontId="92" fillId="64" borderId="352">
      <alignment vertical="center"/>
    </xf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6" fillId="23" borderId="350" applyNumberFormat="0" applyFont="0" applyAlignment="0" applyProtection="0"/>
    <xf numFmtId="0" fontId="80" fillId="0" borderId="357" applyNumberFormat="0" applyFill="0" applyAlignment="0" applyProtection="0"/>
    <xf numFmtId="0" fontId="80" fillId="0" borderId="357" applyNumberFormat="0" applyFill="0" applyAlignment="0" applyProtection="0"/>
    <xf numFmtId="0" fontId="80" fillId="0" borderId="357" applyNumberFormat="0" applyFill="0" applyAlignment="0" applyProtection="0"/>
    <xf numFmtId="0" fontId="80" fillId="0" borderId="357" applyNumberFormat="0" applyFill="0" applyAlignment="0" applyProtection="0"/>
    <xf numFmtId="0" fontId="80" fillId="0" borderId="357" applyNumberFormat="0" applyFill="0" applyAlignment="0" applyProtection="0"/>
    <xf numFmtId="0" fontId="80" fillId="0" borderId="357" applyNumberFormat="0" applyFill="0" applyAlignment="0" applyProtection="0"/>
    <xf numFmtId="0" fontId="80" fillId="0" borderId="357" applyNumberFormat="0" applyFill="0" applyAlignment="0" applyProtection="0"/>
    <xf numFmtId="0" fontId="81" fillId="58" borderId="467">
      <alignment horizontal="right" vertical="center"/>
    </xf>
    <xf numFmtId="0" fontId="6" fillId="23" borderId="350" applyNumberFormat="0" applyFont="0" applyAlignment="0" applyProtection="0"/>
    <xf numFmtId="0" fontId="80" fillId="0" borderId="353" applyNumberFormat="0" applyFill="0" applyAlignment="0" applyProtection="0"/>
    <xf numFmtId="0" fontId="6" fillId="23" borderId="350" applyNumberFormat="0" applyFont="0" applyAlignment="0" applyProtection="0"/>
    <xf numFmtId="0" fontId="33" fillId="57" borderId="351" applyNumberForma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80" fillId="0" borderId="353" applyNumberFormat="0" applyFill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5" fillId="60" borderId="468" applyNumberFormat="0" applyProtection="0">
      <alignment horizontal="right"/>
    </xf>
    <xf numFmtId="0" fontId="6" fillId="12" borderId="453">
      <alignment horizontal="center" vertical="center" wrapText="1"/>
    </xf>
    <xf numFmtId="0" fontId="6" fillId="0" borderId="468" applyNumberFormat="0" applyFill="0" applyProtection="0">
      <alignment horizontal="right"/>
    </xf>
    <xf numFmtId="0" fontId="6" fillId="0" borderId="468" applyNumberFormat="0" applyFill="0" applyProtection="0">
      <alignment horizontal="right"/>
    </xf>
    <xf numFmtId="0" fontId="5" fillId="60" borderId="468" applyNumberFormat="0" applyProtection="0">
      <alignment horizontal="left"/>
    </xf>
    <xf numFmtId="0" fontId="5" fillId="60" borderId="468" applyNumberFormat="0" applyProtection="0">
      <alignment horizontal="right"/>
    </xf>
    <xf numFmtId="0" fontId="6" fillId="0" borderId="468" applyNumberFormat="0" applyFill="0" applyProtection="0">
      <alignment horizontal="right"/>
    </xf>
    <xf numFmtId="0" fontId="6" fillId="0" borderId="468" applyNumberFormat="0" applyFill="0" applyProtection="0">
      <alignment horizontal="right"/>
    </xf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80" fillId="0" borderId="353" applyNumberFormat="0" applyFill="0" applyAlignment="0" applyProtection="0"/>
    <xf numFmtId="0" fontId="32" fillId="24" borderId="348" applyNumberForma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80" fillId="0" borderId="353" applyNumberFormat="0" applyFill="0" applyAlignment="0" applyProtection="0"/>
    <xf numFmtId="0" fontId="33" fillId="57" borderId="351" applyNumberFormat="0" applyAlignment="0" applyProtection="0"/>
    <xf numFmtId="0" fontId="80" fillId="0" borderId="353" applyNumberFormat="0" applyFill="0" applyAlignment="0" applyProtection="0"/>
    <xf numFmtId="0" fontId="22" fillId="0" borderId="468">
      <alignment horizontal="right" vertical="center"/>
    </xf>
    <xf numFmtId="0" fontId="33" fillId="57" borderId="351" applyNumberFormat="0" applyAlignment="0" applyProtection="0"/>
    <xf numFmtId="0" fontId="80" fillId="0" borderId="353" applyNumberFormat="0" applyFill="0" applyAlignment="0" applyProtection="0"/>
    <xf numFmtId="0" fontId="33" fillId="57" borderId="351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32" fillId="24" borderId="348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3" fillId="57" borderId="351" applyNumberFormat="0" applyAlignment="0" applyProtection="0"/>
    <xf numFmtId="0" fontId="80" fillId="0" borderId="353" applyNumberFormat="0" applyFill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80" fillId="0" borderId="353" applyNumberFormat="0" applyFill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80" fillId="0" borderId="353" applyNumberFormat="0" applyFill="0" applyAlignment="0" applyProtection="0"/>
    <xf numFmtId="0" fontId="81" fillId="58" borderId="468">
      <alignment horizontal="right" vertical="center"/>
    </xf>
    <xf numFmtId="0" fontId="32" fillId="27" borderId="348" applyNumberFormat="0" applyAlignment="0" applyProtection="0"/>
    <xf numFmtId="0" fontId="32" fillId="27" borderId="348" applyNumberFormat="0" applyAlignment="0" applyProtection="0"/>
    <xf numFmtId="0" fontId="32" fillId="27" borderId="348" applyNumberFormat="0" applyAlignment="0" applyProtection="0"/>
    <xf numFmtId="0" fontId="32" fillId="27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3" fillId="57" borderId="351" applyNumberFormat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73" fillId="57" borderId="348" applyNumberFormat="0" applyAlignment="0" applyProtection="0"/>
    <xf numFmtId="0" fontId="32" fillId="24" borderId="348" applyNumberFormat="0" applyAlignment="0" applyProtection="0"/>
    <xf numFmtId="0" fontId="80" fillId="0" borderId="353" applyNumberFormat="0" applyFill="0" applyAlignment="0" applyProtection="0"/>
    <xf numFmtId="0" fontId="32" fillId="24" borderId="348" applyNumberFormat="0" applyAlignment="0" applyProtection="0"/>
    <xf numFmtId="172" fontId="94" fillId="65" borderId="352">
      <alignment vertical="center"/>
    </xf>
    <xf numFmtId="0" fontId="80" fillId="0" borderId="353" applyNumberFormat="0" applyFill="0" applyAlignment="0" applyProtection="0"/>
    <xf numFmtId="0" fontId="32" fillId="24" borderId="348" applyNumberFormat="0" applyAlignment="0" applyProtection="0"/>
    <xf numFmtId="0" fontId="80" fillId="0" borderId="353" applyNumberFormat="0" applyFill="0" applyAlignment="0" applyProtection="0"/>
    <xf numFmtId="0" fontId="33" fillId="57" borderId="351" applyNumberFormat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32" fillId="24" borderId="348" applyNumberFormat="0" applyAlignment="0" applyProtection="0"/>
    <xf numFmtId="0" fontId="6" fillId="23" borderId="350" applyNumberFormat="0" applyFon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4" fontId="22" fillId="0" borderId="335" applyFill="0" applyBorder="0" applyProtection="0">
      <alignment horizontal="right" vertical="center"/>
    </xf>
    <xf numFmtId="4" fontId="22" fillId="0" borderId="335" applyFill="0" applyBorder="0" applyProtection="0">
      <alignment horizontal="right" vertical="center"/>
    </xf>
    <xf numFmtId="4" fontId="22" fillId="0" borderId="335" applyFill="0" applyBorder="0" applyProtection="0">
      <alignment horizontal="right" vertical="center"/>
    </xf>
    <xf numFmtId="0" fontId="32" fillId="24" borderId="348" applyNumberFormat="0" applyAlignment="0" applyProtection="0"/>
    <xf numFmtId="0" fontId="23" fillId="23" borderId="350" applyNumberFormat="0" applyFont="0" applyAlignment="0" applyProtection="0"/>
    <xf numFmtId="0" fontId="23" fillId="23" borderId="350" applyNumberFormat="0" applyFont="0" applyAlignment="0" applyProtection="0"/>
    <xf numFmtId="0" fontId="6" fillId="12" borderId="453">
      <alignment horizontal="center" vertical="center" wrapText="1"/>
    </xf>
    <xf numFmtId="0" fontId="6" fillId="12" borderId="453">
      <alignment horizontal="center" vertical="center" wrapText="1"/>
    </xf>
    <xf numFmtId="0" fontId="73" fillId="57" borderId="348" applyNumberFormat="0" applyAlignment="0" applyProtection="0"/>
    <xf numFmtId="0" fontId="73" fillId="57" borderId="348" applyNumberFormat="0" applyAlignment="0" applyProtection="0"/>
    <xf numFmtId="0" fontId="80" fillId="0" borderId="353" applyNumberFormat="0" applyFill="0" applyAlignment="0" applyProtection="0"/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5" fillId="60" borderId="335" applyNumberFormat="0" applyProtection="0">
      <alignment horizontal="right"/>
    </xf>
    <xf numFmtId="0" fontId="5" fillId="60" borderId="335" applyNumberFormat="0" applyProtection="0">
      <alignment horizontal="right"/>
    </xf>
    <xf numFmtId="0" fontId="5" fillId="60" borderId="335" applyNumberFormat="0" applyProtection="0">
      <alignment horizontal="right"/>
    </xf>
    <xf numFmtId="0" fontId="5" fillId="60" borderId="335" applyNumberFormat="0" applyProtection="0">
      <alignment horizontal="left"/>
    </xf>
    <xf numFmtId="0" fontId="5" fillId="60" borderId="335" applyNumberFormat="0" applyProtection="0">
      <alignment horizontal="left"/>
    </xf>
    <xf numFmtId="0" fontId="5" fillId="60" borderId="335" applyNumberFormat="0" applyProtection="0">
      <alignment horizontal="left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6" fillId="66" borderId="423" applyBorder="0">
      <alignment horizontal="left" vertical="center"/>
    </xf>
    <xf numFmtId="49" fontId="6" fillId="67" borderId="335">
      <alignment vertical="center" wrapText="1"/>
    </xf>
    <xf numFmtId="0" fontId="6" fillId="68" borderId="454">
      <alignment horizontal="left" vertical="center" wrapText="1"/>
    </xf>
    <xf numFmtId="0" fontId="11" fillId="69" borderId="335">
      <alignment horizontal="left" vertical="center" wrapText="1"/>
    </xf>
    <xf numFmtId="0" fontId="6" fillId="70" borderId="335">
      <alignment horizontal="left" vertical="center" wrapText="1"/>
    </xf>
    <xf numFmtId="0" fontId="6" fillId="71" borderId="335">
      <alignment horizontal="left" vertical="center" wrapText="1"/>
    </xf>
    <xf numFmtId="0" fontId="73" fillId="57" borderId="348" applyNumberFormat="0" applyAlignment="0" applyProtection="0"/>
    <xf numFmtId="0" fontId="32" fillId="24" borderId="348" applyNumberFormat="0" applyAlignment="0" applyProtection="0"/>
    <xf numFmtId="0" fontId="33" fillId="57" borderId="351" applyNumberFormat="0" applyAlignment="0" applyProtection="0"/>
    <xf numFmtId="0" fontId="32" fillId="24" borderId="348" applyNumberFormat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6" fillId="23" borderId="350" applyNumberFormat="0" applyFont="0" applyAlignment="0" applyProtection="0"/>
    <xf numFmtId="0" fontId="36" fillId="26" borderId="348" applyNumberFormat="0" applyAlignment="0" applyProtection="0"/>
    <xf numFmtId="0" fontId="36" fillId="26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32" fillId="27" borderId="348" applyNumberFormat="0" applyAlignment="0" applyProtection="0"/>
    <xf numFmtId="0" fontId="32" fillId="27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6" fillId="23" borderId="350" applyNumberFormat="0" applyFont="0" applyAlignment="0" applyProtection="0"/>
    <xf numFmtId="0" fontId="80" fillId="0" borderId="353" applyNumberFormat="0" applyFill="0" applyAlignment="0" applyProtection="0"/>
    <xf numFmtId="0" fontId="33" fillId="57" borderId="351" applyNumberFormat="0" applyAlignment="0" applyProtection="0"/>
    <xf numFmtId="0" fontId="62" fillId="57" borderId="351" applyNumberFormat="0" applyAlignment="0" applyProtection="0"/>
    <xf numFmtId="0" fontId="80" fillId="0" borderId="353" applyNumberFormat="0" applyFill="0" applyAlignment="0" applyProtection="0"/>
    <xf numFmtId="0" fontId="33" fillId="57" borderId="351" applyNumberFormat="0" applyAlignment="0" applyProtection="0"/>
    <xf numFmtId="0" fontId="73" fillId="57" borderId="348" applyNumberFormat="0" applyAlignment="0" applyProtection="0"/>
    <xf numFmtId="0" fontId="6" fillId="23" borderId="350" applyNumberFormat="0" applyFont="0" applyAlignment="0" applyProtection="0"/>
    <xf numFmtId="0" fontId="73" fillId="57" borderId="348" applyNumberFormat="0" applyAlignment="0" applyProtection="0"/>
    <xf numFmtId="0" fontId="32" fillId="24" borderId="348" applyNumberFormat="0" applyAlignment="0" applyProtection="0"/>
    <xf numFmtId="0" fontId="6" fillId="23" borderId="350" applyNumberFormat="0" applyFont="0" applyAlignment="0" applyProtection="0"/>
    <xf numFmtId="0" fontId="32" fillId="24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73" fillId="57" borderId="348" applyNumberFormat="0" applyAlignment="0" applyProtection="0"/>
    <xf numFmtId="0" fontId="32" fillId="24" borderId="348" applyNumberFormat="0" applyAlignment="0" applyProtection="0"/>
    <xf numFmtId="0" fontId="80" fillId="0" borderId="357" applyNumberFormat="0" applyFill="0" applyAlignment="0" applyProtection="0"/>
    <xf numFmtId="0" fontId="80" fillId="0" borderId="357" applyNumberFormat="0" applyFill="0" applyAlignment="0" applyProtection="0"/>
    <xf numFmtId="0" fontId="80" fillId="0" borderId="357" applyNumberFormat="0" applyFill="0" applyAlignment="0" applyProtection="0"/>
    <xf numFmtId="0" fontId="80" fillId="0" borderId="357" applyNumberFormat="0" applyFill="0" applyAlignment="0" applyProtection="0"/>
    <xf numFmtId="0" fontId="80" fillId="0" borderId="357" applyNumberFormat="0" applyFill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73" fillId="57" borderId="348" applyNumberFormat="0" applyAlignment="0" applyProtection="0"/>
    <xf numFmtId="0" fontId="6" fillId="23" borderId="350" applyNumberFormat="0" applyFon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33" fillId="26" borderId="351" applyNumberFormat="0" applyAlignment="0" applyProtection="0"/>
    <xf numFmtId="0" fontId="33" fillId="26" borderId="351" applyNumberFormat="0" applyAlignment="0" applyProtection="0"/>
    <xf numFmtId="0" fontId="33" fillId="26" borderId="351" applyNumberFormat="0" applyAlignment="0" applyProtection="0"/>
    <xf numFmtId="0" fontId="33" fillId="26" borderId="351" applyNumberFormat="0" applyAlignment="0" applyProtection="0"/>
    <xf numFmtId="0" fontId="6" fillId="23" borderId="350" applyNumberFormat="0" applyFon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80" fillId="0" borderId="353" applyNumberFormat="0" applyFill="0" applyAlignment="0" applyProtection="0"/>
    <xf numFmtId="0" fontId="73" fillId="57" borderId="348" applyNumberFormat="0" applyAlignment="0" applyProtection="0"/>
    <xf numFmtId="0" fontId="32" fillId="27" borderId="348" applyNumberFormat="0" applyAlignment="0" applyProtection="0"/>
    <xf numFmtId="0" fontId="32" fillId="27" borderId="348" applyNumberFormat="0" applyAlignment="0" applyProtection="0"/>
    <xf numFmtId="0" fontId="32" fillId="27" borderId="348" applyNumberFormat="0" applyAlignment="0" applyProtection="0"/>
    <xf numFmtId="0" fontId="32" fillId="27" borderId="348" applyNumberFormat="0" applyAlignment="0" applyProtection="0"/>
    <xf numFmtId="0" fontId="32" fillId="27" borderId="348" applyNumberFormat="0" applyAlignment="0" applyProtection="0"/>
    <xf numFmtId="0" fontId="73" fillId="57" borderId="348" applyNumberFormat="0" applyAlignment="0" applyProtection="0"/>
    <xf numFmtId="0" fontId="32" fillId="24" borderId="348" applyNumberFormat="0" applyAlignment="0" applyProtection="0"/>
    <xf numFmtId="0" fontId="36" fillId="26" borderId="348" applyNumberFormat="0" applyAlignment="0" applyProtection="0"/>
    <xf numFmtId="0" fontId="36" fillId="26" borderId="348" applyNumberFormat="0" applyAlignment="0" applyProtection="0"/>
    <xf numFmtId="0" fontId="36" fillId="26" borderId="348" applyNumberFormat="0" applyAlignment="0" applyProtection="0"/>
    <xf numFmtId="0" fontId="36" fillId="26" borderId="348" applyNumberFormat="0" applyAlignment="0" applyProtection="0"/>
    <xf numFmtId="0" fontId="36" fillId="26" borderId="348" applyNumberFormat="0" applyAlignment="0" applyProtection="0"/>
    <xf numFmtId="0" fontId="5" fillId="60" borderId="468" applyNumberFormat="0" applyProtection="0">
      <alignment horizontal="right"/>
    </xf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73" fillId="57" borderId="348" applyNumberFormat="0" applyAlignment="0" applyProtection="0"/>
    <xf numFmtId="0" fontId="6" fillId="23" borderId="350" applyNumberFormat="0" applyFon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6" fillId="23" borderId="350" applyNumberFormat="0" applyFont="0" applyAlignment="0" applyProtection="0"/>
    <xf numFmtId="0" fontId="36" fillId="26" borderId="348" applyNumberFormat="0" applyAlignment="0" applyProtection="0"/>
    <xf numFmtId="0" fontId="73" fillId="57" borderId="348" applyNumberFormat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80" fillId="0" borderId="353" applyNumberFormat="0" applyFill="0" applyAlignment="0" applyProtection="0"/>
    <xf numFmtId="0" fontId="73" fillId="57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6" fillId="23" borderId="350" applyNumberFormat="0" applyFon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2" fillId="24" borderId="348" applyNumberFormat="0" applyAlignment="0" applyProtection="0"/>
    <xf numFmtId="0" fontId="73" fillId="57" borderId="348" applyNumberFormat="0" applyAlignment="0" applyProtection="0"/>
    <xf numFmtId="0" fontId="6" fillId="9" borderId="466">
      <alignment horizontal="center" vertical="center" wrapText="1"/>
    </xf>
    <xf numFmtId="0" fontId="73" fillId="57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6" fillId="0" borderId="468" applyNumberFormat="0" applyFill="0" applyProtection="0">
      <alignment horizontal="right"/>
    </xf>
    <xf numFmtId="0" fontId="6" fillId="0" borderId="468" applyNumberFormat="0" applyFill="0" applyProtection="0">
      <alignment horizontal="right"/>
    </xf>
    <xf numFmtId="0" fontId="32" fillId="24" borderId="348" applyNumberFormat="0" applyAlignment="0" applyProtection="0"/>
    <xf numFmtId="0" fontId="80" fillId="0" borderId="353" applyNumberFormat="0" applyFill="0" applyAlignment="0" applyProtection="0"/>
    <xf numFmtId="0" fontId="51" fillId="23" borderId="350" applyNumberFormat="0" applyFont="0" applyAlignment="0" applyProtection="0"/>
    <xf numFmtId="0" fontId="33" fillId="57" borderId="351" applyNumberFormat="0" applyAlignment="0" applyProtection="0"/>
    <xf numFmtId="0" fontId="36" fillId="26" borderId="348" applyNumberForma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73" fillId="57" borderId="348" applyNumberFormat="0" applyAlignment="0" applyProtection="0"/>
    <xf numFmtId="0" fontId="32" fillId="27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73" fillId="57" borderId="348" applyNumberFormat="0" applyAlignment="0" applyProtection="0"/>
    <xf numFmtId="0" fontId="33" fillId="57" borderId="351" applyNumberFormat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73" fillId="57" borderId="348" applyNumberFormat="0" applyAlignment="0" applyProtection="0"/>
    <xf numFmtId="0" fontId="33" fillId="57" borderId="351" applyNumberFormat="0" applyAlignment="0" applyProtection="0"/>
    <xf numFmtId="0" fontId="32" fillId="24" borderId="348" applyNumberFormat="0" applyAlignment="0" applyProtection="0"/>
    <xf numFmtId="0" fontId="80" fillId="0" borderId="353" applyNumberFormat="0" applyFill="0" applyAlignment="0" applyProtection="0"/>
    <xf numFmtId="0" fontId="32" fillId="24" borderId="348" applyNumberFormat="0" applyAlignment="0" applyProtection="0"/>
    <xf numFmtId="0" fontId="6" fillId="23" borderId="350" applyNumberFormat="0" applyFont="0" applyAlignment="0" applyProtection="0"/>
    <xf numFmtId="0" fontId="33" fillId="57" borderId="351" applyNumberFormat="0" applyAlignment="0" applyProtection="0"/>
    <xf numFmtId="0" fontId="6" fillId="23" borderId="350" applyNumberFormat="0" applyFont="0" applyAlignment="0" applyProtection="0"/>
    <xf numFmtId="0" fontId="32" fillId="24" borderId="348" applyNumberFormat="0" applyAlignment="0" applyProtection="0"/>
    <xf numFmtId="0" fontId="80" fillId="0" borderId="353" applyNumberFormat="0" applyFill="0" applyAlignment="0" applyProtection="0"/>
    <xf numFmtId="0" fontId="32" fillId="24" borderId="348" applyNumberFormat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81" fillId="36" borderId="335">
      <alignment horizontal="right" vertical="center"/>
    </xf>
    <xf numFmtId="0" fontId="128" fillId="36" borderId="335">
      <alignment horizontal="right" vertical="center"/>
    </xf>
    <xf numFmtId="0" fontId="81" fillId="58" borderId="335">
      <alignment horizontal="right" vertical="center"/>
    </xf>
    <xf numFmtId="0" fontId="81" fillId="58" borderId="335">
      <alignment horizontal="right" vertical="center"/>
    </xf>
    <xf numFmtId="0" fontId="81" fillId="58" borderId="455">
      <alignment horizontal="right" vertical="center"/>
    </xf>
    <xf numFmtId="0" fontId="22" fillId="0" borderId="335">
      <alignment horizontal="right" vertical="center"/>
    </xf>
    <xf numFmtId="0" fontId="22" fillId="0" borderId="335" applyNumberFormat="0" applyFill="0" applyAlignment="0" applyProtection="0"/>
    <xf numFmtId="0" fontId="22" fillId="59" borderId="335"/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5" fillId="60" borderId="335" applyNumberFormat="0" applyProtection="0">
      <alignment horizontal="right"/>
    </xf>
    <xf numFmtId="0" fontId="5" fillId="60" borderId="335" applyNumberFormat="0" applyProtection="0">
      <alignment horizontal="left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49" fontId="22" fillId="0" borderId="335" applyNumberFormat="0" applyFont="0" applyFill="0" applyBorder="0" applyProtection="0">
      <alignment horizontal="left" vertical="center" indent="2"/>
    </xf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80" fillId="0" borderId="357" applyNumberFormat="0" applyFill="0" applyAlignment="0" applyProtection="0"/>
    <xf numFmtId="0" fontId="80" fillId="0" borderId="357" applyNumberFormat="0" applyFill="0" applyAlignment="0" applyProtection="0"/>
    <xf numFmtId="0" fontId="80" fillId="0" borderId="357" applyNumberFormat="0" applyFill="0" applyAlignment="0" applyProtection="0"/>
    <xf numFmtId="0" fontId="80" fillId="0" borderId="357" applyNumberFormat="0" applyFill="0" applyAlignment="0" applyProtection="0"/>
    <xf numFmtId="0" fontId="80" fillId="0" borderId="357" applyNumberFormat="0" applyFill="0" applyAlignment="0" applyProtection="0"/>
    <xf numFmtId="0" fontId="80" fillId="0" borderId="357" applyNumberFormat="0" applyFill="0" applyAlignment="0" applyProtection="0"/>
    <xf numFmtId="0" fontId="80" fillId="0" borderId="357" applyNumberFormat="0" applyFill="0" applyAlignment="0" applyProtection="0"/>
    <xf numFmtId="0" fontId="80" fillId="0" borderId="357" applyNumberFormat="0" applyFill="0" applyAlignment="0" applyProtection="0"/>
    <xf numFmtId="0" fontId="80" fillId="0" borderId="357" applyNumberFormat="0" applyFill="0" applyAlignment="0" applyProtection="0"/>
    <xf numFmtId="0" fontId="80" fillId="0" borderId="357" applyNumberFormat="0" applyFill="0" applyAlignment="0" applyProtection="0"/>
    <xf numFmtId="0" fontId="33" fillId="57" borderId="351" applyNumberFormat="0" applyAlignment="0" applyProtection="0"/>
    <xf numFmtId="0" fontId="73" fillId="57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3" fillId="57" borderId="351" applyNumberFormat="0" applyAlignment="0" applyProtection="0"/>
    <xf numFmtId="0" fontId="80" fillId="0" borderId="353" applyNumberFormat="0" applyFill="0" applyAlignment="0" applyProtection="0"/>
    <xf numFmtId="0" fontId="73" fillId="57" borderId="348" applyNumberFormat="0" applyAlignment="0" applyProtection="0"/>
    <xf numFmtId="0" fontId="33" fillId="57" borderId="351" applyNumberFormat="0" applyAlignment="0" applyProtection="0"/>
    <xf numFmtId="0" fontId="6" fillId="0" borderId="468" applyNumberFormat="0" applyFill="0" applyProtection="0">
      <alignment horizontal="right"/>
    </xf>
    <xf numFmtId="0" fontId="73" fillId="57" borderId="348" applyNumberFormat="0" applyAlignment="0" applyProtection="0"/>
    <xf numFmtId="0" fontId="6" fillId="23" borderId="350" applyNumberFormat="0" applyFont="0" applyAlignment="0" applyProtection="0"/>
    <xf numFmtId="0" fontId="32" fillId="27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73" fillId="57" borderId="348" applyNumberFormat="0" applyAlignment="0" applyProtection="0"/>
    <xf numFmtId="0" fontId="32" fillId="24" borderId="348" applyNumberFormat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80" fillId="0" borderId="353" applyNumberFormat="0" applyFill="0" applyAlignment="0" applyProtection="0"/>
    <xf numFmtId="0" fontId="73" fillId="57" borderId="348" applyNumberFormat="0" applyAlignment="0" applyProtection="0"/>
    <xf numFmtId="0" fontId="33" fillId="57" borderId="351" applyNumberFormat="0" applyAlignment="0" applyProtection="0"/>
    <xf numFmtId="0" fontId="73" fillId="57" borderId="348" applyNumberFormat="0" applyAlignment="0" applyProtection="0"/>
    <xf numFmtId="0" fontId="81" fillId="58" borderId="468">
      <alignment horizontal="right" vertical="center"/>
    </xf>
    <xf numFmtId="0" fontId="73" fillId="57" borderId="348" applyNumberFormat="0" applyAlignment="0" applyProtection="0"/>
    <xf numFmtId="0" fontId="6" fillId="23" borderId="350" applyNumberFormat="0" applyFont="0" applyAlignment="0" applyProtection="0"/>
    <xf numFmtId="0" fontId="33" fillId="57" borderId="351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32" fillId="24" borderId="348" applyNumberFormat="0" applyAlignment="0" applyProtection="0"/>
    <xf numFmtId="0" fontId="33" fillId="57" borderId="351" applyNumberFormat="0" applyAlignment="0" applyProtection="0"/>
    <xf numFmtId="0" fontId="32" fillId="24" borderId="348" applyNumberFormat="0" applyAlignment="0" applyProtection="0"/>
    <xf numFmtId="0" fontId="33" fillId="57" borderId="351" applyNumberFormat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6" fillId="66" borderId="423" applyBorder="0">
      <alignment horizontal="left" vertical="center"/>
    </xf>
    <xf numFmtId="0" fontId="73" fillId="57" borderId="348" applyNumberFormat="0" applyAlignment="0" applyProtection="0"/>
    <xf numFmtId="0" fontId="6" fillId="0" borderId="468" applyNumberFormat="0" applyFill="0" applyProtection="0">
      <alignment horizontal="right"/>
    </xf>
    <xf numFmtId="0" fontId="73" fillId="57" borderId="348" applyNumberFormat="0" applyAlignment="0" applyProtection="0"/>
    <xf numFmtId="0" fontId="73" fillId="57" borderId="348" applyNumberFormat="0" applyAlignment="0" applyProtection="0"/>
    <xf numFmtId="0" fontId="32" fillId="24" borderId="348" applyNumberFormat="0" applyAlignment="0" applyProtection="0"/>
    <xf numFmtId="0" fontId="6" fillId="23" borderId="350" applyNumberFormat="0" applyFont="0" applyAlignment="0" applyProtection="0"/>
    <xf numFmtId="0" fontId="32" fillId="24" borderId="348" applyNumberFormat="0" applyAlignment="0" applyProtection="0"/>
    <xf numFmtId="0" fontId="80" fillId="0" borderId="353" applyNumberFormat="0" applyFill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33" fillId="57" borderId="351" applyNumberFormat="0" applyAlignment="0" applyProtection="0"/>
    <xf numFmtId="0" fontId="73" fillId="57" borderId="348" applyNumberFormat="0" applyAlignment="0" applyProtection="0"/>
    <xf numFmtId="0" fontId="32" fillId="27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80" fillId="0" borderId="353" applyNumberFormat="0" applyFill="0" applyAlignment="0" applyProtection="0"/>
    <xf numFmtId="0" fontId="32" fillId="24" borderId="348" applyNumberFormat="0" applyAlignment="0" applyProtection="0"/>
    <xf numFmtId="0" fontId="6" fillId="23" borderId="350" applyNumberFormat="0" applyFont="0" applyAlignment="0" applyProtection="0"/>
    <xf numFmtId="0" fontId="73" fillId="57" borderId="348" applyNumberFormat="0" applyAlignment="0" applyProtection="0"/>
    <xf numFmtId="43" fontId="124" fillId="0" borderId="0" applyFont="0" applyFill="0" applyBorder="0" applyAlignment="0" applyProtection="0"/>
    <xf numFmtId="0" fontId="6" fillId="68" borderId="454">
      <alignment horizontal="left" vertical="center" wrapText="1"/>
    </xf>
    <xf numFmtId="0" fontId="6" fillId="0" borderId="335" applyNumberFormat="0" applyFill="0" applyProtection="0">
      <alignment horizontal="right"/>
    </xf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4" fontId="22" fillId="0" borderId="335" applyFill="0" applyBorder="0" applyProtection="0">
      <alignment horizontal="right" vertical="center"/>
    </xf>
    <xf numFmtId="0" fontId="32" fillId="24" borderId="348" applyNumberFormat="0" applyAlignment="0" applyProtection="0"/>
    <xf numFmtId="0" fontId="33" fillId="57" borderId="351" applyNumberFormat="0" applyAlignment="0" applyProtection="0"/>
    <xf numFmtId="4" fontId="22" fillId="0" borderId="468" applyFill="0" applyBorder="0" applyProtection="0">
      <alignment horizontal="right" vertical="center"/>
    </xf>
    <xf numFmtId="0" fontId="81" fillId="58" borderId="455">
      <alignment horizontal="right" vertical="center"/>
    </xf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33" fillId="57" borderId="351" applyNumberFormat="0" applyAlignment="0" applyProtection="0"/>
    <xf numFmtId="0" fontId="23" fillId="23" borderId="350" applyNumberFormat="0" applyFont="0" applyAlignment="0" applyProtection="0"/>
    <xf numFmtId="0" fontId="33" fillId="57" borderId="351" applyNumberFormat="0" applyAlignment="0" applyProtection="0"/>
    <xf numFmtId="0" fontId="73" fillId="57" borderId="348" applyNumberFormat="0" applyAlignment="0" applyProtection="0"/>
    <xf numFmtId="0" fontId="32" fillId="24" borderId="348" applyNumberFormat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2" fillId="24" borderId="348" applyNumberFormat="0" applyAlignment="0" applyProtection="0"/>
    <xf numFmtId="43" fontId="124" fillId="0" borderId="0" applyFont="0" applyFill="0" applyBorder="0" applyAlignment="0" applyProtection="0"/>
    <xf numFmtId="0" fontId="32" fillId="24" borderId="348" applyNumberForma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80" fillId="0" borderId="353" applyNumberFormat="0" applyFill="0" applyAlignment="0" applyProtection="0"/>
    <xf numFmtId="0" fontId="32" fillId="24" borderId="348" applyNumberFormat="0" applyAlignment="0" applyProtection="0"/>
    <xf numFmtId="0" fontId="33" fillId="57" borderId="351" applyNumberFormat="0" applyAlignment="0" applyProtection="0"/>
    <xf numFmtId="0" fontId="6" fillId="23" borderId="350" applyNumberFormat="0" applyFont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6" fillId="0" borderId="335" applyNumberFormat="0" applyFill="0" applyProtection="0">
      <alignment horizontal="right"/>
    </xf>
    <xf numFmtId="172" fontId="94" fillId="65" borderId="352">
      <alignment vertical="center"/>
    </xf>
    <xf numFmtId="0" fontId="5" fillId="60" borderId="335" applyNumberFormat="0" applyProtection="0">
      <alignment horizontal="left"/>
    </xf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73" fillId="57" borderId="348" applyNumberFormat="0" applyAlignment="0" applyProtection="0"/>
    <xf numFmtId="0" fontId="32" fillId="24" borderId="348" applyNumberFormat="0" applyAlignment="0" applyProtection="0"/>
    <xf numFmtId="0" fontId="6" fillId="23" borderId="350" applyNumberFormat="0" applyFont="0" applyAlignment="0" applyProtection="0"/>
    <xf numFmtId="43" fontId="12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80" fillId="0" borderId="353" applyNumberFormat="0" applyFill="0" applyAlignment="0" applyProtection="0"/>
    <xf numFmtId="0" fontId="23" fillId="23" borderId="350" applyNumberFormat="0" applyFont="0" applyAlignment="0" applyProtection="0"/>
    <xf numFmtId="0" fontId="32" fillId="24" borderId="348" applyNumberFormat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6" fillId="0" borderId="335" applyNumberFormat="0" applyFill="0" applyProtection="0">
      <alignment horizontal="right"/>
    </xf>
    <xf numFmtId="177" fontId="93" fillId="64" borderId="352">
      <alignment vertical="center"/>
    </xf>
    <xf numFmtId="0" fontId="5" fillId="60" borderId="335" applyNumberFormat="0" applyProtection="0">
      <alignment horizontal="left"/>
    </xf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2" fillId="24" borderId="348" applyNumberFormat="0" applyAlignment="0" applyProtection="0"/>
    <xf numFmtId="0" fontId="33" fillId="57" borderId="351" applyNumberFormat="0" applyAlignment="0" applyProtection="0"/>
    <xf numFmtId="177" fontId="93" fillId="64" borderId="352">
      <alignment vertical="center"/>
    </xf>
    <xf numFmtId="43" fontId="124" fillId="0" borderId="0" applyFont="0" applyFill="0" applyBorder="0" applyAlignment="0" applyProtection="0"/>
    <xf numFmtId="0" fontId="6" fillId="23" borderId="350" applyNumberFormat="0" applyFon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23" borderId="350" applyNumberFormat="0" applyFont="0" applyAlignment="0" applyProtection="0"/>
    <xf numFmtId="0" fontId="80" fillId="0" borderId="353" applyNumberFormat="0" applyFill="0" applyAlignment="0" applyProtection="0"/>
    <xf numFmtId="0" fontId="23" fillId="23" borderId="350" applyNumberFormat="0" applyFont="0" applyAlignment="0" applyProtection="0"/>
    <xf numFmtId="0" fontId="36" fillId="26" borderId="348" applyNumberFormat="0" applyAlignment="0" applyProtection="0"/>
    <xf numFmtId="0" fontId="6" fillId="23" borderId="350" applyNumberFormat="0" applyFont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6" fillId="0" borderId="335" applyNumberFormat="0" applyFill="0" applyProtection="0">
      <alignment horizontal="right"/>
    </xf>
    <xf numFmtId="172" fontId="92" fillId="64" borderId="352">
      <alignment vertical="center"/>
    </xf>
    <xf numFmtId="0" fontId="5" fillId="60" borderId="335" applyNumberFormat="0" applyProtection="0">
      <alignment horizontal="left"/>
    </xf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2" fillId="24" borderId="348" applyNumberFormat="0" applyAlignment="0" applyProtection="0"/>
    <xf numFmtId="0" fontId="6" fillId="23" borderId="350" applyNumberFormat="0" applyFont="0" applyAlignment="0" applyProtection="0"/>
    <xf numFmtId="43" fontId="124" fillId="0" borderId="0" applyFont="0" applyFill="0" applyBorder="0" applyAlignment="0" applyProtection="0"/>
    <xf numFmtId="0" fontId="73" fillId="57" borderId="348" applyNumberFormat="0" applyAlignment="0" applyProtection="0"/>
    <xf numFmtId="0" fontId="6" fillId="9" borderId="466">
      <alignment horizontal="center" vertical="center" wrapText="1"/>
    </xf>
    <xf numFmtId="0" fontId="6" fillId="23" borderId="350" applyNumberFormat="0" applyFont="0" applyAlignment="0" applyProtection="0"/>
    <xf numFmtId="0" fontId="32" fillId="24" borderId="348" applyNumberFormat="0" applyAlignment="0" applyProtection="0"/>
    <xf numFmtId="0" fontId="80" fillId="0" borderId="353" applyNumberFormat="0" applyFill="0" applyAlignment="0" applyProtection="0"/>
    <xf numFmtId="0" fontId="6" fillId="23" borderId="350" applyNumberFormat="0" applyFont="0" applyAlignment="0" applyProtection="0"/>
    <xf numFmtId="0" fontId="80" fillId="0" borderId="353" applyNumberFormat="0" applyFill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33" fillId="26" borderId="351" applyNumberFormat="0" applyAlignment="0" applyProtection="0"/>
    <xf numFmtId="0" fontId="33" fillId="26" borderId="351" applyNumberFormat="0" applyAlignment="0" applyProtection="0"/>
    <xf numFmtId="0" fontId="33" fillId="26" borderId="351" applyNumberFormat="0" applyAlignment="0" applyProtection="0"/>
    <xf numFmtId="0" fontId="33" fillId="26" borderId="351" applyNumberFormat="0" applyAlignment="0" applyProtection="0"/>
    <xf numFmtId="0" fontId="33" fillId="26" borderId="351" applyNumberFormat="0" applyAlignment="0" applyProtection="0"/>
    <xf numFmtId="0" fontId="6" fillId="23" borderId="350" applyNumberFormat="0" applyFon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80" fillId="0" borderId="353" applyNumberFormat="0" applyFill="0" applyAlignment="0" applyProtection="0"/>
    <xf numFmtId="0" fontId="33" fillId="57" borderId="351" applyNumberFormat="0" applyAlignment="0" applyProtection="0"/>
    <xf numFmtId="0" fontId="32" fillId="2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80" fillId="0" borderId="353" applyNumberFormat="0" applyFill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3" fillId="57" borderId="351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80" fillId="0" borderId="353" applyNumberFormat="0" applyFill="0" applyAlignment="0" applyProtection="0"/>
    <xf numFmtId="0" fontId="22" fillId="59" borderId="468"/>
    <xf numFmtId="0" fontId="33" fillId="57" borderId="351" applyNumberFormat="0" applyAlignment="0" applyProtection="0"/>
    <xf numFmtId="0" fontId="23" fillId="23" borderId="350" applyNumberFormat="0" applyFon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80" fillId="0" borderId="353" applyNumberFormat="0" applyFill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23" borderId="350" applyNumberFormat="0" applyFont="0" applyAlignment="0" applyProtection="0"/>
    <xf numFmtId="0" fontId="33" fillId="57" borderId="351" applyNumberFormat="0" applyAlignment="0" applyProtection="0"/>
    <xf numFmtId="0" fontId="80" fillId="0" borderId="353" applyNumberFormat="0" applyFill="0" applyAlignment="0" applyProtection="0"/>
    <xf numFmtId="0" fontId="73" fillId="57" borderId="348" applyNumberForma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73" fillId="57" borderId="348" applyNumberForma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80" fillId="0" borderId="353" applyNumberFormat="0" applyFill="0" applyAlignment="0" applyProtection="0"/>
    <xf numFmtId="0" fontId="6" fillId="23" borderId="350" applyNumberFormat="0" applyFont="0" applyAlignment="0" applyProtection="0"/>
    <xf numFmtId="0" fontId="33" fillId="57" borderId="351" applyNumberFormat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7" applyNumberFormat="0" applyFill="0" applyAlignment="0" applyProtection="0"/>
    <xf numFmtId="0" fontId="80" fillId="0" borderId="357" applyNumberFormat="0" applyFill="0" applyAlignment="0" applyProtection="0"/>
    <xf numFmtId="0" fontId="80" fillId="0" borderId="357" applyNumberFormat="0" applyFill="0" applyAlignment="0" applyProtection="0"/>
    <xf numFmtId="0" fontId="80" fillId="0" borderId="353" applyNumberFormat="0" applyFill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80" fillId="0" borderId="353" applyNumberFormat="0" applyFill="0" applyAlignment="0" applyProtection="0"/>
    <xf numFmtId="0" fontId="6" fillId="0" borderId="468" applyNumberFormat="0" applyFill="0" applyProtection="0">
      <alignment horizontal="right"/>
    </xf>
    <xf numFmtId="0" fontId="73" fillId="57" borderId="348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81" fillId="58" borderId="467">
      <alignment horizontal="right" vertical="center"/>
    </xf>
    <xf numFmtId="0" fontId="6" fillId="23" borderId="350" applyNumberFormat="0" applyFont="0" applyAlignment="0" applyProtection="0"/>
    <xf numFmtId="0" fontId="80" fillId="0" borderId="353" applyNumberFormat="0" applyFill="0" applyAlignment="0" applyProtection="0"/>
    <xf numFmtId="0" fontId="6" fillId="23" borderId="350" applyNumberFormat="0" applyFont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6" fillId="23" borderId="350" applyNumberFormat="0" applyFon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6" fillId="23" borderId="350" applyNumberFormat="0" applyFont="0" applyAlignment="0" applyProtection="0"/>
    <xf numFmtId="0" fontId="73" fillId="57" borderId="348" applyNumberFormat="0" applyAlignment="0" applyProtection="0"/>
    <xf numFmtId="49" fontId="6" fillId="62" borderId="349">
      <alignment vertical="top" wrapText="1"/>
    </xf>
    <xf numFmtId="0" fontId="32" fillId="24" borderId="348" applyNumberFormat="0" applyAlignment="0" applyProtection="0"/>
    <xf numFmtId="0" fontId="32" fillId="24" borderId="348" applyNumberFormat="0" applyAlignment="0" applyProtection="0"/>
    <xf numFmtId="0" fontId="73" fillId="57" borderId="348" applyNumberFormat="0" applyAlignment="0" applyProtection="0"/>
    <xf numFmtId="0" fontId="33" fillId="57" borderId="351" applyNumberFormat="0" applyAlignment="0" applyProtection="0"/>
    <xf numFmtId="0" fontId="22" fillId="0" borderId="285">
      <alignment horizontal="left" vertical="center" wrapText="1" indent="2"/>
    </xf>
    <xf numFmtId="0" fontId="73" fillId="57" borderId="348" applyNumberFormat="0" applyAlignment="0" applyProtection="0"/>
    <xf numFmtId="0" fontId="6" fillId="23" borderId="350" applyNumberFormat="0" applyFon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3" fillId="57" borderId="351" applyNumberFormat="0" applyAlignment="0" applyProtection="0"/>
    <xf numFmtId="0" fontId="80" fillId="0" borderId="353" applyNumberFormat="0" applyFill="0" applyAlignment="0" applyProtection="0"/>
    <xf numFmtId="0" fontId="80" fillId="0" borderId="357" applyNumberFormat="0" applyFill="0" applyAlignment="0" applyProtection="0"/>
    <xf numFmtId="0" fontId="80" fillId="0" borderId="357" applyNumberFormat="0" applyFill="0" applyAlignment="0" applyProtection="0"/>
    <xf numFmtId="0" fontId="80" fillId="0" borderId="357" applyNumberFormat="0" applyFill="0" applyAlignment="0" applyProtection="0"/>
    <xf numFmtId="0" fontId="80" fillId="0" borderId="357" applyNumberFormat="0" applyFill="0" applyAlignment="0" applyProtection="0"/>
    <xf numFmtId="0" fontId="80" fillId="0" borderId="357" applyNumberFormat="0" applyFill="0" applyAlignment="0" applyProtection="0"/>
    <xf numFmtId="0" fontId="80" fillId="0" borderId="357" applyNumberFormat="0" applyFill="0" applyAlignment="0" applyProtection="0"/>
    <xf numFmtId="0" fontId="80" fillId="0" borderId="357" applyNumberFormat="0" applyFill="0" applyAlignment="0" applyProtection="0"/>
    <xf numFmtId="0" fontId="80" fillId="0" borderId="357" applyNumberFormat="0" applyFill="0" applyAlignment="0" applyProtection="0"/>
    <xf numFmtId="0" fontId="80" fillId="0" borderId="357" applyNumberFormat="0" applyFill="0" applyAlignment="0" applyProtection="0"/>
    <xf numFmtId="0" fontId="80" fillId="0" borderId="357" applyNumberFormat="0" applyFill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23" borderId="350" applyNumberFormat="0" applyFont="0" applyAlignment="0" applyProtection="0"/>
    <xf numFmtId="0" fontId="23" fillId="23" borderId="350" applyNumberFormat="0" applyFont="0" applyAlignment="0" applyProtection="0"/>
    <xf numFmtId="0" fontId="36" fillId="26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6" fillId="0" borderId="335" applyNumberFormat="0" applyFill="0" applyProtection="0">
      <alignment horizontal="right"/>
    </xf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2" fillId="24" borderId="348" applyNumberFormat="0" applyAlignment="0" applyProtection="0"/>
    <xf numFmtId="0" fontId="81" fillId="58" borderId="467">
      <alignment horizontal="right" vertical="center"/>
    </xf>
    <xf numFmtId="0" fontId="32" fillId="24" borderId="348" applyNumberFormat="0" applyAlignment="0" applyProtection="0"/>
    <xf numFmtId="0" fontId="80" fillId="0" borderId="353" applyNumberFormat="0" applyFill="0" applyAlignment="0" applyProtection="0"/>
    <xf numFmtId="0" fontId="73" fillId="57" borderId="348" applyNumberFormat="0" applyAlignment="0" applyProtection="0"/>
    <xf numFmtId="0" fontId="32" fillId="24" borderId="348" applyNumberFormat="0" applyAlignment="0" applyProtection="0"/>
    <xf numFmtId="43" fontId="12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33" fillId="57" borderId="351" applyNumberFormat="0" applyAlignment="0" applyProtection="0"/>
    <xf numFmtId="0" fontId="23" fillId="23" borderId="350" applyNumberFormat="0" applyFont="0" applyAlignment="0" applyProtection="0"/>
    <xf numFmtId="0" fontId="36" fillId="26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32" fillId="27" borderId="348" applyNumberFormat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5" fillId="60" borderId="335" applyNumberFormat="0" applyProtection="0">
      <alignment horizontal="right"/>
    </xf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43" fontId="12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80" fillId="0" borderId="353" applyNumberFormat="0" applyFill="0" applyAlignment="0" applyProtection="0"/>
    <xf numFmtId="0" fontId="36" fillId="26" borderId="348" applyNumberFormat="0" applyAlignment="0" applyProtection="0"/>
    <xf numFmtId="0" fontId="73" fillId="57" borderId="348" applyNumberFormat="0" applyAlignment="0" applyProtection="0"/>
    <xf numFmtId="0" fontId="32" fillId="24" borderId="348" applyNumberFormat="0" applyAlignment="0" applyProtection="0"/>
    <xf numFmtId="0" fontId="5" fillId="60" borderId="468" applyNumberFormat="0" applyProtection="0">
      <alignment horizontal="left"/>
    </xf>
    <xf numFmtId="0" fontId="73" fillId="57" borderId="348" applyNumberFormat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6" fillId="0" borderId="335" applyNumberFormat="0" applyFill="0" applyProtection="0">
      <alignment horizontal="right"/>
    </xf>
    <xf numFmtId="0" fontId="5" fillId="60" borderId="335" applyNumberFormat="0" applyProtection="0">
      <alignment horizontal="right"/>
    </xf>
    <xf numFmtId="0" fontId="80" fillId="0" borderId="353" applyNumberFormat="0" applyFill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4" fontId="22" fillId="0" borderId="335" applyFill="0" applyBorder="0" applyProtection="0">
      <alignment horizontal="right" vertical="center"/>
    </xf>
    <xf numFmtId="0" fontId="32" fillId="24" borderId="348" applyNumberFormat="0" applyAlignment="0" applyProtection="0"/>
    <xf numFmtId="0" fontId="80" fillId="0" borderId="353" applyNumberFormat="0" applyFill="0" applyAlignment="0" applyProtection="0"/>
    <xf numFmtId="0" fontId="6" fillId="23" borderId="350" applyNumberFormat="0" applyFont="0" applyAlignment="0" applyProtection="0"/>
    <xf numFmtId="0" fontId="80" fillId="0" borderId="353" applyNumberFormat="0" applyFill="0" applyAlignment="0" applyProtection="0"/>
    <xf numFmtId="43" fontId="12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80" fillId="0" borderId="353" applyNumberFormat="0" applyFill="0" applyAlignment="0" applyProtection="0"/>
    <xf numFmtId="0" fontId="73" fillId="57" borderId="348" applyNumberFormat="0" applyAlignment="0" applyProtection="0"/>
    <xf numFmtId="0" fontId="81" fillId="36" borderId="468">
      <alignment horizontal="right" vertical="center"/>
    </xf>
    <xf numFmtId="0" fontId="36" fillId="26" borderId="348" applyNumberFormat="0" applyAlignment="0" applyProtection="0"/>
    <xf numFmtId="0" fontId="73" fillId="57" borderId="348" applyNumberFormat="0" applyAlignment="0" applyProtection="0"/>
    <xf numFmtId="0" fontId="32" fillId="24" borderId="348" applyNumberFormat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6" fillId="71" borderId="335">
      <alignment horizontal="left" vertical="center" wrapText="1"/>
    </xf>
    <xf numFmtId="0" fontId="6" fillId="0" borderId="335" applyNumberFormat="0" applyFill="0" applyProtection="0">
      <alignment horizontal="right"/>
    </xf>
    <xf numFmtId="0" fontId="5" fillId="60" borderId="335" applyNumberFormat="0" applyProtection="0">
      <alignment horizontal="right"/>
    </xf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4" fontId="22" fillId="0" borderId="335" applyFill="0" applyBorder="0" applyProtection="0">
      <alignment horizontal="right" vertical="center"/>
    </xf>
    <xf numFmtId="0" fontId="128" fillId="36" borderId="468">
      <alignment horizontal="right" vertical="center"/>
    </xf>
    <xf numFmtId="0" fontId="80" fillId="0" borderId="353" applyNumberFormat="0" applyFill="0" applyAlignment="0" applyProtection="0"/>
    <xf numFmtId="43" fontId="12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32" fillId="24" borderId="348" applyNumberFormat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6" fillId="70" borderId="335">
      <alignment horizontal="left" vertical="center" wrapText="1"/>
    </xf>
    <xf numFmtId="49" fontId="6" fillId="67" borderId="335">
      <alignment vertical="center" wrapText="1"/>
    </xf>
    <xf numFmtId="0" fontId="6" fillId="0" borderId="335" applyNumberFormat="0" applyFill="0" applyProtection="0">
      <alignment horizontal="right"/>
    </xf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43" fontId="12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73" fillId="57" borderId="348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38" fillId="0" borderId="0" applyFont="0" applyFill="0" applyBorder="0" applyAlignment="0" applyProtection="0"/>
    <xf numFmtId="0" fontId="32" fillId="24" borderId="348" applyNumberForma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468" applyNumberFormat="0" applyFill="0" applyProtection="0">
      <alignment horizontal="right"/>
    </xf>
    <xf numFmtId="0" fontId="33" fillId="57" borderId="351" applyNumberFormat="0" applyAlignment="0" applyProtection="0"/>
    <xf numFmtId="0" fontId="33" fillId="57" borderId="351" applyNumberFormat="0" applyAlignment="0" applyProtection="0"/>
    <xf numFmtId="0" fontId="73" fillId="57" borderId="348" applyNumberFormat="0" applyAlignment="0" applyProtection="0"/>
    <xf numFmtId="43" fontId="1" fillId="0" borderId="0" applyFont="0" applyFill="0" applyBorder="0" applyAlignment="0" applyProtection="0"/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5" fillId="60" borderId="335" applyNumberFormat="0" applyProtection="0">
      <alignment horizontal="right"/>
    </xf>
    <xf numFmtId="0" fontId="5" fillId="60" borderId="335" applyNumberFormat="0" applyProtection="0">
      <alignment horizontal="left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49" fontId="6" fillId="67" borderId="335">
      <alignment vertical="center" wrapText="1"/>
    </xf>
    <xf numFmtId="0" fontId="6" fillId="68" borderId="454">
      <alignment horizontal="left" vertical="center" wrapText="1"/>
    </xf>
    <xf numFmtId="0" fontId="11" fillId="69" borderId="335">
      <alignment horizontal="left" vertical="center" wrapText="1"/>
    </xf>
    <xf numFmtId="0" fontId="6" fillId="70" borderId="335">
      <alignment horizontal="left" vertical="center" wrapText="1"/>
    </xf>
    <xf numFmtId="0" fontId="6" fillId="71" borderId="335">
      <alignment horizontal="left" vertical="center" wrapText="1"/>
    </xf>
    <xf numFmtId="43" fontId="1" fillId="0" borderId="0" applyFont="0" applyFill="0" applyBorder="0" applyAlignment="0" applyProtection="0"/>
    <xf numFmtId="0" fontId="32" fillId="24" borderId="348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3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38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80" fillId="0" borderId="353" applyNumberFormat="0" applyFill="0" applyAlignment="0" applyProtection="0"/>
    <xf numFmtId="0" fontId="33" fillId="57" borderId="351" applyNumberFormat="0" applyAlignment="0" applyProtection="0"/>
    <xf numFmtId="0" fontId="5" fillId="9" borderId="466">
      <alignment horizontal="center" vertical="center" wrapText="1"/>
    </xf>
    <xf numFmtId="0" fontId="6" fillId="9" borderId="466">
      <alignment horizontal="center" vertical="center" wrapText="1"/>
    </xf>
    <xf numFmtId="0" fontId="6" fillId="9" borderId="466">
      <alignment horizontal="center" vertical="center" wrapText="1"/>
    </xf>
    <xf numFmtId="0" fontId="6" fillId="9" borderId="466">
      <alignment horizontal="center" vertical="center" wrapText="1"/>
    </xf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4" fillId="0" borderId="0" applyFont="0" applyFill="0" applyBorder="0" applyAlignment="0" applyProtection="0"/>
    <xf numFmtId="43" fontId="124" fillId="0" borderId="0" applyFont="0" applyFill="0" applyBorder="0" applyAlignment="0" applyProtection="0"/>
    <xf numFmtId="43" fontId="12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12" borderId="465">
      <alignment horizontal="center" vertical="center" wrapText="1"/>
    </xf>
    <xf numFmtId="0" fontId="6" fillId="12" borderId="465">
      <alignment horizontal="center" vertical="center" wrapText="1"/>
    </xf>
    <xf numFmtId="0" fontId="6" fillId="12" borderId="465">
      <alignment horizontal="center" vertical="center" wrapText="1"/>
    </xf>
    <xf numFmtId="0" fontId="6" fillId="12" borderId="465">
      <alignment horizontal="center" vertical="center" wrapText="1"/>
    </xf>
    <xf numFmtId="0" fontId="6" fillId="23" borderId="350" applyNumberFormat="0" applyFont="0" applyAlignment="0" applyProtection="0"/>
    <xf numFmtId="0" fontId="33" fillId="57" borderId="351" applyNumberFormat="0" applyAlignment="0" applyProtection="0"/>
    <xf numFmtId="0" fontId="80" fillId="0" borderId="353" applyNumberFormat="0" applyFill="0" applyAlignment="0" applyProtection="0"/>
    <xf numFmtId="0" fontId="33" fillId="57" borderId="351" applyNumberFormat="0" applyAlignment="0" applyProtection="0"/>
    <xf numFmtId="0" fontId="32" fillId="24" borderId="348" applyNumberFormat="0" applyAlignment="0" applyProtection="0"/>
    <xf numFmtId="0" fontId="6" fillId="23" borderId="350" applyNumberFormat="0" applyFont="0" applyAlignment="0" applyProtection="0"/>
    <xf numFmtId="4" fontId="22" fillId="0" borderId="468" applyFill="0" applyBorder="0" applyProtection="0">
      <alignment horizontal="right" vertical="center"/>
    </xf>
    <xf numFmtId="0" fontId="32" fillId="24" borderId="348" applyNumberFormat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11" fillId="69" borderId="335">
      <alignment horizontal="left" vertical="center" wrapText="1"/>
    </xf>
    <xf numFmtId="0" fontId="80" fillId="0" borderId="353" applyNumberFormat="0" applyFill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73" fillId="57" borderId="348" applyNumberFormat="0" applyAlignment="0" applyProtection="0"/>
    <xf numFmtId="0" fontId="32" fillId="24" borderId="348" applyNumberFormat="0" applyAlignment="0" applyProtection="0"/>
    <xf numFmtId="0" fontId="23" fillId="23" borderId="350" applyNumberFormat="0" applyFont="0" applyAlignment="0" applyProtection="0"/>
    <xf numFmtId="0" fontId="23" fillId="23" borderId="350" applyNumberFormat="0" applyFont="0" applyAlignment="0" applyProtection="0"/>
    <xf numFmtId="0" fontId="22" fillId="59" borderId="335"/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5" fillId="60" borderId="335" applyNumberFormat="0" applyProtection="0">
      <alignment horizontal="right"/>
    </xf>
    <xf numFmtId="0" fontId="5" fillId="60" borderId="335" applyNumberFormat="0" applyProtection="0">
      <alignment horizontal="right"/>
    </xf>
    <xf numFmtId="0" fontId="5" fillId="60" borderId="335" applyNumberFormat="0" applyProtection="0">
      <alignment horizontal="right"/>
    </xf>
    <xf numFmtId="0" fontId="5" fillId="60" borderId="335" applyNumberFormat="0" applyProtection="0">
      <alignment horizontal="left"/>
    </xf>
    <xf numFmtId="0" fontId="5" fillId="60" borderId="335" applyNumberFormat="0" applyProtection="0">
      <alignment horizontal="left"/>
    </xf>
    <xf numFmtId="0" fontId="5" fillId="60" borderId="335" applyNumberFormat="0" applyProtection="0">
      <alignment horizontal="left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6" fillId="0" borderId="335" applyNumberFormat="0" applyFill="0" applyProtection="0">
      <alignment horizontal="right"/>
    </xf>
    <xf numFmtId="0" fontId="32" fillId="24" borderId="348" applyNumberFormat="0" applyAlignment="0" applyProtection="0"/>
    <xf numFmtId="0" fontId="36" fillId="26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6" fillId="23" borderId="350" applyNumberFormat="0" applyFont="0" applyAlignment="0" applyProtection="0"/>
    <xf numFmtId="0" fontId="80" fillId="0" borderId="353" applyNumberFormat="0" applyFill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32" fillId="24" borderId="348" applyNumberFormat="0" applyAlignment="0" applyProtection="0"/>
    <xf numFmtId="0" fontId="73" fillId="57" borderId="348" applyNumberFormat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73" fillId="57" borderId="348" applyNumberFormat="0" applyAlignment="0" applyProtection="0"/>
    <xf numFmtId="0" fontId="80" fillId="0" borderId="353" applyNumberFormat="0" applyFill="0" applyAlignment="0" applyProtection="0"/>
    <xf numFmtId="0" fontId="6" fillId="23" borderId="350" applyNumberFormat="0" applyFont="0" applyAlignment="0" applyProtection="0"/>
    <xf numFmtId="0" fontId="6" fillId="12" borderId="453">
      <alignment horizontal="center" vertical="center" wrapText="1"/>
    </xf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73" fillId="57" borderId="348" applyNumberFormat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73" fillId="57" borderId="348" applyNumberFormat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33" fillId="26" borderId="351" applyNumberFormat="0" applyAlignment="0" applyProtection="0"/>
    <xf numFmtId="0" fontId="33" fillId="26" borderId="351" applyNumberFormat="0" applyAlignment="0" applyProtection="0"/>
    <xf numFmtId="0" fontId="33" fillId="26" borderId="351" applyNumberFormat="0" applyAlignment="0" applyProtection="0"/>
    <xf numFmtId="0" fontId="33" fillId="26" borderId="351" applyNumberFormat="0" applyAlignment="0" applyProtection="0"/>
    <xf numFmtId="0" fontId="33" fillId="26" borderId="351" applyNumberFormat="0" applyAlignment="0" applyProtection="0"/>
    <xf numFmtId="0" fontId="33" fillId="26" borderId="351" applyNumberFormat="0" applyAlignment="0" applyProtection="0"/>
    <xf numFmtId="0" fontId="33" fillId="26" borderId="351" applyNumberFormat="0" applyAlignment="0" applyProtection="0"/>
    <xf numFmtId="0" fontId="33" fillId="26" borderId="351" applyNumberFormat="0" applyAlignment="0" applyProtection="0"/>
    <xf numFmtId="0" fontId="33" fillId="26" borderId="351" applyNumberFormat="0" applyAlignment="0" applyProtection="0"/>
    <xf numFmtId="0" fontId="33" fillId="26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33" fillId="57" borderId="351" applyNumberFormat="0" applyAlignment="0" applyProtection="0"/>
    <xf numFmtId="0" fontId="73" fillId="57" borderId="348" applyNumberFormat="0" applyAlignment="0" applyProtection="0"/>
    <xf numFmtId="0" fontId="32" fillId="24" borderId="348" applyNumberFormat="0" applyAlignment="0" applyProtection="0"/>
    <xf numFmtId="0" fontId="80" fillId="0" borderId="353" applyNumberFormat="0" applyFill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66" borderId="423" applyBorder="0">
      <alignment horizontal="left" vertical="center"/>
    </xf>
    <xf numFmtId="0" fontId="6" fillId="68" borderId="454">
      <alignment horizontal="left" vertical="center" wrapText="1"/>
    </xf>
    <xf numFmtId="0" fontId="80" fillId="0" borderId="353" applyNumberFormat="0" applyFill="0" applyAlignment="0" applyProtection="0"/>
    <xf numFmtId="0" fontId="5" fillId="9" borderId="466">
      <alignment horizontal="center" vertical="center" wrapText="1"/>
    </xf>
    <xf numFmtId="0" fontId="6" fillId="9" borderId="466">
      <alignment horizontal="center" vertical="center" wrapText="1"/>
    </xf>
    <xf numFmtId="0" fontId="6" fillId="9" borderId="466">
      <alignment horizontal="center" vertical="center" wrapText="1"/>
    </xf>
    <xf numFmtId="0" fontId="6" fillId="9" borderId="466">
      <alignment horizontal="center" vertical="center" wrapText="1"/>
    </xf>
    <xf numFmtId="0" fontId="6" fillId="12" borderId="453">
      <alignment horizontal="center" vertical="center" wrapText="1"/>
    </xf>
    <xf numFmtId="0" fontId="6" fillId="12" borderId="453">
      <alignment horizontal="center" vertical="center" wrapText="1"/>
    </xf>
    <xf numFmtId="0" fontId="6" fillId="12" borderId="453">
      <alignment horizontal="center" vertical="center" wrapText="1"/>
    </xf>
    <xf numFmtId="0" fontId="6" fillId="12" borderId="453">
      <alignment horizontal="center" vertical="center" wrapText="1"/>
    </xf>
    <xf numFmtId="0" fontId="33" fillId="57" borderId="351" applyNumberFormat="0" applyAlignment="0" applyProtection="0"/>
    <xf numFmtId="0" fontId="6" fillId="23" borderId="350" applyNumberFormat="0" applyFont="0" applyAlignment="0" applyProtection="0"/>
    <xf numFmtId="0" fontId="33" fillId="57" borderId="351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23" fillId="23" borderId="350" applyNumberFormat="0" applyFont="0" applyAlignment="0" applyProtection="0"/>
    <xf numFmtId="0" fontId="73" fillId="57" borderId="348" applyNumberFormat="0" applyAlignment="0" applyProtection="0"/>
    <xf numFmtId="0" fontId="32" fillId="24" borderId="348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62" fillId="57" borderId="351" applyNumberFormat="0" applyAlignment="0" applyProtection="0"/>
    <xf numFmtId="0" fontId="65" fillId="0" borderId="353" applyNumberFormat="0" applyFill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73" fillId="57" borderId="348" applyNumberFormat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6" fillId="23" borderId="350" applyNumberFormat="0" applyFont="0" applyAlignment="0" applyProtection="0"/>
    <xf numFmtId="0" fontId="73" fillId="57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23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49" fontId="6" fillId="62" borderId="349">
      <alignment vertical="top" wrapText="1"/>
    </xf>
    <xf numFmtId="0" fontId="73" fillId="57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23" fillId="23" borderId="350" applyNumberFormat="0" applyFont="0" applyAlignment="0" applyProtection="0"/>
    <xf numFmtId="0" fontId="53" fillId="24" borderId="348" applyNumberFormat="0" applyAlignment="0" applyProtection="0"/>
    <xf numFmtId="0" fontId="68" fillId="57" borderId="348" applyNumberFormat="0" applyAlignment="0" applyProtection="0"/>
    <xf numFmtId="0" fontId="33" fillId="57" borderId="351" applyNumberForma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6" fillId="66" borderId="423" applyBorder="0">
      <alignment horizontal="left" vertical="center"/>
    </xf>
    <xf numFmtId="0" fontId="22" fillId="0" borderId="468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80" fillId="0" borderId="353" applyNumberFormat="0" applyFill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33" fillId="57" borderId="351" applyNumberForma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6" fillId="23" borderId="350" applyNumberFormat="0" applyFont="0" applyAlignment="0" applyProtection="0"/>
    <xf numFmtId="0" fontId="32" fillId="24" borderId="348" applyNumberFormat="0" applyAlignment="0" applyProtection="0"/>
    <xf numFmtId="0" fontId="32" fillId="24" borderId="348" applyNumberFormat="0" applyAlignment="0" applyProtection="0"/>
    <xf numFmtId="0" fontId="73" fillId="57" borderId="348" applyNumberFormat="0" applyAlignment="0" applyProtection="0"/>
    <xf numFmtId="0" fontId="6" fillId="23" borderId="350" applyNumberFormat="0" applyFont="0" applyAlignment="0" applyProtection="0"/>
    <xf numFmtId="0" fontId="65" fillId="0" borderId="353" applyNumberFormat="0" applyFill="0" applyAlignment="0" applyProtection="0"/>
    <xf numFmtId="0" fontId="6" fillId="0" borderId="468" applyNumberFormat="0" applyFill="0" applyProtection="0">
      <alignment horizontal="right"/>
    </xf>
    <xf numFmtId="0" fontId="6" fillId="0" borderId="468" applyNumberFormat="0" applyFill="0" applyProtection="0">
      <alignment horizontal="right"/>
    </xf>
    <xf numFmtId="0" fontId="32" fillId="24" borderId="348" applyNumberFormat="0" applyAlignment="0" applyProtection="0"/>
    <xf numFmtId="0" fontId="68" fillId="57" borderId="348" applyNumberFormat="0" applyAlignment="0" applyProtection="0"/>
    <xf numFmtId="0" fontId="6" fillId="0" borderId="0"/>
    <xf numFmtId="2" fontId="1" fillId="97" borderId="0"/>
    <xf numFmtId="0" fontId="23" fillId="103" borderId="468"/>
    <xf numFmtId="0" fontId="23" fillId="58" borderId="468"/>
    <xf numFmtId="0" fontId="1" fillId="0" borderId="0"/>
    <xf numFmtId="0" fontId="73" fillId="57" borderId="470" applyNumberFormat="0" applyAlignment="0" applyProtection="0"/>
    <xf numFmtId="0" fontId="36" fillId="26" borderId="470" applyNumberFormat="0" applyAlignment="0" applyProtection="0"/>
    <xf numFmtId="0" fontId="36" fillId="26" borderId="470" applyNumberFormat="0" applyAlignment="0" applyProtection="0"/>
    <xf numFmtId="0" fontId="36" fillId="26" borderId="470" applyNumberFormat="0" applyAlignment="0" applyProtection="0"/>
    <xf numFmtId="0" fontId="36" fillId="26" borderId="470" applyNumberFormat="0" applyAlignment="0" applyProtection="0"/>
    <xf numFmtId="0" fontId="36" fillId="26" borderId="470" applyNumberFormat="0" applyAlignment="0" applyProtection="0"/>
    <xf numFmtId="0" fontId="36" fillId="26" borderId="470" applyNumberFormat="0" applyAlignment="0" applyProtection="0"/>
    <xf numFmtId="0" fontId="36" fillId="26" borderId="470" applyNumberFormat="0" applyAlignment="0" applyProtection="0"/>
    <xf numFmtId="0" fontId="36" fillId="26" borderId="470" applyNumberFormat="0" applyAlignment="0" applyProtection="0"/>
    <xf numFmtId="0" fontId="36" fillId="26" borderId="470" applyNumberFormat="0" applyAlignment="0" applyProtection="0"/>
    <xf numFmtId="0" fontId="36" fillId="26" borderId="470" applyNumberFormat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32" fillId="24" borderId="470" applyNumberFormat="0" applyAlignment="0" applyProtection="0"/>
    <xf numFmtId="0" fontId="32" fillId="27" borderId="470" applyNumberFormat="0" applyAlignment="0" applyProtection="0"/>
    <xf numFmtId="0" fontId="32" fillId="27" borderId="470" applyNumberFormat="0" applyAlignment="0" applyProtection="0"/>
    <xf numFmtId="0" fontId="32" fillId="27" borderId="470" applyNumberFormat="0" applyAlignment="0" applyProtection="0"/>
    <xf numFmtId="0" fontId="32" fillId="27" borderId="470" applyNumberFormat="0" applyAlignment="0" applyProtection="0"/>
    <xf numFmtId="0" fontId="32" fillId="27" borderId="470" applyNumberFormat="0" applyAlignment="0" applyProtection="0"/>
    <xf numFmtId="0" fontId="32" fillId="27" borderId="470" applyNumberFormat="0" applyAlignment="0" applyProtection="0"/>
    <xf numFmtId="0" fontId="32" fillId="27" borderId="470" applyNumberFormat="0" applyAlignment="0" applyProtection="0"/>
    <xf numFmtId="0" fontId="32" fillId="27" borderId="470" applyNumberFormat="0" applyAlignment="0" applyProtection="0"/>
    <xf numFmtId="0" fontId="32" fillId="27" borderId="470" applyNumberFormat="0" applyAlignment="0" applyProtection="0"/>
    <xf numFmtId="0" fontId="32" fillId="27" borderId="470" applyNumberFormat="0" applyAlignment="0" applyProtection="0"/>
    <xf numFmtId="0" fontId="6" fillId="0" borderId="0" applyNumberFormat="0" applyFont="0" applyFill="0" applyBorder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33" fillId="57" borderId="472" applyNumberFormat="0" applyAlignment="0" applyProtection="0"/>
    <xf numFmtId="0" fontId="33" fillId="26" borderId="472" applyNumberFormat="0" applyAlignment="0" applyProtection="0"/>
    <xf numFmtId="0" fontId="33" fillId="26" borderId="472" applyNumberFormat="0" applyAlignment="0" applyProtection="0"/>
    <xf numFmtId="0" fontId="33" fillId="26" borderId="472" applyNumberFormat="0" applyAlignment="0" applyProtection="0"/>
    <xf numFmtId="0" fontId="33" fillId="26" borderId="472" applyNumberFormat="0" applyAlignment="0" applyProtection="0"/>
    <xf numFmtId="0" fontId="33" fillId="26" borderId="472" applyNumberFormat="0" applyAlignment="0" applyProtection="0"/>
    <xf numFmtId="0" fontId="33" fillId="26" borderId="472" applyNumberFormat="0" applyAlignment="0" applyProtection="0"/>
    <xf numFmtId="0" fontId="33" fillId="26" borderId="472" applyNumberFormat="0" applyAlignment="0" applyProtection="0"/>
    <xf numFmtId="0" fontId="33" fillId="26" borderId="472" applyNumberFormat="0" applyAlignment="0" applyProtection="0"/>
    <xf numFmtId="0" fontId="33" fillId="26" borderId="472" applyNumberFormat="0" applyAlignment="0" applyProtection="0"/>
    <xf numFmtId="0" fontId="33" fillId="26" borderId="472" applyNumberFormat="0" applyAlignment="0" applyProtection="0"/>
    <xf numFmtId="0" fontId="80" fillId="0" borderId="473" applyNumberFormat="0" applyFill="0" applyAlignment="0" applyProtection="0"/>
    <xf numFmtId="0" fontId="80" fillId="0" borderId="473" applyNumberFormat="0" applyFill="0" applyAlignment="0" applyProtection="0"/>
    <xf numFmtId="0" fontId="80" fillId="0" borderId="473" applyNumberFormat="0" applyFill="0" applyAlignment="0" applyProtection="0"/>
    <xf numFmtId="0" fontId="80" fillId="0" borderId="473" applyNumberFormat="0" applyFill="0" applyAlignment="0" applyProtection="0"/>
    <xf numFmtId="0" fontId="80" fillId="0" borderId="473" applyNumberFormat="0" applyFill="0" applyAlignment="0" applyProtection="0"/>
    <xf numFmtId="0" fontId="80" fillId="0" borderId="473" applyNumberFormat="0" applyFill="0" applyAlignment="0" applyProtection="0"/>
    <xf numFmtId="0" fontId="80" fillId="0" borderId="473" applyNumberFormat="0" applyFill="0" applyAlignment="0" applyProtection="0"/>
    <xf numFmtId="0" fontId="80" fillId="0" borderId="473" applyNumberFormat="0" applyFill="0" applyAlignment="0" applyProtection="0"/>
    <xf numFmtId="0" fontId="80" fillId="0" borderId="473" applyNumberFormat="0" applyFill="0" applyAlignment="0" applyProtection="0"/>
    <xf numFmtId="0" fontId="80" fillId="0" borderId="473" applyNumberFormat="0" applyFill="0" applyAlignment="0" applyProtection="0"/>
    <xf numFmtId="0" fontId="167" fillId="0" borderId="0" applyNumberFormat="0" applyFill="0" applyBorder="0" applyAlignment="0" applyProtection="0">
      <alignment vertical="center"/>
    </xf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21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21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47" borderId="0" applyNumberFormat="0" applyBorder="0" applyAlignment="0" applyProtection="0"/>
    <xf numFmtId="0" fontId="23" fillId="21" borderId="0" applyNumberFormat="0" applyBorder="0" applyAlignment="0" applyProtection="0"/>
    <xf numFmtId="0" fontId="23" fillId="47" borderId="0" applyNumberFormat="0" applyBorder="0" applyAlignment="0" applyProtection="0"/>
    <xf numFmtId="0" fontId="23" fillId="21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2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2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8" borderId="0" applyNumberFormat="0" applyBorder="0" applyAlignment="0" applyProtection="0"/>
    <xf numFmtId="0" fontId="23" fillId="22" borderId="0" applyNumberFormat="0" applyBorder="0" applyAlignment="0" applyProtection="0"/>
    <xf numFmtId="0" fontId="23" fillId="28" borderId="0" applyNumberFormat="0" applyBorder="0" applyAlignment="0" applyProtection="0"/>
    <xf numFmtId="0" fontId="23" fillId="22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23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23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48" borderId="0" applyNumberFormat="0" applyBorder="0" applyAlignment="0" applyProtection="0"/>
    <xf numFmtId="0" fontId="23" fillId="23" borderId="0" applyNumberFormat="0" applyBorder="0" applyAlignment="0" applyProtection="0"/>
    <xf numFmtId="0" fontId="23" fillId="48" borderId="0" applyNumberFormat="0" applyBorder="0" applyAlignment="0" applyProtection="0"/>
    <xf numFmtId="0" fontId="23" fillId="23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24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24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32" borderId="0" applyNumberFormat="0" applyBorder="0" applyAlignment="0" applyProtection="0"/>
    <xf numFmtId="0" fontId="23" fillId="24" borderId="0" applyNumberFormat="0" applyBorder="0" applyAlignment="0" applyProtection="0"/>
    <xf numFmtId="0" fontId="23" fillId="32" borderId="0" applyNumberFormat="0" applyBorder="0" applyAlignment="0" applyProtection="0"/>
    <xf numFmtId="0" fontId="23" fillId="24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3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3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4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24" borderId="0" applyNumberFormat="0" applyBorder="0" applyAlignment="0" applyProtection="0"/>
    <xf numFmtId="0" fontId="23" fillId="23" borderId="0" applyNumberFormat="0" applyBorder="0" applyAlignment="0" applyProtection="0"/>
    <xf numFmtId="0" fontId="23" fillId="24" borderId="0" applyNumberFormat="0" applyBorder="0" applyAlignment="0" applyProtection="0"/>
    <xf numFmtId="0" fontId="23" fillId="23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5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5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1" borderId="0" applyNumberFormat="0" applyBorder="0" applyAlignment="0" applyProtection="0"/>
    <xf numFmtId="0" fontId="23" fillId="25" borderId="0" applyNumberFormat="0" applyBorder="0" applyAlignment="0" applyProtection="0"/>
    <xf numFmtId="0" fontId="23" fillId="21" borderId="0" applyNumberFormat="0" applyBorder="0" applyAlignment="0" applyProtection="0"/>
    <xf numFmtId="0" fontId="23" fillId="25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27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27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27" borderId="0" applyNumberFormat="0" applyBorder="0" applyAlignment="0" applyProtection="0"/>
    <xf numFmtId="0" fontId="23" fillId="27" borderId="0" applyNumberFormat="0" applyBorder="0" applyAlignment="0" applyProtection="0"/>
    <xf numFmtId="0" fontId="23" fillId="49" borderId="0" applyNumberFormat="0" applyBorder="0" applyAlignment="0" applyProtection="0"/>
    <xf numFmtId="0" fontId="23" fillId="27" borderId="0" applyNumberFormat="0" applyBorder="0" applyAlignment="0" applyProtection="0"/>
    <xf numFmtId="0" fontId="23" fillId="49" borderId="0" applyNumberFormat="0" applyBorder="0" applyAlignment="0" applyProtection="0"/>
    <xf numFmtId="0" fontId="23" fillId="27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28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28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28" borderId="0" applyNumberFormat="0" applyBorder="0" applyAlignment="0" applyProtection="0"/>
    <xf numFmtId="0" fontId="23" fillId="28" borderId="0" applyNumberFormat="0" applyBorder="0" applyAlignment="0" applyProtection="0"/>
    <xf numFmtId="0" fontId="23" fillId="32" borderId="0" applyNumberFormat="0" applyBorder="0" applyAlignment="0" applyProtection="0"/>
    <xf numFmtId="0" fontId="23" fillId="28" borderId="0" applyNumberFormat="0" applyBorder="0" applyAlignment="0" applyProtection="0"/>
    <xf numFmtId="0" fontId="23" fillId="32" borderId="0" applyNumberFormat="0" applyBorder="0" applyAlignment="0" applyProtection="0"/>
    <xf numFmtId="0" fontId="23" fillId="28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5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5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1" borderId="0" applyNumberFormat="0" applyBorder="0" applyAlignment="0" applyProtection="0"/>
    <xf numFmtId="0" fontId="23" fillId="25" borderId="0" applyNumberFormat="0" applyBorder="0" applyAlignment="0" applyProtection="0"/>
    <xf numFmtId="0" fontId="23" fillId="25" borderId="0" applyNumberFormat="0" applyBorder="0" applyAlignment="0" applyProtection="0"/>
    <xf numFmtId="0" fontId="23" fillId="21" borderId="0" applyNumberFormat="0" applyBorder="0" applyAlignment="0" applyProtection="0"/>
    <xf numFmtId="0" fontId="23" fillId="25" borderId="0" applyNumberFormat="0" applyBorder="0" applyAlignment="0" applyProtection="0"/>
    <xf numFmtId="0" fontId="23" fillId="21" borderId="0" applyNumberFormat="0" applyBorder="0" applyAlignment="0" applyProtection="0"/>
    <xf numFmtId="0" fontId="23" fillId="25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23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23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30" borderId="0" applyNumberFormat="0" applyBorder="0" applyAlignment="0" applyProtection="0"/>
    <xf numFmtId="0" fontId="23" fillId="23" borderId="0" applyNumberFormat="0" applyBorder="0" applyAlignment="0" applyProtection="0"/>
    <xf numFmtId="0" fontId="23" fillId="23" borderId="0" applyNumberFormat="0" applyBorder="0" applyAlignment="0" applyProtection="0"/>
    <xf numFmtId="0" fontId="23" fillId="30" borderId="0" applyNumberFormat="0" applyBorder="0" applyAlignment="0" applyProtection="0"/>
    <xf numFmtId="0" fontId="23" fillId="23" borderId="0" applyNumberFormat="0" applyBorder="0" applyAlignment="0" applyProtection="0"/>
    <xf numFmtId="0" fontId="23" fillId="30" borderId="0" applyNumberFormat="0" applyBorder="0" applyAlignment="0" applyProtection="0"/>
    <xf numFmtId="0" fontId="23" fillId="23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25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9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22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30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28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25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22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1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93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29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30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94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55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2" fillId="36" borderId="0" applyBorder="0">
      <alignment horizontal="right" vertical="center"/>
    </xf>
    <xf numFmtId="0" fontId="22" fillId="36" borderId="0" applyBorder="0">
      <alignment horizontal="right" vertical="center"/>
    </xf>
    <xf numFmtId="0" fontId="81" fillId="58" borderId="474">
      <alignment horizontal="right" vertical="center"/>
    </xf>
    <xf numFmtId="0" fontId="33" fillId="57" borderId="472" applyNumberFormat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32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25" fillId="28" borderId="0" applyNumberFormat="0" applyBorder="0" applyAlignment="0" applyProtection="0"/>
    <xf numFmtId="0" fontId="73" fillId="57" borderId="470" applyNumberFormat="0" applyAlignment="0" applyProtection="0"/>
    <xf numFmtId="0" fontId="73" fillId="57" borderId="470" applyNumberFormat="0" applyAlignment="0" applyProtection="0"/>
    <xf numFmtId="0" fontId="73" fillId="57" borderId="470" applyNumberFormat="0" applyAlignment="0" applyProtection="0"/>
    <xf numFmtId="0" fontId="73" fillId="57" borderId="470" applyNumberFormat="0" applyAlignment="0" applyProtection="0"/>
    <xf numFmtId="0" fontId="73" fillId="57" borderId="470" applyNumberFormat="0" applyAlignment="0" applyProtection="0"/>
    <xf numFmtId="0" fontId="73" fillId="57" borderId="470" applyNumberFormat="0" applyAlignment="0" applyProtection="0"/>
    <xf numFmtId="0" fontId="73" fillId="57" borderId="470" applyNumberFormat="0" applyAlignment="0" applyProtection="0"/>
    <xf numFmtId="0" fontId="73" fillId="57" borderId="470" applyNumberFormat="0" applyAlignment="0" applyProtection="0"/>
    <xf numFmtId="0" fontId="73" fillId="57" borderId="470" applyNumberFormat="0" applyAlignment="0" applyProtection="0"/>
    <xf numFmtId="0" fontId="73" fillId="57" borderId="470" applyNumberFormat="0" applyAlignment="0" applyProtection="0"/>
    <xf numFmtId="0" fontId="73" fillId="57" borderId="470" applyNumberFormat="0" applyAlignment="0" applyProtection="0"/>
    <xf numFmtId="0" fontId="73" fillId="57" borderId="470" applyNumberFormat="0" applyAlignment="0" applyProtection="0"/>
    <xf numFmtId="0" fontId="73" fillId="57" borderId="470" applyNumberFormat="0" applyAlignment="0" applyProtection="0"/>
    <xf numFmtId="0" fontId="73" fillId="57" borderId="470" applyNumberFormat="0" applyAlignment="0" applyProtection="0"/>
    <xf numFmtId="0" fontId="73" fillId="57" borderId="470" applyNumberFormat="0" applyAlignment="0" applyProtection="0"/>
    <xf numFmtId="0" fontId="73" fillId="57" borderId="470" applyNumberFormat="0" applyAlignment="0" applyProtection="0"/>
    <xf numFmtId="0" fontId="73" fillId="57" borderId="470" applyNumberFormat="0" applyAlignment="0" applyProtection="0"/>
    <xf numFmtId="0" fontId="73" fillId="57" borderId="470" applyNumberFormat="0" applyAlignment="0" applyProtection="0"/>
    <xf numFmtId="0" fontId="73" fillId="57" borderId="470" applyNumberFormat="0" applyAlignment="0" applyProtection="0"/>
    <xf numFmtId="0" fontId="73" fillId="57" borderId="470" applyNumberFormat="0" applyAlignment="0" applyProtection="0"/>
    <xf numFmtId="0" fontId="73" fillId="57" borderId="470" applyNumberFormat="0" applyAlignment="0" applyProtection="0"/>
    <xf numFmtId="0" fontId="73" fillId="57" borderId="470" applyNumberFormat="0" applyAlignment="0" applyProtection="0"/>
    <xf numFmtId="0" fontId="73" fillId="57" borderId="470" applyNumberFormat="0" applyAlignment="0" applyProtection="0"/>
    <xf numFmtId="0" fontId="73" fillId="57" borderId="470" applyNumberFormat="0" applyAlignment="0" applyProtection="0"/>
    <xf numFmtId="0" fontId="36" fillId="26" borderId="470" applyNumberFormat="0" applyAlignment="0" applyProtection="0"/>
    <xf numFmtId="0" fontId="73" fillId="57" borderId="470" applyNumberFormat="0" applyAlignment="0" applyProtection="0"/>
    <xf numFmtId="0" fontId="73" fillId="57" borderId="470" applyNumberFormat="0" applyAlignment="0" applyProtection="0"/>
    <xf numFmtId="0" fontId="73" fillId="57" borderId="470" applyNumberFormat="0" applyAlignment="0" applyProtection="0"/>
    <xf numFmtId="0" fontId="73" fillId="57" borderId="470" applyNumberFormat="0" applyAlignment="0" applyProtection="0"/>
    <xf numFmtId="0" fontId="73" fillId="57" borderId="470" applyNumberFormat="0" applyAlignment="0" applyProtection="0"/>
    <xf numFmtId="0" fontId="73" fillId="57" borderId="470" applyNumberFormat="0" applyAlignment="0" applyProtection="0"/>
    <xf numFmtId="0" fontId="73" fillId="57" borderId="470" applyNumberFormat="0" applyAlignment="0" applyProtection="0"/>
    <xf numFmtId="0" fontId="73" fillId="57" borderId="470" applyNumberFormat="0" applyAlignment="0" applyProtection="0"/>
    <xf numFmtId="0" fontId="73" fillId="57" borderId="470" applyNumberFormat="0" applyAlignment="0" applyProtection="0"/>
    <xf numFmtId="0" fontId="73" fillId="57" borderId="470" applyNumberFormat="0" applyAlignment="0" applyProtection="0"/>
    <xf numFmtId="0" fontId="73" fillId="57" borderId="470" applyNumberFormat="0" applyAlignment="0" applyProtection="0"/>
    <xf numFmtId="0" fontId="73" fillId="57" borderId="470" applyNumberFormat="0" applyAlignment="0" applyProtection="0"/>
    <xf numFmtId="0" fontId="73" fillId="57" borderId="470" applyNumberFormat="0" applyAlignment="0" applyProtection="0"/>
    <xf numFmtId="0" fontId="73" fillId="57" borderId="470" applyNumberFormat="0" applyAlignment="0" applyProtection="0"/>
    <xf numFmtId="0" fontId="73" fillId="57" borderId="470" applyNumberFormat="0" applyAlignment="0" applyProtection="0"/>
    <xf numFmtId="0" fontId="73" fillId="57" borderId="470" applyNumberFormat="0" applyAlignment="0" applyProtection="0"/>
    <xf numFmtId="0" fontId="73" fillId="57" borderId="470" applyNumberFormat="0" applyAlignment="0" applyProtection="0"/>
    <xf numFmtId="0" fontId="73" fillId="57" borderId="470" applyNumberFormat="0" applyAlignment="0" applyProtection="0"/>
    <xf numFmtId="0" fontId="73" fillId="57" borderId="470" applyNumberFormat="0" applyAlignment="0" applyProtection="0"/>
    <xf numFmtId="0" fontId="73" fillId="57" borderId="470" applyNumberFormat="0" applyAlignment="0" applyProtection="0"/>
    <xf numFmtId="0" fontId="73" fillId="57" borderId="470" applyNumberFormat="0" applyAlignment="0" applyProtection="0"/>
    <xf numFmtId="0" fontId="73" fillId="57" borderId="470" applyNumberFormat="0" applyAlignment="0" applyProtection="0"/>
    <xf numFmtId="0" fontId="73" fillId="57" borderId="470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0" fontId="26" fillId="31" borderId="163" applyNumberFormat="0" applyAlignment="0" applyProtection="0"/>
    <xf numFmtId="49" fontId="6" fillId="62" borderId="475">
      <alignment vertical="top" wrapText="1"/>
    </xf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206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7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20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206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204" fontId="6" fillId="0" borderId="0" applyFont="0" applyFill="0" applyBorder="0" applyAlignment="0" applyProtection="0"/>
    <xf numFmtId="0" fontId="32" fillId="24" borderId="470" applyNumberFormat="0" applyAlignment="0" applyProtection="0"/>
    <xf numFmtId="0" fontId="80" fillId="0" borderId="476" applyNumberFormat="0" applyFill="0" applyAlignment="0" applyProtection="0"/>
    <xf numFmtId="0" fontId="44" fillId="0" borderId="0">
      <alignment vertical="top"/>
    </xf>
    <xf numFmtId="181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205" fontId="6" fillId="0" borderId="0" applyFont="0" applyFill="0" applyBorder="0" applyAlignment="0" applyProtection="0"/>
    <xf numFmtId="185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5" fontId="6" fillId="0" borderId="0" applyFont="0" applyFill="0" applyBorder="0" applyAlignment="0" applyProtection="0"/>
    <xf numFmtId="187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5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5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205" fontId="6" fillId="0" borderId="0" applyFont="0" applyFill="0" applyBorder="0" applyAlignment="0" applyProtection="0"/>
    <xf numFmtId="190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5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181" fontId="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25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74" fillId="0" borderId="160" applyNumberFormat="0" applyFill="0" applyAlignment="0" applyProtection="0"/>
    <xf numFmtId="0" fontId="74" fillId="0" borderId="160" applyNumberFormat="0" applyFill="0" applyAlignment="0" applyProtection="0"/>
    <xf numFmtId="0" fontId="74" fillId="0" borderId="160" applyNumberFormat="0" applyFill="0" applyAlignment="0" applyProtection="0"/>
    <xf numFmtId="0" fontId="74" fillId="0" borderId="160" applyNumberFormat="0" applyFill="0" applyAlignment="0" applyProtection="0"/>
    <xf numFmtId="0" fontId="74" fillId="0" borderId="160" applyNumberFormat="0" applyFill="0" applyAlignment="0" applyProtection="0"/>
    <xf numFmtId="0" fontId="74" fillId="0" borderId="160" applyNumberFormat="0" applyFill="0" applyAlignment="0" applyProtection="0"/>
    <xf numFmtId="0" fontId="74" fillId="0" borderId="160" applyNumberFormat="0" applyFill="0" applyAlignment="0" applyProtection="0"/>
    <xf numFmtId="0" fontId="74" fillId="0" borderId="160" applyNumberFormat="0" applyFill="0" applyAlignment="0" applyProtection="0"/>
    <xf numFmtId="0" fontId="74" fillId="0" borderId="160" applyNumberFormat="0" applyFill="0" applyAlignment="0" applyProtection="0"/>
    <xf numFmtId="0" fontId="74" fillId="0" borderId="160" applyNumberFormat="0" applyFill="0" applyAlignment="0" applyProtection="0"/>
    <xf numFmtId="0" fontId="74" fillId="0" borderId="160" applyNumberFormat="0" applyFill="0" applyAlignment="0" applyProtection="0"/>
    <xf numFmtId="0" fontId="74" fillId="0" borderId="160" applyNumberFormat="0" applyFill="0" applyAlignment="0" applyProtection="0"/>
    <xf numFmtId="0" fontId="74" fillId="0" borderId="160" applyNumberFormat="0" applyFill="0" applyAlignment="0" applyProtection="0"/>
    <xf numFmtId="0" fontId="74" fillId="0" borderId="160" applyNumberFormat="0" applyFill="0" applyAlignment="0" applyProtection="0"/>
    <xf numFmtId="0" fontId="74" fillId="0" borderId="160" applyNumberFormat="0" applyFill="0" applyAlignment="0" applyProtection="0"/>
    <xf numFmtId="0" fontId="74" fillId="0" borderId="160" applyNumberFormat="0" applyFill="0" applyAlignment="0" applyProtection="0"/>
    <xf numFmtId="0" fontId="74" fillId="0" borderId="160" applyNumberFormat="0" applyFill="0" applyAlignment="0" applyProtection="0"/>
    <xf numFmtId="0" fontId="74" fillId="0" borderId="160" applyNumberFormat="0" applyFill="0" applyAlignment="0" applyProtection="0"/>
    <xf numFmtId="0" fontId="74" fillId="0" borderId="160" applyNumberFormat="0" applyFill="0" applyAlignment="0" applyProtection="0"/>
    <xf numFmtId="0" fontId="29" fillId="0" borderId="113" applyNumberFormat="0" applyFill="0" applyAlignment="0" applyProtection="0"/>
    <xf numFmtId="0" fontId="74" fillId="0" borderId="160" applyNumberFormat="0" applyFill="0" applyAlignment="0" applyProtection="0"/>
    <xf numFmtId="0" fontId="74" fillId="0" borderId="160" applyNumberFormat="0" applyFill="0" applyAlignment="0" applyProtection="0"/>
    <xf numFmtId="0" fontId="74" fillId="0" borderId="160" applyNumberFormat="0" applyFill="0" applyAlignment="0" applyProtection="0"/>
    <xf numFmtId="0" fontId="74" fillId="0" borderId="160" applyNumberFormat="0" applyFill="0" applyAlignment="0" applyProtection="0"/>
    <xf numFmtId="0" fontId="74" fillId="0" borderId="160" applyNumberFormat="0" applyFill="0" applyAlignment="0" applyProtection="0"/>
    <xf numFmtId="0" fontId="74" fillId="0" borderId="160" applyNumberFormat="0" applyFill="0" applyAlignment="0" applyProtection="0"/>
    <xf numFmtId="0" fontId="74" fillId="0" borderId="160" applyNumberFormat="0" applyFill="0" applyAlignment="0" applyProtection="0"/>
    <xf numFmtId="0" fontId="74" fillId="0" borderId="160" applyNumberFormat="0" applyFill="0" applyAlignment="0" applyProtection="0"/>
    <xf numFmtId="0" fontId="74" fillId="0" borderId="160" applyNumberFormat="0" applyFill="0" applyAlignment="0" applyProtection="0"/>
    <xf numFmtId="0" fontId="74" fillId="0" borderId="160" applyNumberFormat="0" applyFill="0" applyAlignment="0" applyProtection="0"/>
    <xf numFmtId="0" fontId="74" fillId="0" borderId="160" applyNumberFormat="0" applyFill="0" applyAlignment="0" applyProtection="0"/>
    <xf numFmtId="0" fontId="74" fillId="0" borderId="160" applyNumberFormat="0" applyFill="0" applyAlignment="0" applyProtection="0"/>
    <xf numFmtId="0" fontId="75" fillId="0" borderId="161" applyNumberFormat="0" applyFill="0" applyAlignment="0" applyProtection="0"/>
    <xf numFmtId="0" fontId="75" fillId="0" borderId="161" applyNumberFormat="0" applyFill="0" applyAlignment="0" applyProtection="0"/>
    <xf numFmtId="0" fontId="75" fillId="0" borderId="161" applyNumberFormat="0" applyFill="0" applyAlignment="0" applyProtection="0"/>
    <xf numFmtId="0" fontId="75" fillId="0" borderId="161" applyNumberFormat="0" applyFill="0" applyAlignment="0" applyProtection="0"/>
    <xf numFmtId="0" fontId="75" fillId="0" borderId="161" applyNumberFormat="0" applyFill="0" applyAlignment="0" applyProtection="0"/>
    <xf numFmtId="0" fontId="75" fillId="0" borderId="161" applyNumberFormat="0" applyFill="0" applyAlignment="0" applyProtection="0"/>
    <xf numFmtId="0" fontId="75" fillId="0" borderId="161" applyNumberFormat="0" applyFill="0" applyAlignment="0" applyProtection="0"/>
    <xf numFmtId="0" fontId="75" fillId="0" borderId="161" applyNumberFormat="0" applyFill="0" applyAlignment="0" applyProtection="0"/>
    <xf numFmtId="0" fontId="75" fillId="0" borderId="161" applyNumberFormat="0" applyFill="0" applyAlignment="0" applyProtection="0"/>
    <xf numFmtId="0" fontId="75" fillId="0" borderId="161" applyNumberFormat="0" applyFill="0" applyAlignment="0" applyProtection="0"/>
    <xf numFmtId="0" fontId="75" fillId="0" borderId="161" applyNumberFormat="0" applyFill="0" applyAlignment="0" applyProtection="0"/>
    <xf numFmtId="0" fontId="75" fillId="0" borderId="161" applyNumberFormat="0" applyFill="0" applyAlignment="0" applyProtection="0"/>
    <xf numFmtId="0" fontId="75" fillId="0" borderId="161" applyNumberFormat="0" applyFill="0" applyAlignment="0" applyProtection="0"/>
    <xf numFmtId="0" fontId="75" fillId="0" borderId="161" applyNumberFormat="0" applyFill="0" applyAlignment="0" applyProtection="0"/>
    <xf numFmtId="0" fontId="75" fillId="0" borderId="161" applyNumberFormat="0" applyFill="0" applyAlignment="0" applyProtection="0"/>
    <xf numFmtId="0" fontId="75" fillId="0" borderId="161" applyNumberFormat="0" applyFill="0" applyAlignment="0" applyProtection="0"/>
    <xf numFmtId="0" fontId="75" fillId="0" borderId="161" applyNumberFormat="0" applyFill="0" applyAlignment="0" applyProtection="0"/>
    <xf numFmtId="0" fontId="75" fillId="0" borderId="161" applyNumberFormat="0" applyFill="0" applyAlignment="0" applyProtection="0"/>
    <xf numFmtId="0" fontId="75" fillId="0" borderId="161" applyNumberFormat="0" applyFill="0" applyAlignment="0" applyProtection="0"/>
    <xf numFmtId="0" fontId="30" fillId="0" borderId="114" applyNumberFormat="0" applyFill="0" applyAlignment="0" applyProtection="0"/>
    <xf numFmtId="0" fontId="75" fillId="0" borderId="161" applyNumberFormat="0" applyFill="0" applyAlignment="0" applyProtection="0"/>
    <xf numFmtId="0" fontId="75" fillId="0" borderId="161" applyNumberFormat="0" applyFill="0" applyAlignment="0" applyProtection="0"/>
    <xf numFmtId="0" fontId="75" fillId="0" borderId="161" applyNumberFormat="0" applyFill="0" applyAlignment="0" applyProtection="0"/>
    <xf numFmtId="0" fontId="75" fillId="0" borderId="161" applyNumberFormat="0" applyFill="0" applyAlignment="0" applyProtection="0"/>
    <xf numFmtId="0" fontId="75" fillId="0" borderId="161" applyNumberFormat="0" applyFill="0" applyAlignment="0" applyProtection="0"/>
    <xf numFmtId="0" fontId="75" fillId="0" borderId="161" applyNumberFormat="0" applyFill="0" applyAlignment="0" applyProtection="0"/>
    <xf numFmtId="0" fontId="75" fillId="0" borderId="161" applyNumberFormat="0" applyFill="0" applyAlignment="0" applyProtection="0"/>
    <xf numFmtId="0" fontId="75" fillId="0" borderId="161" applyNumberFormat="0" applyFill="0" applyAlignment="0" applyProtection="0"/>
    <xf numFmtId="0" fontId="75" fillId="0" borderId="161" applyNumberFormat="0" applyFill="0" applyAlignment="0" applyProtection="0"/>
    <xf numFmtId="0" fontId="75" fillId="0" borderId="161" applyNumberFormat="0" applyFill="0" applyAlignment="0" applyProtection="0"/>
    <xf numFmtId="0" fontId="75" fillId="0" borderId="161" applyNumberFormat="0" applyFill="0" applyAlignment="0" applyProtection="0"/>
    <xf numFmtId="0" fontId="75" fillId="0" borderId="161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31" fillId="0" borderId="326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319" applyNumberFormat="0" applyFill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32" fillId="24" borderId="470" applyNumberFormat="0" applyAlignment="0" applyProtection="0"/>
    <xf numFmtId="0" fontId="32" fillId="24" borderId="470" applyNumberFormat="0" applyAlignment="0" applyProtection="0"/>
    <xf numFmtId="0" fontId="32" fillId="24" borderId="470" applyNumberFormat="0" applyAlignment="0" applyProtection="0"/>
    <xf numFmtId="0" fontId="32" fillId="24" borderId="470" applyNumberFormat="0" applyAlignment="0" applyProtection="0"/>
    <xf numFmtId="0" fontId="32" fillId="24" borderId="470" applyNumberFormat="0" applyAlignment="0" applyProtection="0"/>
    <xf numFmtId="0" fontId="32" fillId="24" borderId="470" applyNumberFormat="0" applyAlignment="0" applyProtection="0"/>
    <xf numFmtId="0" fontId="32" fillId="24" borderId="470" applyNumberFormat="0" applyAlignment="0" applyProtection="0"/>
    <xf numFmtId="0" fontId="32" fillId="24" borderId="470" applyNumberFormat="0" applyAlignment="0" applyProtection="0"/>
    <xf numFmtId="0" fontId="32" fillId="24" borderId="470" applyNumberFormat="0" applyAlignment="0" applyProtection="0"/>
    <xf numFmtId="0" fontId="32" fillId="24" borderId="470" applyNumberFormat="0" applyAlignment="0" applyProtection="0"/>
    <xf numFmtId="0" fontId="32" fillId="24" borderId="470" applyNumberFormat="0" applyAlignment="0" applyProtection="0"/>
    <xf numFmtId="0" fontId="32" fillId="24" borderId="470" applyNumberFormat="0" applyAlignment="0" applyProtection="0"/>
    <xf numFmtId="0" fontId="32" fillId="27" borderId="470" applyNumberFormat="0" applyAlignment="0" applyProtection="0"/>
    <xf numFmtId="0" fontId="32" fillId="24" borderId="470" applyNumberFormat="0" applyAlignment="0" applyProtection="0"/>
    <xf numFmtId="0" fontId="32" fillId="24" borderId="470" applyNumberFormat="0" applyAlignment="0" applyProtection="0"/>
    <xf numFmtId="0" fontId="32" fillId="24" borderId="470" applyNumberFormat="0" applyAlignment="0" applyProtection="0"/>
    <xf numFmtId="0" fontId="32" fillId="24" borderId="470" applyNumberFormat="0" applyAlignment="0" applyProtection="0"/>
    <xf numFmtId="0" fontId="32" fillId="24" borderId="470" applyNumberFormat="0" applyAlignment="0" applyProtection="0"/>
    <xf numFmtId="0" fontId="32" fillId="24" borderId="470" applyNumberFormat="0" applyAlignment="0" applyProtection="0"/>
    <xf numFmtId="0" fontId="32" fillId="24" borderId="470" applyNumberFormat="0" applyAlignment="0" applyProtection="0"/>
    <xf numFmtId="0" fontId="32" fillId="24" borderId="470" applyNumberFormat="0" applyAlignment="0" applyProtection="0"/>
    <xf numFmtId="0" fontId="32" fillId="24" borderId="470" applyNumberFormat="0" applyAlignment="0" applyProtection="0"/>
    <xf numFmtId="0" fontId="32" fillId="24" borderId="470" applyNumberFormat="0" applyAlignment="0" applyProtection="0"/>
    <xf numFmtId="0" fontId="32" fillId="24" borderId="470" applyNumberFormat="0" applyAlignment="0" applyProtection="0"/>
    <xf numFmtId="0" fontId="32" fillId="24" borderId="470" applyNumberFormat="0" applyAlignment="0" applyProtection="0"/>
    <xf numFmtId="0" fontId="32" fillId="24" borderId="470" applyNumberFormat="0" applyAlignment="0" applyProtection="0"/>
    <xf numFmtId="0" fontId="32" fillId="27" borderId="470" applyNumberFormat="0" applyAlignment="0" applyProtection="0"/>
    <xf numFmtId="0" fontId="32" fillId="24" borderId="470" applyNumberFormat="0" applyAlignment="0" applyProtection="0"/>
    <xf numFmtId="0" fontId="32" fillId="24" borderId="470" applyNumberFormat="0" applyAlignment="0" applyProtection="0"/>
    <xf numFmtId="0" fontId="32" fillId="24" borderId="470" applyNumberFormat="0" applyAlignment="0" applyProtection="0"/>
    <xf numFmtId="0" fontId="32" fillId="24" borderId="470" applyNumberFormat="0" applyAlignment="0" applyProtection="0"/>
    <xf numFmtId="0" fontId="32" fillId="24" borderId="470" applyNumberFormat="0" applyAlignment="0" applyProtection="0"/>
    <xf numFmtId="0" fontId="32" fillId="24" borderId="470" applyNumberFormat="0" applyAlignment="0" applyProtection="0"/>
    <xf numFmtId="0" fontId="32" fillId="24" borderId="470" applyNumberFormat="0" applyAlignment="0" applyProtection="0"/>
    <xf numFmtId="0" fontId="32" fillId="24" borderId="470" applyNumberFormat="0" applyAlignment="0" applyProtection="0"/>
    <xf numFmtId="0" fontId="32" fillId="24" borderId="470" applyNumberFormat="0" applyAlignment="0" applyProtection="0"/>
    <xf numFmtId="0" fontId="32" fillId="24" borderId="470" applyNumberFormat="0" applyAlignment="0" applyProtection="0"/>
    <xf numFmtId="0" fontId="32" fillId="24" borderId="470" applyNumberFormat="0" applyAlignment="0" applyProtection="0"/>
    <xf numFmtId="0" fontId="32" fillId="24" borderId="470" applyNumberFormat="0" applyAlignment="0" applyProtection="0"/>
    <xf numFmtId="0" fontId="32" fillId="24" borderId="470" applyNumberFormat="0" applyAlignment="0" applyProtection="0"/>
    <xf numFmtId="0" fontId="32" fillId="24" borderId="470" applyNumberFormat="0" applyAlignment="0" applyProtection="0"/>
    <xf numFmtId="0" fontId="32" fillId="24" borderId="470" applyNumberFormat="0" applyAlignment="0" applyProtection="0"/>
    <xf numFmtId="0" fontId="32" fillId="24" borderId="470" applyNumberFormat="0" applyAlignment="0" applyProtection="0"/>
    <xf numFmtId="0" fontId="32" fillId="24" borderId="470" applyNumberFormat="0" applyAlignment="0" applyProtection="0"/>
    <xf numFmtId="0" fontId="32" fillId="24" borderId="470" applyNumberFormat="0" applyAlignment="0" applyProtection="0"/>
    <xf numFmtId="0" fontId="32" fillId="24" borderId="470" applyNumberFormat="0" applyAlignment="0" applyProtection="0"/>
    <xf numFmtId="0" fontId="32" fillId="24" borderId="470" applyNumberFormat="0" applyAlignment="0" applyProtection="0"/>
    <xf numFmtId="0" fontId="32" fillId="24" borderId="470" applyNumberFormat="0" applyAlignment="0" applyProtection="0"/>
    <xf numFmtId="0" fontId="32" fillId="24" borderId="470" applyNumberFormat="0" applyAlignment="0" applyProtection="0"/>
    <xf numFmtId="0" fontId="77" fillId="0" borderId="164" applyNumberFormat="0" applyFill="0" applyAlignment="0" applyProtection="0"/>
    <xf numFmtId="0" fontId="77" fillId="0" borderId="164" applyNumberFormat="0" applyFill="0" applyAlignment="0" applyProtection="0"/>
    <xf numFmtId="0" fontId="77" fillId="0" borderId="164" applyNumberFormat="0" applyFill="0" applyAlignment="0" applyProtection="0"/>
    <xf numFmtId="0" fontId="77" fillId="0" borderId="164" applyNumberFormat="0" applyFill="0" applyAlignment="0" applyProtection="0"/>
    <xf numFmtId="0" fontId="77" fillId="0" borderId="164" applyNumberFormat="0" applyFill="0" applyAlignment="0" applyProtection="0"/>
    <xf numFmtId="0" fontId="77" fillId="0" borderId="164" applyNumberFormat="0" applyFill="0" applyAlignment="0" applyProtection="0"/>
    <xf numFmtId="0" fontId="77" fillId="0" borderId="164" applyNumberFormat="0" applyFill="0" applyAlignment="0" applyProtection="0"/>
    <xf numFmtId="0" fontId="77" fillId="0" borderId="164" applyNumberFormat="0" applyFill="0" applyAlignment="0" applyProtection="0"/>
    <xf numFmtId="0" fontId="77" fillId="0" borderId="164" applyNumberFormat="0" applyFill="0" applyAlignment="0" applyProtection="0"/>
    <xf numFmtId="0" fontId="77" fillId="0" borderId="164" applyNumberFormat="0" applyFill="0" applyAlignment="0" applyProtection="0"/>
    <xf numFmtId="0" fontId="77" fillId="0" borderId="164" applyNumberFormat="0" applyFill="0" applyAlignment="0" applyProtection="0"/>
    <xf numFmtId="0" fontId="77" fillId="0" borderId="164" applyNumberFormat="0" applyFill="0" applyAlignment="0" applyProtection="0"/>
    <xf numFmtId="0" fontId="77" fillId="0" borderId="164" applyNumberFormat="0" applyFill="0" applyAlignment="0" applyProtection="0"/>
    <xf numFmtId="0" fontId="77" fillId="0" borderId="164" applyNumberFormat="0" applyFill="0" applyAlignment="0" applyProtection="0"/>
    <xf numFmtId="0" fontId="77" fillId="0" borderId="164" applyNumberFormat="0" applyFill="0" applyAlignment="0" applyProtection="0"/>
    <xf numFmtId="0" fontId="77" fillId="0" borderId="164" applyNumberFormat="0" applyFill="0" applyAlignment="0" applyProtection="0"/>
    <xf numFmtId="0" fontId="77" fillId="0" borderId="164" applyNumberFormat="0" applyFill="0" applyAlignment="0" applyProtection="0"/>
    <xf numFmtId="0" fontId="77" fillId="0" borderId="164" applyNumberFormat="0" applyFill="0" applyAlignment="0" applyProtection="0"/>
    <xf numFmtId="0" fontId="77" fillId="0" borderId="164" applyNumberFormat="0" applyFill="0" applyAlignment="0" applyProtection="0"/>
    <xf numFmtId="0" fontId="35" fillId="0" borderId="109" applyNumberFormat="0" applyFill="0" applyAlignment="0" applyProtection="0"/>
    <xf numFmtId="0" fontId="77" fillId="0" borderId="164" applyNumberFormat="0" applyFill="0" applyAlignment="0" applyProtection="0"/>
    <xf numFmtId="0" fontId="77" fillId="0" borderId="164" applyNumberFormat="0" applyFill="0" applyAlignment="0" applyProtection="0"/>
    <xf numFmtId="0" fontId="77" fillId="0" borderId="164" applyNumberFormat="0" applyFill="0" applyAlignment="0" applyProtection="0"/>
    <xf numFmtId="0" fontId="77" fillId="0" borderId="164" applyNumberFormat="0" applyFill="0" applyAlignment="0" applyProtection="0"/>
    <xf numFmtId="0" fontId="77" fillId="0" borderId="164" applyNumberFormat="0" applyFill="0" applyAlignment="0" applyProtection="0"/>
    <xf numFmtId="0" fontId="77" fillId="0" borderId="164" applyNumberFormat="0" applyFill="0" applyAlignment="0" applyProtection="0"/>
    <xf numFmtId="0" fontId="77" fillId="0" borderId="164" applyNumberFormat="0" applyFill="0" applyAlignment="0" applyProtection="0"/>
    <xf numFmtId="0" fontId="77" fillId="0" borderId="164" applyNumberFormat="0" applyFill="0" applyAlignment="0" applyProtection="0"/>
    <xf numFmtId="0" fontId="77" fillId="0" borderId="164" applyNumberFormat="0" applyFill="0" applyAlignment="0" applyProtection="0"/>
    <xf numFmtId="0" fontId="77" fillId="0" borderId="164" applyNumberFormat="0" applyFill="0" applyAlignment="0" applyProtection="0"/>
    <xf numFmtId="0" fontId="77" fillId="0" borderId="164" applyNumberFormat="0" applyFill="0" applyAlignment="0" applyProtection="0"/>
    <xf numFmtId="0" fontId="77" fillId="0" borderId="164" applyNumberFormat="0" applyFill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38" fillId="27" borderId="0" applyNumberFormat="0" applyBorder="0" applyAlignment="0" applyProtection="0"/>
    <xf numFmtId="0" fontId="168" fillId="81" borderId="0" applyNumberFormat="0" applyBorder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78" fillId="27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177" fontId="133" fillId="0" borderId="0">
      <alignment vertical="center"/>
    </xf>
    <xf numFmtId="0" fontId="23" fillId="0" borderId="0"/>
    <xf numFmtId="0" fontId="1" fillId="0" borderId="0"/>
    <xf numFmtId="0" fontId="23" fillId="0" borderId="0"/>
    <xf numFmtId="177" fontId="133" fillId="0" borderId="0">
      <alignment vertical="center"/>
    </xf>
    <xf numFmtId="0" fontId="23" fillId="0" borderId="0"/>
    <xf numFmtId="0" fontId="1" fillId="0" borderId="0"/>
    <xf numFmtId="0" fontId="23" fillId="0" borderId="0"/>
    <xf numFmtId="0" fontId="6" fillId="0" borderId="0"/>
    <xf numFmtId="0" fontId="23" fillId="0" borderId="0"/>
    <xf numFmtId="0" fontId="1" fillId="0" borderId="0"/>
    <xf numFmtId="0" fontId="6" fillId="0" borderId="0" applyNumberFormat="0" applyFont="0" applyFill="0" applyBorder="0" applyAlignment="0" applyProtection="0"/>
    <xf numFmtId="0" fontId="6" fillId="0" borderId="0" applyNumberFormat="0" applyFont="0" applyFill="0" applyBorder="0" applyAlignment="0" applyProtection="0"/>
    <xf numFmtId="0" fontId="23" fillId="0" borderId="0"/>
    <xf numFmtId="0" fontId="19" fillId="0" borderId="0"/>
    <xf numFmtId="0" fontId="6" fillId="0" borderId="0"/>
    <xf numFmtId="0" fontId="23" fillId="0" borderId="0"/>
    <xf numFmtId="0" fontId="1" fillId="0" borderId="0"/>
    <xf numFmtId="0" fontId="6" fillId="0" borderId="0">
      <alignment vertical="top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top"/>
    </xf>
    <xf numFmtId="0" fontId="11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1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24" fillId="0" borderId="0"/>
    <xf numFmtId="193" fontId="133" fillId="0" borderId="0">
      <alignment vertical="center"/>
    </xf>
    <xf numFmtId="0" fontId="23" fillId="0" borderId="0"/>
    <xf numFmtId="0" fontId="12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6" fillId="0" borderId="0"/>
    <xf numFmtId="0" fontId="6" fillId="0" borderId="0"/>
    <xf numFmtId="0" fontId="6" fillId="0" borderId="0"/>
    <xf numFmtId="0" fontId="1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3" fillId="0" borderId="0"/>
    <xf numFmtId="0" fontId="23" fillId="0" borderId="0"/>
    <xf numFmtId="0" fontId="6" fillId="0" borderId="0"/>
    <xf numFmtId="0" fontId="6" fillId="0" borderId="0"/>
    <xf numFmtId="0" fontId="6" fillId="0" borderId="0"/>
    <xf numFmtId="0" fontId="2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6" fillId="0" borderId="0"/>
    <xf numFmtId="0" fontId="6" fillId="0" borderId="0"/>
    <xf numFmtId="0" fontId="23" fillId="0" borderId="0"/>
    <xf numFmtId="0" fontId="1" fillId="0" borderId="0"/>
    <xf numFmtId="0" fontId="6" fillId="0" borderId="0"/>
    <xf numFmtId="0" fontId="23" fillId="0" borderId="0"/>
    <xf numFmtId="0" fontId="23" fillId="0" borderId="0"/>
    <xf numFmtId="0" fontId="23" fillId="0" borderId="0"/>
    <xf numFmtId="0" fontId="6" fillId="0" borderId="0"/>
    <xf numFmtId="0" fontId="6" fillId="0" borderId="0"/>
    <xf numFmtId="0" fontId="23" fillId="0" borderId="0"/>
    <xf numFmtId="0" fontId="6" fillId="105" borderId="0" applyNumberFormat="0" applyFont="0" applyBorder="0" applyAlignment="0" applyProtection="0"/>
    <xf numFmtId="0" fontId="23" fillId="0" borderId="0"/>
    <xf numFmtId="0" fontId="6" fillId="0" borderId="0"/>
    <xf numFmtId="0" fontId="6" fillId="0" borderId="0" applyNumberFormat="0" applyFont="0" applyFill="0" applyBorder="0" applyAlignment="0" applyProtection="0"/>
    <xf numFmtId="0" fontId="23" fillId="0" borderId="0"/>
    <xf numFmtId="0" fontId="6" fillId="0" borderId="0"/>
    <xf numFmtId="0" fontId="23" fillId="0" borderId="0"/>
    <xf numFmtId="0" fontId="2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2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24" fillId="0" borderId="0"/>
    <xf numFmtId="0" fontId="6" fillId="0" borderId="0"/>
    <xf numFmtId="0" fontId="6" fillId="0" borderId="0"/>
    <xf numFmtId="0" fontId="23" fillId="0" borderId="0"/>
    <xf numFmtId="0" fontId="23" fillId="0" borderId="0"/>
    <xf numFmtId="0" fontId="23" fillId="0" borderId="0"/>
    <xf numFmtId="0" fontId="6" fillId="0" borderId="0"/>
    <xf numFmtId="0" fontId="23" fillId="0" borderId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23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23" fillId="23" borderId="471" applyNumberFormat="0" applyFont="0" applyAlignment="0" applyProtection="0"/>
    <xf numFmtId="0" fontId="23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23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23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23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23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23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0" fontId="23" fillId="23" borderId="471" applyNumberFormat="0" applyFont="0" applyAlignment="0" applyProtection="0"/>
    <xf numFmtId="0" fontId="6" fillId="23" borderId="471" applyNumberFormat="0" applyFont="0" applyAlignment="0" applyProtection="0"/>
    <xf numFmtId="0" fontId="6" fillId="23" borderId="471" applyNumberFormat="0" applyFont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0" fontId="33" fillId="57" borderId="472" applyNumberFormat="0" applyAlignment="0" applyProtection="0"/>
    <xf numFmtId="0" fontId="33" fillId="57" borderId="472" applyNumberFormat="0" applyAlignment="0" applyProtection="0"/>
    <xf numFmtId="0" fontId="33" fillId="57" borderId="472" applyNumberFormat="0" applyAlignment="0" applyProtection="0"/>
    <xf numFmtId="0" fontId="33" fillId="57" borderId="472" applyNumberFormat="0" applyAlignment="0" applyProtection="0"/>
    <xf numFmtId="0" fontId="33" fillId="57" borderId="472" applyNumberFormat="0" applyAlignment="0" applyProtection="0"/>
    <xf numFmtId="0" fontId="33" fillId="57" borderId="472" applyNumberFormat="0" applyAlignment="0" applyProtection="0"/>
    <xf numFmtId="0" fontId="33" fillId="57" borderId="472" applyNumberFormat="0" applyAlignment="0" applyProtection="0"/>
    <xf numFmtId="0" fontId="33" fillId="57" borderId="472" applyNumberFormat="0" applyAlignment="0" applyProtection="0"/>
    <xf numFmtId="0" fontId="33" fillId="57" borderId="472" applyNumberFormat="0" applyAlignment="0" applyProtection="0"/>
    <xf numFmtId="0" fontId="33" fillId="57" borderId="472" applyNumberFormat="0" applyAlignment="0" applyProtection="0"/>
    <xf numFmtId="0" fontId="33" fillId="57" borderId="472" applyNumberFormat="0" applyAlignment="0" applyProtection="0"/>
    <xf numFmtId="0" fontId="33" fillId="57" borderId="472" applyNumberFormat="0" applyAlignment="0" applyProtection="0"/>
    <xf numFmtId="0" fontId="33" fillId="57" borderId="472" applyNumberFormat="0" applyAlignment="0" applyProtection="0"/>
    <xf numFmtId="0" fontId="33" fillId="57" borderId="472" applyNumberFormat="0" applyAlignment="0" applyProtection="0"/>
    <xf numFmtId="0" fontId="33" fillId="57" borderId="472" applyNumberFormat="0" applyAlignment="0" applyProtection="0"/>
    <xf numFmtId="0" fontId="33" fillId="57" borderId="472" applyNumberFormat="0" applyAlignment="0" applyProtection="0"/>
    <xf numFmtId="0" fontId="33" fillId="57" borderId="472" applyNumberFormat="0" applyAlignment="0" applyProtection="0"/>
    <xf numFmtId="0" fontId="33" fillId="57" borderId="472" applyNumberFormat="0" applyAlignment="0" applyProtection="0"/>
    <xf numFmtId="0" fontId="33" fillId="57" borderId="472" applyNumberFormat="0" applyAlignment="0" applyProtection="0"/>
    <xf numFmtId="0" fontId="33" fillId="57" borderId="472" applyNumberFormat="0" applyAlignment="0" applyProtection="0"/>
    <xf numFmtId="0" fontId="33" fillId="57" borderId="472" applyNumberFormat="0" applyAlignment="0" applyProtection="0"/>
    <xf numFmtId="0" fontId="33" fillId="57" borderId="472" applyNumberFormat="0" applyAlignment="0" applyProtection="0"/>
    <xf numFmtId="0" fontId="33" fillId="26" borderId="472" applyNumberFormat="0" applyAlignment="0" applyProtection="0"/>
    <xf numFmtId="0" fontId="33" fillId="57" borderId="472" applyNumberFormat="0" applyAlignment="0" applyProtection="0"/>
    <xf numFmtId="0" fontId="33" fillId="57" borderId="472" applyNumberFormat="0" applyAlignment="0" applyProtection="0"/>
    <xf numFmtId="0" fontId="33" fillId="57" borderId="472" applyNumberFormat="0" applyAlignment="0" applyProtection="0"/>
    <xf numFmtId="0" fontId="33" fillId="57" borderId="472" applyNumberFormat="0" applyAlignment="0" applyProtection="0"/>
    <xf numFmtId="0" fontId="33" fillId="57" borderId="472" applyNumberFormat="0" applyAlignment="0" applyProtection="0"/>
    <xf numFmtId="0" fontId="33" fillId="57" borderId="472" applyNumberFormat="0" applyAlignment="0" applyProtection="0"/>
    <xf numFmtId="0" fontId="33" fillId="57" borderId="472" applyNumberFormat="0" applyAlignment="0" applyProtection="0"/>
    <xf numFmtId="0" fontId="33" fillId="57" borderId="472" applyNumberFormat="0" applyAlignment="0" applyProtection="0"/>
    <xf numFmtId="0" fontId="33" fillId="57" borderId="472" applyNumberFormat="0" applyAlignment="0" applyProtection="0"/>
    <xf numFmtId="0" fontId="33" fillId="57" borderId="472" applyNumberFormat="0" applyAlignment="0" applyProtection="0"/>
    <xf numFmtId="0" fontId="33" fillId="57" borderId="472" applyNumberFormat="0" applyAlignment="0" applyProtection="0"/>
    <xf numFmtId="0" fontId="33" fillId="57" borderId="472" applyNumberFormat="0" applyAlignment="0" applyProtection="0"/>
    <xf numFmtId="0" fontId="33" fillId="57" borderId="472" applyNumberFormat="0" applyAlignment="0" applyProtection="0"/>
    <xf numFmtId="0" fontId="33" fillId="57" borderId="472" applyNumberFormat="0" applyAlignment="0" applyProtection="0"/>
    <xf numFmtId="0" fontId="33" fillId="57" borderId="472" applyNumberFormat="0" applyAlignment="0" applyProtection="0"/>
    <xf numFmtId="0" fontId="33" fillId="57" borderId="472" applyNumberFormat="0" applyAlignment="0" applyProtection="0"/>
    <xf numFmtId="0" fontId="33" fillId="57" borderId="472" applyNumberFormat="0" applyAlignment="0" applyProtection="0"/>
    <xf numFmtId="0" fontId="33" fillId="57" borderId="472" applyNumberFormat="0" applyAlignment="0" applyProtection="0"/>
    <xf numFmtId="0" fontId="33" fillId="57" borderId="472" applyNumberFormat="0" applyAlignment="0" applyProtection="0"/>
    <xf numFmtId="0" fontId="33" fillId="57" borderId="472" applyNumberFormat="0" applyAlignment="0" applyProtection="0"/>
    <xf numFmtId="0" fontId="33" fillId="57" borderId="472" applyNumberFormat="0" applyAlignment="0" applyProtection="0"/>
    <xf numFmtId="0" fontId="33" fillId="57" borderId="472" applyNumberFormat="0" applyAlignment="0" applyProtection="0"/>
    <xf numFmtId="0" fontId="33" fillId="57" borderId="472" applyNumberFormat="0" applyAlignment="0" applyProtection="0"/>
    <xf numFmtId="191" fontId="22" fillId="104" borderId="468" applyNumberFormat="0" applyFont="0" applyBorder="0" applyAlignment="0" applyProtection="0">
      <alignment horizontal="right" vertical="center"/>
    </xf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9" borderId="477">
      <alignment horizontal="center" vertical="center" wrapText="1"/>
    </xf>
    <xf numFmtId="0" fontId="6" fillId="9" borderId="477">
      <alignment horizontal="center" vertical="center" wrapText="1"/>
    </xf>
    <xf numFmtId="0" fontId="6" fillId="12" borderId="478">
      <alignment horizontal="center" vertical="center" wrapText="1"/>
    </xf>
    <xf numFmtId="0" fontId="6" fillId="12" borderId="478">
      <alignment horizontal="center" vertical="center" wrapText="1"/>
    </xf>
    <xf numFmtId="0" fontId="22" fillId="0" borderId="480">
      <alignment horizontal="right" vertical="center"/>
    </xf>
    <xf numFmtId="0" fontId="73" fillId="57" borderId="479" applyNumberFormat="0" applyAlignment="0" applyProtection="0"/>
    <xf numFmtId="0" fontId="36" fillId="26" borderId="479" applyNumberFormat="0" applyAlignment="0" applyProtection="0"/>
    <xf numFmtId="0" fontId="36" fillId="26" borderId="479" applyNumberFormat="0" applyAlignment="0" applyProtection="0"/>
    <xf numFmtId="0" fontId="36" fillId="26" borderId="479" applyNumberFormat="0" applyAlignment="0" applyProtection="0"/>
    <xf numFmtId="0" fontId="36" fillId="26" borderId="479" applyNumberFormat="0" applyAlignment="0" applyProtection="0"/>
    <xf numFmtId="0" fontId="36" fillId="26" borderId="479" applyNumberFormat="0" applyAlignment="0" applyProtection="0"/>
    <xf numFmtId="0" fontId="36" fillId="26" borderId="479" applyNumberFormat="0" applyAlignment="0" applyProtection="0"/>
    <xf numFmtId="0" fontId="36" fillId="26" borderId="479" applyNumberFormat="0" applyAlignment="0" applyProtection="0"/>
    <xf numFmtId="0" fontId="36" fillId="26" borderId="479" applyNumberFormat="0" applyAlignment="0" applyProtection="0"/>
    <xf numFmtId="0" fontId="36" fillId="26" borderId="479" applyNumberFormat="0" applyAlignment="0" applyProtection="0"/>
    <xf numFmtId="0" fontId="36" fillId="26" borderId="479" applyNumberFormat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32" fillId="24" borderId="479" applyNumberFormat="0" applyAlignment="0" applyProtection="0"/>
    <xf numFmtId="0" fontId="32" fillId="27" borderId="479" applyNumberFormat="0" applyAlignment="0" applyProtection="0"/>
    <xf numFmtId="0" fontId="32" fillId="27" borderId="479" applyNumberFormat="0" applyAlignment="0" applyProtection="0"/>
    <xf numFmtId="0" fontId="32" fillId="27" borderId="479" applyNumberFormat="0" applyAlignment="0" applyProtection="0"/>
    <xf numFmtId="0" fontId="32" fillId="27" borderId="479" applyNumberFormat="0" applyAlignment="0" applyProtection="0"/>
    <xf numFmtId="0" fontId="32" fillId="27" borderId="479" applyNumberFormat="0" applyAlignment="0" applyProtection="0"/>
    <xf numFmtId="0" fontId="32" fillId="27" borderId="479" applyNumberFormat="0" applyAlignment="0" applyProtection="0"/>
    <xf numFmtId="0" fontId="32" fillId="27" borderId="479" applyNumberFormat="0" applyAlignment="0" applyProtection="0"/>
    <xf numFmtId="0" fontId="32" fillId="27" borderId="479" applyNumberFormat="0" applyAlignment="0" applyProtection="0"/>
    <xf numFmtId="0" fontId="32" fillId="27" borderId="479" applyNumberFormat="0" applyAlignment="0" applyProtection="0"/>
    <xf numFmtId="0" fontId="32" fillId="27" borderId="479" applyNumberFormat="0" applyAlignment="0" applyProtection="0"/>
    <xf numFmtId="0" fontId="6" fillId="0" borderId="0"/>
    <xf numFmtId="191" fontId="22" fillId="104" borderId="480" applyNumberFormat="0" applyFont="0" applyBorder="0" applyAlignment="0" applyProtection="0">
      <alignment horizontal="right" vertical="center"/>
    </xf>
    <xf numFmtId="0" fontId="22" fillId="0" borderId="480" applyNumberFormat="0" applyFill="0" applyAlignment="0" applyProtection="0"/>
    <xf numFmtId="4" fontId="22" fillId="0" borderId="480" applyFill="0" applyBorder="0" applyProtection="0">
      <alignment horizontal="right" vertical="center"/>
    </xf>
    <xf numFmtId="0" fontId="81" fillId="58" borderId="480">
      <alignment horizontal="right" vertical="center"/>
    </xf>
    <xf numFmtId="0" fontId="81" fillId="58" borderId="480">
      <alignment horizontal="right" vertical="center"/>
    </xf>
    <xf numFmtId="0" fontId="128" fillId="36" borderId="480">
      <alignment horizontal="right" vertical="center"/>
    </xf>
    <xf numFmtId="0" fontId="81" fillId="36" borderId="480">
      <alignment horizontal="right" vertical="center"/>
    </xf>
    <xf numFmtId="0" fontId="73" fillId="57" borderId="479" applyNumberFormat="0" applyAlignment="0" applyProtection="0"/>
    <xf numFmtId="0" fontId="73" fillId="57" borderId="479" applyNumberFormat="0" applyAlignment="0" applyProtection="0"/>
    <xf numFmtId="0" fontId="73" fillId="57" borderId="479" applyNumberFormat="0" applyAlignment="0" applyProtection="0"/>
    <xf numFmtId="0" fontId="73" fillId="57" borderId="479" applyNumberFormat="0" applyAlignment="0" applyProtection="0"/>
    <xf numFmtId="0" fontId="73" fillId="57" borderId="479" applyNumberFormat="0" applyAlignment="0" applyProtection="0"/>
    <xf numFmtId="0" fontId="73" fillId="57" borderId="479" applyNumberFormat="0" applyAlignment="0" applyProtection="0"/>
    <xf numFmtId="0" fontId="73" fillId="57" borderId="479" applyNumberFormat="0" applyAlignment="0" applyProtection="0"/>
    <xf numFmtId="0" fontId="73" fillId="57" borderId="479" applyNumberFormat="0" applyAlignment="0" applyProtection="0"/>
    <xf numFmtId="0" fontId="73" fillId="57" borderId="479" applyNumberFormat="0" applyAlignment="0" applyProtection="0"/>
    <xf numFmtId="0" fontId="73" fillId="57" borderId="479" applyNumberFormat="0" applyAlignment="0" applyProtection="0"/>
    <xf numFmtId="0" fontId="73" fillId="57" borderId="479" applyNumberFormat="0" applyAlignment="0" applyProtection="0"/>
    <xf numFmtId="0" fontId="73" fillId="57" borderId="479" applyNumberFormat="0" applyAlignment="0" applyProtection="0"/>
    <xf numFmtId="0" fontId="73" fillId="57" borderId="479" applyNumberFormat="0" applyAlignment="0" applyProtection="0"/>
    <xf numFmtId="0" fontId="73" fillId="57" borderId="479" applyNumberFormat="0" applyAlignment="0" applyProtection="0"/>
    <xf numFmtId="0" fontId="73" fillId="57" borderId="479" applyNumberFormat="0" applyAlignment="0" applyProtection="0"/>
    <xf numFmtId="0" fontId="73" fillId="57" borderId="479" applyNumberFormat="0" applyAlignment="0" applyProtection="0"/>
    <xf numFmtId="0" fontId="73" fillId="57" borderId="479" applyNumberFormat="0" applyAlignment="0" applyProtection="0"/>
    <xf numFmtId="0" fontId="73" fillId="57" borderId="479" applyNumberFormat="0" applyAlignment="0" applyProtection="0"/>
    <xf numFmtId="0" fontId="73" fillId="57" borderId="479" applyNumberFormat="0" applyAlignment="0" applyProtection="0"/>
    <xf numFmtId="0" fontId="73" fillId="57" borderId="479" applyNumberFormat="0" applyAlignment="0" applyProtection="0"/>
    <xf numFmtId="0" fontId="73" fillId="57" borderId="479" applyNumberFormat="0" applyAlignment="0" applyProtection="0"/>
    <xf numFmtId="0" fontId="73" fillId="57" borderId="479" applyNumberFormat="0" applyAlignment="0" applyProtection="0"/>
    <xf numFmtId="0" fontId="73" fillId="57" borderId="479" applyNumberFormat="0" applyAlignment="0" applyProtection="0"/>
    <xf numFmtId="0" fontId="73" fillId="57" borderId="479" applyNumberFormat="0" applyAlignment="0" applyProtection="0"/>
    <xf numFmtId="0" fontId="36" fillId="26" borderId="479" applyNumberFormat="0" applyAlignment="0" applyProtection="0"/>
    <xf numFmtId="0" fontId="73" fillId="57" borderId="479" applyNumberFormat="0" applyAlignment="0" applyProtection="0"/>
    <xf numFmtId="0" fontId="73" fillId="57" borderId="479" applyNumberFormat="0" applyAlignment="0" applyProtection="0"/>
    <xf numFmtId="0" fontId="73" fillId="57" borderId="479" applyNumberFormat="0" applyAlignment="0" applyProtection="0"/>
    <xf numFmtId="0" fontId="73" fillId="57" borderId="479" applyNumberFormat="0" applyAlignment="0" applyProtection="0"/>
    <xf numFmtId="0" fontId="73" fillId="57" borderId="479" applyNumberFormat="0" applyAlignment="0" applyProtection="0"/>
    <xf numFmtId="0" fontId="73" fillId="57" borderId="479" applyNumberFormat="0" applyAlignment="0" applyProtection="0"/>
    <xf numFmtId="0" fontId="73" fillId="57" borderId="479" applyNumberFormat="0" applyAlignment="0" applyProtection="0"/>
    <xf numFmtId="0" fontId="73" fillId="57" borderId="479" applyNumberFormat="0" applyAlignment="0" applyProtection="0"/>
    <xf numFmtId="0" fontId="73" fillId="57" borderId="479" applyNumberFormat="0" applyAlignment="0" applyProtection="0"/>
    <xf numFmtId="0" fontId="73" fillId="57" borderId="479" applyNumberFormat="0" applyAlignment="0" applyProtection="0"/>
    <xf numFmtId="0" fontId="73" fillId="57" borderId="479" applyNumberFormat="0" applyAlignment="0" applyProtection="0"/>
    <xf numFmtId="0" fontId="73" fillId="57" borderId="479" applyNumberFormat="0" applyAlignment="0" applyProtection="0"/>
    <xf numFmtId="0" fontId="73" fillId="57" borderId="479" applyNumberFormat="0" applyAlignment="0" applyProtection="0"/>
    <xf numFmtId="0" fontId="73" fillId="57" borderId="479" applyNumberFormat="0" applyAlignment="0" applyProtection="0"/>
    <xf numFmtId="0" fontId="73" fillId="57" borderId="479" applyNumberFormat="0" applyAlignment="0" applyProtection="0"/>
    <xf numFmtId="0" fontId="73" fillId="57" borderId="479" applyNumberFormat="0" applyAlignment="0" applyProtection="0"/>
    <xf numFmtId="0" fontId="73" fillId="57" borderId="479" applyNumberFormat="0" applyAlignment="0" applyProtection="0"/>
    <xf numFmtId="0" fontId="73" fillId="57" borderId="479" applyNumberFormat="0" applyAlignment="0" applyProtection="0"/>
    <xf numFmtId="0" fontId="73" fillId="57" borderId="479" applyNumberFormat="0" applyAlignment="0" applyProtection="0"/>
    <xf numFmtId="0" fontId="73" fillId="57" borderId="479" applyNumberFormat="0" applyAlignment="0" applyProtection="0"/>
    <xf numFmtId="0" fontId="73" fillId="57" borderId="479" applyNumberFormat="0" applyAlignment="0" applyProtection="0"/>
    <xf numFmtId="0" fontId="73" fillId="57" borderId="479" applyNumberFormat="0" applyAlignment="0" applyProtection="0"/>
    <xf numFmtId="0" fontId="73" fillId="57" borderId="479" applyNumberFormat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32" fillId="24" borderId="479" applyNumberFormat="0" applyAlignment="0" applyProtection="0"/>
    <xf numFmtId="0" fontId="32" fillId="24" borderId="479" applyNumberFormat="0" applyAlignment="0" applyProtection="0"/>
    <xf numFmtId="0" fontId="32" fillId="24" borderId="479" applyNumberFormat="0" applyAlignment="0" applyProtection="0"/>
    <xf numFmtId="0" fontId="32" fillId="24" borderId="479" applyNumberFormat="0" applyAlignment="0" applyProtection="0"/>
    <xf numFmtId="0" fontId="32" fillId="24" borderId="479" applyNumberFormat="0" applyAlignment="0" applyProtection="0"/>
    <xf numFmtId="0" fontId="32" fillId="24" borderId="479" applyNumberFormat="0" applyAlignment="0" applyProtection="0"/>
    <xf numFmtId="0" fontId="32" fillId="24" borderId="479" applyNumberFormat="0" applyAlignment="0" applyProtection="0"/>
    <xf numFmtId="0" fontId="32" fillId="24" borderId="479" applyNumberFormat="0" applyAlignment="0" applyProtection="0"/>
    <xf numFmtId="0" fontId="32" fillId="24" borderId="479" applyNumberFormat="0" applyAlignment="0" applyProtection="0"/>
    <xf numFmtId="0" fontId="32" fillId="24" borderId="479" applyNumberFormat="0" applyAlignment="0" applyProtection="0"/>
    <xf numFmtId="0" fontId="32" fillId="24" borderId="479" applyNumberFormat="0" applyAlignment="0" applyProtection="0"/>
    <xf numFmtId="0" fontId="32" fillId="24" borderId="479" applyNumberFormat="0" applyAlignment="0" applyProtection="0"/>
    <xf numFmtId="0" fontId="32" fillId="24" borderId="479" applyNumberFormat="0" applyAlignment="0" applyProtection="0"/>
    <xf numFmtId="0" fontId="32" fillId="27" borderId="479" applyNumberFormat="0" applyAlignment="0" applyProtection="0"/>
    <xf numFmtId="0" fontId="32" fillId="24" borderId="479" applyNumberFormat="0" applyAlignment="0" applyProtection="0"/>
    <xf numFmtId="0" fontId="32" fillId="24" borderId="479" applyNumberFormat="0" applyAlignment="0" applyProtection="0"/>
    <xf numFmtId="0" fontId="32" fillId="24" borderId="479" applyNumberFormat="0" applyAlignment="0" applyProtection="0"/>
    <xf numFmtId="0" fontId="32" fillId="24" borderId="479" applyNumberFormat="0" applyAlignment="0" applyProtection="0"/>
    <xf numFmtId="0" fontId="32" fillId="24" borderId="479" applyNumberFormat="0" applyAlignment="0" applyProtection="0"/>
    <xf numFmtId="0" fontId="32" fillId="24" borderId="479" applyNumberFormat="0" applyAlignment="0" applyProtection="0"/>
    <xf numFmtId="0" fontId="32" fillId="24" borderId="479" applyNumberFormat="0" applyAlignment="0" applyProtection="0"/>
    <xf numFmtId="0" fontId="32" fillId="24" borderId="479" applyNumberFormat="0" applyAlignment="0" applyProtection="0"/>
    <xf numFmtId="0" fontId="32" fillId="24" borderId="479" applyNumberFormat="0" applyAlignment="0" applyProtection="0"/>
    <xf numFmtId="0" fontId="32" fillId="24" borderId="479" applyNumberFormat="0" applyAlignment="0" applyProtection="0"/>
    <xf numFmtId="0" fontId="32" fillId="24" borderId="479" applyNumberFormat="0" applyAlignment="0" applyProtection="0"/>
    <xf numFmtId="0" fontId="32" fillId="24" borderId="479" applyNumberFormat="0" applyAlignment="0" applyProtection="0"/>
    <xf numFmtId="0" fontId="32" fillId="27" borderId="479" applyNumberFormat="0" applyAlignment="0" applyProtection="0"/>
    <xf numFmtId="0" fontId="32" fillId="24" borderId="479" applyNumberFormat="0" applyAlignment="0" applyProtection="0"/>
    <xf numFmtId="0" fontId="32" fillId="24" borderId="479" applyNumberFormat="0" applyAlignment="0" applyProtection="0"/>
    <xf numFmtId="0" fontId="32" fillId="24" borderId="479" applyNumberFormat="0" applyAlignment="0" applyProtection="0"/>
    <xf numFmtId="0" fontId="32" fillId="24" borderId="479" applyNumberFormat="0" applyAlignment="0" applyProtection="0"/>
    <xf numFmtId="0" fontId="32" fillId="24" borderId="479" applyNumberFormat="0" applyAlignment="0" applyProtection="0"/>
    <xf numFmtId="0" fontId="32" fillId="24" borderId="479" applyNumberFormat="0" applyAlignment="0" applyProtection="0"/>
    <xf numFmtId="0" fontId="32" fillId="24" borderId="479" applyNumberFormat="0" applyAlignment="0" applyProtection="0"/>
    <xf numFmtId="0" fontId="32" fillId="24" borderId="479" applyNumberFormat="0" applyAlignment="0" applyProtection="0"/>
    <xf numFmtId="0" fontId="32" fillId="24" borderId="479" applyNumberFormat="0" applyAlignment="0" applyProtection="0"/>
    <xf numFmtId="0" fontId="32" fillId="24" borderId="479" applyNumberFormat="0" applyAlignment="0" applyProtection="0"/>
    <xf numFmtId="0" fontId="32" fillId="24" borderId="479" applyNumberFormat="0" applyAlignment="0" applyProtection="0"/>
    <xf numFmtId="0" fontId="32" fillId="24" borderId="479" applyNumberFormat="0" applyAlignment="0" applyProtection="0"/>
    <xf numFmtId="0" fontId="32" fillId="24" borderId="479" applyNumberFormat="0" applyAlignment="0" applyProtection="0"/>
    <xf numFmtId="0" fontId="32" fillId="24" borderId="479" applyNumberFormat="0" applyAlignment="0" applyProtection="0"/>
    <xf numFmtId="0" fontId="32" fillId="24" borderId="479" applyNumberFormat="0" applyAlignment="0" applyProtection="0"/>
    <xf numFmtId="0" fontId="32" fillId="24" borderId="479" applyNumberFormat="0" applyAlignment="0" applyProtection="0"/>
    <xf numFmtId="0" fontId="32" fillId="24" borderId="479" applyNumberFormat="0" applyAlignment="0" applyProtection="0"/>
    <xf numFmtId="0" fontId="32" fillId="24" borderId="479" applyNumberFormat="0" applyAlignment="0" applyProtection="0"/>
    <xf numFmtId="0" fontId="32" fillId="24" borderId="479" applyNumberFormat="0" applyAlignment="0" applyProtection="0"/>
    <xf numFmtId="0" fontId="32" fillId="24" borderId="479" applyNumberFormat="0" applyAlignment="0" applyProtection="0"/>
    <xf numFmtId="0" fontId="32" fillId="24" borderId="479" applyNumberFormat="0" applyAlignment="0" applyProtection="0"/>
    <xf numFmtId="0" fontId="6" fillId="0" borderId="0"/>
    <xf numFmtId="49" fontId="22" fillId="0" borderId="480" applyNumberFormat="0" applyFont="0" applyFill="0" applyBorder="0" applyProtection="0">
      <alignment horizontal="left" vertical="center" indent="2"/>
    </xf>
    <xf numFmtId="0" fontId="23" fillId="58" borderId="480"/>
    <xf numFmtId="0" fontId="23" fillId="103" borderId="480"/>
    <xf numFmtId="0" fontId="6" fillId="0" borderId="0"/>
  </cellStyleXfs>
  <cellXfs count="1834">
    <xf numFmtId="0" fontId="0" fillId="0" borderId="0" xfId="0"/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2" fillId="0" borderId="3" xfId="0" applyFont="1" applyBorder="1"/>
    <xf numFmtId="0" fontId="2" fillId="0" borderId="0" xfId="0" applyFont="1" applyBorder="1"/>
    <xf numFmtId="0" fontId="2" fillId="0" borderId="4" xfId="0" applyFont="1" applyBorder="1"/>
    <xf numFmtId="0" fontId="0" fillId="0" borderId="0" xfId="0" applyBorder="1"/>
    <xf numFmtId="1" fontId="0" fillId="0" borderId="0" xfId="0" applyNumberFormat="1" applyBorder="1"/>
    <xf numFmtId="0" fontId="4" fillId="0" borderId="0" xfId="0" applyFont="1"/>
    <xf numFmtId="0" fontId="3" fillId="0" borderId="0" xfId="0" applyFont="1" applyBorder="1" applyAlignment="1">
      <alignment horizontal="center"/>
    </xf>
    <xf numFmtId="0" fontId="2" fillId="0" borderId="23" xfId="0" applyFont="1" applyBorder="1"/>
    <xf numFmtId="0" fontId="2" fillId="0" borderId="24" xfId="0" applyFont="1" applyBorder="1"/>
    <xf numFmtId="0" fontId="2" fillId="4" borderId="3" xfId="0" applyFont="1" applyFill="1" applyBorder="1"/>
    <xf numFmtId="0" fontId="2" fillId="4" borderId="0" xfId="0" applyFont="1" applyFill="1" applyBorder="1"/>
    <xf numFmtId="0" fontId="2" fillId="4" borderId="4" xfId="0" applyFont="1" applyFill="1" applyBorder="1"/>
    <xf numFmtId="0" fontId="0" fillId="4" borderId="11" xfId="0" applyFill="1" applyBorder="1"/>
    <xf numFmtId="0" fontId="0" fillId="4" borderId="12" xfId="0" applyFill="1" applyBorder="1"/>
    <xf numFmtId="0" fontId="2" fillId="4" borderId="3" xfId="0" applyFont="1" applyFill="1" applyBorder="1" applyAlignment="1">
      <alignment horizontal="center" vertical="center"/>
    </xf>
    <xf numFmtId="0" fontId="0" fillId="4" borderId="14" xfId="0" applyFill="1" applyBorder="1"/>
    <xf numFmtId="0" fontId="0" fillId="4" borderId="0" xfId="0" applyFill="1" applyBorder="1"/>
    <xf numFmtId="0" fontId="2" fillId="4" borderId="5" xfId="0" applyFont="1" applyFill="1" applyBorder="1" applyAlignment="1">
      <alignment horizontal="center" vertical="center"/>
    </xf>
    <xf numFmtId="0" fontId="0" fillId="4" borderId="15" xfId="0" applyFill="1" applyBorder="1"/>
    <xf numFmtId="0" fontId="0" fillId="4" borderId="16" xfId="0" applyFill="1" applyBorder="1"/>
    <xf numFmtId="0" fontId="2" fillId="5" borderId="3" xfId="0" applyFont="1" applyFill="1" applyBorder="1"/>
    <xf numFmtId="0" fontId="2" fillId="5" borderId="0" xfId="0" applyFont="1" applyFill="1" applyBorder="1"/>
    <xf numFmtId="0" fontId="2" fillId="5" borderId="4" xfId="0" applyFont="1" applyFill="1" applyBorder="1"/>
    <xf numFmtId="0" fontId="2" fillId="5" borderId="17" xfId="0" applyFont="1" applyFill="1" applyBorder="1" applyAlignment="1">
      <alignment horizontal="center" vertical="center"/>
    </xf>
    <xf numFmtId="0" fontId="0" fillId="5" borderId="11" xfId="0" applyFill="1" applyBorder="1"/>
    <xf numFmtId="0" fontId="0" fillId="5" borderId="12" xfId="0" applyFill="1" applyBorder="1"/>
    <xf numFmtId="0" fontId="0" fillId="5" borderId="13" xfId="0" applyFill="1" applyBorder="1"/>
    <xf numFmtId="0" fontId="2" fillId="5" borderId="3" xfId="0" applyFont="1" applyFill="1" applyBorder="1" applyAlignment="1">
      <alignment horizontal="center" vertical="center"/>
    </xf>
    <xf numFmtId="0" fontId="0" fillId="5" borderId="14" xfId="0" applyFill="1" applyBorder="1"/>
    <xf numFmtId="0" fontId="0" fillId="5" borderId="0" xfId="0" applyFill="1" applyBorder="1"/>
    <xf numFmtId="0" fontId="0" fillId="5" borderId="4" xfId="0" applyFill="1" applyBorder="1"/>
    <xf numFmtId="0" fontId="2" fillId="5" borderId="5" xfId="0" applyFont="1" applyFill="1" applyBorder="1" applyAlignment="1">
      <alignment horizontal="center" vertical="center"/>
    </xf>
    <xf numFmtId="0" fontId="0" fillId="5" borderId="15" xfId="0" applyFill="1" applyBorder="1"/>
    <xf numFmtId="0" fontId="0" fillId="5" borderId="16" xfId="0" applyFill="1" applyBorder="1"/>
    <xf numFmtId="0" fontId="0" fillId="5" borderId="6" xfId="0" applyFill="1" applyBorder="1"/>
    <xf numFmtId="0" fontId="2" fillId="6" borderId="3" xfId="0" applyFont="1" applyFill="1" applyBorder="1" applyAlignment="1">
      <alignment horizontal="center" vertical="center"/>
    </xf>
    <xf numFmtId="0" fontId="2" fillId="5" borderId="23" xfId="0" applyFont="1" applyFill="1" applyBorder="1"/>
    <xf numFmtId="0" fontId="2" fillId="5" borderId="24" xfId="0" applyFont="1" applyFill="1" applyBorder="1"/>
    <xf numFmtId="0" fontId="2" fillId="5" borderId="10" xfId="0" applyFont="1" applyFill="1" applyBorder="1" applyAlignment="1">
      <alignment horizontal="center" vertical="center"/>
    </xf>
    <xf numFmtId="3" fontId="0" fillId="5" borderId="12" xfId="0" applyNumberFormat="1" applyFill="1" applyBorder="1"/>
    <xf numFmtId="2" fontId="0" fillId="5" borderId="21" xfId="0" applyNumberFormat="1" applyFill="1" applyBorder="1" applyAlignment="1">
      <alignment horizontal="center"/>
    </xf>
    <xf numFmtId="1" fontId="0" fillId="5" borderId="18" xfId="0" applyNumberFormat="1" applyFill="1" applyBorder="1" applyAlignment="1">
      <alignment horizontal="center"/>
    </xf>
    <xf numFmtId="2" fontId="0" fillId="5" borderId="22" xfId="0" applyNumberFormat="1" applyFill="1" applyBorder="1" applyAlignment="1">
      <alignment horizontal="center"/>
    </xf>
    <xf numFmtId="1" fontId="0" fillId="5" borderId="19" xfId="0" applyNumberFormat="1" applyFill="1" applyBorder="1" applyAlignment="1">
      <alignment horizontal="center"/>
    </xf>
    <xf numFmtId="0" fontId="2" fillId="4" borderId="10" xfId="0" applyFont="1" applyFill="1" applyBorder="1" applyAlignment="1">
      <alignment horizontal="center" vertical="center"/>
    </xf>
    <xf numFmtId="1" fontId="0" fillId="4" borderId="11" xfId="0" applyNumberFormat="1" applyFill="1" applyBorder="1"/>
    <xf numFmtId="1" fontId="0" fillId="4" borderId="12" xfId="0" applyNumberFormat="1" applyFill="1" applyBorder="1"/>
    <xf numFmtId="1" fontId="0" fillId="4" borderId="13" xfId="0" applyNumberFormat="1" applyFill="1" applyBorder="1"/>
    <xf numFmtId="1" fontId="0" fillId="4" borderId="14" xfId="0" applyNumberFormat="1" applyFill="1" applyBorder="1"/>
    <xf numFmtId="1" fontId="0" fillId="4" borderId="0" xfId="0" applyNumberFormat="1" applyFill="1" applyBorder="1"/>
    <xf numFmtId="1" fontId="0" fillId="4" borderId="4" xfId="0" applyNumberFormat="1" applyFill="1" applyBorder="1"/>
    <xf numFmtId="1" fontId="0" fillId="4" borderId="15" xfId="0" applyNumberFormat="1" applyFill="1" applyBorder="1"/>
    <xf numFmtId="1" fontId="0" fillId="4" borderId="16" xfId="0" applyNumberFormat="1" applyFill="1" applyBorder="1"/>
    <xf numFmtId="1" fontId="0" fillId="4" borderId="6" xfId="0" applyNumberFormat="1" applyFill="1" applyBorder="1"/>
    <xf numFmtId="0" fontId="2" fillId="8" borderId="3" xfId="0" applyFont="1" applyFill="1" applyBorder="1"/>
    <xf numFmtId="0" fontId="2" fillId="8" borderId="0" xfId="0" applyFont="1" applyFill="1" applyBorder="1"/>
    <xf numFmtId="0" fontId="2" fillId="8" borderId="4" xfId="0" applyFont="1" applyFill="1" applyBorder="1"/>
    <xf numFmtId="0" fontId="2" fillId="8" borderId="23" xfId="0" applyFont="1" applyFill="1" applyBorder="1"/>
    <xf numFmtId="0" fontId="2" fillId="8" borderId="24" xfId="0" applyFont="1" applyFill="1" applyBorder="1"/>
    <xf numFmtId="0" fontId="2" fillId="8" borderId="10" xfId="0" applyFont="1" applyFill="1" applyBorder="1" applyAlignment="1">
      <alignment horizontal="center" vertical="center"/>
    </xf>
    <xf numFmtId="0" fontId="0" fillId="8" borderId="11" xfId="0" applyFill="1" applyBorder="1"/>
    <xf numFmtId="0" fontId="0" fillId="8" borderId="12" xfId="0" applyFill="1" applyBorder="1"/>
    <xf numFmtId="3" fontId="0" fillId="8" borderId="12" xfId="0" applyNumberFormat="1" applyFill="1" applyBorder="1"/>
    <xf numFmtId="2" fontId="0" fillId="8" borderId="21" xfId="0" applyNumberFormat="1" applyFill="1" applyBorder="1" applyAlignment="1">
      <alignment horizontal="center"/>
    </xf>
    <xf numFmtId="1" fontId="0" fillId="8" borderId="18" xfId="0" applyNumberFormat="1" applyFill="1" applyBorder="1" applyAlignment="1">
      <alignment horizontal="center"/>
    </xf>
    <xf numFmtId="0" fontId="2" fillId="8" borderId="3" xfId="0" applyFont="1" applyFill="1" applyBorder="1" applyAlignment="1">
      <alignment horizontal="center" vertical="center"/>
    </xf>
    <xf numFmtId="0" fontId="0" fillId="8" borderId="14" xfId="0" applyFill="1" applyBorder="1"/>
    <xf numFmtId="0" fontId="0" fillId="8" borderId="0" xfId="0" applyFill="1" applyBorder="1"/>
    <xf numFmtId="0" fontId="2" fillId="8" borderId="5" xfId="0" applyFont="1" applyFill="1" applyBorder="1" applyAlignment="1">
      <alignment horizontal="center" vertical="center"/>
    </xf>
    <xf numFmtId="0" fontId="0" fillId="8" borderId="15" xfId="0" applyFill="1" applyBorder="1"/>
    <xf numFmtId="0" fontId="0" fillId="8" borderId="16" xfId="0" applyFill="1" applyBorder="1"/>
    <xf numFmtId="2" fontId="0" fillId="8" borderId="22" xfId="0" applyNumberFormat="1" applyFill="1" applyBorder="1" applyAlignment="1">
      <alignment horizontal="center"/>
    </xf>
    <xf numFmtId="1" fontId="0" fillId="8" borderId="19" xfId="0" applyNumberFormat="1" applyFill="1" applyBorder="1" applyAlignment="1">
      <alignment horizontal="center"/>
    </xf>
    <xf numFmtId="0" fontId="2" fillId="4" borderId="23" xfId="0" applyFont="1" applyFill="1" applyBorder="1"/>
    <xf numFmtId="0" fontId="2" fillId="4" borderId="24" xfId="0" applyFont="1" applyFill="1" applyBorder="1"/>
    <xf numFmtId="3" fontId="0" fillId="4" borderId="12" xfId="0" applyNumberFormat="1" applyFill="1" applyBorder="1"/>
    <xf numFmtId="2" fontId="0" fillId="4" borderId="21" xfId="0" applyNumberFormat="1" applyFill="1" applyBorder="1" applyAlignment="1">
      <alignment horizontal="center"/>
    </xf>
    <xf numFmtId="1" fontId="0" fillId="4" borderId="18" xfId="0" applyNumberFormat="1" applyFill="1" applyBorder="1" applyAlignment="1">
      <alignment horizontal="center"/>
    </xf>
    <xf numFmtId="2" fontId="0" fillId="4" borderId="22" xfId="0" applyNumberFormat="1" applyFill="1" applyBorder="1" applyAlignment="1">
      <alignment horizontal="center"/>
    </xf>
    <xf numFmtId="1" fontId="0" fillId="4" borderId="19" xfId="0" applyNumberFormat="1" applyFill="1" applyBorder="1" applyAlignment="1">
      <alignment horizontal="center"/>
    </xf>
    <xf numFmtId="0" fontId="2" fillId="10" borderId="3" xfId="0" applyFont="1" applyFill="1" applyBorder="1"/>
    <xf numFmtId="0" fontId="2" fillId="10" borderId="0" xfId="0" applyFont="1" applyFill="1" applyBorder="1"/>
    <xf numFmtId="0" fontId="2" fillId="10" borderId="4" xfId="0" applyFont="1" applyFill="1" applyBorder="1"/>
    <xf numFmtId="0" fontId="2" fillId="10" borderId="10" xfId="0" applyFont="1" applyFill="1" applyBorder="1" applyAlignment="1">
      <alignment horizontal="center" vertical="center"/>
    </xf>
    <xf numFmtId="1" fontId="0" fillId="10" borderId="11" xfId="0" applyNumberFormat="1" applyFill="1" applyBorder="1"/>
    <xf numFmtId="1" fontId="0" fillId="10" borderId="12" xfId="0" applyNumberFormat="1" applyFill="1" applyBorder="1"/>
    <xf numFmtId="1" fontId="0" fillId="10" borderId="13" xfId="0" applyNumberFormat="1" applyFill="1" applyBorder="1"/>
    <xf numFmtId="0" fontId="2" fillId="10" borderId="3" xfId="0" applyFont="1" applyFill="1" applyBorder="1" applyAlignment="1">
      <alignment horizontal="center" vertical="center"/>
    </xf>
    <xf numFmtId="1" fontId="0" fillId="10" borderId="14" xfId="0" applyNumberFormat="1" applyFill="1" applyBorder="1"/>
    <xf numFmtId="1" fontId="0" fillId="10" borderId="0" xfId="0" applyNumberFormat="1" applyFill="1" applyBorder="1"/>
    <xf numFmtId="1" fontId="0" fillId="10" borderId="4" xfId="0" applyNumberFormat="1" applyFill="1" applyBorder="1"/>
    <xf numFmtId="0" fontId="0" fillId="10" borderId="11" xfId="0" applyFill="1" applyBorder="1"/>
    <xf numFmtId="0" fontId="0" fillId="10" borderId="12" xfId="0" applyFill="1" applyBorder="1"/>
    <xf numFmtId="3" fontId="0" fillId="10" borderId="12" xfId="0" applyNumberFormat="1" applyFill="1" applyBorder="1"/>
    <xf numFmtId="2" fontId="0" fillId="10" borderId="21" xfId="0" applyNumberFormat="1" applyFill="1" applyBorder="1" applyAlignment="1">
      <alignment horizontal="center"/>
    </xf>
    <xf numFmtId="1" fontId="0" fillId="10" borderId="18" xfId="0" applyNumberFormat="1" applyFill="1" applyBorder="1" applyAlignment="1">
      <alignment horizontal="center"/>
    </xf>
    <xf numFmtId="0" fontId="0" fillId="10" borderId="14" xfId="0" applyFill="1" applyBorder="1"/>
    <xf numFmtId="0" fontId="0" fillId="10" borderId="0" xfId="0" applyFill="1" applyBorder="1"/>
    <xf numFmtId="0" fontId="2" fillId="10" borderId="5" xfId="0" applyFont="1" applyFill="1" applyBorder="1" applyAlignment="1">
      <alignment horizontal="center" vertical="center"/>
    </xf>
    <xf numFmtId="0" fontId="0" fillId="10" borderId="15" xfId="0" applyFill="1" applyBorder="1"/>
    <xf numFmtId="0" fontId="0" fillId="10" borderId="16" xfId="0" applyFill="1" applyBorder="1"/>
    <xf numFmtId="2" fontId="0" fillId="10" borderId="22" xfId="0" applyNumberFormat="1" applyFill="1" applyBorder="1" applyAlignment="1">
      <alignment horizontal="center"/>
    </xf>
    <xf numFmtId="1" fontId="0" fillId="10" borderId="19" xfId="0" applyNumberFormat="1" applyFill="1" applyBorder="1" applyAlignment="1">
      <alignment horizontal="center"/>
    </xf>
    <xf numFmtId="1" fontId="0" fillId="8" borderId="11" xfId="0" applyNumberFormat="1" applyFill="1" applyBorder="1"/>
    <xf numFmtId="1" fontId="0" fillId="8" borderId="12" xfId="0" applyNumberFormat="1" applyFill="1" applyBorder="1"/>
    <xf numFmtId="1" fontId="0" fillId="8" borderId="13" xfId="0" applyNumberFormat="1" applyFill="1" applyBorder="1"/>
    <xf numFmtId="1" fontId="0" fillId="8" borderId="14" xfId="0" applyNumberFormat="1" applyFill="1" applyBorder="1"/>
    <xf numFmtId="1" fontId="0" fillId="8" borderId="0" xfId="0" applyNumberFormat="1" applyFill="1" applyBorder="1"/>
    <xf numFmtId="1" fontId="0" fillId="8" borderId="4" xfId="0" applyNumberFormat="1" applyFill="1" applyBorder="1"/>
    <xf numFmtId="1" fontId="0" fillId="8" borderId="15" xfId="0" applyNumberFormat="1" applyFill="1" applyBorder="1"/>
    <xf numFmtId="1" fontId="0" fillId="8" borderId="16" xfId="0" applyNumberFormat="1" applyFill="1" applyBorder="1"/>
    <xf numFmtId="1" fontId="0" fillId="8" borderId="6" xfId="0" applyNumberFormat="1" applyFill="1" applyBorder="1"/>
    <xf numFmtId="0" fontId="0" fillId="0" borderId="0" xfId="0" applyAlignment="1">
      <alignment horizontal="center" vertical="center"/>
    </xf>
    <xf numFmtId="0" fontId="2" fillId="6" borderId="0" xfId="0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0" fontId="0" fillId="6" borderId="3" xfId="1" applyNumberFormat="1" applyFont="1" applyFill="1" applyBorder="1" applyAlignment="1">
      <alignment horizontal="center" vertical="center"/>
    </xf>
    <xf numFmtId="165" fontId="2" fillId="6" borderId="29" xfId="1" applyNumberFormat="1" applyFont="1" applyFill="1" applyBorder="1" applyAlignment="1">
      <alignment horizontal="center" vertical="center"/>
    </xf>
    <xf numFmtId="165" fontId="0" fillId="0" borderId="25" xfId="1" applyNumberFormat="1" applyFont="1" applyBorder="1" applyAlignment="1">
      <alignment horizontal="center" vertical="center"/>
    </xf>
    <xf numFmtId="165" fontId="0" fillId="0" borderId="26" xfId="1" applyNumberFormat="1" applyFont="1" applyBorder="1" applyAlignment="1">
      <alignment horizontal="center" vertical="center"/>
    </xf>
    <xf numFmtId="165" fontId="2" fillId="0" borderId="27" xfId="1" applyNumberFormat="1" applyFont="1" applyBorder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5" fontId="0" fillId="0" borderId="21" xfId="1" applyNumberFormat="1" applyFont="1" applyBorder="1" applyAlignment="1">
      <alignment horizontal="center" vertical="center"/>
    </xf>
    <xf numFmtId="165" fontId="0" fillId="0" borderId="28" xfId="1" applyNumberFormat="1" applyFont="1" applyBorder="1" applyAlignment="1">
      <alignment horizontal="center" vertical="center"/>
    </xf>
    <xf numFmtId="165" fontId="2" fillId="0" borderId="18" xfId="1" applyNumberFormat="1" applyFont="1" applyBorder="1" applyAlignment="1">
      <alignment horizontal="center" vertical="center"/>
    </xf>
    <xf numFmtId="165" fontId="2" fillId="0" borderId="30" xfId="1" applyNumberFormat="1" applyFont="1" applyBorder="1" applyAlignment="1">
      <alignment horizontal="center" vertical="center"/>
    </xf>
    <xf numFmtId="165" fontId="2" fillId="0" borderId="31" xfId="1" applyNumberFormat="1" applyFont="1" applyBorder="1" applyAlignment="1">
      <alignment horizontal="center" vertical="center"/>
    </xf>
    <xf numFmtId="165" fontId="2" fillId="0" borderId="32" xfId="1" applyNumberFormat="1" applyFont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 wrapText="1"/>
    </xf>
    <xf numFmtId="0" fontId="2" fillId="6" borderId="20" xfId="0" applyFont="1" applyFill="1" applyBorder="1" applyAlignment="1">
      <alignment horizontal="center" vertical="center" wrapText="1"/>
    </xf>
    <xf numFmtId="0" fontId="2" fillId="6" borderId="2" xfId="0" applyFont="1" applyFill="1" applyBorder="1" applyAlignment="1">
      <alignment horizontal="center" vertical="center" wrapText="1"/>
    </xf>
    <xf numFmtId="0" fontId="0" fillId="11" borderId="37" xfId="0" applyFill="1" applyBorder="1"/>
    <xf numFmtId="0" fontId="0" fillId="11" borderId="38" xfId="0" applyFill="1" applyBorder="1"/>
    <xf numFmtId="0" fontId="0" fillId="11" borderId="39" xfId="0" applyFill="1" applyBorder="1"/>
    <xf numFmtId="2" fontId="0" fillId="0" borderId="25" xfId="0" applyNumberFormat="1" applyBorder="1" applyAlignment="1">
      <alignment horizontal="center"/>
    </xf>
    <xf numFmtId="2" fontId="0" fillId="0" borderId="26" xfId="0" applyNumberFormat="1" applyBorder="1" applyAlignment="1">
      <alignment horizontal="center"/>
    </xf>
    <xf numFmtId="2" fontId="0" fillId="0" borderId="27" xfId="0" applyNumberFormat="1" applyBorder="1" applyAlignment="1">
      <alignment horizontal="center"/>
    </xf>
    <xf numFmtId="2" fontId="0" fillId="0" borderId="21" xfId="0" applyNumberFormat="1" applyBorder="1" applyAlignment="1">
      <alignment horizontal="center"/>
    </xf>
    <xf numFmtId="2" fontId="0" fillId="0" borderId="28" xfId="0" applyNumberFormat="1" applyBorder="1" applyAlignment="1">
      <alignment horizontal="center"/>
    </xf>
    <xf numFmtId="2" fontId="0" fillId="0" borderId="18" xfId="0" applyNumberFormat="1" applyBorder="1" applyAlignment="1">
      <alignment horizontal="center"/>
    </xf>
    <xf numFmtId="2" fontId="0" fillId="0" borderId="22" xfId="0" applyNumberFormat="1" applyBorder="1" applyAlignment="1">
      <alignment horizontal="center"/>
    </xf>
    <xf numFmtId="2" fontId="0" fillId="0" borderId="33" xfId="0" applyNumberFormat="1" applyBorder="1" applyAlignment="1">
      <alignment horizontal="center"/>
    </xf>
    <xf numFmtId="2" fontId="0" fillId="0" borderId="19" xfId="0" applyNumberFormat="1" applyBorder="1" applyAlignment="1">
      <alignment horizontal="center"/>
    </xf>
    <xf numFmtId="0" fontId="5" fillId="0" borderId="40" xfId="0" applyFont="1" applyBorder="1" applyAlignment="1">
      <alignment wrapText="1"/>
    </xf>
    <xf numFmtId="0" fontId="5" fillId="11" borderId="41" xfId="3" applyFont="1" applyFill="1" applyBorder="1" applyAlignment="1">
      <alignment horizontal="center" vertical="center" wrapText="1"/>
    </xf>
    <xf numFmtId="0" fontId="5" fillId="11" borderId="42" xfId="3" applyFont="1" applyFill="1" applyBorder="1" applyAlignment="1">
      <alignment horizontal="center" vertical="center" wrapText="1"/>
    </xf>
    <xf numFmtId="0" fontId="5" fillId="12" borderId="43" xfId="0" applyFont="1" applyFill="1" applyBorder="1" applyAlignment="1">
      <alignment wrapText="1"/>
    </xf>
    <xf numFmtId="0" fontId="5" fillId="13" borderId="43" xfId="3" applyFont="1" applyFill="1" applyBorder="1" applyAlignment="1">
      <alignment vertical="center" wrapText="1"/>
    </xf>
    <xf numFmtId="0" fontId="5" fillId="2" borderId="43" xfId="3" applyFont="1" applyFill="1" applyBorder="1" applyAlignment="1">
      <alignment vertical="center" wrapText="1"/>
    </xf>
    <xf numFmtId="0" fontId="5" fillId="9" borderId="43" xfId="3" applyFont="1" applyFill="1" applyBorder="1" applyAlignment="1">
      <alignment vertical="center" wrapText="1"/>
    </xf>
    <xf numFmtId="0" fontId="5" fillId="14" borderId="43" xfId="3" applyFont="1" applyFill="1" applyBorder="1" applyAlignment="1">
      <alignment vertical="center" wrapText="1"/>
    </xf>
    <xf numFmtId="0" fontId="5" fillId="7" borderId="46" xfId="3" applyFont="1" applyFill="1" applyBorder="1" applyAlignment="1">
      <alignment vertical="center" wrapText="1"/>
    </xf>
    <xf numFmtId="10" fontId="6" fillId="12" borderId="44" xfId="2" applyNumberFormat="1" applyFont="1" applyFill="1" applyBorder="1" applyAlignment="1">
      <alignment horizontal="center" vertical="center" wrapText="1"/>
    </xf>
    <xf numFmtId="9" fontId="6" fillId="12" borderId="45" xfId="2" applyNumberFormat="1" applyFont="1" applyFill="1" applyBorder="1" applyAlignment="1">
      <alignment horizontal="center" vertical="center" wrapText="1"/>
    </xf>
    <xf numFmtId="10" fontId="6" fillId="13" borderId="44" xfId="2" applyNumberFormat="1" applyFont="1" applyFill="1" applyBorder="1" applyAlignment="1">
      <alignment horizontal="center" vertical="center" wrapText="1"/>
    </xf>
    <xf numFmtId="9" fontId="6" fillId="13" borderId="45" xfId="2" applyNumberFormat="1" applyFont="1" applyFill="1" applyBorder="1" applyAlignment="1">
      <alignment horizontal="center" vertical="center" wrapText="1"/>
    </xf>
    <xf numFmtId="10" fontId="6" fillId="2" borderId="44" xfId="2" applyNumberFormat="1" applyFont="1" applyFill="1" applyBorder="1" applyAlignment="1">
      <alignment horizontal="center" vertical="center" wrapText="1"/>
    </xf>
    <xf numFmtId="9" fontId="6" fillId="2" borderId="45" xfId="2" applyNumberFormat="1" applyFont="1" applyFill="1" applyBorder="1" applyAlignment="1">
      <alignment horizontal="center" vertical="center" wrapText="1"/>
    </xf>
    <xf numFmtId="10" fontId="6" fillId="9" borderId="44" xfId="2" applyNumberFormat="1" applyFont="1" applyFill="1" applyBorder="1" applyAlignment="1">
      <alignment horizontal="center" vertical="center" wrapText="1"/>
    </xf>
    <xf numFmtId="9" fontId="6" fillId="9" borderId="45" xfId="2" applyNumberFormat="1" applyFont="1" applyFill="1" applyBorder="1" applyAlignment="1">
      <alignment horizontal="center" vertical="center" wrapText="1"/>
    </xf>
    <xf numFmtId="10" fontId="6" fillId="14" borderId="44" xfId="2" applyNumberFormat="1" applyFont="1" applyFill="1" applyBorder="1" applyAlignment="1">
      <alignment horizontal="center" vertical="center" wrapText="1"/>
    </xf>
    <xf numFmtId="9" fontId="6" fillId="14" borderId="45" xfId="2" applyNumberFormat="1" applyFont="1" applyFill="1" applyBorder="1" applyAlignment="1">
      <alignment horizontal="center" vertical="center" wrapText="1"/>
    </xf>
    <xf numFmtId="10" fontId="6" fillId="7" borderId="47" xfId="2" applyNumberFormat="1" applyFont="1" applyFill="1" applyBorder="1" applyAlignment="1">
      <alignment horizontal="center" vertical="center" wrapText="1"/>
    </xf>
    <xf numFmtId="9" fontId="6" fillId="7" borderId="48" xfId="2" applyNumberFormat="1" applyFont="1" applyFill="1" applyBorder="1" applyAlignment="1">
      <alignment horizontal="center" vertical="center" wrapText="1"/>
    </xf>
    <xf numFmtId="9" fontId="0" fillId="0" borderId="16" xfId="2" applyFont="1" applyBorder="1"/>
    <xf numFmtId="9" fontId="0" fillId="0" borderId="6" xfId="2" applyFont="1" applyBorder="1"/>
    <xf numFmtId="0" fontId="2" fillId="6" borderId="1" xfId="0" applyFont="1" applyFill="1" applyBorder="1"/>
    <xf numFmtId="0" fontId="2" fillId="6" borderId="20" xfId="0" applyFont="1" applyFill="1" applyBorder="1"/>
    <xf numFmtId="0" fontId="2" fillId="6" borderId="2" xfId="0" applyFont="1" applyFill="1" applyBorder="1"/>
    <xf numFmtId="0" fontId="0" fillId="6" borderId="3" xfId="0" applyFill="1" applyBorder="1"/>
    <xf numFmtId="9" fontId="0" fillId="0" borderId="0" xfId="2" applyFont="1" applyBorder="1"/>
    <xf numFmtId="9" fontId="0" fillId="0" borderId="4" xfId="2" applyFont="1" applyBorder="1"/>
    <xf numFmtId="0" fontId="0" fillId="6" borderId="5" xfId="0" applyFill="1" applyBorder="1"/>
    <xf numFmtId="0" fontId="2" fillId="6" borderId="49" xfId="0" applyFont="1" applyFill="1" applyBorder="1"/>
    <xf numFmtId="9" fontId="7" fillId="0" borderId="20" xfId="2" applyFont="1" applyBorder="1"/>
    <xf numFmtId="9" fontId="7" fillId="0" borderId="2" xfId="2" applyFont="1" applyBorder="1"/>
    <xf numFmtId="9" fontId="7" fillId="0" borderId="50" xfId="2" applyFont="1" applyBorder="1"/>
    <xf numFmtId="9" fontId="7" fillId="0" borderId="51" xfId="2" applyFont="1" applyBorder="1"/>
    <xf numFmtId="0" fontId="0" fillId="6" borderId="0" xfId="0" applyFill="1" applyBorder="1"/>
    <xf numFmtId="0" fontId="2" fillId="0" borderId="1" xfId="0" applyFont="1" applyBorder="1"/>
    <xf numFmtId="0" fontId="2" fillId="0" borderId="2" xfId="0" applyFont="1" applyBorder="1"/>
    <xf numFmtId="0" fontId="0" fillId="0" borderId="3" xfId="0" applyBorder="1"/>
    <xf numFmtId="0" fontId="0" fillId="0" borderId="4" xfId="0" applyBorder="1"/>
    <xf numFmtId="0" fontId="0" fillId="0" borderId="16" xfId="0" applyBorder="1"/>
    <xf numFmtId="0" fontId="2" fillId="6" borderId="5" xfId="0" applyFont="1" applyFill="1" applyBorder="1" applyAlignment="1">
      <alignment horizontal="center" vertical="center"/>
    </xf>
    <xf numFmtId="0" fontId="2" fillId="0" borderId="20" xfId="0" applyFont="1" applyBorder="1"/>
    <xf numFmtId="0" fontId="2" fillId="6" borderId="20" xfId="0" applyFont="1" applyFill="1" applyBorder="1" applyAlignment="1">
      <alignment horizontal="center" wrapText="1"/>
    </xf>
    <xf numFmtId="0" fontId="2" fillId="6" borderId="2" xfId="0" applyFont="1" applyFill="1" applyBorder="1" applyAlignment="1">
      <alignment horizontal="center" wrapText="1"/>
    </xf>
    <xf numFmtId="20" fontId="0" fillId="0" borderId="42" xfId="0" applyNumberFormat="1" applyBorder="1" applyAlignment="1">
      <alignment horizontal="center" vertical="center"/>
    </xf>
    <xf numFmtId="0" fontId="2" fillId="0" borderId="43" xfId="0" applyFont="1" applyBorder="1" applyAlignment="1">
      <alignment horizontal="center" vertical="center"/>
    </xf>
    <xf numFmtId="0" fontId="2" fillId="0" borderId="44" xfId="0" applyFont="1" applyBorder="1" applyAlignment="1">
      <alignment horizontal="center" vertical="center"/>
    </xf>
    <xf numFmtId="0" fontId="2" fillId="0" borderId="45" xfId="0" applyFont="1" applyBorder="1" applyAlignment="1">
      <alignment horizontal="center" vertical="center"/>
    </xf>
    <xf numFmtId="20" fontId="0" fillId="0" borderId="45" xfId="0" applyNumberFormat="1" applyBorder="1" applyAlignment="1">
      <alignment horizontal="center" vertical="center"/>
    </xf>
    <xf numFmtId="0" fontId="2" fillId="0" borderId="57" xfId="0" applyFont="1" applyBorder="1" applyAlignment="1">
      <alignment horizontal="center" vertical="center"/>
    </xf>
    <xf numFmtId="0" fontId="2" fillId="0" borderId="58" xfId="0" applyFont="1" applyBorder="1" applyAlignment="1">
      <alignment horizontal="center" vertical="center"/>
    </xf>
    <xf numFmtId="0" fontId="2" fillId="0" borderId="40" xfId="0" applyFont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2" fillId="0" borderId="59" xfId="0" applyFont="1" applyBorder="1" applyAlignment="1">
      <alignment horizontal="center" vertical="center"/>
    </xf>
    <xf numFmtId="0" fontId="2" fillId="0" borderId="58" xfId="0" applyFont="1" applyBorder="1" applyAlignment="1">
      <alignment horizontal="center" vertical="center" wrapText="1"/>
    </xf>
    <xf numFmtId="0" fontId="2" fillId="0" borderId="44" xfId="0" applyFont="1" applyBorder="1" applyAlignment="1">
      <alignment horizontal="center" vertical="center" wrapText="1"/>
    </xf>
    <xf numFmtId="0" fontId="2" fillId="0" borderId="45" xfId="0" applyFont="1" applyBorder="1" applyAlignment="1">
      <alignment horizontal="center" vertical="center" wrapText="1"/>
    </xf>
    <xf numFmtId="0" fontId="2" fillId="0" borderId="46" xfId="0" applyFont="1" applyFill="1" applyBorder="1" applyAlignment="1">
      <alignment horizontal="center" vertical="center" wrapText="1"/>
    </xf>
    <xf numFmtId="2" fontId="0" fillId="0" borderId="48" xfId="0" applyNumberFormat="1" applyBorder="1" applyAlignment="1">
      <alignment horizontal="center" vertical="center"/>
    </xf>
    <xf numFmtId="0" fontId="2" fillId="0" borderId="60" xfId="0" applyFont="1" applyBorder="1" applyAlignment="1">
      <alignment horizontal="center" vertical="center"/>
    </xf>
    <xf numFmtId="0" fontId="0" fillId="0" borderId="58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10" fontId="0" fillId="0" borderId="43" xfId="2" applyNumberFormat="1" applyFont="1" applyBorder="1" applyAlignment="1">
      <alignment horizontal="center" vertical="center"/>
    </xf>
    <xf numFmtId="10" fontId="0" fillId="0" borderId="44" xfId="2" applyNumberFormat="1" applyFont="1" applyBorder="1" applyAlignment="1">
      <alignment horizontal="center" vertical="center"/>
    </xf>
    <xf numFmtId="10" fontId="0" fillId="0" borderId="45" xfId="2" applyNumberFormat="1" applyFont="1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2" fillId="0" borderId="62" xfId="0" applyFont="1" applyBorder="1" applyAlignment="1">
      <alignment horizontal="center" vertical="center"/>
    </xf>
    <xf numFmtId="0" fontId="2" fillId="0" borderId="46" xfId="0" applyFont="1" applyBorder="1" applyAlignment="1">
      <alignment horizontal="center" vertical="center"/>
    </xf>
    <xf numFmtId="0" fontId="2" fillId="0" borderId="48" xfId="0" applyFont="1" applyBorder="1" applyAlignment="1">
      <alignment horizontal="center" vertical="center"/>
    </xf>
    <xf numFmtId="2" fontId="2" fillId="0" borderId="46" xfId="0" applyNumberFormat="1" applyFont="1" applyBorder="1" applyAlignment="1">
      <alignment horizontal="center" vertical="center"/>
    </xf>
    <xf numFmtId="2" fontId="2" fillId="0" borderId="47" xfId="0" applyNumberFormat="1" applyFont="1" applyBorder="1" applyAlignment="1">
      <alignment horizontal="center" vertical="center"/>
    </xf>
    <xf numFmtId="2" fontId="2" fillId="0" borderId="48" xfId="0" applyNumberFormat="1" applyFont="1" applyBorder="1" applyAlignment="1">
      <alignment horizontal="center" vertical="center"/>
    </xf>
    <xf numFmtId="10" fontId="0" fillId="0" borderId="0" xfId="0" applyNumberFormat="1"/>
    <xf numFmtId="20" fontId="0" fillId="0" borderId="0" xfId="0" applyNumberFormat="1"/>
    <xf numFmtId="20" fontId="0" fillId="0" borderId="48" xfId="0" applyNumberForma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0" fillId="0" borderId="1" xfId="0" applyBorder="1"/>
    <xf numFmtId="0" fontId="2" fillId="0" borderId="3" xfId="0" applyFont="1" applyBorder="1" applyAlignment="1">
      <alignment horizontal="center" vertical="center"/>
    </xf>
    <xf numFmtId="0" fontId="2" fillId="17" borderId="0" xfId="0" applyFont="1" applyFill="1" applyBorder="1"/>
    <xf numFmtId="0" fontId="2" fillId="17" borderId="4" xfId="0" applyFont="1" applyFill="1" applyBorder="1"/>
    <xf numFmtId="0" fontId="2" fillId="15" borderId="66" xfId="0" applyFont="1" applyFill="1" applyBorder="1"/>
    <xf numFmtId="0" fontId="2" fillId="15" borderId="67" xfId="0" applyFont="1" applyFill="1" applyBorder="1"/>
    <xf numFmtId="0" fontId="2" fillId="16" borderId="66" xfId="0" applyFont="1" applyFill="1" applyBorder="1"/>
    <xf numFmtId="0" fontId="2" fillId="16" borderId="67" xfId="0" applyFont="1" applyFill="1" applyBorder="1"/>
    <xf numFmtId="0" fontId="2" fillId="2" borderId="66" xfId="0" applyFont="1" applyFill="1" applyBorder="1"/>
    <xf numFmtId="0" fontId="2" fillId="2" borderId="67" xfId="0" applyFont="1" applyFill="1" applyBorder="1"/>
    <xf numFmtId="0" fontId="2" fillId="9" borderId="66" xfId="0" applyFont="1" applyFill="1" applyBorder="1"/>
    <xf numFmtId="0" fontId="2" fillId="9" borderId="67" xfId="0" applyFont="1" applyFill="1" applyBorder="1"/>
    <xf numFmtId="0" fontId="2" fillId="0" borderId="68" xfId="0" applyFont="1" applyBorder="1" applyAlignment="1">
      <alignment horizontal="center" vertical="center"/>
    </xf>
    <xf numFmtId="9" fontId="0" fillId="15" borderId="69" xfId="2" applyFont="1" applyFill="1" applyBorder="1" applyAlignment="1">
      <alignment horizontal="center" vertical="center"/>
    </xf>
    <xf numFmtId="9" fontId="0" fillId="15" borderId="58" xfId="2" applyFont="1" applyFill="1" applyBorder="1" applyAlignment="1">
      <alignment horizontal="center" vertical="center"/>
    </xf>
    <xf numFmtId="9" fontId="0" fillId="16" borderId="69" xfId="2" applyFont="1" applyFill="1" applyBorder="1" applyAlignment="1">
      <alignment horizontal="center" vertical="center"/>
    </xf>
    <xf numFmtId="9" fontId="0" fillId="16" borderId="58" xfId="2" applyFont="1" applyFill="1" applyBorder="1" applyAlignment="1">
      <alignment horizontal="center" vertical="center"/>
    </xf>
    <xf numFmtId="9" fontId="0" fillId="2" borderId="69" xfId="2" applyFont="1" applyFill="1" applyBorder="1" applyAlignment="1">
      <alignment horizontal="center" vertical="center"/>
    </xf>
    <xf numFmtId="9" fontId="0" fillId="2" borderId="58" xfId="2" applyFont="1" applyFill="1" applyBorder="1" applyAlignment="1">
      <alignment horizontal="center" vertical="center"/>
    </xf>
    <xf numFmtId="9" fontId="0" fillId="9" borderId="69" xfId="2" applyFont="1" applyFill="1" applyBorder="1" applyAlignment="1">
      <alignment horizontal="center" vertical="center"/>
    </xf>
    <xf numFmtId="9" fontId="0" fillId="9" borderId="58" xfId="2" applyFont="1" applyFill="1" applyBorder="1" applyAlignment="1">
      <alignment horizontal="center" vertical="center"/>
    </xf>
    <xf numFmtId="9" fontId="0" fillId="17" borderId="70" xfId="2" applyFont="1" applyFill="1" applyBorder="1" applyAlignment="1">
      <alignment horizontal="center" vertical="center"/>
    </xf>
    <xf numFmtId="9" fontId="0" fillId="17" borderId="71" xfId="2" applyFont="1" applyFill="1" applyBorder="1" applyAlignment="1">
      <alignment horizontal="center" vertical="center"/>
    </xf>
    <xf numFmtId="0" fontId="2" fillId="0" borderId="72" xfId="0" applyFont="1" applyBorder="1" applyAlignment="1">
      <alignment horizontal="center" vertical="center"/>
    </xf>
    <xf numFmtId="9" fontId="0" fillId="15" borderId="73" xfId="2" applyFont="1" applyFill="1" applyBorder="1" applyAlignment="1">
      <alignment horizontal="center" vertical="center"/>
    </xf>
    <xf numFmtId="9" fontId="0" fillId="15" borderId="74" xfId="2" applyFont="1" applyFill="1" applyBorder="1" applyAlignment="1">
      <alignment horizontal="center" vertical="center"/>
    </xf>
    <xf numFmtId="9" fontId="0" fillId="16" borderId="73" xfId="2" applyFont="1" applyFill="1" applyBorder="1" applyAlignment="1">
      <alignment horizontal="center" vertical="center"/>
    </xf>
    <xf numFmtId="9" fontId="0" fillId="16" borderId="74" xfId="2" applyFont="1" applyFill="1" applyBorder="1" applyAlignment="1">
      <alignment horizontal="center" vertical="center"/>
    </xf>
    <xf numFmtId="9" fontId="0" fillId="2" borderId="73" xfId="2" applyFont="1" applyFill="1" applyBorder="1" applyAlignment="1">
      <alignment horizontal="center" vertical="center"/>
    </xf>
    <xf numFmtId="9" fontId="0" fillId="2" borderId="74" xfId="2" applyFont="1" applyFill="1" applyBorder="1" applyAlignment="1">
      <alignment horizontal="center" vertical="center"/>
    </xf>
    <xf numFmtId="9" fontId="0" fillId="9" borderId="73" xfId="2" applyFont="1" applyFill="1" applyBorder="1" applyAlignment="1">
      <alignment horizontal="center" vertical="center"/>
    </xf>
    <xf numFmtId="9" fontId="0" fillId="9" borderId="74" xfId="2" applyFont="1" applyFill="1" applyBorder="1" applyAlignment="1">
      <alignment horizontal="center" vertical="center"/>
    </xf>
    <xf numFmtId="9" fontId="0" fillId="17" borderId="75" xfId="2" applyFont="1" applyFill="1" applyBorder="1" applyAlignment="1">
      <alignment horizontal="center" vertical="center"/>
    </xf>
    <xf numFmtId="9" fontId="0" fillId="17" borderId="76" xfId="2" applyFont="1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0" borderId="6" xfId="0" applyBorder="1" applyAlignment="1">
      <alignment horizontal="center"/>
    </xf>
    <xf numFmtId="0" fontId="12" fillId="19" borderId="44" xfId="0" applyFont="1" applyFill="1" applyBorder="1" applyAlignment="1">
      <alignment horizontal="center" wrapText="1"/>
    </xf>
    <xf numFmtId="0" fontId="12" fillId="19" borderId="44" xfId="0" applyNumberFormat="1" applyFont="1" applyFill="1" applyBorder="1"/>
    <xf numFmtId="0" fontId="12" fillId="19" borderId="44" xfId="0" applyFont="1" applyFill="1" applyBorder="1" applyAlignment="1">
      <alignment horizontal="left"/>
    </xf>
    <xf numFmtId="3" fontId="12" fillId="19" borderId="44" xfId="0" applyNumberFormat="1" applyFont="1" applyFill="1" applyBorder="1"/>
    <xf numFmtId="0" fontId="12" fillId="19" borderId="44" xfId="0" applyFont="1" applyFill="1" applyBorder="1" applyAlignment="1">
      <alignment horizontal="center" vertical="center" wrapText="1"/>
    </xf>
    <xf numFmtId="3" fontId="0" fillId="0" borderId="0" xfId="0" applyNumberFormat="1"/>
    <xf numFmtId="0" fontId="14" fillId="18" borderId="80" xfId="3" applyFont="1" applyFill="1" applyBorder="1" applyAlignment="1">
      <alignment horizontal="left"/>
    </xf>
    <xf numFmtId="166" fontId="14" fillId="18" borderId="83" xfId="3" applyNumberFormat="1" applyFont="1" applyFill="1" applyBorder="1"/>
    <xf numFmtId="0" fontId="14" fillId="18" borderId="84" xfId="3" applyFont="1" applyFill="1" applyBorder="1" applyAlignment="1">
      <alignment horizontal="center" vertical="center" wrapText="1"/>
    </xf>
    <xf numFmtId="166" fontId="14" fillId="18" borderId="85" xfId="3" applyNumberFormat="1" applyFont="1" applyFill="1" applyBorder="1" applyAlignment="1">
      <alignment horizontal="center" vertical="center" wrapText="1"/>
    </xf>
    <xf numFmtId="166" fontId="14" fillId="18" borderId="86" xfId="3" applyNumberFormat="1" applyFont="1" applyFill="1" applyBorder="1" applyAlignment="1">
      <alignment horizontal="center" vertical="center" wrapText="1"/>
    </xf>
    <xf numFmtId="0" fontId="14" fillId="18" borderId="87" xfId="3" applyFont="1" applyFill="1" applyBorder="1" applyAlignment="1">
      <alignment horizontal="center" vertical="center"/>
    </xf>
    <xf numFmtId="166" fontId="15" fillId="0" borderId="88" xfId="3" applyNumberFormat="1" applyFont="1" applyBorder="1" applyAlignment="1">
      <alignment horizontal="center" vertical="center"/>
    </xf>
    <xf numFmtId="166" fontId="15" fillId="0" borderId="89" xfId="3" applyNumberFormat="1" applyFont="1" applyBorder="1" applyAlignment="1">
      <alignment horizontal="center" vertical="center"/>
    </xf>
    <xf numFmtId="0" fontId="14" fillId="18" borderId="90" xfId="3" applyFont="1" applyFill="1" applyBorder="1" applyAlignment="1">
      <alignment horizontal="center" vertical="center"/>
    </xf>
    <xf numFmtId="166" fontId="14" fillId="18" borderId="91" xfId="3" applyNumberFormat="1" applyFont="1" applyFill="1" applyBorder="1" applyAlignment="1">
      <alignment horizontal="center" vertical="center"/>
    </xf>
    <xf numFmtId="166" fontId="14" fillId="18" borderId="92" xfId="3" applyNumberFormat="1" applyFont="1" applyFill="1" applyBorder="1" applyAlignment="1">
      <alignment horizontal="center" vertical="center"/>
    </xf>
    <xf numFmtId="0" fontId="6" fillId="0" borderId="0" xfId="3" applyFont="1" applyAlignment="1">
      <alignment horizontal="center" vertical="center"/>
    </xf>
    <xf numFmtId="0" fontId="14" fillId="18" borderId="80" xfId="3" applyFont="1" applyFill="1" applyBorder="1" applyAlignment="1">
      <alignment horizontal="center" vertical="center"/>
    </xf>
    <xf numFmtId="166" fontId="14" fillId="18" borderId="83" xfId="3" applyNumberFormat="1" applyFont="1" applyFill="1" applyBorder="1" applyAlignment="1">
      <alignment horizontal="center" vertical="center"/>
    </xf>
    <xf numFmtId="0" fontId="12" fillId="19" borderId="44" xfId="1" applyNumberFormat="1" applyFont="1" applyFill="1" applyBorder="1" applyAlignment="1">
      <alignment horizontal="center" wrapText="1"/>
    </xf>
    <xf numFmtId="0" fontId="12" fillId="19" borderId="44" xfId="1" applyNumberFormat="1" applyFont="1" applyFill="1" applyBorder="1" applyAlignment="1">
      <alignment horizontal="center" vertical="center" wrapText="1"/>
    </xf>
    <xf numFmtId="165" fontId="16" fillId="0" borderId="44" xfId="1" applyNumberFormat="1" applyFont="1" applyBorder="1"/>
    <xf numFmtId="165" fontId="12" fillId="11" borderId="44" xfId="1" applyNumberFormat="1" applyFont="1" applyFill="1" applyBorder="1" applyAlignment="1">
      <alignment horizontal="center" wrapText="1"/>
    </xf>
    <xf numFmtId="165" fontId="12" fillId="11" borderId="44" xfId="1" applyNumberFormat="1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2" fillId="6" borderId="20" xfId="0" applyFont="1" applyFill="1" applyBorder="1" applyAlignment="1">
      <alignment horizontal="center" vertical="center"/>
    </xf>
    <xf numFmtId="1" fontId="2" fillId="6" borderId="20" xfId="0" applyNumberFormat="1" applyFont="1" applyFill="1" applyBorder="1" applyAlignment="1">
      <alignment vertical="center"/>
    </xf>
    <xf numFmtId="0" fontId="2" fillId="6" borderId="2" xfId="0" applyFont="1" applyFill="1" applyBorder="1" applyAlignment="1">
      <alignment horizontal="center" vertical="center"/>
    </xf>
    <xf numFmtId="165" fontId="0" fillId="0" borderId="93" xfId="0" applyNumberFormat="1" applyBorder="1"/>
    <xf numFmtId="165" fontId="0" fillId="0" borderId="94" xfId="0" applyNumberFormat="1" applyBorder="1"/>
    <xf numFmtId="165" fontId="0" fillId="0" borderId="95" xfId="0" applyNumberFormat="1" applyBorder="1"/>
    <xf numFmtId="165" fontId="0" fillId="0" borderId="21" xfId="0" applyNumberFormat="1" applyBorder="1"/>
    <xf numFmtId="165" fontId="0" fillId="0" borderId="28" xfId="0" applyNumberFormat="1" applyBorder="1"/>
    <xf numFmtId="165" fontId="0" fillId="0" borderId="18" xfId="0" applyNumberFormat="1" applyBorder="1"/>
    <xf numFmtId="165" fontId="0" fillId="0" borderId="96" xfId="0" applyNumberFormat="1" applyBorder="1"/>
    <xf numFmtId="165" fontId="0" fillId="0" borderId="97" xfId="0" applyNumberFormat="1" applyBorder="1"/>
    <xf numFmtId="165" fontId="0" fillId="0" borderId="98" xfId="0" applyNumberFormat="1" applyBorder="1"/>
    <xf numFmtId="0" fontId="2" fillId="6" borderId="16" xfId="0" applyFont="1" applyFill="1" applyBorder="1" applyAlignment="1">
      <alignment horizontal="center" vertical="center"/>
    </xf>
    <xf numFmtId="165" fontId="17" fillId="0" borderId="16" xfId="1" applyNumberFormat="1" applyFont="1" applyFill="1" applyBorder="1" applyAlignment="1">
      <alignment horizontal="center"/>
    </xf>
    <xf numFmtId="165" fontId="17" fillId="0" borderId="6" xfId="1" applyNumberFormat="1" applyFont="1" applyFill="1" applyBorder="1" applyAlignment="1">
      <alignment horizontal="center"/>
    </xf>
    <xf numFmtId="2" fontId="0" fillId="0" borderId="25" xfId="0" applyNumberFormat="1" applyBorder="1"/>
    <xf numFmtId="2" fontId="0" fillId="0" borderId="26" xfId="0" applyNumberFormat="1" applyBorder="1"/>
    <xf numFmtId="2" fontId="0" fillId="0" borderId="27" xfId="0" applyNumberFormat="1" applyBorder="1"/>
    <xf numFmtId="2" fontId="0" fillId="0" borderId="21" xfId="0" applyNumberFormat="1" applyBorder="1"/>
    <xf numFmtId="2" fontId="0" fillId="0" borderId="28" xfId="0" applyNumberFormat="1" applyBorder="1"/>
    <xf numFmtId="2" fontId="0" fillId="0" borderId="18" xfId="0" applyNumberFormat="1" applyBorder="1"/>
    <xf numFmtId="2" fontId="0" fillId="0" borderId="22" xfId="0" applyNumberFormat="1" applyBorder="1"/>
    <xf numFmtId="2" fontId="0" fillId="0" borderId="33" xfId="0" applyNumberFormat="1" applyBorder="1"/>
    <xf numFmtId="2" fontId="0" fillId="0" borderId="19" xfId="0" applyNumberFormat="1" applyBorder="1"/>
    <xf numFmtId="0" fontId="2" fillId="6" borderId="0" xfId="0" applyFont="1" applyFill="1" applyBorder="1" applyAlignment="1">
      <alignment horizontal="center" vertical="center" wrapText="1"/>
    </xf>
    <xf numFmtId="43" fontId="0" fillId="0" borderId="93" xfId="0" applyNumberFormat="1" applyBorder="1"/>
    <xf numFmtId="43" fontId="0" fillId="0" borderId="94" xfId="0" applyNumberFormat="1" applyBorder="1"/>
    <xf numFmtId="43" fontId="0" fillId="0" borderId="95" xfId="0" applyNumberFormat="1" applyBorder="1"/>
    <xf numFmtId="43" fontId="0" fillId="0" borderId="21" xfId="0" applyNumberFormat="1" applyBorder="1"/>
    <xf numFmtId="43" fontId="0" fillId="0" borderId="28" xfId="0" applyNumberFormat="1" applyBorder="1"/>
    <xf numFmtId="43" fontId="0" fillId="0" borderId="18" xfId="0" applyNumberFormat="1" applyBorder="1"/>
    <xf numFmtId="0" fontId="2" fillId="6" borderId="3" xfId="0" applyFont="1" applyFill="1" applyBorder="1" applyAlignment="1">
      <alignment horizontal="center" vertical="center" wrapText="1"/>
    </xf>
    <xf numFmtId="0" fontId="2" fillId="6" borderId="5" xfId="0" applyFont="1" applyFill="1" applyBorder="1" applyAlignment="1">
      <alignment horizontal="center" vertical="center" wrapText="1"/>
    </xf>
    <xf numFmtId="43" fontId="0" fillId="0" borderId="22" xfId="0" applyNumberFormat="1" applyBorder="1"/>
    <xf numFmtId="43" fontId="0" fillId="0" borderId="33" xfId="0" applyNumberFormat="1" applyBorder="1"/>
    <xf numFmtId="43" fontId="0" fillId="0" borderId="19" xfId="0" applyNumberFormat="1" applyBorder="1"/>
    <xf numFmtId="43" fontId="0" fillId="0" borderId="96" xfId="0" applyNumberFormat="1" applyBorder="1"/>
    <xf numFmtId="43" fontId="0" fillId="0" borderId="97" xfId="0" applyNumberFormat="1" applyBorder="1"/>
    <xf numFmtId="43" fontId="0" fillId="0" borderId="98" xfId="0" applyNumberFormat="1" applyBorder="1"/>
    <xf numFmtId="43" fontId="17" fillId="0" borderId="16" xfId="1" applyNumberFormat="1" applyFont="1" applyFill="1" applyBorder="1" applyAlignment="1">
      <alignment horizontal="center"/>
    </xf>
    <xf numFmtId="1" fontId="12" fillId="0" borderId="0" xfId="0" applyNumberFormat="1" applyFont="1" applyFill="1" applyBorder="1"/>
    <xf numFmtId="167" fontId="0" fillId="0" borderId="93" xfId="0" applyNumberFormat="1" applyBorder="1"/>
    <xf numFmtId="167" fontId="0" fillId="0" borderId="94" xfId="0" applyNumberFormat="1" applyBorder="1"/>
    <xf numFmtId="167" fontId="0" fillId="0" borderId="95" xfId="0" applyNumberFormat="1" applyBorder="1"/>
    <xf numFmtId="167" fontId="0" fillId="0" borderId="21" xfId="0" applyNumberFormat="1" applyBorder="1"/>
    <xf numFmtId="167" fontId="0" fillId="0" borderId="28" xfId="0" applyNumberFormat="1" applyBorder="1"/>
    <xf numFmtId="167" fontId="0" fillId="0" borderId="18" xfId="0" applyNumberFormat="1" applyBorder="1"/>
    <xf numFmtId="165" fontId="0" fillId="0" borderId="22" xfId="0" applyNumberFormat="1" applyBorder="1"/>
    <xf numFmtId="165" fontId="0" fillId="0" borderId="33" xfId="0" applyNumberFormat="1" applyBorder="1"/>
    <xf numFmtId="165" fontId="0" fillId="0" borderId="19" xfId="0" applyNumberFormat="1" applyBorder="1"/>
    <xf numFmtId="165" fontId="0" fillId="0" borderId="99" xfId="1" applyNumberFormat="1" applyFont="1" applyBorder="1"/>
    <xf numFmtId="43" fontId="0" fillId="0" borderId="66" xfId="1" applyNumberFormat="1" applyFont="1" applyBorder="1"/>
    <xf numFmtId="0" fontId="0" fillId="11" borderId="0" xfId="0" applyFill="1"/>
    <xf numFmtId="43" fontId="0" fillId="0" borderId="0" xfId="1" applyFont="1"/>
    <xf numFmtId="165" fontId="0" fillId="0" borderId="62" xfId="1" applyNumberFormat="1" applyFont="1" applyBorder="1"/>
    <xf numFmtId="43" fontId="0" fillId="0" borderId="18" xfId="1" applyNumberFormat="1" applyFont="1" applyBorder="1"/>
    <xf numFmtId="165" fontId="0" fillId="0" borderId="66" xfId="1" applyNumberFormat="1" applyFont="1" applyBorder="1" applyAlignment="1">
      <alignment horizontal="center" vertical="center"/>
    </xf>
    <xf numFmtId="2" fontId="0" fillId="0" borderId="66" xfId="0" applyNumberFormat="1" applyBorder="1"/>
    <xf numFmtId="2" fontId="0" fillId="0" borderId="100" xfId="0" applyNumberFormat="1" applyBorder="1"/>
    <xf numFmtId="1" fontId="2" fillId="6" borderId="20" xfId="0" applyNumberFormat="1" applyFont="1" applyFill="1" applyBorder="1" applyAlignment="1">
      <alignment horizontal="center" vertical="center"/>
    </xf>
    <xf numFmtId="1" fontId="2" fillId="6" borderId="2" xfId="0" applyNumberFormat="1" applyFont="1" applyFill="1" applyBorder="1" applyAlignment="1">
      <alignment horizontal="center" vertical="center"/>
    </xf>
    <xf numFmtId="1" fontId="12" fillId="0" borderId="16" xfId="0" applyNumberFormat="1" applyFont="1" applyFill="1" applyBorder="1"/>
    <xf numFmtId="1" fontId="12" fillId="0" borderId="6" xfId="0" applyNumberFormat="1" applyFont="1" applyFill="1" applyBorder="1"/>
    <xf numFmtId="168" fontId="0" fillId="0" borderId="0" xfId="0" applyNumberFormat="1"/>
    <xf numFmtId="0" fontId="2" fillId="4" borderId="102" xfId="0" applyFont="1" applyFill="1" applyBorder="1" applyAlignment="1">
      <alignment horizontal="center" vertical="center"/>
    </xf>
    <xf numFmtId="1" fontId="0" fillId="5" borderId="11" xfId="0" applyNumberFormat="1" applyFill="1" applyBorder="1"/>
    <xf numFmtId="1" fontId="0" fillId="5" borderId="12" xfId="0" applyNumberFormat="1" applyFill="1" applyBorder="1"/>
    <xf numFmtId="1" fontId="0" fillId="5" borderId="13" xfId="0" applyNumberFormat="1" applyFill="1" applyBorder="1"/>
    <xf numFmtId="1" fontId="0" fillId="5" borderId="14" xfId="0" applyNumberFormat="1" applyFill="1" applyBorder="1"/>
    <xf numFmtId="1" fontId="0" fillId="5" borderId="0" xfId="0" applyNumberFormat="1" applyFill="1" applyBorder="1"/>
    <xf numFmtId="1" fontId="0" fillId="5" borderId="4" xfId="0" applyNumberFormat="1" applyFill="1" applyBorder="1"/>
    <xf numFmtId="1" fontId="0" fillId="5" borderId="15" xfId="0" applyNumberFormat="1" applyFill="1" applyBorder="1"/>
    <xf numFmtId="1" fontId="0" fillId="5" borderId="16" xfId="0" applyNumberFormat="1" applyFill="1" applyBorder="1"/>
    <xf numFmtId="1" fontId="0" fillId="5" borderId="6" xfId="0" applyNumberFormat="1" applyFill="1" applyBorder="1"/>
    <xf numFmtId="1" fontId="12" fillId="0" borderId="30" xfId="0" applyNumberFormat="1" applyFont="1" applyFill="1" applyBorder="1"/>
    <xf numFmtId="1" fontId="12" fillId="0" borderId="31" xfId="0" applyNumberFormat="1" applyFont="1" applyFill="1" applyBorder="1"/>
    <xf numFmtId="1" fontId="12" fillId="0" borderId="32" xfId="0" applyNumberFormat="1" applyFont="1" applyFill="1" applyBorder="1"/>
    <xf numFmtId="0" fontId="18" fillId="0" borderId="0" xfId="0" applyFont="1" applyFill="1" applyBorder="1"/>
    <xf numFmtId="1" fontId="0" fillId="0" borderId="0" xfId="0" applyNumberFormat="1"/>
    <xf numFmtId="2" fontId="0" fillId="0" borderId="0" xfId="0" applyNumberFormat="1"/>
    <xf numFmtId="169" fontId="0" fillId="0" borderId="0" xfId="0" applyNumberFormat="1"/>
    <xf numFmtId="9" fontId="0" fillId="0" borderId="0" xfId="0" applyNumberFormat="1"/>
    <xf numFmtId="0" fontId="19" fillId="0" borderId="3" xfId="0" applyFont="1" applyFill="1" applyBorder="1" applyAlignment="1">
      <alignment horizontal="left" wrapText="1"/>
    </xf>
    <xf numFmtId="0" fontId="19" fillId="0" borderId="5" xfId="0" applyFont="1" applyFill="1" applyBorder="1" applyAlignment="1">
      <alignment horizontal="left" wrapText="1"/>
    </xf>
    <xf numFmtId="0" fontId="0" fillId="0" borderId="2" xfId="0" applyBorder="1"/>
    <xf numFmtId="169" fontId="0" fillId="0" borderId="4" xfId="0" applyNumberFormat="1" applyBorder="1"/>
    <xf numFmtId="169" fontId="0" fillId="0" borderId="6" xfId="0" applyNumberFormat="1" applyBorder="1"/>
    <xf numFmtId="0" fontId="19" fillId="0" borderId="0" xfId="0" applyFont="1" applyFill="1" applyBorder="1" applyAlignment="1">
      <alignment horizontal="left" wrapText="1"/>
    </xf>
    <xf numFmtId="169" fontId="0" fillId="0" borderId="0" xfId="0" applyNumberFormat="1" applyBorder="1"/>
    <xf numFmtId="43" fontId="0" fillId="0" borderId="66" xfId="0" applyNumberFormat="1" applyBorder="1"/>
    <xf numFmtId="0" fontId="0" fillId="6" borderId="103" xfId="0" applyFill="1" applyBorder="1"/>
    <xf numFmtId="43" fontId="0" fillId="0" borderId="0" xfId="0" applyNumberFormat="1"/>
    <xf numFmtId="169" fontId="12" fillId="0" borderId="30" xfId="0" applyNumberFormat="1" applyFont="1" applyFill="1" applyBorder="1"/>
    <xf numFmtId="169" fontId="12" fillId="0" borderId="31" xfId="0" applyNumberFormat="1" applyFont="1" applyFill="1" applyBorder="1"/>
    <xf numFmtId="169" fontId="12" fillId="0" borderId="32" xfId="0" applyNumberFormat="1" applyFont="1" applyFill="1" applyBorder="1"/>
    <xf numFmtId="2" fontId="12" fillId="0" borderId="30" xfId="0" applyNumberFormat="1" applyFont="1" applyFill="1" applyBorder="1"/>
    <xf numFmtId="2" fontId="12" fillId="0" borderId="31" xfId="0" applyNumberFormat="1" applyFont="1" applyFill="1" applyBorder="1"/>
    <xf numFmtId="2" fontId="12" fillId="0" borderId="32" xfId="0" applyNumberFormat="1" applyFont="1" applyFill="1" applyBorder="1"/>
    <xf numFmtId="165" fontId="0" fillId="0" borderId="0" xfId="0" applyNumberFormat="1"/>
    <xf numFmtId="43" fontId="16" fillId="0" borderId="44" xfId="1" applyNumberFormat="1" applyFont="1" applyBorder="1"/>
    <xf numFmtId="2" fontId="12" fillId="0" borderId="0" xfId="0" applyNumberFormat="1" applyFont="1" applyFill="1" applyBorder="1"/>
    <xf numFmtId="2" fontId="12" fillId="0" borderId="101" xfId="0" applyNumberFormat="1" applyFont="1" applyFill="1" applyBorder="1"/>
    <xf numFmtId="170" fontId="0" fillId="0" borderId="0" xfId="0" applyNumberFormat="1"/>
    <xf numFmtId="0" fontId="2" fillId="6" borderId="34" xfId="0" applyFont="1" applyFill="1" applyBorder="1" applyAlignment="1">
      <alignment horizontal="center" vertical="center" wrapText="1"/>
    </xf>
    <xf numFmtId="165" fontId="0" fillId="6" borderId="104" xfId="0" applyNumberFormat="1" applyFill="1" applyBorder="1"/>
    <xf numFmtId="43" fontId="0" fillId="0" borderId="105" xfId="0" applyNumberFormat="1" applyBorder="1"/>
    <xf numFmtId="0" fontId="2" fillId="0" borderId="10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5" fillId="0" borderId="0" xfId="0" applyNumberFormat="1" applyFont="1" applyFill="1" applyBorder="1" applyAlignment="1"/>
    <xf numFmtId="0" fontId="13" fillId="0" borderId="0" xfId="0" applyFont="1"/>
    <xf numFmtId="0" fontId="5" fillId="20" borderId="106" xfId="0" applyNumberFormat="1" applyFont="1" applyFill="1" applyBorder="1" applyAlignment="1"/>
    <xf numFmtId="0" fontId="6" fillId="20" borderId="106" xfId="0" applyNumberFormat="1" applyFont="1" applyFill="1" applyBorder="1" applyAlignment="1"/>
    <xf numFmtId="0" fontId="6" fillId="20" borderId="106" xfId="0" applyNumberFormat="1" applyFont="1" applyFill="1" applyBorder="1" applyAlignment="1">
      <alignment horizontal="center" vertical="center"/>
    </xf>
    <xf numFmtId="0" fontId="6" fillId="0" borderId="106" xfId="0" applyNumberFormat="1" applyFont="1" applyFill="1" applyBorder="1" applyAlignment="1"/>
    <xf numFmtId="3" fontId="6" fillId="0" borderId="106" xfId="0" applyNumberFormat="1" applyFont="1" applyFill="1" applyBorder="1" applyAlignment="1"/>
    <xf numFmtId="171" fontId="6" fillId="0" borderId="106" xfId="1" applyNumberFormat="1" applyFont="1" applyFill="1" applyBorder="1" applyAlignment="1">
      <alignment horizontal="center" vertical="center"/>
    </xf>
    <xf numFmtId="169" fontId="6" fillId="0" borderId="106" xfId="0" applyNumberFormat="1" applyFont="1" applyFill="1" applyBorder="1" applyAlignment="1"/>
    <xf numFmtId="169" fontId="6" fillId="0" borderId="0" xfId="0" applyNumberFormat="1" applyFont="1" applyFill="1" applyBorder="1" applyAlignment="1"/>
    <xf numFmtId="171" fontId="6" fillId="0" borderId="0" xfId="1" applyNumberFormat="1" applyFont="1" applyFill="1" applyBorder="1" applyAlignment="1">
      <alignment horizontal="center" vertical="center"/>
    </xf>
    <xf numFmtId="3" fontId="13" fillId="0" borderId="0" xfId="0" applyNumberFormat="1" applyFont="1"/>
    <xf numFmtId="0" fontId="13" fillId="0" borderId="0" xfId="0" applyFont="1" applyFill="1"/>
    <xf numFmtId="0" fontId="0" fillId="0" borderId="0" xfId="0" applyFill="1"/>
    <xf numFmtId="0" fontId="6" fillId="0" borderId="0" xfId="4"/>
    <xf numFmtId="0" fontId="21" fillId="0" borderId="0" xfId="4" applyFont="1" applyFill="1" applyBorder="1"/>
    <xf numFmtId="0" fontId="20" fillId="0" borderId="28" xfId="4" applyFont="1" applyFill="1" applyBorder="1"/>
    <xf numFmtId="0" fontId="20" fillId="0" borderId="18" xfId="4" applyFont="1" applyFill="1" applyBorder="1"/>
    <xf numFmtId="0" fontId="39" fillId="6" borderId="94" xfId="4" applyFont="1" applyFill="1" applyBorder="1"/>
    <xf numFmtId="0" fontId="39" fillId="6" borderId="95" xfId="4" applyFont="1" applyFill="1" applyBorder="1"/>
    <xf numFmtId="0" fontId="20" fillId="0" borderId="67" xfId="4" applyFont="1" applyFill="1" applyBorder="1"/>
    <xf numFmtId="0" fontId="20" fillId="6" borderId="122" xfId="4" applyFont="1" applyFill="1" applyBorder="1"/>
    <xf numFmtId="0" fontId="39" fillId="6" borderId="65" xfId="4" applyFont="1" applyFill="1" applyBorder="1"/>
    <xf numFmtId="0" fontId="2" fillId="6" borderId="123" xfId="0" applyFont="1" applyFill="1" applyBorder="1"/>
    <xf numFmtId="0" fontId="39" fillId="6" borderId="116" xfId="4" applyFont="1" applyFill="1" applyBorder="1"/>
    <xf numFmtId="0" fontId="39" fillId="0" borderId="31" xfId="4" applyFont="1" applyFill="1" applyBorder="1"/>
    <xf numFmtId="0" fontId="39" fillId="0" borderId="32" xfId="4" applyFont="1" applyFill="1" applyBorder="1"/>
    <xf numFmtId="1" fontId="39" fillId="0" borderId="127" xfId="4" applyNumberFormat="1" applyFont="1" applyFill="1" applyBorder="1"/>
    <xf numFmtId="1" fontId="20" fillId="0" borderId="18" xfId="4" applyNumberFormat="1" applyFont="1" applyFill="1" applyBorder="1"/>
    <xf numFmtId="1" fontId="20" fillId="0" borderId="28" xfId="4" applyNumberFormat="1" applyFont="1" applyFill="1" applyBorder="1"/>
    <xf numFmtId="1" fontId="20" fillId="0" borderId="67" xfId="4" applyNumberFormat="1" applyFont="1" applyFill="1" applyBorder="1"/>
    <xf numFmtId="1" fontId="39" fillId="0" borderId="31" xfId="4" applyNumberFormat="1" applyFont="1" applyFill="1" applyBorder="1"/>
    <xf numFmtId="0" fontId="13" fillId="6" borderId="2" xfId="0" applyFont="1" applyFill="1" applyBorder="1" applyAlignment="1">
      <alignment horizontal="center"/>
    </xf>
    <xf numFmtId="0" fontId="2" fillId="6" borderId="4" xfId="0" applyFont="1" applyFill="1" applyBorder="1" applyAlignment="1">
      <alignment horizontal="center"/>
    </xf>
    <xf numFmtId="0" fontId="2" fillId="6" borderId="117" xfId="0" applyFont="1" applyFill="1" applyBorder="1" applyAlignment="1">
      <alignment horizontal="center"/>
    </xf>
    <xf numFmtId="0" fontId="13" fillId="6" borderId="1" xfId="0" applyFont="1" applyFill="1" applyBorder="1" applyAlignment="1">
      <alignment horizontal="center"/>
    </xf>
    <xf numFmtId="0" fontId="13" fillId="6" borderId="128" xfId="0" applyFont="1" applyFill="1" applyBorder="1" applyAlignment="1">
      <alignment horizontal="center"/>
    </xf>
    <xf numFmtId="0" fontId="6" fillId="6" borderId="3" xfId="0" applyNumberFormat="1" applyFont="1" applyFill="1" applyBorder="1" applyAlignment="1">
      <alignment horizontal="center"/>
    </xf>
    <xf numFmtId="0" fontId="0" fillId="6" borderId="129" xfId="0" applyFill="1" applyBorder="1" applyAlignment="1">
      <alignment horizontal="center"/>
    </xf>
    <xf numFmtId="0" fontId="6" fillId="6" borderId="116" xfId="0" applyNumberFormat="1" applyFont="1" applyFill="1" applyBorder="1" applyAlignment="1">
      <alignment horizontal="center"/>
    </xf>
    <xf numFmtId="0" fontId="0" fillId="6" borderId="130" xfId="0" applyFill="1" applyBorder="1" applyAlignment="1">
      <alignment horizontal="center"/>
    </xf>
    <xf numFmtId="1" fontId="40" fillId="0" borderId="31" xfId="4" applyNumberFormat="1" applyFont="1" applyFill="1" applyBorder="1"/>
    <xf numFmtId="1" fontId="40" fillId="0" borderId="127" xfId="4" applyNumberFormat="1" applyFont="1" applyFill="1" applyBorder="1"/>
    <xf numFmtId="0" fontId="20" fillId="6" borderId="123" xfId="4" applyFont="1" applyFill="1" applyBorder="1"/>
    <xf numFmtId="1" fontId="20" fillId="0" borderId="65" xfId="4" applyNumberFormat="1" applyFont="1" applyFill="1" applyBorder="1"/>
    <xf numFmtId="1" fontId="20" fillId="0" borderId="94" xfId="4" applyNumberFormat="1" applyFont="1" applyFill="1" applyBorder="1"/>
    <xf numFmtId="1" fontId="20" fillId="0" borderId="95" xfId="4" applyNumberFormat="1" applyFont="1" applyFill="1" applyBorder="1"/>
    <xf numFmtId="0" fontId="20" fillId="6" borderId="120" xfId="4" applyFont="1" applyFill="1" applyBorder="1"/>
    <xf numFmtId="1" fontId="20" fillId="0" borderId="121" xfId="4" applyNumberFormat="1" applyFont="1" applyFill="1" applyBorder="1"/>
    <xf numFmtId="1" fontId="20" fillId="0" borderId="118" xfId="4" applyNumberFormat="1" applyFont="1" applyFill="1" applyBorder="1"/>
    <xf numFmtId="1" fontId="20" fillId="0" borderId="119" xfId="4" applyNumberFormat="1" applyFont="1" applyFill="1" applyBorder="1"/>
    <xf numFmtId="0" fontId="2" fillId="0" borderId="55" xfId="0" applyFont="1" applyBorder="1" applyAlignment="1">
      <alignment horizontal="center" vertical="center"/>
    </xf>
    <xf numFmtId="0" fontId="2" fillId="0" borderId="94" xfId="0" applyFont="1" applyBorder="1" applyAlignment="1">
      <alignment horizontal="center" vertical="center"/>
    </xf>
    <xf numFmtId="0" fontId="2" fillId="0" borderId="95" xfId="0" applyFont="1" applyBorder="1" applyAlignment="1">
      <alignment horizontal="center" vertical="center"/>
    </xf>
    <xf numFmtId="9" fontId="0" fillId="0" borderId="134" xfId="2" applyFont="1" applyBorder="1" applyAlignment="1">
      <alignment horizontal="center" vertical="center"/>
    </xf>
    <xf numFmtId="9" fontId="0" fillId="0" borderId="132" xfId="2" applyFont="1" applyBorder="1" applyAlignment="1">
      <alignment horizontal="center" vertical="center"/>
    </xf>
    <xf numFmtId="43" fontId="2" fillId="0" borderId="40" xfId="0" applyNumberFormat="1" applyFont="1" applyBorder="1"/>
    <xf numFmtId="43" fontId="2" fillId="0" borderId="138" xfId="0" applyNumberFormat="1" applyFont="1" applyBorder="1"/>
    <xf numFmtId="2" fontId="0" fillId="0" borderId="137" xfId="0" applyNumberFormat="1" applyFont="1" applyBorder="1" applyAlignment="1">
      <alignment horizontal="center" vertical="center"/>
    </xf>
    <xf numFmtId="2" fontId="0" fillId="0" borderId="131" xfId="0" applyNumberFormat="1" applyFont="1" applyBorder="1" applyAlignment="1">
      <alignment horizontal="center" vertical="center"/>
    </xf>
    <xf numFmtId="2" fontId="0" fillId="0" borderId="136" xfId="0" applyNumberFormat="1" applyBorder="1" applyAlignment="1">
      <alignment horizontal="center" vertical="center"/>
    </xf>
    <xf numFmtId="2" fontId="0" fillId="0" borderId="133" xfId="0" applyNumberFormat="1" applyBorder="1" applyAlignment="1">
      <alignment horizontal="center" vertical="center"/>
    </xf>
    <xf numFmtId="1" fontId="0" fillId="0" borderId="139" xfId="0" applyNumberFormat="1" applyBorder="1" applyAlignment="1">
      <alignment horizontal="center" vertical="center"/>
    </xf>
    <xf numFmtId="9" fontId="0" fillId="0" borderId="127" xfId="2" applyFont="1" applyBorder="1" applyAlignment="1">
      <alignment horizontal="center" vertical="center"/>
    </xf>
    <xf numFmtId="1" fontId="0" fillId="0" borderId="140" xfId="0" applyNumberFormat="1" applyBorder="1" applyAlignment="1">
      <alignment horizontal="center" vertical="center"/>
    </xf>
    <xf numFmtId="165" fontId="17" fillId="0" borderId="142" xfId="1" applyNumberFormat="1" applyFont="1" applyFill="1" applyBorder="1" applyAlignment="1">
      <alignment horizontal="center"/>
    </xf>
    <xf numFmtId="165" fontId="17" fillId="0" borderId="141" xfId="1" applyNumberFormat="1" applyFont="1" applyFill="1" applyBorder="1" applyAlignment="1">
      <alignment horizontal="center"/>
    </xf>
    <xf numFmtId="1" fontId="12" fillId="0" borderId="143" xfId="0" applyNumberFormat="1" applyFont="1" applyFill="1" applyBorder="1"/>
    <xf numFmtId="1" fontId="12" fillId="0" borderId="139" xfId="0" applyNumberFormat="1" applyFont="1" applyFill="1" applyBorder="1"/>
    <xf numFmtId="1" fontId="12" fillId="0" borderId="127" xfId="0" applyNumberFormat="1" applyFont="1" applyFill="1" applyBorder="1"/>
    <xf numFmtId="0" fontId="12" fillId="0" borderId="107" xfId="0" applyFont="1" applyBorder="1" applyAlignment="1">
      <alignment horizontal="left"/>
    </xf>
    <xf numFmtId="0" fontId="12" fillId="33" borderId="107" xfId="0" applyNumberFormat="1" applyFont="1" applyFill="1" applyBorder="1"/>
    <xf numFmtId="0" fontId="12" fillId="33" borderId="144" xfId="0" applyNumberFormat="1" applyFont="1" applyFill="1" applyBorder="1"/>
    <xf numFmtId="0" fontId="12" fillId="34" borderId="145" xfId="0" applyNumberFormat="1" applyFont="1" applyFill="1" applyBorder="1"/>
    <xf numFmtId="0" fontId="12" fillId="34" borderId="107" xfId="0" applyNumberFormat="1" applyFont="1" applyFill="1" applyBorder="1"/>
    <xf numFmtId="0" fontId="12" fillId="34" borderId="144" xfId="0" applyNumberFormat="1" applyFont="1" applyFill="1" applyBorder="1"/>
    <xf numFmtId="0" fontId="12" fillId="35" borderId="145" xfId="0" applyNumberFormat="1" applyFont="1" applyFill="1" applyBorder="1"/>
    <xf numFmtId="0" fontId="12" fillId="35" borderId="144" xfId="0" applyNumberFormat="1" applyFont="1" applyFill="1" applyBorder="1"/>
    <xf numFmtId="0" fontId="12" fillId="5" borderId="145" xfId="0" applyNumberFormat="1" applyFont="1" applyFill="1" applyBorder="1"/>
    <xf numFmtId="0" fontId="12" fillId="5" borderId="107" xfId="0" applyNumberFormat="1" applyFont="1" applyFill="1" applyBorder="1"/>
    <xf numFmtId="0" fontId="12" fillId="5" borderId="107" xfId="0" applyFont="1" applyFill="1" applyBorder="1"/>
    <xf numFmtId="0" fontId="12" fillId="5" borderId="144" xfId="0" applyNumberFormat="1" applyFont="1" applyFill="1" applyBorder="1"/>
    <xf numFmtId="0" fontId="12" fillId="8" borderId="145" xfId="0" applyNumberFormat="1" applyFont="1" applyFill="1" applyBorder="1"/>
    <xf numFmtId="0" fontId="12" fillId="8" borderId="107" xfId="0" applyNumberFormat="1" applyFont="1" applyFill="1" applyBorder="1"/>
    <xf numFmtId="3" fontId="12" fillId="8" borderId="144" xfId="0" applyNumberFormat="1" applyFont="1" applyFill="1" applyBorder="1"/>
    <xf numFmtId="0" fontId="12" fillId="10" borderId="146" xfId="0" applyNumberFormat="1" applyFont="1" applyFill="1" applyBorder="1"/>
    <xf numFmtId="0" fontId="12" fillId="10" borderId="107" xfId="0" applyFont="1" applyFill="1" applyBorder="1"/>
    <xf numFmtId="0" fontId="12" fillId="10" borderId="107" xfId="0" applyNumberFormat="1" applyFont="1" applyFill="1" applyBorder="1"/>
    <xf numFmtId="3" fontId="12" fillId="10" borderId="146" xfId="0" applyNumberFormat="1" applyFont="1" applyFill="1" applyBorder="1"/>
    <xf numFmtId="0" fontId="12" fillId="0" borderId="107" xfId="0" applyFont="1" applyBorder="1" applyAlignment="1">
      <alignment horizontal="left" wrapText="1"/>
    </xf>
    <xf numFmtId="165" fontId="0" fillId="0" borderId="14" xfId="0" applyNumberFormat="1" applyBorder="1"/>
    <xf numFmtId="165" fontId="0" fillId="0" borderId="147" xfId="0" applyNumberFormat="1" applyBorder="1"/>
    <xf numFmtId="0" fontId="15" fillId="0" borderId="0" xfId="0" applyFont="1"/>
    <xf numFmtId="0" fontId="15" fillId="0" borderId="149" xfId="0" applyFont="1" applyBorder="1" applyAlignment="1">
      <alignment horizontal="left" vertical="center"/>
    </xf>
    <xf numFmtId="0" fontId="15" fillId="0" borderId="149" xfId="0" applyFont="1" applyBorder="1" applyAlignment="1">
      <alignment horizontal="right" vertical="center"/>
    </xf>
    <xf numFmtId="0" fontId="14" fillId="0" borderId="0" xfId="0" applyFont="1" applyAlignment="1">
      <alignment horizontal="left"/>
    </xf>
    <xf numFmtId="0" fontId="15" fillId="0" borderId="0" xfId="0" applyFont="1" applyAlignment="1">
      <alignment horizontal="left" indent="1"/>
    </xf>
    <xf numFmtId="3" fontId="15" fillId="0" borderId="0" xfId="0" applyNumberFormat="1" applyFont="1" applyAlignment="1"/>
    <xf numFmtId="3" fontId="15" fillId="0" borderId="0" xfId="0" applyNumberFormat="1" applyFont="1"/>
    <xf numFmtId="0" fontId="15" fillId="0" borderId="0" xfId="0" applyFont="1" applyAlignment="1">
      <alignment horizontal="left"/>
    </xf>
    <xf numFmtId="0" fontId="15" fillId="0" borderId="0" xfId="0" applyFont="1" applyAlignment="1"/>
    <xf numFmtId="3" fontId="14" fillId="0" borderId="0" xfId="0" applyNumberFormat="1" applyFont="1" applyAlignment="1"/>
    <xf numFmtId="0" fontId="41" fillId="0" borderId="0" xfId="0" applyFont="1" applyAlignment="1"/>
    <xf numFmtId="0" fontId="14" fillId="0" borderId="0" xfId="0" applyFont="1" applyBorder="1" applyAlignment="1">
      <alignment horizontal="left"/>
    </xf>
    <xf numFmtId="3" fontId="14" fillId="0" borderId="0" xfId="0" applyNumberFormat="1" applyFont="1" applyBorder="1" applyAlignment="1"/>
    <xf numFmtId="3" fontId="14" fillId="0" borderId="0" xfId="0" applyNumberFormat="1" applyFont="1" applyBorder="1" applyAlignment="1">
      <alignment horizontal="center"/>
    </xf>
    <xf numFmtId="3" fontId="15" fillId="0" borderId="0" xfId="0" applyNumberFormat="1" applyFont="1" applyBorder="1" applyAlignment="1"/>
    <xf numFmtId="3" fontId="15" fillId="0" borderId="0" xfId="0" applyNumberFormat="1" applyFont="1" applyFill="1" applyBorder="1" applyAlignment="1"/>
    <xf numFmtId="0" fontId="15" fillId="0" borderId="0" xfId="0" applyFont="1" applyAlignment="1">
      <alignment horizontal="center"/>
    </xf>
    <xf numFmtId="0" fontId="0" fillId="0" borderId="0" xfId="0"/>
    <xf numFmtId="0" fontId="14" fillId="0" borderId="0" xfId="0" applyFont="1"/>
    <xf numFmtId="0" fontId="15" fillId="0" borderId="0" xfId="0" applyFont="1"/>
    <xf numFmtId="0" fontId="15" fillId="0" borderId="0" xfId="0" applyFont="1" applyAlignment="1">
      <alignment horizontal="left" indent="1"/>
    </xf>
    <xf numFmtId="0" fontId="16" fillId="0" borderId="148" xfId="0" applyFont="1" applyBorder="1"/>
    <xf numFmtId="0" fontId="15" fillId="0" borderId="0" xfId="0" applyFont="1" applyBorder="1"/>
    <xf numFmtId="0" fontId="16" fillId="0" borderId="0" xfId="0" applyFont="1" applyBorder="1"/>
    <xf numFmtId="0" fontId="16" fillId="0" borderId="0" xfId="0" applyFont="1" applyAlignment="1">
      <alignment horizontal="left" wrapText="1" indent="1"/>
    </xf>
    <xf numFmtId="0" fontId="16" fillId="0" borderId="149" xfId="0" applyFont="1" applyBorder="1" applyAlignment="1">
      <alignment vertical="center"/>
    </xf>
    <xf numFmtId="169" fontId="15" fillId="0" borderId="0" xfId="0" applyNumberFormat="1" applyFont="1"/>
    <xf numFmtId="172" fontId="15" fillId="0" borderId="0" xfId="0" applyNumberFormat="1" applyFont="1"/>
    <xf numFmtId="172" fontId="14" fillId="0" borderId="0" xfId="0" applyNumberFormat="1" applyFont="1"/>
    <xf numFmtId="172" fontId="0" fillId="0" borderId="0" xfId="0" applyNumberFormat="1"/>
    <xf numFmtId="0" fontId="15" fillId="0" borderId="149" xfId="0" applyFont="1" applyBorder="1" applyAlignment="1">
      <alignment vertical="center"/>
    </xf>
    <xf numFmtId="0" fontId="0" fillId="0" borderId="0" xfId="0"/>
    <xf numFmtId="0" fontId="14" fillId="0" borderId="0" xfId="0" applyFont="1"/>
    <xf numFmtId="0" fontId="15" fillId="0" borderId="0" xfId="0" applyFont="1"/>
    <xf numFmtId="0" fontId="15" fillId="0" borderId="0" xfId="0" applyFont="1" applyAlignment="1">
      <alignment horizontal="left" indent="1"/>
    </xf>
    <xf numFmtId="0" fontId="16" fillId="0" borderId="148" xfId="0" applyFont="1" applyBorder="1"/>
    <xf numFmtId="0" fontId="15" fillId="0" borderId="0" xfId="0" applyFont="1" applyAlignment="1">
      <alignment vertical="center"/>
    </xf>
    <xf numFmtId="0" fontId="15" fillId="0" borderId="0" xfId="0" applyFont="1" applyAlignment="1">
      <alignment horizontal="right" vertical="center"/>
    </xf>
    <xf numFmtId="0" fontId="15" fillId="0" borderId="0" xfId="0" applyFont="1" applyBorder="1"/>
    <xf numFmtId="0" fontId="16" fillId="0" borderId="0" xfId="0" applyFont="1" applyBorder="1"/>
    <xf numFmtId="0" fontId="16" fillId="0" borderId="0" xfId="0" applyFont="1"/>
    <xf numFmtId="0" fontId="16" fillId="0" borderId="149" xfId="0" applyFont="1" applyBorder="1" applyAlignment="1">
      <alignment vertical="center"/>
    </xf>
    <xf numFmtId="0" fontId="12" fillId="0" borderId="0" xfId="0" applyFont="1"/>
    <xf numFmtId="0" fontId="15" fillId="0" borderId="150" xfId="0" applyFont="1" applyBorder="1"/>
    <xf numFmtId="0" fontId="0" fillId="0" borderId="150" xfId="0" applyBorder="1"/>
    <xf numFmtId="0" fontId="15" fillId="0" borderId="0" xfId="0" applyFont="1" applyBorder="1" applyAlignment="1">
      <alignment horizontal="center"/>
    </xf>
    <xf numFmtId="0" fontId="12" fillId="0" borderId="149" xfId="0" applyFont="1" applyBorder="1" applyAlignment="1">
      <alignment vertical="center"/>
    </xf>
    <xf numFmtId="0" fontId="16" fillId="0" borderId="150" xfId="0" applyFont="1" applyBorder="1" applyAlignment="1">
      <alignment vertical="center"/>
    </xf>
    <xf numFmtId="0" fontId="16" fillId="0" borderId="0" xfId="0" applyFont="1" applyBorder="1" applyAlignment="1">
      <alignment vertical="center"/>
    </xf>
    <xf numFmtId="0" fontId="16" fillId="0" borderId="148" xfId="0" applyFont="1" applyBorder="1" applyAlignment="1">
      <alignment vertical="center"/>
    </xf>
    <xf numFmtId="0" fontId="12" fillId="0" borderId="0" xfId="0" applyFont="1" applyBorder="1" applyAlignment="1">
      <alignment vertical="center"/>
    </xf>
    <xf numFmtId="0" fontId="14" fillId="0" borderId="149" xfId="4" applyFont="1" applyBorder="1" applyAlignment="1">
      <alignment horizontal="center"/>
    </xf>
    <xf numFmtId="0" fontId="6" fillId="0" borderId="0" xfId="4"/>
    <xf numFmtId="0" fontId="15" fillId="0" borderId="0" xfId="52" applyFont="1"/>
    <xf numFmtId="0" fontId="15" fillId="0" borderId="148" xfId="4" applyFont="1" applyBorder="1"/>
    <xf numFmtId="0" fontId="15" fillId="0" borderId="149" xfId="53" applyFont="1" applyBorder="1" applyAlignment="1">
      <alignment vertical="center"/>
    </xf>
    <xf numFmtId="0" fontId="15" fillId="0" borderId="149" xfId="52" quotePrefix="1" applyFont="1" applyFill="1" applyBorder="1" applyAlignment="1">
      <alignment horizontal="right" vertical="center"/>
    </xf>
    <xf numFmtId="0" fontId="15" fillId="0" borderId="0" xfId="52" applyFont="1" applyAlignment="1">
      <alignment horizontal="left" indent="1"/>
    </xf>
    <xf numFmtId="0" fontId="15" fillId="0" borderId="0" xfId="52" applyFont="1" applyFill="1"/>
    <xf numFmtId="0" fontId="15" fillId="0" borderId="149" xfId="52" quotePrefix="1" applyFont="1" applyFill="1" applyBorder="1" applyAlignment="1">
      <alignment vertical="center"/>
    </xf>
    <xf numFmtId="0" fontId="15" fillId="0" borderId="148" xfId="4" applyFont="1" applyBorder="1" applyAlignment="1">
      <alignment horizontal="right"/>
    </xf>
    <xf numFmtId="0" fontId="15" fillId="0" borderId="149" xfId="4" applyFont="1" applyBorder="1"/>
    <xf numFmtId="0" fontId="15" fillId="0" borderId="150" xfId="4" applyFont="1" applyBorder="1"/>
    <xf numFmtId="3" fontId="0" fillId="0" borderId="0" xfId="0" applyNumberFormat="1" applyBorder="1"/>
    <xf numFmtId="3" fontId="0" fillId="0" borderId="4" xfId="0" applyNumberFormat="1" applyBorder="1"/>
    <xf numFmtId="0" fontId="2" fillId="0" borderId="116" xfId="0" applyFont="1" applyBorder="1"/>
    <xf numFmtId="0" fontId="14" fillId="0" borderId="149" xfId="4" applyFont="1" applyBorder="1" applyAlignment="1">
      <alignment horizontal="left"/>
    </xf>
    <xf numFmtId="0" fontId="6" fillId="0" borderId="0" xfId="4"/>
    <xf numFmtId="0" fontId="15" fillId="0" borderId="0" xfId="4" applyFont="1"/>
    <xf numFmtId="0" fontId="15" fillId="0" borderId="148" xfId="4" applyFont="1" applyBorder="1"/>
    <xf numFmtId="0" fontId="14" fillId="0" borderId="0" xfId="4" applyFont="1"/>
    <xf numFmtId="0" fontId="15" fillId="0" borderId="0" xfId="4" applyFont="1" applyBorder="1"/>
    <xf numFmtId="0" fontId="15" fillId="0" borderId="0" xfId="4" applyFont="1" applyBorder="1" applyAlignment="1">
      <alignment horizontal="center"/>
    </xf>
    <xf numFmtId="0" fontId="15" fillId="0" borderId="0" xfId="4" applyFont="1" applyFill="1" applyAlignment="1">
      <alignment horizontal="right"/>
    </xf>
    <xf numFmtId="2" fontId="14" fillId="0" borderId="0" xfId="4" applyNumberFormat="1" applyFont="1" applyFill="1" applyAlignment="1">
      <alignment horizontal="right"/>
    </xf>
    <xf numFmtId="0" fontId="14" fillId="0" borderId="0" xfId="4" applyFont="1" applyFill="1" applyAlignment="1">
      <alignment horizontal="right"/>
    </xf>
    <xf numFmtId="3" fontId="15" fillId="0" borderId="0" xfId="4" applyNumberFormat="1" applyFont="1" applyFill="1" applyAlignment="1">
      <alignment horizontal="right"/>
    </xf>
    <xf numFmtId="10" fontId="15" fillId="0" borderId="0" xfId="4" applyNumberFormat="1" applyFont="1" applyFill="1" applyAlignment="1">
      <alignment horizontal="right"/>
    </xf>
    <xf numFmtId="0" fontId="15" fillId="0" borderId="149" xfId="4" applyFont="1" applyBorder="1" applyAlignment="1">
      <alignment horizontal="right" vertical="center"/>
    </xf>
    <xf numFmtId="0" fontId="14" fillId="0" borderId="150" xfId="4" applyFont="1" applyBorder="1" applyAlignment="1">
      <alignment horizontal="left"/>
    </xf>
    <xf numFmtId="0" fontId="15" fillId="0" borderId="150" xfId="4" applyFont="1" applyBorder="1" applyAlignment="1">
      <alignment horizontal="right" vertical="center"/>
    </xf>
    <xf numFmtId="0" fontId="14" fillId="0" borderId="150" xfId="4" applyFont="1" applyBorder="1" applyAlignment="1">
      <alignment horizontal="center"/>
    </xf>
    <xf numFmtId="0" fontId="14" fillId="0" borderId="148" xfId="4" applyFont="1" applyFill="1" applyBorder="1" applyAlignment="1">
      <alignment horizontal="right"/>
    </xf>
    <xf numFmtId="0" fontId="2" fillId="0" borderId="1" xfId="0" applyFont="1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2" fillId="0" borderId="43" xfId="0" applyFont="1" applyBorder="1" applyAlignment="1">
      <alignment horizontal="center" vertical="center"/>
    </xf>
    <xf numFmtId="0" fontId="2" fillId="0" borderId="44" xfId="0" applyFont="1" applyBorder="1" applyAlignment="1">
      <alignment horizontal="center" vertical="center"/>
    </xf>
    <xf numFmtId="0" fontId="2" fillId="0" borderId="45" xfId="0" applyFont="1" applyBorder="1" applyAlignment="1">
      <alignment horizontal="center" vertical="center"/>
    </xf>
    <xf numFmtId="0" fontId="2" fillId="0" borderId="40" xfId="0" applyFont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 wrapText="1"/>
    </xf>
    <xf numFmtId="0" fontId="2" fillId="6" borderId="3" xfId="0" applyFont="1" applyFill="1" applyBorder="1" applyAlignment="1">
      <alignment horizontal="center" vertical="center" wrapText="1"/>
    </xf>
    <xf numFmtId="0" fontId="2" fillId="6" borderId="5" xfId="0" applyFont="1" applyFill="1" applyBorder="1" applyAlignment="1">
      <alignment horizontal="center" vertical="center" wrapText="1"/>
    </xf>
    <xf numFmtId="3" fontId="0" fillId="0" borderId="0" xfId="0" applyNumberFormat="1" applyFill="1" applyBorder="1"/>
    <xf numFmtId="9" fontId="43" fillId="0" borderId="0" xfId="0" applyNumberFormat="1" applyFont="1"/>
    <xf numFmtId="0" fontId="0" fillId="0" borderId="149" xfId="0" applyBorder="1"/>
    <xf numFmtId="0" fontId="0" fillId="0" borderId="148" xfId="0" applyBorder="1"/>
    <xf numFmtId="9" fontId="43" fillId="0" borderId="148" xfId="0" applyNumberFormat="1" applyFont="1" applyBorder="1"/>
    <xf numFmtId="0" fontId="2" fillId="0" borderId="1" xfId="0" applyFont="1" applyFill="1" applyBorder="1"/>
    <xf numFmtId="0" fontId="2" fillId="0" borderId="3" xfId="0" applyFont="1" applyFill="1" applyBorder="1"/>
    <xf numFmtId="2" fontId="0" fillId="0" borderId="16" xfId="0" applyNumberFormat="1" applyBorder="1"/>
    <xf numFmtId="2" fontId="0" fillId="0" borderId="117" xfId="0" applyNumberFormat="1" applyBorder="1"/>
    <xf numFmtId="2" fontId="0" fillId="0" borderId="0" xfId="0" applyNumberFormat="1" applyBorder="1"/>
    <xf numFmtId="2" fontId="0" fillId="0" borderId="4" xfId="0" applyNumberFormat="1" applyBorder="1"/>
    <xf numFmtId="0" fontId="2" fillId="0" borderId="151" xfId="0" applyFont="1" applyBorder="1" applyAlignment="1">
      <alignment horizontal="center" vertical="center"/>
    </xf>
    <xf numFmtId="0" fontId="2" fillId="0" borderId="152" xfId="0" applyFont="1" applyBorder="1" applyAlignment="1">
      <alignment horizontal="center" vertical="center"/>
    </xf>
    <xf numFmtId="2" fontId="0" fillId="0" borderId="152" xfId="0" applyNumberFormat="1" applyBorder="1" applyAlignment="1">
      <alignment horizontal="center" vertical="center"/>
    </xf>
    <xf numFmtId="2" fontId="0" fillId="0" borderId="132" xfId="0" applyNumberFormat="1" applyBorder="1" applyAlignment="1">
      <alignment horizontal="center" vertical="center"/>
    </xf>
    <xf numFmtId="43" fontId="2" fillId="0" borderId="135" xfId="0" applyNumberFormat="1" applyFont="1" applyBorder="1" applyAlignment="1">
      <alignment horizontal="center" vertical="center" wrapText="1"/>
    </xf>
    <xf numFmtId="4" fontId="0" fillId="0" borderId="0" xfId="0" applyNumberFormat="1"/>
    <xf numFmtId="1" fontId="44" fillId="37" borderId="0" xfId="56" applyNumberFormat="1" applyFont="1" applyFill="1" applyBorder="1" applyAlignment="1">
      <alignment horizontal="center" wrapText="1"/>
    </xf>
    <xf numFmtId="1" fontId="44" fillId="37" borderId="153" xfId="56" applyNumberFormat="1" applyFont="1" applyFill="1" applyBorder="1" applyAlignment="1">
      <alignment horizontal="center" wrapText="1"/>
    </xf>
    <xf numFmtId="1" fontId="44" fillId="0" borderId="153" xfId="56" applyNumberFormat="1" applyFont="1" applyFill="1" applyBorder="1" applyAlignment="1">
      <alignment horizontal="center" wrapText="1"/>
    </xf>
    <xf numFmtId="1" fontId="44" fillId="0" borderId="0" xfId="56" applyNumberFormat="1" applyFont="1" applyFill="1" applyBorder="1" applyAlignment="1">
      <alignment horizontal="center" wrapText="1"/>
    </xf>
    <xf numFmtId="1" fontId="46" fillId="0" borderId="0" xfId="0" applyNumberFormat="1" applyFont="1" applyBorder="1" applyAlignment="1">
      <alignment horizontal="center"/>
    </xf>
    <xf numFmtId="1" fontId="46" fillId="0" borderId="0" xfId="0" applyNumberFormat="1" applyFont="1" applyFill="1" applyBorder="1" applyAlignment="1">
      <alignment horizontal="center"/>
    </xf>
    <xf numFmtId="1" fontId="44" fillId="40" borderId="0" xfId="56" applyNumberFormat="1" applyFont="1" applyFill="1" applyBorder="1" applyAlignment="1">
      <alignment horizontal="center" wrapText="1"/>
    </xf>
    <xf numFmtId="0" fontId="44" fillId="0" borderId="0" xfId="55" applyFont="1" applyFill="1" applyBorder="1" applyAlignment="1">
      <alignment horizontal="center" wrapText="1"/>
    </xf>
    <xf numFmtId="2" fontId="44" fillId="0" borderId="0" xfId="56" applyNumberFormat="1" applyFont="1" applyFill="1" applyBorder="1" applyAlignment="1">
      <alignment horizontal="center" wrapText="1"/>
    </xf>
    <xf numFmtId="2" fontId="44" fillId="41" borderId="0" xfId="57" applyNumberFormat="1" applyFont="1" applyFill="1" applyBorder="1" applyAlignment="1">
      <alignment horizontal="center" wrapText="1"/>
    </xf>
    <xf numFmtId="2" fontId="44" fillId="0" borderId="0" xfId="57" applyNumberFormat="1" applyFont="1" applyFill="1" applyBorder="1" applyAlignment="1">
      <alignment horizontal="center" wrapText="1"/>
    </xf>
    <xf numFmtId="2" fontId="44" fillId="40" borderId="0" xfId="56" applyNumberFormat="1" applyFont="1" applyFill="1" applyBorder="1" applyAlignment="1">
      <alignment horizontal="center" wrapText="1"/>
    </xf>
    <xf numFmtId="2" fontId="44" fillId="40" borderId="0" xfId="57" applyNumberFormat="1" applyFont="1" applyFill="1" applyBorder="1" applyAlignment="1">
      <alignment horizontal="center" wrapText="1"/>
    </xf>
    <xf numFmtId="1" fontId="44" fillId="0" borderId="0" xfId="55" applyNumberFormat="1" applyFont="1" applyFill="1" applyBorder="1" applyAlignment="1">
      <alignment horizontal="center" wrapText="1"/>
    </xf>
    <xf numFmtId="0" fontId="46" fillId="0" borderId="0" xfId="0" applyFont="1"/>
    <xf numFmtId="0" fontId="2" fillId="0" borderId="154" xfId="0" applyFont="1" applyFill="1" applyBorder="1"/>
    <xf numFmtId="2" fontId="2" fillId="0" borderId="142" xfId="0" applyNumberFormat="1" applyFont="1" applyBorder="1"/>
    <xf numFmtId="2" fontId="2" fillId="0" borderId="141" xfId="0" applyNumberFormat="1" applyFont="1" applyBorder="1"/>
    <xf numFmtId="175" fontId="0" fillId="0" borderId="0" xfId="0" applyNumberFormat="1" applyFill="1" applyBorder="1"/>
    <xf numFmtId="9" fontId="0" fillId="0" borderId="127" xfId="2" applyNumberFormat="1" applyFont="1" applyBorder="1" applyAlignment="1">
      <alignment horizontal="center" vertical="center"/>
    </xf>
    <xf numFmtId="0" fontId="6" fillId="0" borderId="0" xfId="58"/>
    <xf numFmtId="0" fontId="15" fillId="0" borderId="0" xfId="58" applyFont="1"/>
    <xf numFmtId="0" fontId="15" fillId="0" borderId="148" xfId="58" applyFont="1" applyBorder="1"/>
    <xf numFmtId="0" fontId="15" fillId="0" borderId="156" xfId="58" applyFont="1" applyBorder="1" applyAlignment="1">
      <alignment vertical="center"/>
    </xf>
    <xf numFmtId="0" fontId="15" fillId="0" borderId="0" xfId="58" applyFont="1" applyBorder="1"/>
    <xf numFmtId="0" fontId="14" fillId="0" borderId="0" xfId="58" applyFont="1" applyBorder="1"/>
    <xf numFmtId="0" fontId="15" fillId="0" borderId="0" xfId="58" applyFont="1" applyBorder="1" applyAlignment="1">
      <alignment horizontal="left" indent="1"/>
    </xf>
    <xf numFmtId="0" fontId="15" fillId="0" borderId="0" xfId="58" applyFont="1" applyBorder="1" applyAlignment="1">
      <alignment horizontal="left" indent="2"/>
    </xf>
    <xf numFmtId="3" fontId="15" fillId="0" borderId="0" xfId="58" applyNumberFormat="1" applyFont="1" applyBorder="1"/>
    <xf numFmtId="3" fontId="14" fillId="0" borderId="0" xfId="58" applyNumberFormat="1" applyFont="1" applyBorder="1"/>
    <xf numFmtId="3" fontId="15" fillId="0" borderId="0" xfId="58" applyNumberFormat="1" applyFont="1"/>
    <xf numFmtId="3" fontId="14" fillId="0" borderId="0" xfId="58" applyNumberFormat="1" applyFont="1"/>
    <xf numFmtId="0" fontId="14" fillId="0" borderId="0" xfId="58" applyFont="1" applyAlignment="1"/>
    <xf numFmtId="0" fontId="15" fillId="0" borderId="0" xfId="58" quotePrefix="1" applyFont="1" applyAlignment="1">
      <alignment horizontal="right"/>
    </xf>
    <xf numFmtId="0" fontId="6" fillId="20" borderId="88" xfId="0" applyNumberFormat="1" applyFont="1" applyFill="1" applyBorder="1" applyAlignment="1"/>
    <xf numFmtId="0" fontId="20" fillId="6" borderId="3" xfId="4" applyFont="1" applyFill="1" applyBorder="1"/>
    <xf numFmtId="9" fontId="6" fillId="0" borderId="106" xfId="2" applyFont="1" applyFill="1" applyBorder="1" applyAlignment="1">
      <alignment horizontal="center" vertical="center"/>
    </xf>
    <xf numFmtId="1" fontId="20" fillId="0" borderId="96" xfId="4" applyNumberFormat="1" applyFont="1" applyFill="1" applyBorder="1"/>
    <xf numFmtId="171" fontId="0" fillId="0" borderId="0" xfId="0" applyNumberFormat="1"/>
    <xf numFmtId="176" fontId="47" fillId="44" borderId="0" xfId="59" applyNumberFormat="1"/>
    <xf numFmtId="176" fontId="0" fillId="0" borderId="0" xfId="0" applyNumberFormat="1"/>
    <xf numFmtId="0" fontId="48" fillId="45" borderId="157" xfId="0" applyFont="1" applyFill="1" applyBorder="1" applyAlignment="1">
      <alignment vertical="center"/>
    </xf>
    <xf numFmtId="0" fontId="0" fillId="0" borderId="0" xfId="0" applyAlignment="1">
      <alignment horizontal="center"/>
    </xf>
    <xf numFmtId="0" fontId="50" fillId="36" borderId="0" xfId="61" applyFont="1" applyFill="1" applyBorder="1" applyAlignment="1">
      <alignment horizontal="left" vertical="center"/>
    </xf>
    <xf numFmtId="0" fontId="50" fillId="36" borderId="0" xfId="61" applyFont="1" applyFill="1" applyBorder="1" applyAlignment="1">
      <alignment horizontal="left" vertical="center" wrapText="1"/>
    </xf>
    <xf numFmtId="0" fontId="49" fillId="36" borderId="0" xfId="61" applyFont="1" applyFill="1" applyBorder="1" applyAlignment="1">
      <alignment horizontal="left" vertical="center" wrapText="1"/>
    </xf>
    <xf numFmtId="0" fontId="0" fillId="0" borderId="0" xfId="0" applyFill="1" applyBorder="1"/>
    <xf numFmtId="0" fontId="0" fillId="46" borderId="0" xfId="0" applyFill="1"/>
    <xf numFmtId="0" fontId="99" fillId="46" borderId="0" xfId="0" applyFont="1" applyFill="1"/>
    <xf numFmtId="3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49" fillId="36" borderId="0" xfId="61" applyFont="1" applyFill="1" applyBorder="1" applyAlignment="1">
      <alignment horizontal="center" vertical="center" wrapText="1"/>
    </xf>
    <xf numFmtId="0" fontId="0" fillId="0" borderId="0" xfId="0"/>
    <xf numFmtId="176" fontId="47" fillId="44" borderId="0" xfId="59" applyNumberFormat="1"/>
    <xf numFmtId="176" fontId="0" fillId="0" borderId="0" xfId="0" applyNumberFormat="1"/>
    <xf numFmtId="0" fontId="48" fillId="45" borderId="157" xfId="0" applyFont="1" applyFill="1" applyBorder="1" applyAlignment="1">
      <alignment vertical="center"/>
    </xf>
    <xf numFmtId="0" fontId="0" fillId="0" borderId="0" xfId="0" applyFont="1" applyAlignment="1">
      <alignment vertical="center"/>
    </xf>
    <xf numFmtId="0" fontId="48" fillId="45" borderId="156" xfId="0" applyFont="1" applyFill="1" applyBorder="1" applyAlignment="1">
      <alignment vertical="center"/>
    </xf>
    <xf numFmtId="0" fontId="48" fillId="45" borderId="156" xfId="0" applyFont="1" applyFill="1" applyBorder="1" applyAlignment="1">
      <alignment horizontal="center" vertical="center"/>
    </xf>
    <xf numFmtId="176" fontId="47" fillId="44" borderId="0" xfId="59" applyNumberFormat="1" applyFont="1" applyAlignment="1">
      <alignment vertical="center"/>
    </xf>
    <xf numFmtId="0" fontId="49" fillId="36" borderId="157" xfId="61" applyFont="1" applyFill="1" applyBorder="1" applyAlignment="1">
      <alignment horizontal="left" vertical="center" wrapText="1"/>
    </xf>
    <xf numFmtId="0" fontId="49" fillId="36" borderId="157" xfId="61" applyFont="1" applyFill="1" applyBorder="1" applyAlignment="1">
      <alignment horizontal="center" vertical="center" wrapText="1"/>
    </xf>
    <xf numFmtId="0" fontId="49" fillId="0" borderId="0" xfId="61" applyFont="1" applyFill="1" applyBorder="1" applyAlignment="1">
      <alignment horizontal="center" vertical="center" wrapText="1"/>
    </xf>
    <xf numFmtId="0" fontId="48" fillId="0" borderId="0" xfId="0" applyFont="1" applyFill="1" applyBorder="1" applyAlignment="1">
      <alignment horizontal="center" vertical="center"/>
    </xf>
    <xf numFmtId="0" fontId="101" fillId="46" borderId="0" xfId="0" applyFont="1" applyFill="1"/>
    <xf numFmtId="0" fontId="100" fillId="46" borderId="0" xfId="0" applyFont="1" applyFill="1"/>
    <xf numFmtId="0" fontId="0" fillId="46" borderId="0" xfId="0" applyFont="1" applyFill="1" applyAlignment="1">
      <alignment vertical="center"/>
    </xf>
    <xf numFmtId="176" fontId="47" fillId="44" borderId="0" xfId="59" applyNumberFormat="1" applyAlignment="1">
      <alignment vertical="center"/>
    </xf>
    <xf numFmtId="176" fontId="0" fillId="0" borderId="0" xfId="0" applyNumberFormat="1" applyFont="1" applyAlignment="1">
      <alignment vertical="center"/>
    </xf>
    <xf numFmtId="0" fontId="48" fillId="45" borderId="157" xfId="0" applyFont="1" applyFill="1" applyBorder="1" applyAlignment="1">
      <alignment horizontal="center" vertical="center"/>
    </xf>
    <xf numFmtId="0" fontId="0" fillId="0" borderId="0" xfId="0" applyFont="1"/>
    <xf numFmtId="0" fontId="1" fillId="0" borderId="0" xfId="2847" applyAlignment="1">
      <alignment vertical="center"/>
    </xf>
    <xf numFmtId="0" fontId="1" fillId="0" borderId="0" xfId="2847" applyFill="1" applyAlignment="1">
      <alignment vertical="center"/>
    </xf>
    <xf numFmtId="0" fontId="1" fillId="0" borderId="0" xfId="2847" applyFont="1" applyFill="1" applyBorder="1" applyAlignment="1">
      <alignment vertical="center"/>
    </xf>
    <xf numFmtId="9" fontId="0" fillId="0" borderId="0" xfId="2" applyFont="1" applyAlignment="1">
      <alignment horizontal="center"/>
    </xf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1" fillId="0" borderId="0" xfId="0" applyFont="1" applyFill="1" applyBorder="1" applyAlignment="1">
      <alignment vertical="center"/>
    </xf>
    <xf numFmtId="0" fontId="1" fillId="0" borderId="0" xfId="0" applyFont="1" applyAlignment="1">
      <alignment horizontal="center" vertical="center"/>
    </xf>
    <xf numFmtId="169" fontId="1" fillId="0" borderId="0" xfId="0" applyNumberFormat="1" applyFont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102" fillId="46" borderId="0" xfId="107" applyFont="1" applyFill="1" applyAlignment="1">
      <alignment horizontal="left" vertical="center"/>
    </xf>
    <xf numFmtId="0" fontId="2" fillId="46" borderId="0" xfId="0" applyFont="1" applyFill="1" applyAlignment="1">
      <alignment vertical="center"/>
    </xf>
    <xf numFmtId="0" fontId="48" fillId="73" borderId="157" xfId="4" applyFont="1" applyFill="1" applyBorder="1" applyAlignment="1">
      <alignment vertical="center"/>
    </xf>
    <xf numFmtId="0" fontId="48" fillId="73" borderId="157" xfId="4" applyFont="1" applyFill="1" applyBorder="1" applyAlignment="1">
      <alignment horizontal="center" vertical="center"/>
    </xf>
    <xf numFmtId="0" fontId="48" fillId="73" borderId="157" xfId="4" applyFont="1" applyFill="1" applyBorder="1" applyAlignment="1">
      <alignment horizontal="left" vertical="center"/>
    </xf>
    <xf numFmtId="169" fontId="2" fillId="4" borderId="0" xfId="0" applyNumberFormat="1" applyFont="1" applyFill="1" applyAlignment="1">
      <alignment horizontal="left" vertical="center"/>
    </xf>
    <xf numFmtId="169" fontId="7" fillId="4" borderId="0" xfId="0" applyNumberFormat="1" applyFont="1" applyFill="1" applyAlignment="1">
      <alignment horizontal="center" vertical="center"/>
    </xf>
    <xf numFmtId="0" fontId="0" fillId="4" borderId="0" xfId="0" applyFont="1" applyFill="1" applyAlignment="1">
      <alignment vertical="center"/>
    </xf>
    <xf numFmtId="0" fontId="2" fillId="4" borderId="0" xfId="0" applyFont="1" applyFill="1" applyAlignment="1">
      <alignment vertical="center"/>
    </xf>
    <xf numFmtId="1" fontId="0" fillId="4" borderId="0" xfId="0" applyNumberFormat="1" applyFont="1" applyFill="1" applyAlignment="1">
      <alignment horizontal="center" vertical="center"/>
    </xf>
    <xf numFmtId="0" fontId="0" fillId="0" borderId="0" xfId="2847" applyFont="1" applyFill="1" applyBorder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2" fillId="8" borderId="120" xfId="0" applyFont="1" applyFill="1" applyBorder="1" applyAlignment="1">
      <alignment horizontal="center" vertical="center"/>
    </xf>
    <xf numFmtId="0" fontId="2" fillId="10" borderId="116" xfId="0" applyFont="1" applyFill="1" applyBorder="1" applyAlignment="1">
      <alignment horizontal="center" vertical="center"/>
    </xf>
    <xf numFmtId="1" fontId="0" fillId="10" borderId="175" xfId="0" applyNumberFormat="1" applyFill="1" applyBorder="1"/>
    <xf numFmtId="1" fontId="0" fillId="10" borderId="176" xfId="0" applyNumberFormat="1" applyFill="1" applyBorder="1"/>
    <xf numFmtId="1" fontId="0" fillId="10" borderId="117" xfId="0" applyNumberFormat="1" applyFill="1" applyBorder="1"/>
    <xf numFmtId="0" fontId="2" fillId="4" borderId="116" xfId="0" applyFont="1" applyFill="1" applyBorder="1" applyAlignment="1">
      <alignment horizontal="center" vertical="center"/>
    </xf>
    <xf numFmtId="1" fontId="0" fillId="4" borderId="175" xfId="0" applyNumberFormat="1" applyFill="1" applyBorder="1"/>
    <xf numFmtId="1" fontId="0" fillId="4" borderId="176" xfId="0" applyNumberFormat="1" applyFill="1" applyBorder="1"/>
    <xf numFmtId="1" fontId="0" fillId="4" borderId="117" xfId="0" applyNumberFormat="1" applyFill="1" applyBorder="1"/>
    <xf numFmtId="0" fontId="0" fillId="0" borderId="0" xfId="0" applyNumberFormat="1"/>
    <xf numFmtId="0" fontId="0" fillId="0" borderId="20" xfId="0" applyBorder="1"/>
    <xf numFmtId="0" fontId="0" fillId="0" borderId="20" xfId="0" applyFill="1" applyBorder="1"/>
    <xf numFmtId="0" fontId="0" fillId="0" borderId="0" xfId="0" applyBorder="1" applyAlignment="1">
      <alignment horizontal="center" vertical="center"/>
    </xf>
    <xf numFmtId="0" fontId="0" fillId="0" borderId="116" xfId="0" applyBorder="1"/>
    <xf numFmtId="177" fontId="0" fillId="0" borderId="176" xfId="2" applyNumberFormat="1" applyFont="1" applyBorder="1"/>
    <xf numFmtId="10" fontId="0" fillId="0" borderId="176" xfId="2" applyNumberFormat="1" applyFont="1" applyBorder="1"/>
    <xf numFmtId="10" fontId="0" fillId="0" borderId="117" xfId="2" applyNumberFormat="1" applyFont="1" applyBorder="1"/>
    <xf numFmtId="0" fontId="0" fillId="0" borderId="35" xfId="0" applyBorder="1"/>
    <xf numFmtId="2" fontId="0" fillId="0" borderId="20" xfId="0" applyNumberFormat="1" applyBorder="1"/>
    <xf numFmtId="2" fontId="0" fillId="0" borderId="2" xfId="0" applyNumberFormat="1" applyBorder="1"/>
    <xf numFmtId="0" fontId="0" fillId="0" borderId="116" xfId="0" applyFill="1" applyBorder="1"/>
    <xf numFmtId="0" fontId="0" fillId="0" borderId="176" xfId="0" applyBorder="1"/>
    <xf numFmtId="0" fontId="0" fillId="0" borderId="117" xfId="0" applyBorder="1"/>
    <xf numFmtId="177" fontId="0" fillId="0" borderId="0" xfId="0" applyNumberFormat="1"/>
    <xf numFmtId="0" fontId="0" fillId="0" borderId="40" xfId="0" applyBorder="1" applyAlignment="1">
      <alignment horizontal="center"/>
    </xf>
    <xf numFmtId="0" fontId="0" fillId="0" borderId="42" xfId="0" applyBorder="1" applyAlignment="1">
      <alignment horizontal="center"/>
    </xf>
    <xf numFmtId="0" fontId="0" fillId="0" borderId="151" xfId="0" applyBorder="1"/>
    <xf numFmtId="0" fontId="0" fillId="0" borderId="152" xfId="0" applyBorder="1" applyAlignment="1">
      <alignment horizontal="center"/>
    </xf>
    <xf numFmtId="0" fontId="0" fillId="0" borderId="46" xfId="0" applyBorder="1"/>
    <xf numFmtId="0" fontId="0" fillId="0" borderId="177" xfId="0" applyBorder="1" applyAlignment="1">
      <alignment horizontal="center"/>
    </xf>
    <xf numFmtId="0" fontId="0" fillId="0" borderId="107" xfId="0" applyBorder="1"/>
    <xf numFmtId="0" fontId="0" fillId="0" borderId="182" xfId="0" applyBorder="1"/>
    <xf numFmtId="0" fontId="100" fillId="74" borderId="40" xfId="0" applyFont="1" applyFill="1" applyBorder="1" applyAlignment="1">
      <alignment horizontal="center" vertical="center" wrapText="1"/>
    </xf>
    <xf numFmtId="0" fontId="100" fillId="74" borderId="41" xfId="0" applyFont="1" applyFill="1" applyBorder="1" applyAlignment="1">
      <alignment horizontal="center" vertical="center" wrapText="1"/>
    </xf>
    <xf numFmtId="0" fontId="100" fillId="74" borderId="42" xfId="0" applyFont="1" applyFill="1" applyBorder="1" applyAlignment="1">
      <alignment horizontal="center" vertical="center" wrapText="1"/>
    </xf>
    <xf numFmtId="0" fontId="0" fillId="0" borderId="178" xfId="0" applyBorder="1" applyAlignment="1">
      <alignment horizontal="center" vertical="center"/>
    </xf>
    <xf numFmtId="3" fontId="0" fillId="0" borderId="178" xfId="0" applyNumberFormat="1" applyBorder="1" applyAlignment="1">
      <alignment horizontal="center" vertical="center"/>
    </xf>
    <xf numFmtId="9" fontId="0" fillId="0" borderId="181" xfId="0" applyNumberFormat="1" applyBorder="1" applyAlignment="1">
      <alignment horizontal="center" vertical="center"/>
    </xf>
    <xf numFmtId="0" fontId="0" fillId="0" borderId="107" xfId="0" applyBorder="1" applyAlignment="1">
      <alignment horizontal="center" vertical="center"/>
    </xf>
    <xf numFmtId="3" fontId="0" fillId="0" borderId="107" xfId="0" applyNumberFormat="1" applyBorder="1" applyAlignment="1">
      <alignment horizontal="center" vertical="center"/>
    </xf>
    <xf numFmtId="9" fontId="0" fillId="0" borderId="152" xfId="0" applyNumberFormat="1" applyBorder="1" applyAlignment="1">
      <alignment horizontal="center" vertical="center"/>
    </xf>
    <xf numFmtId="10" fontId="0" fillId="0" borderId="152" xfId="0" applyNumberFormat="1" applyBorder="1" applyAlignment="1">
      <alignment horizontal="center" vertical="center"/>
    </xf>
    <xf numFmtId="0" fontId="0" fillId="0" borderId="182" xfId="0" applyBorder="1" applyAlignment="1">
      <alignment horizontal="center" vertical="center"/>
    </xf>
    <xf numFmtId="3" fontId="0" fillId="0" borderId="182" xfId="0" applyNumberFormat="1" applyBorder="1" applyAlignment="1">
      <alignment horizontal="center" vertical="center"/>
    </xf>
    <xf numFmtId="10" fontId="0" fillId="0" borderId="177" xfId="0" applyNumberFormat="1" applyBorder="1" applyAlignment="1">
      <alignment horizontal="center" vertical="center"/>
    </xf>
    <xf numFmtId="0" fontId="0" fillId="0" borderId="152" xfId="0" applyBorder="1"/>
    <xf numFmtId="0" fontId="0" fillId="0" borderId="177" xfId="0" applyBorder="1"/>
    <xf numFmtId="0" fontId="0" fillId="0" borderId="152" xfId="0" applyBorder="1" applyAlignment="1">
      <alignment horizontal="center" vertical="center"/>
    </xf>
    <xf numFmtId="0" fontId="0" fillId="0" borderId="177" xfId="0" applyBorder="1" applyAlignment="1">
      <alignment horizontal="center" vertical="center"/>
    </xf>
    <xf numFmtId="0" fontId="100" fillId="74" borderId="178" xfId="0" applyFont="1" applyFill="1" applyBorder="1" applyAlignment="1">
      <alignment horizontal="center" vertical="center" wrapText="1"/>
    </xf>
    <xf numFmtId="0" fontId="100" fillId="74" borderId="183" xfId="0" applyFont="1" applyFill="1" applyBorder="1" applyAlignment="1">
      <alignment horizontal="center" vertical="center" wrapText="1"/>
    </xf>
    <xf numFmtId="177" fontId="0" fillId="0" borderId="0" xfId="2" applyNumberFormat="1" applyFont="1" applyBorder="1"/>
    <xf numFmtId="10" fontId="0" fillId="0" borderId="176" xfId="0" applyNumberFormat="1" applyBorder="1"/>
    <xf numFmtId="10" fontId="0" fillId="0" borderId="0" xfId="0" applyNumberFormat="1" applyBorder="1"/>
    <xf numFmtId="10" fontId="0" fillId="0" borderId="0" xfId="2" applyNumberFormat="1" applyFont="1" applyBorder="1" applyAlignment="1">
      <alignment horizontal="right" vertical="center"/>
    </xf>
    <xf numFmtId="10" fontId="0" fillId="0" borderId="0" xfId="2" applyNumberFormat="1" applyFont="1"/>
    <xf numFmtId="10" fontId="0" fillId="0" borderId="4" xfId="2" applyNumberFormat="1" applyFont="1" applyBorder="1" applyAlignment="1">
      <alignment horizontal="right" vertical="center"/>
    </xf>
    <xf numFmtId="3" fontId="0" fillId="0" borderId="0" xfId="0" applyNumberFormat="1" applyFont="1" applyBorder="1"/>
    <xf numFmtId="3" fontId="0" fillId="0" borderId="4" xfId="0" applyNumberFormat="1" applyFont="1" applyBorder="1"/>
    <xf numFmtId="3" fontId="0" fillId="0" borderId="176" xfId="0" applyNumberFormat="1" applyFont="1" applyBorder="1"/>
    <xf numFmtId="3" fontId="0" fillId="0" borderId="117" xfId="0" applyNumberFormat="1" applyFont="1" applyBorder="1"/>
    <xf numFmtId="2" fontId="106" fillId="0" borderId="3" xfId="0" applyNumberFormat="1" applyFont="1" applyFill="1" applyBorder="1" applyAlignment="1">
      <alignment horizontal="left" wrapText="1"/>
    </xf>
    <xf numFmtId="0" fontId="106" fillId="0" borderId="3" xfId="0" applyFont="1" applyFill="1" applyBorder="1" applyAlignment="1">
      <alignment horizontal="left" wrapText="1"/>
    </xf>
    <xf numFmtId="0" fontId="48" fillId="0" borderId="116" xfId="0" applyFont="1" applyFill="1" applyBorder="1" applyAlignment="1">
      <alignment horizontal="left" wrapText="1"/>
    </xf>
    <xf numFmtId="3" fontId="0" fillId="75" borderId="0" xfId="0" applyNumberFormat="1" applyFill="1"/>
    <xf numFmtId="169" fontId="0" fillId="4" borderId="0" xfId="0" applyNumberFormat="1" applyFont="1" applyFill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0" fontId="48" fillId="0" borderId="1" xfId="0" applyFont="1" applyFill="1" applyBorder="1" applyAlignment="1">
      <alignment horizontal="left" wrapText="1"/>
    </xf>
    <xf numFmtId="0" fontId="2" fillId="0" borderId="2" xfId="0" applyNumberFormat="1" applyFont="1" applyFill="1" applyBorder="1"/>
    <xf numFmtId="1" fontId="0" fillId="0" borderId="4" xfId="0" applyNumberFormat="1" applyBorder="1"/>
    <xf numFmtId="0" fontId="106" fillId="0" borderId="116" xfId="0" applyFont="1" applyFill="1" applyBorder="1" applyAlignment="1">
      <alignment horizontal="left" wrapText="1"/>
    </xf>
    <xf numFmtId="1" fontId="0" fillId="0" borderId="117" xfId="0" applyNumberFormat="1" applyBorder="1"/>
    <xf numFmtId="165" fontId="0" fillId="0" borderId="0" xfId="1" applyNumberFormat="1" applyFont="1"/>
    <xf numFmtId="0" fontId="2" fillId="19" borderId="107" xfId="0" applyFont="1" applyFill="1" applyBorder="1"/>
    <xf numFmtId="165" fontId="0" fillId="0" borderId="107" xfId="1" applyNumberFormat="1" applyFont="1" applyBorder="1"/>
    <xf numFmtId="165" fontId="2" fillId="0" borderId="107" xfId="0" applyNumberFormat="1" applyFont="1" applyBorder="1"/>
    <xf numFmtId="43" fontId="16" fillId="0" borderId="0" xfId="1" applyNumberFormat="1" applyFont="1" applyBorder="1"/>
    <xf numFmtId="0" fontId="12" fillId="0" borderId="0" xfId="1" applyNumberFormat="1" applyFont="1" applyFill="1" applyBorder="1" applyAlignment="1">
      <alignment horizontal="center" wrapText="1"/>
    </xf>
    <xf numFmtId="0" fontId="2" fillId="0" borderId="8" xfId="0" applyFont="1" applyBorder="1"/>
    <xf numFmtId="0" fontId="2" fillId="0" borderId="9" xfId="0" applyFont="1" applyBorder="1"/>
    <xf numFmtId="165" fontId="0" fillId="0" borderId="149" xfId="1" applyNumberFormat="1" applyFont="1" applyBorder="1"/>
    <xf numFmtId="165" fontId="0" fillId="0" borderId="186" xfId="1" applyNumberFormat="1" applyFont="1" applyBorder="1"/>
    <xf numFmtId="165" fontId="0" fillId="0" borderId="187" xfId="1" applyNumberFormat="1" applyFont="1" applyBorder="1"/>
    <xf numFmtId="165" fontId="0" fillId="0" borderId="188" xfId="1" applyNumberFormat="1" applyFont="1" applyBorder="1"/>
    <xf numFmtId="0" fontId="2" fillId="0" borderId="40" xfId="0" applyFont="1" applyBorder="1"/>
    <xf numFmtId="165" fontId="0" fillId="0" borderId="151" xfId="1" applyNumberFormat="1" applyFont="1" applyBorder="1"/>
    <xf numFmtId="165" fontId="0" fillId="0" borderId="46" xfId="1" applyNumberFormat="1" applyFont="1" applyBorder="1"/>
    <xf numFmtId="1" fontId="16" fillId="0" borderId="150" xfId="0" applyNumberFormat="1" applyFont="1" applyBorder="1" applyAlignment="1">
      <alignment vertical="center"/>
    </xf>
    <xf numFmtId="1" fontId="16" fillId="0" borderId="0" xfId="0" applyNumberFormat="1" applyFont="1" applyBorder="1" applyAlignment="1">
      <alignment vertical="center"/>
    </xf>
    <xf numFmtId="1" fontId="16" fillId="0" borderId="148" xfId="0" applyNumberFormat="1" applyFont="1" applyBorder="1" applyAlignment="1">
      <alignment vertical="center"/>
    </xf>
    <xf numFmtId="0" fontId="0" fillId="0" borderId="148" xfId="0" applyBorder="1" applyAlignment="1">
      <alignment horizontal="right"/>
    </xf>
    <xf numFmtId="0" fontId="12" fillId="0" borderId="0" xfId="0" applyFont="1" applyFill="1" applyBorder="1" applyAlignment="1">
      <alignment vertical="center"/>
    </xf>
    <xf numFmtId="0" fontId="12" fillId="0" borderId="150" xfId="0" applyFont="1" applyBorder="1" applyAlignment="1">
      <alignment vertical="center"/>
    </xf>
    <xf numFmtId="0" fontId="12" fillId="0" borderId="148" xfId="0" applyFont="1" applyFill="1" applyBorder="1" applyAlignment="1">
      <alignment vertical="center"/>
    </xf>
    <xf numFmtId="165" fontId="0" fillId="0" borderId="150" xfId="1" applyNumberFormat="1" applyFont="1" applyBorder="1"/>
    <xf numFmtId="165" fontId="0" fillId="0" borderId="0" xfId="1" applyNumberFormat="1" applyFont="1" applyBorder="1"/>
    <xf numFmtId="165" fontId="0" fillId="0" borderId="148" xfId="1" applyNumberFormat="1" applyFont="1" applyBorder="1"/>
    <xf numFmtId="0" fontId="5" fillId="0" borderId="40" xfId="0" applyFont="1" applyBorder="1"/>
    <xf numFmtId="0" fontId="5" fillId="0" borderId="42" xfId="0" applyFont="1" applyBorder="1"/>
    <xf numFmtId="0" fontId="0" fillId="0" borderId="189" xfId="0" applyBorder="1"/>
    <xf numFmtId="0" fontId="0" fillId="0" borderId="190" xfId="0" applyBorder="1"/>
    <xf numFmtId="2" fontId="0" fillId="0" borderId="24" xfId="0" applyNumberFormat="1" applyBorder="1"/>
    <xf numFmtId="0" fontId="2" fillId="6" borderId="116" xfId="0" applyFont="1" applyFill="1" applyBorder="1" applyAlignment="1">
      <alignment horizontal="center" vertical="center"/>
    </xf>
    <xf numFmtId="2" fontId="0" fillId="0" borderId="193" xfId="0" applyNumberFormat="1" applyBorder="1" applyAlignment="1">
      <alignment horizontal="center"/>
    </xf>
    <xf numFmtId="2" fontId="0" fillId="0" borderId="119" xfId="0" applyNumberFormat="1" applyBorder="1" applyAlignment="1">
      <alignment horizontal="center"/>
    </xf>
    <xf numFmtId="165" fontId="0" fillId="0" borderId="118" xfId="0" applyNumberFormat="1" applyBorder="1"/>
    <xf numFmtId="165" fontId="0" fillId="0" borderId="119" xfId="0" applyNumberFormat="1" applyBorder="1"/>
    <xf numFmtId="0" fontId="2" fillId="6" borderId="1" xfId="0" applyFont="1" applyFill="1" applyBorder="1" applyAlignment="1">
      <alignment horizontal="center" vertical="center"/>
    </xf>
    <xf numFmtId="1" fontId="0" fillId="0" borderId="193" xfId="0" applyNumberFormat="1" applyBorder="1"/>
    <xf numFmtId="1" fontId="0" fillId="0" borderId="147" xfId="0" applyNumberFormat="1" applyBorder="1"/>
    <xf numFmtId="0" fontId="2" fillId="6" borderId="194" xfId="0" applyFont="1" applyFill="1" applyBorder="1" applyAlignment="1">
      <alignment horizontal="center" vertical="center"/>
    </xf>
    <xf numFmtId="0" fontId="2" fillId="6" borderId="120" xfId="0" applyFont="1" applyFill="1" applyBorder="1" applyAlignment="1">
      <alignment horizontal="center" vertical="center"/>
    </xf>
    <xf numFmtId="0" fontId="2" fillId="6" borderId="35" xfId="0" applyFont="1" applyFill="1" applyBorder="1" applyAlignment="1">
      <alignment horizontal="center" vertical="center"/>
    </xf>
    <xf numFmtId="0" fontId="2" fillId="6" borderId="36" xfId="0" applyFont="1" applyFill="1" applyBorder="1" applyAlignment="1">
      <alignment horizontal="center" vertical="center"/>
    </xf>
    <xf numFmtId="3" fontId="0" fillId="0" borderId="176" xfId="0" applyNumberFormat="1" applyBorder="1"/>
    <xf numFmtId="3" fontId="0" fillId="0" borderId="117" xfId="0" applyNumberFormat="1" applyBorder="1"/>
    <xf numFmtId="0" fontId="2" fillId="0" borderId="116" xfId="0" applyFont="1" applyFill="1" applyBorder="1"/>
    <xf numFmtId="165" fontId="0" fillId="0" borderId="176" xfId="1" applyNumberFormat="1" applyFont="1" applyBorder="1"/>
    <xf numFmtId="165" fontId="0" fillId="0" borderId="117" xfId="1" applyNumberFormat="1" applyFont="1" applyBorder="1"/>
    <xf numFmtId="0" fontId="2" fillId="0" borderId="34" xfId="0" applyFont="1" applyBorder="1" applyAlignment="1">
      <alignment horizontal="center"/>
    </xf>
    <xf numFmtId="2" fontId="0" fillId="0" borderId="36" xfId="0" applyNumberFormat="1" applyBorder="1"/>
    <xf numFmtId="0" fontId="0" fillId="76" borderId="0" xfId="0" applyFill="1" applyBorder="1"/>
    <xf numFmtId="0" fontId="107" fillId="77" borderId="195" xfId="0" applyFont="1" applyFill="1" applyBorder="1" applyAlignment="1">
      <alignment horizontal="left" vertical="top" wrapText="1" indent="1"/>
    </xf>
    <xf numFmtId="0" fontId="110" fillId="79" borderId="197" xfId="0" applyFont="1" applyFill="1" applyBorder="1" applyAlignment="1">
      <alignment vertical="top" wrapText="1"/>
    </xf>
    <xf numFmtId="0" fontId="108" fillId="77" borderId="195" xfId="0" applyFont="1" applyFill="1" applyBorder="1" applyAlignment="1">
      <alignment horizontal="center" vertical="center" wrapText="1"/>
    </xf>
    <xf numFmtId="0" fontId="108" fillId="78" borderId="195" xfId="0" applyFont="1" applyFill="1" applyBorder="1" applyAlignment="1">
      <alignment horizontal="center" vertical="center" wrapText="1"/>
    </xf>
    <xf numFmtId="0" fontId="108" fillId="78" borderId="0" xfId="0" applyFont="1" applyFill="1" applyBorder="1" applyAlignment="1">
      <alignment horizontal="left" vertical="top" wrapText="1" indent="1"/>
    </xf>
    <xf numFmtId="0" fontId="108" fillId="77" borderId="0" xfId="0" applyFont="1" applyFill="1" applyBorder="1" applyAlignment="1">
      <alignment horizontal="left" vertical="top" wrapText="1" indent="1"/>
    </xf>
    <xf numFmtId="188" fontId="0" fillId="0" borderId="0" xfId="0" applyNumberFormat="1"/>
    <xf numFmtId="2" fontId="0" fillId="0" borderId="0" xfId="0" applyNumberFormat="1" applyFill="1"/>
    <xf numFmtId="0" fontId="0" fillId="0" borderId="179" xfId="0" applyBorder="1"/>
    <xf numFmtId="0" fontId="0" fillId="0" borderId="146" xfId="0" applyBorder="1"/>
    <xf numFmtId="165" fontId="0" fillId="0" borderId="0" xfId="1" applyNumberFormat="1" applyFont="1" applyFill="1"/>
    <xf numFmtId="1" fontId="0" fillId="0" borderId="0" xfId="0" applyNumberFormat="1" applyFill="1"/>
    <xf numFmtId="188" fontId="0" fillId="0" borderId="0" xfId="0" applyNumberFormat="1" applyFill="1"/>
    <xf numFmtId="0" fontId="0" fillId="0" borderId="0" xfId="0" applyAlignment="1">
      <alignment horizontal="right"/>
    </xf>
    <xf numFmtId="0" fontId="49" fillId="36" borderId="0" xfId="61" applyFont="1" applyFill="1" applyBorder="1" applyAlignment="1">
      <alignment horizontal="right" vertical="center" wrapText="1"/>
    </xf>
    <xf numFmtId="2" fontId="0" fillId="0" borderId="0" xfId="0" applyNumberFormat="1" applyAlignment="1">
      <alignment horizontal="right"/>
    </xf>
    <xf numFmtId="169" fontId="106" fillId="0" borderId="0" xfId="0" applyNumberFormat="1" applyFont="1"/>
    <xf numFmtId="0" fontId="106" fillId="0" borderId="0" xfId="0" applyFont="1" applyAlignment="1">
      <alignment horizontal="center"/>
    </xf>
    <xf numFmtId="169" fontId="106" fillId="0" borderId="0" xfId="0" applyNumberFormat="1" applyFont="1" applyFill="1"/>
    <xf numFmtId="0" fontId="106" fillId="36" borderId="157" xfId="61" applyFont="1" applyFill="1" applyBorder="1" applyAlignment="1">
      <alignment horizontal="left" vertical="center" wrapText="1"/>
    </xf>
    <xf numFmtId="0" fontId="106" fillId="36" borderId="157" xfId="61" applyFont="1" applyFill="1" applyBorder="1" applyAlignment="1">
      <alignment horizontal="center" vertical="center" wrapText="1"/>
    </xf>
    <xf numFmtId="0" fontId="106" fillId="0" borderId="0" xfId="61" applyFont="1" applyFill="1" applyBorder="1" applyAlignment="1">
      <alignment horizontal="left" vertical="center" wrapText="1"/>
    </xf>
    <xf numFmtId="0" fontId="106" fillId="0" borderId="0" xfId="61" applyFont="1" applyFill="1" applyBorder="1" applyAlignment="1">
      <alignment horizontal="left" vertical="center"/>
    </xf>
    <xf numFmtId="0" fontId="0" fillId="0" borderId="0" xfId="0" applyFont="1" applyAlignment="1">
      <alignment horizontal="center"/>
    </xf>
    <xf numFmtId="174" fontId="0" fillId="0" borderId="0" xfId="0" applyNumberFormat="1"/>
    <xf numFmtId="0" fontId="48" fillId="73" borderId="187" xfId="4" applyFont="1" applyFill="1" applyBorder="1" applyAlignment="1">
      <alignment horizontal="center" vertical="center"/>
    </xf>
    <xf numFmtId="38" fontId="112" fillId="0" borderId="176" xfId="3743" applyNumberFormat="1" applyFont="1" applyBorder="1" applyAlignment="1">
      <alignment horizontal="left" vertical="center" wrapText="1"/>
    </xf>
    <xf numFmtId="38" fontId="21" fillId="0" borderId="119" xfId="3743" applyNumberFormat="1" applyFont="1" applyBorder="1" applyAlignment="1">
      <alignment horizontal="center" vertical="center" wrapText="1"/>
    </xf>
    <xf numFmtId="9" fontId="106" fillId="0" borderId="0" xfId="2" applyFont="1" applyFill="1" applyBorder="1" applyAlignment="1">
      <alignment horizontal="center" vertical="center" wrapText="1"/>
    </xf>
    <xf numFmtId="38" fontId="21" fillId="0" borderId="138" xfId="3743" applyNumberFormat="1" applyFont="1" applyFill="1" applyBorder="1" applyAlignment="1">
      <alignment horizontal="center" vertical="center" textRotation="90" wrapText="1"/>
    </xf>
    <xf numFmtId="38" fontId="21" fillId="0" borderId="212" xfId="3743" applyNumberFormat="1" applyFont="1" applyFill="1" applyBorder="1" applyAlignment="1">
      <alignment horizontal="center" vertical="center" textRotation="90" wrapText="1"/>
    </xf>
    <xf numFmtId="38" fontId="21" fillId="0" borderId="213" xfId="3743" applyNumberFormat="1" applyFont="1" applyFill="1" applyBorder="1" applyAlignment="1">
      <alignment horizontal="center" vertical="center" textRotation="90" wrapText="1"/>
    </xf>
    <xf numFmtId="38" fontId="21" fillId="0" borderId="214" xfId="3743" applyNumberFormat="1" applyFont="1" applyFill="1" applyBorder="1" applyAlignment="1">
      <alignment horizontal="center" vertical="center" textRotation="90" wrapText="1"/>
    </xf>
    <xf numFmtId="38" fontId="21" fillId="0" borderId="118" xfId="3743" applyNumberFormat="1" applyFont="1" applyFill="1" applyBorder="1" applyAlignment="1">
      <alignment horizontal="center" vertical="center" textRotation="90" wrapText="1"/>
    </xf>
    <xf numFmtId="38" fontId="21" fillId="0" borderId="176" xfId="3743" applyNumberFormat="1" applyFont="1" applyFill="1" applyBorder="1" applyAlignment="1">
      <alignment horizontal="center" vertical="center" textRotation="90" wrapText="1"/>
    </xf>
    <xf numFmtId="38" fontId="21" fillId="0" borderId="215" xfId="3743" applyNumberFormat="1" applyFont="1" applyFill="1" applyBorder="1" applyAlignment="1">
      <alignment horizontal="center" vertical="center" textRotation="90" wrapText="1"/>
    </xf>
    <xf numFmtId="38" fontId="21" fillId="0" borderId="116" xfId="3743" applyNumberFormat="1" applyFont="1" applyFill="1" applyBorder="1" applyAlignment="1">
      <alignment horizontal="center" vertical="center" textRotation="90" wrapText="1"/>
    </xf>
    <xf numFmtId="0" fontId="0" fillId="0" borderId="0" xfId="0" applyBorder="1" applyAlignment="1">
      <alignment vertical="center"/>
    </xf>
    <xf numFmtId="1" fontId="21" fillId="0" borderId="222" xfId="3743" applyNumberFormat="1" applyFont="1" applyFill="1" applyBorder="1" applyAlignment="1">
      <alignment horizontal="left" vertical="center"/>
    </xf>
    <xf numFmtId="38" fontId="20" fillId="0" borderId="222" xfId="3743" applyNumberFormat="1" applyFont="1" applyFill="1" applyBorder="1" applyAlignment="1">
      <alignment horizontal="left" vertical="center"/>
    </xf>
    <xf numFmtId="38" fontId="21" fillId="0" borderId="211" xfId="3743" applyNumberFormat="1" applyFont="1" applyBorder="1" applyAlignment="1">
      <alignment horizontal="center" vertical="center" wrapText="1"/>
    </xf>
    <xf numFmtId="38" fontId="21" fillId="0" borderId="202" xfId="3743" applyNumberFormat="1" applyFont="1" applyFill="1" applyBorder="1" applyAlignment="1">
      <alignment horizontal="center" vertical="center"/>
    </xf>
    <xf numFmtId="38" fontId="20" fillId="0" borderId="203" xfId="3743" applyNumberFormat="1" applyFont="1" applyFill="1" applyBorder="1" applyAlignment="1">
      <alignment horizontal="center" vertical="center"/>
    </xf>
    <xf numFmtId="38" fontId="20" fillId="0" borderId="204" xfId="3743" applyNumberFormat="1" applyFont="1" applyFill="1" applyBorder="1" applyAlignment="1">
      <alignment horizontal="center" vertical="center"/>
    </xf>
    <xf numFmtId="38" fontId="20" fillId="0" borderId="205" xfId="3743" applyNumberFormat="1" applyFont="1" applyFill="1" applyBorder="1" applyAlignment="1">
      <alignment horizontal="center" vertical="center"/>
    </xf>
    <xf numFmtId="38" fontId="21" fillId="0" borderId="206" xfId="3743" applyNumberFormat="1" applyFont="1" applyFill="1" applyBorder="1" applyAlignment="1">
      <alignment horizontal="center" vertical="center"/>
    </xf>
    <xf numFmtId="38" fontId="20" fillId="0" borderId="183" xfId="3743" applyNumberFormat="1" applyFont="1" applyFill="1" applyBorder="1" applyAlignment="1">
      <alignment horizontal="center" vertical="center"/>
    </xf>
    <xf numFmtId="38" fontId="21" fillId="0" borderId="207" xfId="3743" applyNumberFormat="1" applyFont="1" applyFill="1" applyBorder="1" applyAlignment="1">
      <alignment horizontal="center" vertical="center"/>
    </xf>
    <xf numFmtId="38" fontId="20" fillId="0" borderId="208" xfId="3743" applyNumberFormat="1" applyFont="1" applyFill="1" applyBorder="1" applyAlignment="1">
      <alignment horizontal="center" vertical="center"/>
    </xf>
    <xf numFmtId="38" fontId="20" fillId="0" borderId="209" xfId="3743" applyNumberFormat="1" applyFont="1" applyFill="1" applyBorder="1" applyAlignment="1">
      <alignment horizontal="center" vertical="center"/>
    </xf>
    <xf numFmtId="38" fontId="20" fillId="0" borderId="210" xfId="3743" applyNumberFormat="1" applyFont="1" applyFill="1" applyBorder="1" applyAlignment="1">
      <alignment horizontal="center" vertical="center"/>
    </xf>
    <xf numFmtId="1" fontId="21" fillId="0" borderId="200" xfId="3743" applyNumberFormat="1" applyFont="1" applyFill="1" applyBorder="1" applyAlignment="1">
      <alignment horizontal="left" vertical="center"/>
    </xf>
    <xf numFmtId="38" fontId="20" fillId="0" borderId="200" xfId="3743" applyNumberFormat="1" applyFont="1" applyFill="1" applyBorder="1" applyAlignment="1">
      <alignment horizontal="left" vertical="center"/>
    </xf>
    <xf numFmtId="38" fontId="21" fillId="0" borderId="201" xfId="3743" applyNumberFormat="1" applyFont="1" applyFill="1" applyBorder="1" applyAlignment="1">
      <alignment horizontal="center" vertical="center"/>
    </xf>
    <xf numFmtId="1" fontId="21" fillId="0" borderId="224" xfId="3743" applyNumberFormat="1" applyFont="1" applyFill="1" applyBorder="1" applyAlignment="1">
      <alignment horizontal="left" vertical="center"/>
    </xf>
    <xf numFmtId="38" fontId="20" fillId="0" borderId="224" xfId="3743" applyNumberFormat="1" applyFont="1" applyFill="1" applyBorder="1" applyAlignment="1">
      <alignment horizontal="left" vertical="center"/>
    </xf>
    <xf numFmtId="38" fontId="21" fillId="0" borderId="225" xfId="3743" applyNumberFormat="1" applyFont="1" applyFill="1" applyBorder="1" applyAlignment="1">
      <alignment horizontal="center" vertical="center"/>
    </xf>
    <xf numFmtId="38" fontId="21" fillId="0" borderId="226" xfId="3743" applyNumberFormat="1" applyFont="1" applyFill="1" applyBorder="1" applyAlignment="1">
      <alignment horizontal="center" vertical="center"/>
    </xf>
    <xf numFmtId="38" fontId="20" fillId="0" borderId="227" xfId="3743" applyNumberFormat="1" applyFont="1" applyFill="1" applyBorder="1" applyAlignment="1">
      <alignment horizontal="center" vertical="center"/>
    </xf>
    <xf numFmtId="38" fontId="20" fillId="0" borderId="228" xfId="3743" applyNumberFormat="1" applyFont="1" applyFill="1" applyBorder="1" applyAlignment="1">
      <alignment horizontal="center" vertical="center"/>
    </xf>
    <xf numFmtId="38" fontId="20" fillId="0" borderId="229" xfId="3743" applyNumberFormat="1" applyFont="1" applyFill="1" applyBorder="1" applyAlignment="1">
      <alignment horizontal="center" vertical="center"/>
    </xf>
    <xf numFmtId="38" fontId="21" fillId="0" borderId="230" xfId="3743" applyNumberFormat="1" applyFont="1" applyFill="1" applyBorder="1" applyAlignment="1">
      <alignment horizontal="center" vertical="center"/>
    </xf>
    <xf numFmtId="38" fontId="20" fillId="0" borderId="118" xfId="3743" applyNumberFormat="1" applyFont="1" applyFill="1" applyBorder="1" applyAlignment="1">
      <alignment horizontal="center" vertical="center"/>
    </xf>
    <xf numFmtId="38" fontId="21" fillId="0" borderId="224" xfId="3743" applyNumberFormat="1" applyFont="1" applyFill="1" applyBorder="1" applyAlignment="1">
      <alignment horizontal="center" vertical="center"/>
    </xf>
    <xf numFmtId="38" fontId="20" fillId="0" borderId="231" xfId="3743" applyNumberFormat="1" applyFont="1" applyFill="1" applyBorder="1" applyAlignment="1">
      <alignment horizontal="center" vertical="center"/>
    </xf>
    <xf numFmtId="38" fontId="20" fillId="0" borderId="232" xfId="3743" applyNumberFormat="1" applyFont="1" applyFill="1" applyBorder="1" applyAlignment="1">
      <alignment horizontal="center" vertical="center"/>
    </xf>
    <xf numFmtId="38" fontId="21" fillId="0" borderId="223" xfId="3743" applyNumberFormat="1" applyFont="1" applyFill="1" applyBorder="1" applyAlignment="1">
      <alignment horizontal="center" vertical="center"/>
    </xf>
    <xf numFmtId="38" fontId="21" fillId="0" borderId="217" xfId="3743" applyNumberFormat="1" applyFont="1" applyFill="1" applyBorder="1" applyAlignment="1">
      <alignment horizontal="center" vertical="center"/>
    </xf>
    <xf numFmtId="38" fontId="20" fillId="0" borderId="218" xfId="3743" applyNumberFormat="1" applyFont="1" applyFill="1" applyBorder="1" applyAlignment="1">
      <alignment horizontal="center" vertical="center"/>
    </xf>
    <xf numFmtId="38" fontId="20" fillId="0" borderId="219" xfId="3743" applyNumberFormat="1" applyFont="1" applyFill="1" applyBorder="1" applyAlignment="1">
      <alignment horizontal="center" vertical="center"/>
    </xf>
    <xf numFmtId="38" fontId="20" fillId="0" borderId="220" xfId="3743" applyNumberFormat="1" applyFont="1" applyFill="1" applyBorder="1" applyAlignment="1">
      <alignment horizontal="center" vertical="center"/>
    </xf>
    <xf numFmtId="38" fontId="21" fillId="0" borderId="216" xfId="3743" applyNumberFormat="1" applyFont="1" applyFill="1" applyBorder="1" applyAlignment="1">
      <alignment horizontal="center" vertical="center"/>
    </xf>
    <xf numFmtId="38" fontId="20" fillId="0" borderId="216" xfId="3743" applyNumberFormat="1" applyFont="1" applyFill="1" applyBorder="1" applyAlignment="1">
      <alignment horizontal="center" vertical="center"/>
    </xf>
    <xf numFmtId="38" fontId="21" fillId="0" borderId="0" xfId="3743" applyNumberFormat="1" applyFont="1" applyFill="1" applyBorder="1" applyAlignment="1">
      <alignment horizontal="center" vertical="center"/>
    </xf>
    <xf numFmtId="38" fontId="20" fillId="0" borderId="66" xfId="3743" applyNumberFormat="1" applyFont="1" applyFill="1" applyBorder="1" applyAlignment="1">
      <alignment horizontal="center" vertical="center"/>
    </xf>
    <xf numFmtId="38" fontId="20" fillId="0" borderId="221" xfId="3743" applyNumberFormat="1" applyFont="1" applyFill="1" applyBorder="1" applyAlignment="1">
      <alignment horizontal="center" vertical="center"/>
    </xf>
    <xf numFmtId="0" fontId="99" fillId="46" borderId="0" xfId="0" applyFont="1" applyFill="1" applyAlignment="1">
      <alignment vertical="center"/>
    </xf>
    <xf numFmtId="0" fontId="0" fillId="46" borderId="0" xfId="0" applyFill="1" applyAlignment="1">
      <alignment vertical="center"/>
    </xf>
    <xf numFmtId="176" fontId="0" fillId="0" borderId="0" xfId="0" applyNumberFormat="1" applyAlignment="1">
      <alignment vertical="center"/>
    </xf>
    <xf numFmtId="0" fontId="0" fillId="0" borderId="0" xfId="0" applyFont="1" applyAlignment="1">
      <alignment horizontal="center" vertical="center"/>
    </xf>
    <xf numFmtId="9" fontId="0" fillId="0" borderId="0" xfId="2" applyNumberFormat="1" applyFont="1" applyAlignment="1">
      <alignment horizontal="center" vertical="center"/>
    </xf>
    <xf numFmtId="0" fontId="48" fillId="45" borderId="157" xfId="0" applyFont="1" applyFill="1" applyBorder="1" applyAlignment="1">
      <alignment horizontal="center" vertical="center" wrapText="1"/>
    </xf>
    <xf numFmtId="9" fontId="0" fillId="0" borderId="0" xfId="2" applyFont="1" applyAlignment="1">
      <alignment horizontal="center" vertical="center"/>
    </xf>
    <xf numFmtId="0" fontId="106" fillId="36" borderId="187" xfId="61" applyFont="1" applyFill="1" applyBorder="1" applyAlignment="1">
      <alignment horizontal="center" vertical="center" wrapText="1"/>
    </xf>
    <xf numFmtId="0" fontId="106" fillId="0" borderId="0" xfId="61" applyFont="1" applyFill="1" applyBorder="1" applyAlignment="1">
      <alignment horizontal="center" vertical="center" wrapText="1"/>
    </xf>
    <xf numFmtId="0" fontId="113" fillId="0" borderId="0" xfId="0" applyFont="1" applyAlignment="1">
      <alignment vertical="center"/>
    </xf>
    <xf numFmtId="0" fontId="23" fillId="24" borderId="233" xfId="8" applyBorder="1"/>
    <xf numFmtId="0" fontId="80" fillId="24" borderId="155" xfId="8" applyFont="1" applyBorder="1" applyAlignment="1">
      <alignment horizontal="center"/>
    </xf>
    <xf numFmtId="0" fontId="80" fillId="23" borderId="234" xfId="10" applyFont="1" applyBorder="1" applyAlignment="1">
      <alignment horizontal="center"/>
    </xf>
    <xf numFmtId="0" fontId="23" fillId="24" borderId="66" xfId="8" applyBorder="1"/>
    <xf numFmtId="2" fontId="23" fillId="24" borderId="0" xfId="8" applyNumberFormat="1" applyBorder="1" applyAlignment="1">
      <alignment horizontal="center"/>
    </xf>
    <xf numFmtId="0" fontId="0" fillId="0" borderId="66" xfId="0" applyBorder="1"/>
    <xf numFmtId="2" fontId="0" fillId="0" borderId="0" xfId="0" applyNumberFormat="1" applyBorder="1" applyAlignment="1">
      <alignment horizontal="center"/>
    </xf>
    <xf numFmtId="0" fontId="23" fillId="24" borderId="235" xfId="8" applyBorder="1"/>
    <xf numFmtId="2" fontId="23" fillId="24" borderId="148" xfId="8" applyNumberFormat="1" applyBorder="1" applyAlignment="1">
      <alignment horizontal="center"/>
    </xf>
    <xf numFmtId="0" fontId="80" fillId="24" borderId="234" xfId="8" applyFont="1" applyBorder="1" applyAlignment="1">
      <alignment horizontal="center"/>
    </xf>
    <xf numFmtId="0" fontId="115" fillId="0" borderId="0" xfId="0" applyFont="1" applyFill="1" applyBorder="1" applyAlignment="1">
      <alignment vertical="center"/>
    </xf>
    <xf numFmtId="0" fontId="2" fillId="0" borderId="0" xfId="0" applyFont="1" applyFill="1"/>
    <xf numFmtId="0" fontId="23" fillId="24" borderId="67" xfId="8" applyBorder="1" applyAlignment="1">
      <alignment horizontal="center"/>
    </xf>
    <xf numFmtId="0" fontId="0" fillId="0" borderId="67" xfId="0" applyBorder="1" applyAlignment="1">
      <alignment horizontal="center"/>
    </xf>
    <xf numFmtId="0" fontId="23" fillId="24" borderId="236" xfId="8" applyBorder="1" applyAlignment="1">
      <alignment horizontal="center"/>
    </xf>
    <xf numFmtId="0" fontId="2" fillId="76" borderId="0" xfId="0" applyFont="1" applyFill="1" applyBorder="1"/>
    <xf numFmtId="2" fontId="0" fillId="76" borderId="0" xfId="0" applyNumberFormat="1" applyFill="1" applyBorder="1" applyAlignment="1">
      <alignment horizontal="center"/>
    </xf>
    <xf numFmtId="169" fontId="0" fillId="76" borderId="0" xfId="0" applyNumberFormat="1" applyFill="1" applyBorder="1" applyAlignment="1">
      <alignment horizontal="center"/>
    </xf>
    <xf numFmtId="0" fontId="0" fillId="76" borderId="0" xfId="0" applyFill="1" applyBorder="1" applyAlignment="1">
      <alignment horizontal="center"/>
    </xf>
    <xf numFmtId="4" fontId="0" fillId="76" borderId="0" xfId="0" applyNumberFormat="1" applyFill="1" applyBorder="1" applyAlignment="1">
      <alignment horizontal="center"/>
    </xf>
    <xf numFmtId="0" fontId="2" fillId="76" borderId="233" xfId="0" applyFont="1" applyFill="1" applyBorder="1"/>
    <xf numFmtId="0" fontId="2" fillId="76" borderId="155" xfId="0" applyFont="1" applyFill="1" applyBorder="1"/>
    <xf numFmtId="0" fontId="2" fillId="76" borderId="234" xfId="0" applyFont="1" applyFill="1" applyBorder="1"/>
    <xf numFmtId="0" fontId="2" fillId="76" borderId="66" xfId="0" applyFont="1" applyFill="1" applyBorder="1"/>
    <xf numFmtId="0" fontId="0" fillId="76" borderId="66" xfId="0" applyFill="1" applyBorder="1"/>
    <xf numFmtId="169" fontId="0" fillId="76" borderId="67" xfId="0" applyNumberFormat="1" applyFill="1" applyBorder="1" applyAlignment="1">
      <alignment horizontal="center"/>
    </xf>
    <xf numFmtId="0" fontId="0" fillId="76" borderId="67" xfId="0" applyFill="1" applyBorder="1" applyAlignment="1">
      <alignment horizontal="center"/>
    </xf>
    <xf numFmtId="0" fontId="0" fillId="76" borderId="235" xfId="0" applyFill="1" applyBorder="1"/>
    <xf numFmtId="0" fontId="0" fillId="76" borderId="148" xfId="0" applyFill="1" applyBorder="1"/>
    <xf numFmtId="2" fontId="0" fillId="76" borderId="148" xfId="0" applyNumberFormat="1" applyFill="1" applyBorder="1" applyAlignment="1">
      <alignment horizontal="center"/>
    </xf>
    <xf numFmtId="169" fontId="0" fillId="76" borderId="148" xfId="0" applyNumberFormat="1" applyFill="1" applyBorder="1" applyAlignment="1">
      <alignment horizontal="center"/>
    </xf>
    <xf numFmtId="169" fontId="0" fillId="76" borderId="236" xfId="0" applyNumberFormat="1" applyFill="1" applyBorder="1" applyAlignment="1">
      <alignment horizontal="center"/>
    </xf>
    <xf numFmtId="2" fontId="0" fillId="5" borderId="66" xfId="0" applyNumberFormat="1" applyFill="1" applyBorder="1" applyAlignment="1">
      <alignment horizontal="center"/>
    </xf>
    <xf numFmtId="2" fontId="0" fillId="5" borderId="67" xfId="0" applyNumberFormat="1" applyFill="1" applyBorder="1" applyAlignment="1">
      <alignment horizontal="center"/>
    </xf>
    <xf numFmtId="0" fontId="0" fillId="5" borderId="66" xfId="0" applyFill="1" applyBorder="1" applyAlignment="1">
      <alignment horizontal="center"/>
    </xf>
    <xf numFmtId="0" fontId="0" fillId="5" borderId="67" xfId="0" applyFill="1" applyBorder="1" applyAlignment="1">
      <alignment horizontal="center"/>
    </xf>
    <xf numFmtId="2" fontId="114" fillId="5" borderId="66" xfId="0" applyNumberFormat="1" applyFont="1" applyFill="1" applyBorder="1" applyAlignment="1">
      <alignment horizontal="center"/>
    </xf>
    <xf numFmtId="2" fontId="114" fillId="5" borderId="67" xfId="0" applyNumberFormat="1" applyFont="1" applyFill="1" applyBorder="1" applyAlignment="1">
      <alignment horizontal="center"/>
    </xf>
    <xf numFmtId="2" fontId="114" fillId="5" borderId="235" xfId="0" applyNumberFormat="1" applyFont="1" applyFill="1" applyBorder="1" applyAlignment="1">
      <alignment horizontal="center"/>
    </xf>
    <xf numFmtId="2" fontId="114" fillId="5" borderId="236" xfId="0" applyNumberFormat="1" applyFont="1" applyFill="1" applyBorder="1" applyAlignment="1">
      <alignment horizontal="center"/>
    </xf>
    <xf numFmtId="0" fontId="2" fillId="5" borderId="233" xfId="0" applyFont="1" applyFill="1" applyBorder="1" applyAlignment="1">
      <alignment horizontal="center"/>
    </xf>
    <xf numFmtId="0" fontId="0" fillId="5" borderId="234" xfId="0" applyFill="1" applyBorder="1" applyAlignment="1">
      <alignment horizontal="center"/>
    </xf>
    <xf numFmtId="0" fontId="2" fillId="5" borderId="66" xfId="0" applyFont="1" applyFill="1" applyBorder="1" applyAlignment="1">
      <alignment horizontal="center"/>
    </xf>
    <xf numFmtId="0" fontId="2" fillId="5" borderId="67" xfId="0" applyFont="1" applyFill="1" applyBorder="1" applyAlignment="1">
      <alignment horizontal="center"/>
    </xf>
    <xf numFmtId="0" fontId="2" fillId="76" borderId="0" xfId="0" applyFont="1" applyFill="1" applyBorder="1" applyAlignment="1">
      <alignment horizontal="center"/>
    </xf>
    <xf numFmtId="0" fontId="2" fillId="76" borderId="67" xfId="0" applyFont="1" applyFill="1" applyBorder="1" applyAlignment="1">
      <alignment horizontal="center"/>
    </xf>
    <xf numFmtId="0" fontId="2" fillId="76" borderId="155" xfId="0" applyFont="1" applyFill="1" applyBorder="1" applyAlignment="1">
      <alignment horizontal="left"/>
    </xf>
    <xf numFmtId="0" fontId="48" fillId="45" borderId="156" xfId="0" applyFont="1" applyFill="1" applyBorder="1" applyAlignment="1">
      <alignment horizontal="center" vertical="center" wrapText="1"/>
    </xf>
    <xf numFmtId="43" fontId="0" fillId="0" borderId="0" xfId="0" applyNumberFormat="1" applyBorder="1"/>
    <xf numFmtId="0" fontId="2" fillId="0" borderId="0" xfId="0" applyFont="1" applyFill="1" applyBorder="1" applyAlignment="1">
      <alignment horizontal="center" vertical="center" wrapText="1"/>
    </xf>
    <xf numFmtId="1" fontId="2" fillId="6" borderId="35" xfId="0" applyNumberFormat="1" applyFont="1" applyFill="1" applyBorder="1" applyAlignment="1">
      <alignment horizontal="center" vertical="center"/>
    </xf>
    <xf numFmtId="0" fontId="0" fillId="6" borderId="221" xfId="0" applyFont="1" applyFill="1" applyBorder="1" applyAlignment="1">
      <alignment horizontal="center" vertical="center"/>
    </xf>
    <xf numFmtId="0" fontId="0" fillId="6" borderId="116" xfId="0" applyFont="1" applyFill="1" applyBorder="1" applyAlignment="1">
      <alignment horizontal="center" vertical="center"/>
    </xf>
    <xf numFmtId="169" fontId="0" fillId="0" borderId="94" xfId="0" applyNumberFormat="1" applyBorder="1"/>
    <xf numFmtId="169" fontId="0" fillId="0" borderId="95" xfId="0" applyNumberFormat="1" applyBorder="1"/>
    <xf numFmtId="169" fontId="0" fillId="0" borderId="216" xfId="0" applyNumberFormat="1" applyBorder="1"/>
    <xf numFmtId="169" fontId="0" fillId="0" borderId="211" xfId="0" applyNumberFormat="1" applyBorder="1"/>
    <xf numFmtId="169" fontId="0" fillId="0" borderId="118" xfId="0" applyNumberFormat="1" applyBorder="1"/>
    <xf numFmtId="169" fontId="0" fillId="0" borderId="119" xfId="0" applyNumberFormat="1" applyBorder="1"/>
    <xf numFmtId="1" fontId="0" fillId="0" borderId="94" xfId="0" applyNumberFormat="1" applyBorder="1"/>
    <xf numFmtId="1" fontId="0" fillId="0" borderId="95" xfId="0" applyNumberFormat="1" applyBorder="1"/>
    <xf numFmtId="1" fontId="0" fillId="0" borderId="216" xfId="0" applyNumberFormat="1" applyBorder="1"/>
    <xf numFmtId="1" fontId="0" fillId="0" borderId="211" xfId="0" applyNumberFormat="1" applyBorder="1"/>
    <xf numFmtId="1" fontId="0" fillId="0" borderId="118" xfId="0" applyNumberFormat="1" applyBorder="1"/>
    <xf numFmtId="1" fontId="0" fillId="0" borderId="119" xfId="0" applyNumberFormat="1" applyBorder="1"/>
    <xf numFmtId="0" fontId="14" fillId="0" borderId="148" xfId="4" applyFont="1" applyBorder="1" applyAlignment="1"/>
    <xf numFmtId="0" fontId="44" fillId="0" borderId="237" xfId="55" applyFont="1" applyFill="1" applyBorder="1" applyAlignment="1">
      <alignment horizontal="center" wrapText="1"/>
    </xf>
    <xf numFmtId="1" fontId="44" fillId="0" borderId="237" xfId="56" applyNumberFormat="1" applyFont="1" applyFill="1" applyBorder="1" applyAlignment="1">
      <alignment horizontal="center" wrapText="1"/>
    </xf>
    <xf numFmtId="1" fontId="44" fillId="0" borderId="238" xfId="56" applyNumberFormat="1" applyFont="1" applyFill="1" applyBorder="1" applyAlignment="1">
      <alignment horizontal="center" wrapText="1"/>
    </xf>
    <xf numFmtId="1" fontId="44" fillId="37" borderId="237" xfId="56" applyNumberFormat="1" applyFont="1" applyFill="1" applyBorder="1" applyAlignment="1">
      <alignment horizontal="center" wrapText="1"/>
    </xf>
    <xf numFmtId="0" fontId="44" fillId="0" borderId="238" xfId="55" applyFont="1" applyFill="1" applyBorder="1" applyAlignment="1">
      <alignment horizontal="center" wrapText="1"/>
    </xf>
    <xf numFmtId="1" fontId="44" fillId="37" borderId="238" xfId="56" applyNumberFormat="1" applyFont="1" applyFill="1" applyBorder="1" applyAlignment="1">
      <alignment horizontal="center" wrapText="1"/>
    </xf>
    <xf numFmtId="173" fontId="44" fillId="0" borderId="237" xfId="56" applyNumberFormat="1" applyFont="1" applyFill="1" applyBorder="1" applyAlignment="1">
      <alignment horizontal="center" wrapText="1"/>
    </xf>
    <xf numFmtId="174" fontId="44" fillId="0" borderId="238" xfId="56" applyNumberFormat="1" applyFont="1" applyFill="1" applyBorder="1" applyAlignment="1">
      <alignment horizontal="center" wrapText="1"/>
    </xf>
    <xf numFmtId="173" fontId="44" fillId="0" borderId="238" xfId="56" applyNumberFormat="1" applyFont="1" applyFill="1" applyBorder="1" applyAlignment="1">
      <alignment horizontal="center" wrapText="1"/>
    </xf>
    <xf numFmtId="2" fontId="44" fillId="0" borderId="237" xfId="56" applyNumberFormat="1" applyFont="1" applyFill="1" applyBorder="1" applyAlignment="1">
      <alignment horizontal="center" wrapText="1"/>
    </xf>
    <xf numFmtId="2" fontId="44" fillId="0" borderId="238" xfId="56" applyNumberFormat="1" applyFont="1" applyFill="1" applyBorder="1" applyAlignment="1">
      <alignment horizontal="center" wrapText="1"/>
    </xf>
    <xf numFmtId="2" fontId="44" fillId="0" borderId="237" xfId="57" applyNumberFormat="1" applyFont="1" applyFill="1" applyBorder="1" applyAlignment="1">
      <alignment horizontal="center" wrapText="1"/>
    </xf>
    <xf numFmtId="2" fontId="44" fillId="40" borderId="237" xfId="57" applyNumberFormat="1" applyFont="1" applyFill="1" applyBorder="1" applyAlignment="1">
      <alignment horizontal="center" wrapText="1"/>
    </xf>
    <xf numFmtId="2" fontId="44" fillId="41" borderId="237" xfId="57" applyNumberFormat="1" applyFont="1" applyFill="1" applyBorder="1" applyAlignment="1">
      <alignment horizontal="center" wrapText="1"/>
    </xf>
    <xf numFmtId="2" fontId="44" fillId="42" borderId="238" xfId="56" applyNumberFormat="1" applyFont="1" applyFill="1" applyBorder="1" applyAlignment="1">
      <alignment horizontal="center" wrapText="1"/>
    </xf>
    <xf numFmtId="1" fontId="46" fillId="0" borderId="237" xfId="0" applyNumberFormat="1" applyFont="1" applyBorder="1" applyAlignment="1">
      <alignment horizontal="center"/>
    </xf>
    <xf numFmtId="1" fontId="46" fillId="0" borderId="237" xfId="0" applyNumberFormat="1" applyFont="1" applyFill="1" applyBorder="1" applyAlignment="1">
      <alignment horizontal="center"/>
    </xf>
    <xf numFmtId="1" fontId="46" fillId="0" borderId="238" xfId="0" applyNumberFormat="1" applyFont="1" applyBorder="1" applyAlignment="1">
      <alignment horizontal="center"/>
    </xf>
    <xf numFmtId="1" fontId="46" fillId="0" borderId="238" xfId="0" applyNumberFormat="1" applyFont="1" applyFill="1" applyBorder="1" applyAlignment="1">
      <alignment horizontal="center"/>
    </xf>
    <xf numFmtId="1" fontId="44" fillId="37" borderId="239" xfId="56" applyNumberFormat="1" applyFont="1" applyFill="1" applyBorder="1" applyAlignment="1">
      <alignment horizontal="center" wrapText="1"/>
    </xf>
    <xf numFmtId="1" fontId="44" fillId="0" borderId="239" xfId="56" applyNumberFormat="1" applyFont="1" applyFill="1" applyBorder="1" applyAlignment="1">
      <alignment horizontal="center" wrapText="1"/>
    </xf>
    <xf numFmtId="1" fontId="44" fillId="37" borderId="241" xfId="56" applyNumberFormat="1" applyFont="1" applyFill="1" applyBorder="1" applyAlignment="1">
      <alignment horizontal="center" wrapText="1"/>
    </xf>
    <xf numFmtId="1" fontId="44" fillId="37" borderId="242" xfId="56" applyNumberFormat="1" applyFont="1" applyFill="1" applyBorder="1" applyAlignment="1">
      <alignment horizontal="center" wrapText="1"/>
    </xf>
    <xf numFmtId="1" fontId="44" fillId="37" borderId="70" xfId="56" applyNumberFormat="1" applyFont="1" applyFill="1" applyBorder="1" applyAlignment="1">
      <alignment horizontal="center" wrapText="1"/>
    </xf>
    <xf numFmtId="1" fontId="44" fillId="37" borderId="67" xfId="56" applyNumberFormat="1" applyFont="1" applyFill="1" applyBorder="1" applyAlignment="1">
      <alignment horizontal="center" wrapText="1"/>
    </xf>
    <xf numFmtId="0" fontId="44" fillId="38" borderId="146" xfId="55" applyFont="1" applyFill="1" applyBorder="1" applyAlignment="1">
      <alignment horizontal="center"/>
    </xf>
    <xf numFmtId="0" fontId="44" fillId="38" borderId="58" xfId="55" applyFont="1" applyFill="1" applyBorder="1" applyAlignment="1">
      <alignment horizontal="center"/>
    </xf>
    <xf numFmtId="0" fontId="44" fillId="38" borderId="244" xfId="55" applyFont="1" applyFill="1" applyBorder="1" applyAlignment="1">
      <alignment horizontal="center"/>
    </xf>
    <xf numFmtId="1" fontId="44" fillId="37" borderId="66" xfId="56" applyNumberFormat="1" applyFont="1" applyFill="1" applyBorder="1" applyAlignment="1">
      <alignment horizontal="center" wrapText="1"/>
    </xf>
    <xf numFmtId="1" fontId="44" fillId="37" borderId="69" xfId="56" applyNumberFormat="1" applyFont="1" applyFill="1" applyBorder="1" applyAlignment="1">
      <alignment horizontal="center" wrapText="1"/>
    </xf>
    <xf numFmtId="1" fontId="44" fillId="37" borderId="58" xfId="56" applyNumberFormat="1" applyFont="1" applyFill="1" applyBorder="1" applyAlignment="1">
      <alignment horizontal="center" wrapText="1"/>
    </xf>
    <xf numFmtId="1" fontId="44" fillId="37" borderId="243" xfId="56" applyNumberFormat="1" applyFont="1" applyFill="1" applyBorder="1" applyAlignment="1">
      <alignment horizontal="center" wrapText="1"/>
    </xf>
    <xf numFmtId="1" fontId="44" fillId="37" borderId="244" xfId="56" applyNumberFormat="1" applyFont="1" applyFill="1" applyBorder="1" applyAlignment="1">
      <alignment horizontal="center" wrapText="1"/>
    </xf>
    <xf numFmtId="0" fontId="44" fillId="0" borderId="246" xfId="55" applyFont="1" applyFill="1" applyBorder="1" applyAlignment="1">
      <alignment horizontal="center" wrapText="1"/>
    </xf>
    <xf numFmtId="0" fontId="44" fillId="0" borderId="248" xfId="55" applyFont="1" applyFill="1" applyBorder="1" applyAlignment="1">
      <alignment horizontal="center" wrapText="1"/>
    </xf>
    <xf numFmtId="0" fontId="44" fillId="0" borderId="67" xfId="55" applyFont="1" applyFill="1" applyBorder="1" applyAlignment="1">
      <alignment horizontal="center" wrapText="1"/>
    </xf>
    <xf numFmtId="0" fontId="44" fillId="0" borderId="245" xfId="55" applyFont="1" applyFill="1" applyBorder="1" applyAlignment="1">
      <alignment horizontal="center" wrapText="1"/>
    </xf>
    <xf numFmtId="0" fontId="44" fillId="0" borderId="247" xfId="55" applyFont="1" applyFill="1" applyBorder="1" applyAlignment="1">
      <alignment horizontal="center" wrapText="1"/>
    </xf>
    <xf numFmtId="0" fontId="44" fillId="0" borderId="66" xfId="55" applyFont="1" applyFill="1" applyBorder="1" applyAlignment="1">
      <alignment horizontal="center" wrapText="1"/>
    </xf>
    <xf numFmtId="3" fontId="44" fillId="0" borderId="245" xfId="55" applyNumberFormat="1" applyFont="1" applyFill="1" applyBorder="1" applyAlignment="1">
      <alignment horizontal="center" wrapText="1"/>
    </xf>
    <xf numFmtId="3" fontId="44" fillId="0" borderId="247" xfId="55" applyNumberFormat="1" applyFont="1" applyFill="1" applyBorder="1" applyAlignment="1">
      <alignment horizontal="center" wrapText="1"/>
    </xf>
    <xf numFmtId="1" fontId="44" fillId="0" borderId="66" xfId="55" applyNumberFormat="1" applyFont="1" applyFill="1" applyBorder="1" applyAlignment="1">
      <alignment horizontal="center" wrapText="1"/>
    </xf>
    <xf numFmtId="1" fontId="44" fillId="0" borderId="67" xfId="55" applyNumberFormat="1" applyFont="1" applyFill="1" applyBorder="1" applyAlignment="1">
      <alignment horizontal="center" wrapText="1"/>
    </xf>
    <xf numFmtId="0" fontId="44" fillId="6" borderId="66" xfId="55" applyFont="1" applyFill="1" applyBorder="1" applyAlignment="1">
      <alignment horizontal="center" wrapText="1"/>
    </xf>
    <xf numFmtId="0" fontId="44" fillId="6" borderId="0" xfId="55" applyFont="1" applyFill="1" applyBorder="1" applyAlignment="1">
      <alignment horizontal="center" wrapText="1"/>
    </xf>
    <xf numFmtId="1" fontId="44" fillId="6" borderId="0" xfId="56" applyNumberFormat="1" applyFont="1" applyFill="1" applyBorder="1" applyAlignment="1">
      <alignment horizontal="center" wrapText="1"/>
    </xf>
    <xf numFmtId="0" fontId="44" fillId="80" borderId="240" xfId="55" applyFont="1" applyFill="1" applyBorder="1" applyAlignment="1">
      <alignment horizontal="center"/>
    </xf>
    <xf numFmtId="0" fontId="44" fillId="80" borderId="70" xfId="55" applyFont="1" applyFill="1" applyBorder="1" applyAlignment="1">
      <alignment horizontal="center"/>
    </xf>
    <xf numFmtId="0" fontId="44" fillId="6" borderId="242" xfId="55" applyFont="1" applyFill="1" applyBorder="1" applyAlignment="1">
      <alignment horizontal="center" wrapText="1"/>
    </xf>
    <xf numFmtId="1" fontId="44" fillId="6" borderId="242" xfId="56" applyNumberFormat="1" applyFont="1" applyFill="1" applyBorder="1" applyAlignment="1">
      <alignment horizontal="center" wrapText="1"/>
    </xf>
    <xf numFmtId="0" fontId="44" fillId="80" borderId="69" xfId="55" applyFont="1" applyFill="1" applyBorder="1" applyAlignment="1">
      <alignment horizontal="center"/>
    </xf>
    <xf numFmtId="0" fontId="6" fillId="6" borderId="245" xfId="0" applyFont="1" applyFill="1" applyBorder="1" applyAlignment="1">
      <alignment horizontal="center"/>
    </xf>
    <xf numFmtId="0" fontId="6" fillId="6" borderId="237" xfId="0" applyFont="1" applyFill="1" applyBorder="1" applyAlignment="1">
      <alignment horizontal="center"/>
    </xf>
    <xf numFmtId="0" fontId="6" fillId="6" borderId="247" xfId="0" applyFont="1" applyFill="1" applyBorder="1" applyAlignment="1">
      <alignment horizontal="center"/>
    </xf>
    <xf numFmtId="0" fontId="6" fillId="6" borderId="238" xfId="0" applyFont="1" applyFill="1" applyBorder="1" applyAlignment="1">
      <alignment horizontal="center"/>
    </xf>
    <xf numFmtId="0" fontId="6" fillId="6" borderId="66" xfId="0" applyFont="1" applyFill="1" applyBorder="1" applyAlignment="1">
      <alignment horizontal="center"/>
    </xf>
    <xf numFmtId="0" fontId="6" fillId="6" borderId="0" xfId="0" applyFont="1" applyFill="1" applyBorder="1" applyAlignment="1">
      <alignment horizontal="center"/>
    </xf>
    <xf numFmtId="1" fontId="44" fillId="6" borderId="4" xfId="56" applyNumberFormat="1" applyFont="1" applyFill="1" applyBorder="1" applyAlignment="1">
      <alignment horizontal="center" wrapText="1"/>
    </xf>
    <xf numFmtId="0" fontId="44" fillId="80" borderId="249" xfId="55" applyFont="1" applyFill="1" applyBorder="1" applyAlignment="1">
      <alignment horizontal="center"/>
    </xf>
    <xf numFmtId="0" fontId="44" fillId="80" borderId="71" xfId="55" applyFont="1" applyFill="1" applyBorder="1" applyAlignment="1">
      <alignment horizontal="center"/>
    </xf>
    <xf numFmtId="0" fontId="44" fillId="80" borderId="250" xfId="55" applyFont="1" applyFill="1" applyBorder="1" applyAlignment="1">
      <alignment horizontal="center"/>
    </xf>
    <xf numFmtId="0" fontId="44" fillId="6" borderId="251" xfId="55" applyFont="1" applyFill="1" applyBorder="1" applyAlignment="1">
      <alignment horizontal="center" wrapText="1"/>
    </xf>
    <xf numFmtId="0" fontId="44" fillId="6" borderId="252" xfId="55" applyFont="1" applyFill="1" applyBorder="1" applyAlignment="1">
      <alignment horizontal="center" wrapText="1"/>
    </xf>
    <xf numFmtId="0" fontId="44" fillId="6" borderId="253" xfId="55" applyFont="1" applyFill="1" applyBorder="1" applyAlignment="1">
      <alignment horizontal="center" wrapText="1"/>
    </xf>
    <xf numFmtId="0" fontId="44" fillId="6" borderId="251" xfId="55" applyFont="1" applyFill="1" applyBorder="1" applyAlignment="1">
      <alignment horizontal="center"/>
    </xf>
    <xf numFmtId="0" fontId="44" fillId="6" borderId="252" xfId="55" applyFont="1" applyFill="1" applyBorder="1" applyAlignment="1">
      <alignment horizontal="center"/>
    </xf>
    <xf numFmtId="0" fontId="44" fillId="6" borderId="253" xfId="55" applyFont="1" applyFill="1" applyBorder="1" applyAlignment="1">
      <alignment horizontal="center"/>
    </xf>
    <xf numFmtId="0" fontId="6" fillId="6" borderId="254" xfId="0" applyFont="1" applyFill="1" applyBorder="1" applyAlignment="1">
      <alignment horizontal="center"/>
    </xf>
    <xf numFmtId="0" fontId="6" fillId="6" borderId="255" xfId="0" applyFont="1" applyFill="1" applyBorder="1" applyAlignment="1">
      <alignment horizontal="center"/>
    </xf>
    <xf numFmtId="0" fontId="44" fillId="6" borderId="256" xfId="55" applyFont="1" applyFill="1" applyBorder="1" applyAlignment="1">
      <alignment horizontal="center" wrapText="1"/>
    </xf>
    <xf numFmtId="1" fontId="44" fillId="6" borderId="1" xfId="56" applyNumberFormat="1" applyFont="1" applyFill="1" applyBorder="1" applyAlignment="1">
      <alignment horizontal="center" wrapText="1"/>
    </xf>
    <xf numFmtId="0" fontId="44" fillId="6" borderId="64" xfId="55" applyFont="1" applyFill="1" applyBorder="1" applyAlignment="1">
      <alignment horizontal="center" wrapText="1"/>
    </xf>
    <xf numFmtId="0" fontId="44" fillId="6" borderId="20" xfId="55" applyFont="1" applyFill="1" applyBorder="1" applyAlignment="1">
      <alignment horizontal="center" wrapText="1"/>
    </xf>
    <xf numFmtId="1" fontId="44" fillId="6" borderId="20" xfId="56" applyNumberFormat="1" applyFont="1" applyFill="1" applyBorder="1" applyAlignment="1">
      <alignment horizontal="center" wrapText="1"/>
    </xf>
    <xf numFmtId="1" fontId="44" fillId="6" borderId="2" xfId="56" applyNumberFormat="1" applyFont="1" applyFill="1" applyBorder="1" applyAlignment="1">
      <alignment horizontal="center" wrapText="1"/>
    </xf>
    <xf numFmtId="1" fontId="44" fillId="6" borderId="3" xfId="56" applyNumberFormat="1" applyFont="1" applyFill="1" applyBorder="1" applyAlignment="1">
      <alignment horizontal="center" wrapText="1"/>
    </xf>
    <xf numFmtId="0" fontId="44" fillId="80" borderId="257" xfId="55" applyFont="1" applyFill="1" applyBorder="1" applyAlignment="1">
      <alignment horizontal="center"/>
    </xf>
    <xf numFmtId="1" fontId="44" fillId="6" borderId="258" xfId="56" applyNumberFormat="1" applyFont="1" applyFill="1" applyBorder="1" applyAlignment="1">
      <alignment horizontal="center" wrapText="1"/>
    </xf>
    <xf numFmtId="1" fontId="44" fillId="6" borderId="259" xfId="56" applyNumberFormat="1" applyFont="1" applyFill="1" applyBorder="1" applyAlignment="1">
      <alignment horizontal="center" wrapText="1"/>
    </xf>
    <xf numFmtId="0" fontId="44" fillId="80" borderId="260" xfId="55" applyFont="1" applyFill="1" applyBorder="1" applyAlignment="1">
      <alignment horizontal="center"/>
    </xf>
    <xf numFmtId="0" fontId="44" fillId="80" borderId="261" xfId="55" applyFont="1" applyFill="1" applyBorder="1" applyAlignment="1">
      <alignment horizontal="center"/>
    </xf>
    <xf numFmtId="0" fontId="44" fillId="80" borderId="262" xfId="55" applyFont="1" applyFill="1" applyBorder="1" applyAlignment="1">
      <alignment horizontal="center"/>
    </xf>
    <xf numFmtId="0" fontId="39" fillId="6" borderId="8" xfId="4" applyFont="1" applyFill="1" applyBorder="1"/>
    <xf numFmtId="0" fontId="39" fillId="6" borderId="7" xfId="4" applyFont="1" applyFill="1" applyBorder="1"/>
    <xf numFmtId="0" fontId="39" fillId="6" borderId="9" xfId="4" applyFont="1" applyFill="1" applyBorder="1"/>
    <xf numFmtId="1" fontId="44" fillId="0" borderId="4" xfId="56" applyNumberFormat="1" applyFont="1" applyFill="1" applyBorder="1" applyAlignment="1">
      <alignment horizontal="center" wrapText="1"/>
    </xf>
    <xf numFmtId="0" fontId="44" fillId="80" borderId="168" xfId="55" applyFont="1" applyFill="1" applyBorder="1" applyAlignment="1">
      <alignment horizontal="center"/>
    </xf>
    <xf numFmtId="1" fontId="44" fillId="37" borderId="240" xfId="56" applyNumberFormat="1" applyFont="1" applyFill="1" applyBorder="1" applyAlignment="1">
      <alignment horizontal="center" wrapText="1"/>
    </xf>
    <xf numFmtId="1" fontId="44" fillId="37" borderId="146" xfId="56" applyNumberFormat="1" applyFont="1" applyFill="1" applyBorder="1" applyAlignment="1">
      <alignment horizontal="center" wrapText="1"/>
    </xf>
    <xf numFmtId="1" fontId="44" fillId="0" borderId="70" xfId="56" applyNumberFormat="1" applyFont="1" applyFill="1" applyBorder="1" applyAlignment="1">
      <alignment horizontal="center" wrapText="1"/>
    </xf>
    <xf numFmtId="1" fontId="44" fillId="39" borderId="249" xfId="56" applyNumberFormat="1" applyFont="1" applyFill="1" applyBorder="1" applyAlignment="1">
      <alignment horizontal="center" wrapText="1"/>
    </xf>
    <xf numFmtId="0" fontId="44" fillId="6" borderId="264" xfId="55" applyFont="1" applyFill="1" applyBorder="1" applyAlignment="1">
      <alignment horizontal="center" wrapText="1"/>
    </xf>
    <xf numFmtId="1" fontId="44" fillId="39" borderId="71" xfId="56" applyNumberFormat="1" applyFont="1" applyFill="1" applyBorder="1" applyAlignment="1">
      <alignment horizontal="center" wrapText="1"/>
    </xf>
    <xf numFmtId="1" fontId="44" fillId="0" borderId="242" xfId="56" applyNumberFormat="1" applyFont="1" applyFill="1" applyBorder="1" applyAlignment="1">
      <alignment horizontal="center" wrapText="1"/>
    </xf>
    <xf numFmtId="1" fontId="44" fillId="0" borderId="259" xfId="56" applyNumberFormat="1" applyFont="1" applyFill="1" applyBorder="1" applyAlignment="1">
      <alignment horizontal="center" wrapText="1"/>
    </xf>
    <xf numFmtId="1" fontId="44" fillId="0" borderId="265" xfId="56" applyNumberFormat="1" applyFont="1" applyFill="1" applyBorder="1" applyAlignment="1">
      <alignment horizontal="center" wrapText="1"/>
    </xf>
    <xf numFmtId="1" fontId="44" fillId="37" borderId="266" xfId="56" applyNumberFormat="1" applyFont="1" applyFill="1" applyBorder="1" applyAlignment="1">
      <alignment horizontal="center" wrapText="1"/>
    </xf>
    <xf numFmtId="1" fontId="44" fillId="37" borderId="264" xfId="56" applyNumberFormat="1" applyFont="1" applyFill="1" applyBorder="1" applyAlignment="1">
      <alignment horizontal="center" wrapText="1"/>
    </xf>
    <xf numFmtId="1" fontId="46" fillId="0" borderId="241" xfId="0" applyNumberFormat="1" applyFont="1" applyBorder="1" applyAlignment="1">
      <alignment horizontal="center"/>
    </xf>
    <xf numFmtId="1" fontId="46" fillId="0" borderId="241" xfId="0" applyNumberFormat="1" applyFont="1" applyFill="1" applyBorder="1" applyAlignment="1">
      <alignment horizontal="center"/>
    </xf>
    <xf numFmtId="1" fontId="46" fillId="0" borderId="259" xfId="0" applyNumberFormat="1" applyFont="1" applyFill="1" applyBorder="1" applyAlignment="1">
      <alignment horizontal="center"/>
    </xf>
    <xf numFmtId="1" fontId="46" fillId="0" borderId="4" xfId="0" applyNumberFormat="1" applyFont="1" applyFill="1" applyBorder="1" applyAlignment="1">
      <alignment horizontal="center"/>
    </xf>
    <xf numFmtId="1" fontId="44" fillId="40" borderId="4" xfId="56" applyNumberFormat="1" applyFont="1" applyFill="1" applyBorder="1" applyAlignment="1">
      <alignment horizontal="center" wrapText="1"/>
    </xf>
    <xf numFmtId="1" fontId="44" fillId="0" borderId="267" xfId="56" applyNumberFormat="1" applyFont="1" applyFill="1" applyBorder="1" applyAlignment="1">
      <alignment horizontal="center" wrapText="1"/>
    </xf>
    <xf numFmtId="0" fontId="44" fillId="6" borderId="269" xfId="0" applyFont="1" applyFill="1" applyBorder="1" applyAlignment="1">
      <alignment horizontal="center"/>
    </xf>
    <xf numFmtId="1" fontId="46" fillId="39" borderId="270" xfId="0" applyNumberFormat="1" applyFont="1" applyFill="1" applyBorder="1" applyAlignment="1">
      <alignment horizontal="center"/>
    </xf>
    <xf numFmtId="0" fontId="44" fillId="6" borderId="271" xfId="0" applyFont="1" applyFill="1" applyBorder="1" applyAlignment="1">
      <alignment horizontal="center"/>
    </xf>
    <xf numFmtId="1" fontId="46" fillId="39" borderId="268" xfId="0" applyNumberFormat="1" applyFont="1" applyFill="1" applyBorder="1" applyAlignment="1">
      <alignment horizontal="center"/>
    </xf>
    <xf numFmtId="0" fontId="44" fillId="6" borderId="272" xfId="0" applyFont="1" applyFill="1" applyBorder="1" applyAlignment="1">
      <alignment horizontal="center"/>
    </xf>
    <xf numFmtId="1" fontId="44" fillId="39" borderId="270" xfId="56" applyNumberFormat="1" applyFont="1" applyFill="1" applyBorder="1" applyAlignment="1">
      <alignment horizontal="center" wrapText="1"/>
    </xf>
    <xf numFmtId="1" fontId="44" fillId="39" borderId="268" xfId="56" applyNumberFormat="1" applyFont="1" applyFill="1" applyBorder="1" applyAlignment="1">
      <alignment horizontal="center" wrapText="1"/>
    </xf>
    <xf numFmtId="0" fontId="44" fillId="6" borderId="272" xfId="55" applyFont="1" applyFill="1" applyBorder="1" applyAlignment="1">
      <alignment horizontal="center" wrapText="1"/>
    </xf>
    <xf numFmtId="2" fontId="44" fillId="0" borderId="270" xfId="56" applyNumberFormat="1" applyFont="1" applyFill="1" applyBorder="1" applyAlignment="1">
      <alignment horizontal="center" wrapText="1"/>
    </xf>
    <xf numFmtId="0" fontId="44" fillId="6" borderId="3" xfId="55" applyFont="1" applyFill="1" applyBorder="1" applyAlignment="1">
      <alignment horizontal="center" wrapText="1"/>
    </xf>
    <xf numFmtId="2" fontId="44" fillId="0" borderId="4" xfId="56" applyNumberFormat="1" applyFont="1" applyFill="1" applyBorder="1" applyAlignment="1">
      <alignment horizontal="center" wrapText="1"/>
    </xf>
    <xf numFmtId="0" fontId="44" fillId="6" borderId="271" xfId="55" applyFont="1" applyFill="1" applyBorder="1" applyAlignment="1">
      <alignment horizontal="center" wrapText="1"/>
    </xf>
    <xf numFmtId="2" fontId="44" fillId="0" borderId="268" xfId="56" applyNumberFormat="1" applyFont="1" applyFill="1" applyBorder="1" applyAlignment="1">
      <alignment horizontal="center" wrapText="1"/>
    </xf>
    <xf numFmtId="2" fontId="44" fillId="0" borderId="270" xfId="57" applyNumberFormat="1" applyFont="1" applyFill="1" applyBorder="1" applyAlignment="1">
      <alignment horizontal="center" wrapText="1"/>
    </xf>
    <xf numFmtId="2" fontId="44" fillId="0" borderId="4" xfId="57" applyNumberFormat="1" applyFont="1" applyFill="1" applyBorder="1" applyAlignment="1">
      <alignment horizontal="center" wrapText="1"/>
    </xf>
    <xf numFmtId="2" fontId="44" fillId="40" borderId="4" xfId="56" applyNumberFormat="1" applyFont="1" applyFill="1" applyBorder="1" applyAlignment="1">
      <alignment horizontal="center" wrapText="1"/>
    </xf>
    <xf numFmtId="2" fontId="44" fillId="42" borderId="268" xfId="56" applyNumberFormat="1" applyFont="1" applyFill="1" applyBorder="1" applyAlignment="1">
      <alignment horizontal="center" wrapText="1"/>
    </xf>
    <xf numFmtId="2" fontId="44" fillId="40" borderId="270" xfId="57" applyNumberFormat="1" applyFont="1" applyFill="1" applyBorder="1" applyAlignment="1">
      <alignment horizontal="center" wrapText="1"/>
    </xf>
    <xf numFmtId="2" fontId="44" fillId="40" borderId="4" xfId="57" applyNumberFormat="1" applyFont="1" applyFill="1" applyBorder="1" applyAlignment="1">
      <alignment horizontal="center" wrapText="1"/>
    </xf>
    <xf numFmtId="2" fontId="44" fillId="39" borderId="270" xfId="56" applyNumberFormat="1" applyFont="1" applyFill="1" applyBorder="1" applyAlignment="1">
      <alignment horizontal="center" wrapText="1"/>
    </xf>
    <xf numFmtId="2" fontId="44" fillId="39" borderId="268" xfId="56" applyNumberFormat="1" applyFont="1" applyFill="1" applyBorder="1" applyAlignment="1">
      <alignment horizontal="center" wrapText="1"/>
    </xf>
    <xf numFmtId="173" fontId="44" fillId="39" borderId="270" xfId="56" applyNumberFormat="1" applyFont="1" applyFill="1" applyBorder="1" applyAlignment="1">
      <alignment horizontal="center" wrapText="1"/>
    </xf>
    <xf numFmtId="173" fontId="44" fillId="39" borderId="268" xfId="56" applyNumberFormat="1" applyFont="1" applyFill="1" applyBorder="1" applyAlignment="1">
      <alignment horizontal="center" wrapText="1"/>
    </xf>
    <xf numFmtId="0" fontId="44" fillId="6" borderId="272" xfId="55" applyFont="1" applyFill="1" applyBorder="1" applyAlignment="1">
      <alignment horizontal="center"/>
    </xf>
    <xf numFmtId="0" fontId="44" fillId="6" borderId="271" xfId="55" applyFont="1" applyFill="1" applyBorder="1" applyAlignment="1">
      <alignment horizontal="center"/>
    </xf>
    <xf numFmtId="1" fontId="44" fillId="43" borderId="270" xfId="56" applyNumberFormat="1" applyFont="1" applyFill="1" applyBorder="1" applyAlignment="1">
      <alignment horizontal="center" wrapText="1"/>
    </xf>
    <xf numFmtId="0" fontId="44" fillId="6" borderId="3" xfId="55" applyFont="1" applyFill="1" applyBorder="1" applyAlignment="1">
      <alignment horizontal="center"/>
    </xf>
    <xf numFmtId="1" fontId="44" fillId="43" borderId="4" xfId="56" applyNumberFormat="1" applyFont="1" applyFill="1" applyBorder="1" applyAlignment="1">
      <alignment horizontal="center" wrapText="1"/>
    </xf>
    <xf numFmtId="1" fontId="44" fillId="39" borderId="4" xfId="56" applyNumberFormat="1" applyFont="1" applyFill="1" applyBorder="1" applyAlignment="1">
      <alignment horizontal="center" wrapText="1"/>
    </xf>
    <xf numFmtId="0" fontId="44" fillId="6" borderId="116" xfId="55" applyFont="1" applyFill="1" applyBorder="1" applyAlignment="1">
      <alignment horizontal="center"/>
    </xf>
    <xf numFmtId="0" fontId="6" fillId="6" borderId="215" xfId="0" applyFont="1" applyFill="1" applyBorder="1" applyAlignment="1">
      <alignment horizontal="center"/>
    </xf>
    <xf numFmtId="0" fontId="6" fillId="6" borderId="16" xfId="0" applyFont="1" applyFill="1" applyBorder="1" applyAlignment="1">
      <alignment horizontal="center"/>
    </xf>
    <xf numFmtId="0" fontId="44" fillId="6" borderId="273" xfId="55" applyFont="1" applyFill="1" applyBorder="1" applyAlignment="1">
      <alignment horizontal="center"/>
    </xf>
    <xf numFmtId="0" fontId="44" fillId="0" borderId="121" xfId="55" applyFont="1" applyFill="1" applyBorder="1" applyAlignment="1">
      <alignment horizontal="center" wrapText="1"/>
    </xf>
    <xf numFmtId="1" fontId="44" fillId="0" borderId="215" xfId="55" applyNumberFormat="1" applyFont="1" applyFill="1" applyBorder="1" applyAlignment="1">
      <alignment horizontal="center" wrapText="1"/>
    </xf>
    <xf numFmtId="1" fontId="44" fillId="0" borderId="16" xfId="55" applyNumberFormat="1" applyFont="1" applyFill="1" applyBorder="1" applyAlignment="1">
      <alignment horizontal="center" wrapText="1"/>
    </xf>
    <xf numFmtId="1" fontId="44" fillId="0" borderId="121" xfId="55" applyNumberFormat="1" applyFont="1" applyFill="1" applyBorder="1" applyAlignment="1">
      <alignment horizontal="center" wrapText="1"/>
    </xf>
    <xf numFmtId="1" fontId="44" fillId="0" borderId="16" xfId="56" applyNumberFormat="1" applyFont="1" applyFill="1" applyBorder="1" applyAlignment="1">
      <alignment horizontal="center" wrapText="1"/>
    </xf>
    <xf numFmtId="1" fontId="44" fillId="39" borderId="117" xfId="56" applyNumberFormat="1" applyFont="1" applyFill="1" applyBorder="1" applyAlignment="1">
      <alignment horizontal="center" wrapText="1"/>
    </xf>
    <xf numFmtId="0" fontId="2" fillId="0" borderId="1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274" xfId="0" applyFont="1" applyBorder="1" applyAlignment="1">
      <alignment horizontal="center" vertical="center"/>
    </xf>
    <xf numFmtId="0" fontId="19" fillId="0" borderId="221" xfId="0" applyFont="1" applyFill="1" applyBorder="1" applyAlignment="1">
      <alignment horizontal="left" wrapText="1"/>
    </xf>
    <xf numFmtId="169" fontId="0" fillId="0" borderId="275" xfId="0" applyNumberFormat="1" applyBorder="1"/>
    <xf numFmtId="0" fontId="19" fillId="0" borderId="116" xfId="0" applyFont="1" applyFill="1" applyBorder="1" applyAlignment="1">
      <alignment horizontal="left" wrapText="1"/>
    </xf>
    <xf numFmtId="169" fontId="0" fillId="0" borderId="176" xfId="0" applyNumberFormat="1" applyBorder="1"/>
    <xf numFmtId="169" fontId="0" fillId="0" borderId="276" xfId="0" applyNumberFormat="1" applyBorder="1"/>
    <xf numFmtId="2" fontId="116" fillId="23" borderId="67" xfId="10" applyNumberFormat="1" applyFont="1" applyBorder="1" applyAlignment="1">
      <alignment horizontal="center"/>
    </xf>
    <xf numFmtId="0" fontId="116" fillId="23" borderId="67" xfId="10" applyFont="1" applyBorder="1" applyAlignment="1">
      <alignment horizontal="center"/>
    </xf>
    <xf numFmtId="2" fontId="116" fillId="23" borderId="236" xfId="10" applyNumberFormat="1" applyFont="1" applyBorder="1" applyAlignment="1">
      <alignment horizontal="center"/>
    </xf>
    <xf numFmtId="0" fontId="101" fillId="46" borderId="0" xfId="0" applyFont="1" applyFill="1" applyAlignment="1">
      <alignment vertical="center"/>
    </xf>
    <xf numFmtId="0" fontId="100" fillId="46" borderId="0" xfId="0" applyFont="1" applyFill="1" applyAlignment="1">
      <alignment vertical="center"/>
    </xf>
    <xf numFmtId="0" fontId="48" fillId="45" borderId="277" xfId="0" applyFont="1" applyFill="1" applyBorder="1" applyAlignment="1">
      <alignment vertical="center"/>
    </xf>
    <xf numFmtId="0" fontId="0" fillId="0" borderId="278" xfId="0" applyBorder="1" applyAlignment="1">
      <alignment vertical="center"/>
    </xf>
    <xf numFmtId="9" fontId="0" fillId="0" borderId="278" xfId="2" applyFont="1" applyBorder="1" applyAlignment="1">
      <alignment horizontal="center"/>
    </xf>
    <xf numFmtId="0" fontId="0" fillId="0" borderId="279" xfId="0" applyBorder="1" applyAlignment="1">
      <alignment vertical="center"/>
    </xf>
    <xf numFmtId="9" fontId="0" fillId="0" borderId="278" xfId="2" applyFont="1" applyFill="1" applyBorder="1" applyAlignment="1">
      <alignment horizontal="center"/>
    </xf>
    <xf numFmtId="0" fontId="0" fillId="0" borderId="0" xfId="2847" applyFont="1" applyAlignment="1">
      <alignment vertical="center"/>
    </xf>
    <xf numFmtId="0" fontId="0" fillId="0" borderId="0" xfId="0"/>
    <xf numFmtId="0" fontId="0" fillId="75" borderId="0" xfId="0" applyFill="1"/>
    <xf numFmtId="0" fontId="48" fillId="45" borderId="291" xfId="0" applyFont="1" applyFill="1" applyBorder="1" applyAlignment="1">
      <alignment vertical="center"/>
    </xf>
    <xf numFmtId="0" fontId="48" fillId="45" borderId="291" xfId="0" applyFont="1" applyFill="1" applyBorder="1" applyAlignment="1">
      <alignment horizontal="center" vertical="center"/>
    </xf>
    <xf numFmtId="0" fontId="49" fillId="36" borderId="277" xfId="61" applyFont="1" applyFill="1" applyBorder="1" applyAlignment="1">
      <alignment horizontal="left" vertical="center" wrapText="1"/>
    </xf>
    <xf numFmtId="0" fontId="49" fillId="36" borderId="277" xfId="61" applyFont="1" applyFill="1" applyBorder="1" applyAlignment="1">
      <alignment horizontal="center" vertical="center" wrapText="1"/>
    </xf>
    <xf numFmtId="0" fontId="84" fillId="0" borderId="0" xfId="2564" applyFont="1" applyFill="1" applyBorder="1" applyAlignment="1">
      <alignment horizontal="center"/>
    </xf>
    <xf numFmtId="0" fontId="14" fillId="18" borderId="293" xfId="2564" applyFont="1" applyFill="1" applyBorder="1" applyAlignment="1">
      <alignment horizontal="left"/>
    </xf>
    <xf numFmtId="166" fontId="14" fillId="18" borderId="296" xfId="2564" applyNumberFormat="1" applyFont="1" applyFill="1" applyBorder="1"/>
    <xf numFmtId="0" fontId="14" fillId="18" borderId="297" xfId="2564" applyFont="1" applyFill="1" applyBorder="1" applyAlignment="1">
      <alignment horizontal="center" vertical="center" wrapText="1"/>
    </xf>
    <xf numFmtId="166" fontId="14" fillId="18" borderId="298" xfId="2564" applyNumberFormat="1" applyFont="1" applyFill="1" applyBorder="1" applyAlignment="1">
      <alignment horizontal="center" vertical="center" wrapText="1"/>
    </xf>
    <xf numFmtId="166" fontId="14" fillId="18" borderId="299" xfId="2564" applyNumberFormat="1" applyFont="1" applyFill="1" applyBorder="1" applyAlignment="1">
      <alignment horizontal="center" vertical="center" wrapText="1"/>
    </xf>
    <xf numFmtId="0" fontId="14" fillId="18" borderId="300" xfId="2564" applyFont="1" applyFill="1" applyBorder="1" applyAlignment="1">
      <alignment horizontal="center" vertical="center"/>
    </xf>
    <xf numFmtId="166" fontId="15" fillId="0" borderId="301" xfId="2564" applyNumberFormat="1" applyFont="1" applyBorder="1" applyAlignment="1">
      <alignment horizontal="center" vertical="center"/>
    </xf>
    <xf numFmtId="166" fontId="15" fillId="0" borderId="302" xfId="2564" applyNumberFormat="1" applyFont="1" applyBorder="1" applyAlignment="1">
      <alignment horizontal="center" vertical="center"/>
    </xf>
    <xf numFmtId="0" fontId="14" fillId="18" borderId="303" xfId="2564" applyFont="1" applyFill="1" applyBorder="1" applyAlignment="1">
      <alignment horizontal="center" vertical="center"/>
    </xf>
    <xf numFmtId="166" fontId="15" fillId="0" borderId="304" xfId="2564" applyNumberFormat="1" applyFont="1" applyBorder="1" applyAlignment="1">
      <alignment horizontal="center" vertical="center"/>
    </xf>
    <xf numFmtId="166" fontId="15" fillId="0" borderId="305" xfId="2564" applyNumberFormat="1" applyFont="1" applyBorder="1" applyAlignment="1">
      <alignment horizontal="center" vertical="center"/>
    </xf>
    <xf numFmtId="0" fontId="14" fillId="18" borderId="309" xfId="2564" applyFont="1" applyFill="1" applyBorder="1" applyAlignment="1">
      <alignment horizontal="left"/>
    </xf>
    <xf numFmtId="166" fontId="14" fillId="18" borderId="310" xfId="2564" applyNumberFormat="1" applyFont="1" applyFill="1" applyBorder="1"/>
    <xf numFmtId="0" fontId="14" fillId="18" borderId="311" xfId="2564" applyFont="1" applyFill="1" applyBorder="1" applyAlignment="1">
      <alignment horizontal="center" vertical="center" wrapText="1"/>
    </xf>
    <xf numFmtId="166" fontId="14" fillId="18" borderId="312" xfId="2564" applyNumberFormat="1" applyFont="1" applyFill="1" applyBorder="1" applyAlignment="1">
      <alignment horizontal="center" vertical="center" wrapText="1"/>
    </xf>
    <xf numFmtId="0" fontId="14" fillId="18" borderId="313" xfId="2564" applyFont="1" applyFill="1" applyBorder="1" applyAlignment="1">
      <alignment horizontal="center" vertical="center"/>
    </xf>
    <xf numFmtId="189" fontId="15" fillId="0" borderId="314" xfId="2564" applyNumberFormat="1" applyFont="1" applyBorder="1" applyAlignment="1">
      <alignment horizontal="center" vertical="center"/>
    </xf>
    <xf numFmtId="189" fontId="15" fillId="0" borderId="315" xfId="2564" applyNumberFormat="1" applyFont="1" applyBorder="1" applyAlignment="1">
      <alignment horizontal="center" vertical="center"/>
    </xf>
    <xf numFmtId="169" fontId="0" fillId="0" borderId="0" xfId="0" applyNumberFormat="1" applyAlignment="1">
      <alignment horizontal="center"/>
    </xf>
    <xf numFmtId="0" fontId="0" fillId="11" borderId="0" xfId="0" applyFont="1" applyFill="1" applyAlignment="1">
      <alignment vertical="center"/>
    </xf>
    <xf numFmtId="0" fontId="0" fillId="6" borderId="0" xfId="0" applyFont="1" applyFill="1" applyAlignment="1">
      <alignment vertical="center"/>
    </xf>
    <xf numFmtId="0" fontId="118" fillId="6" borderId="0" xfId="8923" applyFont="1" applyFill="1" applyBorder="1" applyAlignment="1">
      <alignment vertical="center"/>
    </xf>
    <xf numFmtId="0" fontId="117" fillId="6" borderId="0" xfId="8923" applyFont="1" applyFill="1" applyBorder="1" applyAlignment="1">
      <alignment vertical="center"/>
    </xf>
    <xf numFmtId="0" fontId="0" fillId="37" borderId="0" xfId="0" applyFont="1" applyFill="1" applyAlignment="1">
      <alignment vertical="center"/>
    </xf>
    <xf numFmtId="0" fontId="48" fillId="6" borderId="0" xfId="8923" applyFont="1" applyFill="1" applyBorder="1" applyAlignment="1">
      <alignment vertical="center"/>
    </xf>
    <xf numFmtId="0" fontId="119" fillId="6" borderId="0" xfId="8923" applyFont="1" applyFill="1" applyBorder="1" applyAlignment="1">
      <alignment vertical="center"/>
    </xf>
    <xf numFmtId="0" fontId="115" fillId="11" borderId="0" xfId="0" applyFont="1" applyFill="1" applyBorder="1" applyAlignment="1">
      <alignment vertical="center"/>
    </xf>
    <xf numFmtId="0" fontId="106" fillId="6" borderId="0" xfId="8923" applyFont="1" applyFill="1" applyBorder="1" applyAlignment="1">
      <alignment vertical="center"/>
    </xf>
    <xf numFmtId="0" fontId="120" fillId="6" borderId="0" xfId="8923" applyFont="1" applyFill="1" applyBorder="1" applyAlignment="1">
      <alignment vertical="center"/>
    </xf>
    <xf numFmtId="0" fontId="121" fillId="11" borderId="0" xfId="0" applyFont="1" applyFill="1" applyAlignment="1">
      <alignment vertical="center"/>
    </xf>
    <xf numFmtId="0" fontId="121" fillId="6" borderId="0" xfId="0" applyFont="1" applyFill="1" applyAlignment="1">
      <alignment vertical="center"/>
    </xf>
    <xf numFmtId="166" fontId="15" fillId="0" borderId="314" xfId="2564" applyNumberFormat="1" applyFont="1" applyBorder="1" applyAlignment="1">
      <alignment horizontal="center" vertical="center"/>
    </xf>
    <xf numFmtId="166" fontId="15" fillId="0" borderId="315" xfId="2564" applyNumberFormat="1" applyFont="1" applyBorder="1" applyAlignment="1">
      <alignment horizontal="center" vertical="center"/>
    </xf>
    <xf numFmtId="0" fontId="50" fillId="20" borderId="277" xfId="0" applyFon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vertical="center"/>
    </xf>
    <xf numFmtId="38" fontId="112" fillId="0" borderId="0" xfId="3743" applyNumberFormat="1" applyFont="1" applyAlignment="1">
      <alignment horizontal="left" wrapText="1"/>
    </xf>
    <xf numFmtId="38" fontId="21" fillId="0" borderId="211" xfId="3743" applyNumberFormat="1" applyFont="1" applyBorder="1" applyAlignment="1">
      <alignment horizontal="center" wrapText="1"/>
    </xf>
    <xf numFmtId="38" fontId="21" fillId="0" borderId="359" xfId="3743" applyNumberFormat="1" applyFont="1" applyFill="1" applyBorder="1" applyAlignment="1">
      <alignment horizontal="center" textRotation="90" wrapText="1"/>
    </xf>
    <xf numFmtId="38" fontId="21" fillId="0" borderId="360" xfId="3743" applyNumberFormat="1" applyFont="1" applyFill="1" applyBorder="1" applyAlignment="1">
      <alignment horizontal="center" textRotation="90" wrapText="1"/>
    </xf>
    <xf numFmtId="38" fontId="21" fillId="0" borderId="213" xfId="3743" applyNumberFormat="1" applyFont="1" applyFill="1" applyBorder="1" applyAlignment="1">
      <alignment horizontal="center" textRotation="90" wrapText="1"/>
    </xf>
    <xf numFmtId="38" fontId="21" fillId="0" borderId="214" xfId="3743" applyNumberFormat="1" applyFont="1" applyFill="1" applyBorder="1" applyAlignment="1">
      <alignment horizontal="center" textRotation="90" wrapText="1"/>
    </xf>
    <xf numFmtId="38" fontId="21" fillId="0" borderId="361" xfId="3743" applyNumberFormat="1" applyFont="1" applyFill="1" applyBorder="1" applyAlignment="1">
      <alignment horizontal="center" textRotation="90" wrapText="1"/>
    </xf>
    <xf numFmtId="38" fontId="21" fillId="0" borderId="322" xfId="3743" applyNumberFormat="1" applyFont="1" applyFill="1" applyBorder="1" applyAlignment="1">
      <alignment horizontal="center" textRotation="90" wrapText="1"/>
    </xf>
    <xf numFmtId="38" fontId="21" fillId="0" borderId="362" xfId="3743" applyNumberFormat="1" applyFont="1" applyFill="1" applyBorder="1" applyAlignment="1">
      <alignment horizontal="center" textRotation="90" wrapText="1"/>
    </xf>
    <xf numFmtId="38" fontId="21" fillId="0" borderId="363" xfId="3743" applyNumberFormat="1" applyFont="1" applyFill="1" applyBorder="1" applyAlignment="1">
      <alignment horizontal="center" textRotation="90" wrapText="1"/>
    </xf>
    <xf numFmtId="38" fontId="20" fillId="0" borderId="0" xfId="16603" applyNumberFormat="1" applyFont="1" applyAlignment="1"/>
    <xf numFmtId="38" fontId="153" fillId="11" borderId="0" xfId="16603" applyNumberFormat="1" applyFont="1" applyFill="1" applyAlignment="1"/>
    <xf numFmtId="38" fontId="20" fillId="0" borderId="364" xfId="3743" applyNumberFormat="1" applyFont="1" applyFill="1" applyBorder="1" applyAlignment="1">
      <alignment horizontal="left"/>
    </xf>
    <xf numFmtId="38" fontId="21" fillId="0" borderId="365" xfId="3743" applyNumberFormat="1" applyFont="1" applyFill="1" applyBorder="1" applyAlignment="1">
      <alignment horizontal="center"/>
    </xf>
    <xf numFmtId="38" fontId="21" fillId="0" borderId="366" xfId="3743" applyNumberFormat="1" applyFont="1" applyFill="1" applyBorder="1" applyAlignment="1">
      <alignment horizontal="center"/>
    </xf>
    <xf numFmtId="38" fontId="21" fillId="0" borderId="367" xfId="3743" applyNumberFormat="1" applyFont="1" applyFill="1" applyBorder="1" applyAlignment="1">
      <alignment horizontal="center"/>
    </xf>
    <xf numFmtId="38" fontId="21" fillId="0" borderId="368" xfId="3743" applyNumberFormat="1" applyFont="1" applyFill="1" applyBorder="1" applyAlignment="1">
      <alignment horizontal="center"/>
    </xf>
    <xf numFmtId="38" fontId="20" fillId="0" borderId="369" xfId="3743" applyNumberFormat="1" applyFont="1" applyFill="1" applyBorder="1" applyAlignment="1">
      <alignment horizontal="center"/>
    </xf>
    <xf numFmtId="38" fontId="21" fillId="0" borderId="370" xfId="3743" applyNumberFormat="1" applyFont="1" applyFill="1" applyBorder="1" applyAlignment="1">
      <alignment horizontal="center"/>
    </xf>
    <xf numFmtId="38" fontId="20" fillId="0" borderId="367" xfId="3743" applyNumberFormat="1" applyFont="1" applyFill="1" applyBorder="1" applyAlignment="1">
      <alignment horizontal="center"/>
    </xf>
    <xf numFmtId="38" fontId="20" fillId="0" borderId="368" xfId="3743" applyNumberFormat="1" applyFont="1" applyFill="1" applyBorder="1" applyAlignment="1">
      <alignment horizontal="center"/>
    </xf>
    <xf numFmtId="38" fontId="20" fillId="0" borderId="371" xfId="3743" applyNumberFormat="1" applyFont="1" applyFill="1" applyBorder="1" applyAlignment="1">
      <alignment horizontal="center"/>
    </xf>
    <xf numFmtId="38" fontId="21" fillId="0" borderId="364" xfId="3743" applyNumberFormat="1" applyFont="1" applyFill="1" applyBorder="1" applyAlignment="1">
      <alignment horizontal="center"/>
    </xf>
    <xf numFmtId="38" fontId="20" fillId="0" borderId="372" xfId="3743" applyNumberFormat="1" applyFont="1" applyFill="1" applyBorder="1" applyAlignment="1">
      <alignment horizontal="center"/>
    </xf>
    <xf numFmtId="38" fontId="20" fillId="0" borderId="370" xfId="3743" applyNumberFormat="1" applyFont="1" applyFill="1" applyBorder="1" applyAlignment="1">
      <alignment horizontal="center"/>
    </xf>
    <xf numFmtId="38" fontId="20" fillId="0" borderId="373" xfId="3743" applyNumberFormat="1" applyFont="1" applyFill="1" applyBorder="1" applyAlignment="1">
      <alignment horizontal="center"/>
    </xf>
    <xf numFmtId="38" fontId="20" fillId="0" borderId="0" xfId="16603" applyNumberFormat="1" applyFont="1" applyFill="1"/>
    <xf numFmtId="38" fontId="154" fillId="11" borderId="0" xfId="16603" applyNumberFormat="1" applyFont="1" applyFill="1"/>
    <xf numFmtId="38" fontId="20" fillId="0" borderId="200" xfId="3743" applyNumberFormat="1" applyFont="1" applyFill="1" applyBorder="1" applyAlignment="1">
      <alignment horizontal="left"/>
    </xf>
    <xf numFmtId="38" fontId="21" fillId="0" borderId="201" xfId="3743" applyNumberFormat="1" applyFont="1" applyFill="1" applyBorder="1" applyAlignment="1">
      <alignment horizontal="center"/>
    </xf>
    <xf numFmtId="38" fontId="21" fillId="0" borderId="374" xfId="3743" applyNumberFormat="1" applyFont="1" applyFill="1" applyBorder="1" applyAlignment="1">
      <alignment horizontal="center"/>
    </xf>
    <xf numFmtId="38" fontId="21" fillId="0" borderId="375" xfId="3743" applyNumberFormat="1" applyFont="1" applyFill="1" applyBorder="1" applyAlignment="1">
      <alignment horizontal="center"/>
    </xf>
    <xf numFmtId="38" fontId="21" fillId="0" borderId="376" xfId="3743" applyNumberFormat="1" applyFont="1" applyFill="1" applyBorder="1" applyAlignment="1">
      <alignment horizontal="center"/>
    </xf>
    <xf numFmtId="38" fontId="20" fillId="0" borderId="376" xfId="3743" applyNumberFormat="1" applyFont="1" applyFill="1" applyBorder="1" applyAlignment="1">
      <alignment horizontal="center"/>
    </xf>
    <xf numFmtId="38" fontId="21" fillId="0" borderId="377" xfId="3743" applyNumberFormat="1" applyFont="1" applyFill="1" applyBorder="1" applyAlignment="1">
      <alignment horizontal="center"/>
    </xf>
    <xf numFmtId="38" fontId="20" fillId="0" borderId="375" xfId="3743" applyNumberFormat="1" applyFont="1" applyFill="1" applyBorder="1" applyAlignment="1">
      <alignment horizontal="center"/>
    </xf>
    <xf numFmtId="38" fontId="20" fillId="0" borderId="378" xfId="3743" applyNumberFormat="1" applyFont="1" applyFill="1" applyBorder="1" applyAlignment="1">
      <alignment horizontal="center"/>
    </xf>
    <xf numFmtId="38" fontId="21" fillId="0" borderId="200" xfId="3743" applyNumberFormat="1" applyFont="1" applyFill="1" applyBorder="1" applyAlignment="1">
      <alignment horizontal="center"/>
    </xf>
    <xf numFmtId="38" fontId="20" fillId="0" borderId="379" xfId="3743" applyNumberFormat="1" applyFont="1" applyFill="1" applyBorder="1" applyAlignment="1">
      <alignment horizontal="center"/>
    </xf>
    <xf numFmtId="38" fontId="20" fillId="0" borderId="377" xfId="3743" applyNumberFormat="1" applyFont="1" applyFill="1" applyBorder="1" applyAlignment="1">
      <alignment horizontal="center"/>
    </xf>
    <xf numFmtId="38" fontId="20" fillId="0" borderId="380" xfId="3743" applyNumberFormat="1" applyFont="1" applyFill="1" applyBorder="1" applyAlignment="1">
      <alignment horizontal="center"/>
    </xf>
    <xf numFmtId="38" fontId="21" fillId="0" borderId="378" xfId="3743" applyNumberFormat="1" applyFont="1" applyFill="1" applyBorder="1" applyAlignment="1">
      <alignment horizontal="center"/>
    </xf>
    <xf numFmtId="38" fontId="20" fillId="0" borderId="224" xfId="3743" applyNumberFormat="1" applyFont="1" applyFill="1" applyBorder="1" applyAlignment="1">
      <alignment horizontal="left"/>
    </xf>
    <xf numFmtId="38" fontId="21" fillId="0" borderId="225" xfId="3743" applyNumberFormat="1" applyFont="1" applyFill="1" applyBorder="1" applyAlignment="1">
      <alignment horizontal="center"/>
    </xf>
    <xf numFmtId="38" fontId="21" fillId="0" borderId="227" xfId="3743" applyNumberFormat="1" applyFont="1" applyFill="1" applyBorder="1" applyAlignment="1">
      <alignment horizontal="center"/>
    </xf>
    <xf numFmtId="38" fontId="20" fillId="0" borderId="229" xfId="3743" applyNumberFormat="1" applyFont="1" applyFill="1" applyBorder="1" applyAlignment="1">
      <alignment horizontal="center"/>
    </xf>
    <xf numFmtId="38" fontId="21" fillId="0" borderId="230" xfId="3743" applyNumberFormat="1" applyFont="1" applyFill="1" applyBorder="1" applyAlignment="1">
      <alignment horizontal="center"/>
    </xf>
    <xf numFmtId="38" fontId="20" fillId="0" borderId="227" xfId="3743" applyNumberFormat="1" applyFont="1" applyFill="1" applyBorder="1" applyAlignment="1">
      <alignment horizontal="center"/>
    </xf>
    <xf numFmtId="38" fontId="21" fillId="0" borderId="224" xfId="3743" applyNumberFormat="1" applyFont="1" applyFill="1" applyBorder="1" applyAlignment="1">
      <alignment horizontal="center"/>
    </xf>
    <xf numFmtId="38" fontId="20" fillId="0" borderId="231" xfId="3743" applyNumberFormat="1" applyFont="1" applyFill="1" applyBorder="1" applyAlignment="1">
      <alignment horizontal="center"/>
    </xf>
    <xf numFmtId="38" fontId="20" fillId="0" borderId="228" xfId="3743" applyNumberFormat="1" applyFont="1" applyFill="1" applyBorder="1" applyAlignment="1">
      <alignment horizontal="center"/>
    </xf>
    <xf numFmtId="38" fontId="20" fillId="0" borderId="230" xfId="3743" applyNumberFormat="1" applyFont="1" applyFill="1" applyBorder="1" applyAlignment="1">
      <alignment horizontal="center"/>
    </xf>
    <xf numFmtId="38" fontId="20" fillId="0" borderId="232" xfId="3743" applyNumberFormat="1" applyFont="1" applyFill="1" applyBorder="1" applyAlignment="1">
      <alignment horizontal="center"/>
    </xf>
    <xf numFmtId="38" fontId="21" fillId="0" borderId="381" xfId="3743" applyNumberFormat="1" applyFont="1" applyFill="1" applyBorder="1" applyAlignment="1">
      <alignment horizontal="left"/>
    </xf>
    <xf numFmtId="38" fontId="21" fillId="0" borderId="382" xfId="3743" applyNumberFormat="1" applyFont="1" applyFill="1" applyBorder="1" applyAlignment="1">
      <alignment horizontal="center"/>
    </xf>
    <xf numFmtId="38" fontId="21" fillId="0" borderId="383" xfId="3743" applyNumberFormat="1" applyFont="1" applyFill="1" applyBorder="1" applyAlignment="1">
      <alignment horizontal="center"/>
    </xf>
    <xf numFmtId="38" fontId="21" fillId="0" borderId="381" xfId="3743" applyNumberFormat="1" applyFont="1" applyFill="1" applyBorder="1" applyAlignment="1">
      <alignment horizontal="center"/>
    </xf>
    <xf numFmtId="38" fontId="21" fillId="0" borderId="371" xfId="3743" applyNumberFormat="1" applyFont="1" applyFill="1" applyBorder="1" applyAlignment="1">
      <alignment horizontal="center"/>
    </xf>
    <xf numFmtId="38" fontId="21" fillId="0" borderId="384" xfId="3743" applyNumberFormat="1" applyFont="1" applyFill="1" applyBorder="1" applyAlignment="1">
      <alignment horizontal="center"/>
    </xf>
    <xf numFmtId="38" fontId="21" fillId="0" borderId="385" xfId="3743" applyNumberFormat="1" applyFont="1" applyFill="1" applyBorder="1" applyAlignment="1">
      <alignment horizontal="center"/>
    </xf>
    <xf numFmtId="38" fontId="21" fillId="0" borderId="386" xfId="3743" applyNumberFormat="1" applyFont="1" applyFill="1" applyBorder="1" applyAlignment="1">
      <alignment horizontal="center"/>
    </xf>
    <xf numFmtId="38" fontId="21" fillId="0" borderId="387" xfId="3743" applyNumberFormat="1" applyFont="1" applyFill="1" applyBorder="1" applyAlignment="1">
      <alignment horizontal="center"/>
    </xf>
    <xf numFmtId="38" fontId="155" fillId="11" borderId="0" xfId="16603" applyNumberFormat="1" applyFont="1" applyFill="1"/>
    <xf numFmtId="38" fontId="21" fillId="0" borderId="0" xfId="16603" applyNumberFormat="1" applyFont="1" applyFill="1"/>
    <xf numFmtId="38" fontId="21" fillId="0" borderId="277" xfId="3743" applyNumberFormat="1" applyFont="1" applyFill="1" applyBorder="1" applyAlignment="1">
      <alignment horizontal="left"/>
    </xf>
    <xf numFmtId="38" fontId="21" fillId="0" borderId="388" xfId="3743" applyNumberFormat="1" applyFont="1" applyFill="1" applyBorder="1" applyAlignment="1">
      <alignment horizontal="center"/>
    </xf>
    <xf numFmtId="38" fontId="21" fillId="0" borderId="46" xfId="3743" applyNumberFormat="1" applyFont="1" applyFill="1" applyBorder="1" applyAlignment="1">
      <alignment horizontal="center"/>
    </xf>
    <xf numFmtId="38" fontId="21" fillId="0" borderId="277" xfId="3743" applyNumberFormat="1" applyFont="1" applyFill="1" applyBorder="1" applyAlignment="1">
      <alignment horizontal="center"/>
    </xf>
    <xf numFmtId="38" fontId="21" fillId="0" borderId="389" xfId="3743" applyNumberFormat="1" applyFont="1" applyFill="1" applyBorder="1" applyAlignment="1">
      <alignment horizontal="center"/>
    </xf>
    <xf numFmtId="38" fontId="21" fillId="0" borderId="390" xfId="3743" applyNumberFormat="1" applyFont="1" applyFill="1" applyBorder="1" applyAlignment="1">
      <alignment horizontal="center"/>
    </xf>
    <xf numFmtId="38" fontId="21" fillId="0" borderId="328" xfId="3743" applyNumberFormat="1" applyFont="1" applyFill="1" applyBorder="1" applyAlignment="1">
      <alignment horizontal="center"/>
    </xf>
    <xf numFmtId="38" fontId="20" fillId="0" borderId="328" xfId="3743" applyNumberFormat="1" applyFont="1" applyFill="1" applyBorder="1" applyAlignment="1">
      <alignment horizontal="center"/>
    </xf>
    <xf numFmtId="38" fontId="21" fillId="0" borderId="391" xfId="3743" applyNumberFormat="1" applyFont="1" applyFill="1" applyBorder="1" applyAlignment="1">
      <alignment horizontal="center"/>
    </xf>
    <xf numFmtId="38" fontId="21" fillId="0" borderId="392" xfId="3743" applyNumberFormat="1" applyFont="1" applyFill="1" applyBorder="1" applyAlignment="1">
      <alignment horizontal="center"/>
    </xf>
    <xf numFmtId="38" fontId="21" fillId="0" borderId="393" xfId="3743" applyNumberFormat="1" applyFont="1" applyFill="1" applyBorder="1" applyAlignment="1">
      <alignment horizontal="center"/>
    </xf>
    <xf numFmtId="38" fontId="21" fillId="0" borderId="394" xfId="3743" applyNumberFormat="1" applyFont="1" applyFill="1" applyBorder="1" applyAlignment="1">
      <alignment horizontal="center"/>
    </xf>
    <xf numFmtId="38" fontId="21" fillId="0" borderId="395" xfId="3743" applyNumberFormat="1" applyFont="1" applyFill="1" applyBorder="1" applyAlignment="1">
      <alignment horizontal="center"/>
    </xf>
    <xf numFmtId="38" fontId="20" fillId="0" borderId="396" xfId="3743" applyNumberFormat="1" applyFont="1" applyFill="1" applyBorder="1" applyAlignment="1">
      <alignment horizontal="left"/>
    </xf>
    <xf numFmtId="38" fontId="21" fillId="0" borderId="397" xfId="3743" applyNumberFormat="1" applyFont="1" applyFill="1" applyBorder="1" applyAlignment="1">
      <alignment horizontal="center"/>
    </xf>
    <xf numFmtId="38" fontId="21" fillId="0" borderId="398" xfId="3743" applyNumberFormat="1" applyFont="1" applyFill="1" applyBorder="1" applyAlignment="1">
      <alignment horizontal="center"/>
    </xf>
    <xf numFmtId="38" fontId="20" fillId="0" borderId="399" xfId="3743" applyNumberFormat="1" applyFont="1" applyFill="1" applyBorder="1" applyAlignment="1">
      <alignment horizontal="center"/>
    </xf>
    <xf numFmtId="38" fontId="20" fillId="0" borderId="400" xfId="3743" applyNumberFormat="1" applyFont="1" applyFill="1" applyBorder="1" applyAlignment="1">
      <alignment horizontal="center"/>
    </xf>
    <xf numFmtId="38" fontId="20" fillId="0" borderId="401" xfId="3743" applyNumberFormat="1" applyFont="1" applyFill="1" applyBorder="1" applyAlignment="1">
      <alignment horizontal="center"/>
    </xf>
    <xf numFmtId="38" fontId="21" fillId="0" borderId="402" xfId="3743" applyNumberFormat="1" applyFont="1" applyFill="1" applyBorder="1" applyAlignment="1">
      <alignment horizontal="center"/>
    </xf>
    <xf numFmtId="38" fontId="21" fillId="0" borderId="396" xfId="3743" applyNumberFormat="1" applyFont="1" applyFill="1" applyBorder="1" applyAlignment="1">
      <alignment horizontal="center"/>
    </xf>
    <xf numFmtId="38" fontId="20" fillId="0" borderId="403" xfId="3743" applyNumberFormat="1" applyFont="1" applyFill="1" applyBorder="1" applyAlignment="1">
      <alignment horizontal="center"/>
    </xf>
    <xf numFmtId="38" fontId="20" fillId="0" borderId="402" xfId="3743" applyNumberFormat="1" applyFont="1" applyFill="1" applyBorder="1" applyAlignment="1">
      <alignment horizontal="center"/>
    </xf>
    <xf numFmtId="38" fontId="20" fillId="0" borderId="404" xfId="3743" applyNumberFormat="1" applyFont="1" applyFill="1" applyBorder="1" applyAlignment="1">
      <alignment horizontal="center"/>
    </xf>
    <xf numFmtId="38" fontId="20" fillId="0" borderId="405" xfId="3743" applyNumberFormat="1" applyFont="1" applyFill="1" applyBorder="1" applyAlignment="1">
      <alignment horizontal="center"/>
    </xf>
    <xf numFmtId="38" fontId="20" fillId="0" borderId="406" xfId="3743" applyNumberFormat="1" applyFont="1" applyFill="1" applyBorder="1" applyAlignment="1">
      <alignment horizontal="left"/>
    </xf>
    <xf numFmtId="38" fontId="21" fillId="0" borderId="407" xfId="3743" applyNumberFormat="1" applyFont="1" applyFill="1" applyBorder="1" applyAlignment="1">
      <alignment horizontal="center"/>
    </xf>
    <xf numFmtId="38" fontId="21" fillId="0" borderId="408" xfId="3743" applyNumberFormat="1" applyFont="1" applyFill="1" applyBorder="1" applyAlignment="1">
      <alignment horizontal="center"/>
    </xf>
    <xf numFmtId="38" fontId="20" fillId="0" borderId="409" xfId="3743" applyNumberFormat="1" applyFont="1" applyFill="1" applyBorder="1" applyAlignment="1">
      <alignment horizontal="center"/>
    </xf>
    <xf numFmtId="38" fontId="20" fillId="0" borderId="410" xfId="3743" applyNumberFormat="1" applyFont="1" applyFill="1" applyBorder="1" applyAlignment="1">
      <alignment horizontal="center"/>
    </xf>
    <xf numFmtId="38" fontId="20" fillId="0" borderId="411" xfId="3743" applyNumberFormat="1" applyFont="1" applyFill="1" applyBorder="1" applyAlignment="1">
      <alignment horizontal="center"/>
    </xf>
    <xf numFmtId="38" fontId="21" fillId="0" borderId="412" xfId="3743" applyNumberFormat="1" applyFont="1" applyFill="1" applyBorder="1" applyAlignment="1">
      <alignment horizontal="center"/>
    </xf>
    <xf numFmtId="38" fontId="21" fillId="0" borderId="406" xfId="3743" applyNumberFormat="1" applyFont="1" applyFill="1" applyBorder="1" applyAlignment="1">
      <alignment horizontal="center"/>
    </xf>
    <xf numFmtId="38" fontId="20" fillId="0" borderId="413" xfId="3743" applyNumberFormat="1" applyFont="1" applyFill="1" applyBorder="1" applyAlignment="1">
      <alignment horizontal="center"/>
    </xf>
    <xf numFmtId="38" fontId="20" fillId="0" borderId="412" xfId="3743" applyNumberFormat="1" applyFont="1" applyFill="1" applyBorder="1" applyAlignment="1">
      <alignment horizontal="center"/>
    </xf>
    <xf numFmtId="38" fontId="20" fillId="0" borderId="414" xfId="3743" applyNumberFormat="1" applyFont="1" applyFill="1" applyBorder="1" applyAlignment="1">
      <alignment horizontal="center"/>
    </xf>
    <xf numFmtId="38" fontId="21" fillId="0" borderId="0" xfId="3743" applyNumberFormat="1" applyFont="1" applyFill="1" applyBorder="1" applyAlignment="1">
      <alignment horizontal="left"/>
    </xf>
    <xf numFmtId="38" fontId="21" fillId="0" borderId="211" xfId="3743" applyNumberFormat="1" applyFont="1" applyFill="1" applyBorder="1" applyAlignment="1">
      <alignment horizontal="center"/>
    </xf>
    <xf numFmtId="38" fontId="21" fillId="0" borderId="217" xfId="3743" applyNumberFormat="1" applyFont="1" applyFill="1" applyBorder="1" applyAlignment="1">
      <alignment horizontal="center"/>
    </xf>
    <xf numFmtId="38" fontId="21" fillId="0" borderId="218" xfId="3743" applyNumberFormat="1" applyFont="1" applyFill="1" applyBorder="1" applyAlignment="1">
      <alignment horizontal="center"/>
    </xf>
    <xf numFmtId="38" fontId="21" fillId="0" borderId="219" xfId="3743" applyNumberFormat="1" applyFont="1" applyFill="1" applyBorder="1" applyAlignment="1">
      <alignment horizontal="center"/>
    </xf>
    <xf numFmtId="38" fontId="21" fillId="0" borderId="220" xfId="3743" applyNumberFormat="1" applyFont="1" applyFill="1" applyBorder="1" applyAlignment="1">
      <alignment horizontal="center"/>
    </xf>
    <xf numFmtId="38" fontId="21" fillId="0" borderId="216" xfId="3743" applyNumberFormat="1" applyFont="1" applyFill="1" applyBorder="1" applyAlignment="1">
      <alignment horizontal="center"/>
    </xf>
    <xf numFmtId="38" fontId="21" fillId="0" borderId="0" xfId="3743" applyNumberFormat="1" applyFont="1" applyFill="1" applyBorder="1" applyAlignment="1">
      <alignment horizontal="center"/>
    </xf>
    <xf numFmtId="38" fontId="21" fillId="0" borderId="415" xfId="3743" applyNumberFormat="1" applyFont="1" applyFill="1" applyBorder="1" applyAlignment="1">
      <alignment horizontal="center"/>
    </xf>
    <xf numFmtId="38" fontId="21" fillId="0" borderId="416" xfId="3743" applyNumberFormat="1" applyFont="1" applyFill="1" applyBorder="1" applyAlignment="1">
      <alignment horizontal="center"/>
    </xf>
    <xf numFmtId="38" fontId="21" fillId="0" borderId="221" xfId="3743" applyNumberFormat="1" applyFont="1" applyFill="1" applyBorder="1" applyAlignment="1">
      <alignment horizontal="center"/>
    </xf>
    <xf numFmtId="38" fontId="20" fillId="0" borderId="417" xfId="3743" applyNumberFormat="1" applyFont="1" applyFill="1" applyBorder="1" applyAlignment="1">
      <alignment horizontal="center"/>
    </xf>
    <xf numFmtId="38" fontId="154" fillId="11" borderId="0" xfId="16603" applyNumberFormat="1" applyFont="1" applyFill="1" applyBorder="1"/>
    <xf numFmtId="38" fontId="20" fillId="0" borderId="0" xfId="16603" applyNumberFormat="1" applyFont="1" applyFill="1" applyBorder="1"/>
    <xf numFmtId="1" fontId="20" fillId="0" borderId="377" xfId="3743" applyNumberFormat="1" applyFont="1" applyFill="1" applyBorder="1" applyAlignment="1">
      <alignment horizontal="center"/>
    </xf>
    <xf numFmtId="38" fontId="21" fillId="0" borderId="278" xfId="3743" applyNumberFormat="1" applyFont="1" applyFill="1" applyBorder="1" applyAlignment="1">
      <alignment horizontal="left"/>
    </xf>
    <xf numFmtId="38" fontId="21" fillId="0" borderId="418" xfId="3743" applyNumberFormat="1" applyFont="1" applyFill="1" applyBorder="1" applyAlignment="1">
      <alignment horizontal="center"/>
    </xf>
    <xf numFmtId="38" fontId="21" fillId="0" borderId="419" xfId="3743" applyNumberFormat="1" applyFont="1" applyFill="1" applyBorder="1" applyAlignment="1">
      <alignment horizontal="center"/>
    </xf>
    <xf numFmtId="38" fontId="20" fillId="0" borderId="420" xfId="3743" applyNumberFormat="1" applyFont="1" applyFill="1" applyBorder="1" applyAlignment="1">
      <alignment horizontal="center"/>
    </xf>
    <xf numFmtId="38" fontId="20" fillId="0" borderId="421" xfId="3743" applyNumberFormat="1" applyFont="1" applyFill="1" applyBorder="1" applyAlignment="1">
      <alignment horizontal="center"/>
    </xf>
    <xf numFmtId="38" fontId="20" fillId="0" borderId="422" xfId="3743" applyNumberFormat="1" applyFont="1" applyFill="1" applyBorder="1" applyAlignment="1">
      <alignment horizontal="center"/>
    </xf>
    <xf numFmtId="38" fontId="21" fillId="0" borderId="423" xfId="3743" applyNumberFormat="1" applyFont="1" applyFill="1" applyBorder="1" applyAlignment="1">
      <alignment horizontal="center"/>
    </xf>
    <xf numFmtId="38" fontId="21" fillId="0" borderId="278" xfId="3743" applyNumberFormat="1" applyFont="1" applyFill="1" applyBorder="1" applyAlignment="1">
      <alignment horizontal="center"/>
    </xf>
    <xf numFmtId="38" fontId="20" fillId="0" borderId="424" xfId="3743" applyNumberFormat="1" applyFont="1" applyFill="1" applyBorder="1" applyAlignment="1">
      <alignment horizontal="center"/>
    </xf>
    <xf numFmtId="38" fontId="20" fillId="0" borderId="416" xfId="3743" applyNumberFormat="1" applyFont="1" applyFill="1" applyBorder="1" applyAlignment="1">
      <alignment horizontal="center"/>
    </xf>
    <xf numFmtId="38" fontId="20" fillId="0" borderId="423" xfId="3743" applyNumberFormat="1" applyFont="1" applyFill="1" applyBorder="1" applyAlignment="1">
      <alignment horizontal="center"/>
    </xf>
    <xf numFmtId="38" fontId="20" fillId="0" borderId="425" xfId="3743" applyNumberFormat="1" applyFont="1" applyFill="1" applyBorder="1" applyAlignment="1">
      <alignment horizontal="center"/>
    </xf>
    <xf numFmtId="38" fontId="21" fillId="0" borderId="426" xfId="3743" applyNumberFormat="1" applyFont="1" applyFill="1" applyBorder="1" applyAlignment="1">
      <alignment horizontal="center"/>
    </xf>
    <xf numFmtId="38" fontId="21" fillId="0" borderId="427" xfId="3743" applyNumberFormat="1" applyFont="1" applyFill="1" applyBorder="1" applyAlignment="1">
      <alignment horizontal="center"/>
    </xf>
    <xf numFmtId="38" fontId="21" fillId="0" borderId="400" xfId="3743" applyNumberFormat="1" applyFont="1" applyFill="1" applyBorder="1" applyAlignment="1">
      <alignment horizontal="center"/>
    </xf>
    <xf numFmtId="38" fontId="20" fillId="0" borderId="396" xfId="3743" applyNumberFormat="1" applyFont="1" applyFill="1" applyBorder="1" applyAlignment="1">
      <alignment horizontal="center"/>
    </xf>
    <xf numFmtId="38" fontId="20" fillId="0" borderId="0" xfId="3743" applyNumberFormat="1" applyFont="1" applyFill="1" applyBorder="1" applyAlignment="1">
      <alignment horizontal="left"/>
    </xf>
    <xf numFmtId="38" fontId="21" fillId="0" borderId="67" xfId="3743" applyNumberFormat="1" applyFont="1" applyFill="1" applyBorder="1" applyAlignment="1">
      <alignment horizontal="center"/>
    </xf>
    <xf numFmtId="38" fontId="21" fillId="0" borderId="428" xfId="3743" applyNumberFormat="1" applyFont="1" applyFill="1" applyBorder="1" applyAlignment="1">
      <alignment horizontal="center"/>
    </xf>
    <xf numFmtId="38" fontId="20" fillId="0" borderId="220" xfId="3743" applyNumberFormat="1" applyFont="1" applyFill="1" applyBorder="1" applyAlignment="1">
      <alignment horizontal="center"/>
    </xf>
    <xf numFmtId="38" fontId="20" fillId="0" borderId="0" xfId="3743" applyNumberFormat="1" applyFont="1" applyFill="1" applyBorder="1" applyAlignment="1">
      <alignment horizontal="center"/>
    </xf>
    <xf numFmtId="38" fontId="20" fillId="0" borderId="219" xfId="3743" applyNumberFormat="1" applyFont="1" applyFill="1" applyBorder="1" applyAlignment="1">
      <alignment horizontal="center"/>
    </xf>
    <xf numFmtId="38" fontId="20" fillId="0" borderId="415" xfId="3743" applyNumberFormat="1" applyFont="1" applyFill="1" applyBorder="1" applyAlignment="1">
      <alignment horizontal="center"/>
    </xf>
    <xf numFmtId="38" fontId="20" fillId="0" borderId="218" xfId="3743" applyNumberFormat="1" applyFont="1" applyFill="1" applyBorder="1" applyAlignment="1">
      <alignment horizontal="center"/>
    </xf>
    <xf numFmtId="38" fontId="20" fillId="0" borderId="216" xfId="3743" applyNumberFormat="1" applyFont="1" applyFill="1" applyBorder="1" applyAlignment="1">
      <alignment horizontal="center"/>
    </xf>
    <xf numFmtId="38" fontId="20" fillId="0" borderId="221" xfId="3743" applyNumberFormat="1" applyFont="1" applyFill="1" applyBorder="1" applyAlignment="1">
      <alignment horizontal="center"/>
    </xf>
    <xf numFmtId="38" fontId="21" fillId="0" borderId="429" xfId="3743" applyNumberFormat="1" applyFont="1" applyFill="1" applyBorder="1" applyAlignment="1">
      <alignment horizontal="center"/>
    </xf>
    <xf numFmtId="38" fontId="20" fillId="0" borderId="430" xfId="3743" applyNumberFormat="1" applyFont="1" applyFill="1" applyBorder="1" applyAlignment="1">
      <alignment horizontal="center"/>
    </xf>
    <xf numFmtId="38" fontId="20" fillId="0" borderId="224" xfId="3743" applyNumberFormat="1" applyFont="1" applyFill="1" applyBorder="1" applyAlignment="1">
      <alignment horizontal="center"/>
    </xf>
    <xf numFmtId="38" fontId="21" fillId="0" borderId="431" xfId="3743" applyNumberFormat="1" applyFont="1" applyFill="1" applyBorder="1" applyAlignment="1">
      <alignment horizontal="left"/>
    </xf>
    <xf numFmtId="38" fontId="21" fillId="0" borderId="432" xfId="3743" applyNumberFormat="1" applyFont="1" applyFill="1" applyBorder="1" applyAlignment="1">
      <alignment horizontal="center"/>
    </xf>
    <xf numFmtId="38" fontId="21" fillId="0" borderId="433" xfId="3743" applyNumberFormat="1" applyFont="1" applyFill="1" applyBorder="1" applyAlignment="1">
      <alignment horizontal="center"/>
    </xf>
    <xf numFmtId="38" fontId="21" fillId="0" borderId="434" xfId="3743" applyNumberFormat="1" applyFont="1" applyFill="1" applyBorder="1" applyAlignment="1">
      <alignment horizontal="center"/>
    </xf>
    <xf numFmtId="38" fontId="21" fillId="0" borderId="435" xfId="3743" applyNumberFormat="1" applyFont="1" applyFill="1" applyBorder="1" applyAlignment="1">
      <alignment horizontal="center"/>
    </xf>
    <xf numFmtId="38" fontId="21" fillId="0" borderId="436" xfId="3743" applyNumberFormat="1" applyFont="1" applyFill="1" applyBorder="1" applyAlignment="1">
      <alignment horizontal="center"/>
    </xf>
    <xf numFmtId="38" fontId="21" fillId="0" borderId="431" xfId="3743" applyNumberFormat="1" applyFont="1" applyFill="1" applyBorder="1" applyAlignment="1">
      <alignment horizontal="center"/>
    </xf>
    <xf numFmtId="38" fontId="21" fillId="0" borderId="437" xfId="3743" applyNumberFormat="1" applyFont="1" applyFill="1" applyBorder="1" applyAlignment="1">
      <alignment horizontal="center"/>
    </xf>
    <xf numFmtId="38" fontId="21" fillId="0" borderId="438" xfId="3743" applyNumberFormat="1" applyFont="1" applyFill="1" applyBorder="1" applyAlignment="1">
      <alignment horizontal="center"/>
    </xf>
    <xf numFmtId="38" fontId="20" fillId="0" borderId="278" xfId="3743" applyNumberFormat="1" applyFont="1" applyFill="1" applyBorder="1" applyAlignment="1">
      <alignment horizontal="left"/>
    </xf>
    <xf numFmtId="38" fontId="20" fillId="0" borderId="418" xfId="3743" applyNumberFormat="1" applyFont="1" applyFill="1" applyBorder="1" applyAlignment="1">
      <alignment horizontal="center"/>
    </xf>
    <xf numFmtId="38" fontId="20" fillId="0" borderId="419" xfId="3743" applyNumberFormat="1" applyFont="1" applyFill="1" applyBorder="1" applyAlignment="1">
      <alignment horizontal="center"/>
    </xf>
    <xf numFmtId="38" fontId="20" fillId="0" borderId="278" xfId="3743" applyNumberFormat="1" applyFont="1" applyFill="1" applyBorder="1" applyAlignment="1">
      <alignment horizontal="center"/>
    </xf>
    <xf numFmtId="38" fontId="21" fillId="0" borderId="439" xfId="3743" applyNumberFormat="1" applyFont="1" applyFill="1" applyBorder="1" applyAlignment="1">
      <alignment horizontal="left"/>
    </xf>
    <xf numFmtId="38" fontId="21" fillId="0" borderId="440" xfId="3743" applyNumberFormat="1" applyFont="1" applyFill="1" applyBorder="1" applyAlignment="1">
      <alignment horizontal="center"/>
    </xf>
    <xf numFmtId="38" fontId="21" fillId="0" borderId="441" xfId="3743" applyNumberFormat="1" applyFont="1" applyFill="1" applyBorder="1" applyAlignment="1">
      <alignment horizontal="center"/>
    </xf>
    <xf numFmtId="38" fontId="21" fillId="0" borderId="442" xfId="3743" applyNumberFormat="1" applyFont="1" applyFill="1" applyBorder="1" applyAlignment="1">
      <alignment horizontal="center"/>
    </xf>
    <xf numFmtId="38" fontId="21" fillId="0" borderId="443" xfId="3743" applyNumberFormat="1" applyFont="1" applyFill="1" applyBorder="1" applyAlignment="1">
      <alignment horizontal="center"/>
    </xf>
    <xf numFmtId="38" fontId="21" fillId="0" borderId="444" xfId="3743" applyNumberFormat="1" applyFont="1" applyFill="1" applyBorder="1" applyAlignment="1">
      <alignment horizontal="center"/>
    </xf>
    <xf numFmtId="38" fontId="21" fillId="0" borderId="445" xfId="3743" applyNumberFormat="1" applyFont="1" applyFill="1" applyBorder="1" applyAlignment="1">
      <alignment horizontal="center"/>
    </xf>
    <xf numFmtId="38" fontId="21" fillId="0" borderId="439" xfId="3743" applyNumberFormat="1" applyFont="1" applyFill="1" applyBorder="1" applyAlignment="1">
      <alignment horizontal="center"/>
    </xf>
    <xf numFmtId="38" fontId="21" fillId="0" borderId="446" xfId="3743" applyNumberFormat="1" applyFont="1" applyFill="1" applyBorder="1" applyAlignment="1">
      <alignment horizontal="center"/>
    </xf>
    <xf numFmtId="38" fontId="155" fillId="11" borderId="0" xfId="16603" applyNumberFormat="1" applyFont="1" applyFill="1" applyBorder="1"/>
    <xf numFmtId="38" fontId="21" fillId="0" borderId="0" xfId="16603" applyNumberFormat="1" applyFont="1" applyFill="1" applyBorder="1"/>
    <xf numFmtId="38" fontId="20" fillId="0" borderId="222" xfId="16604" applyNumberFormat="1" applyFont="1" applyBorder="1" applyAlignment="1">
      <alignment horizontal="left" vertical="top" wrapText="1"/>
    </xf>
    <xf numFmtId="38" fontId="20" fillId="0" borderId="223" xfId="16604" applyNumberFormat="1" applyFont="1" applyBorder="1" applyAlignment="1">
      <alignment vertical="top"/>
    </xf>
    <xf numFmtId="38" fontId="21" fillId="0" borderId="447" xfId="3743" applyNumberFormat="1" applyFont="1" applyFill="1" applyBorder="1" applyAlignment="1">
      <alignment horizontal="center"/>
    </xf>
    <xf numFmtId="38" fontId="20" fillId="0" borderId="448" xfId="3743" applyNumberFormat="1" applyFont="1" applyFill="1" applyBorder="1" applyAlignment="1">
      <alignment horizontal="center"/>
    </xf>
    <xf numFmtId="38" fontId="21" fillId="0" borderId="209" xfId="3743" applyNumberFormat="1" applyFont="1" applyFill="1" applyBorder="1" applyAlignment="1">
      <alignment horizontal="center"/>
    </xf>
    <xf numFmtId="38" fontId="20" fillId="0" borderId="449" xfId="3743" applyNumberFormat="1" applyFont="1" applyFill="1" applyBorder="1" applyAlignment="1">
      <alignment horizontal="center"/>
    </xf>
    <xf numFmtId="38" fontId="21" fillId="36" borderId="209" xfId="3743" applyNumberFormat="1" applyFont="1" applyFill="1" applyBorder="1" applyAlignment="1">
      <alignment horizontal="center"/>
    </xf>
    <xf numFmtId="38" fontId="20" fillId="36" borderId="402" xfId="3743" applyNumberFormat="1" applyFont="1" applyFill="1" applyBorder="1" applyAlignment="1">
      <alignment horizontal="center"/>
    </xf>
    <xf numFmtId="38" fontId="21" fillId="0" borderId="222" xfId="3743" applyNumberFormat="1" applyFont="1" applyFill="1" applyBorder="1" applyAlignment="1">
      <alignment horizontal="center"/>
    </xf>
    <xf numFmtId="38" fontId="20" fillId="0" borderId="450" xfId="3743" applyNumberFormat="1" applyFont="1" applyFill="1" applyBorder="1" applyAlignment="1">
      <alignment horizontal="center"/>
    </xf>
    <xf numFmtId="38" fontId="20" fillId="0" borderId="0" xfId="16603" applyNumberFormat="1" applyFont="1"/>
    <xf numFmtId="38" fontId="20" fillId="73" borderId="200" xfId="16604" applyNumberFormat="1" applyFont="1" applyFill="1" applyBorder="1" applyAlignment="1">
      <alignment horizontal="left" vertical="top" wrapText="1"/>
    </xf>
    <xf numFmtId="38" fontId="20" fillId="0" borderId="201" xfId="16604" applyNumberFormat="1" applyFont="1" applyBorder="1" applyAlignment="1">
      <alignment horizontal="left" vertical="top"/>
    </xf>
    <xf numFmtId="38" fontId="21" fillId="36" borderId="377" xfId="3743" applyNumberFormat="1" applyFont="1" applyFill="1" applyBorder="1" applyAlignment="1">
      <alignment horizontal="center"/>
    </xf>
    <xf numFmtId="38" fontId="20" fillId="36" borderId="377" xfId="3743" applyNumberFormat="1" applyFont="1" applyFill="1" applyBorder="1" applyAlignment="1">
      <alignment horizontal="center"/>
    </xf>
    <xf numFmtId="38" fontId="20" fillId="0" borderId="200" xfId="3743" applyNumberFormat="1" applyFont="1" applyFill="1" applyBorder="1" applyAlignment="1">
      <alignment horizontal="center"/>
    </xf>
    <xf numFmtId="38" fontId="20" fillId="0" borderId="200" xfId="16604" applyNumberFormat="1" applyFont="1" applyBorder="1" applyAlignment="1">
      <alignment horizontal="left" vertical="top" wrapText="1"/>
    </xf>
    <xf numFmtId="38" fontId="20" fillId="0" borderId="201" xfId="16604" applyNumberFormat="1" applyFont="1" applyBorder="1" applyAlignment="1">
      <alignment vertical="top"/>
    </xf>
    <xf numFmtId="38" fontId="20" fillId="36" borderId="209" xfId="3743" applyNumberFormat="1" applyFont="1" applyFill="1" applyBorder="1" applyAlignment="1">
      <alignment horizontal="center"/>
    </xf>
    <xf numFmtId="38" fontId="20" fillId="0" borderId="222" xfId="3743" applyNumberFormat="1" applyFont="1" applyFill="1" applyBorder="1" applyAlignment="1">
      <alignment horizontal="center"/>
    </xf>
    <xf numFmtId="38" fontId="20" fillId="0" borderId="209" xfId="3743" applyNumberFormat="1" applyFont="1" applyFill="1" applyBorder="1" applyAlignment="1">
      <alignment horizontal="center"/>
    </xf>
    <xf numFmtId="38" fontId="20" fillId="36" borderId="216" xfId="3743" applyNumberFormat="1" applyFont="1" applyFill="1" applyBorder="1" applyAlignment="1">
      <alignment horizontal="center"/>
    </xf>
    <xf numFmtId="38" fontId="20" fillId="73" borderId="406" xfId="16604" applyNumberFormat="1" applyFont="1" applyFill="1" applyBorder="1" applyAlignment="1">
      <alignment horizontal="left" vertical="top" wrapText="1"/>
    </xf>
    <xf numFmtId="38" fontId="20" fillId="0" borderId="407" xfId="16604" applyNumberFormat="1" applyFont="1" applyBorder="1" applyAlignment="1">
      <alignment vertical="top"/>
    </xf>
    <xf numFmtId="38" fontId="21" fillId="0" borderId="202" xfId="3743" applyNumberFormat="1" applyFont="1" applyFill="1" applyBorder="1" applyAlignment="1">
      <alignment horizontal="center"/>
    </xf>
    <xf numFmtId="38" fontId="20" fillId="0" borderId="204" xfId="3743" applyNumberFormat="1" applyFont="1" applyFill="1" applyBorder="1" applyAlignment="1">
      <alignment horizontal="center"/>
    </xf>
    <xf numFmtId="38" fontId="20" fillId="0" borderId="205" xfId="3743" applyNumberFormat="1" applyFont="1" applyFill="1" applyBorder="1" applyAlignment="1">
      <alignment horizontal="center"/>
    </xf>
    <xf numFmtId="38" fontId="21" fillId="0" borderId="206" xfId="3743" applyNumberFormat="1" applyFont="1" applyFill="1" applyBorder="1" applyAlignment="1">
      <alignment horizontal="center"/>
    </xf>
    <xf numFmtId="38" fontId="20" fillId="0" borderId="203" xfId="3743" applyNumberFormat="1" applyFont="1" applyFill="1" applyBorder="1" applyAlignment="1">
      <alignment horizontal="center"/>
    </xf>
    <xf numFmtId="38" fontId="21" fillId="36" borderId="206" xfId="3743" applyNumberFormat="1" applyFont="1" applyFill="1" applyBorder="1" applyAlignment="1">
      <alignment horizontal="center"/>
    </xf>
    <xf numFmtId="38" fontId="20" fillId="36" borderId="412" xfId="3743" applyNumberFormat="1" applyFont="1" applyFill="1" applyBorder="1" applyAlignment="1">
      <alignment horizontal="center"/>
    </xf>
    <xf numFmtId="38" fontId="21" fillId="0" borderId="207" xfId="3743" applyNumberFormat="1" applyFont="1" applyFill="1" applyBorder="1" applyAlignment="1">
      <alignment horizontal="center"/>
    </xf>
    <xf numFmtId="38" fontId="20" fillId="0" borderId="208" xfId="3743" applyNumberFormat="1" applyFont="1" applyFill="1" applyBorder="1" applyAlignment="1">
      <alignment horizontal="center"/>
    </xf>
    <xf numFmtId="38" fontId="20" fillId="0" borderId="406" xfId="3743" applyNumberFormat="1" applyFont="1" applyFill="1" applyBorder="1" applyAlignment="1">
      <alignment horizontal="center"/>
    </xf>
    <xf numFmtId="38" fontId="20" fillId="0" borderId="210" xfId="3743" applyNumberFormat="1" applyFont="1" applyFill="1" applyBorder="1" applyAlignment="1">
      <alignment horizontal="center"/>
    </xf>
    <xf numFmtId="38" fontId="21" fillId="0" borderId="321" xfId="3743" applyNumberFormat="1" applyFont="1" applyFill="1" applyBorder="1" applyAlignment="1">
      <alignment horizontal="center"/>
    </xf>
    <xf numFmtId="38" fontId="21" fillId="0" borderId="451" xfId="3743" applyNumberFormat="1" applyFont="1" applyFill="1" applyBorder="1" applyAlignment="1">
      <alignment horizontal="center"/>
    </xf>
    <xf numFmtId="38" fontId="21" fillId="0" borderId="452" xfId="3743" applyNumberFormat="1" applyFont="1" applyFill="1" applyBorder="1" applyAlignment="1">
      <alignment horizontal="center"/>
    </xf>
    <xf numFmtId="38" fontId="21" fillId="0" borderId="453" xfId="3743" applyNumberFormat="1" applyFont="1" applyFill="1" applyBorder="1" applyAlignment="1">
      <alignment horizontal="center"/>
    </xf>
    <xf numFmtId="38" fontId="21" fillId="0" borderId="285" xfId="3743" applyNumberFormat="1" applyFont="1" applyFill="1" applyBorder="1" applyAlignment="1">
      <alignment horizontal="center"/>
    </xf>
    <xf numFmtId="38" fontId="20" fillId="0" borderId="396" xfId="16604" applyNumberFormat="1" applyFont="1" applyFill="1" applyBorder="1" applyAlignment="1">
      <alignment horizontal="left" vertical="top" wrapText="1"/>
    </xf>
    <xf numFmtId="38" fontId="21" fillId="0" borderId="410" xfId="3743" applyNumberFormat="1" applyFont="1" applyFill="1" applyBorder="1" applyAlignment="1">
      <alignment horizontal="center"/>
    </xf>
    <xf numFmtId="38" fontId="21" fillId="0" borderId="453" xfId="3743" applyNumberFormat="1" applyFont="1" applyFill="1" applyBorder="1" applyAlignment="1">
      <alignment horizontal="left"/>
    </xf>
    <xf numFmtId="38" fontId="21" fillId="0" borderId="455" xfId="3743" applyNumberFormat="1" applyFont="1" applyFill="1" applyBorder="1" applyAlignment="1">
      <alignment horizontal="center"/>
    </xf>
    <xf numFmtId="38" fontId="21" fillId="0" borderId="335" xfId="3743" applyNumberFormat="1" applyFont="1" applyFill="1" applyBorder="1" applyAlignment="1">
      <alignment horizontal="center"/>
    </xf>
    <xf numFmtId="38" fontId="21" fillId="0" borderId="334" xfId="3743" applyNumberFormat="1" applyFont="1" applyFill="1" applyBorder="1" applyAlignment="1">
      <alignment horizontal="center"/>
    </xf>
    <xf numFmtId="38" fontId="20" fillId="0" borderId="406" xfId="16604" applyNumberFormat="1" applyFont="1" applyFill="1" applyBorder="1" applyAlignment="1">
      <alignment horizontal="left" vertical="top" wrapText="1"/>
    </xf>
    <xf numFmtId="38" fontId="21" fillId="0" borderId="420" xfId="3743" applyNumberFormat="1" applyFont="1" applyFill="1" applyBorder="1" applyAlignment="1">
      <alignment horizontal="center"/>
    </xf>
    <xf numFmtId="38" fontId="21" fillId="0" borderId="421" xfId="3743" applyNumberFormat="1" applyFont="1" applyFill="1" applyBorder="1" applyAlignment="1">
      <alignment horizontal="center"/>
    </xf>
    <xf numFmtId="38" fontId="21" fillId="0" borderId="422" xfId="3743" applyNumberFormat="1" applyFont="1" applyFill="1" applyBorder="1" applyAlignment="1">
      <alignment horizontal="center"/>
    </xf>
    <xf numFmtId="38" fontId="21" fillId="0" borderId="424" xfId="3743" applyNumberFormat="1" applyFont="1" applyFill="1" applyBorder="1" applyAlignment="1">
      <alignment horizontal="center"/>
    </xf>
    <xf numFmtId="38" fontId="21" fillId="0" borderId="406" xfId="16604" applyNumberFormat="1" applyFont="1" applyFill="1" applyBorder="1" applyAlignment="1">
      <alignment horizontal="left" vertical="top" wrapText="1"/>
    </xf>
    <xf numFmtId="38" fontId="21" fillId="0" borderId="414" xfId="3743" applyNumberFormat="1" applyFont="1" applyFill="1" applyBorder="1" applyAlignment="1">
      <alignment horizontal="center"/>
    </xf>
    <xf numFmtId="38" fontId="21" fillId="0" borderId="456" xfId="3743" applyNumberFormat="1" applyFont="1" applyFill="1" applyBorder="1" applyAlignment="1">
      <alignment horizontal="center"/>
    </xf>
    <xf numFmtId="38" fontId="152" fillId="0" borderId="0" xfId="16603" applyNumberFormat="1"/>
    <xf numFmtId="38" fontId="152" fillId="0" borderId="0" xfId="16603" applyNumberFormat="1" applyFill="1"/>
    <xf numFmtId="38" fontId="20" fillId="0" borderId="0" xfId="3743" applyNumberFormat="1" applyFont="1" applyBorder="1" applyAlignment="1">
      <alignment horizontal="left"/>
    </xf>
    <xf numFmtId="38" fontId="21" fillId="0" borderId="0" xfId="3743" applyNumberFormat="1" applyFont="1" applyBorder="1" applyAlignment="1">
      <alignment horizontal="center"/>
    </xf>
    <xf numFmtId="177" fontId="21" fillId="0" borderId="0" xfId="13019" applyNumberFormat="1" applyFont="1" applyFill="1" applyBorder="1" applyAlignment="1">
      <alignment horizontal="center"/>
    </xf>
    <xf numFmtId="38" fontId="21" fillId="0" borderId="0" xfId="16603" applyNumberFormat="1" applyFont="1"/>
    <xf numFmtId="202" fontId="21" fillId="0" borderId="0" xfId="3743" applyNumberFormat="1" applyFont="1" applyBorder="1" applyAlignment="1">
      <alignment horizontal="left"/>
    </xf>
    <xf numFmtId="202" fontId="20" fillId="73" borderId="0" xfId="3743" applyNumberFormat="1" applyFont="1" applyFill="1" applyBorder="1" applyAlignment="1">
      <alignment horizontal="left"/>
    </xf>
    <xf numFmtId="202" fontId="21" fillId="37" borderId="0" xfId="3743" applyNumberFormat="1" applyFont="1" applyFill="1" applyBorder="1" applyAlignment="1">
      <alignment horizontal="left"/>
    </xf>
    <xf numFmtId="202" fontId="20" fillId="36" borderId="0" xfId="3743" applyNumberFormat="1" applyFont="1" applyFill="1" applyBorder="1" applyAlignment="1">
      <alignment horizontal="left"/>
    </xf>
    <xf numFmtId="202" fontId="21" fillId="0" borderId="0" xfId="3743" applyNumberFormat="1" applyFont="1" applyFill="1" applyBorder="1" applyAlignment="1">
      <alignment horizontal="left"/>
    </xf>
    <xf numFmtId="38" fontId="20" fillId="18" borderId="0" xfId="16603" applyNumberFormat="1" applyFont="1" applyFill="1" applyAlignment="1">
      <alignment horizontal="left"/>
    </xf>
    <xf numFmtId="202" fontId="20" fillId="37" borderId="0" xfId="3743" applyNumberFormat="1" applyFont="1" applyFill="1" applyBorder="1" applyAlignment="1">
      <alignment horizontal="left"/>
    </xf>
    <xf numFmtId="38" fontId="152" fillId="37" borderId="0" xfId="16603" applyNumberFormat="1" applyFill="1"/>
    <xf numFmtId="38" fontId="21" fillId="37" borderId="0" xfId="3743" applyNumberFormat="1" applyFont="1" applyFill="1"/>
    <xf numFmtId="38" fontId="20" fillId="0" borderId="0" xfId="3743" applyNumberFormat="1" applyFont="1" applyFill="1"/>
    <xf numFmtId="38" fontId="21" fillId="0" borderId="0" xfId="3743" applyNumberFormat="1" applyFont="1" applyFill="1"/>
    <xf numFmtId="40" fontId="20" fillId="0" borderId="0" xfId="3743" applyNumberFormat="1" applyFont="1" applyFill="1"/>
    <xf numFmtId="0" fontId="152" fillId="0" borderId="0" xfId="16603" applyFill="1"/>
    <xf numFmtId="38" fontId="21" fillId="0" borderId="0" xfId="3743" applyNumberFormat="1" applyFont="1" applyBorder="1"/>
    <xf numFmtId="40" fontId="21" fillId="0" borderId="0" xfId="3743" applyNumberFormat="1" applyFont="1" applyFill="1"/>
    <xf numFmtId="40" fontId="21" fillId="0" borderId="0" xfId="3743" applyNumberFormat="1" applyFont="1" applyFill="1" applyBorder="1"/>
    <xf numFmtId="38" fontId="20" fillId="0" borderId="0" xfId="16603" applyNumberFormat="1" applyFont="1" applyAlignment="1">
      <alignment horizontal="left"/>
    </xf>
    <xf numFmtId="38" fontId="21" fillId="0" borderId="0" xfId="3743" applyNumberFormat="1" applyFont="1" applyFill="1" applyAlignment="1">
      <alignment horizontal="center"/>
    </xf>
    <xf numFmtId="38" fontId="20" fillId="0" borderId="0" xfId="3743" applyNumberFormat="1" applyFont="1" applyFill="1" applyAlignment="1">
      <alignment horizontal="center"/>
    </xf>
    <xf numFmtId="38" fontId="21" fillId="0" borderId="0" xfId="3743" applyNumberFormat="1" applyFont="1" applyFill="1" applyBorder="1"/>
    <xf numFmtId="38" fontId="21" fillId="75" borderId="0" xfId="3743" applyNumberFormat="1" applyFont="1" applyFill="1" applyBorder="1" applyAlignment="1">
      <alignment horizontal="left"/>
    </xf>
    <xf numFmtId="38" fontId="21" fillId="75" borderId="211" xfId="3743" applyNumberFormat="1" applyFont="1" applyFill="1" applyBorder="1" applyAlignment="1">
      <alignment horizontal="center"/>
    </xf>
    <xf numFmtId="38" fontId="21" fillId="75" borderId="321" xfId="3743" applyNumberFormat="1" applyFont="1" applyFill="1" applyBorder="1" applyAlignment="1">
      <alignment horizontal="center"/>
    </xf>
    <xf numFmtId="38" fontId="21" fillId="75" borderId="416" xfId="3743" applyNumberFormat="1" applyFont="1" applyFill="1" applyBorder="1" applyAlignment="1">
      <alignment horizontal="center"/>
    </xf>
    <xf numFmtId="38" fontId="21" fillId="75" borderId="451" xfId="3743" applyNumberFormat="1" applyFont="1" applyFill="1" applyBorder="1" applyAlignment="1">
      <alignment horizontal="center"/>
    </xf>
    <xf numFmtId="38" fontId="21" fillId="75" borderId="280" xfId="3743" applyNumberFormat="1" applyFont="1" applyFill="1" applyBorder="1" applyAlignment="1">
      <alignment horizontal="center"/>
    </xf>
    <xf numFmtId="38" fontId="21" fillId="75" borderId="452" xfId="3743" applyNumberFormat="1" applyFont="1" applyFill="1" applyBorder="1" applyAlignment="1">
      <alignment horizontal="center"/>
    </xf>
    <xf numFmtId="38" fontId="21" fillId="75" borderId="453" xfId="3743" applyNumberFormat="1" applyFont="1" applyFill="1" applyBorder="1" applyAlignment="1">
      <alignment horizontal="center"/>
    </xf>
    <xf numFmtId="38" fontId="21" fillId="75" borderId="454" xfId="3743" applyNumberFormat="1" applyFont="1" applyFill="1" applyBorder="1" applyAlignment="1">
      <alignment horizontal="center"/>
    </xf>
    <xf numFmtId="38" fontId="21" fillId="75" borderId="285" xfId="3743" applyNumberFormat="1" applyFont="1" applyFill="1" applyBorder="1" applyAlignment="1">
      <alignment horizontal="center"/>
    </xf>
    <xf numFmtId="38" fontId="20" fillId="75" borderId="396" xfId="16604" applyNumberFormat="1" applyFont="1" applyFill="1" applyBorder="1" applyAlignment="1">
      <alignment horizontal="left" vertical="top" wrapText="1"/>
    </xf>
    <xf numFmtId="38" fontId="21" fillId="75" borderId="397" xfId="3743" applyNumberFormat="1" applyFont="1" applyFill="1" applyBorder="1" applyAlignment="1">
      <alignment horizontal="center"/>
    </xf>
    <xf numFmtId="38" fontId="21" fillId="75" borderId="398" xfId="3743" applyNumberFormat="1" applyFont="1" applyFill="1" applyBorder="1" applyAlignment="1">
      <alignment horizontal="center"/>
    </xf>
    <xf numFmtId="38" fontId="21" fillId="75" borderId="399" xfId="3743" applyNumberFormat="1" applyFont="1" applyFill="1" applyBorder="1" applyAlignment="1">
      <alignment horizontal="center"/>
    </xf>
    <xf numFmtId="38" fontId="21" fillId="75" borderId="400" xfId="3743" applyNumberFormat="1" applyFont="1" applyFill="1" applyBorder="1" applyAlignment="1">
      <alignment horizontal="center"/>
    </xf>
    <xf numFmtId="38" fontId="20" fillId="75" borderId="401" xfId="3743" applyNumberFormat="1" applyFont="1" applyFill="1" applyBorder="1" applyAlignment="1">
      <alignment horizontal="center"/>
    </xf>
    <xf numFmtId="38" fontId="21" fillId="75" borderId="402" xfId="3743" applyNumberFormat="1" applyFont="1" applyFill="1" applyBorder="1" applyAlignment="1">
      <alignment horizontal="center"/>
    </xf>
    <xf numFmtId="38" fontId="20" fillId="75" borderId="399" xfId="3743" applyNumberFormat="1" applyFont="1" applyFill="1" applyBorder="1" applyAlignment="1">
      <alignment horizontal="center"/>
    </xf>
    <xf numFmtId="38" fontId="20" fillId="75" borderId="400" xfId="3743" applyNumberFormat="1" applyFont="1" applyFill="1" applyBorder="1" applyAlignment="1">
      <alignment horizontal="center"/>
    </xf>
    <xf numFmtId="38" fontId="21" fillId="75" borderId="396" xfId="3743" applyNumberFormat="1" applyFont="1" applyFill="1" applyBorder="1" applyAlignment="1">
      <alignment horizontal="center"/>
    </xf>
    <xf numFmtId="38" fontId="20" fillId="75" borderId="403" xfId="3743" applyNumberFormat="1" applyFont="1" applyFill="1" applyBorder="1" applyAlignment="1">
      <alignment horizontal="center"/>
    </xf>
    <xf numFmtId="38" fontId="20" fillId="75" borderId="396" xfId="3743" applyNumberFormat="1" applyFont="1" applyFill="1" applyBorder="1" applyAlignment="1">
      <alignment horizontal="center"/>
    </xf>
    <xf numFmtId="38" fontId="20" fillId="75" borderId="402" xfId="3743" applyNumberFormat="1" applyFont="1" applyFill="1" applyBorder="1" applyAlignment="1">
      <alignment horizontal="center"/>
    </xf>
    <xf numFmtId="38" fontId="20" fillId="75" borderId="417" xfId="3743" applyNumberFormat="1" applyFont="1" applyFill="1" applyBorder="1" applyAlignment="1">
      <alignment horizontal="center"/>
    </xf>
    <xf numFmtId="38" fontId="20" fillId="75" borderId="222" xfId="16604" applyNumberFormat="1" applyFont="1" applyFill="1" applyBorder="1" applyAlignment="1">
      <alignment horizontal="left" vertical="top" wrapText="1"/>
    </xf>
    <xf numFmtId="38" fontId="21" fillId="75" borderId="223" xfId="3743" applyNumberFormat="1" applyFont="1" applyFill="1" applyBorder="1" applyAlignment="1">
      <alignment horizontal="center"/>
    </xf>
    <xf numFmtId="38" fontId="21" fillId="75" borderId="447" xfId="3743" applyNumberFormat="1" applyFont="1" applyFill="1" applyBorder="1" applyAlignment="1">
      <alignment horizontal="center"/>
    </xf>
    <xf numFmtId="38" fontId="21" fillId="75" borderId="449" xfId="3743" applyNumberFormat="1" applyFont="1" applyFill="1" applyBorder="1" applyAlignment="1">
      <alignment horizontal="center"/>
    </xf>
    <xf numFmtId="38" fontId="21" fillId="75" borderId="405" xfId="3743" applyNumberFormat="1" applyFont="1" applyFill="1" applyBorder="1" applyAlignment="1">
      <alignment horizontal="center"/>
    </xf>
    <xf numFmtId="38" fontId="20" fillId="75" borderId="448" xfId="3743" applyNumberFormat="1" applyFont="1" applyFill="1" applyBorder="1" applyAlignment="1">
      <alignment horizontal="center"/>
    </xf>
    <xf numFmtId="38" fontId="21" fillId="75" borderId="209" xfId="3743" applyNumberFormat="1" applyFont="1" applyFill="1" applyBorder="1" applyAlignment="1">
      <alignment horizontal="center"/>
    </xf>
    <xf numFmtId="38" fontId="20" fillId="75" borderId="449" xfId="3743" applyNumberFormat="1" applyFont="1" applyFill="1" applyBorder="1" applyAlignment="1">
      <alignment horizontal="center"/>
    </xf>
    <xf numFmtId="38" fontId="20" fillId="75" borderId="405" xfId="3743" applyNumberFormat="1" applyFont="1" applyFill="1" applyBorder="1" applyAlignment="1">
      <alignment horizontal="center"/>
    </xf>
    <xf numFmtId="38" fontId="21" fillId="75" borderId="222" xfId="3743" applyNumberFormat="1" applyFont="1" applyFill="1" applyBorder="1" applyAlignment="1">
      <alignment horizontal="center"/>
    </xf>
    <xf numFmtId="38" fontId="20" fillId="75" borderId="450" xfId="3743" applyNumberFormat="1" applyFont="1" applyFill="1" applyBorder="1" applyAlignment="1">
      <alignment horizontal="center"/>
    </xf>
    <xf numFmtId="38" fontId="20" fillId="75" borderId="222" xfId="3743" applyNumberFormat="1" applyFont="1" applyFill="1" applyBorder="1" applyAlignment="1">
      <alignment horizontal="center"/>
    </xf>
    <xf numFmtId="38" fontId="20" fillId="75" borderId="209" xfId="3743" applyNumberFormat="1" applyFont="1" applyFill="1" applyBorder="1" applyAlignment="1">
      <alignment horizontal="center"/>
    </xf>
    <xf numFmtId="38" fontId="20" fillId="75" borderId="404" xfId="3743" applyNumberFormat="1" applyFont="1" applyFill="1" applyBorder="1" applyAlignment="1">
      <alignment horizontal="center"/>
    </xf>
    <xf numFmtId="38" fontId="20" fillId="75" borderId="200" xfId="16604" applyNumberFormat="1" applyFont="1" applyFill="1" applyBorder="1" applyAlignment="1">
      <alignment horizontal="left" vertical="top" wrapText="1"/>
    </xf>
    <xf numFmtId="38" fontId="21" fillId="75" borderId="201" xfId="3743" applyNumberFormat="1" applyFont="1" applyFill="1" applyBorder="1" applyAlignment="1">
      <alignment horizontal="center"/>
    </xf>
    <xf numFmtId="38" fontId="21" fillId="75" borderId="374" xfId="3743" applyNumberFormat="1" applyFont="1" applyFill="1" applyBorder="1" applyAlignment="1">
      <alignment horizontal="center"/>
    </xf>
    <xf numFmtId="38" fontId="21" fillId="75" borderId="375" xfId="3743" applyNumberFormat="1" applyFont="1" applyFill="1" applyBorder="1" applyAlignment="1">
      <alignment horizontal="center"/>
    </xf>
    <xf numFmtId="38" fontId="21" fillId="75" borderId="378" xfId="3743" applyNumberFormat="1" applyFont="1" applyFill="1" applyBorder="1" applyAlignment="1">
      <alignment horizontal="center"/>
    </xf>
    <xf numFmtId="38" fontId="20" fillId="75" borderId="376" xfId="3743" applyNumberFormat="1" applyFont="1" applyFill="1" applyBorder="1" applyAlignment="1">
      <alignment horizontal="center"/>
    </xf>
    <xf numFmtId="38" fontId="21" fillId="75" borderId="377" xfId="3743" applyNumberFormat="1" applyFont="1" applyFill="1" applyBorder="1" applyAlignment="1">
      <alignment horizontal="center"/>
    </xf>
    <xf numFmtId="38" fontId="20" fillId="75" borderId="375" xfId="3743" applyNumberFormat="1" applyFont="1" applyFill="1" applyBorder="1" applyAlignment="1">
      <alignment horizontal="center"/>
    </xf>
    <xf numFmtId="38" fontId="20" fillId="75" borderId="378" xfId="3743" applyNumberFormat="1" applyFont="1" applyFill="1" applyBorder="1" applyAlignment="1">
      <alignment horizontal="center"/>
    </xf>
    <xf numFmtId="38" fontId="21" fillId="75" borderId="200" xfId="3743" applyNumberFormat="1" applyFont="1" applyFill="1" applyBorder="1" applyAlignment="1">
      <alignment horizontal="center"/>
    </xf>
    <xf numFmtId="38" fontId="20" fillId="75" borderId="379" xfId="3743" applyNumberFormat="1" applyFont="1" applyFill="1" applyBorder="1" applyAlignment="1">
      <alignment horizontal="center"/>
    </xf>
    <xf numFmtId="38" fontId="20" fillId="75" borderId="200" xfId="3743" applyNumberFormat="1" applyFont="1" applyFill="1" applyBorder="1" applyAlignment="1">
      <alignment horizontal="center"/>
    </xf>
    <xf numFmtId="38" fontId="20" fillId="75" borderId="377" xfId="3743" applyNumberFormat="1" applyFont="1" applyFill="1" applyBorder="1" applyAlignment="1">
      <alignment horizontal="center"/>
    </xf>
    <xf numFmtId="38" fontId="20" fillId="75" borderId="380" xfId="3743" applyNumberFormat="1" applyFont="1" applyFill="1" applyBorder="1" applyAlignment="1">
      <alignment horizontal="center"/>
    </xf>
    <xf numFmtId="38" fontId="20" fillId="75" borderId="204" xfId="3743" applyNumberFormat="1" applyFont="1" applyFill="1" applyBorder="1" applyAlignment="1">
      <alignment horizontal="center"/>
    </xf>
    <xf numFmtId="38" fontId="20" fillId="75" borderId="201" xfId="16604" applyNumberFormat="1" applyFont="1" applyFill="1" applyBorder="1" applyAlignment="1">
      <alignment vertical="top"/>
    </xf>
    <xf numFmtId="38" fontId="21" fillId="75" borderId="202" xfId="3743" applyNumberFormat="1" applyFont="1" applyFill="1" applyBorder="1" applyAlignment="1">
      <alignment horizontal="center"/>
    </xf>
    <xf numFmtId="38" fontId="20" fillId="75" borderId="205" xfId="3743" applyNumberFormat="1" applyFont="1" applyFill="1" applyBorder="1" applyAlignment="1">
      <alignment horizontal="center"/>
    </xf>
    <xf numFmtId="38" fontId="21" fillId="75" borderId="206" xfId="3743" applyNumberFormat="1" applyFont="1" applyFill="1" applyBorder="1" applyAlignment="1">
      <alignment horizontal="center"/>
    </xf>
    <xf numFmtId="38" fontId="20" fillId="75" borderId="203" xfId="3743" applyNumberFormat="1" applyFont="1" applyFill="1" applyBorder="1" applyAlignment="1">
      <alignment horizontal="center"/>
    </xf>
    <xf numFmtId="38" fontId="21" fillId="75" borderId="207" xfId="3743" applyNumberFormat="1" applyFont="1" applyFill="1" applyBorder="1" applyAlignment="1">
      <alignment horizontal="center"/>
    </xf>
    <xf numFmtId="38" fontId="20" fillId="75" borderId="208" xfId="3743" applyNumberFormat="1" applyFont="1" applyFill="1" applyBorder="1" applyAlignment="1">
      <alignment horizontal="center"/>
    </xf>
    <xf numFmtId="38" fontId="20" fillId="75" borderId="210" xfId="3743" applyNumberFormat="1" applyFont="1" applyFill="1" applyBorder="1" applyAlignment="1">
      <alignment horizontal="center"/>
    </xf>
    <xf numFmtId="38" fontId="20" fillId="75" borderId="200" xfId="3743" applyNumberFormat="1" applyFont="1" applyFill="1" applyBorder="1" applyAlignment="1">
      <alignment horizontal="left"/>
    </xf>
    <xf numFmtId="38" fontId="20" fillId="75" borderId="216" xfId="3743" applyNumberFormat="1" applyFont="1" applyFill="1" applyBorder="1" applyAlignment="1">
      <alignment horizontal="center"/>
    </xf>
    <xf numFmtId="38" fontId="20" fillId="75" borderId="406" xfId="3743" applyNumberFormat="1" applyFont="1" applyFill="1" applyBorder="1" applyAlignment="1">
      <alignment horizontal="left"/>
    </xf>
    <xf numFmtId="38" fontId="21" fillId="75" borderId="407" xfId="3743" applyNumberFormat="1" applyFont="1" applyFill="1" applyBorder="1" applyAlignment="1">
      <alignment horizontal="center"/>
    </xf>
    <xf numFmtId="38" fontId="21" fillId="75" borderId="408" xfId="3743" applyNumberFormat="1" applyFont="1" applyFill="1" applyBorder="1" applyAlignment="1">
      <alignment horizontal="center"/>
    </xf>
    <xf numFmtId="38" fontId="21" fillId="75" borderId="409" xfId="3743" applyNumberFormat="1" applyFont="1" applyFill="1" applyBorder="1" applyAlignment="1">
      <alignment horizontal="center"/>
    </xf>
    <xf numFmtId="38" fontId="21" fillId="75" borderId="410" xfId="3743" applyNumberFormat="1" applyFont="1" applyFill="1" applyBorder="1" applyAlignment="1">
      <alignment horizontal="center"/>
    </xf>
    <xf numFmtId="38" fontId="20" fillId="75" borderId="411" xfId="3743" applyNumberFormat="1" applyFont="1" applyFill="1" applyBorder="1" applyAlignment="1">
      <alignment horizontal="center"/>
    </xf>
    <xf numFmtId="38" fontId="21" fillId="75" borderId="412" xfId="3743" applyNumberFormat="1" applyFont="1" applyFill="1" applyBorder="1" applyAlignment="1">
      <alignment horizontal="center"/>
    </xf>
    <xf numFmtId="38" fontId="20" fillId="75" borderId="409" xfId="3743" applyNumberFormat="1" applyFont="1" applyFill="1" applyBorder="1" applyAlignment="1">
      <alignment horizontal="center"/>
    </xf>
    <xf numFmtId="38" fontId="20" fillId="75" borderId="410" xfId="3743" applyNumberFormat="1" applyFont="1" applyFill="1" applyBorder="1" applyAlignment="1">
      <alignment horizontal="center"/>
    </xf>
    <xf numFmtId="38" fontId="21" fillId="75" borderId="406" xfId="3743" applyNumberFormat="1" applyFont="1" applyFill="1" applyBorder="1" applyAlignment="1">
      <alignment horizontal="center"/>
    </xf>
    <xf numFmtId="38" fontId="20" fillId="75" borderId="413" xfId="3743" applyNumberFormat="1" applyFont="1" applyFill="1" applyBorder="1" applyAlignment="1">
      <alignment horizontal="center"/>
    </xf>
    <xf numFmtId="38" fontId="20" fillId="75" borderId="406" xfId="3743" applyNumberFormat="1" applyFont="1" applyFill="1" applyBorder="1" applyAlignment="1">
      <alignment horizontal="center"/>
    </xf>
    <xf numFmtId="38" fontId="20" fillId="75" borderId="412" xfId="3743" applyNumberFormat="1" applyFont="1" applyFill="1" applyBorder="1" applyAlignment="1">
      <alignment horizontal="center"/>
    </xf>
    <xf numFmtId="38" fontId="20" fillId="75" borderId="414" xfId="3743" applyNumberFormat="1" applyFont="1" applyFill="1" applyBorder="1" applyAlignment="1">
      <alignment horizontal="center"/>
    </xf>
    <xf numFmtId="38" fontId="0" fillId="0" borderId="0" xfId="0" applyNumberFormat="1" applyAlignment="1">
      <alignment horizontal="center"/>
    </xf>
    <xf numFmtId="0" fontId="2" fillId="76" borderId="424" xfId="0" applyFont="1" applyFill="1" applyBorder="1"/>
    <xf numFmtId="0" fontId="2" fillId="76" borderId="458" xfId="0" applyFont="1" applyFill="1" applyBorder="1"/>
    <xf numFmtId="0" fontId="0" fillId="76" borderId="460" xfId="0" applyFill="1" applyBorder="1"/>
    <xf numFmtId="2" fontId="0" fillId="76" borderId="459" xfId="0" applyNumberFormat="1" applyFill="1" applyBorder="1"/>
    <xf numFmtId="169" fontId="0" fillId="76" borderId="459" xfId="0" applyNumberFormat="1" applyFill="1" applyBorder="1"/>
    <xf numFmtId="0" fontId="80" fillId="24" borderId="424" xfId="8" applyFont="1" applyBorder="1" applyAlignment="1">
      <alignment horizontal="center"/>
    </xf>
    <xf numFmtId="0" fontId="80" fillId="24" borderId="461" xfId="8" applyFont="1" applyBorder="1" applyAlignment="1">
      <alignment horizontal="center"/>
    </xf>
    <xf numFmtId="0" fontId="80" fillId="24" borderId="458" xfId="8" applyFont="1" applyBorder="1" applyAlignment="1">
      <alignment horizontal="center"/>
    </xf>
    <xf numFmtId="0" fontId="80" fillId="23" borderId="458" xfId="10" applyFont="1" applyBorder="1" applyAlignment="1">
      <alignment horizontal="center"/>
    </xf>
    <xf numFmtId="2" fontId="23" fillId="24" borderId="415" xfId="8" applyNumberFormat="1" applyBorder="1" applyAlignment="1">
      <alignment horizontal="center"/>
    </xf>
    <xf numFmtId="2" fontId="0" fillId="0" borderId="415" xfId="0" applyNumberFormat="1" applyBorder="1" applyAlignment="1">
      <alignment horizontal="center"/>
    </xf>
    <xf numFmtId="2" fontId="23" fillId="24" borderId="459" xfId="8" applyNumberFormat="1" applyBorder="1" applyAlignment="1">
      <alignment horizontal="center"/>
    </xf>
    <xf numFmtId="2" fontId="23" fillId="24" borderId="462" xfId="8" applyNumberFormat="1" applyBorder="1" applyAlignment="1">
      <alignment horizontal="center"/>
    </xf>
    <xf numFmtId="0" fontId="23" fillId="24" borderId="460" xfId="8" applyBorder="1" applyAlignment="1">
      <alignment horizontal="center"/>
    </xf>
    <xf numFmtId="2" fontId="116" fillId="23" borderId="460" xfId="10" applyNumberFormat="1" applyFont="1" applyBorder="1" applyAlignment="1">
      <alignment horizontal="center"/>
    </xf>
    <xf numFmtId="169" fontId="0" fillId="0" borderId="0" xfId="0" quotePrefix="1" applyNumberFormat="1" applyBorder="1"/>
    <xf numFmtId="0" fontId="0" fillId="0" borderId="387" xfId="0" applyBorder="1"/>
    <xf numFmtId="0" fontId="0" fillId="0" borderId="307" xfId="0" applyBorder="1"/>
    <xf numFmtId="0" fontId="0" fillId="0" borderId="463" xfId="0" applyBorder="1"/>
    <xf numFmtId="0" fontId="2" fillId="0" borderId="363" xfId="0" applyFont="1" applyBorder="1"/>
    <xf numFmtId="9" fontId="0" fillId="8" borderId="322" xfId="0" applyNumberFormat="1" applyFill="1" applyBorder="1"/>
    <xf numFmtId="9" fontId="0" fillId="8" borderId="464" xfId="0" applyNumberFormat="1" applyFill="1" applyBorder="1"/>
    <xf numFmtId="0" fontId="0" fillId="0" borderId="0" xfId="0"/>
    <xf numFmtId="0" fontId="0" fillId="0" borderId="0" xfId="0" applyFont="1" applyAlignment="1">
      <alignment vertical="center"/>
    </xf>
    <xf numFmtId="0" fontId="48" fillId="45" borderId="453" xfId="0" applyFont="1" applyFill="1" applyBorder="1" applyAlignment="1">
      <alignment horizontal="center" vertical="center"/>
    </xf>
    <xf numFmtId="0" fontId="48" fillId="45" borderId="453" xfId="28186" applyFont="1" applyFill="1" applyBorder="1" applyAlignment="1">
      <alignment horizontal="center" vertical="center"/>
    </xf>
    <xf numFmtId="0" fontId="49" fillId="36" borderId="322" xfId="61" applyFont="1" applyFill="1" applyBorder="1" applyAlignment="1">
      <alignment horizontal="left" vertical="center" wrapText="1"/>
    </xf>
    <xf numFmtId="0" fontId="48" fillId="45" borderId="465" xfId="0" applyFont="1" applyFill="1" applyBorder="1" applyAlignment="1">
      <alignment vertical="center"/>
    </xf>
    <xf numFmtId="0" fontId="49" fillId="36" borderId="322" xfId="61" applyFont="1" applyFill="1" applyBorder="1" applyAlignment="1">
      <alignment horizontal="center" vertical="center" wrapText="1"/>
    </xf>
    <xf numFmtId="203" fontId="0" fillId="0" borderId="0" xfId="0" applyNumberFormat="1" applyAlignment="1">
      <alignment horizontal="center"/>
    </xf>
    <xf numFmtId="0" fontId="157" fillId="98" borderId="454" xfId="16603" applyFont="1" applyFill="1" applyBorder="1" applyAlignment="1">
      <alignment vertical="center"/>
    </xf>
    <xf numFmtId="0" fontId="157" fillId="98" borderId="469" xfId="16603" applyFont="1" applyFill="1" applyBorder="1" applyAlignment="1">
      <alignment vertical="center"/>
    </xf>
    <xf numFmtId="0" fontId="1" fillId="0" borderId="0" xfId="46" applyFont="1"/>
    <xf numFmtId="0" fontId="49" fillId="0" borderId="423" xfId="16603" applyFont="1" applyFill="1" applyBorder="1" applyAlignment="1">
      <alignment vertical="center"/>
    </xf>
    <xf numFmtId="0" fontId="49" fillId="0" borderId="216" xfId="16603" applyFont="1" applyFill="1" applyBorder="1" applyAlignment="1">
      <alignment vertical="center"/>
    </xf>
    <xf numFmtId="0" fontId="49" fillId="0" borderId="457" xfId="16603" applyFont="1" applyFill="1" applyBorder="1" applyAlignment="1">
      <alignment vertical="center"/>
    </xf>
    <xf numFmtId="0" fontId="2" fillId="0" borderId="0" xfId="46" applyFont="1" applyFill="1"/>
    <xf numFmtId="0" fontId="113" fillId="0" borderId="0" xfId="46" applyFont="1" applyFill="1" applyBorder="1"/>
    <xf numFmtId="0" fontId="1" fillId="0" borderId="0" xfId="46" applyFont="1" applyBorder="1"/>
    <xf numFmtId="0" fontId="157" fillId="16" borderId="424" xfId="16603" applyFont="1" applyFill="1" applyBorder="1" applyAlignment="1">
      <alignment vertical="center"/>
    </xf>
    <xf numFmtId="0" fontId="157" fillId="16" borderId="458" xfId="16603" applyFont="1" applyFill="1" applyBorder="1" applyAlignment="1">
      <alignment vertical="center"/>
    </xf>
    <xf numFmtId="0" fontId="2" fillId="0" borderId="423" xfId="46" applyFont="1" applyBorder="1"/>
    <xf numFmtId="0" fontId="2" fillId="0" borderId="216" xfId="46" applyFont="1" applyBorder="1"/>
    <xf numFmtId="0" fontId="1" fillId="0" borderId="67" xfId="46" applyFont="1" applyBorder="1"/>
    <xf numFmtId="0" fontId="2" fillId="0" borderId="457" xfId="46" applyFont="1" applyBorder="1"/>
    <xf numFmtId="0" fontId="1" fillId="0" borderId="460" xfId="46" applyFont="1" applyBorder="1" applyAlignment="1">
      <alignment horizontal="left"/>
    </xf>
    <xf numFmtId="0" fontId="0" fillId="0" borderId="458" xfId="46" applyFont="1" applyBorder="1"/>
    <xf numFmtId="0" fontId="1" fillId="0" borderId="423" xfId="46" applyFont="1" applyFill="1" applyBorder="1"/>
    <xf numFmtId="0" fontId="113" fillId="46" borderId="216" xfId="46" applyFont="1" applyFill="1" applyBorder="1"/>
    <xf numFmtId="0" fontId="113" fillId="100" borderId="216" xfId="46" applyFont="1" applyFill="1" applyBorder="1"/>
    <xf numFmtId="0" fontId="113" fillId="99" borderId="216" xfId="46" applyFont="1" applyFill="1" applyBorder="1"/>
    <xf numFmtId="0" fontId="113" fillId="42" borderId="216" xfId="46" applyFont="1" applyFill="1" applyBorder="1"/>
    <xf numFmtId="0" fontId="113" fillId="102" borderId="216" xfId="46" applyFont="1" applyFill="1" applyBorder="1"/>
    <xf numFmtId="0" fontId="113" fillId="101" borderId="457" xfId="46" applyFont="1" applyFill="1" applyBorder="1"/>
    <xf numFmtId="0" fontId="0" fillId="0" borderId="423" xfId="46" applyFont="1" applyBorder="1"/>
    <xf numFmtId="0" fontId="0" fillId="0" borderId="216" xfId="46" applyFont="1" applyBorder="1"/>
    <xf numFmtId="0" fontId="0" fillId="0" borderId="457" xfId="46" applyFont="1" applyBorder="1"/>
    <xf numFmtId="0" fontId="48" fillId="0" borderId="424" xfId="16603" applyFont="1" applyFill="1" applyBorder="1" applyAlignment="1">
      <alignment vertical="center"/>
    </xf>
    <xf numFmtId="0" fontId="48" fillId="0" borderId="458" xfId="16603" applyFont="1" applyFill="1" applyBorder="1" applyAlignment="1">
      <alignment vertical="center"/>
    </xf>
    <xf numFmtId="0" fontId="49" fillId="0" borderId="458" xfId="16603" applyFont="1" applyFill="1" applyBorder="1" applyAlignment="1">
      <alignment vertical="center"/>
    </xf>
    <xf numFmtId="0" fontId="49" fillId="0" borderId="67" xfId="16603" applyFont="1" applyFill="1" applyBorder="1" applyAlignment="1">
      <alignment vertical="center"/>
    </xf>
    <xf numFmtId="0" fontId="49" fillId="0" borderId="460" xfId="16603" applyFont="1" applyFill="1" applyBorder="1" applyAlignment="1">
      <alignment vertical="center"/>
    </xf>
    <xf numFmtId="0" fontId="158" fillId="6" borderId="1" xfId="0" applyFont="1" applyFill="1" applyBorder="1"/>
    <xf numFmtId="0" fontId="158" fillId="6" borderId="20" xfId="0" applyFont="1" applyFill="1" applyBorder="1"/>
    <xf numFmtId="0" fontId="158" fillId="6" borderId="2" xfId="0" applyFont="1" applyFill="1" applyBorder="1"/>
    <xf numFmtId="0" fontId="159" fillId="0" borderId="0" xfId="0" applyFont="1"/>
    <xf numFmtId="0" fontId="159" fillId="6" borderId="3" xfId="0" applyFont="1" applyFill="1" applyBorder="1"/>
    <xf numFmtId="165" fontId="159" fillId="0" borderId="99" xfId="1" applyNumberFormat="1" applyFont="1" applyBorder="1"/>
    <xf numFmtId="165" fontId="159" fillId="0" borderId="62" xfId="1" applyNumberFormat="1" applyFont="1" applyBorder="1"/>
    <xf numFmtId="43" fontId="159" fillId="0" borderId="66" xfId="1" applyNumberFormat="1" applyFont="1" applyBorder="1"/>
    <xf numFmtId="43" fontId="159" fillId="0" borderId="18" xfId="1" applyNumberFormat="1" applyFont="1" applyBorder="1"/>
    <xf numFmtId="43" fontId="159" fillId="0" borderId="66" xfId="0" applyNumberFormat="1" applyFont="1" applyBorder="1"/>
    <xf numFmtId="43" fontId="159" fillId="0" borderId="18" xfId="0" applyNumberFormat="1" applyFont="1" applyBorder="1"/>
    <xf numFmtId="0" fontId="159" fillId="6" borderId="103" xfId="0" applyFont="1" applyFill="1" applyBorder="1"/>
    <xf numFmtId="43" fontId="159" fillId="0" borderId="33" xfId="0" applyNumberFormat="1" applyFont="1" applyBorder="1"/>
    <xf numFmtId="43" fontId="159" fillId="0" borderId="19" xfId="0" applyNumberFormat="1" applyFont="1" applyBorder="1"/>
    <xf numFmtId="0" fontId="159" fillId="11" borderId="0" xfId="0" applyFont="1" applyFill="1"/>
    <xf numFmtId="43" fontId="159" fillId="0" borderId="0" xfId="0" applyNumberFormat="1" applyFont="1"/>
    <xf numFmtId="43" fontId="159" fillId="0" borderId="0" xfId="1" applyFont="1"/>
    <xf numFmtId="0" fontId="158" fillId="0" borderId="55" xfId="0" applyFont="1" applyBorder="1" applyAlignment="1">
      <alignment horizontal="center" vertical="center"/>
    </xf>
    <xf numFmtId="0" fontId="158" fillId="0" borderId="94" xfId="0" applyFont="1" applyBorder="1" applyAlignment="1">
      <alignment horizontal="center" vertical="center"/>
    </xf>
    <xf numFmtId="0" fontId="158" fillId="0" borderId="95" xfId="0" applyFont="1" applyBorder="1" applyAlignment="1">
      <alignment horizontal="center" vertical="center"/>
    </xf>
    <xf numFmtId="9" fontId="159" fillId="0" borderId="0" xfId="2" applyFont="1"/>
    <xf numFmtId="0" fontId="158" fillId="6" borderId="1" xfId="0" applyFont="1" applyFill="1" applyBorder="1" applyAlignment="1">
      <alignment horizontal="center" vertical="center" wrapText="1"/>
    </xf>
    <xf numFmtId="0" fontId="158" fillId="6" borderId="20" xfId="0" applyFont="1" applyFill="1" applyBorder="1" applyAlignment="1">
      <alignment horizontal="center" vertical="center" wrapText="1"/>
    </xf>
    <xf numFmtId="0" fontId="158" fillId="6" borderId="20" xfId="0" applyFont="1" applyFill="1" applyBorder="1" applyAlignment="1">
      <alignment horizontal="center" wrapText="1"/>
    </xf>
    <xf numFmtId="0" fontId="158" fillId="6" borderId="2" xfId="0" applyFont="1" applyFill="1" applyBorder="1" applyAlignment="1">
      <alignment horizontal="center" wrapText="1"/>
    </xf>
    <xf numFmtId="0" fontId="159" fillId="11" borderId="37" xfId="0" applyFont="1" applyFill="1" applyBorder="1"/>
    <xf numFmtId="0" fontId="158" fillId="6" borderId="2" xfId="0" applyFont="1" applyFill="1" applyBorder="1" applyAlignment="1">
      <alignment horizontal="center" vertical="center" wrapText="1"/>
    </xf>
    <xf numFmtId="43" fontId="158" fillId="0" borderId="135" xfId="0" applyNumberFormat="1" applyFont="1" applyBorder="1" applyAlignment="1">
      <alignment horizontal="center" vertical="center" wrapText="1"/>
    </xf>
    <xf numFmtId="1" fontId="159" fillId="0" borderId="140" xfId="0" applyNumberFormat="1" applyFont="1" applyBorder="1" applyAlignment="1">
      <alignment horizontal="center" vertical="center"/>
    </xf>
    <xf numFmtId="1" fontId="159" fillId="0" borderId="139" xfId="0" applyNumberFormat="1" applyFont="1" applyBorder="1" applyAlignment="1">
      <alignment horizontal="center" vertical="center"/>
    </xf>
    <xf numFmtId="9" fontId="159" fillId="0" borderId="127" xfId="2" applyFont="1" applyBorder="1" applyAlignment="1">
      <alignment horizontal="center" vertical="center"/>
    </xf>
    <xf numFmtId="0" fontId="158" fillId="6" borderId="3" xfId="0" applyFont="1" applyFill="1" applyBorder="1" applyAlignment="1">
      <alignment horizontal="center"/>
    </xf>
    <xf numFmtId="1" fontId="159" fillId="0" borderId="25" xfId="0" applyNumberFormat="1" applyFont="1" applyBorder="1"/>
    <xf numFmtId="1" fontId="159" fillId="0" borderId="26" xfId="0" applyNumberFormat="1" applyFont="1" applyBorder="1"/>
    <xf numFmtId="1" fontId="159" fillId="0" borderId="27" xfId="0" applyNumberFormat="1" applyFont="1" applyBorder="1"/>
    <xf numFmtId="0" fontId="159" fillId="11" borderId="38" xfId="0" applyFont="1" applyFill="1" applyBorder="1"/>
    <xf numFmtId="0" fontId="158" fillId="6" borderId="3" xfId="0" applyFont="1" applyFill="1" applyBorder="1" applyAlignment="1">
      <alignment horizontal="center" vertical="center"/>
    </xf>
    <xf numFmtId="1" fontId="159" fillId="0" borderId="21" xfId="0" applyNumberFormat="1" applyFont="1" applyBorder="1"/>
    <xf numFmtId="1" fontId="159" fillId="0" borderId="28" xfId="0" applyNumberFormat="1" applyFont="1" applyBorder="1"/>
    <xf numFmtId="1" fontId="159" fillId="0" borderId="18" xfId="0" applyNumberFormat="1" applyFont="1" applyBorder="1"/>
    <xf numFmtId="0" fontId="158" fillId="6" borderId="5" xfId="0" applyFont="1" applyFill="1" applyBorder="1" applyAlignment="1">
      <alignment horizontal="center"/>
    </xf>
    <xf numFmtId="0" fontId="159" fillId="0" borderId="22" xfId="0" applyFont="1" applyBorder="1"/>
    <xf numFmtId="0" fontId="159" fillId="0" borderId="33" xfId="0" applyFont="1" applyBorder="1"/>
    <xf numFmtId="0" fontId="159" fillId="0" borderId="19" xfId="0" applyFont="1" applyBorder="1"/>
    <xf numFmtId="0" fontId="159" fillId="11" borderId="39" xfId="0" applyFont="1" applyFill="1" applyBorder="1"/>
    <xf numFmtId="0" fontId="158" fillId="6" borderId="5" xfId="0" applyFont="1" applyFill="1" applyBorder="1" applyAlignment="1">
      <alignment horizontal="center" vertical="center"/>
    </xf>
    <xf numFmtId="0" fontId="158" fillId="0" borderId="1" xfId="0" applyFont="1" applyBorder="1"/>
    <xf numFmtId="0" fontId="158" fillId="0" borderId="20" xfId="0" applyFont="1" applyBorder="1"/>
    <xf numFmtId="0" fontId="158" fillId="0" borderId="2" xfId="0" applyFont="1" applyBorder="1"/>
    <xf numFmtId="0" fontId="158" fillId="8" borderId="2" xfId="0" applyFont="1" applyFill="1" applyBorder="1"/>
    <xf numFmtId="0" fontId="158" fillId="0" borderId="5" xfId="0" applyFont="1" applyBorder="1"/>
    <xf numFmtId="9" fontId="159" fillId="0" borderId="52" xfId="0" applyNumberFormat="1" applyFont="1" applyBorder="1"/>
    <xf numFmtId="9" fontId="159" fillId="0" borderId="53" xfId="0" applyNumberFormat="1" applyFont="1" applyBorder="1"/>
    <xf numFmtId="9" fontId="159" fillId="0" borderId="54" xfId="0" applyNumberFormat="1" applyFont="1" applyBorder="1"/>
    <xf numFmtId="9" fontId="159" fillId="8" borderId="54" xfId="0" applyNumberFormat="1" applyFont="1" applyFill="1" applyBorder="1"/>
    <xf numFmtId="0" fontId="158" fillId="0" borderId="1" xfId="0" applyFont="1" applyBorder="1" applyAlignment="1">
      <alignment horizontal="center" vertical="center"/>
    </xf>
    <xf numFmtId="0" fontId="158" fillId="0" borderId="2" xfId="0" applyFont="1" applyBorder="1" applyAlignment="1">
      <alignment horizontal="center" vertical="center"/>
    </xf>
    <xf numFmtId="0" fontId="159" fillId="0" borderId="3" xfId="0" applyFont="1" applyBorder="1"/>
    <xf numFmtId="0" fontId="159" fillId="0" borderId="4" xfId="0" applyFont="1" applyBorder="1"/>
    <xf numFmtId="0" fontId="159" fillId="0" borderId="3" xfId="0" applyFont="1" applyBorder="1" applyAlignment="1">
      <alignment horizontal="center" vertical="center"/>
    </xf>
    <xf numFmtId="0" fontId="159" fillId="0" borderId="4" xfId="0" applyFont="1" applyBorder="1" applyAlignment="1">
      <alignment horizontal="center" vertical="center"/>
    </xf>
    <xf numFmtId="2" fontId="159" fillId="0" borderId="6" xfId="0" applyNumberFormat="1" applyFont="1" applyBorder="1" applyAlignment="1">
      <alignment horizontal="center"/>
    </xf>
    <xf numFmtId="0" fontId="159" fillId="0" borderId="5" xfId="0" applyFont="1" applyBorder="1" applyAlignment="1">
      <alignment horizontal="center" vertical="center"/>
    </xf>
    <xf numFmtId="0" fontId="159" fillId="0" borderId="6" xfId="0" applyFont="1" applyBorder="1" applyAlignment="1">
      <alignment horizontal="center" vertical="center"/>
    </xf>
    <xf numFmtId="0" fontId="159" fillId="0" borderId="5" xfId="0" applyFont="1" applyBorder="1"/>
    <xf numFmtId="0" fontId="159" fillId="0" borderId="6" xfId="0" applyFont="1" applyBorder="1"/>
    <xf numFmtId="0" fontId="161" fillId="46" borderId="0" xfId="0" applyFont="1" applyFill="1"/>
    <xf numFmtId="0" fontId="159" fillId="46" borderId="0" xfId="0" applyFont="1" applyFill="1"/>
    <xf numFmtId="176" fontId="162" fillId="44" borderId="0" xfId="59" applyNumberFormat="1" applyFont="1"/>
    <xf numFmtId="176" fontId="159" fillId="0" borderId="0" xfId="0" applyNumberFormat="1" applyFont="1"/>
    <xf numFmtId="0" fontId="159" fillId="0" borderId="0" xfId="0" applyFont="1" applyFill="1"/>
    <xf numFmtId="0" fontId="163" fillId="45" borderId="157" xfId="0" applyFont="1" applyFill="1" applyBorder="1" applyAlignment="1">
      <alignment vertical="center"/>
    </xf>
    <xf numFmtId="0" fontId="164" fillId="0" borderId="0" xfId="0" applyFont="1" applyFill="1" applyBorder="1" applyAlignment="1">
      <alignment vertical="center"/>
    </xf>
    <xf numFmtId="0" fontId="165" fillId="36" borderId="0" xfId="61" applyFont="1" applyFill="1" applyBorder="1" applyAlignment="1">
      <alignment horizontal="left" vertical="center" wrapText="1"/>
    </xf>
    <xf numFmtId="0" fontId="166" fillId="36" borderId="0" xfId="61" applyFont="1" applyFill="1" applyBorder="1" applyAlignment="1">
      <alignment horizontal="left" vertical="center" wrapText="1"/>
    </xf>
    <xf numFmtId="0" fontId="166" fillId="36" borderId="0" xfId="61" applyFont="1" applyFill="1" applyBorder="1" applyAlignment="1">
      <alignment horizontal="center" vertical="center" wrapText="1"/>
    </xf>
    <xf numFmtId="0" fontId="158" fillId="76" borderId="233" xfId="0" applyFont="1" applyFill="1" applyBorder="1"/>
    <xf numFmtId="0" fontId="158" fillId="76" borderId="155" xfId="0" applyFont="1" applyFill="1" applyBorder="1"/>
    <xf numFmtId="0" fontId="158" fillId="76" borderId="155" xfId="0" applyFont="1" applyFill="1" applyBorder="1" applyAlignment="1">
      <alignment horizontal="center"/>
    </xf>
    <xf numFmtId="0" fontId="158" fillId="76" borderId="234" xfId="0" applyFont="1" applyFill="1" applyBorder="1" applyAlignment="1">
      <alignment horizontal="center"/>
    </xf>
    <xf numFmtId="0" fontId="158" fillId="5" borderId="172" xfId="0" applyFont="1" applyFill="1" applyBorder="1" applyAlignment="1">
      <alignment horizontal="center"/>
    </xf>
    <xf numFmtId="0" fontId="158" fillId="76" borderId="424" xfId="0" applyFont="1" applyFill="1" applyBorder="1" applyAlignment="1">
      <alignment horizontal="center"/>
    </xf>
    <xf numFmtId="0" fontId="158" fillId="76" borderId="278" xfId="0" applyFont="1" applyFill="1" applyBorder="1" applyAlignment="1">
      <alignment horizontal="center"/>
    </xf>
    <xf numFmtId="0" fontId="158" fillId="76" borderId="458" xfId="0" applyFont="1" applyFill="1" applyBorder="1" applyAlignment="1">
      <alignment horizontal="center"/>
    </xf>
    <xf numFmtId="0" fontId="159" fillId="76" borderId="66" xfId="0" applyFont="1" applyFill="1" applyBorder="1"/>
    <xf numFmtId="0" fontId="159" fillId="76" borderId="0" xfId="0" applyFont="1" applyFill="1" applyBorder="1"/>
    <xf numFmtId="2" fontId="159" fillId="76" borderId="0" xfId="0" applyNumberFormat="1" applyFont="1" applyFill="1" applyBorder="1" applyAlignment="1">
      <alignment horizontal="center"/>
    </xf>
    <xf numFmtId="0" fontId="159" fillId="76" borderId="67" xfId="0" applyFont="1" applyFill="1" applyBorder="1" applyAlignment="1">
      <alignment horizontal="center"/>
    </xf>
    <xf numFmtId="2" fontId="159" fillId="76" borderId="415" xfId="0" applyNumberFormat="1" applyFont="1" applyFill="1" applyBorder="1" applyAlignment="1">
      <alignment horizontal="center"/>
    </xf>
    <xf numFmtId="0" fontId="165" fillId="36" borderId="0" xfId="61" applyFont="1" applyFill="1" applyBorder="1" applyAlignment="1">
      <alignment horizontal="left" vertical="center"/>
    </xf>
    <xf numFmtId="0" fontId="159" fillId="76" borderId="0" xfId="0" applyFont="1" applyFill="1" applyBorder="1" applyAlignment="1">
      <alignment horizontal="center"/>
    </xf>
    <xf numFmtId="0" fontId="159" fillId="5" borderId="216" xfId="0" applyFont="1" applyFill="1" applyBorder="1" applyAlignment="1">
      <alignment horizontal="center"/>
    </xf>
    <xf numFmtId="0" fontId="159" fillId="76" borderId="415" xfId="0" applyFont="1" applyFill="1" applyBorder="1" applyAlignment="1">
      <alignment horizontal="center"/>
    </xf>
    <xf numFmtId="0" fontId="159" fillId="76" borderId="235" xfId="0" applyFont="1" applyFill="1" applyBorder="1"/>
    <xf numFmtId="0" fontId="159" fillId="76" borderId="148" xfId="0" applyFont="1" applyFill="1" applyBorder="1"/>
    <xf numFmtId="2" fontId="159" fillId="76" borderId="148" xfId="0" applyNumberFormat="1" applyFont="1" applyFill="1" applyBorder="1" applyAlignment="1">
      <alignment horizontal="center"/>
    </xf>
    <xf numFmtId="0" fontId="159" fillId="76" borderId="236" xfId="0" applyFont="1" applyFill="1" applyBorder="1" applyAlignment="1">
      <alignment horizontal="center"/>
    </xf>
    <xf numFmtId="2" fontId="159" fillId="76" borderId="235" xfId="0" applyNumberFormat="1" applyFont="1" applyFill="1" applyBorder="1" applyAlignment="1">
      <alignment horizontal="center"/>
    </xf>
    <xf numFmtId="1" fontId="159" fillId="0" borderId="0" xfId="0" applyNumberFormat="1" applyFont="1" applyAlignment="1">
      <alignment horizontal="center"/>
    </xf>
    <xf numFmtId="1" fontId="159" fillId="0" borderId="0" xfId="0" applyNumberFormat="1" applyFont="1" applyAlignment="1">
      <alignment horizontal="center" vertical="center"/>
    </xf>
    <xf numFmtId="177" fontId="159" fillId="0" borderId="0" xfId="2" applyNumberFormat="1" applyFont="1"/>
    <xf numFmtId="0" fontId="163" fillId="0" borderId="0" xfId="0" applyFont="1" applyFill="1" applyBorder="1" applyAlignment="1">
      <alignment horizontal="center" vertical="center"/>
    </xf>
    <xf numFmtId="0" fontId="159" fillId="0" borderId="0" xfId="0" quotePrefix="1" applyFont="1" applyAlignment="1">
      <alignment horizontal="right"/>
    </xf>
    <xf numFmtId="0" fontId="159" fillId="0" borderId="0" xfId="0" applyFont="1" applyFill="1" applyBorder="1"/>
    <xf numFmtId="0" fontId="159" fillId="0" borderId="0" xfId="0" applyFont="1" applyAlignment="1">
      <alignment vertical="center"/>
    </xf>
    <xf numFmtId="176" fontId="162" fillId="44" borderId="0" xfId="59" applyNumberFormat="1" applyFont="1" applyAlignment="1">
      <alignment vertical="center"/>
    </xf>
    <xf numFmtId="0" fontId="163" fillId="45" borderId="156" xfId="0" applyFont="1" applyFill="1" applyBorder="1" applyAlignment="1">
      <alignment vertical="center"/>
    </xf>
    <xf numFmtId="0" fontId="163" fillId="45" borderId="156" xfId="0" applyFont="1" applyFill="1" applyBorder="1" applyAlignment="1">
      <alignment horizontal="center" vertical="center"/>
    </xf>
    <xf numFmtId="0" fontId="166" fillId="36" borderId="157" xfId="61" applyFont="1" applyFill="1" applyBorder="1" applyAlignment="1">
      <alignment horizontal="left" vertical="center" wrapText="1"/>
    </xf>
    <xf numFmtId="0" fontId="166" fillId="36" borderId="157" xfId="61" applyFont="1" applyFill="1" applyBorder="1" applyAlignment="1">
      <alignment horizontal="center" vertical="center" wrapText="1"/>
    </xf>
    <xf numFmtId="2" fontId="159" fillId="0" borderId="0" xfId="0" applyNumberFormat="1" applyFont="1" applyAlignment="1">
      <alignment horizontal="center"/>
    </xf>
    <xf numFmtId="188" fontId="159" fillId="0" borderId="0" xfId="0" applyNumberFormat="1" applyFont="1" applyAlignment="1">
      <alignment horizontal="center"/>
    </xf>
    <xf numFmtId="174" fontId="159" fillId="0" borderId="0" xfId="0" applyNumberFormat="1" applyFont="1" applyAlignment="1">
      <alignment horizontal="center"/>
    </xf>
    <xf numFmtId="170" fontId="159" fillId="0" borderId="0" xfId="0" applyNumberFormat="1" applyFont="1" applyAlignment="1">
      <alignment horizontal="center"/>
    </xf>
    <xf numFmtId="1" fontId="159" fillId="0" borderId="0" xfId="0" applyNumberFormat="1" applyFont="1" applyFill="1" applyAlignment="1">
      <alignment horizontal="center"/>
    </xf>
    <xf numFmtId="0" fontId="163" fillId="45" borderId="157" xfId="0" applyFont="1" applyFill="1" applyBorder="1" applyAlignment="1">
      <alignment horizontal="left" vertical="center" wrapText="1"/>
    </xf>
    <xf numFmtId="0" fontId="163" fillId="45" borderId="157" xfId="0" applyFont="1" applyFill="1" applyBorder="1" applyAlignment="1">
      <alignment horizontal="center" vertical="center" wrapText="1"/>
    </xf>
    <xf numFmtId="0" fontId="163" fillId="0" borderId="0" xfId="0" applyFont="1" applyFill="1" applyBorder="1" applyAlignment="1">
      <alignment horizontal="center" vertical="center" wrapText="1"/>
    </xf>
    <xf numFmtId="0" fontId="159" fillId="0" borderId="0" xfId="0" applyFont="1" applyAlignment="1">
      <alignment horizontal="center"/>
    </xf>
    <xf numFmtId="9" fontId="159" fillId="0" borderId="0" xfId="2" applyFont="1" applyFill="1" applyAlignment="1">
      <alignment horizontal="center"/>
    </xf>
    <xf numFmtId="0" fontId="166" fillId="0" borderId="0" xfId="61" applyFont="1" applyFill="1" applyBorder="1" applyAlignment="1">
      <alignment horizontal="center" vertical="center" wrapText="1"/>
    </xf>
    <xf numFmtId="3" fontId="159" fillId="0" borderId="0" xfId="0" applyNumberFormat="1" applyFont="1" applyAlignment="1">
      <alignment horizontal="center"/>
    </xf>
    <xf numFmtId="3" fontId="159" fillId="0" borderId="0" xfId="0" applyNumberFormat="1" applyFont="1"/>
    <xf numFmtId="0" fontId="106" fillId="0" borderId="0" xfId="0" applyFont="1"/>
    <xf numFmtId="169" fontId="1" fillId="0" borderId="0" xfId="0" applyNumberFormat="1" applyFont="1" applyAlignment="1">
      <alignment vertical="center"/>
    </xf>
    <xf numFmtId="0" fontId="48" fillId="0" borderId="0" xfId="4" applyFont="1" applyFill="1" applyBorder="1" applyAlignment="1">
      <alignment vertical="center"/>
    </xf>
    <xf numFmtId="0" fontId="0" fillId="0" borderId="462" xfId="0" applyBorder="1"/>
    <xf numFmtId="0" fontId="0" fillId="0" borderId="462" xfId="0" applyFont="1" applyBorder="1"/>
    <xf numFmtId="0" fontId="0" fillId="0" borderId="462" xfId="2847" applyFont="1" applyBorder="1" applyAlignment="1">
      <alignment vertical="center"/>
    </xf>
    <xf numFmtId="0" fontId="0" fillId="0" borderId="462" xfId="0" applyBorder="1" applyAlignment="1">
      <alignment horizontal="center"/>
    </xf>
    <xf numFmtId="38" fontId="0" fillId="0" borderId="462" xfId="0" applyNumberFormat="1" applyBorder="1" applyAlignment="1">
      <alignment horizontal="center"/>
    </xf>
    <xf numFmtId="0" fontId="118" fillId="11" borderId="0" xfId="8923" applyFont="1" applyFill="1" applyBorder="1" applyAlignment="1">
      <alignment horizontal="center" vertical="center"/>
    </xf>
    <xf numFmtId="0" fontId="48" fillId="11" borderId="0" xfId="8923" applyFont="1" applyFill="1" applyBorder="1" applyAlignment="1">
      <alignment vertical="center"/>
    </xf>
    <xf numFmtId="0" fontId="106" fillId="11" borderId="0" xfId="8923" applyFont="1" applyFill="1" applyBorder="1" applyAlignment="1">
      <alignment vertical="center"/>
    </xf>
    <xf numFmtId="2" fontId="159" fillId="5" borderId="216" xfId="0" applyNumberFormat="1" applyFont="1" applyFill="1" applyBorder="1" applyAlignment="1">
      <alignment horizontal="center" vertical="center"/>
    </xf>
    <xf numFmtId="2" fontId="159" fillId="5" borderId="457" xfId="0" applyNumberFormat="1" applyFont="1" applyFill="1" applyBorder="1" applyAlignment="1">
      <alignment horizontal="center" vertical="center"/>
    </xf>
    <xf numFmtId="2" fontId="159" fillId="76" borderId="0" xfId="0" applyNumberFormat="1" applyFont="1" applyFill="1" applyBorder="1" applyAlignment="1">
      <alignment horizontal="center" vertical="center"/>
    </xf>
    <xf numFmtId="2" fontId="159" fillId="76" borderId="279" xfId="0" applyNumberFormat="1" applyFont="1" applyFill="1" applyBorder="1" applyAlignment="1">
      <alignment horizontal="center" vertical="center"/>
    </xf>
    <xf numFmtId="0" fontId="160" fillId="0" borderId="4" xfId="0" applyFont="1" applyBorder="1" applyAlignment="1">
      <alignment horizontal="center" vertical="center" textRotation="90"/>
    </xf>
    <xf numFmtId="0" fontId="158" fillId="0" borderId="1" xfId="0" applyFont="1" applyBorder="1" applyAlignment="1">
      <alignment horizontal="center"/>
    </xf>
    <xf numFmtId="0" fontId="158" fillId="0" borderId="2" xfId="0" applyFont="1" applyBorder="1" applyAlignment="1">
      <alignment horizontal="center"/>
    </xf>
    <xf numFmtId="0" fontId="158" fillId="6" borderId="34" xfId="0" applyFont="1" applyFill="1" applyBorder="1" applyAlignment="1">
      <alignment horizontal="center"/>
    </xf>
    <xf numFmtId="0" fontId="158" fillId="6" borderId="35" xfId="0" applyFont="1" applyFill="1" applyBorder="1" applyAlignment="1">
      <alignment horizontal="center"/>
    </xf>
    <xf numFmtId="0" fontId="158" fillId="6" borderId="36" xfId="0" applyFont="1" applyFill="1" applyBorder="1" applyAlignment="1">
      <alignment horizontal="center"/>
    </xf>
    <xf numFmtId="2" fontId="159" fillId="76" borderId="148" xfId="0" applyNumberFormat="1" applyFont="1" applyFill="1" applyBorder="1" applyAlignment="1">
      <alignment horizontal="center" vertical="center"/>
    </xf>
    <xf numFmtId="0" fontId="159" fillId="5" borderId="216" xfId="0" applyFont="1" applyFill="1" applyBorder="1" applyAlignment="1">
      <alignment horizontal="center" vertical="center"/>
    </xf>
    <xf numFmtId="0" fontId="159" fillId="5" borderId="178" xfId="0" applyFont="1" applyFill="1" applyBorder="1" applyAlignment="1">
      <alignment horizontal="center" vertical="center"/>
    </xf>
    <xf numFmtId="2" fontId="116" fillId="23" borderId="216" xfId="10" applyNumberFormat="1" applyFont="1" applyBorder="1" applyAlignment="1">
      <alignment horizontal="center" vertical="center"/>
    </xf>
    <xf numFmtId="4" fontId="0" fillId="76" borderId="0" xfId="0" applyNumberFormat="1" applyFill="1" applyBorder="1" applyAlignment="1">
      <alignment horizontal="center" vertical="center"/>
    </xf>
    <xf numFmtId="2" fontId="0" fillId="5" borderId="66" xfId="0" applyNumberFormat="1" applyFill="1" applyBorder="1" applyAlignment="1">
      <alignment horizontal="center" vertical="center"/>
    </xf>
    <xf numFmtId="2" fontId="0" fillId="5" borderId="67" xfId="0" applyNumberFormat="1" applyFill="1" applyBorder="1" applyAlignment="1">
      <alignment horizontal="center" vertical="center"/>
    </xf>
    <xf numFmtId="0" fontId="0" fillId="76" borderId="67" xfId="0" applyFill="1" applyBorder="1" applyAlignment="1">
      <alignment horizontal="center" vertical="center"/>
    </xf>
    <xf numFmtId="0" fontId="10" fillId="6" borderId="1" xfId="0" applyFont="1" applyFill="1" applyBorder="1" applyAlignment="1">
      <alignment horizontal="center" vertical="center" textRotation="90" wrapText="1"/>
    </xf>
    <xf numFmtId="0" fontId="10" fillId="6" borderId="3" xfId="0" applyFont="1" applyFill="1" applyBorder="1" applyAlignment="1">
      <alignment horizontal="center" vertical="center" textRotation="90" wrapText="1"/>
    </xf>
    <xf numFmtId="0" fontId="10" fillId="6" borderId="5" xfId="0" applyFont="1" applyFill="1" applyBorder="1" applyAlignment="1">
      <alignment horizontal="center" vertical="center" textRotation="90" wrapText="1"/>
    </xf>
    <xf numFmtId="0" fontId="2" fillId="0" borderId="1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 textRotation="90"/>
    </xf>
    <xf numFmtId="0" fontId="2" fillId="6" borderId="34" xfId="0" applyFont="1" applyFill="1" applyBorder="1" applyAlignment="1">
      <alignment horizontal="center"/>
    </xf>
    <xf numFmtId="0" fontId="2" fillId="6" borderId="35" xfId="0" applyFont="1" applyFill="1" applyBorder="1" applyAlignment="1">
      <alignment horizontal="center"/>
    </xf>
    <xf numFmtId="0" fontId="2" fillId="6" borderId="36" xfId="0" applyFont="1" applyFill="1" applyBorder="1" applyAlignment="1">
      <alignment horizontal="center"/>
    </xf>
    <xf numFmtId="0" fontId="2" fillId="0" borderId="7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3" fillId="7" borderId="1" xfId="0" applyFont="1" applyFill="1" applyBorder="1" applyAlignment="1">
      <alignment horizontal="center"/>
    </xf>
    <xf numFmtId="0" fontId="3" fillId="7" borderId="20" xfId="0" applyFont="1" applyFill="1" applyBorder="1" applyAlignment="1">
      <alignment horizontal="center"/>
    </xf>
    <xf numFmtId="0" fontId="3" fillId="7" borderId="2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20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3" borderId="20" xfId="0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0" fontId="3" fillId="9" borderId="1" xfId="0" applyFont="1" applyFill="1" applyBorder="1" applyAlignment="1">
      <alignment horizontal="center"/>
    </xf>
    <xf numFmtId="0" fontId="3" fillId="9" borderId="20" xfId="0" applyFont="1" applyFill="1" applyBorder="1" applyAlignment="1">
      <alignment horizontal="center"/>
    </xf>
    <xf numFmtId="0" fontId="3" fillId="9" borderId="2" xfId="0" applyFont="1" applyFill="1" applyBorder="1" applyAlignment="1">
      <alignment horizontal="center"/>
    </xf>
    <xf numFmtId="0" fontId="3" fillId="7" borderId="7" xfId="0" applyFont="1" applyFill="1" applyBorder="1" applyAlignment="1">
      <alignment horizontal="center"/>
    </xf>
    <xf numFmtId="0" fontId="3" fillId="7" borderId="8" xfId="0" applyFont="1" applyFill="1" applyBorder="1" applyAlignment="1">
      <alignment horizontal="center"/>
    </xf>
    <xf numFmtId="0" fontId="3" fillId="7" borderId="9" xfId="0" applyFont="1" applyFill="1" applyBorder="1" applyAlignment="1">
      <alignment horizontal="center"/>
    </xf>
    <xf numFmtId="0" fontId="3" fillId="3" borderId="7" xfId="0" applyFont="1" applyFill="1" applyBorder="1" applyAlignment="1">
      <alignment horizontal="center"/>
    </xf>
    <xf numFmtId="0" fontId="3" fillId="3" borderId="8" xfId="0" applyFont="1" applyFill="1" applyBorder="1" applyAlignment="1">
      <alignment horizontal="center"/>
    </xf>
    <xf numFmtId="0" fontId="3" fillId="3" borderId="9" xfId="0" applyFont="1" applyFill="1" applyBorder="1" applyAlignment="1">
      <alignment horizontal="center"/>
    </xf>
    <xf numFmtId="0" fontId="3" fillId="9" borderId="7" xfId="0" applyFont="1" applyFill="1" applyBorder="1" applyAlignment="1">
      <alignment horizontal="center"/>
    </xf>
    <xf numFmtId="0" fontId="3" fillId="9" borderId="8" xfId="0" applyFont="1" applyFill="1" applyBorder="1" applyAlignment="1">
      <alignment horizontal="center"/>
    </xf>
    <xf numFmtId="0" fontId="3" fillId="9" borderId="9" xfId="0" applyFont="1" applyFill="1" applyBorder="1" applyAlignment="1">
      <alignment horizontal="center"/>
    </xf>
    <xf numFmtId="0" fontId="3" fillId="2" borderId="7" xfId="0" applyFont="1" applyFill="1" applyBorder="1" applyAlignment="1">
      <alignment horizontal="center"/>
    </xf>
    <xf numFmtId="0" fontId="3" fillId="2" borderId="8" xfId="0" applyFont="1" applyFill="1" applyBorder="1" applyAlignment="1">
      <alignment horizontal="center"/>
    </xf>
    <xf numFmtId="0" fontId="3" fillId="2" borderId="9" xfId="0" applyFont="1" applyFill="1" applyBorder="1" applyAlignment="1">
      <alignment horizontal="center"/>
    </xf>
    <xf numFmtId="0" fontId="2" fillId="15" borderId="64" xfId="0" applyFont="1" applyFill="1" applyBorder="1" applyAlignment="1">
      <alignment horizontal="center"/>
    </xf>
    <xf numFmtId="0" fontId="2" fillId="15" borderId="65" xfId="0" applyFont="1" applyFill="1" applyBorder="1" applyAlignment="1">
      <alignment horizontal="center"/>
    </xf>
    <xf numFmtId="0" fontId="2" fillId="16" borderId="64" xfId="0" applyFont="1" applyFill="1" applyBorder="1" applyAlignment="1">
      <alignment horizontal="center"/>
    </xf>
    <xf numFmtId="0" fontId="2" fillId="16" borderId="65" xfId="0" applyFont="1" applyFill="1" applyBorder="1" applyAlignment="1">
      <alignment horizontal="center"/>
    </xf>
    <xf numFmtId="0" fontId="2" fillId="2" borderId="64" xfId="0" applyFont="1" applyFill="1" applyBorder="1" applyAlignment="1">
      <alignment horizontal="center"/>
    </xf>
    <xf numFmtId="0" fontId="2" fillId="2" borderId="65" xfId="0" applyFont="1" applyFill="1" applyBorder="1" applyAlignment="1">
      <alignment horizontal="center"/>
    </xf>
    <xf numFmtId="0" fontId="2" fillId="9" borderId="64" xfId="0" applyFont="1" applyFill="1" applyBorder="1" applyAlignment="1">
      <alignment horizontal="center"/>
    </xf>
    <xf numFmtId="0" fontId="2" fillId="9" borderId="65" xfId="0" applyFont="1" applyFill="1" applyBorder="1" applyAlignment="1">
      <alignment horizontal="center"/>
    </xf>
    <xf numFmtId="0" fontId="2" fillId="17" borderId="20" xfId="0" applyFont="1" applyFill="1" applyBorder="1" applyAlignment="1">
      <alignment horizontal="center"/>
    </xf>
    <xf numFmtId="0" fontId="2" fillId="17" borderId="2" xfId="0" applyFont="1" applyFill="1" applyBorder="1" applyAlignment="1">
      <alignment horizontal="center"/>
    </xf>
    <xf numFmtId="0" fontId="0" fillId="0" borderId="43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0" fontId="0" fillId="0" borderId="34" xfId="0" applyBorder="1" applyAlignment="1">
      <alignment horizontal="center"/>
    </xf>
    <xf numFmtId="0" fontId="0" fillId="0" borderId="36" xfId="0" applyBorder="1" applyAlignment="1">
      <alignment horizontal="center"/>
    </xf>
    <xf numFmtId="0" fontId="2" fillId="0" borderId="40" xfId="0" applyFont="1" applyBorder="1" applyAlignment="1">
      <alignment horizontal="center"/>
    </xf>
    <xf numFmtId="0" fontId="2" fillId="0" borderId="41" xfId="0" applyFont="1" applyBorder="1" applyAlignment="1">
      <alignment horizontal="center"/>
    </xf>
    <xf numFmtId="0" fontId="2" fillId="0" borderId="42" xfId="0" applyFont="1" applyBorder="1" applyAlignment="1">
      <alignment horizontal="center"/>
    </xf>
    <xf numFmtId="0" fontId="0" fillId="0" borderId="55" xfId="0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2" fillId="0" borderId="43" xfId="0" applyFont="1" applyBorder="1" applyAlignment="1">
      <alignment horizontal="center" vertical="center"/>
    </xf>
    <xf numFmtId="0" fontId="2" fillId="0" borderId="44" xfId="0" applyFont="1" applyBorder="1" applyAlignment="1">
      <alignment horizontal="center" vertical="center"/>
    </xf>
    <xf numFmtId="0" fontId="2" fillId="0" borderId="45" xfId="0" applyFont="1" applyBorder="1" applyAlignment="1">
      <alignment horizontal="center" vertical="center"/>
    </xf>
    <xf numFmtId="0" fontId="2" fillId="0" borderId="40" xfId="0" applyFont="1" applyBorder="1" applyAlignment="1">
      <alignment horizontal="center" vertical="center"/>
    </xf>
    <xf numFmtId="0" fontId="2" fillId="0" borderId="61" xfId="0" applyFont="1" applyBorder="1" applyAlignment="1">
      <alignment horizontal="center" vertical="center"/>
    </xf>
    <xf numFmtId="0" fontId="0" fillId="0" borderId="61" xfId="0" applyBorder="1" applyAlignment="1">
      <alignment horizontal="center" vertical="center"/>
    </xf>
    <xf numFmtId="0" fontId="104" fillId="0" borderId="180" xfId="0" applyFont="1" applyBorder="1" applyAlignment="1">
      <alignment horizontal="center" vertical="center" textRotation="90"/>
    </xf>
    <xf numFmtId="0" fontId="104" fillId="0" borderId="151" xfId="0" applyFont="1" applyBorder="1" applyAlignment="1">
      <alignment horizontal="center" vertical="center" textRotation="90"/>
    </xf>
    <xf numFmtId="0" fontId="104" fillId="0" borderId="46" xfId="0" applyFont="1" applyBorder="1" applyAlignment="1">
      <alignment horizontal="center" vertical="center" textRotation="90"/>
    </xf>
    <xf numFmtId="0" fontId="100" fillId="74" borderId="179" xfId="0" applyFont="1" applyFill="1" applyBorder="1" applyAlignment="1">
      <alignment horizontal="center"/>
    </xf>
    <xf numFmtId="0" fontId="100" fillId="74" borderId="149" xfId="0" applyFont="1" applyFill="1" applyBorder="1" applyAlignment="1">
      <alignment horizontal="center"/>
    </xf>
    <xf numFmtId="0" fontId="100" fillId="74" borderId="146" xfId="0" applyFont="1" applyFill="1" applyBorder="1" applyAlignment="1">
      <alignment horizontal="center"/>
    </xf>
    <xf numFmtId="0" fontId="100" fillId="74" borderId="0" xfId="0" applyFont="1" applyFill="1" applyBorder="1" applyAlignment="1">
      <alignment horizontal="center" vertical="center" wrapText="1"/>
    </xf>
    <xf numFmtId="0" fontId="100" fillId="74" borderId="148" xfId="0" applyFont="1" applyFill="1" applyBorder="1" applyAlignment="1">
      <alignment horizontal="center" vertical="center" wrapText="1"/>
    </xf>
    <xf numFmtId="0" fontId="100" fillId="74" borderId="184" xfId="0" applyFont="1" applyFill="1" applyBorder="1" applyAlignment="1">
      <alignment horizontal="center"/>
    </xf>
    <xf numFmtId="0" fontId="100" fillId="74" borderId="8" xfId="0" applyFont="1" applyFill="1" applyBorder="1" applyAlignment="1">
      <alignment horizontal="center"/>
    </xf>
    <xf numFmtId="0" fontId="100" fillId="74" borderId="185" xfId="0" applyFont="1" applyFill="1" applyBorder="1" applyAlignment="1">
      <alignment horizontal="center"/>
    </xf>
    <xf numFmtId="0" fontId="100" fillId="74" borderId="1" xfId="0" applyFont="1" applyFill="1" applyBorder="1" applyAlignment="1">
      <alignment horizontal="center" vertical="center" wrapText="1"/>
    </xf>
    <xf numFmtId="0" fontId="100" fillId="74" borderId="3" xfId="0" applyFont="1" applyFill="1" applyBorder="1" applyAlignment="1">
      <alignment horizontal="center" vertical="center" wrapText="1"/>
    </xf>
    <xf numFmtId="0" fontId="100" fillId="74" borderId="65" xfId="0" applyFont="1" applyFill="1" applyBorder="1" applyAlignment="1">
      <alignment horizontal="center" vertical="center" wrapText="1"/>
    </xf>
    <xf numFmtId="0" fontId="100" fillId="74" borderId="67" xfId="0" applyFont="1" applyFill="1" applyBorder="1" applyAlignment="1">
      <alignment horizontal="center" vertical="center" wrapText="1"/>
    </xf>
    <xf numFmtId="0" fontId="100" fillId="74" borderId="2" xfId="0" applyFont="1" applyFill="1" applyBorder="1" applyAlignment="1">
      <alignment horizontal="center" vertical="center" wrapText="1"/>
    </xf>
    <xf numFmtId="0" fontId="100" fillId="74" borderId="4" xfId="0" applyFont="1" applyFill="1" applyBorder="1" applyAlignment="1">
      <alignment horizontal="center" vertical="center" wrapText="1"/>
    </xf>
    <xf numFmtId="0" fontId="84" fillId="0" borderId="0" xfId="2564" applyFont="1" applyFill="1" applyBorder="1" applyAlignment="1">
      <alignment horizontal="center"/>
    </xf>
    <xf numFmtId="0" fontId="84" fillId="0" borderId="292" xfId="2564" applyFont="1" applyFill="1" applyBorder="1" applyAlignment="1">
      <alignment horizontal="center"/>
    </xf>
    <xf numFmtId="0" fontId="13" fillId="0" borderId="77" xfId="2564" applyFont="1" applyBorder="1" applyAlignment="1">
      <alignment horizontal="center"/>
    </xf>
    <xf numFmtId="0" fontId="13" fillId="0" borderId="78" xfId="2564" applyFont="1" applyBorder="1" applyAlignment="1">
      <alignment horizontal="center"/>
    </xf>
    <xf numFmtId="0" fontId="13" fillId="0" borderId="79" xfId="2564" applyFont="1" applyBorder="1" applyAlignment="1">
      <alignment horizontal="center"/>
    </xf>
    <xf numFmtId="166" fontId="14" fillId="18" borderId="294" xfId="2564" applyNumberFormat="1" applyFont="1" applyFill="1" applyBorder="1" applyAlignment="1">
      <alignment horizontal="center"/>
    </xf>
    <xf numFmtId="166" fontId="14" fillId="18" borderId="295" xfId="2564" applyNumberFormat="1" applyFont="1" applyFill="1" applyBorder="1" applyAlignment="1">
      <alignment horizontal="center"/>
    </xf>
    <xf numFmtId="0" fontId="13" fillId="0" borderId="306" xfId="2564" applyFont="1" applyBorder="1" applyAlignment="1">
      <alignment horizontal="center"/>
    </xf>
    <xf numFmtId="0" fontId="13" fillId="0" borderId="307" xfId="2564" applyFont="1" applyBorder="1" applyAlignment="1">
      <alignment horizontal="center"/>
    </xf>
    <xf numFmtId="0" fontId="13" fillId="0" borderId="308" xfId="2564" applyFont="1" applyBorder="1" applyAlignment="1">
      <alignment horizontal="center"/>
    </xf>
    <xf numFmtId="0" fontId="11" fillId="18" borderId="44" xfId="0" applyFont="1" applyFill="1" applyBorder="1" applyAlignment="1">
      <alignment horizontal="center"/>
    </xf>
    <xf numFmtId="0" fontId="13" fillId="0" borderId="77" xfId="3" applyFont="1" applyBorder="1" applyAlignment="1">
      <alignment horizontal="center"/>
    </xf>
    <xf numFmtId="0" fontId="13" fillId="0" borderId="78" xfId="3" applyFont="1" applyBorder="1" applyAlignment="1">
      <alignment horizontal="center"/>
    </xf>
    <xf numFmtId="0" fontId="13" fillId="0" borderId="79" xfId="3" applyFont="1" applyBorder="1" applyAlignment="1">
      <alignment horizontal="center"/>
    </xf>
    <xf numFmtId="166" fontId="14" fillId="18" borderId="81" xfId="3" applyNumberFormat="1" applyFont="1" applyFill="1" applyBorder="1" applyAlignment="1">
      <alignment horizontal="center"/>
    </xf>
    <xf numFmtId="166" fontId="14" fillId="18" borderId="82" xfId="3" applyNumberFormat="1" applyFont="1" applyFill="1" applyBorder="1" applyAlignment="1">
      <alignment horizontal="center"/>
    </xf>
    <xf numFmtId="0" fontId="13" fillId="0" borderId="77" xfId="3" applyFont="1" applyBorder="1" applyAlignment="1">
      <alignment horizontal="center" vertical="center"/>
    </xf>
    <xf numFmtId="0" fontId="13" fillId="0" borderId="78" xfId="3" applyFont="1" applyBorder="1" applyAlignment="1">
      <alignment horizontal="center" vertical="center"/>
    </xf>
    <xf numFmtId="0" fontId="13" fillId="0" borderId="79" xfId="3" applyFont="1" applyBorder="1" applyAlignment="1">
      <alignment horizontal="center" vertical="center"/>
    </xf>
    <xf numFmtId="0" fontId="14" fillId="0" borderId="150" xfId="4" applyFont="1" applyBorder="1" applyAlignment="1">
      <alignment horizontal="left"/>
    </xf>
    <xf numFmtId="0" fontId="15" fillId="0" borderId="0" xfId="4" applyFont="1" applyBorder="1" applyAlignment="1">
      <alignment horizontal="center"/>
    </xf>
    <xf numFmtId="0" fontId="15" fillId="0" borderId="150" xfId="4" applyFont="1" applyBorder="1" applyAlignment="1"/>
    <xf numFmtId="0" fontId="6" fillId="0" borderId="150" xfId="4" applyBorder="1" applyAlignment="1"/>
    <xf numFmtId="0" fontId="110" fillId="79" borderId="198" xfId="0" applyFont="1" applyFill="1" applyBorder="1" applyAlignment="1">
      <alignment horizontal="center" vertical="top" wrapText="1"/>
    </xf>
    <xf numFmtId="0" fontId="110" fillId="79" borderId="199" xfId="0" applyFont="1" applyFill="1" applyBorder="1" applyAlignment="1">
      <alignment horizontal="center" vertical="top" wrapText="1"/>
    </xf>
    <xf numFmtId="0" fontId="109" fillId="0" borderId="0" xfId="0" applyFont="1" applyAlignment="1">
      <alignment horizontal="center" vertical="center"/>
    </xf>
    <xf numFmtId="0" fontId="0" fillId="0" borderId="196" xfId="0" applyBorder="1" applyAlignment="1">
      <alignment horizontal="center" vertical="center" wrapText="1"/>
    </xf>
    <xf numFmtId="0" fontId="0" fillId="0" borderId="196" xfId="0" applyBorder="1" applyAlignment="1">
      <alignment horizontal="center" vertical="center"/>
    </xf>
    <xf numFmtId="0" fontId="109" fillId="0" borderId="0" xfId="0" applyFont="1" applyAlignment="1">
      <alignment horizontal="center" vertical="center" wrapText="1"/>
    </xf>
    <xf numFmtId="0" fontId="14" fillId="0" borderId="0" xfId="0" applyFont="1" applyAlignment="1">
      <alignment horizontal="center"/>
    </xf>
    <xf numFmtId="0" fontId="14" fillId="0" borderId="148" xfId="0" applyFont="1" applyBorder="1" applyAlignment="1">
      <alignment horizontal="center"/>
    </xf>
    <xf numFmtId="0" fontId="15" fillId="0" borderId="148" xfId="0" applyFont="1" applyBorder="1" applyAlignment="1">
      <alignment horizontal="center"/>
    </xf>
    <xf numFmtId="0" fontId="39" fillId="6" borderId="263" xfId="4" applyFont="1" applyFill="1" applyBorder="1" applyAlignment="1">
      <alignment horizontal="center"/>
    </xf>
    <xf numFmtId="0" fontId="39" fillId="6" borderId="150" xfId="4" applyFont="1" applyFill="1" applyBorder="1" applyAlignment="1">
      <alignment horizontal="center"/>
    </xf>
    <xf numFmtId="0" fontId="39" fillId="6" borderId="70" xfId="4" applyFont="1" applyFill="1" applyBorder="1" applyAlignment="1">
      <alignment horizontal="center"/>
    </xf>
    <xf numFmtId="0" fontId="39" fillId="6" borderId="71" xfId="4" applyFont="1" applyFill="1" applyBorder="1" applyAlignment="1">
      <alignment horizontal="center"/>
    </xf>
    <xf numFmtId="0" fontId="39" fillId="6" borderId="3" xfId="4" applyFont="1" applyFill="1" applyBorder="1" applyAlignment="1">
      <alignment horizontal="center"/>
    </xf>
    <xf numFmtId="0" fontId="39" fillId="6" borderId="0" xfId="4" applyFont="1" applyFill="1" applyBorder="1" applyAlignment="1">
      <alignment horizontal="center"/>
    </xf>
    <xf numFmtId="0" fontId="39" fillId="6" borderId="238" xfId="4" applyFont="1" applyFill="1" applyBorder="1" applyAlignment="1">
      <alignment horizontal="center"/>
    </xf>
    <xf numFmtId="0" fontId="39" fillId="6" borderId="268" xfId="4" applyFont="1" applyFill="1" applyBorder="1" applyAlignment="1">
      <alignment horizontal="center"/>
    </xf>
    <xf numFmtId="0" fontId="2" fillId="6" borderId="191" xfId="0" applyFont="1" applyFill="1" applyBorder="1" applyAlignment="1">
      <alignment horizontal="center" vertical="center" wrapText="1"/>
    </xf>
    <xf numFmtId="0" fontId="2" fillId="6" borderId="192" xfId="0" applyFont="1" applyFill="1" applyBorder="1" applyAlignment="1">
      <alignment horizontal="center" vertical="center" wrapText="1"/>
    </xf>
    <xf numFmtId="0" fontId="15" fillId="0" borderId="155" xfId="58" applyFont="1" applyBorder="1" applyAlignment="1">
      <alignment horizontal="left"/>
    </xf>
    <xf numFmtId="0" fontId="14" fillId="0" borderId="148" xfId="58" applyFont="1" applyBorder="1" applyAlignment="1">
      <alignment horizontal="center"/>
    </xf>
    <xf numFmtId="9" fontId="106" fillId="4" borderId="0" xfId="2" applyFont="1" applyFill="1" applyAlignment="1">
      <alignment horizontal="center" vertical="center"/>
    </xf>
  </cellXfs>
  <cellStyles count="41328">
    <cellStyle name="???????" xfId="38091" xr:uid="{00000000-0005-0000-0000-000000000000}"/>
    <cellStyle name="20 % - Accent1" xfId="5" xr:uid="{00000000-0005-0000-0000-000000000000}"/>
    <cellStyle name="20 % - Accent2" xfId="6" xr:uid="{00000000-0005-0000-0000-000001000000}"/>
    <cellStyle name="20 % - Accent3" xfId="7" xr:uid="{00000000-0005-0000-0000-000002000000}"/>
    <cellStyle name="20 % - Accent4" xfId="8" xr:uid="{00000000-0005-0000-0000-000003000000}"/>
    <cellStyle name="20 % - Accent5" xfId="9" xr:uid="{00000000-0005-0000-0000-000004000000}"/>
    <cellStyle name="20 % - Accent6" xfId="10" xr:uid="{00000000-0005-0000-0000-000005000000}"/>
    <cellStyle name="20% - 1. jelölőszín" xfId="62" xr:uid="{00000000-0005-0000-0000-000006000000}"/>
    <cellStyle name="20% - 2. jelölőszín" xfId="63" xr:uid="{00000000-0005-0000-0000-000007000000}"/>
    <cellStyle name="20% - 3. jelölőszín" xfId="64" xr:uid="{00000000-0005-0000-0000-000008000000}"/>
    <cellStyle name="20% - 4. jelölőszín" xfId="65" xr:uid="{00000000-0005-0000-0000-000009000000}"/>
    <cellStyle name="20% - 5. jelölőszín" xfId="66" xr:uid="{00000000-0005-0000-0000-00000A000000}"/>
    <cellStyle name="20% - 6. jelölőszín" xfId="67" xr:uid="{00000000-0005-0000-0000-00000B000000}"/>
    <cellStyle name="20% - Accent1 10" xfId="110" xr:uid="{00000000-0005-0000-0000-00000C000000}"/>
    <cellStyle name="20% - Accent1 10 2" xfId="8993" xr:uid="{00000000-0005-0000-0000-00000D000000}"/>
    <cellStyle name="20% - Accent1 11" xfId="38092" xr:uid="{00000000-0005-0000-0000-000003000000}"/>
    <cellStyle name="20% - Accent1 11 2" xfId="38093" xr:uid="{00000000-0005-0000-0000-000004000000}"/>
    <cellStyle name="20% - Accent1 12" xfId="38094" xr:uid="{00000000-0005-0000-0000-000005000000}"/>
    <cellStyle name="20% - Accent1 13" xfId="38095" xr:uid="{00000000-0005-0000-0000-000006000000}"/>
    <cellStyle name="20% - Accent1 14" xfId="38096" xr:uid="{00000000-0005-0000-0000-000007000000}"/>
    <cellStyle name="20% - Accent1 15" xfId="38097" xr:uid="{00000000-0005-0000-0000-000008000000}"/>
    <cellStyle name="20% - Accent1 16" xfId="38098" xr:uid="{00000000-0005-0000-0000-000009000000}"/>
    <cellStyle name="20% - Accent1 17" xfId="38099" xr:uid="{00000000-0005-0000-0000-00000A000000}"/>
    <cellStyle name="20% - Accent1 18" xfId="38100" xr:uid="{00000000-0005-0000-0000-00000B000000}"/>
    <cellStyle name="20% - Accent1 19" xfId="38101" xr:uid="{00000000-0005-0000-0000-00000C000000}"/>
    <cellStyle name="20% - Accent1 2" xfId="111" xr:uid="{00000000-0005-0000-0000-00000E000000}"/>
    <cellStyle name="20% - Accent1 2 10" xfId="112" xr:uid="{00000000-0005-0000-0000-00000F000000}"/>
    <cellStyle name="20% - Accent1 2 10 2" xfId="8994" xr:uid="{00000000-0005-0000-0000-000010000000}"/>
    <cellStyle name="20% - Accent1 2 10 3" xfId="12026" xr:uid="{00000000-0005-0000-0000-000011000000}"/>
    <cellStyle name="20% - Accent1 2 11" xfId="113" xr:uid="{00000000-0005-0000-0000-000012000000}"/>
    <cellStyle name="20% - Accent1 2 11 2" xfId="8995" xr:uid="{00000000-0005-0000-0000-000013000000}"/>
    <cellStyle name="20% - Accent1 2 11 3" xfId="12027" xr:uid="{00000000-0005-0000-0000-000014000000}"/>
    <cellStyle name="20% - Accent1 2 12" xfId="8996" xr:uid="{00000000-0005-0000-0000-000015000000}"/>
    <cellStyle name="20% - Accent1 2 12 2" xfId="8997" xr:uid="{00000000-0005-0000-0000-000016000000}"/>
    <cellStyle name="20% - Accent1 2 12 3" xfId="12028" xr:uid="{00000000-0005-0000-0000-000017000000}"/>
    <cellStyle name="20% - Accent1 2 13" xfId="8998" xr:uid="{00000000-0005-0000-0000-000018000000}"/>
    <cellStyle name="20% - Accent1 2 13 2" xfId="12029" xr:uid="{00000000-0005-0000-0000-000019000000}"/>
    <cellStyle name="20% - Accent1 2 14" xfId="12030" xr:uid="{00000000-0005-0000-0000-00001A000000}"/>
    <cellStyle name="20% - Accent1 2 15" xfId="12031" xr:uid="{00000000-0005-0000-0000-00001B000000}"/>
    <cellStyle name="20% - Accent1 2 16" xfId="38102" xr:uid="{00000000-0005-0000-0000-000014000000}"/>
    <cellStyle name="20% - Accent1 2 2" xfId="114" xr:uid="{00000000-0005-0000-0000-00001C000000}"/>
    <cellStyle name="20% - Accent1 2 2 2" xfId="8999" xr:uid="{00000000-0005-0000-0000-00001D000000}"/>
    <cellStyle name="20% - Accent1 2 2 3" xfId="12032" xr:uid="{00000000-0005-0000-0000-00001E000000}"/>
    <cellStyle name="20% - Accent1 2 3" xfId="115" xr:uid="{00000000-0005-0000-0000-00001F000000}"/>
    <cellStyle name="20% - Accent1 2 3 2" xfId="9000" xr:uid="{00000000-0005-0000-0000-000020000000}"/>
    <cellStyle name="20% - Accent1 2 3 3" xfId="12033" xr:uid="{00000000-0005-0000-0000-000021000000}"/>
    <cellStyle name="20% - Accent1 2 4" xfId="116" xr:uid="{00000000-0005-0000-0000-000022000000}"/>
    <cellStyle name="20% - Accent1 2 4 2" xfId="9001" xr:uid="{00000000-0005-0000-0000-000023000000}"/>
    <cellStyle name="20% - Accent1 2 4 3" xfId="12034" xr:uid="{00000000-0005-0000-0000-000024000000}"/>
    <cellStyle name="20% - Accent1 2 5" xfId="117" xr:uid="{00000000-0005-0000-0000-000025000000}"/>
    <cellStyle name="20% - Accent1 2 5 2" xfId="9002" xr:uid="{00000000-0005-0000-0000-000026000000}"/>
    <cellStyle name="20% - Accent1 2 5 3" xfId="12035" xr:uid="{00000000-0005-0000-0000-000027000000}"/>
    <cellStyle name="20% - Accent1 2 6" xfId="118" xr:uid="{00000000-0005-0000-0000-000028000000}"/>
    <cellStyle name="20% - Accent1 2 6 2" xfId="9003" xr:uid="{00000000-0005-0000-0000-000029000000}"/>
    <cellStyle name="20% - Accent1 2 6 3" xfId="12036" xr:uid="{00000000-0005-0000-0000-00002A000000}"/>
    <cellStyle name="20% - Accent1 2 7" xfId="119" xr:uid="{00000000-0005-0000-0000-00002B000000}"/>
    <cellStyle name="20% - Accent1 2 7 2" xfId="9004" xr:uid="{00000000-0005-0000-0000-00002C000000}"/>
    <cellStyle name="20% - Accent1 2 7 3" xfId="12037" xr:uid="{00000000-0005-0000-0000-00002D000000}"/>
    <cellStyle name="20% - Accent1 2 8" xfId="120" xr:uid="{00000000-0005-0000-0000-00002E000000}"/>
    <cellStyle name="20% - Accent1 2 8 2" xfId="9005" xr:uid="{00000000-0005-0000-0000-00002F000000}"/>
    <cellStyle name="20% - Accent1 2 8 3" xfId="12038" xr:uid="{00000000-0005-0000-0000-000030000000}"/>
    <cellStyle name="20% - Accent1 2 9" xfId="121" xr:uid="{00000000-0005-0000-0000-000031000000}"/>
    <cellStyle name="20% - Accent1 2 9 2" xfId="9006" xr:uid="{00000000-0005-0000-0000-000032000000}"/>
    <cellStyle name="20% - Accent1 2 9 3" xfId="12039" xr:uid="{00000000-0005-0000-0000-000033000000}"/>
    <cellStyle name="20% - Accent1 20" xfId="38103" xr:uid="{00000000-0005-0000-0000-00001D000000}"/>
    <cellStyle name="20% - Accent1 21" xfId="38104" xr:uid="{00000000-0005-0000-0000-00001E000000}"/>
    <cellStyle name="20% - Accent1 22" xfId="38105" xr:uid="{00000000-0005-0000-0000-00001F000000}"/>
    <cellStyle name="20% - Accent1 23" xfId="38106" xr:uid="{00000000-0005-0000-0000-000020000000}"/>
    <cellStyle name="20% - Accent1 24" xfId="38107" xr:uid="{00000000-0005-0000-0000-000021000000}"/>
    <cellStyle name="20% - Accent1 25" xfId="38108" xr:uid="{00000000-0005-0000-0000-000022000000}"/>
    <cellStyle name="20% - Accent1 26" xfId="38109" xr:uid="{00000000-0005-0000-0000-000023000000}"/>
    <cellStyle name="20% - Accent1 27" xfId="38110" xr:uid="{00000000-0005-0000-0000-000024000000}"/>
    <cellStyle name="20% - Accent1 28" xfId="38111" xr:uid="{00000000-0005-0000-0000-000025000000}"/>
    <cellStyle name="20% - Accent1 29" xfId="38112" xr:uid="{00000000-0005-0000-0000-000026000000}"/>
    <cellStyle name="20% - Accent1 3" xfId="122" xr:uid="{00000000-0005-0000-0000-000034000000}"/>
    <cellStyle name="20% - Accent1 3 10" xfId="123" xr:uid="{00000000-0005-0000-0000-000035000000}"/>
    <cellStyle name="20% - Accent1 3 10 2" xfId="9007" xr:uid="{00000000-0005-0000-0000-000036000000}"/>
    <cellStyle name="20% - Accent1 3 11" xfId="124" xr:uid="{00000000-0005-0000-0000-000037000000}"/>
    <cellStyle name="20% - Accent1 3 11 2" xfId="9008" xr:uid="{00000000-0005-0000-0000-000038000000}"/>
    <cellStyle name="20% - Accent1 3 12" xfId="9009" xr:uid="{00000000-0005-0000-0000-000039000000}"/>
    <cellStyle name="20% - Accent1 3 13" xfId="12040" xr:uid="{00000000-0005-0000-0000-00003A000000}"/>
    <cellStyle name="20% - Accent1 3 14" xfId="14136" xr:uid="{00000000-0005-0000-0000-00003B000000}"/>
    <cellStyle name="20% - Accent1 3 2" xfId="125" xr:uid="{00000000-0005-0000-0000-00003C000000}"/>
    <cellStyle name="20% - Accent1 3 2 2" xfId="9010" xr:uid="{00000000-0005-0000-0000-00003D000000}"/>
    <cellStyle name="20% - Accent1 3 2 3" xfId="38113" xr:uid="{00000000-0005-0000-0000-000028000000}"/>
    <cellStyle name="20% - Accent1 3 3" xfId="126" xr:uid="{00000000-0005-0000-0000-00003E000000}"/>
    <cellStyle name="20% - Accent1 3 3 2" xfId="9011" xr:uid="{00000000-0005-0000-0000-00003F000000}"/>
    <cellStyle name="20% - Accent1 3 4" xfId="127" xr:uid="{00000000-0005-0000-0000-000040000000}"/>
    <cellStyle name="20% - Accent1 3 4 2" xfId="9012" xr:uid="{00000000-0005-0000-0000-000041000000}"/>
    <cellStyle name="20% - Accent1 3 5" xfId="128" xr:uid="{00000000-0005-0000-0000-000042000000}"/>
    <cellStyle name="20% - Accent1 3 5 2" xfId="9013" xr:uid="{00000000-0005-0000-0000-000043000000}"/>
    <cellStyle name="20% - Accent1 3 6" xfId="129" xr:uid="{00000000-0005-0000-0000-000044000000}"/>
    <cellStyle name="20% - Accent1 3 6 2" xfId="9014" xr:uid="{00000000-0005-0000-0000-000045000000}"/>
    <cellStyle name="20% - Accent1 3 7" xfId="130" xr:uid="{00000000-0005-0000-0000-000046000000}"/>
    <cellStyle name="20% - Accent1 3 7 2" xfId="9015" xr:uid="{00000000-0005-0000-0000-000047000000}"/>
    <cellStyle name="20% - Accent1 3 8" xfId="131" xr:uid="{00000000-0005-0000-0000-000048000000}"/>
    <cellStyle name="20% - Accent1 3 8 2" xfId="9016" xr:uid="{00000000-0005-0000-0000-000049000000}"/>
    <cellStyle name="20% - Accent1 3 9" xfId="132" xr:uid="{00000000-0005-0000-0000-00004A000000}"/>
    <cellStyle name="20% - Accent1 3 9 2" xfId="9017" xr:uid="{00000000-0005-0000-0000-00004B000000}"/>
    <cellStyle name="20% - Accent1 30" xfId="38114" xr:uid="{00000000-0005-0000-0000-00002A000000}"/>
    <cellStyle name="20% - Accent1 31" xfId="38115" xr:uid="{00000000-0005-0000-0000-00002B000000}"/>
    <cellStyle name="20% - Accent1 32" xfId="38116" xr:uid="{00000000-0005-0000-0000-00002C000000}"/>
    <cellStyle name="20% - Accent1 33" xfId="38117" xr:uid="{00000000-0005-0000-0000-00002D000000}"/>
    <cellStyle name="20% - Accent1 34" xfId="38118" xr:uid="{00000000-0005-0000-0000-00002E000000}"/>
    <cellStyle name="20% - Accent1 35" xfId="38119" xr:uid="{00000000-0005-0000-0000-00002F000000}"/>
    <cellStyle name="20% - Accent1 36" xfId="38120" xr:uid="{00000000-0005-0000-0000-000030000000}"/>
    <cellStyle name="20% - Accent1 37" xfId="38121" xr:uid="{00000000-0005-0000-0000-000031000000}"/>
    <cellStyle name="20% - Accent1 38" xfId="38122" xr:uid="{00000000-0005-0000-0000-000032000000}"/>
    <cellStyle name="20% - Accent1 39" xfId="38123" xr:uid="{00000000-0005-0000-0000-000033000000}"/>
    <cellStyle name="20% - Accent1 4" xfId="133" xr:uid="{00000000-0005-0000-0000-00004C000000}"/>
    <cellStyle name="20% - Accent1 4 10" xfId="134" xr:uid="{00000000-0005-0000-0000-00004D000000}"/>
    <cellStyle name="20% - Accent1 4 10 2" xfId="9018" xr:uid="{00000000-0005-0000-0000-00004E000000}"/>
    <cellStyle name="20% - Accent1 4 11" xfId="135" xr:uid="{00000000-0005-0000-0000-00004F000000}"/>
    <cellStyle name="20% - Accent1 4 11 2" xfId="9019" xr:uid="{00000000-0005-0000-0000-000050000000}"/>
    <cellStyle name="20% - Accent1 4 12" xfId="9020" xr:uid="{00000000-0005-0000-0000-000051000000}"/>
    <cellStyle name="20% - Accent1 4 13" xfId="12041" xr:uid="{00000000-0005-0000-0000-000052000000}"/>
    <cellStyle name="20% - Accent1 4 2" xfId="136" xr:uid="{00000000-0005-0000-0000-000053000000}"/>
    <cellStyle name="20% - Accent1 4 2 2" xfId="9021" xr:uid="{00000000-0005-0000-0000-000054000000}"/>
    <cellStyle name="20% - Accent1 4 2 3" xfId="38124" xr:uid="{00000000-0005-0000-0000-000035000000}"/>
    <cellStyle name="20% - Accent1 4 3" xfId="137" xr:uid="{00000000-0005-0000-0000-000055000000}"/>
    <cellStyle name="20% - Accent1 4 3 2" xfId="9022" xr:uid="{00000000-0005-0000-0000-000056000000}"/>
    <cellStyle name="20% - Accent1 4 4" xfId="138" xr:uid="{00000000-0005-0000-0000-000057000000}"/>
    <cellStyle name="20% - Accent1 4 4 2" xfId="9023" xr:uid="{00000000-0005-0000-0000-000058000000}"/>
    <cellStyle name="20% - Accent1 4 5" xfId="139" xr:uid="{00000000-0005-0000-0000-000059000000}"/>
    <cellStyle name="20% - Accent1 4 5 2" xfId="9024" xr:uid="{00000000-0005-0000-0000-00005A000000}"/>
    <cellStyle name="20% - Accent1 4 6" xfId="140" xr:uid="{00000000-0005-0000-0000-00005B000000}"/>
    <cellStyle name="20% - Accent1 4 6 2" xfId="9025" xr:uid="{00000000-0005-0000-0000-00005C000000}"/>
    <cellStyle name="20% - Accent1 4 7" xfId="141" xr:uid="{00000000-0005-0000-0000-00005D000000}"/>
    <cellStyle name="20% - Accent1 4 7 2" xfId="9026" xr:uid="{00000000-0005-0000-0000-00005E000000}"/>
    <cellStyle name="20% - Accent1 4 8" xfId="142" xr:uid="{00000000-0005-0000-0000-00005F000000}"/>
    <cellStyle name="20% - Accent1 4 8 2" xfId="9027" xr:uid="{00000000-0005-0000-0000-000060000000}"/>
    <cellStyle name="20% - Accent1 4 9" xfId="143" xr:uid="{00000000-0005-0000-0000-000061000000}"/>
    <cellStyle name="20% - Accent1 4 9 2" xfId="9028" xr:uid="{00000000-0005-0000-0000-000062000000}"/>
    <cellStyle name="20% - Accent1 40" xfId="38125" xr:uid="{00000000-0005-0000-0000-000037000000}"/>
    <cellStyle name="20% - Accent1 41" xfId="38126" xr:uid="{00000000-0005-0000-0000-000038000000}"/>
    <cellStyle name="20% - Accent1 42" xfId="38127" xr:uid="{00000000-0005-0000-0000-000039000000}"/>
    <cellStyle name="20% - Accent1 43" xfId="38128" xr:uid="{00000000-0005-0000-0000-00003A000000}"/>
    <cellStyle name="20% - Accent1 5" xfId="144" xr:uid="{00000000-0005-0000-0000-000063000000}"/>
    <cellStyle name="20% - Accent1 5 10" xfId="145" xr:uid="{00000000-0005-0000-0000-000064000000}"/>
    <cellStyle name="20% - Accent1 5 10 2" xfId="9029" xr:uid="{00000000-0005-0000-0000-000065000000}"/>
    <cellStyle name="20% - Accent1 5 11" xfId="146" xr:uid="{00000000-0005-0000-0000-000066000000}"/>
    <cellStyle name="20% - Accent1 5 11 2" xfId="9030" xr:uid="{00000000-0005-0000-0000-000067000000}"/>
    <cellStyle name="20% - Accent1 5 12" xfId="9031" xr:uid="{00000000-0005-0000-0000-000068000000}"/>
    <cellStyle name="20% - Accent1 5 13" xfId="12042" xr:uid="{00000000-0005-0000-0000-000069000000}"/>
    <cellStyle name="20% - Accent1 5 2" xfId="147" xr:uid="{00000000-0005-0000-0000-00006A000000}"/>
    <cellStyle name="20% - Accent1 5 2 2" xfId="9032" xr:uid="{00000000-0005-0000-0000-00006B000000}"/>
    <cellStyle name="20% - Accent1 5 2 3" xfId="38129" xr:uid="{00000000-0005-0000-0000-00003C000000}"/>
    <cellStyle name="20% - Accent1 5 3" xfId="148" xr:uid="{00000000-0005-0000-0000-00006C000000}"/>
    <cellStyle name="20% - Accent1 5 3 2" xfId="9033" xr:uid="{00000000-0005-0000-0000-00006D000000}"/>
    <cellStyle name="20% - Accent1 5 4" xfId="149" xr:uid="{00000000-0005-0000-0000-00006E000000}"/>
    <cellStyle name="20% - Accent1 5 4 2" xfId="9034" xr:uid="{00000000-0005-0000-0000-00006F000000}"/>
    <cellStyle name="20% - Accent1 5 5" xfId="150" xr:uid="{00000000-0005-0000-0000-000070000000}"/>
    <cellStyle name="20% - Accent1 5 5 2" xfId="9035" xr:uid="{00000000-0005-0000-0000-000071000000}"/>
    <cellStyle name="20% - Accent1 5 6" xfId="151" xr:uid="{00000000-0005-0000-0000-000072000000}"/>
    <cellStyle name="20% - Accent1 5 6 2" xfId="9036" xr:uid="{00000000-0005-0000-0000-000073000000}"/>
    <cellStyle name="20% - Accent1 5 7" xfId="152" xr:uid="{00000000-0005-0000-0000-000074000000}"/>
    <cellStyle name="20% - Accent1 5 7 2" xfId="9037" xr:uid="{00000000-0005-0000-0000-000075000000}"/>
    <cellStyle name="20% - Accent1 5 8" xfId="153" xr:uid="{00000000-0005-0000-0000-000076000000}"/>
    <cellStyle name="20% - Accent1 5 8 2" xfId="9038" xr:uid="{00000000-0005-0000-0000-000077000000}"/>
    <cellStyle name="20% - Accent1 5 9" xfId="154" xr:uid="{00000000-0005-0000-0000-000078000000}"/>
    <cellStyle name="20% - Accent1 5 9 2" xfId="9039" xr:uid="{00000000-0005-0000-0000-000079000000}"/>
    <cellStyle name="20% - Accent1 6" xfId="155" xr:uid="{00000000-0005-0000-0000-00007A000000}"/>
    <cellStyle name="20% - Accent1 6 10" xfId="156" xr:uid="{00000000-0005-0000-0000-00007B000000}"/>
    <cellStyle name="20% - Accent1 6 10 2" xfId="9040" xr:uid="{00000000-0005-0000-0000-00007C000000}"/>
    <cellStyle name="20% - Accent1 6 11" xfId="157" xr:uid="{00000000-0005-0000-0000-00007D000000}"/>
    <cellStyle name="20% - Accent1 6 11 2" xfId="9041" xr:uid="{00000000-0005-0000-0000-00007E000000}"/>
    <cellStyle name="20% - Accent1 6 12" xfId="9042" xr:uid="{00000000-0005-0000-0000-00007F000000}"/>
    <cellStyle name="20% - Accent1 6 13" xfId="12043" xr:uid="{00000000-0005-0000-0000-000080000000}"/>
    <cellStyle name="20% - Accent1 6 2" xfId="158" xr:uid="{00000000-0005-0000-0000-000081000000}"/>
    <cellStyle name="20% - Accent1 6 2 2" xfId="9043" xr:uid="{00000000-0005-0000-0000-000082000000}"/>
    <cellStyle name="20% - Accent1 6 2 3" xfId="38130" xr:uid="{00000000-0005-0000-0000-00003F000000}"/>
    <cellStyle name="20% - Accent1 6 3" xfId="159" xr:uid="{00000000-0005-0000-0000-000083000000}"/>
    <cellStyle name="20% - Accent1 6 3 2" xfId="9044" xr:uid="{00000000-0005-0000-0000-000084000000}"/>
    <cellStyle name="20% - Accent1 6 4" xfId="160" xr:uid="{00000000-0005-0000-0000-000085000000}"/>
    <cellStyle name="20% - Accent1 6 4 2" xfId="9045" xr:uid="{00000000-0005-0000-0000-000086000000}"/>
    <cellStyle name="20% - Accent1 6 5" xfId="161" xr:uid="{00000000-0005-0000-0000-000087000000}"/>
    <cellStyle name="20% - Accent1 6 5 2" xfId="9046" xr:uid="{00000000-0005-0000-0000-000088000000}"/>
    <cellStyle name="20% - Accent1 6 6" xfId="162" xr:uid="{00000000-0005-0000-0000-000089000000}"/>
    <cellStyle name="20% - Accent1 6 6 2" xfId="9047" xr:uid="{00000000-0005-0000-0000-00008A000000}"/>
    <cellStyle name="20% - Accent1 6 7" xfId="163" xr:uid="{00000000-0005-0000-0000-00008B000000}"/>
    <cellStyle name="20% - Accent1 6 7 2" xfId="9048" xr:uid="{00000000-0005-0000-0000-00008C000000}"/>
    <cellStyle name="20% - Accent1 6 8" xfId="164" xr:uid="{00000000-0005-0000-0000-00008D000000}"/>
    <cellStyle name="20% - Accent1 6 8 2" xfId="9049" xr:uid="{00000000-0005-0000-0000-00008E000000}"/>
    <cellStyle name="20% - Accent1 6 9" xfId="165" xr:uid="{00000000-0005-0000-0000-00008F000000}"/>
    <cellStyle name="20% - Accent1 6 9 2" xfId="9050" xr:uid="{00000000-0005-0000-0000-000090000000}"/>
    <cellStyle name="20% - Accent1 7" xfId="166" xr:uid="{00000000-0005-0000-0000-000091000000}"/>
    <cellStyle name="20% - Accent1 7 2" xfId="9051" xr:uid="{00000000-0005-0000-0000-000092000000}"/>
    <cellStyle name="20% - Accent1 7 2 2" xfId="38132" xr:uid="{00000000-0005-0000-0000-000042000000}"/>
    <cellStyle name="20% - Accent1 7 3" xfId="12044" xr:uid="{00000000-0005-0000-0000-000093000000}"/>
    <cellStyle name="20% - Accent1 7 3 2" xfId="38131" xr:uid="{00000000-0005-0000-0000-000043000000}"/>
    <cellStyle name="20% - Accent1 8" xfId="167" xr:uid="{00000000-0005-0000-0000-000094000000}"/>
    <cellStyle name="20% - Accent1 8 2" xfId="9052" xr:uid="{00000000-0005-0000-0000-000095000000}"/>
    <cellStyle name="20% - Accent1 8 2 2" xfId="38134" xr:uid="{00000000-0005-0000-0000-000045000000}"/>
    <cellStyle name="20% - Accent1 8 3" xfId="12045" xr:uid="{00000000-0005-0000-0000-000096000000}"/>
    <cellStyle name="20% - Accent1 8 3 2" xfId="38133" xr:uid="{00000000-0005-0000-0000-000046000000}"/>
    <cellStyle name="20% - Accent1 9" xfId="168" xr:uid="{00000000-0005-0000-0000-000097000000}"/>
    <cellStyle name="20% - Accent1 9 2" xfId="9053" xr:uid="{00000000-0005-0000-0000-000098000000}"/>
    <cellStyle name="20% - Accent2 10" xfId="169" xr:uid="{00000000-0005-0000-0000-000099000000}"/>
    <cellStyle name="20% - Accent2 10 2" xfId="9054" xr:uid="{00000000-0005-0000-0000-00009A000000}"/>
    <cellStyle name="20% - Accent2 11" xfId="38135" xr:uid="{00000000-0005-0000-0000-00004B000000}"/>
    <cellStyle name="20% - Accent2 11 2" xfId="38136" xr:uid="{00000000-0005-0000-0000-00004C000000}"/>
    <cellStyle name="20% - Accent2 12" xfId="38137" xr:uid="{00000000-0005-0000-0000-00004D000000}"/>
    <cellStyle name="20% - Accent2 13" xfId="38138" xr:uid="{00000000-0005-0000-0000-00004E000000}"/>
    <cellStyle name="20% - Accent2 14" xfId="38139" xr:uid="{00000000-0005-0000-0000-00004F000000}"/>
    <cellStyle name="20% - Accent2 15" xfId="38140" xr:uid="{00000000-0005-0000-0000-000050000000}"/>
    <cellStyle name="20% - Accent2 16" xfId="38141" xr:uid="{00000000-0005-0000-0000-000051000000}"/>
    <cellStyle name="20% - Accent2 17" xfId="38142" xr:uid="{00000000-0005-0000-0000-000052000000}"/>
    <cellStyle name="20% - Accent2 18" xfId="38143" xr:uid="{00000000-0005-0000-0000-000053000000}"/>
    <cellStyle name="20% - Accent2 19" xfId="38144" xr:uid="{00000000-0005-0000-0000-000054000000}"/>
    <cellStyle name="20% - Accent2 2" xfId="170" xr:uid="{00000000-0005-0000-0000-00009B000000}"/>
    <cellStyle name="20% - Accent2 2 10" xfId="171" xr:uid="{00000000-0005-0000-0000-00009C000000}"/>
    <cellStyle name="20% - Accent2 2 10 2" xfId="9055" xr:uid="{00000000-0005-0000-0000-00009D000000}"/>
    <cellStyle name="20% - Accent2 2 10 3" xfId="12046" xr:uid="{00000000-0005-0000-0000-00009E000000}"/>
    <cellStyle name="20% - Accent2 2 11" xfId="172" xr:uid="{00000000-0005-0000-0000-00009F000000}"/>
    <cellStyle name="20% - Accent2 2 11 2" xfId="9056" xr:uid="{00000000-0005-0000-0000-0000A0000000}"/>
    <cellStyle name="20% - Accent2 2 11 3" xfId="12047" xr:uid="{00000000-0005-0000-0000-0000A1000000}"/>
    <cellStyle name="20% - Accent2 2 12" xfId="9057" xr:uid="{00000000-0005-0000-0000-0000A2000000}"/>
    <cellStyle name="20% - Accent2 2 12 2" xfId="9058" xr:uid="{00000000-0005-0000-0000-0000A3000000}"/>
    <cellStyle name="20% - Accent2 2 12 3" xfId="12048" xr:uid="{00000000-0005-0000-0000-0000A4000000}"/>
    <cellStyle name="20% - Accent2 2 13" xfId="9059" xr:uid="{00000000-0005-0000-0000-0000A5000000}"/>
    <cellStyle name="20% - Accent2 2 13 2" xfId="12049" xr:uid="{00000000-0005-0000-0000-0000A6000000}"/>
    <cellStyle name="20% - Accent2 2 14" xfId="12050" xr:uid="{00000000-0005-0000-0000-0000A7000000}"/>
    <cellStyle name="20% - Accent2 2 15" xfId="12051" xr:uid="{00000000-0005-0000-0000-0000A8000000}"/>
    <cellStyle name="20% - Accent2 2 16" xfId="38145" xr:uid="{00000000-0005-0000-0000-00005C000000}"/>
    <cellStyle name="20% - Accent2 2 2" xfId="173" xr:uid="{00000000-0005-0000-0000-0000A9000000}"/>
    <cellStyle name="20% - Accent2 2 2 2" xfId="9060" xr:uid="{00000000-0005-0000-0000-0000AA000000}"/>
    <cellStyle name="20% - Accent2 2 2 3" xfId="12052" xr:uid="{00000000-0005-0000-0000-0000AB000000}"/>
    <cellStyle name="20% - Accent2 2 3" xfId="174" xr:uid="{00000000-0005-0000-0000-0000AC000000}"/>
    <cellStyle name="20% - Accent2 2 3 2" xfId="9061" xr:uid="{00000000-0005-0000-0000-0000AD000000}"/>
    <cellStyle name="20% - Accent2 2 3 3" xfId="12053" xr:uid="{00000000-0005-0000-0000-0000AE000000}"/>
    <cellStyle name="20% - Accent2 2 4" xfId="175" xr:uid="{00000000-0005-0000-0000-0000AF000000}"/>
    <cellStyle name="20% - Accent2 2 4 2" xfId="9062" xr:uid="{00000000-0005-0000-0000-0000B0000000}"/>
    <cellStyle name="20% - Accent2 2 4 3" xfId="12054" xr:uid="{00000000-0005-0000-0000-0000B1000000}"/>
    <cellStyle name="20% - Accent2 2 5" xfId="176" xr:uid="{00000000-0005-0000-0000-0000B2000000}"/>
    <cellStyle name="20% - Accent2 2 5 2" xfId="9063" xr:uid="{00000000-0005-0000-0000-0000B3000000}"/>
    <cellStyle name="20% - Accent2 2 5 3" xfId="12055" xr:uid="{00000000-0005-0000-0000-0000B4000000}"/>
    <cellStyle name="20% - Accent2 2 6" xfId="177" xr:uid="{00000000-0005-0000-0000-0000B5000000}"/>
    <cellStyle name="20% - Accent2 2 6 2" xfId="9064" xr:uid="{00000000-0005-0000-0000-0000B6000000}"/>
    <cellStyle name="20% - Accent2 2 6 3" xfId="12056" xr:uid="{00000000-0005-0000-0000-0000B7000000}"/>
    <cellStyle name="20% - Accent2 2 7" xfId="178" xr:uid="{00000000-0005-0000-0000-0000B8000000}"/>
    <cellStyle name="20% - Accent2 2 7 2" xfId="9065" xr:uid="{00000000-0005-0000-0000-0000B9000000}"/>
    <cellStyle name="20% - Accent2 2 7 3" xfId="12057" xr:uid="{00000000-0005-0000-0000-0000BA000000}"/>
    <cellStyle name="20% - Accent2 2 8" xfId="179" xr:uid="{00000000-0005-0000-0000-0000BB000000}"/>
    <cellStyle name="20% - Accent2 2 8 2" xfId="9066" xr:uid="{00000000-0005-0000-0000-0000BC000000}"/>
    <cellStyle name="20% - Accent2 2 8 3" xfId="12058" xr:uid="{00000000-0005-0000-0000-0000BD000000}"/>
    <cellStyle name="20% - Accent2 2 9" xfId="180" xr:uid="{00000000-0005-0000-0000-0000BE000000}"/>
    <cellStyle name="20% - Accent2 2 9 2" xfId="9067" xr:uid="{00000000-0005-0000-0000-0000BF000000}"/>
    <cellStyle name="20% - Accent2 2 9 3" xfId="12059" xr:uid="{00000000-0005-0000-0000-0000C0000000}"/>
    <cellStyle name="20% - Accent2 20" xfId="38146" xr:uid="{00000000-0005-0000-0000-000065000000}"/>
    <cellStyle name="20% - Accent2 21" xfId="38147" xr:uid="{00000000-0005-0000-0000-000066000000}"/>
    <cellStyle name="20% - Accent2 22" xfId="38148" xr:uid="{00000000-0005-0000-0000-000067000000}"/>
    <cellStyle name="20% - Accent2 23" xfId="38149" xr:uid="{00000000-0005-0000-0000-000068000000}"/>
    <cellStyle name="20% - Accent2 24" xfId="38150" xr:uid="{00000000-0005-0000-0000-000069000000}"/>
    <cellStyle name="20% - Accent2 25" xfId="38151" xr:uid="{00000000-0005-0000-0000-00006A000000}"/>
    <cellStyle name="20% - Accent2 26" xfId="38152" xr:uid="{00000000-0005-0000-0000-00006B000000}"/>
    <cellStyle name="20% - Accent2 27" xfId="38153" xr:uid="{00000000-0005-0000-0000-00006C000000}"/>
    <cellStyle name="20% - Accent2 28" xfId="38154" xr:uid="{00000000-0005-0000-0000-00006D000000}"/>
    <cellStyle name="20% - Accent2 29" xfId="38155" xr:uid="{00000000-0005-0000-0000-00006E000000}"/>
    <cellStyle name="20% - Accent2 3" xfId="181" xr:uid="{00000000-0005-0000-0000-0000C1000000}"/>
    <cellStyle name="20% - Accent2 3 10" xfId="182" xr:uid="{00000000-0005-0000-0000-0000C2000000}"/>
    <cellStyle name="20% - Accent2 3 10 2" xfId="9068" xr:uid="{00000000-0005-0000-0000-0000C3000000}"/>
    <cellStyle name="20% - Accent2 3 11" xfId="183" xr:uid="{00000000-0005-0000-0000-0000C4000000}"/>
    <cellStyle name="20% - Accent2 3 11 2" xfId="9069" xr:uid="{00000000-0005-0000-0000-0000C5000000}"/>
    <cellStyle name="20% - Accent2 3 12" xfId="9070" xr:uid="{00000000-0005-0000-0000-0000C6000000}"/>
    <cellStyle name="20% - Accent2 3 13" xfId="12060" xr:uid="{00000000-0005-0000-0000-0000C7000000}"/>
    <cellStyle name="20% - Accent2 3 14" xfId="14137" xr:uid="{00000000-0005-0000-0000-0000C8000000}"/>
    <cellStyle name="20% - Accent2 3 2" xfId="184" xr:uid="{00000000-0005-0000-0000-0000C9000000}"/>
    <cellStyle name="20% - Accent2 3 2 2" xfId="9071" xr:uid="{00000000-0005-0000-0000-0000CA000000}"/>
    <cellStyle name="20% - Accent2 3 2 3" xfId="38156" xr:uid="{00000000-0005-0000-0000-000070000000}"/>
    <cellStyle name="20% - Accent2 3 3" xfId="185" xr:uid="{00000000-0005-0000-0000-0000CB000000}"/>
    <cellStyle name="20% - Accent2 3 3 2" xfId="9072" xr:uid="{00000000-0005-0000-0000-0000CC000000}"/>
    <cellStyle name="20% - Accent2 3 4" xfId="186" xr:uid="{00000000-0005-0000-0000-0000CD000000}"/>
    <cellStyle name="20% - Accent2 3 4 2" xfId="9073" xr:uid="{00000000-0005-0000-0000-0000CE000000}"/>
    <cellStyle name="20% - Accent2 3 5" xfId="187" xr:uid="{00000000-0005-0000-0000-0000CF000000}"/>
    <cellStyle name="20% - Accent2 3 5 2" xfId="9074" xr:uid="{00000000-0005-0000-0000-0000D0000000}"/>
    <cellStyle name="20% - Accent2 3 6" xfId="188" xr:uid="{00000000-0005-0000-0000-0000D1000000}"/>
    <cellStyle name="20% - Accent2 3 6 2" xfId="9075" xr:uid="{00000000-0005-0000-0000-0000D2000000}"/>
    <cellStyle name="20% - Accent2 3 7" xfId="189" xr:uid="{00000000-0005-0000-0000-0000D3000000}"/>
    <cellStyle name="20% - Accent2 3 7 2" xfId="9076" xr:uid="{00000000-0005-0000-0000-0000D4000000}"/>
    <cellStyle name="20% - Accent2 3 8" xfId="190" xr:uid="{00000000-0005-0000-0000-0000D5000000}"/>
    <cellStyle name="20% - Accent2 3 8 2" xfId="9077" xr:uid="{00000000-0005-0000-0000-0000D6000000}"/>
    <cellStyle name="20% - Accent2 3 9" xfId="191" xr:uid="{00000000-0005-0000-0000-0000D7000000}"/>
    <cellStyle name="20% - Accent2 3 9 2" xfId="9078" xr:uid="{00000000-0005-0000-0000-0000D8000000}"/>
    <cellStyle name="20% - Accent2 30" xfId="38157" xr:uid="{00000000-0005-0000-0000-000072000000}"/>
    <cellStyle name="20% - Accent2 31" xfId="38158" xr:uid="{00000000-0005-0000-0000-000073000000}"/>
    <cellStyle name="20% - Accent2 32" xfId="38159" xr:uid="{00000000-0005-0000-0000-000074000000}"/>
    <cellStyle name="20% - Accent2 33" xfId="38160" xr:uid="{00000000-0005-0000-0000-000075000000}"/>
    <cellStyle name="20% - Accent2 34" xfId="38161" xr:uid="{00000000-0005-0000-0000-000076000000}"/>
    <cellStyle name="20% - Accent2 35" xfId="38162" xr:uid="{00000000-0005-0000-0000-000077000000}"/>
    <cellStyle name="20% - Accent2 36" xfId="38163" xr:uid="{00000000-0005-0000-0000-000078000000}"/>
    <cellStyle name="20% - Accent2 37" xfId="38164" xr:uid="{00000000-0005-0000-0000-000079000000}"/>
    <cellStyle name="20% - Accent2 38" xfId="38165" xr:uid="{00000000-0005-0000-0000-00007A000000}"/>
    <cellStyle name="20% - Accent2 39" xfId="38166" xr:uid="{00000000-0005-0000-0000-00007B000000}"/>
    <cellStyle name="20% - Accent2 4" xfId="192" xr:uid="{00000000-0005-0000-0000-0000D9000000}"/>
    <cellStyle name="20% - Accent2 4 10" xfId="193" xr:uid="{00000000-0005-0000-0000-0000DA000000}"/>
    <cellStyle name="20% - Accent2 4 10 2" xfId="9079" xr:uid="{00000000-0005-0000-0000-0000DB000000}"/>
    <cellStyle name="20% - Accent2 4 11" xfId="194" xr:uid="{00000000-0005-0000-0000-0000DC000000}"/>
    <cellStyle name="20% - Accent2 4 11 2" xfId="9080" xr:uid="{00000000-0005-0000-0000-0000DD000000}"/>
    <cellStyle name="20% - Accent2 4 12" xfId="9081" xr:uid="{00000000-0005-0000-0000-0000DE000000}"/>
    <cellStyle name="20% - Accent2 4 13" xfId="12061" xr:uid="{00000000-0005-0000-0000-0000DF000000}"/>
    <cellStyle name="20% - Accent2 4 2" xfId="195" xr:uid="{00000000-0005-0000-0000-0000E0000000}"/>
    <cellStyle name="20% - Accent2 4 2 2" xfId="9082" xr:uid="{00000000-0005-0000-0000-0000E1000000}"/>
    <cellStyle name="20% - Accent2 4 2 3" xfId="38167" xr:uid="{00000000-0005-0000-0000-00007D000000}"/>
    <cellStyle name="20% - Accent2 4 3" xfId="196" xr:uid="{00000000-0005-0000-0000-0000E2000000}"/>
    <cellStyle name="20% - Accent2 4 3 2" xfId="9083" xr:uid="{00000000-0005-0000-0000-0000E3000000}"/>
    <cellStyle name="20% - Accent2 4 4" xfId="197" xr:uid="{00000000-0005-0000-0000-0000E4000000}"/>
    <cellStyle name="20% - Accent2 4 4 2" xfId="9084" xr:uid="{00000000-0005-0000-0000-0000E5000000}"/>
    <cellStyle name="20% - Accent2 4 5" xfId="198" xr:uid="{00000000-0005-0000-0000-0000E6000000}"/>
    <cellStyle name="20% - Accent2 4 5 2" xfId="9085" xr:uid="{00000000-0005-0000-0000-0000E7000000}"/>
    <cellStyle name="20% - Accent2 4 6" xfId="199" xr:uid="{00000000-0005-0000-0000-0000E8000000}"/>
    <cellStyle name="20% - Accent2 4 6 2" xfId="9086" xr:uid="{00000000-0005-0000-0000-0000E9000000}"/>
    <cellStyle name="20% - Accent2 4 7" xfId="200" xr:uid="{00000000-0005-0000-0000-0000EA000000}"/>
    <cellStyle name="20% - Accent2 4 7 2" xfId="9087" xr:uid="{00000000-0005-0000-0000-0000EB000000}"/>
    <cellStyle name="20% - Accent2 4 8" xfId="201" xr:uid="{00000000-0005-0000-0000-0000EC000000}"/>
    <cellStyle name="20% - Accent2 4 8 2" xfId="9088" xr:uid="{00000000-0005-0000-0000-0000ED000000}"/>
    <cellStyle name="20% - Accent2 4 9" xfId="202" xr:uid="{00000000-0005-0000-0000-0000EE000000}"/>
    <cellStyle name="20% - Accent2 4 9 2" xfId="9089" xr:uid="{00000000-0005-0000-0000-0000EF000000}"/>
    <cellStyle name="20% - Accent2 40" xfId="38168" xr:uid="{00000000-0005-0000-0000-00007F000000}"/>
    <cellStyle name="20% - Accent2 41" xfId="38169" xr:uid="{00000000-0005-0000-0000-000080000000}"/>
    <cellStyle name="20% - Accent2 42" xfId="38170" xr:uid="{00000000-0005-0000-0000-000081000000}"/>
    <cellStyle name="20% - Accent2 43" xfId="38171" xr:uid="{00000000-0005-0000-0000-000082000000}"/>
    <cellStyle name="20% - Accent2 5" xfId="203" xr:uid="{00000000-0005-0000-0000-0000F0000000}"/>
    <cellStyle name="20% - Accent2 5 10" xfId="204" xr:uid="{00000000-0005-0000-0000-0000F1000000}"/>
    <cellStyle name="20% - Accent2 5 10 2" xfId="9090" xr:uid="{00000000-0005-0000-0000-0000F2000000}"/>
    <cellStyle name="20% - Accent2 5 11" xfId="205" xr:uid="{00000000-0005-0000-0000-0000F3000000}"/>
    <cellStyle name="20% - Accent2 5 11 2" xfId="9091" xr:uid="{00000000-0005-0000-0000-0000F4000000}"/>
    <cellStyle name="20% - Accent2 5 12" xfId="9092" xr:uid="{00000000-0005-0000-0000-0000F5000000}"/>
    <cellStyle name="20% - Accent2 5 13" xfId="12062" xr:uid="{00000000-0005-0000-0000-0000F6000000}"/>
    <cellStyle name="20% - Accent2 5 2" xfId="206" xr:uid="{00000000-0005-0000-0000-0000F7000000}"/>
    <cellStyle name="20% - Accent2 5 2 2" xfId="9093" xr:uid="{00000000-0005-0000-0000-0000F8000000}"/>
    <cellStyle name="20% - Accent2 5 2 3" xfId="38172" xr:uid="{00000000-0005-0000-0000-000084000000}"/>
    <cellStyle name="20% - Accent2 5 3" xfId="207" xr:uid="{00000000-0005-0000-0000-0000F9000000}"/>
    <cellStyle name="20% - Accent2 5 3 2" xfId="9094" xr:uid="{00000000-0005-0000-0000-0000FA000000}"/>
    <cellStyle name="20% - Accent2 5 4" xfId="208" xr:uid="{00000000-0005-0000-0000-0000FB000000}"/>
    <cellStyle name="20% - Accent2 5 4 2" xfId="9095" xr:uid="{00000000-0005-0000-0000-0000FC000000}"/>
    <cellStyle name="20% - Accent2 5 5" xfId="209" xr:uid="{00000000-0005-0000-0000-0000FD000000}"/>
    <cellStyle name="20% - Accent2 5 5 2" xfId="9096" xr:uid="{00000000-0005-0000-0000-0000FE000000}"/>
    <cellStyle name="20% - Accent2 5 6" xfId="210" xr:uid="{00000000-0005-0000-0000-0000FF000000}"/>
    <cellStyle name="20% - Accent2 5 6 2" xfId="9097" xr:uid="{00000000-0005-0000-0000-000000010000}"/>
    <cellStyle name="20% - Accent2 5 7" xfId="211" xr:uid="{00000000-0005-0000-0000-000001010000}"/>
    <cellStyle name="20% - Accent2 5 7 2" xfId="9098" xr:uid="{00000000-0005-0000-0000-000002010000}"/>
    <cellStyle name="20% - Accent2 5 8" xfId="212" xr:uid="{00000000-0005-0000-0000-000003010000}"/>
    <cellStyle name="20% - Accent2 5 8 2" xfId="9099" xr:uid="{00000000-0005-0000-0000-000004010000}"/>
    <cellStyle name="20% - Accent2 5 9" xfId="213" xr:uid="{00000000-0005-0000-0000-000005010000}"/>
    <cellStyle name="20% - Accent2 5 9 2" xfId="9100" xr:uid="{00000000-0005-0000-0000-000006010000}"/>
    <cellStyle name="20% - Accent2 6" xfId="214" xr:uid="{00000000-0005-0000-0000-000007010000}"/>
    <cellStyle name="20% - Accent2 6 10" xfId="215" xr:uid="{00000000-0005-0000-0000-000008010000}"/>
    <cellStyle name="20% - Accent2 6 10 2" xfId="9101" xr:uid="{00000000-0005-0000-0000-000009010000}"/>
    <cellStyle name="20% - Accent2 6 11" xfId="216" xr:uid="{00000000-0005-0000-0000-00000A010000}"/>
    <cellStyle name="20% - Accent2 6 11 2" xfId="9102" xr:uid="{00000000-0005-0000-0000-00000B010000}"/>
    <cellStyle name="20% - Accent2 6 12" xfId="9103" xr:uid="{00000000-0005-0000-0000-00000C010000}"/>
    <cellStyle name="20% - Accent2 6 13" xfId="12063" xr:uid="{00000000-0005-0000-0000-00000D010000}"/>
    <cellStyle name="20% - Accent2 6 2" xfId="217" xr:uid="{00000000-0005-0000-0000-00000E010000}"/>
    <cellStyle name="20% - Accent2 6 2 2" xfId="9104" xr:uid="{00000000-0005-0000-0000-00000F010000}"/>
    <cellStyle name="20% - Accent2 6 2 3" xfId="38173" xr:uid="{00000000-0005-0000-0000-000087000000}"/>
    <cellStyle name="20% - Accent2 6 3" xfId="218" xr:uid="{00000000-0005-0000-0000-000010010000}"/>
    <cellStyle name="20% - Accent2 6 3 2" xfId="9105" xr:uid="{00000000-0005-0000-0000-000011010000}"/>
    <cellStyle name="20% - Accent2 6 4" xfId="219" xr:uid="{00000000-0005-0000-0000-000012010000}"/>
    <cellStyle name="20% - Accent2 6 4 2" xfId="9106" xr:uid="{00000000-0005-0000-0000-000013010000}"/>
    <cellStyle name="20% - Accent2 6 5" xfId="220" xr:uid="{00000000-0005-0000-0000-000014010000}"/>
    <cellStyle name="20% - Accent2 6 5 2" xfId="9107" xr:uid="{00000000-0005-0000-0000-000015010000}"/>
    <cellStyle name="20% - Accent2 6 6" xfId="221" xr:uid="{00000000-0005-0000-0000-000016010000}"/>
    <cellStyle name="20% - Accent2 6 6 2" xfId="9108" xr:uid="{00000000-0005-0000-0000-000017010000}"/>
    <cellStyle name="20% - Accent2 6 7" xfId="222" xr:uid="{00000000-0005-0000-0000-000018010000}"/>
    <cellStyle name="20% - Accent2 6 7 2" xfId="9109" xr:uid="{00000000-0005-0000-0000-000019010000}"/>
    <cellStyle name="20% - Accent2 6 8" xfId="223" xr:uid="{00000000-0005-0000-0000-00001A010000}"/>
    <cellStyle name="20% - Accent2 6 8 2" xfId="9110" xr:uid="{00000000-0005-0000-0000-00001B010000}"/>
    <cellStyle name="20% - Accent2 6 9" xfId="224" xr:uid="{00000000-0005-0000-0000-00001C010000}"/>
    <cellStyle name="20% - Accent2 6 9 2" xfId="9111" xr:uid="{00000000-0005-0000-0000-00001D010000}"/>
    <cellStyle name="20% - Accent2 7" xfId="225" xr:uid="{00000000-0005-0000-0000-00001E010000}"/>
    <cellStyle name="20% - Accent2 7 2" xfId="9112" xr:uid="{00000000-0005-0000-0000-00001F010000}"/>
    <cellStyle name="20% - Accent2 7 2 2" xfId="38175" xr:uid="{00000000-0005-0000-0000-00008A000000}"/>
    <cellStyle name="20% - Accent2 7 3" xfId="12064" xr:uid="{00000000-0005-0000-0000-000020010000}"/>
    <cellStyle name="20% - Accent2 7 3 2" xfId="38174" xr:uid="{00000000-0005-0000-0000-00008B000000}"/>
    <cellStyle name="20% - Accent2 8" xfId="226" xr:uid="{00000000-0005-0000-0000-000021010000}"/>
    <cellStyle name="20% - Accent2 8 2" xfId="9113" xr:uid="{00000000-0005-0000-0000-000022010000}"/>
    <cellStyle name="20% - Accent2 8 2 2" xfId="38177" xr:uid="{00000000-0005-0000-0000-00008D000000}"/>
    <cellStyle name="20% - Accent2 8 3" xfId="12065" xr:uid="{00000000-0005-0000-0000-000023010000}"/>
    <cellStyle name="20% - Accent2 8 3 2" xfId="38176" xr:uid="{00000000-0005-0000-0000-00008E000000}"/>
    <cellStyle name="20% - Accent2 9" xfId="227" xr:uid="{00000000-0005-0000-0000-000024010000}"/>
    <cellStyle name="20% - Accent2 9 2" xfId="9114" xr:uid="{00000000-0005-0000-0000-000025010000}"/>
    <cellStyle name="20% - Accent3 10" xfId="228" xr:uid="{00000000-0005-0000-0000-000026010000}"/>
    <cellStyle name="20% - Accent3 10 2" xfId="9115" xr:uid="{00000000-0005-0000-0000-000027010000}"/>
    <cellStyle name="20% - Accent3 11" xfId="38178" xr:uid="{00000000-0005-0000-0000-000093000000}"/>
    <cellStyle name="20% - Accent3 11 2" xfId="38179" xr:uid="{00000000-0005-0000-0000-000094000000}"/>
    <cellStyle name="20% - Accent3 12" xfId="38180" xr:uid="{00000000-0005-0000-0000-000095000000}"/>
    <cellStyle name="20% - Accent3 13" xfId="38181" xr:uid="{00000000-0005-0000-0000-000096000000}"/>
    <cellStyle name="20% - Accent3 14" xfId="38182" xr:uid="{00000000-0005-0000-0000-000097000000}"/>
    <cellStyle name="20% - Accent3 15" xfId="38183" xr:uid="{00000000-0005-0000-0000-000098000000}"/>
    <cellStyle name="20% - Accent3 16" xfId="38184" xr:uid="{00000000-0005-0000-0000-000099000000}"/>
    <cellStyle name="20% - Accent3 17" xfId="38185" xr:uid="{00000000-0005-0000-0000-00009A000000}"/>
    <cellStyle name="20% - Accent3 18" xfId="38186" xr:uid="{00000000-0005-0000-0000-00009B000000}"/>
    <cellStyle name="20% - Accent3 19" xfId="38187" xr:uid="{00000000-0005-0000-0000-00009C000000}"/>
    <cellStyle name="20% - Accent3 2" xfId="229" xr:uid="{00000000-0005-0000-0000-000028010000}"/>
    <cellStyle name="20% - Accent3 2 10" xfId="230" xr:uid="{00000000-0005-0000-0000-000029010000}"/>
    <cellStyle name="20% - Accent3 2 10 2" xfId="9116" xr:uid="{00000000-0005-0000-0000-00002A010000}"/>
    <cellStyle name="20% - Accent3 2 10 3" xfId="12066" xr:uid="{00000000-0005-0000-0000-00002B010000}"/>
    <cellStyle name="20% - Accent3 2 11" xfId="231" xr:uid="{00000000-0005-0000-0000-00002C010000}"/>
    <cellStyle name="20% - Accent3 2 11 2" xfId="9117" xr:uid="{00000000-0005-0000-0000-00002D010000}"/>
    <cellStyle name="20% - Accent3 2 11 3" xfId="12067" xr:uid="{00000000-0005-0000-0000-00002E010000}"/>
    <cellStyle name="20% - Accent3 2 12" xfId="9118" xr:uid="{00000000-0005-0000-0000-00002F010000}"/>
    <cellStyle name="20% - Accent3 2 12 2" xfId="9119" xr:uid="{00000000-0005-0000-0000-000030010000}"/>
    <cellStyle name="20% - Accent3 2 12 3" xfId="12068" xr:uid="{00000000-0005-0000-0000-000031010000}"/>
    <cellStyle name="20% - Accent3 2 13" xfId="9120" xr:uid="{00000000-0005-0000-0000-000032010000}"/>
    <cellStyle name="20% - Accent3 2 13 2" xfId="12069" xr:uid="{00000000-0005-0000-0000-000033010000}"/>
    <cellStyle name="20% - Accent3 2 14" xfId="12070" xr:uid="{00000000-0005-0000-0000-000034010000}"/>
    <cellStyle name="20% - Accent3 2 15" xfId="12071" xr:uid="{00000000-0005-0000-0000-000035010000}"/>
    <cellStyle name="20% - Accent3 2 16" xfId="38188" xr:uid="{00000000-0005-0000-0000-0000A4000000}"/>
    <cellStyle name="20% - Accent3 2 2" xfId="232" xr:uid="{00000000-0005-0000-0000-000036010000}"/>
    <cellStyle name="20% - Accent3 2 2 2" xfId="9121" xr:uid="{00000000-0005-0000-0000-000037010000}"/>
    <cellStyle name="20% - Accent3 2 2 3" xfId="12072" xr:uid="{00000000-0005-0000-0000-000038010000}"/>
    <cellStyle name="20% - Accent3 2 3" xfId="233" xr:uid="{00000000-0005-0000-0000-000039010000}"/>
    <cellStyle name="20% - Accent3 2 3 2" xfId="9122" xr:uid="{00000000-0005-0000-0000-00003A010000}"/>
    <cellStyle name="20% - Accent3 2 3 3" xfId="12073" xr:uid="{00000000-0005-0000-0000-00003B010000}"/>
    <cellStyle name="20% - Accent3 2 4" xfId="234" xr:uid="{00000000-0005-0000-0000-00003C010000}"/>
    <cellStyle name="20% - Accent3 2 4 2" xfId="9123" xr:uid="{00000000-0005-0000-0000-00003D010000}"/>
    <cellStyle name="20% - Accent3 2 4 3" xfId="12074" xr:uid="{00000000-0005-0000-0000-00003E010000}"/>
    <cellStyle name="20% - Accent3 2 5" xfId="235" xr:uid="{00000000-0005-0000-0000-00003F010000}"/>
    <cellStyle name="20% - Accent3 2 5 2" xfId="9124" xr:uid="{00000000-0005-0000-0000-000040010000}"/>
    <cellStyle name="20% - Accent3 2 5 3" xfId="12075" xr:uid="{00000000-0005-0000-0000-000041010000}"/>
    <cellStyle name="20% - Accent3 2 6" xfId="236" xr:uid="{00000000-0005-0000-0000-000042010000}"/>
    <cellStyle name="20% - Accent3 2 6 2" xfId="9125" xr:uid="{00000000-0005-0000-0000-000043010000}"/>
    <cellStyle name="20% - Accent3 2 6 3" xfId="12076" xr:uid="{00000000-0005-0000-0000-000044010000}"/>
    <cellStyle name="20% - Accent3 2 7" xfId="237" xr:uid="{00000000-0005-0000-0000-000045010000}"/>
    <cellStyle name="20% - Accent3 2 7 2" xfId="9126" xr:uid="{00000000-0005-0000-0000-000046010000}"/>
    <cellStyle name="20% - Accent3 2 7 3" xfId="12077" xr:uid="{00000000-0005-0000-0000-000047010000}"/>
    <cellStyle name="20% - Accent3 2 8" xfId="238" xr:uid="{00000000-0005-0000-0000-000048010000}"/>
    <cellStyle name="20% - Accent3 2 8 2" xfId="9127" xr:uid="{00000000-0005-0000-0000-000049010000}"/>
    <cellStyle name="20% - Accent3 2 8 3" xfId="12078" xr:uid="{00000000-0005-0000-0000-00004A010000}"/>
    <cellStyle name="20% - Accent3 2 9" xfId="239" xr:uid="{00000000-0005-0000-0000-00004B010000}"/>
    <cellStyle name="20% - Accent3 2 9 2" xfId="9128" xr:uid="{00000000-0005-0000-0000-00004C010000}"/>
    <cellStyle name="20% - Accent3 2 9 3" xfId="12079" xr:uid="{00000000-0005-0000-0000-00004D010000}"/>
    <cellStyle name="20% - Accent3 20" xfId="38189" xr:uid="{00000000-0005-0000-0000-0000AD000000}"/>
    <cellStyle name="20% - Accent3 21" xfId="38190" xr:uid="{00000000-0005-0000-0000-0000AE000000}"/>
    <cellStyle name="20% - Accent3 22" xfId="38191" xr:uid="{00000000-0005-0000-0000-0000AF000000}"/>
    <cellStyle name="20% - Accent3 23" xfId="38192" xr:uid="{00000000-0005-0000-0000-0000B0000000}"/>
    <cellStyle name="20% - Accent3 24" xfId="38193" xr:uid="{00000000-0005-0000-0000-0000B1000000}"/>
    <cellStyle name="20% - Accent3 25" xfId="38194" xr:uid="{00000000-0005-0000-0000-0000B2000000}"/>
    <cellStyle name="20% - Accent3 26" xfId="38195" xr:uid="{00000000-0005-0000-0000-0000B3000000}"/>
    <cellStyle name="20% - Accent3 27" xfId="38196" xr:uid="{00000000-0005-0000-0000-0000B4000000}"/>
    <cellStyle name="20% - Accent3 28" xfId="38197" xr:uid="{00000000-0005-0000-0000-0000B5000000}"/>
    <cellStyle name="20% - Accent3 29" xfId="38198" xr:uid="{00000000-0005-0000-0000-0000B6000000}"/>
    <cellStyle name="20% - Accent3 3" xfId="240" xr:uid="{00000000-0005-0000-0000-00004E010000}"/>
    <cellStyle name="20% - Accent3 3 10" xfId="241" xr:uid="{00000000-0005-0000-0000-00004F010000}"/>
    <cellStyle name="20% - Accent3 3 10 2" xfId="9129" xr:uid="{00000000-0005-0000-0000-000050010000}"/>
    <cellStyle name="20% - Accent3 3 11" xfId="242" xr:uid="{00000000-0005-0000-0000-000051010000}"/>
    <cellStyle name="20% - Accent3 3 11 2" xfId="9130" xr:uid="{00000000-0005-0000-0000-000052010000}"/>
    <cellStyle name="20% - Accent3 3 12" xfId="9131" xr:uid="{00000000-0005-0000-0000-000053010000}"/>
    <cellStyle name="20% - Accent3 3 13" xfId="12080" xr:uid="{00000000-0005-0000-0000-000054010000}"/>
    <cellStyle name="20% - Accent3 3 14" xfId="14138" xr:uid="{00000000-0005-0000-0000-000055010000}"/>
    <cellStyle name="20% - Accent3 3 2" xfId="243" xr:uid="{00000000-0005-0000-0000-000056010000}"/>
    <cellStyle name="20% - Accent3 3 2 2" xfId="9132" xr:uid="{00000000-0005-0000-0000-000057010000}"/>
    <cellStyle name="20% - Accent3 3 2 3" xfId="38199" xr:uid="{00000000-0005-0000-0000-0000B8000000}"/>
    <cellStyle name="20% - Accent3 3 3" xfId="244" xr:uid="{00000000-0005-0000-0000-000058010000}"/>
    <cellStyle name="20% - Accent3 3 3 2" xfId="9133" xr:uid="{00000000-0005-0000-0000-000059010000}"/>
    <cellStyle name="20% - Accent3 3 4" xfId="245" xr:uid="{00000000-0005-0000-0000-00005A010000}"/>
    <cellStyle name="20% - Accent3 3 4 2" xfId="9134" xr:uid="{00000000-0005-0000-0000-00005B010000}"/>
    <cellStyle name="20% - Accent3 3 5" xfId="246" xr:uid="{00000000-0005-0000-0000-00005C010000}"/>
    <cellStyle name="20% - Accent3 3 5 2" xfId="9135" xr:uid="{00000000-0005-0000-0000-00005D010000}"/>
    <cellStyle name="20% - Accent3 3 6" xfId="247" xr:uid="{00000000-0005-0000-0000-00005E010000}"/>
    <cellStyle name="20% - Accent3 3 6 2" xfId="9136" xr:uid="{00000000-0005-0000-0000-00005F010000}"/>
    <cellStyle name="20% - Accent3 3 7" xfId="248" xr:uid="{00000000-0005-0000-0000-000060010000}"/>
    <cellStyle name="20% - Accent3 3 7 2" xfId="9137" xr:uid="{00000000-0005-0000-0000-000061010000}"/>
    <cellStyle name="20% - Accent3 3 8" xfId="249" xr:uid="{00000000-0005-0000-0000-000062010000}"/>
    <cellStyle name="20% - Accent3 3 8 2" xfId="9138" xr:uid="{00000000-0005-0000-0000-000063010000}"/>
    <cellStyle name="20% - Accent3 3 9" xfId="250" xr:uid="{00000000-0005-0000-0000-000064010000}"/>
    <cellStyle name="20% - Accent3 3 9 2" xfId="9139" xr:uid="{00000000-0005-0000-0000-000065010000}"/>
    <cellStyle name="20% - Accent3 30" xfId="38200" xr:uid="{00000000-0005-0000-0000-0000BA000000}"/>
    <cellStyle name="20% - Accent3 31" xfId="38201" xr:uid="{00000000-0005-0000-0000-0000BB000000}"/>
    <cellStyle name="20% - Accent3 32" xfId="38202" xr:uid="{00000000-0005-0000-0000-0000BC000000}"/>
    <cellStyle name="20% - Accent3 33" xfId="38203" xr:uid="{00000000-0005-0000-0000-0000BD000000}"/>
    <cellStyle name="20% - Accent3 34" xfId="38204" xr:uid="{00000000-0005-0000-0000-0000BE000000}"/>
    <cellStyle name="20% - Accent3 35" xfId="38205" xr:uid="{00000000-0005-0000-0000-0000BF000000}"/>
    <cellStyle name="20% - Accent3 36" xfId="38206" xr:uid="{00000000-0005-0000-0000-0000C0000000}"/>
    <cellStyle name="20% - Accent3 37" xfId="38207" xr:uid="{00000000-0005-0000-0000-0000C1000000}"/>
    <cellStyle name="20% - Accent3 38" xfId="38208" xr:uid="{00000000-0005-0000-0000-0000C2000000}"/>
    <cellStyle name="20% - Accent3 39" xfId="38209" xr:uid="{00000000-0005-0000-0000-0000C3000000}"/>
    <cellStyle name="20% - Accent3 4" xfId="251" xr:uid="{00000000-0005-0000-0000-000066010000}"/>
    <cellStyle name="20% - Accent3 4 10" xfId="252" xr:uid="{00000000-0005-0000-0000-000067010000}"/>
    <cellStyle name="20% - Accent3 4 10 2" xfId="9140" xr:uid="{00000000-0005-0000-0000-000068010000}"/>
    <cellStyle name="20% - Accent3 4 11" xfId="253" xr:uid="{00000000-0005-0000-0000-000069010000}"/>
    <cellStyle name="20% - Accent3 4 11 2" xfId="9141" xr:uid="{00000000-0005-0000-0000-00006A010000}"/>
    <cellStyle name="20% - Accent3 4 12" xfId="9142" xr:uid="{00000000-0005-0000-0000-00006B010000}"/>
    <cellStyle name="20% - Accent3 4 13" xfId="12081" xr:uid="{00000000-0005-0000-0000-00006C010000}"/>
    <cellStyle name="20% - Accent3 4 2" xfId="254" xr:uid="{00000000-0005-0000-0000-00006D010000}"/>
    <cellStyle name="20% - Accent3 4 2 2" xfId="9143" xr:uid="{00000000-0005-0000-0000-00006E010000}"/>
    <cellStyle name="20% - Accent3 4 2 3" xfId="38210" xr:uid="{00000000-0005-0000-0000-0000C5000000}"/>
    <cellStyle name="20% - Accent3 4 3" xfId="255" xr:uid="{00000000-0005-0000-0000-00006F010000}"/>
    <cellStyle name="20% - Accent3 4 3 2" xfId="9144" xr:uid="{00000000-0005-0000-0000-000070010000}"/>
    <cellStyle name="20% - Accent3 4 4" xfId="256" xr:uid="{00000000-0005-0000-0000-000071010000}"/>
    <cellStyle name="20% - Accent3 4 4 2" xfId="9145" xr:uid="{00000000-0005-0000-0000-000072010000}"/>
    <cellStyle name="20% - Accent3 4 5" xfId="257" xr:uid="{00000000-0005-0000-0000-000073010000}"/>
    <cellStyle name="20% - Accent3 4 5 2" xfId="9146" xr:uid="{00000000-0005-0000-0000-000074010000}"/>
    <cellStyle name="20% - Accent3 4 6" xfId="258" xr:uid="{00000000-0005-0000-0000-000075010000}"/>
    <cellStyle name="20% - Accent3 4 6 2" xfId="9147" xr:uid="{00000000-0005-0000-0000-000076010000}"/>
    <cellStyle name="20% - Accent3 4 7" xfId="259" xr:uid="{00000000-0005-0000-0000-000077010000}"/>
    <cellStyle name="20% - Accent3 4 7 2" xfId="9148" xr:uid="{00000000-0005-0000-0000-000078010000}"/>
    <cellStyle name="20% - Accent3 4 8" xfId="260" xr:uid="{00000000-0005-0000-0000-000079010000}"/>
    <cellStyle name="20% - Accent3 4 8 2" xfId="9149" xr:uid="{00000000-0005-0000-0000-00007A010000}"/>
    <cellStyle name="20% - Accent3 4 9" xfId="261" xr:uid="{00000000-0005-0000-0000-00007B010000}"/>
    <cellStyle name="20% - Accent3 4 9 2" xfId="9150" xr:uid="{00000000-0005-0000-0000-00007C010000}"/>
    <cellStyle name="20% - Accent3 40" xfId="38211" xr:uid="{00000000-0005-0000-0000-0000C7000000}"/>
    <cellStyle name="20% - Accent3 41" xfId="38212" xr:uid="{00000000-0005-0000-0000-0000C8000000}"/>
    <cellStyle name="20% - Accent3 42" xfId="38213" xr:uid="{00000000-0005-0000-0000-0000C9000000}"/>
    <cellStyle name="20% - Accent3 43" xfId="38214" xr:uid="{00000000-0005-0000-0000-0000CA000000}"/>
    <cellStyle name="20% - Accent3 5" xfId="262" xr:uid="{00000000-0005-0000-0000-00007D010000}"/>
    <cellStyle name="20% - Accent3 5 10" xfId="263" xr:uid="{00000000-0005-0000-0000-00007E010000}"/>
    <cellStyle name="20% - Accent3 5 10 2" xfId="9151" xr:uid="{00000000-0005-0000-0000-00007F010000}"/>
    <cellStyle name="20% - Accent3 5 11" xfId="264" xr:uid="{00000000-0005-0000-0000-000080010000}"/>
    <cellStyle name="20% - Accent3 5 11 2" xfId="9152" xr:uid="{00000000-0005-0000-0000-000081010000}"/>
    <cellStyle name="20% - Accent3 5 12" xfId="9153" xr:uid="{00000000-0005-0000-0000-000082010000}"/>
    <cellStyle name="20% - Accent3 5 13" xfId="12082" xr:uid="{00000000-0005-0000-0000-000083010000}"/>
    <cellStyle name="20% - Accent3 5 2" xfId="265" xr:uid="{00000000-0005-0000-0000-000084010000}"/>
    <cellStyle name="20% - Accent3 5 2 2" xfId="9154" xr:uid="{00000000-0005-0000-0000-000085010000}"/>
    <cellStyle name="20% - Accent3 5 2 3" xfId="38215" xr:uid="{00000000-0005-0000-0000-0000CC000000}"/>
    <cellStyle name="20% - Accent3 5 3" xfId="266" xr:uid="{00000000-0005-0000-0000-000086010000}"/>
    <cellStyle name="20% - Accent3 5 3 2" xfId="9155" xr:uid="{00000000-0005-0000-0000-000087010000}"/>
    <cellStyle name="20% - Accent3 5 4" xfId="267" xr:uid="{00000000-0005-0000-0000-000088010000}"/>
    <cellStyle name="20% - Accent3 5 4 2" xfId="9156" xr:uid="{00000000-0005-0000-0000-000089010000}"/>
    <cellStyle name="20% - Accent3 5 5" xfId="268" xr:uid="{00000000-0005-0000-0000-00008A010000}"/>
    <cellStyle name="20% - Accent3 5 5 2" xfId="9157" xr:uid="{00000000-0005-0000-0000-00008B010000}"/>
    <cellStyle name="20% - Accent3 5 6" xfId="269" xr:uid="{00000000-0005-0000-0000-00008C010000}"/>
    <cellStyle name="20% - Accent3 5 6 2" xfId="9158" xr:uid="{00000000-0005-0000-0000-00008D010000}"/>
    <cellStyle name="20% - Accent3 5 7" xfId="270" xr:uid="{00000000-0005-0000-0000-00008E010000}"/>
    <cellStyle name="20% - Accent3 5 7 2" xfId="9159" xr:uid="{00000000-0005-0000-0000-00008F010000}"/>
    <cellStyle name="20% - Accent3 5 8" xfId="271" xr:uid="{00000000-0005-0000-0000-000090010000}"/>
    <cellStyle name="20% - Accent3 5 8 2" xfId="9160" xr:uid="{00000000-0005-0000-0000-000091010000}"/>
    <cellStyle name="20% - Accent3 5 9" xfId="272" xr:uid="{00000000-0005-0000-0000-000092010000}"/>
    <cellStyle name="20% - Accent3 5 9 2" xfId="9161" xr:uid="{00000000-0005-0000-0000-000093010000}"/>
    <cellStyle name="20% - Accent3 6" xfId="273" xr:uid="{00000000-0005-0000-0000-000094010000}"/>
    <cellStyle name="20% - Accent3 6 10" xfId="274" xr:uid="{00000000-0005-0000-0000-000095010000}"/>
    <cellStyle name="20% - Accent3 6 10 2" xfId="9162" xr:uid="{00000000-0005-0000-0000-000096010000}"/>
    <cellStyle name="20% - Accent3 6 11" xfId="275" xr:uid="{00000000-0005-0000-0000-000097010000}"/>
    <cellStyle name="20% - Accent3 6 11 2" xfId="9163" xr:uid="{00000000-0005-0000-0000-000098010000}"/>
    <cellStyle name="20% - Accent3 6 12" xfId="9164" xr:uid="{00000000-0005-0000-0000-000099010000}"/>
    <cellStyle name="20% - Accent3 6 13" xfId="12083" xr:uid="{00000000-0005-0000-0000-00009A010000}"/>
    <cellStyle name="20% - Accent3 6 2" xfId="276" xr:uid="{00000000-0005-0000-0000-00009B010000}"/>
    <cellStyle name="20% - Accent3 6 2 2" xfId="9165" xr:uid="{00000000-0005-0000-0000-00009C010000}"/>
    <cellStyle name="20% - Accent3 6 2 3" xfId="38216" xr:uid="{00000000-0005-0000-0000-0000CF000000}"/>
    <cellStyle name="20% - Accent3 6 3" xfId="277" xr:uid="{00000000-0005-0000-0000-00009D010000}"/>
    <cellStyle name="20% - Accent3 6 3 2" xfId="9166" xr:uid="{00000000-0005-0000-0000-00009E010000}"/>
    <cellStyle name="20% - Accent3 6 4" xfId="278" xr:uid="{00000000-0005-0000-0000-00009F010000}"/>
    <cellStyle name="20% - Accent3 6 4 2" xfId="9167" xr:uid="{00000000-0005-0000-0000-0000A0010000}"/>
    <cellStyle name="20% - Accent3 6 5" xfId="279" xr:uid="{00000000-0005-0000-0000-0000A1010000}"/>
    <cellStyle name="20% - Accent3 6 5 2" xfId="9168" xr:uid="{00000000-0005-0000-0000-0000A2010000}"/>
    <cellStyle name="20% - Accent3 6 6" xfId="280" xr:uid="{00000000-0005-0000-0000-0000A3010000}"/>
    <cellStyle name="20% - Accent3 6 6 2" xfId="9169" xr:uid="{00000000-0005-0000-0000-0000A4010000}"/>
    <cellStyle name="20% - Accent3 6 7" xfId="281" xr:uid="{00000000-0005-0000-0000-0000A5010000}"/>
    <cellStyle name="20% - Accent3 6 7 2" xfId="9170" xr:uid="{00000000-0005-0000-0000-0000A6010000}"/>
    <cellStyle name="20% - Accent3 6 8" xfId="282" xr:uid="{00000000-0005-0000-0000-0000A7010000}"/>
    <cellStyle name="20% - Accent3 6 8 2" xfId="9171" xr:uid="{00000000-0005-0000-0000-0000A8010000}"/>
    <cellStyle name="20% - Accent3 6 9" xfId="283" xr:uid="{00000000-0005-0000-0000-0000A9010000}"/>
    <cellStyle name="20% - Accent3 6 9 2" xfId="9172" xr:uid="{00000000-0005-0000-0000-0000AA010000}"/>
    <cellStyle name="20% - Accent3 7" xfId="284" xr:uid="{00000000-0005-0000-0000-0000AB010000}"/>
    <cellStyle name="20% - Accent3 7 2" xfId="9173" xr:uid="{00000000-0005-0000-0000-0000AC010000}"/>
    <cellStyle name="20% - Accent3 7 2 2" xfId="38218" xr:uid="{00000000-0005-0000-0000-0000D2000000}"/>
    <cellStyle name="20% - Accent3 7 3" xfId="12084" xr:uid="{00000000-0005-0000-0000-0000AD010000}"/>
    <cellStyle name="20% - Accent3 7 3 2" xfId="38217" xr:uid="{00000000-0005-0000-0000-0000D3000000}"/>
    <cellStyle name="20% - Accent3 8" xfId="285" xr:uid="{00000000-0005-0000-0000-0000AE010000}"/>
    <cellStyle name="20% - Accent3 8 2" xfId="9174" xr:uid="{00000000-0005-0000-0000-0000AF010000}"/>
    <cellStyle name="20% - Accent3 8 2 2" xfId="38220" xr:uid="{00000000-0005-0000-0000-0000D5000000}"/>
    <cellStyle name="20% - Accent3 8 3" xfId="12085" xr:uid="{00000000-0005-0000-0000-0000B0010000}"/>
    <cellStyle name="20% - Accent3 8 3 2" xfId="38219" xr:uid="{00000000-0005-0000-0000-0000D6000000}"/>
    <cellStyle name="20% - Accent3 9" xfId="286" xr:uid="{00000000-0005-0000-0000-0000B1010000}"/>
    <cellStyle name="20% - Accent3 9 2" xfId="9175" xr:uid="{00000000-0005-0000-0000-0000B2010000}"/>
    <cellStyle name="20% - Accent4 10" xfId="287" xr:uid="{00000000-0005-0000-0000-0000B3010000}"/>
    <cellStyle name="20% - Accent4 10 2" xfId="9176" xr:uid="{00000000-0005-0000-0000-0000B4010000}"/>
    <cellStyle name="20% - Accent4 11" xfId="38221" xr:uid="{00000000-0005-0000-0000-0000DB000000}"/>
    <cellStyle name="20% - Accent4 11 2" xfId="38222" xr:uid="{00000000-0005-0000-0000-0000DC000000}"/>
    <cellStyle name="20% - Accent4 12" xfId="38223" xr:uid="{00000000-0005-0000-0000-0000DD000000}"/>
    <cellStyle name="20% - Accent4 13" xfId="38224" xr:uid="{00000000-0005-0000-0000-0000DE000000}"/>
    <cellStyle name="20% - Accent4 14" xfId="38225" xr:uid="{00000000-0005-0000-0000-0000DF000000}"/>
    <cellStyle name="20% - Accent4 15" xfId="38226" xr:uid="{00000000-0005-0000-0000-0000E0000000}"/>
    <cellStyle name="20% - Accent4 16" xfId="38227" xr:uid="{00000000-0005-0000-0000-0000E1000000}"/>
    <cellStyle name="20% - Accent4 17" xfId="38228" xr:uid="{00000000-0005-0000-0000-0000E2000000}"/>
    <cellStyle name="20% - Accent4 18" xfId="38229" xr:uid="{00000000-0005-0000-0000-0000E3000000}"/>
    <cellStyle name="20% - Accent4 19" xfId="38230" xr:uid="{00000000-0005-0000-0000-0000E4000000}"/>
    <cellStyle name="20% - Accent4 2" xfId="288" xr:uid="{00000000-0005-0000-0000-0000B5010000}"/>
    <cellStyle name="20% - Accent4 2 10" xfId="289" xr:uid="{00000000-0005-0000-0000-0000B6010000}"/>
    <cellStyle name="20% - Accent4 2 10 2" xfId="9177" xr:uid="{00000000-0005-0000-0000-0000B7010000}"/>
    <cellStyle name="20% - Accent4 2 10 3" xfId="12086" xr:uid="{00000000-0005-0000-0000-0000B8010000}"/>
    <cellStyle name="20% - Accent4 2 11" xfId="290" xr:uid="{00000000-0005-0000-0000-0000B9010000}"/>
    <cellStyle name="20% - Accent4 2 11 2" xfId="9178" xr:uid="{00000000-0005-0000-0000-0000BA010000}"/>
    <cellStyle name="20% - Accent4 2 11 3" xfId="12087" xr:uid="{00000000-0005-0000-0000-0000BB010000}"/>
    <cellStyle name="20% - Accent4 2 12" xfId="9179" xr:uid="{00000000-0005-0000-0000-0000BC010000}"/>
    <cellStyle name="20% - Accent4 2 12 2" xfId="9180" xr:uid="{00000000-0005-0000-0000-0000BD010000}"/>
    <cellStyle name="20% - Accent4 2 12 3" xfId="12088" xr:uid="{00000000-0005-0000-0000-0000BE010000}"/>
    <cellStyle name="20% - Accent4 2 13" xfId="9181" xr:uid="{00000000-0005-0000-0000-0000BF010000}"/>
    <cellStyle name="20% - Accent4 2 13 2" xfId="12089" xr:uid="{00000000-0005-0000-0000-0000C0010000}"/>
    <cellStyle name="20% - Accent4 2 14" xfId="12090" xr:uid="{00000000-0005-0000-0000-0000C1010000}"/>
    <cellStyle name="20% - Accent4 2 15" xfId="12091" xr:uid="{00000000-0005-0000-0000-0000C2010000}"/>
    <cellStyle name="20% - Accent4 2 16" xfId="38231" xr:uid="{00000000-0005-0000-0000-0000EC000000}"/>
    <cellStyle name="20% - Accent4 2 2" xfId="291" xr:uid="{00000000-0005-0000-0000-0000C3010000}"/>
    <cellStyle name="20% - Accent4 2 2 2" xfId="9182" xr:uid="{00000000-0005-0000-0000-0000C4010000}"/>
    <cellStyle name="20% - Accent4 2 2 3" xfId="12092" xr:uid="{00000000-0005-0000-0000-0000C5010000}"/>
    <cellStyle name="20% - Accent4 2 3" xfId="292" xr:uid="{00000000-0005-0000-0000-0000C6010000}"/>
    <cellStyle name="20% - Accent4 2 3 2" xfId="9183" xr:uid="{00000000-0005-0000-0000-0000C7010000}"/>
    <cellStyle name="20% - Accent4 2 3 3" xfId="12093" xr:uid="{00000000-0005-0000-0000-0000C8010000}"/>
    <cellStyle name="20% - Accent4 2 4" xfId="293" xr:uid="{00000000-0005-0000-0000-0000C9010000}"/>
    <cellStyle name="20% - Accent4 2 4 2" xfId="9184" xr:uid="{00000000-0005-0000-0000-0000CA010000}"/>
    <cellStyle name="20% - Accent4 2 4 3" xfId="12094" xr:uid="{00000000-0005-0000-0000-0000CB010000}"/>
    <cellStyle name="20% - Accent4 2 5" xfId="294" xr:uid="{00000000-0005-0000-0000-0000CC010000}"/>
    <cellStyle name="20% - Accent4 2 5 2" xfId="9185" xr:uid="{00000000-0005-0000-0000-0000CD010000}"/>
    <cellStyle name="20% - Accent4 2 5 3" xfId="12095" xr:uid="{00000000-0005-0000-0000-0000CE010000}"/>
    <cellStyle name="20% - Accent4 2 6" xfId="295" xr:uid="{00000000-0005-0000-0000-0000CF010000}"/>
    <cellStyle name="20% - Accent4 2 6 2" xfId="9186" xr:uid="{00000000-0005-0000-0000-0000D0010000}"/>
    <cellStyle name="20% - Accent4 2 6 3" xfId="12096" xr:uid="{00000000-0005-0000-0000-0000D1010000}"/>
    <cellStyle name="20% - Accent4 2 7" xfId="296" xr:uid="{00000000-0005-0000-0000-0000D2010000}"/>
    <cellStyle name="20% - Accent4 2 7 2" xfId="9187" xr:uid="{00000000-0005-0000-0000-0000D3010000}"/>
    <cellStyle name="20% - Accent4 2 7 3" xfId="12097" xr:uid="{00000000-0005-0000-0000-0000D4010000}"/>
    <cellStyle name="20% - Accent4 2 8" xfId="297" xr:uid="{00000000-0005-0000-0000-0000D5010000}"/>
    <cellStyle name="20% - Accent4 2 8 2" xfId="9188" xr:uid="{00000000-0005-0000-0000-0000D6010000}"/>
    <cellStyle name="20% - Accent4 2 8 3" xfId="12098" xr:uid="{00000000-0005-0000-0000-0000D7010000}"/>
    <cellStyle name="20% - Accent4 2 9" xfId="298" xr:uid="{00000000-0005-0000-0000-0000D8010000}"/>
    <cellStyle name="20% - Accent4 2 9 2" xfId="9189" xr:uid="{00000000-0005-0000-0000-0000D9010000}"/>
    <cellStyle name="20% - Accent4 2 9 3" xfId="12099" xr:uid="{00000000-0005-0000-0000-0000DA010000}"/>
    <cellStyle name="20% - Accent4 20" xfId="38232" xr:uid="{00000000-0005-0000-0000-0000F5000000}"/>
    <cellStyle name="20% - Accent4 21" xfId="38233" xr:uid="{00000000-0005-0000-0000-0000F6000000}"/>
    <cellStyle name="20% - Accent4 22" xfId="38234" xr:uid="{00000000-0005-0000-0000-0000F7000000}"/>
    <cellStyle name="20% - Accent4 23" xfId="38235" xr:uid="{00000000-0005-0000-0000-0000F8000000}"/>
    <cellStyle name="20% - Accent4 24" xfId="38236" xr:uid="{00000000-0005-0000-0000-0000F9000000}"/>
    <cellStyle name="20% - Accent4 25" xfId="38237" xr:uid="{00000000-0005-0000-0000-0000FA000000}"/>
    <cellStyle name="20% - Accent4 26" xfId="38238" xr:uid="{00000000-0005-0000-0000-0000FB000000}"/>
    <cellStyle name="20% - Accent4 27" xfId="38239" xr:uid="{00000000-0005-0000-0000-0000FC000000}"/>
    <cellStyle name="20% - Accent4 28" xfId="38240" xr:uid="{00000000-0005-0000-0000-0000FD000000}"/>
    <cellStyle name="20% - Accent4 29" xfId="38241" xr:uid="{00000000-0005-0000-0000-0000FE000000}"/>
    <cellStyle name="20% - Accent4 3" xfId="299" xr:uid="{00000000-0005-0000-0000-0000DB010000}"/>
    <cellStyle name="20% - Accent4 3 10" xfId="300" xr:uid="{00000000-0005-0000-0000-0000DC010000}"/>
    <cellStyle name="20% - Accent4 3 10 2" xfId="9190" xr:uid="{00000000-0005-0000-0000-0000DD010000}"/>
    <cellStyle name="20% - Accent4 3 11" xfId="301" xr:uid="{00000000-0005-0000-0000-0000DE010000}"/>
    <cellStyle name="20% - Accent4 3 11 2" xfId="9191" xr:uid="{00000000-0005-0000-0000-0000DF010000}"/>
    <cellStyle name="20% - Accent4 3 12" xfId="9192" xr:uid="{00000000-0005-0000-0000-0000E0010000}"/>
    <cellStyle name="20% - Accent4 3 13" xfId="12100" xr:uid="{00000000-0005-0000-0000-0000E1010000}"/>
    <cellStyle name="20% - Accent4 3 14" xfId="14139" xr:uid="{00000000-0005-0000-0000-0000E2010000}"/>
    <cellStyle name="20% - Accent4 3 2" xfId="302" xr:uid="{00000000-0005-0000-0000-0000E3010000}"/>
    <cellStyle name="20% - Accent4 3 2 2" xfId="9193" xr:uid="{00000000-0005-0000-0000-0000E4010000}"/>
    <cellStyle name="20% - Accent4 3 2 3" xfId="38242" xr:uid="{00000000-0005-0000-0000-000000010000}"/>
    <cellStyle name="20% - Accent4 3 3" xfId="303" xr:uid="{00000000-0005-0000-0000-0000E5010000}"/>
    <cellStyle name="20% - Accent4 3 3 2" xfId="9194" xr:uid="{00000000-0005-0000-0000-0000E6010000}"/>
    <cellStyle name="20% - Accent4 3 4" xfId="304" xr:uid="{00000000-0005-0000-0000-0000E7010000}"/>
    <cellStyle name="20% - Accent4 3 4 2" xfId="9195" xr:uid="{00000000-0005-0000-0000-0000E8010000}"/>
    <cellStyle name="20% - Accent4 3 5" xfId="305" xr:uid="{00000000-0005-0000-0000-0000E9010000}"/>
    <cellStyle name="20% - Accent4 3 5 2" xfId="9196" xr:uid="{00000000-0005-0000-0000-0000EA010000}"/>
    <cellStyle name="20% - Accent4 3 6" xfId="306" xr:uid="{00000000-0005-0000-0000-0000EB010000}"/>
    <cellStyle name="20% - Accent4 3 6 2" xfId="9197" xr:uid="{00000000-0005-0000-0000-0000EC010000}"/>
    <cellStyle name="20% - Accent4 3 7" xfId="307" xr:uid="{00000000-0005-0000-0000-0000ED010000}"/>
    <cellStyle name="20% - Accent4 3 7 2" xfId="9198" xr:uid="{00000000-0005-0000-0000-0000EE010000}"/>
    <cellStyle name="20% - Accent4 3 8" xfId="308" xr:uid="{00000000-0005-0000-0000-0000EF010000}"/>
    <cellStyle name="20% - Accent4 3 8 2" xfId="9199" xr:uid="{00000000-0005-0000-0000-0000F0010000}"/>
    <cellStyle name="20% - Accent4 3 9" xfId="309" xr:uid="{00000000-0005-0000-0000-0000F1010000}"/>
    <cellStyle name="20% - Accent4 3 9 2" xfId="9200" xr:uid="{00000000-0005-0000-0000-0000F2010000}"/>
    <cellStyle name="20% - Accent4 30" xfId="38243" xr:uid="{00000000-0005-0000-0000-000002010000}"/>
    <cellStyle name="20% - Accent4 31" xfId="38244" xr:uid="{00000000-0005-0000-0000-000003010000}"/>
    <cellStyle name="20% - Accent4 32" xfId="38245" xr:uid="{00000000-0005-0000-0000-000004010000}"/>
    <cellStyle name="20% - Accent4 33" xfId="38246" xr:uid="{00000000-0005-0000-0000-000005010000}"/>
    <cellStyle name="20% - Accent4 34" xfId="38247" xr:uid="{00000000-0005-0000-0000-000006010000}"/>
    <cellStyle name="20% - Accent4 35" xfId="38248" xr:uid="{00000000-0005-0000-0000-000007010000}"/>
    <cellStyle name="20% - Accent4 36" xfId="38249" xr:uid="{00000000-0005-0000-0000-000008010000}"/>
    <cellStyle name="20% - Accent4 37" xfId="38250" xr:uid="{00000000-0005-0000-0000-000009010000}"/>
    <cellStyle name="20% - Accent4 38" xfId="38251" xr:uid="{00000000-0005-0000-0000-00000A010000}"/>
    <cellStyle name="20% - Accent4 39" xfId="38252" xr:uid="{00000000-0005-0000-0000-00000B010000}"/>
    <cellStyle name="20% - Accent4 4" xfId="310" xr:uid="{00000000-0005-0000-0000-0000F3010000}"/>
    <cellStyle name="20% - Accent4 4 10" xfId="311" xr:uid="{00000000-0005-0000-0000-0000F4010000}"/>
    <cellStyle name="20% - Accent4 4 10 2" xfId="9201" xr:uid="{00000000-0005-0000-0000-0000F5010000}"/>
    <cellStyle name="20% - Accent4 4 11" xfId="312" xr:uid="{00000000-0005-0000-0000-0000F6010000}"/>
    <cellStyle name="20% - Accent4 4 11 2" xfId="9202" xr:uid="{00000000-0005-0000-0000-0000F7010000}"/>
    <cellStyle name="20% - Accent4 4 12" xfId="9203" xr:uid="{00000000-0005-0000-0000-0000F8010000}"/>
    <cellStyle name="20% - Accent4 4 13" xfId="12101" xr:uid="{00000000-0005-0000-0000-0000F9010000}"/>
    <cellStyle name="20% - Accent4 4 2" xfId="313" xr:uid="{00000000-0005-0000-0000-0000FA010000}"/>
    <cellStyle name="20% - Accent4 4 2 2" xfId="9204" xr:uid="{00000000-0005-0000-0000-0000FB010000}"/>
    <cellStyle name="20% - Accent4 4 2 3" xfId="38253" xr:uid="{00000000-0005-0000-0000-00000D010000}"/>
    <cellStyle name="20% - Accent4 4 3" xfId="314" xr:uid="{00000000-0005-0000-0000-0000FC010000}"/>
    <cellStyle name="20% - Accent4 4 3 2" xfId="9205" xr:uid="{00000000-0005-0000-0000-0000FD010000}"/>
    <cellStyle name="20% - Accent4 4 4" xfId="315" xr:uid="{00000000-0005-0000-0000-0000FE010000}"/>
    <cellStyle name="20% - Accent4 4 4 2" xfId="9206" xr:uid="{00000000-0005-0000-0000-0000FF010000}"/>
    <cellStyle name="20% - Accent4 4 5" xfId="316" xr:uid="{00000000-0005-0000-0000-000000020000}"/>
    <cellStyle name="20% - Accent4 4 5 2" xfId="9207" xr:uid="{00000000-0005-0000-0000-000001020000}"/>
    <cellStyle name="20% - Accent4 4 6" xfId="317" xr:uid="{00000000-0005-0000-0000-000002020000}"/>
    <cellStyle name="20% - Accent4 4 6 2" xfId="9208" xr:uid="{00000000-0005-0000-0000-000003020000}"/>
    <cellStyle name="20% - Accent4 4 7" xfId="318" xr:uid="{00000000-0005-0000-0000-000004020000}"/>
    <cellStyle name="20% - Accent4 4 7 2" xfId="9209" xr:uid="{00000000-0005-0000-0000-000005020000}"/>
    <cellStyle name="20% - Accent4 4 8" xfId="319" xr:uid="{00000000-0005-0000-0000-000006020000}"/>
    <cellStyle name="20% - Accent4 4 8 2" xfId="9210" xr:uid="{00000000-0005-0000-0000-000007020000}"/>
    <cellStyle name="20% - Accent4 4 9" xfId="320" xr:uid="{00000000-0005-0000-0000-000008020000}"/>
    <cellStyle name="20% - Accent4 4 9 2" xfId="9211" xr:uid="{00000000-0005-0000-0000-000009020000}"/>
    <cellStyle name="20% - Accent4 40" xfId="38254" xr:uid="{00000000-0005-0000-0000-00000F010000}"/>
    <cellStyle name="20% - Accent4 41" xfId="38255" xr:uid="{00000000-0005-0000-0000-000010010000}"/>
    <cellStyle name="20% - Accent4 42" xfId="38256" xr:uid="{00000000-0005-0000-0000-000011010000}"/>
    <cellStyle name="20% - Accent4 43" xfId="38257" xr:uid="{00000000-0005-0000-0000-000012010000}"/>
    <cellStyle name="20% - Accent4 5" xfId="321" xr:uid="{00000000-0005-0000-0000-00000A020000}"/>
    <cellStyle name="20% - Accent4 5 10" xfId="322" xr:uid="{00000000-0005-0000-0000-00000B020000}"/>
    <cellStyle name="20% - Accent4 5 10 2" xfId="9212" xr:uid="{00000000-0005-0000-0000-00000C020000}"/>
    <cellStyle name="20% - Accent4 5 11" xfId="323" xr:uid="{00000000-0005-0000-0000-00000D020000}"/>
    <cellStyle name="20% - Accent4 5 11 2" xfId="9213" xr:uid="{00000000-0005-0000-0000-00000E020000}"/>
    <cellStyle name="20% - Accent4 5 12" xfId="9214" xr:uid="{00000000-0005-0000-0000-00000F020000}"/>
    <cellStyle name="20% - Accent4 5 13" xfId="12102" xr:uid="{00000000-0005-0000-0000-000010020000}"/>
    <cellStyle name="20% - Accent4 5 2" xfId="324" xr:uid="{00000000-0005-0000-0000-000011020000}"/>
    <cellStyle name="20% - Accent4 5 2 2" xfId="9215" xr:uid="{00000000-0005-0000-0000-000012020000}"/>
    <cellStyle name="20% - Accent4 5 2 3" xfId="38258" xr:uid="{00000000-0005-0000-0000-000014010000}"/>
    <cellStyle name="20% - Accent4 5 3" xfId="325" xr:uid="{00000000-0005-0000-0000-000013020000}"/>
    <cellStyle name="20% - Accent4 5 3 2" xfId="9216" xr:uid="{00000000-0005-0000-0000-000014020000}"/>
    <cellStyle name="20% - Accent4 5 4" xfId="326" xr:uid="{00000000-0005-0000-0000-000015020000}"/>
    <cellStyle name="20% - Accent4 5 4 2" xfId="9217" xr:uid="{00000000-0005-0000-0000-000016020000}"/>
    <cellStyle name="20% - Accent4 5 5" xfId="327" xr:uid="{00000000-0005-0000-0000-000017020000}"/>
    <cellStyle name="20% - Accent4 5 5 2" xfId="9218" xr:uid="{00000000-0005-0000-0000-000018020000}"/>
    <cellStyle name="20% - Accent4 5 6" xfId="328" xr:uid="{00000000-0005-0000-0000-000019020000}"/>
    <cellStyle name="20% - Accent4 5 6 2" xfId="9219" xr:uid="{00000000-0005-0000-0000-00001A020000}"/>
    <cellStyle name="20% - Accent4 5 7" xfId="329" xr:uid="{00000000-0005-0000-0000-00001B020000}"/>
    <cellStyle name="20% - Accent4 5 7 2" xfId="9220" xr:uid="{00000000-0005-0000-0000-00001C020000}"/>
    <cellStyle name="20% - Accent4 5 8" xfId="330" xr:uid="{00000000-0005-0000-0000-00001D020000}"/>
    <cellStyle name="20% - Accent4 5 8 2" xfId="9221" xr:uid="{00000000-0005-0000-0000-00001E020000}"/>
    <cellStyle name="20% - Accent4 5 9" xfId="331" xr:uid="{00000000-0005-0000-0000-00001F020000}"/>
    <cellStyle name="20% - Accent4 5 9 2" xfId="9222" xr:uid="{00000000-0005-0000-0000-000020020000}"/>
    <cellStyle name="20% - Accent4 6" xfId="332" xr:uid="{00000000-0005-0000-0000-000021020000}"/>
    <cellStyle name="20% - Accent4 6 10" xfId="333" xr:uid="{00000000-0005-0000-0000-000022020000}"/>
    <cellStyle name="20% - Accent4 6 10 2" xfId="9223" xr:uid="{00000000-0005-0000-0000-000023020000}"/>
    <cellStyle name="20% - Accent4 6 11" xfId="334" xr:uid="{00000000-0005-0000-0000-000024020000}"/>
    <cellStyle name="20% - Accent4 6 11 2" xfId="9224" xr:uid="{00000000-0005-0000-0000-000025020000}"/>
    <cellStyle name="20% - Accent4 6 12" xfId="9225" xr:uid="{00000000-0005-0000-0000-000026020000}"/>
    <cellStyle name="20% - Accent4 6 13" xfId="12103" xr:uid="{00000000-0005-0000-0000-000027020000}"/>
    <cellStyle name="20% - Accent4 6 2" xfId="335" xr:uid="{00000000-0005-0000-0000-000028020000}"/>
    <cellStyle name="20% - Accent4 6 2 2" xfId="9226" xr:uid="{00000000-0005-0000-0000-000029020000}"/>
    <cellStyle name="20% - Accent4 6 2 3" xfId="38259" xr:uid="{00000000-0005-0000-0000-000017010000}"/>
    <cellStyle name="20% - Accent4 6 3" xfId="336" xr:uid="{00000000-0005-0000-0000-00002A020000}"/>
    <cellStyle name="20% - Accent4 6 3 2" xfId="9227" xr:uid="{00000000-0005-0000-0000-00002B020000}"/>
    <cellStyle name="20% - Accent4 6 4" xfId="337" xr:uid="{00000000-0005-0000-0000-00002C020000}"/>
    <cellStyle name="20% - Accent4 6 4 2" xfId="9228" xr:uid="{00000000-0005-0000-0000-00002D020000}"/>
    <cellStyle name="20% - Accent4 6 5" xfId="338" xr:uid="{00000000-0005-0000-0000-00002E020000}"/>
    <cellStyle name="20% - Accent4 6 5 2" xfId="9229" xr:uid="{00000000-0005-0000-0000-00002F020000}"/>
    <cellStyle name="20% - Accent4 6 6" xfId="339" xr:uid="{00000000-0005-0000-0000-000030020000}"/>
    <cellStyle name="20% - Accent4 6 6 2" xfId="9230" xr:uid="{00000000-0005-0000-0000-000031020000}"/>
    <cellStyle name="20% - Accent4 6 7" xfId="340" xr:uid="{00000000-0005-0000-0000-000032020000}"/>
    <cellStyle name="20% - Accent4 6 7 2" xfId="9231" xr:uid="{00000000-0005-0000-0000-000033020000}"/>
    <cellStyle name="20% - Accent4 6 8" xfId="341" xr:uid="{00000000-0005-0000-0000-000034020000}"/>
    <cellStyle name="20% - Accent4 6 8 2" xfId="9232" xr:uid="{00000000-0005-0000-0000-000035020000}"/>
    <cellStyle name="20% - Accent4 6 9" xfId="342" xr:uid="{00000000-0005-0000-0000-000036020000}"/>
    <cellStyle name="20% - Accent4 6 9 2" xfId="9233" xr:uid="{00000000-0005-0000-0000-000037020000}"/>
    <cellStyle name="20% - Accent4 7" xfId="343" xr:uid="{00000000-0005-0000-0000-000038020000}"/>
    <cellStyle name="20% - Accent4 7 2" xfId="9234" xr:uid="{00000000-0005-0000-0000-000039020000}"/>
    <cellStyle name="20% - Accent4 7 2 2" xfId="38261" xr:uid="{00000000-0005-0000-0000-00001A010000}"/>
    <cellStyle name="20% - Accent4 7 3" xfId="12104" xr:uid="{00000000-0005-0000-0000-00003A020000}"/>
    <cellStyle name="20% - Accent4 7 3 2" xfId="38260" xr:uid="{00000000-0005-0000-0000-00001B010000}"/>
    <cellStyle name="20% - Accent4 8" xfId="344" xr:uid="{00000000-0005-0000-0000-00003B020000}"/>
    <cellStyle name="20% - Accent4 8 2" xfId="9235" xr:uid="{00000000-0005-0000-0000-00003C020000}"/>
    <cellStyle name="20% - Accent4 8 2 2" xfId="38263" xr:uid="{00000000-0005-0000-0000-00001D010000}"/>
    <cellStyle name="20% - Accent4 8 3" xfId="12105" xr:uid="{00000000-0005-0000-0000-00003D020000}"/>
    <cellStyle name="20% - Accent4 8 3 2" xfId="38262" xr:uid="{00000000-0005-0000-0000-00001E010000}"/>
    <cellStyle name="20% - Accent4 9" xfId="345" xr:uid="{00000000-0005-0000-0000-00003E020000}"/>
    <cellStyle name="20% - Accent4 9 2" xfId="9236" xr:uid="{00000000-0005-0000-0000-00003F020000}"/>
    <cellStyle name="20% - Accent5 10" xfId="346" xr:uid="{00000000-0005-0000-0000-000040020000}"/>
    <cellStyle name="20% - Accent5 10 2" xfId="9237" xr:uid="{00000000-0005-0000-0000-000041020000}"/>
    <cellStyle name="20% - Accent5 11" xfId="38264" xr:uid="{00000000-0005-0000-0000-000023010000}"/>
    <cellStyle name="20% - Accent5 11 2" xfId="38265" xr:uid="{00000000-0005-0000-0000-000024010000}"/>
    <cellStyle name="20% - Accent5 12" xfId="38266" xr:uid="{00000000-0005-0000-0000-000025010000}"/>
    <cellStyle name="20% - Accent5 13" xfId="38267" xr:uid="{00000000-0005-0000-0000-000026010000}"/>
    <cellStyle name="20% - Accent5 14" xfId="38268" xr:uid="{00000000-0005-0000-0000-000027010000}"/>
    <cellStyle name="20% - Accent5 15" xfId="38269" xr:uid="{00000000-0005-0000-0000-000028010000}"/>
    <cellStyle name="20% - Accent5 16" xfId="38270" xr:uid="{00000000-0005-0000-0000-000029010000}"/>
    <cellStyle name="20% - Accent5 17" xfId="38271" xr:uid="{00000000-0005-0000-0000-00002A010000}"/>
    <cellStyle name="20% - Accent5 18" xfId="38272" xr:uid="{00000000-0005-0000-0000-00002B010000}"/>
    <cellStyle name="20% - Accent5 19" xfId="38273" xr:uid="{00000000-0005-0000-0000-00002C010000}"/>
    <cellStyle name="20% - Accent5 2" xfId="347" xr:uid="{00000000-0005-0000-0000-000042020000}"/>
    <cellStyle name="20% - Accent5 2 10" xfId="348" xr:uid="{00000000-0005-0000-0000-000043020000}"/>
    <cellStyle name="20% - Accent5 2 10 2" xfId="9238" xr:uid="{00000000-0005-0000-0000-000044020000}"/>
    <cellStyle name="20% - Accent5 2 11" xfId="349" xr:uid="{00000000-0005-0000-0000-000045020000}"/>
    <cellStyle name="20% - Accent5 2 11 2" xfId="9239" xr:uid="{00000000-0005-0000-0000-000046020000}"/>
    <cellStyle name="20% - Accent5 2 12" xfId="9240" xr:uid="{00000000-0005-0000-0000-000047020000}"/>
    <cellStyle name="20% - Accent5 2 12 2" xfId="9241" xr:uid="{00000000-0005-0000-0000-000048020000}"/>
    <cellStyle name="20% - Accent5 2 13" xfId="9242" xr:uid="{00000000-0005-0000-0000-000049020000}"/>
    <cellStyle name="20% - Accent5 2 14" xfId="12106" xr:uid="{00000000-0005-0000-0000-00004A020000}"/>
    <cellStyle name="20% - Accent5 2 15" xfId="12107" xr:uid="{00000000-0005-0000-0000-00004B020000}"/>
    <cellStyle name="20% - Accent5 2 2" xfId="350" xr:uid="{00000000-0005-0000-0000-00004C020000}"/>
    <cellStyle name="20% - Accent5 2 2 2" xfId="9243" xr:uid="{00000000-0005-0000-0000-00004D020000}"/>
    <cellStyle name="20% - Accent5 2 3" xfId="351" xr:uid="{00000000-0005-0000-0000-00004E020000}"/>
    <cellStyle name="20% - Accent5 2 3 2" xfId="9244" xr:uid="{00000000-0005-0000-0000-00004F020000}"/>
    <cellStyle name="20% - Accent5 2 4" xfId="352" xr:uid="{00000000-0005-0000-0000-000050020000}"/>
    <cellStyle name="20% - Accent5 2 4 2" xfId="9245" xr:uid="{00000000-0005-0000-0000-000051020000}"/>
    <cellStyle name="20% - Accent5 2 5" xfId="353" xr:uid="{00000000-0005-0000-0000-000052020000}"/>
    <cellStyle name="20% - Accent5 2 5 2" xfId="9246" xr:uid="{00000000-0005-0000-0000-000053020000}"/>
    <cellStyle name="20% - Accent5 2 6" xfId="354" xr:uid="{00000000-0005-0000-0000-000054020000}"/>
    <cellStyle name="20% - Accent5 2 6 2" xfId="9247" xr:uid="{00000000-0005-0000-0000-000055020000}"/>
    <cellStyle name="20% - Accent5 2 7" xfId="355" xr:uid="{00000000-0005-0000-0000-000056020000}"/>
    <cellStyle name="20% - Accent5 2 7 2" xfId="9248" xr:uid="{00000000-0005-0000-0000-000057020000}"/>
    <cellStyle name="20% - Accent5 2 8" xfId="356" xr:uid="{00000000-0005-0000-0000-000058020000}"/>
    <cellStyle name="20% - Accent5 2 8 2" xfId="9249" xr:uid="{00000000-0005-0000-0000-000059020000}"/>
    <cellStyle name="20% - Accent5 2 9" xfId="357" xr:uid="{00000000-0005-0000-0000-00005A020000}"/>
    <cellStyle name="20% - Accent5 2 9 2" xfId="9250" xr:uid="{00000000-0005-0000-0000-00005B020000}"/>
    <cellStyle name="20% - Accent5 20" xfId="38274" xr:uid="{00000000-0005-0000-0000-00003C010000}"/>
    <cellStyle name="20% - Accent5 21" xfId="38275" xr:uid="{00000000-0005-0000-0000-00003D010000}"/>
    <cellStyle name="20% - Accent5 22" xfId="38276" xr:uid="{00000000-0005-0000-0000-00003E010000}"/>
    <cellStyle name="20% - Accent5 23" xfId="38277" xr:uid="{00000000-0005-0000-0000-00003F010000}"/>
    <cellStyle name="20% - Accent5 24" xfId="38278" xr:uid="{00000000-0005-0000-0000-000040010000}"/>
    <cellStyle name="20% - Accent5 25" xfId="38279" xr:uid="{00000000-0005-0000-0000-000041010000}"/>
    <cellStyle name="20% - Accent5 26" xfId="38280" xr:uid="{00000000-0005-0000-0000-000042010000}"/>
    <cellStyle name="20% - Accent5 27" xfId="38281" xr:uid="{00000000-0005-0000-0000-000043010000}"/>
    <cellStyle name="20% - Accent5 28" xfId="38282" xr:uid="{00000000-0005-0000-0000-000044010000}"/>
    <cellStyle name="20% - Accent5 29" xfId="38283" xr:uid="{00000000-0005-0000-0000-000045010000}"/>
    <cellStyle name="20% - Accent5 3" xfId="358" xr:uid="{00000000-0005-0000-0000-00005C020000}"/>
    <cellStyle name="20% - Accent5 3 10" xfId="359" xr:uid="{00000000-0005-0000-0000-00005D020000}"/>
    <cellStyle name="20% - Accent5 3 10 2" xfId="9251" xr:uid="{00000000-0005-0000-0000-00005E020000}"/>
    <cellStyle name="20% - Accent5 3 11" xfId="360" xr:uid="{00000000-0005-0000-0000-00005F020000}"/>
    <cellStyle name="20% - Accent5 3 11 2" xfId="9252" xr:uid="{00000000-0005-0000-0000-000060020000}"/>
    <cellStyle name="20% - Accent5 3 12" xfId="9253" xr:uid="{00000000-0005-0000-0000-000061020000}"/>
    <cellStyle name="20% - Accent5 3 2" xfId="361" xr:uid="{00000000-0005-0000-0000-000062020000}"/>
    <cellStyle name="20% - Accent5 3 2 2" xfId="9254" xr:uid="{00000000-0005-0000-0000-000063020000}"/>
    <cellStyle name="20% - Accent5 3 3" xfId="362" xr:uid="{00000000-0005-0000-0000-000064020000}"/>
    <cellStyle name="20% - Accent5 3 3 2" xfId="9255" xr:uid="{00000000-0005-0000-0000-000065020000}"/>
    <cellStyle name="20% - Accent5 3 4" xfId="363" xr:uid="{00000000-0005-0000-0000-000066020000}"/>
    <cellStyle name="20% - Accent5 3 4 2" xfId="9256" xr:uid="{00000000-0005-0000-0000-000067020000}"/>
    <cellStyle name="20% - Accent5 3 5" xfId="364" xr:uid="{00000000-0005-0000-0000-000068020000}"/>
    <cellStyle name="20% - Accent5 3 5 2" xfId="9257" xr:uid="{00000000-0005-0000-0000-000069020000}"/>
    <cellStyle name="20% - Accent5 3 6" xfId="365" xr:uid="{00000000-0005-0000-0000-00006A020000}"/>
    <cellStyle name="20% - Accent5 3 6 2" xfId="9258" xr:uid="{00000000-0005-0000-0000-00006B020000}"/>
    <cellStyle name="20% - Accent5 3 7" xfId="366" xr:uid="{00000000-0005-0000-0000-00006C020000}"/>
    <cellStyle name="20% - Accent5 3 7 2" xfId="9259" xr:uid="{00000000-0005-0000-0000-00006D020000}"/>
    <cellStyle name="20% - Accent5 3 8" xfId="367" xr:uid="{00000000-0005-0000-0000-00006E020000}"/>
    <cellStyle name="20% - Accent5 3 8 2" xfId="9260" xr:uid="{00000000-0005-0000-0000-00006F020000}"/>
    <cellStyle name="20% - Accent5 3 9" xfId="368" xr:uid="{00000000-0005-0000-0000-000070020000}"/>
    <cellStyle name="20% - Accent5 3 9 2" xfId="9261" xr:uid="{00000000-0005-0000-0000-000071020000}"/>
    <cellStyle name="20% - Accent5 30" xfId="38284" xr:uid="{00000000-0005-0000-0000-000047010000}"/>
    <cellStyle name="20% - Accent5 31" xfId="38285" xr:uid="{00000000-0005-0000-0000-000048010000}"/>
    <cellStyle name="20% - Accent5 32" xfId="38286" xr:uid="{00000000-0005-0000-0000-000049010000}"/>
    <cellStyle name="20% - Accent5 33" xfId="38287" xr:uid="{00000000-0005-0000-0000-00004A010000}"/>
    <cellStyle name="20% - Accent5 34" xfId="38288" xr:uid="{00000000-0005-0000-0000-00004B010000}"/>
    <cellStyle name="20% - Accent5 35" xfId="38289" xr:uid="{00000000-0005-0000-0000-00004C010000}"/>
    <cellStyle name="20% - Accent5 36" xfId="38290" xr:uid="{00000000-0005-0000-0000-00004D010000}"/>
    <cellStyle name="20% - Accent5 37" xfId="38291" xr:uid="{00000000-0005-0000-0000-00004E010000}"/>
    <cellStyle name="20% - Accent5 38" xfId="38292" xr:uid="{00000000-0005-0000-0000-00004F010000}"/>
    <cellStyle name="20% - Accent5 39" xfId="38293" xr:uid="{00000000-0005-0000-0000-000050010000}"/>
    <cellStyle name="20% - Accent5 4" xfId="369" xr:uid="{00000000-0005-0000-0000-000072020000}"/>
    <cellStyle name="20% - Accent5 4 10" xfId="370" xr:uid="{00000000-0005-0000-0000-000073020000}"/>
    <cellStyle name="20% - Accent5 4 10 2" xfId="9262" xr:uid="{00000000-0005-0000-0000-000074020000}"/>
    <cellStyle name="20% - Accent5 4 11" xfId="371" xr:uid="{00000000-0005-0000-0000-000075020000}"/>
    <cellStyle name="20% - Accent5 4 11 2" xfId="9263" xr:uid="{00000000-0005-0000-0000-000076020000}"/>
    <cellStyle name="20% - Accent5 4 12" xfId="9264" xr:uid="{00000000-0005-0000-0000-000077020000}"/>
    <cellStyle name="20% - Accent5 4 2" xfId="372" xr:uid="{00000000-0005-0000-0000-000078020000}"/>
    <cellStyle name="20% - Accent5 4 2 2" xfId="9265" xr:uid="{00000000-0005-0000-0000-000079020000}"/>
    <cellStyle name="20% - Accent5 4 3" xfId="373" xr:uid="{00000000-0005-0000-0000-00007A020000}"/>
    <cellStyle name="20% - Accent5 4 3 2" xfId="9266" xr:uid="{00000000-0005-0000-0000-00007B020000}"/>
    <cellStyle name="20% - Accent5 4 4" xfId="374" xr:uid="{00000000-0005-0000-0000-00007C020000}"/>
    <cellStyle name="20% - Accent5 4 4 2" xfId="9267" xr:uid="{00000000-0005-0000-0000-00007D020000}"/>
    <cellStyle name="20% - Accent5 4 5" xfId="375" xr:uid="{00000000-0005-0000-0000-00007E020000}"/>
    <cellStyle name="20% - Accent5 4 5 2" xfId="9268" xr:uid="{00000000-0005-0000-0000-00007F020000}"/>
    <cellStyle name="20% - Accent5 4 6" xfId="376" xr:uid="{00000000-0005-0000-0000-000080020000}"/>
    <cellStyle name="20% - Accent5 4 6 2" xfId="9269" xr:uid="{00000000-0005-0000-0000-000081020000}"/>
    <cellStyle name="20% - Accent5 4 7" xfId="377" xr:uid="{00000000-0005-0000-0000-000082020000}"/>
    <cellStyle name="20% - Accent5 4 7 2" xfId="9270" xr:uid="{00000000-0005-0000-0000-000083020000}"/>
    <cellStyle name="20% - Accent5 4 8" xfId="378" xr:uid="{00000000-0005-0000-0000-000084020000}"/>
    <cellStyle name="20% - Accent5 4 8 2" xfId="9271" xr:uid="{00000000-0005-0000-0000-000085020000}"/>
    <cellStyle name="20% - Accent5 4 9" xfId="379" xr:uid="{00000000-0005-0000-0000-000086020000}"/>
    <cellStyle name="20% - Accent5 4 9 2" xfId="9272" xr:uid="{00000000-0005-0000-0000-000087020000}"/>
    <cellStyle name="20% - Accent5 40" xfId="38294" xr:uid="{00000000-0005-0000-0000-000052010000}"/>
    <cellStyle name="20% - Accent5 41" xfId="38295" xr:uid="{00000000-0005-0000-0000-000053010000}"/>
    <cellStyle name="20% - Accent5 42" xfId="38296" xr:uid="{00000000-0005-0000-0000-000054010000}"/>
    <cellStyle name="20% - Accent5 43" xfId="38297" xr:uid="{00000000-0005-0000-0000-000055010000}"/>
    <cellStyle name="20% - Accent5 5" xfId="380" xr:uid="{00000000-0005-0000-0000-000088020000}"/>
    <cellStyle name="20% - Accent5 5 10" xfId="381" xr:uid="{00000000-0005-0000-0000-000089020000}"/>
    <cellStyle name="20% - Accent5 5 10 2" xfId="9273" xr:uid="{00000000-0005-0000-0000-00008A020000}"/>
    <cellStyle name="20% - Accent5 5 11" xfId="382" xr:uid="{00000000-0005-0000-0000-00008B020000}"/>
    <cellStyle name="20% - Accent5 5 11 2" xfId="9274" xr:uid="{00000000-0005-0000-0000-00008C020000}"/>
    <cellStyle name="20% - Accent5 5 12" xfId="9275" xr:uid="{00000000-0005-0000-0000-00008D020000}"/>
    <cellStyle name="20% - Accent5 5 2" xfId="383" xr:uid="{00000000-0005-0000-0000-00008E020000}"/>
    <cellStyle name="20% - Accent5 5 2 2" xfId="9276" xr:uid="{00000000-0005-0000-0000-00008F020000}"/>
    <cellStyle name="20% - Accent5 5 3" xfId="384" xr:uid="{00000000-0005-0000-0000-000090020000}"/>
    <cellStyle name="20% - Accent5 5 3 2" xfId="9277" xr:uid="{00000000-0005-0000-0000-000091020000}"/>
    <cellStyle name="20% - Accent5 5 4" xfId="385" xr:uid="{00000000-0005-0000-0000-000092020000}"/>
    <cellStyle name="20% - Accent5 5 4 2" xfId="9278" xr:uid="{00000000-0005-0000-0000-000093020000}"/>
    <cellStyle name="20% - Accent5 5 5" xfId="386" xr:uid="{00000000-0005-0000-0000-000094020000}"/>
    <cellStyle name="20% - Accent5 5 5 2" xfId="9279" xr:uid="{00000000-0005-0000-0000-000095020000}"/>
    <cellStyle name="20% - Accent5 5 6" xfId="387" xr:uid="{00000000-0005-0000-0000-000096020000}"/>
    <cellStyle name="20% - Accent5 5 6 2" xfId="9280" xr:uid="{00000000-0005-0000-0000-000097020000}"/>
    <cellStyle name="20% - Accent5 5 7" xfId="388" xr:uid="{00000000-0005-0000-0000-000098020000}"/>
    <cellStyle name="20% - Accent5 5 7 2" xfId="9281" xr:uid="{00000000-0005-0000-0000-000099020000}"/>
    <cellStyle name="20% - Accent5 5 8" xfId="389" xr:uid="{00000000-0005-0000-0000-00009A020000}"/>
    <cellStyle name="20% - Accent5 5 8 2" xfId="9282" xr:uid="{00000000-0005-0000-0000-00009B020000}"/>
    <cellStyle name="20% - Accent5 5 9" xfId="390" xr:uid="{00000000-0005-0000-0000-00009C020000}"/>
    <cellStyle name="20% - Accent5 5 9 2" xfId="9283" xr:uid="{00000000-0005-0000-0000-00009D020000}"/>
    <cellStyle name="20% - Accent5 6" xfId="391" xr:uid="{00000000-0005-0000-0000-00009E020000}"/>
    <cellStyle name="20% - Accent5 6 10" xfId="392" xr:uid="{00000000-0005-0000-0000-00009F020000}"/>
    <cellStyle name="20% - Accent5 6 10 2" xfId="9284" xr:uid="{00000000-0005-0000-0000-0000A0020000}"/>
    <cellStyle name="20% - Accent5 6 11" xfId="393" xr:uid="{00000000-0005-0000-0000-0000A1020000}"/>
    <cellStyle name="20% - Accent5 6 11 2" xfId="9285" xr:uid="{00000000-0005-0000-0000-0000A2020000}"/>
    <cellStyle name="20% - Accent5 6 12" xfId="9286" xr:uid="{00000000-0005-0000-0000-0000A3020000}"/>
    <cellStyle name="20% - Accent5 6 2" xfId="394" xr:uid="{00000000-0005-0000-0000-0000A4020000}"/>
    <cellStyle name="20% - Accent5 6 2 2" xfId="9287" xr:uid="{00000000-0005-0000-0000-0000A5020000}"/>
    <cellStyle name="20% - Accent5 6 3" xfId="395" xr:uid="{00000000-0005-0000-0000-0000A6020000}"/>
    <cellStyle name="20% - Accent5 6 3 2" xfId="9288" xr:uid="{00000000-0005-0000-0000-0000A7020000}"/>
    <cellStyle name="20% - Accent5 6 4" xfId="396" xr:uid="{00000000-0005-0000-0000-0000A8020000}"/>
    <cellStyle name="20% - Accent5 6 4 2" xfId="9289" xr:uid="{00000000-0005-0000-0000-0000A9020000}"/>
    <cellStyle name="20% - Accent5 6 5" xfId="397" xr:uid="{00000000-0005-0000-0000-0000AA020000}"/>
    <cellStyle name="20% - Accent5 6 5 2" xfId="9290" xr:uid="{00000000-0005-0000-0000-0000AB020000}"/>
    <cellStyle name="20% - Accent5 6 6" xfId="398" xr:uid="{00000000-0005-0000-0000-0000AC020000}"/>
    <cellStyle name="20% - Accent5 6 6 2" xfId="9291" xr:uid="{00000000-0005-0000-0000-0000AD020000}"/>
    <cellStyle name="20% - Accent5 6 7" xfId="399" xr:uid="{00000000-0005-0000-0000-0000AE020000}"/>
    <cellStyle name="20% - Accent5 6 7 2" xfId="9292" xr:uid="{00000000-0005-0000-0000-0000AF020000}"/>
    <cellStyle name="20% - Accent5 6 8" xfId="400" xr:uid="{00000000-0005-0000-0000-0000B0020000}"/>
    <cellStyle name="20% - Accent5 6 8 2" xfId="9293" xr:uid="{00000000-0005-0000-0000-0000B1020000}"/>
    <cellStyle name="20% - Accent5 6 9" xfId="401" xr:uid="{00000000-0005-0000-0000-0000B2020000}"/>
    <cellStyle name="20% - Accent5 6 9 2" xfId="9294" xr:uid="{00000000-0005-0000-0000-0000B3020000}"/>
    <cellStyle name="20% - Accent5 7" xfId="402" xr:uid="{00000000-0005-0000-0000-0000B4020000}"/>
    <cellStyle name="20% - Accent5 7 2" xfId="9295" xr:uid="{00000000-0005-0000-0000-0000B5020000}"/>
    <cellStyle name="20% - Accent5 8" xfId="403" xr:uid="{00000000-0005-0000-0000-0000B6020000}"/>
    <cellStyle name="20% - Accent5 8 2" xfId="9296" xr:uid="{00000000-0005-0000-0000-0000B7020000}"/>
    <cellStyle name="20% - Accent5 9" xfId="404" xr:uid="{00000000-0005-0000-0000-0000B8020000}"/>
    <cellStyle name="20% - Accent5 9 2" xfId="9297" xr:uid="{00000000-0005-0000-0000-0000B9020000}"/>
    <cellStyle name="20% - Accent6 10" xfId="405" xr:uid="{00000000-0005-0000-0000-0000BA020000}"/>
    <cellStyle name="20% - Accent6 10 2" xfId="9298" xr:uid="{00000000-0005-0000-0000-0000BB020000}"/>
    <cellStyle name="20% - Accent6 11" xfId="38298" xr:uid="{00000000-0005-0000-0000-00005E010000}"/>
    <cellStyle name="20% - Accent6 11 2" xfId="38299" xr:uid="{00000000-0005-0000-0000-00005F010000}"/>
    <cellStyle name="20% - Accent6 12" xfId="38300" xr:uid="{00000000-0005-0000-0000-000060010000}"/>
    <cellStyle name="20% - Accent6 13" xfId="38301" xr:uid="{00000000-0005-0000-0000-000061010000}"/>
    <cellStyle name="20% - Accent6 14" xfId="38302" xr:uid="{00000000-0005-0000-0000-000062010000}"/>
    <cellStyle name="20% - Accent6 15" xfId="38303" xr:uid="{00000000-0005-0000-0000-000063010000}"/>
    <cellStyle name="20% - Accent6 16" xfId="38304" xr:uid="{00000000-0005-0000-0000-000064010000}"/>
    <cellStyle name="20% - Accent6 17" xfId="38305" xr:uid="{00000000-0005-0000-0000-000065010000}"/>
    <cellStyle name="20% - Accent6 18" xfId="38306" xr:uid="{00000000-0005-0000-0000-000066010000}"/>
    <cellStyle name="20% - Accent6 19" xfId="38307" xr:uid="{00000000-0005-0000-0000-000067010000}"/>
    <cellStyle name="20% - Accent6 2" xfId="406" xr:uid="{00000000-0005-0000-0000-0000BC020000}"/>
    <cellStyle name="20% - Accent6 2 10" xfId="407" xr:uid="{00000000-0005-0000-0000-0000BD020000}"/>
    <cellStyle name="20% - Accent6 2 10 2" xfId="9299" xr:uid="{00000000-0005-0000-0000-0000BE020000}"/>
    <cellStyle name="20% - Accent6 2 10 3" xfId="12108" xr:uid="{00000000-0005-0000-0000-0000BF020000}"/>
    <cellStyle name="20% - Accent6 2 11" xfId="408" xr:uid="{00000000-0005-0000-0000-0000C0020000}"/>
    <cellStyle name="20% - Accent6 2 11 2" xfId="9300" xr:uid="{00000000-0005-0000-0000-0000C1020000}"/>
    <cellStyle name="20% - Accent6 2 11 3" xfId="12109" xr:uid="{00000000-0005-0000-0000-0000C2020000}"/>
    <cellStyle name="20% - Accent6 2 12" xfId="9301" xr:uid="{00000000-0005-0000-0000-0000C3020000}"/>
    <cellStyle name="20% - Accent6 2 12 2" xfId="9302" xr:uid="{00000000-0005-0000-0000-0000C4020000}"/>
    <cellStyle name="20% - Accent6 2 12 3" xfId="12110" xr:uid="{00000000-0005-0000-0000-0000C5020000}"/>
    <cellStyle name="20% - Accent6 2 13" xfId="9303" xr:uid="{00000000-0005-0000-0000-0000C6020000}"/>
    <cellStyle name="20% - Accent6 2 13 2" xfId="12111" xr:uid="{00000000-0005-0000-0000-0000C7020000}"/>
    <cellStyle name="20% - Accent6 2 14" xfId="12112" xr:uid="{00000000-0005-0000-0000-0000C8020000}"/>
    <cellStyle name="20% - Accent6 2 15" xfId="12113" xr:uid="{00000000-0005-0000-0000-0000C9020000}"/>
    <cellStyle name="20% - Accent6 2 16" xfId="38308" xr:uid="{00000000-0005-0000-0000-00006F010000}"/>
    <cellStyle name="20% - Accent6 2 2" xfId="409" xr:uid="{00000000-0005-0000-0000-0000CA020000}"/>
    <cellStyle name="20% - Accent6 2 2 2" xfId="9304" xr:uid="{00000000-0005-0000-0000-0000CB020000}"/>
    <cellStyle name="20% - Accent6 2 2 3" xfId="12114" xr:uid="{00000000-0005-0000-0000-0000CC020000}"/>
    <cellStyle name="20% - Accent6 2 3" xfId="410" xr:uid="{00000000-0005-0000-0000-0000CD020000}"/>
    <cellStyle name="20% - Accent6 2 3 2" xfId="9305" xr:uid="{00000000-0005-0000-0000-0000CE020000}"/>
    <cellStyle name="20% - Accent6 2 3 3" xfId="12115" xr:uid="{00000000-0005-0000-0000-0000CF020000}"/>
    <cellStyle name="20% - Accent6 2 4" xfId="411" xr:uid="{00000000-0005-0000-0000-0000D0020000}"/>
    <cellStyle name="20% - Accent6 2 4 2" xfId="9306" xr:uid="{00000000-0005-0000-0000-0000D1020000}"/>
    <cellStyle name="20% - Accent6 2 4 3" xfId="12116" xr:uid="{00000000-0005-0000-0000-0000D2020000}"/>
    <cellStyle name="20% - Accent6 2 5" xfId="412" xr:uid="{00000000-0005-0000-0000-0000D3020000}"/>
    <cellStyle name="20% - Accent6 2 5 2" xfId="9307" xr:uid="{00000000-0005-0000-0000-0000D4020000}"/>
    <cellStyle name="20% - Accent6 2 5 3" xfId="12117" xr:uid="{00000000-0005-0000-0000-0000D5020000}"/>
    <cellStyle name="20% - Accent6 2 6" xfId="413" xr:uid="{00000000-0005-0000-0000-0000D6020000}"/>
    <cellStyle name="20% - Accent6 2 6 2" xfId="9308" xr:uid="{00000000-0005-0000-0000-0000D7020000}"/>
    <cellStyle name="20% - Accent6 2 6 3" xfId="12118" xr:uid="{00000000-0005-0000-0000-0000D8020000}"/>
    <cellStyle name="20% - Accent6 2 7" xfId="414" xr:uid="{00000000-0005-0000-0000-0000D9020000}"/>
    <cellStyle name="20% - Accent6 2 7 2" xfId="9309" xr:uid="{00000000-0005-0000-0000-0000DA020000}"/>
    <cellStyle name="20% - Accent6 2 7 3" xfId="12119" xr:uid="{00000000-0005-0000-0000-0000DB020000}"/>
    <cellStyle name="20% - Accent6 2 8" xfId="415" xr:uid="{00000000-0005-0000-0000-0000DC020000}"/>
    <cellStyle name="20% - Accent6 2 8 2" xfId="9310" xr:uid="{00000000-0005-0000-0000-0000DD020000}"/>
    <cellStyle name="20% - Accent6 2 8 3" xfId="12120" xr:uid="{00000000-0005-0000-0000-0000DE020000}"/>
    <cellStyle name="20% - Accent6 2 9" xfId="416" xr:uid="{00000000-0005-0000-0000-0000DF020000}"/>
    <cellStyle name="20% - Accent6 2 9 2" xfId="9311" xr:uid="{00000000-0005-0000-0000-0000E0020000}"/>
    <cellStyle name="20% - Accent6 2 9 3" xfId="12121" xr:uid="{00000000-0005-0000-0000-0000E1020000}"/>
    <cellStyle name="20% - Accent6 20" xfId="38309" xr:uid="{00000000-0005-0000-0000-000078010000}"/>
    <cellStyle name="20% - Accent6 21" xfId="38310" xr:uid="{00000000-0005-0000-0000-000079010000}"/>
    <cellStyle name="20% - Accent6 22" xfId="38311" xr:uid="{00000000-0005-0000-0000-00007A010000}"/>
    <cellStyle name="20% - Accent6 23" xfId="38312" xr:uid="{00000000-0005-0000-0000-00007B010000}"/>
    <cellStyle name="20% - Accent6 24" xfId="38313" xr:uid="{00000000-0005-0000-0000-00007C010000}"/>
    <cellStyle name="20% - Accent6 25" xfId="38314" xr:uid="{00000000-0005-0000-0000-00007D010000}"/>
    <cellStyle name="20% - Accent6 26" xfId="38315" xr:uid="{00000000-0005-0000-0000-00007E010000}"/>
    <cellStyle name="20% - Accent6 27" xfId="38316" xr:uid="{00000000-0005-0000-0000-00007F010000}"/>
    <cellStyle name="20% - Accent6 28" xfId="38317" xr:uid="{00000000-0005-0000-0000-000080010000}"/>
    <cellStyle name="20% - Accent6 29" xfId="38318" xr:uid="{00000000-0005-0000-0000-000081010000}"/>
    <cellStyle name="20% - Accent6 3" xfId="417" xr:uid="{00000000-0005-0000-0000-0000E2020000}"/>
    <cellStyle name="20% - Accent6 3 10" xfId="418" xr:uid="{00000000-0005-0000-0000-0000E3020000}"/>
    <cellStyle name="20% - Accent6 3 10 2" xfId="9312" xr:uid="{00000000-0005-0000-0000-0000E4020000}"/>
    <cellStyle name="20% - Accent6 3 11" xfId="419" xr:uid="{00000000-0005-0000-0000-0000E5020000}"/>
    <cellStyle name="20% - Accent6 3 11 2" xfId="9313" xr:uid="{00000000-0005-0000-0000-0000E6020000}"/>
    <cellStyle name="20% - Accent6 3 12" xfId="9314" xr:uid="{00000000-0005-0000-0000-0000E7020000}"/>
    <cellStyle name="20% - Accent6 3 13" xfId="12122" xr:uid="{00000000-0005-0000-0000-0000E8020000}"/>
    <cellStyle name="20% - Accent6 3 2" xfId="420" xr:uid="{00000000-0005-0000-0000-0000E9020000}"/>
    <cellStyle name="20% - Accent6 3 2 2" xfId="9315" xr:uid="{00000000-0005-0000-0000-0000EA020000}"/>
    <cellStyle name="20% - Accent6 3 2 3" xfId="38319" xr:uid="{00000000-0005-0000-0000-000083010000}"/>
    <cellStyle name="20% - Accent6 3 3" xfId="421" xr:uid="{00000000-0005-0000-0000-0000EB020000}"/>
    <cellStyle name="20% - Accent6 3 3 2" xfId="9316" xr:uid="{00000000-0005-0000-0000-0000EC020000}"/>
    <cellStyle name="20% - Accent6 3 4" xfId="422" xr:uid="{00000000-0005-0000-0000-0000ED020000}"/>
    <cellStyle name="20% - Accent6 3 4 2" xfId="9317" xr:uid="{00000000-0005-0000-0000-0000EE020000}"/>
    <cellStyle name="20% - Accent6 3 5" xfId="423" xr:uid="{00000000-0005-0000-0000-0000EF020000}"/>
    <cellStyle name="20% - Accent6 3 5 2" xfId="9318" xr:uid="{00000000-0005-0000-0000-0000F0020000}"/>
    <cellStyle name="20% - Accent6 3 6" xfId="424" xr:uid="{00000000-0005-0000-0000-0000F1020000}"/>
    <cellStyle name="20% - Accent6 3 6 2" xfId="9319" xr:uid="{00000000-0005-0000-0000-0000F2020000}"/>
    <cellStyle name="20% - Accent6 3 7" xfId="425" xr:uid="{00000000-0005-0000-0000-0000F3020000}"/>
    <cellStyle name="20% - Accent6 3 7 2" xfId="9320" xr:uid="{00000000-0005-0000-0000-0000F4020000}"/>
    <cellStyle name="20% - Accent6 3 8" xfId="426" xr:uid="{00000000-0005-0000-0000-0000F5020000}"/>
    <cellStyle name="20% - Accent6 3 8 2" xfId="9321" xr:uid="{00000000-0005-0000-0000-0000F6020000}"/>
    <cellStyle name="20% - Accent6 3 9" xfId="427" xr:uid="{00000000-0005-0000-0000-0000F7020000}"/>
    <cellStyle name="20% - Accent6 3 9 2" xfId="9322" xr:uid="{00000000-0005-0000-0000-0000F8020000}"/>
    <cellStyle name="20% - Accent6 30" xfId="38320" xr:uid="{00000000-0005-0000-0000-000085010000}"/>
    <cellStyle name="20% - Accent6 31" xfId="38321" xr:uid="{00000000-0005-0000-0000-000086010000}"/>
    <cellStyle name="20% - Accent6 32" xfId="38322" xr:uid="{00000000-0005-0000-0000-000087010000}"/>
    <cellStyle name="20% - Accent6 33" xfId="38323" xr:uid="{00000000-0005-0000-0000-000088010000}"/>
    <cellStyle name="20% - Accent6 34" xfId="38324" xr:uid="{00000000-0005-0000-0000-000089010000}"/>
    <cellStyle name="20% - Accent6 35" xfId="38325" xr:uid="{00000000-0005-0000-0000-00008A010000}"/>
    <cellStyle name="20% - Accent6 36" xfId="38326" xr:uid="{00000000-0005-0000-0000-00008B010000}"/>
    <cellStyle name="20% - Accent6 37" xfId="38327" xr:uid="{00000000-0005-0000-0000-00008C010000}"/>
    <cellStyle name="20% - Accent6 38" xfId="38328" xr:uid="{00000000-0005-0000-0000-00008D010000}"/>
    <cellStyle name="20% - Accent6 39" xfId="38329" xr:uid="{00000000-0005-0000-0000-00008E010000}"/>
    <cellStyle name="20% - Accent6 4" xfId="428" xr:uid="{00000000-0005-0000-0000-0000F9020000}"/>
    <cellStyle name="20% - Accent6 4 10" xfId="429" xr:uid="{00000000-0005-0000-0000-0000FA020000}"/>
    <cellStyle name="20% - Accent6 4 10 2" xfId="9323" xr:uid="{00000000-0005-0000-0000-0000FB020000}"/>
    <cellStyle name="20% - Accent6 4 11" xfId="430" xr:uid="{00000000-0005-0000-0000-0000FC020000}"/>
    <cellStyle name="20% - Accent6 4 11 2" xfId="9324" xr:uid="{00000000-0005-0000-0000-0000FD020000}"/>
    <cellStyle name="20% - Accent6 4 12" xfId="9325" xr:uid="{00000000-0005-0000-0000-0000FE020000}"/>
    <cellStyle name="20% - Accent6 4 13" xfId="12123" xr:uid="{00000000-0005-0000-0000-0000FF020000}"/>
    <cellStyle name="20% - Accent6 4 2" xfId="431" xr:uid="{00000000-0005-0000-0000-000000030000}"/>
    <cellStyle name="20% - Accent6 4 2 2" xfId="9326" xr:uid="{00000000-0005-0000-0000-000001030000}"/>
    <cellStyle name="20% - Accent6 4 2 3" xfId="38330" xr:uid="{00000000-0005-0000-0000-000090010000}"/>
    <cellStyle name="20% - Accent6 4 3" xfId="432" xr:uid="{00000000-0005-0000-0000-000002030000}"/>
    <cellStyle name="20% - Accent6 4 3 2" xfId="9327" xr:uid="{00000000-0005-0000-0000-000003030000}"/>
    <cellStyle name="20% - Accent6 4 4" xfId="433" xr:uid="{00000000-0005-0000-0000-000004030000}"/>
    <cellStyle name="20% - Accent6 4 4 2" xfId="9328" xr:uid="{00000000-0005-0000-0000-000005030000}"/>
    <cellStyle name="20% - Accent6 4 5" xfId="434" xr:uid="{00000000-0005-0000-0000-000006030000}"/>
    <cellStyle name="20% - Accent6 4 5 2" xfId="9329" xr:uid="{00000000-0005-0000-0000-000007030000}"/>
    <cellStyle name="20% - Accent6 4 6" xfId="435" xr:uid="{00000000-0005-0000-0000-000008030000}"/>
    <cellStyle name="20% - Accent6 4 6 2" xfId="9330" xr:uid="{00000000-0005-0000-0000-000009030000}"/>
    <cellStyle name="20% - Accent6 4 7" xfId="436" xr:uid="{00000000-0005-0000-0000-00000A030000}"/>
    <cellStyle name="20% - Accent6 4 7 2" xfId="9331" xr:uid="{00000000-0005-0000-0000-00000B030000}"/>
    <cellStyle name="20% - Accent6 4 8" xfId="437" xr:uid="{00000000-0005-0000-0000-00000C030000}"/>
    <cellStyle name="20% - Accent6 4 8 2" xfId="9332" xr:uid="{00000000-0005-0000-0000-00000D030000}"/>
    <cellStyle name="20% - Accent6 4 9" xfId="438" xr:uid="{00000000-0005-0000-0000-00000E030000}"/>
    <cellStyle name="20% - Accent6 4 9 2" xfId="9333" xr:uid="{00000000-0005-0000-0000-00000F030000}"/>
    <cellStyle name="20% - Accent6 40" xfId="38331" xr:uid="{00000000-0005-0000-0000-000092010000}"/>
    <cellStyle name="20% - Accent6 41" xfId="38332" xr:uid="{00000000-0005-0000-0000-000093010000}"/>
    <cellStyle name="20% - Accent6 42" xfId="38333" xr:uid="{00000000-0005-0000-0000-000094010000}"/>
    <cellStyle name="20% - Accent6 43" xfId="38334" xr:uid="{00000000-0005-0000-0000-000095010000}"/>
    <cellStyle name="20% - Accent6 5" xfId="439" xr:uid="{00000000-0005-0000-0000-000010030000}"/>
    <cellStyle name="20% - Accent6 5 10" xfId="440" xr:uid="{00000000-0005-0000-0000-000011030000}"/>
    <cellStyle name="20% - Accent6 5 10 2" xfId="9334" xr:uid="{00000000-0005-0000-0000-000012030000}"/>
    <cellStyle name="20% - Accent6 5 11" xfId="441" xr:uid="{00000000-0005-0000-0000-000013030000}"/>
    <cellStyle name="20% - Accent6 5 11 2" xfId="9335" xr:uid="{00000000-0005-0000-0000-000014030000}"/>
    <cellStyle name="20% - Accent6 5 12" xfId="9336" xr:uid="{00000000-0005-0000-0000-000015030000}"/>
    <cellStyle name="20% - Accent6 5 13" xfId="12124" xr:uid="{00000000-0005-0000-0000-000016030000}"/>
    <cellStyle name="20% - Accent6 5 2" xfId="442" xr:uid="{00000000-0005-0000-0000-000017030000}"/>
    <cellStyle name="20% - Accent6 5 2 2" xfId="9337" xr:uid="{00000000-0005-0000-0000-000018030000}"/>
    <cellStyle name="20% - Accent6 5 2 3" xfId="38335" xr:uid="{00000000-0005-0000-0000-000097010000}"/>
    <cellStyle name="20% - Accent6 5 3" xfId="443" xr:uid="{00000000-0005-0000-0000-000019030000}"/>
    <cellStyle name="20% - Accent6 5 3 2" xfId="9338" xr:uid="{00000000-0005-0000-0000-00001A030000}"/>
    <cellStyle name="20% - Accent6 5 4" xfId="444" xr:uid="{00000000-0005-0000-0000-00001B030000}"/>
    <cellStyle name="20% - Accent6 5 4 2" xfId="9339" xr:uid="{00000000-0005-0000-0000-00001C030000}"/>
    <cellStyle name="20% - Accent6 5 5" xfId="445" xr:uid="{00000000-0005-0000-0000-00001D030000}"/>
    <cellStyle name="20% - Accent6 5 5 2" xfId="9340" xr:uid="{00000000-0005-0000-0000-00001E030000}"/>
    <cellStyle name="20% - Accent6 5 6" xfId="446" xr:uid="{00000000-0005-0000-0000-00001F030000}"/>
    <cellStyle name="20% - Accent6 5 6 2" xfId="9341" xr:uid="{00000000-0005-0000-0000-000020030000}"/>
    <cellStyle name="20% - Accent6 5 7" xfId="447" xr:uid="{00000000-0005-0000-0000-000021030000}"/>
    <cellStyle name="20% - Accent6 5 7 2" xfId="9342" xr:uid="{00000000-0005-0000-0000-000022030000}"/>
    <cellStyle name="20% - Accent6 5 8" xfId="448" xr:uid="{00000000-0005-0000-0000-000023030000}"/>
    <cellStyle name="20% - Accent6 5 8 2" xfId="9343" xr:uid="{00000000-0005-0000-0000-000024030000}"/>
    <cellStyle name="20% - Accent6 5 9" xfId="449" xr:uid="{00000000-0005-0000-0000-000025030000}"/>
    <cellStyle name="20% - Accent6 5 9 2" xfId="9344" xr:uid="{00000000-0005-0000-0000-000026030000}"/>
    <cellStyle name="20% - Accent6 6" xfId="450" xr:uid="{00000000-0005-0000-0000-000027030000}"/>
    <cellStyle name="20% - Accent6 6 10" xfId="451" xr:uid="{00000000-0005-0000-0000-000028030000}"/>
    <cellStyle name="20% - Accent6 6 10 2" xfId="9345" xr:uid="{00000000-0005-0000-0000-000029030000}"/>
    <cellStyle name="20% - Accent6 6 11" xfId="452" xr:uid="{00000000-0005-0000-0000-00002A030000}"/>
    <cellStyle name="20% - Accent6 6 11 2" xfId="9346" xr:uid="{00000000-0005-0000-0000-00002B030000}"/>
    <cellStyle name="20% - Accent6 6 12" xfId="9347" xr:uid="{00000000-0005-0000-0000-00002C030000}"/>
    <cellStyle name="20% - Accent6 6 13" xfId="12125" xr:uid="{00000000-0005-0000-0000-00002D030000}"/>
    <cellStyle name="20% - Accent6 6 2" xfId="453" xr:uid="{00000000-0005-0000-0000-00002E030000}"/>
    <cellStyle name="20% - Accent6 6 2 2" xfId="9348" xr:uid="{00000000-0005-0000-0000-00002F030000}"/>
    <cellStyle name="20% - Accent6 6 2 3" xfId="38336" xr:uid="{00000000-0005-0000-0000-00009A010000}"/>
    <cellStyle name="20% - Accent6 6 3" xfId="454" xr:uid="{00000000-0005-0000-0000-000030030000}"/>
    <cellStyle name="20% - Accent6 6 3 2" xfId="9349" xr:uid="{00000000-0005-0000-0000-000031030000}"/>
    <cellStyle name="20% - Accent6 6 4" xfId="455" xr:uid="{00000000-0005-0000-0000-000032030000}"/>
    <cellStyle name="20% - Accent6 6 4 2" xfId="9350" xr:uid="{00000000-0005-0000-0000-000033030000}"/>
    <cellStyle name="20% - Accent6 6 5" xfId="456" xr:uid="{00000000-0005-0000-0000-000034030000}"/>
    <cellStyle name="20% - Accent6 6 5 2" xfId="9351" xr:uid="{00000000-0005-0000-0000-000035030000}"/>
    <cellStyle name="20% - Accent6 6 6" xfId="457" xr:uid="{00000000-0005-0000-0000-000036030000}"/>
    <cellStyle name="20% - Accent6 6 6 2" xfId="9352" xr:uid="{00000000-0005-0000-0000-000037030000}"/>
    <cellStyle name="20% - Accent6 6 7" xfId="458" xr:uid="{00000000-0005-0000-0000-000038030000}"/>
    <cellStyle name="20% - Accent6 6 7 2" xfId="9353" xr:uid="{00000000-0005-0000-0000-000039030000}"/>
    <cellStyle name="20% - Accent6 6 8" xfId="459" xr:uid="{00000000-0005-0000-0000-00003A030000}"/>
    <cellStyle name="20% - Accent6 6 8 2" xfId="9354" xr:uid="{00000000-0005-0000-0000-00003B030000}"/>
    <cellStyle name="20% - Accent6 6 9" xfId="460" xr:uid="{00000000-0005-0000-0000-00003C030000}"/>
    <cellStyle name="20% - Accent6 6 9 2" xfId="9355" xr:uid="{00000000-0005-0000-0000-00003D030000}"/>
    <cellStyle name="20% - Accent6 7" xfId="461" xr:uid="{00000000-0005-0000-0000-00003E030000}"/>
    <cellStyle name="20% - Accent6 7 2" xfId="9356" xr:uid="{00000000-0005-0000-0000-00003F030000}"/>
    <cellStyle name="20% - Accent6 7 2 2" xfId="38338" xr:uid="{00000000-0005-0000-0000-00009D010000}"/>
    <cellStyle name="20% - Accent6 7 3" xfId="12126" xr:uid="{00000000-0005-0000-0000-000040030000}"/>
    <cellStyle name="20% - Accent6 7 3 2" xfId="38337" xr:uid="{00000000-0005-0000-0000-00009E010000}"/>
    <cellStyle name="20% - Accent6 8" xfId="462" xr:uid="{00000000-0005-0000-0000-000041030000}"/>
    <cellStyle name="20% - Accent6 8 2" xfId="9357" xr:uid="{00000000-0005-0000-0000-000042030000}"/>
    <cellStyle name="20% - Accent6 8 2 2" xfId="38340" xr:uid="{00000000-0005-0000-0000-0000A0010000}"/>
    <cellStyle name="20% - Accent6 8 3" xfId="12127" xr:uid="{00000000-0005-0000-0000-000043030000}"/>
    <cellStyle name="20% - Accent6 8 3 2" xfId="38339" xr:uid="{00000000-0005-0000-0000-0000A1010000}"/>
    <cellStyle name="20% - Accent6 9" xfId="463" xr:uid="{00000000-0005-0000-0000-000044030000}"/>
    <cellStyle name="20% - Accent6 9 2" xfId="9358" xr:uid="{00000000-0005-0000-0000-000045030000}"/>
    <cellStyle name="20% - Akzent1" xfId="14043" xr:uid="{00000000-0005-0000-0000-000046030000}"/>
    <cellStyle name="20% - Akzent1 2" xfId="14044" xr:uid="{00000000-0005-0000-0000-000047030000}"/>
    <cellStyle name="20% - Akzent2" xfId="14045" xr:uid="{00000000-0005-0000-0000-000048030000}"/>
    <cellStyle name="20% - Akzent2 2" xfId="14046" xr:uid="{00000000-0005-0000-0000-000049030000}"/>
    <cellStyle name="20% - Akzent3" xfId="14047" xr:uid="{00000000-0005-0000-0000-00004A030000}"/>
    <cellStyle name="20% - Akzent3 2" xfId="14048" xr:uid="{00000000-0005-0000-0000-00004B030000}"/>
    <cellStyle name="20% - Akzent4" xfId="14049" xr:uid="{00000000-0005-0000-0000-00004C030000}"/>
    <cellStyle name="20% - Akzent4 2" xfId="14050" xr:uid="{00000000-0005-0000-0000-00004D030000}"/>
    <cellStyle name="20% - Akzent5" xfId="14051" xr:uid="{00000000-0005-0000-0000-00004E030000}"/>
    <cellStyle name="20% - Akzent5 2" xfId="14052" xr:uid="{00000000-0005-0000-0000-00004F030000}"/>
    <cellStyle name="20% - Akzent6" xfId="14053" xr:uid="{00000000-0005-0000-0000-000050030000}"/>
    <cellStyle name="20% - Akzent6 2" xfId="14054" xr:uid="{00000000-0005-0000-0000-000051030000}"/>
    <cellStyle name="20% - Colore 1" xfId="3692" xr:uid="{00000000-0005-0000-0000-000052030000}"/>
    <cellStyle name="20% - Colore 2" xfId="3693" xr:uid="{00000000-0005-0000-0000-000053030000}"/>
    <cellStyle name="20% - Colore 3" xfId="3694" xr:uid="{00000000-0005-0000-0000-000054030000}"/>
    <cellStyle name="20% - Colore 4" xfId="3695" xr:uid="{00000000-0005-0000-0000-000055030000}"/>
    <cellStyle name="20% - Colore 5" xfId="3696" xr:uid="{00000000-0005-0000-0000-000056030000}"/>
    <cellStyle name="20% - Colore 6" xfId="3697" xr:uid="{00000000-0005-0000-0000-000057030000}"/>
    <cellStyle name="2x indented GHG Textfiels" xfId="11" xr:uid="{00000000-0005-0000-0000-000058030000}"/>
    <cellStyle name="2x indented GHG Textfiels 10" xfId="8197" xr:uid="{00000000-0005-0000-0000-000059030000}"/>
    <cellStyle name="2x indented GHG Textfiels 10 2" xfId="26626" xr:uid="{00000000-0005-0000-0000-00005A030000}"/>
    <cellStyle name="2x indented GHG Textfiels 10 3" xfId="33019" xr:uid="{00000000-0005-0000-0000-00005B030000}"/>
    <cellStyle name="2x indented GHG Textfiels 10 4" xfId="21550" xr:uid="{00000000-0005-0000-0000-00005C030000}"/>
    <cellStyle name="2x indented GHG Textfiels 11" xfId="3748" xr:uid="{00000000-0005-0000-0000-00005D030000}"/>
    <cellStyle name="2x indented GHG Textfiels 11 2" xfId="22221" xr:uid="{00000000-0005-0000-0000-00005E030000}"/>
    <cellStyle name="2x indented GHG Textfiels 11 3" xfId="31622" xr:uid="{00000000-0005-0000-0000-00005F030000}"/>
    <cellStyle name="2x indented GHG Textfiels 11 4" xfId="17432" xr:uid="{00000000-0005-0000-0000-000060030000}"/>
    <cellStyle name="2x indented GHG Textfiels 12" xfId="11458" xr:uid="{00000000-0005-0000-0000-000061030000}"/>
    <cellStyle name="2x indented GHG Textfiels 12 2" xfId="34274" xr:uid="{00000000-0005-0000-0000-000062030000}"/>
    <cellStyle name="2x indented GHG Textfiels 12 3" xfId="16623" xr:uid="{00000000-0005-0000-0000-000063030000}"/>
    <cellStyle name="2x indented GHG Textfiels 13" xfId="17086" xr:uid="{00000000-0005-0000-0000-000064030000}"/>
    <cellStyle name="2x indented GHG Textfiels 14" xfId="27857" xr:uid="{00000000-0005-0000-0000-000065030000}"/>
    <cellStyle name="2x indented GHG Textfiels 15" xfId="41324" xr:uid="{00000000-0005-0000-0000-0000AA010000}"/>
    <cellStyle name="2x indented GHG Textfiels 2" xfId="47" xr:uid="{00000000-0005-0000-0000-000066030000}"/>
    <cellStyle name="2x indented GHG Textfiels 2 10" xfId="31154" xr:uid="{00000000-0005-0000-0000-000067030000}"/>
    <cellStyle name="2x indented GHG Textfiels 2 11" xfId="27858" xr:uid="{00000000-0005-0000-0000-000068030000}"/>
    <cellStyle name="2x indented GHG Textfiels 2 12" xfId="16633" xr:uid="{00000000-0005-0000-0000-000069030000}"/>
    <cellStyle name="2x indented GHG Textfiels 2 2" xfId="5438" xr:uid="{00000000-0005-0000-0000-00006A030000}"/>
    <cellStyle name="2x indented GHG Textfiels 2 2 2" xfId="23892" xr:uid="{00000000-0005-0000-0000-00006B030000}"/>
    <cellStyle name="2x indented GHG Textfiels 2 2 3" xfId="32169" xr:uid="{00000000-0005-0000-0000-00006C030000}"/>
    <cellStyle name="2x indented GHG Textfiels 2 2 4" xfId="19035" xr:uid="{00000000-0005-0000-0000-00006D030000}"/>
    <cellStyle name="2x indented GHG Textfiels 2 3" xfId="5834" xr:uid="{00000000-0005-0000-0000-00006E030000}"/>
    <cellStyle name="2x indented GHG Textfiels 2 3 2" xfId="24281" xr:uid="{00000000-0005-0000-0000-00006F030000}"/>
    <cellStyle name="2x indented GHG Textfiels 2 3 3" xfId="32406" xr:uid="{00000000-0005-0000-0000-000070030000}"/>
    <cellStyle name="2x indented GHG Textfiels 2 3 4" xfId="19390" xr:uid="{00000000-0005-0000-0000-000071030000}"/>
    <cellStyle name="2x indented GHG Textfiels 2 4" xfId="5931" xr:uid="{00000000-0005-0000-0000-000072030000}"/>
    <cellStyle name="2x indented GHG Textfiels 2 4 2" xfId="24373" xr:uid="{00000000-0005-0000-0000-000073030000}"/>
    <cellStyle name="2x indented GHG Textfiels 2 4 3" xfId="32430" xr:uid="{00000000-0005-0000-0000-000074030000}"/>
    <cellStyle name="2x indented GHG Textfiels 2 4 4" xfId="19484" xr:uid="{00000000-0005-0000-0000-000075030000}"/>
    <cellStyle name="2x indented GHG Textfiels 2 5" xfId="7036" xr:uid="{00000000-0005-0000-0000-000076030000}"/>
    <cellStyle name="2x indented GHG Textfiels 2 5 2" xfId="25474" xr:uid="{00000000-0005-0000-0000-000077030000}"/>
    <cellStyle name="2x indented GHG Textfiels 2 5 3" xfId="32730" xr:uid="{00000000-0005-0000-0000-000078030000}"/>
    <cellStyle name="2x indented GHG Textfiels 2 5 4" xfId="20411" xr:uid="{00000000-0005-0000-0000-000079030000}"/>
    <cellStyle name="2x indented GHG Textfiels 2 6" xfId="7491" xr:uid="{00000000-0005-0000-0000-00007A030000}"/>
    <cellStyle name="2x indented GHG Textfiels 2 6 2" xfId="25922" xr:uid="{00000000-0005-0000-0000-00007B030000}"/>
    <cellStyle name="2x indented GHG Textfiels 2 6 3" xfId="32862" xr:uid="{00000000-0005-0000-0000-00007C030000}"/>
    <cellStyle name="2x indented GHG Textfiels 2 6 4" xfId="20846" xr:uid="{00000000-0005-0000-0000-00007D030000}"/>
    <cellStyle name="2x indented GHG Textfiels 2 7" xfId="8206" xr:uid="{00000000-0005-0000-0000-00007E030000}"/>
    <cellStyle name="2x indented GHG Textfiels 2 7 2" xfId="26632" xr:uid="{00000000-0005-0000-0000-00007F030000}"/>
    <cellStyle name="2x indented GHG Textfiels 2 7 3" xfId="33024" xr:uid="{00000000-0005-0000-0000-000080030000}"/>
    <cellStyle name="2x indented GHG Textfiels 2 7 4" xfId="21558" xr:uid="{00000000-0005-0000-0000-000081030000}"/>
    <cellStyle name="2x indented GHG Textfiels 2 8" xfId="3757" xr:uid="{00000000-0005-0000-0000-000082030000}"/>
    <cellStyle name="2x indented GHG Textfiels 2 8 2" xfId="22227" xr:uid="{00000000-0005-0000-0000-000083030000}"/>
    <cellStyle name="2x indented GHG Textfiels 2 8 3" xfId="31627" xr:uid="{00000000-0005-0000-0000-000084030000}"/>
    <cellStyle name="2x indented GHG Textfiels 2 8 4" xfId="17440" xr:uid="{00000000-0005-0000-0000-000085030000}"/>
    <cellStyle name="2x indented GHG Textfiels 2 9" xfId="11459" xr:uid="{00000000-0005-0000-0000-000086030000}"/>
    <cellStyle name="2x indented GHG Textfiels 3" xfId="3690" xr:uid="{00000000-0005-0000-0000-000087030000}"/>
    <cellStyle name="2x indented GHG Textfiels 3 10" xfId="31614" xr:uid="{00000000-0005-0000-0000-000088030000}"/>
    <cellStyle name="2x indented GHG Textfiels 3 11" xfId="27859" xr:uid="{00000000-0005-0000-0000-000089030000}"/>
    <cellStyle name="2x indented GHG Textfiels 3 12" xfId="17420" xr:uid="{00000000-0005-0000-0000-00008A030000}"/>
    <cellStyle name="2x indented GHG Textfiels 3 2" xfId="5809" xr:uid="{00000000-0005-0000-0000-00008B030000}"/>
    <cellStyle name="2x indented GHG Textfiels 3 2 2" xfId="24256" xr:uid="{00000000-0005-0000-0000-00008C030000}"/>
    <cellStyle name="2x indented GHG Textfiels 3 2 3" xfId="32394" xr:uid="{00000000-0005-0000-0000-00008D030000}"/>
    <cellStyle name="2x indented GHG Textfiels 3 2 4" xfId="19367" xr:uid="{00000000-0005-0000-0000-00008E030000}"/>
    <cellStyle name="2x indented GHG Textfiels 3 3" xfId="5895" xr:uid="{00000000-0005-0000-0000-00008F030000}"/>
    <cellStyle name="2x indented GHG Textfiels 3 3 2" xfId="24341" xr:uid="{00000000-0005-0000-0000-000090030000}"/>
    <cellStyle name="2x indented GHG Textfiels 3 3 3" xfId="32416" xr:uid="{00000000-0005-0000-0000-000091030000}"/>
    <cellStyle name="2x indented GHG Textfiels 3 3 4" xfId="19448" xr:uid="{00000000-0005-0000-0000-000092030000}"/>
    <cellStyle name="2x indented GHG Textfiels 3 4" xfId="7146" xr:uid="{00000000-0005-0000-0000-000093030000}"/>
    <cellStyle name="2x indented GHG Textfiels 3 4 2" xfId="25580" xr:uid="{00000000-0005-0000-0000-000094030000}"/>
    <cellStyle name="2x indented GHG Textfiels 3 4 3" xfId="32759" xr:uid="{00000000-0005-0000-0000-000095030000}"/>
    <cellStyle name="2x indented GHG Textfiels 3 4 4" xfId="20504" xr:uid="{00000000-0005-0000-0000-000096030000}"/>
    <cellStyle name="2x indented GHG Textfiels 3 5" xfId="7284" xr:uid="{00000000-0005-0000-0000-000097030000}"/>
    <cellStyle name="2x indented GHG Textfiels 3 5 2" xfId="25715" xr:uid="{00000000-0005-0000-0000-000098030000}"/>
    <cellStyle name="2x indented GHG Textfiels 3 5 3" xfId="32782" xr:uid="{00000000-0005-0000-0000-000099030000}"/>
    <cellStyle name="2x indented GHG Textfiels 3 5 4" xfId="20641" xr:uid="{00000000-0005-0000-0000-00009A030000}"/>
    <cellStyle name="2x indented GHG Textfiels 3 6" xfId="8191" xr:uid="{00000000-0005-0000-0000-00009B030000}"/>
    <cellStyle name="2x indented GHG Textfiels 3 6 2" xfId="26621" xr:uid="{00000000-0005-0000-0000-00009C030000}"/>
    <cellStyle name="2x indented GHG Textfiels 3 6 3" xfId="33016" xr:uid="{00000000-0005-0000-0000-00009D030000}"/>
    <cellStyle name="2x indented GHG Textfiels 3 6 4" xfId="21545" xr:uid="{00000000-0005-0000-0000-00009E030000}"/>
    <cellStyle name="2x indented GHG Textfiels 3 7" xfId="8915" xr:uid="{00000000-0005-0000-0000-00009F030000}"/>
    <cellStyle name="2x indented GHG Textfiels 3 7 2" xfId="27335" xr:uid="{00000000-0005-0000-0000-0000A0030000}"/>
    <cellStyle name="2x indented GHG Textfiels 3 7 3" xfId="33188" xr:uid="{00000000-0005-0000-0000-0000A1030000}"/>
    <cellStyle name="2x indented GHG Textfiels 3 7 4" xfId="22206" xr:uid="{00000000-0005-0000-0000-0000A2030000}"/>
    <cellStyle name="2x indented GHG Textfiels 3 8" xfId="4407" xr:uid="{00000000-0005-0000-0000-0000A3030000}"/>
    <cellStyle name="2x indented GHG Textfiels 3 8 2" xfId="22871" xr:uid="{00000000-0005-0000-0000-0000A4030000}"/>
    <cellStyle name="2x indented GHG Textfiels 3 8 3" xfId="31791" xr:uid="{00000000-0005-0000-0000-0000A5030000}"/>
    <cellStyle name="2x indented GHG Textfiels 3 8 4" xfId="18089" xr:uid="{00000000-0005-0000-0000-0000A6030000}"/>
    <cellStyle name="2x indented GHG Textfiels 3 9" xfId="11460" xr:uid="{00000000-0005-0000-0000-0000A7030000}"/>
    <cellStyle name="2x indented GHG Textfiels 3 9 2" xfId="34275" xr:uid="{00000000-0005-0000-0000-0000A8030000}"/>
    <cellStyle name="2x indented GHG Textfiels 3 9 3" xfId="22215" xr:uid="{00000000-0005-0000-0000-0000A9030000}"/>
    <cellStyle name="2x indented GHG Textfiels 4" xfId="4415" xr:uid="{00000000-0005-0000-0000-0000AA030000}"/>
    <cellStyle name="2x indented GHG Textfiels 4 2" xfId="10536" xr:uid="{00000000-0005-0000-0000-0000AB030000}"/>
    <cellStyle name="2x indented GHG Textfiels 4 2 2" xfId="15410" xr:uid="{00000000-0005-0000-0000-0000AC030000}"/>
    <cellStyle name="2x indented GHG Textfiels 4 2 2 2" xfId="36794" xr:uid="{00000000-0005-0000-0000-0000AD030000}"/>
    <cellStyle name="2x indented GHG Textfiels 4 2 3" xfId="14760" xr:uid="{00000000-0005-0000-0000-0000AE030000}"/>
    <cellStyle name="2x indented GHG Textfiels 4 2 4" xfId="33670" xr:uid="{00000000-0005-0000-0000-0000AF030000}"/>
    <cellStyle name="2x indented GHG Textfiels 4 3" xfId="12128" xr:uid="{00000000-0005-0000-0000-0000B0030000}"/>
    <cellStyle name="2x indented GHG Textfiels 4 3 2" xfId="34804" xr:uid="{00000000-0005-0000-0000-0000B1030000}"/>
    <cellStyle name="2x indented GHG Textfiels 4 4" xfId="14554" xr:uid="{00000000-0005-0000-0000-0000B2030000}"/>
    <cellStyle name="2x indented GHG Textfiels 4 4 2" xfId="36076" xr:uid="{00000000-0005-0000-0000-0000B3030000}"/>
    <cellStyle name="2x indented GHG Textfiels 4 5" xfId="14536" xr:uid="{00000000-0005-0000-0000-0000B4030000}"/>
    <cellStyle name="2x indented GHG Textfiels 4 5 2" xfId="36062" xr:uid="{00000000-0005-0000-0000-0000B5030000}"/>
    <cellStyle name="2x indented GHG Textfiels 4 6" xfId="27895" xr:uid="{00000000-0005-0000-0000-0000B6030000}"/>
    <cellStyle name="2x indented GHG Textfiels 5" xfId="5448" xr:uid="{00000000-0005-0000-0000-0000B7030000}"/>
    <cellStyle name="2x indented GHG Textfiels 5 2" xfId="23902" xr:uid="{00000000-0005-0000-0000-0000B8030000}"/>
    <cellStyle name="2x indented GHG Textfiels 5 2 2" xfId="32170" xr:uid="{00000000-0005-0000-0000-0000B9030000}"/>
    <cellStyle name="2x indented GHG Textfiels 5 3" xfId="29652" xr:uid="{00000000-0005-0000-0000-0000BA030000}"/>
    <cellStyle name="2x indented GHG Textfiels 5 4" xfId="19044" xr:uid="{00000000-0005-0000-0000-0000BB030000}"/>
    <cellStyle name="2x indented GHG Textfiels 6" xfId="5841" xr:uid="{00000000-0005-0000-0000-0000BC030000}"/>
    <cellStyle name="2x indented GHG Textfiels 6 2" xfId="24288" xr:uid="{00000000-0005-0000-0000-0000BD030000}"/>
    <cellStyle name="2x indented GHG Textfiels 6 3" xfId="32408" xr:uid="{00000000-0005-0000-0000-0000BE030000}"/>
    <cellStyle name="2x indented GHG Textfiels 6 4" xfId="19396" xr:uid="{00000000-0005-0000-0000-0000BF030000}"/>
    <cellStyle name="2x indented GHG Textfiels 7" xfId="5916" xr:uid="{00000000-0005-0000-0000-0000C0030000}"/>
    <cellStyle name="2x indented GHG Textfiels 7 2" xfId="24361" xr:uid="{00000000-0005-0000-0000-0000C1030000}"/>
    <cellStyle name="2x indented GHG Textfiels 7 3" xfId="32419" xr:uid="{00000000-0005-0000-0000-0000C2030000}"/>
    <cellStyle name="2x indented GHG Textfiels 7 4" xfId="19469" xr:uid="{00000000-0005-0000-0000-0000C3030000}"/>
    <cellStyle name="2x indented GHG Textfiels 8" xfId="6165" xr:uid="{00000000-0005-0000-0000-0000C4030000}"/>
    <cellStyle name="2x indented GHG Textfiels 8 2" xfId="24605" xr:uid="{00000000-0005-0000-0000-0000C5030000}"/>
    <cellStyle name="2x indented GHG Textfiels 8 3" xfId="32513" xr:uid="{00000000-0005-0000-0000-0000C6030000}"/>
    <cellStyle name="2x indented GHG Textfiels 8 4" xfId="19715" xr:uid="{00000000-0005-0000-0000-0000C7030000}"/>
    <cellStyle name="2x indented GHG Textfiels 9" xfId="7496" xr:uid="{00000000-0005-0000-0000-0000C8030000}"/>
    <cellStyle name="2x indented GHG Textfiels 9 2" xfId="25927" xr:uid="{00000000-0005-0000-0000-0000C9030000}"/>
    <cellStyle name="2x indented GHG Textfiels 9 3" xfId="32864" xr:uid="{00000000-0005-0000-0000-0000CA030000}"/>
    <cellStyle name="2x indented GHG Textfiels 9 4" xfId="20851" xr:uid="{00000000-0005-0000-0000-0000CB030000}"/>
    <cellStyle name="40 % - Accent1" xfId="12" xr:uid="{00000000-0005-0000-0000-0000CC030000}"/>
    <cellStyle name="40 % - Accent2" xfId="13" xr:uid="{00000000-0005-0000-0000-0000CD030000}"/>
    <cellStyle name="40 % - Accent3" xfId="14" xr:uid="{00000000-0005-0000-0000-0000CE030000}"/>
    <cellStyle name="40 % - Accent4" xfId="15" xr:uid="{00000000-0005-0000-0000-0000CF030000}"/>
    <cellStyle name="40 % - Accent5" xfId="16" xr:uid="{00000000-0005-0000-0000-0000D0030000}"/>
    <cellStyle name="40 % - Accent6" xfId="17" xr:uid="{00000000-0005-0000-0000-0000D1030000}"/>
    <cellStyle name="40% - 1. jelölőszín" xfId="68" xr:uid="{00000000-0005-0000-0000-0000D2030000}"/>
    <cellStyle name="40% - 2. jelölőszín" xfId="69" xr:uid="{00000000-0005-0000-0000-0000D3030000}"/>
    <cellStyle name="40% - 3. jelölőszín" xfId="70" xr:uid="{00000000-0005-0000-0000-0000D4030000}"/>
    <cellStyle name="40% - 4. jelölőszín" xfId="71" xr:uid="{00000000-0005-0000-0000-0000D5030000}"/>
    <cellStyle name="40% - 5. jelölőszín" xfId="72" xr:uid="{00000000-0005-0000-0000-0000D6030000}"/>
    <cellStyle name="40% - 6. jelölőszín" xfId="73" xr:uid="{00000000-0005-0000-0000-0000D7030000}"/>
    <cellStyle name="40% - Accent1 10" xfId="464" xr:uid="{00000000-0005-0000-0000-0000D8030000}"/>
    <cellStyle name="40% - Accent1 10 2" xfId="9359" xr:uid="{00000000-0005-0000-0000-0000D9030000}"/>
    <cellStyle name="40% - Accent1 11" xfId="38341" xr:uid="{00000000-0005-0000-0000-0000AD010000}"/>
    <cellStyle name="40% - Accent1 11 2" xfId="38342" xr:uid="{00000000-0005-0000-0000-0000AE010000}"/>
    <cellStyle name="40% - Accent1 12" xfId="38343" xr:uid="{00000000-0005-0000-0000-0000AF010000}"/>
    <cellStyle name="40% - Accent1 13" xfId="38344" xr:uid="{00000000-0005-0000-0000-0000B0010000}"/>
    <cellStyle name="40% - Accent1 14" xfId="38345" xr:uid="{00000000-0005-0000-0000-0000B1010000}"/>
    <cellStyle name="40% - Accent1 15" xfId="38346" xr:uid="{00000000-0005-0000-0000-0000B2010000}"/>
    <cellStyle name="40% - Accent1 16" xfId="38347" xr:uid="{00000000-0005-0000-0000-0000B3010000}"/>
    <cellStyle name="40% - Accent1 17" xfId="38348" xr:uid="{00000000-0005-0000-0000-0000B4010000}"/>
    <cellStyle name="40% - Accent1 18" xfId="38349" xr:uid="{00000000-0005-0000-0000-0000B5010000}"/>
    <cellStyle name="40% - Accent1 19" xfId="38350" xr:uid="{00000000-0005-0000-0000-0000B6010000}"/>
    <cellStyle name="40% - Accent1 2" xfId="465" xr:uid="{00000000-0005-0000-0000-0000DA030000}"/>
    <cellStyle name="40% - Accent1 2 10" xfId="466" xr:uid="{00000000-0005-0000-0000-0000DB030000}"/>
    <cellStyle name="40% - Accent1 2 10 2" xfId="9360" xr:uid="{00000000-0005-0000-0000-0000DC030000}"/>
    <cellStyle name="40% - Accent1 2 10 3" xfId="12129" xr:uid="{00000000-0005-0000-0000-0000DD030000}"/>
    <cellStyle name="40% - Accent1 2 11" xfId="467" xr:uid="{00000000-0005-0000-0000-0000DE030000}"/>
    <cellStyle name="40% - Accent1 2 11 2" xfId="9361" xr:uid="{00000000-0005-0000-0000-0000DF030000}"/>
    <cellStyle name="40% - Accent1 2 11 3" xfId="12130" xr:uid="{00000000-0005-0000-0000-0000E0030000}"/>
    <cellStyle name="40% - Accent1 2 12" xfId="9362" xr:uid="{00000000-0005-0000-0000-0000E1030000}"/>
    <cellStyle name="40% - Accent1 2 12 2" xfId="9363" xr:uid="{00000000-0005-0000-0000-0000E2030000}"/>
    <cellStyle name="40% - Accent1 2 12 3" xfId="12131" xr:uid="{00000000-0005-0000-0000-0000E3030000}"/>
    <cellStyle name="40% - Accent1 2 13" xfId="9364" xr:uid="{00000000-0005-0000-0000-0000E4030000}"/>
    <cellStyle name="40% - Accent1 2 13 2" xfId="12132" xr:uid="{00000000-0005-0000-0000-0000E5030000}"/>
    <cellStyle name="40% - Accent1 2 14" xfId="12133" xr:uid="{00000000-0005-0000-0000-0000E6030000}"/>
    <cellStyle name="40% - Accent1 2 15" xfId="12134" xr:uid="{00000000-0005-0000-0000-0000E7030000}"/>
    <cellStyle name="40% - Accent1 2 16" xfId="38351" xr:uid="{00000000-0005-0000-0000-0000BE010000}"/>
    <cellStyle name="40% - Accent1 2 2" xfId="468" xr:uid="{00000000-0005-0000-0000-0000E8030000}"/>
    <cellStyle name="40% - Accent1 2 2 2" xfId="9365" xr:uid="{00000000-0005-0000-0000-0000E9030000}"/>
    <cellStyle name="40% - Accent1 2 2 3" xfId="12135" xr:uid="{00000000-0005-0000-0000-0000EA030000}"/>
    <cellStyle name="40% - Accent1 2 3" xfId="469" xr:uid="{00000000-0005-0000-0000-0000EB030000}"/>
    <cellStyle name="40% - Accent1 2 3 2" xfId="9366" xr:uid="{00000000-0005-0000-0000-0000EC030000}"/>
    <cellStyle name="40% - Accent1 2 3 3" xfId="12136" xr:uid="{00000000-0005-0000-0000-0000ED030000}"/>
    <cellStyle name="40% - Accent1 2 4" xfId="470" xr:uid="{00000000-0005-0000-0000-0000EE030000}"/>
    <cellStyle name="40% - Accent1 2 4 2" xfId="9367" xr:uid="{00000000-0005-0000-0000-0000EF030000}"/>
    <cellStyle name="40% - Accent1 2 4 3" xfId="12137" xr:uid="{00000000-0005-0000-0000-0000F0030000}"/>
    <cellStyle name="40% - Accent1 2 5" xfId="471" xr:uid="{00000000-0005-0000-0000-0000F1030000}"/>
    <cellStyle name="40% - Accent1 2 5 2" xfId="9368" xr:uid="{00000000-0005-0000-0000-0000F2030000}"/>
    <cellStyle name="40% - Accent1 2 5 3" xfId="12138" xr:uid="{00000000-0005-0000-0000-0000F3030000}"/>
    <cellStyle name="40% - Accent1 2 6" xfId="472" xr:uid="{00000000-0005-0000-0000-0000F4030000}"/>
    <cellStyle name="40% - Accent1 2 6 2" xfId="9369" xr:uid="{00000000-0005-0000-0000-0000F5030000}"/>
    <cellStyle name="40% - Accent1 2 6 3" xfId="12139" xr:uid="{00000000-0005-0000-0000-0000F6030000}"/>
    <cellStyle name="40% - Accent1 2 7" xfId="473" xr:uid="{00000000-0005-0000-0000-0000F7030000}"/>
    <cellStyle name="40% - Accent1 2 7 2" xfId="9370" xr:uid="{00000000-0005-0000-0000-0000F8030000}"/>
    <cellStyle name="40% - Accent1 2 7 3" xfId="12140" xr:uid="{00000000-0005-0000-0000-0000F9030000}"/>
    <cellStyle name="40% - Accent1 2 8" xfId="474" xr:uid="{00000000-0005-0000-0000-0000FA030000}"/>
    <cellStyle name="40% - Accent1 2 8 2" xfId="9371" xr:uid="{00000000-0005-0000-0000-0000FB030000}"/>
    <cellStyle name="40% - Accent1 2 8 3" xfId="12141" xr:uid="{00000000-0005-0000-0000-0000FC030000}"/>
    <cellStyle name="40% - Accent1 2 9" xfId="475" xr:uid="{00000000-0005-0000-0000-0000FD030000}"/>
    <cellStyle name="40% - Accent1 2 9 2" xfId="9372" xr:uid="{00000000-0005-0000-0000-0000FE030000}"/>
    <cellStyle name="40% - Accent1 2 9 3" xfId="12142" xr:uid="{00000000-0005-0000-0000-0000FF030000}"/>
    <cellStyle name="40% - Accent1 20" xfId="38352" xr:uid="{00000000-0005-0000-0000-0000C7010000}"/>
    <cellStyle name="40% - Accent1 21" xfId="38353" xr:uid="{00000000-0005-0000-0000-0000C8010000}"/>
    <cellStyle name="40% - Accent1 22" xfId="38354" xr:uid="{00000000-0005-0000-0000-0000C9010000}"/>
    <cellStyle name="40% - Accent1 23" xfId="38355" xr:uid="{00000000-0005-0000-0000-0000CA010000}"/>
    <cellStyle name="40% - Accent1 24" xfId="38356" xr:uid="{00000000-0005-0000-0000-0000CB010000}"/>
    <cellStyle name="40% - Accent1 25" xfId="38357" xr:uid="{00000000-0005-0000-0000-0000CC010000}"/>
    <cellStyle name="40% - Accent1 26" xfId="38358" xr:uid="{00000000-0005-0000-0000-0000CD010000}"/>
    <cellStyle name="40% - Accent1 27" xfId="38359" xr:uid="{00000000-0005-0000-0000-0000CE010000}"/>
    <cellStyle name="40% - Accent1 28" xfId="38360" xr:uid="{00000000-0005-0000-0000-0000CF010000}"/>
    <cellStyle name="40% - Accent1 29" xfId="38361" xr:uid="{00000000-0005-0000-0000-0000D0010000}"/>
    <cellStyle name="40% - Accent1 3" xfId="476" xr:uid="{00000000-0005-0000-0000-000000040000}"/>
    <cellStyle name="40% - Accent1 3 10" xfId="477" xr:uid="{00000000-0005-0000-0000-000001040000}"/>
    <cellStyle name="40% - Accent1 3 10 2" xfId="9373" xr:uid="{00000000-0005-0000-0000-000002040000}"/>
    <cellStyle name="40% - Accent1 3 11" xfId="478" xr:uid="{00000000-0005-0000-0000-000003040000}"/>
    <cellStyle name="40% - Accent1 3 11 2" xfId="9374" xr:uid="{00000000-0005-0000-0000-000004040000}"/>
    <cellStyle name="40% - Accent1 3 12" xfId="9375" xr:uid="{00000000-0005-0000-0000-000005040000}"/>
    <cellStyle name="40% - Accent1 3 13" xfId="12143" xr:uid="{00000000-0005-0000-0000-000006040000}"/>
    <cellStyle name="40% - Accent1 3 2" xfId="479" xr:uid="{00000000-0005-0000-0000-000007040000}"/>
    <cellStyle name="40% - Accent1 3 2 2" xfId="9376" xr:uid="{00000000-0005-0000-0000-000008040000}"/>
    <cellStyle name="40% - Accent1 3 2 3" xfId="38362" xr:uid="{00000000-0005-0000-0000-0000D2010000}"/>
    <cellStyle name="40% - Accent1 3 3" xfId="480" xr:uid="{00000000-0005-0000-0000-000009040000}"/>
    <cellStyle name="40% - Accent1 3 3 2" xfId="9377" xr:uid="{00000000-0005-0000-0000-00000A040000}"/>
    <cellStyle name="40% - Accent1 3 4" xfId="481" xr:uid="{00000000-0005-0000-0000-00000B040000}"/>
    <cellStyle name="40% - Accent1 3 4 2" xfId="9378" xr:uid="{00000000-0005-0000-0000-00000C040000}"/>
    <cellStyle name="40% - Accent1 3 5" xfId="482" xr:uid="{00000000-0005-0000-0000-00000D040000}"/>
    <cellStyle name="40% - Accent1 3 5 2" xfId="9379" xr:uid="{00000000-0005-0000-0000-00000E040000}"/>
    <cellStyle name="40% - Accent1 3 6" xfId="483" xr:uid="{00000000-0005-0000-0000-00000F040000}"/>
    <cellStyle name="40% - Accent1 3 6 2" xfId="9380" xr:uid="{00000000-0005-0000-0000-000010040000}"/>
    <cellStyle name="40% - Accent1 3 7" xfId="484" xr:uid="{00000000-0005-0000-0000-000011040000}"/>
    <cellStyle name="40% - Accent1 3 7 2" xfId="9381" xr:uid="{00000000-0005-0000-0000-000012040000}"/>
    <cellStyle name="40% - Accent1 3 8" xfId="485" xr:uid="{00000000-0005-0000-0000-000013040000}"/>
    <cellStyle name="40% - Accent1 3 8 2" xfId="9382" xr:uid="{00000000-0005-0000-0000-000014040000}"/>
    <cellStyle name="40% - Accent1 3 9" xfId="486" xr:uid="{00000000-0005-0000-0000-000015040000}"/>
    <cellStyle name="40% - Accent1 3 9 2" xfId="9383" xr:uid="{00000000-0005-0000-0000-000016040000}"/>
    <cellStyle name="40% - Accent1 30" xfId="38363" xr:uid="{00000000-0005-0000-0000-0000D4010000}"/>
    <cellStyle name="40% - Accent1 31" xfId="38364" xr:uid="{00000000-0005-0000-0000-0000D5010000}"/>
    <cellStyle name="40% - Accent1 32" xfId="38365" xr:uid="{00000000-0005-0000-0000-0000D6010000}"/>
    <cellStyle name="40% - Accent1 33" xfId="38366" xr:uid="{00000000-0005-0000-0000-0000D7010000}"/>
    <cellStyle name="40% - Accent1 34" xfId="38367" xr:uid="{00000000-0005-0000-0000-0000D8010000}"/>
    <cellStyle name="40% - Accent1 35" xfId="38368" xr:uid="{00000000-0005-0000-0000-0000D9010000}"/>
    <cellStyle name="40% - Accent1 36" xfId="38369" xr:uid="{00000000-0005-0000-0000-0000DA010000}"/>
    <cellStyle name="40% - Accent1 37" xfId="38370" xr:uid="{00000000-0005-0000-0000-0000DB010000}"/>
    <cellStyle name="40% - Accent1 38" xfId="38371" xr:uid="{00000000-0005-0000-0000-0000DC010000}"/>
    <cellStyle name="40% - Accent1 39" xfId="38372" xr:uid="{00000000-0005-0000-0000-0000DD010000}"/>
    <cellStyle name="40% - Accent1 4" xfId="487" xr:uid="{00000000-0005-0000-0000-000017040000}"/>
    <cellStyle name="40% - Accent1 4 10" xfId="488" xr:uid="{00000000-0005-0000-0000-000018040000}"/>
    <cellStyle name="40% - Accent1 4 10 2" xfId="9384" xr:uid="{00000000-0005-0000-0000-000019040000}"/>
    <cellStyle name="40% - Accent1 4 11" xfId="489" xr:uid="{00000000-0005-0000-0000-00001A040000}"/>
    <cellStyle name="40% - Accent1 4 11 2" xfId="9385" xr:uid="{00000000-0005-0000-0000-00001B040000}"/>
    <cellStyle name="40% - Accent1 4 12" xfId="9386" xr:uid="{00000000-0005-0000-0000-00001C040000}"/>
    <cellStyle name="40% - Accent1 4 13" xfId="12144" xr:uid="{00000000-0005-0000-0000-00001D040000}"/>
    <cellStyle name="40% - Accent1 4 2" xfId="490" xr:uid="{00000000-0005-0000-0000-00001E040000}"/>
    <cellStyle name="40% - Accent1 4 2 2" xfId="9387" xr:uid="{00000000-0005-0000-0000-00001F040000}"/>
    <cellStyle name="40% - Accent1 4 2 3" xfId="38373" xr:uid="{00000000-0005-0000-0000-0000DF010000}"/>
    <cellStyle name="40% - Accent1 4 3" xfId="491" xr:uid="{00000000-0005-0000-0000-000020040000}"/>
    <cellStyle name="40% - Accent1 4 3 2" xfId="9388" xr:uid="{00000000-0005-0000-0000-000021040000}"/>
    <cellStyle name="40% - Accent1 4 4" xfId="492" xr:uid="{00000000-0005-0000-0000-000022040000}"/>
    <cellStyle name="40% - Accent1 4 4 2" xfId="9389" xr:uid="{00000000-0005-0000-0000-000023040000}"/>
    <cellStyle name="40% - Accent1 4 5" xfId="493" xr:uid="{00000000-0005-0000-0000-000024040000}"/>
    <cellStyle name="40% - Accent1 4 5 2" xfId="9390" xr:uid="{00000000-0005-0000-0000-000025040000}"/>
    <cellStyle name="40% - Accent1 4 6" xfId="494" xr:uid="{00000000-0005-0000-0000-000026040000}"/>
    <cellStyle name="40% - Accent1 4 6 2" xfId="9391" xr:uid="{00000000-0005-0000-0000-000027040000}"/>
    <cellStyle name="40% - Accent1 4 7" xfId="495" xr:uid="{00000000-0005-0000-0000-000028040000}"/>
    <cellStyle name="40% - Accent1 4 7 2" xfId="9392" xr:uid="{00000000-0005-0000-0000-000029040000}"/>
    <cellStyle name="40% - Accent1 4 8" xfId="496" xr:uid="{00000000-0005-0000-0000-00002A040000}"/>
    <cellStyle name="40% - Accent1 4 8 2" xfId="9393" xr:uid="{00000000-0005-0000-0000-00002B040000}"/>
    <cellStyle name="40% - Accent1 4 9" xfId="497" xr:uid="{00000000-0005-0000-0000-00002C040000}"/>
    <cellStyle name="40% - Accent1 4 9 2" xfId="9394" xr:uid="{00000000-0005-0000-0000-00002D040000}"/>
    <cellStyle name="40% - Accent1 40" xfId="38374" xr:uid="{00000000-0005-0000-0000-0000E1010000}"/>
    <cellStyle name="40% - Accent1 41" xfId="38375" xr:uid="{00000000-0005-0000-0000-0000E2010000}"/>
    <cellStyle name="40% - Accent1 42" xfId="38376" xr:uid="{00000000-0005-0000-0000-0000E3010000}"/>
    <cellStyle name="40% - Accent1 43" xfId="38377" xr:uid="{00000000-0005-0000-0000-0000E4010000}"/>
    <cellStyle name="40% - Accent1 5" xfId="498" xr:uid="{00000000-0005-0000-0000-00002E040000}"/>
    <cellStyle name="40% - Accent1 5 10" xfId="499" xr:uid="{00000000-0005-0000-0000-00002F040000}"/>
    <cellStyle name="40% - Accent1 5 10 2" xfId="9395" xr:uid="{00000000-0005-0000-0000-000030040000}"/>
    <cellStyle name="40% - Accent1 5 11" xfId="500" xr:uid="{00000000-0005-0000-0000-000031040000}"/>
    <cellStyle name="40% - Accent1 5 11 2" xfId="9396" xr:uid="{00000000-0005-0000-0000-000032040000}"/>
    <cellStyle name="40% - Accent1 5 12" xfId="9397" xr:uid="{00000000-0005-0000-0000-000033040000}"/>
    <cellStyle name="40% - Accent1 5 13" xfId="12145" xr:uid="{00000000-0005-0000-0000-000034040000}"/>
    <cellStyle name="40% - Accent1 5 2" xfId="501" xr:uid="{00000000-0005-0000-0000-000035040000}"/>
    <cellStyle name="40% - Accent1 5 2 2" xfId="9398" xr:uid="{00000000-0005-0000-0000-000036040000}"/>
    <cellStyle name="40% - Accent1 5 2 3" xfId="38378" xr:uid="{00000000-0005-0000-0000-0000E6010000}"/>
    <cellStyle name="40% - Accent1 5 3" xfId="502" xr:uid="{00000000-0005-0000-0000-000037040000}"/>
    <cellStyle name="40% - Accent1 5 3 2" xfId="9399" xr:uid="{00000000-0005-0000-0000-000038040000}"/>
    <cellStyle name="40% - Accent1 5 4" xfId="503" xr:uid="{00000000-0005-0000-0000-000039040000}"/>
    <cellStyle name="40% - Accent1 5 4 2" xfId="9400" xr:uid="{00000000-0005-0000-0000-00003A040000}"/>
    <cellStyle name="40% - Accent1 5 5" xfId="504" xr:uid="{00000000-0005-0000-0000-00003B040000}"/>
    <cellStyle name="40% - Accent1 5 5 2" xfId="9401" xr:uid="{00000000-0005-0000-0000-00003C040000}"/>
    <cellStyle name="40% - Accent1 5 6" xfId="505" xr:uid="{00000000-0005-0000-0000-00003D040000}"/>
    <cellStyle name="40% - Accent1 5 6 2" xfId="9402" xr:uid="{00000000-0005-0000-0000-00003E040000}"/>
    <cellStyle name="40% - Accent1 5 7" xfId="506" xr:uid="{00000000-0005-0000-0000-00003F040000}"/>
    <cellStyle name="40% - Accent1 5 7 2" xfId="9403" xr:uid="{00000000-0005-0000-0000-000040040000}"/>
    <cellStyle name="40% - Accent1 5 8" xfId="507" xr:uid="{00000000-0005-0000-0000-000041040000}"/>
    <cellStyle name="40% - Accent1 5 8 2" xfId="9404" xr:uid="{00000000-0005-0000-0000-000042040000}"/>
    <cellStyle name="40% - Accent1 5 9" xfId="508" xr:uid="{00000000-0005-0000-0000-000043040000}"/>
    <cellStyle name="40% - Accent1 5 9 2" xfId="9405" xr:uid="{00000000-0005-0000-0000-000044040000}"/>
    <cellStyle name="40% - Accent1 6" xfId="509" xr:uid="{00000000-0005-0000-0000-000045040000}"/>
    <cellStyle name="40% - Accent1 6 10" xfId="510" xr:uid="{00000000-0005-0000-0000-000046040000}"/>
    <cellStyle name="40% - Accent1 6 10 2" xfId="9406" xr:uid="{00000000-0005-0000-0000-000047040000}"/>
    <cellStyle name="40% - Accent1 6 11" xfId="511" xr:uid="{00000000-0005-0000-0000-000048040000}"/>
    <cellStyle name="40% - Accent1 6 11 2" xfId="9407" xr:uid="{00000000-0005-0000-0000-000049040000}"/>
    <cellStyle name="40% - Accent1 6 12" xfId="9408" xr:uid="{00000000-0005-0000-0000-00004A040000}"/>
    <cellStyle name="40% - Accent1 6 13" xfId="12146" xr:uid="{00000000-0005-0000-0000-00004B040000}"/>
    <cellStyle name="40% - Accent1 6 2" xfId="512" xr:uid="{00000000-0005-0000-0000-00004C040000}"/>
    <cellStyle name="40% - Accent1 6 2 2" xfId="9409" xr:uid="{00000000-0005-0000-0000-00004D040000}"/>
    <cellStyle name="40% - Accent1 6 2 3" xfId="38379" xr:uid="{00000000-0005-0000-0000-0000E9010000}"/>
    <cellStyle name="40% - Accent1 6 3" xfId="513" xr:uid="{00000000-0005-0000-0000-00004E040000}"/>
    <cellStyle name="40% - Accent1 6 3 2" xfId="9410" xr:uid="{00000000-0005-0000-0000-00004F040000}"/>
    <cellStyle name="40% - Accent1 6 4" xfId="514" xr:uid="{00000000-0005-0000-0000-000050040000}"/>
    <cellStyle name="40% - Accent1 6 4 2" xfId="9411" xr:uid="{00000000-0005-0000-0000-000051040000}"/>
    <cellStyle name="40% - Accent1 6 5" xfId="515" xr:uid="{00000000-0005-0000-0000-000052040000}"/>
    <cellStyle name="40% - Accent1 6 5 2" xfId="9412" xr:uid="{00000000-0005-0000-0000-000053040000}"/>
    <cellStyle name="40% - Accent1 6 6" xfId="516" xr:uid="{00000000-0005-0000-0000-000054040000}"/>
    <cellStyle name="40% - Accent1 6 6 2" xfId="9413" xr:uid="{00000000-0005-0000-0000-000055040000}"/>
    <cellStyle name="40% - Accent1 6 7" xfId="517" xr:uid="{00000000-0005-0000-0000-000056040000}"/>
    <cellStyle name="40% - Accent1 6 7 2" xfId="9414" xr:uid="{00000000-0005-0000-0000-000057040000}"/>
    <cellStyle name="40% - Accent1 6 8" xfId="518" xr:uid="{00000000-0005-0000-0000-000058040000}"/>
    <cellStyle name="40% - Accent1 6 8 2" xfId="9415" xr:uid="{00000000-0005-0000-0000-000059040000}"/>
    <cellStyle name="40% - Accent1 6 9" xfId="519" xr:uid="{00000000-0005-0000-0000-00005A040000}"/>
    <cellStyle name="40% - Accent1 6 9 2" xfId="9416" xr:uid="{00000000-0005-0000-0000-00005B040000}"/>
    <cellStyle name="40% - Accent1 7" xfId="520" xr:uid="{00000000-0005-0000-0000-00005C040000}"/>
    <cellStyle name="40% - Accent1 7 2" xfId="9417" xr:uid="{00000000-0005-0000-0000-00005D040000}"/>
    <cellStyle name="40% - Accent1 7 2 2" xfId="38381" xr:uid="{00000000-0005-0000-0000-0000EC010000}"/>
    <cellStyle name="40% - Accent1 7 3" xfId="12147" xr:uid="{00000000-0005-0000-0000-00005E040000}"/>
    <cellStyle name="40% - Accent1 7 3 2" xfId="38380" xr:uid="{00000000-0005-0000-0000-0000ED010000}"/>
    <cellStyle name="40% - Accent1 8" xfId="521" xr:uid="{00000000-0005-0000-0000-00005F040000}"/>
    <cellStyle name="40% - Accent1 8 2" xfId="9418" xr:uid="{00000000-0005-0000-0000-000060040000}"/>
    <cellStyle name="40% - Accent1 8 2 2" xfId="38383" xr:uid="{00000000-0005-0000-0000-0000EF010000}"/>
    <cellStyle name="40% - Accent1 8 3" xfId="12148" xr:uid="{00000000-0005-0000-0000-000061040000}"/>
    <cellStyle name="40% - Accent1 8 3 2" xfId="38382" xr:uid="{00000000-0005-0000-0000-0000F0010000}"/>
    <cellStyle name="40% - Accent1 9" xfId="522" xr:uid="{00000000-0005-0000-0000-000062040000}"/>
    <cellStyle name="40% - Accent1 9 2" xfId="9419" xr:uid="{00000000-0005-0000-0000-000063040000}"/>
    <cellStyle name="40% - Accent2 10" xfId="523" xr:uid="{00000000-0005-0000-0000-000064040000}"/>
    <cellStyle name="40% - Accent2 10 2" xfId="9420" xr:uid="{00000000-0005-0000-0000-000065040000}"/>
    <cellStyle name="40% - Accent2 11" xfId="38384" xr:uid="{00000000-0005-0000-0000-0000F5010000}"/>
    <cellStyle name="40% - Accent2 11 2" xfId="38385" xr:uid="{00000000-0005-0000-0000-0000F6010000}"/>
    <cellStyle name="40% - Accent2 12" xfId="38386" xr:uid="{00000000-0005-0000-0000-0000F7010000}"/>
    <cellStyle name="40% - Accent2 13" xfId="38387" xr:uid="{00000000-0005-0000-0000-0000F8010000}"/>
    <cellStyle name="40% - Accent2 14" xfId="38388" xr:uid="{00000000-0005-0000-0000-0000F9010000}"/>
    <cellStyle name="40% - Accent2 15" xfId="38389" xr:uid="{00000000-0005-0000-0000-0000FA010000}"/>
    <cellStyle name="40% - Accent2 16" xfId="38390" xr:uid="{00000000-0005-0000-0000-0000FB010000}"/>
    <cellStyle name="40% - Accent2 17" xfId="38391" xr:uid="{00000000-0005-0000-0000-0000FC010000}"/>
    <cellStyle name="40% - Accent2 18" xfId="38392" xr:uid="{00000000-0005-0000-0000-0000FD010000}"/>
    <cellStyle name="40% - Accent2 19" xfId="38393" xr:uid="{00000000-0005-0000-0000-0000FE010000}"/>
    <cellStyle name="40% - Accent2 2" xfId="524" xr:uid="{00000000-0005-0000-0000-000066040000}"/>
    <cellStyle name="40% - Accent2 2 10" xfId="525" xr:uid="{00000000-0005-0000-0000-000067040000}"/>
    <cellStyle name="40% - Accent2 2 10 2" xfId="9421" xr:uid="{00000000-0005-0000-0000-000068040000}"/>
    <cellStyle name="40% - Accent2 2 11" xfId="526" xr:uid="{00000000-0005-0000-0000-000069040000}"/>
    <cellStyle name="40% - Accent2 2 11 2" xfId="9422" xr:uid="{00000000-0005-0000-0000-00006A040000}"/>
    <cellStyle name="40% - Accent2 2 12" xfId="9423" xr:uid="{00000000-0005-0000-0000-00006B040000}"/>
    <cellStyle name="40% - Accent2 2 12 2" xfId="9424" xr:uid="{00000000-0005-0000-0000-00006C040000}"/>
    <cellStyle name="40% - Accent2 2 13" xfId="9425" xr:uid="{00000000-0005-0000-0000-00006D040000}"/>
    <cellStyle name="40% - Accent2 2 14" xfId="12149" xr:uid="{00000000-0005-0000-0000-00006E040000}"/>
    <cellStyle name="40% - Accent2 2 15" xfId="12150" xr:uid="{00000000-0005-0000-0000-00006F040000}"/>
    <cellStyle name="40% - Accent2 2 2" xfId="527" xr:uid="{00000000-0005-0000-0000-000070040000}"/>
    <cellStyle name="40% - Accent2 2 2 2" xfId="9426" xr:uid="{00000000-0005-0000-0000-000071040000}"/>
    <cellStyle name="40% - Accent2 2 3" xfId="528" xr:uid="{00000000-0005-0000-0000-000072040000}"/>
    <cellStyle name="40% - Accent2 2 3 2" xfId="9427" xr:uid="{00000000-0005-0000-0000-000073040000}"/>
    <cellStyle name="40% - Accent2 2 4" xfId="529" xr:uid="{00000000-0005-0000-0000-000074040000}"/>
    <cellStyle name="40% - Accent2 2 4 2" xfId="9428" xr:uid="{00000000-0005-0000-0000-000075040000}"/>
    <cellStyle name="40% - Accent2 2 5" xfId="530" xr:uid="{00000000-0005-0000-0000-000076040000}"/>
    <cellStyle name="40% - Accent2 2 5 2" xfId="9429" xr:uid="{00000000-0005-0000-0000-000077040000}"/>
    <cellStyle name="40% - Accent2 2 6" xfId="531" xr:uid="{00000000-0005-0000-0000-000078040000}"/>
    <cellStyle name="40% - Accent2 2 6 2" xfId="9430" xr:uid="{00000000-0005-0000-0000-000079040000}"/>
    <cellStyle name="40% - Accent2 2 7" xfId="532" xr:uid="{00000000-0005-0000-0000-00007A040000}"/>
    <cellStyle name="40% - Accent2 2 7 2" xfId="9431" xr:uid="{00000000-0005-0000-0000-00007B040000}"/>
    <cellStyle name="40% - Accent2 2 8" xfId="533" xr:uid="{00000000-0005-0000-0000-00007C040000}"/>
    <cellStyle name="40% - Accent2 2 8 2" xfId="9432" xr:uid="{00000000-0005-0000-0000-00007D040000}"/>
    <cellStyle name="40% - Accent2 2 9" xfId="534" xr:uid="{00000000-0005-0000-0000-00007E040000}"/>
    <cellStyle name="40% - Accent2 2 9 2" xfId="9433" xr:uid="{00000000-0005-0000-0000-00007F040000}"/>
    <cellStyle name="40% - Accent2 20" xfId="38394" xr:uid="{00000000-0005-0000-0000-00000E020000}"/>
    <cellStyle name="40% - Accent2 21" xfId="38395" xr:uid="{00000000-0005-0000-0000-00000F020000}"/>
    <cellStyle name="40% - Accent2 22" xfId="38396" xr:uid="{00000000-0005-0000-0000-000010020000}"/>
    <cellStyle name="40% - Accent2 23" xfId="38397" xr:uid="{00000000-0005-0000-0000-000011020000}"/>
    <cellStyle name="40% - Accent2 24" xfId="38398" xr:uid="{00000000-0005-0000-0000-000012020000}"/>
    <cellStyle name="40% - Accent2 25" xfId="38399" xr:uid="{00000000-0005-0000-0000-000013020000}"/>
    <cellStyle name="40% - Accent2 26" xfId="38400" xr:uid="{00000000-0005-0000-0000-000014020000}"/>
    <cellStyle name="40% - Accent2 27" xfId="38401" xr:uid="{00000000-0005-0000-0000-000015020000}"/>
    <cellStyle name="40% - Accent2 28" xfId="38402" xr:uid="{00000000-0005-0000-0000-000016020000}"/>
    <cellStyle name="40% - Accent2 29" xfId="38403" xr:uid="{00000000-0005-0000-0000-000017020000}"/>
    <cellStyle name="40% - Accent2 3" xfId="535" xr:uid="{00000000-0005-0000-0000-000080040000}"/>
    <cellStyle name="40% - Accent2 3 10" xfId="536" xr:uid="{00000000-0005-0000-0000-000081040000}"/>
    <cellStyle name="40% - Accent2 3 10 2" xfId="9434" xr:uid="{00000000-0005-0000-0000-000082040000}"/>
    <cellStyle name="40% - Accent2 3 11" xfId="537" xr:uid="{00000000-0005-0000-0000-000083040000}"/>
    <cellStyle name="40% - Accent2 3 11 2" xfId="9435" xr:uid="{00000000-0005-0000-0000-000084040000}"/>
    <cellStyle name="40% - Accent2 3 12" xfId="9436" xr:uid="{00000000-0005-0000-0000-000085040000}"/>
    <cellStyle name="40% - Accent2 3 2" xfId="538" xr:uid="{00000000-0005-0000-0000-000086040000}"/>
    <cellStyle name="40% - Accent2 3 2 2" xfId="9437" xr:uid="{00000000-0005-0000-0000-000087040000}"/>
    <cellStyle name="40% - Accent2 3 3" xfId="539" xr:uid="{00000000-0005-0000-0000-000088040000}"/>
    <cellStyle name="40% - Accent2 3 3 2" xfId="9438" xr:uid="{00000000-0005-0000-0000-000089040000}"/>
    <cellStyle name="40% - Accent2 3 4" xfId="540" xr:uid="{00000000-0005-0000-0000-00008A040000}"/>
    <cellStyle name="40% - Accent2 3 4 2" xfId="9439" xr:uid="{00000000-0005-0000-0000-00008B040000}"/>
    <cellStyle name="40% - Accent2 3 5" xfId="541" xr:uid="{00000000-0005-0000-0000-00008C040000}"/>
    <cellStyle name="40% - Accent2 3 5 2" xfId="9440" xr:uid="{00000000-0005-0000-0000-00008D040000}"/>
    <cellStyle name="40% - Accent2 3 6" xfId="542" xr:uid="{00000000-0005-0000-0000-00008E040000}"/>
    <cellStyle name="40% - Accent2 3 6 2" xfId="9441" xr:uid="{00000000-0005-0000-0000-00008F040000}"/>
    <cellStyle name="40% - Accent2 3 7" xfId="543" xr:uid="{00000000-0005-0000-0000-000090040000}"/>
    <cellStyle name="40% - Accent2 3 7 2" xfId="9442" xr:uid="{00000000-0005-0000-0000-000091040000}"/>
    <cellStyle name="40% - Accent2 3 8" xfId="544" xr:uid="{00000000-0005-0000-0000-000092040000}"/>
    <cellStyle name="40% - Accent2 3 8 2" xfId="9443" xr:uid="{00000000-0005-0000-0000-000093040000}"/>
    <cellStyle name="40% - Accent2 3 9" xfId="545" xr:uid="{00000000-0005-0000-0000-000094040000}"/>
    <cellStyle name="40% - Accent2 3 9 2" xfId="9444" xr:uid="{00000000-0005-0000-0000-000095040000}"/>
    <cellStyle name="40% - Accent2 30" xfId="38404" xr:uid="{00000000-0005-0000-0000-000019020000}"/>
    <cellStyle name="40% - Accent2 31" xfId="38405" xr:uid="{00000000-0005-0000-0000-00001A020000}"/>
    <cellStyle name="40% - Accent2 32" xfId="38406" xr:uid="{00000000-0005-0000-0000-00001B020000}"/>
    <cellStyle name="40% - Accent2 33" xfId="38407" xr:uid="{00000000-0005-0000-0000-00001C020000}"/>
    <cellStyle name="40% - Accent2 34" xfId="38408" xr:uid="{00000000-0005-0000-0000-00001D020000}"/>
    <cellStyle name="40% - Accent2 35" xfId="38409" xr:uid="{00000000-0005-0000-0000-00001E020000}"/>
    <cellStyle name="40% - Accent2 36" xfId="38410" xr:uid="{00000000-0005-0000-0000-00001F020000}"/>
    <cellStyle name="40% - Accent2 37" xfId="38411" xr:uid="{00000000-0005-0000-0000-000020020000}"/>
    <cellStyle name="40% - Accent2 38" xfId="38412" xr:uid="{00000000-0005-0000-0000-000021020000}"/>
    <cellStyle name="40% - Accent2 39" xfId="38413" xr:uid="{00000000-0005-0000-0000-000022020000}"/>
    <cellStyle name="40% - Accent2 4" xfId="546" xr:uid="{00000000-0005-0000-0000-000096040000}"/>
    <cellStyle name="40% - Accent2 4 10" xfId="547" xr:uid="{00000000-0005-0000-0000-000097040000}"/>
    <cellStyle name="40% - Accent2 4 10 2" xfId="9445" xr:uid="{00000000-0005-0000-0000-000098040000}"/>
    <cellStyle name="40% - Accent2 4 11" xfId="548" xr:uid="{00000000-0005-0000-0000-000099040000}"/>
    <cellStyle name="40% - Accent2 4 11 2" xfId="9446" xr:uid="{00000000-0005-0000-0000-00009A040000}"/>
    <cellStyle name="40% - Accent2 4 12" xfId="9447" xr:uid="{00000000-0005-0000-0000-00009B040000}"/>
    <cellStyle name="40% - Accent2 4 2" xfId="549" xr:uid="{00000000-0005-0000-0000-00009C040000}"/>
    <cellStyle name="40% - Accent2 4 2 2" xfId="9448" xr:uid="{00000000-0005-0000-0000-00009D040000}"/>
    <cellStyle name="40% - Accent2 4 3" xfId="550" xr:uid="{00000000-0005-0000-0000-00009E040000}"/>
    <cellStyle name="40% - Accent2 4 3 2" xfId="9449" xr:uid="{00000000-0005-0000-0000-00009F040000}"/>
    <cellStyle name="40% - Accent2 4 4" xfId="551" xr:uid="{00000000-0005-0000-0000-0000A0040000}"/>
    <cellStyle name="40% - Accent2 4 4 2" xfId="9450" xr:uid="{00000000-0005-0000-0000-0000A1040000}"/>
    <cellStyle name="40% - Accent2 4 5" xfId="552" xr:uid="{00000000-0005-0000-0000-0000A2040000}"/>
    <cellStyle name="40% - Accent2 4 5 2" xfId="9451" xr:uid="{00000000-0005-0000-0000-0000A3040000}"/>
    <cellStyle name="40% - Accent2 4 6" xfId="553" xr:uid="{00000000-0005-0000-0000-0000A4040000}"/>
    <cellStyle name="40% - Accent2 4 6 2" xfId="9452" xr:uid="{00000000-0005-0000-0000-0000A5040000}"/>
    <cellStyle name="40% - Accent2 4 7" xfId="554" xr:uid="{00000000-0005-0000-0000-0000A6040000}"/>
    <cellStyle name="40% - Accent2 4 7 2" xfId="9453" xr:uid="{00000000-0005-0000-0000-0000A7040000}"/>
    <cellStyle name="40% - Accent2 4 8" xfId="555" xr:uid="{00000000-0005-0000-0000-0000A8040000}"/>
    <cellStyle name="40% - Accent2 4 8 2" xfId="9454" xr:uid="{00000000-0005-0000-0000-0000A9040000}"/>
    <cellStyle name="40% - Accent2 4 9" xfId="556" xr:uid="{00000000-0005-0000-0000-0000AA040000}"/>
    <cellStyle name="40% - Accent2 4 9 2" xfId="9455" xr:uid="{00000000-0005-0000-0000-0000AB040000}"/>
    <cellStyle name="40% - Accent2 40" xfId="38414" xr:uid="{00000000-0005-0000-0000-000024020000}"/>
    <cellStyle name="40% - Accent2 41" xfId="38415" xr:uid="{00000000-0005-0000-0000-000025020000}"/>
    <cellStyle name="40% - Accent2 42" xfId="38416" xr:uid="{00000000-0005-0000-0000-000026020000}"/>
    <cellStyle name="40% - Accent2 43" xfId="38417" xr:uid="{00000000-0005-0000-0000-000027020000}"/>
    <cellStyle name="40% - Accent2 5" xfId="557" xr:uid="{00000000-0005-0000-0000-0000AC040000}"/>
    <cellStyle name="40% - Accent2 5 10" xfId="558" xr:uid="{00000000-0005-0000-0000-0000AD040000}"/>
    <cellStyle name="40% - Accent2 5 10 2" xfId="9456" xr:uid="{00000000-0005-0000-0000-0000AE040000}"/>
    <cellStyle name="40% - Accent2 5 11" xfId="559" xr:uid="{00000000-0005-0000-0000-0000AF040000}"/>
    <cellStyle name="40% - Accent2 5 11 2" xfId="9457" xr:uid="{00000000-0005-0000-0000-0000B0040000}"/>
    <cellStyle name="40% - Accent2 5 12" xfId="9458" xr:uid="{00000000-0005-0000-0000-0000B1040000}"/>
    <cellStyle name="40% - Accent2 5 2" xfId="560" xr:uid="{00000000-0005-0000-0000-0000B2040000}"/>
    <cellStyle name="40% - Accent2 5 2 2" xfId="9459" xr:uid="{00000000-0005-0000-0000-0000B3040000}"/>
    <cellStyle name="40% - Accent2 5 3" xfId="561" xr:uid="{00000000-0005-0000-0000-0000B4040000}"/>
    <cellStyle name="40% - Accent2 5 3 2" xfId="9460" xr:uid="{00000000-0005-0000-0000-0000B5040000}"/>
    <cellStyle name="40% - Accent2 5 4" xfId="562" xr:uid="{00000000-0005-0000-0000-0000B6040000}"/>
    <cellStyle name="40% - Accent2 5 4 2" xfId="9461" xr:uid="{00000000-0005-0000-0000-0000B7040000}"/>
    <cellStyle name="40% - Accent2 5 5" xfId="563" xr:uid="{00000000-0005-0000-0000-0000B8040000}"/>
    <cellStyle name="40% - Accent2 5 5 2" xfId="9462" xr:uid="{00000000-0005-0000-0000-0000B9040000}"/>
    <cellStyle name="40% - Accent2 5 6" xfId="564" xr:uid="{00000000-0005-0000-0000-0000BA040000}"/>
    <cellStyle name="40% - Accent2 5 6 2" xfId="9463" xr:uid="{00000000-0005-0000-0000-0000BB040000}"/>
    <cellStyle name="40% - Accent2 5 7" xfId="565" xr:uid="{00000000-0005-0000-0000-0000BC040000}"/>
    <cellStyle name="40% - Accent2 5 7 2" xfId="9464" xr:uid="{00000000-0005-0000-0000-0000BD040000}"/>
    <cellStyle name="40% - Accent2 5 8" xfId="566" xr:uid="{00000000-0005-0000-0000-0000BE040000}"/>
    <cellStyle name="40% - Accent2 5 8 2" xfId="9465" xr:uid="{00000000-0005-0000-0000-0000BF040000}"/>
    <cellStyle name="40% - Accent2 5 9" xfId="567" xr:uid="{00000000-0005-0000-0000-0000C0040000}"/>
    <cellStyle name="40% - Accent2 5 9 2" xfId="9466" xr:uid="{00000000-0005-0000-0000-0000C1040000}"/>
    <cellStyle name="40% - Accent2 6" xfId="568" xr:uid="{00000000-0005-0000-0000-0000C2040000}"/>
    <cellStyle name="40% - Accent2 6 10" xfId="569" xr:uid="{00000000-0005-0000-0000-0000C3040000}"/>
    <cellStyle name="40% - Accent2 6 10 2" xfId="9467" xr:uid="{00000000-0005-0000-0000-0000C4040000}"/>
    <cellStyle name="40% - Accent2 6 11" xfId="570" xr:uid="{00000000-0005-0000-0000-0000C5040000}"/>
    <cellStyle name="40% - Accent2 6 11 2" xfId="9468" xr:uid="{00000000-0005-0000-0000-0000C6040000}"/>
    <cellStyle name="40% - Accent2 6 12" xfId="9469" xr:uid="{00000000-0005-0000-0000-0000C7040000}"/>
    <cellStyle name="40% - Accent2 6 2" xfId="571" xr:uid="{00000000-0005-0000-0000-0000C8040000}"/>
    <cellStyle name="40% - Accent2 6 2 2" xfId="9470" xr:uid="{00000000-0005-0000-0000-0000C9040000}"/>
    <cellStyle name="40% - Accent2 6 3" xfId="572" xr:uid="{00000000-0005-0000-0000-0000CA040000}"/>
    <cellStyle name="40% - Accent2 6 3 2" xfId="9471" xr:uid="{00000000-0005-0000-0000-0000CB040000}"/>
    <cellStyle name="40% - Accent2 6 4" xfId="573" xr:uid="{00000000-0005-0000-0000-0000CC040000}"/>
    <cellStyle name="40% - Accent2 6 4 2" xfId="9472" xr:uid="{00000000-0005-0000-0000-0000CD040000}"/>
    <cellStyle name="40% - Accent2 6 5" xfId="574" xr:uid="{00000000-0005-0000-0000-0000CE040000}"/>
    <cellStyle name="40% - Accent2 6 5 2" xfId="9473" xr:uid="{00000000-0005-0000-0000-0000CF040000}"/>
    <cellStyle name="40% - Accent2 6 6" xfId="575" xr:uid="{00000000-0005-0000-0000-0000D0040000}"/>
    <cellStyle name="40% - Accent2 6 6 2" xfId="9474" xr:uid="{00000000-0005-0000-0000-0000D1040000}"/>
    <cellStyle name="40% - Accent2 6 7" xfId="576" xr:uid="{00000000-0005-0000-0000-0000D2040000}"/>
    <cellStyle name="40% - Accent2 6 7 2" xfId="9475" xr:uid="{00000000-0005-0000-0000-0000D3040000}"/>
    <cellStyle name="40% - Accent2 6 8" xfId="577" xr:uid="{00000000-0005-0000-0000-0000D4040000}"/>
    <cellStyle name="40% - Accent2 6 8 2" xfId="9476" xr:uid="{00000000-0005-0000-0000-0000D5040000}"/>
    <cellStyle name="40% - Accent2 6 9" xfId="578" xr:uid="{00000000-0005-0000-0000-0000D6040000}"/>
    <cellStyle name="40% - Accent2 6 9 2" xfId="9477" xr:uid="{00000000-0005-0000-0000-0000D7040000}"/>
    <cellStyle name="40% - Accent2 7" xfId="579" xr:uid="{00000000-0005-0000-0000-0000D8040000}"/>
    <cellStyle name="40% - Accent2 7 2" xfId="9478" xr:uid="{00000000-0005-0000-0000-0000D9040000}"/>
    <cellStyle name="40% - Accent2 8" xfId="580" xr:uid="{00000000-0005-0000-0000-0000DA040000}"/>
    <cellStyle name="40% - Accent2 8 2" xfId="9479" xr:uid="{00000000-0005-0000-0000-0000DB040000}"/>
    <cellStyle name="40% - Accent2 9" xfId="581" xr:uid="{00000000-0005-0000-0000-0000DC040000}"/>
    <cellStyle name="40% - Accent2 9 2" xfId="9480" xr:uid="{00000000-0005-0000-0000-0000DD040000}"/>
    <cellStyle name="40% - Accent3 10" xfId="582" xr:uid="{00000000-0005-0000-0000-0000DE040000}"/>
    <cellStyle name="40% - Accent3 10 2" xfId="9481" xr:uid="{00000000-0005-0000-0000-0000DF040000}"/>
    <cellStyle name="40% - Accent3 11" xfId="38418" xr:uid="{00000000-0005-0000-0000-000030020000}"/>
    <cellStyle name="40% - Accent3 11 2" xfId="38419" xr:uid="{00000000-0005-0000-0000-000031020000}"/>
    <cellStyle name="40% - Accent3 12" xfId="38420" xr:uid="{00000000-0005-0000-0000-000032020000}"/>
    <cellStyle name="40% - Accent3 13" xfId="38421" xr:uid="{00000000-0005-0000-0000-000033020000}"/>
    <cellStyle name="40% - Accent3 14" xfId="38422" xr:uid="{00000000-0005-0000-0000-000034020000}"/>
    <cellStyle name="40% - Accent3 15" xfId="38423" xr:uid="{00000000-0005-0000-0000-000035020000}"/>
    <cellStyle name="40% - Accent3 16" xfId="38424" xr:uid="{00000000-0005-0000-0000-000036020000}"/>
    <cellStyle name="40% - Accent3 17" xfId="38425" xr:uid="{00000000-0005-0000-0000-000037020000}"/>
    <cellStyle name="40% - Accent3 18" xfId="38426" xr:uid="{00000000-0005-0000-0000-000038020000}"/>
    <cellStyle name="40% - Accent3 19" xfId="38427" xr:uid="{00000000-0005-0000-0000-000039020000}"/>
    <cellStyle name="40% - Accent3 2" xfId="583" xr:uid="{00000000-0005-0000-0000-0000E0040000}"/>
    <cellStyle name="40% - Accent3 2 10" xfId="584" xr:uid="{00000000-0005-0000-0000-0000E1040000}"/>
    <cellStyle name="40% - Accent3 2 10 2" xfId="9482" xr:uid="{00000000-0005-0000-0000-0000E2040000}"/>
    <cellStyle name="40% - Accent3 2 10 3" xfId="12151" xr:uid="{00000000-0005-0000-0000-0000E3040000}"/>
    <cellStyle name="40% - Accent3 2 11" xfId="585" xr:uid="{00000000-0005-0000-0000-0000E4040000}"/>
    <cellStyle name="40% - Accent3 2 11 2" xfId="9483" xr:uid="{00000000-0005-0000-0000-0000E5040000}"/>
    <cellStyle name="40% - Accent3 2 11 3" xfId="12152" xr:uid="{00000000-0005-0000-0000-0000E6040000}"/>
    <cellStyle name="40% - Accent3 2 12" xfId="9484" xr:uid="{00000000-0005-0000-0000-0000E7040000}"/>
    <cellStyle name="40% - Accent3 2 12 2" xfId="9485" xr:uid="{00000000-0005-0000-0000-0000E8040000}"/>
    <cellStyle name="40% - Accent3 2 12 3" xfId="12153" xr:uid="{00000000-0005-0000-0000-0000E9040000}"/>
    <cellStyle name="40% - Accent3 2 13" xfId="9486" xr:uid="{00000000-0005-0000-0000-0000EA040000}"/>
    <cellStyle name="40% - Accent3 2 13 2" xfId="12154" xr:uid="{00000000-0005-0000-0000-0000EB040000}"/>
    <cellStyle name="40% - Accent3 2 14" xfId="12155" xr:uid="{00000000-0005-0000-0000-0000EC040000}"/>
    <cellStyle name="40% - Accent3 2 15" xfId="12156" xr:uid="{00000000-0005-0000-0000-0000ED040000}"/>
    <cellStyle name="40% - Accent3 2 16" xfId="38428" xr:uid="{00000000-0005-0000-0000-000041020000}"/>
    <cellStyle name="40% - Accent3 2 2" xfId="586" xr:uid="{00000000-0005-0000-0000-0000EE040000}"/>
    <cellStyle name="40% - Accent3 2 2 2" xfId="9487" xr:uid="{00000000-0005-0000-0000-0000EF040000}"/>
    <cellStyle name="40% - Accent3 2 2 3" xfId="12157" xr:uid="{00000000-0005-0000-0000-0000F0040000}"/>
    <cellStyle name="40% - Accent3 2 3" xfId="587" xr:uid="{00000000-0005-0000-0000-0000F1040000}"/>
    <cellStyle name="40% - Accent3 2 3 2" xfId="9488" xr:uid="{00000000-0005-0000-0000-0000F2040000}"/>
    <cellStyle name="40% - Accent3 2 3 3" xfId="12158" xr:uid="{00000000-0005-0000-0000-0000F3040000}"/>
    <cellStyle name="40% - Accent3 2 4" xfId="588" xr:uid="{00000000-0005-0000-0000-0000F4040000}"/>
    <cellStyle name="40% - Accent3 2 4 2" xfId="9489" xr:uid="{00000000-0005-0000-0000-0000F5040000}"/>
    <cellStyle name="40% - Accent3 2 4 3" xfId="12159" xr:uid="{00000000-0005-0000-0000-0000F6040000}"/>
    <cellStyle name="40% - Accent3 2 5" xfId="589" xr:uid="{00000000-0005-0000-0000-0000F7040000}"/>
    <cellStyle name="40% - Accent3 2 5 2" xfId="9490" xr:uid="{00000000-0005-0000-0000-0000F8040000}"/>
    <cellStyle name="40% - Accent3 2 5 3" xfId="12160" xr:uid="{00000000-0005-0000-0000-0000F9040000}"/>
    <cellStyle name="40% - Accent3 2 6" xfId="590" xr:uid="{00000000-0005-0000-0000-0000FA040000}"/>
    <cellStyle name="40% - Accent3 2 6 2" xfId="9491" xr:uid="{00000000-0005-0000-0000-0000FB040000}"/>
    <cellStyle name="40% - Accent3 2 6 3" xfId="12161" xr:uid="{00000000-0005-0000-0000-0000FC040000}"/>
    <cellStyle name="40% - Accent3 2 7" xfId="591" xr:uid="{00000000-0005-0000-0000-0000FD040000}"/>
    <cellStyle name="40% - Accent3 2 7 2" xfId="9492" xr:uid="{00000000-0005-0000-0000-0000FE040000}"/>
    <cellStyle name="40% - Accent3 2 7 3" xfId="12162" xr:uid="{00000000-0005-0000-0000-0000FF040000}"/>
    <cellStyle name="40% - Accent3 2 8" xfId="592" xr:uid="{00000000-0005-0000-0000-000000050000}"/>
    <cellStyle name="40% - Accent3 2 8 2" xfId="9493" xr:uid="{00000000-0005-0000-0000-000001050000}"/>
    <cellStyle name="40% - Accent3 2 8 3" xfId="12163" xr:uid="{00000000-0005-0000-0000-000002050000}"/>
    <cellStyle name="40% - Accent3 2 9" xfId="593" xr:uid="{00000000-0005-0000-0000-000003050000}"/>
    <cellStyle name="40% - Accent3 2 9 2" xfId="9494" xr:uid="{00000000-0005-0000-0000-000004050000}"/>
    <cellStyle name="40% - Accent3 2 9 3" xfId="12164" xr:uid="{00000000-0005-0000-0000-000005050000}"/>
    <cellStyle name="40% - Accent3 20" xfId="38429" xr:uid="{00000000-0005-0000-0000-00004A020000}"/>
    <cellStyle name="40% - Accent3 21" xfId="38430" xr:uid="{00000000-0005-0000-0000-00004B020000}"/>
    <cellStyle name="40% - Accent3 22" xfId="38431" xr:uid="{00000000-0005-0000-0000-00004C020000}"/>
    <cellStyle name="40% - Accent3 23" xfId="38432" xr:uid="{00000000-0005-0000-0000-00004D020000}"/>
    <cellStyle name="40% - Accent3 24" xfId="38433" xr:uid="{00000000-0005-0000-0000-00004E020000}"/>
    <cellStyle name="40% - Accent3 25" xfId="38434" xr:uid="{00000000-0005-0000-0000-00004F020000}"/>
    <cellStyle name="40% - Accent3 26" xfId="38435" xr:uid="{00000000-0005-0000-0000-000050020000}"/>
    <cellStyle name="40% - Accent3 27" xfId="38436" xr:uid="{00000000-0005-0000-0000-000051020000}"/>
    <cellStyle name="40% - Accent3 28" xfId="38437" xr:uid="{00000000-0005-0000-0000-000052020000}"/>
    <cellStyle name="40% - Accent3 29" xfId="38438" xr:uid="{00000000-0005-0000-0000-000053020000}"/>
    <cellStyle name="40% - Accent3 3" xfId="594" xr:uid="{00000000-0005-0000-0000-000006050000}"/>
    <cellStyle name="40% - Accent3 3 10" xfId="595" xr:uid="{00000000-0005-0000-0000-000007050000}"/>
    <cellStyle name="40% - Accent3 3 10 2" xfId="9495" xr:uid="{00000000-0005-0000-0000-000008050000}"/>
    <cellStyle name="40% - Accent3 3 11" xfId="596" xr:uid="{00000000-0005-0000-0000-000009050000}"/>
    <cellStyle name="40% - Accent3 3 11 2" xfId="9496" xr:uid="{00000000-0005-0000-0000-00000A050000}"/>
    <cellStyle name="40% - Accent3 3 12" xfId="9497" xr:uid="{00000000-0005-0000-0000-00000B050000}"/>
    <cellStyle name="40% - Accent3 3 13" xfId="12165" xr:uid="{00000000-0005-0000-0000-00000C050000}"/>
    <cellStyle name="40% - Accent3 3 14" xfId="14140" xr:uid="{00000000-0005-0000-0000-00000D050000}"/>
    <cellStyle name="40% - Accent3 3 2" xfId="597" xr:uid="{00000000-0005-0000-0000-00000E050000}"/>
    <cellStyle name="40% - Accent3 3 2 2" xfId="9498" xr:uid="{00000000-0005-0000-0000-00000F050000}"/>
    <cellStyle name="40% - Accent3 3 2 3" xfId="38439" xr:uid="{00000000-0005-0000-0000-000055020000}"/>
    <cellStyle name="40% - Accent3 3 3" xfId="598" xr:uid="{00000000-0005-0000-0000-000010050000}"/>
    <cellStyle name="40% - Accent3 3 3 2" xfId="9499" xr:uid="{00000000-0005-0000-0000-000011050000}"/>
    <cellStyle name="40% - Accent3 3 4" xfId="599" xr:uid="{00000000-0005-0000-0000-000012050000}"/>
    <cellStyle name="40% - Accent3 3 4 2" xfId="9500" xr:uid="{00000000-0005-0000-0000-000013050000}"/>
    <cellStyle name="40% - Accent3 3 5" xfId="600" xr:uid="{00000000-0005-0000-0000-000014050000}"/>
    <cellStyle name="40% - Accent3 3 5 2" xfId="9501" xr:uid="{00000000-0005-0000-0000-000015050000}"/>
    <cellStyle name="40% - Accent3 3 6" xfId="601" xr:uid="{00000000-0005-0000-0000-000016050000}"/>
    <cellStyle name="40% - Accent3 3 6 2" xfId="9502" xr:uid="{00000000-0005-0000-0000-000017050000}"/>
    <cellStyle name="40% - Accent3 3 7" xfId="602" xr:uid="{00000000-0005-0000-0000-000018050000}"/>
    <cellStyle name="40% - Accent3 3 7 2" xfId="9503" xr:uid="{00000000-0005-0000-0000-000019050000}"/>
    <cellStyle name="40% - Accent3 3 8" xfId="603" xr:uid="{00000000-0005-0000-0000-00001A050000}"/>
    <cellStyle name="40% - Accent3 3 8 2" xfId="9504" xr:uid="{00000000-0005-0000-0000-00001B050000}"/>
    <cellStyle name="40% - Accent3 3 9" xfId="604" xr:uid="{00000000-0005-0000-0000-00001C050000}"/>
    <cellStyle name="40% - Accent3 3 9 2" xfId="9505" xr:uid="{00000000-0005-0000-0000-00001D050000}"/>
    <cellStyle name="40% - Accent3 30" xfId="38440" xr:uid="{00000000-0005-0000-0000-000057020000}"/>
    <cellStyle name="40% - Accent3 31" xfId="38441" xr:uid="{00000000-0005-0000-0000-000058020000}"/>
    <cellStyle name="40% - Accent3 32" xfId="38442" xr:uid="{00000000-0005-0000-0000-000059020000}"/>
    <cellStyle name="40% - Accent3 33" xfId="38443" xr:uid="{00000000-0005-0000-0000-00005A020000}"/>
    <cellStyle name="40% - Accent3 34" xfId="38444" xr:uid="{00000000-0005-0000-0000-00005B020000}"/>
    <cellStyle name="40% - Accent3 35" xfId="38445" xr:uid="{00000000-0005-0000-0000-00005C020000}"/>
    <cellStyle name="40% - Accent3 36" xfId="38446" xr:uid="{00000000-0005-0000-0000-00005D020000}"/>
    <cellStyle name="40% - Accent3 37" xfId="38447" xr:uid="{00000000-0005-0000-0000-00005E020000}"/>
    <cellStyle name="40% - Accent3 38" xfId="38448" xr:uid="{00000000-0005-0000-0000-00005F020000}"/>
    <cellStyle name="40% - Accent3 39" xfId="38449" xr:uid="{00000000-0005-0000-0000-000060020000}"/>
    <cellStyle name="40% - Accent3 4" xfId="605" xr:uid="{00000000-0005-0000-0000-00001E050000}"/>
    <cellStyle name="40% - Accent3 4 10" xfId="606" xr:uid="{00000000-0005-0000-0000-00001F050000}"/>
    <cellStyle name="40% - Accent3 4 10 2" xfId="9506" xr:uid="{00000000-0005-0000-0000-000020050000}"/>
    <cellStyle name="40% - Accent3 4 11" xfId="607" xr:uid="{00000000-0005-0000-0000-000021050000}"/>
    <cellStyle name="40% - Accent3 4 11 2" xfId="9507" xr:uid="{00000000-0005-0000-0000-000022050000}"/>
    <cellStyle name="40% - Accent3 4 12" xfId="9508" xr:uid="{00000000-0005-0000-0000-000023050000}"/>
    <cellStyle name="40% - Accent3 4 13" xfId="12166" xr:uid="{00000000-0005-0000-0000-000024050000}"/>
    <cellStyle name="40% - Accent3 4 2" xfId="608" xr:uid="{00000000-0005-0000-0000-000025050000}"/>
    <cellStyle name="40% - Accent3 4 2 2" xfId="9509" xr:uid="{00000000-0005-0000-0000-000026050000}"/>
    <cellStyle name="40% - Accent3 4 2 3" xfId="38450" xr:uid="{00000000-0005-0000-0000-000062020000}"/>
    <cellStyle name="40% - Accent3 4 3" xfId="609" xr:uid="{00000000-0005-0000-0000-000027050000}"/>
    <cellStyle name="40% - Accent3 4 3 2" xfId="9510" xr:uid="{00000000-0005-0000-0000-000028050000}"/>
    <cellStyle name="40% - Accent3 4 4" xfId="610" xr:uid="{00000000-0005-0000-0000-000029050000}"/>
    <cellStyle name="40% - Accent3 4 4 2" xfId="9511" xr:uid="{00000000-0005-0000-0000-00002A050000}"/>
    <cellStyle name="40% - Accent3 4 5" xfId="611" xr:uid="{00000000-0005-0000-0000-00002B050000}"/>
    <cellStyle name="40% - Accent3 4 5 2" xfId="9512" xr:uid="{00000000-0005-0000-0000-00002C050000}"/>
    <cellStyle name="40% - Accent3 4 6" xfId="612" xr:uid="{00000000-0005-0000-0000-00002D050000}"/>
    <cellStyle name="40% - Accent3 4 6 2" xfId="9513" xr:uid="{00000000-0005-0000-0000-00002E050000}"/>
    <cellStyle name="40% - Accent3 4 7" xfId="613" xr:uid="{00000000-0005-0000-0000-00002F050000}"/>
    <cellStyle name="40% - Accent3 4 7 2" xfId="9514" xr:uid="{00000000-0005-0000-0000-000030050000}"/>
    <cellStyle name="40% - Accent3 4 8" xfId="614" xr:uid="{00000000-0005-0000-0000-000031050000}"/>
    <cellStyle name="40% - Accent3 4 8 2" xfId="9515" xr:uid="{00000000-0005-0000-0000-000032050000}"/>
    <cellStyle name="40% - Accent3 4 9" xfId="615" xr:uid="{00000000-0005-0000-0000-000033050000}"/>
    <cellStyle name="40% - Accent3 4 9 2" xfId="9516" xr:uid="{00000000-0005-0000-0000-000034050000}"/>
    <cellStyle name="40% - Accent3 40" xfId="38451" xr:uid="{00000000-0005-0000-0000-000064020000}"/>
    <cellStyle name="40% - Accent3 41" xfId="38452" xr:uid="{00000000-0005-0000-0000-000065020000}"/>
    <cellStyle name="40% - Accent3 42" xfId="38453" xr:uid="{00000000-0005-0000-0000-000066020000}"/>
    <cellStyle name="40% - Accent3 43" xfId="38454" xr:uid="{00000000-0005-0000-0000-000067020000}"/>
    <cellStyle name="40% - Accent3 5" xfId="616" xr:uid="{00000000-0005-0000-0000-000035050000}"/>
    <cellStyle name="40% - Accent3 5 10" xfId="617" xr:uid="{00000000-0005-0000-0000-000036050000}"/>
    <cellStyle name="40% - Accent3 5 10 2" xfId="9517" xr:uid="{00000000-0005-0000-0000-000037050000}"/>
    <cellStyle name="40% - Accent3 5 11" xfId="618" xr:uid="{00000000-0005-0000-0000-000038050000}"/>
    <cellStyle name="40% - Accent3 5 11 2" xfId="9518" xr:uid="{00000000-0005-0000-0000-000039050000}"/>
    <cellStyle name="40% - Accent3 5 12" xfId="9519" xr:uid="{00000000-0005-0000-0000-00003A050000}"/>
    <cellStyle name="40% - Accent3 5 13" xfId="12167" xr:uid="{00000000-0005-0000-0000-00003B050000}"/>
    <cellStyle name="40% - Accent3 5 2" xfId="619" xr:uid="{00000000-0005-0000-0000-00003C050000}"/>
    <cellStyle name="40% - Accent3 5 2 2" xfId="9520" xr:uid="{00000000-0005-0000-0000-00003D050000}"/>
    <cellStyle name="40% - Accent3 5 2 3" xfId="38455" xr:uid="{00000000-0005-0000-0000-000069020000}"/>
    <cellStyle name="40% - Accent3 5 3" xfId="620" xr:uid="{00000000-0005-0000-0000-00003E050000}"/>
    <cellStyle name="40% - Accent3 5 3 2" xfId="9521" xr:uid="{00000000-0005-0000-0000-00003F050000}"/>
    <cellStyle name="40% - Accent3 5 4" xfId="621" xr:uid="{00000000-0005-0000-0000-000040050000}"/>
    <cellStyle name="40% - Accent3 5 4 2" xfId="9522" xr:uid="{00000000-0005-0000-0000-000041050000}"/>
    <cellStyle name="40% - Accent3 5 5" xfId="622" xr:uid="{00000000-0005-0000-0000-000042050000}"/>
    <cellStyle name="40% - Accent3 5 5 2" xfId="9523" xr:uid="{00000000-0005-0000-0000-000043050000}"/>
    <cellStyle name="40% - Accent3 5 6" xfId="623" xr:uid="{00000000-0005-0000-0000-000044050000}"/>
    <cellStyle name="40% - Accent3 5 6 2" xfId="9524" xr:uid="{00000000-0005-0000-0000-000045050000}"/>
    <cellStyle name="40% - Accent3 5 7" xfId="624" xr:uid="{00000000-0005-0000-0000-000046050000}"/>
    <cellStyle name="40% - Accent3 5 7 2" xfId="9525" xr:uid="{00000000-0005-0000-0000-000047050000}"/>
    <cellStyle name="40% - Accent3 5 8" xfId="625" xr:uid="{00000000-0005-0000-0000-000048050000}"/>
    <cellStyle name="40% - Accent3 5 8 2" xfId="9526" xr:uid="{00000000-0005-0000-0000-000049050000}"/>
    <cellStyle name="40% - Accent3 5 9" xfId="626" xr:uid="{00000000-0005-0000-0000-00004A050000}"/>
    <cellStyle name="40% - Accent3 5 9 2" xfId="9527" xr:uid="{00000000-0005-0000-0000-00004B050000}"/>
    <cellStyle name="40% - Accent3 6" xfId="627" xr:uid="{00000000-0005-0000-0000-00004C050000}"/>
    <cellStyle name="40% - Accent3 6 10" xfId="628" xr:uid="{00000000-0005-0000-0000-00004D050000}"/>
    <cellStyle name="40% - Accent3 6 10 2" xfId="9528" xr:uid="{00000000-0005-0000-0000-00004E050000}"/>
    <cellStyle name="40% - Accent3 6 11" xfId="629" xr:uid="{00000000-0005-0000-0000-00004F050000}"/>
    <cellStyle name="40% - Accent3 6 11 2" xfId="9529" xr:uid="{00000000-0005-0000-0000-000050050000}"/>
    <cellStyle name="40% - Accent3 6 12" xfId="9530" xr:uid="{00000000-0005-0000-0000-000051050000}"/>
    <cellStyle name="40% - Accent3 6 13" xfId="12168" xr:uid="{00000000-0005-0000-0000-000052050000}"/>
    <cellStyle name="40% - Accent3 6 2" xfId="630" xr:uid="{00000000-0005-0000-0000-000053050000}"/>
    <cellStyle name="40% - Accent3 6 2 2" xfId="9531" xr:uid="{00000000-0005-0000-0000-000054050000}"/>
    <cellStyle name="40% - Accent3 6 2 3" xfId="38456" xr:uid="{00000000-0005-0000-0000-00006C020000}"/>
    <cellStyle name="40% - Accent3 6 3" xfId="631" xr:uid="{00000000-0005-0000-0000-000055050000}"/>
    <cellStyle name="40% - Accent3 6 3 2" xfId="9532" xr:uid="{00000000-0005-0000-0000-000056050000}"/>
    <cellStyle name="40% - Accent3 6 4" xfId="632" xr:uid="{00000000-0005-0000-0000-000057050000}"/>
    <cellStyle name="40% - Accent3 6 4 2" xfId="9533" xr:uid="{00000000-0005-0000-0000-000058050000}"/>
    <cellStyle name="40% - Accent3 6 5" xfId="633" xr:uid="{00000000-0005-0000-0000-000059050000}"/>
    <cellStyle name="40% - Accent3 6 5 2" xfId="9534" xr:uid="{00000000-0005-0000-0000-00005A050000}"/>
    <cellStyle name="40% - Accent3 6 6" xfId="634" xr:uid="{00000000-0005-0000-0000-00005B050000}"/>
    <cellStyle name="40% - Accent3 6 6 2" xfId="9535" xr:uid="{00000000-0005-0000-0000-00005C050000}"/>
    <cellStyle name="40% - Accent3 6 7" xfId="635" xr:uid="{00000000-0005-0000-0000-00005D050000}"/>
    <cellStyle name="40% - Accent3 6 7 2" xfId="9536" xr:uid="{00000000-0005-0000-0000-00005E050000}"/>
    <cellStyle name="40% - Accent3 6 8" xfId="636" xr:uid="{00000000-0005-0000-0000-00005F050000}"/>
    <cellStyle name="40% - Accent3 6 8 2" xfId="9537" xr:uid="{00000000-0005-0000-0000-000060050000}"/>
    <cellStyle name="40% - Accent3 6 9" xfId="637" xr:uid="{00000000-0005-0000-0000-000061050000}"/>
    <cellStyle name="40% - Accent3 6 9 2" xfId="9538" xr:uid="{00000000-0005-0000-0000-000062050000}"/>
    <cellStyle name="40% - Accent3 7" xfId="638" xr:uid="{00000000-0005-0000-0000-000063050000}"/>
    <cellStyle name="40% - Accent3 7 2" xfId="9539" xr:uid="{00000000-0005-0000-0000-000064050000}"/>
    <cellStyle name="40% - Accent3 7 2 2" xfId="38458" xr:uid="{00000000-0005-0000-0000-00006F020000}"/>
    <cellStyle name="40% - Accent3 7 3" xfId="12169" xr:uid="{00000000-0005-0000-0000-000065050000}"/>
    <cellStyle name="40% - Accent3 7 3 2" xfId="38457" xr:uid="{00000000-0005-0000-0000-000070020000}"/>
    <cellStyle name="40% - Accent3 8" xfId="639" xr:uid="{00000000-0005-0000-0000-000066050000}"/>
    <cellStyle name="40% - Accent3 8 2" xfId="9540" xr:uid="{00000000-0005-0000-0000-000067050000}"/>
    <cellStyle name="40% - Accent3 8 2 2" xfId="38460" xr:uid="{00000000-0005-0000-0000-000072020000}"/>
    <cellStyle name="40% - Accent3 8 3" xfId="12170" xr:uid="{00000000-0005-0000-0000-000068050000}"/>
    <cellStyle name="40% - Accent3 8 3 2" xfId="38459" xr:uid="{00000000-0005-0000-0000-000073020000}"/>
    <cellStyle name="40% - Accent3 9" xfId="640" xr:uid="{00000000-0005-0000-0000-000069050000}"/>
    <cellStyle name="40% - Accent3 9 2" xfId="9541" xr:uid="{00000000-0005-0000-0000-00006A050000}"/>
    <cellStyle name="40% - Accent4 10" xfId="641" xr:uid="{00000000-0005-0000-0000-00006B050000}"/>
    <cellStyle name="40% - Accent4 10 2" xfId="9542" xr:uid="{00000000-0005-0000-0000-00006C050000}"/>
    <cellStyle name="40% - Accent4 11" xfId="38461" xr:uid="{00000000-0005-0000-0000-000078020000}"/>
    <cellStyle name="40% - Accent4 11 2" xfId="38462" xr:uid="{00000000-0005-0000-0000-000079020000}"/>
    <cellStyle name="40% - Accent4 12" xfId="38463" xr:uid="{00000000-0005-0000-0000-00007A020000}"/>
    <cellStyle name="40% - Accent4 13" xfId="38464" xr:uid="{00000000-0005-0000-0000-00007B020000}"/>
    <cellStyle name="40% - Accent4 14" xfId="38465" xr:uid="{00000000-0005-0000-0000-00007C020000}"/>
    <cellStyle name="40% - Accent4 15" xfId="38466" xr:uid="{00000000-0005-0000-0000-00007D020000}"/>
    <cellStyle name="40% - Accent4 16" xfId="38467" xr:uid="{00000000-0005-0000-0000-00007E020000}"/>
    <cellStyle name="40% - Accent4 17" xfId="38468" xr:uid="{00000000-0005-0000-0000-00007F020000}"/>
    <cellStyle name="40% - Accent4 18" xfId="38469" xr:uid="{00000000-0005-0000-0000-000080020000}"/>
    <cellStyle name="40% - Accent4 19" xfId="38470" xr:uid="{00000000-0005-0000-0000-000081020000}"/>
    <cellStyle name="40% - Accent4 2" xfId="642" xr:uid="{00000000-0005-0000-0000-00006D050000}"/>
    <cellStyle name="40% - Accent4 2 10" xfId="643" xr:uid="{00000000-0005-0000-0000-00006E050000}"/>
    <cellStyle name="40% - Accent4 2 10 2" xfId="9543" xr:uid="{00000000-0005-0000-0000-00006F050000}"/>
    <cellStyle name="40% - Accent4 2 10 3" xfId="12171" xr:uid="{00000000-0005-0000-0000-000070050000}"/>
    <cellStyle name="40% - Accent4 2 11" xfId="644" xr:uid="{00000000-0005-0000-0000-000071050000}"/>
    <cellStyle name="40% - Accent4 2 11 2" xfId="9544" xr:uid="{00000000-0005-0000-0000-000072050000}"/>
    <cellStyle name="40% - Accent4 2 11 3" xfId="12172" xr:uid="{00000000-0005-0000-0000-000073050000}"/>
    <cellStyle name="40% - Accent4 2 12" xfId="9545" xr:uid="{00000000-0005-0000-0000-000074050000}"/>
    <cellStyle name="40% - Accent4 2 12 2" xfId="9546" xr:uid="{00000000-0005-0000-0000-000075050000}"/>
    <cellStyle name="40% - Accent4 2 12 3" xfId="12173" xr:uid="{00000000-0005-0000-0000-000076050000}"/>
    <cellStyle name="40% - Accent4 2 13" xfId="9547" xr:uid="{00000000-0005-0000-0000-000077050000}"/>
    <cellStyle name="40% - Accent4 2 13 2" xfId="12174" xr:uid="{00000000-0005-0000-0000-000078050000}"/>
    <cellStyle name="40% - Accent4 2 14" xfId="12175" xr:uid="{00000000-0005-0000-0000-000079050000}"/>
    <cellStyle name="40% - Accent4 2 15" xfId="12176" xr:uid="{00000000-0005-0000-0000-00007A050000}"/>
    <cellStyle name="40% - Accent4 2 16" xfId="38471" xr:uid="{00000000-0005-0000-0000-000089020000}"/>
    <cellStyle name="40% - Accent4 2 2" xfId="645" xr:uid="{00000000-0005-0000-0000-00007B050000}"/>
    <cellStyle name="40% - Accent4 2 2 2" xfId="9548" xr:uid="{00000000-0005-0000-0000-00007C050000}"/>
    <cellStyle name="40% - Accent4 2 2 3" xfId="12177" xr:uid="{00000000-0005-0000-0000-00007D050000}"/>
    <cellStyle name="40% - Accent4 2 3" xfId="646" xr:uid="{00000000-0005-0000-0000-00007E050000}"/>
    <cellStyle name="40% - Accent4 2 3 2" xfId="9549" xr:uid="{00000000-0005-0000-0000-00007F050000}"/>
    <cellStyle name="40% - Accent4 2 3 3" xfId="12178" xr:uid="{00000000-0005-0000-0000-000080050000}"/>
    <cellStyle name="40% - Accent4 2 4" xfId="647" xr:uid="{00000000-0005-0000-0000-000081050000}"/>
    <cellStyle name="40% - Accent4 2 4 2" xfId="9550" xr:uid="{00000000-0005-0000-0000-000082050000}"/>
    <cellStyle name="40% - Accent4 2 4 3" xfId="12179" xr:uid="{00000000-0005-0000-0000-000083050000}"/>
    <cellStyle name="40% - Accent4 2 5" xfId="648" xr:uid="{00000000-0005-0000-0000-000084050000}"/>
    <cellStyle name="40% - Accent4 2 5 2" xfId="9551" xr:uid="{00000000-0005-0000-0000-000085050000}"/>
    <cellStyle name="40% - Accent4 2 5 3" xfId="12180" xr:uid="{00000000-0005-0000-0000-000086050000}"/>
    <cellStyle name="40% - Accent4 2 6" xfId="649" xr:uid="{00000000-0005-0000-0000-000087050000}"/>
    <cellStyle name="40% - Accent4 2 6 2" xfId="9552" xr:uid="{00000000-0005-0000-0000-000088050000}"/>
    <cellStyle name="40% - Accent4 2 6 3" xfId="12181" xr:uid="{00000000-0005-0000-0000-000089050000}"/>
    <cellStyle name="40% - Accent4 2 7" xfId="650" xr:uid="{00000000-0005-0000-0000-00008A050000}"/>
    <cellStyle name="40% - Accent4 2 7 2" xfId="9553" xr:uid="{00000000-0005-0000-0000-00008B050000}"/>
    <cellStyle name="40% - Accent4 2 7 3" xfId="12182" xr:uid="{00000000-0005-0000-0000-00008C050000}"/>
    <cellStyle name="40% - Accent4 2 8" xfId="651" xr:uid="{00000000-0005-0000-0000-00008D050000}"/>
    <cellStyle name="40% - Accent4 2 8 2" xfId="9554" xr:uid="{00000000-0005-0000-0000-00008E050000}"/>
    <cellStyle name="40% - Accent4 2 8 3" xfId="12183" xr:uid="{00000000-0005-0000-0000-00008F050000}"/>
    <cellStyle name="40% - Accent4 2 9" xfId="652" xr:uid="{00000000-0005-0000-0000-000090050000}"/>
    <cellStyle name="40% - Accent4 2 9 2" xfId="9555" xr:uid="{00000000-0005-0000-0000-000091050000}"/>
    <cellStyle name="40% - Accent4 2 9 3" xfId="12184" xr:uid="{00000000-0005-0000-0000-000092050000}"/>
    <cellStyle name="40% - Accent4 20" xfId="38472" xr:uid="{00000000-0005-0000-0000-000092020000}"/>
    <cellStyle name="40% - Accent4 21" xfId="38473" xr:uid="{00000000-0005-0000-0000-000093020000}"/>
    <cellStyle name="40% - Accent4 22" xfId="38474" xr:uid="{00000000-0005-0000-0000-000094020000}"/>
    <cellStyle name="40% - Accent4 23" xfId="38475" xr:uid="{00000000-0005-0000-0000-000095020000}"/>
    <cellStyle name="40% - Accent4 24" xfId="38476" xr:uid="{00000000-0005-0000-0000-000096020000}"/>
    <cellStyle name="40% - Accent4 25" xfId="38477" xr:uid="{00000000-0005-0000-0000-000097020000}"/>
    <cellStyle name="40% - Accent4 26" xfId="38478" xr:uid="{00000000-0005-0000-0000-000098020000}"/>
    <cellStyle name="40% - Accent4 27" xfId="38479" xr:uid="{00000000-0005-0000-0000-000099020000}"/>
    <cellStyle name="40% - Accent4 28" xfId="38480" xr:uid="{00000000-0005-0000-0000-00009A020000}"/>
    <cellStyle name="40% - Accent4 29" xfId="38481" xr:uid="{00000000-0005-0000-0000-00009B020000}"/>
    <cellStyle name="40% - Accent4 3" xfId="653" xr:uid="{00000000-0005-0000-0000-000093050000}"/>
    <cellStyle name="40% - Accent4 3 10" xfId="654" xr:uid="{00000000-0005-0000-0000-000094050000}"/>
    <cellStyle name="40% - Accent4 3 10 2" xfId="9556" xr:uid="{00000000-0005-0000-0000-000095050000}"/>
    <cellStyle name="40% - Accent4 3 11" xfId="655" xr:uid="{00000000-0005-0000-0000-000096050000}"/>
    <cellStyle name="40% - Accent4 3 11 2" xfId="9557" xr:uid="{00000000-0005-0000-0000-000097050000}"/>
    <cellStyle name="40% - Accent4 3 12" xfId="9558" xr:uid="{00000000-0005-0000-0000-000098050000}"/>
    <cellStyle name="40% - Accent4 3 13" xfId="12185" xr:uid="{00000000-0005-0000-0000-000099050000}"/>
    <cellStyle name="40% - Accent4 3 2" xfId="656" xr:uid="{00000000-0005-0000-0000-00009A050000}"/>
    <cellStyle name="40% - Accent4 3 2 2" xfId="9559" xr:uid="{00000000-0005-0000-0000-00009B050000}"/>
    <cellStyle name="40% - Accent4 3 2 3" xfId="38482" xr:uid="{00000000-0005-0000-0000-00009D020000}"/>
    <cellStyle name="40% - Accent4 3 3" xfId="657" xr:uid="{00000000-0005-0000-0000-00009C050000}"/>
    <cellStyle name="40% - Accent4 3 3 2" xfId="9560" xr:uid="{00000000-0005-0000-0000-00009D050000}"/>
    <cellStyle name="40% - Accent4 3 4" xfId="658" xr:uid="{00000000-0005-0000-0000-00009E050000}"/>
    <cellStyle name="40% - Accent4 3 4 2" xfId="9561" xr:uid="{00000000-0005-0000-0000-00009F050000}"/>
    <cellStyle name="40% - Accent4 3 5" xfId="659" xr:uid="{00000000-0005-0000-0000-0000A0050000}"/>
    <cellStyle name="40% - Accent4 3 5 2" xfId="9562" xr:uid="{00000000-0005-0000-0000-0000A1050000}"/>
    <cellStyle name="40% - Accent4 3 6" xfId="660" xr:uid="{00000000-0005-0000-0000-0000A2050000}"/>
    <cellStyle name="40% - Accent4 3 6 2" xfId="9563" xr:uid="{00000000-0005-0000-0000-0000A3050000}"/>
    <cellStyle name="40% - Accent4 3 7" xfId="661" xr:uid="{00000000-0005-0000-0000-0000A4050000}"/>
    <cellStyle name="40% - Accent4 3 7 2" xfId="9564" xr:uid="{00000000-0005-0000-0000-0000A5050000}"/>
    <cellStyle name="40% - Accent4 3 8" xfId="662" xr:uid="{00000000-0005-0000-0000-0000A6050000}"/>
    <cellStyle name="40% - Accent4 3 8 2" xfId="9565" xr:uid="{00000000-0005-0000-0000-0000A7050000}"/>
    <cellStyle name="40% - Accent4 3 9" xfId="663" xr:uid="{00000000-0005-0000-0000-0000A8050000}"/>
    <cellStyle name="40% - Accent4 3 9 2" xfId="9566" xr:uid="{00000000-0005-0000-0000-0000A9050000}"/>
    <cellStyle name="40% - Accent4 30" xfId="38483" xr:uid="{00000000-0005-0000-0000-00009F020000}"/>
    <cellStyle name="40% - Accent4 31" xfId="38484" xr:uid="{00000000-0005-0000-0000-0000A0020000}"/>
    <cellStyle name="40% - Accent4 32" xfId="38485" xr:uid="{00000000-0005-0000-0000-0000A1020000}"/>
    <cellStyle name="40% - Accent4 33" xfId="38486" xr:uid="{00000000-0005-0000-0000-0000A2020000}"/>
    <cellStyle name="40% - Accent4 34" xfId="38487" xr:uid="{00000000-0005-0000-0000-0000A3020000}"/>
    <cellStyle name="40% - Accent4 35" xfId="38488" xr:uid="{00000000-0005-0000-0000-0000A4020000}"/>
    <cellStyle name="40% - Accent4 36" xfId="38489" xr:uid="{00000000-0005-0000-0000-0000A5020000}"/>
    <cellStyle name="40% - Accent4 37" xfId="38490" xr:uid="{00000000-0005-0000-0000-0000A6020000}"/>
    <cellStyle name="40% - Accent4 38" xfId="38491" xr:uid="{00000000-0005-0000-0000-0000A7020000}"/>
    <cellStyle name="40% - Accent4 39" xfId="38492" xr:uid="{00000000-0005-0000-0000-0000A8020000}"/>
    <cellStyle name="40% - Accent4 4" xfId="664" xr:uid="{00000000-0005-0000-0000-0000AA050000}"/>
    <cellStyle name="40% - Accent4 4 10" xfId="665" xr:uid="{00000000-0005-0000-0000-0000AB050000}"/>
    <cellStyle name="40% - Accent4 4 10 2" xfId="9567" xr:uid="{00000000-0005-0000-0000-0000AC050000}"/>
    <cellStyle name="40% - Accent4 4 11" xfId="666" xr:uid="{00000000-0005-0000-0000-0000AD050000}"/>
    <cellStyle name="40% - Accent4 4 11 2" xfId="9568" xr:uid="{00000000-0005-0000-0000-0000AE050000}"/>
    <cellStyle name="40% - Accent4 4 12" xfId="9569" xr:uid="{00000000-0005-0000-0000-0000AF050000}"/>
    <cellStyle name="40% - Accent4 4 13" xfId="12186" xr:uid="{00000000-0005-0000-0000-0000B0050000}"/>
    <cellStyle name="40% - Accent4 4 2" xfId="667" xr:uid="{00000000-0005-0000-0000-0000B1050000}"/>
    <cellStyle name="40% - Accent4 4 2 2" xfId="9570" xr:uid="{00000000-0005-0000-0000-0000B2050000}"/>
    <cellStyle name="40% - Accent4 4 2 3" xfId="38493" xr:uid="{00000000-0005-0000-0000-0000AA020000}"/>
    <cellStyle name="40% - Accent4 4 3" xfId="668" xr:uid="{00000000-0005-0000-0000-0000B3050000}"/>
    <cellStyle name="40% - Accent4 4 3 2" xfId="9571" xr:uid="{00000000-0005-0000-0000-0000B4050000}"/>
    <cellStyle name="40% - Accent4 4 4" xfId="669" xr:uid="{00000000-0005-0000-0000-0000B5050000}"/>
    <cellStyle name="40% - Accent4 4 4 2" xfId="9572" xr:uid="{00000000-0005-0000-0000-0000B6050000}"/>
    <cellStyle name="40% - Accent4 4 5" xfId="670" xr:uid="{00000000-0005-0000-0000-0000B7050000}"/>
    <cellStyle name="40% - Accent4 4 5 2" xfId="9573" xr:uid="{00000000-0005-0000-0000-0000B8050000}"/>
    <cellStyle name="40% - Accent4 4 6" xfId="671" xr:uid="{00000000-0005-0000-0000-0000B9050000}"/>
    <cellStyle name="40% - Accent4 4 6 2" xfId="9574" xr:uid="{00000000-0005-0000-0000-0000BA050000}"/>
    <cellStyle name="40% - Accent4 4 7" xfId="672" xr:uid="{00000000-0005-0000-0000-0000BB050000}"/>
    <cellStyle name="40% - Accent4 4 7 2" xfId="9575" xr:uid="{00000000-0005-0000-0000-0000BC050000}"/>
    <cellStyle name="40% - Accent4 4 8" xfId="673" xr:uid="{00000000-0005-0000-0000-0000BD050000}"/>
    <cellStyle name="40% - Accent4 4 8 2" xfId="9576" xr:uid="{00000000-0005-0000-0000-0000BE050000}"/>
    <cellStyle name="40% - Accent4 4 9" xfId="674" xr:uid="{00000000-0005-0000-0000-0000BF050000}"/>
    <cellStyle name="40% - Accent4 4 9 2" xfId="9577" xr:uid="{00000000-0005-0000-0000-0000C0050000}"/>
    <cellStyle name="40% - Accent4 40" xfId="38494" xr:uid="{00000000-0005-0000-0000-0000AC020000}"/>
    <cellStyle name="40% - Accent4 41" xfId="38495" xr:uid="{00000000-0005-0000-0000-0000AD020000}"/>
    <cellStyle name="40% - Accent4 42" xfId="38496" xr:uid="{00000000-0005-0000-0000-0000AE020000}"/>
    <cellStyle name="40% - Accent4 43" xfId="38497" xr:uid="{00000000-0005-0000-0000-0000AF020000}"/>
    <cellStyle name="40% - Accent4 5" xfId="675" xr:uid="{00000000-0005-0000-0000-0000C1050000}"/>
    <cellStyle name="40% - Accent4 5 10" xfId="676" xr:uid="{00000000-0005-0000-0000-0000C2050000}"/>
    <cellStyle name="40% - Accent4 5 10 2" xfId="9578" xr:uid="{00000000-0005-0000-0000-0000C3050000}"/>
    <cellStyle name="40% - Accent4 5 11" xfId="677" xr:uid="{00000000-0005-0000-0000-0000C4050000}"/>
    <cellStyle name="40% - Accent4 5 11 2" xfId="9579" xr:uid="{00000000-0005-0000-0000-0000C5050000}"/>
    <cellStyle name="40% - Accent4 5 12" xfId="9580" xr:uid="{00000000-0005-0000-0000-0000C6050000}"/>
    <cellStyle name="40% - Accent4 5 13" xfId="12187" xr:uid="{00000000-0005-0000-0000-0000C7050000}"/>
    <cellStyle name="40% - Accent4 5 2" xfId="678" xr:uid="{00000000-0005-0000-0000-0000C8050000}"/>
    <cellStyle name="40% - Accent4 5 2 2" xfId="9581" xr:uid="{00000000-0005-0000-0000-0000C9050000}"/>
    <cellStyle name="40% - Accent4 5 2 3" xfId="38498" xr:uid="{00000000-0005-0000-0000-0000B1020000}"/>
    <cellStyle name="40% - Accent4 5 3" xfId="679" xr:uid="{00000000-0005-0000-0000-0000CA050000}"/>
    <cellStyle name="40% - Accent4 5 3 2" xfId="9582" xr:uid="{00000000-0005-0000-0000-0000CB050000}"/>
    <cellStyle name="40% - Accent4 5 4" xfId="680" xr:uid="{00000000-0005-0000-0000-0000CC050000}"/>
    <cellStyle name="40% - Accent4 5 4 2" xfId="9583" xr:uid="{00000000-0005-0000-0000-0000CD050000}"/>
    <cellStyle name="40% - Accent4 5 5" xfId="681" xr:uid="{00000000-0005-0000-0000-0000CE050000}"/>
    <cellStyle name="40% - Accent4 5 5 2" xfId="9584" xr:uid="{00000000-0005-0000-0000-0000CF050000}"/>
    <cellStyle name="40% - Accent4 5 6" xfId="682" xr:uid="{00000000-0005-0000-0000-0000D0050000}"/>
    <cellStyle name="40% - Accent4 5 6 2" xfId="9585" xr:uid="{00000000-0005-0000-0000-0000D1050000}"/>
    <cellStyle name="40% - Accent4 5 7" xfId="683" xr:uid="{00000000-0005-0000-0000-0000D2050000}"/>
    <cellStyle name="40% - Accent4 5 7 2" xfId="9586" xr:uid="{00000000-0005-0000-0000-0000D3050000}"/>
    <cellStyle name="40% - Accent4 5 8" xfId="684" xr:uid="{00000000-0005-0000-0000-0000D4050000}"/>
    <cellStyle name="40% - Accent4 5 8 2" xfId="9587" xr:uid="{00000000-0005-0000-0000-0000D5050000}"/>
    <cellStyle name="40% - Accent4 5 9" xfId="685" xr:uid="{00000000-0005-0000-0000-0000D6050000}"/>
    <cellStyle name="40% - Accent4 5 9 2" xfId="9588" xr:uid="{00000000-0005-0000-0000-0000D7050000}"/>
    <cellStyle name="40% - Accent4 6" xfId="686" xr:uid="{00000000-0005-0000-0000-0000D8050000}"/>
    <cellStyle name="40% - Accent4 6 10" xfId="687" xr:uid="{00000000-0005-0000-0000-0000D9050000}"/>
    <cellStyle name="40% - Accent4 6 10 2" xfId="9589" xr:uid="{00000000-0005-0000-0000-0000DA050000}"/>
    <cellStyle name="40% - Accent4 6 11" xfId="688" xr:uid="{00000000-0005-0000-0000-0000DB050000}"/>
    <cellStyle name="40% - Accent4 6 11 2" xfId="9590" xr:uid="{00000000-0005-0000-0000-0000DC050000}"/>
    <cellStyle name="40% - Accent4 6 12" xfId="9591" xr:uid="{00000000-0005-0000-0000-0000DD050000}"/>
    <cellStyle name="40% - Accent4 6 13" xfId="12188" xr:uid="{00000000-0005-0000-0000-0000DE050000}"/>
    <cellStyle name="40% - Accent4 6 2" xfId="689" xr:uid="{00000000-0005-0000-0000-0000DF050000}"/>
    <cellStyle name="40% - Accent4 6 2 2" xfId="9592" xr:uid="{00000000-0005-0000-0000-0000E0050000}"/>
    <cellStyle name="40% - Accent4 6 2 3" xfId="38499" xr:uid="{00000000-0005-0000-0000-0000B4020000}"/>
    <cellStyle name="40% - Accent4 6 3" xfId="690" xr:uid="{00000000-0005-0000-0000-0000E1050000}"/>
    <cellStyle name="40% - Accent4 6 3 2" xfId="9593" xr:uid="{00000000-0005-0000-0000-0000E2050000}"/>
    <cellStyle name="40% - Accent4 6 4" xfId="691" xr:uid="{00000000-0005-0000-0000-0000E3050000}"/>
    <cellStyle name="40% - Accent4 6 4 2" xfId="9594" xr:uid="{00000000-0005-0000-0000-0000E4050000}"/>
    <cellStyle name="40% - Accent4 6 5" xfId="692" xr:uid="{00000000-0005-0000-0000-0000E5050000}"/>
    <cellStyle name="40% - Accent4 6 5 2" xfId="9595" xr:uid="{00000000-0005-0000-0000-0000E6050000}"/>
    <cellStyle name="40% - Accent4 6 6" xfId="693" xr:uid="{00000000-0005-0000-0000-0000E7050000}"/>
    <cellStyle name="40% - Accent4 6 6 2" xfId="9596" xr:uid="{00000000-0005-0000-0000-0000E8050000}"/>
    <cellStyle name="40% - Accent4 6 7" xfId="694" xr:uid="{00000000-0005-0000-0000-0000E9050000}"/>
    <cellStyle name="40% - Accent4 6 7 2" xfId="9597" xr:uid="{00000000-0005-0000-0000-0000EA050000}"/>
    <cellStyle name="40% - Accent4 6 8" xfId="695" xr:uid="{00000000-0005-0000-0000-0000EB050000}"/>
    <cellStyle name="40% - Accent4 6 8 2" xfId="9598" xr:uid="{00000000-0005-0000-0000-0000EC050000}"/>
    <cellStyle name="40% - Accent4 6 9" xfId="696" xr:uid="{00000000-0005-0000-0000-0000ED050000}"/>
    <cellStyle name="40% - Accent4 6 9 2" xfId="9599" xr:uid="{00000000-0005-0000-0000-0000EE050000}"/>
    <cellStyle name="40% - Accent4 7" xfId="697" xr:uid="{00000000-0005-0000-0000-0000EF050000}"/>
    <cellStyle name="40% - Accent4 7 2" xfId="9600" xr:uid="{00000000-0005-0000-0000-0000F0050000}"/>
    <cellStyle name="40% - Accent4 7 2 2" xfId="38501" xr:uid="{00000000-0005-0000-0000-0000B7020000}"/>
    <cellStyle name="40% - Accent4 7 3" xfId="12189" xr:uid="{00000000-0005-0000-0000-0000F1050000}"/>
    <cellStyle name="40% - Accent4 7 3 2" xfId="38500" xr:uid="{00000000-0005-0000-0000-0000B8020000}"/>
    <cellStyle name="40% - Accent4 8" xfId="698" xr:uid="{00000000-0005-0000-0000-0000F2050000}"/>
    <cellStyle name="40% - Accent4 8 2" xfId="9601" xr:uid="{00000000-0005-0000-0000-0000F3050000}"/>
    <cellStyle name="40% - Accent4 8 2 2" xfId="38503" xr:uid="{00000000-0005-0000-0000-0000BA020000}"/>
    <cellStyle name="40% - Accent4 8 3" xfId="12190" xr:uid="{00000000-0005-0000-0000-0000F4050000}"/>
    <cellStyle name="40% - Accent4 8 3 2" xfId="38502" xr:uid="{00000000-0005-0000-0000-0000BB020000}"/>
    <cellStyle name="40% - Accent4 9" xfId="699" xr:uid="{00000000-0005-0000-0000-0000F5050000}"/>
    <cellStyle name="40% - Accent4 9 2" xfId="9602" xr:uid="{00000000-0005-0000-0000-0000F6050000}"/>
    <cellStyle name="40% - Accent5 10" xfId="700" xr:uid="{00000000-0005-0000-0000-0000F7050000}"/>
    <cellStyle name="40% - Accent5 10 2" xfId="9603" xr:uid="{00000000-0005-0000-0000-0000F8050000}"/>
    <cellStyle name="40% - Accent5 11" xfId="38504" xr:uid="{00000000-0005-0000-0000-0000C0020000}"/>
    <cellStyle name="40% - Accent5 11 2" xfId="38505" xr:uid="{00000000-0005-0000-0000-0000C1020000}"/>
    <cellStyle name="40% - Accent5 12" xfId="38506" xr:uid="{00000000-0005-0000-0000-0000C2020000}"/>
    <cellStyle name="40% - Accent5 13" xfId="38507" xr:uid="{00000000-0005-0000-0000-0000C3020000}"/>
    <cellStyle name="40% - Accent5 14" xfId="38508" xr:uid="{00000000-0005-0000-0000-0000C4020000}"/>
    <cellStyle name="40% - Accent5 15" xfId="38509" xr:uid="{00000000-0005-0000-0000-0000C5020000}"/>
    <cellStyle name="40% - Accent5 16" xfId="38510" xr:uid="{00000000-0005-0000-0000-0000C6020000}"/>
    <cellStyle name="40% - Accent5 17" xfId="38511" xr:uid="{00000000-0005-0000-0000-0000C7020000}"/>
    <cellStyle name="40% - Accent5 18" xfId="38512" xr:uid="{00000000-0005-0000-0000-0000C8020000}"/>
    <cellStyle name="40% - Accent5 19" xfId="38513" xr:uid="{00000000-0005-0000-0000-0000C9020000}"/>
    <cellStyle name="40% - Accent5 2" xfId="701" xr:uid="{00000000-0005-0000-0000-0000F9050000}"/>
    <cellStyle name="40% - Accent5 2 10" xfId="702" xr:uid="{00000000-0005-0000-0000-0000FA050000}"/>
    <cellStyle name="40% - Accent5 2 10 2" xfId="9604" xr:uid="{00000000-0005-0000-0000-0000FB050000}"/>
    <cellStyle name="40% - Accent5 2 10 3" xfId="12191" xr:uid="{00000000-0005-0000-0000-0000FC050000}"/>
    <cellStyle name="40% - Accent5 2 11" xfId="703" xr:uid="{00000000-0005-0000-0000-0000FD050000}"/>
    <cellStyle name="40% - Accent5 2 11 2" xfId="9605" xr:uid="{00000000-0005-0000-0000-0000FE050000}"/>
    <cellStyle name="40% - Accent5 2 11 3" xfId="12192" xr:uid="{00000000-0005-0000-0000-0000FF050000}"/>
    <cellStyle name="40% - Accent5 2 12" xfId="9606" xr:uid="{00000000-0005-0000-0000-000000060000}"/>
    <cellStyle name="40% - Accent5 2 12 2" xfId="9607" xr:uid="{00000000-0005-0000-0000-000001060000}"/>
    <cellStyle name="40% - Accent5 2 12 3" xfId="12193" xr:uid="{00000000-0005-0000-0000-000002060000}"/>
    <cellStyle name="40% - Accent5 2 13" xfId="9608" xr:uid="{00000000-0005-0000-0000-000003060000}"/>
    <cellStyle name="40% - Accent5 2 13 2" xfId="12194" xr:uid="{00000000-0005-0000-0000-000004060000}"/>
    <cellStyle name="40% - Accent5 2 14" xfId="12195" xr:uid="{00000000-0005-0000-0000-000005060000}"/>
    <cellStyle name="40% - Accent5 2 15" xfId="12196" xr:uid="{00000000-0005-0000-0000-000006060000}"/>
    <cellStyle name="40% - Accent5 2 16" xfId="38514" xr:uid="{00000000-0005-0000-0000-0000D1020000}"/>
    <cellStyle name="40% - Accent5 2 2" xfId="704" xr:uid="{00000000-0005-0000-0000-000007060000}"/>
    <cellStyle name="40% - Accent5 2 2 2" xfId="9609" xr:uid="{00000000-0005-0000-0000-000008060000}"/>
    <cellStyle name="40% - Accent5 2 2 3" xfId="12197" xr:uid="{00000000-0005-0000-0000-000009060000}"/>
    <cellStyle name="40% - Accent5 2 3" xfId="705" xr:uid="{00000000-0005-0000-0000-00000A060000}"/>
    <cellStyle name="40% - Accent5 2 3 2" xfId="9610" xr:uid="{00000000-0005-0000-0000-00000B060000}"/>
    <cellStyle name="40% - Accent5 2 3 3" xfId="12198" xr:uid="{00000000-0005-0000-0000-00000C060000}"/>
    <cellStyle name="40% - Accent5 2 4" xfId="706" xr:uid="{00000000-0005-0000-0000-00000D060000}"/>
    <cellStyle name="40% - Accent5 2 4 2" xfId="9611" xr:uid="{00000000-0005-0000-0000-00000E060000}"/>
    <cellStyle name="40% - Accent5 2 4 3" xfId="12199" xr:uid="{00000000-0005-0000-0000-00000F060000}"/>
    <cellStyle name="40% - Accent5 2 5" xfId="707" xr:uid="{00000000-0005-0000-0000-000010060000}"/>
    <cellStyle name="40% - Accent5 2 5 2" xfId="9612" xr:uid="{00000000-0005-0000-0000-000011060000}"/>
    <cellStyle name="40% - Accent5 2 5 3" xfId="12200" xr:uid="{00000000-0005-0000-0000-000012060000}"/>
    <cellStyle name="40% - Accent5 2 6" xfId="708" xr:uid="{00000000-0005-0000-0000-000013060000}"/>
    <cellStyle name="40% - Accent5 2 6 2" xfId="9613" xr:uid="{00000000-0005-0000-0000-000014060000}"/>
    <cellStyle name="40% - Accent5 2 6 3" xfId="12201" xr:uid="{00000000-0005-0000-0000-000015060000}"/>
    <cellStyle name="40% - Accent5 2 7" xfId="709" xr:uid="{00000000-0005-0000-0000-000016060000}"/>
    <cellStyle name="40% - Accent5 2 7 2" xfId="9614" xr:uid="{00000000-0005-0000-0000-000017060000}"/>
    <cellStyle name="40% - Accent5 2 7 3" xfId="12202" xr:uid="{00000000-0005-0000-0000-000018060000}"/>
    <cellStyle name="40% - Accent5 2 8" xfId="710" xr:uid="{00000000-0005-0000-0000-000019060000}"/>
    <cellStyle name="40% - Accent5 2 8 2" xfId="9615" xr:uid="{00000000-0005-0000-0000-00001A060000}"/>
    <cellStyle name="40% - Accent5 2 8 3" xfId="12203" xr:uid="{00000000-0005-0000-0000-00001B060000}"/>
    <cellStyle name="40% - Accent5 2 9" xfId="711" xr:uid="{00000000-0005-0000-0000-00001C060000}"/>
    <cellStyle name="40% - Accent5 2 9 2" xfId="9616" xr:uid="{00000000-0005-0000-0000-00001D060000}"/>
    <cellStyle name="40% - Accent5 2 9 3" xfId="12204" xr:uid="{00000000-0005-0000-0000-00001E060000}"/>
    <cellStyle name="40% - Accent5 20" xfId="38515" xr:uid="{00000000-0005-0000-0000-0000DA020000}"/>
    <cellStyle name="40% - Accent5 21" xfId="38516" xr:uid="{00000000-0005-0000-0000-0000DB020000}"/>
    <cellStyle name="40% - Accent5 22" xfId="38517" xr:uid="{00000000-0005-0000-0000-0000DC020000}"/>
    <cellStyle name="40% - Accent5 23" xfId="38518" xr:uid="{00000000-0005-0000-0000-0000DD020000}"/>
    <cellStyle name="40% - Accent5 24" xfId="38519" xr:uid="{00000000-0005-0000-0000-0000DE020000}"/>
    <cellStyle name="40% - Accent5 25" xfId="38520" xr:uid="{00000000-0005-0000-0000-0000DF020000}"/>
    <cellStyle name="40% - Accent5 26" xfId="38521" xr:uid="{00000000-0005-0000-0000-0000E0020000}"/>
    <cellStyle name="40% - Accent5 27" xfId="38522" xr:uid="{00000000-0005-0000-0000-0000E1020000}"/>
    <cellStyle name="40% - Accent5 28" xfId="38523" xr:uid="{00000000-0005-0000-0000-0000E2020000}"/>
    <cellStyle name="40% - Accent5 29" xfId="38524" xr:uid="{00000000-0005-0000-0000-0000E3020000}"/>
    <cellStyle name="40% - Accent5 3" xfId="712" xr:uid="{00000000-0005-0000-0000-00001F060000}"/>
    <cellStyle name="40% - Accent5 3 10" xfId="713" xr:uid="{00000000-0005-0000-0000-000020060000}"/>
    <cellStyle name="40% - Accent5 3 10 2" xfId="9617" xr:uid="{00000000-0005-0000-0000-000021060000}"/>
    <cellStyle name="40% - Accent5 3 11" xfId="714" xr:uid="{00000000-0005-0000-0000-000022060000}"/>
    <cellStyle name="40% - Accent5 3 11 2" xfId="9618" xr:uid="{00000000-0005-0000-0000-000023060000}"/>
    <cellStyle name="40% - Accent5 3 12" xfId="9619" xr:uid="{00000000-0005-0000-0000-000024060000}"/>
    <cellStyle name="40% - Accent5 3 13" xfId="12205" xr:uid="{00000000-0005-0000-0000-000025060000}"/>
    <cellStyle name="40% - Accent5 3 2" xfId="715" xr:uid="{00000000-0005-0000-0000-000026060000}"/>
    <cellStyle name="40% - Accent5 3 2 2" xfId="9620" xr:uid="{00000000-0005-0000-0000-000027060000}"/>
    <cellStyle name="40% - Accent5 3 2 3" xfId="38525" xr:uid="{00000000-0005-0000-0000-0000E5020000}"/>
    <cellStyle name="40% - Accent5 3 3" xfId="716" xr:uid="{00000000-0005-0000-0000-000028060000}"/>
    <cellStyle name="40% - Accent5 3 3 2" xfId="9621" xr:uid="{00000000-0005-0000-0000-000029060000}"/>
    <cellStyle name="40% - Accent5 3 4" xfId="717" xr:uid="{00000000-0005-0000-0000-00002A060000}"/>
    <cellStyle name="40% - Accent5 3 4 2" xfId="9622" xr:uid="{00000000-0005-0000-0000-00002B060000}"/>
    <cellStyle name="40% - Accent5 3 5" xfId="718" xr:uid="{00000000-0005-0000-0000-00002C060000}"/>
    <cellStyle name="40% - Accent5 3 5 2" xfId="9623" xr:uid="{00000000-0005-0000-0000-00002D060000}"/>
    <cellStyle name="40% - Accent5 3 6" xfId="719" xr:uid="{00000000-0005-0000-0000-00002E060000}"/>
    <cellStyle name="40% - Accent5 3 6 2" xfId="9624" xr:uid="{00000000-0005-0000-0000-00002F060000}"/>
    <cellStyle name="40% - Accent5 3 7" xfId="720" xr:uid="{00000000-0005-0000-0000-000030060000}"/>
    <cellStyle name="40% - Accent5 3 7 2" xfId="9625" xr:uid="{00000000-0005-0000-0000-000031060000}"/>
    <cellStyle name="40% - Accent5 3 8" xfId="721" xr:uid="{00000000-0005-0000-0000-000032060000}"/>
    <cellStyle name="40% - Accent5 3 8 2" xfId="9626" xr:uid="{00000000-0005-0000-0000-000033060000}"/>
    <cellStyle name="40% - Accent5 3 9" xfId="722" xr:uid="{00000000-0005-0000-0000-000034060000}"/>
    <cellStyle name="40% - Accent5 3 9 2" xfId="9627" xr:uid="{00000000-0005-0000-0000-000035060000}"/>
    <cellStyle name="40% - Accent5 30" xfId="38526" xr:uid="{00000000-0005-0000-0000-0000E7020000}"/>
    <cellStyle name="40% - Accent5 31" xfId="38527" xr:uid="{00000000-0005-0000-0000-0000E8020000}"/>
    <cellStyle name="40% - Accent5 32" xfId="38528" xr:uid="{00000000-0005-0000-0000-0000E9020000}"/>
    <cellStyle name="40% - Accent5 33" xfId="38529" xr:uid="{00000000-0005-0000-0000-0000EA020000}"/>
    <cellStyle name="40% - Accent5 34" xfId="38530" xr:uid="{00000000-0005-0000-0000-0000EB020000}"/>
    <cellStyle name="40% - Accent5 35" xfId="38531" xr:uid="{00000000-0005-0000-0000-0000EC020000}"/>
    <cellStyle name="40% - Accent5 36" xfId="38532" xr:uid="{00000000-0005-0000-0000-0000ED020000}"/>
    <cellStyle name="40% - Accent5 37" xfId="38533" xr:uid="{00000000-0005-0000-0000-0000EE020000}"/>
    <cellStyle name="40% - Accent5 38" xfId="38534" xr:uid="{00000000-0005-0000-0000-0000EF020000}"/>
    <cellStyle name="40% - Accent5 39" xfId="38535" xr:uid="{00000000-0005-0000-0000-0000F0020000}"/>
    <cellStyle name="40% - Accent5 4" xfId="723" xr:uid="{00000000-0005-0000-0000-000036060000}"/>
    <cellStyle name="40% - Accent5 4 10" xfId="724" xr:uid="{00000000-0005-0000-0000-000037060000}"/>
    <cellStyle name="40% - Accent5 4 10 2" xfId="9628" xr:uid="{00000000-0005-0000-0000-000038060000}"/>
    <cellStyle name="40% - Accent5 4 11" xfId="725" xr:uid="{00000000-0005-0000-0000-000039060000}"/>
    <cellStyle name="40% - Accent5 4 11 2" xfId="9629" xr:uid="{00000000-0005-0000-0000-00003A060000}"/>
    <cellStyle name="40% - Accent5 4 12" xfId="9630" xr:uid="{00000000-0005-0000-0000-00003B060000}"/>
    <cellStyle name="40% - Accent5 4 13" xfId="12206" xr:uid="{00000000-0005-0000-0000-00003C060000}"/>
    <cellStyle name="40% - Accent5 4 2" xfId="726" xr:uid="{00000000-0005-0000-0000-00003D060000}"/>
    <cellStyle name="40% - Accent5 4 2 2" xfId="9631" xr:uid="{00000000-0005-0000-0000-00003E060000}"/>
    <cellStyle name="40% - Accent5 4 2 3" xfId="38536" xr:uid="{00000000-0005-0000-0000-0000F2020000}"/>
    <cellStyle name="40% - Accent5 4 3" xfId="727" xr:uid="{00000000-0005-0000-0000-00003F060000}"/>
    <cellStyle name="40% - Accent5 4 3 2" xfId="9632" xr:uid="{00000000-0005-0000-0000-000040060000}"/>
    <cellStyle name="40% - Accent5 4 4" xfId="728" xr:uid="{00000000-0005-0000-0000-000041060000}"/>
    <cellStyle name="40% - Accent5 4 4 2" xfId="9633" xr:uid="{00000000-0005-0000-0000-000042060000}"/>
    <cellStyle name="40% - Accent5 4 5" xfId="729" xr:uid="{00000000-0005-0000-0000-000043060000}"/>
    <cellStyle name="40% - Accent5 4 5 2" xfId="9634" xr:uid="{00000000-0005-0000-0000-000044060000}"/>
    <cellStyle name="40% - Accent5 4 6" xfId="730" xr:uid="{00000000-0005-0000-0000-000045060000}"/>
    <cellStyle name="40% - Accent5 4 6 2" xfId="9635" xr:uid="{00000000-0005-0000-0000-000046060000}"/>
    <cellStyle name="40% - Accent5 4 7" xfId="731" xr:uid="{00000000-0005-0000-0000-000047060000}"/>
    <cellStyle name="40% - Accent5 4 7 2" xfId="9636" xr:uid="{00000000-0005-0000-0000-000048060000}"/>
    <cellStyle name="40% - Accent5 4 8" xfId="732" xr:uid="{00000000-0005-0000-0000-000049060000}"/>
    <cellStyle name="40% - Accent5 4 8 2" xfId="9637" xr:uid="{00000000-0005-0000-0000-00004A060000}"/>
    <cellStyle name="40% - Accent5 4 9" xfId="733" xr:uid="{00000000-0005-0000-0000-00004B060000}"/>
    <cellStyle name="40% - Accent5 4 9 2" xfId="9638" xr:uid="{00000000-0005-0000-0000-00004C060000}"/>
    <cellStyle name="40% - Accent5 40" xfId="38537" xr:uid="{00000000-0005-0000-0000-0000F4020000}"/>
    <cellStyle name="40% - Accent5 41" xfId="38538" xr:uid="{00000000-0005-0000-0000-0000F5020000}"/>
    <cellStyle name="40% - Accent5 42" xfId="38539" xr:uid="{00000000-0005-0000-0000-0000F6020000}"/>
    <cellStyle name="40% - Accent5 43" xfId="38540" xr:uid="{00000000-0005-0000-0000-0000F7020000}"/>
    <cellStyle name="40% - Accent5 5" xfId="734" xr:uid="{00000000-0005-0000-0000-00004D060000}"/>
    <cellStyle name="40% - Accent5 5 10" xfId="735" xr:uid="{00000000-0005-0000-0000-00004E060000}"/>
    <cellStyle name="40% - Accent5 5 10 2" xfId="9639" xr:uid="{00000000-0005-0000-0000-00004F060000}"/>
    <cellStyle name="40% - Accent5 5 11" xfId="736" xr:uid="{00000000-0005-0000-0000-000050060000}"/>
    <cellStyle name="40% - Accent5 5 11 2" xfId="9640" xr:uid="{00000000-0005-0000-0000-000051060000}"/>
    <cellStyle name="40% - Accent5 5 12" xfId="9641" xr:uid="{00000000-0005-0000-0000-000052060000}"/>
    <cellStyle name="40% - Accent5 5 13" xfId="12207" xr:uid="{00000000-0005-0000-0000-000053060000}"/>
    <cellStyle name="40% - Accent5 5 2" xfId="737" xr:uid="{00000000-0005-0000-0000-000054060000}"/>
    <cellStyle name="40% - Accent5 5 2 2" xfId="9642" xr:uid="{00000000-0005-0000-0000-000055060000}"/>
    <cellStyle name="40% - Accent5 5 2 3" xfId="38541" xr:uid="{00000000-0005-0000-0000-0000F9020000}"/>
    <cellStyle name="40% - Accent5 5 3" xfId="738" xr:uid="{00000000-0005-0000-0000-000056060000}"/>
    <cellStyle name="40% - Accent5 5 3 2" xfId="9643" xr:uid="{00000000-0005-0000-0000-000057060000}"/>
    <cellStyle name="40% - Accent5 5 4" xfId="739" xr:uid="{00000000-0005-0000-0000-000058060000}"/>
    <cellStyle name="40% - Accent5 5 4 2" xfId="9644" xr:uid="{00000000-0005-0000-0000-000059060000}"/>
    <cellStyle name="40% - Accent5 5 5" xfId="740" xr:uid="{00000000-0005-0000-0000-00005A060000}"/>
    <cellStyle name="40% - Accent5 5 5 2" xfId="9645" xr:uid="{00000000-0005-0000-0000-00005B060000}"/>
    <cellStyle name="40% - Accent5 5 6" xfId="741" xr:uid="{00000000-0005-0000-0000-00005C060000}"/>
    <cellStyle name="40% - Accent5 5 6 2" xfId="9646" xr:uid="{00000000-0005-0000-0000-00005D060000}"/>
    <cellStyle name="40% - Accent5 5 7" xfId="742" xr:uid="{00000000-0005-0000-0000-00005E060000}"/>
    <cellStyle name="40% - Accent5 5 7 2" xfId="9647" xr:uid="{00000000-0005-0000-0000-00005F060000}"/>
    <cellStyle name="40% - Accent5 5 8" xfId="743" xr:uid="{00000000-0005-0000-0000-000060060000}"/>
    <cellStyle name="40% - Accent5 5 8 2" xfId="9648" xr:uid="{00000000-0005-0000-0000-000061060000}"/>
    <cellStyle name="40% - Accent5 5 9" xfId="744" xr:uid="{00000000-0005-0000-0000-000062060000}"/>
    <cellStyle name="40% - Accent5 5 9 2" xfId="9649" xr:uid="{00000000-0005-0000-0000-000063060000}"/>
    <cellStyle name="40% - Accent5 6" xfId="745" xr:uid="{00000000-0005-0000-0000-000064060000}"/>
    <cellStyle name="40% - Accent5 6 10" xfId="746" xr:uid="{00000000-0005-0000-0000-000065060000}"/>
    <cellStyle name="40% - Accent5 6 10 2" xfId="9650" xr:uid="{00000000-0005-0000-0000-000066060000}"/>
    <cellStyle name="40% - Accent5 6 11" xfId="747" xr:uid="{00000000-0005-0000-0000-000067060000}"/>
    <cellStyle name="40% - Accent5 6 11 2" xfId="9651" xr:uid="{00000000-0005-0000-0000-000068060000}"/>
    <cellStyle name="40% - Accent5 6 12" xfId="9652" xr:uid="{00000000-0005-0000-0000-000069060000}"/>
    <cellStyle name="40% - Accent5 6 13" xfId="12208" xr:uid="{00000000-0005-0000-0000-00006A060000}"/>
    <cellStyle name="40% - Accent5 6 2" xfId="748" xr:uid="{00000000-0005-0000-0000-00006B060000}"/>
    <cellStyle name="40% - Accent5 6 2 2" xfId="9653" xr:uid="{00000000-0005-0000-0000-00006C060000}"/>
    <cellStyle name="40% - Accent5 6 2 3" xfId="38542" xr:uid="{00000000-0005-0000-0000-0000FC020000}"/>
    <cellStyle name="40% - Accent5 6 3" xfId="749" xr:uid="{00000000-0005-0000-0000-00006D060000}"/>
    <cellStyle name="40% - Accent5 6 3 2" xfId="9654" xr:uid="{00000000-0005-0000-0000-00006E060000}"/>
    <cellStyle name="40% - Accent5 6 4" xfId="750" xr:uid="{00000000-0005-0000-0000-00006F060000}"/>
    <cellStyle name="40% - Accent5 6 4 2" xfId="9655" xr:uid="{00000000-0005-0000-0000-000070060000}"/>
    <cellStyle name="40% - Accent5 6 5" xfId="751" xr:uid="{00000000-0005-0000-0000-000071060000}"/>
    <cellStyle name="40% - Accent5 6 5 2" xfId="9656" xr:uid="{00000000-0005-0000-0000-000072060000}"/>
    <cellStyle name="40% - Accent5 6 6" xfId="752" xr:uid="{00000000-0005-0000-0000-000073060000}"/>
    <cellStyle name="40% - Accent5 6 6 2" xfId="9657" xr:uid="{00000000-0005-0000-0000-000074060000}"/>
    <cellStyle name="40% - Accent5 6 7" xfId="753" xr:uid="{00000000-0005-0000-0000-000075060000}"/>
    <cellStyle name="40% - Accent5 6 7 2" xfId="9658" xr:uid="{00000000-0005-0000-0000-000076060000}"/>
    <cellStyle name="40% - Accent5 6 8" xfId="754" xr:uid="{00000000-0005-0000-0000-000077060000}"/>
    <cellStyle name="40% - Accent5 6 8 2" xfId="9659" xr:uid="{00000000-0005-0000-0000-000078060000}"/>
    <cellStyle name="40% - Accent5 6 9" xfId="755" xr:uid="{00000000-0005-0000-0000-000079060000}"/>
    <cellStyle name="40% - Accent5 6 9 2" xfId="9660" xr:uid="{00000000-0005-0000-0000-00007A060000}"/>
    <cellStyle name="40% - Accent5 7" xfId="756" xr:uid="{00000000-0005-0000-0000-00007B060000}"/>
    <cellStyle name="40% - Accent5 7 2" xfId="9661" xr:uid="{00000000-0005-0000-0000-00007C060000}"/>
    <cellStyle name="40% - Accent5 7 2 2" xfId="38544" xr:uid="{00000000-0005-0000-0000-0000FF020000}"/>
    <cellStyle name="40% - Accent5 7 3" xfId="12209" xr:uid="{00000000-0005-0000-0000-00007D060000}"/>
    <cellStyle name="40% - Accent5 7 3 2" xfId="38543" xr:uid="{00000000-0005-0000-0000-000000030000}"/>
    <cellStyle name="40% - Accent5 8" xfId="757" xr:uid="{00000000-0005-0000-0000-00007E060000}"/>
    <cellStyle name="40% - Accent5 8 2" xfId="9662" xr:uid="{00000000-0005-0000-0000-00007F060000}"/>
    <cellStyle name="40% - Accent5 8 2 2" xfId="38546" xr:uid="{00000000-0005-0000-0000-000002030000}"/>
    <cellStyle name="40% - Accent5 8 3" xfId="12210" xr:uid="{00000000-0005-0000-0000-000080060000}"/>
    <cellStyle name="40% - Accent5 8 3 2" xfId="38545" xr:uid="{00000000-0005-0000-0000-000003030000}"/>
    <cellStyle name="40% - Accent5 9" xfId="758" xr:uid="{00000000-0005-0000-0000-000081060000}"/>
    <cellStyle name="40% - Accent5 9 2" xfId="9663" xr:uid="{00000000-0005-0000-0000-000082060000}"/>
    <cellStyle name="40% - Accent6 10" xfId="759" xr:uid="{00000000-0005-0000-0000-000083060000}"/>
    <cellStyle name="40% - Accent6 10 2" xfId="9664" xr:uid="{00000000-0005-0000-0000-000084060000}"/>
    <cellStyle name="40% - Accent6 11" xfId="38547" xr:uid="{00000000-0005-0000-0000-000008030000}"/>
    <cellStyle name="40% - Accent6 11 2" xfId="38548" xr:uid="{00000000-0005-0000-0000-000009030000}"/>
    <cellStyle name="40% - Accent6 12" xfId="38549" xr:uid="{00000000-0005-0000-0000-00000A030000}"/>
    <cellStyle name="40% - Accent6 13" xfId="38550" xr:uid="{00000000-0005-0000-0000-00000B030000}"/>
    <cellStyle name="40% - Accent6 14" xfId="38551" xr:uid="{00000000-0005-0000-0000-00000C030000}"/>
    <cellStyle name="40% - Accent6 15" xfId="38552" xr:uid="{00000000-0005-0000-0000-00000D030000}"/>
    <cellStyle name="40% - Accent6 16" xfId="38553" xr:uid="{00000000-0005-0000-0000-00000E030000}"/>
    <cellStyle name="40% - Accent6 17" xfId="38554" xr:uid="{00000000-0005-0000-0000-00000F030000}"/>
    <cellStyle name="40% - Accent6 18" xfId="38555" xr:uid="{00000000-0005-0000-0000-000010030000}"/>
    <cellStyle name="40% - Accent6 19" xfId="38556" xr:uid="{00000000-0005-0000-0000-000011030000}"/>
    <cellStyle name="40% - Accent6 2" xfId="760" xr:uid="{00000000-0005-0000-0000-000085060000}"/>
    <cellStyle name="40% - Accent6 2 10" xfId="761" xr:uid="{00000000-0005-0000-0000-000086060000}"/>
    <cellStyle name="40% - Accent6 2 10 2" xfId="9665" xr:uid="{00000000-0005-0000-0000-000087060000}"/>
    <cellStyle name="40% - Accent6 2 10 3" xfId="12211" xr:uid="{00000000-0005-0000-0000-000088060000}"/>
    <cellStyle name="40% - Accent6 2 11" xfId="762" xr:uid="{00000000-0005-0000-0000-000089060000}"/>
    <cellStyle name="40% - Accent6 2 11 2" xfId="9666" xr:uid="{00000000-0005-0000-0000-00008A060000}"/>
    <cellStyle name="40% - Accent6 2 11 3" xfId="12212" xr:uid="{00000000-0005-0000-0000-00008B060000}"/>
    <cellStyle name="40% - Accent6 2 12" xfId="9667" xr:uid="{00000000-0005-0000-0000-00008C060000}"/>
    <cellStyle name="40% - Accent6 2 12 2" xfId="9668" xr:uid="{00000000-0005-0000-0000-00008D060000}"/>
    <cellStyle name="40% - Accent6 2 12 3" xfId="12213" xr:uid="{00000000-0005-0000-0000-00008E060000}"/>
    <cellStyle name="40% - Accent6 2 13" xfId="9669" xr:uid="{00000000-0005-0000-0000-00008F060000}"/>
    <cellStyle name="40% - Accent6 2 13 2" xfId="12214" xr:uid="{00000000-0005-0000-0000-000090060000}"/>
    <cellStyle name="40% - Accent6 2 14" xfId="12215" xr:uid="{00000000-0005-0000-0000-000091060000}"/>
    <cellStyle name="40% - Accent6 2 15" xfId="12216" xr:uid="{00000000-0005-0000-0000-000092060000}"/>
    <cellStyle name="40% - Accent6 2 16" xfId="38557" xr:uid="{00000000-0005-0000-0000-000019030000}"/>
    <cellStyle name="40% - Accent6 2 2" xfId="763" xr:uid="{00000000-0005-0000-0000-000093060000}"/>
    <cellStyle name="40% - Accent6 2 2 2" xfId="9670" xr:uid="{00000000-0005-0000-0000-000094060000}"/>
    <cellStyle name="40% - Accent6 2 2 3" xfId="12217" xr:uid="{00000000-0005-0000-0000-000095060000}"/>
    <cellStyle name="40% - Accent6 2 3" xfId="764" xr:uid="{00000000-0005-0000-0000-000096060000}"/>
    <cellStyle name="40% - Accent6 2 3 2" xfId="9671" xr:uid="{00000000-0005-0000-0000-000097060000}"/>
    <cellStyle name="40% - Accent6 2 3 3" xfId="12218" xr:uid="{00000000-0005-0000-0000-000098060000}"/>
    <cellStyle name="40% - Accent6 2 4" xfId="765" xr:uid="{00000000-0005-0000-0000-000099060000}"/>
    <cellStyle name="40% - Accent6 2 4 2" xfId="9672" xr:uid="{00000000-0005-0000-0000-00009A060000}"/>
    <cellStyle name="40% - Accent6 2 4 3" xfId="12219" xr:uid="{00000000-0005-0000-0000-00009B060000}"/>
    <cellStyle name="40% - Accent6 2 5" xfId="766" xr:uid="{00000000-0005-0000-0000-00009C060000}"/>
    <cellStyle name="40% - Accent6 2 5 2" xfId="9673" xr:uid="{00000000-0005-0000-0000-00009D060000}"/>
    <cellStyle name="40% - Accent6 2 5 3" xfId="12220" xr:uid="{00000000-0005-0000-0000-00009E060000}"/>
    <cellStyle name="40% - Accent6 2 6" xfId="767" xr:uid="{00000000-0005-0000-0000-00009F060000}"/>
    <cellStyle name="40% - Accent6 2 6 2" xfId="9674" xr:uid="{00000000-0005-0000-0000-0000A0060000}"/>
    <cellStyle name="40% - Accent6 2 6 3" xfId="12221" xr:uid="{00000000-0005-0000-0000-0000A1060000}"/>
    <cellStyle name="40% - Accent6 2 7" xfId="768" xr:uid="{00000000-0005-0000-0000-0000A2060000}"/>
    <cellStyle name="40% - Accent6 2 7 2" xfId="9675" xr:uid="{00000000-0005-0000-0000-0000A3060000}"/>
    <cellStyle name="40% - Accent6 2 7 3" xfId="12222" xr:uid="{00000000-0005-0000-0000-0000A4060000}"/>
    <cellStyle name="40% - Accent6 2 8" xfId="769" xr:uid="{00000000-0005-0000-0000-0000A5060000}"/>
    <cellStyle name="40% - Accent6 2 8 2" xfId="9676" xr:uid="{00000000-0005-0000-0000-0000A6060000}"/>
    <cellStyle name="40% - Accent6 2 8 3" xfId="12223" xr:uid="{00000000-0005-0000-0000-0000A7060000}"/>
    <cellStyle name="40% - Accent6 2 9" xfId="770" xr:uid="{00000000-0005-0000-0000-0000A8060000}"/>
    <cellStyle name="40% - Accent6 2 9 2" xfId="9677" xr:uid="{00000000-0005-0000-0000-0000A9060000}"/>
    <cellStyle name="40% - Accent6 2 9 3" xfId="12224" xr:uid="{00000000-0005-0000-0000-0000AA060000}"/>
    <cellStyle name="40% - Accent6 20" xfId="38558" xr:uid="{00000000-0005-0000-0000-000022030000}"/>
    <cellStyle name="40% - Accent6 21" xfId="38559" xr:uid="{00000000-0005-0000-0000-000023030000}"/>
    <cellStyle name="40% - Accent6 22" xfId="38560" xr:uid="{00000000-0005-0000-0000-000024030000}"/>
    <cellStyle name="40% - Accent6 23" xfId="38561" xr:uid="{00000000-0005-0000-0000-000025030000}"/>
    <cellStyle name="40% - Accent6 24" xfId="38562" xr:uid="{00000000-0005-0000-0000-000026030000}"/>
    <cellStyle name="40% - Accent6 25" xfId="38563" xr:uid="{00000000-0005-0000-0000-000027030000}"/>
    <cellStyle name="40% - Accent6 26" xfId="38564" xr:uid="{00000000-0005-0000-0000-000028030000}"/>
    <cellStyle name="40% - Accent6 27" xfId="38565" xr:uid="{00000000-0005-0000-0000-000029030000}"/>
    <cellStyle name="40% - Accent6 28" xfId="38566" xr:uid="{00000000-0005-0000-0000-00002A030000}"/>
    <cellStyle name="40% - Accent6 29" xfId="38567" xr:uid="{00000000-0005-0000-0000-00002B030000}"/>
    <cellStyle name="40% - Accent6 3" xfId="771" xr:uid="{00000000-0005-0000-0000-0000AB060000}"/>
    <cellStyle name="40% - Accent6 3 10" xfId="772" xr:uid="{00000000-0005-0000-0000-0000AC060000}"/>
    <cellStyle name="40% - Accent6 3 10 2" xfId="9678" xr:uid="{00000000-0005-0000-0000-0000AD060000}"/>
    <cellStyle name="40% - Accent6 3 11" xfId="773" xr:uid="{00000000-0005-0000-0000-0000AE060000}"/>
    <cellStyle name="40% - Accent6 3 11 2" xfId="9679" xr:uid="{00000000-0005-0000-0000-0000AF060000}"/>
    <cellStyle name="40% - Accent6 3 12" xfId="9680" xr:uid="{00000000-0005-0000-0000-0000B0060000}"/>
    <cellStyle name="40% - Accent6 3 13" xfId="12225" xr:uid="{00000000-0005-0000-0000-0000B1060000}"/>
    <cellStyle name="40% - Accent6 3 2" xfId="774" xr:uid="{00000000-0005-0000-0000-0000B2060000}"/>
    <cellStyle name="40% - Accent6 3 2 2" xfId="9681" xr:uid="{00000000-0005-0000-0000-0000B3060000}"/>
    <cellStyle name="40% - Accent6 3 2 3" xfId="38568" xr:uid="{00000000-0005-0000-0000-00002D030000}"/>
    <cellStyle name="40% - Accent6 3 3" xfId="775" xr:uid="{00000000-0005-0000-0000-0000B4060000}"/>
    <cellStyle name="40% - Accent6 3 3 2" xfId="9682" xr:uid="{00000000-0005-0000-0000-0000B5060000}"/>
    <cellStyle name="40% - Accent6 3 4" xfId="776" xr:uid="{00000000-0005-0000-0000-0000B6060000}"/>
    <cellStyle name="40% - Accent6 3 4 2" xfId="9683" xr:uid="{00000000-0005-0000-0000-0000B7060000}"/>
    <cellStyle name="40% - Accent6 3 5" xfId="777" xr:uid="{00000000-0005-0000-0000-0000B8060000}"/>
    <cellStyle name="40% - Accent6 3 5 2" xfId="9684" xr:uid="{00000000-0005-0000-0000-0000B9060000}"/>
    <cellStyle name="40% - Accent6 3 6" xfId="778" xr:uid="{00000000-0005-0000-0000-0000BA060000}"/>
    <cellStyle name="40% - Accent6 3 6 2" xfId="9685" xr:uid="{00000000-0005-0000-0000-0000BB060000}"/>
    <cellStyle name="40% - Accent6 3 7" xfId="779" xr:uid="{00000000-0005-0000-0000-0000BC060000}"/>
    <cellStyle name="40% - Accent6 3 7 2" xfId="9686" xr:uid="{00000000-0005-0000-0000-0000BD060000}"/>
    <cellStyle name="40% - Accent6 3 8" xfId="780" xr:uid="{00000000-0005-0000-0000-0000BE060000}"/>
    <cellStyle name="40% - Accent6 3 8 2" xfId="9687" xr:uid="{00000000-0005-0000-0000-0000BF060000}"/>
    <cellStyle name="40% - Accent6 3 9" xfId="781" xr:uid="{00000000-0005-0000-0000-0000C0060000}"/>
    <cellStyle name="40% - Accent6 3 9 2" xfId="9688" xr:uid="{00000000-0005-0000-0000-0000C1060000}"/>
    <cellStyle name="40% - Accent6 30" xfId="38569" xr:uid="{00000000-0005-0000-0000-00002F030000}"/>
    <cellStyle name="40% - Accent6 31" xfId="38570" xr:uid="{00000000-0005-0000-0000-000030030000}"/>
    <cellStyle name="40% - Accent6 32" xfId="38571" xr:uid="{00000000-0005-0000-0000-000031030000}"/>
    <cellStyle name="40% - Accent6 33" xfId="38572" xr:uid="{00000000-0005-0000-0000-000032030000}"/>
    <cellStyle name="40% - Accent6 34" xfId="38573" xr:uid="{00000000-0005-0000-0000-000033030000}"/>
    <cellStyle name="40% - Accent6 35" xfId="38574" xr:uid="{00000000-0005-0000-0000-000034030000}"/>
    <cellStyle name="40% - Accent6 36" xfId="38575" xr:uid="{00000000-0005-0000-0000-000035030000}"/>
    <cellStyle name="40% - Accent6 37" xfId="38576" xr:uid="{00000000-0005-0000-0000-000036030000}"/>
    <cellStyle name="40% - Accent6 38" xfId="38577" xr:uid="{00000000-0005-0000-0000-000037030000}"/>
    <cellStyle name="40% - Accent6 39" xfId="38578" xr:uid="{00000000-0005-0000-0000-000038030000}"/>
    <cellStyle name="40% - Accent6 4" xfId="782" xr:uid="{00000000-0005-0000-0000-0000C2060000}"/>
    <cellStyle name="40% - Accent6 4 10" xfId="783" xr:uid="{00000000-0005-0000-0000-0000C3060000}"/>
    <cellStyle name="40% - Accent6 4 10 2" xfId="9689" xr:uid="{00000000-0005-0000-0000-0000C4060000}"/>
    <cellStyle name="40% - Accent6 4 11" xfId="784" xr:uid="{00000000-0005-0000-0000-0000C5060000}"/>
    <cellStyle name="40% - Accent6 4 11 2" xfId="9690" xr:uid="{00000000-0005-0000-0000-0000C6060000}"/>
    <cellStyle name="40% - Accent6 4 12" xfId="9691" xr:uid="{00000000-0005-0000-0000-0000C7060000}"/>
    <cellStyle name="40% - Accent6 4 13" xfId="12226" xr:uid="{00000000-0005-0000-0000-0000C8060000}"/>
    <cellStyle name="40% - Accent6 4 2" xfId="785" xr:uid="{00000000-0005-0000-0000-0000C9060000}"/>
    <cellStyle name="40% - Accent6 4 2 2" xfId="9692" xr:uid="{00000000-0005-0000-0000-0000CA060000}"/>
    <cellStyle name="40% - Accent6 4 2 3" xfId="38579" xr:uid="{00000000-0005-0000-0000-00003A030000}"/>
    <cellStyle name="40% - Accent6 4 3" xfId="786" xr:uid="{00000000-0005-0000-0000-0000CB060000}"/>
    <cellStyle name="40% - Accent6 4 3 2" xfId="9693" xr:uid="{00000000-0005-0000-0000-0000CC060000}"/>
    <cellStyle name="40% - Accent6 4 4" xfId="787" xr:uid="{00000000-0005-0000-0000-0000CD060000}"/>
    <cellStyle name="40% - Accent6 4 4 2" xfId="9694" xr:uid="{00000000-0005-0000-0000-0000CE060000}"/>
    <cellStyle name="40% - Accent6 4 5" xfId="788" xr:uid="{00000000-0005-0000-0000-0000CF060000}"/>
    <cellStyle name="40% - Accent6 4 5 2" xfId="9695" xr:uid="{00000000-0005-0000-0000-0000D0060000}"/>
    <cellStyle name="40% - Accent6 4 6" xfId="789" xr:uid="{00000000-0005-0000-0000-0000D1060000}"/>
    <cellStyle name="40% - Accent6 4 6 2" xfId="9696" xr:uid="{00000000-0005-0000-0000-0000D2060000}"/>
    <cellStyle name="40% - Accent6 4 7" xfId="790" xr:uid="{00000000-0005-0000-0000-0000D3060000}"/>
    <cellStyle name="40% - Accent6 4 7 2" xfId="9697" xr:uid="{00000000-0005-0000-0000-0000D4060000}"/>
    <cellStyle name="40% - Accent6 4 8" xfId="791" xr:uid="{00000000-0005-0000-0000-0000D5060000}"/>
    <cellStyle name="40% - Accent6 4 8 2" xfId="9698" xr:uid="{00000000-0005-0000-0000-0000D6060000}"/>
    <cellStyle name="40% - Accent6 4 9" xfId="792" xr:uid="{00000000-0005-0000-0000-0000D7060000}"/>
    <cellStyle name="40% - Accent6 4 9 2" xfId="9699" xr:uid="{00000000-0005-0000-0000-0000D8060000}"/>
    <cellStyle name="40% - Accent6 40" xfId="38580" xr:uid="{00000000-0005-0000-0000-00003C030000}"/>
    <cellStyle name="40% - Accent6 41" xfId="38581" xr:uid="{00000000-0005-0000-0000-00003D030000}"/>
    <cellStyle name="40% - Accent6 42" xfId="38582" xr:uid="{00000000-0005-0000-0000-00003E030000}"/>
    <cellStyle name="40% - Accent6 43" xfId="38583" xr:uid="{00000000-0005-0000-0000-00003F030000}"/>
    <cellStyle name="40% - Accent6 5" xfId="793" xr:uid="{00000000-0005-0000-0000-0000D9060000}"/>
    <cellStyle name="40% - Accent6 5 10" xfId="794" xr:uid="{00000000-0005-0000-0000-0000DA060000}"/>
    <cellStyle name="40% - Accent6 5 10 2" xfId="9700" xr:uid="{00000000-0005-0000-0000-0000DB060000}"/>
    <cellStyle name="40% - Accent6 5 11" xfId="795" xr:uid="{00000000-0005-0000-0000-0000DC060000}"/>
    <cellStyle name="40% - Accent6 5 11 2" xfId="9701" xr:uid="{00000000-0005-0000-0000-0000DD060000}"/>
    <cellStyle name="40% - Accent6 5 12" xfId="9702" xr:uid="{00000000-0005-0000-0000-0000DE060000}"/>
    <cellStyle name="40% - Accent6 5 13" xfId="12227" xr:uid="{00000000-0005-0000-0000-0000DF060000}"/>
    <cellStyle name="40% - Accent6 5 2" xfId="796" xr:uid="{00000000-0005-0000-0000-0000E0060000}"/>
    <cellStyle name="40% - Accent6 5 2 2" xfId="9703" xr:uid="{00000000-0005-0000-0000-0000E1060000}"/>
    <cellStyle name="40% - Accent6 5 2 3" xfId="38584" xr:uid="{00000000-0005-0000-0000-000041030000}"/>
    <cellStyle name="40% - Accent6 5 3" xfId="797" xr:uid="{00000000-0005-0000-0000-0000E2060000}"/>
    <cellStyle name="40% - Accent6 5 3 2" xfId="9704" xr:uid="{00000000-0005-0000-0000-0000E3060000}"/>
    <cellStyle name="40% - Accent6 5 4" xfId="798" xr:uid="{00000000-0005-0000-0000-0000E4060000}"/>
    <cellStyle name="40% - Accent6 5 4 2" xfId="9705" xr:uid="{00000000-0005-0000-0000-0000E5060000}"/>
    <cellStyle name="40% - Accent6 5 5" xfId="799" xr:uid="{00000000-0005-0000-0000-0000E6060000}"/>
    <cellStyle name="40% - Accent6 5 5 2" xfId="9706" xr:uid="{00000000-0005-0000-0000-0000E7060000}"/>
    <cellStyle name="40% - Accent6 5 6" xfId="800" xr:uid="{00000000-0005-0000-0000-0000E8060000}"/>
    <cellStyle name="40% - Accent6 5 6 2" xfId="9707" xr:uid="{00000000-0005-0000-0000-0000E9060000}"/>
    <cellStyle name="40% - Accent6 5 7" xfId="801" xr:uid="{00000000-0005-0000-0000-0000EA060000}"/>
    <cellStyle name="40% - Accent6 5 7 2" xfId="9708" xr:uid="{00000000-0005-0000-0000-0000EB060000}"/>
    <cellStyle name="40% - Accent6 5 8" xfId="802" xr:uid="{00000000-0005-0000-0000-0000EC060000}"/>
    <cellStyle name="40% - Accent6 5 8 2" xfId="9709" xr:uid="{00000000-0005-0000-0000-0000ED060000}"/>
    <cellStyle name="40% - Accent6 5 9" xfId="803" xr:uid="{00000000-0005-0000-0000-0000EE060000}"/>
    <cellStyle name="40% - Accent6 5 9 2" xfId="9710" xr:uid="{00000000-0005-0000-0000-0000EF060000}"/>
    <cellStyle name="40% - Accent6 6" xfId="804" xr:uid="{00000000-0005-0000-0000-0000F0060000}"/>
    <cellStyle name="40% - Accent6 6 10" xfId="805" xr:uid="{00000000-0005-0000-0000-0000F1060000}"/>
    <cellStyle name="40% - Accent6 6 10 2" xfId="9711" xr:uid="{00000000-0005-0000-0000-0000F2060000}"/>
    <cellStyle name="40% - Accent6 6 11" xfId="806" xr:uid="{00000000-0005-0000-0000-0000F3060000}"/>
    <cellStyle name="40% - Accent6 6 11 2" xfId="9712" xr:uid="{00000000-0005-0000-0000-0000F4060000}"/>
    <cellStyle name="40% - Accent6 6 12" xfId="9713" xr:uid="{00000000-0005-0000-0000-0000F5060000}"/>
    <cellStyle name="40% - Accent6 6 13" xfId="12228" xr:uid="{00000000-0005-0000-0000-0000F6060000}"/>
    <cellStyle name="40% - Accent6 6 2" xfId="807" xr:uid="{00000000-0005-0000-0000-0000F7060000}"/>
    <cellStyle name="40% - Accent6 6 2 2" xfId="9714" xr:uid="{00000000-0005-0000-0000-0000F8060000}"/>
    <cellStyle name="40% - Accent6 6 2 3" xfId="38585" xr:uid="{00000000-0005-0000-0000-000044030000}"/>
    <cellStyle name="40% - Accent6 6 3" xfId="808" xr:uid="{00000000-0005-0000-0000-0000F9060000}"/>
    <cellStyle name="40% - Accent6 6 3 2" xfId="9715" xr:uid="{00000000-0005-0000-0000-0000FA060000}"/>
    <cellStyle name="40% - Accent6 6 4" xfId="809" xr:uid="{00000000-0005-0000-0000-0000FB060000}"/>
    <cellStyle name="40% - Accent6 6 4 2" xfId="9716" xr:uid="{00000000-0005-0000-0000-0000FC060000}"/>
    <cellStyle name="40% - Accent6 6 5" xfId="810" xr:uid="{00000000-0005-0000-0000-0000FD060000}"/>
    <cellStyle name="40% - Accent6 6 5 2" xfId="9717" xr:uid="{00000000-0005-0000-0000-0000FE060000}"/>
    <cellStyle name="40% - Accent6 6 6" xfId="811" xr:uid="{00000000-0005-0000-0000-0000FF060000}"/>
    <cellStyle name="40% - Accent6 6 6 2" xfId="9718" xr:uid="{00000000-0005-0000-0000-000000070000}"/>
    <cellStyle name="40% - Accent6 6 7" xfId="812" xr:uid="{00000000-0005-0000-0000-000001070000}"/>
    <cellStyle name="40% - Accent6 6 7 2" xfId="9719" xr:uid="{00000000-0005-0000-0000-000002070000}"/>
    <cellStyle name="40% - Accent6 6 8" xfId="813" xr:uid="{00000000-0005-0000-0000-000003070000}"/>
    <cellStyle name="40% - Accent6 6 8 2" xfId="9720" xr:uid="{00000000-0005-0000-0000-000004070000}"/>
    <cellStyle name="40% - Accent6 6 9" xfId="814" xr:uid="{00000000-0005-0000-0000-000005070000}"/>
    <cellStyle name="40% - Accent6 6 9 2" xfId="9721" xr:uid="{00000000-0005-0000-0000-000006070000}"/>
    <cellStyle name="40% - Accent6 7" xfId="815" xr:uid="{00000000-0005-0000-0000-000007070000}"/>
    <cellStyle name="40% - Accent6 7 2" xfId="9722" xr:uid="{00000000-0005-0000-0000-000008070000}"/>
    <cellStyle name="40% - Accent6 7 2 2" xfId="38587" xr:uid="{00000000-0005-0000-0000-000047030000}"/>
    <cellStyle name="40% - Accent6 7 3" xfId="12229" xr:uid="{00000000-0005-0000-0000-000009070000}"/>
    <cellStyle name="40% - Accent6 7 3 2" xfId="38586" xr:uid="{00000000-0005-0000-0000-000048030000}"/>
    <cellStyle name="40% - Accent6 8" xfId="816" xr:uid="{00000000-0005-0000-0000-00000A070000}"/>
    <cellStyle name="40% - Accent6 8 2" xfId="9723" xr:uid="{00000000-0005-0000-0000-00000B070000}"/>
    <cellStyle name="40% - Accent6 8 2 2" xfId="38589" xr:uid="{00000000-0005-0000-0000-00004A030000}"/>
    <cellStyle name="40% - Accent6 8 3" xfId="12230" xr:uid="{00000000-0005-0000-0000-00000C070000}"/>
    <cellStyle name="40% - Accent6 8 3 2" xfId="38588" xr:uid="{00000000-0005-0000-0000-00004B030000}"/>
    <cellStyle name="40% - Accent6 9" xfId="817" xr:uid="{00000000-0005-0000-0000-00000D070000}"/>
    <cellStyle name="40% - Accent6 9 2" xfId="9724" xr:uid="{00000000-0005-0000-0000-00000E070000}"/>
    <cellStyle name="40% - Akzent1" xfId="14055" xr:uid="{00000000-0005-0000-0000-00000F070000}"/>
    <cellStyle name="40% - Akzent1 2" xfId="14056" xr:uid="{00000000-0005-0000-0000-000010070000}"/>
    <cellStyle name="40% - Akzent2" xfId="14057" xr:uid="{00000000-0005-0000-0000-000011070000}"/>
    <cellStyle name="40% - Akzent2 2" xfId="14058" xr:uid="{00000000-0005-0000-0000-000012070000}"/>
    <cellStyle name="40% - Akzent3" xfId="14059" xr:uid="{00000000-0005-0000-0000-000013070000}"/>
    <cellStyle name="40% - Akzent3 2" xfId="14060" xr:uid="{00000000-0005-0000-0000-000014070000}"/>
    <cellStyle name="40% - Akzent4" xfId="14061" xr:uid="{00000000-0005-0000-0000-000015070000}"/>
    <cellStyle name="40% - Akzent4 2" xfId="14062" xr:uid="{00000000-0005-0000-0000-000016070000}"/>
    <cellStyle name="40% - Akzent5" xfId="14063" xr:uid="{00000000-0005-0000-0000-000017070000}"/>
    <cellStyle name="40% - Akzent5 2" xfId="14064" xr:uid="{00000000-0005-0000-0000-000018070000}"/>
    <cellStyle name="40% - Akzent6" xfId="14065" xr:uid="{00000000-0005-0000-0000-000019070000}"/>
    <cellStyle name="40% - Akzent6 2" xfId="14066" xr:uid="{00000000-0005-0000-0000-00001A070000}"/>
    <cellStyle name="40% - Colore 1" xfId="3698" xr:uid="{00000000-0005-0000-0000-00001B070000}"/>
    <cellStyle name="40% - Colore 2" xfId="3699" xr:uid="{00000000-0005-0000-0000-00001C070000}"/>
    <cellStyle name="40% - Colore 3" xfId="3700" xr:uid="{00000000-0005-0000-0000-00001D070000}"/>
    <cellStyle name="40% - Colore 4" xfId="3701" xr:uid="{00000000-0005-0000-0000-00001E070000}"/>
    <cellStyle name="40% - Colore 5" xfId="3702" xr:uid="{00000000-0005-0000-0000-00001F070000}"/>
    <cellStyle name="40% - Colore 6" xfId="3703" xr:uid="{00000000-0005-0000-0000-000020070000}"/>
    <cellStyle name="5x indented GHG Textfiels" xfId="818" xr:uid="{00000000-0005-0000-0000-000021070000}"/>
    <cellStyle name="5x indented GHG Textfiels 2" xfId="11664" xr:uid="{00000000-0005-0000-0000-000022070000}"/>
    <cellStyle name="5x indented GHG Textfiels 2 2" xfId="14142" xr:uid="{00000000-0005-0000-0000-000023070000}"/>
    <cellStyle name="5x indented GHG Textfiels 3" xfId="14141" xr:uid="{00000000-0005-0000-0000-000024070000}"/>
    <cellStyle name="60 % - Accent1" xfId="18" xr:uid="{00000000-0005-0000-0000-000025070000}"/>
    <cellStyle name="60 % - Accent2" xfId="19" xr:uid="{00000000-0005-0000-0000-000026070000}"/>
    <cellStyle name="60 % - Accent3" xfId="20" xr:uid="{00000000-0005-0000-0000-000027070000}"/>
    <cellStyle name="60 % - Accent4" xfId="21" xr:uid="{00000000-0005-0000-0000-000028070000}"/>
    <cellStyle name="60 % - Accent5" xfId="22" xr:uid="{00000000-0005-0000-0000-000029070000}"/>
    <cellStyle name="60 % - Accent6" xfId="23" xr:uid="{00000000-0005-0000-0000-00002A070000}"/>
    <cellStyle name="60% - 1. jelölőszín" xfId="74" xr:uid="{00000000-0005-0000-0000-00002B070000}"/>
    <cellStyle name="60% - 2. jelölőszín" xfId="75" xr:uid="{00000000-0005-0000-0000-00002C070000}"/>
    <cellStyle name="60% - 3. jelölőszín" xfId="76" xr:uid="{00000000-0005-0000-0000-00002D070000}"/>
    <cellStyle name="60% - 4. jelölőszín" xfId="77" xr:uid="{00000000-0005-0000-0000-00002E070000}"/>
    <cellStyle name="60% - 5. jelölőszín" xfId="78" xr:uid="{00000000-0005-0000-0000-00002F070000}"/>
    <cellStyle name="60% - 6. jelölőszín" xfId="79" xr:uid="{00000000-0005-0000-0000-000030070000}"/>
    <cellStyle name="60% - Accent1 10" xfId="819" xr:uid="{00000000-0005-0000-0000-000031070000}"/>
    <cellStyle name="60% - Accent1 11" xfId="38590" xr:uid="{00000000-0005-0000-0000-000056030000}"/>
    <cellStyle name="60% - Accent1 12" xfId="38591" xr:uid="{00000000-0005-0000-0000-000057030000}"/>
    <cellStyle name="60% - Accent1 13" xfId="38592" xr:uid="{00000000-0005-0000-0000-000058030000}"/>
    <cellStyle name="60% - Accent1 14" xfId="38593" xr:uid="{00000000-0005-0000-0000-000059030000}"/>
    <cellStyle name="60% - Accent1 15" xfId="38594" xr:uid="{00000000-0005-0000-0000-00005A030000}"/>
    <cellStyle name="60% - Accent1 16" xfId="38595" xr:uid="{00000000-0005-0000-0000-00005B030000}"/>
    <cellStyle name="60% - Accent1 17" xfId="38596" xr:uid="{00000000-0005-0000-0000-00005C030000}"/>
    <cellStyle name="60% - Accent1 18" xfId="38597" xr:uid="{00000000-0005-0000-0000-00005D030000}"/>
    <cellStyle name="60% - Accent1 19" xfId="38598" xr:uid="{00000000-0005-0000-0000-00005E030000}"/>
    <cellStyle name="60% - Accent1 2" xfId="820" xr:uid="{00000000-0005-0000-0000-000032070000}"/>
    <cellStyle name="60% - Accent1 2 10" xfId="821" xr:uid="{00000000-0005-0000-0000-000033070000}"/>
    <cellStyle name="60% - Accent1 2 10 2" xfId="12231" xr:uid="{00000000-0005-0000-0000-000034070000}"/>
    <cellStyle name="60% - Accent1 2 11" xfId="822" xr:uid="{00000000-0005-0000-0000-000035070000}"/>
    <cellStyle name="60% - Accent1 2 2" xfId="823" xr:uid="{00000000-0005-0000-0000-000036070000}"/>
    <cellStyle name="60% - Accent1 2 2 2" xfId="12232" xr:uid="{00000000-0005-0000-0000-000037070000}"/>
    <cellStyle name="60% - Accent1 2 3" xfId="824" xr:uid="{00000000-0005-0000-0000-000038070000}"/>
    <cellStyle name="60% - Accent1 2 3 2" xfId="12233" xr:uid="{00000000-0005-0000-0000-000039070000}"/>
    <cellStyle name="60% - Accent1 2 4" xfId="825" xr:uid="{00000000-0005-0000-0000-00003A070000}"/>
    <cellStyle name="60% - Accent1 2 4 2" xfId="12234" xr:uid="{00000000-0005-0000-0000-00003B070000}"/>
    <cellStyle name="60% - Accent1 2 5" xfId="826" xr:uid="{00000000-0005-0000-0000-00003C070000}"/>
    <cellStyle name="60% - Accent1 2 5 2" xfId="12235" xr:uid="{00000000-0005-0000-0000-00003D070000}"/>
    <cellStyle name="60% - Accent1 2 6" xfId="827" xr:uid="{00000000-0005-0000-0000-00003E070000}"/>
    <cellStyle name="60% - Accent1 2 6 2" xfId="12236" xr:uid="{00000000-0005-0000-0000-00003F070000}"/>
    <cellStyle name="60% - Accent1 2 7" xfId="828" xr:uid="{00000000-0005-0000-0000-000040070000}"/>
    <cellStyle name="60% - Accent1 2 7 2" xfId="12237" xr:uid="{00000000-0005-0000-0000-000041070000}"/>
    <cellStyle name="60% - Accent1 2 8" xfId="829" xr:uid="{00000000-0005-0000-0000-000042070000}"/>
    <cellStyle name="60% - Accent1 2 8 2" xfId="12238" xr:uid="{00000000-0005-0000-0000-000043070000}"/>
    <cellStyle name="60% - Accent1 2 9" xfId="830" xr:uid="{00000000-0005-0000-0000-000044070000}"/>
    <cellStyle name="60% - Accent1 2 9 2" xfId="12239" xr:uid="{00000000-0005-0000-0000-000045070000}"/>
    <cellStyle name="60% - Accent1 20" xfId="38599" xr:uid="{00000000-0005-0000-0000-00006A030000}"/>
    <cellStyle name="60% - Accent1 21" xfId="38600" xr:uid="{00000000-0005-0000-0000-00006B030000}"/>
    <cellStyle name="60% - Accent1 22" xfId="38601" xr:uid="{00000000-0005-0000-0000-00006C030000}"/>
    <cellStyle name="60% - Accent1 23" xfId="38602" xr:uid="{00000000-0005-0000-0000-00006D030000}"/>
    <cellStyle name="60% - Accent1 24" xfId="38603" xr:uid="{00000000-0005-0000-0000-00006E030000}"/>
    <cellStyle name="60% - Accent1 25" xfId="38604" xr:uid="{00000000-0005-0000-0000-00006F030000}"/>
    <cellStyle name="60% - Accent1 26" xfId="38605" xr:uid="{00000000-0005-0000-0000-000070030000}"/>
    <cellStyle name="60% - Accent1 27" xfId="38606" xr:uid="{00000000-0005-0000-0000-000071030000}"/>
    <cellStyle name="60% - Accent1 28" xfId="38607" xr:uid="{00000000-0005-0000-0000-000072030000}"/>
    <cellStyle name="60% - Accent1 29" xfId="38608" xr:uid="{00000000-0005-0000-0000-000073030000}"/>
    <cellStyle name="60% - Accent1 3" xfId="831" xr:uid="{00000000-0005-0000-0000-000046070000}"/>
    <cellStyle name="60% - Accent1 3 10" xfId="832" xr:uid="{00000000-0005-0000-0000-000047070000}"/>
    <cellStyle name="60% - Accent1 3 11" xfId="833" xr:uid="{00000000-0005-0000-0000-000048070000}"/>
    <cellStyle name="60% - Accent1 3 12" xfId="12240" xr:uid="{00000000-0005-0000-0000-000049070000}"/>
    <cellStyle name="60% - Accent1 3 2" xfId="834" xr:uid="{00000000-0005-0000-0000-00004A070000}"/>
    <cellStyle name="60% - Accent1 3 2 2" xfId="38609" xr:uid="{00000000-0005-0000-0000-000075030000}"/>
    <cellStyle name="60% - Accent1 3 3" xfId="835" xr:uid="{00000000-0005-0000-0000-00004B070000}"/>
    <cellStyle name="60% - Accent1 3 4" xfId="836" xr:uid="{00000000-0005-0000-0000-00004C070000}"/>
    <cellStyle name="60% - Accent1 3 5" xfId="837" xr:uid="{00000000-0005-0000-0000-00004D070000}"/>
    <cellStyle name="60% - Accent1 3 6" xfId="838" xr:uid="{00000000-0005-0000-0000-00004E070000}"/>
    <cellStyle name="60% - Accent1 3 7" xfId="839" xr:uid="{00000000-0005-0000-0000-00004F070000}"/>
    <cellStyle name="60% - Accent1 3 8" xfId="840" xr:uid="{00000000-0005-0000-0000-000050070000}"/>
    <cellStyle name="60% - Accent1 3 9" xfId="841" xr:uid="{00000000-0005-0000-0000-000051070000}"/>
    <cellStyle name="60% - Accent1 30" xfId="38610" xr:uid="{00000000-0005-0000-0000-000077030000}"/>
    <cellStyle name="60% - Accent1 31" xfId="38611" xr:uid="{00000000-0005-0000-0000-000078030000}"/>
    <cellStyle name="60% - Accent1 32" xfId="38612" xr:uid="{00000000-0005-0000-0000-000079030000}"/>
    <cellStyle name="60% - Accent1 33" xfId="38613" xr:uid="{00000000-0005-0000-0000-00007A030000}"/>
    <cellStyle name="60% - Accent1 34" xfId="38614" xr:uid="{00000000-0005-0000-0000-00007B030000}"/>
    <cellStyle name="60% - Accent1 35" xfId="38615" xr:uid="{00000000-0005-0000-0000-00007C030000}"/>
    <cellStyle name="60% - Accent1 36" xfId="38616" xr:uid="{00000000-0005-0000-0000-00007D030000}"/>
    <cellStyle name="60% - Accent1 37" xfId="38617" xr:uid="{00000000-0005-0000-0000-00007E030000}"/>
    <cellStyle name="60% - Accent1 38" xfId="38618" xr:uid="{00000000-0005-0000-0000-00007F030000}"/>
    <cellStyle name="60% - Accent1 39" xfId="38619" xr:uid="{00000000-0005-0000-0000-000080030000}"/>
    <cellStyle name="60% - Accent1 4" xfId="842" xr:uid="{00000000-0005-0000-0000-000052070000}"/>
    <cellStyle name="60% - Accent1 4 10" xfId="843" xr:uid="{00000000-0005-0000-0000-000053070000}"/>
    <cellStyle name="60% - Accent1 4 11" xfId="844" xr:uid="{00000000-0005-0000-0000-000054070000}"/>
    <cellStyle name="60% - Accent1 4 2" xfId="845" xr:uid="{00000000-0005-0000-0000-000055070000}"/>
    <cellStyle name="60% - Accent1 4 3" xfId="846" xr:uid="{00000000-0005-0000-0000-000056070000}"/>
    <cellStyle name="60% - Accent1 4 4" xfId="847" xr:uid="{00000000-0005-0000-0000-000057070000}"/>
    <cellStyle name="60% - Accent1 4 5" xfId="848" xr:uid="{00000000-0005-0000-0000-000058070000}"/>
    <cellStyle name="60% - Accent1 4 6" xfId="849" xr:uid="{00000000-0005-0000-0000-000059070000}"/>
    <cellStyle name="60% - Accent1 4 7" xfId="850" xr:uid="{00000000-0005-0000-0000-00005A070000}"/>
    <cellStyle name="60% - Accent1 4 8" xfId="851" xr:uid="{00000000-0005-0000-0000-00005B070000}"/>
    <cellStyle name="60% - Accent1 4 9" xfId="852" xr:uid="{00000000-0005-0000-0000-00005C070000}"/>
    <cellStyle name="60% - Accent1 40" xfId="38620" xr:uid="{00000000-0005-0000-0000-000083030000}"/>
    <cellStyle name="60% - Accent1 41" xfId="38621" xr:uid="{00000000-0005-0000-0000-000084030000}"/>
    <cellStyle name="60% - Accent1 42" xfId="38622" xr:uid="{00000000-0005-0000-0000-000085030000}"/>
    <cellStyle name="60% - Accent1 43" xfId="38623" xr:uid="{00000000-0005-0000-0000-000086030000}"/>
    <cellStyle name="60% - Accent1 5" xfId="853" xr:uid="{00000000-0005-0000-0000-00005D070000}"/>
    <cellStyle name="60% - Accent1 5 10" xfId="854" xr:uid="{00000000-0005-0000-0000-00005E070000}"/>
    <cellStyle name="60% - Accent1 5 11" xfId="855" xr:uid="{00000000-0005-0000-0000-00005F070000}"/>
    <cellStyle name="60% - Accent1 5 2" xfId="856" xr:uid="{00000000-0005-0000-0000-000060070000}"/>
    <cellStyle name="60% - Accent1 5 3" xfId="857" xr:uid="{00000000-0005-0000-0000-000061070000}"/>
    <cellStyle name="60% - Accent1 5 4" xfId="858" xr:uid="{00000000-0005-0000-0000-000062070000}"/>
    <cellStyle name="60% - Accent1 5 5" xfId="859" xr:uid="{00000000-0005-0000-0000-000063070000}"/>
    <cellStyle name="60% - Accent1 5 6" xfId="860" xr:uid="{00000000-0005-0000-0000-000064070000}"/>
    <cellStyle name="60% - Accent1 5 7" xfId="861" xr:uid="{00000000-0005-0000-0000-000065070000}"/>
    <cellStyle name="60% - Accent1 5 8" xfId="862" xr:uid="{00000000-0005-0000-0000-000066070000}"/>
    <cellStyle name="60% - Accent1 5 9" xfId="863" xr:uid="{00000000-0005-0000-0000-000067070000}"/>
    <cellStyle name="60% - Accent1 6" xfId="864" xr:uid="{00000000-0005-0000-0000-000068070000}"/>
    <cellStyle name="60% - Accent1 6 10" xfId="865" xr:uid="{00000000-0005-0000-0000-000069070000}"/>
    <cellStyle name="60% - Accent1 6 11" xfId="866" xr:uid="{00000000-0005-0000-0000-00006A070000}"/>
    <cellStyle name="60% - Accent1 6 2" xfId="867" xr:uid="{00000000-0005-0000-0000-00006B070000}"/>
    <cellStyle name="60% - Accent1 6 3" xfId="868" xr:uid="{00000000-0005-0000-0000-00006C070000}"/>
    <cellStyle name="60% - Accent1 6 4" xfId="869" xr:uid="{00000000-0005-0000-0000-00006D070000}"/>
    <cellStyle name="60% - Accent1 6 5" xfId="870" xr:uid="{00000000-0005-0000-0000-00006E070000}"/>
    <cellStyle name="60% - Accent1 6 6" xfId="871" xr:uid="{00000000-0005-0000-0000-00006F070000}"/>
    <cellStyle name="60% - Accent1 6 7" xfId="872" xr:uid="{00000000-0005-0000-0000-000070070000}"/>
    <cellStyle name="60% - Accent1 6 8" xfId="873" xr:uid="{00000000-0005-0000-0000-000071070000}"/>
    <cellStyle name="60% - Accent1 6 9" xfId="874" xr:uid="{00000000-0005-0000-0000-000072070000}"/>
    <cellStyle name="60% - Accent1 7" xfId="875" xr:uid="{00000000-0005-0000-0000-000073070000}"/>
    <cellStyle name="60% - Accent1 8" xfId="876" xr:uid="{00000000-0005-0000-0000-000074070000}"/>
    <cellStyle name="60% - Accent1 9" xfId="877" xr:uid="{00000000-0005-0000-0000-000075070000}"/>
    <cellStyle name="60% - Accent2 10" xfId="878" xr:uid="{00000000-0005-0000-0000-000076070000}"/>
    <cellStyle name="60% - Accent2 11" xfId="38624" xr:uid="{00000000-0005-0000-0000-00008F030000}"/>
    <cellStyle name="60% - Accent2 12" xfId="38625" xr:uid="{00000000-0005-0000-0000-000090030000}"/>
    <cellStyle name="60% - Accent2 13" xfId="38626" xr:uid="{00000000-0005-0000-0000-000091030000}"/>
    <cellStyle name="60% - Accent2 14" xfId="38627" xr:uid="{00000000-0005-0000-0000-000092030000}"/>
    <cellStyle name="60% - Accent2 15" xfId="38628" xr:uid="{00000000-0005-0000-0000-000093030000}"/>
    <cellStyle name="60% - Accent2 16" xfId="38629" xr:uid="{00000000-0005-0000-0000-000094030000}"/>
    <cellStyle name="60% - Accent2 17" xfId="38630" xr:uid="{00000000-0005-0000-0000-000095030000}"/>
    <cellStyle name="60% - Accent2 18" xfId="38631" xr:uid="{00000000-0005-0000-0000-000096030000}"/>
    <cellStyle name="60% - Accent2 19" xfId="38632" xr:uid="{00000000-0005-0000-0000-000097030000}"/>
    <cellStyle name="60% - Accent2 2" xfId="879" xr:uid="{00000000-0005-0000-0000-000077070000}"/>
    <cellStyle name="60% - Accent2 2 10" xfId="880" xr:uid="{00000000-0005-0000-0000-000078070000}"/>
    <cellStyle name="60% - Accent2 2 10 2" xfId="12241" xr:uid="{00000000-0005-0000-0000-000079070000}"/>
    <cellStyle name="60% - Accent2 2 11" xfId="881" xr:uid="{00000000-0005-0000-0000-00007A070000}"/>
    <cellStyle name="60% - Accent2 2 2" xfId="882" xr:uid="{00000000-0005-0000-0000-00007B070000}"/>
    <cellStyle name="60% - Accent2 2 2 2" xfId="12242" xr:uid="{00000000-0005-0000-0000-00007C070000}"/>
    <cellStyle name="60% - Accent2 2 3" xfId="883" xr:uid="{00000000-0005-0000-0000-00007D070000}"/>
    <cellStyle name="60% - Accent2 2 3 2" xfId="12243" xr:uid="{00000000-0005-0000-0000-00007E070000}"/>
    <cellStyle name="60% - Accent2 2 4" xfId="884" xr:uid="{00000000-0005-0000-0000-00007F070000}"/>
    <cellStyle name="60% - Accent2 2 4 2" xfId="12244" xr:uid="{00000000-0005-0000-0000-000080070000}"/>
    <cellStyle name="60% - Accent2 2 5" xfId="885" xr:uid="{00000000-0005-0000-0000-000081070000}"/>
    <cellStyle name="60% - Accent2 2 5 2" xfId="12245" xr:uid="{00000000-0005-0000-0000-000082070000}"/>
    <cellStyle name="60% - Accent2 2 6" xfId="886" xr:uid="{00000000-0005-0000-0000-000083070000}"/>
    <cellStyle name="60% - Accent2 2 6 2" xfId="12246" xr:uid="{00000000-0005-0000-0000-000084070000}"/>
    <cellStyle name="60% - Accent2 2 7" xfId="887" xr:uid="{00000000-0005-0000-0000-000085070000}"/>
    <cellStyle name="60% - Accent2 2 7 2" xfId="12247" xr:uid="{00000000-0005-0000-0000-000086070000}"/>
    <cellStyle name="60% - Accent2 2 8" xfId="888" xr:uid="{00000000-0005-0000-0000-000087070000}"/>
    <cellStyle name="60% - Accent2 2 8 2" xfId="12248" xr:uid="{00000000-0005-0000-0000-000088070000}"/>
    <cellStyle name="60% - Accent2 2 9" xfId="889" xr:uid="{00000000-0005-0000-0000-000089070000}"/>
    <cellStyle name="60% - Accent2 2 9 2" xfId="12249" xr:uid="{00000000-0005-0000-0000-00008A070000}"/>
    <cellStyle name="60% - Accent2 20" xfId="38633" xr:uid="{00000000-0005-0000-0000-0000A3030000}"/>
    <cellStyle name="60% - Accent2 21" xfId="38634" xr:uid="{00000000-0005-0000-0000-0000A4030000}"/>
    <cellStyle name="60% - Accent2 22" xfId="38635" xr:uid="{00000000-0005-0000-0000-0000A5030000}"/>
    <cellStyle name="60% - Accent2 23" xfId="38636" xr:uid="{00000000-0005-0000-0000-0000A6030000}"/>
    <cellStyle name="60% - Accent2 24" xfId="38637" xr:uid="{00000000-0005-0000-0000-0000A7030000}"/>
    <cellStyle name="60% - Accent2 25" xfId="38638" xr:uid="{00000000-0005-0000-0000-0000A8030000}"/>
    <cellStyle name="60% - Accent2 26" xfId="38639" xr:uid="{00000000-0005-0000-0000-0000A9030000}"/>
    <cellStyle name="60% - Accent2 27" xfId="38640" xr:uid="{00000000-0005-0000-0000-0000AA030000}"/>
    <cellStyle name="60% - Accent2 28" xfId="38641" xr:uid="{00000000-0005-0000-0000-0000AB030000}"/>
    <cellStyle name="60% - Accent2 29" xfId="38642" xr:uid="{00000000-0005-0000-0000-0000AC030000}"/>
    <cellStyle name="60% - Accent2 3" xfId="890" xr:uid="{00000000-0005-0000-0000-00008B070000}"/>
    <cellStyle name="60% - Accent2 3 10" xfId="891" xr:uid="{00000000-0005-0000-0000-00008C070000}"/>
    <cellStyle name="60% - Accent2 3 11" xfId="892" xr:uid="{00000000-0005-0000-0000-00008D070000}"/>
    <cellStyle name="60% - Accent2 3 12" xfId="12250" xr:uid="{00000000-0005-0000-0000-00008E070000}"/>
    <cellStyle name="60% - Accent2 3 2" xfId="893" xr:uid="{00000000-0005-0000-0000-00008F070000}"/>
    <cellStyle name="60% - Accent2 3 2 2" xfId="38643" xr:uid="{00000000-0005-0000-0000-0000AE030000}"/>
    <cellStyle name="60% - Accent2 3 3" xfId="894" xr:uid="{00000000-0005-0000-0000-000090070000}"/>
    <cellStyle name="60% - Accent2 3 4" xfId="895" xr:uid="{00000000-0005-0000-0000-000091070000}"/>
    <cellStyle name="60% - Accent2 3 5" xfId="896" xr:uid="{00000000-0005-0000-0000-000092070000}"/>
    <cellStyle name="60% - Accent2 3 6" xfId="897" xr:uid="{00000000-0005-0000-0000-000093070000}"/>
    <cellStyle name="60% - Accent2 3 7" xfId="898" xr:uid="{00000000-0005-0000-0000-000094070000}"/>
    <cellStyle name="60% - Accent2 3 8" xfId="899" xr:uid="{00000000-0005-0000-0000-000095070000}"/>
    <cellStyle name="60% - Accent2 3 9" xfId="900" xr:uid="{00000000-0005-0000-0000-000096070000}"/>
    <cellStyle name="60% - Accent2 30" xfId="38644" xr:uid="{00000000-0005-0000-0000-0000B0030000}"/>
    <cellStyle name="60% - Accent2 31" xfId="38645" xr:uid="{00000000-0005-0000-0000-0000B1030000}"/>
    <cellStyle name="60% - Accent2 32" xfId="38646" xr:uid="{00000000-0005-0000-0000-0000B2030000}"/>
    <cellStyle name="60% - Accent2 33" xfId="38647" xr:uid="{00000000-0005-0000-0000-0000B3030000}"/>
    <cellStyle name="60% - Accent2 34" xfId="38648" xr:uid="{00000000-0005-0000-0000-0000B4030000}"/>
    <cellStyle name="60% - Accent2 35" xfId="38649" xr:uid="{00000000-0005-0000-0000-0000B5030000}"/>
    <cellStyle name="60% - Accent2 36" xfId="38650" xr:uid="{00000000-0005-0000-0000-0000B6030000}"/>
    <cellStyle name="60% - Accent2 37" xfId="38651" xr:uid="{00000000-0005-0000-0000-0000B7030000}"/>
    <cellStyle name="60% - Accent2 38" xfId="38652" xr:uid="{00000000-0005-0000-0000-0000B8030000}"/>
    <cellStyle name="60% - Accent2 39" xfId="38653" xr:uid="{00000000-0005-0000-0000-0000B9030000}"/>
    <cellStyle name="60% - Accent2 4" xfId="901" xr:uid="{00000000-0005-0000-0000-000097070000}"/>
    <cellStyle name="60% - Accent2 4 10" xfId="902" xr:uid="{00000000-0005-0000-0000-000098070000}"/>
    <cellStyle name="60% - Accent2 4 11" xfId="903" xr:uid="{00000000-0005-0000-0000-000099070000}"/>
    <cellStyle name="60% - Accent2 4 2" xfId="904" xr:uid="{00000000-0005-0000-0000-00009A070000}"/>
    <cellStyle name="60% - Accent2 4 3" xfId="905" xr:uid="{00000000-0005-0000-0000-00009B070000}"/>
    <cellStyle name="60% - Accent2 4 4" xfId="906" xr:uid="{00000000-0005-0000-0000-00009C070000}"/>
    <cellStyle name="60% - Accent2 4 5" xfId="907" xr:uid="{00000000-0005-0000-0000-00009D070000}"/>
    <cellStyle name="60% - Accent2 4 6" xfId="908" xr:uid="{00000000-0005-0000-0000-00009E070000}"/>
    <cellStyle name="60% - Accent2 4 7" xfId="909" xr:uid="{00000000-0005-0000-0000-00009F070000}"/>
    <cellStyle name="60% - Accent2 4 8" xfId="910" xr:uid="{00000000-0005-0000-0000-0000A0070000}"/>
    <cellStyle name="60% - Accent2 4 9" xfId="911" xr:uid="{00000000-0005-0000-0000-0000A1070000}"/>
    <cellStyle name="60% - Accent2 40" xfId="38654" xr:uid="{00000000-0005-0000-0000-0000BC030000}"/>
    <cellStyle name="60% - Accent2 41" xfId="38655" xr:uid="{00000000-0005-0000-0000-0000BD030000}"/>
    <cellStyle name="60% - Accent2 42" xfId="38656" xr:uid="{00000000-0005-0000-0000-0000BE030000}"/>
    <cellStyle name="60% - Accent2 43" xfId="38657" xr:uid="{00000000-0005-0000-0000-0000BF030000}"/>
    <cellStyle name="60% - Accent2 5" xfId="912" xr:uid="{00000000-0005-0000-0000-0000A2070000}"/>
    <cellStyle name="60% - Accent2 5 10" xfId="913" xr:uid="{00000000-0005-0000-0000-0000A3070000}"/>
    <cellStyle name="60% - Accent2 5 11" xfId="914" xr:uid="{00000000-0005-0000-0000-0000A4070000}"/>
    <cellStyle name="60% - Accent2 5 2" xfId="915" xr:uid="{00000000-0005-0000-0000-0000A5070000}"/>
    <cellStyle name="60% - Accent2 5 3" xfId="916" xr:uid="{00000000-0005-0000-0000-0000A6070000}"/>
    <cellStyle name="60% - Accent2 5 4" xfId="917" xr:uid="{00000000-0005-0000-0000-0000A7070000}"/>
    <cellStyle name="60% - Accent2 5 5" xfId="918" xr:uid="{00000000-0005-0000-0000-0000A8070000}"/>
    <cellStyle name="60% - Accent2 5 6" xfId="919" xr:uid="{00000000-0005-0000-0000-0000A9070000}"/>
    <cellStyle name="60% - Accent2 5 7" xfId="920" xr:uid="{00000000-0005-0000-0000-0000AA070000}"/>
    <cellStyle name="60% - Accent2 5 8" xfId="921" xr:uid="{00000000-0005-0000-0000-0000AB070000}"/>
    <cellStyle name="60% - Accent2 5 9" xfId="922" xr:uid="{00000000-0005-0000-0000-0000AC070000}"/>
    <cellStyle name="60% - Accent2 6" xfId="923" xr:uid="{00000000-0005-0000-0000-0000AD070000}"/>
    <cellStyle name="60% - Accent2 6 10" xfId="924" xr:uid="{00000000-0005-0000-0000-0000AE070000}"/>
    <cellStyle name="60% - Accent2 6 11" xfId="925" xr:uid="{00000000-0005-0000-0000-0000AF070000}"/>
    <cellStyle name="60% - Accent2 6 2" xfId="926" xr:uid="{00000000-0005-0000-0000-0000B0070000}"/>
    <cellStyle name="60% - Accent2 6 3" xfId="927" xr:uid="{00000000-0005-0000-0000-0000B1070000}"/>
    <cellStyle name="60% - Accent2 6 4" xfId="928" xr:uid="{00000000-0005-0000-0000-0000B2070000}"/>
    <cellStyle name="60% - Accent2 6 5" xfId="929" xr:uid="{00000000-0005-0000-0000-0000B3070000}"/>
    <cellStyle name="60% - Accent2 6 6" xfId="930" xr:uid="{00000000-0005-0000-0000-0000B4070000}"/>
    <cellStyle name="60% - Accent2 6 7" xfId="931" xr:uid="{00000000-0005-0000-0000-0000B5070000}"/>
    <cellStyle name="60% - Accent2 6 8" xfId="932" xr:uid="{00000000-0005-0000-0000-0000B6070000}"/>
    <cellStyle name="60% - Accent2 6 9" xfId="933" xr:uid="{00000000-0005-0000-0000-0000B7070000}"/>
    <cellStyle name="60% - Accent2 7" xfId="934" xr:uid="{00000000-0005-0000-0000-0000B8070000}"/>
    <cellStyle name="60% - Accent2 8" xfId="935" xr:uid="{00000000-0005-0000-0000-0000B9070000}"/>
    <cellStyle name="60% - Accent2 9" xfId="936" xr:uid="{00000000-0005-0000-0000-0000BA070000}"/>
    <cellStyle name="60% - Accent3 10" xfId="937" xr:uid="{00000000-0005-0000-0000-0000BB070000}"/>
    <cellStyle name="60% - Accent3 11" xfId="38658" xr:uid="{00000000-0005-0000-0000-0000C8030000}"/>
    <cellStyle name="60% - Accent3 12" xfId="38659" xr:uid="{00000000-0005-0000-0000-0000C9030000}"/>
    <cellStyle name="60% - Accent3 13" xfId="38660" xr:uid="{00000000-0005-0000-0000-0000CA030000}"/>
    <cellStyle name="60% - Accent3 14" xfId="38661" xr:uid="{00000000-0005-0000-0000-0000CB030000}"/>
    <cellStyle name="60% - Accent3 15" xfId="38662" xr:uid="{00000000-0005-0000-0000-0000CC030000}"/>
    <cellStyle name="60% - Accent3 16" xfId="38663" xr:uid="{00000000-0005-0000-0000-0000CD030000}"/>
    <cellStyle name="60% - Accent3 17" xfId="38664" xr:uid="{00000000-0005-0000-0000-0000CE030000}"/>
    <cellStyle name="60% - Accent3 18" xfId="38665" xr:uid="{00000000-0005-0000-0000-0000CF030000}"/>
    <cellStyle name="60% - Accent3 19" xfId="38666" xr:uid="{00000000-0005-0000-0000-0000D0030000}"/>
    <cellStyle name="60% - Accent3 2" xfId="938" xr:uid="{00000000-0005-0000-0000-0000BC070000}"/>
    <cellStyle name="60% - Accent3 2 10" xfId="939" xr:uid="{00000000-0005-0000-0000-0000BD070000}"/>
    <cellStyle name="60% - Accent3 2 10 2" xfId="12251" xr:uid="{00000000-0005-0000-0000-0000BE070000}"/>
    <cellStyle name="60% - Accent3 2 11" xfId="940" xr:uid="{00000000-0005-0000-0000-0000BF070000}"/>
    <cellStyle name="60% - Accent3 2 2" xfId="941" xr:uid="{00000000-0005-0000-0000-0000C0070000}"/>
    <cellStyle name="60% - Accent3 2 2 2" xfId="12252" xr:uid="{00000000-0005-0000-0000-0000C1070000}"/>
    <cellStyle name="60% - Accent3 2 3" xfId="942" xr:uid="{00000000-0005-0000-0000-0000C2070000}"/>
    <cellStyle name="60% - Accent3 2 3 2" xfId="12253" xr:uid="{00000000-0005-0000-0000-0000C3070000}"/>
    <cellStyle name="60% - Accent3 2 4" xfId="943" xr:uid="{00000000-0005-0000-0000-0000C4070000}"/>
    <cellStyle name="60% - Accent3 2 4 2" xfId="12254" xr:uid="{00000000-0005-0000-0000-0000C5070000}"/>
    <cellStyle name="60% - Accent3 2 5" xfId="944" xr:uid="{00000000-0005-0000-0000-0000C6070000}"/>
    <cellStyle name="60% - Accent3 2 5 2" xfId="12255" xr:uid="{00000000-0005-0000-0000-0000C7070000}"/>
    <cellStyle name="60% - Accent3 2 6" xfId="945" xr:uid="{00000000-0005-0000-0000-0000C8070000}"/>
    <cellStyle name="60% - Accent3 2 6 2" xfId="12256" xr:uid="{00000000-0005-0000-0000-0000C9070000}"/>
    <cellStyle name="60% - Accent3 2 7" xfId="946" xr:uid="{00000000-0005-0000-0000-0000CA070000}"/>
    <cellStyle name="60% - Accent3 2 7 2" xfId="12257" xr:uid="{00000000-0005-0000-0000-0000CB070000}"/>
    <cellStyle name="60% - Accent3 2 8" xfId="947" xr:uid="{00000000-0005-0000-0000-0000CC070000}"/>
    <cellStyle name="60% - Accent3 2 8 2" xfId="12258" xr:uid="{00000000-0005-0000-0000-0000CD070000}"/>
    <cellStyle name="60% - Accent3 2 9" xfId="948" xr:uid="{00000000-0005-0000-0000-0000CE070000}"/>
    <cellStyle name="60% - Accent3 2 9 2" xfId="12259" xr:uid="{00000000-0005-0000-0000-0000CF070000}"/>
    <cellStyle name="60% - Accent3 20" xfId="38667" xr:uid="{00000000-0005-0000-0000-0000DC030000}"/>
    <cellStyle name="60% - Accent3 21" xfId="38668" xr:uid="{00000000-0005-0000-0000-0000DD030000}"/>
    <cellStyle name="60% - Accent3 22" xfId="38669" xr:uid="{00000000-0005-0000-0000-0000DE030000}"/>
    <cellStyle name="60% - Accent3 23" xfId="38670" xr:uid="{00000000-0005-0000-0000-0000DF030000}"/>
    <cellStyle name="60% - Accent3 24" xfId="38671" xr:uid="{00000000-0005-0000-0000-0000E0030000}"/>
    <cellStyle name="60% - Accent3 25" xfId="38672" xr:uid="{00000000-0005-0000-0000-0000E1030000}"/>
    <cellStyle name="60% - Accent3 26" xfId="38673" xr:uid="{00000000-0005-0000-0000-0000E2030000}"/>
    <cellStyle name="60% - Accent3 27" xfId="38674" xr:uid="{00000000-0005-0000-0000-0000E3030000}"/>
    <cellStyle name="60% - Accent3 28" xfId="38675" xr:uid="{00000000-0005-0000-0000-0000E4030000}"/>
    <cellStyle name="60% - Accent3 29" xfId="38676" xr:uid="{00000000-0005-0000-0000-0000E5030000}"/>
    <cellStyle name="60% - Accent3 3" xfId="949" xr:uid="{00000000-0005-0000-0000-0000D0070000}"/>
    <cellStyle name="60% - Accent3 3 10" xfId="950" xr:uid="{00000000-0005-0000-0000-0000D1070000}"/>
    <cellStyle name="60% - Accent3 3 11" xfId="951" xr:uid="{00000000-0005-0000-0000-0000D2070000}"/>
    <cellStyle name="60% - Accent3 3 12" xfId="12260" xr:uid="{00000000-0005-0000-0000-0000D3070000}"/>
    <cellStyle name="60% - Accent3 3 13" xfId="14143" xr:uid="{00000000-0005-0000-0000-0000D4070000}"/>
    <cellStyle name="60% - Accent3 3 2" xfId="952" xr:uid="{00000000-0005-0000-0000-0000D5070000}"/>
    <cellStyle name="60% - Accent3 3 2 2" xfId="38677" xr:uid="{00000000-0005-0000-0000-0000E7030000}"/>
    <cellStyle name="60% - Accent3 3 3" xfId="953" xr:uid="{00000000-0005-0000-0000-0000D6070000}"/>
    <cellStyle name="60% - Accent3 3 4" xfId="954" xr:uid="{00000000-0005-0000-0000-0000D7070000}"/>
    <cellStyle name="60% - Accent3 3 5" xfId="955" xr:uid="{00000000-0005-0000-0000-0000D8070000}"/>
    <cellStyle name="60% - Accent3 3 6" xfId="956" xr:uid="{00000000-0005-0000-0000-0000D9070000}"/>
    <cellStyle name="60% - Accent3 3 7" xfId="957" xr:uid="{00000000-0005-0000-0000-0000DA070000}"/>
    <cellStyle name="60% - Accent3 3 8" xfId="958" xr:uid="{00000000-0005-0000-0000-0000DB070000}"/>
    <cellStyle name="60% - Accent3 3 9" xfId="959" xr:uid="{00000000-0005-0000-0000-0000DC070000}"/>
    <cellStyle name="60% - Accent3 30" xfId="38678" xr:uid="{00000000-0005-0000-0000-0000E9030000}"/>
    <cellStyle name="60% - Accent3 31" xfId="38679" xr:uid="{00000000-0005-0000-0000-0000EA030000}"/>
    <cellStyle name="60% - Accent3 32" xfId="38680" xr:uid="{00000000-0005-0000-0000-0000EB030000}"/>
    <cellStyle name="60% - Accent3 33" xfId="38681" xr:uid="{00000000-0005-0000-0000-0000EC030000}"/>
    <cellStyle name="60% - Accent3 34" xfId="38682" xr:uid="{00000000-0005-0000-0000-0000ED030000}"/>
    <cellStyle name="60% - Accent3 35" xfId="38683" xr:uid="{00000000-0005-0000-0000-0000EE030000}"/>
    <cellStyle name="60% - Accent3 36" xfId="38684" xr:uid="{00000000-0005-0000-0000-0000EF030000}"/>
    <cellStyle name="60% - Accent3 37" xfId="38685" xr:uid="{00000000-0005-0000-0000-0000F0030000}"/>
    <cellStyle name="60% - Accent3 38" xfId="38686" xr:uid="{00000000-0005-0000-0000-0000F1030000}"/>
    <cellStyle name="60% - Accent3 39" xfId="38687" xr:uid="{00000000-0005-0000-0000-0000F2030000}"/>
    <cellStyle name="60% - Accent3 4" xfId="960" xr:uid="{00000000-0005-0000-0000-0000DD070000}"/>
    <cellStyle name="60% - Accent3 4 10" xfId="961" xr:uid="{00000000-0005-0000-0000-0000DE070000}"/>
    <cellStyle name="60% - Accent3 4 11" xfId="962" xr:uid="{00000000-0005-0000-0000-0000DF070000}"/>
    <cellStyle name="60% - Accent3 4 2" xfId="963" xr:uid="{00000000-0005-0000-0000-0000E0070000}"/>
    <cellStyle name="60% - Accent3 4 3" xfId="964" xr:uid="{00000000-0005-0000-0000-0000E1070000}"/>
    <cellStyle name="60% - Accent3 4 4" xfId="965" xr:uid="{00000000-0005-0000-0000-0000E2070000}"/>
    <cellStyle name="60% - Accent3 4 5" xfId="966" xr:uid="{00000000-0005-0000-0000-0000E3070000}"/>
    <cellStyle name="60% - Accent3 4 6" xfId="967" xr:uid="{00000000-0005-0000-0000-0000E4070000}"/>
    <cellStyle name="60% - Accent3 4 7" xfId="968" xr:uid="{00000000-0005-0000-0000-0000E5070000}"/>
    <cellStyle name="60% - Accent3 4 8" xfId="969" xr:uid="{00000000-0005-0000-0000-0000E6070000}"/>
    <cellStyle name="60% - Accent3 4 9" xfId="970" xr:uid="{00000000-0005-0000-0000-0000E7070000}"/>
    <cellStyle name="60% - Accent3 40" xfId="38688" xr:uid="{00000000-0005-0000-0000-0000F5030000}"/>
    <cellStyle name="60% - Accent3 41" xfId="38689" xr:uid="{00000000-0005-0000-0000-0000F6030000}"/>
    <cellStyle name="60% - Accent3 42" xfId="38690" xr:uid="{00000000-0005-0000-0000-0000F7030000}"/>
    <cellStyle name="60% - Accent3 43" xfId="38691" xr:uid="{00000000-0005-0000-0000-0000F8030000}"/>
    <cellStyle name="60% - Accent3 5" xfId="971" xr:uid="{00000000-0005-0000-0000-0000E8070000}"/>
    <cellStyle name="60% - Accent3 5 10" xfId="972" xr:uid="{00000000-0005-0000-0000-0000E9070000}"/>
    <cellStyle name="60% - Accent3 5 11" xfId="973" xr:uid="{00000000-0005-0000-0000-0000EA070000}"/>
    <cellStyle name="60% - Accent3 5 2" xfId="974" xr:uid="{00000000-0005-0000-0000-0000EB070000}"/>
    <cellStyle name="60% - Accent3 5 3" xfId="975" xr:uid="{00000000-0005-0000-0000-0000EC070000}"/>
    <cellStyle name="60% - Accent3 5 4" xfId="976" xr:uid="{00000000-0005-0000-0000-0000ED070000}"/>
    <cellStyle name="60% - Accent3 5 5" xfId="977" xr:uid="{00000000-0005-0000-0000-0000EE070000}"/>
    <cellStyle name="60% - Accent3 5 6" xfId="978" xr:uid="{00000000-0005-0000-0000-0000EF070000}"/>
    <cellStyle name="60% - Accent3 5 7" xfId="979" xr:uid="{00000000-0005-0000-0000-0000F0070000}"/>
    <cellStyle name="60% - Accent3 5 8" xfId="980" xr:uid="{00000000-0005-0000-0000-0000F1070000}"/>
    <cellStyle name="60% - Accent3 5 9" xfId="981" xr:uid="{00000000-0005-0000-0000-0000F2070000}"/>
    <cellStyle name="60% - Accent3 6" xfId="982" xr:uid="{00000000-0005-0000-0000-0000F3070000}"/>
    <cellStyle name="60% - Accent3 6 10" xfId="983" xr:uid="{00000000-0005-0000-0000-0000F4070000}"/>
    <cellStyle name="60% - Accent3 6 11" xfId="984" xr:uid="{00000000-0005-0000-0000-0000F5070000}"/>
    <cellStyle name="60% - Accent3 6 2" xfId="985" xr:uid="{00000000-0005-0000-0000-0000F6070000}"/>
    <cellStyle name="60% - Accent3 6 3" xfId="986" xr:uid="{00000000-0005-0000-0000-0000F7070000}"/>
    <cellStyle name="60% - Accent3 6 4" xfId="987" xr:uid="{00000000-0005-0000-0000-0000F8070000}"/>
    <cellStyle name="60% - Accent3 6 5" xfId="988" xr:uid="{00000000-0005-0000-0000-0000F9070000}"/>
    <cellStyle name="60% - Accent3 6 6" xfId="989" xr:uid="{00000000-0005-0000-0000-0000FA070000}"/>
    <cellStyle name="60% - Accent3 6 7" xfId="990" xr:uid="{00000000-0005-0000-0000-0000FB070000}"/>
    <cellStyle name="60% - Accent3 6 8" xfId="991" xr:uid="{00000000-0005-0000-0000-0000FC070000}"/>
    <cellStyle name="60% - Accent3 6 9" xfId="992" xr:uid="{00000000-0005-0000-0000-0000FD070000}"/>
    <cellStyle name="60% - Accent3 7" xfId="993" xr:uid="{00000000-0005-0000-0000-0000FE070000}"/>
    <cellStyle name="60% - Accent3 8" xfId="994" xr:uid="{00000000-0005-0000-0000-0000FF070000}"/>
    <cellStyle name="60% - Accent3 9" xfId="995" xr:uid="{00000000-0005-0000-0000-000000080000}"/>
    <cellStyle name="60% - Accent4 10" xfId="996" xr:uid="{00000000-0005-0000-0000-000001080000}"/>
    <cellStyle name="60% - Accent4 11" xfId="38692" xr:uid="{00000000-0005-0000-0000-000001040000}"/>
    <cellStyle name="60% - Accent4 12" xfId="38693" xr:uid="{00000000-0005-0000-0000-000002040000}"/>
    <cellStyle name="60% - Accent4 13" xfId="38694" xr:uid="{00000000-0005-0000-0000-000003040000}"/>
    <cellStyle name="60% - Accent4 14" xfId="38695" xr:uid="{00000000-0005-0000-0000-000004040000}"/>
    <cellStyle name="60% - Accent4 15" xfId="38696" xr:uid="{00000000-0005-0000-0000-000005040000}"/>
    <cellStyle name="60% - Accent4 16" xfId="38697" xr:uid="{00000000-0005-0000-0000-000006040000}"/>
    <cellStyle name="60% - Accent4 17" xfId="38698" xr:uid="{00000000-0005-0000-0000-000007040000}"/>
    <cellStyle name="60% - Accent4 18" xfId="38699" xr:uid="{00000000-0005-0000-0000-000008040000}"/>
    <cellStyle name="60% - Accent4 19" xfId="38700" xr:uid="{00000000-0005-0000-0000-000009040000}"/>
    <cellStyle name="60% - Accent4 2" xfId="997" xr:uid="{00000000-0005-0000-0000-000002080000}"/>
    <cellStyle name="60% - Accent4 2 10" xfId="998" xr:uid="{00000000-0005-0000-0000-000003080000}"/>
    <cellStyle name="60% - Accent4 2 10 2" xfId="12261" xr:uid="{00000000-0005-0000-0000-000004080000}"/>
    <cellStyle name="60% - Accent4 2 11" xfId="999" xr:uid="{00000000-0005-0000-0000-000005080000}"/>
    <cellStyle name="60% - Accent4 2 2" xfId="1000" xr:uid="{00000000-0005-0000-0000-000006080000}"/>
    <cellStyle name="60% - Accent4 2 2 2" xfId="12262" xr:uid="{00000000-0005-0000-0000-000007080000}"/>
    <cellStyle name="60% - Accent4 2 3" xfId="1001" xr:uid="{00000000-0005-0000-0000-000008080000}"/>
    <cellStyle name="60% - Accent4 2 3 2" xfId="12263" xr:uid="{00000000-0005-0000-0000-000009080000}"/>
    <cellStyle name="60% - Accent4 2 4" xfId="1002" xr:uid="{00000000-0005-0000-0000-00000A080000}"/>
    <cellStyle name="60% - Accent4 2 4 2" xfId="12264" xr:uid="{00000000-0005-0000-0000-00000B080000}"/>
    <cellStyle name="60% - Accent4 2 5" xfId="1003" xr:uid="{00000000-0005-0000-0000-00000C080000}"/>
    <cellStyle name="60% - Accent4 2 5 2" xfId="12265" xr:uid="{00000000-0005-0000-0000-00000D080000}"/>
    <cellStyle name="60% - Accent4 2 6" xfId="1004" xr:uid="{00000000-0005-0000-0000-00000E080000}"/>
    <cellStyle name="60% - Accent4 2 6 2" xfId="12266" xr:uid="{00000000-0005-0000-0000-00000F080000}"/>
    <cellStyle name="60% - Accent4 2 7" xfId="1005" xr:uid="{00000000-0005-0000-0000-000010080000}"/>
    <cellStyle name="60% - Accent4 2 7 2" xfId="12267" xr:uid="{00000000-0005-0000-0000-000011080000}"/>
    <cellStyle name="60% - Accent4 2 8" xfId="1006" xr:uid="{00000000-0005-0000-0000-000012080000}"/>
    <cellStyle name="60% - Accent4 2 8 2" xfId="12268" xr:uid="{00000000-0005-0000-0000-000013080000}"/>
    <cellStyle name="60% - Accent4 2 9" xfId="1007" xr:uid="{00000000-0005-0000-0000-000014080000}"/>
    <cellStyle name="60% - Accent4 2 9 2" xfId="12269" xr:uid="{00000000-0005-0000-0000-000015080000}"/>
    <cellStyle name="60% - Accent4 20" xfId="38701" xr:uid="{00000000-0005-0000-0000-000015040000}"/>
    <cellStyle name="60% - Accent4 21" xfId="38702" xr:uid="{00000000-0005-0000-0000-000016040000}"/>
    <cellStyle name="60% - Accent4 22" xfId="38703" xr:uid="{00000000-0005-0000-0000-000017040000}"/>
    <cellStyle name="60% - Accent4 23" xfId="38704" xr:uid="{00000000-0005-0000-0000-000018040000}"/>
    <cellStyle name="60% - Accent4 24" xfId="38705" xr:uid="{00000000-0005-0000-0000-000019040000}"/>
    <cellStyle name="60% - Accent4 25" xfId="38706" xr:uid="{00000000-0005-0000-0000-00001A040000}"/>
    <cellStyle name="60% - Accent4 26" xfId="38707" xr:uid="{00000000-0005-0000-0000-00001B040000}"/>
    <cellStyle name="60% - Accent4 27" xfId="38708" xr:uid="{00000000-0005-0000-0000-00001C040000}"/>
    <cellStyle name="60% - Accent4 28" xfId="38709" xr:uid="{00000000-0005-0000-0000-00001D040000}"/>
    <cellStyle name="60% - Accent4 29" xfId="38710" xr:uid="{00000000-0005-0000-0000-00001E040000}"/>
    <cellStyle name="60% - Accent4 3" xfId="1008" xr:uid="{00000000-0005-0000-0000-000016080000}"/>
    <cellStyle name="60% - Accent4 3 10" xfId="1009" xr:uid="{00000000-0005-0000-0000-000017080000}"/>
    <cellStyle name="60% - Accent4 3 11" xfId="1010" xr:uid="{00000000-0005-0000-0000-000018080000}"/>
    <cellStyle name="60% - Accent4 3 12" xfId="12270" xr:uid="{00000000-0005-0000-0000-000019080000}"/>
    <cellStyle name="60% - Accent4 3 13" xfId="14144" xr:uid="{00000000-0005-0000-0000-00001A080000}"/>
    <cellStyle name="60% - Accent4 3 2" xfId="1011" xr:uid="{00000000-0005-0000-0000-00001B080000}"/>
    <cellStyle name="60% - Accent4 3 2 2" xfId="38711" xr:uid="{00000000-0005-0000-0000-000020040000}"/>
    <cellStyle name="60% - Accent4 3 3" xfId="1012" xr:uid="{00000000-0005-0000-0000-00001C080000}"/>
    <cellStyle name="60% - Accent4 3 4" xfId="1013" xr:uid="{00000000-0005-0000-0000-00001D080000}"/>
    <cellStyle name="60% - Accent4 3 5" xfId="1014" xr:uid="{00000000-0005-0000-0000-00001E080000}"/>
    <cellStyle name="60% - Accent4 3 6" xfId="1015" xr:uid="{00000000-0005-0000-0000-00001F080000}"/>
    <cellStyle name="60% - Accent4 3 7" xfId="1016" xr:uid="{00000000-0005-0000-0000-000020080000}"/>
    <cellStyle name="60% - Accent4 3 8" xfId="1017" xr:uid="{00000000-0005-0000-0000-000021080000}"/>
    <cellStyle name="60% - Accent4 3 9" xfId="1018" xr:uid="{00000000-0005-0000-0000-000022080000}"/>
    <cellStyle name="60% - Accent4 30" xfId="38712" xr:uid="{00000000-0005-0000-0000-000022040000}"/>
    <cellStyle name="60% - Accent4 31" xfId="38713" xr:uid="{00000000-0005-0000-0000-000023040000}"/>
    <cellStyle name="60% - Accent4 32" xfId="38714" xr:uid="{00000000-0005-0000-0000-000024040000}"/>
    <cellStyle name="60% - Accent4 33" xfId="38715" xr:uid="{00000000-0005-0000-0000-000025040000}"/>
    <cellStyle name="60% - Accent4 34" xfId="38716" xr:uid="{00000000-0005-0000-0000-000026040000}"/>
    <cellStyle name="60% - Accent4 35" xfId="38717" xr:uid="{00000000-0005-0000-0000-000027040000}"/>
    <cellStyle name="60% - Accent4 36" xfId="38718" xr:uid="{00000000-0005-0000-0000-000028040000}"/>
    <cellStyle name="60% - Accent4 37" xfId="38719" xr:uid="{00000000-0005-0000-0000-000029040000}"/>
    <cellStyle name="60% - Accent4 38" xfId="38720" xr:uid="{00000000-0005-0000-0000-00002A040000}"/>
    <cellStyle name="60% - Accent4 39" xfId="38721" xr:uid="{00000000-0005-0000-0000-00002B040000}"/>
    <cellStyle name="60% - Accent4 4" xfId="1019" xr:uid="{00000000-0005-0000-0000-000023080000}"/>
    <cellStyle name="60% - Accent4 4 10" xfId="1020" xr:uid="{00000000-0005-0000-0000-000024080000}"/>
    <cellStyle name="60% - Accent4 4 11" xfId="1021" xr:uid="{00000000-0005-0000-0000-000025080000}"/>
    <cellStyle name="60% - Accent4 4 2" xfId="1022" xr:uid="{00000000-0005-0000-0000-000026080000}"/>
    <cellStyle name="60% - Accent4 4 3" xfId="1023" xr:uid="{00000000-0005-0000-0000-000027080000}"/>
    <cellStyle name="60% - Accent4 4 4" xfId="1024" xr:uid="{00000000-0005-0000-0000-000028080000}"/>
    <cellStyle name="60% - Accent4 4 5" xfId="1025" xr:uid="{00000000-0005-0000-0000-000029080000}"/>
    <cellStyle name="60% - Accent4 4 6" xfId="1026" xr:uid="{00000000-0005-0000-0000-00002A080000}"/>
    <cellStyle name="60% - Accent4 4 7" xfId="1027" xr:uid="{00000000-0005-0000-0000-00002B080000}"/>
    <cellStyle name="60% - Accent4 4 8" xfId="1028" xr:uid="{00000000-0005-0000-0000-00002C080000}"/>
    <cellStyle name="60% - Accent4 4 9" xfId="1029" xr:uid="{00000000-0005-0000-0000-00002D080000}"/>
    <cellStyle name="60% - Accent4 40" xfId="38722" xr:uid="{00000000-0005-0000-0000-00002E040000}"/>
    <cellStyle name="60% - Accent4 41" xfId="38723" xr:uid="{00000000-0005-0000-0000-00002F040000}"/>
    <cellStyle name="60% - Accent4 42" xfId="38724" xr:uid="{00000000-0005-0000-0000-000030040000}"/>
    <cellStyle name="60% - Accent4 43" xfId="38725" xr:uid="{00000000-0005-0000-0000-000031040000}"/>
    <cellStyle name="60% - Accent4 5" xfId="1030" xr:uid="{00000000-0005-0000-0000-00002E080000}"/>
    <cellStyle name="60% - Accent4 5 10" xfId="1031" xr:uid="{00000000-0005-0000-0000-00002F080000}"/>
    <cellStyle name="60% - Accent4 5 11" xfId="1032" xr:uid="{00000000-0005-0000-0000-000030080000}"/>
    <cellStyle name="60% - Accent4 5 2" xfId="1033" xr:uid="{00000000-0005-0000-0000-000031080000}"/>
    <cellStyle name="60% - Accent4 5 3" xfId="1034" xr:uid="{00000000-0005-0000-0000-000032080000}"/>
    <cellStyle name="60% - Accent4 5 4" xfId="1035" xr:uid="{00000000-0005-0000-0000-000033080000}"/>
    <cellStyle name="60% - Accent4 5 5" xfId="1036" xr:uid="{00000000-0005-0000-0000-000034080000}"/>
    <cellStyle name="60% - Accent4 5 6" xfId="1037" xr:uid="{00000000-0005-0000-0000-000035080000}"/>
    <cellStyle name="60% - Accent4 5 7" xfId="1038" xr:uid="{00000000-0005-0000-0000-000036080000}"/>
    <cellStyle name="60% - Accent4 5 8" xfId="1039" xr:uid="{00000000-0005-0000-0000-000037080000}"/>
    <cellStyle name="60% - Accent4 5 9" xfId="1040" xr:uid="{00000000-0005-0000-0000-000038080000}"/>
    <cellStyle name="60% - Accent4 6" xfId="1041" xr:uid="{00000000-0005-0000-0000-000039080000}"/>
    <cellStyle name="60% - Accent4 6 10" xfId="1042" xr:uid="{00000000-0005-0000-0000-00003A080000}"/>
    <cellStyle name="60% - Accent4 6 11" xfId="1043" xr:uid="{00000000-0005-0000-0000-00003B080000}"/>
    <cellStyle name="60% - Accent4 6 2" xfId="1044" xr:uid="{00000000-0005-0000-0000-00003C080000}"/>
    <cellStyle name="60% - Accent4 6 3" xfId="1045" xr:uid="{00000000-0005-0000-0000-00003D080000}"/>
    <cellStyle name="60% - Accent4 6 4" xfId="1046" xr:uid="{00000000-0005-0000-0000-00003E080000}"/>
    <cellStyle name="60% - Accent4 6 5" xfId="1047" xr:uid="{00000000-0005-0000-0000-00003F080000}"/>
    <cellStyle name="60% - Accent4 6 6" xfId="1048" xr:uid="{00000000-0005-0000-0000-000040080000}"/>
    <cellStyle name="60% - Accent4 6 7" xfId="1049" xr:uid="{00000000-0005-0000-0000-000041080000}"/>
    <cellStyle name="60% - Accent4 6 8" xfId="1050" xr:uid="{00000000-0005-0000-0000-000042080000}"/>
    <cellStyle name="60% - Accent4 6 9" xfId="1051" xr:uid="{00000000-0005-0000-0000-000043080000}"/>
    <cellStyle name="60% - Accent4 7" xfId="1052" xr:uid="{00000000-0005-0000-0000-000044080000}"/>
    <cellStyle name="60% - Accent4 8" xfId="1053" xr:uid="{00000000-0005-0000-0000-000045080000}"/>
    <cellStyle name="60% - Accent4 9" xfId="1054" xr:uid="{00000000-0005-0000-0000-000046080000}"/>
    <cellStyle name="60% - Accent5 10" xfId="1055" xr:uid="{00000000-0005-0000-0000-000047080000}"/>
    <cellStyle name="60% - Accent5 11" xfId="38726" xr:uid="{00000000-0005-0000-0000-00003A040000}"/>
    <cellStyle name="60% - Accent5 12" xfId="38727" xr:uid="{00000000-0005-0000-0000-00003B040000}"/>
    <cellStyle name="60% - Accent5 13" xfId="38728" xr:uid="{00000000-0005-0000-0000-00003C040000}"/>
    <cellStyle name="60% - Accent5 14" xfId="38729" xr:uid="{00000000-0005-0000-0000-00003D040000}"/>
    <cellStyle name="60% - Accent5 15" xfId="38730" xr:uid="{00000000-0005-0000-0000-00003E040000}"/>
    <cellStyle name="60% - Accent5 16" xfId="38731" xr:uid="{00000000-0005-0000-0000-00003F040000}"/>
    <cellStyle name="60% - Accent5 17" xfId="38732" xr:uid="{00000000-0005-0000-0000-000040040000}"/>
    <cellStyle name="60% - Accent5 18" xfId="38733" xr:uid="{00000000-0005-0000-0000-000041040000}"/>
    <cellStyle name="60% - Accent5 19" xfId="38734" xr:uid="{00000000-0005-0000-0000-000042040000}"/>
    <cellStyle name="60% - Accent5 2" xfId="1056" xr:uid="{00000000-0005-0000-0000-000048080000}"/>
    <cellStyle name="60% - Accent5 2 10" xfId="1057" xr:uid="{00000000-0005-0000-0000-000049080000}"/>
    <cellStyle name="60% - Accent5 2 10 2" xfId="12271" xr:uid="{00000000-0005-0000-0000-00004A080000}"/>
    <cellStyle name="60% - Accent5 2 11" xfId="1058" xr:uid="{00000000-0005-0000-0000-00004B080000}"/>
    <cellStyle name="60% - Accent5 2 2" xfId="1059" xr:uid="{00000000-0005-0000-0000-00004C080000}"/>
    <cellStyle name="60% - Accent5 2 2 2" xfId="12272" xr:uid="{00000000-0005-0000-0000-00004D080000}"/>
    <cellStyle name="60% - Accent5 2 3" xfId="1060" xr:uid="{00000000-0005-0000-0000-00004E080000}"/>
    <cellStyle name="60% - Accent5 2 3 2" xfId="12273" xr:uid="{00000000-0005-0000-0000-00004F080000}"/>
    <cellStyle name="60% - Accent5 2 4" xfId="1061" xr:uid="{00000000-0005-0000-0000-000050080000}"/>
    <cellStyle name="60% - Accent5 2 4 2" xfId="12274" xr:uid="{00000000-0005-0000-0000-000051080000}"/>
    <cellStyle name="60% - Accent5 2 5" xfId="1062" xr:uid="{00000000-0005-0000-0000-000052080000}"/>
    <cellStyle name="60% - Accent5 2 5 2" xfId="12275" xr:uid="{00000000-0005-0000-0000-000053080000}"/>
    <cellStyle name="60% - Accent5 2 6" xfId="1063" xr:uid="{00000000-0005-0000-0000-000054080000}"/>
    <cellStyle name="60% - Accent5 2 6 2" xfId="12276" xr:uid="{00000000-0005-0000-0000-000055080000}"/>
    <cellStyle name="60% - Accent5 2 7" xfId="1064" xr:uid="{00000000-0005-0000-0000-000056080000}"/>
    <cellStyle name="60% - Accent5 2 7 2" xfId="12277" xr:uid="{00000000-0005-0000-0000-000057080000}"/>
    <cellStyle name="60% - Accent5 2 8" xfId="1065" xr:uid="{00000000-0005-0000-0000-000058080000}"/>
    <cellStyle name="60% - Accent5 2 8 2" xfId="12278" xr:uid="{00000000-0005-0000-0000-000059080000}"/>
    <cellStyle name="60% - Accent5 2 9" xfId="1066" xr:uid="{00000000-0005-0000-0000-00005A080000}"/>
    <cellStyle name="60% - Accent5 2 9 2" xfId="12279" xr:uid="{00000000-0005-0000-0000-00005B080000}"/>
    <cellStyle name="60% - Accent5 20" xfId="38735" xr:uid="{00000000-0005-0000-0000-00004E040000}"/>
    <cellStyle name="60% - Accent5 21" xfId="38736" xr:uid="{00000000-0005-0000-0000-00004F040000}"/>
    <cellStyle name="60% - Accent5 22" xfId="38737" xr:uid="{00000000-0005-0000-0000-000050040000}"/>
    <cellStyle name="60% - Accent5 23" xfId="38738" xr:uid="{00000000-0005-0000-0000-000051040000}"/>
    <cellStyle name="60% - Accent5 24" xfId="38739" xr:uid="{00000000-0005-0000-0000-000052040000}"/>
    <cellStyle name="60% - Accent5 25" xfId="38740" xr:uid="{00000000-0005-0000-0000-000053040000}"/>
    <cellStyle name="60% - Accent5 26" xfId="38741" xr:uid="{00000000-0005-0000-0000-000054040000}"/>
    <cellStyle name="60% - Accent5 27" xfId="38742" xr:uid="{00000000-0005-0000-0000-000055040000}"/>
    <cellStyle name="60% - Accent5 28" xfId="38743" xr:uid="{00000000-0005-0000-0000-000056040000}"/>
    <cellStyle name="60% - Accent5 29" xfId="38744" xr:uid="{00000000-0005-0000-0000-000057040000}"/>
    <cellStyle name="60% - Accent5 3" xfId="1067" xr:uid="{00000000-0005-0000-0000-00005C080000}"/>
    <cellStyle name="60% - Accent5 3 10" xfId="1068" xr:uid="{00000000-0005-0000-0000-00005D080000}"/>
    <cellStyle name="60% - Accent5 3 11" xfId="1069" xr:uid="{00000000-0005-0000-0000-00005E080000}"/>
    <cellStyle name="60% - Accent5 3 12" xfId="12280" xr:uid="{00000000-0005-0000-0000-00005F080000}"/>
    <cellStyle name="60% - Accent5 3 2" xfId="1070" xr:uid="{00000000-0005-0000-0000-000060080000}"/>
    <cellStyle name="60% - Accent5 3 2 2" xfId="38745" xr:uid="{00000000-0005-0000-0000-000059040000}"/>
    <cellStyle name="60% - Accent5 3 3" xfId="1071" xr:uid="{00000000-0005-0000-0000-000061080000}"/>
    <cellStyle name="60% - Accent5 3 4" xfId="1072" xr:uid="{00000000-0005-0000-0000-000062080000}"/>
    <cellStyle name="60% - Accent5 3 5" xfId="1073" xr:uid="{00000000-0005-0000-0000-000063080000}"/>
    <cellStyle name="60% - Accent5 3 6" xfId="1074" xr:uid="{00000000-0005-0000-0000-000064080000}"/>
    <cellStyle name="60% - Accent5 3 7" xfId="1075" xr:uid="{00000000-0005-0000-0000-000065080000}"/>
    <cellStyle name="60% - Accent5 3 8" xfId="1076" xr:uid="{00000000-0005-0000-0000-000066080000}"/>
    <cellStyle name="60% - Accent5 3 9" xfId="1077" xr:uid="{00000000-0005-0000-0000-000067080000}"/>
    <cellStyle name="60% - Accent5 30" xfId="38746" xr:uid="{00000000-0005-0000-0000-00005B040000}"/>
    <cellStyle name="60% - Accent5 31" xfId="38747" xr:uid="{00000000-0005-0000-0000-00005C040000}"/>
    <cellStyle name="60% - Accent5 32" xfId="38748" xr:uid="{00000000-0005-0000-0000-00005D040000}"/>
    <cellStyle name="60% - Accent5 33" xfId="38749" xr:uid="{00000000-0005-0000-0000-00005E040000}"/>
    <cellStyle name="60% - Accent5 34" xfId="38750" xr:uid="{00000000-0005-0000-0000-00005F040000}"/>
    <cellStyle name="60% - Accent5 35" xfId="38751" xr:uid="{00000000-0005-0000-0000-000060040000}"/>
    <cellStyle name="60% - Accent5 36" xfId="38752" xr:uid="{00000000-0005-0000-0000-000061040000}"/>
    <cellStyle name="60% - Accent5 37" xfId="38753" xr:uid="{00000000-0005-0000-0000-000062040000}"/>
    <cellStyle name="60% - Accent5 38" xfId="38754" xr:uid="{00000000-0005-0000-0000-000063040000}"/>
    <cellStyle name="60% - Accent5 39" xfId="38755" xr:uid="{00000000-0005-0000-0000-000064040000}"/>
    <cellStyle name="60% - Accent5 4" xfId="1078" xr:uid="{00000000-0005-0000-0000-000068080000}"/>
    <cellStyle name="60% - Accent5 4 10" xfId="1079" xr:uid="{00000000-0005-0000-0000-000069080000}"/>
    <cellStyle name="60% - Accent5 4 11" xfId="1080" xr:uid="{00000000-0005-0000-0000-00006A080000}"/>
    <cellStyle name="60% - Accent5 4 2" xfId="1081" xr:uid="{00000000-0005-0000-0000-00006B080000}"/>
    <cellStyle name="60% - Accent5 4 3" xfId="1082" xr:uid="{00000000-0005-0000-0000-00006C080000}"/>
    <cellStyle name="60% - Accent5 4 4" xfId="1083" xr:uid="{00000000-0005-0000-0000-00006D080000}"/>
    <cellStyle name="60% - Accent5 4 5" xfId="1084" xr:uid="{00000000-0005-0000-0000-00006E080000}"/>
    <cellStyle name="60% - Accent5 4 6" xfId="1085" xr:uid="{00000000-0005-0000-0000-00006F080000}"/>
    <cellStyle name="60% - Accent5 4 7" xfId="1086" xr:uid="{00000000-0005-0000-0000-000070080000}"/>
    <cellStyle name="60% - Accent5 4 8" xfId="1087" xr:uid="{00000000-0005-0000-0000-000071080000}"/>
    <cellStyle name="60% - Accent5 4 9" xfId="1088" xr:uid="{00000000-0005-0000-0000-000072080000}"/>
    <cellStyle name="60% - Accent5 40" xfId="38756" xr:uid="{00000000-0005-0000-0000-000067040000}"/>
    <cellStyle name="60% - Accent5 41" xfId="38757" xr:uid="{00000000-0005-0000-0000-000068040000}"/>
    <cellStyle name="60% - Accent5 42" xfId="38758" xr:uid="{00000000-0005-0000-0000-000069040000}"/>
    <cellStyle name="60% - Accent5 43" xfId="38759" xr:uid="{00000000-0005-0000-0000-00006A040000}"/>
    <cellStyle name="60% - Accent5 5" xfId="1089" xr:uid="{00000000-0005-0000-0000-000073080000}"/>
    <cellStyle name="60% - Accent5 5 10" xfId="1090" xr:uid="{00000000-0005-0000-0000-000074080000}"/>
    <cellStyle name="60% - Accent5 5 11" xfId="1091" xr:uid="{00000000-0005-0000-0000-000075080000}"/>
    <cellStyle name="60% - Accent5 5 2" xfId="1092" xr:uid="{00000000-0005-0000-0000-000076080000}"/>
    <cellStyle name="60% - Accent5 5 3" xfId="1093" xr:uid="{00000000-0005-0000-0000-000077080000}"/>
    <cellStyle name="60% - Accent5 5 4" xfId="1094" xr:uid="{00000000-0005-0000-0000-000078080000}"/>
    <cellStyle name="60% - Accent5 5 5" xfId="1095" xr:uid="{00000000-0005-0000-0000-000079080000}"/>
    <cellStyle name="60% - Accent5 5 6" xfId="1096" xr:uid="{00000000-0005-0000-0000-00007A080000}"/>
    <cellStyle name="60% - Accent5 5 7" xfId="1097" xr:uid="{00000000-0005-0000-0000-00007B080000}"/>
    <cellStyle name="60% - Accent5 5 8" xfId="1098" xr:uid="{00000000-0005-0000-0000-00007C080000}"/>
    <cellStyle name="60% - Accent5 5 9" xfId="1099" xr:uid="{00000000-0005-0000-0000-00007D080000}"/>
    <cellStyle name="60% - Accent5 6" xfId="1100" xr:uid="{00000000-0005-0000-0000-00007E080000}"/>
    <cellStyle name="60% - Accent5 6 10" xfId="1101" xr:uid="{00000000-0005-0000-0000-00007F080000}"/>
    <cellStyle name="60% - Accent5 6 11" xfId="1102" xr:uid="{00000000-0005-0000-0000-000080080000}"/>
    <cellStyle name="60% - Accent5 6 2" xfId="1103" xr:uid="{00000000-0005-0000-0000-000081080000}"/>
    <cellStyle name="60% - Accent5 6 3" xfId="1104" xr:uid="{00000000-0005-0000-0000-000082080000}"/>
    <cellStyle name="60% - Accent5 6 4" xfId="1105" xr:uid="{00000000-0005-0000-0000-000083080000}"/>
    <cellStyle name="60% - Accent5 6 5" xfId="1106" xr:uid="{00000000-0005-0000-0000-000084080000}"/>
    <cellStyle name="60% - Accent5 6 6" xfId="1107" xr:uid="{00000000-0005-0000-0000-000085080000}"/>
    <cellStyle name="60% - Accent5 6 7" xfId="1108" xr:uid="{00000000-0005-0000-0000-000086080000}"/>
    <cellStyle name="60% - Accent5 6 8" xfId="1109" xr:uid="{00000000-0005-0000-0000-000087080000}"/>
    <cellStyle name="60% - Accent5 6 9" xfId="1110" xr:uid="{00000000-0005-0000-0000-000088080000}"/>
    <cellStyle name="60% - Accent5 7" xfId="1111" xr:uid="{00000000-0005-0000-0000-000089080000}"/>
    <cellStyle name="60% - Accent5 8" xfId="1112" xr:uid="{00000000-0005-0000-0000-00008A080000}"/>
    <cellStyle name="60% - Accent5 9" xfId="1113" xr:uid="{00000000-0005-0000-0000-00008B080000}"/>
    <cellStyle name="60% - Accent6 10" xfId="1114" xr:uid="{00000000-0005-0000-0000-00008C080000}"/>
    <cellStyle name="60% - Accent6 11" xfId="38760" xr:uid="{00000000-0005-0000-0000-000073040000}"/>
    <cellStyle name="60% - Accent6 12" xfId="38761" xr:uid="{00000000-0005-0000-0000-000074040000}"/>
    <cellStyle name="60% - Accent6 13" xfId="38762" xr:uid="{00000000-0005-0000-0000-000075040000}"/>
    <cellStyle name="60% - Accent6 14" xfId="38763" xr:uid="{00000000-0005-0000-0000-000076040000}"/>
    <cellStyle name="60% - Accent6 15" xfId="38764" xr:uid="{00000000-0005-0000-0000-000077040000}"/>
    <cellStyle name="60% - Accent6 16" xfId="38765" xr:uid="{00000000-0005-0000-0000-000078040000}"/>
    <cellStyle name="60% - Accent6 17" xfId="38766" xr:uid="{00000000-0005-0000-0000-000079040000}"/>
    <cellStyle name="60% - Accent6 18" xfId="38767" xr:uid="{00000000-0005-0000-0000-00007A040000}"/>
    <cellStyle name="60% - Accent6 19" xfId="38768" xr:uid="{00000000-0005-0000-0000-00007B040000}"/>
    <cellStyle name="60% - Accent6 2" xfId="1115" xr:uid="{00000000-0005-0000-0000-00008D080000}"/>
    <cellStyle name="60% - Accent6 2 10" xfId="1116" xr:uid="{00000000-0005-0000-0000-00008E080000}"/>
    <cellStyle name="60% - Accent6 2 10 2" xfId="12281" xr:uid="{00000000-0005-0000-0000-00008F080000}"/>
    <cellStyle name="60% - Accent6 2 11" xfId="1117" xr:uid="{00000000-0005-0000-0000-000090080000}"/>
    <cellStyle name="60% - Accent6 2 2" xfId="1118" xr:uid="{00000000-0005-0000-0000-000091080000}"/>
    <cellStyle name="60% - Accent6 2 2 2" xfId="12282" xr:uid="{00000000-0005-0000-0000-000092080000}"/>
    <cellStyle name="60% - Accent6 2 3" xfId="1119" xr:uid="{00000000-0005-0000-0000-000093080000}"/>
    <cellStyle name="60% - Accent6 2 3 2" xfId="12283" xr:uid="{00000000-0005-0000-0000-000094080000}"/>
    <cellStyle name="60% - Accent6 2 4" xfId="1120" xr:uid="{00000000-0005-0000-0000-000095080000}"/>
    <cellStyle name="60% - Accent6 2 4 2" xfId="12284" xr:uid="{00000000-0005-0000-0000-000096080000}"/>
    <cellStyle name="60% - Accent6 2 5" xfId="1121" xr:uid="{00000000-0005-0000-0000-000097080000}"/>
    <cellStyle name="60% - Accent6 2 5 2" xfId="12285" xr:uid="{00000000-0005-0000-0000-000098080000}"/>
    <cellStyle name="60% - Accent6 2 6" xfId="1122" xr:uid="{00000000-0005-0000-0000-000099080000}"/>
    <cellStyle name="60% - Accent6 2 6 2" xfId="12286" xr:uid="{00000000-0005-0000-0000-00009A080000}"/>
    <cellStyle name="60% - Accent6 2 7" xfId="1123" xr:uid="{00000000-0005-0000-0000-00009B080000}"/>
    <cellStyle name="60% - Accent6 2 7 2" xfId="12287" xr:uid="{00000000-0005-0000-0000-00009C080000}"/>
    <cellStyle name="60% - Accent6 2 8" xfId="1124" xr:uid="{00000000-0005-0000-0000-00009D080000}"/>
    <cellStyle name="60% - Accent6 2 8 2" xfId="12288" xr:uid="{00000000-0005-0000-0000-00009E080000}"/>
    <cellStyle name="60% - Accent6 2 9" xfId="1125" xr:uid="{00000000-0005-0000-0000-00009F080000}"/>
    <cellStyle name="60% - Accent6 2 9 2" xfId="12289" xr:uid="{00000000-0005-0000-0000-0000A0080000}"/>
    <cellStyle name="60% - Accent6 20" xfId="38769" xr:uid="{00000000-0005-0000-0000-000087040000}"/>
    <cellStyle name="60% - Accent6 21" xfId="38770" xr:uid="{00000000-0005-0000-0000-000088040000}"/>
    <cellStyle name="60% - Accent6 22" xfId="38771" xr:uid="{00000000-0005-0000-0000-000089040000}"/>
    <cellStyle name="60% - Accent6 23" xfId="38772" xr:uid="{00000000-0005-0000-0000-00008A040000}"/>
    <cellStyle name="60% - Accent6 24" xfId="38773" xr:uid="{00000000-0005-0000-0000-00008B040000}"/>
    <cellStyle name="60% - Accent6 25" xfId="38774" xr:uid="{00000000-0005-0000-0000-00008C040000}"/>
    <cellStyle name="60% - Accent6 26" xfId="38775" xr:uid="{00000000-0005-0000-0000-00008D040000}"/>
    <cellStyle name="60% - Accent6 27" xfId="38776" xr:uid="{00000000-0005-0000-0000-00008E040000}"/>
    <cellStyle name="60% - Accent6 28" xfId="38777" xr:uid="{00000000-0005-0000-0000-00008F040000}"/>
    <cellStyle name="60% - Accent6 29" xfId="38778" xr:uid="{00000000-0005-0000-0000-000090040000}"/>
    <cellStyle name="60% - Accent6 3" xfId="1126" xr:uid="{00000000-0005-0000-0000-0000A1080000}"/>
    <cellStyle name="60% - Accent6 3 10" xfId="1127" xr:uid="{00000000-0005-0000-0000-0000A2080000}"/>
    <cellStyle name="60% - Accent6 3 11" xfId="1128" xr:uid="{00000000-0005-0000-0000-0000A3080000}"/>
    <cellStyle name="60% - Accent6 3 12" xfId="12290" xr:uid="{00000000-0005-0000-0000-0000A4080000}"/>
    <cellStyle name="60% - Accent6 3 13" xfId="14145" xr:uid="{00000000-0005-0000-0000-0000A5080000}"/>
    <cellStyle name="60% - Accent6 3 2" xfId="1129" xr:uid="{00000000-0005-0000-0000-0000A6080000}"/>
    <cellStyle name="60% - Accent6 3 2 2" xfId="38779" xr:uid="{00000000-0005-0000-0000-000092040000}"/>
    <cellStyle name="60% - Accent6 3 3" xfId="1130" xr:uid="{00000000-0005-0000-0000-0000A7080000}"/>
    <cellStyle name="60% - Accent6 3 4" xfId="1131" xr:uid="{00000000-0005-0000-0000-0000A8080000}"/>
    <cellStyle name="60% - Accent6 3 5" xfId="1132" xr:uid="{00000000-0005-0000-0000-0000A9080000}"/>
    <cellStyle name="60% - Accent6 3 6" xfId="1133" xr:uid="{00000000-0005-0000-0000-0000AA080000}"/>
    <cellStyle name="60% - Accent6 3 7" xfId="1134" xr:uid="{00000000-0005-0000-0000-0000AB080000}"/>
    <cellStyle name="60% - Accent6 3 8" xfId="1135" xr:uid="{00000000-0005-0000-0000-0000AC080000}"/>
    <cellStyle name="60% - Accent6 3 9" xfId="1136" xr:uid="{00000000-0005-0000-0000-0000AD080000}"/>
    <cellStyle name="60% - Accent6 30" xfId="38780" xr:uid="{00000000-0005-0000-0000-000094040000}"/>
    <cellStyle name="60% - Accent6 31" xfId="38781" xr:uid="{00000000-0005-0000-0000-000095040000}"/>
    <cellStyle name="60% - Accent6 32" xfId="38782" xr:uid="{00000000-0005-0000-0000-000096040000}"/>
    <cellStyle name="60% - Accent6 33" xfId="38783" xr:uid="{00000000-0005-0000-0000-000097040000}"/>
    <cellStyle name="60% - Accent6 34" xfId="38784" xr:uid="{00000000-0005-0000-0000-000098040000}"/>
    <cellStyle name="60% - Accent6 35" xfId="38785" xr:uid="{00000000-0005-0000-0000-000099040000}"/>
    <cellStyle name="60% - Accent6 36" xfId="38786" xr:uid="{00000000-0005-0000-0000-00009A040000}"/>
    <cellStyle name="60% - Accent6 37" xfId="38787" xr:uid="{00000000-0005-0000-0000-00009B040000}"/>
    <cellStyle name="60% - Accent6 38" xfId="38788" xr:uid="{00000000-0005-0000-0000-00009C040000}"/>
    <cellStyle name="60% - Accent6 39" xfId="38789" xr:uid="{00000000-0005-0000-0000-00009D040000}"/>
    <cellStyle name="60% - Accent6 4" xfId="1137" xr:uid="{00000000-0005-0000-0000-0000AE080000}"/>
    <cellStyle name="60% - Accent6 4 10" xfId="1138" xr:uid="{00000000-0005-0000-0000-0000AF080000}"/>
    <cellStyle name="60% - Accent6 4 11" xfId="1139" xr:uid="{00000000-0005-0000-0000-0000B0080000}"/>
    <cellStyle name="60% - Accent6 4 2" xfId="1140" xr:uid="{00000000-0005-0000-0000-0000B1080000}"/>
    <cellStyle name="60% - Accent6 4 3" xfId="1141" xr:uid="{00000000-0005-0000-0000-0000B2080000}"/>
    <cellStyle name="60% - Accent6 4 4" xfId="1142" xr:uid="{00000000-0005-0000-0000-0000B3080000}"/>
    <cellStyle name="60% - Accent6 4 5" xfId="1143" xr:uid="{00000000-0005-0000-0000-0000B4080000}"/>
    <cellStyle name="60% - Accent6 4 6" xfId="1144" xr:uid="{00000000-0005-0000-0000-0000B5080000}"/>
    <cellStyle name="60% - Accent6 4 7" xfId="1145" xr:uid="{00000000-0005-0000-0000-0000B6080000}"/>
    <cellStyle name="60% - Accent6 4 8" xfId="1146" xr:uid="{00000000-0005-0000-0000-0000B7080000}"/>
    <cellStyle name="60% - Accent6 4 9" xfId="1147" xr:uid="{00000000-0005-0000-0000-0000B8080000}"/>
    <cellStyle name="60% - Accent6 40" xfId="38790" xr:uid="{00000000-0005-0000-0000-0000A0040000}"/>
    <cellStyle name="60% - Accent6 41" xfId="38791" xr:uid="{00000000-0005-0000-0000-0000A1040000}"/>
    <cellStyle name="60% - Accent6 42" xfId="38792" xr:uid="{00000000-0005-0000-0000-0000A2040000}"/>
    <cellStyle name="60% - Accent6 43" xfId="38793" xr:uid="{00000000-0005-0000-0000-0000A3040000}"/>
    <cellStyle name="60% - Accent6 5" xfId="1148" xr:uid="{00000000-0005-0000-0000-0000B9080000}"/>
    <cellStyle name="60% - Accent6 5 10" xfId="1149" xr:uid="{00000000-0005-0000-0000-0000BA080000}"/>
    <cellStyle name="60% - Accent6 5 11" xfId="1150" xr:uid="{00000000-0005-0000-0000-0000BB080000}"/>
    <cellStyle name="60% - Accent6 5 2" xfId="1151" xr:uid="{00000000-0005-0000-0000-0000BC080000}"/>
    <cellStyle name="60% - Accent6 5 3" xfId="1152" xr:uid="{00000000-0005-0000-0000-0000BD080000}"/>
    <cellStyle name="60% - Accent6 5 4" xfId="1153" xr:uid="{00000000-0005-0000-0000-0000BE080000}"/>
    <cellStyle name="60% - Accent6 5 5" xfId="1154" xr:uid="{00000000-0005-0000-0000-0000BF080000}"/>
    <cellStyle name="60% - Accent6 5 6" xfId="1155" xr:uid="{00000000-0005-0000-0000-0000C0080000}"/>
    <cellStyle name="60% - Accent6 5 7" xfId="1156" xr:uid="{00000000-0005-0000-0000-0000C1080000}"/>
    <cellStyle name="60% - Accent6 5 8" xfId="1157" xr:uid="{00000000-0005-0000-0000-0000C2080000}"/>
    <cellStyle name="60% - Accent6 5 9" xfId="1158" xr:uid="{00000000-0005-0000-0000-0000C3080000}"/>
    <cellStyle name="60% - Accent6 6" xfId="1159" xr:uid="{00000000-0005-0000-0000-0000C4080000}"/>
    <cellStyle name="60% - Accent6 6 10" xfId="1160" xr:uid="{00000000-0005-0000-0000-0000C5080000}"/>
    <cellStyle name="60% - Accent6 6 11" xfId="1161" xr:uid="{00000000-0005-0000-0000-0000C6080000}"/>
    <cellStyle name="60% - Accent6 6 2" xfId="1162" xr:uid="{00000000-0005-0000-0000-0000C7080000}"/>
    <cellStyle name="60% - Accent6 6 3" xfId="1163" xr:uid="{00000000-0005-0000-0000-0000C8080000}"/>
    <cellStyle name="60% - Accent6 6 4" xfId="1164" xr:uid="{00000000-0005-0000-0000-0000C9080000}"/>
    <cellStyle name="60% - Accent6 6 5" xfId="1165" xr:uid="{00000000-0005-0000-0000-0000CA080000}"/>
    <cellStyle name="60% - Accent6 6 6" xfId="1166" xr:uid="{00000000-0005-0000-0000-0000CB080000}"/>
    <cellStyle name="60% - Accent6 6 7" xfId="1167" xr:uid="{00000000-0005-0000-0000-0000CC080000}"/>
    <cellStyle name="60% - Accent6 6 8" xfId="1168" xr:uid="{00000000-0005-0000-0000-0000CD080000}"/>
    <cellStyle name="60% - Accent6 6 9" xfId="1169" xr:uid="{00000000-0005-0000-0000-0000CE080000}"/>
    <cellStyle name="60% - Accent6 7" xfId="1170" xr:uid="{00000000-0005-0000-0000-0000CF080000}"/>
    <cellStyle name="60% - Accent6 8" xfId="1171" xr:uid="{00000000-0005-0000-0000-0000D0080000}"/>
    <cellStyle name="60% - Accent6 9" xfId="1172" xr:uid="{00000000-0005-0000-0000-0000D1080000}"/>
    <cellStyle name="60% - Akzent1" xfId="14067" xr:uid="{00000000-0005-0000-0000-0000D2080000}"/>
    <cellStyle name="60% - Akzent2" xfId="14068" xr:uid="{00000000-0005-0000-0000-0000D3080000}"/>
    <cellStyle name="60% - Akzent3" xfId="14069" xr:uid="{00000000-0005-0000-0000-0000D4080000}"/>
    <cellStyle name="60% - Akzent4" xfId="14070" xr:uid="{00000000-0005-0000-0000-0000D5080000}"/>
    <cellStyle name="60% - Akzent5" xfId="14071" xr:uid="{00000000-0005-0000-0000-0000D6080000}"/>
    <cellStyle name="60% - Akzent6" xfId="14072" xr:uid="{00000000-0005-0000-0000-0000D7080000}"/>
    <cellStyle name="60% - Colore 1" xfId="3704" xr:uid="{00000000-0005-0000-0000-0000D8080000}"/>
    <cellStyle name="60% - Colore 2" xfId="3705" xr:uid="{00000000-0005-0000-0000-0000D9080000}"/>
    <cellStyle name="60% - Colore 3" xfId="3706" xr:uid="{00000000-0005-0000-0000-0000DA080000}"/>
    <cellStyle name="60% - Colore 4" xfId="3707" xr:uid="{00000000-0005-0000-0000-0000DB080000}"/>
    <cellStyle name="60% - Colore 5" xfId="3708" xr:uid="{00000000-0005-0000-0000-0000DC080000}"/>
    <cellStyle name="60% - Colore 6" xfId="3709" xr:uid="{00000000-0005-0000-0000-0000DD080000}"/>
    <cellStyle name="60% - Cor4 2" xfId="38794" xr:uid="{00000000-0005-0000-0000-0000B1040000}"/>
    <cellStyle name="a_Calc_Outputs" xfId="39866" xr:uid="{5D7DE18C-D43C-48A5-82EA-2B64F4227A21}"/>
    <cellStyle name="Accent1" xfId="59" builtinId="29"/>
    <cellStyle name="Accent1 10" xfId="1173" xr:uid="{00000000-0005-0000-0000-0000DF080000}"/>
    <cellStyle name="Accent1 11" xfId="38795" xr:uid="{00000000-0005-0000-0000-0000B3040000}"/>
    <cellStyle name="Accent1 12" xfId="38796" xr:uid="{00000000-0005-0000-0000-0000B4040000}"/>
    <cellStyle name="Accent1 13" xfId="38797" xr:uid="{00000000-0005-0000-0000-0000B5040000}"/>
    <cellStyle name="Accent1 14" xfId="38798" xr:uid="{00000000-0005-0000-0000-0000B6040000}"/>
    <cellStyle name="Accent1 15" xfId="38799" xr:uid="{00000000-0005-0000-0000-0000B7040000}"/>
    <cellStyle name="Accent1 16" xfId="38800" xr:uid="{00000000-0005-0000-0000-0000B8040000}"/>
    <cellStyle name="Accent1 17" xfId="38801" xr:uid="{00000000-0005-0000-0000-0000B9040000}"/>
    <cellStyle name="Accent1 18" xfId="38802" xr:uid="{00000000-0005-0000-0000-0000BA040000}"/>
    <cellStyle name="Accent1 19" xfId="38803" xr:uid="{00000000-0005-0000-0000-0000BB040000}"/>
    <cellStyle name="Accent1 2" xfId="1174" xr:uid="{00000000-0005-0000-0000-0000E0080000}"/>
    <cellStyle name="Accent1 2 10" xfId="1175" xr:uid="{00000000-0005-0000-0000-0000E1080000}"/>
    <cellStyle name="Accent1 2 10 2" xfId="12291" xr:uid="{00000000-0005-0000-0000-0000E2080000}"/>
    <cellStyle name="Accent1 2 11" xfId="1176" xr:uid="{00000000-0005-0000-0000-0000E3080000}"/>
    <cellStyle name="Accent1 2 2" xfId="1177" xr:uid="{00000000-0005-0000-0000-0000E4080000}"/>
    <cellStyle name="Accent1 2 2 2" xfId="12292" xr:uid="{00000000-0005-0000-0000-0000E5080000}"/>
    <cellStyle name="Accent1 2 3" xfId="1178" xr:uid="{00000000-0005-0000-0000-0000E6080000}"/>
    <cellStyle name="Accent1 2 3 2" xfId="12293" xr:uid="{00000000-0005-0000-0000-0000E7080000}"/>
    <cellStyle name="Accent1 2 4" xfId="1179" xr:uid="{00000000-0005-0000-0000-0000E8080000}"/>
    <cellStyle name="Accent1 2 4 2" xfId="12294" xr:uid="{00000000-0005-0000-0000-0000E9080000}"/>
    <cellStyle name="Accent1 2 5" xfId="1180" xr:uid="{00000000-0005-0000-0000-0000EA080000}"/>
    <cellStyle name="Accent1 2 5 2" xfId="12295" xr:uid="{00000000-0005-0000-0000-0000EB080000}"/>
    <cellStyle name="Accent1 2 6" xfId="1181" xr:uid="{00000000-0005-0000-0000-0000EC080000}"/>
    <cellStyle name="Accent1 2 6 2" xfId="12296" xr:uid="{00000000-0005-0000-0000-0000ED080000}"/>
    <cellStyle name="Accent1 2 7" xfId="1182" xr:uid="{00000000-0005-0000-0000-0000EE080000}"/>
    <cellStyle name="Accent1 2 7 2" xfId="12297" xr:uid="{00000000-0005-0000-0000-0000EF080000}"/>
    <cellStyle name="Accent1 2 8" xfId="1183" xr:uid="{00000000-0005-0000-0000-0000F0080000}"/>
    <cellStyle name="Accent1 2 8 2" xfId="12298" xr:uid="{00000000-0005-0000-0000-0000F1080000}"/>
    <cellStyle name="Accent1 2 9" xfId="1184" xr:uid="{00000000-0005-0000-0000-0000F2080000}"/>
    <cellStyle name="Accent1 2 9 2" xfId="12299" xr:uid="{00000000-0005-0000-0000-0000F3080000}"/>
    <cellStyle name="Accent1 20" xfId="38804" xr:uid="{00000000-0005-0000-0000-0000C7040000}"/>
    <cellStyle name="Accent1 21" xfId="38805" xr:uid="{00000000-0005-0000-0000-0000C8040000}"/>
    <cellStyle name="Accent1 22" xfId="38806" xr:uid="{00000000-0005-0000-0000-0000C9040000}"/>
    <cellStyle name="Accent1 23" xfId="38807" xr:uid="{00000000-0005-0000-0000-0000CA040000}"/>
    <cellStyle name="Accent1 24" xfId="38808" xr:uid="{00000000-0005-0000-0000-0000CB040000}"/>
    <cellStyle name="Accent1 25" xfId="38809" xr:uid="{00000000-0005-0000-0000-0000CC040000}"/>
    <cellStyle name="Accent1 26" xfId="38810" xr:uid="{00000000-0005-0000-0000-0000CD040000}"/>
    <cellStyle name="Accent1 27" xfId="38811" xr:uid="{00000000-0005-0000-0000-0000CE040000}"/>
    <cellStyle name="Accent1 28" xfId="38812" xr:uid="{00000000-0005-0000-0000-0000CF040000}"/>
    <cellStyle name="Accent1 29" xfId="38813" xr:uid="{00000000-0005-0000-0000-0000D0040000}"/>
    <cellStyle name="Accent1 3" xfId="1185" xr:uid="{00000000-0005-0000-0000-0000F4080000}"/>
    <cellStyle name="Accent1 3 10" xfId="1186" xr:uid="{00000000-0005-0000-0000-0000F5080000}"/>
    <cellStyle name="Accent1 3 11" xfId="1187" xr:uid="{00000000-0005-0000-0000-0000F6080000}"/>
    <cellStyle name="Accent1 3 12" xfId="12300" xr:uid="{00000000-0005-0000-0000-0000F7080000}"/>
    <cellStyle name="Accent1 3 2" xfId="1188" xr:uid="{00000000-0005-0000-0000-0000F8080000}"/>
    <cellStyle name="Accent1 3 2 2" xfId="38814" xr:uid="{00000000-0005-0000-0000-0000D2040000}"/>
    <cellStyle name="Accent1 3 3" xfId="1189" xr:uid="{00000000-0005-0000-0000-0000F9080000}"/>
    <cellStyle name="Accent1 3 4" xfId="1190" xr:uid="{00000000-0005-0000-0000-0000FA080000}"/>
    <cellStyle name="Accent1 3 5" xfId="1191" xr:uid="{00000000-0005-0000-0000-0000FB080000}"/>
    <cellStyle name="Accent1 3 6" xfId="1192" xr:uid="{00000000-0005-0000-0000-0000FC080000}"/>
    <cellStyle name="Accent1 3 7" xfId="1193" xr:uid="{00000000-0005-0000-0000-0000FD080000}"/>
    <cellStyle name="Accent1 3 8" xfId="1194" xr:uid="{00000000-0005-0000-0000-0000FE080000}"/>
    <cellStyle name="Accent1 3 9" xfId="1195" xr:uid="{00000000-0005-0000-0000-0000FF080000}"/>
    <cellStyle name="Accent1 30" xfId="38815" xr:uid="{00000000-0005-0000-0000-0000D4040000}"/>
    <cellStyle name="Accent1 31" xfId="38816" xr:uid="{00000000-0005-0000-0000-0000D5040000}"/>
    <cellStyle name="Accent1 32" xfId="38817" xr:uid="{00000000-0005-0000-0000-0000D6040000}"/>
    <cellStyle name="Accent1 33" xfId="38818" xr:uid="{00000000-0005-0000-0000-0000D7040000}"/>
    <cellStyle name="Accent1 34" xfId="38819" xr:uid="{00000000-0005-0000-0000-0000D8040000}"/>
    <cellStyle name="Accent1 35" xfId="38820" xr:uid="{00000000-0005-0000-0000-0000D9040000}"/>
    <cellStyle name="Accent1 36" xfId="38821" xr:uid="{00000000-0005-0000-0000-0000DA040000}"/>
    <cellStyle name="Accent1 37" xfId="38822" xr:uid="{00000000-0005-0000-0000-0000DB040000}"/>
    <cellStyle name="Accent1 38" xfId="38823" xr:uid="{00000000-0005-0000-0000-0000DC040000}"/>
    <cellStyle name="Accent1 39" xfId="38824" xr:uid="{00000000-0005-0000-0000-0000DD040000}"/>
    <cellStyle name="Accent1 4" xfId="1196" xr:uid="{00000000-0005-0000-0000-000000090000}"/>
    <cellStyle name="Accent1 4 10" xfId="1197" xr:uid="{00000000-0005-0000-0000-000001090000}"/>
    <cellStyle name="Accent1 4 11" xfId="1198" xr:uid="{00000000-0005-0000-0000-000002090000}"/>
    <cellStyle name="Accent1 4 2" xfId="1199" xr:uid="{00000000-0005-0000-0000-000003090000}"/>
    <cellStyle name="Accent1 4 3" xfId="1200" xr:uid="{00000000-0005-0000-0000-000004090000}"/>
    <cellStyle name="Accent1 4 4" xfId="1201" xr:uid="{00000000-0005-0000-0000-000005090000}"/>
    <cellStyle name="Accent1 4 5" xfId="1202" xr:uid="{00000000-0005-0000-0000-000006090000}"/>
    <cellStyle name="Accent1 4 6" xfId="1203" xr:uid="{00000000-0005-0000-0000-000007090000}"/>
    <cellStyle name="Accent1 4 7" xfId="1204" xr:uid="{00000000-0005-0000-0000-000008090000}"/>
    <cellStyle name="Accent1 4 8" xfId="1205" xr:uid="{00000000-0005-0000-0000-000009090000}"/>
    <cellStyle name="Accent1 4 9" xfId="1206" xr:uid="{00000000-0005-0000-0000-00000A090000}"/>
    <cellStyle name="Accent1 40" xfId="38825" xr:uid="{00000000-0005-0000-0000-0000E0040000}"/>
    <cellStyle name="Accent1 41" xfId="38826" xr:uid="{00000000-0005-0000-0000-0000E1040000}"/>
    <cellStyle name="Accent1 42" xfId="38827" xr:uid="{00000000-0005-0000-0000-0000E2040000}"/>
    <cellStyle name="Accent1 43" xfId="38828" xr:uid="{00000000-0005-0000-0000-0000E3040000}"/>
    <cellStyle name="Accent1 5" xfId="1207" xr:uid="{00000000-0005-0000-0000-00000B090000}"/>
    <cellStyle name="Accent1 5 10" xfId="1208" xr:uid="{00000000-0005-0000-0000-00000C090000}"/>
    <cellStyle name="Accent1 5 11" xfId="1209" xr:uid="{00000000-0005-0000-0000-00000D090000}"/>
    <cellStyle name="Accent1 5 2" xfId="1210" xr:uid="{00000000-0005-0000-0000-00000E090000}"/>
    <cellStyle name="Accent1 5 3" xfId="1211" xr:uid="{00000000-0005-0000-0000-00000F090000}"/>
    <cellStyle name="Accent1 5 4" xfId="1212" xr:uid="{00000000-0005-0000-0000-000010090000}"/>
    <cellStyle name="Accent1 5 5" xfId="1213" xr:uid="{00000000-0005-0000-0000-000011090000}"/>
    <cellStyle name="Accent1 5 6" xfId="1214" xr:uid="{00000000-0005-0000-0000-000012090000}"/>
    <cellStyle name="Accent1 5 7" xfId="1215" xr:uid="{00000000-0005-0000-0000-000013090000}"/>
    <cellStyle name="Accent1 5 8" xfId="1216" xr:uid="{00000000-0005-0000-0000-000014090000}"/>
    <cellStyle name="Accent1 5 9" xfId="1217" xr:uid="{00000000-0005-0000-0000-000015090000}"/>
    <cellStyle name="Accent1 6" xfId="1218" xr:uid="{00000000-0005-0000-0000-000016090000}"/>
    <cellStyle name="Accent1 6 10" xfId="1219" xr:uid="{00000000-0005-0000-0000-000017090000}"/>
    <cellStyle name="Accent1 6 11" xfId="1220" xr:uid="{00000000-0005-0000-0000-000018090000}"/>
    <cellStyle name="Accent1 6 2" xfId="1221" xr:uid="{00000000-0005-0000-0000-000019090000}"/>
    <cellStyle name="Accent1 6 3" xfId="1222" xr:uid="{00000000-0005-0000-0000-00001A090000}"/>
    <cellStyle name="Accent1 6 4" xfId="1223" xr:uid="{00000000-0005-0000-0000-00001B090000}"/>
    <cellStyle name="Accent1 6 5" xfId="1224" xr:uid="{00000000-0005-0000-0000-00001C090000}"/>
    <cellStyle name="Accent1 6 6" xfId="1225" xr:uid="{00000000-0005-0000-0000-00001D090000}"/>
    <cellStyle name="Accent1 6 7" xfId="1226" xr:uid="{00000000-0005-0000-0000-00001E090000}"/>
    <cellStyle name="Accent1 6 8" xfId="1227" xr:uid="{00000000-0005-0000-0000-00001F090000}"/>
    <cellStyle name="Accent1 6 9" xfId="1228" xr:uid="{00000000-0005-0000-0000-000020090000}"/>
    <cellStyle name="Accent1 7" xfId="1229" xr:uid="{00000000-0005-0000-0000-000021090000}"/>
    <cellStyle name="Accent1 8" xfId="1230" xr:uid="{00000000-0005-0000-0000-000022090000}"/>
    <cellStyle name="Accent1 9" xfId="1231" xr:uid="{00000000-0005-0000-0000-000023090000}"/>
    <cellStyle name="Accent2 10" xfId="1232" xr:uid="{00000000-0005-0000-0000-000024090000}"/>
    <cellStyle name="Accent2 11" xfId="38829" xr:uid="{00000000-0005-0000-0000-0000EC040000}"/>
    <cellStyle name="Accent2 12" xfId="38830" xr:uid="{00000000-0005-0000-0000-0000ED040000}"/>
    <cellStyle name="Accent2 13" xfId="38831" xr:uid="{00000000-0005-0000-0000-0000EE040000}"/>
    <cellStyle name="Accent2 14" xfId="38832" xr:uid="{00000000-0005-0000-0000-0000EF040000}"/>
    <cellStyle name="Accent2 15" xfId="38833" xr:uid="{00000000-0005-0000-0000-0000F0040000}"/>
    <cellStyle name="Accent2 16" xfId="38834" xr:uid="{00000000-0005-0000-0000-0000F1040000}"/>
    <cellStyle name="Accent2 17" xfId="38835" xr:uid="{00000000-0005-0000-0000-0000F2040000}"/>
    <cellStyle name="Accent2 18" xfId="38836" xr:uid="{00000000-0005-0000-0000-0000F3040000}"/>
    <cellStyle name="Accent2 19" xfId="38837" xr:uid="{00000000-0005-0000-0000-0000F4040000}"/>
    <cellStyle name="Accent2 2" xfId="1233" xr:uid="{00000000-0005-0000-0000-000025090000}"/>
    <cellStyle name="Accent2 2 10" xfId="1234" xr:uid="{00000000-0005-0000-0000-000026090000}"/>
    <cellStyle name="Accent2 2 10 2" xfId="12301" xr:uid="{00000000-0005-0000-0000-000027090000}"/>
    <cellStyle name="Accent2 2 11" xfId="1235" xr:uid="{00000000-0005-0000-0000-000028090000}"/>
    <cellStyle name="Accent2 2 2" xfId="1236" xr:uid="{00000000-0005-0000-0000-000029090000}"/>
    <cellStyle name="Accent2 2 2 2" xfId="12302" xr:uid="{00000000-0005-0000-0000-00002A090000}"/>
    <cellStyle name="Accent2 2 3" xfId="1237" xr:uid="{00000000-0005-0000-0000-00002B090000}"/>
    <cellStyle name="Accent2 2 3 2" xfId="12303" xr:uid="{00000000-0005-0000-0000-00002C090000}"/>
    <cellStyle name="Accent2 2 4" xfId="1238" xr:uid="{00000000-0005-0000-0000-00002D090000}"/>
    <cellStyle name="Accent2 2 4 2" xfId="12304" xr:uid="{00000000-0005-0000-0000-00002E090000}"/>
    <cellStyle name="Accent2 2 5" xfId="1239" xr:uid="{00000000-0005-0000-0000-00002F090000}"/>
    <cellStyle name="Accent2 2 5 2" xfId="12305" xr:uid="{00000000-0005-0000-0000-000030090000}"/>
    <cellStyle name="Accent2 2 6" xfId="1240" xr:uid="{00000000-0005-0000-0000-000031090000}"/>
    <cellStyle name="Accent2 2 6 2" xfId="12306" xr:uid="{00000000-0005-0000-0000-000032090000}"/>
    <cellStyle name="Accent2 2 7" xfId="1241" xr:uid="{00000000-0005-0000-0000-000033090000}"/>
    <cellStyle name="Accent2 2 7 2" xfId="12307" xr:uid="{00000000-0005-0000-0000-000034090000}"/>
    <cellStyle name="Accent2 2 8" xfId="1242" xr:uid="{00000000-0005-0000-0000-000035090000}"/>
    <cellStyle name="Accent2 2 8 2" xfId="12308" xr:uid="{00000000-0005-0000-0000-000036090000}"/>
    <cellStyle name="Accent2 2 9" xfId="1243" xr:uid="{00000000-0005-0000-0000-000037090000}"/>
    <cellStyle name="Accent2 2 9 2" xfId="12309" xr:uid="{00000000-0005-0000-0000-000038090000}"/>
    <cellStyle name="Accent2 20" xfId="38838" xr:uid="{00000000-0005-0000-0000-000000050000}"/>
    <cellStyle name="Accent2 21" xfId="38839" xr:uid="{00000000-0005-0000-0000-000001050000}"/>
    <cellStyle name="Accent2 22" xfId="38840" xr:uid="{00000000-0005-0000-0000-000002050000}"/>
    <cellStyle name="Accent2 23" xfId="38841" xr:uid="{00000000-0005-0000-0000-000003050000}"/>
    <cellStyle name="Accent2 24" xfId="38842" xr:uid="{00000000-0005-0000-0000-000004050000}"/>
    <cellStyle name="Accent2 25" xfId="38843" xr:uid="{00000000-0005-0000-0000-000005050000}"/>
    <cellStyle name="Accent2 26" xfId="38844" xr:uid="{00000000-0005-0000-0000-000006050000}"/>
    <cellStyle name="Accent2 27" xfId="38845" xr:uid="{00000000-0005-0000-0000-000007050000}"/>
    <cellStyle name="Accent2 28" xfId="38846" xr:uid="{00000000-0005-0000-0000-000008050000}"/>
    <cellStyle name="Accent2 29" xfId="38847" xr:uid="{00000000-0005-0000-0000-000009050000}"/>
    <cellStyle name="Accent2 3" xfId="1244" xr:uid="{00000000-0005-0000-0000-000039090000}"/>
    <cellStyle name="Accent2 3 10" xfId="1245" xr:uid="{00000000-0005-0000-0000-00003A090000}"/>
    <cellStyle name="Accent2 3 11" xfId="1246" xr:uid="{00000000-0005-0000-0000-00003B090000}"/>
    <cellStyle name="Accent2 3 12" xfId="12310" xr:uid="{00000000-0005-0000-0000-00003C090000}"/>
    <cellStyle name="Accent2 3 2" xfId="1247" xr:uid="{00000000-0005-0000-0000-00003D090000}"/>
    <cellStyle name="Accent2 3 2 2" xfId="38848" xr:uid="{00000000-0005-0000-0000-00000B050000}"/>
    <cellStyle name="Accent2 3 3" xfId="1248" xr:uid="{00000000-0005-0000-0000-00003E090000}"/>
    <cellStyle name="Accent2 3 4" xfId="1249" xr:uid="{00000000-0005-0000-0000-00003F090000}"/>
    <cellStyle name="Accent2 3 5" xfId="1250" xr:uid="{00000000-0005-0000-0000-000040090000}"/>
    <cellStyle name="Accent2 3 6" xfId="1251" xr:uid="{00000000-0005-0000-0000-000041090000}"/>
    <cellStyle name="Accent2 3 7" xfId="1252" xr:uid="{00000000-0005-0000-0000-000042090000}"/>
    <cellStyle name="Accent2 3 8" xfId="1253" xr:uid="{00000000-0005-0000-0000-000043090000}"/>
    <cellStyle name="Accent2 3 9" xfId="1254" xr:uid="{00000000-0005-0000-0000-000044090000}"/>
    <cellStyle name="Accent2 30" xfId="38849" xr:uid="{00000000-0005-0000-0000-00000D050000}"/>
    <cellStyle name="Accent2 31" xfId="38850" xr:uid="{00000000-0005-0000-0000-00000E050000}"/>
    <cellStyle name="Accent2 32" xfId="38851" xr:uid="{00000000-0005-0000-0000-00000F050000}"/>
    <cellStyle name="Accent2 33" xfId="38852" xr:uid="{00000000-0005-0000-0000-000010050000}"/>
    <cellStyle name="Accent2 34" xfId="38853" xr:uid="{00000000-0005-0000-0000-000011050000}"/>
    <cellStyle name="Accent2 35" xfId="38854" xr:uid="{00000000-0005-0000-0000-000012050000}"/>
    <cellStyle name="Accent2 36" xfId="38855" xr:uid="{00000000-0005-0000-0000-000013050000}"/>
    <cellStyle name="Accent2 37" xfId="38856" xr:uid="{00000000-0005-0000-0000-000014050000}"/>
    <cellStyle name="Accent2 38" xfId="38857" xr:uid="{00000000-0005-0000-0000-000015050000}"/>
    <cellStyle name="Accent2 39" xfId="38858" xr:uid="{00000000-0005-0000-0000-000016050000}"/>
    <cellStyle name="Accent2 4" xfId="1255" xr:uid="{00000000-0005-0000-0000-000045090000}"/>
    <cellStyle name="Accent2 4 10" xfId="1256" xr:uid="{00000000-0005-0000-0000-000046090000}"/>
    <cellStyle name="Accent2 4 11" xfId="1257" xr:uid="{00000000-0005-0000-0000-000047090000}"/>
    <cellStyle name="Accent2 4 2" xfId="1258" xr:uid="{00000000-0005-0000-0000-000048090000}"/>
    <cellStyle name="Accent2 4 3" xfId="1259" xr:uid="{00000000-0005-0000-0000-000049090000}"/>
    <cellStyle name="Accent2 4 4" xfId="1260" xr:uid="{00000000-0005-0000-0000-00004A090000}"/>
    <cellStyle name="Accent2 4 5" xfId="1261" xr:uid="{00000000-0005-0000-0000-00004B090000}"/>
    <cellStyle name="Accent2 4 6" xfId="1262" xr:uid="{00000000-0005-0000-0000-00004C090000}"/>
    <cellStyle name="Accent2 4 7" xfId="1263" xr:uid="{00000000-0005-0000-0000-00004D090000}"/>
    <cellStyle name="Accent2 4 8" xfId="1264" xr:uid="{00000000-0005-0000-0000-00004E090000}"/>
    <cellStyle name="Accent2 4 9" xfId="1265" xr:uid="{00000000-0005-0000-0000-00004F090000}"/>
    <cellStyle name="Accent2 40" xfId="38859" xr:uid="{00000000-0005-0000-0000-000019050000}"/>
    <cellStyle name="Accent2 41" xfId="38860" xr:uid="{00000000-0005-0000-0000-00001A050000}"/>
    <cellStyle name="Accent2 42" xfId="38861" xr:uid="{00000000-0005-0000-0000-00001B050000}"/>
    <cellStyle name="Accent2 43" xfId="38862" xr:uid="{00000000-0005-0000-0000-00001C050000}"/>
    <cellStyle name="Accent2 5" xfId="1266" xr:uid="{00000000-0005-0000-0000-000050090000}"/>
    <cellStyle name="Accent2 5 10" xfId="1267" xr:uid="{00000000-0005-0000-0000-000051090000}"/>
    <cellStyle name="Accent2 5 11" xfId="1268" xr:uid="{00000000-0005-0000-0000-000052090000}"/>
    <cellStyle name="Accent2 5 2" xfId="1269" xr:uid="{00000000-0005-0000-0000-000053090000}"/>
    <cellStyle name="Accent2 5 3" xfId="1270" xr:uid="{00000000-0005-0000-0000-000054090000}"/>
    <cellStyle name="Accent2 5 4" xfId="1271" xr:uid="{00000000-0005-0000-0000-000055090000}"/>
    <cellStyle name="Accent2 5 5" xfId="1272" xr:uid="{00000000-0005-0000-0000-000056090000}"/>
    <cellStyle name="Accent2 5 6" xfId="1273" xr:uid="{00000000-0005-0000-0000-000057090000}"/>
    <cellStyle name="Accent2 5 7" xfId="1274" xr:uid="{00000000-0005-0000-0000-000058090000}"/>
    <cellStyle name="Accent2 5 8" xfId="1275" xr:uid="{00000000-0005-0000-0000-000059090000}"/>
    <cellStyle name="Accent2 5 9" xfId="1276" xr:uid="{00000000-0005-0000-0000-00005A090000}"/>
    <cellStyle name="Accent2 6" xfId="1277" xr:uid="{00000000-0005-0000-0000-00005B090000}"/>
    <cellStyle name="Accent2 6 10" xfId="1278" xr:uid="{00000000-0005-0000-0000-00005C090000}"/>
    <cellStyle name="Accent2 6 11" xfId="1279" xr:uid="{00000000-0005-0000-0000-00005D090000}"/>
    <cellStyle name="Accent2 6 2" xfId="1280" xr:uid="{00000000-0005-0000-0000-00005E090000}"/>
    <cellStyle name="Accent2 6 3" xfId="1281" xr:uid="{00000000-0005-0000-0000-00005F090000}"/>
    <cellStyle name="Accent2 6 4" xfId="1282" xr:uid="{00000000-0005-0000-0000-000060090000}"/>
    <cellStyle name="Accent2 6 5" xfId="1283" xr:uid="{00000000-0005-0000-0000-000061090000}"/>
    <cellStyle name="Accent2 6 6" xfId="1284" xr:uid="{00000000-0005-0000-0000-000062090000}"/>
    <cellStyle name="Accent2 6 7" xfId="1285" xr:uid="{00000000-0005-0000-0000-000063090000}"/>
    <cellStyle name="Accent2 6 8" xfId="1286" xr:uid="{00000000-0005-0000-0000-000064090000}"/>
    <cellStyle name="Accent2 6 9" xfId="1287" xr:uid="{00000000-0005-0000-0000-000065090000}"/>
    <cellStyle name="Accent2 7" xfId="1288" xr:uid="{00000000-0005-0000-0000-000066090000}"/>
    <cellStyle name="Accent2 8" xfId="1289" xr:uid="{00000000-0005-0000-0000-000067090000}"/>
    <cellStyle name="Accent2 9" xfId="1290" xr:uid="{00000000-0005-0000-0000-000068090000}"/>
    <cellStyle name="Accent3 10" xfId="1291" xr:uid="{00000000-0005-0000-0000-000069090000}"/>
    <cellStyle name="Accent3 11" xfId="38863" xr:uid="{00000000-0005-0000-0000-000025050000}"/>
    <cellStyle name="Accent3 12" xfId="38864" xr:uid="{00000000-0005-0000-0000-000026050000}"/>
    <cellStyle name="Accent3 13" xfId="38865" xr:uid="{00000000-0005-0000-0000-000027050000}"/>
    <cellStyle name="Accent3 14" xfId="38866" xr:uid="{00000000-0005-0000-0000-000028050000}"/>
    <cellStyle name="Accent3 15" xfId="38867" xr:uid="{00000000-0005-0000-0000-000029050000}"/>
    <cellStyle name="Accent3 16" xfId="38868" xr:uid="{00000000-0005-0000-0000-00002A050000}"/>
    <cellStyle name="Accent3 17" xfId="38869" xr:uid="{00000000-0005-0000-0000-00002B050000}"/>
    <cellStyle name="Accent3 18" xfId="38870" xr:uid="{00000000-0005-0000-0000-00002C050000}"/>
    <cellStyle name="Accent3 19" xfId="38871" xr:uid="{00000000-0005-0000-0000-00002D050000}"/>
    <cellStyle name="Accent3 2" xfId="1292" xr:uid="{00000000-0005-0000-0000-00006A090000}"/>
    <cellStyle name="Accent3 2 10" xfId="1293" xr:uid="{00000000-0005-0000-0000-00006B090000}"/>
    <cellStyle name="Accent3 2 10 2" xfId="12311" xr:uid="{00000000-0005-0000-0000-00006C090000}"/>
    <cellStyle name="Accent3 2 11" xfId="1294" xr:uid="{00000000-0005-0000-0000-00006D090000}"/>
    <cellStyle name="Accent3 2 2" xfId="1295" xr:uid="{00000000-0005-0000-0000-00006E090000}"/>
    <cellStyle name="Accent3 2 2 2" xfId="12312" xr:uid="{00000000-0005-0000-0000-00006F090000}"/>
    <cellStyle name="Accent3 2 3" xfId="1296" xr:uid="{00000000-0005-0000-0000-000070090000}"/>
    <cellStyle name="Accent3 2 3 2" xfId="12313" xr:uid="{00000000-0005-0000-0000-000071090000}"/>
    <cellStyle name="Accent3 2 4" xfId="1297" xr:uid="{00000000-0005-0000-0000-000072090000}"/>
    <cellStyle name="Accent3 2 4 2" xfId="12314" xr:uid="{00000000-0005-0000-0000-000073090000}"/>
    <cellStyle name="Accent3 2 5" xfId="1298" xr:uid="{00000000-0005-0000-0000-000074090000}"/>
    <cellStyle name="Accent3 2 5 2" xfId="12315" xr:uid="{00000000-0005-0000-0000-000075090000}"/>
    <cellStyle name="Accent3 2 6" xfId="1299" xr:uid="{00000000-0005-0000-0000-000076090000}"/>
    <cellStyle name="Accent3 2 6 2" xfId="12316" xr:uid="{00000000-0005-0000-0000-000077090000}"/>
    <cellStyle name="Accent3 2 7" xfId="1300" xr:uid="{00000000-0005-0000-0000-000078090000}"/>
    <cellStyle name="Accent3 2 7 2" xfId="12317" xr:uid="{00000000-0005-0000-0000-000079090000}"/>
    <cellStyle name="Accent3 2 8" xfId="1301" xr:uid="{00000000-0005-0000-0000-00007A090000}"/>
    <cellStyle name="Accent3 2 8 2" xfId="12318" xr:uid="{00000000-0005-0000-0000-00007B090000}"/>
    <cellStyle name="Accent3 2 9" xfId="1302" xr:uid="{00000000-0005-0000-0000-00007C090000}"/>
    <cellStyle name="Accent3 2 9 2" xfId="12319" xr:uid="{00000000-0005-0000-0000-00007D090000}"/>
    <cellStyle name="Accent3 20" xfId="38872" xr:uid="{00000000-0005-0000-0000-000039050000}"/>
    <cellStyle name="Accent3 21" xfId="38873" xr:uid="{00000000-0005-0000-0000-00003A050000}"/>
    <cellStyle name="Accent3 22" xfId="38874" xr:uid="{00000000-0005-0000-0000-00003B050000}"/>
    <cellStyle name="Accent3 23" xfId="38875" xr:uid="{00000000-0005-0000-0000-00003C050000}"/>
    <cellStyle name="Accent3 24" xfId="38876" xr:uid="{00000000-0005-0000-0000-00003D050000}"/>
    <cellStyle name="Accent3 25" xfId="38877" xr:uid="{00000000-0005-0000-0000-00003E050000}"/>
    <cellStyle name="Accent3 26" xfId="38878" xr:uid="{00000000-0005-0000-0000-00003F050000}"/>
    <cellStyle name="Accent3 27" xfId="38879" xr:uid="{00000000-0005-0000-0000-000040050000}"/>
    <cellStyle name="Accent3 28" xfId="38880" xr:uid="{00000000-0005-0000-0000-000041050000}"/>
    <cellStyle name="Accent3 29" xfId="38881" xr:uid="{00000000-0005-0000-0000-000042050000}"/>
    <cellStyle name="Accent3 3" xfId="1303" xr:uid="{00000000-0005-0000-0000-00007E090000}"/>
    <cellStyle name="Accent3 3 10" xfId="1304" xr:uid="{00000000-0005-0000-0000-00007F090000}"/>
    <cellStyle name="Accent3 3 11" xfId="1305" xr:uid="{00000000-0005-0000-0000-000080090000}"/>
    <cellStyle name="Accent3 3 12" xfId="12320" xr:uid="{00000000-0005-0000-0000-000081090000}"/>
    <cellStyle name="Accent3 3 2" xfId="1306" xr:uid="{00000000-0005-0000-0000-000082090000}"/>
    <cellStyle name="Accent3 3 2 2" xfId="38882" xr:uid="{00000000-0005-0000-0000-000044050000}"/>
    <cellStyle name="Accent3 3 3" xfId="1307" xr:uid="{00000000-0005-0000-0000-000083090000}"/>
    <cellStyle name="Accent3 3 4" xfId="1308" xr:uid="{00000000-0005-0000-0000-000084090000}"/>
    <cellStyle name="Accent3 3 5" xfId="1309" xr:uid="{00000000-0005-0000-0000-000085090000}"/>
    <cellStyle name="Accent3 3 6" xfId="1310" xr:uid="{00000000-0005-0000-0000-000086090000}"/>
    <cellStyle name="Accent3 3 7" xfId="1311" xr:uid="{00000000-0005-0000-0000-000087090000}"/>
    <cellStyle name="Accent3 3 8" xfId="1312" xr:uid="{00000000-0005-0000-0000-000088090000}"/>
    <cellStyle name="Accent3 3 9" xfId="1313" xr:uid="{00000000-0005-0000-0000-000089090000}"/>
    <cellStyle name="Accent3 30" xfId="38883" xr:uid="{00000000-0005-0000-0000-000046050000}"/>
    <cellStyle name="Accent3 31" xfId="38884" xr:uid="{00000000-0005-0000-0000-000047050000}"/>
    <cellStyle name="Accent3 32" xfId="38885" xr:uid="{00000000-0005-0000-0000-000048050000}"/>
    <cellStyle name="Accent3 33" xfId="38886" xr:uid="{00000000-0005-0000-0000-000049050000}"/>
    <cellStyle name="Accent3 34" xfId="38887" xr:uid="{00000000-0005-0000-0000-00004A050000}"/>
    <cellStyle name="Accent3 35" xfId="38888" xr:uid="{00000000-0005-0000-0000-00004B050000}"/>
    <cellStyle name="Accent3 36" xfId="38889" xr:uid="{00000000-0005-0000-0000-00004C050000}"/>
    <cellStyle name="Accent3 37" xfId="38890" xr:uid="{00000000-0005-0000-0000-00004D050000}"/>
    <cellStyle name="Accent3 38" xfId="38891" xr:uid="{00000000-0005-0000-0000-00004E050000}"/>
    <cellStyle name="Accent3 39" xfId="38892" xr:uid="{00000000-0005-0000-0000-00004F050000}"/>
    <cellStyle name="Accent3 4" xfId="1314" xr:uid="{00000000-0005-0000-0000-00008A090000}"/>
    <cellStyle name="Accent3 4 10" xfId="1315" xr:uid="{00000000-0005-0000-0000-00008B090000}"/>
    <cellStyle name="Accent3 4 11" xfId="1316" xr:uid="{00000000-0005-0000-0000-00008C090000}"/>
    <cellStyle name="Accent3 4 2" xfId="1317" xr:uid="{00000000-0005-0000-0000-00008D090000}"/>
    <cellStyle name="Accent3 4 3" xfId="1318" xr:uid="{00000000-0005-0000-0000-00008E090000}"/>
    <cellStyle name="Accent3 4 4" xfId="1319" xr:uid="{00000000-0005-0000-0000-00008F090000}"/>
    <cellStyle name="Accent3 4 5" xfId="1320" xr:uid="{00000000-0005-0000-0000-000090090000}"/>
    <cellStyle name="Accent3 4 6" xfId="1321" xr:uid="{00000000-0005-0000-0000-000091090000}"/>
    <cellStyle name="Accent3 4 7" xfId="1322" xr:uid="{00000000-0005-0000-0000-000092090000}"/>
    <cellStyle name="Accent3 4 8" xfId="1323" xr:uid="{00000000-0005-0000-0000-000093090000}"/>
    <cellStyle name="Accent3 4 9" xfId="1324" xr:uid="{00000000-0005-0000-0000-000094090000}"/>
    <cellStyle name="Accent3 40" xfId="38893" xr:uid="{00000000-0005-0000-0000-000052050000}"/>
    <cellStyle name="Accent3 41" xfId="38894" xr:uid="{00000000-0005-0000-0000-000053050000}"/>
    <cellStyle name="Accent3 42" xfId="38895" xr:uid="{00000000-0005-0000-0000-000054050000}"/>
    <cellStyle name="Accent3 43" xfId="38896" xr:uid="{00000000-0005-0000-0000-000055050000}"/>
    <cellStyle name="Accent3 5" xfId="1325" xr:uid="{00000000-0005-0000-0000-000095090000}"/>
    <cellStyle name="Accent3 5 10" xfId="1326" xr:uid="{00000000-0005-0000-0000-000096090000}"/>
    <cellStyle name="Accent3 5 11" xfId="1327" xr:uid="{00000000-0005-0000-0000-000097090000}"/>
    <cellStyle name="Accent3 5 2" xfId="1328" xr:uid="{00000000-0005-0000-0000-000098090000}"/>
    <cellStyle name="Accent3 5 3" xfId="1329" xr:uid="{00000000-0005-0000-0000-000099090000}"/>
    <cellStyle name="Accent3 5 4" xfId="1330" xr:uid="{00000000-0005-0000-0000-00009A090000}"/>
    <cellStyle name="Accent3 5 5" xfId="1331" xr:uid="{00000000-0005-0000-0000-00009B090000}"/>
    <cellStyle name="Accent3 5 6" xfId="1332" xr:uid="{00000000-0005-0000-0000-00009C090000}"/>
    <cellStyle name="Accent3 5 7" xfId="1333" xr:uid="{00000000-0005-0000-0000-00009D090000}"/>
    <cellStyle name="Accent3 5 8" xfId="1334" xr:uid="{00000000-0005-0000-0000-00009E090000}"/>
    <cellStyle name="Accent3 5 9" xfId="1335" xr:uid="{00000000-0005-0000-0000-00009F090000}"/>
    <cellStyle name="Accent3 6" xfId="1336" xr:uid="{00000000-0005-0000-0000-0000A0090000}"/>
    <cellStyle name="Accent3 6 10" xfId="1337" xr:uid="{00000000-0005-0000-0000-0000A1090000}"/>
    <cellStyle name="Accent3 6 11" xfId="1338" xr:uid="{00000000-0005-0000-0000-0000A2090000}"/>
    <cellStyle name="Accent3 6 2" xfId="1339" xr:uid="{00000000-0005-0000-0000-0000A3090000}"/>
    <cellStyle name="Accent3 6 3" xfId="1340" xr:uid="{00000000-0005-0000-0000-0000A4090000}"/>
    <cellStyle name="Accent3 6 4" xfId="1341" xr:uid="{00000000-0005-0000-0000-0000A5090000}"/>
    <cellStyle name="Accent3 6 5" xfId="1342" xr:uid="{00000000-0005-0000-0000-0000A6090000}"/>
    <cellStyle name="Accent3 6 6" xfId="1343" xr:uid="{00000000-0005-0000-0000-0000A7090000}"/>
    <cellStyle name="Accent3 6 7" xfId="1344" xr:uid="{00000000-0005-0000-0000-0000A8090000}"/>
    <cellStyle name="Accent3 6 8" xfId="1345" xr:uid="{00000000-0005-0000-0000-0000A9090000}"/>
    <cellStyle name="Accent3 6 9" xfId="1346" xr:uid="{00000000-0005-0000-0000-0000AA090000}"/>
    <cellStyle name="Accent3 7" xfId="1347" xr:uid="{00000000-0005-0000-0000-0000AB090000}"/>
    <cellStyle name="Accent3 8" xfId="1348" xr:uid="{00000000-0005-0000-0000-0000AC090000}"/>
    <cellStyle name="Accent3 9" xfId="1349" xr:uid="{00000000-0005-0000-0000-0000AD090000}"/>
    <cellStyle name="Accent4 10" xfId="1350" xr:uid="{00000000-0005-0000-0000-0000AE090000}"/>
    <cellStyle name="Accent4 11" xfId="38897" xr:uid="{00000000-0005-0000-0000-00005E050000}"/>
    <cellStyle name="Accent4 12" xfId="38898" xr:uid="{00000000-0005-0000-0000-00005F050000}"/>
    <cellStyle name="Accent4 13" xfId="38899" xr:uid="{00000000-0005-0000-0000-000060050000}"/>
    <cellStyle name="Accent4 14" xfId="38900" xr:uid="{00000000-0005-0000-0000-000061050000}"/>
    <cellStyle name="Accent4 15" xfId="38901" xr:uid="{00000000-0005-0000-0000-000062050000}"/>
    <cellStyle name="Accent4 16" xfId="38902" xr:uid="{00000000-0005-0000-0000-000063050000}"/>
    <cellStyle name="Accent4 17" xfId="38903" xr:uid="{00000000-0005-0000-0000-000064050000}"/>
    <cellStyle name="Accent4 18" xfId="38904" xr:uid="{00000000-0005-0000-0000-000065050000}"/>
    <cellStyle name="Accent4 19" xfId="38905" xr:uid="{00000000-0005-0000-0000-000066050000}"/>
    <cellStyle name="Accent4 2" xfId="1351" xr:uid="{00000000-0005-0000-0000-0000AF090000}"/>
    <cellStyle name="Accent4 2 10" xfId="1352" xr:uid="{00000000-0005-0000-0000-0000B0090000}"/>
    <cellStyle name="Accent4 2 10 2" xfId="12321" xr:uid="{00000000-0005-0000-0000-0000B1090000}"/>
    <cellStyle name="Accent4 2 11" xfId="1353" xr:uid="{00000000-0005-0000-0000-0000B2090000}"/>
    <cellStyle name="Accent4 2 2" xfId="1354" xr:uid="{00000000-0005-0000-0000-0000B3090000}"/>
    <cellStyle name="Accent4 2 2 2" xfId="12322" xr:uid="{00000000-0005-0000-0000-0000B4090000}"/>
    <cellStyle name="Accent4 2 3" xfId="1355" xr:uid="{00000000-0005-0000-0000-0000B5090000}"/>
    <cellStyle name="Accent4 2 3 2" xfId="12323" xr:uid="{00000000-0005-0000-0000-0000B6090000}"/>
    <cellStyle name="Accent4 2 4" xfId="1356" xr:uid="{00000000-0005-0000-0000-0000B7090000}"/>
    <cellStyle name="Accent4 2 4 2" xfId="12324" xr:uid="{00000000-0005-0000-0000-0000B8090000}"/>
    <cellStyle name="Accent4 2 5" xfId="1357" xr:uid="{00000000-0005-0000-0000-0000B9090000}"/>
    <cellStyle name="Accent4 2 5 2" xfId="12325" xr:uid="{00000000-0005-0000-0000-0000BA090000}"/>
    <cellStyle name="Accent4 2 6" xfId="1358" xr:uid="{00000000-0005-0000-0000-0000BB090000}"/>
    <cellStyle name="Accent4 2 6 2" xfId="12326" xr:uid="{00000000-0005-0000-0000-0000BC090000}"/>
    <cellStyle name="Accent4 2 7" xfId="1359" xr:uid="{00000000-0005-0000-0000-0000BD090000}"/>
    <cellStyle name="Accent4 2 7 2" xfId="12327" xr:uid="{00000000-0005-0000-0000-0000BE090000}"/>
    <cellStyle name="Accent4 2 8" xfId="1360" xr:uid="{00000000-0005-0000-0000-0000BF090000}"/>
    <cellStyle name="Accent4 2 8 2" xfId="12328" xr:uid="{00000000-0005-0000-0000-0000C0090000}"/>
    <cellStyle name="Accent4 2 9" xfId="1361" xr:uid="{00000000-0005-0000-0000-0000C1090000}"/>
    <cellStyle name="Accent4 2 9 2" xfId="12329" xr:uid="{00000000-0005-0000-0000-0000C2090000}"/>
    <cellStyle name="Accent4 20" xfId="38906" xr:uid="{00000000-0005-0000-0000-000072050000}"/>
    <cellStyle name="Accent4 21" xfId="38907" xr:uid="{00000000-0005-0000-0000-000073050000}"/>
    <cellStyle name="Accent4 22" xfId="38908" xr:uid="{00000000-0005-0000-0000-000074050000}"/>
    <cellStyle name="Accent4 23" xfId="38909" xr:uid="{00000000-0005-0000-0000-000075050000}"/>
    <cellStyle name="Accent4 24" xfId="38910" xr:uid="{00000000-0005-0000-0000-000076050000}"/>
    <cellStyle name="Accent4 25" xfId="38911" xr:uid="{00000000-0005-0000-0000-000077050000}"/>
    <cellStyle name="Accent4 26" xfId="38912" xr:uid="{00000000-0005-0000-0000-000078050000}"/>
    <cellStyle name="Accent4 27" xfId="38913" xr:uid="{00000000-0005-0000-0000-000079050000}"/>
    <cellStyle name="Accent4 28" xfId="38914" xr:uid="{00000000-0005-0000-0000-00007A050000}"/>
    <cellStyle name="Accent4 29" xfId="38915" xr:uid="{00000000-0005-0000-0000-00007B050000}"/>
    <cellStyle name="Accent4 3" xfId="1362" xr:uid="{00000000-0005-0000-0000-0000C3090000}"/>
    <cellStyle name="Accent4 3 10" xfId="1363" xr:uid="{00000000-0005-0000-0000-0000C4090000}"/>
    <cellStyle name="Accent4 3 11" xfId="1364" xr:uid="{00000000-0005-0000-0000-0000C5090000}"/>
    <cellStyle name="Accent4 3 12" xfId="12330" xr:uid="{00000000-0005-0000-0000-0000C6090000}"/>
    <cellStyle name="Accent4 3 2" xfId="1365" xr:uid="{00000000-0005-0000-0000-0000C7090000}"/>
    <cellStyle name="Accent4 3 2 2" xfId="38916" xr:uid="{00000000-0005-0000-0000-00007D050000}"/>
    <cellStyle name="Accent4 3 3" xfId="1366" xr:uid="{00000000-0005-0000-0000-0000C8090000}"/>
    <cellStyle name="Accent4 3 4" xfId="1367" xr:uid="{00000000-0005-0000-0000-0000C9090000}"/>
    <cellStyle name="Accent4 3 5" xfId="1368" xr:uid="{00000000-0005-0000-0000-0000CA090000}"/>
    <cellStyle name="Accent4 3 6" xfId="1369" xr:uid="{00000000-0005-0000-0000-0000CB090000}"/>
    <cellStyle name="Accent4 3 7" xfId="1370" xr:uid="{00000000-0005-0000-0000-0000CC090000}"/>
    <cellStyle name="Accent4 3 8" xfId="1371" xr:uid="{00000000-0005-0000-0000-0000CD090000}"/>
    <cellStyle name="Accent4 3 9" xfId="1372" xr:uid="{00000000-0005-0000-0000-0000CE090000}"/>
    <cellStyle name="Accent4 30" xfId="38917" xr:uid="{00000000-0005-0000-0000-00007F050000}"/>
    <cellStyle name="Accent4 31" xfId="38918" xr:uid="{00000000-0005-0000-0000-000080050000}"/>
    <cellStyle name="Accent4 32" xfId="38919" xr:uid="{00000000-0005-0000-0000-000081050000}"/>
    <cellStyle name="Accent4 33" xfId="38920" xr:uid="{00000000-0005-0000-0000-000082050000}"/>
    <cellStyle name="Accent4 34" xfId="38921" xr:uid="{00000000-0005-0000-0000-000083050000}"/>
    <cellStyle name="Accent4 35" xfId="38922" xr:uid="{00000000-0005-0000-0000-000084050000}"/>
    <cellStyle name="Accent4 36" xfId="38923" xr:uid="{00000000-0005-0000-0000-000085050000}"/>
    <cellStyle name="Accent4 37" xfId="38924" xr:uid="{00000000-0005-0000-0000-000086050000}"/>
    <cellStyle name="Accent4 38" xfId="38925" xr:uid="{00000000-0005-0000-0000-000087050000}"/>
    <cellStyle name="Accent4 39" xfId="38926" xr:uid="{00000000-0005-0000-0000-000088050000}"/>
    <cellStyle name="Accent4 4" xfId="1373" xr:uid="{00000000-0005-0000-0000-0000CF090000}"/>
    <cellStyle name="Accent4 4 10" xfId="1374" xr:uid="{00000000-0005-0000-0000-0000D0090000}"/>
    <cellStyle name="Accent4 4 11" xfId="1375" xr:uid="{00000000-0005-0000-0000-0000D1090000}"/>
    <cellStyle name="Accent4 4 2" xfId="1376" xr:uid="{00000000-0005-0000-0000-0000D2090000}"/>
    <cellStyle name="Accent4 4 3" xfId="1377" xr:uid="{00000000-0005-0000-0000-0000D3090000}"/>
    <cellStyle name="Accent4 4 4" xfId="1378" xr:uid="{00000000-0005-0000-0000-0000D4090000}"/>
    <cellStyle name="Accent4 4 5" xfId="1379" xr:uid="{00000000-0005-0000-0000-0000D5090000}"/>
    <cellStyle name="Accent4 4 6" xfId="1380" xr:uid="{00000000-0005-0000-0000-0000D6090000}"/>
    <cellStyle name="Accent4 4 7" xfId="1381" xr:uid="{00000000-0005-0000-0000-0000D7090000}"/>
    <cellStyle name="Accent4 4 8" xfId="1382" xr:uid="{00000000-0005-0000-0000-0000D8090000}"/>
    <cellStyle name="Accent4 4 9" xfId="1383" xr:uid="{00000000-0005-0000-0000-0000D9090000}"/>
    <cellStyle name="Accent4 40" xfId="38927" xr:uid="{00000000-0005-0000-0000-00008B050000}"/>
    <cellStyle name="Accent4 41" xfId="38928" xr:uid="{00000000-0005-0000-0000-00008C050000}"/>
    <cellStyle name="Accent4 42" xfId="38929" xr:uid="{00000000-0005-0000-0000-00008D050000}"/>
    <cellStyle name="Accent4 43" xfId="38930" xr:uid="{00000000-0005-0000-0000-00008E050000}"/>
    <cellStyle name="Accent4 5" xfId="1384" xr:uid="{00000000-0005-0000-0000-0000DA090000}"/>
    <cellStyle name="Accent4 5 10" xfId="1385" xr:uid="{00000000-0005-0000-0000-0000DB090000}"/>
    <cellStyle name="Accent4 5 11" xfId="1386" xr:uid="{00000000-0005-0000-0000-0000DC090000}"/>
    <cellStyle name="Accent4 5 2" xfId="1387" xr:uid="{00000000-0005-0000-0000-0000DD090000}"/>
    <cellStyle name="Accent4 5 3" xfId="1388" xr:uid="{00000000-0005-0000-0000-0000DE090000}"/>
    <cellStyle name="Accent4 5 4" xfId="1389" xr:uid="{00000000-0005-0000-0000-0000DF090000}"/>
    <cellStyle name="Accent4 5 5" xfId="1390" xr:uid="{00000000-0005-0000-0000-0000E0090000}"/>
    <cellStyle name="Accent4 5 6" xfId="1391" xr:uid="{00000000-0005-0000-0000-0000E1090000}"/>
    <cellStyle name="Accent4 5 7" xfId="1392" xr:uid="{00000000-0005-0000-0000-0000E2090000}"/>
    <cellStyle name="Accent4 5 8" xfId="1393" xr:uid="{00000000-0005-0000-0000-0000E3090000}"/>
    <cellStyle name="Accent4 5 9" xfId="1394" xr:uid="{00000000-0005-0000-0000-0000E4090000}"/>
    <cellStyle name="Accent4 6" xfId="1395" xr:uid="{00000000-0005-0000-0000-0000E5090000}"/>
    <cellStyle name="Accent4 6 10" xfId="1396" xr:uid="{00000000-0005-0000-0000-0000E6090000}"/>
    <cellStyle name="Accent4 6 11" xfId="1397" xr:uid="{00000000-0005-0000-0000-0000E7090000}"/>
    <cellStyle name="Accent4 6 2" xfId="1398" xr:uid="{00000000-0005-0000-0000-0000E8090000}"/>
    <cellStyle name="Accent4 6 3" xfId="1399" xr:uid="{00000000-0005-0000-0000-0000E9090000}"/>
    <cellStyle name="Accent4 6 4" xfId="1400" xr:uid="{00000000-0005-0000-0000-0000EA090000}"/>
    <cellStyle name="Accent4 6 5" xfId="1401" xr:uid="{00000000-0005-0000-0000-0000EB090000}"/>
    <cellStyle name="Accent4 6 6" xfId="1402" xr:uid="{00000000-0005-0000-0000-0000EC090000}"/>
    <cellStyle name="Accent4 6 7" xfId="1403" xr:uid="{00000000-0005-0000-0000-0000ED090000}"/>
    <cellStyle name="Accent4 6 8" xfId="1404" xr:uid="{00000000-0005-0000-0000-0000EE090000}"/>
    <cellStyle name="Accent4 6 9" xfId="1405" xr:uid="{00000000-0005-0000-0000-0000EF090000}"/>
    <cellStyle name="Accent4 7" xfId="1406" xr:uid="{00000000-0005-0000-0000-0000F0090000}"/>
    <cellStyle name="Accent4 8" xfId="1407" xr:uid="{00000000-0005-0000-0000-0000F1090000}"/>
    <cellStyle name="Accent4 9" xfId="1408" xr:uid="{00000000-0005-0000-0000-0000F2090000}"/>
    <cellStyle name="Accent5 10" xfId="1409" xr:uid="{00000000-0005-0000-0000-0000F3090000}"/>
    <cellStyle name="Accent5 11" xfId="38931" xr:uid="{00000000-0005-0000-0000-000097050000}"/>
    <cellStyle name="Accent5 12" xfId="38932" xr:uid="{00000000-0005-0000-0000-000098050000}"/>
    <cellStyle name="Accent5 13" xfId="38933" xr:uid="{00000000-0005-0000-0000-000099050000}"/>
    <cellStyle name="Accent5 14" xfId="38934" xr:uid="{00000000-0005-0000-0000-00009A050000}"/>
    <cellStyle name="Accent5 15" xfId="38935" xr:uid="{00000000-0005-0000-0000-00009B050000}"/>
    <cellStyle name="Accent5 16" xfId="38936" xr:uid="{00000000-0005-0000-0000-00009C050000}"/>
    <cellStyle name="Accent5 17" xfId="38937" xr:uid="{00000000-0005-0000-0000-00009D050000}"/>
    <cellStyle name="Accent5 18" xfId="38938" xr:uid="{00000000-0005-0000-0000-00009E050000}"/>
    <cellStyle name="Accent5 19" xfId="38939" xr:uid="{00000000-0005-0000-0000-00009F050000}"/>
    <cellStyle name="Accent5 2" xfId="1410" xr:uid="{00000000-0005-0000-0000-0000F4090000}"/>
    <cellStyle name="Accent5 2 10" xfId="1411" xr:uid="{00000000-0005-0000-0000-0000F5090000}"/>
    <cellStyle name="Accent5 2 11" xfId="1412" xr:uid="{00000000-0005-0000-0000-0000F6090000}"/>
    <cellStyle name="Accent5 2 2" xfId="1413" xr:uid="{00000000-0005-0000-0000-0000F7090000}"/>
    <cellStyle name="Accent5 2 3" xfId="1414" xr:uid="{00000000-0005-0000-0000-0000F8090000}"/>
    <cellStyle name="Accent5 2 4" xfId="1415" xr:uid="{00000000-0005-0000-0000-0000F9090000}"/>
    <cellStyle name="Accent5 2 5" xfId="1416" xr:uid="{00000000-0005-0000-0000-0000FA090000}"/>
    <cellStyle name="Accent5 2 6" xfId="1417" xr:uid="{00000000-0005-0000-0000-0000FB090000}"/>
    <cellStyle name="Accent5 2 7" xfId="1418" xr:uid="{00000000-0005-0000-0000-0000FC090000}"/>
    <cellStyle name="Accent5 2 8" xfId="1419" xr:uid="{00000000-0005-0000-0000-0000FD090000}"/>
    <cellStyle name="Accent5 2 9" xfId="1420" xr:uid="{00000000-0005-0000-0000-0000FE090000}"/>
    <cellStyle name="Accent5 20" xfId="38940" xr:uid="{00000000-0005-0000-0000-0000AA050000}"/>
    <cellStyle name="Accent5 21" xfId="38941" xr:uid="{00000000-0005-0000-0000-0000AB050000}"/>
    <cellStyle name="Accent5 22" xfId="38942" xr:uid="{00000000-0005-0000-0000-0000AC050000}"/>
    <cellStyle name="Accent5 23" xfId="38943" xr:uid="{00000000-0005-0000-0000-0000AD050000}"/>
    <cellStyle name="Accent5 24" xfId="38944" xr:uid="{00000000-0005-0000-0000-0000AE050000}"/>
    <cellStyle name="Accent5 25" xfId="38945" xr:uid="{00000000-0005-0000-0000-0000AF050000}"/>
    <cellStyle name="Accent5 26" xfId="38946" xr:uid="{00000000-0005-0000-0000-0000B0050000}"/>
    <cellStyle name="Accent5 27" xfId="38947" xr:uid="{00000000-0005-0000-0000-0000B1050000}"/>
    <cellStyle name="Accent5 28" xfId="38948" xr:uid="{00000000-0005-0000-0000-0000B2050000}"/>
    <cellStyle name="Accent5 29" xfId="38949" xr:uid="{00000000-0005-0000-0000-0000B3050000}"/>
    <cellStyle name="Accent5 3" xfId="1421" xr:uid="{00000000-0005-0000-0000-0000FF090000}"/>
    <cellStyle name="Accent5 3 10" xfId="1422" xr:uid="{00000000-0005-0000-0000-0000000A0000}"/>
    <cellStyle name="Accent5 3 11" xfId="1423" xr:uid="{00000000-0005-0000-0000-0000010A0000}"/>
    <cellStyle name="Accent5 3 2" xfId="1424" xr:uid="{00000000-0005-0000-0000-0000020A0000}"/>
    <cellStyle name="Accent5 3 3" xfId="1425" xr:uid="{00000000-0005-0000-0000-0000030A0000}"/>
    <cellStyle name="Accent5 3 4" xfId="1426" xr:uid="{00000000-0005-0000-0000-0000040A0000}"/>
    <cellStyle name="Accent5 3 5" xfId="1427" xr:uid="{00000000-0005-0000-0000-0000050A0000}"/>
    <cellStyle name="Accent5 3 6" xfId="1428" xr:uid="{00000000-0005-0000-0000-0000060A0000}"/>
    <cellStyle name="Accent5 3 7" xfId="1429" xr:uid="{00000000-0005-0000-0000-0000070A0000}"/>
    <cellStyle name="Accent5 3 8" xfId="1430" xr:uid="{00000000-0005-0000-0000-0000080A0000}"/>
    <cellStyle name="Accent5 3 9" xfId="1431" xr:uid="{00000000-0005-0000-0000-0000090A0000}"/>
    <cellStyle name="Accent5 30" xfId="38950" xr:uid="{00000000-0005-0000-0000-0000B5050000}"/>
    <cellStyle name="Accent5 31" xfId="38951" xr:uid="{00000000-0005-0000-0000-0000B6050000}"/>
    <cellStyle name="Accent5 32" xfId="38952" xr:uid="{00000000-0005-0000-0000-0000B7050000}"/>
    <cellStyle name="Accent5 33" xfId="38953" xr:uid="{00000000-0005-0000-0000-0000B8050000}"/>
    <cellStyle name="Accent5 34" xfId="38954" xr:uid="{00000000-0005-0000-0000-0000B9050000}"/>
    <cellStyle name="Accent5 35" xfId="38955" xr:uid="{00000000-0005-0000-0000-0000BA050000}"/>
    <cellStyle name="Accent5 36" xfId="38956" xr:uid="{00000000-0005-0000-0000-0000BB050000}"/>
    <cellStyle name="Accent5 37" xfId="38957" xr:uid="{00000000-0005-0000-0000-0000BC050000}"/>
    <cellStyle name="Accent5 38" xfId="38958" xr:uid="{00000000-0005-0000-0000-0000BD050000}"/>
    <cellStyle name="Accent5 39" xfId="38959" xr:uid="{00000000-0005-0000-0000-0000BE050000}"/>
    <cellStyle name="Accent5 4" xfId="1432" xr:uid="{00000000-0005-0000-0000-00000A0A0000}"/>
    <cellStyle name="Accent5 4 10" xfId="1433" xr:uid="{00000000-0005-0000-0000-00000B0A0000}"/>
    <cellStyle name="Accent5 4 11" xfId="1434" xr:uid="{00000000-0005-0000-0000-00000C0A0000}"/>
    <cellStyle name="Accent5 4 2" xfId="1435" xr:uid="{00000000-0005-0000-0000-00000D0A0000}"/>
    <cellStyle name="Accent5 4 3" xfId="1436" xr:uid="{00000000-0005-0000-0000-00000E0A0000}"/>
    <cellStyle name="Accent5 4 4" xfId="1437" xr:uid="{00000000-0005-0000-0000-00000F0A0000}"/>
    <cellStyle name="Accent5 4 5" xfId="1438" xr:uid="{00000000-0005-0000-0000-0000100A0000}"/>
    <cellStyle name="Accent5 4 6" xfId="1439" xr:uid="{00000000-0005-0000-0000-0000110A0000}"/>
    <cellStyle name="Accent5 4 7" xfId="1440" xr:uid="{00000000-0005-0000-0000-0000120A0000}"/>
    <cellStyle name="Accent5 4 8" xfId="1441" xr:uid="{00000000-0005-0000-0000-0000130A0000}"/>
    <cellStyle name="Accent5 4 9" xfId="1442" xr:uid="{00000000-0005-0000-0000-0000140A0000}"/>
    <cellStyle name="Accent5 40" xfId="38960" xr:uid="{00000000-0005-0000-0000-0000C1050000}"/>
    <cellStyle name="Accent5 41" xfId="38961" xr:uid="{00000000-0005-0000-0000-0000C2050000}"/>
    <cellStyle name="Accent5 42" xfId="38962" xr:uid="{00000000-0005-0000-0000-0000C3050000}"/>
    <cellStyle name="Accent5 43" xfId="38963" xr:uid="{00000000-0005-0000-0000-0000C4050000}"/>
    <cellStyle name="Accent5 5" xfId="1443" xr:uid="{00000000-0005-0000-0000-0000150A0000}"/>
    <cellStyle name="Accent5 5 10" xfId="1444" xr:uid="{00000000-0005-0000-0000-0000160A0000}"/>
    <cellStyle name="Accent5 5 11" xfId="1445" xr:uid="{00000000-0005-0000-0000-0000170A0000}"/>
    <cellStyle name="Accent5 5 2" xfId="1446" xr:uid="{00000000-0005-0000-0000-0000180A0000}"/>
    <cellStyle name="Accent5 5 3" xfId="1447" xr:uid="{00000000-0005-0000-0000-0000190A0000}"/>
    <cellStyle name="Accent5 5 4" xfId="1448" xr:uid="{00000000-0005-0000-0000-00001A0A0000}"/>
    <cellStyle name="Accent5 5 5" xfId="1449" xr:uid="{00000000-0005-0000-0000-00001B0A0000}"/>
    <cellStyle name="Accent5 5 6" xfId="1450" xr:uid="{00000000-0005-0000-0000-00001C0A0000}"/>
    <cellStyle name="Accent5 5 7" xfId="1451" xr:uid="{00000000-0005-0000-0000-00001D0A0000}"/>
    <cellStyle name="Accent5 5 8" xfId="1452" xr:uid="{00000000-0005-0000-0000-00001E0A0000}"/>
    <cellStyle name="Accent5 5 9" xfId="1453" xr:uid="{00000000-0005-0000-0000-00001F0A0000}"/>
    <cellStyle name="Accent5 6" xfId="1454" xr:uid="{00000000-0005-0000-0000-0000200A0000}"/>
    <cellStyle name="Accent5 6 10" xfId="1455" xr:uid="{00000000-0005-0000-0000-0000210A0000}"/>
    <cellStyle name="Accent5 6 11" xfId="1456" xr:uid="{00000000-0005-0000-0000-0000220A0000}"/>
    <cellStyle name="Accent5 6 2" xfId="1457" xr:uid="{00000000-0005-0000-0000-0000230A0000}"/>
    <cellStyle name="Accent5 6 3" xfId="1458" xr:uid="{00000000-0005-0000-0000-0000240A0000}"/>
    <cellStyle name="Accent5 6 4" xfId="1459" xr:uid="{00000000-0005-0000-0000-0000250A0000}"/>
    <cellStyle name="Accent5 6 5" xfId="1460" xr:uid="{00000000-0005-0000-0000-0000260A0000}"/>
    <cellStyle name="Accent5 6 6" xfId="1461" xr:uid="{00000000-0005-0000-0000-0000270A0000}"/>
    <cellStyle name="Accent5 6 7" xfId="1462" xr:uid="{00000000-0005-0000-0000-0000280A0000}"/>
    <cellStyle name="Accent5 6 8" xfId="1463" xr:uid="{00000000-0005-0000-0000-0000290A0000}"/>
    <cellStyle name="Accent5 6 9" xfId="1464" xr:uid="{00000000-0005-0000-0000-00002A0A0000}"/>
    <cellStyle name="Accent5 7" xfId="1465" xr:uid="{00000000-0005-0000-0000-00002B0A0000}"/>
    <cellStyle name="Accent5 8" xfId="1466" xr:uid="{00000000-0005-0000-0000-00002C0A0000}"/>
    <cellStyle name="Accent5 9" xfId="1467" xr:uid="{00000000-0005-0000-0000-00002D0A0000}"/>
    <cellStyle name="Accent6 10" xfId="1468" xr:uid="{00000000-0005-0000-0000-00002E0A0000}"/>
    <cellStyle name="Accent6 11" xfId="38964" xr:uid="{00000000-0005-0000-0000-0000CD050000}"/>
    <cellStyle name="Accent6 12" xfId="38965" xr:uid="{00000000-0005-0000-0000-0000CE050000}"/>
    <cellStyle name="Accent6 13" xfId="38966" xr:uid="{00000000-0005-0000-0000-0000CF050000}"/>
    <cellStyle name="Accent6 14" xfId="38967" xr:uid="{00000000-0005-0000-0000-0000D0050000}"/>
    <cellStyle name="Accent6 15" xfId="38968" xr:uid="{00000000-0005-0000-0000-0000D1050000}"/>
    <cellStyle name="Accent6 16" xfId="38969" xr:uid="{00000000-0005-0000-0000-0000D2050000}"/>
    <cellStyle name="Accent6 17" xfId="38970" xr:uid="{00000000-0005-0000-0000-0000D3050000}"/>
    <cellStyle name="Accent6 18" xfId="38971" xr:uid="{00000000-0005-0000-0000-0000D4050000}"/>
    <cellStyle name="Accent6 19" xfId="38972" xr:uid="{00000000-0005-0000-0000-0000D5050000}"/>
    <cellStyle name="Accent6 2" xfId="1469" xr:uid="{00000000-0005-0000-0000-00002F0A0000}"/>
    <cellStyle name="Accent6 2 10" xfId="1470" xr:uid="{00000000-0005-0000-0000-0000300A0000}"/>
    <cellStyle name="Accent6 2 10 2" xfId="12331" xr:uid="{00000000-0005-0000-0000-0000310A0000}"/>
    <cellStyle name="Accent6 2 11" xfId="1471" xr:uid="{00000000-0005-0000-0000-0000320A0000}"/>
    <cellStyle name="Accent6 2 2" xfId="1472" xr:uid="{00000000-0005-0000-0000-0000330A0000}"/>
    <cellStyle name="Accent6 2 2 2" xfId="12332" xr:uid="{00000000-0005-0000-0000-0000340A0000}"/>
    <cellStyle name="Accent6 2 3" xfId="1473" xr:uid="{00000000-0005-0000-0000-0000350A0000}"/>
    <cellStyle name="Accent6 2 3 2" xfId="12333" xr:uid="{00000000-0005-0000-0000-0000360A0000}"/>
    <cellStyle name="Accent6 2 4" xfId="1474" xr:uid="{00000000-0005-0000-0000-0000370A0000}"/>
    <cellStyle name="Accent6 2 4 2" xfId="12334" xr:uid="{00000000-0005-0000-0000-0000380A0000}"/>
    <cellStyle name="Accent6 2 5" xfId="1475" xr:uid="{00000000-0005-0000-0000-0000390A0000}"/>
    <cellStyle name="Accent6 2 5 2" xfId="12335" xr:uid="{00000000-0005-0000-0000-00003A0A0000}"/>
    <cellStyle name="Accent6 2 6" xfId="1476" xr:uid="{00000000-0005-0000-0000-00003B0A0000}"/>
    <cellStyle name="Accent6 2 6 2" xfId="12336" xr:uid="{00000000-0005-0000-0000-00003C0A0000}"/>
    <cellStyle name="Accent6 2 7" xfId="1477" xr:uid="{00000000-0005-0000-0000-00003D0A0000}"/>
    <cellStyle name="Accent6 2 7 2" xfId="12337" xr:uid="{00000000-0005-0000-0000-00003E0A0000}"/>
    <cellStyle name="Accent6 2 8" xfId="1478" xr:uid="{00000000-0005-0000-0000-00003F0A0000}"/>
    <cellStyle name="Accent6 2 8 2" xfId="12338" xr:uid="{00000000-0005-0000-0000-0000400A0000}"/>
    <cellStyle name="Accent6 2 9" xfId="1479" xr:uid="{00000000-0005-0000-0000-0000410A0000}"/>
    <cellStyle name="Accent6 2 9 2" xfId="12339" xr:uid="{00000000-0005-0000-0000-0000420A0000}"/>
    <cellStyle name="Accent6 20" xfId="38973" xr:uid="{00000000-0005-0000-0000-0000E1050000}"/>
    <cellStyle name="Accent6 21" xfId="38974" xr:uid="{00000000-0005-0000-0000-0000E2050000}"/>
    <cellStyle name="Accent6 22" xfId="38975" xr:uid="{00000000-0005-0000-0000-0000E3050000}"/>
    <cellStyle name="Accent6 23" xfId="38976" xr:uid="{00000000-0005-0000-0000-0000E4050000}"/>
    <cellStyle name="Accent6 24" xfId="38977" xr:uid="{00000000-0005-0000-0000-0000E5050000}"/>
    <cellStyle name="Accent6 25" xfId="38978" xr:uid="{00000000-0005-0000-0000-0000E6050000}"/>
    <cellStyle name="Accent6 26" xfId="38979" xr:uid="{00000000-0005-0000-0000-0000E7050000}"/>
    <cellStyle name="Accent6 27" xfId="38980" xr:uid="{00000000-0005-0000-0000-0000E8050000}"/>
    <cellStyle name="Accent6 28" xfId="38981" xr:uid="{00000000-0005-0000-0000-0000E9050000}"/>
    <cellStyle name="Accent6 29" xfId="38982" xr:uid="{00000000-0005-0000-0000-0000EA050000}"/>
    <cellStyle name="Accent6 3" xfId="1480" xr:uid="{00000000-0005-0000-0000-0000430A0000}"/>
    <cellStyle name="Accent6 3 10" xfId="1481" xr:uid="{00000000-0005-0000-0000-0000440A0000}"/>
    <cellStyle name="Accent6 3 11" xfId="1482" xr:uid="{00000000-0005-0000-0000-0000450A0000}"/>
    <cellStyle name="Accent6 3 12" xfId="12340" xr:uid="{00000000-0005-0000-0000-0000460A0000}"/>
    <cellStyle name="Accent6 3 2" xfId="1483" xr:uid="{00000000-0005-0000-0000-0000470A0000}"/>
    <cellStyle name="Accent6 3 2 2" xfId="38983" xr:uid="{00000000-0005-0000-0000-0000EC050000}"/>
    <cellStyle name="Accent6 3 3" xfId="1484" xr:uid="{00000000-0005-0000-0000-0000480A0000}"/>
    <cellStyle name="Accent6 3 4" xfId="1485" xr:uid="{00000000-0005-0000-0000-0000490A0000}"/>
    <cellStyle name="Accent6 3 5" xfId="1486" xr:uid="{00000000-0005-0000-0000-00004A0A0000}"/>
    <cellStyle name="Accent6 3 6" xfId="1487" xr:uid="{00000000-0005-0000-0000-00004B0A0000}"/>
    <cellStyle name="Accent6 3 7" xfId="1488" xr:uid="{00000000-0005-0000-0000-00004C0A0000}"/>
    <cellStyle name="Accent6 3 8" xfId="1489" xr:uid="{00000000-0005-0000-0000-00004D0A0000}"/>
    <cellStyle name="Accent6 3 9" xfId="1490" xr:uid="{00000000-0005-0000-0000-00004E0A0000}"/>
    <cellStyle name="Accent6 30" xfId="38984" xr:uid="{00000000-0005-0000-0000-0000EE050000}"/>
    <cellStyle name="Accent6 31" xfId="38985" xr:uid="{00000000-0005-0000-0000-0000EF050000}"/>
    <cellStyle name="Accent6 32" xfId="38986" xr:uid="{00000000-0005-0000-0000-0000F0050000}"/>
    <cellStyle name="Accent6 33" xfId="38987" xr:uid="{00000000-0005-0000-0000-0000F1050000}"/>
    <cellStyle name="Accent6 34" xfId="38988" xr:uid="{00000000-0005-0000-0000-0000F2050000}"/>
    <cellStyle name="Accent6 35" xfId="38989" xr:uid="{00000000-0005-0000-0000-0000F3050000}"/>
    <cellStyle name="Accent6 36" xfId="38990" xr:uid="{00000000-0005-0000-0000-0000F4050000}"/>
    <cellStyle name="Accent6 37" xfId="38991" xr:uid="{00000000-0005-0000-0000-0000F5050000}"/>
    <cellStyle name="Accent6 38" xfId="38992" xr:uid="{00000000-0005-0000-0000-0000F6050000}"/>
    <cellStyle name="Accent6 39" xfId="38993" xr:uid="{00000000-0005-0000-0000-0000F7050000}"/>
    <cellStyle name="Accent6 4" xfId="1491" xr:uid="{00000000-0005-0000-0000-00004F0A0000}"/>
    <cellStyle name="Accent6 4 10" xfId="1492" xr:uid="{00000000-0005-0000-0000-0000500A0000}"/>
    <cellStyle name="Accent6 4 11" xfId="1493" xr:uid="{00000000-0005-0000-0000-0000510A0000}"/>
    <cellStyle name="Accent6 4 2" xfId="1494" xr:uid="{00000000-0005-0000-0000-0000520A0000}"/>
    <cellStyle name="Accent6 4 3" xfId="1495" xr:uid="{00000000-0005-0000-0000-0000530A0000}"/>
    <cellStyle name="Accent6 4 4" xfId="1496" xr:uid="{00000000-0005-0000-0000-0000540A0000}"/>
    <cellStyle name="Accent6 4 5" xfId="1497" xr:uid="{00000000-0005-0000-0000-0000550A0000}"/>
    <cellStyle name="Accent6 4 6" xfId="1498" xr:uid="{00000000-0005-0000-0000-0000560A0000}"/>
    <cellStyle name="Accent6 4 7" xfId="1499" xr:uid="{00000000-0005-0000-0000-0000570A0000}"/>
    <cellStyle name="Accent6 4 8" xfId="1500" xr:uid="{00000000-0005-0000-0000-0000580A0000}"/>
    <cellStyle name="Accent6 4 9" xfId="1501" xr:uid="{00000000-0005-0000-0000-0000590A0000}"/>
    <cellStyle name="Accent6 40" xfId="38994" xr:uid="{00000000-0005-0000-0000-0000FA050000}"/>
    <cellStyle name="Accent6 41" xfId="38995" xr:uid="{00000000-0005-0000-0000-0000FB050000}"/>
    <cellStyle name="Accent6 42" xfId="38996" xr:uid="{00000000-0005-0000-0000-0000FC050000}"/>
    <cellStyle name="Accent6 43" xfId="38997" xr:uid="{00000000-0005-0000-0000-0000FD050000}"/>
    <cellStyle name="Accent6 5" xfId="1502" xr:uid="{00000000-0005-0000-0000-00005A0A0000}"/>
    <cellStyle name="Accent6 5 10" xfId="1503" xr:uid="{00000000-0005-0000-0000-00005B0A0000}"/>
    <cellStyle name="Accent6 5 11" xfId="1504" xr:uid="{00000000-0005-0000-0000-00005C0A0000}"/>
    <cellStyle name="Accent6 5 2" xfId="1505" xr:uid="{00000000-0005-0000-0000-00005D0A0000}"/>
    <cellStyle name="Accent6 5 3" xfId="1506" xr:uid="{00000000-0005-0000-0000-00005E0A0000}"/>
    <cellStyle name="Accent6 5 4" xfId="1507" xr:uid="{00000000-0005-0000-0000-00005F0A0000}"/>
    <cellStyle name="Accent6 5 5" xfId="1508" xr:uid="{00000000-0005-0000-0000-0000600A0000}"/>
    <cellStyle name="Accent6 5 6" xfId="1509" xr:uid="{00000000-0005-0000-0000-0000610A0000}"/>
    <cellStyle name="Accent6 5 7" xfId="1510" xr:uid="{00000000-0005-0000-0000-0000620A0000}"/>
    <cellStyle name="Accent6 5 8" xfId="1511" xr:uid="{00000000-0005-0000-0000-0000630A0000}"/>
    <cellStyle name="Accent6 5 9" xfId="1512" xr:uid="{00000000-0005-0000-0000-0000640A0000}"/>
    <cellStyle name="Accent6 6" xfId="1513" xr:uid="{00000000-0005-0000-0000-0000650A0000}"/>
    <cellStyle name="Accent6 6 10" xfId="1514" xr:uid="{00000000-0005-0000-0000-0000660A0000}"/>
    <cellStyle name="Accent6 6 11" xfId="1515" xr:uid="{00000000-0005-0000-0000-0000670A0000}"/>
    <cellStyle name="Accent6 6 2" xfId="1516" xr:uid="{00000000-0005-0000-0000-0000680A0000}"/>
    <cellStyle name="Accent6 6 3" xfId="1517" xr:uid="{00000000-0005-0000-0000-0000690A0000}"/>
    <cellStyle name="Accent6 6 4" xfId="1518" xr:uid="{00000000-0005-0000-0000-00006A0A0000}"/>
    <cellStyle name="Accent6 6 5" xfId="1519" xr:uid="{00000000-0005-0000-0000-00006B0A0000}"/>
    <cellStyle name="Accent6 6 6" xfId="1520" xr:uid="{00000000-0005-0000-0000-00006C0A0000}"/>
    <cellStyle name="Accent6 6 7" xfId="1521" xr:uid="{00000000-0005-0000-0000-00006D0A0000}"/>
    <cellStyle name="Accent6 6 8" xfId="1522" xr:uid="{00000000-0005-0000-0000-00006E0A0000}"/>
    <cellStyle name="Accent6 6 9" xfId="1523" xr:uid="{00000000-0005-0000-0000-00006F0A0000}"/>
    <cellStyle name="Accent6 7" xfId="1524" xr:uid="{00000000-0005-0000-0000-0000700A0000}"/>
    <cellStyle name="Accent6 8" xfId="1525" xr:uid="{00000000-0005-0000-0000-0000710A0000}"/>
    <cellStyle name="Accent6 9" xfId="1526" xr:uid="{00000000-0005-0000-0000-0000720A0000}"/>
    <cellStyle name="AggblueBoldCels" xfId="11502" xr:uid="{00000000-0005-0000-0000-0000730A0000}"/>
    <cellStyle name="AggblueCels" xfId="11503" xr:uid="{00000000-0005-0000-0000-0000740A0000}"/>
    <cellStyle name="AggBoldCells" xfId="11504" xr:uid="{00000000-0005-0000-0000-0000750A0000}"/>
    <cellStyle name="AggBoldCells 2" xfId="38998" xr:uid="{00000000-0005-0000-0000-000007060000}"/>
    <cellStyle name="AggCels" xfId="11461" xr:uid="{00000000-0005-0000-0000-0000760A0000}"/>
    <cellStyle name="AggCels 2" xfId="38999" xr:uid="{00000000-0005-0000-0000-000008060000}"/>
    <cellStyle name="AggGreen" xfId="11505" xr:uid="{00000000-0005-0000-0000-0000770A0000}"/>
    <cellStyle name="AggGreen 2" xfId="10522" xr:uid="{00000000-0005-0000-0000-0000780A0000}"/>
    <cellStyle name="AggGreen 2 2" xfId="15396" xr:uid="{00000000-0005-0000-0000-0000790A0000}"/>
    <cellStyle name="AggGreen 2 2 2" xfId="36780" xr:uid="{00000000-0005-0000-0000-00007A0A0000}"/>
    <cellStyle name="AggGreen 2 3" xfId="14770" xr:uid="{00000000-0005-0000-0000-00007B0A0000}"/>
    <cellStyle name="AggGreen 3" xfId="14658" xr:uid="{00000000-0005-0000-0000-00007C0A0000}"/>
    <cellStyle name="AggGreen 3 2" xfId="36142" xr:uid="{00000000-0005-0000-0000-00007D0A0000}"/>
    <cellStyle name="AggGreen 4" xfId="16191" xr:uid="{00000000-0005-0000-0000-00007E0A0000}"/>
    <cellStyle name="AggGreen 4 2" xfId="37507" xr:uid="{00000000-0005-0000-0000-00007F0A0000}"/>
    <cellStyle name="AggGreen 5" xfId="34309" xr:uid="{00000000-0005-0000-0000-0000800A0000}"/>
    <cellStyle name="AggGreen 6" xfId="41002" xr:uid="{00000000-0005-0000-0000-000009060000}"/>
    <cellStyle name="AggGreen12" xfId="11506" xr:uid="{00000000-0005-0000-0000-0000810A0000}"/>
    <cellStyle name="AggGreen12 2" xfId="10523" xr:uid="{00000000-0005-0000-0000-0000820A0000}"/>
    <cellStyle name="AggGreen12 2 2" xfId="15397" xr:uid="{00000000-0005-0000-0000-0000830A0000}"/>
    <cellStyle name="AggGreen12 2 2 2" xfId="36781" xr:uid="{00000000-0005-0000-0000-0000840A0000}"/>
    <cellStyle name="AggGreen12 2 3" xfId="15990" xr:uid="{00000000-0005-0000-0000-0000850A0000}"/>
    <cellStyle name="AggGreen12 3" xfId="14657" xr:uid="{00000000-0005-0000-0000-0000860A0000}"/>
    <cellStyle name="AggGreen12 3 2" xfId="36141" xr:uid="{00000000-0005-0000-0000-0000870A0000}"/>
    <cellStyle name="AggGreen12 4" xfId="16212" xr:uid="{00000000-0005-0000-0000-0000880A0000}"/>
    <cellStyle name="AggGreen12 4 2" xfId="37527" xr:uid="{00000000-0005-0000-0000-0000890A0000}"/>
    <cellStyle name="AggGreen12 5" xfId="34310" xr:uid="{00000000-0005-0000-0000-00008A0A0000}"/>
    <cellStyle name="AggGreen12 6" xfId="41001" xr:uid="{00000000-0005-0000-0000-00000A060000}"/>
    <cellStyle name="AggOrange" xfId="11507" xr:uid="{00000000-0005-0000-0000-00008B0A0000}"/>
    <cellStyle name="AggOrange 2" xfId="10524" xr:uid="{00000000-0005-0000-0000-00008C0A0000}"/>
    <cellStyle name="AggOrange 2 2" xfId="15398" xr:uid="{00000000-0005-0000-0000-00008D0A0000}"/>
    <cellStyle name="AggOrange 2 2 2" xfId="36782" xr:uid="{00000000-0005-0000-0000-00008E0A0000}"/>
    <cellStyle name="AggOrange 2 3" xfId="14769" xr:uid="{00000000-0005-0000-0000-00008F0A0000}"/>
    <cellStyle name="AggOrange 3" xfId="14656" xr:uid="{00000000-0005-0000-0000-0000900A0000}"/>
    <cellStyle name="AggOrange 3 2" xfId="36140" xr:uid="{00000000-0005-0000-0000-0000910A0000}"/>
    <cellStyle name="AggOrange 4" xfId="14835" xr:uid="{00000000-0005-0000-0000-0000920A0000}"/>
    <cellStyle name="AggOrange 4 2" xfId="36285" xr:uid="{00000000-0005-0000-0000-0000930A0000}"/>
    <cellStyle name="AggOrange 5" xfId="34311" xr:uid="{00000000-0005-0000-0000-0000940A0000}"/>
    <cellStyle name="AggOrange 6" xfId="41000" xr:uid="{00000000-0005-0000-0000-00000B060000}"/>
    <cellStyle name="AggOrange_CRFReport-template" xfId="1527" xr:uid="{00000000-0005-0000-0000-0000950A0000}"/>
    <cellStyle name="AggOrange9" xfId="11508" xr:uid="{00000000-0005-0000-0000-0000960A0000}"/>
    <cellStyle name="AggOrange9 2" xfId="10525" xr:uid="{00000000-0005-0000-0000-0000970A0000}"/>
    <cellStyle name="AggOrange9 2 2" xfId="15399" xr:uid="{00000000-0005-0000-0000-0000980A0000}"/>
    <cellStyle name="AggOrange9 2 2 2" xfId="36783" xr:uid="{00000000-0005-0000-0000-0000990A0000}"/>
    <cellStyle name="AggOrange9 2 3" xfId="15989" xr:uid="{00000000-0005-0000-0000-00009A0A0000}"/>
    <cellStyle name="AggOrange9 3" xfId="14655" xr:uid="{00000000-0005-0000-0000-00009B0A0000}"/>
    <cellStyle name="AggOrange9 3 2" xfId="36139" xr:uid="{00000000-0005-0000-0000-00009C0A0000}"/>
    <cellStyle name="AggOrange9 4" xfId="15491" xr:uid="{00000000-0005-0000-0000-00009D0A0000}"/>
    <cellStyle name="AggOrange9 4 2" xfId="36869" xr:uid="{00000000-0005-0000-0000-00009E0A0000}"/>
    <cellStyle name="AggOrange9 5" xfId="34312" xr:uid="{00000000-0005-0000-0000-00009F0A0000}"/>
    <cellStyle name="AggOrange9 6" xfId="40999" xr:uid="{00000000-0005-0000-0000-00000C060000}"/>
    <cellStyle name="AggOrange9_CRFReport-template" xfId="1528" xr:uid="{00000000-0005-0000-0000-0000A00A0000}"/>
    <cellStyle name="AggOrangeLB_2x" xfId="11509" xr:uid="{00000000-0005-0000-0000-0000A10A0000}"/>
    <cellStyle name="AggOrangeLBorder" xfId="11510" xr:uid="{00000000-0005-0000-0000-0000A20A0000}"/>
    <cellStyle name="AggOrangeRBorder" xfId="11511" xr:uid="{00000000-0005-0000-0000-0000A30A0000}"/>
    <cellStyle name="AggOrangeRBorder 2" xfId="10526" xr:uid="{00000000-0005-0000-0000-0000A40A0000}"/>
    <cellStyle name="AggOrangeRBorder 2 2" xfId="15400" xr:uid="{00000000-0005-0000-0000-0000A50A0000}"/>
    <cellStyle name="AggOrangeRBorder 2 2 2" xfId="36784" xr:uid="{00000000-0005-0000-0000-0000A60A0000}"/>
    <cellStyle name="AggOrangeRBorder 2 3" xfId="14768" xr:uid="{00000000-0005-0000-0000-0000A70A0000}"/>
    <cellStyle name="AggOrangeRBorder 2 3 2" xfId="36234" xr:uid="{00000000-0005-0000-0000-0000A80A0000}"/>
    <cellStyle name="AggOrangeRBorder 2 4" xfId="16053" xr:uid="{00000000-0005-0000-0000-0000A90A0000}"/>
    <cellStyle name="AggOrangeRBorder 2 4 2" xfId="37380" xr:uid="{00000000-0005-0000-0000-0000AA0A0000}"/>
    <cellStyle name="AggOrangeRBorder 2 5" xfId="33669" xr:uid="{00000000-0005-0000-0000-0000AB0A0000}"/>
    <cellStyle name="AggOrangeRBorder 3" xfId="15586" xr:uid="{00000000-0005-0000-0000-0000AC0A0000}"/>
    <cellStyle name="AggOrangeRBorder 3 2" xfId="36963" xr:uid="{00000000-0005-0000-0000-0000AD0A0000}"/>
    <cellStyle name="AggOrangeRBorder 4" xfId="14654" xr:uid="{00000000-0005-0000-0000-0000AE0A0000}"/>
    <cellStyle name="AggOrangeRBorder 4 2" xfId="36138" xr:uid="{00000000-0005-0000-0000-0000AF0A0000}"/>
    <cellStyle name="AggOrangeRBorder 5" xfId="16113" xr:uid="{00000000-0005-0000-0000-0000B00A0000}"/>
    <cellStyle name="AggOrangeRBorder 5 2" xfId="37435" xr:uid="{00000000-0005-0000-0000-0000B10A0000}"/>
    <cellStyle name="AggOrangeRBorder 6" xfId="34313" xr:uid="{00000000-0005-0000-0000-0000B20A0000}"/>
    <cellStyle name="AggOrangeRBorder 7" xfId="27871" xr:uid="{00000000-0005-0000-0000-0000B30A0000}"/>
    <cellStyle name="AggOrangeRBorder 8" xfId="39000" xr:uid="{00000000-0005-0000-0000-00000F060000}"/>
    <cellStyle name="Akzent1" xfId="14073" xr:uid="{00000000-0005-0000-0000-0000B40A0000}"/>
    <cellStyle name="Akzent2" xfId="14074" xr:uid="{00000000-0005-0000-0000-0000B50A0000}"/>
    <cellStyle name="Akzent3" xfId="14075" xr:uid="{00000000-0005-0000-0000-0000B60A0000}"/>
    <cellStyle name="Akzent4" xfId="14076" xr:uid="{00000000-0005-0000-0000-0000B70A0000}"/>
    <cellStyle name="Akzent5" xfId="14077" xr:uid="{00000000-0005-0000-0000-0000B80A0000}"/>
    <cellStyle name="Akzent6" xfId="14078" xr:uid="{00000000-0005-0000-0000-0000B90A0000}"/>
    <cellStyle name="Assumption Heading" xfId="14146" xr:uid="{00000000-0005-0000-0000-0000BA0A0000}"/>
    <cellStyle name="Assumptions" xfId="14147" xr:uid="{00000000-0005-0000-0000-0000BB0A0000}"/>
    <cellStyle name="Attrib" xfId="14148" xr:uid="{00000000-0005-0000-0000-0000BC0A0000}"/>
    <cellStyle name="Attrib 2" xfId="14149" xr:uid="{00000000-0005-0000-0000-0000BD0A0000}"/>
    <cellStyle name="Attrib 2 2" xfId="14150" xr:uid="{00000000-0005-0000-0000-0000BE0A0000}"/>
    <cellStyle name="Attrib 2 2 2" xfId="16302" xr:uid="{00000000-0005-0000-0000-0000BF0A0000}"/>
    <cellStyle name="Attrib 2 2 2 2" xfId="37608" xr:uid="{00000000-0005-0000-0000-0000C00A0000}"/>
    <cellStyle name="Attrib 2 2 3" xfId="16476" xr:uid="{00000000-0005-0000-0000-0000C10A0000}"/>
    <cellStyle name="Attrib 2 2 3 2" xfId="37730" xr:uid="{00000000-0005-0000-0000-0000C20A0000}"/>
    <cellStyle name="Attrib 2 2 4" xfId="15693" xr:uid="{00000000-0005-0000-0000-0000C30A0000}"/>
    <cellStyle name="Attrib 2 2 4 2" xfId="37065" xr:uid="{00000000-0005-0000-0000-0000C40A0000}"/>
    <cellStyle name="Attrib 2 2 5" xfId="35842" xr:uid="{00000000-0005-0000-0000-0000C50A0000}"/>
    <cellStyle name="Attrib 2 3" xfId="14151" xr:uid="{00000000-0005-0000-0000-0000C60A0000}"/>
    <cellStyle name="Attrib 2 3 2" xfId="16303" xr:uid="{00000000-0005-0000-0000-0000C70A0000}"/>
    <cellStyle name="Attrib 2 3 2 2" xfId="37609" xr:uid="{00000000-0005-0000-0000-0000C80A0000}"/>
    <cellStyle name="Attrib 2 3 3" xfId="16477" xr:uid="{00000000-0005-0000-0000-0000C90A0000}"/>
    <cellStyle name="Attrib 2 3 3 2" xfId="37731" xr:uid="{00000000-0005-0000-0000-0000CA0A0000}"/>
    <cellStyle name="Attrib 2 3 4" xfId="15299" xr:uid="{00000000-0005-0000-0000-0000CB0A0000}"/>
    <cellStyle name="Attrib 2 3 4 2" xfId="36693" xr:uid="{00000000-0005-0000-0000-0000CC0A0000}"/>
    <cellStyle name="Attrib 2 3 5" xfId="35843" xr:uid="{00000000-0005-0000-0000-0000CD0A0000}"/>
    <cellStyle name="Attrib 2 4" xfId="16301" xr:uid="{00000000-0005-0000-0000-0000CE0A0000}"/>
    <cellStyle name="Attrib 2 4 2" xfId="37607" xr:uid="{00000000-0005-0000-0000-0000CF0A0000}"/>
    <cellStyle name="Attrib 2 5" xfId="16475" xr:uid="{00000000-0005-0000-0000-0000D00A0000}"/>
    <cellStyle name="Attrib 2 5 2" xfId="37729" xr:uid="{00000000-0005-0000-0000-0000D10A0000}"/>
    <cellStyle name="Attrib 2 6" xfId="14717" xr:uid="{00000000-0005-0000-0000-0000D20A0000}"/>
    <cellStyle name="Attrib 2 6 2" xfId="36197" xr:uid="{00000000-0005-0000-0000-0000D30A0000}"/>
    <cellStyle name="Attrib 2 7" xfId="35841" xr:uid="{00000000-0005-0000-0000-0000D40A0000}"/>
    <cellStyle name="Attrib 2 8" xfId="40759" xr:uid="{00000000-0005-0000-0000-000002000000}"/>
    <cellStyle name="Attrib 3" xfId="16300" xr:uid="{00000000-0005-0000-0000-0000D50A0000}"/>
    <cellStyle name="Attrib 3 2" xfId="37606" xr:uid="{00000000-0005-0000-0000-0000D60A0000}"/>
    <cellStyle name="Attrib 4" xfId="16474" xr:uid="{00000000-0005-0000-0000-0000D70A0000}"/>
    <cellStyle name="Attrib 4 2" xfId="37728" xr:uid="{00000000-0005-0000-0000-0000D80A0000}"/>
    <cellStyle name="Attrib 5" xfId="14662" xr:uid="{00000000-0005-0000-0000-0000D90A0000}"/>
    <cellStyle name="Attrib 5 2" xfId="36146" xr:uid="{00000000-0005-0000-0000-0000DA0A0000}"/>
    <cellStyle name="Attrib 6" xfId="35840" xr:uid="{00000000-0005-0000-0000-0000DB0A0000}"/>
    <cellStyle name="Attrib 7" xfId="40758" xr:uid="{00000000-0005-0000-0000-000001000000}"/>
    <cellStyle name="Ausgabe" xfId="14079" xr:uid="{00000000-0005-0000-0000-0000DC0A0000}"/>
    <cellStyle name="Ausgabe 2" xfId="16449" xr:uid="{00000000-0005-0000-0000-0000DD0A0000}"/>
    <cellStyle name="Ausgabe 2 2" xfId="37718" xr:uid="{00000000-0005-0000-0000-0000DE0A0000}"/>
    <cellStyle name="Ausgabe 3" xfId="14975" xr:uid="{00000000-0005-0000-0000-0000DF0A0000}"/>
    <cellStyle name="Ausgabe 4" xfId="39001" xr:uid="{00000000-0005-0000-0000-000016060000}"/>
    <cellStyle name="Avertissement" xfId="24" xr:uid="{00000000-0005-0000-0000-0000E00A0000}"/>
    <cellStyle name="Bad 10" xfId="1529" xr:uid="{00000000-0005-0000-0000-0000E10A0000}"/>
    <cellStyle name="Bad 11" xfId="39002" xr:uid="{00000000-0005-0000-0000-000019060000}"/>
    <cellStyle name="Bad 12" xfId="39003" xr:uid="{00000000-0005-0000-0000-00001A060000}"/>
    <cellStyle name="Bad 13" xfId="39004" xr:uid="{00000000-0005-0000-0000-00001B060000}"/>
    <cellStyle name="Bad 14" xfId="39005" xr:uid="{00000000-0005-0000-0000-00001C060000}"/>
    <cellStyle name="Bad 15" xfId="39006" xr:uid="{00000000-0005-0000-0000-00001D060000}"/>
    <cellStyle name="Bad 16" xfId="39007" xr:uid="{00000000-0005-0000-0000-00001E060000}"/>
    <cellStyle name="Bad 17" xfId="39008" xr:uid="{00000000-0005-0000-0000-00001F060000}"/>
    <cellStyle name="Bad 18" xfId="39009" xr:uid="{00000000-0005-0000-0000-000020060000}"/>
    <cellStyle name="Bad 19" xfId="39010" xr:uid="{00000000-0005-0000-0000-000021060000}"/>
    <cellStyle name="Bad 2" xfId="1530" xr:uid="{00000000-0005-0000-0000-0000E20A0000}"/>
    <cellStyle name="Bad 2 10" xfId="1531" xr:uid="{00000000-0005-0000-0000-0000E30A0000}"/>
    <cellStyle name="Bad 2 10 2" xfId="12341" xr:uid="{00000000-0005-0000-0000-0000E40A0000}"/>
    <cellStyle name="Bad 2 11" xfId="1532" xr:uid="{00000000-0005-0000-0000-0000E50A0000}"/>
    <cellStyle name="Bad 2 2" xfId="1533" xr:uid="{00000000-0005-0000-0000-0000E60A0000}"/>
    <cellStyle name="Bad 2 2 2" xfId="12342" xr:uid="{00000000-0005-0000-0000-0000E70A0000}"/>
    <cellStyle name="Bad 2 3" xfId="1534" xr:uid="{00000000-0005-0000-0000-0000E80A0000}"/>
    <cellStyle name="Bad 2 3 2" xfId="12343" xr:uid="{00000000-0005-0000-0000-0000E90A0000}"/>
    <cellStyle name="Bad 2 4" xfId="1535" xr:uid="{00000000-0005-0000-0000-0000EA0A0000}"/>
    <cellStyle name="Bad 2 4 2" xfId="12344" xr:uid="{00000000-0005-0000-0000-0000EB0A0000}"/>
    <cellStyle name="Bad 2 5" xfId="1536" xr:uid="{00000000-0005-0000-0000-0000EC0A0000}"/>
    <cellStyle name="Bad 2 5 2" xfId="12345" xr:uid="{00000000-0005-0000-0000-0000ED0A0000}"/>
    <cellStyle name="Bad 2 6" xfId="1537" xr:uid="{00000000-0005-0000-0000-0000EE0A0000}"/>
    <cellStyle name="Bad 2 6 2" xfId="12346" xr:uid="{00000000-0005-0000-0000-0000EF0A0000}"/>
    <cellStyle name="Bad 2 7" xfId="1538" xr:uid="{00000000-0005-0000-0000-0000F00A0000}"/>
    <cellStyle name="Bad 2 7 2" xfId="12347" xr:uid="{00000000-0005-0000-0000-0000F10A0000}"/>
    <cellStyle name="Bad 2 8" xfId="1539" xr:uid="{00000000-0005-0000-0000-0000F20A0000}"/>
    <cellStyle name="Bad 2 8 2" xfId="12348" xr:uid="{00000000-0005-0000-0000-0000F30A0000}"/>
    <cellStyle name="Bad 2 9" xfId="1540" xr:uid="{00000000-0005-0000-0000-0000F40A0000}"/>
    <cellStyle name="Bad 2 9 2" xfId="12349" xr:uid="{00000000-0005-0000-0000-0000F50A0000}"/>
    <cellStyle name="Bad 20" xfId="39011" xr:uid="{00000000-0005-0000-0000-00002D060000}"/>
    <cellStyle name="Bad 21" xfId="39012" xr:uid="{00000000-0005-0000-0000-00002E060000}"/>
    <cellStyle name="Bad 22" xfId="39013" xr:uid="{00000000-0005-0000-0000-00002F060000}"/>
    <cellStyle name="Bad 23" xfId="39014" xr:uid="{00000000-0005-0000-0000-000030060000}"/>
    <cellStyle name="Bad 24" xfId="39015" xr:uid="{00000000-0005-0000-0000-000031060000}"/>
    <cellStyle name="Bad 25" xfId="39016" xr:uid="{00000000-0005-0000-0000-000032060000}"/>
    <cellStyle name="Bad 26" xfId="39017" xr:uid="{00000000-0005-0000-0000-000033060000}"/>
    <cellStyle name="Bad 27" xfId="39018" xr:uid="{00000000-0005-0000-0000-000034060000}"/>
    <cellStyle name="Bad 28" xfId="39019" xr:uid="{00000000-0005-0000-0000-000035060000}"/>
    <cellStyle name="Bad 29" xfId="39020" xr:uid="{00000000-0005-0000-0000-000036060000}"/>
    <cellStyle name="Bad 3" xfId="1541" xr:uid="{00000000-0005-0000-0000-0000F60A0000}"/>
    <cellStyle name="Bad 3 10" xfId="1542" xr:uid="{00000000-0005-0000-0000-0000F70A0000}"/>
    <cellStyle name="Bad 3 11" xfId="1543" xr:uid="{00000000-0005-0000-0000-0000F80A0000}"/>
    <cellStyle name="Bad 3 12" xfId="12350" xr:uid="{00000000-0005-0000-0000-0000F90A0000}"/>
    <cellStyle name="Bad 3 2" xfId="1544" xr:uid="{00000000-0005-0000-0000-0000FA0A0000}"/>
    <cellStyle name="Bad 3 2 2" xfId="39021" xr:uid="{00000000-0005-0000-0000-000038060000}"/>
    <cellStyle name="Bad 3 3" xfId="1545" xr:uid="{00000000-0005-0000-0000-0000FB0A0000}"/>
    <cellStyle name="Bad 3 4" xfId="1546" xr:uid="{00000000-0005-0000-0000-0000FC0A0000}"/>
    <cellStyle name="Bad 3 5" xfId="1547" xr:uid="{00000000-0005-0000-0000-0000FD0A0000}"/>
    <cellStyle name="Bad 3 6" xfId="1548" xr:uid="{00000000-0005-0000-0000-0000FE0A0000}"/>
    <cellStyle name="Bad 3 7" xfId="1549" xr:uid="{00000000-0005-0000-0000-0000FF0A0000}"/>
    <cellStyle name="Bad 3 8" xfId="1550" xr:uid="{00000000-0005-0000-0000-0000000B0000}"/>
    <cellStyle name="Bad 3 9" xfId="1551" xr:uid="{00000000-0005-0000-0000-0000010B0000}"/>
    <cellStyle name="Bad 30" xfId="39022" xr:uid="{00000000-0005-0000-0000-00003A060000}"/>
    <cellStyle name="Bad 31" xfId="39023" xr:uid="{00000000-0005-0000-0000-00003B060000}"/>
    <cellStyle name="Bad 32" xfId="39024" xr:uid="{00000000-0005-0000-0000-00003C060000}"/>
    <cellStyle name="Bad 33" xfId="39025" xr:uid="{00000000-0005-0000-0000-00003D060000}"/>
    <cellStyle name="Bad 34" xfId="39026" xr:uid="{00000000-0005-0000-0000-00003E060000}"/>
    <cellStyle name="Bad 35" xfId="39027" xr:uid="{00000000-0005-0000-0000-00003F060000}"/>
    <cellStyle name="Bad 36" xfId="39028" xr:uid="{00000000-0005-0000-0000-000040060000}"/>
    <cellStyle name="Bad 37" xfId="39029" xr:uid="{00000000-0005-0000-0000-000041060000}"/>
    <cellStyle name="Bad 38" xfId="39030" xr:uid="{00000000-0005-0000-0000-000042060000}"/>
    <cellStyle name="Bad 39" xfId="39031" xr:uid="{00000000-0005-0000-0000-000043060000}"/>
    <cellStyle name="Bad 4" xfId="1552" xr:uid="{00000000-0005-0000-0000-0000020B0000}"/>
    <cellStyle name="Bad 4 10" xfId="1553" xr:uid="{00000000-0005-0000-0000-0000030B0000}"/>
    <cellStyle name="Bad 4 11" xfId="1554" xr:uid="{00000000-0005-0000-0000-0000040B0000}"/>
    <cellStyle name="Bad 4 2" xfId="1555" xr:uid="{00000000-0005-0000-0000-0000050B0000}"/>
    <cellStyle name="Bad 4 3" xfId="1556" xr:uid="{00000000-0005-0000-0000-0000060B0000}"/>
    <cellStyle name="Bad 4 4" xfId="1557" xr:uid="{00000000-0005-0000-0000-0000070B0000}"/>
    <cellStyle name="Bad 4 5" xfId="1558" xr:uid="{00000000-0005-0000-0000-0000080B0000}"/>
    <cellStyle name="Bad 4 6" xfId="1559" xr:uid="{00000000-0005-0000-0000-0000090B0000}"/>
    <cellStyle name="Bad 4 7" xfId="1560" xr:uid="{00000000-0005-0000-0000-00000A0B0000}"/>
    <cellStyle name="Bad 4 8" xfId="1561" xr:uid="{00000000-0005-0000-0000-00000B0B0000}"/>
    <cellStyle name="Bad 4 9" xfId="1562" xr:uid="{00000000-0005-0000-0000-00000C0B0000}"/>
    <cellStyle name="Bad 40" xfId="39032" xr:uid="{00000000-0005-0000-0000-000046060000}"/>
    <cellStyle name="Bad 41" xfId="39033" xr:uid="{00000000-0005-0000-0000-000047060000}"/>
    <cellStyle name="Bad 42" xfId="39034" xr:uid="{00000000-0005-0000-0000-000048060000}"/>
    <cellStyle name="Bad 43" xfId="39035" xr:uid="{00000000-0005-0000-0000-000049060000}"/>
    <cellStyle name="Bad 5" xfId="1563" xr:uid="{00000000-0005-0000-0000-00000D0B0000}"/>
    <cellStyle name="Bad 5 10" xfId="1564" xr:uid="{00000000-0005-0000-0000-00000E0B0000}"/>
    <cellStyle name="Bad 5 11" xfId="1565" xr:uid="{00000000-0005-0000-0000-00000F0B0000}"/>
    <cellStyle name="Bad 5 2" xfId="1566" xr:uid="{00000000-0005-0000-0000-0000100B0000}"/>
    <cellStyle name="Bad 5 3" xfId="1567" xr:uid="{00000000-0005-0000-0000-0000110B0000}"/>
    <cellStyle name="Bad 5 4" xfId="1568" xr:uid="{00000000-0005-0000-0000-0000120B0000}"/>
    <cellStyle name="Bad 5 5" xfId="1569" xr:uid="{00000000-0005-0000-0000-0000130B0000}"/>
    <cellStyle name="Bad 5 6" xfId="1570" xr:uid="{00000000-0005-0000-0000-0000140B0000}"/>
    <cellStyle name="Bad 5 7" xfId="1571" xr:uid="{00000000-0005-0000-0000-0000150B0000}"/>
    <cellStyle name="Bad 5 8" xfId="1572" xr:uid="{00000000-0005-0000-0000-0000160B0000}"/>
    <cellStyle name="Bad 5 9" xfId="1573" xr:uid="{00000000-0005-0000-0000-0000170B0000}"/>
    <cellStyle name="Bad 6" xfId="1574" xr:uid="{00000000-0005-0000-0000-0000180B0000}"/>
    <cellStyle name="Bad 6 10" xfId="1575" xr:uid="{00000000-0005-0000-0000-0000190B0000}"/>
    <cellStyle name="Bad 6 11" xfId="1576" xr:uid="{00000000-0005-0000-0000-00001A0B0000}"/>
    <cellStyle name="Bad 6 2" xfId="1577" xr:uid="{00000000-0005-0000-0000-00001B0B0000}"/>
    <cellStyle name="Bad 6 3" xfId="1578" xr:uid="{00000000-0005-0000-0000-00001C0B0000}"/>
    <cellStyle name="Bad 6 4" xfId="1579" xr:uid="{00000000-0005-0000-0000-00001D0B0000}"/>
    <cellStyle name="Bad 6 5" xfId="1580" xr:uid="{00000000-0005-0000-0000-00001E0B0000}"/>
    <cellStyle name="Bad 6 6" xfId="1581" xr:uid="{00000000-0005-0000-0000-00001F0B0000}"/>
    <cellStyle name="Bad 6 7" xfId="1582" xr:uid="{00000000-0005-0000-0000-0000200B0000}"/>
    <cellStyle name="Bad 6 8" xfId="1583" xr:uid="{00000000-0005-0000-0000-0000210B0000}"/>
    <cellStyle name="Bad 6 9" xfId="1584" xr:uid="{00000000-0005-0000-0000-0000220B0000}"/>
    <cellStyle name="Bad 7" xfId="1585" xr:uid="{00000000-0005-0000-0000-0000230B0000}"/>
    <cellStyle name="Bad 8" xfId="1586" xr:uid="{00000000-0005-0000-0000-0000240B0000}"/>
    <cellStyle name="Bad 9" xfId="1587" xr:uid="{00000000-0005-0000-0000-0000250B0000}"/>
    <cellStyle name="Berechnung" xfId="14080" xr:uid="{00000000-0005-0000-0000-0000260B0000}"/>
    <cellStyle name="Berechnung 2" xfId="16450" xr:uid="{00000000-0005-0000-0000-0000270B0000}"/>
    <cellStyle name="Berechnung 2 2" xfId="37719" xr:uid="{00000000-0005-0000-0000-0000280B0000}"/>
    <cellStyle name="Berechnung 3" xfId="16551" xr:uid="{00000000-0005-0000-0000-0000290B0000}"/>
    <cellStyle name="Berechnung 3 2" xfId="37768" xr:uid="{00000000-0005-0000-0000-00002A0B0000}"/>
    <cellStyle name="Berechnung 4" xfId="15336" xr:uid="{00000000-0005-0000-0000-00002B0B0000}"/>
    <cellStyle name="Berechnung 5" xfId="39036" xr:uid="{00000000-0005-0000-0000-000051060000}"/>
    <cellStyle name="Berechnung 6" xfId="41003" xr:uid="{00000000-0005-0000-0000-000051060000}"/>
    <cellStyle name="Bevitel" xfId="80" xr:uid="{00000000-0005-0000-0000-00002C0B0000}"/>
    <cellStyle name="Bevitel 10" xfId="14739" xr:uid="{00000000-0005-0000-0000-00002D0B0000}"/>
    <cellStyle name="Bevitel 10 2" xfId="36216" xr:uid="{00000000-0005-0000-0000-00002E0B0000}"/>
    <cellStyle name="Bevitel 11" xfId="31157" xr:uid="{00000000-0005-0000-0000-00002F0B0000}"/>
    <cellStyle name="Bevitel 2" xfId="4435" xr:uid="{00000000-0005-0000-0000-0000300B0000}"/>
    <cellStyle name="Bevitel 2 2" xfId="22895" xr:uid="{00000000-0005-0000-0000-0000310B0000}"/>
    <cellStyle name="Bevitel 2 3" xfId="18115" xr:uid="{00000000-0005-0000-0000-0000320B0000}"/>
    <cellStyle name="Bevitel 3" xfId="5887" xr:uid="{00000000-0005-0000-0000-0000330B0000}"/>
    <cellStyle name="Bevitel 3 2" xfId="24333" xr:uid="{00000000-0005-0000-0000-0000340B0000}"/>
    <cellStyle name="Bevitel 3 3" xfId="19442" xr:uid="{00000000-0005-0000-0000-0000350B0000}"/>
    <cellStyle name="Bevitel 4" xfId="7026" xr:uid="{00000000-0005-0000-0000-0000360B0000}"/>
    <cellStyle name="Bevitel 4 2" xfId="25464" xr:uid="{00000000-0005-0000-0000-0000370B0000}"/>
    <cellStyle name="Bevitel 4 3" xfId="20401" xr:uid="{00000000-0005-0000-0000-0000380B0000}"/>
    <cellStyle name="Bevitel 5" xfId="6218" xr:uid="{00000000-0005-0000-0000-0000390B0000}"/>
    <cellStyle name="Bevitel 5 2" xfId="24658" xr:uid="{00000000-0005-0000-0000-00003A0B0000}"/>
    <cellStyle name="Bevitel 5 3" xfId="19767" xr:uid="{00000000-0005-0000-0000-00003B0B0000}"/>
    <cellStyle name="Bevitel 6" xfId="7427" xr:uid="{00000000-0005-0000-0000-00003C0B0000}"/>
    <cellStyle name="Bevitel 6 2" xfId="25858" xr:uid="{00000000-0005-0000-0000-00003D0B0000}"/>
    <cellStyle name="Bevitel 6 3" xfId="20782" xr:uid="{00000000-0005-0000-0000-00003E0B0000}"/>
    <cellStyle name="Bevitel 7" xfId="8212" xr:uid="{00000000-0005-0000-0000-00003F0B0000}"/>
    <cellStyle name="Bevitel 7 2" xfId="26637" xr:uid="{00000000-0005-0000-0000-0000400B0000}"/>
    <cellStyle name="Bevitel 7 3" xfId="21564" xr:uid="{00000000-0005-0000-0000-0000410B0000}"/>
    <cellStyle name="Bevitel 8" xfId="3764" xr:uid="{00000000-0005-0000-0000-0000420B0000}"/>
    <cellStyle name="Bevitel 8 2" xfId="22233" xr:uid="{00000000-0005-0000-0000-0000430B0000}"/>
    <cellStyle name="Bevitel 8 3" xfId="17447" xr:uid="{00000000-0005-0000-0000-0000440B0000}"/>
    <cellStyle name="Bevitel 9" xfId="16569" xr:uid="{00000000-0005-0000-0000-0000450B0000}"/>
    <cellStyle name="Bevitel 9 2" xfId="37784" xr:uid="{00000000-0005-0000-0000-0000460B0000}"/>
    <cellStyle name="Bevitel 9 3" xfId="16639" xr:uid="{00000000-0005-0000-0000-0000470B0000}"/>
    <cellStyle name="Bold GHG Numbers (0.00)" xfId="14152" xr:uid="{00000000-0005-0000-0000-0000480B0000}"/>
    <cellStyle name="Bold GHG Numbers (0.00) 2" xfId="35844" xr:uid="{00000000-0005-0000-0000-0000490B0000}"/>
    <cellStyle name="Calcolo" xfId="3710" xr:uid="{00000000-0005-0000-0000-00004A0B0000}"/>
    <cellStyle name="Calcolo 10" xfId="22216" xr:uid="{00000000-0005-0000-0000-00004B0B0000}"/>
    <cellStyle name="Calcolo 2" xfId="5810" xr:uid="{00000000-0005-0000-0000-00004C0B0000}"/>
    <cellStyle name="Calcolo 2 2" xfId="14834" xr:uid="{00000000-0005-0000-0000-00004D0B0000}"/>
    <cellStyle name="Calcolo 2 2 2" xfId="24257" xr:uid="{00000000-0005-0000-0000-00004E0B0000}"/>
    <cellStyle name="Calcolo 2 3" xfId="14392" xr:uid="{00000000-0005-0000-0000-00004F0B0000}"/>
    <cellStyle name="Calcolo 2 3 2" xfId="35928" xr:uid="{00000000-0005-0000-0000-0000500B0000}"/>
    <cellStyle name="Calcolo 2 4" xfId="16490" xr:uid="{00000000-0005-0000-0000-0000510B0000}"/>
    <cellStyle name="Calcolo 2 5" xfId="32395" xr:uid="{00000000-0005-0000-0000-0000520B0000}"/>
    <cellStyle name="Calcolo 2 6" xfId="37817" xr:uid="{00000000-0005-0000-0000-000053060000}"/>
    <cellStyle name="Calcolo 2 7" xfId="40763" xr:uid="{00000000-0005-0000-0000-000053060000}"/>
    <cellStyle name="Calcolo 3" xfId="5905" xr:uid="{00000000-0005-0000-0000-0000530B0000}"/>
    <cellStyle name="Calcolo 3 2" xfId="24351" xr:uid="{00000000-0005-0000-0000-0000540B0000}"/>
    <cellStyle name="Calcolo 3 3" xfId="19458" xr:uid="{00000000-0005-0000-0000-0000550B0000}"/>
    <cellStyle name="Calcolo 4" xfId="7285" xr:uid="{00000000-0005-0000-0000-0000560B0000}"/>
    <cellStyle name="Calcolo 4 2" xfId="25716" xr:uid="{00000000-0005-0000-0000-0000570B0000}"/>
    <cellStyle name="Calcolo 4 3" xfId="20642" xr:uid="{00000000-0005-0000-0000-0000580B0000}"/>
    <cellStyle name="Calcolo 5" xfId="7804" xr:uid="{00000000-0005-0000-0000-0000590B0000}"/>
    <cellStyle name="Calcolo 5 2" xfId="26234" xr:uid="{00000000-0005-0000-0000-00005A0B0000}"/>
    <cellStyle name="Calcolo 5 3" xfId="21159" xr:uid="{00000000-0005-0000-0000-00005B0B0000}"/>
    <cellStyle name="Calcolo 6" xfId="8192" xr:uid="{00000000-0005-0000-0000-00005C0B0000}"/>
    <cellStyle name="Calcolo 6 2" xfId="26622" xr:uid="{00000000-0005-0000-0000-00005D0B0000}"/>
    <cellStyle name="Calcolo 6 3" xfId="21546" xr:uid="{00000000-0005-0000-0000-00005E0B0000}"/>
    <cellStyle name="Calcolo 7" xfId="8917" xr:uid="{00000000-0005-0000-0000-00005F0B0000}"/>
    <cellStyle name="Calcolo 7 2" xfId="27336" xr:uid="{00000000-0005-0000-0000-0000600B0000}"/>
    <cellStyle name="Calcolo 7 3" xfId="22208" xr:uid="{00000000-0005-0000-0000-0000610B0000}"/>
    <cellStyle name="Calcolo 8" xfId="4409" xr:uid="{00000000-0005-0000-0000-0000620B0000}"/>
    <cellStyle name="Calcolo 8 2" xfId="22872" xr:uid="{00000000-0005-0000-0000-0000630B0000}"/>
    <cellStyle name="Calcolo 8 3" xfId="18091" xr:uid="{00000000-0005-0000-0000-0000640B0000}"/>
    <cellStyle name="Calcolo 9" xfId="17422" xr:uid="{00000000-0005-0000-0000-0000650B0000}"/>
    <cellStyle name="Calc-Some-Ext" xfId="37815" xr:uid="{00000000-0005-0000-0000-000003000000}"/>
    <cellStyle name="Calc-Some-Ext 2" xfId="41325" xr:uid="{00000000-0005-0000-0000-000003000000}"/>
    <cellStyle name="Calc-Some-Int" xfId="37814" xr:uid="{00000000-0005-0000-0000-000004000000}"/>
    <cellStyle name="Calc-Some-Int 2" xfId="41326" xr:uid="{00000000-0005-0000-0000-000004000000}"/>
    <cellStyle name="Calcul" xfId="25" xr:uid="{00000000-0005-0000-0000-0000660B0000}"/>
    <cellStyle name="Calcul 10" xfId="3749" xr:uid="{00000000-0005-0000-0000-0000670B0000}"/>
    <cellStyle name="Calcul 10 2" xfId="22222" xr:uid="{00000000-0005-0000-0000-0000680B0000}"/>
    <cellStyle name="Calcul 10 3" xfId="17433" xr:uid="{00000000-0005-0000-0000-0000690B0000}"/>
    <cellStyle name="Calcul 11" xfId="17085" xr:uid="{00000000-0005-0000-0000-00006A0B0000}"/>
    <cellStyle name="Calcul 12" xfId="16624" xr:uid="{00000000-0005-0000-0000-00006B0B0000}"/>
    <cellStyle name="Calcul 2" xfId="48" xr:uid="{00000000-0005-0000-0000-00006C0B0000}"/>
    <cellStyle name="Calcul 2 10" xfId="17079" xr:uid="{00000000-0005-0000-0000-00006D0B0000}"/>
    <cellStyle name="Calcul 2 11" xfId="16634" xr:uid="{00000000-0005-0000-0000-00006E0B0000}"/>
    <cellStyle name="Calcul 2 2" xfId="4425" xr:uid="{00000000-0005-0000-0000-00006F0B0000}"/>
    <cellStyle name="Calcul 2 2 2" xfId="22885" xr:uid="{00000000-0005-0000-0000-0000700B0000}"/>
    <cellStyle name="Calcul 2 2 3" xfId="18105" xr:uid="{00000000-0005-0000-0000-0000710B0000}"/>
    <cellStyle name="Calcul 2 3" xfId="5833" xr:uid="{00000000-0005-0000-0000-0000720B0000}"/>
    <cellStyle name="Calcul 2 3 2" xfId="24280" xr:uid="{00000000-0005-0000-0000-0000730B0000}"/>
    <cellStyle name="Calcul 2 3 3" xfId="19389" xr:uid="{00000000-0005-0000-0000-0000740B0000}"/>
    <cellStyle name="Calcul 2 4" xfId="5932" xr:uid="{00000000-0005-0000-0000-0000750B0000}"/>
    <cellStyle name="Calcul 2 4 2" xfId="24374" xr:uid="{00000000-0005-0000-0000-0000760B0000}"/>
    <cellStyle name="Calcul 2 4 3" xfId="19485" xr:uid="{00000000-0005-0000-0000-0000770B0000}"/>
    <cellStyle name="Calcul 2 5" xfId="7035" xr:uid="{00000000-0005-0000-0000-0000780B0000}"/>
    <cellStyle name="Calcul 2 5 2" xfId="25473" xr:uid="{00000000-0005-0000-0000-0000790B0000}"/>
    <cellStyle name="Calcul 2 5 3" xfId="20410" xr:uid="{00000000-0005-0000-0000-00007A0B0000}"/>
    <cellStyle name="Calcul 2 6" xfId="6172" xr:uid="{00000000-0005-0000-0000-00007B0B0000}"/>
    <cellStyle name="Calcul 2 6 2" xfId="24612" xr:uid="{00000000-0005-0000-0000-00007C0B0000}"/>
    <cellStyle name="Calcul 2 6 3" xfId="19721" xr:uid="{00000000-0005-0000-0000-00007D0B0000}"/>
    <cellStyle name="Calcul 2 7" xfId="7490" xr:uid="{00000000-0005-0000-0000-00007E0B0000}"/>
    <cellStyle name="Calcul 2 7 2" xfId="25921" xr:uid="{00000000-0005-0000-0000-00007F0B0000}"/>
    <cellStyle name="Calcul 2 7 3" xfId="20845" xr:uid="{00000000-0005-0000-0000-0000800B0000}"/>
    <cellStyle name="Calcul 2 8" xfId="8207" xr:uid="{00000000-0005-0000-0000-0000810B0000}"/>
    <cellStyle name="Calcul 2 8 2" xfId="26633" xr:uid="{00000000-0005-0000-0000-0000820B0000}"/>
    <cellStyle name="Calcul 2 8 3" xfId="21559" xr:uid="{00000000-0005-0000-0000-0000830B0000}"/>
    <cellStyle name="Calcul 2 9" xfId="3758" xr:uid="{00000000-0005-0000-0000-0000840B0000}"/>
    <cellStyle name="Calcul 2 9 2" xfId="22228" xr:uid="{00000000-0005-0000-0000-0000850B0000}"/>
    <cellStyle name="Calcul 2 9 3" xfId="17441" xr:uid="{00000000-0005-0000-0000-0000860B0000}"/>
    <cellStyle name="Calcul 3" xfId="4416" xr:uid="{00000000-0005-0000-0000-0000870B0000}"/>
    <cellStyle name="Calcul 3 2" xfId="22876" xr:uid="{00000000-0005-0000-0000-0000880B0000}"/>
    <cellStyle name="Calcul 3 3" xfId="18097" xr:uid="{00000000-0005-0000-0000-0000890B0000}"/>
    <cellStyle name="Calcul 4" xfId="5840" xr:uid="{00000000-0005-0000-0000-00008A0B0000}"/>
    <cellStyle name="Calcul 4 2" xfId="24287" xr:uid="{00000000-0005-0000-0000-00008B0B0000}"/>
    <cellStyle name="Calcul 4 3" xfId="19395" xr:uid="{00000000-0005-0000-0000-00008C0B0000}"/>
    <cellStyle name="Calcul 5" xfId="5923" xr:uid="{00000000-0005-0000-0000-00008D0B0000}"/>
    <cellStyle name="Calcul 5 2" xfId="24368" xr:uid="{00000000-0005-0000-0000-00008E0B0000}"/>
    <cellStyle name="Calcul 5 3" xfId="19476" xr:uid="{00000000-0005-0000-0000-00008F0B0000}"/>
    <cellStyle name="Calcul 6" xfId="7049" xr:uid="{00000000-0005-0000-0000-0000900B0000}"/>
    <cellStyle name="Calcul 6 2" xfId="25487" xr:uid="{00000000-0005-0000-0000-0000910B0000}"/>
    <cellStyle name="Calcul 6 3" xfId="20424" xr:uid="{00000000-0005-0000-0000-0000920B0000}"/>
    <cellStyle name="Calcul 7" xfId="6167" xr:uid="{00000000-0005-0000-0000-0000930B0000}"/>
    <cellStyle name="Calcul 7 2" xfId="24607" xr:uid="{00000000-0005-0000-0000-0000940B0000}"/>
    <cellStyle name="Calcul 7 3" xfId="19717" xr:uid="{00000000-0005-0000-0000-0000950B0000}"/>
    <cellStyle name="Calcul 8" xfId="7495" xr:uid="{00000000-0005-0000-0000-0000960B0000}"/>
    <cellStyle name="Calcul 8 2" xfId="25926" xr:uid="{00000000-0005-0000-0000-0000970B0000}"/>
    <cellStyle name="Calcul 8 3" xfId="20850" xr:uid="{00000000-0005-0000-0000-0000980B0000}"/>
    <cellStyle name="Calcul 9" xfId="8198" xr:uid="{00000000-0005-0000-0000-0000990B0000}"/>
    <cellStyle name="Calcul 9 2" xfId="26627" xr:uid="{00000000-0005-0000-0000-00009A0B0000}"/>
    <cellStyle name="Calcul 9 3" xfId="21551" xr:uid="{00000000-0005-0000-0000-00009B0B0000}"/>
    <cellStyle name="Calculation 10" xfId="1588" xr:uid="{00000000-0005-0000-0000-00009C0B0000}"/>
    <cellStyle name="Calculation 10 10" xfId="15706" xr:uid="{00000000-0005-0000-0000-00009D0B0000}"/>
    <cellStyle name="Calculation 10 10 2" xfId="37071" xr:uid="{00000000-0005-0000-0000-00009E0B0000}"/>
    <cellStyle name="Calculation 10 10 3" xfId="16764" xr:uid="{00000000-0005-0000-0000-00009F0B0000}"/>
    <cellStyle name="Calculation 10 11" xfId="15487" xr:uid="{00000000-0005-0000-0000-0000A00B0000}"/>
    <cellStyle name="Calculation 10 11 2" xfId="36866" xr:uid="{00000000-0005-0000-0000-0000A10B0000}"/>
    <cellStyle name="Calculation 10 12" xfId="31160" xr:uid="{00000000-0005-0000-0000-0000A20B0000}"/>
    <cellStyle name="Calculation 10 13" xfId="39037" xr:uid="{00000000-0005-0000-0000-000054060000}"/>
    <cellStyle name="Calculation 10 14" xfId="41004" xr:uid="{00000000-0005-0000-0000-000054060000}"/>
    <cellStyle name="Calculation 10 2" xfId="3330" xr:uid="{00000000-0005-0000-0000-0000A30B0000}"/>
    <cellStyle name="Calculation 10 2 10" xfId="15564" xr:uid="{00000000-0005-0000-0000-0000A40B0000}"/>
    <cellStyle name="Calculation 10 2 10 2" xfId="36942" xr:uid="{00000000-0005-0000-0000-0000A50B0000}"/>
    <cellStyle name="Calculation 10 2 11" xfId="31390" xr:uid="{00000000-0005-0000-0000-0000A60B0000}"/>
    <cellStyle name="Calculation 10 2 2" xfId="5468" xr:uid="{00000000-0005-0000-0000-0000A70B0000}"/>
    <cellStyle name="Calculation 10 2 2 2" xfId="23921" xr:uid="{00000000-0005-0000-0000-0000A80B0000}"/>
    <cellStyle name="Calculation 10 2 2 3" xfId="19056" xr:uid="{00000000-0005-0000-0000-0000A90B0000}"/>
    <cellStyle name="Calculation 10 2 3" xfId="5442" xr:uid="{00000000-0005-0000-0000-0000AA0B0000}"/>
    <cellStyle name="Calculation 10 2 3 2" xfId="23896" xr:uid="{00000000-0005-0000-0000-0000AB0B0000}"/>
    <cellStyle name="Calculation 10 2 3 3" xfId="19038" xr:uid="{00000000-0005-0000-0000-0000AC0B0000}"/>
    <cellStyle name="Calculation 10 2 4" xfId="6145" xr:uid="{00000000-0005-0000-0000-0000AD0B0000}"/>
    <cellStyle name="Calculation 10 2 4 2" xfId="24586" xr:uid="{00000000-0005-0000-0000-0000AE0B0000}"/>
    <cellStyle name="Calculation 10 2 4 3" xfId="19695" xr:uid="{00000000-0005-0000-0000-0000AF0B0000}"/>
    <cellStyle name="Calculation 10 2 5" xfId="7504" xr:uid="{00000000-0005-0000-0000-0000B00B0000}"/>
    <cellStyle name="Calculation 10 2 5 2" xfId="25934" xr:uid="{00000000-0005-0000-0000-0000B10B0000}"/>
    <cellStyle name="Calculation 10 2 5 3" xfId="20859" xr:uid="{00000000-0005-0000-0000-0000B20B0000}"/>
    <cellStyle name="Calculation 10 2 6" xfId="7877" xr:uid="{00000000-0005-0000-0000-0000B30B0000}"/>
    <cellStyle name="Calculation 10 2 6 2" xfId="26307" xr:uid="{00000000-0005-0000-0000-0000B40B0000}"/>
    <cellStyle name="Calculation 10 2 6 3" xfId="21231" xr:uid="{00000000-0005-0000-0000-0000B50B0000}"/>
    <cellStyle name="Calculation 10 2 7" xfId="8599" xr:uid="{00000000-0005-0000-0000-0000B60B0000}"/>
    <cellStyle name="Calculation 10 2 7 2" xfId="27021" xr:uid="{00000000-0005-0000-0000-0000B70B0000}"/>
    <cellStyle name="Calculation 10 2 7 3" xfId="21890" xr:uid="{00000000-0005-0000-0000-0000B80B0000}"/>
    <cellStyle name="Calculation 10 2 8" xfId="4091" xr:uid="{00000000-0005-0000-0000-0000B90B0000}"/>
    <cellStyle name="Calculation 10 2 8 2" xfId="22557" xr:uid="{00000000-0005-0000-0000-0000BA0B0000}"/>
    <cellStyle name="Calculation 10 2 8 3" xfId="17773" xr:uid="{00000000-0005-0000-0000-0000BB0B0000}"/>
    <cellStyle name="Calculation 10 2 9" xfId="15086" xr:uid="{00000000-0005-0000-0000-0000BC0B0000}"/>
    <cellStyle name="Calculation 10 2 9 2" xfId="36497" xr:uid="{00000000-0005-0000-0000-0000BD0B0000}"/>
    <cellStyle name="Calculation 10 2 9 3" xfId="17100" xr:uid="{00000000-0005-0000-0000-0000BE0B0000}"/>
    <cellStyle name="Calculation 10 3" xfId="4591" xr:uid="{00000000-0005-0000-0000-0000BF0B0000}"/>
    <cellStyle name="Calculation 10 3 2" xfId="23051" xr:uid="{00000000-0005-0000-0000-0000C00B0000}"/>
    <cellStyle name="Calculation 10 3 3" xfId="18268" xr:uid="{00000000-0005-0000-0000-0000C10B0000}"/>
    <cellStyle name="Calculation 10 4" xfId="4447" xr:uid="{00000000-0005-0000-0000-0000C20B0000}"/>
    <cellStyle name="Calculation 10 4 2" xfId="22907" xr:uid="{00000000-0005-0000-0000-0000C30B0000}"/>
    <cellStyle name="Calculation 10 4 3" xfId="18126" xr:uid="{00000000-0005-0000-0000-0000C40B0000}"/>
    <cellStyle name="Calculation 10 5" xfId="6782" xr:uid="{00000000-0005-0000-0000-0000C50B0000}"/>
    <cellStyle name="Calculation 10 5 2" xfId="25220" xr:uid="{00000000-0005-0000-0000-0000C60B0000}"/>
    <cellStyle name="Calculation 10 5 3" xfId="20212" xr:uid="{00000000-0005-0000-0000-0000C70B0000}"/>
    <cellStyle name="Calculation 10 6" xfId="6920" xr:uid="{00000000-0005-0000-0000-0000C80B0000}"/>
    <cellStyle name="Calculation 10 6 2" xfId="25358" xr:uid="{00000000-0005-0000-0000-0000C90B0000}"/>
    <cellStyle name="Calculation 10 6 3" xfId="20301" xr:uid="{00000000-0005-0000-0000-0000CA0B0000}"/>
    <cellStyle name="Calculation 10 7" xfId="6919" xr:uid="{00000000-0005-0000-0000-0000CB0B0000}"/>
    <cellStyle name="Calculation 10 7 2" xfId="25357" xr:uid="{00000000-0005-0000-0000-0000CC0B0000}"/>
    <cellStyle name="Calculation 10 7 3" xfId="20300" xr:uid="{00000000-0005-0000-0000-0000CD0B0000}"/>
    <cellStyle name="Calculation 10 8" xfId="8218" xr:uid="{00000000-0005-0000-0000-0000CE0B0000}"/>
    <cellStyle name="Calculation 10 8 2" xfId="26643" xr:uid="{00000000-0005-0000-0000-0000CF0B0000}"/>
    <cellStyle name="Calculation 10 8 3" xfId="21569" xr:uid="{00000000-0005-0000-0000-0000D00B0000}"/>
    <cellStyle name="Calculation 10 9" xfId="3769" xr:uid="{00000000-0005-0000-0000-0000D10B0000}"/>
    <cellStyle name="Calculation 10 9 2" xfId="22238" xr:uid="{00000000-0005-0000-0000-0000D20B0000}"/>
    <cellStyle name="Calculation 10 9 3" xfId="17452" xr:uid="{00000000-0005-0000-0000-0000D30B0000}"/>
    <cellStyle name="Calculation 11" xfId="39038" xr:uid="{00000000-0005-0000-0000-000055060000}"/>
    <cellStyle name="Calculation 11 2" xfId="41005" xr:uid="{00000000-0005-0000-0000-000055060000}"/>
    <cellStyle name="Calculation 12" xfId="39039" xr:uid="{00000000-0005-0000-0000-000056060000}"/>
    <cellStyle name="Calculation 12 2" xfId="41006" xr:uid="{00000000-0005-0000-0000-000056060000}"/>
    <cellStyle name="Calculation 13" xfId="39040" xr:uid="{00000000-0005-0000-0000-000057060000}"/>
    <cellStyle name="Calculation 13 2" xfId="41007" xr:uid="{00000000-0005-0000-0000-000057060000}"/>
    <cellStyle name="Calculation 14" xfId="39041" xr:uid="{00000000-0005-0000-0000-000058060000}"/>
    <cellStyle name="Calculation 14 2" xfId="41008" xr:uid="{00000000-0005-0000-0000-000058060000}"/>
    <cellStyle name="Calculation 15" xfId="39042" xr:uid="{00000000-0005-0000-0000-000059060000}"/>
    <cellStyle name="Calculation 15 2" xfId="41009" xr:uid="{00000000-0005-0000-0000-000059060000}"/>
    <cellStyle name="Calculation 16" xfId="39043" xr:uid="{00000000-0005-0000-0000-00005A060000}"/>
    <cellStyle name="Calculation 16 2" xfId="41010" xr:uid="{00000000-0005-0000-0000-00005A060000}"/>
    <cellStyle name="Calculation 17" xfId="39044" xr:uid="{00000000-0005-0000-0000-00005B060000}"/>
    <cellStyle name="Calculation 17 2" xfId="41011" xr:uid="{00000000-0005-0000-0000-00005B060000}"/>
    <cellStyle name="Calculation 18" xfId="39045" xr:uid="{00000000-0005-0000-0000-00005C060000}"/>
    <cellStyle name="Calculation 18 2" xfId="41012" xr:uid="{00000000-0005-0000-0000-00005C060000}"/>
    <cellStyle name="Calculation 19" xfId="39046" xr:uid="{00000000-0005-0000-0000-00005D060000}"/>
    <cellStyle name="Calculation 19 2" xfId="41013" xr:uid="{00000000-0005-0000-0000-00005D060000}"/>
    <cellStyle name="Calculation 2" xfId="1589" xr:uid="{00000000-0005-0000-0000-0000D40B0000}"/>
    <cellStyle name="Calculation 2 10" xfId="1590" xr:uid="{00000000-0005-0000-0000-0000D50B0000}"/>
    <cellStyle name="Calculation 2 10 10" xfId="15707" xr:uid="{00000000-0005-0000-0000-0000D60B0000}"/>
    <cellStyle name="Calculation 2 10 10 2" xfId="37072" xr:uid="{00000000-0005-0000-0000-0000D70B0000}"/>
    <cellStyle name="Calculation 2 10 10 3" xfId="16766" xr:uid="{00000000-0005-0000-0000-0000D80B0000}"/>
    <cellStyle name="Calculation 2 10 11" xfId="15492" xr:uid="{00000000-0005-0000-0000-0000D90B0000}"/>
    <cellStyle name="Calculation 2 10 11 2" xfId="36870" xr:uid="{00000000-0005-0000-0000-0000DA0B0000}"/>
    <cellStyle name="Calculation 2 10 12" xfId="31162" xr:uid="{00000000-0005-0000-0000-0000DB0B0000}"/>
    <cellStyle name="Calculation 2 10 13" xfId="37818" xr:uid="{00000000-0005-0000-0000-00005F060000}"/>
    <cellStyle name="Calculation 2 10 14" xfId="40764" xr:uid="{00000000-0005-0000-0000-00005F060000}"/>
    <cellStyle name="Calculation 2 10 2" xfId="3332" xr:uid="{00000000-0005-0000-0000-0000DC0B0000}"/>
    <cellStyle name="Calculation 2 10 2 10" xfId="15073" xr:uid="{00000000-0005-0000-0000-0000DD0B0000}"/>
    <cellStyle name="Calculation 2 10 2 10 2" xfId="36484" xr:uid="{00000000-0005-0000-0000-0000DE0B0000}"/>
    <cellStyle name="Calculation 2 10 2 11" xfId="31392" xr:uid="{00000000-0005-0000-0000-0000DF0B0000}"/>
    <cellStyle name="Calculation 2 10 2 12" xfId="27896" xr:uid="{00000000-0005-0000-0000-0000E00B0000}"/>
    <cellStyle name="Calculation 2 10 2 2" xfId="5470" xr:uid="{00000000-0005-0000-0000-0000E10B0000}"/>
    <cellStyle name="Calculation 2 10 2 2 2" xfId="12351" xr:uid="{00000000-0005-0000-0000-0000E20B0000}"/>
    <cellStyle name="Calculation 2 10 2 2 2 2" xfId="34805" xr:uid="{00000000-0005-0000-0000-0000E30B0000}"/>
    <cellStyle name="Calculation 2 10 2 2 2 3" xfId="23923" xr:uid="{00000000-0005-0000-0000-0000E40B0000}"/>
    <cellStyle name="Calculation 2 10 2 2 3" xfId="15191" xr:uid="{00000000-0005-0000-0000-0000E50B0000}"/>
    <cellStyle name="Calculation 2 10 2 2 3 2" xfId="36599" xr:uid="{00000000-0005-0000-0000-0000E60B0000}"/>
    <cellStyle name="Calculation 2 10 2 2 4" xfId="15203" xr:uid="{00000000-0005-0000-0000-0000E70B0000}"/>
    <cellStyle name="Calculation 2 10 2 2 4 2" xfId="36611" xr:uid="{00000000-0005-0000-0000-0000E80B0000}"/>
    <cellStyle name="Calculation 2 10 2 2 5" xfId="16326" xr:uid="{00000000-0005-0000-0000-0000E90B0000}"/>
    <cellStyle name="Calculation 2 10 2 2 6" xfId="32180" xr:uid="{00000000-0005-0000-0000-0000EA0B0000}"/>
    <cellStyle name="Calculation 2 10 2 2 7" xfId="30152" xr:uid="{00000000-0005-0000-0000-0000EB0B0000}"/>
    <cellStyle name="Calculation 2 10 2 2 8" xfId="19058" xr:uid="{00000000-0005-0000-0000-0000EC0B0000}"/>
    <cellStyle name="Calculation 2 10 2 3" xfId="5444" xr:uid="{00000000-0005-0000-0000-0000ED0B0000}"/>
    <cellStyle name="Calculation 2 10 2 3 2" xfId="23898" xr:uid="{00000000-0005-0000-0000-0000EE0B0000}"/>
    <cellStyle name="Calculation 2 10 2 3 3" xfId="19040" xr:uid="{00000000-0005-0000-0000-0000EF0B0000}"/>
    <cellStyle name="Calculation 2 10 2 4" xfId="6143" xr:uid="{00000000-0005-0000-0000-0000F00B0000}"/>
    <cellStyle name="Calculation 2 10 2 4 2" xfId="24584" xr:uid="{00000000-0005-0000-0000-0000F10B0000}"/>
    <cellStyle name="Calculation 2 10 2 4 3" xfId="19693" xr:uid="{00000000-0005-0000-0000-0000F20B0000}"/>
    <cellStyle name="Calculation 2 10 2 5" xfId="7506" xr:uid="{00000000-0005-0000-0000-0000F30B0000}"/>
    <cellStyle name="Calculation 2 10 2 5 2" xfId="25936" xr:uid="{00000000-0005-0000-0000-0000F40B0000}"/>
    <cellStyle name="Calculation 2 10 2 5 3" xfId="20861" xr:uid="{00000000-0005-0000-0000-0000F50B0000}"/>
    <cellStyle name="Calculation 2 10 2 6" xfId="7879" xr:uid="{00000000-0005-0000-0000-0000F60B0000}"/>
    <cellStyle name="Calculation 2 10 2 6 2" xfId="26309" xr:uid="{00000000-0005-0000-0000-0000F70B0000}"/>
    <cellStyle name="Calculation 2 10 2 6 3" xfId="21233" xr:uid="{00000000-0005-0000-0000-0000F80B0000}"/>
    <cellStyle name="Calculation 2 10 2 7" xfId="8601" xr:uid="{00000000-0005-0000-0000-0000F90B0000}"/>
    <cellStyle name="Calculation 2 10 2 7 2" xfId="27023" xr:uid="{00000000-0005-0000-0000-0000FA0B0000}"/>
    <cellStyle name="Calculation 2 10 2 7 3" xfId="21892" xr:uid="{00000000-0005-0000-0000-0000FB0B0000}"/>
    <cellStyle name="Calculation 2 10 2 8" xfId="4093" xr:uid="{00000000-0005-0000-0000-0000FC0B0000}"/>
    <cellStyle name="Calculation 2 10 2 8 2" xfId="22559" xr:uid="{00000000-0005-0000-0000-0000FD0B0000}"/>
    <cellStyle name="Calculation 2 10 2 8 3" xfId="17775" xr:uid="{00000000-0005-0000-0000-0000FE0B0000}"/>
    <cellStyle name="Calculation 2 10 2 9" xfId="15088" xr:uid="{00000000-0005-0000-0000-0000FF0B0000}"/>
    <cellStyle name="Calculation 2 10 2 9 2" xfId="36499" xr:uid="{00000000-0005-0000-0000-0000000C0000}"/>
    <cellStyle name="Calculation 2 10 2 9 3" xfId="17102" xr:uid="{00000000-0005-0000-0000-0000010C0000}"/>
    <cellStyle name="Calculation 2 10 3" xfId="4593" xr:uid="{00000000-0005-0000-0000-0000020C0000}"/>
    <cellStyle name="Calculation 2 10 3 2" xfId="23053" xr:uid="{00000000-0005-0000-0000-0000030C0000}"/>
    <cellStyle name="Calculation 2 10 3 3" xfId="18269" xr:uid="{00000000-0005-0000-0000-0000040C0000}"/>
    <cellStyle name="Calculation 2 10 4" xfId="4449" xr:uid="{00000000-0005-0000-0000-0000050C0000}"/>
    <cellStyle name="Calculation 2 10 4 2" xfId="22909" xr:uid="{00000000-0005-0000-0000-0000060C0000}"/>
    <cellStyle name="Calculation 2 10 4 3" xfId="18128" xr:uid="{00000000-0005-0000-0000-0000070C0000}"/>
    <cellStyle name="Calculation 2 10 5" xfId="6780" xr:uid="{00000000-0005-0000-0000-0000080C0000}"/>
    <cellStyle name="Calculation 2 10 5 2" xfId="25218" xr:uid="{00000000-0005-0000-0000-0000090C0000}"/>
    <cellStyle name="Calculation 2 10 5 3" xfId="20210" xr:uid="{00000000-0005-0000-0000-00000A0C0000}"/>
    <cellStyle name="Calculation 2 10 6" xfId="6921" xr:uid="{00000000-0005-0000-0000-00000B0C0000}"/>
    <cellStyle name="Calculation 2 10 6 2" xfId="25359" xr:uid="{00000000-0005-0000-0000-00000C0C0000}"/>
    <cellStyle name="Calculation 2 10 6 3" xfId="20302" xr:uid="{00000000-0005-0000-0000-00000D0C0000}"/>
    <cellStyle name="Calculation 2 10 7" xfId="6918" xr:uid="{00000000-0005-0000-0000-00000E0C0000}"/>
    <cellStyle name="Calculation 2 10 7 2" xfId="25356" xr:uid="{00000000-0005-0000-0000-00000F0C0000}"/>
    <cellStyle name="Calculation 2 10 7 3" xfId="20299" xr:uid="{00000000-0005-0000-0000-0000100C0000}"/>
    <cellStyle name="Calculation 2 10 8" xfId="8220" xr:uid="{00000000-0005-0000-0000-0000110C0000}"/>
    <cellStyle name="Calculation 2 10 8 2" xfId="26645" xr:uid="{00000000-0005-0000-0000-0000120C0000}"/>
    <cellStyle name="Calculation 2 10 8 3" xfId="21571" xr:uid="{00000000-0005-0000-0000-0000130C0000}"/>
    <cellStyle name="Calculation 2 10 9" xfId="3771" xr:uid="{00000000-0005-0000-0000-0000140C0000}"/>
    <cellStyle name="Calculation 2 10 9 2" xfId="22240" xr:uid="{00000000-0005-0000-0000-0000150C0000}"/>
    <cellStyle name="Calculation 2 10 9 3" xfId="17454" xr:uid="{00000000-0005-0000-0000-0000160C0000}"/>
    <cellStyle name="Calculation 2 11" xfId="1591" xr:uid="{00000000-0005-0000-0000-0000170C0000}"/>
    <cellStyle name="Calculation 2 11 10" xfId="15708" xr:uid="{00000000-0005-0000-0000-0000180C0000}"/>
    <cellStyle name="Calculation 2 11 10 2" xfId="37073" xr:uid="{00000000-0005-0000-0000-0000190C0000}"/>
    <cellStyle name="Calculation 2 11 10 3" xfId="16767" xr:uid="{00000000-0005-0000-0000-00001A0C0000}"/>
    <cellStyle name="Calculation 2 11 11" xfId="16190" xr:uid="{00000000-0005-0000-0000-00001B0C0000}"/>
    <cellStyle name="Calculation 2 11 11 2" xfId="37506" xr:uid="{00000000-0005-0000-0000-00001C0C0000}"/>
    <cellStyle name="Calculation 2 11 12" xfId="31163" xr:uid="{00000000-0005-0000-0000-00001D0C0000}"/>
    <cellStyle name="Calculation 2 11 13" xfId="39048" xr:uid="{00000000-0005-0000-0000-000060060000}"/>
    <cellStyle name="Calculation 2 11 14" xfId="41015" xr:uid="{00000000-0005-0000-0000-000060060000}"/>
    <cellStyle name="Calculation 2 11 2" xfId="3333" xr:uid="{00000000-0005-0000-0000-00001E0C0000}"/>
    <cellStyle name="Calculation 2 11 2 10" xfId="14434" xr:uid="{00000000-0005-0000-0000-00001F0C0000}"/>
    <cellStyle name="Calculation 2 11 2 10 2" xfId="35962" xr:uid="{00000000-0005-0000-0000-0000200C0000}"/>
    <cellStyle name="Calculation 2 11 2 11" xfId="31393" xr:uid="{00000000-0005-0000-0000-0000210C0000}"/>
    <cellStyle name="Calculation 2 11 2 2" xfId="5471" xr:uid="{00000000-0005-0000-0000-0000220C0000}"/>
    <cellStyle name="Calculation 2 11 2 2 2" xfId="23924" xr:uid="{00000000-0005-0000-0000-0000230C0000}"/>
    <cellStyle name="Calculation 2 11 2 2 3" xfId="19059" xr:uid="{00000000-0005-0000-0000-0000240C0000}"/>
    <cellStyle name="Calculation 2 11 2 3" xfId="5445" xr:uid="{00000000-0005-0000-0000-0000250C0000}"/>
    <cellStyle name="Calculation 2 11 2 3 2" xfId="23899" xr:uid="{00000000-0005-0000-0000-0000260C0000}"/>
    <cellStyle name="Calculation 2 11 2 3 3" xfId="19041" xr:uid="{00000000-0005-0000-0000-0000270C0000}"/>
    <cellStyle name="Calculation 2 11 2 4" xfId="6142" xr:uid="{00000000-0005-0000-0000-0000280C0000}"/>
    <cellStyle name="Calculation 2 11 2 4 2" xfId="24583" xr:uid="{00000000-0005-0000-0000-0000290C0000}"/>
    <cellStyle name="Calculation 2 11 2 4 3" xfId="19692" xr:uid="{00000000-0005-0000-0000-00002A0C0000}"/>
    <cellStyle name="Calculation 2 11 2 5" xfId="7507" xr:uid="{00000000-0005-0000-0000-00002B0C0000}"/>
    <cellStyle name="Calculation 2 11 2 5 2" xfId="25937" xr:uid="{00000000-0005-0000-0000-00002C0C0000}"/>
    <cellStyle name="Calculation 2 11 2 5 3" xfId="20862" xr:uid="{00000000-0005-0000-0000-00002D0C0000}"/>
    <cellStyle name="Calculation 2 11 2 6" xfId="7880" xr:uid="{00000000-0005-0000-0000-00002E0C0000}"/>
    <cellStyle name="Calculation 2 11 2 6 2" xfId="26310" xr:uid="{00000000-0005-0000-0000-00002F0C0000}"/>
    <cellStyle name="Calculation 2 11 2 6 3" xfId="21234" xr:uid="{00000000-0005-0000-0000-0000300C0000}"/>
    <cellStyle name="Calculation 2 11 2 7" xfId="8602" xr:uid="{00000000-0005-0000-0000-0000310C0000}"/>
    <cellStyle name="Calculation 2 11 2 7 2" xfId="27024" xr:uid="{00000000-0005-0000-0000-0000320C0000}"/>
    <cellStyle name="Calculation 2 11 2 7 3" xfId="21893" xr:uid="{00000000-0005-0000-0000-0000330C0000}"/>
    <cellStyle name="Calculation 2 11 2 8" xfId="4094" xr:uid="{00000000-0005-0000-0000-0000340C0000}"/>
    <cellStyle name="Calculation 2 11 2 8 2" xfId="22560" xr:uid="{00000000-0005-0000-0000-0000350C0000}"/>
    <cellStyle name="Calculation 2 11 2 8 3" xfId="17776" xr:uid="{00000000-0005-0000-0000-0000360C0000}"/>
    <cellStyle name="Calculation 2 11 2 9" xfId="15709" xr:uid="{00000000-0005-0000-0000-0000370C0000}"/>
    <cellStyle name="Calculation 2 11 2 9 2" xfId="37074" xr:uid="{00000000-0005-0000-0000-0000380C0000}"/>
    <cellStyle name="Calculation 2 11 2 9 3" xfId="17103" xr:uid="{00000000-0005-0000-0000-0000390C0000}"/>
    <cellStyle name="Calculation 2 11 3" xfId="4594" xr:uid="{00000000-0005-0000-0000-00003A0C0000}"/>
    <cellStyle name="Calculation 2 11 3 2" xfId="23054" xr:uid="{00000000-0005-0000-0000-00003B0C0000}"/>
    <cellStyle name="Calculation 2 11 3 3" xfId="18270" xr:uid="{00000000-0005-0000-0000-00003C0C0000}"/>
    <cellStyle name="Calculation 2 11 4" xfId="4450" xr:uid="{00000000-0005-0000-0000-00003D0C0000}"/>
    <cellStyle name="Calculation 2 11 4 2" xfId="22910" xr:uid="{00000000-0005-0000-0000-00003E0C0000}"/>
    <cellStyle name="Calculation 2 11 4 3" xfId="18129" xr:uid="{00000000-0005-0000-0000-00003F0C0000}"/>
    <cellStyle name="Calculation 2 11 5" xfId="6779" xr:uid="{00000000-0005-0000-0000-0000400C0000}"/>
    <cellStyle name="Calculation 2 11 5 2" xfId="25217" xr:uid="{00000000-0005-0000-0000-0000410C0000}"/>
    <cellStyle name="Calculation 2 11 5 3" xfId="20209" xr:uid="{00000000-0005-0000-0000-0000420C0000}"/>
    <cellStyle name="Calculation 2 11 6" xfId="7106" xr:uid="{00000000-0005-0000-0000-0000430C0000}"/>
    <cellStyle name="Calculation 2 11 6 2" xfId="25540" xr:uid="{00000000-0005-0000-0000-0000440C0000}"/>
    <cellStyle name="Calculation 2 11 6 3" xfId="20471" xr:uid="{00000000-0005-0000-0000-0000450C0000}"/>
    <cellStyle name="Calculation 2 11 7" xfId="7101" xr:uid="{00000000-0005-0000-0000-0000460C0000}"/>
    <cellStyle name="Calculation 2 11 7 2" xfId="25535" xr:uid="{00000000-0005-0000-0000-0000470C0000}"/>
    <cellStyle name="Calculation 2 11 7 3" xfId="20466" xr:uid="{00000000-0005-0000-0000-0000480C0000}"/>
    <cellStyle name="Calculation 2 11 8" xfId="8221" xr:uid="{00000000-0005-0000-0000-0000490C0000}"/>
    <cellStyle name="Calculation 2 11 8 2" xfId="26646" xr:uid="{00000000-0005-0000-0000-00004A0C0000}"/>
    <cellStyle name="Calculation 2 11 8 3" xfId="21572" xr:uid="{00000000-0005-0000-0000-00004B0C0000}"/>
    <cellStyle name="Calculation 2 11 9" xfId="3772" xr:uid="{00000000-0005-0000-0000-00004C0C0000}"/>
    <cellStyle name="Calculation 2 11 9 2" xfId="22241" xr:uid="{00000000-0005-0000-0000-00004D0C0000}"/>
    <cellStyle name="Calculation 2 11 9 3" xfId="17455" xr:uid="{00000000-0005-0000-0000-00004E0C0000}"/>
    <cellStyle name="Calculation 2 12" xfId="3331" xr:uid="{00000000-0005-0000-0000-00004F0C0000}"/>
    <cellStyle name="Calculation 2 12 10" xfId="15301" xr:uid="{00000000-0005-0000-0000-0000500C0000}"/>
    <cellStyle name="Calculation 2 12 10 2" xfId="36694" xr:uid="{00000000-0005-0000-0000-0000510C0000}"/>
    <cellStyle name="Calculation 2 12 11" xfId="31391" xr:uid="{00000000-0005-0000-0000-0000520C0000}"/>
    <cellStyle name="Calculation 2 12 2" xfId="5469" xr:uid="{00000000-0005-0000-0000-0000530C0000}"/>
    <cellStyle name="Calculation 2 12 2 2" xfId="23922" xr:uid="{00000000-0005-0000-0000-0000540C0000}"/>
    <cellStyle name="Calculation 2 12 2 3" xfId="19057" xr:uid="{00000000-0005-0000-0000-0000550C0000}"/>
    <cellStyle name="Calculation 2 12 3" xfId="5443" xr:uid="{00000000-0005-0000-0000-0000560C0000}"/>
    <cellStyle name="Calculation 2 12 3 2" xfId="23897" xr:uid="{00000000-0005-0000-0000-0000570C0000}"/>
    <cellStyle name="Calculation 2 12 3 3" xfId="19039" xr:uid="{00000000-0005-0000-0000-0000580C0000}"/>
    <cellStyle name="Calculation 2 12 4" xfId="6144" xr:uid="{00000000-0005-0000-0000-0000590C0000}"/>
    <cellStyle name="Calculation 2 12 4 2" xfId="24585" xr:uid="{00000000-0005-0000-0000-00005A0C0000}"/>
    <cellStyle name="Calculation 2 12 4 3" xfId="19694" xr:uid="{00000000-0005-0000-0000-00005B0C0000}"/>
    <cellStyle name="Calculation 2 12 5" xfId="7505" xr:uid="{00000000-0005-0000-0000-00005C0C0000}"/>
    <cellStyle name="Calculation 2 12 5 2" xfId="25935" xr:uid="{00000000-0005-0000-0000-00005D0C0000}"/>
    <cellStyle name="Calculation 2 12 5 3" xfId="20860" xr:uid="{00000000-0005-0000-0000-00005E0C0000}"/>
    <cellStyle name="Calculation 2 12 6" xfId="7878" xr:uid="{00000000-0005-0000-0000-00005F0C0000}"/>
    <cellStyle name="Calculation 2 12 6 2" xfId="26308" xr:uid="{00000000-0005-0000-0000-0000600C0000}"/>
    <cellStyle name="Calculation 2 12 6 3" xfId="21232" xr:uid="{00000000-0005-0000-0000-0000610C0000}"/>
    <cellStyle name="Calculation 2 12 7" xfId="8600" xr:uid="{00000000-0005-0000-0000-0000620C0000}"/>
    <cellStyle name="Calculation 2 12 7 2" xfId="27022" xr:uid="{00000000-0005-0000-0000-0000630C0000}"/>
    <cellStyle name="Calculation 2 12 7 3" xfId="21891" xr:uid="{00000000-0005-0000-0000-0000640C0000}"/>
    <cellStyle name="Calculation 2 12 8" xfId="4092" xr:uid="{00000000-0005-0000-0000-0000650C0000}"/>
    <cellStyle name="Calculation 2 12 8 2" xfId="22558" xr:uid="{00000000-0005-0000-0000-0000660C0000}"/>
    <cellStyle name="Calculation 2 12 8 3" xfId="17774" xr:uid="{00000000-0005-0000-0000-0000670C0000}"/>
    <cellStyle name="Calculation 2 12 9" xfId="15710" xr:uid="{00000000-0005-0000-0000-0000680C0000}"/>
    <cellStyle name="Calculation 2 12 9 2" xfId="37075" xr:uid="{00000000-0005-0000-0000-0000690C0000}"/>
    <cellStyle name="Calculation 2 12 9 3" xfId="17101" xr:uid="{00000000-0005-0000-0000-00006A0C0000}"/>
    <cellStyle name="Calculation 2 13" xfId="4592" xr:uid="{00000000-0005-0000-0000-00006B0C0000}"/>
    <cellStyle name="Calculation 2 13 2" xfId="16478" xr:uid="{00000000-0005-0000-0000-00006C0C0000}"/>
    <cellStyle name="Calculation 2 13 2 2" xfId="23052" xr:uid="{00000000-0005-0000-0000-00006D0C0000}"/>
    <cellStyle name="Calculation 2 13 3" xfId="16560" xr:uid="{00000000-0005-0000-0000-00006E0C0000}"/>
    <cellStyle name="Calculation 2 13 3 2" xfId="37776" xr:uid="{00000000-0005-0000-0000-00006F0C0000}"/>
    <cellStyle name="Calculation 2 13 4" xfId="14396" xr:uid="{00000000-0005-0000-0000-0000700C0000}"/>
    <cellStyle name="Calculation 2 14" xfId="4448" xr:uid="{00000000-0005-0000-0000-0000710C0000}"/>
    <cellStyle name="Calculation 2 14 2" xfId="22908" xr:uid="{00000000-0005-0000-0000-0000720C0000}"/>
    <cellStyle name="Calculation 2 14 3" xfId="18127" xr:uid="{00000000-0005-0000-0000-0000730C0000}"/>
    <cellStyle name="Calculation 2 15" xfId="6781" xr:uid="{00000000-0005-0000-0000-0000740C0000}"/>
    <cellStyle name="Calculation 2 15 2" xfId="25219" xr:uid="{00000000-0005-0000-0000-0000750C0000}"/>
    <cellStyle name="Calculation 2 15 3" xfId="20211" xr:uid="{00000000-0005-0000-0000-0000760C0000}"/>
    <cellStyle name="Calculation 2 16" xfId="7105" xr:uid="{00000000-0005-0000-0000-0000770C0000}"/>
    <cellStyle name="Calculation 2 16 2" xfId="25539" xr:uid="{00000000-0005-0000-0000-0000780C0000}"/>
    <cellStyle name="Calculation 2 16 3" xfId="20470" xr:uid="{00000000-0005-0000-0000-0000790C0000}"/>
    <cellStyle name="Calculation 2 17" xfId="7104" xr:uid="{00000000-0005-0000-0000-00007A0C0000}"/>
    <cellStyle name="Calculation 2 17 2" xfId="25538" xr:uid="{00000000-0005-0000-0000-00007B0C0000}"/>
    <cellStyle name="Calculation 2 17 3" xfId="20469" xr:uid="{00000000-0005-0000-0000-00007C0C0000}"/>
    <cellStyle name="Calculation 2 18" xfId="8219" xr:uid="{00000000-0005-0000-0000-00007D0C0000}"/>
    <cellStyle name="Calculation 2 18 2" xfId="26644" xr:uid="{00000000-0005-0000-0000-00007E0C0000}"/>
    <cellStyle name="Calculation 2 18 3" xfId="21570" xr:uid="{00000000-0005-0000-0000-00007F0C0000}"/>
    <cellStyle name="Calculation 2 19" xfId="3770" xr:uid="{00000000-0005-0000-0000-0000800C0000}"/>
    <cellStyle name="Calculation 2 19 2" xfId="22239" xr:uid="{00000000-0005-0000-0000-0000810C0000}"/>
    <cellStyle name="Calculation 2 19 3" xfId="17453" xr:uid="{00000000-0005-0000-0000-0000820C0000}"/>
    <cellStyle name="Calculation 2 2" xfId="1592" xr:uid="{00000000-0005-0000-0000-0000830C0000}"/>
    <cellStyle name="Calculation 2 2 10" xfId="14445" xr:uid="{00000000-0005-0000-0000-0000840C0000}"/>
    <cellStyle name="Calculation 2 2 10 2" xfId="35973" xr:uid="{00000000-0005-0000-0000-0000850C0000}"/>
    <cellStyle name="Calculation 2 2 10 3" xfId="16768" xr:uid="{00000000-0005-0000-0000-0000860C0000}"/>
    <cellStyle name="Calculation 2 2 11" xfId="16247" xr:uid="{00000000-0005-0000-0000-0000870C0000}"/>
    <cellStyle name="Calculation 2 2 11 2" xfId="37557" xr:uid="{00000000-0005-0000-0000-0000880C0000}"/>
    <cellStyle name="Calculation 2 2 12" xfId="31164" xr:uid="{00000000-0005-0000-0000-0000890C0000}"/>
    <cellStyle name="Calculation 2 2 13" xfId="37819" xr:uid="{00000000-0005-0000-0000-000061060000}"/>
    <cellStyle name="Calculation 2 2 14" xfId="40765" xr:uid="{00000000-0005-0000-0000-000061060000}"/>
    <cellStyle name="Calculation 2 2 2" xfId="3334" xr:uid="{00000000-0005-0000-0000-00008A0C0000}"/>
    <cellStyle name="Calculation 2 2 2 10" xfId="16117" xr:uid="{00000000-0005-0000-0000-00008B0C0000}"/>
    <cellStyle name="Calculation 2 2 2 10 2" xfId="37438" xr:uid="{00000000-0005-0000-0000-00008C0C0000}"/>
    <cellStyle name="Calculation 2 2 2 11" xfId="31394" xr:uid="{00000000-0005-0000-0000-00008D0C0000}"/>
    <cellStyle name="Calculation 2 2 2 12" xfId="27897" xr:uid="{00000000-0005-0000-0000-00008E0C0000}"/>
    <cellStyle name="Calculation 2 2 2 2" xfId="5472" xr:uid="{00000000-0005-0000-0000-00008F0C0000}"/>
    <cellStyle name="Calculation 2 2 2 2 2" xfId="12352" xr:uid="{00000000-0005-0000-0000-0000900C0000}"/>
    <cellStyle name="Calculation 2 2 2 2 2 2" xfId="34806" xr:uid="{00000000-0005-0000-0000-0000910C0000}"/>
    <cellStyle name="Calculation 2 2 2 2 2 3" xfId="23925" xr:uid="{00000000-0005-0000-0000-0000920C0000}"/>
    <cellStyle name="Calculation 2 2 2 2 3" xfId="14545" xr:uid="{00000000-0005-0000-0000-0000930C0000}"/>
    <cellStyle name="Calculation 2 2 2 2 3 2" xfId="36068" xr:uid="{00000000-0005-0000-0000-0000940C0000}"/>
    <cellStyle name="Calculation 2 2 2 2 4" xfId="15668" xr:uid="{00000000-0005-0000-0000-0000950C0000}"/>
    <cellStyle name="Calculation 2 2 2 2 4 2" xfId="37042" xr:uid="{00000000-0005-0000-0000-0000960C0000}"/>
    <cellStyle name="Calculation 2 2 2 2 5" xfId="15458" xr:uid="{00000000-0005-0000-0000-0000970C0000}"/>
    <cellStyle name="Calculation 2 2 2 2 6" xfId="32181" xr:uid="{00000000-0005-0000-0000-0000980C0000}"/>
    <cellStyle name="Calculation 2 2 2 2 7" xfId="30153" xr:uid="{00000000-0005-0000-0000-0000990C0000}"/>
    <cellStyle name="Calculation 2 2 2 2 8" xfId="19060" xr:uid="{00000000-0005-0000-0000-00009A0C0000}"/>
    <cellStyle name="Calculation 2 2 2 3" xfId="5446" xr:uid="{00000000-0005-0000-0000-00009B0C0000}"/>
    <cellStyle name="Calculation 2 2 2 3 2" xfId="23900" xr:uid="{00000000-0005-0000-0000-00009C0C0000}"/>
    <cellStyle name="Calculation 2 2 2 3 3" xfId="19042" xr:uid="{00000000-0005-0000-0000-00009D0C0000}"/>
    <cellStyle name="Calculation 2 2 2 4" xfId="6141" xr:uid="{00000000-0005-0000-0000-00009E0C0000}"/>
    <cellStyle name="Calculation 2 2 2 4 2" xfId="24582" xr:uid="{00000000-0005-0000-0000-00009F0C0000}"/>
    <cellStyle name="Calculation 2 2 2 4 3" xfId="19691" xr:uid="{00000000-0005-0000-0000-0000A00C0000}"/>
    <cellStyle name="Calculation 2 2 2 5" xfId="7508" xr:uid="{00000000-0005-0000-0000-0000A10C0000}"/>
    <cellStyle name="Calculation 2 2 2 5 2" xfId="25938" xr:uid="{00000000-0005-0000-0000-0000A20C0000}"/>
    <cellStyle name="Calculation 2 2 2 5 3" xfId="20863" xr:uid="{00000000-0005-0000-0000-0000A30C0000}"/>
    <cellStyle name="Calculation 2 2 2 6" xfId="7881" xr:uid="{00000000-0005-0000-0000-0000A40C0000}"/>
    <cellStyle name="Calculation 2 2 2 6 2" xfId="26311" xr:uid="{00000000-0005-0000-0000-0000A50C0000}"/>
    <cellStyle name="Calculation 2 2 2 6 3" xfId="21235" xr:uid="{00000000-0005-0000-0000-0000A60C0000}"/>
    <cellStyle name="Calculation 2 2 2 7" xfId="8603" xr:uid="{00000000-0005-0000-0000-0000A70C0000}"/>
    <cellStyle name="Calculation 2 2 2 7 2" xfId="27025" xr:uid="{00000000-0005-0000-0000-0000A80C0000}"/>
    <cellStyle name="Calculation 2 2 2 7 3" xfId="21894" xr:uid="{00000000-0005-0000-0000-0000A90C0000}"/>
    <cellStyle name="Calculation 2 2 2 8" xfId="4095" xr:uid="{00000000-0005-0000-0000-0000AA0C0000}"/>
    <cellStyle name="Calculation 2 2 2 8 2" xfId="22561" xr:uid="{00000000-0005-0000-0000-0000AB0C0000}"/>
    <cellStyle name="Calculation 2 2 2 8 3" xfId="17777" xr:uid="{00000000-0005-0000-0000-0000AC0C0000}"/>
    <cellStyle name="Calculation 2 2 2 9" xfId="15089" xr:uid="{00000000-0005-0000-0000-0000AD0C0000}"/>
    <cellStyle name="Calculation 2 2 2 9 2" xfId="36500" xr:uid="{00000000-0005-0000-0000-0000AE0C0000}"/>
    <cellStyle name="Calculation 2 2 2 9 3" xfId="17104" xr:uid="{00000000-0005-0000-0000-0000AF0C0000}"/>
    <cellStyle name="Calculation 2 2 3" xfId="4595" xr:uid="{00000000-0005-0000-0000-0000B00C0000}"/>
    <cellStyle name="Calculation 2 2 3 2" xfId="14153" xr:uid="{00000000-0005-0000-0000-0000B10C0000}"/>
    <cellStyle name="Calculation 2 2 3 2 2" xfId="35845" xr:uid="{00000000-0005-0000-0000-0000B20C0000}"/>
    <cellStyle name="Calculation 2 2 3 2 3" xfId="23055" xr:uid="{00000000-0005-0000-0000-0000B30C0000}"/>
    <cellStyle name="Calculation 2 2 3 3" xfId="18271" xr:uid="{00000000-0005-0000-0000-0000B40C0000}"/>
    <cellStyle name="Calculation 2 2 4" xfId="4451" xr:uid="{00000000-0005-0000-0000-0000B50C0000}"/>
    <cellStyle name="Calculation 2 2 4 2" xfId="22911" xr:uid="{00000000-0005-0000-0000-0000B60C0000}"/>
    <cellStyle name="Calculation 2 2 4 3" xfId="18130" xr:uid="{00000000-0005-0000-0000-0000B70C0000}"/>
    <cellStyle name="Calculation 2 2 5" xfId="6778" xr:uid="{00000000-0005-0000-0000-0000B80C0000}"/>
    <cellStyle name="Calculation 2 2 5 2" xfId="25216" xr:uid="{00000000-0005-0000-0000-0000B90C0000}"/>
    <cellStyle name="Calculation 2 2 5 3" xfId="20208" xr:uid="{00000000-0005-0000-0000-0000BA0C0000}"/>
    <cellStyle name="Calculation 2 2 6" xfId="6922" xr:uid="{00000000-0005-0000-0000-0000BB0C0000}"/>
    <cellStyle name="Calculation 2 2 6 2" xfId="25360" xr:uid="{00000000-0005-0000-0000-0000BC0C0000}"/>
    <cellStyle name="Calculation 2 2 6 3" xfId="20303" xr:uid="{00000000-0005-0000-0000-0000BD0C0000}"/>
    <cellStyle name="Calculation 2 2 7" xfId="7103" xr:uid="{00000000-0005-0000-0000-0000BE0C0000}"/>
    <cellStyle name="Calculation 2 2 7 2" xfId="25537" xr:uid="{00000000-0005-0000-0000-0000BF0C0000}"/>
    <cellStyle name="Calculation 2 2 7 3" xfId="20468" xr:uid="{00000000-0005-0000-0000-0000C00C0000}"/>
    <cellStyle name="Calculation 2 2 8" xfId="8222" xr:uid="{00000000-0005-0000-0000-0000C10C0000}"/>
    <cellStyle name="Calculation 2 2 8 2" xfId="26647" xr:uid="{00000000-0005-0000-0000-0000C20C0000}"/>
    <cellStyle name="Calculation 2 2 8 3" xfId="21573" xr:uid="{00000000-0005-0000-0000-0000C30C0000}"/>
    <cellStyle name="Calculation 2 2 9" xfId="3773" xr:uid="{00000000-0005-0000-0000-0000C40C0000}"/>
    <cellStyle name="Calculation 2 2 9 2" xfId="22242" xr:uid="{00000000-0005-0000-0000-0000C50C0000}"/>
    <cellStyle name="Calculation 2 2 9 3" xfId="17456" xr:uid="{00000000-0005-0000-0000-0000C60C0000}"/>
    <cellStyle name="Calculation 2 20" xfId="15087" xr:uid="{00000000-0005-0000-0000-0000C70C0000}"/>
    <cellStyle name="Calculation 2 20 2" xfId="36498" xr:uid="{00000000-0005-0000-0000-0000C80C0000}"/>
    <cellStyle name="Calculation 2 20 3" xfId="16765" xr:uid="{00000000-0005-0000-0000-0000C90C0000}"/>
    <cellStyle name="Calculation 2 21" xfId="15198" xr:uid="{00000000-0005-0000-0000-0000CA0C0000}"/>
    <cellStyle name="Calculation 2 21 2" xfId="36606" xr:uid="{00000000-0005-0000-0000-0000CB0C0000}"/>
    <cellStyle name="Calculation 2 22" xfId="31161" xr:uid="{00000000-0005-0000-0000-0000CC0C0000}"/>
    <cellStyle name="Calculation 2 23" xfId="39047" xr:uid="{00000000-0005-0000-0000-00005E060000}"/>
    <cellStyle name="Calculation 2 24" xfId="41014" xr:uid="{00000000-0005-0000-0000-00005E060000}"/>
    <cellStyle name="Calculation 2 3" xfId="1593" xr:uid="{00000000-0005-0000-0000-0000CD0C0000}"/>
    <cellStyle name="Calculation 2 3 10" xfId="15711" xr:uid="{00000000-0005-0000-0000-0000CE0C0000}"/>
    <cellStyle name="Calculation 2 3 10 2" xfId="37076" xr:uid="{00000000-0005-0000-0000-0000CF0C0000}"/>
    <cellStyle name="Calculation 2 3 10 3" xfId="16769" xr:uid="{00000000-0005-0000-0000-0000D00C0000}"/>
    <cellStyle name="Calculation 2 3 11" xfId="14731" xr:uid="{00000000-0005-0000-0000-0000D10C0000}"/>
    <cellStyle name="Calculation 2 3 11 2" xfId="36211" xr:uid="{00000000-0005-0000-0000-0000D20C0000}"/>
    <cellStyle name="Calculation 2 3 12" xfId="31165" xr:uid="{00000000-0005-0000-0000-0000D30C0000}"/>
    <cellStyle name="Calculation 2 3 13" xfId="37820" xr:uid="{00000000-0005-0000-0000-000062060000}"/>
    <cellStyle name="Calculation 2 3 14" xfId="40766" xr:uid="{00000000-0005-0000-0000-000062060000}"/>
    <cellStyle name="Calculation 2 3 2" xfId="3335" xr:uid="{00000000-0005-0000-0000-0000D40C0000}"/>
    <cellStyle name="Calculation 2 3 2 10" xfId="14955" xr:uid="{00000000-0005-0000-0000-0000D50C0000}"/>
    <cellStyle name="Calculation 2 3 2 10 2" xfId="36388" xr:uid="{00000000-0005-0000-0000-0000D60C0000}"/>
    <cellStyle name="Calculation 2 3 2 11" xfId="31395" xr:uid="{00000000-0005-0000-0000-0000D70C0000}"/>
    <cellStyle name="Calculation 2 3 2 12" xfId="27898" xr:uid="{00000000-0005-0000-0000-0000D80C0000}"/>
    <cellStyle name="Calculation 2 3 2 2" xfId="5473" xr:uid="{00000000-0005-0000-0000-0000D90C0000}"/>
    <cellStyle name="Calculation 2 3 2 2 2" xfId="12353" xr:uid="{00000000-0005-0000-0000-0000DA0C0000}"/>
    <cellStyle name="Calculation 2 3 2 2 2 2" xfId="34807" xr:uid="{00000000-0005-0000-0000-0000DB0C0000}"/>
    <cellStyle name="Calculation 2 3 2 2 2 3" xfId="23926" xr:uid="{00000000-0005-0000-0000-0000DC0C0000}"/>
    <cellStyle name="Calculation 2 3 2 2 3" xfId="15190" xr:uid="{00000000-0005-0000-0000-0000DD0C0000}"/>
    <cellStyle name="Calculation 2 3 2 2 3 2" xfId="36598" xr:uid="{00000000-0005-0000-0000-0000DE0C0000}"/>
    <cellStyle name="Calculation 2 3 2 2 4" xfId="15312" xr:uid="{00000000-0005-0000-0000-0000DF0C0000}"/>
    <cellStyle name="Calculation 2 3 2 2 4 2" xfId="36703" xr:uid="{00000000-0005-0000-0000-0000E00C0000}"/>
    <cellStyle name="Calculation 2 3 2 2 5" xfId="16480" xr:uid="{00000000-0005-0000-0000-0000E10C0000}"/>
    <cellStyle name="Calculation 2 3 2 2 6" xfId="32182" xr:uid="{00000000-0005-0000-0000-0000E20C0000}"/>
    <cellStyle name="Calculation 2 3 2 2 7" xfId="30154" xr:uid="{00000000-0005-0000-0000-0000E30C0000}"/>
    <cellStyle name="Calculation 2 3 2 2 8" xfId="19061" xr:uid="{00000000-0005-0000-0000-0000E40C0000}"/>
    <cellStyle name="Calculation 2 3 2 3" xfId="5447" xr:uid="{00000000-0005-0000-0000-0000E50C0000}"/>
    <cellStyle name="Calculation 2 3 2 3 2" xfId="23901" xr:uid="{00000000-0005-0000-0000-0000E60C0000}"/>
    <cellStyle name="Calculation 2 3 2 3 3" xfId="19043" xr:uid="{00000000-0005-0000-0000-0000E70C0000}"/>
    <cellStyle name="Calculation 2 3 2 4" xfId="6140" xr:uid="{00000000-0005-0000-0000-0000E80C0000}"/>
    <cellStyle name="Calculation 2 3 2 4 2" xfId="24581" xr:uid="{00000000-0005-0000-0000-0000E90C0000}"/>
    <cellStyle name="Calculation 2 3 2 4 3" xfId="19690" xr:uid="{00000000-0005-0000-0000-0000EA0C0000}"/>
    <cellStyle name="Calculation 2 3 2 5" xfId="7509" xr:uid="{00000000-0005-0000-0000-0000EB0C0000}"/>
    <cellStyle name="Calculation 2 3 2 5 2" xfId="25939" xr:uid="{00000000-0005-0000-0000-0000EC0C0000}"/>
    <cellStyle name="Calculation 2 3 2 5 3" xfId="20864" xr:uid="{00000000-0005-0000-0000-0000ED0C0000}"/>
    <cellStyle name="Calculation 2 3 2 6" xfId="7882" xr:uid="{00000000-0005-0000-0000-0000EE0C0000}"/>
    <cellStyle name="Calculation 2 3 2 6 2" xfId="26312" xr:uid="{00000000-0005-0000-0000-0000EF0C0000}"/>
    <cellStyle name="Calculation 2 3 2 6 3" xfId="21236" xr:uid="{00000000-0005-0000-0000-0000F00C0000}"/>
    <cellStyle name="Calculation 2 3 2 7" xfId="8604" xr:uid="{00000000-0005-0000-0000-0000F10C0000}"/>
    <cellStyle name="Calculation 2 3 2 7 2" xfId="27026" xr:uid="{00000000-0005-0000-0000-0000F20C0000}"/>
    <cellStyle name="Calculation 2 3 2 7 3" xfId="21895" xr:uid="{00000000-0005-0000-0000-0000F30C0000}"/>
    <cellStyle name="Calculation 2 3 2 8" xfId="4096" xr:uid="{00000000-0005-0000-0000-0000F40C0000}"/>
    <cellStyle name="Calculation 2 3 2 8 2" xfId="22562" xr:uid="{00000000-0005-0000-0000-0000F50C0000}"/>
    <cellStyle name="Calculation 2 3 2 8 3" xfId="17778" xr:uid="{00000000-0005-0000-0000-0000F60C0000}"/>
    <cellStyle name="Calculation 2 3 2 9" xfId="14446" xr:uid="{00000000-0005-0000-0000-0000F70C0000}"/>
    <cellStyle name="Calculation 2 3 2 9 2" xfId="35974" xr:uid="{00000000-0005-0000-0000-0000F80C0000}"/>
    <cellStyle name="Calculation 2 3 2 9 3" xfId="17105" xr:uid="{00000000-0005-0000-0000-0000F90C0000}"/>
    <cellStyle name="Calculation 2 3 3" xfId="4596" xr:uid="{00000000-0005-0000-0000-0000FA0C0000}"/>
    <cellStyle name="Calculation 2 3 3 2" xfId="14154" xr:uid="{00000000-0005-0000-0000-0000FB0C0000}"/>
    <cellStyle name="Calculation 2 3 3 2 2" xfId="35846" xr:uid="{00000000-0005-0000-0000-0000FC0C0000}"/>
    <cellStyle name="Calculation 2 3 3 2 3" xfId="23056" xr:uid="{00000000-0005-0000-0000-0000FD0C0000}"/>
    <cellStyle name="Calculation 2 3 3 3" xfId="18272" xr:uid="{00000000-0005-0000-0000-0000FE0C0000}"/>
    <cellStyle name="Calculation 2 3 4" xfId="4452" xr:uid="{00000000-0005-0000-0000-0000FF0C0000}"/>
    <cellStyle name="Calculation 2 3 4 2" xfId="22912" xr:uid="{00000000-0005-0000-0000-0000000D0000}"/>
    <cellStyle name="Calculation 2 3 4 3" xfId="18131" xr:uid="{00000000-0005-0000-0000-0000010D0000}"/>
    <cellStyle name="Calculation 2 3 5" xfId="6777" xr:uid="{00000000-0005-0000-0000-0000020D0000}"/>
    <cellStyle name="Calculation 2 3 5 2" xfId="25215" xr:uid="{00000000-0005-0000-0000-0000030D0000}"/>
    <cellStyle name="Calculation 2 3 5 3" xfId="20207" xr:uid="{00000000-0005-0000-0000-0000040D0000}"/>
    <cellStyle name="Calculation 2 3 6" xfId="7107" xr:uid="{00000000-0005-0000-0000-0000050D0000}"/>
    <cellStyle name="Calculation 2 3 6 2" xfId="25541" xr:uid="{00000000-0005-0000-0000-0000060D0000}"/>
    <cellStyle name="Calculation 2 3 6 3" xfId="20472" xr:uid="{00000000-0005-0000-0000-0000070D0000}"/>
    <cellStyle name="Calculation 2 3 7" xfId="6917" xr:uid="{00000000-0005-0000-0000-0000080D0000}"/>
    <cellStyle name="Calculation 2 3 7 2" xfId="25355" xr:uid="{00000000-0005-0000-0000-0000090D0000}"/>
    <cellStyle name="Calculation 2 3 7 3" xfId="20298" xr:uid="{00000000-0005-0000-0000-00000A0D0000}"/>
    <cellStyle name="Calculation 2 3 8" xfId="8223" xr:uid="{00000000-0005-0000-0000-00000B0D0000}"/>
    <cellStyle name="Calculation 2 3 8 2" xfId="26648" xr:uid="{00000000-0005-0000-0000-00000C0D0000}"/>
    <cellStyle name="Calculation 2 3 8 3" xfId="21574" xr:uid="{00000000-0005-0000-0000-00000D0D0000}"/>
    <cellStyle name="Calculation 2 3 9" xfId="3774" xr:uid="{00000000-0005-0000-0000-00000E0D0000}"/>
    <cellStyle name="Calculation 2 3 9 2" xfId="22243" xr:uid="{00000000-0005-0000-0000-00000F0D0000}"/>
    <cellStyle name="Calculation 2 3 9 3" xfId="17457" xr:uid="{00000000-0005-0000-0000-0000100D0000}"/>
    <cellStyle name="Calculation 2 4" xfId="1594" xr:uid="{00000000-0005-0000-0000-0000110D0000}"/>
    <cellStyle name="Calculation 2 4 10" xfId="15090" xr:uid="{00000000-0005-0000-0000-0000120D0000}"/>
    <cellStyle name="Calculation 2 4 10 2" xfId="36501" xr:uid="{00000000-0005-0000-0000-0000130D0000}"/>
    <cellStyle name="Calculation 2 4 10 3" xfId="16770" xr:uid="{00000000-0005-0000-0000-0000140D0000}"/>
    <cellStyle name="Calculation 2 4 11" xfId="14785" xr:uid="{00000000-0005-0000-0000-0000150D0000}"/>
    <cellStyle name="Calculation 2 4 11 2" xfId="36242" xr:uid="{00000000-0005-0000-0000-0000160D0000}"/>
    <cellStyle name="Calculation 2 4 12" xfId="31166" xr:uid="{00000000-0005-0000-0000-0000170D0000}"/>
    <cellStyle name="Calculation 2 4 13" xfId="37821" xr:uid="{00000000-0005-0000-0000-000063060000}"/>
    <cellStyle name="Calculation 2 4 14" xfId="40767" xr:uid="{00000000-0005-0000-0000-000063060000}"/>
    <cellStyle name="Calculation 2 4 2" xfId="3336" xr:uid="{00000000-0005-0000-0000-0000180D0000}"/>
    <cellStyle name="Calculation 2 4 2 10" xfId="16388" xr:uid="{00000000-0005-0000-0000-0000190D0000}"/>
    <cellStyle name="Calculation 2 4 2 10 2" xfId="37687" xr:uid="{00000000-0005-0000-0000-00001A0D0000}"/>
    <cellStyle name="Calculation 2 4 2 11" xfId="31396" xr:uid="{00000000-0005-0000-0000-00001B0D0000}"/>
    <cellStyle name="Calculation 2 4 2 12" xfId="27899" xr:uid="{00000000-0005-0000-0000-00001C0D0000}"/>
    <cellStyle name="Calculation 2 4 2 2" xfId="5474" xr:uid="{00000000-0005-0000-0000-00001D0D0000}"/>
    <cellStyle name="Calculation 2 4 2 2 2" xfId="12354" xr:uid="{00000000-0005-0000-0000-00001E0D0000}"/>
    <cellStyle name="Calculation 2 4 2 2 2 2" xfId="34808" xr:uid="{00000000-0005-0000-0000-00001F0D0000}"/>
    <cellStyle name="Calculation 2 4 2 2 2 3" xfId="23927" xr:uid="{00000000-0005-0000-0000-0000200D0000}"/>
    <cellStyle name="Calculation 2 4 2 2 3" xfId="14544" xr:uid="{00000000-0005-0000-0000-0000210D0000}"/>
    <cellStyle name="Calculation 2 4 2 2 3 2" xfId="36067" xr:uid="{00000000-0005-0000-0000-0000220D0000}"/>
    <cellStyle name="Calculation 2 4 2 2 4" xfId="16096" xr:uid="{00000000-0005-0000-0000-0000230D0000}"/>
    <cellStyle name="Calculation 2 4 2 2 4 2" xfId="37418" xr:uid="{00000000-0005-0000-0000-0000240D0000}"/>
    <cellStyle name="Calculation 2 4 2 2 5" xfId="14553" xr:uid="{00000000-0005-0000-0000-0000250D0000}"/>
    <cellStyle name="Calculation 2 4 2 2 6" xfId="32183" xr:uid="{00000000-0005-0000-0000-0000260D0000}"/>
    <cellStyle name="Calculation 2 4 2 2 7" xfId="30155" xr:uid="{00000000-0005-0000-0000-0000270D0000}"/>
    <cellStyle name="Calculation 2 4 2 2 8" xfId="19062" xr:uid="{00000000-0005-0000-0000-0000280D0000}"/>
    <cellStyle name="Calculation 2 4 2 3" xfId="5901" xr:uid="{00000000-0005-0000-0000-0000290D0000}"/>
    <cellStyle name="Calculation 2 4 2 3 2" xfId="24347" xr:uid="{00000000-0005-0000-0000-00002A0D0000}"/>
    <cellStyle name="Calculation 2 4 2 3 3" xfId="19454" xr:uid="{00000000-0005-0000-0000-00002B0D0000}"/>
    <cellStyle name="Calculation 2 4 2 4" xfId="6139" xr:uid="{00000000-0005-0000-0000-00002C0D0000}"/>
    <cellStyle name="Calculation 2 4 2 4 2" xfId="24580" xr:uid="{00000000-0005-0000-0000-00002D0D0000}"/>
    <cellStyle name="Calculation 2 4 2 4 3" xfId="19689" xr:uid="{00000000-0005-0000-0000-00002E0D0000}"/>
    <cellStyle name="Calculation 2 4 2 5" xfId="7510" xr:uid="{00000000-0005-0000-0000-00002F0D0000}"/>
    <cellStyle name="Calculation 2 4 2 5 2" xfId="25940" xr:uid="{00000000-0005-0000-0000-0000300D0000}"/>
    <cellStyle name="Calculation 2 4 2 5 3" xfId="20865" xr:uid="{00000000-0005-0000-0000-0000310D0000}"/>
    <cellStyle name="Calculation 2 4 2 6" xfId="7883" xr:uid="{00000000-0005-0000-0000-0000320D0000}"/>
    <cellStyle name="Calculation 2 4 2 6 2" xfId="26313" xr:uid="{00000000-0005-0000-0000-0000330D0000}"/>
    <cellStyle name="Calculation 2 4 2 6 3" xfId="21237" xr:uid="{00000000-0005-0000-0000-0000340D0000}"/>
    <cellStyle name="Calculation 2 4 2 7" xfId="8605" xr:uid="{00000000-0005-0000-0000-0000350D0000}"/>
    <cellStyle name="Calculation 2 4 2 7 2" xfId="27027" xr:uid="{00000000-0005-0000-0000-0000360D0000}"/>
    <cellStyle name="Calculation 2 4 2 7 3" xfId="21896" xr:uid="{00000000-0005-0000-0000-0000370D0000}"/>
    <cellStyle name="Calculation 2 4 2 8" xfId="4097" xr:uid="{00000000-0005-0000-0000-0000380D0000}"/>
    <cellStyle name="Calculation 2 4 2 8 2" xfId="22563" xr:uid="{00000000-0005-0000-0000-0000390D0000}"/>
    <cellStyle name="Calculation 2 4 2 8 3" xfId="17779" xr:uid="{00000000-0005-0000-0000-00003A0D0000}"/>
    <cellStyle name="Calculation 2 4 2 9" xfId="15712" xr:uid="{00000000-0005-0000-0000-00003B0D0000}"/>
    <cellStyle name="Calculation 2 4 2 9 2" xfId="37077" xr:uid="{00000000-0005-0000-0000-00003C0D0000}"/>
    <cellStyle name="Calculation 2 4 2 9 3" xfId="17106" xr:uid="{00000000-0005-0000-0000-00003D0D0000}"/>
    <cellStyle name="Calculation 2 4 3" xfId="4597" xr:uid="{00000000-0005-0000-0000-00003E0D0000}"/>
    <cellStyle name="Calculation 2 4 3 2" xfId="23057" xr:uid="{00000000-0005-0000-0000-00003F0D0000}"/>
    <cellStyle name="Calculation 2 4 3 3" xfId="18273" xr:uid="{00000000-0005-0000-0000-0000400D0000}"/>
    <cellStyle name="Calculation 2 4 4" xfId="4453" xr:uid="{00000000-0005-0000-0000-0000410D0000}"/>
    <cellStyle name="Calculation 2 4 4 2" xfId="22913" xr:uid="{00000000-0005-0000-0000-0000420D0000}"/>
    <cellStyle name="Calculation 2 4 4 3" xfId="18132" xr:uid="{00000000-0005-0000-0000-0000430D0000}"/>
    <cellStyle name="Calculation 2 4 5" xfId="6776" xr:uid="{00000000-0005-0000-0000-0000440D0000}"/>
    <cellStyle name="Calculation 2 4 5 2" xfId="25214" xr:uid="{00000000-0005-0000-0000-0000450D0000}"/>
    <cellStyle name="Calculation 2 4 5 3" xfId="20206" xr:uid="{00000000-0005-0000-0000-0000460D0000}"/>
    <cellStyle name="Calculation 2 4 6" xfId="6923" xr:uid="{00000000-0005-0000-0000-0000470D0000}"/>
    <cellStyle name="Calculation 2 4 6 2" xfId="25361" xr:uid="{00000000-0005-0000-0000-0000480D0000}"/>
    <cellStyle name="Calculation 2 4 6 3" xfId="20304" xr:uid="{00000000-0005-0000-0000-0000490D0000}"/>
    <cellStyle name="Calculation 2 4 7" xfId="7102" xr:uid="{00000000-0005-0000-0000-00004A0D0000}"/>
    <cellStyle name="Calculation 2 4 7 2" xfId="25536" xr:uid="{00000000-0005-0000-0000-00004B0D0000}"/>
    <cellStyle name="Calculation 2 4 7 3" xfId="20467" xr:uid="{00000000-0005-0000-0000-00004C0D0000}"/>
    <cellStyle name="Calculation 2 4 8" xfId="8224" xr:uid="{00000000-0005-0000-0000-00004D0D0000}"/>
    <cellStyle name="Calculation 2 4 8 2" xfId="26649" xr:uid="{00000000-0005-0000-0000-00004E0D0000}"/>
    <cellStyle name="Calculation 2 4 8 3" xfId="21575" xr:uid="{00000000-0005-0000-0000-00004F0D0000}"/>
    <cellStyle name="Calculation 2 4 9" xfId="3775" xr:uid="{00000000-0005-0000-0000-0000500D0000}"/>
    <cellStyle name="Calculation 2 4 9 2" xfId="22244" xr:uid="{00000000-0005-0000-0000-0000510D0000}"/>
    <cellStyle name="Calculation 2 4 9 3" xfId="17458" xr:uid="{00000000-0005-0000-0000-0000520D0000}"/>
    <cellStyle name="Calculation 2 5" xfId="1595" xr:uid="{00000000-0005-0000-0000-0000530D0000}"/>
    <cellStyle name="Calculation 2 5 10" xfId="14447" xr:uid="{00000000-0005-0000-0000-0000540D0000}"/>
    <cellStyle name="Calculation 2 5 10 2" xfId="35975" xr:uid="{00000000-0005-0000-0000-0000550D0000}"/>
    <cellStyle name="Calculation 2 5 10 3" xfId="16771" xr:uid="{00000000-0005-0000-0000-0000560D0000}"/>
    <cellStyle name="Calculation 2 5 11" xfId="15255" xr:uid="{00000000-0005-0000-0000-0000570D0000}"/>
    <cellStyle name="Calculation 2 5 11 2" xfId="36660" xr:uid="{00000000-0005-0000-0000-0000580D0000}"/>
    <cellStyle name="Calculation 2 5 12" xfId="31167" xr:uid="{00000000-0005-0000-0000-0000590D0000}"/>
    <cellStyle name="Calculation 2 5 13" xfId="37822" xr:uid="{00000000-0005-0000-0000-000064060000}"/>
    <cellStyle name="Calculation 2 5 14" xfId="40768" xr:uid="{00000000-0005-0000-0000-000064060000}"/>
    <cellStyle name="Calculation 2 5 2" xfId="3337" xr:uid="{00000000-0005-0000-0000-00005A0D0000}"/>
    <cellStyle name="Calculation 2 5 2 10" xfId="15037" xr:uid="{00000000-0005-0000-0000-00005B0D0000}"/>
    <cellStyle name="Calculation 2 5 2 10 2" xfId="36459" xr:uid="{00000000-0005-0000-0000-00005C0D0000}"/>
    <cellStyle name="Calculation 2 5 2 11" xfId="31397" xr:uid="{00000000-0005-0000-0000-00005D0D0000}"/>
    <cellStyle name="Calculation 2 5 2 12" xfId="27900" xr:uid="{00000000-0005-0000-0000-00005E0D0000}"/>
    <cellStyle name="Calculation 2 5 2 2" xfId="5475" xr:uid="{00000000-0005-0000-0000-00005F0D0000}"/>
    <cellStyle name="Calculation 2 5 2 2 2" xfId="12355" xr:uid="{00000000-0005-0000-0000-0000600D0000}"/>
    <cellStyle name="Calculation 2 5 2 2 2 2" xfId="34809" xr:uid="{00000000-0005-0000-0000-0000610D0000}"/>
    <cellStyle name="Calculation 2 5 2 2 2 3" xfId="23928" xr:uid="{00000000-0005-0000-0000-0000620D0000}"/>
    <cellStyle name="Calculation 2 5 2 2 3" xfId="15189" xr:uid="{00000000-0005-0000-0000-0000630D0000}"/>
    <cellStyle name="Calculation 2 5 2 2 3 2" xfId="36597" xr:uid="{00000000-0005-0000-0000-0000640D0000}"/>
    <cellStyle name="Calculation 2 5 2 2 4" xfId="16368" xr:uid="{00000000-0005-0000-0000-0000650D0000}"/>
    <cellStyle name="Calculation 2 5 2 2 4 2" xfId="37670" xr:uid="{00000000-0005-0000-0000-0000660D0000}"/>
    <cellStyle name="Calculation 2 5 2 2 5" xfId="16072" xr:uid="{00000000-0005-0000-0000-0000670D0000}"/>
    <cellStyle name="Calculation 2 5 2 2 6" xfId="32184" xr:uid="{00000000-0005-0000-0000-0000680D0000}"/>
    <cellStyle name="Calculation 2 5 2 2 7" xfId="30156" xr:uid="{00000000-0005-0000-0000-0000690D0000}"/>
    <cellStyle name="Calculation 2 5 2 2 8" xfId="19063" xr:uid="{00000000-0005-0000-0000-00006A0D0000}"/>
    <cellStyle name="Calculation 2 5 2 3" xfId="5900" xr:uid="{00000000-0005-0000-0000-00006B0D0000}"/>
    <cellStyle name="Calculation 2 5 2 3 2" xfId="24346" xr:uid="{00000000-0005-0000-0000-00006C0D0000}"/>
    <cellStyle name="Calculation 2 5 2 3 3" xfId="19453" xr:uid="{00000000-0005-0000-0000-00006D0D0000}"/>
    <cellStyle name="Calculation 2 5 2 4" xfId="6138" xr:uid="{00000000-0005-0000-0000-00006E0D0000}"/>
    <cellStyle name="Calculation 2 5 2 4 2" xfId="24579" xr:uid="{00000000-0005-0000-0000-00006F0D0000}"/>
    <cellStyle name="Calculation 2 5 2 4 3" xfId="19688" xr:uid="{00000000-0005-0000-0000-0000700D0000}"/>
    <cellStyle name="Calculation 2 5 2 5" xfId="7511" xr:uid="{00000000-0005-0000-0000-0000710D0000}"/>
    <cellStyle name="Calculation 2 5 2 5 2" xfId="25941" xr:uid="{00000000-0005-0000-0000-0000720D0000}"/>
    <cellStyle name="Calculation 2 5 2 5 3" xfId="20866" xr:uid="{00000000-0005-0000-0000-0000730D0000}"/>
    <cellStyle name="Calculation 2 5 2 6" xfId="7884" xr:uid="{00000000-0005-0000-0000-0000740D0000}"/>
    <cellStyle name="Calculation 2 5 2 6 2" xfId="26314" xr:uid="{00000000-0005-0000-0000-0000750D0000}"/>
    <cellStyle name="Calculation 2 5 2 6 3" xfId="21238" xr:uid="{00000000-0005-0000-0000-0000760D0000}"/>
    <cellStyle name="Calculation 2 5 2 7" xfId="8606" xr:uid="{00000000-0005-0000-0000-0000770D0000}"/>
    <cellStyle name="Calculation 2 5 2 7 2" xfId="27028" xr:uid="{00000000-0005-0000-0000-0000780D0000}"/>
    <cellStyle name="Calculation 2 5 2 7 3" xfId="21897" xr:uid="{00000000-0005-0000-0000-0000790D0000}"/>
    <cellStyle name="Calculation 2 5 2 8" xfId="4098" xr:uid="{00000000-0005-0000-0000-00007A0D0000}"/>
    <cellStyle name="Calculation 2 5 2 8 2" xfId="22564" xr:uid="{00000000-0005-0000-0000-00007B0D0000}"/>
    <cellStyle name="Calculation 2 5 2 8 3" xfId="17780" xr:uid="{00000000-0005-0000-0000-00007C0D0000}"/>
    <cellStyle name="Calculation 2 5 2 9" xfId="15091" xr:uid="{00000000-0005-0000-0000-00007D0D0000}"/>
    <cellStyle name="Calculation 2 5 2 9 2" xfId="36502" xr:uid="{00000000-0005-0000-0000-00007E0D0000}"/>
    <cellStyle name="Calculation 2 5 2 9 3" xfId="17107" xr:uid="{00000000-0005-0000-0000-00007F0D0000}"/>
    <cellStyle name="Calculation 2 5 3" xfId="4598" xr:uid="{00000000-0005-0000-0000-0000800D0000}"/>
    <cellStyle name="Calculation 2 5 3 2" xfId="23058" xr:uid="{00000000-0005-0000-0000-0000810D0000}"/>
    <cellStyle name="Calculation 2 5 3 3" xfId="18274" xr:uid="{00000000-0005-0000-0000-0000820D0000}"/>
    <cellStyle name="Calculation 2 5 4" xfId="4454" xr:uid="{00000000-0005-0000-0000-0000830D0000}"/>
    <cellStyle name="Calculation 2 5 4 2" xfId="22914" xr:uid="{00000000-0005-0000-0000-0000840D0000}"/>
    <cellStyle name="Calculation 2 5 4 3" xfId="18133" xr:uid="{00000000-0005-0000-0000-0000850D0000}"/>
    <cellStyle name="Calculation 2 5 5" xfId="6775" xr:uid="{00000000-0005-0000-0000-0000860D0000}"/>
    <cellStyle name="Calculation 2 5 5 2" xfId="25213" xr:uid="{00000000-0005-0000-0000-0000870D0000}"/>
    <cellStyle name="Calculation 2 5 5 3" xfId="20205" xr:uid="{00000000-0005-0000-0000-0000880D0000}"/>
    <cellStyle name="Calculation 2 5 6" xfId="7108" xr:uid="{00000000-0005-0000-0000-0000890D0000}"/>
    <cellStyle name="Calculation 2 5 6 2" xfId="25542" xr:uid="{00000000-0005-0000-0000-00008A0D0000}"/>
    <cellStyle name="Calculation 2 5 6 3" xfId="20473" xr:uid="{00000000-0005-0000-0000-00008B0D0000}"/>
    <cellStyle name="Calculation 2 5 7" xfId="6916" xr:uid="{00000000-0005-0000-0000-00008C0D0000}"/>
    <cellStyle name="Calculation 2 5 7 2" xfId="25354" xr:uid="{00000000-0005-0000-0000-00008D0D0000}"/>
    <cellStyle name="Calculation 2 5 7 3" xfId="20297" xr:uid="{00000000-0005-0000-0000-00008E0D0000}"/>
    <cellStyle name="Calculation 2 5 8" xfId="8225" xr:uid="{00000000-0005-0000-0000-00008F0D0000}"/>
    <cellStyle name="Calculation 2 5 8 2" xfId="26650" xr:uid="{00000000-0005-0000-0000-0000900D0000}"/>
    <cellStyle name="Calculation 2 5 8 3" xfId="21576" xr:uid="{00000000-0005-0000-0000-0000910D0000}"/>
    <cellStyle name="Calculation 2 5 9" xfId="3776" xr:uid="{00000000-0005-0000-0000-0000920D0000}"/>
    <cellStyle name="Calculation 2 5 9 2" xfId="22245" xr:uid="{00000000-0005-0000-0000-0000930D0000}"/>
    <cellStyle name="Calculation 2 5 9 3" xfId="17459" xr:uid="{00000000-0005-0000-0000-0000940D0000}"/>
    <cellStyle name="Calculation 2 6" xfId="1596" xr:uid="{00000000-0005-0000-0000-0000950D0000}"/>
    <cellStyle name="Calculation 2 6 10" xfId="15713" xr:uid="{00000000-0005-0000-0000-0000960D0000}"/>
    <cellStyle name="Calculation 2 6 10 2" xfId="37078" xr:uid="{00000000-0005-0000-0000-0000970D0000}"/>
    <cellStyle name="Calculation 2 6 10 3" xfId="16772" xr:uid="{00000000-0005-0000-0000-0000980D0000}"/>
    <cellStyle name="Calculation 2 6 11" xfId="16499" xr:uid="{00000000-0005-0000-0000-0000990D0000}"/>
    <cellStyle name="Calculation 2 6 11 2" xfId="37742" xr:uid="{00000000-0005-0000-0000-00009A0D0000}"/>
    <cellStyle name="Calculation 2 6 12" xfId="31168" xr:uid="{00000000-0005-0000-0000-00009B0D0000}"/>
    <cellStyle name="Calculation 2 6 13" xfId="37823" xr:uid="{00000000-0005-0000-0000-000065060000}"/>
    <cellStyle name="Calculation 2 6 14" xfId="40769" xr:uid="{00000000-0005-0000-0000-000065060000}"/>
    <cellStyle name="Calculation 2 6 2" xfId="3338" xr:uid="{00000000-0005-0000-0000-00009C0D0000}"/>
    <cellStyle name="Calculation 2 6 2 10" xfId="14732" xr:uid="{00000000-0005-0000-0000-00009D0D0000}"/>
    <cellStyle name="Calculation 2 6 2 10 2" xfId="36212" xr:uid="{00000000-0005-0000-0000-00009E0D0000}"/>
    <cellStyle name="Calculation 2 6 2 11" xfId="31398" xr:uid="{00000000-0005-0000-0000-00009F0D0000}"/>
    <cellStyle name="Calculation 2 6 2 12" xfId="27901" xr:uid="{00000000-0005-0000-0000-0000A00D0000}"/>
    <cellStyle name="Calculation 2 6 2 2" xfId="5476" xr:uid="{00000000-0005-0000-0000-0000A10D0000}"/>
    <cellStyle name="Calculation 2 6 2 2 2" xfId="12356" xr:uid="{00000000-0005-0000-0000-0000A20D0000}"/>
    <cellStyle name="Calculation 2 6 2 2 2 2" xfId="34810" xr:uid="{00000000-0005-0000-0000-0000A30D0000}"/>
    <cellStyle name="Calculation 2 6 2 2 2 3" xfId="23929" xr:uid="{00000000-0005-0000-0000-0000A40D0000}"/>
    <cellStyle name="Calculation 2 6 2 2 3" xfId="14543" xr:uid="{00000000-0005-0000-0000-0000A50D0000}"/>
    <cellStyle name="Calculation 2 6 2 2 3 2" xfId="36066" xr:uid="{00000000-0005-0000-0000-0000A60D0000}"/>
    <cellStyle name="Calculation 2 6 2 2 4" xfId="16127" xr:uid="{00000000-0005-0000-0000-0000A70D0000}"/>
    <cellStyle name="Calculation 2 6 2 2 4 2" xfId="37448" xr:uid="{00000000-0005-0000-0000-0000A80D0000}"/>
    <cellStyle name="Calculation 2 6 2 2 5" xfId="14845" xr:uid="{00000000-0005-0000-0000-0000A90D0000}"/>
    <cellStyle name="Calculation 2 6 2 2 6" xfId="32185" xr:uid="{00000000-0005-0000-0000-0000AA0D0000}"/>
    <cellStyle name="Calculation 2 6 2 2 7" xfId="30157" xr:uid="{00000000-0005-0000-0000-0000AB0D0000}"/>
    <cellStyle name="Calculation 2 6 2 2 8" xfId="19064" xr:uid="{00000000-0005-0000-0000-0000AC0D0000}"/>
    <cellStyle name="Calculation 2 6 2 3" xfId="5899" xr:uid="{00000000-0005-0000-0000-0000AD0D0000}"/>
    <cellStyle name="Calculation 2 6 2 3 2" xfId="24345" xr:uid="{00000000-0005-0000-0000-0000AE0D0000}"/>
    <cellStyle name="Calculation 2 6 2 3 3" xfId="19452" xr:uid="{00000000-0005-0000-0000-0000AF0D0000}"/>
    <cellStyle name="Calculation 2 6 2 4" xfId="6137" xr:uid="{00000000-0005-0000-0000-0000B00D0000}"/>
    <cellStyle name="Calculation 2 6 2 4 2" xfId="24578" xr:uid="{00000000-0005-0000-0000-0000B10D0000}"/>
    <cellStyle name="Calculation 2 6 2 4 3" xfId="19687" xr:uid="{00000000-0005-0000-0000-0000B20D0000}"/>
    <cellStyle name="Calculation 2 6 2 5" xfId="7512" xr:uid="{00000000-0005-0000-0000-0000B30D0000}"/>
    <cellStyle name="Calculation 2 6 2 5 2" xfId="25942" xr:uid="{00000000-0005-0000-0000-0000B40D0000}"/>
    <cellStyle name="Calculation 2 6 2 5 3" xfId="20867" xr:uid="{00000000-0005-0000-0000-0000B50D0000}"/>
    <cellStyle name="Calculation 2 6 2 6" xfId="7885" xr:uid="{00000000-0005-0000-0000-0000B60D0000}"/>
    <cellStyle name="Calculation 2 6 2 6 2" xfId="26315" xr:uid="{00000000-0005-0000-0000-0000B70D0000}"/>
    <cellStyle name="Calculation 2 6 2 6 3" xfId="21239" xr:uid="{00000000-0005-0000-0000-0000B80D0000}"/>
    <cellStyle name="Calculation 2 6 2 7" xfId="8607" xr:uid="{00000000-0005-0000-0000-0000B90D0000}"/>
    <cellStyle name="Calculation 2 6 2 7 2" xfId="27029" xr:uid="{00000000-0005-0000-0000-0000BA0D0000}"/>
    <cellStyle name="Calculation 2 6 2 7 3" xfId="21898" xr:uid="{00000000-0005-0000-0000-0000BB0D0000}"/>
    <cellStyle name="Calculation 2 6 2 8" xfId="4099" xr:uid="{00000000-0005-0000-0000-0000BC0D0000}"/>
    <cellStyle name="Calculation 2 6 2 8 2" xfId="22565" xr:uid="{00000000-0005-0000-0000-0000BD0D0000}"/>
    <cellStyle name="Calculation 2 6 2 8 3" xfId="17781" xr:uid="{00000000-0005-0000-0000-0000BE0D0000}"/>
    <cellStyle name="Calculation 2 6 2 9" xfId="14448" xr:uid="{00000000-0005-0000-0000-0000BF0D0000}"/>
    <cellStyle name="Calculation 2 6 2 9 2" xfId="35976" xr:uid="{00000000-0005-0000-0000-0000C00D0000}"/>
    <cellStyle name="Calculation 2 6 2 9 3" xfId="17108" xr:uid="{00000000-0005-0000-0000-0000C10D0000}"/>
    <cellStyle name="Calculation 2 6 3" xfId="4599" xr:uid="{00000000-0005-0000-0000-0000C20D0000}"/>
    <cellStyle name="Calculation 2 6 3 2" xfId="23059" xr:uid="{00000000-0005-0000-0000-0000C30D0000}"/>
    <cellStyle name="Calculation 2 6 3 3" xfId="18275" xr:uid="{00000000-0005-0000-0000-0000C40D0000}"/>
    <cellStyle name="Calculation 2 6 4" xfId="4455" xr:uid="{00000000-0005-0000-0000-0000C50D0000}"/>
    <cellStyle name="Calculation 2 6 4 2" xfId="22915" xr:uid="{00000000-0005-0000-0000-0000C60D0000}"/>
    <cellStyle name="Calculation 2 6 4 3" xfId="18134" xr:uid="{00000000-0005-0000-0000-0000C70D0000}"/>
    <cellStyle name="Calculation 2 6 5" xfId="6774" xr:uid="{00000000-0005-0000-0000-0000C80D0000}"/>
    <cellStyle name="Calculation 2 6 5 2" xfId="25212" xr:uid="{00000000-0005-0000-0000-0000C90D0000}"/>
    <cellStyle name="Calculation 2 6 5 3" xfId="20204" xr:uid="{00000000-0005-0000-0000-0000CA0D0000}"/>
    <cellStyle name="Calculation 2 6 6" xfId="6924" xr:uid="{00000000-0005-0000-0000-0000CB0D0000}"/>
    <cellStyle name="Calculation 2 6 6 2" xfId="25362" xr:uid="{00000000-0005-0000-0000-0000CC0D0000}"/>
    <cellStyle name="Calculation 2 6 6 3" xfId="20305" xr:uid="{00000000-0005-0000-0000-0000CD0D0000}"/>
    <cellStyle name="Calculation 2 6 7" xfId="6915" xr:uid="{00000000-0005-0000-0000-0000CE0D0000}"/>
    <cellStyle name="Calculation 2 6 7 2" xfId="25353" xr:uid="{00000000-0005-0000-0000-0000CF0D0000}"/>
    <cellStyle name="Calculation 2 6 7 3" xfId="20296" xr:uid="{00000000-0005-0000-0000-0000D00D0000}"/>
    <cellStyle name="Calculation 2 6 8" xfId="8226" xr:uid="{00000000-0005-0000-0000-0000D10D0000}"/>
    <cellStyle name="Calculation 2 6 8 2" xfId="26651" xr:uid="{00000000-0005-0000-0000-0000D20D0000}"/>
    <cellStyle name="Calculation 2 6 8 3" xfId="21577" xr:uid="{00000000-0005-0000-0000-0000D30D0000}"/>
    <cellStyle name="Calculation 2 6 9" xfId="3777" xr:uid="{00000000-0005-0000-0000-0000D40D0000}"/>
    <cellStyle name="Calculation 2 6 9 2" xfId="22246" xr:uid="{00000000-0005-0000-0000-0000D50D0000}"/>
    <cellStyle name="Calculation 2 6 9 3" xfId="17460" xr:uid="{00000000-0005-0000-0000-0000D60D0000}"/>
    <cellStyle name="Calculation 2 7" xfId="1597" xr:uid="{00000000-0005-0000-0000-0000D70D0000}"/>
    <cellStyle name="Calculation 2 7 10" xfId="15092" xr:uid="{00000000-0005-0000-0000-0000D80D0000}"/>
    <cellStyle name="Calculation 2 7 10 2" xfId="36503" xr:uid="{00000000-0005-0000-0000-0000D90D0000}"/>
    <cellStyle name="Calculation 2 7 10 3" xfId="16773" xr:uid="{00000000-0005-0000-0000-0000DA0D0000}"/>
    <cellStyle name="Calculation 2 7 11" xfId="14813" xr:uid="{00000000-0005-0000-0000-0000DB0D0000}"/>
    <cellStyle name="Calculation 2 7 11 2" xfId="36269" xr:uid="{00000000-0005-0000-0000-0000DC0D0000}"/>
    <cellStyle name="Calculation 2 7 12" xfId="31169" xr:uid="{00000000-0005-0000-0000-0000DD0D0000}"/>
    <cellStyle name="Calculation 2 7 13" xfId="37824" xr:uid="{00000000-0005-0000-0000-000066060000}"/>
    <cellStyle name="Calculation 2 7 14" xfId="40770" xr:uid="{00000000-0005-0000-0000-000066060000}"/>
    <cellStyle name="Calculation 2 7 2" xfId="3339" xr:uid="{00000000-0005-0000-0000-0000DE0D0000}"/>
    <cellStyle name="Calculation 2 7 2 10" xfId="14400" xr:uid="{00000000-0005-0000-0000-0000DF0D0000}"/>
    <cellStyle name="Calculation 2 7 2 10 2" xfId="35932" xr:uid="{00000000-0005-0000-0000-0000E00D0000}"/>
    <cellStyle name="Calculation 2 7 2 11" xfId="31399" xr:uid="{00000000-0005-0000-0000-0000E10D0000}"/>
    <cellStyle name="Calculation 2 7 2 12" xfId="27902" xr:uid="{00000000-0005-0000-0000-0000E20D0000}"/>
    <cellStyle name="Calculation 2 7 2 2" xfId="5477" xr:uid="{00000000-0005-0000-0000-0000E30D0000}"/>
    <cellStyle name="Calculation 2 7 2 2 2" xfId="12357" xr:uid="{00000000-0005-0000-0000-0000E40D0000}"/>
    <cellStyle name="Calculation 2 7 2 2 2 2" xfId="34811" xr:uid="{00000000-0005-0000-0000-0000E50D0000}"/>
    <cellStyle name="Calculation 2 7 2 2 2 3" xfId="23930" xr:uid="{00000000-0005-0000-0000-0000E60D0000}"/>
    <cellStyle name="Calculation 2 7 2 2 3" xfId="15188" xr:uid="{00000000-0005-0000-0000-0000E70D0000}"/>
    <cellStyle name="Calculation 2 7 2 2 3 2" xfId="36596" xr:uid="{00000000-0005-0000-0000-0000E80D0000}"/>
    <cellStyle name="Calculation 2 7 2 2 4" xfId="15017" xr:uid="{00000000-0005-0000-0000-0000E90D0000}"/>
    <cellStyle name="Calculation 2 7 2 2 4 2" xfId="36442" xr:uid="{00000000-0005-0000-0000-0000EA0D0000}"/>
    <cellStyle name="Calculation 2 7 2 2 5" xfId="16481" xr:uid="{00000000-0005-0000-0000-0000EB0D0000}"/>
    <cellStyle name="Calculation 2 7 2 2 6" xfId="32186" xr:uid="{00000000-0005-0000-0000-0000EC0D0000}"/>
    <cellStyle name="Calculation 2 7 2 2 7" xfId="30158" xr:uid="{00000000-0005-0000-0000-0000ED0D0000}"/>
    <cellStyle name="Calculation 2 7 2 2 8" xfId="19065" xr:uid="{00000000-0005-0000-0000-0000EE0D0000}"/>
    <cellStyle name="Calculation 2 7 2 3" xfId="5898" xr:uid="{00000000-0005-0000-0000-0000EF0D0000}"/>
    <cellStyle name="Calculation 2 7 2 3 2" xfId="24344" xr:uid="{00000000-0005-0000-0000-0000F00D0000}"/>
    <cellStyle name="Calculation 2 7 2 3 3" xfId="19451" xr:uid="{00000000-0005-0000-0000-0000F10D0000}"/>
    <cellStyle name="Calculation 2 7 2 4" xfId="6136" xr:uid="{00000000-0005-0000-0000-0000F20D0000}"/>
    <cellStyle name="Calculation 2 7 2 4 2" xfId="24577" xr:uid="{00000000-0005-0000-0000-0000F30D0000}"/>
    <cellStyle name="Calculation 2 7 2 4 3" xfId="19686" xr:uid="{00000000-0005-0000-0000-0000F40D0000}"/>
    <cellStyle name="Calculation 2 7 2 5" xfId="7513" xr:uid="{00000000-0005-0000-0000-0000F50D0000}"/>
    <cellStyle name="Calculation 2 7 2 5 2" xfId="25943" xr:uid="{00000000-0005-0000-0000-0000F60D0000}"/>
    <cellStyle name="Calculation 2 7 2 5 3" xfId="20868" xr:uid="{00000000-0005-0000-0000-0000F70D0000}"/>
    <cellStyle name="Calculation 2 7 2 6" xfId="7886" xr:uid="{00000000-0005-0000-0000-0000F80D0000}"/>
    <cellStyle name="Calculation 2 7 2 6 2" xfId="26316" xr:uid="{00000000-0005-0000-0000-0000F90D0000}"/>
    <cellStyle name="Calculation 2 7 2 6 3" xfId="21240" xr:uid="{00000000-0005-0000-0000-0000FA0D0000}"/>
    <cellStyle name="Calculation 2 7 2 7" xfId="8608" xr:uid="{00000000-0005-0000-0000-0000FB0D0000}"/>
    <cellStyle name="Calculation 2 7 2 7 2" xfId="27030" xr:uid="{00000000-0005-0000-0000-0000FC0D0000}"/>
    <cellStyle name="Calculation 2 7 2 7 3" xfId="21899" xr:uid="{00000000-0005-0000-0000-0000FD0D0000}"/>
    <cellStyle name="Calculation 2 7 2 8" xfId="4100" xr:uid="{00000000-0005-0000-0000-0000FE0D0000}"/>
    <cellStyle name="Calculation 2 7 2 8 2" xfId="22566" xr:uid="{00000000-0005-0000-0000-0000FF0D0000}"/>
    <cellStyle name="Calculation 2 7 2 8 3" xfId="17782" xr:uid="{00000000-0005-0000-0000-0000000E0000}"/>
    <cellStyle name="Calculation 2 7 2 9" xfId="15714" xr:uid="{00000000-0005-0000-0000-0000010E0000}"/>
    <cellStyle name="Calculation 2 7 2 9 2" xfId="37079" xr:uid="{00000000-0005-0000-0000-0000020E0000}"/>
    <cellStyle name="Calculation 2 7 2 9 3" xfId="17109" xr:uid="{00000000-0005-0000-0000-0000030E0000}"/>
    <cellStyle name="Calculation 2 7 3" xfId="4600" xr:uid="{00000000-0005-0000-0000-0000040E0000}"/>
    <cellStyle name="Calculation 2 7 3 2" xfId="23060" xr:uid="{00000000-0005-0000-0000-0000050E0000}"/>
    <cellStyle name="Calculation 2 7 3 3" xfId="18276" xr:uid="{00000000-0005-0000-0000-0000060E0000}"/>
    <cellStyle name="Calculation 2 7 4" xfId="4456" xr:uid="{00000000-0005-0000-0000-0000070E0000}"/>
    <cellStyle name="Calculation 2 7 4 2" xfId="22916" xr:uid="{00000000-0005-0000-0000-0000080E0000}"/>
    <cellStyle name="Calculation 2 7 4 3" xfId="18135" xr:uid="{00000000-0005-0000-0000-0000090E0000}"/>
    <cellStyle name="Calculation 2 7 5" xfId="6773" xr:uid="{00000000-0005-0000-0000-00000A0E0000}"/>
    <cellStyle name="Calculation 2 7 5 2" xfId="25211" xr:uid="{00000000-0005-0000-0000-00000B0E0000}"/>
    <cellStyle name="Calculation 2 7 5 3" xfId="20203" xr:uid="{00000000-0005-0000-0000-00000C0E0000}"/>
    <cellStyle name="Calculation 2 7 6" xfId="6925" xr:uid="{00000000-0005-0000-0000-00000D0E0000}"/>
    <cellStyle name="Calculation 2 7 6 2" xfId="25363" xr:uid="{00000000-0005-0000-0000-00000E0E0000}"/>
    <cellStyle name="Calculation 2 7 6 3" xfId="20306" xr:uid="{00000000-0005-0000-0000-00000F0E0000}"/>
    <cellStyle name="Calculation 2 7 7" xfId="7100" xr:uid="{00000000-0005-0000-0000-0000100E0000}"/>
    <cellStyle name="Calculation 2 7 7 2" xfId="25534" xr:uid="{00000000-0005-0000-0000-0000110E0000}"/>
    <cellStyle name="Calculation 2 7 7 3" xfId="20465" xr:uid="{00000000-0005-0000-0000-0000120E0000}"/>
    <cellStyle name="Calculation 2 7 8" xfId="8227" xr:uid="{00000000-0005-0000-0000-0000130E0000}"/>
    <cellStyle name="Calculation 2 7 8 2" xfId="26652" xr:uid="{00000000-0005-0000-0000-0000140E0000}"/>
    <cellStyle name="Calculation 2 7 8 3" xfId="21578" xr:uid="{00000000-0005-0000-0000-0000150E0000}"/>
    <cellStyle name="Calculation 2 7 9" xfId="3778" xr:uid="{00000000-0005-0000-0000-0000160E0000}"/>
    <cellStyle name="Calculation 2 7 9 2" xfId="22247" xr:uid="{00000000-0005-0000-0000-0000170E0000}"/>
    <cellStyle name="Calculation 2 7 9 3" xfId="17461" xr:uid="{00000000-0005-0000-0000-0000180E0000}"/>
    <cellStyle name="Calculation 2 8" xfId="1598" xr:uid="{00000000-0005-0000-0000-0000190E0000}"/>
    <cellStyle name="Calculation 2 8 10" xfId="14449" xr:uid="{00000000-0005-0000-0000-00001A0E0000}"/>
    <cellStyle name="Calculation 2 8 10 2" xfId="35977" xr:uid="{00000000-0005-0000-0000-00001B0E0000}"/>
    <cellStyle name="Calculation 2 8 10 3" xfId="16774" xr:uid="{00000000-0005-0000-0000-00001C0E0000}"/>
    <cellStyle name="Calculation 2 8 11" xfId="15960" xr:uid="{00000000-0005-0000-0000-00001D0E0000}"/>
    <cellStyle name="Calculation 2 8 11 2" xfId="37322" xr:uid="{00000000-0005-0000-0000-00001E0E0000}"/>
    <cellStyle name="Calculation 2 8 12" xfId="31170" xr:uid="{00000000-0005-0000-0000-00001F0E0000}"/>
    <cellStyle name="Calculation 2 8 13" xfId="37825" xr:uid="{00000000-0005-0000-0000-000067060000}"/>
    <cellStyle name="Calculation 2 8 14" xfId="40771" xr:uid="{00000000-0005-0000-0000-000067060000}"/>
    <cellStyle name="Calculation 2 8 2" xfId="3340" xr:uid="{00000000-0005-0000-0000-0000200E0000}"/>
    <cellStyle name="Calculation 2 8 2 10" xfId="15049" xr:uid="{00000000-0005-0000-0000-0000210E0000}"/>
    <cellStyle name="Calculation 2 8 2 10 2" xfId="36465" xr:uid="{00000000-0005-0000-0000-0000220E0000}"/>
    <cellStyle name="Calculation 2 8 2 11" xfId="31400" xr:uid="{00000000-0005-0000-0000-0000230E0000}"/>
    <cellStyle name="Calculation 2 8 2 12" xfId="27903" xr:uid="{00000000-0005-0000-0000-0000240E0000}"/>
    <cellStyle name="Calculation 2 8 2 2" xfId="5478" xr:uid="{00000000-0005-0000-0000-0000250E0000}"/>
    <cellStyle name="Calculation 2 8 2 2 2" xfId="12358" xr:uid="{00000000-0005-0000-0000-0000260E0000}"/>
    <cellStyle name="Calculation 2 8 2 2 2 2" xfId="34812" xr:uid="{00000000-0005-0000-0000-0000270E0000}"/>
    <cellStyle name="Calculation 2 8 2 2 2 3" xfId="23931" xr:uid="{00000000-0005-0000-0000-0000280E0000}"/>
    <cellStyle name="Calculation 2 8 2 2 3" xfId="14542" xr:uid="{00000000-0005-0000-0000-0000290E0000}"/>
    <cellStyle name="Calculation 2 8 2 2 3 2" xfId="36065" xr:uid="{00000000-0005-0000-0000-00002A0E0000}"/>
    <cellStyle name="Calculation 2 8 2 2 4" xfId="16159" xr:uid="{00000000-0005-0000-0000-00002B0E0000}"/>
    <cellStyle name="Calculation 2 8 2 2 4 2" xfId="37476" xr:uid="{00000000-0005-0000-0000-00002C0E0000}"/>
    <cellStyle name="Calculation 2 8 2 2 5" xfId="16574" xr:uid="{00000000-0005-0000-0000-00002D0E0000}"/>
    <cellStyle name="Calculation 2 8 2 2 6" xfId="32187" xr:uid="{00000000-0005-0000-0000-00002E0E0000}"/>
    <cellStyle name="Calculation 2 8 2 2 7" xfId="30159" xr:uid="{00000000-0005-0000-0000-00002F0E0000}"/>
    <cellStyle name="Calculation 2 8 2 2 8" xfId="19066" xr:uid="{00000000-0005-0000-0000-0000300E0000}"/>
    <cellStyle name="Calculation 2 8 2 3" xfId="5897" xr:uid="{00000000-0005-0000-0000-0000310E0000}"/>
    <cellStyle name="Calculation 2 8 2 3 2" xfId="24343" xr:uid="{00000000-0005-0000-0000-0000320E0000}"/>
    <cellStyle name="Calculation 2 8 2 3 3" xfId="19450" xr:uid="{00000000-0005-0000-0000-0000330E0000}"/>
    <cellStyle name="Calculation 2 8 2 4" xfId="6135" xr:uid="{00000000-0005-0000-0000-0000340E0000}"/>
    <cellStyle name="Calculation 2 8 2 4 2" xfId="24576" xr:uid="{00000000-0005-0000-0000-0000350E0000}"/>
    <cellStyle name="Calculation 2 8 2 4 3" xfId="19685" xr:uid="{00000000-0005-0000-0000-0000360E0000}"/>
    <cellStyle name="Calculation 2 8 2 5" xfId="7514" xr:uid="{00000000-0005-0000-0000-0000370E0000}"/>
    <cellStyle name="Calculation 2 8 2 5 2" xfId="25944" xr:uid="{00000000-0005-0000-0000-0000380E0000}"/>
    <cellStyle name="Calculation 2 8 2 5 3" xfId="20869" xr:uid="{00000000-0005-0000-0000-0000390E0000}"/>
    <cellStyle name="Calculation 2 8 2 6" xfId="7887" xr:uid="{00000000-0005-0000-0000-00003A0E0000}"/>
    <cellStyle name="Calculation 2 8 2 6 2" xfId="26317" xr:uid="{00000000-0005-0000-0000-00003B0E0000}"/>
    <cellStyle name="Calculation 2 8 2 6 3" xfId="21241" xr:uid="{00000000-0005-0000-0000-00003C0E0000}"/>
    <cellStyle name="Calculation 2 8 2 7" xfId="8609" xr:uid="{00000000-0005-0000-0000-00003D0E0000}"/>
    <cellStyle name="Calculation 2 8 2 7 2" xfId="27031" xr:uid="{00000000-0005-0000-0000-00003E0E0000}"/>
    <cellStyle name="Calculation 2 8 2 7 3" xfId="21900" xr:uid="{00000000-0005-0000-0000-00003F0E0000}"/>
    <cellStyle name="Calculation 2 8 2 8" xfId="4101" xr:uid="{00000000-0005-0000-0000-0000400E0000}"/>
    <cellStyle name="Calculation 2 8 2 8 2" xfId="22567" xr:uid="{00000000-0005-0000-0000-0000410E0000}"/>
    <cellStyle name="Calculation 2 8 2 8 3" xfId="17783" xr:uid="{00000000-0005-0000-0000-0000420E0000}"/>
    <cellStyle name="Calculation 2 8 2 9" xfId="15093" xr:uid="{00000000-0005-0000-0000-0000430E0000}"/>
    <cellStyle name="Calculation 2 8 2 9 2" xfId="36504" xr:uid="{00000000-0005-0000-0000-0000440E0000}"/>
    <cellStyle name="Calculation 2 8 2 9 3" xfId="17110" xr:uid="{00000000-0005-0000-0000-0000450E0000}"/>
    <cellStyle name="Calculation 2 8 3" xfId="4601" xr:uid="{00000000-0005-0000-0000-0000460E0000}"/>
    <cellStyle name="Calculation 2 8 3 2" xfId="23061" xr:uid="{00000000-0005-0000-0000-0000470E0000}"/>
    <cellStyle name="Calculation 2 8 3 3" xfId="18277" xr:uid="{00000000-0005-0000-0000-0000480E0000}"/>
    <cellStyle name="Calculation 2 8 4" xfId="4457" xr:uid="{00000000-0005-0000-0000-0000490E0000}"/>
    <cellStyle name="Calculation 2 8 4 2" xfId="22917" xr:uid="{00000000-0005-0000-0000-00004A0E0000}"/>
    <cellStyle name="Calculation 2 8 4 3" xfId="18136" xr:uid="{00000000-0005-0000-0000-00004B0E0000}"/>
    <cellStyle name="Calculation 2 8 5" xfId="6772" xr:uid="{00000000-0005-0000-0000-00004C0E0000}"/>
    <cellStyle name="Calculation 2 8 5 2" xfId="25210" xr:uid="{00000000-0005-0000-0000-00004D0E0000}"/>
    <cellStyle name="Calculation 2 8 5 3" xfId="20202" xr:uid="{00000000-0005-0000-0000-00004E0E0000}"/>
    <cellStyle name="Calculation 2 8 6" xfId="7110" xr:uid="{00000000-0005-0000-0000-00004F0E0000}"/>
    <cellStyle name="Calculation 2 8 6 2" xfId="25544" xr:uid="{00000000-0005-0000-0000-0000500E0000}"/>
    <cellStyle name="Calculation 2 8 6 3" xfId="20475" xr:uid="{00000000-0005-0000-0000-0000510E0000}"/>
    <cellStyle name="Calculation 2 8 7" xfId="6914" xr:uid="{00000000-0005-0000-0000-0000520E0000}"/>
    <cellStyle name="Calculation 2 8 7 2" xfId="25352" xr:uid="{00000000-0005-0000-0000-0000530E0000}"/>
    <cellStyle name="Calculation 2 8 7 3" xfId="20295" xr:uid="{00000000-0005-0000-0000-0000540E0000}"/>
    <cellStyle name="Calculation 2 8 8" xfId="8228" xr:uid="{00000000-0005-0000-0000-0000550E0000}"/>
    <cellStyle name="Calculation 2 8 8 2" xfId="26653" xr:uid="{00000000-0005-0000-0000-0000560E0000}"/>
    <cellStyle name="Calculation 2 8 8 3" xfId="21579" xr:uid="{00000000-0005-0000-0000-0000570E0000}"/>
    <cellStyle name="Calculation 2 8 9" xfId="3779" xr:uid="{00000000-0005-0000-0000-0000580E0000}"/>
    <cellStyle name="Calculation 2 8 9 2" xfId="22248" xr:uid="{00000000-0005-0000-0000-0000590E0000}"/>
    <cellStyle name="Calculation 2 8 9 3" xfId="17462" xr:uid="{00000000-0005-0000-0000-00005A0E0000}"/>
    <cellStyle name="Calculation 2 9" xfId="1599" xr:uid="{00000000-0005-0000-0000-00005B0E0000}"/>
    <cellStyle name="Calculation 2 9 10" xfId="15715" xr:uid="{00000000-0005-0000-0000-00005C0E0000}"/>
    <cellStyle name="Calculation 2 9 10 2" xfId="37080" xr:uid="{00000000-0005-0000-0000-00005D0E0000}"/>
    <cellStyle name="Calculation 2 9 10 3" xfId="16775" xr:uid="{00000000-0005-0000-0000-00005E0E0000}"/>
    <cellStyle name="Calculation 2 9 11" xfId="14621" xr:uid="{00000000-0005-0000-0000-00005F0E0000}"/>
    <cellStyle name="Calculation 2 9 11 2" xfId="36115" xr:uid="{00000000-0005-0000-0000-0000600E0000}"/>
    <cellStyle name="Calculation 2 9 12" xfId="31171" xr:uid="{00000000-0005-0000-0000-0000610E0000}"/>
    <cellStyle name="Calculation 2 9 13" xfId="37826" xr:uid="{00000000-0005-0000-0000-000068060000}"/>
    <cellStyle name="Calculation 2 9 14" xfId="40772" xr:uid="{00000000-0005-0000-0000-000068060000}"/>
    <cellStyle name="Calculation 2 9 2" xfId="3341" xr:uid="{00000000-0005-0000-0000-0000620E0000}"/>
    <cellStyle name="Calculation 2 9 2 10" xfId="14680" xr:uid="{00000000-0005-0000-0000-0000630E0000}"/>
    <cellStyle name="Calculation 2 9 2 10 2" xfId="36163" xr:uid="{00000000-0005-0000-0000-0000640E0000}"/>
    <cellStyle name="Calculation 2 9 2 11" xfId="31401" xr:uid="{00000000-0005-0000-0000-0000650E0000}"/>
    <cellStyle name="Calculation 2 9 2 12" xfId="27904" xr:uid="{00000000-0005-0000-0000-0000660E0000}"/>
    <cellStyle name="Calculation 2 9 2 2" xfId="5479" xr:uid="{00000000-0005-0000-0000-0000670E0000}"/>
    <cellStyle name="Calculation 2 9 2 2 2" xfId="12359" xr:uid="{00000000-0005-0000-0000-0000680E0000}"/>
    <cellStyle name="Calculation 2 9 2 2 2 2" xfId="34813" xr:uid="{00000000-0005-0000-0000-0000690E0000}"/>
    <cellStyle name="Calculation 2 9 2 2 2 3" xfId="23932" xr:uid="{00000000-0005-0000-0000-00006A0E0000}"/>
    <cellStyle name="Calculation 2 9 2 2 3" xfId="15187" xr:uid="{00000000-0005-0000-0000-00006B0E0000}"/>
    <cellStyle name="Calculation 2 9 2 2 3 2" xfId="36595" xr:uid="{00000000-0005-0000-0000-00006C0E0000}"/>
    <cellStyle name="Calculation 2 9 2 2 4" xfId="15018" xr:uid="{00000000-0005-0000-0000-00006D0E0000}"/>
    <cellStyle name="Calculation 2 9 2 2 4 2" xfId="36443" xr:uid="{00000000-0005-0000-0000-00006E0E0000}"/>
    <cellStyle name="Calculation 2 9 2 2 5" xfId="16573" xr:uid="{00000000-0005-0000-0000-00006F0E0000}"/>
    <cellStyle name="Calculation 2 9 2 2 6" xfId="32188" xr:uid="{00000000-0005-0000-0000-0000700E0000}"/>
    <cellStyle name="Calculation 2 9 2 2 7" xfId="30160" xr:uid="{00000000-0005-0000-0000-0000710E0000}"/>
    <cellStyle name="Calculation 2 9 2 2 8" xfId="19067" xr:uid="{00000000-0005-0000-0000-0000720E0000}"/>
    <cellStyle name="Calculation 2 9 2 3" xfId="5896" xr:uid="{00000000-0005-0000-0000-0000730E0000}"/>
    <cellStyle name="Calculation 2 9 2 3 2" xfId="24342" xr:uid="{00000000-0005-0000-0000-0000740E0000}"/>
    <cellStyle name="Calculation 2 9 2 3 3" xfId="19449" xr:uid="{00000000-0005-0000-0000-0000750E0000}"/>
    <cellStyle name="Calculation 2 9 2 4" xfId="6134" xr:uid="{00000000-0005-0000-0000-0000760E0000}"/>
    <cellStyle name="Calculation 2 9 2 4 2" xfId="24575" xr:uid="{00000000-0005-0000-0000-0000770E0000}"/>
    <cellStyle name="Calculation 2 9 2 4 3" xfId="19684" xr:uid="{00000000-0005-0000-0000-0000780E0000}"/>
    <cellStyle name="Calculation 2 9 2 5" xfId="7515" xr:uid="{00000000-0005-0000-0000-0000790E0000}"/>
    <cellStyle name="Calculation 2 9 2 5 2" xfId="25945" xr:uid="{00000000-0005-0000-0000-00007A0E0000}"/>
    <cellStyle name="Calculation 2 9 2 5 3" xfId="20870" xr:uid="{00000000-0005-0000-0000-00007B0E0000}"/>
    <cellStyle name="Calculation 2 9 2 6" xfId="7888" xr:uid="{00000000-0005-0000-0000-00007C0E0000}"/>
    <cellStyle name="Calculation 2 9 2 6 2" xfId="26318" xr:uid="{00000000-0005-0000-0000-00007D0E0000}"/>
    <cellStyle name="Calculation 2 9 2 6 3" xfId="21242" xr:uid="{00000000-0005-0000-0000-00007E0E0000}"/>
    <cellStyle name="Calculation 2 9 2 7" xfId="8610" xr:uid="{00000000-0005-0000-0000-00007F0E0000}"/>
    <cellStyle name="Calculation 2 9 2 7 2" xfId="27032" xr:uid="{00000000-0005-0000-0000-0000800E0000}"/>
    <cellStyle name="Calculation 2 9 2 7 3" xfId="21901" xr:uid="{00000000-0005-0000-0000-0000810E0000}"/>
    <cellStyle name="Calculation 2 9 2 8" xfId="4102" xr:uid="{00000000-0005-0000-0000-0000820E0000}"/>
    <cellStyle name="Calculation 2 9 2 8 2" xfId="22568" xr:uid="{00000000-0005-0000-0000-0000830E0000}"/>
    <cellStyle name="Calculation 2 9 2 8 3" xfId="17784" xr:uid="{00000000-0005-0000-0000-0000840E0000}"/>
    <cellStyle name="Calculation 2 9 2 9" xfId="14450" xr:uid="{00000000-0005-0000-0000-0000850E0000}"/>
    <cellStyle name="Calculation 2 9 2 9 2" xfId="35978" xr:uid="{00000000-0005-0000-0000-0000860E0000}"/>
    <cellStyle name="Calculation 2 9 2 9 3" xfId="17111" xr:uid="{00000000-0005-0000-0000-0000870E0000}"/>
    <cellStyle name="Calculation 2 9 3" xfId="4602" xr:uid="{00000000-0005-0000-0000-0000880E0000}"/>
    <cellStyle name="Calculation 2 9 3 2" xfId="23062" xr:uid="{00000000-0005-0000-0000-0000890E0000}"/>
    <cellStyle name="Calculation 2 9 3 3" xfId="18278" xr:uid="{00000000-0005-0000-0000-00008A0E0000}"/>
    <cellStyle name="Calculation 2 9 4" xfId="4458" xr:uid="{00000000-0005-0000-0000-00008B0E0000}"/>
    <cellStyle name="Calculation 2 9 4 2" xfId="22918" xr:uid="{00000000-0005-0000-0000-00008C0E0000}"/>
    <cellStyle name="Calculation 2 9 4 3" xfId="18137" xr:uid="{00000000-0005-0000-0000-00008D0E0000}"/>
    <cellStyle name="Calculation 2 9 5" xfId="6771" xr:uid="{00000000-0005-0000-0000-00008E0E0000}"/>
    <cellStyle name="Calculation 2 9 5 2" xfId="25209" xr:uid="{00000000-0005-0000-0000-00008F0E0000}"/>
    <cellStyle name="Calculation 2 9 5 3" xfId="20201" xr:uid="{00000000-0005-0000-0000-0000900E0000}"/>
    <cellStyle name="Calculation 2 9 6" xfId="6926" xr:uid="{00000000-0005-0000-0000-0000910E0000}"/>
    <cellStyle name="Calculation 2 9 6 2" xfId="25364" xr:uid="{00000000-0005-0000-0000-0000920E0000}"/>
    <cellStyle name="Calculation 2 9 6 3" xfId="20307" xr:uid="{00000000-0005-0000-0000-0000930E0000}"/>
    <cellStyle name="Calculation 2 9 7" xfId="7099" xr:uid="{00000000-0005-0000-0000-0000940E0000}"/>
    <cellStyle name="Calculation 2 9 7 2" xfId="25533" xr:uid="{00000000-0005-0000-0000-0000950E0000}"/>
    <cellStyle name="Calculation 2 9 7 3" xfId="20464" xr:uid="{00000000-0005-0000-0000-0000960E0000}"/>
    <cellStyle name="Calculation 2 9 8" xfId="8229" xr:uid="{00000000-0005-0000-0000-0000970E0000}"/>
    <cellStyle name="Calculation 2 9 8 2" xfId="26654" xr:uid="{00000000-0005-0000-0000-0000980E0000}"/>
    <cellStyle name="Calculation 2 9 8 3" xfId="21580" xr:uid="{00000000-0005-0000-0000-0000990E0000}"/>
    <cellStyle name="Calculation 2 9 9" xfId="3780" xr:uid="{00000000-0005-0000-0000-00009A0E0000}"/>
    <cellStyle name="Calculation 2 9 9 2" xfId="22249" xr:uid="{00000000-0005-0000-0000-00009B0E0000}"/>
    <cellStyle name="Calculation 2 9 9 3" xfId="17463" xr:uid="{00000000-0005-0000-0000-00009C0E0000}"/>
    <cellStyle name="Calculation 20" xfId="39049" xr:uid="{00000000-0005-0000-0000-000069060000}"/>
    <cellStyle name="Calculation 20 2" xfId="41016" xr:uid="{00000000-0005-0000-0000-000069060000}"/>
    <cellStyle name="Calculation 21" xfId="39050" xr:uid="{00000000-0005-0000-0000-00006A060000}"/>
    <cellStyle name="Calculation 21 2" xfId="41017" xr:uid="{00000000-0005-0000-0000-00006A060000}"/>
    <cellStyle name="Calculation 22" xfId="39051" xr:uid="{00000000-0005-0000-0000-00006B060000}"/>
    <cellStyle name="Calculation 22 2" xfId="41018" xr:uid="{00000000-0005-0000-0000-00006B060000}"/>
    <cellStyle name="Calculation 23" xfId="39052" xr:uid="{00000000-0005-0000-0000-00006C060000}"/>
    <cellStyle name="Calculation 23 2" xfId="41019" xr:uid="{00000000-0005-0000-0000-00006C060000}"/>
    <cellStyle name="Calculation 24" xfId="39053" xr:uid="{00000000-0005-0000-0000-00006D060000}"/>
    <cellStyle name="Calculation 24 2" xfId="41020" xr:uid="{00000000-0005-0000-0000-00006D060000}"/>
    <cellStyle name="Calculation 25" xfId="39054" xr:uid="{00000000-0005-0000-0000-00006E060000}"/>
    <cellStyle name="Calculation 25 2" xfId="41021" xr:uid="{00000000-0005-0000-0000-00006E060000}"/>
    <cellStyle name="Calculation 26" xfId="39055" xr:uid="{00000000-0005-0000-0000-00006F060000}"/>
    <cellStyle name="Calculation 26 2" xfId="41022" xr:uid="{00000000-0005-0000-0000-00006F060000}"/>
    <cellStyle name="Calculation 27" xfId="39056" xr:uid="{00000000-0005-0000-0000-000070060000}"/>
    <cellStyle name="Calculation 27 2" xfId="41023" xr:uid="{00000000-0005-0000-0000-000070060000}"/>
    <cellStyle name="Calculation 28" xfId="39057" xr:uid="{00000000-0005-0000-0000-000071060000}"/>
    <cellStyle name="Calculation 28 2" xfId="41024" xr:uid="{00000000-0005-0000-0000-000071060000}"/>
    <cellStyle name="Calculation 29" xfId="39058" xr:uid="{00000000-0005-0000-0000-000072060000}"/>
    <cellStyle name="Calculation 29 2" xfId="41025" xr:uid="{00000000-0005-0000-0000-000072060000}"/>
    <cellStyle name="Calculation 3" xfId="1600" xr:uid="{00000000-0005-0000-0000-00009D0E0000}"/>
    <cellStyle name="Calculation 3 10" xfId="1601" xr:uid="{00000000-0005-0000-0000-00009E0E0000}"/>
    <cellStyle name="Calculation 3 10 10" xfId="15716" xr:uid="{00000000-0005-0000-0000-00009F0E0000}"/>
    <cellStyle name="Calculation 3 10 10 2" xfId="37081" xr:uid="{00000000-0005-0000-0000-0000A00E0000}"/>
    <cellStyle name="Calculation 3 10 10 3" xfId="16777" xr:uid="{00000000-0005-0000-0000-0000A10E0000}"/>
    <cellStyle name="Calculation 3 10 11" xfId="14981" xr:uid="{00000000-0005-0000-0000-0000A20E0000}"/>
    <cellStyle name="Calculation 3 10 11 2" xfId="36407" xr:uid="{00000000-0005-0000-0000-0000A30E0000}"/>
    <cellStyle name="Calculation 3 10 12" xfId="31173" xr:uid="{00000000-0005-0000-0000-0000A40E0000}"/>
    <cellStyle name="Calculation 3 10 2" xfId="3343" xr:uid="{00000000-0005-0000-0000-0000A50E0000}"/>
    <cellStyle name="Calculation 3 10 2 10" xfId="14733" xr:uid="{00000000-0005-0000-0000-0000A60E0000}"/>
    <cellStyle name="Calculation 3 10 2 10 2" xfId="36213" xr:uid="{00000000-0005-0000-0000-0000A70E0000}"/>
    <cellStyle name="Calculation 3 10 2 11" xfId="31403" xr:uid="{00000000-0005-0000-0000-0000A80E0000}"/>
    <cellStyle name="Calculation 3 10 2 2" xfId="5481" xr:uid="{00000000-0005-0000-0000-0000A90E0000}"/>
    <cellStyle name="Calculation 3 10 2 2 2" xfId="23934" xr:uid="{00000000-0005-0000-0000-0000AA0E0000}"/>
    <cellStyle name="Calculation 3 10 2 2 3" xfId="19069" xr:uid="{00000000-0005-0000-0000-0000AB0E0000}"/>
    <cellStyle name="Calculation 3 10 2 3" xfId="5003" xr:uid="{00000000-0005-0000-0000-0000AC0E0000}"/>
    <cellStyle name="Calculation 3 10 2 3 2" xfId="23463" xr:uid="{00000000-0005-0000-0000-0000AD0E0000}"/>
    <cellStyle name="Calculation 3 10 2 3 3" xfId="18617" xr:uid="{00000000-0005-0000-0000-0000AE0E0000}"/>
    <cellStyle name="Calculation 3 10 2 4" xfId="6132" xr:uid="{00000000-0005-0000-0000-0000AF0E0000}"/>
    <cellStyle name="Calculation 3 10 2 4 2" xfId="24573" xr:uid="{00000000-0005-0000-0000-0000B00E0000}"/>
    <cellStyle name="Calculation 3 10 2 4 3" xfId="19682" xr:uid="{00000000-0005-0000-0000-0000B10E0000}"/>
    <cellStyle name="Calculation 3 10 2 5" xfId="7517" xr:uid="{00000000-0005-0000-0000-0000B20E0000}"/>
    <cellStyle name="Calculation 3 10 2 5 2" xfId="25947" xr:uid="{00000000-0005-0000-0000-0000B30E0000}"/>
    <cellStyle name="Calculation 3 10 2 5 3" xfId="20872" xr:uid="{00000000-0005-0000-0000-0000B40E0000}"/>
    <cellStyle name="Calculation 3 10 2 6" xfId="7890" xr:uid="{00000000-0005-0000-0000-0000B50E0000}"/>
    <cellStyle name="Calculation 3 10 2 6 2" xfId="26320" xr:uid="{00000000-0005-0000-0000-0000B60E0000}"/>
    <cellStyle name="Calculation 3 10 2 6 3" xfId="21244" xr:uid="{00000000-0005-0000-0000-0000B70E0000}"/>
    <cellStyle name="Calculation 3 10 2 7" xfId="8612" xr:uid="{00000000-0005-0000-0000-0000B80E0000}"/>
    <cellStyle name="Calculation 3 10 2 7 2" xfId="27034" xr:uid="{00000000-0005-0000-0000-0000B90E0000}"/>
    <cellStyle name="Calculation 3 10 2 7 3" xfId="21903" xr:uid="{00000000-0005-0000-0000-0000BA0E0000}"/>
    <cellStyle name="Calculation 3 10 2 8" xfId="4104" xr:uid="{00000000-0005-0000-0000-0000BB0E0000}"/>
    <cellStyle name="Calculation 3 10 2 8 2" xfId="22570" xr:uid="{00000000-0005-0000-0000-0000BC0E0000}"/>
    <cellStyle name="Calculation 3 10 2 8 3" xfId="17786" xr:uid="{00000000-0005-0000-0000-0000BD0E0000}"/>
    <cellStyle name="Calculation 3 10 2 9" xfId="14451" xr:uid="{00000000-0005-0000-0000-0000BE0E0000}"/>
    <cellStyle name="Calculation 3 10 2 9 2" xfId="35979" xr:uid="{00000000-0005-0000-0000-0000BF0E0000}"/>
    <cellStyle name="Calculation 3 10 2 9 3" xfId="17113" xr:uid="{00000000-0005-0000-0000-0000C00E0000}"/>
    <cellStyle name="Calculation 3 10 3" xfId="4604" xr:uid="{00000000-0005-0000-0000-0000C10E0000}"/>
    <cellStyle name="Calculation 3 10 3 2" xfId="23064" xr:uid="{00000000-0005-0000-0000-0000C20E0000}"/>
    <cellStyle name="Calculation 3 10 3 3" xfId="18280" xr:uid="{00000000-0005-0000-0000-0000C30E0000}"/>
    <cellStyle name="Calculation 3 10 4" xfId="4460" xr:uid="{00000000-0005-0000-0000-0000C40E0000}"/>
    <cellStyle name="Calculation 3 10 4 2" xfId="22920" xr:uid="{00000000-0005-0000-0000-0000C50E0000}"/>
    <cellStyle name="Calculation 3 10 4 3" xfId="18139" xr:uid="{00000000-0005-0000-0000-0000C60E0000}"/>
    <cellStyle name="Calculation 3 10 5" xfId="6769" xr:uid="{00000000-0005-0000-0000-0000C70E0000}"/>
    <cellStyle name="Calculation 3 10 5 2" xfId="25207" xr:uid="{00000000-0005-0000-0000-0000C80E0000}"/>
    <cellStyle name="Calculation 3 10 5 3" xfId="20199" xr:uid="{00000000-0005-0000-0000-0000C90E0000}"/>
    <cellStyle name="Calculation 3 10 6" xfId="7109" xr:uid="{00000000-0005-0000-0000-0000CA0E0000}"/>
    <cellStyle name="Calculation 3 10 6 2" xfId="25543" xr:uid="{00000000-0005-0000-0000-0000CB0E0000}"/>
    <cellStyle name="Calculation 3 10 6 3" xfId="20474" xr:uid="{00000000-0005-0000-0000-0000CC0E0000}"/>
    <cellStyle name="Calculation 3 10 7" xfId="7098" xr:uid="{00000000-0005-0000-0000-0000CD0E0000}"/>
    <cellStyle name="Calculation 3 10 7 2" xfId="25532" xr:uid="{00000000-0005-0000-0000-0000CE0E0000}"/>
    <cellStyle name="Calculation 3 10 7 3" xfId="20463" xr:uid="{00000000-0005-0000-0000-0000CF0E0000}"/>
    <cellStyle name="Calculation 3 10 8" xfId="8231" xr:uid="{00000000-0005-0000-0000-0000D00E0000}"/>
    <cellStyle name="Calculation 3 10 8 2" xfId="26656" xr:uid="{00000000-0005-0000-0000-0000D10E0000}"/>
    <cellStyle name="Calculation 3 10 8 3" xfId="21582" xr:uid="{00000000-0005-0000-0000-0000D20E0000}"/>
    <cellStyle name="Calculation 3 10 9" xfId="3782" xr:uid="{00000000-0005-0000-0000-0000D30E0000}"/>
    <cellStyle name="Calculation 3 10 9 2" xfId="22251" xr:uid="{00000000-0005-0000-0000-0000D40E0000}"/>
    <cellStyle name="Calculation 3 10 9 3" xfId="17465" xr:uid="{00000000-0005-0000-0000-0000D50E0000}"/>
    <cellStyle name="Calculation 3 11" xfId="1602" xr:uid="{00000000-0005-0000-0000-0000D60E0000}"/>
    <cellStyle name="Calculation 3 11 10" xfId="15095" xr:uid="{00000000-0005-0000-0000-0000D70E0000}"/>
    <cellStyle name="Calculation 3 11 10 2" xfId="36506" xr:uid="{00000000-0005-0000-0000-0000D80E0000}"/>
    <cellStyle name="Calculation 3 11 10 3" xfId="16778" xr:uid="{00000000-0005-0000-0000-0000D90E0000}"/>
    <cellStyle name="Calculation 3 11 11" xfId="14580" xr:uid="{00000000-0005-0000-0000-0000DA0E0000}"/>
    <cellStyle name="Calculation 3 11 11 2" xfId="36095" xr:uid="{00000000-0005-0000-0000-0000DB0E0000}"/>
    <cellStyle name="Calculation 3 11 12" xfId="31174" xr:uid="{00000000-0005-0000-0000-0000DC0E0000}"/>
    <cellStyle name="Calculation 3 11 2" xfId="3344" xr:uid="{00000000-0005-0000-0000-0000DD0E0000}"/>
    <cellStyle name="Calculation 3 11 2 10" xfId="14598" xr:uid="{00000000-0005-0000-0000-0000DE0E0000}"/>
    <cellStyle name="Calculation 3 11 2 10 2" xfId="36103" xr:uid="{00000000-0005-0000-0000-0000DF0E0000}"/>
    <cellStyle name="Calculation 3 11 2 11" xfId="31404" xr:uid="{00000000-0005-0000-0000-0000E00E0000}"/>
    <cellStyle name="Calculation 3 11 2 2" xfId="5482" xr:uid="{00000000-0005-0000-0000-0000E10E0000}"/>
    <cellStyle name="Calculation 3 11 2 2 2" xfId="23935" xr:uid="{00000000-0005-0000-0000-0000E20E0000}"/>
    <cellStyle name="Calculation 3 11 2 2 3" xfId="19070" xr:uid="{00000000-0005-0000-0000-0000E30E0000}"/>
    <cellStyle name="Calculation 3 11 2 3" xfId="5004" xr:uid="{00000000-0005-0000-0000-0000E40E0000}"/>
    <cellStyle name="Calculation 3 11 2 3 2" xfId="23464" xr:uid="{00000000-0005-0000-0000-0000E50E0000}"/>
    <cellStyle name="Calculation 3 11 2 3 3" xfId="18618" xr:uid="{00000000-0005-0000-0000-0000E60E0000}"/>
    <cellStyle name="Calculation 3 11 2 4" xfId="6131" xr:uid="{00000000-0005-0000-0000-0000E70E0000}"/>
    <cellStyle name="Calculation 3 11 2 4 2" xfId="24572" xr:uid="{00000000-0005-0000-0000-0000E80E0000}"/>
    <cellStyle name="Calculation 3 11 2 4 3" xfId="19681" xr:uid="{00000000-0005-0000-0000-0000E90E0000}"/>
    <cellStyle name="Calculation 3 11 2 5" xfId="7518" xr:uid="{00000000-0005-0000-0000-0000EA0E0000}"/>
    <cellStyle name="Calculation 3 11 2 5 2" xfId="25948" xr:uid="{00000000-0005-0000-0000-0000EB0E0000}"/>
    <cellStyle name="Calculation 3 11 2 5 3" xfId="20873" xr:uid="{00000000-0005-0000-0000-0000EC0E0000}"/>
    <cellStyle name="Calculation 3 11 2 6" xfId="7891" xr:uid="{00000000-0005-0000-0000-0000ED0E0000}"/>
    <cellStyle name="Calculation 3 11 2 6 2" xfId="26321" xr:uid="{00000000-0005-0000-0000-0000EE0E0000}"/>
    <cellStyle name="Calculation 3 11 2 6 3" xfId="21245" xr:uid="{00000000-0005-0000-0000-0000EF0E0000}"/>
    <cellStyle name="Calculation 3 11 2 7" xfId="8613" xr:uid="{00000000-0005-0000-0000-0000F00E0000}"/>
    <cellStyle name="Calculation 3 11 2 7 2" xfId="27035" xr:uid="{00000000-0005-0000-0000-0000F10E0000}"/>
    <cellStyle name="Calculation 3 11 2 7 3" xfId="21904" xr:uid="{00000000-0005-0000-0000-0000F20E0000}"/>
    <cellStyle name="Calculation 3 11 2 8" xfId="4105" xr:uid="{00000000-0005-0000-0000-0000F30E0000}"/>
    <cellStyle name="Calculation 3 11 2 8 2" xfId="22571" xr:uid="{00000000-0005-0000-0000-0000F40E0000}"/>
    <cellStyle name="Calculation 3 11 2 8 3" xfId="17787" xr:uid="{00000000-0005-0000-0000-0000F50E0000}"/>
    <cellStyle name="Calculation 3 11 2 9" xfId="15717" xr:uid="{00000000-0005-0000-0000-0000F60E0000}"/>
    <cellStyle name="Calculation 3 11 2 9 2" xfId="37082" xr:uid="{00000000-0005-0000-0000-0000F70E0000}"/>
    <cellStyle name="Calculation 3 11 2 9 3" xfId="17114" xr:uid="{00000000-0005-0000-0000-0000F80E0000}"/>
    <cellStyle name="Calculation 3 11 3" xfId="4605" xr:uid="{00000000-0005-0000-0000-0000F90E0000}"/>
    <cellStyle name="Calculation 3 11 3 2" xfId="23065" xr:uid="{00000000-0005-0000-0000-0000FA0E0000}"/>
    <cellStyle name="Calculation 3 11 3 3" xfId="18281" xr:uid="{00000000-0005-0000-0000-0000FB0E0000}"/>
    <cellStyle name="Calculation 3 11 4" xfId="4461" xr:uid="{00000000-0005-0000-0000-0000FC0E0000}"/>
    <cellStyle name="Calculation 3 11 4 2" xfId="22921" xr:uid="{00000000-0005-0000-0000-0000FD0E0000}"/>
    <cellStyle name="Calculation 3 11 4 3" xfId="18140" xr:uid="{00000000-0005-0000-0000-0000FE0E0000}"/>
    <cellStyle name="Calculation 3 11 5" xfId="6768" xr:uid="{00000000-0005-0000-0000-0000FF0E0000}"/>
    <cellStyle name="Calculation 3 11 5 2" xfId="25206" xr:uid="{00000000-0005-0000-0000-0000000F0000}"/>
    <cellStyle name="Calculation 3 11 5 3" xfId="20198" xr:uid="{00000000-0005-0000-0000-0000010F0000}"/>
    <cellStyle name="Calculation 3 11 6" xfId="6927" xr:uid="{00000000-0005-0000-0000-0000020F0000}"/>
    <cellStyle name="Calculation 3 11 6 2" xfId="25365" xr:uid="{00000000-0005-0000-0000-0000030F0000}"/>
    <cellStyle name="Calculation 3 11 6 3" xfId="20308" xr:uid="{00000000-0005-0000-0000-0000040F0000}"/>
    <cellStyle name="Calculation 3 11 7" xfId="6912" xr:uid="{00000000-0005-0000-0000-0000050F0000}"/>
    <cellStyle name="Calculation 3 11 7 2" xfId="25350" xr:uid="{00000000-0005-0000-0000-0000060F0000}"/>
    <cellStyle name="Calculation 3 11 7 3" xfId="20293" xr:uid="{00000000-0005-0000-0000-0000070F0000}"/>
    <cellStyle name="Calculation 3 11 8" xfId="8232" xr:uid="{00000000-0005-0000-0000-0000080F0000}"/>
    <cellStyle name="Calculation 3 11 8 2" xfId="26657" xr:uid="{00000000-0005-0000-0000-0000090F0000}"/>
    <cellStyle name="Calculation 3 11 8 3" xfId="21583" xr:uid="{00000000-0005-0000-0000-00000A0F0000}"/>
    <cellStyle name="Calculation 3 11 9" xfId="3783" xr:uid="{00000000-0005-0000-0000-00000B0F0000}"/>
    <cellStyle name="Calculation 3 11 9 2" xfId="22252" xr:uid="{00000000-0005-0000-0000-00000C0F0000}"/>
    <cellStyle name="Calculation 3 11 9 3" xfId="17466" xr:uid="{00000000-0005-0000-0000-00000D0F0000}"/>
    <cellStyle name="Calculation 3 12" xfId="3342" xr:uid="{00000000-0005-0000-0000-00000E0F0000}"/>
    <cellStyle name="Calculation 3 12 10" xfId="15489" xr:uid="{00000000-0005-0000-0000-00000F0F0000}"/>
    <cellStyle name="Calculation 3 12 10 2" xfId="36868" xr:uid="{00000000-0005-0000-0000-0000100F0000}"/>
    <cellStyle name="Calculation 3 12 11" xfId="31402" xr:uid="{00000000-0005-0000-0000-0000110F0000}"/>
    <cellStyle name="Calculation 3 12 12" xfId="27905" xr:uid="{00000000-0005-0000-0000-0000120F0000}"/>
    <cellStyle name="Calculation 3 12 2" xfId="5480" xr:uid="{00000000-0005-0000-0000-0000130F0000}"/>
    <cellStyle name="Calculation 3 12 2 2" xfId="12360" xr:uid="{00000000-0005-0000-0000-0000140F0000}"/>
    <cellStyle name="Calculation 3 12 2 2 2" xfId="34814" xr:uid="{00000000-0005-0000-0000-0000150F0000}"/>
    <cellStyle name="Calculation 3 12 2 2 3" xfId="23933" xr:uid="{00000000-0005-0000-0000-0000160F0000}"/>
    <cellStyle name="Calculation 3 12 2 3" xfId="14541" xr:uid="{00000000-0005-0000-0000-0000170F0000}"/>
    <cellStyle name="Calculation 3 12 2 3 2" xfId="36064" xr:uid="{00000000-0005-0000-0000-0000180F0000}"/>
    <cellStyle name="Calculation 3 12 2 4" xfId="16193" xr:uid="{00000000-0005-0000-0000-0000190F0000}"/>
    <cellStyle name="Calculation 3 12 2 4 2" xfId="37508" xr:uid="{00000000-0005-0000-0000-00001A0F0000}"/>
    <cellStyle name="Calculation 3 12 2 5" xfId="16572" xr:uid="{00000000-0005-0000-0000-00001B0F0000}"/>
    <cellStyle name="Calculation 3 12 2 6" xfId="32189" xr:uid="{00000000-0005-0000-0000-00001C0F0000}"/>
    <cellStyle name="Calculation 3 12 2 7" xfId="30161" xr:uid="{00000000-0005-0000-0000-00001D0F0000}"/>
    <cellStyle name="Calculation 3 12 2 8" xfId="19068" xr:uid="{00000000-0005-0000-0000-00001E0F0000}"/>
    <cellStyle name="Calculation 3 12 3" xfId="5002" xr:uid="{00000000-0005-0000-0000-00001F0F0000}"/>
    <cellStyle name="Calculation 3 12 3 2" xfId="23462" xr:uid="{00000000-0005-0000-0000-0000200F0000}"/>
    <cellStyle name="Calculation 3 12 3 3" xfId="18616" xr:uid="{00000000-0005-0000-0000-0000210F0000}"/>
    <cellStyle name="Calculation 3 12 4" xfId="6133" xr:uid="{00000000-0005-0000-0000-0000220F0000}"/>
    <cellStyle name="Calculation 3 12 4 2" xfId="24574" xr:uid="{00000000-0005-0000-0000-0000230F0000}"/>
    <cellStyle name="Calculation 3 12 4 3" xfId="19683" xr:uid="{00000000-0005-0000-0000-0000240F0000}"/>
    <cellStyle name="Calculation 3 12 5" xfId="7516" xr:uid="{00000000-0005-0000-0000-0000250F0000}"/>
    <cellStyle name="Calculation 3 12 5 2" xfId="25946" xr:uid="{00000000-0005-0000-0000-0000260F0000}"/>
    <cellStyle name="Calculation 3 12 5 3" xfId="20871" xr:uid="{00000000-0005-0000-0000-0000270F0000}"/>
    <cellStyle name="Calculation 3 12 6" xfId="7889" xr:uid="{00000000-0005-0000-0000-0000280F0000}"/>
    <cellStyle name="Calculation 3 12 6 2" xfId="26319" xr:uid="{00000000-0005-0000-0000-0000290F0000}"/>
    <cellStyle name="Calculation 3 12 6 3" xfId="21243" xr:uid="{00000000-0005-0000-0000-00002A0F0000}"/>
    <cellStyle name="Calculation 3 12 7" xfId="8611" xr:uid="{00000000-0005-0000-0000-00002B0F0000}"/>
    <cellStyle name="Calculation 3 12 7 2" xfId="27033" xr:uid="{00000000-0005-0000-0000-00002C0F0000}"/>
    <cellStyle name="Calculation 3 12 7 3" xfId="21902" xr:uid="{00000000-0005-0000-0000-00002D0F0000}"/>
    <cellStyle name="Calculation 3 12 8" xfId="4103" xr:uid="{00000000-0005-0000-0000-00002E0F0000}"/>
    <cellStyle name="Calculation 3 12 8 2" xfId="22569" xr:uid="{00000000-0005-0000-0000-00002F0F0000}"/>
    <cellStyle name="Calculation 3 12 8 3" xfId="17785" xr:uid="{00000000-0005-0000-0000-0000300F0000}"/>
    <cellStyle name="Calculation 3 12 9" xfId="14452" xr:uid="{00000000-0005-0000-0000-0000310F0000}"/>
    <cellStyle name="Calculation 3 12 9 2" xfId="35980" xr:uid="{00000000-0005-0000-0000-0000320F0000}"/>
    <cellStyle name="Calculation 3 12 9 3" xfId="17112" xr:uid="{00000000-0005-0000-0000-0000330F0000}"/>
    <cellStyle name="Calculation 3 13" xfId="4603" xr:uid="{00000000-0005-0000-0000-0000340F0000}"/>
    <cellStyle name="Calculation 3 13 2" xfId="23063" xr:uid="{00000000-0005-0000-0000-0000350F0000}"/>
    <cellStyle name="Calculation 3 13 3" xfId="18279" xr:uid="{00000000-0005-0000-0000-0000360F0000}"/>
    <cellStyle name="Calculation 3 14" xfId="4459" xr:uid="{00000000-0005-0000-0000-0000370F0000}"/>
    <cellStyle name="Calculation 3 14 2" xfId="22919" xr:uid="{00000000-0005-0000-0000-0000380F0000}"/>
    <cellStyle name="Calculation 3 14 3" xfId="18138" xr:uid="{00000000-0005-0000-0000-0000390F0000}"/>
    <cellStyle name="Calculation 3 15" xfId="6770" xr:uid="{00000000-0005-0000-0000-00003A0F0000}"/>
    <cellStyle name="Calculation 3 15 2" xfId="25208" xr:uid="{00000000-0005-0000-0000-00003B0F0000}"/>
    <cellStyle name="Calculation 3 15 3" xfId="20200" xr:uid="{00000000-0005-0000-0000-00003C0F0000}"/>
    <cellStyle name="Calculation 3 16" xfId="7111" xr:uid="{00000000-0005-0000-0000-00003D0F0000}"/>
    <cellStyle name="Calculation 3 16 2" xfId="25545" xr:uid="{00000000-0005-0000-0000-00003E0F0000}"/>
    <cellStyle name="Calculation 3 16 3" xfId="20476" xr:uid="{00000000-0005-0000-0000-00003F0F0000}"/>
    <cellStyle name="Calculation 3 17" xfId="6913" xr:uid="{00000000-0005-0000-0000-0000400F0000}"/>
    <cellStyle name="Calculation 3 17 2" xfId="25351" xr:uid="{00000000-0005-0000-0000-0000410F0000}"/>
    <cellStyle name="Calculation 3 17 3" xfId="20294" xr:uid="{00000000-0005-0000-0000-0000420F0000}"/>
    <cellStyle name="Calculation 3 18" xfId="8230" xr:uid="{00000000-0005-0000-0000-0000430F0000}"/>
    <cellStyle name="Calculation 3 18 2" xfId="26655" xr:uid="{00000000-0005-0000-0000-0000440F0000}"/>
    <cellStyle name="Calculation 3 18 3" xfId="21581" xr:uid="{00000000-0005-0000-0000-0000450F0000}"/>
    <cellStyle name="Calculation 3 19" xfId="3781" xr:uid="{00000000-0005-0000-0000-0000460F0000}"/>
    <cellStyle name="Calculation 3 19 2" xfId="22250" xr:uid="{00000000-0005-0000-0000-0000470F0000}"/>
    <cellStyle name="Calculation 3 19 3" xfId="17464" xr:uid="{00000000-0005-0000-0000-0000480F0000}"/>
    <cellStyle name="Calculation 3 2" xfId="1603" xr:uid="{00000000-0005-0000-0000-0000490F0000}"/>
    <cellStyle name="Calculation 3 2 10" xfId="15096" xr:uid="{00000000-0005-0000-0000-00004A0F0000}"/>
    <cellStyle name="Calculation 3 2 10 2" xfId="36507" xr:uid="{00000000-0005-0000-0000-00004B0F0000}"/>
    <cellStyle name="Calculation 3 2 10 3" xfId="16779" xr:uid="{00000000-0005-0000-0000-00004C0F0000}"/>
    <cellStyle name="Calculation 3 2 11" xfId="14787" xr:uid="{00000000-0005-0000-0000-00004D0F0000}"/>
    <cellStyle name="Calculation 3 2 11 2" xfId="36244" xr:uid="{00000000-0005-0000-0000-00004E0F0000}"/>
    <cellStyle name="Calculation 3 2 12" xfId="31175" xr:uid="{00000000-0005-0000-0000-00004F0F0000}"/>
    <cellStyle name="Calculation 3 2 13" xfId="39060" xr:uid="{00000000-0005-0000-0000-000074060000}"/>
    <cellStyle name="Calculation 3 2 14" xfId="41027" xr:uid="{00000000-0005-0000-0000-000074060000}"/>
    <cellStyle name="Calculation 3 2 2" xfId="3345" xr:uid="{00000000-0005-0000-0000-0000500F0000}"/>
    <cellStyle name="Calculation 3 2 2 10" xfId="14618" xr:uid="{00000000-0005-0000-0000-0000510F0000}"/>
    <cellStyle name="Calculation 3 2 2 10 2" xfId="36113" xr:uid="{00000000-0005-0000-0000-0000520F0000}"/>
    <cellStyle name="Calculation 3 2 2 11" xfId="31405" xr:uid="{00000000-0005-0000-0000-0000530F0000}"/>
    <cellStyle name="Calculation 3 2 2 2" xfId="5483" xr:uid="{00000000-0005-0000-0000-0000540F0000}"/>
    <cellStyle name="Calculation 3 2 2 2 2" xfId="23936" xr:uid="{00000000-0005-0000-0000-0000550F0000}"/>
    <cellStyle name="Calculation 3 2 2 2 3" xfId="19071" xr:uid="{00000000-0005-0000-0000-0000560F0000}"/>
    <cellStyle name="Calculation 3 2 2 3" xfId="5005" xr:uid="{00000000-0005-0000-0000-0000570F0000}"/>
    <cellStyle name="Calculation 3 2 2 3 2" xfId="23465" xr:uid="{00000000-0005-0000-0000-0000580F0000}"/>
    <cellStyle name="Calculation 3 2 2 3 3" xfId="18619" xr:uid="{00000000-0005-0000-0000-0000590F0000}"/>
    <cellStyle name="Calculation 3 2 2 4" xfId="6130" xr:uid="{00000000-0005-0000-0000-00005A0F0000}"/>
    <cellStyle name="Calculation 3 2 2 4 2" xfId="24571" xr:uid="{00000000-0005-0000-0000-00005B0F0000}"/>
    <cellStyle name="Calculation 3 2 2 4 3" xfId="19680" xr:uid="{00000000-0005-0000-0000-00005C0F0000}"/>
    <cellStyle name="Calculation 3 2 2 5" xfId="7519" xr:uid="{00000000-0005-0000-0000-00005D0F0000}"/>
    <cellStyle name="Calculation 3 2 2 5 2" xfId="25949" xr:uid="{00000000-0005-0000-0000-00005E0F0000}"/>
    <cellStyle name="Calculation 3 2 2 5 3" xfId="20874" xr:uid="{00000000-0005-0000-0000-00005F0F0000}"/>
    <cellStyle name="Calculation 3 2 2 6" xfId="7892" xr:uid="{00000000-0005-0000-0000-0000600F0000}"/>
    <cellStyle name="Calculation 3 2 2 6 2" xfId="26322" xr:uid="{00000000-0005-0000-0000-0000610F0000}"/>
    <cellStyle name="Calculation 3 2 2 6 3" xfId="21246" xr:uid="{00000000-0005-0000-0000-0000620F0000}"/>
    <cellStyle name="Calculation 3 2 2 7" xfId="8614" xr:uid="{00000000-0005-0000-0000-0000630F0000}"/>
    <cellStyle name="Calculation 3 2 2 7 2" xfId="27036" xr:uid="{00000000-0005-0000-0000-0000640F0000}"/>
    <cellStyle name="Calculation 3 2 2 7 3" xfId="21905" xr:uid="{00000000-0005-0000-0000-0000650F0000}"/>
    <cellStyle name="Calculation 3 2 2 8" xfId="4106" xr:uid="{00000000-0005-0000-0000-0000660F0000}"/>
    <cellStyle name="Calculation 3 2 2 8 2" xfId="22572" xr:uid="{00000000-0005-0000-0000-0000670F0000}"/>
    <cellStyle name="Calculation 3 2 2 8 3" xfId="17788" xr:uid="{00000000-0005-0000-0000-0000680F0000}"/>
    <cellStyle name="Calculation 3 2 2 9" xfId="15718" xr:uid="{00000000-0005-0000-0000-0000690F0000}"/>
    <cellStyle name="Calculation 3 2 2 9 2" xfId="37083" xr:uid="{00000000-0005-0000-0000-00006A0F0000}"/>
    <cellStyle name="Calculation 3 2 2 9 3" xfId="17115" xr:uid="{00000000-0005-0000-0000-00006B0F0000}"/>
    <cellStyle name="Calculation 3 2 3" xfId="4606" xr:uid="{00000000-0005-0000-0000-00006C0F0000}"/>
    <cellStyle name="Calculation 3 2 3 2" xfId="23066" xr:uid="{00000000-0005-0000-0000-00006D0F0000}"/>
    <cellStyle name="Calculation 3 2 3 3" xfId="18282" xr:uid="{00000000-0005-0000-0000-00006E0F0000}"/>
    <cellStyle name="Calculation 3 2 4" xfId="4462" xr:uid="{00000000-0005-0000-0000-00006F0F0000}"/>
    <cellStyle name="Calculation 3 2 4 2" xfId="22922" xr:uid="{00000000-0005-0000-0000-0000700F0000}"/>
    <cellStyle name="Calculation 3 2 4 3" xfId="18141" xr:uid="{00000000-0005-0000-0000-0000710F0000}"/>
    <cellStyle name="Calculation 3 2 5" xfId="6767" xr:uid="{00000000-0005-0000-0000-0000720F0000}"/>
    <cellStyle name="Calculation 3 2 5 2" xfId="25205" xr:uid="{00000000-0005-0000-0000-0000730F0000}"/>
    <cellStyle name="Calculation 3 2 5 3" xfId="20197" xr:uid="{00000000-0005-0000-0000-0000740F0000}"/>
    <cellStyle name="Calculation 3 2 6" xfId="7112" xr:uid="{00000000-0005-0000-0000-0000750F0000}"/>
    <cellStyle name="Calculation 3 2 6 2" xfId="25546" xr:uid="{00000000-0005-0000-0000-0000760F0000}"/>
    <cellStyle name="Calculation 3 2 6 3" xfId="20477" xr:uid="{00000000-0005-0000-0000-0000770F0000}"/>
    <cellStyle name="Calculation 3 2 7" xfId="7097" xr:uid="{00000000-0005-0000-0000-0000780F0000}"/>
    <cellStyle name="Calculation 3 2 7 2" xfId="25531" xr:uid="{00000000-0005-0000-0000-0000790F0000}"/>
    <cellStyle name="Calculation 3 2 7 3" xfId="20462" xr:uid="{00000000-0005-0000-0000-00007A0F0000}"/>
    <cellStyle name="Calculation 3 2 8" xfId="8233" xr:uid="{00000000-0005-0000-0000-00007B0F0000}"/>
    <cellStyle name="Calculation 3 2 8 2" xfId="26658" xr:uid="{00000000-0005-0000-0000-00007C0F0000}"/>
    <cellStyle name="Calculation 3 2 8 3" xfId="21584" xr:uid="{00000000-0005-0000-0000-00007D0F0000}"/>
    <cellStyle name="Calculation 3 2 9" xfId="3784" xr:uid="{00000000-0005-0000-0000-00007E0F0000}"/>
    <cellStyle name="Calculation 3 2 9 2" xfId="22253" xr:uid="{00000000-0005-0000-0000-00007F0F0000}"/>
    <cellStyle name="Calculation 3 2 9 3" xfId="17467" xr:uid="{00000000-0005-0000-0000-0000800F0000}"/>
    <cellStyle name="Calculation 3 20" xfId="15094" xr:uid="{00000000-0005-0000-0000-0000810F0000}"/>
    <cellStyle name="Calculation 3 20 2" xfId="36505" xr:uid="{00000000-0005-0000-0000-0000820F0000}"/>
    <cellStyle name="Calculation 3 20 3" xfId="16776" xr:uid="{00000000-0005-0000-0000-0000830F0000}"/>
    <cellStyle name="Calculation 3 21" xfId="14412" xr:uid="{00000000-0005-0000-0000-0000840F0000}"/>
    <cellStyle name="Calculation 3 21 2" xfId="35940" xr:uid="{00000000-0005-0000-0000-0000850F0000}"/>
    <cellStyle name="Calculation 3 22" xfId="31172" xr:uid="{00000000-0005-0000-0000-0000860F0000}"/>
    <cellStyle name="Calculation 3 23" xfId="37827" xr:uid="{00000000-0005-0000-0000-000073060000}"/>
    <cellStyle name="Calculation 3 24" xfId="40773" xr:uid="{00000000-0005-0000-0000-000073060000}"/>
    <cellStyle name="Calculation 3 3" xfId="1604" xr:uid="{00000000-0005-0000-0000-0000870F0000}"/>
    <cellStyle name="Calculation 3 3 10" xfId="14453" xr:uid="{00000000-0005-0000-0000-0000880F0000}"/>
    <cellStyle name="Calculation 3 3 10 2" xfId="35981" xr:uid="{00000000-0005-0000-0000-0000890F0000}"/>
    <cellStyle name="Calculation 3 3 10 3" xfId="16780" xr:uid="{00000000-0005-0000-0000-00008A0F0000}"/>
    <cellStyle name="Calculation 3 3 11" xfId="14811" xr:uid="{00000000-0005-0000-0000-00008B0F0000}"/>
    <cellStyle name="Calculation 3 3 11 2" xfId="36267" xr:uid="{00000000-0005-0000-0000-00008C0F0000}"/>
    <cellStyle name="Calculation 3 3 12" xfId="31176" xr:uid="{00000000-0005-0000-0000-00008D0F0000}"/>
    <cellStyle name="Calculation 3 3 13" xfId="39059" xr:uid="{00000000-0005-0000-0000-000075060000}"/>
    <cellStyle name="Calculation 3 3 14" xfId="41026" xr:uid="{00000000-0005-0000-0000-000075060000}"/>
    <cellStyle name="Calculation 3 3 2" xfId="3346" xr:uid="{00000000-0005-0000-0000-00008E0F0000}"/>
    <cellStyle name="Calculation 3 3 2 10" xfId="14956" xr:uid="{00000000-0005-0000-0000-00008F0F0000}"/>
    <cellStyle name="Calculation 3 3 2 10 2" xfId="36389" xr:uid="{00000000-0005-0000-0000-0000900F0000}"/>
    <cellStyle name="Calculation 3 3 2 11" xfId="31406" xr:uid="{00000000-0005-0000-0000-0000910F0000}"/>
    <cellStyle name="Calculation 3 3 2 2" xfId="5484" xr:uid="{00000000-0005-0000-0000-0000920F0000}"/>
    <cellStyle name="Calculation 3 3 2 2 2" xfId="23937" xr:uid="{00000000-0005-0000-0000-0000930F0000}"/>
    <cellStyle name="Calculation 3 3 2 2 3" xfId="19072" xr:uid="{00000000-0005-0000-0000-0000940F0000}"/>
    <cellStyle name="Calculation 3 3 2 3" xfId="5006" xr:uid="{00000000-0005-0000-0000-0000950F0000}"/>
    <cellStyle name="Calculation 3 3 2 3 2" xfId="23466" xr:uid="{00000000-0005-0000-0000-0000960F0000}"/>
    <cellStyle name="Calculation 3 3 2 3 3" xfId="18620" xr:uid="{00000000-0005-0000-0000-0000970F0000}"/>
    <cellStyle name="Calculation 3 3 2 4" xfId="6129" xr:uid="{00000000-0005-0000-0000-0000980F0000}"/>
    <cellStyle name="Calculation 3 3 2 4 2" xfId="24570" xr:uid="{00000000-0005-0000-0000-0000990F0000}"/>
    <cellStyle name="Calculation 3 3 2 4 3" xfId="19679" xr:uid="{00000000-0005-0000-0000-00009A0F0000}"/>
    <cellStyle name="Calculation 3 3 2 5" xfId="7520" xr:uid="{00000000-0005-0000-0000-00009B0F0000}"/>
    <cellStyle name="Calculation 3 3 2 5 2" xfId="25950" xr:uid="{00000000-0005-0000-0000-00009C0F0000}"/>
    <cellStyle name="Calculation 3 3 2 5 3" xfId="20875" xr:uid="{00000000-0005-0000-0000-00009D0F0000}"/>
    <cellStyle name="Calculation 3 3 2 6" xfId="7893" xr:uid="{00000000-0005-0000-0000-00009E0F0000}"/>
    <cellStyle name="Calculation 3 3 2 6 2" xfId="26323" xr:uid="{00000000-0005-0000-0000-00009F0F0000}"/>
    <cellStyle name="Calculation 3 3 2 6 3" xfId="21247" xr:uid="{00000000-0005-0000-0000-0000A00F0000}"/>
    <cellStyle name="Calculation 3 3 2 7" xfId="8615" xr:uid="{00000000-0005-0000-0000-0000A10F0000}"/>
    <cellStyle name="Calculation 3 3 2 7 2" xfId="27037" xr:uid="{00000000-0005-0000-0000-0000A20F0000}"/>
    <cellStyle name="Calculation 3 3 2 7 3" xfId="21906" xr:uid="{00000000-0005-0000-0000-0000A30F0000}"/>
    <cellStyle name="Calculation 3 3 2 8" xfId="4107" xr:uid="{00000000-0005-0000-0000-0000A40F0000}"/>
    <cellStyle name="Calculation 3 3 2 8 2" xfId="22573" xr:uid="{00000000-0005-0000-0000-0000A50F0000}"/>
    <cellStyle name="Calculation 3 3 2 8 3" xfId="17789" xr:uid="{00000000-0005-0000-0000-0000A60F0000}"/>
    <cellStyle name="Calculation 3 3 2 9" xfId="14454" xr:uid="{00000000-0005-0000-0000-0000A70F0000}"/>
    <cellStyle name="Calculation 3 3 2 9 2" xfId="35982" xr:uid="{00000000-0005-0000-0000-0000A80F0000}"/>
    <cellStyle name="Calculation 3 3 2 9 3" xfId="17116" xr:uid="{00000000-0005-0000-0000-0000A90F0000}"/>
    <cellStyle name="Calculation 3 3 3" xfId="4607" xr:uid="{00000000-0005-0000-0000-0000AA0F0000}"/>
    <cellStyle name="Calculation 3 3 3 2" xfId="23067" xr:uid="{00000000-0005-0000-0000-0000AB0F0000}"/>
    <cellStyle name="Calculation 3 3 3 3" xfId="18283" xr:uid="{00000000-0005-0000-0000-0000AC0F0000}"/>
    <cellStyle name="Calculation 3 3 4" xfId="4463" xr:uid="{00000000-0005-0000-0000-0000AD0F0000}"/>
    <cellStyle name="Calculation 3 3 4 2" xfId="22923" xr:uid="{00000000-0005-0000-0000-0000AE0F0000}"/>
    <cellStyle name="Calculation 3 3 4 3" xfId="18142" xr:uid="{00000000-0005-0000-0000-0000AF0F0000}"/>
    <cellStyle name="Calculation 3 3 5" xfId="6766" xr:uid="{00000000-0005-0000-0000-0000B00F0000}"/>
    <cellStyle name="Calculation 3 3 5 2" xfId="25204" xr:uid="{00000000-0005-0000-0000-0000B10F0000}"/>
    <cellStyle name="Calculation 3 3 5 3" xfId="20196" xr:uid="{00000000-0005-0000-0000-0000B20F0000}"/>
    <cellStyle name="Calculation 3 3 6" xfId="6928" xr:uid="{00000000-0005-0000-0000-0000B30F0000}"/>
    <cellStyle name="Calculation 3 3 6 2" xfId="25366" xr:uid="{00000000-0005-0000-0000-0000B40F0000}"/>
    <cellStyle name="Calculation 3 3 6 3" xfId="20309" xr:uid="{00000000-0005-0000-0000-0000B50F0000}"/>
    <cellStyle name="Calculation 3 3 7" xfId="6911" xr:uid="{00000000-0005-0000-0000-0000B60F0000}"/>
    <cellStyle name="Calculation 3 3 7 2" xfId="25349" xr:uid="{00000000-0005-0000-0000-0000B70F0000}"/>
    <cellStyle name="Calculation 3 3 7 3" xfId="20292" xr:uid="{00000000-0005-0000-0000-0000B80F0000}"/>
    <cellStyle name="Calculation 3 3 8" xfId="8234" xr:uid="{00000000-0005-0000-0000-0000B90F0000}"/>
    <cellStyle name="Calculation 3 3 8 2" xfId="26659" xr:uid="{00000000-0005-0000-0000-0000BA0F0000}"/>
    <cellStyle name="Calculation 3 3 8 3" xfId="21585" xr:uid="{00000000-0005-0000-0000-0000BB0F0000}"/>
    <cellStyle name="Calculation 3 3 9" xfId="3785" xr:uid="{00000000-0005-0000-0000-0000BC0F0000}"/>
    <cellStyle name="Calculation 3 3 9 2" xfId="22254" xr:uid="{00000000-0005-0000-0000-0000BD0F0000}"/>
    <cellStyle name="Calculation 3 3 9 3" xfId="17468" xr:uid="{00000000-0005-0000-0000-0000BE0F0000}"/>
    <cellStyle name="Calculation 3 4" xfId="1605" xr:uid="{00000000-0005-0000-0000-0000BF0F0000}"/>
    <cellStyle name="Calculation 3 4 10" xfId="15097" xr:uid="{00000000-0005-0000-0000-0000C00F0000}"/>
    <cellStyle name="Calculation 3 4 10 2" xfId="36508" xr:uid="{00000000-0005-0000-0000-0000C10F0000}"/>
    <cellStyle name="Calculation 3 4 10 3" xfId="16781" xr:uid="{00000000-0005-0000-0000-0000C20F0000}"/>
    <cellStyle name="Calculation 3 4 11" xfId="16035" xr:uid="{00000000-0005-0000-0000-0000C30F0000}"/>
    <cellStyle name="Calculation 3 4 11 2" xfId="37376" xr:uid="{00000000-0005-0000-0000-0000C40F0000}"/>
    <cellStyle name="Calculation 3 4 12" xfId="31177" xr:uid="{00000000-0005-0000-0000-0000C50F0000}"/>
    <cellStyle name="Calculation 3 4 2" xfId="3347" xr:uid="{00000000-0005-0000-0000-0000C60F0000}"/>
    <cellStyle name="Calculation 3 4 2 10" xfId="14584" xr:uid="{00000000-0005-0000-0000-0000C70F0000}"/>
    <cellStyle name="Calculation 3 4 2 10 2" xfId="36097" xr:uid="{00000000-0005-0000-0000-0000C80F0000}"/>
    <cellStyle name="Calculation 3 4 2 11" xfId="31407" xr:uid="{00000000-0005-0000-0000-0000C90F0000}"/>
    <cellStyle name="Calculation 3 4 2 2" xfId="5485" xr:uid="{00000000-0005-0000-0000-0000CA0F0000}"/>
    <cellStyle name="Calculation 3 4 2 2 2" xfId="23938" xr:uid="{00000000-0005-0000-0000-0000CB0F0000}"/>
    <cellStyle name="Calculation 3 4 2 2 3" xfId="19073" xr:uid="{00000000-0005-0000-0000-0000CC0F0000}"/>
    <cellStyle name="Calculation 3 4 2 3" xfId="5007" xr:uid="{00000000-0005-0000-0000-0000CD0F0000}"/>
    <cellStyle name="Calculation 3 4 2 3 2" xfId="23467" xr:uid="{00000000-0005-0000-0000-0000CE0F0000}"/>
    <cellStyle name="Calculation 3 4 2 3 3" xfId="18621" xr:uid="{00000000-0005-0000-0000-0000CF0F0000}"/>
    <cellStyle name="Calculation 3 4 2 4" xfId="6128" xr:uid="{00000000-0005-0000-0000-0000D00F0000}"/>
    <cellStyle name="Calculation 3 4 2 4 2" xfId="24569" xr:uid="{00000000-0005-0000-0000-0000D10F0000}"/>
    <cellStyle name="Calculation 3 4 2 4 3" xfId="19678" xr:uid="{00000000-0005-0000-0000-0000D20F0000}"/>
    <cellStyle name="Calculation 3 4 2 5" xfId="7521" xr:uid="{00000000-0005-0000-0000-0000D30F0000}"/>
    <cellStyle name="Calculation 3 4 2 5 2" xfId="25951" xr:uid="{00000000-0005-0000-0000-0000D40F0000}"/>
    <cellStyle name="Calculation 3 4 2 5 3" xfId="20876" xr:uid="{00000000-0005-0000-0000-0000D50F0000}"/>
    <cellStyle name="Calculation 3 4 2 6" xfId="7894" xr:uid="{00000000-0005-0000-0000-0000D60F0000}"/>
    <cellStyle name="Calculation 3 4 2 6 2" xfId="26324" xr:uid="{00000000-0005-0000-0000-0000D70F0000}"/>
    <cellStyle name="Calculation 3 4 2 6 3" xfId="21248" xr:uid="{00000000-0005-0000-0000-0000D80F0000}"/>
    <cellStyle name="Calculation 3 4 2 7" xfId="8616" xr:uid="{00000000-0005-0000-0000-0000D90F0000}"/>
    <cellStyle name="Calculation 3 4 2 7 2" xfId="27038" xr:uid="{00000000-0005-0000-0000-0000DA0F0000}"/>
    <cellStyle name="Calculation 3 4 2 7 3" xfId="21907" xr:uid="{00000000-0005-0000-0000-0000DB0F0000}"/>
    <cellStyle name="Calculation 3 4 2 8" xfId="4108" xr:uid="{00000000-0005-0000-0000-0000DC0F0000}"/>
    <cellStyle name="Calculation 3 4 2 8 2" xfId="22574" xr:uid="{00000000-0005-0000-0000-0000DD0F0000}"/>
    <cellStyle name="Calculation 3 4 2 8 3" xfId="17790" xr:uid="{00000000-0005-0000-0000-0000DE0F0000}"/>
    <cellStyle name="Calculation 3 4 2 9" xfId="14455" xr:uid="{00000000-0005-0000-0000-0000DF0F0000}"/>
    <cellStyle name="Calculation 3 4 2 9 2" xfId="35983" xr:uid="{00000000-0005-0000-0000-0000E00F0000}"/>
    <cellStyle name="Calculation 3 4 2 9 3" xfId="17117" xr:uid="{00000000-0005-0000-0000-0000E10F0000}"/>
    <cellStyle name="Calculation 3 4 3" xfId="4608" xr:uid="{00000000-0005-0000-0000-0000E20F0000}"/>
    <cellStyle name="Calculation 3 4 3 2" xfId="23068" xr:uid="{00000000-0005-0000-0000-0000E30F0000}"/>
    <cellStyle name="Calculation 3 4 3 3" xfId="18284" xr:uid="{00000000-0005-0000-0000-0000E40F0000}"/>
    <cellStyle name="Calculation 3 4 4" xfId="4464" xr:uid="{00000000-0005-0000-0000-0000E50F0000}"/>
    <cellStyle name="Calculation 3 4 4 2" xfId="22924" xr:uid="{00000000-0005-0000-0000-0000E60F0000}"/>
    <cellStyle name="Calculation 3 4 4 3" xfId="18143" xr:uid="{00000000-0005-0000-0000-0000E70F0000}"/>
    <cellStyle name="Calculation 3 4 5" xfId="6765" xr:uid="{00000000-0005-0000-0000-0000E80F0000}"/>
    <cellStyle name="Calculation 3 4 5 2" xfId="25203" xr:uid="{00000000-0005-0000-0000-0000E90F0000}"/>
    <cellStyle name="Calculation 3 4 5 3" xfId="20195" xr:uid="{00000000-0005-0000-0000-0000EA0F0000}"/>
    <cellStyle name="Calculation 3 4 6" xfId="7113" xr:uid="{00000000-0005-0000-0000-0000EB0F0000}"/>
    <cellStyle name="Calculation 3 4 6 2" xfId="25547" xr:uid="{00000000-0005-0000-0000-0000EC0F0000}"/>
    <cellStyle name="Calculation 3 4 6 3" xfId="20478" xr:uid="{00000000-0005-0000-0000-0000ED0F0000}"/>
    <cellStyle name="Calculation 3 4 7" xfId="7096" xr:uid="{00000000-0005-0000-0000-0000EE0F0000}"/>
    <cellStyle name="Calculation 3 4 7 2" xfId="25530" xr:uid="{00000000-0005-0000-0000-0000EF0F0000}"/>
    <cellStyle name="Calculation 3 4 7 3" xfId="20461" xr:uid="{00000000-0005-0000-0000-0000F00F0000}"/>
    <cellStyle name="Calculation 3 4 8" xfId="8235" xr:uid="{00000000-0005-0000-0000-0000F10F0000}"/>
    <cellStyle name="Calculation 3 4 8 2" xfId="26660" xr:uid="{00000000-0005-0000-0000-0000F20F0000}"/>
    <cellStyle name="Calculation 3 4 8 3" xfId="21586" xr:uid="{00000000-0005-0000-0000-0000F30F0000}"/>
    <cellStyle name="Calculation 3 4 9" xfId="3786" xr:uid="{00000000-0005-0000-0000-0000F40F0000}"/>
    <cellStyle name="Calculation 3 4 9 2" xfId="22255" xr:uid="{00000000-0005-0000-0000-0000F50F0000}"/>
    <cellStyle name="Calculation 3 4 9 3" xfId="17469" xr:uid="{00000000-0005-0000-0000-0000F60F0000}"/>
    <cellStyle name="Calculation 3 5" xfId="1606" xr:uid="{00000000-0005-0000-0000-0000F70F0000}"/>
    <cellStyle name="Calculation 3 5 10" xfId="15098" xr:uid="{00000000-0005-0000-0000-0000F80F0000}"/>
    <cellStyle name="Calculation 3 5 10 2" xfId="36509" xr:uid="{00000000-0005-0000-0000-0000F90F0000}"/>
    <cellStyle name="Calculation 3 5 10 3" xfId="16782" xr:uid="{00000000-0005-0000-0000-0000FA0F0000}"/>
    <cellStyle name="Calculation 3 5 11" xfId="15256" xr:uid="{00000000-0005-0000-0000-0000FB0F0000}"/>
    <cellStyle name="Calculation 3 5 11 2" xfId="36661" xr:uid="{00000000-0005-0000-0000-0000FC0F0000}"/>
    <cellStyle name="Calculation 3 5 12" xfId="31178" xr:uid="{00000000-0005-0000-0000-0000FD0F0000}"/>
    <cellStyle name="Calculation 3 5 2" xfId="3348" xr:uid="{00000000-0005-0000-0000-0000FE0F0000}"/>
    <cellStyle name="Calculation 3 5 2 10" xfId="15059" xr:uid="{00000000-0005-0000-0000-0000FF0F0000}"/>
    <cellStyle name="Calculation 3 5 2 10 2" xfId="36470" xr:uid="{00000000-0005-0000-0000-000000100000}"/>
    <cellStyle name="Calculation 3 5 2 11" xfId="31408" xr:uid="{00000000-0005-0000-0000-000001100000}"/>
    <cellStyle name="Calculation 3 5 2 2" xfId="5486" xr:uid="{00000000-0005-0000-0000-000002100000}"/>
    <cellStyle name="Calculation 3 5 2 2 2" xfId="23939" xr:uid="{00000000-0005-0000-0000-000003100000}"/>
    <cellStyle name="Calculation 3 5 2 2 3" xfId="19074" xr:uid="{00000000-0005-0000-0000-000004100000}"/>
    <cellStyle name="Calculation 3 5 2 3" xfId="5008" xr:uid="{00000000-0005-0000-0000-000005100000}"/>
    <cellStyle name="Calculation 3 5 2 3 2" xfId="23468" xr:uid="{00000000-0005-0000-0000-000006100000}"/>
    <cellStyle name="Calculation 3 5 2 3 3" xfId="18622" xr:uid="{00000000-0005-0000-0000-000007100000}"/>
    <cellStyle name="Calculation 3 5 2 4" xfId="6127" xr:uid="{00000000-0005-0000-0000-000008100000}"/>
    <cellStyle name="Calculation 3 5 2 4 2" xfId="24568" xr:uid="{00000000-0005-0000-0000-000009100000}"/>
    <cellStyle name="Calculation 3 5 2 4 3" xfId="19677" xr:uid="{00000000-0005-0000-0000-00000A100000}"/>
    <cellStyle name="Calculation 3 5 2 5" xfId="7522" xr:uid="{00000000-0005-0000-0000-00000B100000}"/>
    <cellStyle name="Calculation 3 5 2 5 2" xfId="25952" xr:uid="{00000000-0005-0000-0000-00000C100000}"/>
    <cellStyle name="Calculation 3 5 2 5 3" xfId="20877" xr:uid="{00000000-0005-0000-0000-00000D100000}"/>
    <cellStyle name="Calculation 3 5 2 6" xfId="7895" xr:uid="{00000000-0005-0000-0000-00000E100000}"/>
    <cellStyle name="Calculation 3 5 2 6 2" xfId="26325" xr:uid="{00000000-0005-0000-0000-00000F100000}"/>
    <cellStyle name="Calculation 3 5 2 6 3" xfId="21249" xr:uid="{00000000-0005-0000-0000-000010100000}"/>
    <cellStyle name="Calculation 3 5 2 7" xfId="8617" xr:uid="{00000000-0005-0000-0000-000011100000}"/>
    <cellStyle name="Calculation 3 5 2 7 2" xfId="27039" xr:uid="{00000000-0005-0000-0000-000012100000}"/>
    <cellStyle name="Calculation 3 5 2 7 3" xfId="21908" xr:uid="{00000000-0005-0000-0000-000013100000}"/>
    <cellStyle name="Calculation 3 5 2 8" xfId="4109" xr:uid="{00000000-0005-0000-0000-000014100000}"/>
    <cellStyle name="Calculation 3 5 2 8 2" xfId="22575" xr:uid="{00000000-0005-0000-0000-000015100000}"/>
    <cellStyle name="Calculation 3 5 2 8 3" xfId="17791" xr:uid="{00000000-0005-0000-0000-000016100000}"/>
    <cellStyle name="Calculation 3 5 2 9" xfId="15099" xr:uid="{00000000-0005-0000-0000-000017100000}"/>
    <cellStyle name="Calculation 3 5 2 9 2" xfId="36510" xr:uid="{00000000-0005-0000-0000-000018100000}"/>
    <cellStyle name="Calculation 3 5 2 9 3" xfId="17118" xr:uid="{00000000-0005-0000-0000-000019100000}"/>
    <cellStyle name="Calculation 3 5 3" xfId="4609" xr:uid="{00000000-0005-0000-0000-00001A100000}"/>
    <cellStyle name="Calculation 3 5 3 2" xfId="23069" xr:uid="{00000000-0005-0000-0000-00001B100000}"/>
    <cellStyle name="Calculation 3 5 3 3" xfId="18285" xr:uid="{00000000-0005-0000-0000-00001C100000}"/>
    <cellStyle name="Calculation 3 5 4" xfId="4465" xr:uid="{00000000-0005-0000-0000-00001D100000}"/>
    <cellStyle name="Calculation 3 5 4 2" xfId="22925" xr:uid="{00000000-0005-0000-0000-00001E100000}"/>
    <cellStyle name="Calculation 3 5 4 3" xfId="18144" xr:uid="{00000000-0005-0000-0000-00001F100000}"/>
    <cellStyle name="Calculation 3 5 5" xfId="6764" xr:uid="{00000000-0005-0000-0000-000020100000}"/>
    <cellStyle name="Calculation 3 5 5 2" xfId="25202" xr:uid="{00000000-0005-0000-0000-000021100000}"/>
    <cellStyle name="Calculation 3 5 5 3" xfId="20194" xr:uid="{00000000-0005-0000-0000-000022100000}"/>
    <cellStyle name="Calculation 3 5 6" xfId="6929" xr:uid="{00000000-0005-0000-0000-000023100000}"/>
    <cellStyle name="Calculation 3 5 6 2" xfId="25367" xr:uid="{00000000-0005-0000-0000-000024100000}"/>
    <cellStyle name="Calculation 3 5 6 3" xfId="20310" xr:uid="{00000000-0005-0000-0000-000025100000}"/>
    <cellStyle name="Calculation 3 5 7" xfId="6910" xr:uid="{00000000-0005-0000-0000-000026100000}"/>
    <cellStyle name="Calculation 3 5 7 2" xfId="25348" xr:uid="{00000000-0005-0000-0000-000027100000}"/>
    <cellStyle name="Calculation 3 5 7 3" xfId="20291" xr:uid="{00000000-0005-0000-0000-000028100000}"/>
    <cellStyle name="Calculation 3 5 8" xfId="8236" xr:uid="{00000000-0005-0000-0000-000029100000}"/>
    <cellStyle name="Calculation 3 5 8 2" xfId="26661" xr:uid="{00000000-0005-0000-0000-00002A100000}"/>
    <cellStyle name="Calculation 3 5 8 3" xfId="21587" xr:uid="{00000000-0005-0000-0000-00002B100000}"/>
    <cellStyle name="Calculation 3 5 9" xfId="3787" xr:uid="{00000000-0005-0000-0000-00002C100000}"/>
    <cellStyle name="Calculation 3 5 9 2" xfId="22256" xr:uid="{00000000-0005-0000-0000-00002D100000}"/>
    <cellStyle name="Calculation 3 5 9 3" xfId="17470" xr:uid="{00000000-0005-0000-0000-00002E100000}"/>
    <cellStyle name="Calculation 3 6" xfId="1607" xr:uid="{00000000-0005-0000-0000-00002F100000}"/>
    <cellStyle name="Calculation 3 6 10" xfId="15719" xr:uid="{00000000-0005-0000-0000-000030100000}"/>
    <cellStyle name="Calculation 3 6 10 2" xfId="37084" xr:uid="{00000000-0005-0000-0000-000031100000}"/>
    <cellStyle name="Calculation 3 6 10 3" xfId="16783" xr:uid="{00000000-0005-0000-0000-000032100000}"/>
    <cellStyle name="Calculation 3 6 11" xfId="14678" xr:uid="{00000000-0005-0000-0000-000033100000}"/>
    <cellStyle name="Calculation 3 6 11 2" xfId="36161" xr:uid="{00000000-0005-0000-0000-000034100000}"/>
    <cellStyle name="Calculation 3 6 12" xfId="31179" xr:uid="{00000000-0005-0000-0000-000035100000}"/>
    <cellStyle name="Calculation 3 6 2" xfId="3349" xr:uid="{00000000-0005-0000-0000-000036100000}"/>
    <cellStyle name="Calculation 3 6 2 10" xfId="15177" xr:uid="{00000000-0005-0000-0000-000037100000}"/>
    <cellStyle name="Calculation 3 6 2 10 2" xfId="36587" xr:uid="{00000000-0005-0000-0000-000038100000}"/>
    <cellStyle name="Calculation 3 6 2 11" xfId="31409" xr:uid="{00000000-0005-0000-0000-000039100000}"/>
    <cellStyle name="Calculation 3 6 2 2" xfId="5487" xr:uid="{00000000-0005-0000-0000-00003A100000}"/>
    <cellStyle name="Calculation 3 6 2 2 2" xfId="23940" xr:uid="{00000000-0005-0000-0000-00003B100000}"/>
    <cellStyle name="Calculation 3 6 2 2 3" xfId="19075" xr:uid="{00000000-0005-0000-0000-00003C100000}"/>
    <cellStyle name="Calculation 3 6 2 3" xfId="5009" xr:uid="{00000000-0005-0000-0000-00003D100000}"/>
    <cellStyle name="Calculation 3 6 2 3 2" xfId="23469" xr:uid="{00000000-0005-0000-0000-00003E100000}"/>
    <cellStyle name="Calculation 3 6 2 3 3" xfId="18623" xr:uid="{00000000-0005-0000-0000-00003F100000}"/>
    <cellStyle name="Calculation 3 6 2 4" xfId="6126" xr:uid="{00000000-0005-0000-0000-000040100000}"/>
    <cellStyle name="Calculation 3 6 2 4 2" xfId="24567" xr:uid="{00000000-0005-0000-0000-000041100000}"/>
    <cellStyle name="Calculation 3 6 2 4 3" xfId="19676" xr:uid="{00000000-0005-0000-0000-000042100000}"/>
    <cellStyle name="Calculation 3 6 2 5" xfId="7523" xr:uid="{00000000-0005-0000-0000-000043100000}"/>
    <cellStyle name="Calculation 3 6 2 5 2" xfId="25953" xr:uid="{00000000-0005-0000-0000-000044100000}"/>
    <cellStyle name="Calculation 3 6 2 5 3" xfId="20878" xr:uid="{00000000-0005-0000-0000-000045100000}"/>
    <cellStyle name="Calculation 3 6 2 6" xfId="7896" xr:uid="{00000000-0005-0000-0000-000046100000}"/>
    <cellStyle name="Calculation 3 6 2 6 2" xfId="26326" xr:uid="{00000000-0005-0000-0000-000047100000}"/>
    <cellStyle name="Calculation 3 6 2 6 3" xfId="21250" xr:uid="{00000000-0005-0000-0000-000048100000}"/>
    <cellStyle name="Calculation 3 6 2 7" xfId="8618" xr:uid="{00000000-0005-0000-0000-000049100000}"/>
    <cellStyle name="Calculation 3 6 2 7 2" xfId="27040" xr:uid="{00000000-0005-0000-0000-00004A100000}"/>
    <cellStyle name="Calculation 3 6 2 7 3" xfId="21909" xr:uid="{00000000-0005-0000-0000-00004B100000}"/>
    <cellStyle name="Calculation 3 6 2 8" xfId="4110" xr:uid="{00000000-0005-0000-0000-00004C100000}"/>
    <cellStyle name="Calculation 3 6 2 8 2" xfId="22576" xr:uid="{00000000-0005-0000-0000-00004D100000}"/>
    <cellStyle name="Calculation 3 6 2 8 3" xfId="17792" xr:uid="{00000000-0005-0000-0000-00004E100000}"/>
    <cellStyle name="Calculation 3 6 2 9" xfId="14456" xr:uid="{00000000-0005-0000-0000-00004F100000}"/>
    <cellStyle name="Calculation 3 6 2 9 2" xfId="35984" xr:uid="{00000000-0005-0000-0000-000050100000}"/>
    <cellStyle name="Calculation 3 6 2 9 3" xfId="17119" xr:uid="{00000000-0005-0000-0000-000051100000}"/>
    <cellStyle name="Calculation 3 6 3" xfId="4610" xr:uid="{00000000-0005-0000-0000-000052100000}"/>
    <cellStyle name="Calculation 3 6 3 2" xfId="23070" xr:uid="{00000000-0005-0000-0000-000053100000}"/>
    <cellStyle name="Calculation 3 6 3 3" xfId="18286" xr:uid="{00000000-0005-0000-0000-000054100000}"/>
    <cellStyle name="Calculation 3 6 4" xfId="4466" xr:uid="{00000000-0005-0000-0000-000055100000}"/>
    <cellStyle name="Calculation 3 6 4 2" xfId="22926" xr:uid="{00000000-0005-0000-0000-000056100000}"/>
    <cellStyle name="Calculation 3 6 4 3" xfId="18145" xr:uid="{00000000-0005-0000-0000-000057100000}"/>
    <cellStyle name="Calculation 3 6 5" xfId="6763" xr:uid="{00000000-0005-0000-0000-000058100000}"/>
    <cellStyle name="Calculation 3 6 5 2" xfId="25201" xr:uid="{00000000-0005-0000-0000-000059100000}"/>
    <cellStyle name="Calculation 3 6 5 3" xfId="20193" xr:uid="{00000000-0005-0000-0000-00005A100000}"/>
    <cellStyle name="Calculation 3 6 6" xfId="7114" xr:uid="{00000000-0005-0000-0000-00005B100000}"/>
    <cellStyle name="Calculation 3 6 6 2" xfId="25548" xr:uid="{00000000-0005-0000-0000-00005C100000}"/>
    <cellStyle name="Calculation 3 6 6 3" xfId="20479" xr:uid="{00000000-0005-0000-0000-00005D100000}"/>
    <cellStyle name="Calculation 3 6 7" xfId="7095" xr:uid="{00000000-0005-0000-0000-00005E100000}"/>
    <cellStyle name="Calculation 3 6 7 2" xfId="25529" xr:uid="{00000000-0005-0000-0000-00005F100000}"/>
    <cellStyle name="Calculation 3 6 7 3" xfId="20460" xr:uid="{00000000-0005-0000-0000-000060100000}"/>
    <cellStyle name="Calculation 3 6 8" xfId="8237" xr:uid="{00000000-0005-0000-0000-000061100000}"/>
    <cellStyle name="Calculation 3 6 8 2" xfId="26662" xr:uid="{00000000-0005-0000-0000-000062100000}"/>
    <cellStyle name="Calculation 3 6 8 3" xfId="21588" xr:uid="{00000000-0005-0000-0000-000063100000}"/>
    <cellStyle name="Calculation 3 6 9" xfId="3788" xr:uid="{00000000-0005-0000-0000-000064100000}"/>
    <cellStyle name="Calculation 3 6 9 2" xfId="22257" xr:uid="{00000000-0005-0000-0000-000065100000}"/>
    <cellStyle name="Calculation 3 6 9 3" xfId="17471" xr:uid="{00000000-0005-0000-0000-000066100000}"/>
    <cellStyle name="Calculation 3 7" xfId="1608" xr:uid="{00000000-0005-0000-0000-000067100000}"/>
    <cellStyle name="Calculation 3 7 10" xfId="15100" xr:uid="{00000000-0005-0000-0000-000068100000}"/>
    <cellStyle name="Calculation 3 7 10 2" xfId="36511" xr:uid="{00000000-0005-0000-0000-000069100000}"/>
    <cellStyle name="Calculation 3 7 10 3" xfId="16784" xr:uid="{00000000-0005-0000-0000-00006A100000}"/>
    <cellStyle name="Calculation 3 7 11" xfId="15893" xr:uid="{00000000-0005-0000-0000-00006B100000}"/>
    <cellStyle name="Calculation 3 7 11 2" xfId="37255" xr:uid="{00000000-0005-0000-0000-00006C100000}"/>
    <cellStyle name="Calculation 3 7 12" xfId="31180" xr:uid="{00000000-0005-0000-0000-00006D100000}"/>
    <cellStyle name="Calculation 3 7 2" xfId="3350" xr:uid="{00000000-0005-0000-0000-00006E100000}"/>
    <cellStyle name="Calculation 3 7 2 10" xfId="14581" xr:uid="{00000000-0005-0000-0000-00006F100000}"/>
    <cellStyle name="Calculation 3 7 2 10 2" xfId="36096" xr:uid="{00000000-0005-0000-0000-000070100000}"/>
    <cellStyle name="Calculation 3 7 2 11" xfId="31410" xr:uid="{00000000-0005-0000-0000-000071100000}"/>
    <cellStyle name="Calculation 3 7 2 2" xfId="5488" xr:uid="{00000000-0005-0000-0000-000072100000}"/>
    <cellStyle name="Calculation 3 7 2 2 2" xfId="23941" xr:uid="{00000000-0005-0000-0000-000073100000}"/>
    <cellStyle name="Calculation 3 7 2 2 3" xfId="19076" xr:uid="{00000000-0005-0000-0000-000074100000}"/>
    <cellStyle name="Calculation 3 7 2 3" xfId="5010" xr:uid="{00000000-0005-0000-0000-000075100000}"/>
    <cellStyle name="Calculation 3 7 2 3 2" xfId="23470" xr:uid="{00000000-0005-0000-0000-000076100000}"/>
    <cellStyle name="Calculation 3 7 2 3 3" xfId="18624" xr:uid="{00000000-0005-0000-0000-000077100000}"/>
    <cellStyle name="Calculation 3 7 2 4" xfId="6125" xr:uid="{00000000-0005-0000-0000-000078100000}"/>
    <cellStyle name="Calculation 3 7 2 4 2" xfId="24566" xr:uid="{00000000-0005-0000-0000-000079100000}"/>
    <cellStyle name="Calculation 3 7 2 4 3" xfId="19675" xr:uid="{00000000-0005-0000-0000-00007A100000}"/>
    <cellStyle name="Calculation 3 7 2 5" xfId="7524" xr:uid="{00000000-0005-0000-0000-00007B100000}"/>
    <cellStyle name="Calculation 3 7 2 5 2" xfId="25954" xr:uid="{00000000-0005-0000-0000-00007C100000}"/>
    <cellStyle name="Calculation 3 7 2 5 3" xfId="20879" xr:uid="{00000000-0005-0000-0000-00007D100000}"/>
    <cellStyle name="Calculation 3 7 2 6" xfId="7897" xr:uid="{00000000-0005-0000-0000-00007E100000}"/>
    <cellStyle name="Calculation 3 7 2 6 2" xfId="26327" xr:uid="{00000000-0005-0000-0000-00007F100000}"/>
    <cellStyle name="Calculation 3 7 2 6 3" xfId="21251" xr:uid="{00000000-0005-0000-0000-000080100000}"/>
    <cellStyle name="Calculation 3 7 2 7" xfId="8619" xr:uid="{00000000-0005-0000-0000-000081100000}"/>
    <cellStyle name="Calculation 3 7 2 7 2" xfId="27041" xr:uid="{00000000-0005-0000-0000-000082100000}"/>
    <cellStyle name="Calculation 3 7 2 7 3" xfId="21910" xr:uid="{00000000-0005-0000-0000-000083100000}"/>
    <cellStyle name="Calculation 3 7 2 8" xfId="4111" xr:uid="{00000000-0005-0000-0000-000084100000}"/>
    <cellStyle name="Calculation 3 7 2 8 2" xfId="22577" xr:uid="{00000000-0005-0000-0000-000085100000}"/>
    <cellStyle name="Calculation 3 7 2 8 3" xfId="17793" xr:uid="{00000000-0005-0000-0000-000086100000}"/>
    <cellStyle name="Calculation 3 7 2 9" xfId="14457" xr:uid="{00000000-0005-0000-0000-000087100000}"/>
    <cellStyle name="Calculation 3 7 2 9 2" xfId="35985" xr:uid="{00000000-0005-0000-0000-000088100000}"/>
    <cellStyle name="Calculation 3 7 2 9 3" xfId="17120" xr:uid="{00000000-0005-0000-0000-000089100000}"/>
    <cellStyle name="Calculation 3 7 3" xfId="4611" xr:uid="{00000000-0005-0000-0000-00008A100000}"/>
    <cellStyle name="Calculation 3 7 3 2" xfId="23071" xr:uid="{00000000-0005-0000-0000-00008B100000}"/>
    <cellStyle name="Calculation 3 7 3 3" xfId="18287" xr:uid="{00000000-0005-0000-0000-00008C100000}"/>
    <cellStyle name="Calculation 3 7 4" xfId="4467" xr:uid="{00000000-0005-0000-0000-00008D100000}"/>
    <cellStyle name="Calculation 3 7 4 2" xfId="22927" xr:uid="{00000000-0005-0000-0000-00008E100000}"/>
    <cellStyle name="Calculation 3 7 4 3" xfId="18146" xr:uid="{00000000-0005-0000-0000-00008F100000}"/>
    <cellStyle name="Calculation 3 7 5" xfId="6762" xr:uid="{00000000-0005-0000-0000-000090100000}"/>
    <cellStyle name="Calculation 3 7 5 2" xfId="25200" xr:uid="{00000000-0005-0000-0000-000091100000}"/>
    <cellStyle name="Calculation 3 7 5 3" xfId="20192" xr:uid="{00000000-0005-0000-0000-000092100000}"/>
    <cellStyle name="Calculation 3 7 6" xfId="6930" xr:uid="{00000000-0005-0000-0000-000093100000}"/>
    <cellStyle name="Calculation 3 7 6 2" xfId="25368" xr:uid="{00000000-0005-0000-0000-000094100000}"/>
    <cellStyle name="Calculation 3 7 6 3" xfId="20311" xr:uid="{00000000-0005-0000-0000-000095100000}"/>
    <cellStyle name="Calculation 3 7 7" xfId="6909" xr:uid="{00000000-0005-0000-0000-000096100000}"/>
    <cellStyle name="Calculation 3 7 7 2" xfId="25347" xr:uid="{00000000-0005-0000-0000-000097100000}"/>
    <cellStyle name="Calculation 3 7 7 3" xfId="20290" xr:uid="{00000000-0005-0000-0000-000098100000}"/>
    <cellStyle name="Calculation 3 7 8" xfId="8238" xr:uid="{00000000-0005-0000-0000-000099100000}"/>
    <cellStyle name="Calculation 3 7 8 2" xfId="26663" xr:uid="{00000000-0005-0000-0000-00009A100000}"/>
    <cellStyle name="Calculation 3 7 8 3" xfId="21589" xr:uid="{00000000-0005-0000-0000-00009B100000}"/>
    <cellStyle name="Calculation 3 7 9" xfId="3789" xr:uid="{00000000-0005-0000-0000-00009C100000}"/>
    <cellStyle name="Calculation 3 7 9 2" xfId="22258" xr:uid="{00000000-0005-0000-0000-00009D100000}"/>
    <cellStyle name="Calculation 3 7 9 3" xfId="17472" xr:uid="{00000000-0005-0000-0000-00009E100000}"/>
    <cellStyle name="Calculation 3 8" xfId="1609" xr:uid="{00000000-0005-0000-0000-00009F100000}"/>
    <cellStyle name="Calculation 3 8 10" xfId="15101" xr:uid="{00000000-0005-0000-0000-0000A0100000}"/>
    <cellStyle name="Calculation 3 8 10 2" xfId="36512" xr:uid="{00000000-0005-0000-0000-0000A1100000}"/>
    <cellStyle name="Calculation 3 8 10 3" xfId="16785" xr:uid="{00000000-0005-0000-0000-0000A2100000}"/>
    <cellStyle name="Calculation 3 8 11" xfId="14786" xr:uid="{00000000-0005-0000-0000-0000A3100000}"/>
    <cellStyle name="Calculation 3 8 11 2" xfId="36243" xr:uid="{00000000-0005-0000-0000-0000A4100000}"/>
    <cellStyle name="Calculation 3 8 12" xfId="31181" xr:uid="{00000000-0005-0000-0000-0000A5100000}"/>
    <cellStyle name="Calculation 3 8 2" xfId="3351" xr:uid="{00000000-0005-0000-0000-0000A6100000}"/>
    <cellStyle name="Calculation 3 8 2 10" xfId="15019" xr:uid="{00000000-0005-0000-0000-0000A7100000}"/>
    <cellStyle name="Calculation 3 8 2 10 2" xfId="36444" xr:uid="{00000000-0005-0000-0000-0000A8100000}"/>
    <cellStyle name="Calculation 3 8 2 11" xfId="31411" xr:uid="{00000000-0005-0000-0000-0000A9100000}"/>
    <cellStyle name="Calculation 3 8 2 2" xfId="5489" xr:uid="{00000000-0005-0000-0000-0000AA100000}"/>
    <cellStyle name="Calculation 3 8 2 2 2" xfId="23942" xr:uid="{00000000-0005-0000-0000-0000AB100000}"/>
    <cellStyle name="Calculation 3 8 2 2 3" xfId="19077" xr:uid="{00000000-0005-0000-0000-0000AC100000}"/>
    <cellStyle name="Calculation 3 8 2 3" xfId="5011" xr:uid="{00000000-0005-0000-0000-0000AD100000}"/>
    <cellStyle name="Calculation 3 8 2 3 2" xfId="23471" xr:uid="{00000000-0005-0000-0000-0000AE100000}"/>
    <cellStyle name="Calculation 3 8 2 3 3" xfId="18625" xr:uid="{00000000-0005-0000-0000-0000AF100000}"/>
    <cellStyle name="Calculation 3 8 2 4" xfId="6124" xr:uid="{00000000-0005-0000-0000-0000B0100000}"/>
    <cellStyle name="Calculation 3 8 2 4 2" xfId="24565" xr:uid="{00000000-0005-0000-0000-0000B1100000}"/>
    <cellStyle name="Calculation 3 8 2 4 3" xfId="19674" xr:uid="{00000000-0005-0000-0000-0000B2100000}"/>
    <cellStyle name="Calculation 3 8 2 5" xfId="7525" xr:uid="{00000000-0005-0000-0000-0000B3100000}"/>
    <cellStyle name="Calculation 3 8 2 5 2" xfId="25955" xr:uid="{00000000-0005-0000-0000-0000B4100000}"/>
    <cellStyle name="Calculation 3 8 2 5 3" xfId="20880" xr:uid="{00000000-0005-0000-0000-0000B5100000}"/>
    <cellStyle name="Calculation 3 8 2 6" xfId="7898" xr:uid="{00000000-0005-0000-0000-0000B6100000}"/>
    <cellStyle name="Calculation 3 8 2 6 2" xfId="26328" xr:uid="{00000000-0005-0000-0000-0000B7100000}"/>
    <cellStyle name="Calculation 3 8 2 6 3" xfId="21252" xr:uid="{00000000-0005-0000-0000-0000B8100000}"/>
    <cellStyle name="Calculation 3 8 2 7" xfId="8620" xr:uid="{00000000-0005-0000-0000-0000B9100000}"/>
    <cellStyle name="Calculation 3 8 2 7 2" xfId="27042" xr:uid="{00000000-0005-0000-0000-0000BA100000}"/>
    <cellStyle name="Calculation 3 8 2 7 3" xfId="21911" xr:uid="{00000000-0005-0000-0000-0000BB100000}"/>
    <cellStyle name="Calculation 3 8 2 8" xfId="4112" xr:uid="{00000000-0005-0000-0000-0000BC100000}"/>
    <cellStyle name="Calculation 3 8 2 8 2" xfId="22578" xr:uid="{00000000-0005-0000-0000-0000BD100000}"/>
    <cellStyle name="Calculation 3 8 2 8 3" xfId="17794" xr:uid="{00000000-0005-0000-0000-0000BE100000}"/>
    <cellStyle name="Calculation 3 8 2 9" xfId="14458" xr:uid="{00000000-0005-0000-0000-0000BF100000}"/>
    <cellStyle name="Calculation 3 8 2 9 2" xfId="35986" xr:uid="{00000000-0005-0000-0000-0000C0100000}"/>
    <cellStyle name="Calculation 3 8 2 9 3" xfId="17121" xr:uid="{00000000-0005-0000-0000-0000C1100000}"/>
    <cellStyle name="Calculation 3 8 3" xfId="4612" xr:uid="{00000000-0005-0000-0000-0000C2100000}"/>
    <cellStyle name="Calculation 3 8 3 2" xfId="23072" xr:uid="{00000000-0005-0000-0000-0000C3100000}"/>
    <cellStyle name="Calculation 3 8 3 3" xfId="18288" xr:uid="{00000000-0005-0000-0000-0000C4100000}"/>
    <cellStyle name="Calculation 3 8 4" xfId="4468" xr:uid="{00000000-0005-0000-0000-0000C5100000}"/>
    <cellStyle name="Calculation 3 8 4 2" xfId="22928" xr:uid="{00000000-0005-0000-0000-0000C6100000}"/>
    <cellStyle name="Calculation 3 8 4 3" xfId="18147" xr:uid="{00000000-0005-0000-0000-0000C7100000}"/>
    <cellStyle name="Calculation 3 8 5" xfId="6761" xr:uid="{00000000-0005-0000-0000-0000C8100000}"/>
    <cellStyle name="Calculation 3 8 5 2" xfId="25199" xr:uid="{00000000-0005-0000-0000-0000C9100000}"/>
    <cellStyle name="Calculation 3 8 5 3" xfId="20191" xr:uid="{00000000-0005-0000-0000-0000CA100000}"/>
    <cellStyle name="Calculation 3 8 6" xfId="7115" xr:uid="{00000000-0005-0000-0000-0000CB100000}"/>
    <cellStyle name="Calculation 3 8 6 2" xfId="25549" xr:uid="{00000000-0005-0000-0000-0000CC100000}"/>
    <cellStyle name="Calculation 3 8 6 3" xfId="20480" xr:uid="{00000000-0005-0000-0000-0000CD100000}"/>
    <cellStyle name="Calculation 3 8 7" xfId="7094" xr:uid="{00000000-0005-0000-0000-0000CE100000}"/>
    <cellStyle name="Calculation 3 8 7 2" xfId="25528" xr:uid="{00000000-0005-0000-0000-0000CF100000}"/>
    <cellStyle name="Calculation 3 8 7 3" xfId="20459" xr:uid="{00000000-0005-0000-0000-0000D0100000}"/>
    <cellStyle name="Calculation 3 8 8" xfId="8239" xr:uid="{00000000-0005-0000-0000-0000D1100000}"/>
    <cellStyle name="Calculation 3 8 8 2" xfId="26664" xr:uid="{00000000-0005-0000-0000-0000D2100000}"/>
    <cellStyle name="Calculation 3 8 8 3" xfId="21590" xr:uid="{00000000-0005-0000-0000-0000D3100000}"/>
    <cellStyle name="Calculation 3 8 9" xfId="3790" xr:uid="{00000000-0005-0000-0000-0000D4100000}"/>
    <cellStyle name="Calculation 3 8 9 2" xfId="22259" xr:uid="{00000000-0005-0000-0000-0000D5100000}"/>
    <cellStyle name="Calculation 3 8 9 3" xfId="17473" xr:uid="{00000000-0005-0000-0000-0000D6100000}"/>
    <cellStyle name="Calculation 3 9" xfId="1610" xr:uid="{00000000-0005-0000-0000-0000D7100000}"/>
    <cellStyle name="Calculation 3 9 10" xfId="15102" xr:uid="{00000000-0005-0000-0000-0000D8100000}"/>
    <cellStyle name="Calculation 3 9 10 2" xfId="36513" xr:uid="{00000000-0005-0000-0000-0000D9100000}"/>
    <cellStyle name="Calculation 3 9 10 3" xfId="16786" xr:uid="{00000000-0005-0000-0000-0000DA100000}"/>
    <cellStyle name="Calculation 3 9 11" xfId="15020" xr:uid="{00000000-0005-0000-0000-0000DB100000}"/>
    <cellStyle name="Calculation 3 9 11 2" xfId="36445" xr:uid="{00000000-0005-0000-0000-0000DC100000}"/>
    <cellStyle name="Calculation 3 9 12" xfId="31182" xr:uid="{00000000-0005-0000-0000-0000DD100000}"/>
    <cellStyle name="Calculation 3 9 2" xfId="3352" xr:uid="{00000000-0005-0000-0000-0000DE100000}"/>
    <cellStyle name="Calculation 3 9 2 10" xfId="14599" xr:uid="{00000000-0005-0000-0000-0000DF100000}"/>
    <cellStyle name="Calculation 3 9 2 10 2" xfId="36104" xr:uid="{00000000-0005-0000-0000-0000E0100000}"/>
    <cellStyle name="Calculation 3 9 2 11" xfId="31412" xr:uid="{00000000-0005-0000-0000-0000E1100000}"/>
    <cellStyle name="Calculation 3 9 2 2" xfId="5490" xr:uid="{00000000-0005-0000-0000-0000E2100000}"/>
    <cellStyle name="Calculation 3 9 2 2 2" xfId="23943" xr:uid="{00000000-0005-0000-0000-0000E3100000}"/>
    <cellStyle name="Calculation 3 9 2 2 3" xfId="19078" xr:uid="{00000000-0005-0000-0000-0000E4100000}"/>
    <cellStyle name="Calculation 3 9 2 3" xfId="5012" xr:uid="{00000000-0005-0000-0000-0000E5100000}"/>
    <cellStyle name="Calculation 3 9 2 3 2" xfId="23472" xr:uid="{00000000-0005-0000-0000-0000E6100000}"/>
    <cellStyle name="Calculation 3 9 2 3 3" xfId="18626" xr:uid="{00000000-0005-0000-0000-0000E7100000}"/>
    <cellStyle name="Calculation 3 9 2 4" xfId="6123" xr:uid="{00000000-0005-0000-0000-0000E8100000}"/>
    <cellStyle name="Calculation 3 9 2 4 2" xfId="24564" xr:uid="{00000000-0005-0000-0000-0000E9100000}"/>
    <cellStyle name="Calculation 3 9 2 4 3" xfId="19673" xr:uid="{00000000-0005-0000-0000-0000EA100000}"/>
    <cellStyle name="Calculation 3 9 2 5" xfId="7526" xr:uid="{00000000-0005-0000-0000-0000EB100000}"/>
    <cellStyle name="Calculation 3 9 2 5 2" xfId="25956" xr:uid="{00000000-0005-0000-0000-0000EC100000}"/>
    <cellStyle name="Calculation 3 9 2 5 3" xfId="20881" xr:uid="{00000000-0005-0000-0000-0000ED100000}"/>
    <cellStyle name="Calculation 3 9 2 6" xfId="7899" xr:uid="{00000000-0005-0000-0000-0000EE100000}"/>
    <cellStyle name="Calculation 3 9 2 6 2" xfId="26329" xr:uid="{00000000-0005-0000-0000-0000EF100000}"/>
    <cellStyle name="Calculation 3 9 2 6 3" xfId="21253" xr:uid="{00000000-0005-0000-0000-0000F0100000}"/>
    <cellStyle name="Calculation 3 9 2 7" xfId="8621" xr:uid="{00000000-0005-0000-0000-0000F1100000}"/>
    <cellStyle name="Calculation 3 9 2 7 2" xfId="27043" xr:uid="{00000000-0005-0000-0000-0000F2100000}"/>
    <cellStyle name="Calculation 3 9 2 7 3" xfId="21912" xr:uid="{00000000-0005-0000-0000-0000F3100000}"/>
    <cellStyle name="Calculation 3 9 2 8" xfId="4113" xr:uid="{00000000-0005-0000-0000-0000F4100000}"/>
    <cellStyle name="Calculation 3 9 2 8 2" xfId="22579" xr:uid="{00000000-0005-0000-0000-0000F5100000}"/>
    <cellStyle name="Calculation 3 9 2 8 3" xfId="17795" xr:uid="{00000000-0005-0000-0000-0000F6100000}"/>
    <cellStyle name="Calculation 3 9 2 9" xfId="14459" xr:uid="{00000000-0005-0000-0000-0000F7100000}"/>
    <cellStyle name="Calculation 3 9 2 9 2" xfId="35987" xr:uid="{00000000-0005-0000-0000-0000F8100000}"/>
    <cellStyle name="Calculation 3 9 2 9 3" xfId="17122" xr:uid="{00000000-0005-0000-0000-0000F9100000}"/>
    <cellStyle name="Calculation 3 9 3" xfId="4613" xr:uid="{00000000-0005-0000-0000-0000FA100000}"/>
    <cellStyle name="Calculation 3 9 3 2" xfId="23073" xr:uid="{00000000-0005-0000-0000-0000FB100000}"/>
    <cellStyle name="Calculation 3 9 3 3" xfId="18289" xr:uid="{00000000-0005-0000-0000-0000FC100000}"/>
    <cellStyle name="Calculation 3 9 4" xfId="4469" xr:uid="{00000000-0005-0000-0000-0000FD100000}"/>
    <cellStyle name="Calculation 3 9 4 2" xfId="22929" xr:uid="{00000000-0005-0000-0000-0000FE100000}"/>
    <cellStyle name="Calculation 3 9 4 3" xfId="18148" xr:uid="{00000000-0005-0000-0000-0000FF100000}"/>
    <cellStyle name="Calculation 3 9 5" xfId="6760" xr:uid="{00000000-0005-0000-0000-000000110000}"/>
    <cellStyle name="Calculation 3 9 5 2" xfId="25198" xr:uid="{00000000-0005-0000-0000-000001110000}"/>
    <cellStyle name="Calculation 3 9 5 3" xfId="20190" xr:uid="{00000000-0005-0000-0000-000002110000}"/>
    <cellStyle name="Calculation 3 9 6" xfId="6931" xr:uid="{00000000-0005-0000-0000-000003110000}"/>
    <cellStyle name="Calculation 3 9 6 2" xfId="25369" xr:uid="{00000000-0005-0000-0000-000004110000}"/>
    <cellStyle name="Calculation 3 9 6 3" xfId="20312" xr:uid="{00000000-0005-0000-0000-000005110000}"/>
    <cellStyle name="Calculation 3 9 7" xfId="6908" xr:uid="{00000000-0005-0000-0000-000006110000}"/>
    <cellStyle name="Calculation 3 9 7 2" xfId="25346" xr:uid="{00000000-0005-0000-0000-000007110000}"/>
    <cellStyle name="Calculation 3 9 7 3" xfId="20289" xr:uid="{00000000-0005-0000-0000-000008110000}"/>
    <cellStyle name="Calculation 3 9 8" xfId="8240" xr:uid="{00000000-0005-0000-0000-000009110000}"/>
    <cellStyle name="Calculation 3 9 8 2" xfId="26665" xr:uid="{00000000-0005-0000-0000-00000A110000}"/>
    <cellStyle name="Calculation 3 9 8 3" xfId="21591" xr:uid="{00000000-0005-0000-0000-00000B110000}"/>
    <cellStyle name="Calculation 3 9 9" xfId="3791" xr:uid="{00000000-0005-0000-0000-00000C110000}"/>
    <cellStyle name="Calculation 3 9 9 2" xfId="22260" xr:uid="{00000000-0005-0000-0000-00000D110000}"/>
    <cellStyle name="Calculation 3 9 9 3" xfId="17474" xr:uid="{00000000-0005-0000-0000-00000E110000}"/>
    <cellStyle name="Calculation 30" xfId="39061" xr:uid="{00000000-0005-0000-0000-000076060000}"/>
    <cellStyle name="Calculation 30 2" xfId="41028" xr:uid="{00000000-0005-0000-0000-000076060000}"/>
    <cellStyle name="Calculation 31" xfId="39062" xr:uid="{00000000-0005-0000-0000-000077060000}"/>
    <cellStyle name="Calculation 31 2" xfId="41029" xr:uid="{00000000-0005-0000-0000-000077060000}"/>
    <cellStyle name="Calculation 32" xfId="39063" xr:uid="{00000000-0005-0000-0000-000078060000}"/>
    <cellStyle name="Calculation 32 2" xfId="41030" xr:uid="{00000000-0005-0000-0000-000078060000}"/>
    <cellStyle name="Calculation 33" xfId="39064" xr:uid="{00000000-0005-0000-0000-000079060000}"/>
    <cellStyle name="Calculation 33 2" xfId="41031" xr:uid="{00000000-0005-0000-0000-000079060000}"/>
    <cellStyle name="Calculation 34" xfId="39065" xr:uid="{00000000-0005-0000-0000-00007A060000}"/>
    <cellStyle name="Calculation 34 2" xfId="41032" xr:uid="{00000000-0005-0000-0000-00007A060000}"/>
    <cellStyle name="Calculation 35" xfId="39066" xr:uid="{00000000-0005-0000-0000-00007B060000}"/>
    <cellStyle name="Calculation 35 2" xfId="41033" xr:uid="{00000000-0005-0000-0000-00007B060000}"/>
    <cellStyle name="Calculation 36" xfId="39067" xr:uid="{00000000-0005-0000-0000-00007C060000}"/>
    <cellStyle name="Calculation 36 2" xfId="41034" xr:uid="{00000000-0005-0000-0000-00007C060000}"/>
    <cellStyle name="Calculation 37" xfId="39068" xr:uid="{00000000-0005-0000-0000-00007D060000}"/>
    <cellStyle name="Calculation 37 2" xfId="41035" xr:uid="{00000000-0005-0000-0000-00007D060000}"/>
    <cellStyle name="Calculation 38" xfId="39069" xr:uid="{00000000-0005-0000-0000-00007E060000}"/>
    <cellStyle name="Calculation 38 2" xfId="41036" xr:uid="{00000000-0005-0000-0000-00007E060000}"/>
    <cellStyle name="Calculation 39" xfId="39070" xr:uid="{00000000-0005-0000-0000-00007F060000}"/>
    <cellStyle name="Calculation 39 2" xfId="41037" xr:uid="{00000000-0005-0000-0000-00007F060000}"/>
    <cellStyle name="Calculation 4" xfId="1611" xr:uid="{00000000-0005-0000-0000-00000F110000}"/>
    <cellStyle name="Calculation 4 10" xfId="1612" xr:uid="{00000000-0005-0000-0000-000010110000}"/>
    <cellStyle name="Calculation 4 10 10" xfId="14460" xr:uid="{00000000-0005-0000-0000-000011110000}"/>
    <cellStyle name="Calculation 4 10 10 2" xfId="35988" xr:uid="{00000000-0005-0000-0000-000012110000}"/>
    <cellStyle name="Calculation 4 10 10 3" xfId="16788" xr:uid="{00000000-0005-0000-0000-000013110000}"/>
    <cellStyle name="Calculation 4 10 11" xfId="16036" xr:uid="{00000000-0005-0000-0000-000014110000}"/>
    <cellStyle name="Calculation 4 10 11 2" xfId="37377" xr:uid="{00000000-0005-0000-0000-000015110000}"/>
    <cellStyle name="Calculation 4 10 12" xfId="31184" xr:uid="{00000000-0005-0000-0000-000016110000}"/>
    <cellStyle name="Calculation 4 10 2" xfId="3354" xr:uid="{00000000-0005-0000-0000-000017110000}"/>
    <cellStyle name="Calculation 4 10 2 10" xfId="14853" xr:uid="{00000000-0005-0000-0000-000018110000}"/>
    <cellStyle name="Calculation 4 10 2 10 2" xfId="36301" xr:uid="{00000000-0005-0000-0000-000019110000}"/>
    <cellStyle name="Calculation 4 10 2 11" xfId="31414" xr:uid="{00000000-0005-0000-0000-00001A110000}"/>
    <cellStyle name="Calculation 4 10 2 2" xfId="5492" xr:uid="{00000000-0005-0000-0000-00001B110000}"/>
    <cellStyle name="Calculation 4 10 2 2 2" xfId="23945" xr:uid="{00000000-0005-0000-0000-00001C110000}"/>
    <cellStyle name="Calculation 4 10 2 2 3" xfId="19080" xr:uid="{00000000-0005-0000-0000-00001D110000}"/>
    <cellStyle name="Calculation 4 10 2 3" xfId="5014" xr:uid="{00000000-0005-0000-0000-00001E110000}"/>
    <cellStyle name="Calculation 4 10 2 3 2" xfId="23474" xr:uid="{00000000-0005-0000-0000-00001F110000}"/>
    <cellStyle name="Calculation 4 10 2 3 3" xfId="18628" xr:uid="{00000000-0005-0000-0000-000020110000}"/>
    <cellStyle name="Calculation 4 10 2 4" xfId="6121" xr:uid="{00000000-0005-0000-0000-000021110000}"/>
    <cellStyle name="Calculation 4 10 2 4 2" xfId="24562" xr:uid="{00000000-0005-0000-0000-000022110000}"/>
    <cellStyle name="Calculation 4 10 2 4 3" xfId="19671" xr:uid="{00000000-0005-0000-0000-000023110000}"/>
    <cellStyle name="Calculation 4 10 2 5" xfId="7528" xr:uid="{00000000-0005-0000-0000-000024110000}"/>
    <cellStyle name="Calculation 4 10 2 5 2" xfId="25958" xr:uid="{00000000-0005-0000-0000-000025110000}"/>
    <cellStyle name="Calculation 4 10 2 5 3" xfId="20883" xr:uid="{00000000-0005-0000-0000-000026110000}"/>
    <cellStyle name="Calculation 4 10 2 6" xfId="7901" xr:uid="{00000000-0005-0000-0000-000027110000}"/>
    <cellStyle name="Calculation 4 10 2 6 2" xfId="26331" xr:uid="{00000000-0005-0000-0000-000028110000}"/>
    <cellStyle name="Calculation 4 10 2 6 3" xfId="21255" xr:uid="{00000000-0005-0000-0000-000029110000}"/>
    <cellStyle name="Calculation 4 10 2 7" xfId="8623" xr:uid="{00000000-0005-0000-0000-00002A110000}"/>
    <cellStyle name="Calculation 4 10 2 7 2" xfId="27045" xr:uid="{00000000-0005-0000-0000-00002B110000}"/>
    <cellStyle name="Calculation 4 10 2 7 3" xfId="21914" xr:uid="{00000000-0005-0000-0000-00002C110000}"/>
    <cellStyle name="Calculation 4 10 2 8" xfId="4115" xr:uid="{00000000-0005-0000-0000-00002D110000}"/>
    <cellStyle name="Calculation 4 10 2 8 2" xfId="22581" xr:uid="{00000000-0005-0000-0000-00002E110000}"/>
    <cellStyle name="Calculation 4 10 2 8 3" xfId="17797" xr:uid="{00000000-0005-0000-0000-00002F110000}"/>
    <cellStyle name="Calculation 4 10 2 9" xfId="15104" xr:uid="{00000000-0005-0000-0000-000030110000}"/>
    <cellStyle name="Calculation 4 10 2 9 2" xfId="36515" xr:uid="{00000000-0005-0000-0000-000031110000}"/>
    <cellStyle name="Calculation 4 10 2 9 3" xfId="17124" xr:uid="{00000000-0005-0000-0000-000032110000}"/>
    <cellStyle name="Calculation 4 10 3" xfId="4615" xr:uid="{00000000-0005-0000-0000-000033110000}"/>
    <cellStyle name="Calculation 4 10 3 2" xfId="23075" xr:uid="{00000000-0005-0000-0000-000034110000}"/>
    <cellStyle name="Calculation 4 10 3 3" xfId="18291" xr:uid="{00000000-0005-0000-0000-000035110000}"/>
    <cellStyle name="Calculation 4 10 4" xfId="4471" xr:uid="{00000000-0005-0000-0000-000036110000}"/>
    <cellStyle name="Calculation 4 10 4 2" xfId="22931" xr:uid="{00000000-0005-0000-0000-000037110000}"/>
    <cellStyle name="Calculation 4 10 4 3" xfId="18150" xr:uid="{00000000-0005-0000-0000-000038110000}"/>
    <cellStyle name="Calculation 4 10 5" xfId="6758" xr:uid="{00000000-0005-0000-0000-000039110000}"/>
    <cellStyle name="Calculation 4 10 5 2" xfId="25196" xr:uid="{00000000-0005-0000-0000-00003A110000}"/>
    <cellStyle name="Calculation 4 10 5 3" xfId="20188" xr:uid="{00000000-0005-0000-0000-00003B110000}"/>
    <cellStyle name="Calculation 4 10 6" xfId="6932" xr:uid="{00000000-0005-0000-0000-00003C110000}"/>
    <cellStyle name="Calculation 4 10 6 2" xfId="25370" xr:uid="{00000000-0005-0000-0000-00003D110000}"/>
    <cellStyle name="Calculation 4 10 6 3" xfId="20313" xr:uid="{00000000-0005-0000-0000-00003E110000}"/>
    <cellStyle name="Calculation 4 10 7" xfId="6907" xr:uid="{00000000-0005-0000-0000-00003F110000}"/>
    <cellStyle name="Calculation 4 10 7 2" xfId="25345" xr:uid="{00000000-0005-0000-0000-000040110000}"/>
    <cellStyle name="Calculation 4 10 7 3" xfId="20288" xr:uid="{00000000-0005-0000-0000-000041110000}"/>
    <cellStyle name="Calculation 4 10 8" xfId="8242" xr:uid="{00000000-0005-0000-0000-000042110000}"/>
    <cellStyle name="Calculation 4 10 8 2" xfId="26667" xr:uid="{00000000-0005-0000-0000-000043110000}"/>
    <cellStyle name="Calculation 4 10 8 3" xfId="21593" xr:uid="{00000000-0005-0000-0000-000044110000}"/>
    <cellStyle name="Calculation 4 10 9" xfId="3793" xr:uid="{00000000-0005-0000-0000-000045110000}"/>
    <cellStyle name="Calculation 4 10 9 2" xfId="22262" xr:uid="{00000000-0005-0000-0000-000046110000}"/>
    <cellStyle name="Calculation 4 10 9 3" xfId="17476" xr:uid="{00000000-0005-0000-0000-000047110000}"/>
    <cellStyle name="Calculation 4 11" xfId="1613" xr:uid="{00000000-0005-0000-0000-000048110000}"/>
    <cellStyle name="Calculation 4 11 10" xfId="14461" xr:uid="{00000000-0005-0000-0000-000049110000}"/>
    <cellStyle name="Calculation 4 11 10 2" xfId="35989" xr:uid="{00000000-0005-0000-0000-00004A110000}"/>
    <cellStyle name="Calculation 4 11 10 3" xfId="16789" xr:uid="{00000000-0005-0000-0000-00004B110000}"/>
    <cellStyle name="Calculation 4 11 11" xfId="15249" xr:uid="{00000000-0005-0000-0000-00004C110000}"/>
    <cellStyle name="Calculation 4 11 11 2" xfId="36655" xr:uid="{00000000-0005-0000-0000-00004D110000}"/>
    <cellStyle name="Calculation 4 11 12" xfId="31185" xr:uid="{00000000-0005-0000-0000-00004E110000}"/>
    <cellStyle name="Calculation 4 11 2" xfId="3355" xr:uid="{00000000-0005-0000-0000-00004F110000}"/>
    <cellStyle name="Calculation 4 11 2 10" xfId="14619" xr:uid="{00000000-0005-0000-0000-000050110000}"/>
    <cellStyle name="Calculation 4 11 2 10 2" xfId="36114" xr:uid="{00000000-0005-0000-0000-000051110000}"/>
    <cellStyle name="Calculation 4 11 2 11" xfId="31415" xr:uid="{00000000-0005-0000-0000-000052110000}"/>
    <cellStyle name="Calculation 4 11 2 2" xfId="5493" xr:uid="{00000000-0005-0000-0000-000053110000}"/>
    <cellStyle name="Calculation 4 11 2 2 2" xfId="23946" xr:uid="{00000000-0005-0000-0000-000054110000}"/>
    <cellStyle name="Calculation 4 11 2 2 3" xfId="19081" xr:uid="{00000000-0005-0000-0000-000055110000}"/>
    <cellStyle name="Calculation 4 11 2 3" xfId="5015" xr:uid="{00000000-0005-0000-0000-000056110000}"/>
    <cellStyle name="Calculation 4 11 2 3 2" xfId="23475" xr:uid="{00000000-0005-0000-0000-000057110000}"/>
    <cellStyle name="Calculation 4 11 2 3 3" xfId="18629" xr:uid="{00000000-0005-0000-0000-000058110000}"/>
    <cellStyle name="Calculation 4 11 2 4" xfId="6120" xr:uid="{00000000-0005-0000-0000-000059110000}"/>
    <cellStyle name="Calculation 4 11 2 4 2" xfId="24561" xr:uid="{00000000-0005-0000-0000-00005A110000}"/>
    <cellStyle name="Calculation 4 11 2 4 3" xfId="19670" xr:uid="{00000000-0005-0000-0000-00005B110000}"/>
    <cellStyle name="Calculation 4 11 2 5" xfId="7529" xr:uid="{00000000-0005-0000-0000-00005C110000}"/>
    <cellStyle name="Calculation 4 11 2 5 2" xfId="25959" xr:uid="{00000000-0005-0000-0000-00005D110000}"/>
    <cellStyle name="Calculation 4 11 2 5 3" xfId="20884" xr:uid="{00000000-0005-0000-0000-00005E110000}"/>
    <cellStyle name="Calculation 4 11 2 6" xfId="7902" xr:uid="{00000000-0005-0000-0000-00005F110000}"/>
    <cellStyle name="Calculation 4 11 2 6 2" xfId="26332" xr:uid="{00000000-0005-0000-0000-000060110000}"/>
    <cellStyle name="Calculation 4 11 2 6 3" xfId="21256" xr:uid="{00000000-0005-0000-0000-000061110000}"/>
    <cellStyle name="Calculation 4 11 2 7" xfId="8624" xr:uid="{00000000-0005-0000-0000-000062110000}"/>
    <cellStyle name="Calculation 4 11 2 7 2" xfId="27046" xr:uid="{00000000-0005-0000-0000-000063110000}"/>
    <cellStyle name="Calculation 4 11 2 7 3" xfId="21915" xr:uid="{00000000-0005-0000-0000-000064110000}"/>
    <cellStyle name="Calculation 4 11 2 8" xfId="4116" xr:uid="{00000000-0005-0000-0000-000065110000}"/>
    <cellStyle name="Calculation 4 11 2 8 2" xfId="22582" xr:uid="{00000000-0005-0000-0000-000066110000}"/>
    <cellStyle name="Calculation 4 11 2 8 3" xfId="17798" xr:uid="{00000000-0005-0000-0000-000067110000}"/>
    <cellStyle name="Calculation 4 11 2 9" xfId="15105" xr:uid="{00000000-0005-0000-0000-000068110000}"/>
    <cellStyle name="Calculation 4 11 2 9 2" xfId="36516" xr:uid="{00000000-0005-0000-0000-000069110000}"/>
    <cellStyle name="Calculation 4 11 2 9 3" xfId="17125" xr:uid="{00000000-0005-0000-0000-00006A110000}"/>
    <cellStyle name="Calculation 4 11 3" xfId="4616" xr:uid="{00000000-0005-0000-0000-00006B110000}"/>
    <cellStyle name="Calculation 4 11 3 2" xfId="23076" xr:uid="{00000000-0005-0000-0000-00006C110000}"/>
    <cellStyle name="Calculation 4 11 3 3" xfId="18292" xr:uid="{00000000-0005-0000-0000-00006D110000}"/>
    <cellStyle name="Calculation 4 11 4" xfId="4472" xr:uid="{00000000-0005-0000-0000-00006E110000}"/>
    <cellStyle name="Calculation 4 11 4 2" xfId="22932" xr:uid="{00000000-0005-0000-0000-00006F110000}"/>
    <cellStyle name="Calculation 4 11 4 3" xfId="18151" xr:uid="{00000000-0005-0000-0000-000070110000}"/>
    <cellStyle name="Calculation 4 11 5" xfId="6757" xr:uid="{00000000-0005-0000-0000-000071110000}"/>
    <cellStyle name="Calculation 4 11 5 2" xfId="25195" xr:uid="{00000000-0005-0000-0000-000072110000}"/>
    <cellStyle name="Calculation 4 11 5 3" xfId="20187" xr:uid="{00000000-0005-0000-0000-000073110000}"/>
    <cellStyle name="Calculation 4 11 6" xfId="7117" xr:uid="{00000000-0005-0000-0000-000074110000}"/>
    <cellStyle name="Calculation 4 11 6 2" xfId="25551" xr:uid="{00000000-0005-0000-0000-000075110000}"/>
    <cellStyle name="Calculation 4 11 6 3" xfId="20482" xr:uid="{00000000-0005-0000-0000-000076110000}"/>
    <cellStyle name="Calculation 4 11 7" xfId="7090" xr:uid="{00000000-0005-0000-0000-000077110000}"/>
    <cellStyle name="Calculation 4 11 7 2" xfId="25524" xr:uid="{00000000-0005-0000-0000-000078110000}"/>
    <cellStyle name="Calculation 4 11 7 3" xfId="20455" xr:uid="{00000000-0005-0000-0000-000079110000}"/>
    <cellStyle name="Calculation 4 11 8" xfId="8243" xr:uid="{00000000-0005-0000-0000-00007A110000}"/>
    <cellStyle name="Calculation 4 11 8 2" xfId="26668" xr:uid="{00000000-0005-0000-0000-00007B110000}"/>
    <cellStyle name="Calculation 4 11 8 3" xfId="21594" xr:uid="{00000000-0005-0000-0000-00007C110000}"/>
    <cellStyle name="Calculation 4 11 9" xfId="3794" xr:uid="{00000000-0005-0000-0000-00007D110000}"/>
    <cellStyle name="Calculation 4 11 9 2" xfId="22263" xr:uid="{00000000-0005-0000-0000-00007E110000}"/>
    <cellStyle name="Calculation 4 11 9 3" xfId="17477" xr:uid="{00000000-0005-0000-0000-00007F110000}"/>
    <cellStyle name="Calculation 4 12" xfId="3353" xr:uid="{00000000-0005-0000-0000-000080110000}"/>
    <cellStyle name="Calculation 4 12 10" xfId="14812" xr:uid="{00000000-0005-0000-0000-000081110000}"/>
    <cellStyle name="Calculation 4 12 10 2" xfId="36268" xr:uid="{00000000-0005-0000-0000-000082110000}"/>
    <cellStyle name="Calculation 4 12 11" xfId="31413" xr:uid="{00000000-0005-0000-0000-000083110000}"/>
    <cellStyle name="Calculation 4 12 2" xfId="5491" xr:uid="{00000000-0005-0000-0000-000084110000}"/>
    <cellStyle name="Calculation 4 12 2 2" xfId="23944" xr:uid="{00000000-0005-0000-0000-000085110000}"/>
    <cellStyle name="Calculation 4 12 2 3" xfId="19079" xr:uid="{00000000-0005-0000-0000-000086110000}"/>
    <cellStyle name="Calculation 4 12 3" xfId="5013" xr:uid="{00000000-0005-0000-0000-000087110000}"/>
    <cellStyle name="Calculation 4 12 3 2" xfId="23473" xr:uid="{00000000-0005-0000-0000-000088110000}"/>
    <cellStyle name="Calculation 4 12 3 3" xfId="18627" xr:uid="{00000000-0005-0000-0000-000089110000}"/>
    <cellStyle name="Calculation 4 12 4" xfId="6122" xr:uid="{00000000-0005-0000-0000-00008A110000}"/>
    <cellStyle name="Calculation 4 12 4 2" xfId="24563" xr:uid="{00000000-0005-0000-0000-00008B110000}"/>
    <cellStyle name="Calculation 4 12 4 3" xfId="19672" xr:uid="{00000000-0005-0000-0000-00008C110000}"/>
    <cellStyle name="Calculation 4 12 5" xfId="7527" xr:uid="{00000000-0005-0000-0000-00008D110000}"/>
    <cellStyle name="Calculation 4 12 5 2" xfId="25957" xr:uid="{00000000-0005-0000-0000-00008E110000}"/>
    <cellStyle name="Calculation 4 12 5 3" xfId="20882" xr:uid="{00000000-0005-0000-0000-00008F110000}"/>
    <cellStyle name="Calculation 4 12 6" xfId="7900" xr:uid="{00000000-0005-0000-0000-000090110000}"/>
    <cellStyle name="Calculation 4 12 6 2" xfId="26330" xr:uid="{00000000-0005-0000-0000-000091110000}"/>
    <cellStyle name="Calculation 4 12 6 3" xfId="21254" xr:uid="{00000000-0005-0000-0000-000092110000}"/>
    <cellStyle name="Calculation 4 12 7" xfId="8622" xr:uid="{00000000-0005-0000-0000-000093110000}"/>
    <cellStyle name="Calculation 4 12 7 2" xfId="27044" xr:uid="{00000000-0005-0000-0000-000094110000}"/>
    <cellStyle name="Calculation 4 12 7 3" xfId="21913" xr:uid="{00000000-0005-0000-0000-000095110000}"/>
    <cellStyle name="Calculation 4 12 8" xfId="4114" xr:uid="{00000000-0005-0000-0000-000096110000}"/>
    <cellStyle name="Calculation 4 12 8 2" xfId="22580" xr:uid="{00000000-0005-0000-0000-000097110000}"/>
    <cellStyle name="Calculation 4 12 8 3" xfId="17796" xr:uid="{00000000-0005-0000-0000-000098110000}"/>
    <cellStyle name="Calculation 4 12 9" xfId="14462" xr:uid="{00000000-0005-0000-0000-000099110000}"/>
    <cellStyle name="Calculation 4 12 9 2" xfId="35990" xr:uid="{00000000-0005-0000-0000-00009A110000}"/>
    <cellStyle name="Calculation 4 12 9 3" xfId="17123" xr:uid="{00000000-0005-0000-0000-00009B110000}"/>
    <cellStyle name="Calculation 4 13" xfId="4614" xr:uid="{00000000-0005-0000-0000-00009C110000}"/>
    <cellStyle name="Calculation 4 13 2" xfId="23074" xr:uid="{00000000-0005-0000-0000-00009D110000}"/>
    <cellStyle name="Calculation 4 13 3" xfId="18290" xr:uid="{00000000-0005-0000-0000-00009E110000}"/>
    <cellStyle name="Calculation 4 14" xfId="4470" xr:uid="{00000000-0005-0000-0000-00009F110000}"/>
    <cellStyle name="Calculation 4 14 2" xfId="22930" xr:uid="{00000000-0005-0000-0000-0000A0110000}"/>
    <cellStyle name="Calculation 4 14 3" xfId="18149" xr:uid="{00000000-0005-0000-0000-0000A1110000}"/>
    <cellStyle name="Calculation 4 15" xfId="6759" xr:uid="{00000000-0005-0000-0000-0000A2110000}"/>
    <cellStyle name="Calculation 4 15 2" xfId="25197" xr:uid="{00000000-0005-0000-0000-0000A3110000}"/>
    <cellStyle name="Calculation 4 15 3" xfId="20189" xr:uid="{00000000-0005-0000-0000-0000A4110000}"/>
    <cellStyle name="Calculation 4 16" xfId="7116" xr:uid="{00000000-0005-0000-0000-0000A5110000}"/>
    <cellStyle name="Calculation 4 16 2" xfId="25550" xr:uid="{00000000-0005-0000-0000-0000A6110000}"/>
    <cellStyle name="Calculation 4 16 3" xfId="20481" xr:uid="{00000000-0005-0000-0000-0000A7110000}"/>
    <cellStyle name="Calculation 4 17" xfId="7093" xr:uid="{00000000-0005-0000-0000-0000A8110000}"/>
    <cellStyle name="Calculation 4 17 2" xfId="25527" xr:uid="{00000000-0005-0000-0000-0000A9110000}"/>
    <cellStyle name="Calculation 4 17 3" xfId="20458" xr:uid="{00000000-0005-0000-0000-0000AA110000}"/>
    <cellStyle name="Calculation 4 18" xfId="8241" xr:uid="{00000000-0005-0000-0000-0000AB110000}"/>
    <cellStyle name="Calculation 4 18 2" xfId="26666" xr:uid="{00000000-0005-0000-0000-0000AC110000}"/>
    <cellStyle name="Calculation 4 18 3" xfId="21592" xr:uid="{00000000-0005-0000-0000-0000AD110000}"/>
    <cellStyle name="Calculation 4 19" xfId="3792" xr:uid="{00000000-0005-0000-0000-0000AE110000}"/>
    <cellStyle name="Calculation 4 19 2" xfId="22261" xr:uid="{00000000-0005-0000-0000-0000AF110000}"/>
    <cellStyle name="Calculation 4 19 3" xfId="17475" xr:uid="{00000000-0005-0000-0000-0000B0110000}"/>
    <cellStyle name="Calculation 4 2" xfId="1614" xr:uid="{00000000-0005-0000-0000-0000B1110000}"/>
    <cellStyle name="Calculation 4 2 10" xfId="15106" xr:uid="{00000000-0005-0000-0000-0000B2110000}"/>
    <cellStyle name="Calculation 4 2 10 2" xfId="36517" xr:uid="{00000000-0005-0000-0000-0000B3110000}"/>
    <cellStyle name="Calculation 4 2 10 3" xfId="16790" xr:uid="{00000000-0005-0000-0000-0000B4110000}"/>
    <cellStyle name="Calculation 4 2 11" xfId="14648" xr:uid="{00000000-0005-0000-0000-0000B5110000}"/>
    <cellStyle name="Calculation 4 2 11 2" xfId="36133" xr:uid="{00000000-0005-0000-0000-0000B6110000}"/>
    <cellStyle name="Calculation 4 2 12" xfId="31186" xr:uid="{00000000-0005-0000-0000-0000B7110000}"/>
    <cellStyle name="Calculation 4 2 13" xfId="39072" xr:uid="{00000000-0005-0000-0000-000081060000}"/>
    <cellStyle name="Calculation 4 2 14" xfId="41039" xr:uid="{00000000-0005-0000-0000-000081060000}"/>
    <cellStyle name="Calculation 4 2 2" xfId="3356" xr:uid="{00000000-0005-0000-0000-0000B8110000}"/>
    <cellStyle name="Calculation 4 2 2 10" xfId="14734" xr:uid="{00000000-0005-0000-0000-0000B9110000}"/>
    <cellStyle name="Calculation 4 2 2 10 2" xfId="36214" xr:uid="{00000000-0005-0000-0000-0000BA110000}"/>
    <cellStyle name="Calculation 4 2 2 11" xfId="31416" xr:uid="{00000000-0005-0000-0000-0000BB110000}"/>
    <cellStyle name="Calculation 4 2 2 2" xfId="5494" xr:uid="{00000000-0005-0000-0000-0000BC110000}"/>
    <cellStyle name="Calculation 4 2 2 2 2" xfId="23947" xr:uid="{00000000-0005-0000-0000-0000BD110000}"/>
    <cellStyle name="Calculation 4 2 2 2 3" xfId="19082" xr:uid="{00000000-0005-0000-0000-0000BE110000}"/>
    <cellStyle name="Calculation 4 2 2 3" xfId="5016" xr:uid="{00000000-0005-0000-0000-0000BF110000}"/>
    <cellStyle name="Calculation 4 2 2 3 2" xfId="23476" xr:uid="{00000000-0005-0000-0000-0000C0110000}"/>
    <cellStyle name="Calculation 4 2 2 3 3" xfId="18630" xr:uid="{00000000-0005-0000-0000-0000C1110000}"/>
    <cellStyle name="Calculation 4 2 2 4" xfId="6119" xr:uid="{00000000-0005-0000-0000-0000C2110000}"/>
    <cellStyle name="Calculation 4 2 2 4 2" xfId="24560" xr:uid="{00000000-0005-0000-0000-0000C3110000}"/>
    <cellStyle name="Calculation 4 2 2 4 3" xfId="19669" xr:uid="{00000000-0005-0000-0000-0000C4110000}"/>
    <cellStyle name="Calculation 4 2 2 5" xfId="7530" xr:uid="{00000000-0005-0000-0000-0000C5110000}"/>
    <cellStyle name="Calculation 4 2 2 5 2" xfId="25960" xr:uid="{00000000-0005-0000-0000-0000C6110000}"/>
    <cellStyle name="Calculation 4 2 2 5 3" xfId="20885" xr:uid="{00000000-0005-0000-0000-0000C7110000}"/>
    <cellStyle name="Calculation 4 2 2 6" xfId="7903" xr:uid="{00000000-0005-0000-0000-0000C8110000}"/>
    <cellStyle name="Calculation 4 2 2 6 2" xfId="26333" xr:uid="{00000000-0005-0000-0000-0000C9110000}"/>
    <cellStyle name="Calculation 4 2 2 6 3" xfId="21257" xr:uid="{00000000-0005-0000-0000-0000CA110000}"/>
    <cellStyle name="Calculation 4 2 2 7" xfId="8625" xr:uid="{00000000-0005-0000-0000-0000CB110000}"/>
    <cellStyle name="Calculation 4 2 2 7 2" xfId="27047" xr:uid="{00000000-0005-0000-0000-0000CC110000}"/>
    <cellStyle name="Calculation 4 2 2 7 3" xfId="21916" xr:uid="{00000000-0005-0000-0000-0000CD110000}"/>
    <cellStyle name="Calculation 4 2 2 8" xfId="4117" xr:uid="{00000000-0005-0000-0000-0000CE110000}"/>
    <cellStyle name="Calculation 4 2 2 8 2" xfId="22583" xr:uid="{00000000-0005-0000-0000-0000CF110000}"/>
    <cellStyle name="Calculation 4 2 2 8 3" xfId="17799" xr:uid="{00000000-0005-0000-0000-0000D0110000}"/>
    <cellStyle name="Calculation 4 2 2 9" xfId="14463" xr:uid="{00000000-0005-0000-0000-0000D1110000}"/>
    <cellStyle name="Calculation 4 2 2 9 2" xfId="35991" xr:uid="{00000000-0005-0000-0000-0000D2110000}"/>
    <cellStyle name="Calculation 4 2 2 9 3" xfId="17126" xr:uid="{00000000-0005-0000-0000-0000D3110000}"/>
    <cellStyle name="Calculation 4 2 3" xfId="4617" xr:uid="{00000000-0005-0000-0000-0000D4110000}"/>
    <cellStyle name="Calculation 4 2 3 2" xfId="23077" xr:uid="{00000000-0005-0000-0000-0000D5110000}"/>
    <cellStyle name="Calculation 4 2 3 3" xfId="18293" xr:uid="{00000000-0005-0000-0000-0000D6110000}"/>
    <cellStyle name="Calculation 4 2 4" xfId="4473" xr:uid="{00000000-0005-0000-0000-0000D7110000}"/>
    <cellStyle name="Calculation 4 2 4 2" xfId="22933" xr:uid="{00000000-0005-0000-0000-0000D8110000}"/>
    <cellStyle name="Calculation 4 2 4 3" xfId="18152" xr:uid="{00000000-0005-0000-0000-0000D9110000}"/>
    <cellStyle name="Calculation 4 2 5" xfId="6756" xr:uid="{00000000-0005-0000-0000-0000DA110000}"/>
    <cellStyle name="Calculation 4 2 5 2" xfId="25194" xr:uid="{00000000-0005-0000-0000-0000DB110000}"/>
    <cellStyle name="Calculation 4 2 5 3" xfId="20186" xr:uid="{00000000-0005-0000-0000-0000DC110000}"/>
    <cellStyle name="Calculation 4 2 6" xfId="6933" xr:uid="{00000000-0005-0000-0000-0000DD110000}"/>
    <cellStyle name="Calculation 4 2 6 2" xfId="25371" xr:uid="{00000000-0005-0000-0000-0000DE110000}"/>
    <cellStyle name="Calculation 4 2 6 3" xfId="20314" xr:uid="{00000000-0005-0000-0000-0000DF110000}"/>
    <cellStyle name="Calculation 4 2 7" xfId="7092" xr:uid="{00000000-0005-0000-0000-0000E0110000}"/>
    <cellStyle name="Calculation 4 2 7 2" xfId="25526" xr:uid="{00000000-0005-0000-0000-0000E1110000}"/>
    <cellStyle name="Calculation 4 2 7 3" xfId="20457" xr:uid="{00000000-0005-0000-0000-0000E2110000}"/>
    <cellStyle name="Calculation 4 2 8" xfId="8244" xr:uid="{00000000-0005-0000-0000-0000E3110000}"/>
    <cellStyle name="Calculation 4 2 8 2" xfId="26669" xr:uid="{00000000-0005-0000-0000-0000E4110000}"/>
    <cellStyle name="Calculation 4 2 8 3" xfId="21595" xr:uid="{00000000-0005-0000-0000-0000E5110000}"/>
    <cellStyle name="Calculation 4 2 9" xfId="3795" xr:uid="{00000000-0005-0000-0000-0000E6110000}"/>
    <cellStyle name="Calculation 4 2 9 2" xfId="22264" xr:uid="{00000000-0005-0000-0000-0000E7110000}"/>
    <cellStyle name="Calculation 4 2 9 3" xfId="17478" xr:uid="{00000000-0005-0000-0000-0000E8110000}"/>
    <cellStyle name="Calculation 4 20" xfId="15103" xr:uid="{00000000-0005-0000-0000-0000E9110000}"/>
    <cellStyle name="Calculation 4 20 2" xfId="36514" xr:uid="{00000000-0005-0000-0000-0000EA110000}"/>
    <cellStyle name="Calculation 4 20 3" xfId="16787" xr:uid="{00000000-0005-0000-0000-0000EB110000}"/>
    <cellStyle name="Calculation 4 21" xfId="15633" xr:uid="{00000000-0005-0000-0000-0000EC110000}"/>
    <cellStyle name="Calculation 4 21 2" xfId="37008" xr:uid="{00000000-0005-0000-0000-0000ED110000}"/>
    <cellStyle name="Calculation 4 22" xfId="31183" xr:uid="{00000000-0005-0000-0000-0000EE110000}"/>
    <cellStyle name="Calculation 4 23" xfId="39071" xr:uid="{00000000-0005-0000-0000-000080060000}"/>
    <cellStyle name="Calculation 4 24" xfId="41038" xr:uid="{00000000-0005-0000-0000-000080060000}"/>
    <cellStyle name="Calculation 4 3" xfId="1615" xr:uid="{00000000-0005-0000-0000-0000EF110000}"/>
    <cellStyle name="Calculation 4 3 10" xfId="15107" xr:uid="{00000000-0005-0000-0000-0000F0110000}"/>
    <cellStyle name="Calculation 4 3 10 2" xfId="36518" xr:uid="{00000000-0005-0000-0000-0000F1110000}"/>
    <cellStyle name="Calculation 4 3 10 3" xfId="16791" xr:uid="{00000000-0005-0000-0000-0000F2110000}"/>
    <cellStyle name="Calculation 4 3 11" xfId="15296" xr:uid="{00000000-0005-0000-0000-0000F3110000}"/>
    <cellStyle name="Calculation 4 3 11 2" xfId="36692" xr:uid="{00000000-0005-0000-0000-0000F4110000}"/>
    <cellStyle name="Calculation 4 3 12" xfId="31187" xr:uid="{00000000-0005-0000-0000-0000F5110000}"/>
    <cellStyle name="Calculation 4 3 2" xfId="3357" xr:uid="{00000000-0005-0000-0000-0000F6110000}"/>
    <cellStyle name="Calculation 4 3 2 10" xfId="16098" xr:uid="{00000000-0005-0000-0000-0000F7110000}"/>
    <cellStyle name="Calculation 4 3 2 10 2" xfId="37420" xr:uid="{00000000-0005-0000-0000-0000F8110000}"/>
    <cellStyle name="Calculation 4 3 2 11" xfId="31417" xr:uid="{00000000-0005-0000-0000-0000F9110000}"/>
    <cellStyle name="Calculation 4 3 2 2" xfId="5495" xr:uid="{00000000-0005-0000-0000-0000FA110000}"/>
    <cellStyle name="Calculation 4 3 2 2 2" xfId="23948" xr:uid="{00000000-0005-0000-0000-0000FB110000}"/>
    <cellStyle name="Calculation 4 3 2 2 3" xfId="19083" xr:uid="{00000000-0005-0000-0000-0000FC110000}"/>
    <cellStyle name="Calculation 4 3 2 3" xfId="5017" xr:uid="{00000000-0005-0000-0000-0000FD110000}"/>
    <cellStyle name="Calculation 4 3 2 3 2" xfId="23477" xr:uid="{00000000-0005-0000-0000-0000FE110000}"/>
    <cellStyle name="Calculation 4 3 2 3 3" xfId="18631" xr:uid="{00000000-0005-0000-0000-0000FF110000}"/>
    <cellStyle name="Calculation 4 3 2 4" xfId="6118" xr:uid="{00000000-0005-0000-0000-000000120000}"/>
    <cellStyle name="Calculation 4 3 2 4 2" xfId="24559" xr:uid="{00000000-0005-0000-0000-000001120000}"/>
    <cellStyle name="Calculation 4 3 2 4 3" xfId="19668" xr:uid="{00000000-0005-0000-0000-000002120000}"/>
    <cellStyle name="Calculation 4 3 2 5" xfId="7531" xr:uid="{00000000-0005-0000-0000-000003120000}"/>
    <cellStyle name="Calculation 4 3 2 5 2" xfId="25961" xr:uid="{00000000-0005-0000-0000-000004120000}"/>
    <cellStyle name="Calculation 4 3 2 5 3" xfId="20886" xr:uid="{00000000-0005-0000-0000-000005120000}"/>
    <cellStyle name="Calculation 4 3 2 6" xfId="7904" xr:uid="{00000000-0005-0000-0000-000006120000}"/>
    <cellStyle name="Calculation 4 3 2 6 2" xfId="26334" xr:uid="{00000000-0005-0000-0000-000007120000}"/>
    <cellStyle name="Calculation 4 3 2 6 3" xfId="21258" xr:uid="{00000000-0005-0000-0000-000008120000}"/>
    <cellStyle name="Calculation 4 3 2 7" xfId="8626" xr:uid="{00000000-0005-0000-0000-000009120000}"/>
    <cellStyle name="Calculation 4 3 2 7 2" xfId="27048" xr:uid="{00000000-0005-0000-0000-00000A120000}"/>
    <cellStyle name="Calculation 4 3 2 7 3" xfId="21917" xr:uid="{00000000-0005-0000-0000-00000B120000}"/>
    <cellStyle name="Calculation 4 3 2 8" xfId="4118" xr:uid="{00000000-0005-0000-0000-00000C120000}"/>
    <cellStyle name="Calculation 4 3 2 8 2" xfId="22584" xr:uid="{00000000-0005-0000-0000-00000D120000}"/>
    <cellStyle name="Calculation 4 3 2 8 3" xfId="17800" xr:uid="{00000000-0005-0000-0000-00000E120000}"/>
    <cellStyle name="Calculation 4 3 2 9" xfId="14464" xr:uid="{00000000-0005-0000-0000-00000F120000}"/>
    <cellStyle name="Calculation 4 3 2 9 2" xfId="35992" xr:uid="{00000000-0005-0000-0000-000010120000}"/>
    <cellStyle name="Calculation 4 3 2 9 3" xfId="17127" xr:uid="{00000000-0005-0000-0000-000011120000}"/>
    <cellStyle name="Calculation 4 3 3" xfId="4618" xr:uid="{00000000-0005-0000-0000-000012120000}"/>
    <cellStyle name="Calculation 4 3 3 2" xfId="23078" xr:uid="{00000000-0005-0000-0000-000013120000}"/>
    <cellStyle name="Calculation 4 3 3 3" xfId="18294" xr:uid="{00000000-0005-0000-0000-000014120000}"/>
    <cellStyle name="Calculation 4 3 4" xfId="4474" xr:uid="{00000000-0005-0000-0000-000015120000}"/>
    <cellStyle name="Calculation 4 3 4 2" xfId="22934" xr:uid="{00000000-0005-0000-0000-000016120000}"/>
    <cellStyle name="Calculation 4 3 4 3" xfId="18153" xr:uid="{00000000-0005-0000-0000-000017120000}"/>
    <cellStyle name="Calculation 4 3 5" xfId="6755" xr:uid="{00000000-0005-0000-0000-000018120000}"/>
    <cellStyle name="Calculation 4 3 5 2" xfId="25193" xr:uid="{00000000-0005-0000-0000-000019120000}"/>
    <cellStyle name="Calculation 4 3 5 3" xfId="20185" xr:uid="{00000000-0005-0000-0000-00001A120000}"/>
    <cellStyle name="Calculation 4 3 6" xfId="7118" xr:uid="{00000000-0005-0000-0000-00001B120000}"/>
    <cellStyle name="Calculation 4 3 6 2" xfId="25552" xr:uid="{00000000-0005-0000-0000-00001C120000}"/>
    <cellStyle name="Calculation 4 3 6 3" xfId="20483" xr:uid="{00000000-0005-0000-0000-00001D120000}"/>
    <cellStyle name="Calculation 4 3 7" xfId="6906" xr:uid="{00000000-0005-0000-0000-00001E120000}"/>
    <cellStyle name="Calculation 4 3 7 2" xfId="25344" xr:uid="{00000000-0005-0000-0000-00001F120000}"/>
    <cellStyle name="Calculation 4 3 7 3" xfId="20287" xr:uid="{00000000-0005-0000-0000-000020120000}"/>
    <cellStyle name="Calculation 4 3 8" xfId="8245" xr:uid="{00000000-0005-0000-0000-000021120000}"/>
    <cellStyle name="Calculation 4 3 8 2" xfId="26670" xr:uid="{00000000-0005-0000-0000-000022120000}"/>
    <cellStyle name="Calculation 4 3 8 3" xfId="21596" xr:uid="{00000000-0005-0000-0000-000023120000}"/>
    <cellStyle name="Calculation 4 3 9" xfId="3796" xr:uid="{00000000-0005-0000-0000-000024120000}"/>
    <cellStyle name="Calculation 4 3 9 2" xfId="22265" xr:uid="{00000000-0005-0000-0000-000025120000}"/>
    <cellStyle name="Calculation 4 3 9 3" xfId="17479" xr:uid="{00000000-0005-0000-0000-000026120000}"/>
    <cellStyle name="Calculation 4 4" xfId="1616" xr:uid="{00000000-0005-0000-0000-000027120000}"/>
    <cellStyle name="Calculation 4 4 10" xfId="14465" xr:uid="{00000000-0005-0000-0000-000028120000}"/>
    <cellStyle name="Calculation 4 4 10 2" xfId="35993" xr:uid="{00000000-0005-0000-0000-000029120000}"/>
    <cellStyle name="Calculation 4 4 10 3" xfId="16792" xr:uid="{00000000-0005-0000-0000-00002A120000}"/>
    <cellStyle name="Calculation 4 4 11" xfId="16014" xr:uid="{00000000-0005-0000-0000-00002B120000}"/>
    <cellStyle name="Calculation 4 4 11 2" xfId="37355" xr:uid="{00000000-0005-0000-0000-00002C120000}"/>
    <cellStyle name="Calculation 4 4 12" xfId="31188" xr:uid="{00000000-0005-0000-0000-00002D120000}"/>
    <cellStyle name="Calculation 4 4 2" xfId="3358" xr:uid="{00000000-0005-0000-0000-00002E120000}"/>
    <cellStyle name="Calculation 4 4 2 10" xfId="16406" xr:uid="{00000000-0005-0000-0000-00002F120000}"/>
    <cellStyle name="Calculation 4 4 2 10 2" xfId="37695" xr:uid="{00000000-0005-0000-0000-000030120000}"/>
    <cellStyle name="Calculation 4 4 2 11" xfId="31418" xr:uid="{00000000-0005-0000-0000-000031120000}"/>
    <cellStyle name="Calculation 4 4 2 2" xfId="5496" xr:uid="{00000000-0005-0000-0000-000032120000}"/>
    <cellStyle name="Calculation 4 4 2 2 2" xfId="23949" xr:uid="{00000000-0005-0000-0000-000033120000}"/>
    <cellStyle name="Calculation 4 4 2 2 3" xfId="19084" xr:uid="{00000000-0005-0000-0000-000034120000}"/>
    <cellStyle name="Calculation 4 4 2 3" xfId="5018" xr:uid="{00000000-0005-0000-0000-000035120000}"/>
    <cellStyle name="Calculation 4 4 2 3 2" xfId="23478" xr:uid="{00000000-0005-0000-0000-000036120000}"/>
    <cellStyle name="Calculation 4 4 2 3 3" xfId="18632" xr:uid="{00000000-0005-0000-0000-000037120000}"/>
    <cellStyle name="Calculation 4 4 2 4" xfId="6117" xr:uid="{00000000-0005-0000-0000-000038120000}"/>
    <cellStyle name="Calculation 4 4 2 4 2" xfId="24558" xr:uid="{00000000-0005-0000-0000-000039120000}"/>
    <cellStyle name="Calculation 4 4 2 4 3" xfId="19667" xr:uid="{00000000-0005-0000-0000-00003A120000}"/>
    <cellStyle name="Calculation 4 4 2 5" xfId="7532" xr:uid="{00000000-0005-0000-0000-00003B120000}"/>
    <cellStyle name="Calculation 4 4 2 5 2" xfId="25962" xr:uid="{00000000-0005-0000-0000-00003C120000}"/>
    <cellStyle name="Calculation 4 4 2 5 3" xfId="20887" xr:uid="{00000000-0005-0000-0000-00003D120000}"/>
    <cellStyle name="Calculation 4 4 2 6" xfId="7905" xr:uid="{00000000-0005-0000-0000-00003E120000}"/>
    <cellStyle name="Calculation 4 4 2 6 2" xfId="26335" xr:uid="{00000000-0005-0000-0000-00003F120000}"/>
    <cellStyle name="Calculation 4 4 2 6 3" xfId="21259" xr:uid="{00000000-0005-0000-0000-000040120000}"/>
    <cellStyle name="Calculation 4 4 2 7" xfId="8627" xr:uid="{00000000-0005-0000-0000-000041120000}"/>
    <cellStyle name="Calculation 4 4 2 7 2" xfId="27049" xr:uid="{00000000-0005-0000-0000-000042120000}"/>
    <cellStyle name="Calculation 4 4 2 7 3" xfId="21918" xr:uid="{00000000-0005-0000-0000-000043120000}"/>
    <cellStyle name="Calculation 4 4 2 8" xfId="4119" xr:uid="{00000000-0005-0000-0000-000044120000}"/>
    <cellStyle name="Calculation 4 4 2 8 2" xfId="22585" xr:uid="{00000000-0005-0000-0000-000045120000}"/>
    <cellStyle name="Calculation 4 4 2 8 3" xfId="17801" xr:uid="{00000000-0005-0000-0000-000046120000}"/>
    <cellStyle name="Calculation 4 4 2 9" xfId="15108" xr:uid="{00000000-0005-0000-0000-000047120000}"/>
    <cellStyle name="Calculation 4 4 2 9 2" xfId="36519" xr:uid="{00000000-0005-0000-0000-000048120000}"/>
    <cellStyle name="Calculation 4 4 2 9 3" xfId="17128" xr:uid="{00000000-0005-0000-0000-000049120000}"/>
    <cellStyle name="Calculation 4 4 3" xfId="4619" xr:uid="{00000000-0005-0000-0000-00004A120000}"/>
    <cellStyle name="Calculation 4 4 3 2" xfId="23079" xr:uid="{00000000-0005-0000-0000-00004B120000}"/>
    <cellStyle name="Calculation 4 4 3 3" xfId="18295" xr:uid="{00000000-0005-0000-0000-00004C120000}"/>
    <cellStyle name="Calculation 4 4 4" xfId="4475" xr:uid="{00000000-0005-0000-0000-00004D120000}"/>
    <cellStyle name="Calculation 4 4 4 2" xfId="22935" xr:uid="{00000000-0005-0000-0000-00004E120000}"/>
    <cellStyle name="Calculation 4 4 4 3" xfId="18154" xr:uid="{00000000-0005-0000-0000-00004F120000}"/>
    <cellStyle name="Calculation 4 4 5" xfId="6754" xr:uid="{00000000-0005-0000-0000-000050120000}"/>
    <cellStyle name="Calculation 4 4 5 2" xfId="25192" xr:uid="{00000000-0005-0000-0000-000051120000}"/>
    <cellStyle name="Calculation 4 4 5 3" xfId="20184" xr:uid="{00000000-0005-0000-0000-000052120000}"/>
    <cellStyle name="Calculation 4 4 6" xfId="6934" xr:uid="{00000000-0005-0000-0000-000053120000}"/>
    <cellStyle name="Calculation 4 4 6 2" xfId="25372" xr:uid="{00000000-0005-0000-0000-000054120000}"/>
    <cellStyle name="Calculation 4 4 6 3" xfId="20315" xr:uid="{00000000-0005-0000-0000-000055120000}"/>
    <cellStyle name="Calculation 4 4 7" xfId="7091" xr:uid="{00000000-0005-0000-0000-000056120000}"/>
    <cellStyle name="Calculation 4 4 7 2" xfId="25525" xr:uid="{00000000-0005-0000-0000-000057120000}"/>
    <cellStyle name="Calculation 4 4 7 3" xfId="20456" xr:uid="{00000000-0005-0000-0000-000058120000}"/>
    <cellStyle name="Calculation 4 4 8" xfId="8246" xr:uid="{00000000-0005-0000-0000-000059120000}"/>
    <cellStyle name="Calculation 4 4 8 2" xfId="26671" xr:uid="{00000000-0005-0000-0000-00005A120000}"/>
    <cellStyle name="Calculation 4 4 8 3" xfId="21597" xr:uid="{00000000-0005-0000-0000-00005B120000}"/>
    <cellStyle name="Calculation 4 4 9" xfId="3797" xr:uid="{00000000-0005-0000-0000-00005C120000}"/>
    <cellStyle name="Calculation 4 4 9 2" xfId="22266" xr:uid="{00000000-0005-0000-0000-00005D120000}"/>
    <cellStyle name="Calculation 4 4 9 3" xfId="17480" xr:uid="{00000000-0005-0000-0000-00005E120000}"/>
    <cellStyle name="Calculation 4 5" xfId="1617" xr:uid="{00000000-0005-0000-0000-00005F120000}"/>
    <cellStyle name="Calculation 4 5 10" xfId="14466" xr:uid="{00000000-0005-0000-0000-000060120000}"/>
    <cellStyle name="Calculation 4 5 10 2" xfId="35994" xr:uid="{00000000-0005-0000-0000-000061120000}"/>
    <cellStyle name="Calculation 4 5 10 3" xfId="16793" xr:uid="{00000000-0005-0000-0000-000062120000}"/>
    <cellStyle name="Calculation 4 5 11" xfId="14935" xr:uid="{00000000-0005-0000-0000-000063120000}"/>
    <cellStyle name="Calculation 4 5 11 2" xfId="36383" xr:uid="{00000000-0005-0000-0000-000064120000}"/>
    <cellStyle name="Calculation 4 5 12" xfId="31189" xr:uid="{00000000-0005-0000-0000-000065120000}"/>
    <cellStyle name="Calculation 4 5 2" xfId="3359" xr:uid="{00000000-0005-0000-0000-000066120000}"/>
    <cellStyle name="Calculation 4 5 2 10" xfId="15565" xr:uid="{00000000-0005-0000-0000-000067120000}"/>
    <cellStyle name="Calculation 4 5 2 10 2" xfId="36943" xr:uid="{00000000-0005-0000-0000-000068120000}"/>
    <cellStyle name="Calculation 4 5 2 11" xfId="31419" xr:uid="{00000000-0005-0000-0000-000069120000}"/>
    <cellStyle name="Calculation 4 5 2 2" xfId="5497" xr:uid="{00000000-0005-0000-0000-00006A120000}"/>
    <cellStyle name="Calculation 4 5 2 2 2" xfId="23950" xr:uid="{00000000-0005-0000-0000-00006B120000}"/>
    <cellStyle name="Calculation 4 5 2 2 3" xfId="19085" xr:uid="{00000000-0005-0000-0000-00006C120000}"/>
    <cellStyle name="Calculation 4 5 2 3" xfId="5019" xr:uid="{00000000-0005-0000-0000-00006D120000}"/>
    <cellStyle name="Calculation 4 5 2 3 2" xfId="23479" xr:uid="{00000000-0005-0000-0000-00006E120000}"/>
    <cellStyle name="Calculation 4 5 2 3 3" xfId="18633" xr:uid="{00000000-0005-0000-0000-00006F120000}"/>
    <cellStyle name="Calculation 4 5 2 4" xfId="6116" xr:uid="{00000000-0005-0000-0000-000070120000}"/>
    <cellStyle name="Calculation 4 5 2 4 2" xfId="24557" xr:uid="{00000000-0005-0000-0000-000071120000}"/>
    <cellStyle name="Calculation 4 5 2 4 3" xfId="19666" xr:uid="{00000000-0005-0000-0000-000072120000}"/>
    <cellStyle name="Calculation 4 5 2 5" xfId="7533" xr:uid="{00000000-0005-0000-0000-000073120000}"/>
    <cellStyle name="Calculation 4 5 2 5 2" xfId="25963" xr:uid="{00000000-0005-0000-0000-000074120000}"/>
    <cellStyle name="Calculation 4 5 2 5 3" xfId="20888" xr:uid="{00000000-0005-0000-0000-000075120000}"/>
    <cellStyle name="Calculation 4 5 2 6" xfId="7906" xr:uid="{00000000-0005-0000-0000-000076120000}"/>
    <cellStyle name="Calculation 4 5 2 6 2" xfId="26336" xr:uid="{00000000-0005-0000-0000-000077120000}"/>
    <cellStyle name="Calculation 4 5 2 6 3" xfId="21260" xr:uid="{00000000-0005-0000-0000-000078120000}"/>
    <cellStyle name="Calculation 4 5 2 7" xfId="8628" xr:uid="{00000000-0005-0000-0000-000079120000}"/>
    <cellStyle name="Calculation 4 5 2 7 2" xfId="27050" xr:uid="{00000000-0005-0000-0000-00007A120000}"/>
    <cellStyle name="Calculation 4 5 2 7 3" xfId="21919" xr:uid="{00000000-0005-0000-0000-00007B120000}"/>
    <cellStyle name="Calculation 4 5 2 8" xfId="4120" xr:uid="{00000000-0005-0000-0000-00007C120000}"/>
    <cellStyle name="Calculation 4 5 2 8 2" xfId="22586" xr:uid="{00000000-0005-0000-0000-00007D120000}"/>
    <cellStyle name="Calculation 4 5 2 8 3" xfId="17802" xr:uid="{00000000-0005-0000-0000-00007E120000}"/>
    <cellStyle name="Calculation 4 5 2 9" xfId="15109" xr:uid="{00000000-0005-0000-0000-00007F120000}"/>
    <cellStyle name="Calculation 4 5 2 9 2" xfId="36520" xr:uid="{00000000-0005-0000-0000-000080120000}"/>
    <cellStyle name="Calculation 4 5 2 9 3" xfId="17129" xr:uid="{00000000-0005-0000-0000-000081120000}"/>
    <cellStyle name="Calculation 4 5 3" xfId="4620" xr:uid="{00000000-0005-0000-0000-000082120000}"/>
    <cellStyle name="Calculation 4 5 3 2" xfId="23080" xr:uid="{00000000-0005-0000-0000-000083120000}"/>
    <cellStyle name="Calculation 4 5 3 3" xfId="18296" xr:uid="{00000000-0005-0000-0000-000084120000}"/>
    <cellStyle name="Calculation 4 5 4" xfId="4476" xr:uid="{00000000-0005-0000-0000-000085120000}"/>
    <cellStyle name="Calculation 4 5 4 2" xfId="22936" xr:uid="{00000000-0005-0000-0000-000086120000}"/>
    <cellStyle name="Calculation 4 5 4 3" xfId="18155" xr:uid="{00000000-0005-0000-0000-000087120000}"/>
    <cellStyle name="Calculation 4 5 5" xfId="6753" xr:uid="{00000000-0005-0000-0000-000088120000}"/>
    <cellStyle name="Calculation 4 5 5 2" xfId="25191" xr:uid="{00000000-0005-0000-0000-000089120000}"/>
    <cellStyle name="Calculation 4 5 5 3" xfId="20183" xr:uid="{00000000-0005-0000-0000-00008A120000}"/>
    <cellStyle name="Calculation 4 5 6" xfId="7119" xr:uid="{00000000-0005-0000-0000-00008B120000}"/>
    <cellStyle name="Calculation 4 5 6 2" xfId="25553" xr:uid="{00000000-0005-0000-0000-00008C120000}"/>
    <cellStyle name="Calculation 4 5 6 3" xfId="20484" xr:uid="{00000000-0005-0000-0000-00008D120000}"/>
    <cellStyle name="Calculation 4 5 7" xfId="6905" xr:uid="{00000000-0005-0000-0000-00008E120000}"/>
    <cellStyle name="Calculation 4 5 7 2" xfId="25343" xr:uid="{00000000-0005-0000-0000-00008F120000}"/>
    <cellStyle name="Calculation 4 5 7 3" xfId="20286" xr:uid="{00000000-0005-0000-0000-000090120000}"/>
    <cellStyle name="Calculation 4 5 8" xfId="8247" xr:uid="{00000000-0005-0000-0000-000091120000}"/>
    <cellStyle name="Calculation 4 5 8 2" xfId="26672" xr:uid="{00000000-0005-0000-0000-000092120000}"/>
    <cellStyle name="Calculation 4 5 8 3" xfId="21598" xr:uid="{00000000-0005-0000-0000-000093120000}"/>
    <cellStyle name="Calculation 4 5 9" xfId="3798" xr:uid="{00000000-0005-0000-0000-000094120000}"/>
    <cellStyle name="Calculation 4 5 9 2" xfId="22267" xr:uid="{00000000-0005-0000-0000-000095120000}"/>
    <cellStyle name="Calculation 4 5 9 3" xfId="17481" xr:uid="{00000000-0005-0000-0000-000096120000}"/>
    <cellStyle name="Calculation 4 6" xfId="1618" xr:uid="{00000000-0005-0000-0000-000097120000}"/>
    <cellStyle name="Calculation 4 6 10" xfId="15110" xr:uid="{00000000-0005-0000-0000-000098120000}"/>
    <cellStyle name="Calculation 4 6 10 2" xfId="36521" xr:uid="{00000000-0005-0000-0000-000099120000}"/>
    <cellStyle name="Calculation 4 6 10 3" xfId="16794" xr:uid="{00000000-0005-0000-0000-00009A120000}"/>
    <cellStyle name="Calculation 4 6 11" xfId="15594" xr:uid="{00000000-0005-0000-0000-00009B120000}"/>
    <cellStyle name="Calculation 4 6 11 2" xfId="36971" xr:uid="{00000000-0005-0000-0000-00009C120000}"/>
    <cellStyle name="Calculation 4 6 12" xfId="31190" xr:uid="{00000000-0005-0000-0000-00009D120000}"/>
    <cellStyle name="Calculation 4 6 2" xfId="3360" xr:uid="{00000000-0005-0000-0000-00009E120000}"/>
    <cellStyle name="Calculation 4 6 2 10" xfId="15744" xr:uid="{00000000-0005-0000-0000-00009F120000}"/>
    <cellStyle name="Calculation 4 6 2 10 2" xfId="37109" xr:uid="{00000000-0005-0000-0000-0000A0120000}"/>
    <cellStyle name="Calculation 4 6 2 11" xfId="31420" xr:uid="{00000000-0005-0000-0000-0000A1120000}"/>
    <cellStyle name="Calculation 4 6 2 2" xfId="5498" xr:uid="{00000000-0005-0000-0000-0000A2120000}"/>
    <cellStyle name="Calculation 4 6 2 2 2" xfId="23951" xr:uid="{00000000-0005-0000-0000-0000A3120000}"/>
    <cellStyle name="Calculation 4 6 2 2 3" xfId="19086" xr:uid="{00000000-0005-0000-0000-0000A4120000}"/>
    <cellStyle name="Calculation 4 6 2 3" xfId="5020" xr:uid="{00000000-0005-0000-0000-0000A5120000}"/>
    <cellStyle name="Calculation 4 6 2 3 2" xfId="23480" xr:uid="{00000000-0005-0000-0000-0000A6120000}"/>
    <cellStyle name="Calculation 4 6 2 3 3" xfId="18634" xr:uid="{00000000-0005-0000-0000-0000A7120000}"/>
    <cellStyle name="Calculation 4 6 2 4" xfId="6115" xr:uid="{00000000-0005-0000-0000-0000A8120000}"/>
    <cellStyle name="Calculation 4 6 2 4 2" xfId="24556" xr:uid="{00000000-0005-0000-0000-0000A9120000}"/>
    <cellStyle name="Calculation 4 6 2 4 3" xfId="19665" xr:uid="{00000000-0005-0000-0000-0000AA120000}"/>
    <cellStyle name="Calculation 4 6 2 5" xfId="7534" xr:uid="{00000000-0005-0000-0000-0000AB120000}"/>
    <cellStyle name="Calculation 4 6 2 5 2" xfId="25964" xr:uid="{00000000-0005-0000-0000-0000AC120000}"/>
    <cellStyle name="Calculation 4 6 2 5 3" xfId="20889" xr:uid="{00000000-0005-0000-0000-0000AD120000}"/>
    <cellStyle name="Calculation 4 6 2 6" xfId="7907" xr:uid="{00000000-0005-0000-0000-0000AE120000}"/>
    <cellStyle name="Calculation 4 6 2 6 2" xfId="26337" xr:uid="{00000000-0005-0000-0000-0000AF120000}"/>
    <cellStyle name="Calculation 4 6 2 6 3" xfId="21261" xr:uid="{00000000-0005-0000-0000-0000B0120000}"/>
    <cellStyle name="Calculation 4 6 2 7" xfId="8629" xr:uid="{00000000-0005-0000-0000-0000B1120000}"/>
    <cellStyle name="Calculation 4 6 2 7 2" xfId="27051" xr:uid="{00000000-0005-0000-0000-0000B2120000}"/>
    <cellStyle name="Calculation 4 6 2 7 3" xfId="21920" xr:uid="{00000000-0005-0000-0000-0000B3120000}"/>
    <cellStyle name="Calculation 4 6 2 8" xfId="4121" xr:uid="{00000000-0005-0000-0000-0000B4120000}"/>
    <cellStyle name="Calculation 4 6 2 8 2" xfId="22587" xr:uid="{00000000-0005-0000-0000-0000B5120000}"/>
    <cellStyle name="Calculation 4 6 2 8 3" xfId="17803" xr:uid="{00000000-0005-0000-0000-0000B6120000}"/>
    <cellStyle name="Calculation 4 6 2 9" xfId="15720" xr:uid="{00000000-0005-0000-0000-0000B7120000}"/>
    <cellStyle name="Calculation 4 6 2 9 2" xfId="37085" xr:uid="{00000000-0005-0000-0000-0000B8120000}"/>
    <cellStyle name="Calculation 4 6 2 9 3" xfId="17130" xr:uid="{00000000-0005-0000-0000-0000B9120000}"/>
    <cellStyle name="Calculation 4 6 3" xfId="4621" xr:uid="{00000000-0005-0000-0000-0000BA120000}"/>
    <cellStyle name="Calculation 4 6 3 2" xfId="23081" xr:uid="{00000000-0005-0000-0000-0000BB120000}"/>
    <cellStyle name="Calculation 4 6 3 3" xfId="18297" xr:uid="{00000000-0005-0000-0000-0000BC120000}"/>
    <cellStyle name="Calculation 4 6 4" xfId="4477" xr:uid="{00000000-0005-0000-0000-0000BD120000}"/>
    <cellStyle name="Calculation 4 6 4 2" xfId="22937" xr:uid="{00000000-0005-0000-0000-0000BE120000}"/>
    <cellStyle name="Calculation 4 6 4 3" xfId="18156" xr:uid="{00000000-0005-0000-0000-0000BF120000}"/>
    <cellStyle name="Calculation 4 6 5" xfId="6752" xr:uid="{00000000-0005-0000-0000-0000C0120000}"/>
    <cellStyle name="Calculation 4 6 5 2" xfId="25190" xr:uid="{00000000-0005-0000-0000-0000C1120000}"/>
    <cellStyle name="Calculation 4 6 5 3" xfId="20182" xr:uid="{00000000-0005-0000-0000-0000C2120000}"/>
    <cellStyle name="Calculation 4 6 6" xfId="6935" xr:uid="{00000000-0005-0000-0000-0000C3120000}"/>
    <cellStyle name="Calculation 4 6 6 2" xfId="25373" xr:uid="{00000000-0005-0000-0000-0000C4120000}"/>
    <cellStyle name="Calculation 4 6 6 3" xfId="20316" xr:uid="{00000000-0005-0000-0000-0000C5120000}"/>
    <cellStyle name="Calculation 4 6 7" xfId="6904" xr:uid="{00000000-0005-0000-0000-0000C6120000}"/>
    <cellStyle name="Calculation 4 6 7 2" xfId="25342" xr:uid="{00000000-0005-0000-0000-0000C7120000}"/>
    <cellStyle name="Calculation 4 6 7 3" xfId="20285" xr:uid="{00000000-0005-0000-0000-0000C8120000}"/>
    <cellStyle name="Calculation 4 6 8" xfId="8248" xr:uid="{00000000-0005-0000-0000-0000C9120000}"/>
    <cellStyle name="Calculation 4 6 8 2" xfId="26673" xr:uid="{00000000-0005-0000-0000-0000CA120000}"/>
    <cellStyle name="Calculation 4 6 8 3" xfId="21599" xr:uid="{00000000-0005-0000-0000-0000CB120000}"/>
    <cellStyle name="Calculation 4 6 9" xfId="3799" xr:uid="{00000000-0005-0000-0000-0000CC120000}"/>
    <cellStyle name="Calculation 4 6 9 2" xfId="22268" xr:uid="{00000000-0005-0000-0000-0000CD120000}"/>
    <cellStyle name="Calculation 4 6 9 3" xfId="17482" xr:uid="{00000000-0005-0000-0000-0000CE120000}"/>
    <cellStyle name="Calculation 4 7" xfId="1619" xr:uid="{00000000-0005-0000-0000-0000CF120000}"/>
    <cellStyle name="Calculation 4 7 10" xfId="14467" xr:uid="{00000000-0005-0000-0000-0000D0120000}"/>
    <cellStyle name="Calculation 4 7 10 2" xfId="35995" xr:uid="{00000000-0005-0000-0000-0000D1120000}"/>
    <cellStyle name="Calculation 4 7 10 3" xfId="16795" xr:uid="{00000000-0005-0000-0000-0000D2120000}"/>
    <cellStyle name="Calculation 4 7 11" xfId="15495" xr:uid="{00000000-0005-0000-0000-0000D3120000}"/>
    <cellStyle name="Calculation 4 7 11 2" xfId="36873" xr:uid="{00000000-0005-0000-0000-0000D4120000}"/>
    <cellStyle name="Calculation 4 7 12" xfId="31191" xr:uid="{00000000-0005-0000-0000-0000D5120000}"/>
    <cellStyle name="Calculation 4 7 2" xfId="3361" xr:uid="{00000000-0005-0000-0000-0000D6120000}"/>
    <cellStyle name="Calculation 4 7 2 10" xfId="14414" xr:uid="{00000000-0005-0000-0000-0000D7120000}"/>
    <cellStyle name="Calculation 4 7 2 10 2" xfId="35942" xr:uid="{00000000-0005-0000-0000-0000D8120000}"/>
    <cellStyle name="Calculation 4 7 2 11" xfId="31421" xr:uid="{00000000-0005-0000-0000-0000D9120000}"/>
    <cellStyle name="Calculation 4 7 2 2" xfId="5499" xr:uid="{00000000-0005-0000-0000-0000DA120000}"/>
    <cellStyle name="Calculation 4 7 2 2 2" xfId="23952" xr:uid="{00000000-0005-0000-0000-0000DB120000}"/>
    <cellStyle name="Calculation 4 7 2 2 3" xfId="19087" xr:uid="{00000000-0005-0000-0000-0000DC120000}"/>
    <cellStyle name="Calculation 4 7 2 3" xfId="5021" xr:uid="{00000000-0005-0000-0000-0000DD120000}"/>
    <cellStyle name="Calculation 4 7 2 3 2" xfId="23481" xr:uid="{00000000-0005-0000-0000-0000DE120000}"/>
    <cellStyle name="Calculation 4 7 2 3 3" xfId="18635" xr:uid="{00000000-0005-0000-0000-0000DF120000}"/>
    <cellStyle name="Calculation 4 7 2 4" xfId="6114" xr:uid="{00000000-0005-0000-0000-0000E0120000}"/>
    <cellStyle name="Calculation 4 7 2 4 2" xfId="24555" xr:uid="{00000000-0005-0000-0000-0000E1120000}"/>
    <cellStyle name="Calculation 4 7 2 4 3" xfId="19664" xr:uid="{00000000-0005-0000-0000-0000E2120000}"/>
    <cellStyle name="Calculation 4 7 2 5" xfId="7535" xr:uid="{00000000-0005-0000-0000-0000E3120000}"/>
    <cellStyle name="Calculation 4 7 2 5 2" xfId="25965" xr:uid="{00000000-0005-0000-0000-0000E4120000}"/>
    <cellStyle name="Calculation 4 7 2 5 3" xfId="20890" xr:uid="{00000000-0005-0000-0000-0000E5120000}"/>
    <cellStyle name="Calculation 4 7 2 6" xfId="7908" xr:uid="{00000000-0005-0000-0000-0000E6120000}"/>
    <cellStyle name="Calculation 4 7 2 6 2" xfId="26338" xr:uid="{00000000-0005-0000-0000-0000E7120000}"/>
    <cellStyle name="Calculation 4 7 2 6 3" xfId="21262" xr:uid="{00000000-0005-0000-0000-0000E8120000}"/>
    <cellStyle name="Calculation 4 7 2 7" xfId="8630" xr:uid="{00000000-0005-0000-0000-0000E9120000}"/>
    <cellStyle name="Calculation 4 7 2 7 2" xfId="27052" xr:uid="{00000000-0005-0000-0000-0000EA120000}"/>
    <cellStyle name="Calculation 4 7 2 7 3" xfId="21921" xr:uid="{00000000-0005-0000-0000-0000EB120000}"/>
    <cellStyle name="Calculation 4 7 2 8" xfId="4122" xr:uid="{00000000-0005-0000-0000-0000EC120000}"/>
    <cellStyle name="Calculation 4 7 2 8 2" xfId="22588" xr:uid="{00000000-0005-0000-0000-0000ED120000}"/>
    <cellStyle name="Calculation 4 7 2 8 3" xfId="17804" xr:uid="{00000000-0005-0000-0000-0000EE120000}"/>
    <cellStyle name="Calculation 4 7 2 9" xfId="15111" xr:uid="{00000000-0005-0000-0000-0000EF120000}"/>
    <cellStyle name="Calculation 4 7 2 9 2" xfId="36522" xr:uid="{00000000-0005-0000-0000-0000F0120000}"/>
    <cellStyle name="Calculation 4 7 2 9 3" xfId="17131" xr:uid="{00000000-0005-0000-0000-0000F1120000}"/>
    <cellStyle name="Calculation 4 7 3" xfId="4622" xr:uid="{00000000-0005-0000-0000-0000F2120000}"/>
    <cellStyle name="Calculation 4 7 3 2" xfId="23082" xr:uid="{00000000-0005-0000-0000-0000F3120000}"/>
    <cellStyle name="Calculation 4 7 3 3" xfId="18298" xr:uid="{00000000-0005-0000-0000-0000F4120000}"/>
    <cellStyle name="Calculation 4 7 4" xfId="4478" xr:uid="{00000000-0005-0000-0000-0000F5120000}"/>
    <cellStyle name="Calculation 4 7 4 2" xfId="22938" xr:uid="{00000000-0005-0000-0000-0000F6120000}"/>
    <cellStyle name="Calculation 4 7 4 3" xfId="18157" xr:uid="{00000000-0005-0000-0000-0000F7120000}"/>
    <cellStyle name="Calculation 4 7 5" xfId="6751" xr:uid="{00000000-0005-0000-0000-0000F8120000}"/>
    <cellStyle name="Calculation 4 7 5 2" xfId="25189" xr:uid="{00000000-0005-0000-0000-0000F9120000}"/>
    <cellStyle name="Calculation 4 7 5 3" xfId="20181" xr:uid="{00000000-0005-0000-0000-0000FA120000}"/>
    <cellStyle name="Calculation 4 7 6" xfId="7120" xr:uid="{00000000-0005-0000-0000-0000FB120000}"/>
    <cellStyle name="Calculation 4 7 6 2" xfId="25554" xr:uid="{00000000-0005-0000-0000-0000FC120000}"/>
    <cellStyle name="Calculation 4 7 6 3" xfId="20485" xr:uid="{00000000-0005-0000-0000-0000FD120000}"/>
    <cellStyle name="Calculation 4 7 7" xfId="7089" xr:uid="{00000000-0005-0000-0000-0000FE120000}"/>
    <cellStyle name="Calculation 4 7 7 2" xfId="25523" xr:uid="{00000000-0005-0000-0000-0000FF120000}"/>
    <cellStyle name="Calculation 4 7 7 3" xfId="20454" xr:uid="{00000000-0005-0000-0000-000000130000}"/>
    <cellStyle name="Calculation 4 7 8" xfId="8249" xr:uid="{00000000-0005-0000-0000-000001130000}"/>
    <cellStyle name="Calculation 4 7 8 2" xfId="26674" xr:uid="{00000000-0005-0000-0000-000002130000}"/>
    <cellStyle name="Calculation 4 7 8 3" xfId="21600" xr:uid="{00000000-0005-0000-0000-000003130000}"/>
    <cellStyle name="Calculation 4 7 9" xfId="3800" xr:uid="{00000000-0005-0000-0000-000004130000}"/>
    <cellStyle name="Calculation 4 7 9 2" xfId="22269" xr:uid="{00000000-0005-0000-0000-000005130000}"/>
    <cellStyle name="Calculation 4 7 9 3" xfId="17483" xr:uid="{00000000-0005-0000-0000-000006130000}"/>
    <cellStyle name="Calculation 4 8" xfId="1620" xr:uid="{00000000-0005-0000-0000-000007130000}"/>
    <cellStyle name="Calculation 4 8 10" xfId="14468" xr:uid="{00000000-0005-0000-0000-000008130000}"/>
    <cellStyle name="Calculation 4 8 10 2" xfId="35996" xr:uid="{00000000-0005-0000-0000-000009130000}"/>
    <cellStyle name="Calculation 4 8 10 3" xfId="16796" xr:uid="{00000000-0005-0000-0000-00000A130000}"/>
    <cellStyle name="Calculation 4 8 11" xfId="14980" xr:uid="{00000000-0005-0000-0000-00000B130000}"/>
    <cellStyle name="Calculation 4 8 11 2" xfId="36406" xr:uid="{00000000-0005-0000-0000-00000C130000}"/>
    <cellStyle name="Calculation 4 8 12" xfId="31192" xr:uid="{00000000-0005-0000-0000-00000D130000}"/>
    <cellStyle name="Calculation 4 8 2" xfId="3362" xr:uid="{00000000-0005-0000-0000-00000E130000}"/>
    <cellStyle name="Calculation 4 8 2 10" xfId="15479" xr:uid="{00000000-0005-0000-0000-00000F130000}"/>
    <cellStyle name="Calculation 4 8 2 10 2" xfId="36858" xr:uid="{00000000-0005-0000-0000-000010130000}"/>
    <cellStyle name="Calculation 4 8 2 11" xfId="31422" xr:uid="{00000000-0005-0000-0000-000011130000}"/>
    <cellStyle name="Calculation 4 8 2 2" xfId="5500" xr:uid="{00000000-0005-0000-0000-000012130000}"/>
    <cellStyle name="Calculation 4 8 2 2 2" xfId="23953" xr:uid="{00000000-0005-0000-0000-000013130000}"/>
    <cellStyle name="Calculation 4 8 2 2 3" xfId="19088" xr:uid="{00000000-0005-0000-0000-000014130000}"/>
    <cellStyle name="Calculation 4 8 2 3" xfId="5022" xr:uid="{00000000-0005-0000-0000-000015130000}"/>
    <cellStyle name="Calculation 4 8 2 3 2" xfId="23482" xr:uid="{00000000-0005-0000-0000-000016130000}"/>
    <cellStyle name="Calculation 4 8 2 3 3" xfId="18636" xr:uid="{00000000-0005-0000-0000-000017130000}"/>
    <cellStyle name="Calculation 4 8 2 4" xfId="6113" xr:uid="{00000000-0005-0000-0000-000018130000}"/>
    <cellStyle name="Calculation 4 8 2 4 2" xfId="24554" xr:uid="{00000000-0005-0000-0000-000019130000}"/>
    <cellStyle name="Calculation 4 8 2 4 3" xfId="19663" xr:uid="{00000000-0005-0000-0000-00001A130000}"/>
    <cellStyle name="Calculation 4 8 2 5" xfId="7536" xr:uid="{00000000-0005-0000-0000-00001B130000}"/>
    <cellStyle name="Calculation 4 8 2 5 2" xfId="25966" xr:uid="{00000000-0005-0000-0000-00001C130000}"/>
    <cellStyle name="Calculation 4 8 2 5 3" xfId="20891" xr:uid="{00000000-0005-0000-0000-00001D130000}"/>
    <cellStyle name="Calculation 4 8 2 6" xfId="7909" xr:uid="{00000000-0005-0000-0000-00001E130000}"/>
    <cellStyle name="Calculation 4 8 2 6 2" xfId="26339" xr:uid="{00000000-0005-0000-0000-00001F130000}"/>
    <cellStyle name="Calculation 4 8 2 6 3" xfId="21263" xr:uid="{00000000-0005-0000-0000-000020130000}"/>
    <cellStyle name="Calculation 4 8 2 7" xfId="8631" xr:uid="{00000000-0005-0000-0000-000021130000}"/>
    <cellStyle name="Calculation 4 8 2 7 2" xfId="27053" xr:uid="{00000000-0005-0000-0000-000022130000}"/>
    <cellStyle name="Calculation 4 8 2 7 3" xfId="21922" xr:uid="{00000000-0005-0000-0000-000023130000}"/>
    <cellStyle name="Calculation 4 8 2 8" xfId="4123" xr:uid="{00000000-0005-0000-0000-000024130000}"/>
    <cellStyle name="Calculation 4 8 2 8 2" xfId="22589" xr:uid="{00000000-0005-0000-0000-000025130000}"/>
    <cellStyle name="Calculation 4 8 2 8 3" xfId="17805" xr:uid="{00000000-0005-0000-0000-000026130000}"/>
    <cellStyle name="Calculation 4 8 2 9" xfId="15112" xr:uid="{00000000-0005-0000-0000-000027130000}"/>
    <cellStyle name="Calculation 4 8 2 9 2" xfId="36523" xr:uid="{00000000-0005-0000-0000-000028130000}"/>
    <cellStyle name="Calculation 4 8 2 9 3" xfId="17132" xr:uid="{00000000-0005-0000-0000-000029130000}"/>
    <cellStyle name="Calculation 4 8 3" xfId="4623" xr:uid="{00000000-0005-0000-0000-00002A130000}"/>
    <cellStyle name="Calculation 4 8 3 2" xfId="23083" xr:uid="{00000000-0005-0000-0000-00002B130000}"/>
    <cellStyle name="Calculation 4 8 3 3" xfId="18299" xr:uid="{00000000-0005-0000-0000-00002C130000}"/>
    <cellStyle name="Calculation 4 8 4" xfId="4479" xr:uid="{00000000-0005-0000-0000-00002D130000}"/>
    <cellStyle name="Calculation 4 8 4 2" xfId="22939" xr:uid="{00000000-0005-0000-0000-00002E130000}"/>
    <cellStyle name="Calculation 4 8 4 3" xfId="18158" xr:uid="{00000000-0005-0000-0000-00002F130000}"/>
    <cellStyle name="Calculation 4 8 5" xfId="6750" xr:uid="{00000000-0005-0000-0000-000030130000}"/>
    <cellStyle name="Calculation 4 8 5 2" xfId="25188" xr:uid="{00000000-0005-0000-0000-000031130000}"/>
    <cellStyle name="Calculation 4 8 5 3" xfId="20180" xr:uid="{00000000-0005-0000-0000-000032130000}"/>
    <cellStyle name="Calculation 4 8 6" xfId="6936" xr:uid="{00000000-0005-0000-0000-000033130000}"/>
    <cellStyle name="Calculation 4 8 6 2" xfId="25374" xr:uid="{00000000-0005-0000-0000-000034130000}"/>
    <cellStyle name="Calculation 4 8 6 3" xfId="20317" xr:uid="{00000000-0005-0000-0000-000035130000}"/>
    <cellStyle name="Calculation 4 8 7" xfId="6903" xr:uid="{00000000-0005-0000-0000-000036130000}"/>
    <cellStyle name="Calculation 4 8 7 2" xfId="25341" xr:uid="{00000000-0005-0000-0000-000037130000}"/>
    <cellStyle name="Calculation 4 8 7 3" xfId="20284" xr:uid="{00000000-0005-0000-0000-000038130000}"/>
    <cellStyle name="Calculation 4 8 8" xfId="8250" xr:uid="{00000000-0005-0000-0000-000039130000}"/>
    <cellStyle name="Calculation 4 8 8 2" xfId="26675" xr:uid="{00000000-0005-0000-0000-00003A130000}"/>
    <cellStyle name="Calculation 4 8 8 3" xfId="21601" xr:uid="{00000000-0005-0000-0000-00003B130000}"/>
    <cellStyle name="Calculation 4 8 9" xfId="3801" xr:uid="{00000000-0005-0000-0000-00003C130000}"/>
    <cellStyle name="Calculation 4 8 9 2" xfId="22270" xr:uid="{00000000-0005-0000-0000-00003D130000}"/>
    <cellStyle name="Calculation 4 8 9 3" xfId="17484" xr:uid="{00000000-0005-0000-0000-00003E130000}"/>
    <cellStyle name="Calculation 4 9" xfId="1621" xr:uid="{00000000-0005-0000-0000-00003F130000}"/>
    <cellStyle name="Calculation 4 9 10" xfId="14469" xr:uid="{00000000-0005-0000-0000-000040130000}"/>
    <cellStyle name="Calculation 4 9 10 2" xfId="35997" xr:uid="{00000000-0005-0000-0000-000041130000}"/>
    <cellStyle name="Calculation 4 9 10 3" xfId="16797" xr:uid="{00000000-0005-0000-0000-000042130000}"/>
    <cellStyle name="Calculation 4 9 11" xfId="16595" xr:uid="{00000000-0005-0000-0000-000043130000}"/>
    <cellStyle name="Calculation 4 9 11 2" xfId="37805" xr:uid="{00000000-0005-0000-0000-000044130000}"/>
    <cellStyle name="Calculation 4 9 12" xfId="31193" xr:uid="{00000000-0005-0000-0000-000045130000}"/>
    <cellStyle name="Calculation 4 9 2" xfId="3363" xr:uid="{00000000-0005-0000-0000-000046130000}"/>
    <cellStyle name="Calculation 4 9 2 10" xfId="14566" xr:uid="{00000000-0005-0000-0000-000047130000}"/>
    <cellStyle name="Calculation 4 9 2 10 2" xfId="36086" xr:uid="{00000000-0005-0000-0000-000048130000}"/>
    <cellStyle name="Calculation 4 9 2 11" xfId="31423" xr:uid="{00000000-0005-0000-0000-000049130000}"/>
    <cellStyle name="Calculation 4 9 2 2" xfId="5501" xr:uid="{00000000-0005-0000-0000-00004A130000}"/>
    <cellStyle name="Calculation 4 9 2 2 2" xfId="23954" xr:uid="{00000000-0005-0000-0000-00004B130000}"/>
    <cellStyle name="Calculation 4 9 2 2 3" xfId="19089" xr:uid="{00000000-0005-0000-0000-00004C130000}"/>
    <cellStyle name="Calculation 4 9 2 3" xfId="5023" xr:uid="{00000000-0005-0000-0000-00004D130000}"/>
    <cellStyle name="Calculation 4 9 2 3 2" xfId="23483" xr:uid="{00000000-0005-0000-0000-00004E130000}"/>
    <cellStyle name="Calculation 4 9 2 3 3" xfId="18637" xr:uid="{00000000-0005-0000-0000-00004F130000}"/>
    <cellStyle name="Calculation 4 9 2 4" xfId="6112" xr:uid="{00000000-0005-0000-0000-000050130000}"/>
    <cellStyle name="Calculation 4 9 2 4 2" xfId="24553" xr:uid="{00000000-0005-0000-0000-000051130000}"/>
    <cellStyle name="Calculation 4 9 2 4 3" xfId="19662" xr:uid="{00000000-0005-0000-0000-000052130000}"/>
    <cellStyle name="Calculation 4 9 2 5" xfId="7537" xr:uid="{00000000-0005-0000-0000-000053130000}"/>
    <cellStyle name="Calculation 4 9 2 5 2" xfId="25967" xr:uid="{00000000-0005-0000-0000-000054130000}"/>
    <cellStyle name="Calculation 4 9 2 5 3" xfId="20892" xr:uid="{00000000-0005-0000-0000-000055130000}"/>
    <cellStyle name="Calculation 4 9 2 6" xfId="7910" xr:uid="{00000000-0005-0000-0000-000056130000}"/>
    <cellStyle name="Calculation 4 9 2 6 2" xfId="26340" xr:uid="{00000000-0005-0000-0000-000057130000}"/>
    <cellStyle name="Calculation 4 9 2 6 3" xfId="21264" xr:uid="{00000000-0005-0000-0000-000058130000}"/>
    <cellStyle name="Calculation 4 9 2 7" xfId="8632" xr:uid="{00000000-0005-0000-0000-000059130000}"/>
    <cellStyle name="Calculation 4 9 2 7 2" xfId="27054" xr:uid="{00000000-0005-0000-0000-00005A130000}"/>
    <cellStyle name="Calculation 4 9 2 7 3" xfId="21923" xr:uid="{00000000-0005-0000-0000-00005B130000}"/>
    <cellStyle name="Calculation 4 9 2 8" xfId="4124" xr:uid="{00000000-0005-0000-0000-00005C130000}"/>
    <cellStyle name="Calculation 4 9 2 8 2" xfId="22590" xr:uid="{00000000-0005-0000-0000-00005D130000}"/>
    <cellStyle name="Calculation 4 9 2 8 3" xfId="17806" xr:uid="{00000000-0005-0000-0000-00005E130000}"/>
    <cellStyle name="Calculation 4 9 2 9" xfId="15113" xr:uid="{00000000-0005-0000-0000-00005F130000}"/>
    <cellStyle name="Calculation 4 9 2 9 2" xfId="36524" xr:uid="{00000000-0005-0000-0000-000060130000}"/>
    <cellStyle name="Calculation 4 9 2 9 3" xfId="17133" xr:uid="{00000000-0005-0000-0000-000061130000}"/>
    <cellStyle name="Calculation 4 9 3" xfId="4624" xr:uid="{00000000-0005-0000-0000-000062130000}"/>
    <cellStyle name="Calculation 4 9 3 2" xfId="23084" xr:uid="{00000000-0005-0000-0000-000063130000}"/>
    <cellStyle name="Calculation 4 9 3 3" xfId="18300" xr:uid="{00000000-0005-0000-0000-000064130000}"/>
    <cellStyle name="Calculation 4 9 4" xfId="4480" xr:uid="{00000000-0005-0000-0000-000065130000}"/>
    <cellStyle name="Calculation 4 9 4 2" xfId="22940" xr:uid="{00000000-0005-0000-0000-000066130000}"/>
    <cellStyle name="Calculation 4 9 4 3" xfId="18159" xr:uid="{00000000-0005-0000-0000-000067130000}"/>
    <cellStyle name="Calculation 4 9 5" xfId="6749" xr:uid="{00000000-0005-0000-0000-000068130000}"/>
    <cellStyle name="Calculation 4 9 5 2" xfId="25187" xr:uid="{00000000-0005-0000-0000-000069130000}"/>
    <cellStyle name="Calculation 4 9 5 3" xfId="20179" xr:uid="{00000000-0005-0000-0000-00006A130000}"/>
    <cellStyle name="Calculation 4 9 6" xfId="7121" xr:uid="{00000000-0005-0000-0000-00006B130000}"/>
    <cellStyle name="Calculation 4 9 6 2" xfId="25555" xr:uid="{00000000-0005-0000-0000-00006C130000}"/>
    <cellStyle name="Calculation 4 9 6 3" xfId="20486" xr:uid="{00000000-0005-0000-0000-00006D130000}"/>
    <cellStyle name="Calculation 4 9 7" xfId="7088" xr:uid="{00000000-0005-0000-0000-00006E130000}"/>
    <cellStyle name="Calculation 4 9 7 2" xfId="25522" xr:uid="{00000000-0005-0000-0000-00006F130000}"/>
    <cellStyle name="Calculation 4 9 7 3" xfId="20453" xr:uid="{00000000-0005-0000-0000-000070130000}"/>
    <cellStyle name="Calculation 4 9 8" xfId="8251" xr:uid="{00000000-0005-0000-0000-000071130000}"/>
    <cellStyle name="Calculation 4 9 8 2" xfId="26676" xr:uid="{00000000-0005-0000-0000-000072130000}"/>
    <cellStyle name="Calculation 4 9 8 3" xfId="21602" xr:uid="{00000000-0005-0000-0000-000073130000}"/>
    <cellStyle name="Calculation 4 9 9" xfId="3802" xr:uid="{00000000-0005-0000-0000-000074130000}"/>
    <cellStyle name="Calculation 4 9 9 2" xfId="22271" xr:uid="{00000000-0005-0000-0000-000075130000}"/>
    <cellStyle name="Calculation 4 9 9 3" xfId="17485" xr:uid="{00000000-0005-0000-0000-000076130000}"/>
    <cellStyle name="Calculation 40" xfId="39073" xr:uid="{00000000-0005-0000-0000-000082060000}"/>
    <cellStyle name="Calculation 40 2" xfId="41040" xr:uid="{00000000-0005-0000-0000-000082060000}"/>
    <cellStyle name="Calculation 41" xfId="39074" xr:uid="{00000000-0005-0000-0000-000083060000}"/>
    <cellStyle name="Calculation 41 2" xfId="41041" xr:uid="{00000000-0005-0000-0000-000083060000}"/>
    <cellStyle name="Calculation 42" xfId="39075" xr:uid="{00000000-0005-0000-0000-000084060000}"/>
    <cellStyle name="Calculation 42 2" xfId="41042" xr:uid="{00000000-0005-0000-0000-000084060000}"/>
    <cellStyle name="Calculation 43" xfId="39076" xr:uid="{00000000-0005-0000-0000-000085060000}"/>
    <cellStyle name="Calculation 43 2" xfId="41043" xr:uid="{00000000-0005-0000-0000-000085060000}"/>
    <cellStyle name="Calculation 5" xfId="1622" xr:uid="{00000000-0005-0000-0000-000077130000}"/>
    <cellStyle name="Calculation 5 10" xfId="1623" xr:uid="{00000000-0005-0000-0000-000078130000}"/>
    <cellStyle name="Calculation 5 10 10" xfId="15114" xr:uid="{00000000-0005-0000-0000-000079130000}"/>
    <cellStyle name="Calculation 5 10 10 2" xfId="36525" xr:uid="{00000000-0005-0000-0000-00007A130000}"/>
    <cellStyle name="Calculation 5 10 10 3" xfId="16799" xr:uid="{00000000-0005-0000-0000-00007B130000}"/>
    <cellStyle name="Calculation 5 10 11" xfId="15462" xr:uid="{00000000-0005-0000-0000-00007C130000}"/>
    <cellStyle name="Calculation 5 10 11 2" xfId="36843" xr:uid="{00000000-0005-0000-0000-00007D130000}"/>
    <cellStyle name="Calculation 5 10 12" xfId="31195" xr:uid="{00000000-0005-0000-0000-00007E130000}"/>
    <cellStyle name="Calculation 5 10 2" xfId="3365" xr:uid="{00000000-0005-0000-0000-00007F130000}"/>
    <cellStyle name="Calculation 5 10 2 10" xfId="16537" xr:uid="{00000000-0005-0000-0000-000080130000}"/>
    <cellStyle name="Calculation 5 10 2 10 2" xfId="37754" xr:uid="{00000000-0005-0000-0000-000081130000}"/>
    <cellStyle name="Calculation 5 10 2 11" xfId="31425" xr:uid="{00000000-0005-0000-0000-000082130000}"/>
    <cellStyle name="Calculation 5 10 2 2" xfId="5503" xr:uid="{00000000-0005-0000-0000-000083130000}"/>
    <cellStyle name="Calculation 5 10 2 2 2" xfId="23956" xr:uid="{00000000-0005-0000-0000-000084130000}"/>
    <cellStyle name="Calculation 5 10 2 2 3" xfId="19091" xr:uid="{00000000-0005-0000-0000-000085130000}"/>
    <cellStyle name="Calculation 5 10 2 3" xfId="5025" xr:uid="{00000000-0005-0000-0000-000086130000}"/>
    <cellStyle name="Calculation 5 10 2 3 2" xfId="23485" xr:uid="{00000000-0005-0000-0000-000087130000}"/>
    <cellStyle name="Calculation 5 10 2 3 3" xfId="18639" xr:uid="{00000000-0005-0000-0000-000088130000}"/>
    <cellStyle name="Calculation 5 10 2 4" xfId="6110" xr:uid="{00000000-0005-0000-0000-000089130000}"/>
    <cellStyle name="Calculation 5 10 2 4 2" xfId="24551" xr:uid="{00000000-0005-0000-0000-00008A130000}"/>
    <cellStyle name="Calculation 5 10 2 4 3" xfId="19660" xr:uid="{00000000-0005-0000-0000-00008B130000}"/>
    <cellStyle name="Calculation 5 10 2 5" xfId="7539" xr:uid="{00000000-0005-0000-0000-00008C130000}"/>
    <cellStyle name="Calculation 5 10 2 5 2" xfId="25969" xr:uid="{00000000-0005-0000-0000-00008D130000}"/>
    <cellStyle name="Calculation 5 10 2 5 3" xfId="20894" xr:uid="{00000000-0005-0000-0000-00008E130000}"/>
    <cellStyle name="Calculation 5 10 2 6" xfId="7912" xr:uid="{00000000-0005-0000-0000-00008F130000}"/>
    <cellStyle name="Calculation 5 10 2 6 2" xfId="26342" xr:uid="{00000000-0005-0000-0000-000090130000}"/>
    <cellStyle name="Calculation 5 10 2 6 3" xfId="21266" xr:uid="{00000000-0005-0000-0000-000091130000}"/>
    <cellStyle name="Calculation 5 10 2 7" xfId="8634" xr:uid="{00000000-0005-0000-0000-000092130000}"/>
    <cellStyle name="Calculation 5 10 2 7 2" xfId="27056" xr:uid="{00000000-0005-0000-0000-000093130000}"/>
    <cellStyle name="Calculation 5 10 2 7 3" xfId="21925" xr:uid="{00000000-0005-0000-0000-000094130000}"/>
    <cellStyle name="Calculation 5 10 2 8" xfId="4126" xr:uid="{00000000-0005-0000-0000-000095130000}"/>
    <cellStyle name="Calculation 5 10 2 8 2" xfId="22592" xr:uid="{00000000-0005-0000-0000-000096130000}"/>
    <cellStyle name="Calculation 5 10 2 8 3" xfId="17808" xr:uid="{00000000-0005-0000-0000-000097130000}"/>
    <cellStyle name="Calculation 5 10 2 9" xfId="14471" xr:uid="{00000000-0005-0000-0000-000098130000}"/>
    <cellStyle name="Calculation 5 10 2 9 2" xfId="35999" xr:uid="{00000000-0005-0000-0000-000099130000}"/>
    <cellStyle name="Calculation 5 10 2 9 3" xfId="17135" xr:uid="{00000000-0005-0000-0000-00009A130000}"/>
    <cellStyle name="Calculation 5 10 3" xfId="4626" xr:uid="{00000000-0005-0000-0000-00009B130000}"/>
    <cellStyle name="Calculation 5 10 3 2" xfId="23086" xr:uid="{00000000-0005-0000-0000-00009C130000}"/>
    <cellStyle name="Calculation 5 10 3 3" xfId="18302" xr:uid="{00000000-0005-0000-0000-00009D130000}"/>
    <cellStyle name="Calculation 5 10 4" xfId="4482" xr:uid="{00000000-0005-0000-0000-00009E130000}"/>
    <cellStyle name="Calculation 5 10 4 2" xfId="22942" xr:uid="{00000000-0005-0000-0000-00009F130000}"/>
    <cellStyle name="Calculation 5 10 4 3" xfId="18161" xr:uid="{00000000-0005-0000-0000-0000A0130000}"/>
    <cellStyle name="Calculation 5 10 5" xfId="6747" xr:uid="{00000000-0005-0000-0000-0000A1130000}"/>
    <cellStyle name="Calculation 5 10 5 2" xfId="25185" xr:uid="{00000000-0005-0000-0000-0000A2130000}"/>
    <cellStyle name="Calculation 5 10 5 3" xfId="20177" xr:uid="{00000000-0005-0000-0000-0000A3130000}"/>
    <cellStyle name="Calculation 5 10 6" xfId="7122" xr:uid="{00000000-0005-0000-0000-0000A4130000}"/>
    <cellStyle name="Calculation 5 10 6 2" xfId="25556" xr:uid="{00000000-0005-0000-0000-0000A5130000}"/>
    <cellStyle name="Calculation 5 10 6 3" xfId="20487" xr:uid="{00000000-0005-0000-0000-0000A6130000}"/>
    <cellStyle name="Calculation 5 10 7" xfId="7087" xr:uid="{00000000-0005-0000-0000-0000A7130000}"/>
    <cellStyle name="Calculation 5 10 7 2" xfId="25521" xr:uid="{00000000-0005-0000-0000-0000A8130000}"/>
    <cellStyle name="Calculation 5 10 7 3" xfId="20452" xr:uid="{00000000-0005-0000-0000-0000A9130000}"/>
    <cellStyle name="Calculation 5 10 8" xfId="8253" xr:uid="{00000000-0005-0000-0000-0000AA130000}"/>
    <cellStyle name="Calculation 5 10 8 2" xfId="26678" xr:uid="{00000000-0005-0000-0000-0000AB130000}"/>
    <cellStyle name="Calculation 5 10 8 3" xfId="21604" xr:uid="{00000000-0005-0000-0000-0000AC130000}"/>
    <cellStyle name="Calculation 5 10 9" xfId="3804" xr:uid="{00000000-0005-0000-0000-0000AD130000}"/>
    <cellStyle name="Calculation 5 10 9 2" xfId="22273" xr:uid="{00000000-0005-0000-0000-0000AE130000}"/>
    <cellStyle name="Calculation 5 10 9 3" xfId="17487" xr:uid="{00000000-0005-0000-0000-0000AF130000}"/>
    <cellStyle name="Calculation 5 11" xfId="1624" xr:uid="{00000000-0005-0000-0000-0000B0130000}"/>
    <cellStyle name="Calculation 5 11 10" xfId="15115" xr:uid="{00000000-0005-0000-0000-0000B1130000}"/>
    <cellStyle name="Calculation 5 11 10 2" xfId="36526" xr:uid="{00000000-0005-0000-0000-0000B2130000}"/>
    <cellStyle name="Calculation 5 11 10 3" xfId="16800" xr:uid="{00000000-0005-0000-0000-0000B3130000}"/>
    <cellStyle name="Calculation 5 11 11" xfId="15467" xr:uid="{00000000-0005-0000-0000-0000B4130000}"/>
    <cellStyle name="Calculation 5 11 11 2" xfId="36848" xr:uid="{00000000-0005-0000-0000-0000B5130000}"/>
    <cellStyle name="Calculation 5 11 12" xfId="31196" xr:uid="{00000000-0005-0000-0000-0000B6130000}"/>
    <cellStyle name="Calculation 5 11 2" xfId="3366" xr:uid="{00000000-0005-0000-0000-0000B7130000}"/>
    <cellStyle name="Calculation 5 11 2 10" xfId="14679" xr:uid="{00000000-0005-0000-0000-0000B8130000}"/>
    <cellStyle name="Calculation 5 11 2 10 2" xfId="36162" xr:uid="{00000000-0005-0000-0000-0000B9130000}"/>
    <cellStyle name="Calculation 5 11 2 11" xfId="31426" xr:uid="{00000000-0005-0000-0000-0000BA130000}"/>
    <cellStyle name="Calculation 5 11 2 2" xfId="5504" xr:uid="{00000000-0005-0000-0000-0000BB130000}"/>
    <cellStyle name="Calculation 5 11 2 2 2" xfId="23957" xr:uid="{00000000-0005-0000-0000-0000BC130000}"/>
    <cellStyle name="Calculation 5 11 2 2 3" xfId="19092" xr:uid="{00000000-0005-0000-0000-0000BD130000}"/>
    <cellStyle name="Calculation 5 11 2 3" xfId="5026" xr:uid="{00000000-0005-0000-0000-0000BE130000}"/>
    <cellStyle name="Calculation 5 11 2 3 2" xfId="23486" xr:uid="{00000000-0005-0000-0000-0000BF130000}"/>
    <cellStyle name="Calculation 5 11 2 3 3" xfId="18640" xr:uid="{00000000-0005-0000-0000-0000C0130000}"/>
    <cellStyle name="Calculation 5 11 2 4" xfId="6109" xr:uid="{00000000-0005-0000-0000-0000C1130000}"/>
    <cellStyle name="Calculation 5 11 2 4 2" xfId="24550" xr:uid="{00000000-0005-0000-0000-0000C2130000}"/>
    <cellStyle name="Calculation 5 11 2 4 3" xfId="19659" xr:uid="{00000000-0005-0000-0000-0000C3130000}"/>
    <cellStyle name="Calculation 5 11 2 5" xfId="7540" xr:uid="{00000000-0005-0000-0000-0000C4130000}"/>
    <cellStyle name="Calculation 5 11 2 5 2" xfId="25970" xr:uid="{00000000-0005-0000-0000-0000C5130000}"/>
    <cellStyle name="Calculation 5 11 2 5 3" xfId="20895" xr:uid="{00000000-0005-0000-0000-0000C6130000}"/>
    <cellStyle name="Calculation 5 11 2 6" xfId="7913" xr:uid="{00000000-0005-0000-0000-0000C7130000}"/>
    <cellStyle name="Calculation 5 11 2 6 2" xfId="26343" xr:uid="{00000000-0005-0000-0000-0000C8130000}"/>
    <cellStyle name="Calculation 5 11 2 6 3" xfId="21267" xr:uid="{00000000-0005-0000-0000-0000C9130000}"/>
    <cellStyle name="Calculation 5 11 2 7" xfId="8635" xr:uid="{00000000-0005-0000-0000-0000CA130000}"/>
    <cellStyle name="Calculation 5 11 2 7 2" xfId="27057" xr:uid="{00000000-0005-0000-0000-0000CB130000}"/>
    <cellStyle name="Calculation 5 11 2 7 3" xfId="21926" xr:uid="{00000000-0005-0000-0000-0000CC130000}"/>
    <cellStyle name="Calculation 5 11 2 8" xfId="4127" xr:uid="{00000000-0005-0000-0000-0000CD130000}"/>
    <cellStyle name="Calculation 5 11 2 8 2" xfId="22593" xr:uid="{00000000-0005-0000-0000-0000CE130000}"/>
    <cellStyle name="Calculation 5 11 2 8 3" xfId="17809" xr:uid="{00000000-0005-0000-0000-0000CF130000}"/>
    <cellStyle name="Calculation 5 11 2 9" xfId="14472" xr:uid="{00000000-0005-0000-0000-0000D0130000}"/>
    <cellStyle name="Calculation 5 11 2 9 2" xfId="36000" xr:uid="{00000000-0005-0000-0000-0000D1130000}"/>
    <cellStyle name="Calculation 5 11 2 9 3" xfId="17136" xr:uid="{00000000-0005-0000-0000-0000D2130000}"/>
    <cellStyle name="Calculation 5 11 3" xfId="4627" xr:uid="{00000000-0005-0000-0000-0000D3130000}"/>
    <cellStyle name="Calculation 5 11 3 2" xfId="23087" xr:uid="{00000000-0005-0000-0000-0000D4130000}"/>
    <cellStyle name="Calculation 5 11 3 3" xfId="18303" xr:uid="{00000000-0005-0000-0000-0000D5130000}"/>
    <cellStyle name="Calculation 5 11 4" xfId="4483" xr:uid="{00000000-0005-0000-0000-0000D6130000}"/>
    <cellStyle name="Calculation 5 11 4 2" xfId="22943" xr:uid="{00000000-0005-0000-0000-0000D7130000}"/>
    <cellStyle name="Calculation 5 11 4 3" xfId="18162" xr:uid="{00000000-0005-0000-0000-0000D8130000}"/>
    <cellStyle name="Calculation 5 11 5" xfId="6746" xr:uid="{00000000-0005-0000-0000-0000D9130000}"/>
    <cellStyle name="Calculation 5 11 5 2" xfId="25184" xr:uid="{00000000-0005-0000-0000-0000DA130000}"/>
    <cellStyle name="Calculation 5 11 5 3" xfId="20176" xr:uid="{00000000-0005-0000-0000-0000DB130000}"/>
    <cellStyle name="Calculation 5 11 6" xfId="6938" xr:uid="{00000000-0005-0000-0000-0000DC130000}"/>
    <cellStyle name="Calculation 5 11 6 2" xfId="25376" xr:uid="{00000000-0005-0000-0000-0000DD130000}"/>
    <cellStyle name="Calculation 5 11 6 3" xfId="20319" xr:uid="{00000000-0005-0000-0000-0000DE130000}"/>
    <cellStyle name="Calculation 5 11 7" xfId="6901" xr:uid="{00000000-0005-0000-0000-0000DF130000}"/>
    <cellStyle name="Calculation 5 11 7 2" xfId="25339" xr:uid="{00000000-0005-0000-0000-0000E0130000}"/>
    <cellStyle name="Calculation 5 11 7 3" xfId="20282" xr:uid="{00000000-0005-0000-0000-0000E1130000}"/>
    <cellStyle name="Calculation 5 11 8" xfId="8254" xr:uid="{00000000-0005-0000-0000-0000E2130000}"/>
    <cellStyle name="Calculation 5 11 8 2" xfId="26679" xr:uid="{00000000-0005-0000-0000-0000E3130000}"/>
    <cellStyle name="Calculation 5 11 8 3" xfId="21605" xr:uid="{00000000-0005-0000-0000-0000E4130000}"/>
    <cellStyle name="Calculation 5 11 9" xfId="3805" xr:uid="{00000000-0005-0000-0000-0000E5130000}"/>
    <cellStyle name="Calculation 5 11 9 2" xfId="22274" xr:uid="{00000000-0005-0000-0000-0000E6130000}"/>
    <cellStyle name="Calculation 5 11 9 3" xfId="17488" xr:uid="{00000000-0005-0000-0000-0000E7130000}"/>
    <cellStyle name="Calculation 5 12" xfId="3364" xr:uid="{00000000-0005-0000-0000-0000E8130000}"/>
    <cellStyle name="Calculation 5 12 10" xfId="16065" xr:uid="{00000000-0005-0000-0000-0000E9130000}"/>
    <cellStyle name="Calculation 5 12 10 2" xfId="37391" xr:uid="{00000000-0005-0000-0000-0000EA130000}"/>
    <cellStyle name="Calculation 5 12 11" xfId="31424" xr:uid="{00000000-0005-0000-0000-0000EB130000}"/>
    <cellStyle name="Calculation 5 12 2" xfId="5502" xr:uid="{00000000-0005-0000-0000-0000EC130000}"/>
    <cellStyle name="Calculation 5 12 2 2" xfId="23955" xr:uid="{00000000-0005-0000-0000-0000ED130000}"/>
    <cellStyle name="Calculation 5 12 2 3" xfId="19090" xr:uid="{00000000-0005-0000-0000-0000EE130000}"/>
    <cellStyle name="Calculation 5 12 3" xfId="5024" xr:uid="{00000000-0005-0000-0000-0000EF130000}"/>
    <cellStyle name="Calculation 5 12 3 2" xfId="23484" xr:uid="{00000000-0005-0000-0000-0000F0130000}"/>
    <cellStyle name="Calculation 5 12 3 3" xfId="18638" xr:uid="{00000000-0005-0000-0000-0000F1130000}"/>
    <cellStyle name="Calculation 5 12 4" xfId="6111" xr:uid="{00000000-0005-0000-0000-0000F2130000}"/>
    <cellStyle name="Calculation 5 12 4 2" xfId="24552" xr:uid="{00000000-0005-0000-0000-0000F3130000}"/>
    <cellStyle name="Calculation 5 12 4 3" xfId="19661" xr:uid="{00000000-0005-0000-0000-0000F4130000}"/>
    <cellStyle name="Calculation 5 12 5" xfId="7538" xr:uid="{00000000-0005-0000-0000-0000F5130000}"/>
    <cellStyle name="Calculation 5 12 5 2" xfId="25968" xr:uid="{00000000-0005-0000-0000-0000F6130000}"/>
    <cellStyle name="Calculation 5 12 5 3" xfId="20893" xr:uid="{00000000-0005-0000-0000-0000F7130000}"/>
    <cellStyle name="Calculation 5 12 6" xfId="7911" xr:uid="{00000000-0005-0000-0000-0000F8130000}"/>
    <cellStyle name="Calculation 5 12 6 2" xfId="26341" xr:uid="{00000000-0005-0000-0000-0000F9130000}"/>
    <cellStyle name="Calculation 5 12 6 3" xfId="21265" xr:uid="{00000000-0005-0000-0000-0000FA130000}"/>
    <cellStyle name="Calculation 5 12 7" xfId="8633" xr:uid="{00000000-0005-0000-0000-0000FB130000}"/>
    <cellStyle name="Calculation 5 12 7 2" xfId="27055" xr:uid="{00000000-0005-0000-0000-0000FC130000}"/>
    <cellStyle name="Calculation 5 12 7 3" xfId="21924" xr:uid="{00000000-0005-0000-0000-0000FD130000}"/>
    <cellStyle name="Calculation 5 12 8" xfId="4125" xr:uid="{00000000-0005-0000-0000-0000FE130000}"/>
    <cellStyle name="Calculation 5 12 8 2" xfId="22591" xr:uid="{00000000-0005-0000-0000-0000FF130000}"/>
    <cellStyle name="Calculation 5 12 8 3" xfId="17807" xr:uid="{00000000-0005-0000-0000-000000140000}"/>
    <cellStyle name="Calculation 5 12 9" xfId="15116" xr:uid="{00000000-0005-0000-0000-000001140000}"/>
    <cellStyle name="Calculation 5 12 9 2" xfId="36527" xr:uid="{00000000-0005-0000-0000-000002140000}"/>
    <cellStyle name="Calculation 5 12 9 3" xfId="17134" xr:uid="{00000000-0005-0000-0000-000003140000}"/>
    <cellStyle name="Calculation 5 13" xfId="4625" xr:uid="{00000000-0005-0000-0000-000004140000}"/>
    <cellStyle name="Calculation 5 13 2" xfId="23085" xr:uid="{00000000-0005-0000-0000-000005140000}"/>
    <cellStyle name="Calculation 5 13 3" xfId="18301" xr:uid="{00000000-0005-0000-0000-000006140000}"/>
    <cellStyle name="Calculation 5 14" xfId="4481" xr:uid="{00000000-0005-0000-0000-000007140000}"/>
    <cellStyle name="Calculation 5 14 2" xfId="22941" xr:uid="{00000000-0005-0000-0000-000008140000}"/>
    <cellStyle name="Calculation 5 14 3" xfId="18160" xr:uid="{00000000-0005-0000-0000-000009140000}"/>
    <cellStyle name="Calculation 5 15" xfId="6748" xr:uid="{00000000-0005-0000-0000-00000A140000}"/>
    <cellStyle name="Calculation 5 15 2" xfId="25186" xr:uid="{00000000-0005-0000-0000-00000B140000}"/>
    <cellStyle name="Calculation 5 15 3" xfId="20178" xr:uid="{00000000-0005-0000-0000-00000C140000}"/>
    <cellStyle name="Calculation 5 16" xfId="6937" xr:uid="{00000000-0005-0000-0000-00000D140000}"/>
    <cellStyle name="Calculation 5 16 2" xfId="25375" xr:uid="{00000000-0005-0000-0000-00000E140000}"/>
    <cellStyle name="Calculation 5 16 3" xfId="20318" xr:uid="{00000000-0005-0000-0000-00000F140000}"/>
    <cellStyle name="Calculation 5 17" xfId="6902" xr:uid="{00000000-0005-0000-0000-000010140000}"/>
    <cellStyle name="Calculation 5 17 2" xfId="25340" xr:uid="{00000000-0005-0000-0000-000011140000}"/>
    <cellStyle name="Calculation 5 17 3" xfId="20283" xr:uid="{00000000-0005-0000-0000-000012140000}"/>
    <cellStyle name="Calculation 5 18" xfId="8252" xr:uid="{00000000-0005-0000-0000-000013140000}"/>
    <cellStyle name="Calculation 5 18 2" xfId="26677" xr:uid="{00000000-0005-0000-0000-000014140000}"/>
    <cellStyle name="Calculation 5 18 3" xfId="21603" xr:uid="{00000000-0005-0000-0000-000015140000}"/>
    <cellStyle name="Calculation 5 19" xfId="3803" xr:uid="{00000000-0005-0000-0000-000016140000}"/>
    <cellStyle name="Calculation 5 19 2" xfId="22272" xr:uid="{00000000-0005-0000-0000-000017140000}"/>
    <cellStyle name="Calculation 5 19 3" xfId="17486" xr:uid="{00000000-0005-0000-0000-000018140000}"/>
    <cellStyle name="Calculation 5 2" xfId="1625" xr:uid="{00000000-0005-0000-0000-000019140000}"/>
    <cellStyle name="Calculation 5 2 10" xfId="14473" xr:uid="{00000000-0005-0000-0000-00001A140000}"/>
    <cellStyle name="Calculation 5 2 10 2" xfId="36001" xr:uid="{00000000-0005-0000-0000-00001B140000}"/>
    <cellStyle name="Calculation 5 2 10 3" xfId="16801" xr:uid="{00000000-0005-0000-0000-00001C140000}"/>
    <cellStyle name="Calculation 5 2 11" xfId="16533" xr:uid="{00000000-0005-0000-0000-00001D140000}"/>
    <cellStyle name="Calculation 5 2 11 2" xfId="37750" xr:uid="{00000000-0005-0000-0000-00001E140000}"/>
    <cellStyle name="Calculation 5 2 12" xfId="31197" xr:uid="{00000000-0005-0000-0000-00001F140000}"/>
    <cellStyle name="Calculation 5 2 13" xfId="39078" xr:uid="{00000000-0005-0000-0000-000087060000}"/>
    <cellStyle name="Calculation 5 2 14" xfId="41045" xr:uid="{00000000-0005-0000-0000-000087060000}"/>
    <cellStyle name="Calculation 5 2 2" xfId="3367" xr:uid="{00000000-0005-0000-0000-000020140000}"/>
    <cellStyle name="Calculation 5 2 2 10" xfId="16534" xr:uid="{00000000-0005-0000-0000-000021140000}"/>
    <cellStyle name="Calculation 5 2 2 10 2" xfId="37751" xr:uid="{00000000-0005-0000-0000-000022140000}"/>
    <cellStyle name="Calculation 5 2 2 11" xfId="31427" xr:uid="{00000000-0005-0000-0000-000023140000}"/>
    <cellStyle name="Calculation 5 2 2 2" xfId="5505" xr:uid="{00000000-0005-0000-0000-000024140000}"/>
    <cellStyle name="Calculation 5 2 2 2 2" xfId="23958" xr:uid="{00000000-0005-0000-0000-000025140000}"/>
    <cellStyle name="Calculation 5 2 2 2 3" xfId="19093" xr:uid="{00000000-0005-0000-0000-000026140000}"/>
    <cellStyle name="Calculation 5 2 2 3" xfId="5027" xr:uid="{00000000-0005-0000-0000-000027140000}"/>
    <cellStyle name="Calculation 5 2 2 3 2" xfId="23487" xr:uid="{00000000-0005-0000-0000-000028140000}"/>
    <cellStyle name="Calculation 5 2 2 3 3" xfId="18641" xr:uid="{00000000-0005-0000-0000-000029140000}"/>
    <cellStyle name="Calculation 5 2 2 4" xfId="6108" xr:uid="{00000000-0005-0000-0000-00002A140000}"/>
    <cellStyle name="Calculation 5 2 2 4 2" xfId="24549" xr:uid="{00000000-0005-0000-0000-00002B140000}"/>
    <cellStyle name="Calculation 5 2 2 4 3" xfId="19658" xr:uid="{00000000-0005-0000-0000-00002C140000}"/>
    <cellStyle name="Calculation 5 2 2 5" xfId="7541" xr:uid="{00000000-0005-0000-0000-00002D140000}"/>
    <cellStyle name="Calculation 5 2 2 5 2" xfId="25971" xr:uid="{00000000-0005-0000-0000-00002E140000}"/>
    <cellStyle name="Calculation 5 2 2 5 3" xfId="20896" xr:uid="{00000000-0005-0000-0000-00002F140000}"/>
    <cellStyle name="Calculation 5 2 2 6" xfId="7914" xr:uid="{00000000-0005-0000-0000-000030140000}"/>
    <cellStyle name="Calculation 5 2 2 6 2" xfId="26344" xr:uid="{00000000-0005-0000-0000-000031140000}"/>
    <cellStyle name="Calculation 5 2 2 6 3" xfId="21268" xr:uid="{00000000-0005-0000-0000-000032140000}"/>
    <cellStyle name="Calculation 5 2 2 7" xfId="8636" xr:uid="{00000000-0005-0000-0000-000033140000}"/>
    <cellStyle name="Calculation 5 2 2 7 2" xfId="27058" xr:uid="{00000000-0005-0000-0000-000034140000}"/>
    <cellStyle name="Calculation 5 2 2 7 3" xfId="21927" xr:uid="{00000000-0005-0000-0000-000035140000}"/>
    <cellStyle name="Calculation 5 2 2 8" xfId="4128" xr:uid="{00000000-0005-0000-0000-000036140000}"/>
    <cellStyle name="Calculation 5 2 2 8 2" xfId="22594" xr:uid="{00000000-0005-0000-0000-000037140000}"/>
    <cellStyle name="Calculation 5 2 2 8 3" xfId="17810" xr:uid="{00000000-0005-0000-0000-000038140000}"/>
    <cellStyle name="Calculation 5 2 2 9" xfId="15117" xr:uid="{00000000-0005-0000-0000-000039140000}"/>
    <cellStyle name="Calculation 5 2 2 9 2" xfId="36528" xr:uid="{00000000-0005-0000-0000-00003A140000}"/>
    <cellStyle name="Calculation 5 2 2 9 3" xfId="17137" xr:uid="{00000000-0005-0000-0000-00003B140000}"/>
    <cellStyle name="Calculation 5 2 3" xfId="4628" xr:uid="{00000000-0005-0000-0000-00003C140000}"/>
    <cellStyle name="Calculation 5 2 3 2" xfId="23088" xr:uid="{00000000-0005-0000-0000-00003D140000}"/>
    <cellStyle name="Calculation 5 2 3 3" xfId="18304" xr:uid="{00000000-0005-0000-0000-00003E140000}"/>
    <cellStyle name="Calculation 5 2 4" xfId="4484" xr:uid="{00000000-0005-0000-0000-00003F140000}"/>
    <cellStyle name="Calculation 5 2 4 2" xfId="22944" xr:uid="{00000000-0005-0000-0000-000040140000}"/>
    <cellStyle name="Calculation 5 2 4 3" xfId="18163" xr:uid="{00000000-0005-0000-0000-000041140000}"/>
    <cellStyle name="Calculation 5 2 5" xfId="6745" xr:uid="{00000000-0005-0000-0000-000042140000}"/>
    <cellStyle name="Calculation 5 2 5 2" xfId="25183" xr:uid="{00000000-0005-0000-0000-000043140000}"/>
    <cellStyle name="Calculation 5 2 5 3" xfId="20175" xr:uid="{00000000-0005-0000-0000-000044140000}"/>
    <cellStyle name="Calculation 5 2 6" xfId="5929" xr:uid="{00000000-0005-0000-0000-000045140000}"/>
    <cellStyle name="Calculation 5 2 6 2" xfId="24371" xr:uid="{00000000-0005-0000-0000-000046140000}"/>
    <cellStyle name="Calculation 5 2 6 3" xfId="19482" xr:uid="{00000000-0005-0000-0000-000047140000}"/>
    <cellStyle name="Calculation 5 2 7" xfId="7086" xr:uid="{00000000-0005-0000-0000-000048140000}"/>
    <cellStyle name="Calculation 5 2 7 2" xfId="25520" xr:uid="{00000000-0005-0000-0000-000049140000}"/>
    <cellStyle name="Calculation 5 2 7 3" xfId="20451" xr:uid="{00000000-0005-0000-0000-00004A140000}"/>
    <cellStyle name="Calculation 5 2 8" xfId="8255" xr:uid="{00000000-0005-0000-0000-00004B140000}"/>
    <cellStyle name="Calculation 5 2 8 2" xfId="26680" xr:uid="{00000000-0005-0000-0000-00004C140000}"/>
    <cellStyle name="Calculation 5 2 8 3" xfId="21606" xr:uid="{00000000-0005-0000-0000-00004D140000}"/>
    <cellStyle name="Calculation 5 2 9" xfId="3806" xr:uid="{00000000-0005-0000-0000-00004E140000}"/>
    <cellStyle name="Calculation 5 2 9 2" xfId="22275" xr:uid="{00000000-0005-0000-0000-00004F140000}"/>
    <cellStyle name="Calculation 5 2 9 3" xfId="17489" xr:uid="{00000000-0005-0000-0000-000050140000}"/>
    <cellStyle name="Calculation 5 20" xfId="14470" xr:uid="{00000000-0005-0000-0000-000051140000}"/>
    <cellStyle name="Calculation 5 20 2" xfId="35998" xr:uid="{00000000-0005-0000-0000-000052140000}"/>
    <cellStyle name="Calculation 5 20 3" xfId="16798" xr:uid="{00000000-0005-0000-0000-000053140000}"/>
    <cellStyle name="Calculation 5 21" xfId="14936" xr:uid="{00000000-0005-0000-0000-000054140000}"/>
    <cellStyle name="Calculation 5 21 2" xfId="36384" xr:uid="{00000000-0005-0000-0000-000055140000}"/>
    <cellStyle name="Calculation 5 22" xfId="31194" xr:uid="{00000000-0005-0000-0000-000056140000}"/>
    <cellStyle name="Calculation 5 23" xfId="39077" xr:uid="{00000000-0005-0000-0000-000086060000}"/>
    <cellStyle name="Calculation 5 24" xfId="41044" xr:uid="{00000000-0005-0000-0000-000086060000}"/>
    <cellStyle name="Calculation 5 3" xfId="1626" xr:uid="{00000000-0005-0000-0000-000057140000}"/>
    <cellStyle name="Calculation 5 3 10" xfId="14474" xr:uid="{00000000-0005-0000-0000-000058140000}"/>
    <cellStyle name="Calculation 5 3 10 2" xfId="36002" xr:uid="{00000000-0005-0000-0000-000059140000}"/>
    <cellStyle name="Calculation 5 3 10 3" xfId="16802" xr:uid="{00000000-0005-0000-0000-00005A140000}"/>
    <cellStyle name="Calculation 5 3 11" xfId="15204" xr:uid="{00000000-0005-0000-0000-00005B140000}"/>
    <cellStyle name="Calculation 5 3 11 2" xfId="36612" xr:uid="{00000000-0005-0000-0000-00005C140000}"/>
    <cellStyle name="Calculation 5 3 12" xfId="31198" xr:uid="{00000000-0005-0000-0000-00005D140000}"/>
    <cellStyle name="Calculation 5 3 2" xfId="3368" xr:uid="{00000000-0005-0000-0000-00005E140000}"/>
    <cellStyle name="Calculation 5 3 2 10" xfId="16129" xr:uid="{00000000-0005-0000-0000-00005F140000}"/>
    <cellStyle name="Calculation 5 3 2 10 2" xfId="37450" xr:uid="{00000000-0005-0000-0000-000060140000}"/>
    <cellStyle name="Calculation 5 3 2 11" xfId="31428" xr:uid="{00000000-0005-0000-0000-000061140000}"/>
    <cellStyle name="Calculation 5 3 2 2" xfId="5506" xr:uid="{00000000-0005-0000-0000-000062140000}"/>
    <cellStyle name="Calculation 5 3 2 2 2" xfId="23959" xr:uid="{00000000-0005-0000-0000-000063140000}"/>
    <cellStyle name="Calculation 5 3 2 2 3" xfId="19094" xr:uid="{00000000-0005-0000-0000-000064140000}"/>
    <cellStyle name="Calculation 5 3 2 3" xfId="5028" xr:uid="{00000000-0005-0000-0000-000065140000}"/>
    <cellStyle name="Calculation 5 3 2 3 2" xfId="23488" xr:uid="{00000000-0005-0000-0000-000066140000}"/>
    <cellStyle name="Calculation 5 3 2 3 3" xfId="18642" xr:uid="{00000000-0005-0000-0000-000067140000}"/>
    <cellStyle name="Calculation 5 3 2 4" xfId="6107" xr:uid="{00000000-0005-0000-0000-000068140000}"/>
    <cellStyle name="Calculation 5 3 2 4 2" xfId="24548" xr:uid="{00000000-0005-0000-0000-000069140000}"/>
    <cellStyle name="Calculation 5 3 2 4 3" xfId="19657" xr:uid="{00000000-0005-0000-0000-00006A140000}"/>
    <cellStyle name="Calculation 5 3 2 5" xfId="7542" xr:uid="{00000000-0005-0000-0000-00006B140000}"/>
    <cellStyle name="Calculation 5 3 2 5 2" xfId="25972" xr:uid="{00000000-0005-0000-0000-00006C140000}"/>
    <cellStyle name="Calculation 5 3 2 5 3" xfId="20897" xr:uid="{00000000-0005-0000-0000-00006D140000}"/>
    <cellStyle name="Calculation 5 3 2 6" xfId="7915" xr:uid="{00000000-0005-0000-0000-00006E140000}"/>
    <cellStyle name="Calculation 5 3 2 6 2" xfId="26345" xr:uid="{00000000-0005-0000-0000-00006F140000}"/>
    <cellStyle name="Calculation 5 3 2 6 3" xfId="21269" xr:uid="{00000000-0005-0000-0000-000070140000}"/>
    <cellStyle name="Calculation 5 3 2 7" xfId="8637" xr:uid="{00000000-0005-0000-0000-000071140000}"/>
    <cellStyle name="Calculation 5 3 2 7 2" xfId="27059" xr:uid="{00000000-0005-0000-0000-000072140000}"/>
    <cellStyle name="Calculation 5 3 2 7 3" xfId="21928" xr:uid="{00000000-0005-0000-0000-000073140000}"/>
    <cellStyle name="Calculation 5 3 2 8" xfId="4129" xr:uid="{00000000-0005-0000-0000-000074140000}"/>
    <cellStyle name="Calculation 5 3 2 8 2" xfId="22595" xr:uid="{00000000-0005-0000-0000-000075140000}"/>
    <cellStyle name="Calculation 5 3 2 8 3" xfId="17811" xr:uid="{00000000-0005-0000-0000-000076140000}"/>
    <cellStyle name="Calculation 5 3 2 9" xfId="15118" xr:uid="{00000000-0005-0000-0000-000077140000}"/>
    <cellStyle name="Calculation 5 3 2 9 2" xfId="36529" xr:uid="{00000000-0005-0000-0000-000078140000}"/>
    <cellStyle name="Calculation 5 3 2 9 3" xfId="17138" xr:uid="{00000000-0005-0000-0000-000079140000}"/>
    <cellStyle name="Calculation 5 3 3" xfId="4629" xr:uid="{00000000-0005-0000-0000-00007A140000}"/>
    <cellStyle name="Calculation 5 3 3 2" xfId="23089" xr:uid="{00000000-0005-0000-0000-00007B140000}"/>
    <cellStyle name="Calculation 5 3 3 3" xfId="18305" xr:uid="{00000000-0005-0000-0000-00007C140000}"/>
    <cellStyle name="Calculation 5 3 4" xfId="4485" xr:uid="{00000000-0005-0000-0000-00007D140000}"/>
    <cellStyle name="Calculation 5 3 4 2" xfId="22945" xr:uid="{00000000-0005-0000-0000-00007E140000}"/>
    <cellStyle name="Calculation 5 3 4 3" xfId="18164" xr:uid="{00000000-0005-0000-0000-00007F140000}"/>
    <cellStyle name="Calculation 5 3 5" xfId="6744" xr:uid="{00000000-0005-0000-0000-000080140000}"/>
    <cellStyle name="Calculation 5 3 5 2" xfId="25182" xr:uid="{00000000-0005-0000-0000-000081140000}"/>
    <cellStyle name="Calculation 5 3 5 3" xfId="20174" xr:uid="{00000000-0005-0000-0000-000082140000}"/>
    <cellStyle name="Calculation 5 3 6" xfId="5953" xr:uid="{00000000-0005-0000-0000-000083140000}"/>
    <cellStyle name="Calculation 5 3 6 2" xfId="24394" xr:uid="{00000000-0005-0000-0000-000084140000}"/>
    <cellStyle name="Calculation 5 3 6 3" xfId="19504" xr:uid="{00000000-0005-0000-0000-000085140000}"/>
    <cellStyle name="Calculation 5 3 7" xfId="6900" xr:uid="{00000000-0005-0000-0000-000086140000}"/>
    <cellStyle name="Calculation 5 3 7 2" xfId="25338" xr:uid="{00000000-0005-0000-0000-000087140000}"/>
    <cellStyle name="Calculation 5 3 7 3" xfId="20281" xr:uid="{00000000-0005-0000-0000-000088140000}"/>
    <cellStyle name="Calculation 5 3 8" xfId="8256" xr:uid="{00000000-0005-0000-0000-000089140000}"/>
    <cellStyle name="Calculation 5 3 8 2" xfId="26681" xr:uid="{00000000-0005-0000-0000-00008A140000}"/>
    <cellStyle name="Calculation 5 3 8 3" xfId="21607" xr:uid="{00000000-0005-0000-0000-00008B140000}"/>
    <cellStyle name="Calculation 5 3 9" xfId="3807" xr:uid="{00000000-0005-0000-0000-00008C140000}"/>
    <cellStyle name="Calculation 5 3 9 2" xfId="22276" xr:uid="{00000000-0005-0000-0000-00008D140000}"/>
    <cellStyle name="Calculation 5 3 9 3" xfId="17490" xr:uid="{00000000-0005-0000-0000-00008E140000}"/>
    <cellStyle name="Calculation 5 4" xfId="1627" xr:uid="{00000000-0005-0000-0000-00008F140000}"/>
    <cellStyle name="Calculation 5 4 10" xfId="14475" xr:uid="{00000000-0005-0000-0000-000090140000}"/>
    <cellStyle name="Calculation 5 4 10 2" xfId="36003" xr:uid="{00000000-0005-0000-0000-000091140000}"/>
    <cellStyle name="Calculation 5 4 10 3" xfId="16803" xr:uid="{00000000-0005-0000-0000-000092140000}"/>
    <cellStyle name="Calculation 5 4 11" xfId="16535" xr:uid="{00000000-0005-0000-0000-000093140000}"/>
    <cellStyle name="Calculation 5 4 11 2" xfId="37752" xr:uid="{00000000-0005-0000-0000-000094140000}"/>
    <cellStyle name="Calculation 5 4 12" xfId="31199" xr:uid="{00000000-0005-0000-0000-000095140000}"/>
    <cellStyle name="Calculation 5 4 2" xfId="3369" xr:uid="{00000000-0005-0000-0000-000096140000}"/>
    <cellStyle name="Calculation 5 4 2 10" xfId="16385" xr:uid="{00000000-0005-0000-0000-000097140000}"/>
    <cellStyle name="Calculation 5 4 2 10 2" xfId="37684" xr:uid="{00000000-0005-0000-0000-000098140000}"/>
    <cellStyle name="Calculation 5 4 2 11" xfId="31429" xr:uid="{00000000-0005-0000-0000-000099140000}"/>
    <cellStyle name="Calculation 5 4 2 2" xfId="5507" xr:uid="{00000000-0005-0000-0000-00009A140000}"/>
    <cellStyle name="Calculation 5 4 2 2 2" xfId="23960" xr:uid="{00000000-0005-0000-0000-00009B140000}"/>
    <cellStyle name="Calculation 5 4 2 2 3" xfId="19095" xr:uid="{00000000-0005-0000-0000-00009C140000}"/>
    <cellStyle name="Calculation 5 4 2 3" xfId="5029" xr:uid="{00000000-0005-0000-0000-00009D140000}"/>
    <cellStyle name="Calculation 5 4 2 3 2" xfId="23489" xr:uid="{00000000-0005-0000-0000-00009E140000}"/>
    <cellStyle name="Calculation 5 4 2 3 3" xfId="18643" xr:uid="{00000000-0005-0000-0000-00009F140000}"/>
    <cellStyle name="Calculation 5 4 2 4" xfId="6106" xr:uid="{00000000-0005-0000-0000-0000A0140000}"/>
    <cellStyle name="Calculation 5 4 2 4 2" xfId="24547" xr:uid="{00000000-0005-0000-0000-0000A1140000}"/>
    <cellStyle name="Calculation 5 4 2 4 3" xfId="19656" xr:uid="{00000000-0005-0000-0000-0000A2140000}"/>
    <cellStyle name="Calculation 5 4 2 5" xfId="7543" xr:uid="{00000000-0005-0000-0000-0000A3140000}"/>
    <cellStyle name="Calculation 5 4 2 5 2" xfId="25973" xr:uid="{00000000-0005-0000-0000-0000A4140000}"/>
    <cellStyle name="Calculation 5 4 2 5 3" xfId="20898" xr:uid="{00000000-0005-0000-0000-0000A5140000}"/>
    <cellStyle name="Calculation 5 4 2 6" xfId="7916" xr:uid="{00000000-0005-0000-0000-0000A6140000}"/>
    <cellStyle name="Calculation 5 4 2 6 2" xfId="26346" xr:uid="{00000000-0005-0000-0000-0000A7140000}"/>
    <cellStyle name="Calculation 5 4 2 6 3" xfId="21270" xr:uid="{00000000-0005-0000-0000-0000A8140000}"/>
    <cellStyle name="Calculation 5 4 2 7" xfId="8638" xr:uid="{00000000-0005-0000-0000-0000A9140000}"/>
    <cellStyle name="Calculation 5 4 2 7 2" xfId="27060" xr:uid="{00000000-0005-0000-0000-0000AA140000}"/>
    <cellStyle name="Calculation 5 4 2 7 3" xfId="21929" xr:uid="{00000000-0005-0000-0000-0000AB140000}"/>
    <cellStyle name="Calculation 5 4 2 8" xfId="4130" xr:uid="{00000000-0005-0000-0000-0000AC140000}"/>
    <cellStyle name="Calculation 5 4 2 8 2" xfId="22596" xr:uid="{00000000-0005-0000-0000-0000AD140000}"/>
    <cellStyle name="Calculation 5 4 2 8 3" xfId="17812" xr:uid="{00000000-0005-0000-0000-0000AE140000}"/>
    <cellStyle name="Calculation 5 4 2 9" xfId="14476" xr:uid="{00000000-0005-0000-0000-0000AF140000}"/>
    <cellStyle name="Calculation 5 4 2 9 2" xfId="36004" xr:uid="{00000000-0005-0000-0000-0000B0140000}"/>
    <cellStyle name="Calculation 5 4 2 9 3" xfId="17139" xr:uid="{00000000-0005-0000-0000-0000B1140000}"/>
    <cellStyle name="Calculation 5 4 3" xfId="4630" xr:uid="{00000000-0005-0000-0000-0000B2140000}"/>
    <cellStyle name="Calculation 5 4 3 2" xfId="23090" xr:uid="{00000000-0005-0000-0000-0000B3140000}"/>
    <cellStyle name="Calculation 5 4 3 3" xfId="18306" xr:uid="{00000000-0005-0000-0000-0000B4140000}"/>
    <cellStyle name="Calculation 5 4 4" xfId="4486" xr:uid="{00000000-0005-0000-0000-0000B5140000}"/>
    <cellStyle name="Calculation 5 4 4 2" xfId="22946" xr:uid="{00000000-0005-0000-0000-0000B6140000}"/>
    <cellStyle name="Calculation 5 4 4 3" xfId="18165" xr:uid="{00000000-0005-0000-0000-0000B7140000}"/>
    <cellStyle name="Calculation 5 4 5" xfId="6743" xr:uid="{00000000-0005-0000-0000-0000B8140000}"/>
    <cellStyle name="Calculation 5 4 5 2" xfId="25181" xr:uid="{00000000-0005-0000-0000-0000B9140000}"/>
    <cellStyle name="Calculation 5 4 5 3" xfId="20173" xr:uid="{00000000-0005-0000-0000-0000BA140000}"/>
    <cellStyle name="Calculation 5 4 6" xfId="5954" xr:uid="{00000000-0005-0000-0000-0000BB140000}"/>
    <cellStyle name="Calculation 5 4 6 2" xfId="24395" xr:uid="{00000000-0005-0000-0000-0000BC140000}"/>
    <cellStyle name="Calculation 5 4 6 3" xfId="19505" xr:uid="{00000000-0005-0000-0000-0000BD140000}"/>
    <cellStyle name="Calculation 5 4 7" xfId="7085" xr:uid="{00000000-0005-0000-0000-0000BE140000}"/>
    <cellStyle name="Calculation 5 4 7 2" xfId="25519" xr:uid="{00000000-0005-0000-0000-0000BF140000}"/>
    <cellStyle name="Calculation 5 4 7 3" xfId="20450" xr:uid="{00000000-0005-0000-0000-0000C0140000}"/>
    <cellStyle name="Calculation 5 4 8" xfId="8257" xr:uid="{00000000-0005-0000-0000-0000C1140000}"/>
    <cellStyle name="Calculation 5 4 8 2" xfId="26682" xr:uid="{00000000-0005-0000-0000-0000C2140000}"/>
    <cellStyle name="Calculation 5 4 8 3" xfId="21608" xr:uid="{00000000-0005-0000-0000-0000C3140000}"/>
    <cellStyle name="Calculation 5 4 9" xfId="3808" xr:uid="{00000000-0005-0000-0000-0000C4140000}"/>
    <cellStyle name="Calculation 5 4 9 2" xfId="22277" xr:uid="{00000000-0005-0000-0000-0000C5140000}"/>
    <cellStyle name="Calculation 5 4 9 3" xfId="17491" xr:uid="{00000000-0005-0000-0000-0000C6140000}"/>
    <cellStyle name="Calculation 5 5" xfId="1628" xr:uid="{00000000-0005-0000-0000-0000C7140000}"/>
    <cellStyle name="Calculation 5 5 10" xfId="15119" xr:uid="{00000000-0005-0000-0000-0000C8140000}"/>
    <cellStyle name="Calculation 5 5 10 2" xfId="36530" xr:uid="{00000000-0005-0000-0000-0000C9140000}"/>
    <cellStyle name="Calculation 5 5 10 3" xfId="16804" xr:uid="{00000000-0005-0000-0000-0000CA140000}"/>
    <cellStyle name="Calculation 5 5 11" xfId="16263" xr:uid="{00000000-0005-0000-0000-0000CB140000}"/>
    <cellStyle name="Calculation 5 5 11 2" xfId="37572" xr:uid="{00000000-0005-0000-0000-0000CC140000}"/>
    <cellStyle name="Calculation 5 5 12" xfId="31200" xr:uid="{00000000-0005-0000-0000-0000CD140000}"/>
    <cellStyle name="Calculation 5 5 2" xfId="3370" xr:uid="{00000000-0005-0000-0000-0000CE140000}"/>
    <cellStyle name="Calculation 5 5 2 10" xfId="15692" xr:uid="{00000000-0005-0000-0000-0000CF140000}"/>
    <cellStyle name="Calculation 5 5 2 10 2" xfId="37064" xr:uid="{00000000-0005-0000-0000-0000D0140000}"/>
    <cellStyle name="Calculation 5 5 2 11" xfId="31430" xr:uid="{00000000-0005-0000-0000-0000D1140000}"/>
    <cellStyle name="Calculation 5 5 2 2" xfId="5508" xr:uid="{00000000-0005-0000-0000-0000D2140000}"/>
    <cellStyle name="Calculation 5 5 2 2 2" xfId="23961" xr:uid="{00000000-0005-0000-0000-0000D3140000}"/>
    <cellStyle name="Calculation 5 5 2 2 3" xfId="19096" xr:uid="{00000000-0005-0000-0000-0000D4140000}"/>
    <cellStyle name="Calculation 5 5 2 3" xfId="5030" xr:uid="{00000000-0005-0000-0000-0000D5140000}"/>
    <cellStyle name="Calculation 5 5 2 3 2" xfId="23490" xr:uid="{00000000-0005-0000-0000-0000D6140000}"/>
    <cellStyle name="Calculation 5 5 2 3 3" xfId="18644" xr:uid="{00000000-0005-0000-0000-0000D7140000}"/>
    <cellStyle name="Calculation 5 5 2 4" xfId="6105" xr:uid="{00000000-0005-0000-0000-0000D8140000}"/>
    <cellStyle name="Calculation 5 5 2 4 2" xfId="24546" xr:uid="{00000000-0005-0000-0000-0000D9140000}"/>
    <cellStyle name="Calculation 5 5 2 4 3" xfId="19655" xr:uid="{00000000-0005-0000-0000-0000DA140000}"/>
    <cellStyle name="Calculation 5 5 2 5" xfId="7544" xr:uid="{00000000-0005-0000-0000-0000DB140000}"/>
    <cellStyle name="Calculation 5 5 2 5 2" xfId="25974" xr:uid="{00000000-0005-0000-0000-0000DC140000}"/>
    <cellStyle name="Calculation 5 5 2 5 3" xfId="20899" xr:uid="{00000000-0005-0000-0000-0000DD140000}"/>
    <cellStyle name="Calculation 5 5 2 6" xfId="7917" xr:uid="{00000000-0005-0000-0000-0000DE140000}"/>
    <cellStyle name="Calculation 5 5 2 6 2" xfId="26347" xr:uid="{00000000-0005-0000-0000-0000DF140000}"/>
    <cellStyle name="Calculation 5 5 2 6 3" xfId="21271" xr:uid="{00000000-0005-0000-0000-0000E0140000}"/>
    <cellStyle name="Calculation 5 5 2 7" xfId="8639" xr:uid="{00000000-0005-0000-0000-0000E1140000}"/>
    <cellStyle name="Calculation 5 5 2 7 2" xfId="27061" xr:uid="{00000000-0005-0000-0000-0000E2140000}"/>
    <cellStyle name="Calculation 5 5 2 7 3" xfId="21930" xr:uid="{00000000-0005-0000-0000-0000E3140000}"/>
    <cellStyle name="Calculation 5 5 2 8" xfId="4131" xr:uid="{00000000-0005-0000-0000-0000E4140000}"/>
    <cellStyle name="Calculation 5 5 2 8 2" xfId="22597" xr:uid="{00000000-0005-0000-0000-0000E5140000}"/>
    <cellStyle name="Calculation 5 5 2 8 3" xfId="17813" xr:uid="{00000000-0005-0000-0000-0000E6140000}"/>
    <cellStyle name="Calculation 5 5 2 9" xfId="14477" xr:uid="{00000000-0005-0000-0000-0000E7140000}"/>
    <cellStyle name="Calculation 5 5 2 9 2" xfId="36005" xr:uid="{00000000-0005-0000-0000-0000E8140000}"/>
    <cellStyle name="Calculation 5 5 2 9 3" xfId="17140" xr:uid="{00000000-0005-0000-0000-0000E9140000}"/>
    <cellStyle name="Calculation 5 5 3" xfId="4631" xr:uid="{00000000-0005-0000-0000-0000EA140000}"/>
    <cellStyle name="Calculation 5 5 3 2" xfId="23091" xr:uid="{00000000-0005-0000-0000-0000EB140000}"/>
    <cellStyle name="Calculation 5 5 3 3" xfId="18307" xr:uid="{00000000-0005-0000-0000-0000EC140000}"/>
    <cellStyle name="Calculation 5 5 4" xfId="4487" xr:uid="{00000000-0005-0000-0000-0000ED140000}"/>
    <cellStyle name="Calculation 5 5 4 2" xfId="22947" xr:uid="{00000000-0005-0000-0000-0000EE140000}"/>
    <cellStyle name="Calculation 5 5 4 3" xfId="18166" xr:uid="{00000000-0005-0000-0000-0000EF140000}"/>
    <cellStyle name="Calculation 5 5 5" xfId="6742" xr:uid="{00000000-0005-0000-0000-0000F0140000}"/>
    <cellStyle name="Calculation 5 5 5 2" xfId="25180" xr:uid="{00000000-0005-0000-0000-0000F1140000}"/>
    <cellStyle name="Calculation 5 5 5 3" xfId="20172" xr:uid="{00000000-0005-0000-0000-0000F2140000}"/>
    <cellStyle name="Calculation 5 5 6" xfId="5955" xr:uid="{00000000-0005-0000-0000-0000F3140000}"/>
    <cellStyle name="Calculation 5 5 6 2" xfId="24396" xr:uid="{00000000-0005-0000-0000-0000F4140000}"/>
    <cellStyle name="Calculation 5 5 6 3" xfId="19506" xr:uid="{00000000-0005-0000-0000-0000F5140000}"/>
    <cellStyle name="Calculation 5 5 7" xfId="6899" xr:uid="{00000000-0005-0000-0000-0000F6140000}"/>
    <cellStyle name="Calculation 5 5 7 2" xfId="25337" xr:uid="{00000000-0005-0000-0000-0000F7140000}"/>
    <cellStyle name="Calculation 5 5 7 3" xfId="20280" xr:uid="{00000000-0005-0000-0000-0000F8140000}"/>
    <cellStyle name="Calculation 5 5 8" xfId="8258" xr:uid="{00000000-0005-0000-0000-0000F9140000}"/>
    <cellStyle name="Calculation 5 5 8 2" xfId="26683" xr:uid="{00000000-0005-0000-0000-0000FA140000}"/>
    <cellStyle name="Calculation 5 5 8 3" xfId="21609" xr:uid="{00000000-0005-0000-0000-0000FB140000}"/>
    <cellStyle name="Calculation 5 5 9" xfId="3809" xr:uid="{00000000-0005-0000-0000-0000FC140000}"/>
    <cellStyle name="Calculation 5 5 9 2" xfId="22278" xr:uid="{00000000-0005-0000-0000-0000FD140000}"/>
    <cellStyle name="Calculation 5 5 9 3" xfId="17492" xr:uid="{00000000-0005-0000-0000-0000FE140000}"/>
    <cellStyle name="Calculation 5 6" xfId="1629" xr:uid="{00000000-0005-0000-0000-0000FF140000}"/>
    <cellStyle name="Calculation 5 6 10" xfId="15120" xr:uid="{00000000-0005-0000-0000-000000150000}"/>
    <cellStyle name="Calculation 5 6 10 2" xfId="36531" xr:uid="{00000000-0005-0000-0000-000001150000}"/>
    <cellStyle name="Calculation 5 6 10 3" xfId="16805" xr:uid="{00000000-0005-0000-0000-000002150000}"/>
    <cellStyle name="Calculation 5 6 11" xfId="16536" xr:uid="{00000000-0005-0000-0000-000003150000}"/>
    <cellStyle name="Calculation 5 6 11 2" xfId="37753" xr:uid="{00000000-0005-0000-0000-000004150000}"/>
    <cellStyle name="Calculation 5 6 12" xfId="31201" xr:uid="{00000000-0005-0000-0000-000005150000}"/>
    <cellStyle name="Calculation 5 6 2" xfId="3371" xr:uid="{00000000-0005-0000-0000-000006150000}"/>
    <cellStyle name="Calculation 5 6 2 10" xfId="15185" xr:uid="{00000000-0005-0000-0000-000007150000}"/>
    <cellStyle name="Calculation 5 6 2 10 2" xfId="36593" xr:uid="{00000000-0005-0000-0000-000008150000}"/>
    <cellStyle name="Calculation 5 6 2 11" xfId="31431" xr:uid="{00000000-0005-0000-0000-000009150000}"/>
    <cellStyle name="Calculation 5 6 2 2" xfId="5509" xr:uid="{00000000-0005-0000-0000-00000A150000}"/>
    <cellStyle name="Calculation 5 6 2 2 2" xfId="23962" xr:uid="{00000000-0005-0000-0000-00000B150000}"/>
    <cellStyle name="Calculation 5 6 2 2 3" xfId="19097" xr:uid="{00000000-0005-0000-0000-00000C150000}"/>
    <cellStyle name="Calculation 5 6 2 3" xfId="5031" xr:uid="{00000000-0005-0000-0000-00000D150000}"/>
    <cellStyle name="Calculation 5 6 2 3 2" xfId="23491" xr:uid="{00000000-0005-0000-0000-00000E150000}"/>
    <cellStyle name="Calculation 5 6 2 3 3" xfId="18645" xr:uid="{00000000-0005-0000-0000-00000F150000}"/>
    <cellStyle name="Calculation 5 6 2 4" xfId="6104" xr:uid="{00000000-0005-0000-0000-000010150000}"/>
    <cellStyle name="Calculation 5 6 2 4 2" xfId="24545" xr:uid="{00000000-0005-0000-0000-000011150000}"/>
    <cellStyle name="Calculation 5 6 2 4 3" xfId="19654" xr:uid="{00000000-0005-0000-0000-000012150000}"/>
    <cellStyle name="Calculation 5 6 2 5" xfId="7545" xr:uid="{00000000-0005-0000-0000-000013150000}"/>
    <cellStyle name="Calculation 5 6 2 5 2" xfId="25975" xr:uid="{00000000-0005-0000-0000-000014150000}"/>
    <cellStyle name="Calculation 5 6 2 5 3" xfId="20900" xr:uid="{00000000-0005-0000-0000-000015150000}"/>
    <cellStyle name="Calculation 5 6 2 6" xfId="7918" xr:uid="{00000000-0005-0000-0000-000016150000}"/>
    <cellStyle name="Calculation 5 6 2 6 2" xfId="26348" xr:uid="{00000000-0005-0000-0000-000017150000}"/>
    <cellStyle name="Calculation 5 6 2 6 3" xfId="21272" xr:uid="{00000000-0005-0000-0000-000018150000}"/>
    <cellStyle name="Calculation 5 6 2 7" xfId="8640" xr:uid="{00000000-0005-0000-0000-000019150000}"/>
    <cellStyle name="Calculation 5 6 2 7 2" xfId="27062" xr:uid="{00000000-0005-0000-0000-00001A150000}"/>
    <cellStyle name="Calculation 5 6 2 7 3" xfId="21931" xr:uid="{00000000-0005-0000-0000-00001B150000}"/>
    <cellStyle name="Calculation 5 6 2 8" xfId="4132" xr:uid="{00000000-0005-0000-0000-00001C150000}"/>
    <cellStyle name="Calculation 5 6 2 8 2" xfId="22598" xr:uid="{00000000-0005-0000-0000-00001D150000}"/>
    <cellStyle name="Calculation 5 6 2 8 3" xfId="17814" xr:uid="{00000000-0005-0000-0000-00001E150000}"/>
    <cellStyle name="Calculation 5 6 2 9" xfId="15121" xr:uid="{00000000-0005-0000-0000-00001F150000}"/>
    <cellStyle name="Calculation 5 6 2 9 2" xfId="36532" xr:uid="{00000000-0005-0000-0000-000020150000}"/>
    <cellStyle name="Calculation 5 6 2 9 3" xfId="17141" xr:uid="{00000000-0005-0000-0000-000021150000}"/>
    <cellStyle name="Calculation 5 6 3" xfId="4632" xr:uid="{00000000-0005-0000-0000-000022150000}"/>
    <cellStyle name="Calculation 5 6 3 2" xfId="23092" xr:uid="{00000000-0005-0000-0000-000023150000}"/>
    <cellStyle name="Calculation 5 6 3 3" xfId="18308" xr:uid="{00000000-0005-0000-0000-000024150000}"/>
    <cellStyle name="Calculation 5 6 4" xfId="4488" xr:uid="{00000000-0005-0000-0000-000025150000}"/>
    <cellStyle name="Calculation 5 6 4 2" xfId="22948" xr:uid="{00000000-0005-0000-0000-000026150000}"/>
    <cellStyle name="Calculation 5 6 4 3" xfId="18167" xr:uid="{00000000-0005-0000-0000-000027150000}"/>
    <cellStyle name="Calculation 5 6 5" xfId="6741" xr:uid="{00000000-0005-0000-0000-000028150000}"/>
    <cellStyle name="Calculation 5 6 5 2" xfId="25179" xr:uid="{00000000-0005-0000-0000-000029150000}"/>
    <cellStyle name="Calculation 5 6 5 3" xfId="20171" xr:uid="{00000000-0005-0000-0000-00002A150000}"/>
    <cellStyle name="Calculation 5 6 6" xfId="5956" xr:uid="{00000000-0005-0000-0000-00002B150000}"/>
    <cellStyle name="Calculation 5 6 6 2" xfId="24397" xr:uid="{00000000-0005-0000-0000-00002C150000}"/>
    <cellStyle name="Calculation 5 6 6 3" xfId="19507" xr:uid="{00000000-0005-0000-0000-00002D150000}"/>
    <cellStyle name="Calculation 5 6 7" xfId="7084" xr:uid="{00000000-0005-0000-0000-00002E150000}"/>
    <cellStyle name="Calculation 5 6 7 2" xfId="25518" xr:uid="{00000000-0005-0000-0000-00002F150000}"/>
    <cellStyle name="Calculation 5 6 7 3" xfId="20449" xr:uid="{00000000-0005-0000-0000-000030150000}"/>
    <cellStyle name="Calculation 5 6 8" xfId="8259" xr:uid="{00000000-0005-0000-0000-000031150000}"/>
    <cellStyle name="Calculation 5 6 8 2" xfId="26684" xr:uid="{00000000-0005-0000-0000-000032150000}"/>
    <cellStyle name="Calculation 5 6 8 3" xfId="21610" xr:uid="{00000000-0005-0000-0000-000033150000}"/>
    <cellStyle name="Calculation 5 6 9" xfId="3810" xr:uid="{00000000-0005-0000-0000-000034150000}"/>
    <cellStyle name="Calculation 5 6 9 2" xfId="22279" xr:uid="{00000000-0005-0000-0000-000035150000}"/>
    <cellStyle name="Calculation 5 6 9 3" xfId="17493" xr:uid="{00000000-0005-0000-0000-000036150000}"/>
    <cellStyle name="Calculation 5 7" xfId="1630" xr:uid="{00000000-0005-0000-0000-000037150000}"/>
    <cellStyle name="Calculation 5 7 10" xfId="15721" xr:uid="{00000000-0005-0000-0000-000038150000}"/>
    <cellStyle name="Calculation 5 7 10 2" xfId="37086" xr:uid="{00000000-0005-0000-0000-000039150000}"/>
    <cellStyle name="Calculation 5 7 10 3" xfId="16806" xr:uid="{00000000-0005-0000-0000-00003A150000}"/>
    <cellStyle name="Calculation 5 7 11" xfId="15559" xr:uid="{00000000-0005-0000-0000-00003B150000}"/>
    <cellStyle name="Calculation 5 7 11 2" xfId="36937" xr:uid="{00000000-0005-0000-0000-00003C150000}"/>
    <cellStyle name="Calculation 5 7 12" xfId="31202" xr:uid="{00000000-0005-0000-0000-00003D150000}"/>
    <cellStyle name="Calculation 5 7 2" xfId="3372" xr:uid="{00000000-0005-0000-0000-00003E150000}"/>
    <cellStyle name="Calculation 5 7 2 10" xfId="15558" xr:uid="{00000000-0005-0000-0000-00003F150000}"/>
    <cellStyle name="Calculation 5 7 2 10 2" xfId="36936" xr:uid="{00000000-0005-0000-0000-000040150000}"/>
    <cellStyle name="Calculation 5 7 2 11" xfId="31432" xr:uid="{00000000-0005-0000-0000-000041150000}"/>
    <cellStyle name="Calculation 5 7 2 2" xfId="5510" xr:uid="{00000000-0005-0000-0000-000042150000}"/>
    <cellStyle name="Calculation 5 7 2 2 2" xfId="23963" xr:uid="{00000000-0005-0000-0000-000043150000}"/>
    <cellStyle name="Calculation 5 7 2 2 3" xfId="19098" xr:uid="{00000000-0005-0000-0000-000044150000}"/>
    <cellStyle name="Calculation 5 7 2 3" xfId="5032" xr:uid="{00000000-0005-0000-0000-000045150000}"/>
    <cellStyle name="Calculation 5 7 2 3 2" xfId="23492" xr:uid="{00000000-0005-0000-0000-000046150000}"/>
    <cellStyle name="Calculation 5 7 2 3 3" xfId="18646" xr:uid="{00000000-0005-0000-0000-000047150000}"/>
    <cellStyle name="Calculation 5 7 2 4" xfId="6103" xr:uid="{00000000-0005-0000-0000-000048150000}"/>
    <cellStyle name="Calculation 5 7 2 4 2" xfId="24544" xr:uid="{00000000-0005-0000-0000-000049150000}"/>
    <cellStyle name="Calculation 5 7 2 4 3" xfId="19653" xr:uid="{00000000-0005-0000-0000-00004A150000}"/>
    <cellStyle name="Calculation 5 7 2 5" xfId="7546" xr:uid="{00000000-0005-0000-0000-00004B150000}"/>
    <cellStyle name="Calculation 5 7 2 5 2" xfId="25976" xr:uid="{00000000-0005-0000-0000-00004C150000}"/>
    <cellStyle name="Calculation 5 7 2 5 3" xfId="20901" xr:uid="{00000000-0005-0000-0000-00004D150000}"/>
    <cellStyle name="Calculation 5 7 2 6" xfId="7919" xr:uid="{00000000-0005-0000-0000-00004E150000}"/>
    <cellStyle name="Calculation 5 7 2 6 2" xfId="26349" xr:uid="{00000000-0005-0000-0000-00004F150000}"/>
    <cellStyle name="Calculation 5 7 2 6 3" xfId="21273" xr:uid="{00000000-0005-0000-0000-000050150000}"/>
    <cellStyle name="Calculation 5 7 2 7" xfId="8641" xr:uid="{00000000-0005-0000-0000-000051150000}"/>
    <cellStyle name="Calculation 5 7 2 7 2" xfId="27063" xr:uid="{00000000-0005-0000-0000-000052150000}"/>
    <cellStyle name="Calculation 5 7 2 7 3" xfId="21932" xr:uid="{00000000-0005-0000-0000-000053150000}"/>
    <cellStyle name="Calculation 5 7 2 8" xfId="4133" xr:uid="{00000000-0005-0000-0000-000054150000}"/>
    <cellStyle name="Calculation 5 7 2 8 2" xfId="22599" xr:uid="{00000000-0005-0000-0000-000055150000}"/>
    <cellStyle name="Calculation 5 7 2 8 3" xfId="17815" xr:uid="{00000000-0005-0000-0000-000056150000}"/>
    <cellStyle name="Calculation 5 7 2 9" xfId="14478" xr:uid="{00000000-0005-0000-0000-000057150000}"/>
    <cellStyle name="Calculation 5 7 2 9 2" xfId="36006" xr:uid="{00000000-0005-0000-0000-000058150000}"/>
    <cellStyle name="Calculation 5 7 2 9 3" xfId="17142" xr:uid="{00000000-0005-0000-0000-000059150000}"/>
    <cellStyle name="Calculation 5 7 3" xfId="4633" xr:uid="{00000000-0005-0000-0000-00005A150000}"/>
    <cellStyle name="Calculation 5 7 3 2" xfId="23093" xr:uid="{00000000-0005-0000-0000-00005B150000}"/>
    <cellStyle name="Calculation 5 7 3 3" xfId="18309" xr:uid="{00000000-0005-0000-0000-00005C150000}"/>
    <cellStyle name="Calculation 5 7 4" xfId="4489" xr:uid="{00000000-0005-0000-0000-00005D150000}"/>
    <cellStyle name="Calculation 5 7 4 2" xfId="22949" xr:uid="{00000000-0005-0000-0000-00005E150000}"/>
    <cellStyle name="Calculation 5 7 4 3" xfId="18168" xr:uid="{00000000-0005-0000-0000-00005F150000}"/>
    <cellStyle name="Calculation 5 7 5" xfId="6740" xr:uid="{00000000-0005-0000-0000-000060150000}"/>
    <cellStyle name="Calculation 5 7 5 2" xfId="25178" xr:uid="{00000000-0005-0000-0000-000061150000}"/>
    <cellStyle name="Calculation 5 7 5 3" xfId="20170" xr:uid="{00000000-0005-0000-0000-000062150000}"/>
    <cellStyle name="Calculation 5 7 6" xfId="5957" xr:uid="{00000000-0005-0000-0000-000063150000}"/>
    <cellStyle name="Calculation 5 7 6 2" xfId="24398" xr:uid="{00000000-0005-0000-0000-000064150000}"/>
    <cellStyle name="Calculation 5 7 6 3" xfId="19508" xr:uid="{00000000-0005-0000-0000-000065150000}"/>
    <cellStyle name="Calculation 5 7 7" xfId="6898" xr:uid="{00000000-0005-0000-0000-000066150000}"/>
    <cellStyle name="Calculation 5 7 7 2" xfId="25336" xr:uid="{00000000-0005-0000-0000-000067150000}"/>
    <cellStyle name="Calculation 5 7 7 3" xfId="20279" xr:uid="{00000000-0005-0000-0000-000068150000}"/>
    <cellStyle name="Calculation 5 7 8" xfId="8260" xr:uid="{00000000-0005-0000-0000-000069150000}"/>
    <cellStyle name="Calculation 5 7 8 2" xfId="26685" xr:uid="{00000000-0005-0000-0000-00006A150000}"/>
    <cellStyle name="Calculation 5 7 8 3" xfId="21611" xr:uid="{00000000-0005-0000-0000-00006B150000}"/>
    <cellStyle name="Calculation 5 7 9" xfId="3811" xr:uid="{00000000-0005-0000-0000-00006C150000}"/>
    <cellStyle name="Calculation 5 7 9 2" xfId="22280" xr:uid="{00000000-0005-0000-0000-00006D150000}"/>
    <cellStyle name="Calculation 5 7 9 3" xfId="17494" xr:uid="{00000000-0005-0000-0000-00006E150000}"/>
    <cellStyle name="Calculation 5 8" xfId="1631" xr:uid="{00000000-0005-0000-0000-00006F150000}"/>
    <cellStyle name="Calculation 5 8 10" xfId="15122" xr:uid="{00000000-0005-0000-0000-000070150000}"/>
    <cellStyle name="Calculation 5 8 10 2" xfId="36533" xr:uid="{00000000-0005-0000-0000-000071150000}"/>
    <cellStyle name="Calculation 5 8 10 3" xfId="16807" xr:uid="{00000000-0005-0000-0000-000072150000}"/>
    <cellStyle name="Calculation 5 8 11" xfId="15568" xr:uid="{00000000-0005-0000-0000-000073150000}"/>
    <cellStyle name="Calculation 5 8 11 2" xfId="36945" xr:uid="{00000000-0005-0000-0000-000074150000}"/>
    <cellStyle name="Calculation 5 8 12" xfId="31203" xr:uid="{00000000-0005-0000-0000-000075150000}"/>
    <cellStyle name="Calculation 5 8 2" xfId="3373" xr:uid="{00000000-0005-0000-0000-000076150000}"/>
    <cellStyle name="Calculation 5 8 2 10" xfId="14547" xr:uid="{00000000-0005-0000-0000-000077150000}"/>
    <cellStyle name="Calculation 5 8 2 10 2" xfId="36070" xr:uid="{00000000-0005-0000-0000-000078150000}"/>
    <cellStyle name="Calculation 5 8 2 11" xfId="31433" xr:uid="{00000000-0005-0000-0000-000079150000}"/>
    <cellStyle name="Calculation 5 8 2 2" xfId="5511" xr:uid="{00000000-0005-0000-0000-00007A150000}"/>
    <cellStyle name="Calculation 5 8 2 2 2" xfId="23964" xr:uid="{00000000-0005-0000-0000-00007B150000}"/>
    <cellStyle name="Calculation 5 8 2 2 3" xfId="19099" xr:uid="{00000000-0005-0000-0000-00007C150000}"/>
    <cellStyle name="Calculation 5 8 2 3" xfId="5033" xr:uid="{00000000-0005-0000-0000-00007D150000}"/>
    <cellStyle name="Calculation 5 8 2 3 2" xfId="23493" xr:uid="{00000000-0005-0000-0000-00007E150000}"/>
    <cellStyle name="Calculation 5 8 2 3 3" xfId="18647" xr:uid="{00000000-0005-0000-0000-00007F150000}"/>
    <cellStyle name="Calculation 5 8 2 4" xfId="6102" xr:uid="{00000000-0005-0000-0000-000080150000}"/>
    <cellStyle name="Calculation 5 8 2 4 2" xfId="24543" xr:uid="{00000000-0005-0000-0000-000081150000}"/>
    <cellStyle name="Calculation 5 8 2 4 3" xfId="19652" xr:uid="{00000000-0005-0000-0000-000082150000}"/>
    <cellStyle name="Calculation 5 8 2 5" xfId="7547" xr:uid="{00000000-0005-0000-0000-000083150000}"/>
    <cellStyle name="Calculation 5 8 2 5 2" xfId="25977" xr:uid="{00000000-0005-0000-0000-000084150000}"/>
    <cellStyle name="Calculation 5 8 2 5 3" xfId="20902" xr:uid="{00000000-0005-0000-0000-000085150000}"/>
    <cellStyle name="Calculation 5 8 2 6" xfId="7920" xr:uid="{00000000-0005-0000-0000-000086150000}"/>
    <cellStyle name="Calculation 5 8 2 6 2" xfId="26350" xr:uid="{00000000-0005-0000-0000-000087150000}"/>
    <cellStyle name="Calculation 5 8 2 6 3" xfId="21274" xr:uid="{00000000-0005-0000-0000-000088150000}"/>
    <cellStyle name="Calculation 5 8 2 7" xfId="8642" xr:uid="{00000000-0005-0000-0000-000089150000}"/>
    <cellStyle name="Calculation 5 8 2 7 2" xfId="27064" xr:uid="{00000000-0005-0000-0000-00008A150000}"/>
    <cellStyle name="Calculation 5 8 2 7 3" xfId="21933" xr:uid="{00000000-0005-0000-0000-00008B150000}"/>
    <cellStyle name="Calculation 5 8 2 8" xfId="4134" xr:uid="{00000000-0005-0000-0000-00008C150000}"/>
    <cellStyle name="Calculation 5 8 2 8 2" xfId="22600" xr:uid="{00000000-0005-0000-0000-00008D150000}"/>
    <cellStyle name="Calculation 5 8 2 8 3" xfId="17816" xr:uid="{00000000-0005-0000-0000-00008E150000}"/>
    <cellStyle name="Calculation 5 8 2 9" xfId="14479" xr:uid="{00000000-0005-0000-0000-00008F150000}"/>
    <cellStyle name="Calculation 5 8 2 9 2" xfId="36007" xr:uid="{00000000-0005-0000-0000-000090150000}"/>
    <cellStyle name="Calculation 5 8 2 9 3" xfId="17143" xr:uid="{00000000-0005-0000-0000-000091150000}"/>
    <cellStyle name="Calculation 5 8 3" xfId="4634" xr:uid="{00000000-0005-0000-0000-000092150000}"/>
    <cellStyle name="Calculation 5 8 3 2" xfId="23094" xr:uid="{00000000-0005-0000-0000-000093150000}"/>
    <cellStyle name="Calculation 5 8 3 3" xfId="18310" xr:uid="{00000000-0005-0000-0000-000094150000}"/>
    <cellStyle name="Calculation 5 8 4" xfId="4490" xr:uid="{00000000-0005-0000-0000-000095150000}"/>
    <cellStyle name="Calculation 5 8 4 2" xfId="22950" xr:uid="{00000000-0005-0000-0000-000096150000}"/>
    <cellStyle name="Calculation 5 8 4 3" xfId="18169" xr:uid="{00000000-0005-0000-0000-000097150000}"/>
    <cellStyle name="Calculation 5 8 5" xfId="6739" xr:uid="{00000000-0005-0000-0000-000098150000}"/>
    <cellStyle name="Calculation 5 8 5 2" xfId="25177" xr:uid="{00000000-0005-0000-0000-000099150000}"/>
    <cellStyle name="Calculation 5 8 5 3" xfId="20169" xr:uid="{00000000-0005-0000-0000-00009A150000}"/>
    <cellStyle name="Calculation 5 8 6" xfId="5958" xr:uid="{00000000-0005-0000-0000-00009B150000}"/>
    <cellStyle name="Calculation 5 8 6 2" xfId="24399" xr:uid="{00000000-0005-0000-0000-00009C150000}"/>
    <cellStyle name="Calculation 5 8 6 3" xfId="19509" xr:uid="{00000000-0005-0000-0000-00009D150000}"/>
    <cellStyle name="Calculation 5 8 7" xfId="7083" xr:uid="{00000000-0005-0000-0000-00009E150000}"/>
    <cellStyle name="Calculation 5 8 7 2" xfId="25517" xr:uid="{00000000-0005-0000-0000-00009F150000}"/>
    <cellStyle name="Calculation 5 8 7 3" xfId="20448" xr:uid="{00000000-0005-0000-0000-0000A0150000}"/>
    <cellStyle name="Calculation 5 8 8" xfId="8261" xr:uid="{00000000-0005-0000-0000-0000A1150000}"/>
    <cellStyle name="Calculation 5 8 8 2" xfId="26686" xr:uid="{00000000-0005-0000-0000-0000A2150000}"/>
    <cellStyle name="Calculation 5 8 8 3" xfId="21612" xr:uid="{00000000-0005-0000-0000-0000A3150000}"/>
    <cellStyle name="Calculation 5 8 9" xfId="3812" xr:uid="{00000000-0005-0000-0000-0000A4150000}"/>
    <cellStyle name="Calculation 5 8 9 2" xfId="22281" xr:uid="{00000000-0005-0000-0000-0000A5150000}"/>
    <cellStyle name="Calculation 5 8 9 3" xfId="17495" xr:uid="{00000000-0005-0000-0000-0000A6150000}"/>
    <cellStyle name="Calculation 5 9" xfId="1632" xr:uid="{00000000-0005-0000-0000-0000A7150000}"/>
    <cellStyle name="Calculation 5 9 10" xfId="15123" xr:uid="{00000000-0005-0000-0000-0000A8150000}"/>
    <cellStyle name="Calculation 5 9 10 2" xfId="36534" xr:uid="{00000000-0005-0000-0000-0000A9150000}"/>
    <cellStyle name="Calculation 5 9 10 3" xfId="16808" xr:uid="{00000000-0005-0000-0000-0000AA150000}"/>
    <cellStyle name="Calculation 5 9 11" xfId="16076" xr:uid="{00000000-0005-0000-0000-0000AB150000}"/>
    <cellStyle name="Calculation 5 9 11 2" xfId="37398" xr:uid="{00000000-0005-0000-0000-0000AC150000}"/>
    <cellStyle name="Calculation 5 9 12" xfId="31204" xr:uid="{00000000-0005-0000-0000-0000AD150000}"/>
    <cellStyle name="Calculation 5 9 2" xfId="3374" xr:uid="{00000000-0005-0000-0000-0000AE150000}"/>
    <cellStyle name="Calculation 5 9 2 10" xfId="16538" xr:uid="{00000000-0005-0000-0000-0000AF150000}"/>
    <cellStyle name="Calculation 5 9 2 10 2" xfId="37755" xr:uid="{00000000-0005-0000-0000-0000B0150000}"/>
    <cellStyle name="Calculation 5 9 2 11" xfId="31434" xr:uid="{00000000-0005-0000-0000-0000B1150000}"/>
    <cellStyle name="Calculation 5 9 2 2" xfId="5512" xr:uid="{00000000-0005-0000-0000-0000B2150000}"/>
    <cellStyle name="Calculation 5 9 2 2 2" xfId="23965" xr:uid="{00000000-0005-0000-0000-0000B3150000}"/>
    <cellStyle name="Calculation 5 9 2 2 3" xfId="19100" xr:uid="{00000000-0005-0000-0000-0000B4150000}"/>
    <cellStyle name="Calculation 5 9 2 3" xfId="5034" xr:uid="{00000000-0005-0000-0000-0000B5150000}"/>
    <cellStyle name="Calculation 5 9 2 3 2" xfId="23494" xr:uid="{00000000-0005-0000-0000-0000B6150000}"/>
    <cellStyle name="Calculation 5 9 2 3 3" xfId="18648" xr:uid="{00000000-0005-0000-0000-0000B7150000}"/>
    <cellStyle name="Calculation 5 9 2 4" xfId="6101" xr:uid="{00000000-0005-0000-0000-0000B8150000}"/>
    <cellStyle name="Calculation 5 9 2 4 2" xfId="24542" xr:uid="{00000000-0005-0000-0000-0000B9150000}"/>
    <cellStyle name="Calculation 5 9 2 4 3" xfId="19651" xr:uid="{00000000-0005-0000-0000-0000BA150000}"/>
    <cellStyle name="Calculation 5 9 2 5" xfId="7548" xr:uid="{00000000-0005-0000-0000-0000BB150000}"/>
    <cellStyle name="Calculation 5 9 2 5 2" xfId="25978" xr:uid="{00000000-0005-0000-0000-0000BC150000}"/>
    <cellStyle name="Calculation 5 9 2 5 3" xfId="20903" xr:uid="{00000000-0005-0000-0000-0000BD150000}"/>
    <cellStyle name="Calculation 5 9 2 6" xfId="7921" xr:uid="{00000000-0005-0000-0000-0000BE150000}"/>
    <cellStyle name="Calculation 5 9 2 6 2" xfId="26351" xr:uid="{00000000-0005-0000-0000-0000BF150000}"/>
    <cellStyle name="Calculation 5 9 2 6 3" xfId="21275" xr:uid="{00000000-0005-0000-0000-0000C0150000}"/>
    <cellStyle name="Calculation 5 9 2 7" xfId="8643" xr:uid="{00000000-0005-0000-0000-0000C1150000}"/>
    <cellStyle name="Calculation 5 9 2 7 2" xfId="27065" xr:uid="{00000000-0005-0000-0000-0000C2150000}"/>
    <cellStyle name="Calculation 5 9 2 7 3" xfId="21934" xr:uid="{00000000-0005-0000-0000-0000C3150000}"/>
    <cellStyle name="Calculation 5 9 2 8" xfId="4135" xr:uid="{00000000-0005-0000-0000-0000C4150000}"/>
    <cellStyle name="Calculation 5 9 2 8 2" xfId="22601" xr:uid="{00000000-0005-0000-0000-0000C5150000}"/>
    <cellStyle name="Calculation 5 9 2 8 3" xfId="17817" xr:uid="{00000000-0005-0000-0000-0000C6150000}"/>
    <cellStyle name="Calculation 5 9 2 9" xfId="14480" xr:uid="{00000000-0005-0000-0000-0000C7150000}"/>
    <cellStyle name="Calculation 5 9 2 9 2" xfId="36008" xr:uid="{00000000-0005-0000-0000-0000C8150000}"/>
    <cellStyle name="Calculation 5 9 2 9 3" xfId="17144" xr:uid="{00000000-0005-0000-0000-0000C9150000}"/>
    <cellStyle name="Calculation 5 9 3" xfId="4635" xr:uid="{00000000-0005-0000-0000-0000CA150000}"/>
    <cellStyle name="Calculation 5 9 3 2" xfId="23095" xr:uid="{00000000-0005-0000-0000-0000CB150000}"/>
    <cellStyle name="Calculation 5 9 3 3" xfId="18311" xr:uid="{00000000-0005-0000-0000-0000CC150000}"/>
    <cellStyle name="Calculation 5 9 4" xfId="4491" xr:uid="{00000000-0005-0000-0000-0000CD150000}"/>
    <cellStyle name="Calculation 5 9 4 2" xfId="22951" xr:uid="{00000000-0005-0000-0000-0000CE150000}"/>
    <cellStyle name="Calculation 5 9 4 3" xfId="18170" xr:uid="{00000000-0005-0000-0000-0000CF150000}"/>
    <cellStyle name="Calculation 5 9 5" xfId="6738" xr:uid="{00000000-0005-0000-0000-0000D0150000}"/>
    <cellStyle name="Calculation 5 9 5 2" xfId="25176" xr:uid="{00000000-0005-0000-0000-0000D1150000}"/>
    <cellStyle name="Calculation 5 9 5 3" xfId="20168" xr:uid="{00000000-0005-0000-0000-0000D2150000}"/>
    <cellStyle name="Calculation 5 9 6" xfId="5959" xr:uid="{00000000-0005-0000-0000-0000D3150000}"/>
    <cellStyle name="Calculation 5 9 6 2" xfId="24400" xr:uid="{00000000-0005-0000-0000-0000D4150000}"/>
    <cellStyle name="Calculation 5 9 6 3" xfId="19510" xr:uid="{00000000-0005-0000-0000-0000D5150000}"/>
    <cellStyle name="Calculation 5 9 7" xfId="6897" xr:uid="{00000000-0005-0000-0000-0000D6150000}"/>
    <cellStyle name="Calculation 5 9 7 2" xfId="25335" xr:uid="{00000000-0005-0000-0000-0000D7150000}"/>
    <cellStyle name="Calculation 5 9 7 3" xfId="20278" xr:uid="{00000000-0005-0000-0000-0000D8150000}"/>
    <cellStyle name="Calculation 5 9 8" xfId="8262" xr:uid="{00000000-0005-0000-0000-0000D9150000}"/>
    <cellStyle name="Calculation 5 9 8 2" xfId="26687" xr:uid="{00000000-0005-0000-0000-0000DA150000}"/>
    <cellStyle name="Calculation 5 9 8 3" xfId="21613" xr:uid="{00000000-0005-0000-0000-0000DB150000}"/>
    <cellStyle name="Calculation 5 9 9" xfId="3813" xr:uid="{00000000-0005-0000-0000-0000DC150000}"/>
    <cellStyle name="Calculation 5 9 9 2" xfId="22282" xr:uid="{00000000-0005-0000-0000-0000DD150000}"/>
    <cellStyle name="Calculation 5 9 9 3" xfId="17496" xr:uid="{00000000-0005-0000-0000-0000DE150000}"/>
    <cellStyle name="Calculation 6" xfId="1633" xr:uid="{00000000-0005-0000-0000-0000DF150000}"/>
    <cellStyle name="Calculation 6 10" xfId="1634" xr:uid="{00000000-0005-0000-0000-0000E0150000}"/>
    <cellStyle name="Calculation 6 10 10" xfId="14481" xr:uid="{00000000-0005-0000-0000-0000E1150000}"/>
    <cellStyle name="Calculation 6 10 10 2" xfId="36009" xr:uid="{00000000-0005-0000-0000-0000E2150000}"/>
    <cellStyle name="Calculation 6 10 10 3" xfId="16810" xr:uid="{00000000-0005-0000-0000-0000E3150000}"/>
    <cellStyle name="Calculation 6 10 11" xfId="16128" xr:uid="{00000000-0005-0000-0000-0000E4150000}"/>
    <cellStyle name="Calculation 6 10 11 2" xfId="37449" xr:uid="{00000000-0005-0000-0000-0000E5150000}"/>
    <cellStyle name="Calculation 6 10 12" xfId="31206" xr:uid="{00000000-0005-0000-0000-0000E6150000}"/>
    <cellStyle name="Calculation 6 10 2" xfId="3376" xr:uid="{00000000-0005-0000-0000-0000E7150000}"/>
    <cellStyle name="Calculation 6 10 2 10" xfId="16037" xr:uid="{00000000-0005-0000-0000-0000E8150000}"/>
    <cellStyle name="Calculation 6 10 2 10 2" xfId="37378" xr:uid="{00000000-0005-0000-0000-0000E9150000}"/>
    <cellStyle name="Calculation 6 10 2 11" xfId="31436" xr:uid="{00000000-0005-0000-0000-0000EA150000}"/>
    <cellStyle name="Calculation 6 10 2 2" xfId="5514" xr:uid="{00000000-0005-0000-0000-0000EB150000}"/>
    <cellStyle name="Calculation 6 10 2 2 2" xfId="23967" xr:uid="{00000000-0005-0000-0000-0000EC150000}"/>
    <cellStyle name="Calculation 6 10 2 2 3" xfId="19102" xr:uid="{00000000-0005-0000-0000-0000ED150000}"/>
    <cellStyle name="Calculation 6 10 2 3" xfId="5036" xr:uid="{00000000-0005-0000-0000-0000EE150000}"/>
    <cellStyle name="Calculation 6 10 2 3 2" xfId="23496" xr:uid="{00000000-0005-0000-0000-0000EF150000}"/>
    <cellStyle name="Calculation 6 10 2 3 3" xfId="18650" xr:uid="{00000000-0005-0000-0000-0000F0150000}"/>
    <cellStyle name="Calculation 6 10 2 4" xfId="6099" xr:uid="{00000000-0005-0000-0000-0000F1150000}"/>
    <cellStyle name="Calculation 6 10 2 4 2" xfId="24540" xr:uid="{00000000-0005-0000-0000-0000F2150000}"/>
    <cellStyle name="Calculation 6 10 2 4 3" xfId="19649" xr:uid="{00000000-0005-0000-0000-0000F3150000}"/>
    <cellStyle name="Calculation 6 10 2 5" xfId="7550" xr:uid="{00000000-0005-0000-0000-0000F4150000}"/>
    <cellStyle name="Calculation 6 10 2 5 2" xfId="25980" xr:uid="{00000000-0005-0000-0000-0000F5150000}"/>
    <cellStyle name="Calculation 6 10 2 5 3" xfId="20905" xr:uid="{00000000-0005-0000-0000-0000F6150000}"/>
    <cellStyle name="Calculation 6 10 2 6" xfId="7923" xr:uid="{00000000-0005-0000-0000-0000F7150000}"/>
    <cellStyle name="Calculation 6 10 2 6 2" xfId="26353" xr:uid="{00000000-0005-0000-0000-0000F8150000}"/>
    <cellStyle name="Calculation 6 10 2 6 3" xfId="21277" xr:uid="{00000000-0005-0000-0000-0000F9150000}"/>
    <cellStyle name="Calculation 6 10 2 7" xfId="8645" xr:uid="{00000000-0005-0000-0000-0000FA150000}"/>
    <cellStyle name="Calculation 6 10 2 7 2" xfId="27067" xr:uid="{00000000-0005-0000-0000-0000FB150000}"/>
    <cellStyle name="Calculation 6 10 2 7 3" xfId="21936" xr:uid="{00000000-0005-0000-0000-0000FC150000}"/>
    <cellStyle name="Calculation 6 10 2 8" xfId="4137" xr:uid="{00000000-0005-0000-0000-0000FD150000}"/>
    <cellStyle name="Calculation 6 10 2 8 2" xfId="22603" xr:uid="{00000000-0005-0000-0000-0000FE150000}"/>
    <cellStyle name="Calculation 6 10 2 8 3" xfId="17819" xr:uid="{00000000-0005-0000-0000-0000FF150000}"/>
    <cellStyle name="Calculation 6 10 2 9" xfId="15125" xr:uid="{00000000-0005-0000-0000-000000160000}"/>
    <cellStyle name="Calculation 6 10 2 9 2" xfId="36536" xr:uid="{00000000-0005-0000-0000-000001160000}"/>
    <cellStyle name="Calculation 6 10 2 9 3" xfId="17146" xr:uid="{00000000-0005-0000-0000-000002160000}"/>
    <cellStyle name="Calculation 6 10 3" xfId="4637" xr:uid="{00000000-0005-0000-0000-000003160000}"/>
    <cellStyle name="Calculation 6 10 3 2" xfId="23097" xr:uid="{00000000-0005-0000-0000-000004160000}"/>
    <cellStyle name="Calculation 6 10 3 3" xfId="18313" xr:uid="{00000000-0005-0000-0000-000005160000}"/>
    <cellStyle name="Calculation 6 10 4" xfId="4493" xr:uid="{00000000-0005-0000-0000-000006160000}"/>
    <cellStyle name="Calculation 6 10 4 2" xfId="22953" xr:uid="{00000000-0005-0000-0000-000007160000}"/>
    <cellStyle name="Calculation 6 10 4 3" xfId="18172" xr:uid="{00000000-0005-0000-0000-000008160000}"/>
    <cellStyle name="Calculation 6 10 5" xfId="6736" xr:uid="{00000000-0005-0000-0000-000009160000}"/>
    <cellStyle name="Calculation 6 10 5 2" xfId="25174" xr:uid="{00000000-0005-0000-0000-00000A160000}"/>
    <cellStyle name="Calculation 6 10 5 3" xfId="20166" xr:uid="{00000000-0005-0000-0000-00000B160000}"/>
    <cellStyle name="Calculation 6 10 6" xfId="5961" xr:uid="{00000000-0005-0000-0000-00000C160000}"/>
    <cellStyle name="Calculation 6 10 6 2" xfId="24402" xr:uid="{00000000-0005-0000-0000-00000D160000}"/>
    <cellStyle name="Calculation 6 10 6 3" xfId="19512" xr:uid="{00000000-0005-0000-0000-00000E160000}"/>
    <cellStyle name="Calculation 6 10 7" xfId="6896" xr:uid="{00000000-0005-0000-0000-00000F160000}"/>
    <cellStyle name="Calculation 6 10 7 2" xfId="25334" xr:uid="{00000000-0005-0000-0000-000010160000}"/>
    <cellStyle name="Calculation 6 10 7 3" xfId="20277" xr:uid="{00000000-0005-0000-0000-000011160000}"/>
    <cellStyle name="Calculation 6 10 8" xfId="8264" xr:uid="{00000000-0005-0000-0000-000012160000}"/>
    <cellStyle name="Calculation 6 10 8 2" xfId="26689" xr:uid="{00000000-0005-0000-0000-000013160000}"/>
    <cellStyle name="Calculation 6 10 8 3" xfId="21615" xr:uid="{00000000-0005-0000-0000-000014160000}"/>
    <cellStyle name="Calculation 6 10 9" xfId="3815" xr:uid="{00000000-0005-0000-0000-000015160000}"/>
    <cellStyle name="Calculation 6 10 9 2" xfId="22284" xr:uid="{00000000-0005-0000-0000-000016160000}"/>
    <cellStyle name="Calculation 6 10 9 3" xfId="17498" xr:uid="{00000000-0005-0000-0000-000017160000}"/>
    <cellStyle name="Calculation 6 11" xfId="1635" xr:uid="{00000000-0005-0000-0000-000018160000}"/>
    <cellStyle name="Calculation 6 11 10" xfId="14482" xr:uid="{00000000-0005-0000-0000-000019160000}"/>
    <cellStyle name="Calculation 6 11 10 2" xfId="36010" xr:uid="{00000000-0005-0000-0000-00001A160000}"/>
    <cellStyle name="Calculation 6 11 10 3" xfId="16811" xr:uid="{00000000-0005-0000-0000-00001B160000}"/>
    <cellStyle name="Calculation 6 11 11" xfId="16540" xr:uid="{00000000-0005-0000-0000-00001C160000}"/>
    <cellStyle name="Calculation 6 11 11 2" xfId="37757" xr:uid="{00000000-0005-0000-0000-00001D160000}"/>
    <cellStyle name="Calculation 6 11 12" xfId="31207" xr:uid="{00000000-0005-0000-0000-00001E160000}"/>
    <cellStyle name="Calculation 6 11 2" xfId="3377" xr:uid="{00000000-0005-0000-0000-00001F160000}"/>
    <cellStyle name="Calculation 6 11 2 10" xfId="15050" xr:uid="{00000000-0005-0000-0000-000020160000}"/>
    <cellStyle name="Calculation 6 11 2 10 2" xfId="36466" xr:uid="{00000000-0005-0000-0000-000021160000}"/>
    <cellStyle name="Calculation 6 11 2 11" xfId="31437" xr:uid="{00000000-0005-0000-0000-000022160000}"/>
    <cellStyle name="Calculation 6 11 2 2" xfId="5515" xr:uid="{00000000-0005-0000-0000-000023160000}"/>
    <cellStyle name="Calculation 6 11 2 2 2" xfId="23968" xr:uid="{00000000-0005-0000-0000-000024160000}"/>
    <cellStyle name="Calculation 6 11 2 2 3" xfId="19103" xr:uid="{00000000-0005-0000-0000-000025160000}"/>
    <cellStyle name="Calculation 6 11 2 3" xfId="5037" xr:uid="{00000000-0005-0000-0000-000026160000}"/>
    <cellStyle name="Calculation 6 11 2 3 2" xfId="23497" xr:uid="{00000000-0005-0000-0000-000027160000}"/>
    <cellStyle name="Calculation 6 11 2 3 3" xfId="18651" xr:uid="{00000000-0005-0000-0000-000028160000}"/>
    <cellStyle name="Calculation 6 11 2 4" xfId="6098" xr:uid="{00000000-0005-0000-0000-000029160000}"/>
    <cellStyle name="Calculation 6 11 2 4 2" xfId="24539" xr:uid="{00000000-0005-0000-0000-00002A160000}"/>
    <cellStyle name="Calculation 6 11 2 4 3" xfId="19648" xr:uid="{00000000-0005-0000-0000-00002B160000}"/>
    <cellStyle name="Calculation 6 11 2 5" xfId="7551" xr:uid="{00000000-0005-0000-0000-00002C160000}"/>
    <cellStyle name="Calculation 6 11 2 5 2" xfId="25981" xr:uid="{00000000-0005-0000-0000-00002D160000}"/>
    <cellStyle name="Calculation 6 11 2 5 3" xfId="20906" xr:uid="{00000000-0005-0000-0000-00002E160000}"/>
    <cellStyle name="Calculation 6 11 2 6" xfId="7924" xr:uid="{00000000-0005-0000-0000-00002F160000}"/>
    <cellStyle name="Calculation 6 11 2 6 2" xfId="26354" xr:uid="{00000000-0005-0000-0000-000030160000}"/>
    <cellStyle name="Calculation 6 11 2 6 3" xfId="21278" xr:uid="{00000000-0005-0000-0000-000031160000}"/>
    <cellStyle name="Calculation 6 11 2 7" xfId="8646" xr:uid="{00000000-0005-0000-0000-000032160000}"/>
    <cellStyle name="Calculation 6 11 2 7 2" xfId="27068" xr:uid="{00000000-0005-0000-0000-000033160000}"/>
    <cellStyle name="Calculation 6 11 2 7 3" xfId="21937" xr:uid="{00000000-0005-0000-0000-000034160000}"/>
    <cellStyle name="Calculation 6 11 2 8" xfId="4138" xr:uid="{00000000-0005-0000-0000-000035160000}"/>
    <cellStyle name="Calculation 6 11 2 8 2" xfId="22604" xr:uid="{00000000-0005-0000-0000-000036160000}"/>
    <cellStyle name="Calculation 6 11 2 8 3" xfId="17820" xr:uid="{00000000-0005-0000-0000-000037160000}"/>
    <cellStyle name="Calculation 6 11 2 9" xfId="15126" xr:uid="{00000000-0005-0000-0000-000038160000}"/>
    <cellStyle name="Calculation 6 11 2 9 2" xfId="36537" xr:uid="{00000000-0005-0000-0000-000039160000}"/>
    <cellStyle name="Calculation 6 11 2 9 3" xfId="17147" xr:uid="{00000000-0005-0000-0000-00003A160000}"/>
    <cellStyle name="Calculation 6 11 3" xfId="4638" xr:uid="{00000000-0005-0000-0000-00003B160000}"/>
    <cellStyle name="Calculation 6 11 3 2" xfId="23098" xr:uid="{00000000-0005-0000-0000-00003C160000}"/>
    <cellStyle name="Calculation 6 11 3 3" xfId="18314" xr:uid="{00000000-0005-0000-0000-00003D160000}"/>
    <cellStyle name="Calculation 6 11 4" xfId="4494" xr:uid="{00000000-0005-0000-0000-00003E160000}"/>
    <cellStyle name="Calculation 6 11 4 2" xfId="22954" xr:uid="{00000000-0005-0000-0000-00003F160000}"/>
    <cellStyle name="Calculation 6 11 4 3" xfId="18173" xr:uid="{00000000-0005-0000-0000-000040160000}"/>
    <cellStyle name="Calculation 6 11 5" xfId="6735" xr:uid="{00000000-0005-0000-0000-000041160000}"/>
    <cellStyle name="Calculation 6 11 5 2" xfId="25173" xr:uid="{00000000-0005-0000-0000-000042160000}"/>
    <cellStyle name="Calculation 6 11 5 3" xfId="20165" xr:uid="{00000000-0005-0000-0000-000043160000}"/>
    <cellStyle name="Calculation 6 11 6" xfId="7053" xr:uid="{00000000-0005-0000-0000-000044160000}"/>
    <cellStyle name="Calculation 6 11 6 2" xfId="25490" xr:uid="{00000000-0005-0000-0000-000045160000}"/>
    <cellStyle name="Calculation 6 11 6 3" xfId="20427" xr:uid="{00000000-0005-0000-0000-000046160000}"/>
    <cellStyle name="Calculation 6 11 7" xfId="7079" xr:uid="{00000000-0005-0000-0000-000047160000}"/>
    <cellStyle name="Calculation 6 11 7 2" xfId="25513" xr:uid="{00000000-0005-0000-0000-000048160000}"/>
    <cellStyle name="Calculation 6 11 7 3" xfId="20444" xr:uid="{00000000-0005-0000-0000-000049160000}"/>
    <cellStyle name="Calculation 6 11 8" xfId="8265" xr:uid="{00000000-0005-0000-0000-00004A160000}"/>
    <cellStyle name="Calculation 6 11 8 2" xfId="26690" xr:uid="{00000000-0005-0000-0000-00004B160000}"/>
    <cellStyle name="Calculation 6 11 8 3" xfId="21616" xr:uid="{00000000-0005-0000-0000-00004C160000}"/>
    <cellStyle name="Calculation 6 11 9" xfId="3816" xr:uid="{00000000-0005-0000-0000-00004D160000}"/>
    <cellStyle name="Calculation 6 11 9 2" xfId="22285" xr:uid="{00000000-0005-0000-0000-00004E160000}"/>
    <cellStyle name="Calculation 6 11 9 3" xfId="17499" xr:uid="{00000000-0005-0000-0000-00004F160000}"/>
    <cellStyle name="Calculation 6 12" xfId="3375" xr:uid="{00000000-0005-0000-0000-000050160000}"/>
    <cellStyle name="Calculation 6 12 10" xfId="16194" xr:uid="{00000000-0005-0000-0000-000051160000}"/>
    <cellStyle name="Calculation 6 12 10 2" xfId="37509" xr:uid="{00000000-0005-0000-0000-000052160000}"/>
    <cellStyle name="Calculation 6 12 11" xfId="31435" xr:uid="{00000000-0005-0000-0000-000053160000}"/>
    <cellStyle name="Calculation 6 12 2" xfId="5513" xr:uid="{00000000-0005-0000-0000-000054160000}"/>
    <cellStyle name="Calculation 6 12 2 2" xfId="23966" xr:uid="{00000000-0005-0000-0000-000055160000}"/>
    <cellStyle name="Calculation 6 12 2 3" xfId="19101" xr:uid="{00000000-0005-0000-0000-000056160000}"/>
    <cellStyle name="Calculation 6 12 3" xfId="5035" xr:uid="{00000000-0005-0000-0000-000057160000}"/>
    <cellStyle name="Calculation 6 12 3 2" xfId="23495" xr:uid="{00000000-0005-0000-0000-000058160000}"/>
    <cellStyle name="Calculation 6 12 3 3" xfId="18649" xr:uid="{00000000-0005-0000-0000-000059160000}"/>
    <cellStyle name="Calculation 6 12 4" xfId="6100" xr:uid="{00000000-0005-0000-0000-00005A160000}"/>
    <cellStyle name="Calculation 6 12 4 2" xfId="24541" xr:uid="{00000000-0005-0000-0000-00005B160000}"/>
    <cellStyle name="Calculation 6 12 4 3" xfId="19650" xr:uid="{00000000-0005-0000-0000-00005C160000}"/>
    <cellStyle name="Calculation 6 12 5" xfId="7549" xr:uid="{00000000-0005-0000-0000-00005D160000}"/>
    <cellStyle name="Calculation 6 12 5 2" xfId="25979" xr:uid="{00000000-0005-0000-0000-00005E160000}"/>
    <cellStyle name="Calculation 6 12 5 3" xfId="20904" xr:uid="{00000000-0005-0000-0000-00005F160000}"/>
    <cellStyle name="Calculation 6 12 6" xfId="7922" xr:uid="{00000000-0005-0000-0000-000060160000}"/>
    <cellStyle name="Calculation 6 12 6 2" xfId="26352" xr:uid="{00000000-0005-0000-0000-000061160000}"/>
    <cellStyle name="Calculation 6 12 6 3" xfId="21276" xr:uid="{00000000-0005-0000-0000-000062160000}"/>
    <cellStyle name="Calculation 6 12 7" xfId="8644" xr:uid="{00000000-0005-0000-0000-000063160000}"/>
    <cellStyle name="Calculation 6 12 7 2" xfId="27066" xr:uid="{00000000-0005-0000-0000-000064160000}"/>
    <cellStyle name="Calculation 6 12 7 3" xfId="21935" xr:uid="{00000000-0005-0000-0000-000065160000}"/>
    <cellStyle name="Calculation 6 12 8" xfId="4136" xr:uid="{00000000-0005-0000-0000-000066160000}"/>
    <cellStyle name="Calculation 6 12 8 2" xfId="22602" xr:uid="{00000000-0005-0000-0000-000067160000}"/>
    <cellStyle name="Calculation 6 12 8 3" xfId="17818" xr:uid="{00000000-0005-0000-0000-000068160000}"/>
    <cellStyle name="Calculation 6 12 9" xfId="14483" xr:uid="{00000000-0005-0000-0000-000069160000}"/>
    <cellStyle name="Calculation 6 12 9 2" xfId="36011" xr:uid="{00000000-0005-0000-0000-00006A160000}"/>
    <cellStyle name="Calculation 6 12 9 3" xfId="17145" xr:uid="{00000000-0005-0000-0000-00006B160000}"/>
    <cellStyle name="Calculation 6 13" xfId="4636" xr:uid="{00000000-0005-0000-0000-00006C160000}"/>
    <cellStyle name="Calculation 6 13 2" xfId="23096" xr:uid="{00000000-0005-0000-0000-00006D160000}"/>
    <cellStyle name="Calculation 6 13 3" xfId="18312" xr:uid="{00000000-0005-0000-0000-00006E160000}"/>
    <cellStyle name="Calculation 6 14" xfId="4492" xr:uid="{00000000-0005-0000-0000-00006F160000}"/>
    <cellStyle name="Calculation 6 14 2" xfId="22952" xr:uid="{00000000-0005-0000-0000-000070160000}"/>
    <cellStyle name="Calculation 6 14 3" xfId="18171" xr:uid="{00000000-0005-0000-0000-000071160000}"/>
    <cellStyle name="Calculation 6 15" xfId="6737" xr:uid="{00000000-0005-0000-0000-000072160000}"/>
    <cellStyle name="Calculation 6 15 2" xfId="25175" xr:uid="{00000000-0005-0000-0000-000073160000}"/>
    <cellStyle name="Calculation 6 15 3" xfId="20167" xr:uid="{00000000-0005-0000-0000-000074160000}"/>
    <cellStyle name="Calculation 6 16" xfId="5960" xr:uid="{00000000-0005-0000-0000-000075160000}"/>
    <cellStyle name="Calculation 6 16 2" xfId="24401" xr:uid="{00000000-0005-0000-0000-000076160000}"/>
    <cellStyle name="Calculation 6 16 3" xfId="19511" xr:uid="{00000000-0005-0000-0000-000077160000}"/>
    <cellStyle name="Calculation 6 17" xfId="7082" xr:uid="{00000000-0005-0000-0000-000078160000}"/>
    <cellStyle name="Calculation 6 17 2" xfId="25516" xr:uid="{00000000-0005-0000-0000-000079160000}"/>
    <cellStyle name="Calculation 6 17 3" xfId="20447" xr:uid="{00000000-0005-0000-0000-00007A160000}"/>
    <cellStyle name="Calculation 6 18" xfId="8263" xr:uid="{00000000-0005-0000-0000-00007B160000}"/>
    <cellStyle name="Calculation 6 18 2" xfId="26688" xr:uid="{00000000-0005-0000-0000-00007C160000}"/>
    <cellStyle name="Calculation 6 18 3" xfId="21614" xr:uid="{00000000-0005-0000-0000-00007D160000}"/>
    <cellStyle name="Calculation 6 19" xfId="3814" xr:uid="{00000000-0005-0000-0000-00007E160000}"/>
    <cellStyle name="Calculation 6 19 2" xfId="22283" xr:uid="{00000000-0005-0000-0000-00007F160000}"/>
    <cellStyle name="Calculation 6 19 3" xfId="17497" xr:uid="{00000000-0005-0000-0000-000080160000}"/>
    <cellStyle name="Calculation 6 2" xfId="1636" xr:uid="{00000000-0005-0000-0000-000081160000}"/>
    <cellStyle name="Calculation 6 2 10" xfId="15127" xr:uid="{00000000-0005-0000-0000-000082160000}"/>
    <cellStyle name="Calculation 6 2 10 2" xfId="36538" xr:uid="{00000000-0005-0000-0000-000083160000}"/>
    <cellStyle name="Calculation 6 2 10 3" xfId="16812" xr:uid="{00000000-0005-0000-0000-000084160000}"/>
    <cellStyle name="Calculation 6 2 11" xfId="16541" xr:uid="{00000000-0005-0000-0000-000085160000}"/>
    <cellStyle name="Calculation 6 2 11 2" xfId="37758" xr:uid="{00000000-0005-0000-0000-000086160000}"/>
    <cellStyle name="Calculation 6 2 12" xfId="31208" xr:uid="{00000000-0005-0000-0000-000087160000}"/>
    <cellStyle name="Calculation 6 2 13" xfId="39080" xr:uid="{00000000-0005-0000-0000-000089060000}"/>
    <cellStyle name="Calculation 6 2 14" xfId="41047" xr:uid="{00000000-0005-0000-0000-000089060000}"/>
    <cellStyle name="Calculation 6 2 2" xfId="3378" xr:uid="{00000000-0005-0000-0000-000088160000}"/>
    <cellStyle name="Calculation 6 2 2 10" xfId="15742" xr:uid="{00000000-0005-0000-0000-000089160000}"/>
    <cellStyle name="Calculation 6 2 2 10 2" xfId="37107" xr:uid="{00000000-0005-0000-0000-00008A160000}"/>
    <cellStyle name="Calculation 6 2 2 11" xfId="31438" xr:uid="{00000000-0005-0000-0000-00008B160000}"/>
    <cellStyle name="Calculation 6 2 2 2" xfId="5516" xr:uid="{00000000-0005-0000-0000-00008C160000}"/>
    <cellStyle name="Calculation 6 2 2 2 2" xfId="23969" xr:uid="{00000000-0005-0000-0000-00008D160000}"/>
    <cellStyle name="Calculation 6 2 2 2 3" xfId="19104" xr:uid="{00000000-0005-0000-0000-00008E160000}"/>
    <cellStyle name="Calculation 6 2 2 3" xfId="5038" xr:uid="{00000000-0005-0000-0000-00008F160000}"/>
    <cellStyle name="Calculation 6 2 2 3 2" xfId="23498" xr:uid="{00000000-0005-0000-0000-000090160000}"/>
    <cellStyle name="Calculation 6 2 2 3 3" xfId="18652" xr:uid="{00000000-0005-0000-0000-000091160000}"/>
    <cellStyle name="Calculation 6 2 2 4" xfId="6097" xr:uid="{00000000-0005-0000-0000-000092160000}"/>
    <cellStyle name="Calculation 6 2 2 4 2" xfId="24538" xr:uid="{00000000-0005-0000-0000-000093160000}"/>
    <cellStyle name="Calculation 6 2 2 4 3" xfId="19647" xr:uid="{00000000-0005-0000-0000-000094160000}"/>
    <cellStyle name="Calculation 6 2 2 5" xfId="7552" xr:uid="{00000000-0005-0000-0000-000095160000}"/>
    <cellStyle name="Calculation 6 2 2 5 2" xfId="25982" xr:uid="{00000000-0005-0000-0000-000096160000}"/>
    <cellStyle name="Calculation 6 2 2 5 3" xfId="20907" xr:uid="{00000000-0005-0000-0000-000097160000}"/>
    <cellStyle name="Calculation 6 2 2 6" xfId="7925" xr:uid="{00000000-0005-0000-0000-000098160000}"/>
    <cellStyle name="Calculation 6 2 2 6 2" xfId="26355" xr:uid="{00000000-0005-0000-0000-000099160000}"/>
    <cellStyle name="Calculation 6 2 2 6 3" xfId="21279" xr:uid="{00000000-0005-0000-0000-00009A160000}"/>
    <cellStyle name="Calculation 6 2 2 7" xfId="8647" xr:uid="{00000000-0005-0000-0000-00009B160000}"/>
    <cellStyle name="Calculation 6 2 2 7 2" xfId="27069" xr:uid="{00000000-0005-0000-0000-00009C160000}"/>
    <cellStyle name="Calculation 6 2 2 7 3" xfId="21938" xr:uid="{00000000-0005-0000-0000-00009D160000}"/>
    <cellStyle name="Calculation 6 2 2 8" xfId="4139" xr:uid="{00000000-0005-0000-0000-00009E160000}"/>
    <cellStyle name="Calculation 6 2 2 8 2" xfId="22605" xr:uid="{00000000-0005-0000-0000-00009F160000}"/>
    <cellStyle name="Calculation 6 2 2 8 3" xfId="17821" xr:uid="{00000000-0005-0000-0000-0000A0160000}"/>
    <cellStyle name="Calculation 6 2 2 9" xfId="14484" xr:uid="{00000000-0005-0000-0000-0000A1160000}"/>
    <cellStyle name="Calculation 6 2 2 9 2" xfId="36012" xr:uid="{00000000-0005-0000-0000-0000A2160000}"/>
    <cellStyle name="Calculation 6 2 2 9 3" xfId="17148" xr:uid="{00000000-0005-0000-0000-0000A3160000}"/>
    <cellStyle name="Calculation 6 2 3" xfId="4639" xr:uid="{00000000-0005-0000-0000-0000A4160000}"/>
    <cellStyle name="Calculation 6 2 3 2" xfId="23099" xr:uid="{00000000-0005-0000-0000-0000A5160000}"/>
    <cellStyle name="Calculation 6 2 3 3" xfId="18315" xr:uid="{00000000-0005-0000-0000-0000A6160000}"/>
    <cellStyle name="Calculation 6 2 4" xfId="4495" xr:uid="{00000000-0005-0000-0000-0000A7160000}"/>
    <cellStyle name="Calculation 6 2 4 2" xfId="22955" xr:uid="{00000000-0005-0000-0000-0000A8160000}"/>
    <cellStyle name="Calculation 6 2 4 3" xfId="18174" xr:uid="{00000000-0005-0000-0000-0000A9160000}"/>
    <cellStyle name="Calculation 6 2 5" xfId="6734" xr:uid="{00000000-0005-0000-0000-0000AA160000}"/>
    <cellStyle name="Calculation 6 2 5 2" xfId="25172" xr:uid="{00000000-0005-0000-0000-0000AB160000}"/>
    <cellStyle name="Calculation 6 2 5 3" xfId="20164" xr:uid="{00000000-0005-0000-0000-0000AC160000}"/>
    <cellStyle name="Calculation 6 2 6" xfId="6939" xr:uid="{00000000-0005-0000-0000-0000AD160000}"/>
    <cellStyle name="Calculation 6 2 6 2" xfId="25377" xr:uid="{00000000-0005-0000-0000-0000AE160000}"/>
    <cellStyle name="Calculation 6 2 6 3" xfId="20320" xr:uid="{00000000-0005-0000-0000-0000AF160000}"/>
    <cellStyle name="Calculation 6 2 7" xfId="7081" xr:uid="{00000000-0005-0000-0000-0000B0160000}"/>
    <cellStyle name="Calculation 6 2 7 2" xfId="25515" xr:uid="{00000000-0005-0000-0000-0000B1160000}"/>
    <cellStyle name="Calculation 6 2 7 3" xfId="20446" xr:uid="{00000000-0005-0000-0000-0000B2160000}"/>
    <cellStyle name="Calculation 6 2 8" xfId="8266" xr:uid="{00000000-0005-0000-0000-0000B3160000}"/>
    <cellStyle name="Calculation 6 2 8 2" xfId="26691" xr:uid="{00000000-0005-0000-0000-0000B4160000}"/>
    <cellStyle name="Calculation 6 2 8 3" xfId="21617" xr:uid="{00000000-0005-0000-0000-0000B5160000}"/>
    <cellStyle name="Calculation 6 2 9" xfId="3817" xr:uid="{00000000-0005-0000-0000-0000B6160000}"/>
    <cellStyle name="Calculation 6 2 9 2" xfId="22286" xr:uid="{00000000-0005-0000-0000-0000B7160000}"/>
    <cellStyle name="Calculation 6 2 9 3" xfId="17500" xr:uid="{00000000-0005-0000-0000-0000B8160000}"/>
    <cellStyle name="Calculation 6 20" xfId="15124" xr:uid="{00000000-0005-0000-0000-0000B9160000}"/>
    <cellStyle name="Calculation 6 20 2" xfId="36535" xr:uid="{00000000-0005-0000-0000-0000BA160000}"/>
    <cellStyle name="Calculation 6 20 3" xfId="16809" xr:uid="{00000000-0005-0000-0000-0000BB160000}"/>
    <cellStyle name="Calculation 6 21" xfId="16539" xr:uid="{00000000-0005-0000-0000-0000BC160000}"/>
    <cellStyle name="Calculation 6 21 2" xfId="37756" xr:uid="{00000000-0005-0000-0000-0000BD160000}"/>
    <cellStyle name="Calculation 6 22" xfId="31205" xr:uid="{00000000-0005-0000-0000-0000BE160000}"/>
    <cellStyle name="Calculation 6 23" xfId="39079" xr:uid="{00000000-0005-0000-0000-000088060000}"/>
    <cellStyle name="Calculation 6 24" xfId="41046" xr:uid="{00000000-0005-0000-0000-000088060000}"/>
    <cellStyle name="Calculation 6 3" xfId="1637" xr:uid="{00000000-0005-0000-0000-0000BF160000}"/>
    <cellStyle name="Calculation 6 3 10" xfId="15128" xr:uid="{00000000-0005-0000-0000-0000C0160000}"/>
    <cellStyle name="Calculation 6 3 10 2" xfId="36539" xr:uid="{00000000-0005-0000-0000-0000C1160000}"/>
    <cellStyle name="Calculation 6 3 10 3" xfId="16813" xr:uid="{00000000-0005-0000-0000-0000C2160000}"/>
    <cellStyle name="Calculation 6 3 11" xfId="15329" xr:uid="{00000000-0005-0000-0000-0000C3160000}"/>
    <cellStyle name="Calculation 6 3 11 2" xfId="36717" xr:uid="{00000000-0005-0000-0000-0000C4160000}"/>
    <cellStyle name="Calculation 6 3 12" xfId="31209" xr:uid="{00000000-0005-0000-0000-0000C5160000}"/>
    <cellStyle name="Calculation 6 3 2" xfId="3379" xr:uid="{00000000-0005-0000-0000-0000C6160000}"/>
    <cellStyle name="Calculation 6 3 2 10" xfId="16160" xr:uid="{00000000-0005-0000-0000-0000C7160000}"/>
    <cellStyle name="Calculation 6 3 2 10 2" xfId="37477" xr:uid="{00000000-0005-0000-0000-0000C8160000}"/>
    <cellStyle name="Calculation 6 3 2 11" xfId="31439" xr:uid="{00000000-0005-0000-0000-0000C9160000}"/>
    <cellStyle name="Calculation 6 3 2 2" xfId="5517" xr:uid="{00000000-0005-0000-0000-0000CA160000}"/>
    <cellStyle name="Calculation 6 3 2 2 2" xfId="23970" xr:uid="{00000000-0005-0000-0000-0000CB160000}"/>
    <cellStyle name="Calculation 6 3 2 2 3" xfId="19105" xr:uid="{00000000-0005-0000-0000-0000CC160000}"/>
    <cellStyle name="Calculation 6 3 2 3" xfId="5039" xr:uid="{00000000-0005-0000-0000-0000CD160000}"/>
    <cellStyle name="Calculation 6 3 2 3 2" xfId="23499" xr:uid="{00000000-0005-0000-0000-0000CE160000}"/>
    <cellStyle name="Calculation 6 3 2 3 3" xfId="18653" xr:uid="{00000000-0005-0000-0000-0000CF160000}"/>
    <cellStyle name="Calculation 6 3 2 4" xfId="6096" xr:uid="{00000000-0005-0000-0000-0000D0160000}"/>
    <cellStyle name="Calculation 6 3 2 4 2" xfId="24537" xr:uid="{00000000-0005-0000-0000-0000D1160000}"/>
    <cellStyle name="Calculation 6 3 2 4 3" xfId="19646" xr:uid="{00000000-0005-0000-0000-0000D2160000}"/>
    <cellStyle name="Calculation 6 3 2 5" xfId="7553" xr:uid="{00000000-0005-0000-0000-0000D3160000}"/>
    <cellStyle name="Calculation 6 3 2 5 2" xfId="25983" xr:uid="{00000000-0005-0000-0000-0000D4160000}"/>
    <cellStyle name="Calculation 6 3 2 5 3" xfId="20908" xr:uid="{00000000-0005-0000-0000-0000D5160000}"/>
    <cellStyle name="Calculation 6 3 2 6" xfId="7926" xr:uid="{00000000-0005-0000-0000-0000D6160000}"/>
    <cellStyle name="Calculation 6 3 2 6 2" xfId="26356" xr:uid="{00000000-0005-0000-0000-0000D7160000}"/>
    <cellStyle name="Calculation 6 3 2 6 3" xfId="21280" xr:uid="{00000000-0005-0000-0000-0000D8160000}"/>
    <cellStyle name="Calculation 6 3 2 7" xfId="8648" xr:uid="{00000000-0005-0000-0000-0000D9160000}"/>
    <cellStyle name="Calculation 6 3 2 7 2" xfId="27070" xr:uid="{00000000-0005-0000-0000-0000DA160000}"/>
    <cellStyle name="Calculation 6 3 2 7 3" xfId="21939" xr:uid="{00000000-0005-0000-0000-0000DB160000}"/>
    <cellStyle name="Calculation 6 3 2 8" xfId="4140" xr:uid="{00000000-0005-0000-0000-0000DC160000}"/>
    <cellStyle name="Calculation 6 3 2 8 2" xfId="22606" xr:uid="{00000000-0005-0000-0000-0000DD160000}"/>
    <cellStyle name="Calculation 6 3 2 8 3" xfId="17822" xr:uid="{00000000-0005-0000-0000-0000DE160000}"/>
    <cellStyle name="Calculation 6 3 2 9" xfId="14485" xr:uid="{00000000-0005-0000-0000-0000DF160000}"/>
    <cellStyle name="Calculation 6 3 2 9 2" xfId="36013" xr:uid="{00000000-0005-0000-0000-0000E0160000}"/>
    <cellStyle name="Calculation 6 3 2 9 3" xfId="17149" xr:uid="{00000000-0005-0000-0000-0000E1160000}"/>
    <cellStyle name="Calculation 6 3 3" xfId="4640" xr:uid="{00000000-0005-0000-0000-0000E2160000}"/>
    <cellStyle name="Calculation 6 3 3 2" xfId="23100" xr:uid="{00000000-0005-0000-0000-0000E3160000}"/>
    <cellStyle name="Calculation 6 3 3 3" xfId="18316" xr:uid="{00000000-0005-0000-0000-0000E4160000}"/>
    <cellStyle name="Calculation 6 3 4" xfId="4496" xr:uid="{00000000-0005-0000-0000-0000E5160000}"/>
    <cellStyle name="Calculation 6 3 4 2" xfId="22956" xr:uid="{00000000-0005-0000-0000-0000E6160000}"/>
    <cellStyle name="Calculation 6 3 4 3" xfId="18175" xr:uid="{00000000-0005-0000-0000-0000E7160000}"/>
    <cellStyle name="Calculation 6 3 5" xfId="6733" xr:uid="{00000000-0005-0000-0000-0000E8160000}"/>
    <cellStyle name="Calculation 6 3 5 2" xfId="25171" xr:uid="{00000000-0005-0000-0000-0000E9160000}"/>
    <cellStyle name="Calculation 6 3 5 3" xfId="20163" xr:uid="{00000000-0005-0000-0000-0000EA160000}"/>
    <cellStyle name="Calculation 6 3 6" xfId="6940" xr:uid="{00000000-0005-0000-0000-0000EB160000}"/>
    <cellStyle name="Calculation 6 3 6 2" xfId="25378" xr:uid="{00000000-0005-0000-0000-0000EC160000}"/>
    <cellStyle name="Calculation 6 3 6 3" xfId="20321" xr:uid="{00000000-0005-0000-0000-0000ED160000}"/>
    <cellStyle name="Calculation 6 3 7" xfId="6895" xr:uid="{00000000-0005-0000-0000-0000EE160000}"/>
    <cellStyle name="Calculation 6 3 7 2" xfId="25333" xr:uid="{00000000-0005-0000-0000-0000EF160000}"/>
    <cellStyle name="Calculation 6 3 7 3" xfId="20276" xr:uid="{00000000-0005-0000-0000-0000F0160000}"/>
    <cellStyle name="Calculation 6 3 8" xfId="8267" xr:uid="{00000000-0005-0000-0000-0000F1160000}"/>
    <cellStyle name="Calculation 6 3 8 2" xfId="26692" xr:uid="{00000000-0005-0000-0000-0000F2160000}"/>
    <cellStyle name="Calculation 6 3 8 3" xfId="21618" xr:uid="{00000000-0005-0000-0000-0000F3160000}"/>
    <cellStyle name="Calculation 6 3 9" xfId="3818" xr:uid="{00000000-0005-0000-0000-0000F4160000}"/>
    <cellStyle name="Calculation 6 3 9 2" xfId="22287" xr:uid="{00000000-0005-0000-0000-0000F5160000}"/>
    <cellStyle name="Calculation 6 3 9 3" xfId="17501" xr:uid="{00000000-0005-0000-0000-0000F6160000}"/>
    <cellStyle name="Calculation 6 4" xfId="1638" xr:uid="{00000000-0005-0000-0000-0000F7160000}"/>
    <cellStyle name="Calculation 6 4 10" xfId="15129" xr:uid="{00000000-0005-0000-0000-0000F8160000}"/>
    <cellStyle name="Calculation 6 4 10 2" xfId="36540" xr:uid="{00000000-0005-0000-0000-0000F9160000}"/>
    <cellStyle name="Calculation 6 4 10 3" xfId="16814" xr:uid="{00000000-0005-0000-0000-0000FA160000}"/>
    <cellStyle name="Calculation 6 4 11" xfId="16542" xr:uid="{00000000-0005-0000-0000-0000FB160000}"/>
    <cellStyle name="Calculation 6 4 11 2" xfId="37759" xr:uid="{00000000-0005-0000-0000-0000FC160000}"/>
    <cellStyle name="Calculation 6 4 12" xfId="31210" xr:uid="{00000000-0005-0000-0000-0000FD160000}"/>
    <cellStyle name="Calculation 6 4 2" xfId="3380" xr:uid="{00000000-0005-0000-0000-0000FE160000}"/>
    <cellStyle name="Calculation 6 4 2 10" xfId="15556" xr:uid="{00000000-0005-0000-0000-0000FF160000}"/>
    <cellStyle name="Calculation 6 4 2 10 2" xfId="36934" xr:uid="{00000000-0005-0000-0000-000000170000}"/>
    <cellStyle name="Calculation 6 4 2 11" xfId="31440" xr:uid="{00000000-0005-0000-0000-000001170000}"/>
    <cellStyle name="Calculation 6 4 2 2" xfId="5518" xr:uid="{00000000-0005-0000-0000-000002170000}"/>
    <cellStyle name="Calculation 6 4 2 2 2" xfId="23971" xr:uid="{00000000-0005-0000-0000-000003170000}"/>
    <cellStyle name="Calculation 6 4 2 2 3" xfId="19106" xr:uid="{00000000-0005-0000-0000-000004170000}"/>
    <cellStyle name="Calculation 6 4 2 3" xfId="5040" xr:uid="{00000000-0005-0000-0000-000005170000}"/>
    <cellStyle name="Calculation 6 4 2 3 2" xfId="23500" xr:uid="{00000000-0005-0000-0000-000006170000}"/>
    <cellStyle name="Calculation 6 4 2 3 3" xfId="18654" xr:uid="{00000000-0005-0000-0000-000007170000}"/>
    <cellStyle name="Calculation 6 4 2 4" xfId="6095" xr:uid="{00000000-0005-0000-0000-000008170000}"/>
    <cellStyle name="Calculation 6 4 2 4 2" xfId="24536" xr:uid="{00000000-0005-0000-0000-000009170000}"/>
    <cellStyle name="Calculation 6 4 2 4 3" xfId="19645" xr:uid="{00000000-0005-0000-0000-00000A170000}"/>
    <cellStyle name="Calculation 6 4 2 5" xfId="7554" xr:uid="{00000000-0005-0000-0000-00000B170000}"/>
    <cellStyle name="Calculation 6 4 2 5 2" xfId="25984" xr:uid="{00000000-0005-0000-0000-00000C170000}"/>
    <cellStyle name="Calculation 6 4 2 5 3" xfId="20909" xr:uid="{00000000-0005-0000-0000-00000D170000}"/>
    <cellStyle name="Calculation 6 4 2 6" xfId="7927" xr:uid="{00000000-0005-0000-0000-00000E170000}"/>
    <cellStyle name="Calculation 6 4 2 6 2" xfId="26357" xr:uid="{00000000-0005-0000-0000-00000F170000}"/>
    <cellStyle name="Calculation 6 4 2 6 3" xfId="21281" xr:uid="{00000000-0005-0000-0000-000010170000}"/>
    <cellStyle name="Calculation 6 4 2 7" xfId="8649" xr:uid="{00000000-0005-0000-0000-000011170000}"/>
    <cellStyle name="Calculation 6 4 2 7 2" xfId="27071" xr:uid="{00000000-0005-0000-0000-000012170000}"/>
    <cellStyle name="Calculation 6 4 2 7 3" xfId="21940" xr:uid="{00000000-0005-0000-0000-000013170000}"/>
    <cellStyle name="Calculation 6 4 2 8" xfId="4141" xr:uid="{00000000-0005-0000-0000-000014170000}"/>
    <cellStyle name="Calculation 6 4 2 8 2" xfId="22607" xr:uid="{00000000-0005-0000-0000-000015170000}"/>
    <cellStyle name="Calculation 6 4 2 8 3" xfId="17823" xr:uid="{00000000-0005-0000-0000-000016170000}"/>
    <cellStyle name="Calculation 6 4 2 9" xfId="16410" xr:uid="{00000000-0005-0000-0000-000017170000}"/>
    <cellStyle name="Calculation 6 4 2 9 2" xfId="37698" xr:uid="{00000000-0005-0000-0000-000018170000}"/>
    <cellStyle name="Calculation 6 4 2 9 3" xfId="17150" xr:uid="{00000000-0005-0000-0000-000019170000}"/>
    <cellStyle name="Calculation 6 4 3" xfId="4641" xr:uid="{00000000-0005-0000-0000-00001A170000}"/>
    <cellStyle name="Calculation 6 4 3 2" xfId="23101" xr:uid="{00000000-0005-0000-0000-00001B170000}"/>
    <cellStyle name="Calculation 6 4 3 3" xfId="18317" xr:uid="{00000000-0005-0000-0000-00001C170000}"/>
    <cellStyle name="Calculation 6 4 4" xfId="4497" xr:uid="{00000000-0005-0000-0000-00001D170000}"/>
    <cellStyle name="Calculation 6 4 4 2" xfId="22957" xr:uid="{00000000-0005-0000-0000-00001E170000}"/>
    <cellStyle name="Calculation 6 4 4 3" xfId="18176" xr:uid="{00000000-0005-0000-0000-00001F170000}"/>
    <cellStyle name="Calculation 6 4 5" xfId="6732" xr:uid="{00000000-0005-0000-0000-000020170000}"/>
    <cellStyle name="Calculation 6 4 5 2" xfId="25170" xr:uid="{00000000-0005-0000-0000-000021170000}"/>
    <cellStyle name="Calculation 6 4 5 3" xfId="20162" xr:uid="{00000000-0005-0000-0000-000022170000}"/>
    <cellStyle name="Calculation 6 4 6" xfId="6941" xr:uid="{00000000-0005-0000-0000-000023170000}"/>
    <cellStyle name="Calculation 6 4 6 2" xfId="25379" xr:uid="{00000000-0005-0000-0000-000024170000}"/>
    <cellStyle name="Calculation 6 4 6 3" xfId="20322" xr:uid="{00000000-0005-0000-0000-000025170000}"/>
    <cellStyle name="Calculation 6 4 7" xfId="7080" xr:uid="{00000000-0005-0000-0000-000026170000}"/>
    <cellStyle name="Calculation 6 4 7 2" xfId="25514" xr:uid="{00000000-0005-0000-0000-000027170000}"/>
    <cellStyle name="Calculation 6 4 7 3" xfId="20445" xr:uid="{00000000-0005-0000-0000-000028170000}"/>
    <cellStyle name="Calculation 6 4 8" xfId="8268" xr:uid="{00000000-0005-0000-0000-000029170000}"/>
    <cellStyle name="Calculation 6 4 8 2" xfId="26693" xr:uid="{00000000-0005-0000-0000-00002A170000}"/>
    <cellStyle name="Calculation 6 4 8 3" xfId="21619" xr:uid="{00000000-0005-0000-0000-00002B170000}"/>
    <cellStyle name="Calculation 6 4 9" xfId="3819" xr:uid="{00000000-0005-0000-0000-00002C170000}"/>
    <cellStyle name="Calculation 6 4 9 2" xfId="22288" xr:uid="{00000000-0005-0000-0000-00002D170000}"/>
    <cellStyle name="Calculation 6 4 9 3" xfId="17502" xr:uid="{00000000-0005-0000-0000-00002E170000}"/>
    <cellStyle name="Calculation 6 5" xfId="1639" xr:uid="{00000000-0005-0000-0000-00002F170000}"/>
    <cellStyle name="Calculation 6 5 10" xfId="14486" xr:uid="{00000000-0005-0000-0000-000030170000}"/>
    <cellStyle name="Calculation 6 5 10 2" xfId="36014" xr:uid="{00000000-0005-0000-0000-000031170000}"/>
    <cellStyle name="Calculation 6 5 10 3" xfId="16815" xr:uid="{00000000-0005-0000-0000-000032170000}"/>
    <cellStyle name="Calculation 6 5 11" xfId="15008" xr:uid="{00000000-0005-0000-0000-000033170000}"/>
    <cellStyle name="Calculation 6 5 11 2" xfId="36433" xr:uid="{00000000-0005-0000-0000-000034170000}"/>
    <cellStyle name="Calculation 6 5 12" xfId="31211" xr:uid="{00000000-0005-0000-0000-000035170000}"/>
    <cellStyle name="Calculation 6 5 2" xfId="3381" xr:uid="{00000000-0005-0000-0000-000036170000}"/>
    <cellStyle name="Calculation 6 5 2 10" xfId="16038" xr:uid="{00000000-0005-0000-0000-000037170000}"/>
    <cellStyle name="Calculation 6 5 2 10 2" xfId="37379" xr:uid="{00000000-0005-0000-0000-000038170000}"/>
    <cellStyle name="Calculation 6 5 2 11" xfId="31441" xr:uid="{00000000-0005-0000-0000-000039170000}"/>
    <cellStyle name="Calculation 6 5 2 2" xfId="5519" xr:uid="{00000000-0005-0000-0000-00003A170000}"/>
    <cellStyle name="Calculation 6 5 2 2 2" xfId="23972" xr:uid="{00000000-0005-0000-0000-00003B170000}"/>
    <cellStyle name="Calculation 6 5 2 2 3" xfId="19107" xr:uid="{00000000-0005-0000-0000-00003C170000}"/>
    <cellStyle name="Calculation 6 5 2 3" xfId="5041" xr:uid="{00000000-0005-0000-0000-00003D170000}"/>
    <cellStyle name="Calculation 6 5 2 3 2" xfId="23501" xr:uid="{00000000-0005-0000-0000-00003E170000}"/>
    <cellStyle name="Calculation 6 5 2 3 3" xfId="18655" xr:uid="{00000000-0005-0000-0000-00003F170000}"/>
    <cellStyle name="Calculation 6 5 2 4" xfId="6094" xr:uid="{00000000-0005-0000-0000-000040170000}"/>
    <cellStyle name="Calculation 6 5 2 4 2" xfId="24535" xr:uid="{00000000-0005-0000-0000-000041170000}"/>
    <cellStyle name="Calculation 6 5 2 4 3" xfId="19644" xr:uid="{00000000-0005-0000-0000-000042170000}"/>
    <cellStyle name="Calculation 6 5 2 5" xfId="7555" xr:uid="{00000000-0005-0000-0000-000043170000}"/>
    <cellStyle name="Calculation 6 5 2 5 2" xfId="25985" xr:uid="{00000000-0005-0000-0000-000044170000}"/>
    <cellStyle name="Calculation 6 5 2 5 3" xfId="20910" xr:uid="{00000000-0005-0000-0000-000045170000}"/>
    <cellStyle name="Calculation 6 5 2 6" xfId="7928" xr:uid="{00000000-0005-0000-0000-000046170000}"/>
    <cellStyle name="Calculation 6 5 2 6 2" xfId="26358" xr:uid="{00000000-0005-0000-0000-000047170000}"/>
    <cellStyle name="Calculation 6 5 2 6 3" xfId="21282" xr:uid="{00000000-0005-0000-0000-000048170000}"/>
    <cellStyle name="Calculation 6 5 2 7" xfId="8650" xr:uid="{00000000-0005-0000-0000-000049170000}"/>
    <cellStyle name="Calculation 6 5 2 7 2" xfId="27072" xr:uid="{00000000-0005-0000-0000-00004A170000}"/>
    <cellStyle name="Calculation 6 5 2 7 3" xfId="21941" xr:uid="{00000000-0005-0000-0000-00004B170000}"/>
    <cellStyle name="Calculation 6 5 2 8" xfId="4142" xr:uid="{00000000-0005-0000-0000-00004C170000}"/>
    <cellStyle name="Calculation 6 5 2 8 2" xfId="22608" xr:uid="{00000000-0005-0000-0000-00004D170000}"/>
    <cellStyle name="Calculation 6 5 2 8 3" xfId="17824" xr:uid="{00000000-0005-0000-0000-00004E170000}"/>
    <cellStyle name="Calculation 6 5 2 9" xfId="14487" xr:uid="{00000000-0005-0000-0000-00004F170000}"/>
    <cellStyle name="Calculation 6 5 2 9 2" xfId="36015" xr:uid="{00000000-0005-0000-0000-000050170000}"/>
    <cellStyle name="Calculation 6 5 2 9 3" xfId="17151" xr:uid="{00000000-0005-0000-0000-000051170000}"/>
    <cellStyle name="Calculation 6 5 3" xfId="4642" xr:uid="{00000000-0005-0000-0000-000052170000}"/>
    <cellStyle name="Calculation 6 5 3 2" xfId="23102" xr:uid="{00000000-0005-0000-0000-000053170000}"/>
    <cellStyle name="Calculation 6 5 3 3" xfId="18318" xr:uid="{00000000-0005-0000-0000-000054170000}"/>
    <cellStyle name="Calculation 6 5 4" xfId="4498" xr:uid="{00000000-0005-0000-0000-000055170000}"/>
    <cellStyle name="Calculation 6 5 4 2" xfId="22958" xr:uid="{00000000-0005-0000-0000-000056170000}"/>
    <cellStyle name="Calculation 6 5 4 3" xfId="18177" xr:uid="{00000000-0005-0000-0000-000057170000}"/>
    <cellStyle name="Calculation 6 5 5" xfId="6731" xr:uid="{00000000-0005-0000-0000-000058170000}"/>
    <cellStyle name="Calculation 6 5 5 2" xfId="25169" xr:uid="{00000000-0005-0000-0000-000059170000}"/>
    <cellStyle name="Calculation 6 5 5 3" xfId="20161" xr:uid="{00000000-0005-0000-0000-00005A170000}"/>
    <cellStyle name="Calculation 6 5 6" xfId="6942" xr:uid="{00000000-0005-0000-0000-00005B170000}"/>
    <cellStyle name="Calculation 6 5 6 2" xfId="25380" xr:uid="{00000000-0005-0000-0000-00005C170000}"/>
    <cellStyle name="Calculation 6 5 6 3" xfId="20323" xr:uid="{00000000-0005-0000-0000-00005D170000}"/>
    <cellStyle name="Calculation 6 5 7" xfId="6894" xr:uid="{00000000-0005-0000-0000-00005E170000}"/>
    <cellStyle name="Calculation 6 5 7 2" xfId="25332" xr:uid="{00000000-0005-0000-0000-00005F170000}"/>
    <cellStyle name="Calculation 6 5 7 3" xfId="20275" xr:uid="{00000000-0005-0000-0000-000060170000}"/>
    <cellStyle name="Calculation 6 5 8" xfId="8269" xr:uid="{00000000-0005-0000-0000-000061170000}"/>
    <cellStyle name="Calculation 6 5 8 2" xfId="26694" xr:uid="{00000000-0005-0000-0000-000062170000}"/>
    <cellStyle name="Calculation 6 5 8 3" xfId="21620" xr:uid="{00000000-0005-0000-0000-000063170000}"/>
    <cellStyle name="Calculation 6 5 9" xfId="3820" xr:uid="{00000000-0005-0000-0000-000064170000}"/>
    <cellStyle name="Calculation 6 5 9 2" xfId="22289" xr:uid="{00000000-0005-0000-0000-000065170000}"/>
    <cellStyle name="Calculation 6 5 9 3" xfId="17503" xr:uid="{00000000-0005-0000-0000-000066170000}"/>
    <cellStyle name="Calculation 6 6" xfId="1640" xr:uid="{00000000-0005-0000-0000-000067170000}"/>
    <cellStyle name="Calculation 6 6 10" xfId="15130" xr:uid="{00000000-0005-0000-0000-000068170000}"/>
    <cellStyle name="Calculation 6 6 10 2" xfId="36541" xr:uid="{00000000-0005-0000-0000-000069170000}"/>
    <cellStyle name="Calculation 6 6 10 3" xfId="16816" xr:uid="{00000000-0005-0000-0000-00006A170000}"/>
    <cellStyle name="Calculation 6 6 11" xfId="16543" xr:uid="{00000000-0005-0000-0000-00006B170000}"/>
    <cellStyle name="Calculation 6 6 11 2" xfId="37760" xr:uid="{00000000-0005-0000-0000-00006C170000}"/>
    <cellStyle name="Calculation 6 6 12" xfId="31212" xr:uid="{00000000-0005-0000-0000-00006D170000}"/>
    <cellStyle name="Calculation 6 6 2" xfId="3382" xr:uid="{00000000-0005-0000-0000-00006E170000}"/>
    <cellStyle name="Calculation 6 6 2 10" xfId="16069" xr:uid="{00000000-0005-0000-0000-00006F170000}"/>
    <cellStyle name="Calculation 6 6 2 10 2" xfId="37395" xr:uid="{00000000-0005-0000-0000-000070170000}"/>
    <cellStyle name="Calculation 6 6 2 11" xfId="31442" xr:uid="{00000000-0005-0000-0000-000071170000}"/>
    <cellStyle name="Calculation 6 6 2 2" xfId="5520" xr:uid="{00000000-0005-0000-0000-000072170000}"/>
    <cellStyle name="Calculation 6 6 2 2 2" xfId="23973" xr:uid="{00000000-0005-0000-0000-000073170000}"/>
    <cellStyle name="Calculation 6 6 2 2 3" xfId="19108" xr:uid="{00000000-0005-0000-0000-000074170000}"/>
    <cellStyle name="Calculation 6 6 2 3" xfId="5042" xr:uid="{00000000-0005-0000-0000-000075170000}"/>
    <cellStyle name="Calculation 6 6 2 3 2" xfId="23502" xr:uid="{00000000-0005-0000-0000-000076170000}"/>
    <cellStyle name="Calculation 6 6 2 3 3" xfId="18656" xr:uid="{00000000-0005-0000-0000-000077170000}"/>
    <cellStyle name="Calculation 6 6 2 4" xfId="6093" xr:uid="{00000000-0005-0000-0000-000078170000}"/>
    <cellStyle name="Calculation 6 6 2 4 2" xfId="24534" xr:uid="{00000000-0005-0000-0000-000079170000}"/>
    <cellStyle name="Calculation 6 6 2 4 3" xfId="19643" xr:uid="{00000000-0005-0000-0000-00007A170000}"/>
    <cellStyle name="Calculation 6 6 2 5" xfId="7556" xr:uid="{00000000-0005-0000-0000-00007B170000}"/>
    <cellStyle name="Calculation 6 6 2 5 2" xfId="25986" xr:uid="{00000000-0005-0000-0000-00007C170000}"/>
    <cellStyle name="Calculation 6 6 2 5 3" xfId="20911" xr:uid="{00000000-0005-0000-0000-00007D170000}"/>
    <cellStyle name="Calculation 6 6 2 6" xfId="7929" xr:uid="{00000000-0005-0000-0000-00007E170000}"/>
    <cellStyle name="Calculation 6 6 2 6 2" xfId="26359" xr:uid="{00000000-0005-0000-0000-00007F170000}"/>
    <cellStyle name="Calculation 6 6 2 6 3" xfId="21283" xr:uid="{00000000-0005-0000-0000-000080170000}"/>
    <cellStyle name="Calculation 6 6 2 7" xfId="8651" xr:uid="{00000000-0005-0000-0000-000081170000}"/>
    <cellStyle name="Calculation 6 6 2 7 2" xfId="27073" xr:uid="{00000000-0005-0000-0000-000082170000}"/>
    <cellStyle name="Calculation 6 6 2 7 3" xfId="21942" xr:uid="{00000000-0005-0000-0000-000083170000}"/>
    <cellStyle name="Calculation 6 6 2 8" xfId="4143" xr:uid="{00000000-0005-0000-0000-000084170000}"/>
    <cellStyle name="Calculation 6 6 2 8 2" xfId="22609" xr:uid="{00000000-0005-0000-0000-000085170000}"/>
    <cellStyle name="Calculation 6 6 2 8 3" xfId="17825" xr:uid="{00000000-0005-0000-0000-000086170000}"/>
    <cellStyle name="Calculation 6 6 2 9" xfId="14488" xr:uid="{00000000-0005-0000-0000-000087170000}"/>
    <cellStyle name="Calculation 6 6 2 9 2" xfId="36016" xr:uid="{00000000-0005-0000-0000-000088170000}"/>
    <cellStyle name="Calculation 6 6 2 9 3" xfId="17152" xr:uid="{00000000-0005-0000-0000-000089170000}"/>
    <cellStyle name="Calculation 6 6 3" xfId="4643" xr:uid="{00000000-0005-0000-0000-00008A170000}"/>
    <cellStyle name="Calculation 6 6 3 2" xfId="23103" xr:uid="{00000000-0005-0000-0000-00008B170000}"/>
    <cellStyle name="Calculation 6 6 3 3" xfId="18319" xr:uid="{00000000-0005-0000-0000-00008C170000}"/>
    <cellStyle name="Calculation 6 6 4" xfId="4499" xr:uid="{00000000-0005-0000-0000-00008D170000}"/>
    <cellStyle name="Calculation 6 6 4 2" xfId="22959" xr:uid="{00000000-0005-0000-0000-00008E170000}"/>
    <cellStyle name="Calculation 6 6 4 3" xfId="18178" xr:uid="{00000000-0005-0000-0000-00008F170000}"/>
    <cellStyle name="Calculation 6 6 5" xfId="6730" xr:uid="{00000000-0005-0000-0000-000090170000}"/>
    <cellStyle name="Calculation 6 6 5 2" xfId="25168" xr:uid="{00000000-0005-0000-0000-000091170000}"/>
    <cellStyle name="Calculation 6 6 5 3" xfId="20160" xr:uid="{00000000-0005-0000-0000-000092170000}"/>
    <cellStyle name="Calculation 6 6 6" xfId="6943" xr:uid="{00000000-0005-0000-0000-000093170000}"/>
    <cellStyle name="Calculation 6 6 6 2" xfId="25381" xr:uid="{00000000-0005-0000-0000-000094170000}"/>
    <cellStyle name="Calculation 6 6 6 3" xfId="20324" xr:uid="{00000000-0005-0000-0000-000095170000}"/>
    <cellStyle name="Calculation 6 6 7" xfId="6893" xr:uid="{00000000-0005-0000-0000-000096170000}"/>
    <cellStyle name="Calculation 6 6 7 2" xfId="25331" xr:uid="{00000000-0005-0000-0000-000097170000}"/>
    <cellStyle name="Calculation 6 6 7 3" xfId="20274" xr:uid="{00000000-0005-0000-0000-000098170000}"/>
    <cellStyle name="Calculation 6 6 8" xfId="8270" xr:uid="{00000000-0005-0000-0000-000099170000}"/>
    <cellStyle name="Calculation 6 6 8 2" xfId="26695" xr:uid="{00000000-0005-0000-0000-00009A170000}"/>
    <cellStyle name="Calculation 6 6 8 3" xfId="21621" xr:uid="{00000000-0005-0000-0000-00009B170000}"/>
    <cellStyle name="Calculation 6 6 9" xfId="3821" xr:uid="{00000000-0005-0000-0000-00009C170000}"/>
    <cellStyle name="Calculation 6 6 9 2" xfId="22290" xr:uid="{00000000-0005-0000-0000-00009D170000}"/>
    <cellStyle name="Calculation 6 6 9 3" xfId="17504" xr:uid="{00000000-0005-0000-0000-00009E170000}"/>
    <cellStyle name="Calculation 6 7" xfId="1641" xr:uid="{00000000-0005-0000-0000-00009F170000}"/>
    <cellStyle name="Calculation 6 7 10" xfId="15131" xr:uid="{00000000-0005-0000-0000-0000A0170000}"/>
    <cellStyle name="Calculation 6 7 10 2" xfId="36542" xr:uid="{00000000-0005-0000-0000-0000A1170000}"/>
    <cellStyle name="Calculation 6 7 10 3" xfId="16817" xr:uid="{00000000-0005-0000-0000-0000A2170000}"/>
    <cellStyle name="Calculation 6 7 11" xfId="15575" xr:uid="{00000000-0005-0000-0000-0000A3170000}"/>
    <cellStyle name="Calculation 6 7 11 2" xfId="36952" xr:uid="{00000000-0005-0000-0000-0000A4170000}"/>
    <cellStyle name="Calculation 6 7 12" xfId="31213" xr:uid="{00000000-0005-0000-0000-0000A5170000}"/>
    <cellStyle name="Calculation 6 7 2" xfId="3383" xr:uid="{00000000-0005-0000-0000-0000A6170000}"/>
    <cellStyle name="Calculation 6 7 2 10" xfId="15039" xr:uid="{00000000-0005-0000-0000-0000A7170000}"/>
    <cellStyle name="Calculation 6 7 2 10 2" xfId="36461" xr:uid="{00000000-0005-0000-0000-0000A8170000}"/>
    <cellStyle name="Calculation 6 7 2 11" xfId="31443" xr:uid="{00000000-0005-0000-0000-0000A9170000}"/>
    <cellStyle name="Calculation 6 7 2 2" xfId="5521" xr:uid="{00000000-0005-0000-0000-0000AA170000}"/>
    <cellStyle name="Calculation 6 7 2 2 2" xfId="23974" xr:uid="{00000000-0005-0000-0000-0000AB170000}"/>
    <cellStyle name="Calculation 6 7 2 2 3" xfId="19109" xr:uid="{00000000-0005-0000-0000-0000AC170000}"/>
    <cellStyle name="Calculation 6 7 2 3" xfId="5043" xr:uid="{00000000-0005-0000-0000-0000AD170000}"/>
    <cellStyle name="Calculation 6 7 2 3 2" xfId="23503" xr:uid="{00000000-0005-0000-0000-0000AE170000}"/>
    <cellStyle name="Calculation 6 7 2 3 3" xfId="18657" xr:uid="{00000000-0005-0000-0000-0000AF170000}"/>
    <cellStyle name="Calculation 6 7 2 4" xfId="6092" xr:uid="{00000000-0005-0000-0000-0000B0170000}"/>
    <cellStyle name="Calculation 6 7 2 4 2" xfId="24533" xr:uid="{00000000-0005-0000-0000-0000B1170000}"/>
    <cellStyle name="Calculation 6 7 2 4 3" xfId="19642" xr:uid="{00000000-0005-0000-0000-0000B2170000}"/>
    <cellStyle name="Calculation 6 7 2 5" xfId="7557" xr:uid="{00000000-0005-0000-0000-0000B3170000}"/>
    <cellStyle name="Calculation 6 7 2 5 2" xfId="25987" xr:uid="{00000000-0005-0000-0000-0000B4170000}"/>
    <cellStyle name="Calculation 6 7 2 5 3" xfId="20912" xr:uid="{00000000-0005-0000-0000-0000B5170000}"/>
    <cellStyle name="Calculation 6 7 2 6" xfId="7930" xr:uid="{00000000-0005-0000-0000-0000B6170000}"/>
    <cellStyle name="Calculation 6 7 2 6 2" xfId="26360" xr:uid="{00000000-0005-0000-0000-0000B7170000}"/>
    <cellStyle name="Calculation 6 7 2 6 3" xfId="21284" xr:uid="{00000000-0005-0000-0000-0000B8170000}"/>
    <cellStyle name="Calculation 6 7 2 7" xfId="8652" xr:uid="{00000000-0005-0000-0000-0000B9170000}"/>
    <cellStyle name="Calculation 6 7 2 7 2" xfId="27074" xr:uid="{00000000-0005-0000-0000-0000BA170000}"/>
    <cellStyle name="Calculation 6 7 2 7 3" xfId="21943" xr:uid="{00000000-0005-0000-0000-0000BB170000}"/>
    <cellStyle name="Calculation 6 7 2 8" xfId="4144" xr:uid="{00000000-0005-0000-0000-0000BC170000}"/>
    <cellStyle name="Calculation 6 7 2 8 2" xfId="22610" xr:uid="{00000000-0005-0000-0000-0000BD170000}"/>
    <cellStyle name="Calculation 6 7 2 8 3" xfId="17826" xr:uid="{00000000-0005-0000-0000-0000BE170000}"/>
    <cellStyle name="Calculation 6 7 2 9" xfId="15132" xr:uid="{00000000-0005-0000-0000-0000BF170000}"/>
    <cellStyle name="Calculation 6 7 2 9 2" xfId="36543" xr:uid="{00000000-0005-0000-0000-0000C0170000}"/>
    <cellStyle name="Calculation 6 7 2 9 3" xfId="17153" xr:uid="{00000000-0005-0000-0000-0000C1170000}"/>
    <cellStyle name="Calculation 6 7 3" xfId="4644" xr:uid="{00000000-0005-0000-0000-0000C2170000}"/>
    <cellStyle name="Calculation 6 7 3 2" xfId="23104" xr:uid="{00000000-0005-0000-0000-0000C3170000}"/>
    <cellStyle name="Calculation 6 7 3 3" xfId="18320" xr:uid="{00000000-0005-0000-0000-0000C4170000}"/>
    <cellStyle name="Calculation 6 7 4" xfId="4500" xr:uid="{00000000-0005-0000-0000-0000C5170000}"/>
    <cellStyle name="Calculation 6 7 4 2" xfId="22960" xr:uid="{00000000-0005-0000-0000-0000C6170000}"/>
    <cellStyle name="Calculation 6 7 4 3" xfId="18179" xr:uid="{00000000-0005-0000-0000-0000C7170000}"/>
    <cellStyle name="Calculation 6 7 5" xfId="6729" xr:uid="{00000000-0005-0000-0000-0000C8170000}"/>
    <cellStyle name="Calculation 6 7 5 2" xfId="25167" xr:uid="{00000000-0005-0000-0000-0000C9170000}"/>
    <cellStyle name="Calculation 6 7 5 3" xfId="20159" xr:uid="{00000000-0005-0000-0000-0000CA170000}"/>
    <cellStyle name="Calculation 6 7 6" xfId="6944" xr:uid="{00000000-0005-0000-0000-0000CB170000}"/>
    <cellStyle name="Calculation 6 7 6 2" xfId="25382" xr:uid="{00000000-0005-0000-0000-0000CC170000}"/>
    <cellStyle name="Calculation 6 7 6 3" xfId="20325" xr:uid="{00000000-0005-0000-0000-0000CD170000}"/>
    <cellStyle name="Calculation 6 7 7" xfId="7078" xr:uid="{00000000-0005-0000-0000-0000CE170000}"/>
    <cellStyle name="Calculation 6 7 7 2" xfId="25512" xr:uid="{00000000-0005-0000-0000-0000CF170000}"/>
    <cellStyle name="Calculation 6 7 7 3" xfId="20443" xr:uid="{00000000-0005-0000-0000-0000D0170000}"/>
    <cellStyle name="Calculation 6 7 8" xfId="8271" xr:uid="{00000000-0005-0000-0000-0000D1170000}"/>
    <cellStyle name="Calculation 6 7 8 2" xfId="26696" xr:uid="{00000000-0005-0000-0000-0000D2170000}"/>
    <cellStyle name="Calculation 6 7 8 3" xfId="21622" xr:uid="{00000000-0005-0000-0000-0000D3170000}"/>
    <cellStyle name="Calculation 6 7 9" xfId="3822" xr:uid="{00000000-0005-0000-0000-0000D4170000}"/>
    <cellStyle name="Calculation 6 7 9 2" xfId="22291" xr:uid="{00000000-0005-0000-0000-0000D5170000}"/>
    <cellStyle name="Calculation 6 7 9 3" xfId="17505" xr:uid="{00000000-0005-0000-0000-0000D6170000}"/>
    <cellStyle name="Calculation 6 8" xfId="1642" xr:uid="{00000000-0005-0000-0000-0000D7170000}"/>
    <cellStyle name="Calculation 6 8 10" xfId="15722" xr:uid="{00000000-0005-0000-0000-0000D8170000}"/>
    <cellStyle name="Calculation 6 8 10 2" xfId="37087" xr:uid="{00000000-0005-0000-0000-0000D9170000}"/>
    <cellStyle name="Calculation 6 8 10 3" xfId="16818" xr:uid="{00000000-0005-0000-0000-0000DA170000}"/>
    <cellStyle name="Calculation 6 8 11" xfId="14937" xr:uid="{00000000-0005-0000-0000-0000DB170000}"/>
    <cellStyle name="Calculation 6 8 11 2" xfId="36385" xr:uid="{00000000-0005-0000-0000-0000DC170000}"/>
    <cellStyle name="Calculation 6 8 12" xfId="31214" xr:uid="{00000000-0005-0000-0000-0000DD170000}"/>
    <cellStyle name="Calculation 6 8 2" xfId="3384" xr:uid="{00000000-0005-0000-0000-0000DE170000}"/>
    <cellStyle name="Calculation 6 8 2 10" xfId="16097" xr:uid="{00000000-0005-0000-0000-0000DF170000}"/>
    <cellStyle name="Calculation 6 8 2 10 2" xfId="37419" xr:uid="{00000000-0005-0000-0000-0000E0170000}"/>
    <cellStyle name="Calculation 6 8 2 11" xfId="31444" xr:uid="{00000000-0005-0000-0000-0000E1170000}"/>
    <cellStyle name="Calculation 6 8 2 2" xfId="5522" xr:uid="{00000000-0005-0000-0000-0000E2170000}"/>
    <cellStyle name="Calculation 6 8 2 2 2" xfId="23975" xr:uid="{00000000-0005-0000-0000-0000E3170000}"/>
    <cellStyle name="Calculation 6 8 2 2 3" xfId="19110" xr:uid="{00000000-0005-0000-0000-0000E4170000}"/>
    <cellStyle name="Calculation 6 8 2 3" xfId="5044" xr:uid="{00000000-0005-0000-0000-0000E5170000}"/>
    <cellStyle name="Calculation 6 8 2 3 2" xfId="23504" xr:uid="{00000000-0005-0000-0000-0000E6170000}"/>
    <cellStyle name="Calculation 6 8 2 3 3" xfId="18658" xr:uid="{00000000-0005-0000-0000-0000E7170000}"/>
    <cellStyle name="Calculation 6 8 2 4" xfId="6091" xr:uid="{00000000-0005-0000-0000-0000E8170000}"/>
    <cellStyle name="Calculation 6 8 2 4 2" xfId="24532" xr:uid="{00000000-0005-0000-0000-0000E9170000}"/>
    <cellStyle name="Calculation 6 8 2 4 3" xfId="19641" xr:uid="{00000000-0005-0000-0000-0000EA170000}"/>
    <cellStyle name="Calculation 6 8 2 5" xfId="7558" xr:uid="{00000000-0005-0000-0000-0000EB170000}"/>
    <cellStyle name="Calculation 6 8 2 5 2" xfId="25988" xr:uid="{00000000-0005-0000-0000-0000EC170000}"/>
    <cellStyle name="Calculation 6 8 2 5 3" xfId="20913" xr:uid="{00000000-0005-0000-0000-0000ED170000}"/>
    <cellStyle name="Calculation 6 8 2 6" xfId="7931" xr:uid="{00000000-0005-0000-0000-0000EE170000}"/>
    <cellStyle name="Calculation 6 8 2 6 2" xfId="26361" xr:uid="{00000000-0005-0000-0000-0000EF170000}"/>
    <cellStyle name="Calculation 6 8 2 6 3" xfId="21285" xr:uid="{00000000-0005-0000-0000-0000F0170000}"/>
    <cellStyle name="Calculation 6 8 2 7" xfId="8653" xr:uid="{00000000-0005-0000-0000-0000F1170000}"/>
    <cellStyle name="Calculation 6 8 2 7 2" xfId="27075" xr:uid="{00000000-0005-0000-0000-0000F2170000}"/>
    <cellStyle name="Calculation 6 8 2 7 3" xfId="21944" xr:uid="{00000000-0005-0000-0000-0000F3170000}"/>
    <cellStyle name="Calculation 6 8 2 8" xfId="4145" xr:uid="{00000000-0005-0000-0000-0000F4170000}"/>
    <cellStyle name="Calculation 6 8 2 8 2" xfId="22611" xr:uid="{00000000-0005-0000-0000-0000F5170000}"/>
    <cellStyle name="Calculation 6 8 2 8 3" xfId="17827" xr:uid="{00000000-0005-0000-0000-0000F6170000}"/>
    <cellStyle name="Calculation 6 8 2 9" xfId="14489" xr:uid="{00000000-0005-0000-0000-0000F7170000}"/>
    <cellStyle name="Calculation 6 8 2 9 2" xfId="36017" xr:uid="{00000000-0005-0000-0000-0000F8170000}"/>
    <cellStyle name="Calculation 6 8 2 9 3" xfId="17154" xr:uid="{00000000-0005-0000-0000-0000F9170000}"/>
    <cellStyle name="Calculation 6 8 3" xfId="4645" xr:uid="{00000000-0005-0000-0000-0000FA170000}"/>
    <cellStyle name="Calculation 6 8 3 2" xfId="23105" xr:uid="{00000000-0005-0000-0000-0000FB170000}"/>
    <cellStyle name="Calculation 6 8 3 3" xfId="18321" xr:uid="{00000000-0005-0000-0000-0000FC170000}"/>
    <cellStyle name="Calculation 6 8 4" xfId="4501" xr:uid="{00000000-0005-0000-0000-0000FD170000}"/>
    <cellStyle name="Calculation 6 8 4 2" xfId="22961" xr:uid="{00000000-0005-0000-0000-0000FE170000}"/>
    <cellStyle name="Calculation 6 8 4 3" xfId="18180" xr:uid="{00000000-0005-0000-0000-0000FF170000}"/>
    <cellStyle name="Calculation 6 8 5" xfId="6728" xr:uid="{00000000-0005-0000-0000-000000180000}"/>
    <cellStyle name="Calculation 6 8 5 2" xfId="25166" xr:uid="{00000000-0005-0000-0000-000001180000}"/>
    <cellStyle name="Calculation 6 8 5 3" xfId="20158" xr:uid="{00000000-0005-0000-0000-000002180000}"/>
    <cellStyle name="Calculation 6 8 6" xfId="6945" xr:uid="{00000000-0005-0000-0000-000003180000}"/>
    <cellStyle name="Calculation 6 8 6 2" xfId="25383" xr:uid="{00000000-0005-0000-0000-000004180000}"/>
    <cellStyle name="Calculation 6 8 6 3" xfId="20326" xr:uid="{00000000-0005-0000-0000-000005180000}"/>
    <cellStyle name="Calculation 6 8 7" xfId="6166" xr:uid="{00000000-0005-0000-0000-000006180000}"/>
    <cellStyle name="Calculation 6 8 7 2" xfId="24606" xr:uid="{00000000-0005-0000-0000-000007180000}"/>
    <cellStyle name="Calculation 6 8 7 3" xfId="19716" xr:uid="{00000000-0005-0000-0000-000008180000}"/>
    <cellStyle name="Calculation 6 8 8" xfId="8272" xr:uid="{00000000-0005-0000-0000-000009180000}"/>
    <cellStyle name="Calculation 6 8 8 2" xfId="26697" xr:uid="{00000000-0005-0000-0000-00000A180000}"/>
    <cellStyle name="Calculation 6 8 8 3" xfId="21623" xr:uid="{00000000-0005-0000-0000-00000B180000}"/>
    <cellStyle name="Calculation 6 8 9" xfId="3823" xr:uid="{00000000-0005-0000-0000-00000C180000}"/>
    <cellStyle name="Calculation 6 8 9 2" xfId="22292" xr:uid="{00000000-0005-0000-0000-00000D180000}"/>
    <cellStyle name="Calculation 6 8 9 3" xfId="17506" xr:uid="{00000000-0005-0000-0000-00000E180000}"/>
    <cellStyle name="Calculation 6 9" xfId="1643" xr:uid="{00000000-0005-0000-0000-00000F180000}"/>
    <cellStyle name="Calculation 6 9 10" xfId="15133" xr:uid="{00000000-0005-0000-0000-000010180000}"/>
    <cellStyle name="Calculation 6 9 10 2" xfId="36544" xr:uid="{00000000-0005-0000-0000-000011180000}"/>
    <cellStyle name="Calculation 6 9 10 3" xfId="16819" xr:uid="{00000000-0005-0000-0000-000012180000}"/>
    <cellStyle name="Calculation 6 9 11" xfId="15472" xr:uid="{00000000-0005-0000-0000-000013180000}"/>
    <cellStyle name="Calculation 6 9 11 2" xfId="36851" xr:uid="{00000000-0005-0000-0000-000014180000}"/>
    <cellStyle name="Calculation 6 9 12" xfId="31215" xr:uid="{00000000-0005-0000-0000-000015180000}"/>
    <cellStyle name="Calculation 6 9 2" xfId="3385" xr:uid="{00000000-0005-0000-0000-000016180000}"/>
    <cellStyle name="Calculation 6 9 2 10" xfId="15741" xr:uid="{00000000-0005-0000-0000-000017180000}"/>
    <cellStyle name="Calculation 6 9 2 10 2" xfId="37106" xr:uid="{00000000-0005-0000-0000-000018180000}"/>
    <cellStyle name="Calculation 6 9 2 11" xfId="31445" xr:uid="{00000000-0005-0000-0000-000019180000}"/>
    <cellStyle name="Calculation 6 9 2 2" xfId="5523" xr:uid="{00000000-0005-0000-0000-00001A180000}"/>
    <cellStyle name="Calculation 6 9 2 2 2" xfId="23976" xr:uid="{00000000-0005-0000-0000-00001B180000}"/>
    <cellStyle name="Calculation 6 9 2 2 3" xfId="19111" xr:uid="{00000000-0005-0000-0000-00001C180000}"/>
    <cellStyle name="Calculation 6 9 2 3" xfId="5045" xr:uid="{00000000-0005-0000-0000-00001D180000}"/>
    <cellStyle name="Calculation 6 9 2 3 2" xfId="23505" xr:uid="{00000000-0005-0000-0000-00001E180000}"/>
    <cellStyle name="Calculation 6 9 2 3 3" xfId="18659" xr:uid="{00000000-0005-0000-0000-00001F180000}"/>
    <cellStyle name="Calculation 6 9 2 4" xfId="6090" xr:uid="{00000000-0005-0000-0000-000020180000}"/>
    <cellStyle name="Calculation 6 9 2 4 2" xfId="24531" xr:uid="{00000000-0005-0000-0000-000021180000}"/>
    <cellStyle name="Calculation 6 9 2 4 3" xfId="19640" xr:uid="{00000000-0005-0000-0000-000022180000}"/>
    <cellStyle name="Calculation 6 9 2 5" xfId="7559" xr:uid="{00000000-0005-0000-0000-000023180000}"/>
    <cellStyle name="Calculation 6 9 2 5 2" xfId="25989" xr:uid="{00000000-0005-0000-0000-000024180000}"/>
    <cellStyle name="Calculation 6 9 2 5 3" xfId="20914" xr:uid="{00000000-0005-0000-0000-000025180000}"/>
    <cellStyle name="Calculation 6 9 2 6" xfId="7932" xr:uid="{00000000-0005-0000-0000-000026180000}"/>
    <cellStyle name="Calculation 6 9 2 6 2" xfId="26362" xr:uid="{00000000-0005-0000-0000-000027180000}"/>
    <cellStyle name="Calculation 6 9 2 6 3" xfId="21286" xr:uid="{00000000-0005-0000-0000-000028180000}"/>
    <cellStyle name="Calculation 6 9 2 7" xfId="8654" xr:uid="{00000000-0005-0000-0000-000029180000}"/>
    <cellStyle name="Calculation 6 9 2 7 2" xfId="27076" xr:uid="{00000000-0005-0000-0000-00002A180000}"/>
    <cellStyle name="Calculation 6 9 2 7 3" xfId="21945" xr:uid="{00000000-0005-0000-0000-00002B180000}"/>
    <cellStyle name="Calculation 6 9 2 8" xfId="4146" xr:uid="{00000000-0005-0000-0000-00002C180000}"/>
    <cellStyle name="Calculation 6 9 2 8 2" xfId="22612" xr:uid="{00000000-0005-0000-0000-00002D180000}"/>
    <cellStyle name="Calculation 6 9 2 8 3" xfId="17828" xr:uid="{00000000-0005-0000-0000-00002E180000}"/>
    <cellStyle name="Calculation 6 9 2 9" xfId="14490" xr:uid="{00000000-0005-0000-0000-00002F180000}"/>
    <cellStyle name="Calculation 6 9 2 9 2" xfId="36018" xr:uid="{00000000-0005-0000-0000-000030180000}"/>
    <cellStyle name="Calculation 6 9 2 9 3" xfId="17155" xr:uid="{00000000-0005-0000-0000-000031180000}"/>
    <cellStyle name="Calculation 6 9 3" xfId="4646" xr:uid="{00000000-0005-0000-0000-000032180000}"/>
    <cellStyle name="Calculation 6 9 3 2" xfId="23106" xr:uid="{00000000-0005-0000-0000-000033180000}"/>
    <cellStyle name="Calculation 6 9 3 3" xfId="18322" xr:uid="{00000000-0005-0000-0000-000034180000}"/>
    <cellStyle name="Calculation 6 9 4" xfId="4502" xr:uid="{00000000-0005-0000-0000-000035180000}"/>
    <cellStyle name="Calculation 6 9 4 2" xfId="22962" xr:uid="{00000000-0005-0000-0000-000036180000}"/>
    <cellStyle name="Calculation 6 9 4 3" xfId="18181" xr:uid="{00000000-0005-0000-0000-000037180000}"/>
    <cellStyle name="Calculation 6 9 5" xfId="6727" xr:uid="{00000000-0005-0000-0000-000038180000}"/>
    <cellStyle name="Calculation 6 9 5 2" xfId="25165" xr:uid="{00000000-0005-0000-0000-000039180000}"/>
    <cellStyle name="Calculation 6 9 5 3" xfId="20157" xr:uid="{00000000-0005-0000-0000-00003A180000}"/>
    <cellStyle name="Calculation 6 9 6" xfId="6946" xr:uid="{00000000-0005-0000-0000-00003B180000}"/>
    <cellStyle name="Calculation 6 9 6 2" xfId="25384" xr:uid="{00000000-0005-0000-0000-00003C180000}"/>
    <cellStyle name="Calculation 6 9 6 3" xfId="20327" xr:uid="{00000000-0005-0000-0000-00003D180000}"/>
    <cellStyle name="Calculation 6 9 7" xfId="6892" xr:uid="{00000000-0005-0000-0000-00003E180000}"/>
    <cellStyle name="Calculation 6 9 7 2" xfId="25330" xr:uid="{00000000-0005-0000-0000-00003F180000}"/>
    <cellStyle name="Calculation 6 9 7 3" xfId="20273" xr:uid="{00000000-0005-0000-0000-000040180000}"/>
    <cellStyle name="Calculation 6 9 8" xfId="8273" xr:uid="{00000000-0005-0000-0000-000041180000}"/>
    <cellStyle name="Calculation 6 9 8 2" xfId="26698" xr:uid="{00000000-0005-0000-0000-000042180000}"/>
    <cellStyle name="Calculation 6 9 8 3" xfId="21624" xr:uid="{00000000-0005-0000-0000-000043180000}"/>
    <cellStyle name="Calculation 6 9 9" xfId="3824" xr:uid="{00000000-0005-0000-0000-000044180000}"/>
    <cellStyle name="Calculation 6 9 9 2" xfId="22293" xr:uid="{00000000-0005-0000-0000-000045180000}"/>
    <cellStyle name="Calculation 6 9 9 3" xfId="17507" xr:uid="{00000000-0005-0000-0000-000046180000}"/>
    <cellStyle name="Calculation 7" xfId="1644" xr:uid="{00000000-0005-0000-0000-000047180000}"/>
    <cellStyle name="Calculation 7 10" xfId="15134" xr:uid="{00000000-0005-0000-0000-000048180000}"/>
    <cellStyle name="Calculation 7 10 2" xfId="36545" xr:uid="{00000000-0005-0000-0000-000049180000}"/>
    <cellStyle name="Calculation 7 10 3" xfId="16820" xr:uid="{00000000-0005-0000-0000-00004A180000}"/>
    <cellStyle name="Calculation 7 11" xfId="15496" xr:uid="{00000000-0005-0000-0000-00004B180000}"/>
    <cellStyle name="Calculation 7 11 2" xfId="36874" xr:uid="{00000000-0005-0000-0000-00004C180000}"/>
    <cellStyle name="Calculation 7 12" xfId="31216" xr:uid="{00000000-0005-0000-0000-00004D180000}"/>
    <cellStyle name="Calculation 7 13" xfId="39081" xr:uid="{00000000-0005-0000-0000-00008A060000}"/>
    <cellStyle name="Calculation 7 14" xfId="41048" xr:uid="{00000000-0005-0000-0000-00008A060000}"/>
    <cellStyle name="Calculation 7 2" xfId="3386" xr:uid="{00000000-0005-0000-0000-00004E180000}"/>
    <cellStyle name="Calculation 7 2 10" xfId="16347" xr:uid="{00000000-0005-0000-0000-00004F180000}"/>
    <cellStyle name="Calculation 7 2 10 2" xfId="37650" xr:uid="{00000000-0005-0000-0000-000050180000}"/>
    <cellStyle name="Calculation 7 2 11" xfId="31446" xr:uid="{00000000-0005-0000-0000-000051180000}"/>
    <cellStyle name="Calculation 7 2 2" xfId="5524" xr:uid="{00000000-0005-0000-0000-000052180000}"/>
    <cellStyle name="Calculation 7 2 2 2" xfId="23977" xr:uid="{00000000-0005-0000-0000-000053180000}"/>
    <cellStyle name="Calculation 7 2 2 3" xfId="19112" xr:uid="{00000000-0005-0000-0000-000054180000}"/>
    <cellStyle name="Calculation 7 2 3" xfId="5046" xr:uid="{00000000-0005-0000-0000-000055180000}"/>
    <cellStyle name="Calculation 7 2 3 2" xfId="23506" xr:uid="{00000000-0005-0000-0000-000056180000}"/>
    <cellStyle name="Calculation 7 2 3 3" xfId="18660" xr:uid="{00000000-0005-0000-0000-000057180000}"/>
    <cellStyle name="Calculation 7 2 4" xfId="6089" xr:uid="{00000000-0005-0000-0000-000058180000}"/>
    <cellStyle name="Calculation 7 2 4 2" xfId="24530" xr:uid="{00000000-0005-0000-0000-000059180000}"/>
    <cellStyle name="Calculation 7 2 4 3" xfId="19639" xr:uid="{00000000-0005-0000-0000-00005A180000}"/>
    <cellStyle name="Calculation 7 2 5" xfId="7560" xr:uid="{00000000-0005-0000-0000-00005B180000}"/>
    <cellStyle name="Calculation 7 2 5 2" xfId="25990" xr:uid="{00000000-0005-0000-0000-00005C180000}"/>
    <cellStyle name="Calculation 7 2 5 3" xfId="20915" xr:uid="{00000000-0005-0000-0000-00005D180000}"/>
    <cellStyle name="Calculation 7 2 6" xfId="7933" xr:uid="{00000000-0005-0000-0000-00005E180000}"/>
    <cellStyle name="Calculation 7 2 6 2" xfId="26363" xr:uid="{00000000-0005-0000-0000-00005F180000}"/>
    <cellStyle name="Calculation 7 2 6 3" xfId="21287" xr:uid="{00000000-0005-0000-0000-000060180000}"/>
    <cellStyle name="Calculation 7 2 7" xfId="8655" xr:uid="{00000000-0005-0000-0000-000061180000}"/>
    <cellStyle name="Calculation 7 2 7 2" xfId="27077" xr:uid="{00000000-0005-0000-0000-000062180000}"/>
    <cellStyle name="Calculation 7 2 7 3" xfId="21946" xr:uid="{00000000-0005-0000-0000-000063180000}"/>
    <cellStyle name="Calculation 7 2 8" xfId="4147" xr:uid="{00000000-0005-0000-0000-000064180000}"/>
    <cellStyle name="Calculation 7 2 8 2" xfId="22613" xr:uid="{00000000-0005-0000-0000-000065180000}"/>
    <cellStyle name="Calculation 7 2 8 3" xfId="17829" xr:uid="{00000000-0005-0000-0000-000066180000}"/>
    <cellStyle name="Calculation 7 2 9" xfId="14491" xr:uid="{00000000-0005-0000-0000-000067180000}"/>
    <cellStyle name="Calculation 7 2 9 2" xfId="36019" xr:uid="{00000000-0005-0000-0000-000068180000}"/>
    <cellStyle name="Calculation 7 2 9 3" xfId="17156" xr:uid="{00000000-0005-0000-0000-000069180000}"/>
    <cellStyle name="Calculation 7 3" xfId="4647" xr:uid="{00000000-0005-0000-0000-00006A180000}"/>
    <cellStyle name="Calculation 7 3 2" xfId="23107" xr:uid="{00000000-0005-0000-0000-00006B180000}"/>
    <cellStyle name="Calculation 7 3 3" xfId="18323" xr:uid="{00000000-0005-0000-0000-00006C180000}"/>
    <cellStyle name="Calculation 7 4" xfId="4503" xr:uid="{00000000-0005-0000-0000-00006D180000}"/>
    <cellStyle name="Calculation 7 4 2" xfId="22963" xr:uid="{00000000-0005-0000-0000-00006E180000}"/>
    <cellStyle name="Calculation 7 4 3" xfId="18182" xr:uid="{00000000-0005-0000-0000-00006F180000}"/>
    <cellStyle name="Calculation 7 5" xfId="6726" xr:uid="{00000000-0005-0000-0000-000070180000}"/>
    <cellStyle name="Calculation 7 5 2" xfId="25164" xr:uid="{00000000-0005-0000-0000-000071180000}"/>
    <cellStyle name="Calculation 7 5 3" xfId="20156" xr:uid="{00000000-0005-0000-0000-000072180000}"/>
    <cellStyle name="Calculation 7 6" xfId="6947" xr:uid="{00000000-0005-0000-0000-000073180000}"/>
    <cellStyle name="Calculation 7 6 2" xfId="25385" xr:uid="{00000000-0005-0000-0000-000074180000}"/>
    <cellStyle name="Calculation 7 6 3" xfId="20328" xr:uid="{00000000-0005-0000-0000-000075180000}"/>
    <cellStyle name="Calculation 7 7" xfId="7077" xr:uid="{00000000-0005-0000-0000-000076180000}"/>
    <cellStyle name="Calculation 7 7 2" xfId="25511" xr:uid="{00000000-0005-0000-0000-000077180000}"/>
    <cellStyle name="Calculation 7 7 3" xfId="20442" xr:uid="{00000000-0005-0000-0000-000078180000}"/>
    <cellStyle name="Calculation 7 8" xfId="8274" xr:uid="{00000000-0005-0000-0000-000079180000}"/>
    <cellStyle name="Calculation 7 8 2" xfId="26699" xr:uid="{00000000-0005-0000-0000-00007A180000}"/>
    <cellStyle name="Calculation 7 8 3" xfId="21625" xr:uid="{00000000-0005-0000-0000-00007B180000}"/>
    <cellStyle name="Calculation 7 9" xfId="3825" xr:uid="{00000000-0005-0000-0000-00007C180000}"/>
    <cellStyle name="Calculation 7 9 2" xfId="22294" xr:uid="{00000000-0005-0000-0000-00007D180000}"/>
    <cellStyle name="Calculation 7 9 3" xfId="17508" xr:uid="{00000000-0005-0000-0000-00007E180000}"/>
    <cellStyle name="Calculation 8" xfId="1645" xr:uid="{00000000-0005-0000-0000-00007F180000}"/>
    <cellStyle name="Calculation 8 10" xfId="15135" xr:uid="{00000000-0005-0000-0000-000080180000}"/>
    <cellStyle name="Calculation 8 10 2" xfId="36546" xr:uid="{00000000-0005-0000-0000-000081180000}"/>
    <cellStyle name="Calculation 8 10 3" xfId="16821" xr:uid="{00000000-0005-0000-0000-000082180000}"/>
    <cellStyle name="Calculation 8 11" xfId="15743" xr:uid="{00000000-0005-0000-0000-000083180000}"/>
    <cellStyle name="Calculation 8 11 2" xfId="37108" xr:uid="{00000000-0005-0000-0000-000084180000}"/>
    <cellStyle name="Calculation 8 12" xfId="31217" xr:uid="{00000000-0005-0000-0000-000085180000}"/>
    <cellStyle name="Calculation 8 13" xfId="39082" xr:uid="{00000000-0005-0000-0000-00008B060000}"/>
    <cellStyle name="Calculation 8 14" xfId="41049" xr:uid="{00000000-0005-0000-0000-00008B060000}"/>
    <cellStyle name="Calculation 8 2" xfId="3387" xr:uid="{00000000-0005-0000-0000-000086180000}"/>
    <cellStyle name="Calculation 8 2 10" xfId="15319" xr:uid="{00000000-0005-0000-0000-000087180000}"/>
    <cellStyle name="Calculation 8 2 10 2" xfId="36710" xr:uid="{00000000-0005-0000-0000-000088180000}"/>
    <cellStyle name="Calculation 8 2 11" xfId="31447" xr:uid="{00000000-0005-0000-0000-000089180000}"/>
    <cellStyle name="Calculation 8 2 2" xfId="5525" xr:uid="{00000000-0005-0000-0000-00008A180000}"/>
    <cellStyle name="Calculation 8 2 2 2" xfId="23978" xr:uid="{00000000-0005-0000-0000-00008B180000}"/>
    <cellStyle name="Calculation 8 2 2 3" xfId="19113" xr:uid="{00000000-0005-0000-0000-00008C180000}"/>
    <cellStyle name="Calculation 8 2 3" xfId="5047" xr:uid="{00000000-0005-0000-0000-00008D180000}"/>
    <cellStyle name="Calculation 8 2 3 2" xfId="23507" xr:uid="{00000000-0005-0000-0000-00008E180000}"/>
    <cellStyle name="Calculation 8 2 3 3" xfId="18661" xr:uid="{00000000-0005-0000-0000-00008F180000}"/>
    <cellStyle name="Calculation 8 2 4" xfId="6088" xr:uid="{00000000-0005-0000-0000-000090180000}"/>
    <cellStyle name="Calculation 8 2 4 2" xfId="24529" xr:uid="{00000000-0005-0000-0000-000091180000}"/>
    <cellStyle name="Calculation 8 2 4 3" xfId="19638" xr:uid="{00000000-0005-0000-0000-000092180000}"/>
    <cellStyle name="Calculation 8 2 5" xfId="7561" xr:uid="{00000000-0005-0000-0000-000093180000}"/>
    <cellStyle name="Calculation 8 2 5 2" xfId="25991" xr:uid="{00000000-0005-0000-0000-000094180000}"/>
    <cellStyle name="Calculation 8 2 5 3" xfId="20916" xr:uid="{00000000-0005-0000-0000-000095180000}"/>
    <cellStyle name="Calculation 8 2 6" xfId="7934" xr:uid="{00000000-0005-0000-0000-000096180000}"/>
    <cellStyle name="Calculation 8 2 6 2" xfId="26364" xr:uid="{00000000-0005-0000-0000-000097180000}"/>
    <cellStyle name="Calculation 8 2 6 3" xfId="21288" xr:uid="{00000000-0005-0000-0000-000098180000}"/>
    <cellStyle name="Calculation 8 2 7" xfId="8656" xr:uid="{00000000-0005-0000-0000-000099180000}"/>
    <cellStyle name="Calculation 8 2 7 2" xfId="27078" xr:uid="{00000000-0005-0000-0000-00009A180000}"/>
    <cellStyle name="Calculation 8 2 7 3" xfId="21947" xr:uid="{00000000-0005-0000-0000-00009B180000}"/>
    <cellStyle name="Calculation 8 2 8" xfId="4148" xr:uid="{00000000-0005-0000-0000-00009C180000}"/>
    <cellStyle name="Calculation 8 2 8 2" xfId="22614" xr:uid="{00000000-0005-0000-0000-00009D180000}"/>
    <cellStyle name="Calculation 8 2 8 3" xfId="17830" xr:uid="{00000000-0005-0000-0000-00009E180000}"/>
    <cellStyle name="Calculation 8 2 9" xfId="14492" xr:uid="{00000000-0005-0000-0000-00009F180000}"/>
    <cellStyle name="Calculation 8 2 9 2" xfId="36020" xr:uid="{00000000-0005-0000-0000-0000A0180000}"/>
    <cellStyle name="Calculation 8 2 9 3" xfId="17157" xr:uid="{00000000-0005-0000-0000-0000A1180000}"/>
    <cellStyle name="Calculation 8 3" xfId="4648" xr:uid="{00000000-0005-0000-0000-0000A2180000}"/>
    <cellStyle name="Calculation 8 3 2" xfId="23108" xr:uid="{00000000-0005-0000-0000-0000A3180000}"/>
    <cellStyle name="Calculation 8 3 3" xfId="18324" xr:uid="{00000000-0005-0000-0000-0000A4180000}"/>
    <cellStyle name="Calculation 8 4" xfId="4504" xr:uid="{00000000-0005-0000-0000-0000A5180000}"/>
    <cellStyle name="Calculation 8 4 2" xfId="22964" xr:uid="{00000000-0005-0000-0000-0000A6180000}"/>
    <cellStyle name="Calculation 8 4 3" xfId="18183" xr:uid="{00000000-0005-0000-0000-0000A7180000}"/>
    <cellStyle name="Calculation 8 5" xfId="6725" xr:uid="{00000000-0005-0000-0000-0000A8180000}"/>
    <cellStyle name="Calculation 8 5 2" xfId="25163" xr:uid="{00000000-0005-0000-0000-0000A9180000}"/>
    <cellStyle name="Calculation 8 5 3" xfId="20155" xr:uid="{00000000-0005-0000-0000-0000AA180000}"/>
    <cellStyle name="Calculation 8 6" xfId="6948" xr:uid="{00000000-0005-0000-0000-0000AB180000}"/>
    <cellStyle name="Calculation 8 6 2" xfId="25386" xr:uid="{00000000-0005-0000-0000-0000AC180000}"/>
    <cellStyle name="Calculation 8 6 3" xfId="20329" xr:uid="{00000000-0005-0000-0000-0000AD180000}"/>
    <cellStyle name="Calculation 8 7" xfId="6891" xr:uid="{00000000-0005-0000-0000-0000AE180000}"/>
    <cellStyle name="Calculation 8 7 2" xfId="25329" xr:uid="{00000000-0005-0000-0000-0000AF180000}"/>
    <cellStyle name="Calculation 8 7 3" xfId="20272" xr:uid="{00000000-0005-0000-0000-0000B0180000}"/>
    <cellStyle name="Calculation 8 8" xfId="8275" xr:uid="{00000000-0005-0000-0000-0000B1180000}"/>
    <cellStyle name="Calculation 8 8 2" xfId="26700" xr:uid="{00000000-0005-0000-0000-0000B2180000}"/>
    <cellStyle name="Calculation 8 8 3" xfId="21626" xr:uid="{00000000-0005-0000-0000-0000B3180000}"/>
    <cellStyle name="Calculation 8 9" xfId="3826" xr:uid="{00000000-0005-0000-0000-0000B4180000}"/>
    <cellStyle name="Calculation 8 9 2" xfId="22295" xr:uid="{00000000-0005-0000-0000-0000B5180000}"/>
    <cellStyle name="Calculation 8 9 3" xfId="17509" xr:uid="{00000000-0005-0000-0000-0000B6180000}"/>
    <cellStyle name="Calculation 9" xfId="1646" xr:uid="{00000000-0005-0000-0000-0000B7180000}"/>
    <cellStyle name="Calculation 9 10" xfId="15136" xr:uid="{00000000-0005-0000-0000-0000B8180000}"/>
    <cellStyle name="Calculation 9 10 2" xfId="36547" xr:uid="{00000000-0005-0000-0000-0000B9180000}"/>
    <cellStyle name="Calculation 9 10 3" xfId="16822" xr:uid="{00000000-0005-0000-0000-0000BA180000}"/>
    <cellStyle name="Calculation 9 11" xfId="16163" xr:uid="{00000000-0005-0000-0000-0000BB180000}"/>
    <cellStyle name="Calculation 9 11 2" xfId="37480" xr:uid="{00000000-0005-0000-0000-0000BC180000}"/>
    <cellStyle name="Calculation 9 12" xfId="31218" xr:uid="{00000000-0005-0000-0000-0000BD180000}"/>
    <cellStyle name="Calculation 9 13" xfId="39083" xr:uid="{00000000-0005-0000-0000-00008C060000}"/>
    <cellStyle name="Calculation 9 14" xfId="41050" xr:uid="{00000000-0005-0000-0000-00008C060000}"/>
    <cellStyle name="Calculation 9 2" xfId="3388" xr:uid="{00000000-0005-0000-0000-0000BE180000}"/>
    <cellStyle name="Calculation 9 2 10" xfId="15315" xr:uid="{00000000-0005-0000-0000-0000BF180000}"/>
    <cellStyle name="Calculation 9 2 10 2" xfId="36706" xr:uid="{00000000-0005-0000-0000-0000C0180000}"/>
    <cellStyle name="Calculation 9 2 11" xfId="31448" xr:uid="{00000000-0005-0000-0000-0000C1180000}"/>
    <cellStyle name="Calculation 9 2 2" xfId="5526" xr:uid="{00000000-0005-0000-0000-0000C2180000}"/>
    <cellStyle name="Calculation 9 2 2 2" xfId="23979" xr:uid="{00000000-0005-0000-0000-0000C3180000}"/>
    <cellStyle name="Calculation 9 2 2 3" xfId="19114" xr:uid="{00000000-0005-0000-0000-0000C4180000}"/>
    <cellStyle name="Calculation 9 2 3" xfId="5048" xr:uid="{00000000-0005-0000-0000-0000C5180000}"/>
    <cellStyle name="Calculation 9 2 3 2" xfId="23508" xr:uid="{00000000-0005-0000-0000-0000C6180000}"/>
    <cellStyle name="Calculation 9 2 3 3" xfId="18662" xr:uid="{00000000-0005-0000-0000-0000C7180000}"/>
    <cellStyle name="Calculation 9 2 4" xfId="6087" xr:uid="{00000000-0005-0000-0000-0000C8180000}"/>
    <cellStyle name="Calculation 9 2 4 2" xfId="24528" xr:uid="{00000000-0005-0000-0000-0000C9180000}"/>
    <cellStyle name="Calculation 9 2 4 3" xfId="19637" xr:uid="{00000000-0005-0000-0000-0000CA180000}"/>
    <cellStyle name="Calculation 9 2 5" xfId="7562" xr:uid="{00000000-0005-0000-0000-0000CB180000}"/>
    <cellStyle name="Calculation 9 2 5 2" xfId="25992" xr:uid="{00000000-0005-0000-0000-0000CC180000}"/>
    <cellStyle name="Calculation 9 2 5 3" xfId="20917" xr:uid="{00000000-0005-0000-0000-0000CD180000}"/>
    <cellStyle name="Calculation 9 2 6" xfId="7935" xr:uid="{00000000-0005-0000-0000-0000CE180000}"/>
    <cellStyle name="Calculation 9 2 6 2" xfId="26365" xr:uid="{00000000-0005-0000-0000-0000CF180000}"/>
    <cellStyle name="Calculation 9 2 6 3" xfId="21289" xr:uid="{00000000-0005-0000-0000-0000D0180000}"/>
    <cellStyle name="Calculation 9 2 7" xfId="8657" xr:uid="{00000000-0005-0000-0000-0000D1180000}"/>
    <cellStyle name="Calculation 9 2 7 2" xfId="27079" xr:uid="{00000000-0005-0000-0000-0000D2180000}"/>
    <cellStyle name="Calculation 9 2 7 3" xfId="21948" xr:uid="{00000000-0005-0000-0000-0000D3180000}"/>
    <cellStyle name="Calculation 9 2 8" xfId="4149" xr:uid="{00000000-0005-0000-0000-0000D4180000}"/>
    <cellStyle name="Calculation 9 2 8 2" xfId="22615" xr:uid="{00000000-0005-0000-0000-0000D5180000}"/>
    <cellStyle name="Calculation 9 2 8 3" xfId="17831" xr:uid="{00000000-0005-0000-0000-0000D6180000}"/>
    <cellStyle name="Calculation 9 2 9" xfId="14493" xr:uid="{00000000-0005-0000-0000-0000D7180000}"/>
    <cellStyle name="Calculation 9 2 9 2" xfId="36021" xr:uid="{00000000-0005-0000-0000-0000D8180000}"/>
    <cellStyle name="Calculation 9 2 9 3" xfId="17158" xr:uid="{00000000-0005-0000-0000-0000D9180000}"/>
    <cellStyle name="Calculation 9 3" xfId="4649" xr:uid="{00000000-0005-0000-0000-0000DA180000}"/>
    <cellStyle name="Calculation 9 3 2" xfId="23109" xr:uid="{00000000-0005-0000-0000-0000DB180000}"/>
    <cellStyle name="Calculation 9 3 3" xfId="18325" xr:uid="{00000000-0005-0000-0000-0000DC180000}"/>
    <cellStyle name="Calculation 9 4" xfId="4505" xr:uid="{00000000-0005-0000-0000-0000DD180000}"/>
    <cellStyle name="Calculation 9 4 2" xfId="22965" xr:uid="{00000000-0005-0000-0000-0000DE180000}"/>
    <cellStyle name="Calculation 9 4 3" xfId="18184" xr:uid="{00000000-0005-0000-0000-0000DF180000}"/>
    <cellStyle name="Calculation 9 5" xfId="6724" xr:uid="{00000000-0005-0000-0000-0000E0180000}"/>
    <cellStyle name="Calculation 9 5 2" xfId="25162" xr:uid="{00000000-0005-0000-0000-0000E1180000}"/>
    <cellStyle name="Calculation 9 5 3" xfId="20154" xr:uid="{00000000-0005-0000-0000-0000E2180000}"/>
    <cellStyle name="Calculation 9 6" xfId="6949" xr:uid="{00000000-0005-0000-0000-0000E3180000}"/>
    <cellStyle name="Calculation 9 6 2" xfId="25387" xr:uid="{00000000-0005-0000-0000-0000E4180000}"/>
    <cellStyle name="Calculation 9 6 3" xfId="20330" xr:uid="{00000000-0005-0000-0000-0000E5180000}"/>
    <cellStyle name="Calculation 9 7" xfId="7076" xr:uid="{00000000-0005-0000-0000-0000E6180000}"/>
    <cellStyle name="Calculation 9 7 2" xfId="25510" xr:uid="{00000000-0005-0000-0000-0000E7180000}"/>
    <cellStyle name="Calculation 9 7 3" xfId="20441" xr:uid="{00000000-0005-0000-0000-0000E8180000}"/>
    <cellStyle name="Calculation 9 8" xfId="8276" xr:uid="{00000000-0005-0000-0000-0000E9180000}"/>
    <cellStyle name="Calculation 9 8 2" xfId="26701" xr:uid="{00000000-0005-0000-0000-0000EA180000}"/>
    <cellStyle name="Calculation 9 8 3" xfId="21627" xr:uid="{00000000-0005-0000-0000-0000EB180000}"/>
    <cellStyle name="Calculation 9 9" xfId="3827" xr:uid="{00000000-0005-0000-0000-0000EC180000}"/>
    <cellStyle name="Calculation 9 9 2" xfId="22296" xr:uid="{00000000-0005-0000-0000-0000ED180000}"/>
    <cellStyle name="Calculation 9 9 3" xfId="17510" xr:uid="{00000000-0005-0000-0000-0000EE180000}"/>
    <cellStyle name="Cella collegata" xfId="3711" xr:uid="{00000000-0005-0000-0000-0000EF180000}"/>
    <cellStyle name="Cella da controllare" xfId="3712" xr:uid="{00000000-0005-0000-0000-0000F0180000}"/>
    <cellStyle name="Cella da controllare 2" xfId="5811" xr:uid="{00000000-0005-0000-0000-0000F1180000}"/>
    <cellStyle name="Cella da controllare 2 2" xfId="24258" xr:uid="{00000000-0005-0000-0000-0000F2180000}"/>
    <cellStyle name="Cella da controllare 3" xfId="7155" xr:uid="{00000000-0005-0000-0000-0000F3180000}"/>
    <cellStyle name="Cella da controllare 3 2" xfId="25588" xr:uid="{00000000-0005-0000-0000-0000F4180000}"/>
    <cellStyle name="Cella da controllare 4" xfId="7286" xr:uid="{00000000-0005-0000-0000-0000F5180000}"/>
    <cellStyle name="Cella da controllare 4 2" xfId="25717" xr:uid="{00000000-0005-0000-0000-0000F6180000}"/>
    <cellStyle name="Cella da controllare 5" xfId="8193" xr:uid="{00000000-0005-0000-0000-0000F7180000}"/>
    <cellStyle name="Cella da controllare 5 2" xfId="26623" xr:uid="{00000000-0005-0000-0000-0000F8180000}"/>
    <cellStyle name="Cella da controllare 6" xfId="8918" xr:uid="{00000000-0005-0000-0000-0000F9180000}"/>
    <cellStyle name="Cella da controllare 6 2" xfId="27337" xr:uid="{00000000-0005-0000-0000-0000FA180000}"/>
    <cellStyle name="Cella da controllare 7" xfId="22217" xr:uid="{00000000-0005-0000-0000-0000FB180000}"/>
    <cellStyle name="Cellule liée" xfId="26" xr:uid="{00000000-0005-0000-0000-0000FC180000}"/>
    <cellStyle name="Char" xfId="14155" xr:uid="{00000000-0005-0000-0000-0000FD180000}"/>
    <cellStyle name="Check Cell 10" xfId="1647" xr:uid="{00000000-0005-0000-0000-0000FE180000}"/>
    <cellStyle name="Check Cell 10 2" xfId="4650" xr:uid="{00000000-0005-0000-0000-0000FF180000}"/>
    <cellStyle name="Check Cell 10 2 2" xfId="23110" xr:uid="{00000000-0005-0000-0000-000000190000}"/>
    <cellStyle name="Check Cell 10 3" xfId="6603" xr:uid="{00000000-0005-0000-0000-000001190000}"/>
    <cellStyle name="Check Cell 10 3 2" xfId="25043" xr:uid="{00000000-0005-0000-0000-000002190000}"/>
    <cellStyle name="Check Cell 10 4" xfId="6723" xr:uid="{00000000-0005-0000-0000-000003190000}"/>
    <cellStyle name="Check Cell 10 4 2" xfId="25161" xr:uid="{00000000-0005-0000-0000-000004190000}"/>
    <cellStyle name="Check Cell 10 5" xfId="6890" xr:uid="{00000000-0005-0000-0000-000005190000}"/>
    <cellStyle name="Check Cell 10 5 2" xfId="25328" xr:uid="{00000000-0005-0000-0000-000006190000}"/>
    <cellStyle name="Check Cell 10 6" xfId="8277" xr:uid="{00000000-0005-0000-0000-000007190000}"/>
    <cellStyle name="Check Cell 10 6 2" xfId="26702" xr:uid="{00000000-0005-0000-0000-000008190000}"/>
    <cellStyle name="Check Cell 10 7" xfId="16763" xr:uid="{00000000-0005-0000-0000-000009190000}"/>
    <cellStyle name="Check Cell 11" xfId="39084" xr:uid="{00000000-0005-0000-0000-00008F060000}"/>
    <cellStyle name="Check Cell 12" xfId="39085" xr:uid="{00000000-0005-0000-0000-000090060000}"/>
    <cellStyle name="Check Cell 13" xfId="39086" xr:uid="{00000000-0005-0000-0000-000091060000}"/>
    <cellStyle name="Check Cell 14" xfId="39087" xr:uid="{00000000-0005-0000-0000-000092060000}"/>
    <cellStyle name="Check Cell 15" xfId="39088" xr:uid="{00000000-0005-0000-0000-000093060000}"/>
    <cellStyle name="Check Cell 16" xfId="39089" xr:uid="{00000000-0005-0000-0000-000094060000}"/>
    <cellStyle name="Check Cell 17" xfId="39090" xr:uid="{00000000-0005-0000-0000-000095060000}"/>
    <cellStyle name="Check Cell 18" xfId="39091" xr:uid="{00000000-0005-0000-0000-000096060000}"/>
    <cellStyle name="Check Cell 19" xfId="39092" xr:uid="{00000000-0005-0000-0000-000097060000}"/>
    <cellStyle name="Check Cell 2" xfId="1648" xr:uid="{00000000-0005-0000-0000-00000A190000}"/>
    <cellStyle name="Check Cell 2 10" xfId="1649" xr:uid="{00000000-0005-0000-0000-00000B190000}"/>
    <cellStyle name="Check Cell 2 10 2" xfId="4652" xr:uid="{00000000-0005-0000-0000-00000C190000}"/>
    <cellStyle name="Check Cell 2 10 2 2" xfId="23112" xr:uid="{00000000-0005-0000-0000-00000D190000}"/>
    <cellStyle name="Check Cell 2 10 3" xfId="6605" xr:uid="{00000000-0005-0000-0000-00000E190000}"/>
    <cellStyle name="Check Cell 2 10 3 2" xfId="25045" xr:uid="{00000000-0005-0000-0000-00000F190000}"/>
    <cellStyle name="Check Cell 2 10 4" xfId="6721" xr:uid="{00000000-0005-0000-0000-000010190000}"/>
    <cellStyle name="Check Cell 2 10 4 2" xfId="25159" xr:uid="{00000000-0005-0000-0000-000011190000}"/>
    <cellStyle name="Check Cell 2 10 5" xfId="6889" xr:uid="{00000000-0005-0000-0000-000012190000}"/>
    <cellStyle name="Check Cell 2 10 5 2" xfId="25327" xr:uid="{00000000-0005-0000-0000-000013190000}"/>
    <cellStyle name="Check Cell 2 10 6" xfId="8279" xr:uid="{00000000-0005-0000-0000-000014190000}"/>
    <cellStyle name="Check Cell 2 10 6 2" xfId="26704" xr:uid="{00000000-0005-0000-0000-000015190000}"/>
    <cellStyle name="Check Cell 2 10 7" xfId="16761" xr:uid="{00000000-0005-0000-0000-000016190000}"/>
    <cellStyle name="Check Cell 2 11" xfId="1650" xr:uid="{00000000-0005-0000-0000-000017190000}"/>
    <cellStyle name="Check Cell 2 11 2" xfId="4653" xr:uid="{00000000-0005-0000-0000-000018190000}"/>
    <cellStyle name="Check Cell 2 11 2 2" xfId="23113" xr:uid="{00000000-0005-0000-0000-000019190000}"/>
    <cellStyle name="Check Cell 2 11 3" xfId="6606" xr:uid="{00000000-0005-0000-0000-00001A190000}"/>
    <cellStyle name="Check Cell 2 11 3 2" xfId="25046" xr:uid="{00000000-0005-0000-0000-00001B190000}"/>
    <cellStyle name="Check Cell 2 11 4" xfId="6720" xr:uid="{00000000-0005-0000-0000-00001C190000}"/>
    <cellStyle name="Check Cell 2 11 4 2" xfId="25158" xr:uid="{00000000-0005-0000-0000-00001D190000}"/>
    <cellStyle name="Check Cell 2 11 5" xfId="7074" xr:uid="{00000000-0005-0000-0000-00001E190000}"/>
    <cellStyle name="Check Cell 2 11 5 2" xfId="25508" xr:uid="{00000000-0005-0000-0000-00001F190000}"/>
    <cellStyle name="Check Cell 2 11 6" xfId="8280" xr:uid="{00000000-0005-0000-0000-000020190000}"/>
    <cellStyle name="Check Cell 2 11 6 2" xfId="26705" xr:uid="{00000000-0005-0000-0000-000021190000}"/>
    <cellStyle name="Check Cell 2 11 7" xfId="16760" xr:uid="{00000000-0005-0000-0000-000022190000}"/>
    <cellStyle name="Check Cell 2 12" xfId="4651" xr:uid="{00000000-0005-0000-0000-000023190000}"/>
    <cellStyle name="Check Cell 2 12 2" xfId="23111" xr:uid="{00000000-0005-0000-0000-000024190000}"/>
    <cellStyle name="Check Cell 2 13" xfId="6604" xr:uid="{00000000-0005-0000-0000-000025190000}"/>
    <cellStyle name="Check Cell 2 13 2" xfId="25044" xr:uid="{00000000-0005-0000-0000-000026190000}"/>
    <cellStyle name="Check Cell 2 14" xfId="6722" xr:uid="{00000000-0005-0000-0000-000027190000}"/>
    <cellStyle name="Check Cell 2 14 2" xfId="25160" xr:uid="{00000000-0005-0000-0000-000028190000}"/>
    <cellStyle name="Check Cell 2 15" xfId="7075" xr:uid="{00000000-0005-0000-0000-000029190000}"/>
    <cellStyle name="Check Cell 2 15 2" xfId="25509" xr:uid="{00000000-0005-0000-0000-00002A190000}"/>
    <cellStyle name="Check Cell 2 16" xfId="8278" xr:uid="{00000000-0005-0000-0000-00002B190000}"/>
    <cellStyle name="Check Cell 2 16 2" xfId="26703" xr:uid="{00000000-0005-0000-0000-00002C190000}"/>
    <cellStyle name="Check Cell 2 17" xfId="16762" xr:uid="{00000000-0005-0000-0000-00002D190000}"/>
    <cellStyle name="Check Cell 2 2" xfId="1651" xr:uid="{00000000-0005-0000-0000-00002E190000}"/>
    <cellStyle name="Check Cell 2 2 2" xfId="4654" xr:uid="{00000000-0005-0000-0000-00002F190000}"/>
    <cellStyle name="Check Cell 2 2 2 2" xfId="23114" xr:uid="{00000000-0005-0000-0000-000030190000}"/>
    <cellStyle name="Check Cell 2 2 3" xfId="6607" xr:uid="{00000000-0005-0000-0000-000031190000}"/>
    <cellStyle name="Check Cell 2 2 3 2" xfId="25047" xr:uid="{00000000-0005-0000-0000-000032190000}"/>
    <cellStyle name="Check Cell 2 2 4" xfId="6719" xr:uid="{00000000-0005-0000-0000-000033190000}"/>
    <cellStyle name="Check Cell 2 2 4 2" xfId="25157" xr:uid="{00000000-0005-0000-0000-000034190000}"/>
    <cellStyle name="Check Cell 2 2 5" xfId="6888" xr:uid="{00000000-0005-0000-0000-000035190000}"/>
    <cellStyle name="Check Cell 2 2 5 2" xfId="25326" xr:uid="{00000000-0005-0000-0000-000036190000}"/>
    <cellStyle name="Check Cell 2 2 6" xfId="8281" xr:uid="{00000000-0005-0000-0000-000037190000}"/>
    <cellStyle name="Check Cell 2 2 6 2" xfId="26706" xr:uid="{00000000-0005-0000-0000-000038190000}"/>
    <cellStyle name="Check Cell 2 2 7" xfId="16759" xr:uid="{00000000-0005-0000-0000-000039190000}"/>
    <cellStyle name="Check Cell 2 3" xfId="1652" xr:uid="{00000000-0005-0000-0000-00003A190000}"/>
    <cellStyle name="Check Cell 2 3 2" xfId="4655" xr:uid="{00000000-0005-0000-0000-00003B190000}"/>
    <cellStyle name="Check Cell 2 3 2 2" xfId="23115" xr:uid="{00000000-0005-0000-0000-00003C190000}"/>
    <cellStyle name="Check Cell 2 3 3" xfId="6608" xr:uid="{00000000-0005-0000-0000-00003D190000}"/>
    <cellStyle name="Check Cell 2 3 3 2" xfId="25048" xr:uid="{00000000-0005-0000-0000-00003E190000}"/>
    <cellStyle name="Check Cell 2 3 4" xfId="6718" xr:uid="{00000000-0005-0000-0000-00003F190000}"/>
    <cellStyle name="Check Cell 2 3 4 2" xfId="25156" xr:uid="{00000000-0005-0000-0000-000040190000}"/>
    <cellStyle name="Check Cell 2 3 5" xfId="7073" xr:uid="{00000000-0005-0000-0000-000041190000}"/>
    <cellStyle name="Check Cell 2 3 5 2" xfId="25507" xr:uid="{00000000-0005-0000-0000-000042190000}"/>
    <cellStyle name="Check Cell 2 3 6" xfId="8282" xr:uid="{00000000-0005-0000-0000-000043190000}"/>
    <cellStyle name="Check Cell 2 3 6 2" xfId="26707" xr:uid="{00000000-0005-0000-0000-000044190000}"/>
    <cellStyle name="Check Cell 2 3 7" xfId="16758" xr:uid="{00000000-0005-0000-0000-000045190000}"/>
    <cellStyle name="Check Cell 2 4" xfId="1653" xr:uid="{00000000-0005-0000-0000-000046190000}"/>
    <cellStyle name="Check Cell 2 4 2" xfId="4656" xr:uid="{00000000-0005-0000-0000-000047190000}"/>
    <cellStyle name="Check Cell 2 4 2 2" xfId="23116" xr:uid="{00000000-0005-0000-0000-000048190000}"/>
    <cellStyle name="Check Cell 2 4 3" xfId="6609" xr:uid="{00000000-0005-0000-0000-000049190000}"/>
    <cellStyle name="Check Cell 2 4 3 2" xfId="25049" xr:uid="{00000000-0005-0000-0000-00004A190000}"/>
    <cellStyle name="Check Cell 2 4 4" xfId="6717" xr:uid="{00000000-0005-0000-0000-00004B190000}"/>
    <cellStyle name="Check Cell 2 4 4 2" xfId="25155" xr:uid="{00000000-0005-0000-0000-00004C190000}"/>
    <cellStyle name="Check Cell 2 4 5" xfId="6887" xr:uid="{00000000-0005-0000-0000-00004D190000}"/>
    <cellStyle name="Check Cell 2 4 5 2" xfId="25325" xr:uid="{00000000-0005-0000-0000-00004E190000}"/>
    <cellStyle name="Check Cell 2 4 6" xfId="8283" xr:uid="{00000000-0005-0000-0000-00004F190000}"/>
    <cellStyle name="Check Cell 2 4 6 2" xfId="26708" xr:uid="{00000000-0005-0000-0000-000050190000}"/>
    <cellStyle name="Check Cell 2 4 7" xfId="16757" xr:uid="{00000000-0005-0000-0000-000051190000}"/>
    <cellStyle name="Check Cell 2 5" xfId="1654" xr:uid="{00000000-0005-0000-0000-000052190000}"/>
    <cellStyle name="Check Cell 2 5 2" xfId="4657" xr:uid="{00000000-0005-0000-0000-000053190000}"/>
    <cellStyle name="Check Cell 2 5 2 2" xfId="23117" xr:uid="{00000000-0005-0000-0000-000054190000}"/>
    <cellStyle name="Check Cell 2 5 3" xfId="6610" xr:uid="{00000000-0005-0000-0000-000055190000}"/>
    <cellStyle name="Check Cell 2 5 3 2" xfId="25050" xr:uid="{00000000-0005-0000-0000-000056190000}"/>
    <cellStyle name="Check Cell 2 5 4" xfId="6716" xr:uid="{00000000-0005-0000-0000-000057190000}"/>
    <cellStyle name="Check Cell 2 5 4 2" xfId="25154" xr:uid="{00000000-0005-0000-0000-000058190000}"/>
    <cellStyle name="Check Cell 2 5 5" xfId="7072" xr:uid="{00000000-0005-0000-0000-000059190000}"/>
    <cellStyle name="Check Cell 2 5 5 2" xfId="25506" xr:uid="{00000000-0005-0000-0000-00005A190000}"/>
    <cellStyle name="Check Cell 2 5 6" xfId="8284" xr:uid="{00000000-0005-0000-0000-00005B190000}"/>
    <cellStyle name="Check Cell 2 5 6 2" xfId="26709" xr:uid="{00000000-0005-0000-0000-00005C190000}"/>
    <cellStyle name="Check Cell 2 5 7" xfId="16756" xr:uid="{00000000-0005-0000-0000-00005D190000}"/>
    <cellStyle name="Check Cell 2 6" xfId="1655" xr:uid="{00000000-0005-0000-0000-00005E190000}"/>
    <cellStyle name="Check Cell 2 6 2" xfId="4658" xr:uid="{00000000-0005-0000-0000-00005F190000}"/>
    <cellStyle name="Check Cell 2 6 2 2" xfId="23118" xr:uid="{00000000-0005-0000-0000-000060190000}"/>
    <cellStyle name="Check Cell 2 6 3" xfId="6611" xr:uid="{00000000-0005-0000-0000-000061190000}"/>
    <cellStyle name="Check Cell 2 6 3 2" xfId="25051" xr:uid="{00000000-0005-0000-0000-000062190000}"/>
    <cellStyle name="Check Cell 2 6 4" xfId="6715" xr:uid="{00000000-0005-0000-0000-000063190000}"/>
    <cellStyle name="Check Cell 2 6 4 2" xfId="25153" xr:uid="{00000000-0005-0000-0000-000064190000}"/>
    <cellStyle name="Check Cell 2 6 5" xfId="6886" xr:uid="{00000000-0005-0000-0000-000065190000}"/>
    <cellStyle name="Check Cell 2 6 5 2" xfId="25324" xr:uid="{00000000-0005-0000-0000-000066190000}"/>
    <cellStyle name="Check Cell 2 6 6" xfId="8285" xr:uid="{00000000-0005-0000-0000-000067190000}"/>
    <cellStyle name="Check Cell 2 6 6 2" xfId="26710" xr:uid="{00000000-0005-0000-0000-000068190000}"/>
    <cellStyle name="Check Cell 2 6 7" xfId="16755" xr:uid="{00000000-0005-0000-0000-000069190000}"/>
    <cellStyle name="Check Cell 2 7" xfId="1656" xr:uid="{00000000-0005-0000-0000-00006A190000}"/>
    <cellStyle name="Check Cell 2 7 2" xfId="4659" xr:uid="{00000000-0005-0000-0000-00006B190000}"/>
    <cellStyle name="Check Cell 2 7 2 2" xfId="23119" xr:uid="{00000000-0005-0000-0000-00006C190000}"/>
    <cellStyle name="Check Cell 2 7 3" xfId="6612" xr:uid="{00000000-0005-0000-0000-00006D190000}"/>
    <cellStyle name="Check Cell 2 7 3 2" xfId="25052" xr:uid="{00000000-0005-0000-0000-00006E190000}"/>
    <cellStyle name="Check Cell 2 7 4" xfId="6714" xr:uid="{00000000-0005-0000-0000-00006F190000}"/>
    <cellStyle name="Check Cell 2 7 4 2" xfId="25152" xr:uid="{00000000-0005-0000-0000-000070190000}"/>
    <cellStyle name="Check Cell 2 7 5" xfId="7071" xr:uid="{00000000-0005-0000-0000-000071190000}"/>
    <cellStyle name="Check Cell 2 7 5 2" xfId="25505" xr:uid="{00000000-0005-0000-0000-000072190000}"/>
    <cellStyle name="Check Cell 2 7 6" xfId="8286" xr:uid="{00000000-0005-0000-0000-000073190000}"/>
    <cellStyle name="Check Cell 2 7 6 2" xfId="26711" xr:uid="{00000000-0005-0000-0000-000074190000}"/>
    <cellStyle name="Check Cell 2 7 7" xfId="16754" xr:uid="{00000000-0005-0000-0000-000075190000}"/>
    <cellStyle name="Check Cell 2 8" xfId="1657" xr:uid="{00000000-0005-0000-0000-000076190000}"/>
    <cellStyle name="Check Cell 2 8 2" xfId="4660" xr:uid="{00000000-0005-0000-0000-000077190000}"/>
    <cellStyle name="Check Cell 2 8 2 2" xfId="23120" xr:uid="{00000000-0005-0000-0000-000078190000}"/>
    <cellStyle name="Check Cell 2 8 3" xfId="6613" xr:uid="{00000000-0005-0000-0000-000079190000}"/>
    <cellStyle name="Check Cell 2 8 3 2" xfId="25053" xr:uid="{00000000-0005-0000-0000-00007A190000}"/>
    <cellStyle name="Check Cell 2 8 4" xfId="6713" xr:uid="{00000000-0005-0000-0000-00007B190000}"/>
    <cellStyle name="Check Cell 2 8 4 2" xfId="25151" xr:uid="{00000000-0005-0000-0000-00007C190000}"/>
    <cellStyle name="Check Cell 2 8 5" xfId="6885" xr:uid="{00000000-0005-0000-0000-00007D190000}"/>
    <cellStyle name="Check Cell 2 8 5 2" xfId="25323" xr:uid="{00000000-0005-0000-0000-00007E190000}"/>
    <cellStyle name="Check Cell 2 8 6" xfId="8287" xr:uid="{00000000-0005-0000-0000-00007F190000}"/>
    <cellStyle name="Check Cell 2 8 6 2" xfId="26712" xr:uid="{00000000-0005-0000-0000-000080190000}"/>
    <cellStyle name="Check Cell 2 8 7" xfId="16753" xr:uid="{00000000-0005-0000-0000-000081190000}"/>
    <cellStyle name="Check Cell 2 9" xfId="1658" xr:uid="{00000000-0005-0000-0000-000082190000}"/>
    <cellStyle name="Check Cell 2 9 2" xfId="4661" xr:uid="{00000000-0005-0000-0000-000083190000}"/>
    <cellStyle name="Check Cell 2 9 2 2" xfId="23121" xr:uid="{00000000-0005-0000-0000-000084190000}"/>
    <cellStyle name="Check Cell 2 9 3" xfId="6614" xr:uid="{00000000-0005-0000-0000-000085190000}"/>
    <cellStyle name="Check Cell 2 9 3 2" xfId="25054" xr:uid="{00000000-0005-0000-0000-000086190000}"/>
    <cellStyle name="Check Cell 2 9 4" xfId="6712" xr:uid="{00000000-0005-0000-0000-000087190000}"/>
    <cellStyle name="Check Cell 2 9 4 2" xfId="25150" xr:uid="{00000000-0005-0000-0000-000088190000}"/>
    <cellStyle name="Check Cell 2 9 5" xfId="7068" xr:uid="{00000000-0005-0000-0000-000089190000}"/>
    <cellStyle name="Check Cell 2 9 5 2" xfId="25502" xr:uid="{00000000-0005-0000-0000-00008A190000}"/>
    <cellStyle name="Check Cell 2 9 6" xfId="8288" xr:uid="{00000000-0005-0000-0000-00008B190000}"/>
    <cellStyle name="Check Cell 2 9 6 2" xfId="26713" xr:uid="{00000000-0005-0000-0000-00008C190000}"/>
    <cellStyle name="Check Cell 2 9 7" xfId="16752" xr:uid="{00000000-0005-0000-0000-00008D190000}"/>
    <cellStyle name="Check Cell 20" xfId="39093" xr:uid="{00000000-0005-0000-0000-0000A2060000}"/>
    <cellStyle name="Check Cell 21" xfId="39094" xr:uid="{00000000-0005-0000-0000-0000A3060000}"/>
    <cellStyle name="Check Cell 22" xfId="39095" xr:uid="{00000000-0005-0000-0000-0000A4060000}"/>
    <cellStyle name="Check Cell 23" xfId="39096" xr:uid="{00000000-0005-0000-0000-0000A5060000}"/>
    <cellStyle name="Check Cell 24" xfId="39097" xr:uid="{00000000-0005-0000-0000-0000A6060000}"/>
    <cellStyle name="Check Cell 25" xfId="39098" xr:uid="{00000000-0005-0000-0000-0000A7060000}"/>
    <cellStyle name="Check Cell 26" xfId="39099" xr:uid="{00000000-0005-0000-0000-0000A8060000}"/>
    <cellStyle name="Check Cell 27" xfId="39100" xr:uid="{00000000-0005-0000-0000-0000A9060000}"/>
    <cellStyle name="Check Cell 28" xfId="39101" xr:uid="{00000000-0005-0000-0000-0000AA060000}"/>
    <cellStyle name="Check Cell 29" xfId="39102" xr:uid="{00000000-0005-0000-0000-0000AB060000}"/>
    <cellStyle name="Check Cell 3" xfId="1659" xr:uid="{00000000-0005-0000-0000-00008E190000}"/>
    <cellStyle name="Check Cell 3 10" xfId="1660" xr:uid="{00000000-0005-0000-0000-00008F190000}"/>
    <cellStyle name="Check Cell 3 10 2" xfId="4663" xr:uid="{00000000-0005-0000-0000-000090190000}"/>
    <cellStyle name="Check Cell 3 10 2 2" xfId="23123" xr:uid="{00000000-0005-0000-0000-000091190000}"/>
    <cellStyle name="Check Cell 3 10 3" xfId="6616" xr:uid="{00000000-0005-0000-0000-000092190000}"/>
    <cellStyle name="Check Cell 3 10 3 2" xfId="25056" xr:uid="{00000000-0005-0000-0000-000093190000}"/>
    <cellStyle name="Check Cell 3 10 4" xfId="6710" xr:uid="{00000000-0005-0000-0000-000094190000}"/>
    <cellStyle name="Check Cell 3 10 4 2" xfId="25148" xr:uid="{00000000-0005-0000-0000-000095190000}"/>
    <cellStyle name="Check Cell 3 10 5" xfId="6884" xr:uid="{00000000-0005-0000-0000-000096190000}"/>
    <cellStyle name="Check Cell 3 10 5 2" xfId="25322" xr:uid="{00000000-0005-0000-0000-000097190000}"/>
    <cellStyle name="Check Cell 3 10 6" xfId="8290" xr:uid="{00000000-0005-0000-0000-000098190000}"/>
    <cellStyle name="Check Cell 3 10 6 2" xfId="26715" xr:uid="{00000000-0005-0000-0000-000099190000}"/>
    <cellStyle name="Check Cell 3 10 7" xfId="16750" xr:uid="{00000000-0005-0000-0000-00009A190000}"/>
    <cellStyle name="Check Cell 3 11" xfId="1661" xr:uid="{00000000-0005-0000-0000-00009B190000}"/>
    <cellStyle name="Check Cell 3 11 2" xfId="4664" xr:uid="{00000000-0005-0000-0000-00009C190000}"/>
    <cellStyle name="Check Cell 3 11 2 2" xfId="23124" xr:uid="{00000000-0005-0000-0000-00009D190000}"/>
    <cellStyle name="Check Cell 3 11 3" xfId="6617" xr:uid="{00000000-0005-0000-0000-00009E190000}"/>
    <cellStyle name="Check Cell 3 11 3 2" xfId="25057" xr:uid="{00000000-0005-0000-0000-00009F190000}"/>
    <cellStyle name="Check Cell 3 11 4" xfId="6709" xr:uid="{00000000-0005-0000-0000-0000A0190000}"/>
    <cellStyle name="Check Cell 3 11 4 2" xfId="25147" xr:uid="{00000000-0005-0000-0000-0000A1190000}"/>
    <cellStyle name="Check Cell 3 11 5" xfId="7069" xr:uid="{00000000-0005-0000-0000-0000A2190000}"/>
    <cellStyle name="Check Cell 3 11 5 2" xfId="25503" xr:uid="{00000000-0005-0000-0000-0000A3190000}"/>
    <cellStyle name="Check Cell 3 11 6" xfId="8291" xr:uid="{00000000-0005-0000-0000-0000A4190000}"/>
    <cellStyle name="Check Cell 3 11 6 2" xfId="26716" xr:uid="{00000000-0005-0000-0000-0000A5190000}"/>
    <cellStyle name="Check Cell 3 11 7" xfId="16749" xr:uid="{00000000-0005-0000-0000-0000A6190000}"/>
    <cellStyle name="Check Cell 3 12" xfId="4662" xr:uid="{00000000-0005-0000-0000-0000A7190000}"/>
    <cellStyle name="Check Cell 3 12 2" xfId="23122" xr:uid="{00000000-0005-0000-0000-0000A8190000}"/>
    <cellStyle name="Check Cell 3 13" xfId="6615" xr:uid="{00000000-0005-0000-0000-0000A9190000}"/>
    <cellStyle name="Check Cell 3 13 2" xfId="25055" xr:uid="{00000000-0005-0000-0000-0000AA190000}"/>
    <cellStyle name="Check Cell 3 14" xfId="6711" xr:uid="{00000000-0005-0000-0000-0000AB190000}"/>
    <cellStyle name="Check Cell 3 14 2" xfId="25149" xr:uid="{00000000-0005-0000-0000-0000AC190000}"/>
    <cellStyle name="Check Cell 3 15" xfId="7070" xr:uid="{00000000-0005-0000-0000-0000AD190000}"/>
    <cellStyle name="Check Cell 3 15 2" xfId="25504" xr:uid="{00000000-0005-0000-0000-0000AE190000}"/>
    <cellStyle name="Check Cell 3 16" xfId="8289" xr:uid="{00000000-0005-0000-0000-0000AF190000}"/>
    <cellStyle name="Check Cell 3 16 2" xfId="26714" xr:uid="{00000000-0005-0000-0000-0000B0190000}"/>
    <cellStyle name="Check Cell 3 17" xfId="16751" xr:uid="{00000000-0005-0000-0000-0000B1190000}"/>
    <cellStyle name="Check Cell 3 2" xfId="1662" xr:uid="{00000000-0005-0000-0000-0000B2190000}"/>
    <cellStyle name="Check Cell 3 2 2" xfId="4665" xr:uid="{00000000-0005-0000-0000-0000B3190000}"/>
    <cellStyle name="Check Cell 3 2 2 2" xfId="23125" xr:uid="{00000000-0005-0000-0000-0000B4190000}"/>
    <cellStyle name="Check Cell 3 2 3" xfId="6618" xr:uid="{00000000-0005-0000-0000-0000B5190000}"/>
    <cellStyle name="Check Cell 3 2 3 2" xfId="25058" xr:uid="{00000000-0005-0000-0000-0000B6190000}"/>
    <cellStyle name="Check Cell 3 2 4" xfId="6708" xr:uid="{00000000-0005-0000-0000-0000B7190000}"/>
    <cellStyle name="Check Cell 3 2 4 2" xfId="25146" xr:uid="{00000000-0005-0000-0000-0000B8190000}"/>
    <cellStyle name="Check Cell 3 2 5" xfId="6883" xr:uid="{00000000-0005-0000-0000-0000B9190000}"/>
    <cellStyle name="Check Cell 3 2 5 2" xfId="25321" xr:uid="{00000000-0005-0000-0000-0000BA190000}"/>
    <cellStyle name="Check Cell 3 2 6" xfId="8292" xr:uid="{00000000-0005-0000-0000-0000BB190000}"/>
    <cellStyle name="Check Cell 3 2 6 2" xfId="26717" xr:uid="{00000000-0005-0000-0000-0000BC190000}"/>
    <cellStyle name="Check Cell 3 2 7" xfId="16748" xr:uid="{00000000-0005-0000-0000-0000BD190000}"/>
    <cellStyle name="Check Cell 3 3" xfId="1663" xr:uid="{00000000-0005-0000-0000-0000BE190000}"/>
    <cellStyle name="Check Cell 3 3 2" xfId="4666" xr:uid="{00000000-0005-0000-0000-0000BF190000}"/>
    <cellStyle name="Check Cell 3 3 2 2" xfId="23126" xr:uid="{00000000-0005-0000-0000-0000C0190000}"/>
    <cellStyle name="Check Cell 3 3 3" xfId="6619" xr:uid="{00000000-0005-0000-0000-0000C1190000}"/>
    <cellStyle name="Check Cell 3 3 3 2" xfId="25059" xr:uid="{00000000-0005-0000-0000-0000C2190000}"/>
    <cellStyle name="Check Cell 3 3 4" xfId="6707" xr:uid="{00000000-0005-0000-0000-0000C3190000}"/>
    <cellStyle name="Check Cell 3 3 4 2" xfId="25145" xr:uid="{00000000-0005-0000-0000-0000C4190000}"/>
    <cellStyle name="Check Cell 3 3 5" xfId="6882" xr:uid="{00000000-0005-0000-0000-0000C5190000}"/>
    <cellStyle name="Check Cell 3 3 5 2" xfId="25320" xr:uid="{00000000-0005-0000-0000-0000C6190000}"/>
    <cellStyle name="Check Cell 3 3 6" xfId="8293" xr:uid="{00000000-0005-0000-0000-0000C7190000}"/>
    <cellStyle name="Check Cell 3 3 6 2" xfId="26718" xr:uid="{00000000-0005-0000-0000-0000C8190000}"/>
    <cellStyle name="Check Cell 3 3 7" xfId="16747" xr:uid="{00000000-0005-0000-0000-0000C9190000}"/>
    <cellStyle name="Check Cell 3 4" xfId="1664" xr:uid="{00000000-0005-0000-0000-0000CA190000}"/>
    <cellStyle name="Check Cell 3 4 2" xfId="4667" xr:uid="{00000000-0005-0000-0000-0000CB190000}"/>
    <cellStyle name="Check Cell 3 4 2 2" xfId="23127" xr:uid="{00000000-0005-0000-0000-0000CC190000}"/>
    <cellStyle name="Check Cell 3 4 3" xfId="6620" xr:uid="{00000000-0005-0000-0000-0000CD190000}"/>
    <cellStyle name="Check Cell 3 4 3 2" xfId="25060" xr:uid="{00000000-0005-0000-0000-0000CE190000}"/>
    <cellStyle name="Check Cell 3 4 4" xfId="6706" xr:uid="{00000000-0005-0000-0000-0000CF190000}"/>
    <cellStyle name="Check Cell 3 4 4 2" xfId="25144" xr:uid="{00000000-0005-0000-0000-0000D0190000}"/>
    <cellStyle name="Check Cell 3 4 5" xfId="7067" xr:uid="{00000000-0005-0000-0000-0000D1190000}"/>
    <cellStyle name="Check Cell 3 4 5 2" xfId="25501" xr:uid="{00000000-0005-0000-0000-0000D2190000}"/>
    <cellStyle name="Check Cell 3 4 6" xfId="8294" xr:uid="{00000000-0005-0000-0000-0000D3190000}"/>
    <cellStyle name="Check Cell 3 4 6 2" xfId="26719" xr:uid="{00000000-0005-0000-0000-0000D4190000}"/>
    <cellStyle name="Check Cell 3 4 7" xfId="16746" xr:uid="{00000000-0005-0000-0000-0000D5190000}"/>
    <cellStyle name="Check Cell 3 5" xfId="1665" xr:uid="{00000000-0005-0000-0000-0000D6190000}"/>
    <cellStyle name="Check Cell 3 5 2" xfId="4668" xr:uid="{00000000-0005-0000-0000-0000D7190000}"/>
    <cellStyle name="Check Cell 3 5 2 2" xfId="23128" xr:uid="{00000000-0005-0000-0000-0000D8190000}"/>
    <cellStyle name="Check Cell 3 5 3" xfId="6621" xr:uid="{00000000-0005-0000-0000-0000D9190000}"/>
    <cellStyle name="Check Cell 3 5 3 2" xfId="25061" xr:uid="{00000000-0005-0000-0000-0000DA190000}"/>
    <cellStyle name="Check Cell 3 5 4" xfId="6705" xr:uid="{00000000-0005-0000-0000-0000DB190000}"/>
    <cellStyle name="Check Cell 3 5 4 2" xfId="25143" xr:uid="{00000000-0005-0000-0000-0000DC190000}"/>
    <cellStyle name="Check Cell 3 5 5" xfId="6881" xr:uid="{00000000-0005-0000-0000-0000DD190000}"/>
    <cellStyle name="Check Cell 3 5 5 2" xfId="25319" xr:uid="{00000000-0005-0000-0000-0000DE190000}"/>
    <cellStyle name="Check Cell 3 5 6" xfId="8295" xr:uid="{00000000-0005-0000-0000-0000DF190000}"/>
    <cellStyle name="Check Cell 3 5 6 2" xfId="26720" xr:uid="{00000000-0005-0000-0000-0000E0190000}"/>
    <cellStyle name="Check Cell 3 5 7" xfId="16745" xr:uid="{00000000-0005-0000-0000-0000E1190000}"/>
    <cellStyle name="Check Cell 3 6" xfId="1666" xr:uid="{00000000-0005-0000-0000-0000E2190000}"/>
    <cellStyle name="Check Cell 3 6 2" xfId="4669" xr:uid="{00000000-0005-0000-0000-0000E3190000}"/>
    <cellStyle name="Check Cell 3 6 2 2" xfId="23129" xr:uid="{00000000-0005-0000-0000-0000E4190000}"/>
    <cellStyle name="Check Cell 3 6 3" xfId="6622" xr:uid="{00000000-0005-0000-0000-0000E5190000}"/>
    <cellStyle name="Check Cell 3 6 3 2" xfId="25062" xr:uid="{00000000-0005-0000-0000-0000E6190000}"/>
    <cellStyle name="Check Cell 3 6 4" xfId="6704" xr:uid="{00000000-0005-0000-0000-0000E7190000}"/>
    <cellStyle name="Check Cell 3 6 4 2" xfId="25142" xr:uid="{00000000-0005-0000-0000-0000E8190000}"/>
    <cellStyle name="Check Cell 3 6 5" xfId="6880" xr:uid="{00000000-0005-0000-0000-0000E9190000}"/>
    <cellStyle name="Check Cell 3 6 5 2" xfId="25318" xr:uid="{00000000-0005-0000-0000-0000EA190000}"/>
    <cellStyle name="Check Cell 3 6 6" xfId="8296" xr:uid="{00000000-0005-0000-0000-0000EB190000}"/>
    <cellStyle name="Check Cell 3 6 6 2" xfId="26721" xr:uid="{00000000-0005-0000-0000-0000EC190000}"/>
    <cellStyle name="Check Cell 3 6 7" xfId="16744" xr:uid="{00000000-0005-0000-0000-0000ED190000}"/>
    <cellStyle name="Check Cell 3 7" xfId="1667" xr:uid="{00000000-0005-0000-0000-0000EE190000}"/>
    <cellStyle name="Check Cell 3 7 2" xfId="4670" xr:uid="{00000000-0005-0000-0000-0000EF190000}"/>
    <cellStyle name="Check Cell 3 7 2 2" xfId="23130" xr:uid="{00000000-0005-0000-0000-0000F0190000}"/>
    <cellStyle name="Check Cell 3 7 3" xfId="6623" xr:uid="{00000000-0005-0000-0000-0000F1190000}"/>
    <cellStyle name="Check Cell 3 7 3 2" xfId="25063" xr:uid="{00000000-0005-0000-0000-0000F2190000}"/>
    <cellStyle name="Check Cell 3 7 4" xfId="6703" xr:uid="{00000000-0005-0000-0000-0000F3190000}"/>
    <cellStyle name="Check Cell 3 7 4 2" xfId="25141" xr:uid="{00000000-0005-0000-0000-0000F4190000}"/>
    <cellStyle name="Check Cell 3 7 5" xfId="6879" xr:uid="{00000000-0005-0000-0000-0000F5190000}"/>
    <cellStyle name="Check Cell 3 7 5 2" xfId="25317" xr:uid="{00000000-0005-0000-0000-0000F6190000}"/>
    <cellStyle name="Check Cell 3 7 6" xfId="8297" xr:uid="{00000000-0005-0000-0000-0000F7190000}"/>
    <cellStyle name="Check Cell 3 7 6 2" xfId="26722" xr:uid="{00000000-0005-0000-0000-0000F8190000}"/>
    <cellStyle name="Check Cell 3 7 7" xfId="16743" xr:uid="{00000000-0005-0000-0000-0000F9190000}"/>
    <cellStyle name="Check Cell 3 8" xfId="1668" xr:uid="{00000000-0005-0000-0000-0000FA190000}"/>
    <cellStyle name="Check Cell 3 8 2" xfId="4671" xr:uid="{00000000-0005-0000-0000-0000FB190000}"/>
    <cellStyle name="Check Cell 3 8 2 2" xfId="23131" xr:uid="{00000000-0005-0000-0000-0000FC190000}"/>
    <cellStyle name="Check Cell 3 8 3" xfId="6624" xr:uid="{00000000-0005-0000-0000-0000FD190000}"/>
    <cellStyle name="Check Cell 3 8 3 2" xfId="25064" xr:uid="{00000000-0005-0000-0000-0000FE190000}"/>
    <cellStyle name="Check Cell 3 8 4" xfId="6702" xr:uid="{00000000-0005-0000-0000-0000FF190000}"/>
    <cellStyle name="Check Cell 3 8 4 2" xfId="25140" xr:uid="{00000000-0005-0000-0000-0000001A0000}"/>
    <cellStyle name="Check Cell 3 8 5" xfId="5952" xr:uid="{00000000-0005-0000-0000-0000011A0000}"/>
    <cellStyle name="Check Cell 3 8 5 2" xfId="24393" xr:uid="{00000000-0005-0000-0000-0000021A0000}"/>
    <cellStyle name="Check Cell 3 8 6" xfId="8298" xr:uid="{00000000-0005-0000-0000-0000031A0000}"/>
    <cellStyle name="Check Cell 3 8 6 2" xfId="26723" xr:uid="{00000000-0005-0000-0000-0000041A0000}"/>
    <cellStyle name="Check Cell 3 8 7" xfId="16742" xr:uid="{00000000-0005-0000-0000-0000051A0000}"/>
    <cellStyle name="Check Cell 3 9" xfId="1669" xr:uid="{00000000-0005-0000-0000-0000061A0000}"/>
    <cellStyle name="Check Cell 3 9 2" xfId="4672" xr:uid="{00000000-0005-0000-0000-0000071A0000}"/>
    <cellStyle name="Check Cell 3 9 2 2" xfId="23132" xr:uid="{00000000-0005-0000-0000-0000081A0000}"/>
    <cellStyle name="Check Cell 3 9 3" xfId="6625" xr:uid="{00000000-0005-0000-0000-0000091A0000}"/>
    <cellStyle name="Check Cell 3 9 3 2" xfId="25065" xr:uid="{00000000-0005-0000-0000-00000A1A0000}"/>
    <cellStyle name="Check Cell 3 9 4" xfId="6701" xr:uid="{00000000-0005-0000-0000-00000B1A0000}"/>
    <cellStyle name="Check Cell 3 9 4 2" xfId="25139" xr:uid="{00000000-0005-0000-0000-00000C1A0000}"/>
    <cellStyle name="Check Cell 3 9 5" xfId="6878" xr:uid="{00000000-0005-0000-0000-00000D1A0000}"/>
    <cellStyle name="Check Cell 3 9 5 2" xfId="25316" xr:uid="{00000000-0005-0000-0000-00000E1A0000}"/>
    <cellStyle name="Check Cell 3 9 6" xfId="8299" xr:uid="{00000000-0005-0000-0000-00000F1A0000}"/>
    <cellStyle name="Check Cell 3 9 6 2" xfId="26724" xr:uid="{00000000-0005-0000-0000-0000101A0000}"/>
    <cellStyle name="Check Cell 3 9 7" xfId="16741" xr:uid="{00000000-0005-0000-0000-0000111A0000}"/>
    <cellStyle name="Check Cell 30" xfId="39103" xr:uid="{00000000-0005-0000-0000-0000AD060000}"/>
    <cellStyle name="Check Cell 31" xfId="39104" xr:uid="{00000000-0005-0000-0000-0000AE060000}"/>
    <cellStyle name="Check Cell 32" xfId="39105" xr:uid="{00000000-0005-0000-0000-0000AF060000}"/>
    <cellStyle name="Check Cell 33" xfId="39106" xr:uid="{00000000-0005-0000-0000-0000B0060000}"/>
    <cellStyle name="Check Cell 34" xfId="39107" xr:uid="{00000000-0005-0000-0000-0000B1060000}"/>
    <cellStyle name="Check Cell 35" xfId="39108" xr:uid="{00000000-0005-0000-0000-0000B2060000}"/>
    <cellStyle name="Check Cell 36" xfId="39109" xr:uid="{00000000-0005-0000-0000-0000B3060000}"/>
    <cellStyle name="Check Cell 37" xfId="39110" xr:uid="{00000000-0005-0000-0000-0000B4060000}"/>
    <cellStyle name="Check Cell 38" xfId="39111" xr:uid="{00000000-0005-0000-0000-0000B5060000}"/>
    <cellStyle name="Check Cell 39" xfId="39112" xr:uid="{00000000-0005-0000-0000-0000B6060000}"/>
    <cellStyle name="Check Cell 4" xfId="1670" xr:uid="{00000000-0005-0000-0000-0000121A0000}"/>
    <cellStyle name="Check Cell 4 10" xfId="1671" xr:uid="{00000000-0005-0000-0000-0000131A0000}"/>
    <cellStyle name="Check Cell 4 10 2" xfId="4674" xr:uid="{00000000-0005-0000-0000-0000141A0000}"/>
    <cellStyle name="Check Cell 4 10 2 2" xfId="23134" xr:uid="{00000000-0005-0000-0000-0000151A0000}"/>
    <cellStyle name="Check Cell 4 10 3" xfId="6627" xr:uid="{00000000-0005-0000-0000-0000161A0000}"/>
    <cellStyle name="Check Cell 4 10 3 2" xfId="25067" xr:uid="{00000000-0005-0000-0000-0000171A0000}"/>
    <cellStyle name="Check Cell 4 10 4" xfId="6699" xr:uid="{00000000-0005-0000-0000-0000181A0000}"/>
    <cellStyle name="Check Cell 4 10 4 2" xfId="25137" xr:uid="{00000000-0005-0000-0000-0000191A0000}"/>
    <cellStyle name="Check Cell 4 10 5" xfId="6876" xr:uid="{00000000-0005-0000-0000-00001A1A0000}"/>
    <cellStyle name="Check Cell 4 10 5 2" xfId="25314" xr:uid="{00000000-0005-0000-0000-00001B1A0000}"/>
    <cellStyle name="Check Cell 4 10 6" xfId="8301" xr:uid="{00000000-0005-0000-0000-00001C1A0000}"/>
    <cellStyle name="Check Cell 4 10 6 2" xfId="26726" xr:uid="{00000000-0005-0000-0000-00001D1A0000}"/>
    <cellStyle name="Check Cell 4 10 7" xfId="16739" xr:uid="{00000000-0005-0000-0000-00001E1A0000}"/>
    <cellStyle name="Check Cell 4 11" xfId="1672" xr:uid="{00000000-0005-0000-0000-00001F1A0000}"/>
    <cellStyle name="Check Cell 4 11 2" xfId="4675" xr:uid="{00000000-0005-0000-0000-0000201A0000}"/>
    <cellStyle name="Check Cell 4 11 2 2" xfId="23135" xr:uid="{00000000-0005-0000-0000-0000211A0000}"/>
    <cellStyle name="Check Cell 4 11 3" xfId="6628" xr:uid="{00000000-0005-0000-0000-0000221A0000}"/>
    <cellStyle name="Check Cell 4 11 3 2" xfId="25068" xr:uid="{00000000-0005-0000-0000-0000231A0000}"/>
    <cellStyle name="Check Cell 4 11 4" xfId="6698" xr:uid="{00000000-0005-0000-0000-0000241A0000}"/>
    <cellStyle name="Check Cell 4 11 4 2" xfId="25136" xr:uid="{00000000-0005-0000-0000-0000251A0000}"/>
    <cellStyle name="Check Cell 4 11 5" xfId="6875" xr:uid="{00000000-0005-0000-0000-0000261A0000}"/>
    <cellStyle name="Check Cell 4 11 5 2" xfId="25313" xr:uid="{00000000-0005-0000-0000-0000271A0000}"/>
    <cellStyle name="Check Cell 4 11 6" xfId="8302" xr:uid="{00000000-0005-0000-0000-0000281A0000}"/>
    <cellStyle name="Check Cell 4 11 6 2" xfId="26727" xr:uid="{00000000-0005-0000-0000-0000291A0000}"/>
    <cellStyle name="Check Cell 4 11 7" xfId="16738" xr:uid="{00000000-0005-0000-0000-00002A1A0000}"/>
    <cellStyle name="Check Cell 4 12" xfId="4673" xr:uid="{00000000-0005-0000-0000-00002B1A0000}"/>
    <cellStyle name="Check Cell 4 12 2" xfId="23133" xr:uid="{00000000-0005-0000-0000-00002C1A0000}"/>
    <cellStyle name="Check Cell 4 13" xfId="6626" xr:uid="{00000000-0005-0000-0000-00002D1A0000}"/>
    <cellStyle name="Check Cell 4 13 2" xfId="25066" xr:uid="{00000000-0005-0000-0000-00002E1A0000}"/>
    <cellStyle name="Check Cell 4 14" xfId="6700" xr:uid="{00000000-0005-0000-0000-00002F1A0000}"/>
    <cellStyle name="Check Cell 4 14 2" xfId="25138" xr:uid="{00000000-0005-0000-0000-0000301A0000}"/>
    <cellStyle name="Check Cell 4 15" xfId="6877" xr:uid="{00000000-0005-0000-0000-0000311A0000}"/>
    <cellStyle name="Check Cell 4 15 2" xfId="25315" xr:uid="{00000000-0005-0000-0000-0000321A0000}"/>
    <cellStyle name="Check Cell 4 16" xfId="8300" xr:uid="{00000000-0005-0000-0000-0000331A0000}"/>
    <cellStyle name="Check Cell 4 16 2" xfId="26725" xr:uid="{00000000-0005-0000-0000-0000341A0000}"/>
    <cellStyle name="Check Cell 4 17" xfId="16740" xr:uid="{00000000-0005-0000-0000-0000351A0000}"/>
    <cellStyle name="Check Cell 4 2" xfId="1673" xr:uid="{00000000-0005-0000-0000-0000361A0000}"/>
    <cellStyle name="Check Cell 4 2 2" xfId="4676" xr:uid="{00000000-0005-0000-0000-0000371A0000}"/>
    <cellStyle name="Check Cell 4 2 2 2" xfId="23136" xr:uid="{00000000-0005-0000-0000-0000381A0000}"/>
    <cellStyle name="Check Cell 4 2 3" xfId="6629" xr:uid="{00000000-0005-0000-0000-0000391A0000}"/>
    <cellStyle name="Check Cell 4 2 3 2" xfId="25069" xr:uid="{00000000-0005-0000-0000-00003A1A0000}"/>
    <cellStyle name="Check Cell 4 2 4" xfId="6697" xr:uid="{00000000-0005-0000-0000-00003B1A0000}"/>
    <cellStyle name="Check Cell 4 2 4 2" xfId="25135" xr:uid="{00000000-0005-0000-0000-00003C1A0000}"/>
    <cellStyle name="Check Cell 4 2 5" xfId="6874" xr:uid="{00000000-0005-0000-0000-00003D1A0000}"/>
    <cellStyle name="Check Cell 4 2 5 2" xfId="25312" xr:uid="{00000000-0005-0000-0000-00003E1A0000}"/>
    <cellStyle name="Check Cell 4 2 6" xfId="8303" xr:uid="{00000000-0005-0000-0000-00003F1A0000}"/>
    <cellStyle name="Check Cell 4 2 6 2" xfId="26728" xr:uid="{00000000-0005-0000-0000-0000401A0000}"/>
    <cellStyle name="Check Cell 4 2 7" xfId="16737" xr:uid="{00000000-0005-0000-0000-0000411A0000}"/>
    <cellStyle name="Check Cell 4 3" xfId="1674" xr:uid="{00000000-0005-0000-0000-0000421A0000}"/>
    <cellStyle name="Check Cell 4 3 2" xfId="4677" xr:uid="{00000000-0005-0000-0000-0000431A0000}"/>
    <cellStyle name="Check Cell 4 3 2 2" xfId="23137" xr:uid="{00000000-0005-0000-0000-0000441A0000}"/>
    <cellStyle name="Check Cell 4 3 3" xfId="6630" xr:uid="{00000000-0005-0000-0000-0000451A0000}"/>
    <cellStyle name="Check Cell 4 3 3 2" xfId="25070" xr:uid="{00000000-0005-0000-0000-0000461A0000}"/>
    <cellStyle name="Check Cell 4 3 4" xfId="6696" xr:uid="{00000000-0005-0000-0000-0000471A0000}"/>
    <cellStyle name="Check Cell 4 3 4 2" xfId="25134" xr:uid="{00000000-0005-0000-0000-0000481A0000}"/>
    <cellStyle name="Check Cell 4 3 5" xfId="6873" xr:uid="{00000000-0005-0000-0000-0000491A0000}"/>
    <cellStyle name="Check Cell 4 3 5 2" xfId="25311" xr:uid="{00000000-0005-0000-0000-00004A1A0000}"/>
    <cellStyle name="Check Cell 4 3 6" xfId="8304" xr:uid="{00000000-0005-0000-0000-00004B1A0000}"/>
    <cellStyle name="Check Cell 4 3 6 2" xfId="26729" xr:uid="{00000000-0005-0000-0000-00004C1A0000}"/>
    <cellStyle name="Check Cell 4 3 7" xfId="16736" xr:uid="{00000000-0005-0000-0000-00004D1A0000}"/>
    <cellStyle name="Check Cell 4 4" xfId="1675" xr:uid="{00000000-0005-0000-0000-00004E1A0000}"/>
    <cellStyle name="Check Cell 4 4 2" xfId="4678" xr:uid="{00000000-0005-0000-0000-00004F1A0000}"/>
    <cellStyle name="Check Cell 4 4 2 2" xfId="23138" xr:uid="{00000000-0005-0000-0000-0000501A0000}"/>
    <cellStyle name="Check Cell 4 4 3" xfId="6631" xr:uid="{00000000-0005-0000-0000-0000511A0000}"/>
    <cellStyle name="Check Cell 4 4 3 2" xfId="25071" xr:uid="{00000000-0005-0000-0000-0000521A0000}"/>
    <cellStyle name="Check Cell 4 4 4" xfId="6695" xr:uid="{00000000-0005-0000-0000-0000531A0000}"/>
    <cellStyle name="Check Cell 4 4 4 2" xfId="25133" xr:uid="{00000000-0005-0000-0000-0000541A0000}"/>
    <cellStyle name="Check Cell 4 4 5" xfId="6872" xr:uid="{00000000-0005-0000-0000-0000551A0000}"/>
    <cellStyle name="Check Cell 4 4 5 2" xfId="25310" xr:uid="{00000000-0005-0000-0000-0000561A0000}"/>
    <cellStyle name="Check Cell 4 4 6" xfId="8305" xr:uid="{00000000-0005-0000-0000-0000571A0000}"/>
    <cellStyle name="Check Cell 4 4 6 2" xfId="26730" xr:uid="{00000000-0005-0000-0000-0000581A0000}"/>
    <cellStyle name="Check Cell 4 4 7" xfId="16735" xr:uid="{00000000-0005-0000-0000-0000591A0000}"/>
    <cellStyle name="Check Cell 4 5" xfId="1676" xr:uid="{00000000-0005-0000-0000-00005A1A0000}"/>
    <cellStyle name="Check Cell 4 5 2" xfId="4679" xr:uid="{00000000-0005-0000-0000-00005B1A0000}"/>
    <cellStyle name="Check Cell 4 5 2 2" xfId="23139" xr:uid="{00000000-0005-0000-0000-00005C1A0000}"/>
    <cellStyle name="Check Cell 4 5 3" xfId="6632" xr:uid="{00000000-0005-0000-0000-00005D1A0000}"/>
    <cellStyle name="Check Cell 4 5 3 2" xfId="25072" xr:uid="{00000000-0005-0000-0000-00005E1A0000}"/>
    <cellStyle name="Check Cell 4 5 4" xfId="6694" xr:uid="{00000000-0005-0000-0000-00005F1A0000}"/>
    <cellStyle name="Check Cell 4 5 4 2" xfId="25132" xr:uid="{00000000-0005-0000-0000-0000601A0000}"/>
    <cellStyle name="Check Cell 4 5 5" xfId="6871" xr:uid="{00000000-0005-0000-0000-0000611A0000}"/>
    <cellStyle name="Check Cell 4 5 5 2" xfId="25309" xr:uid="{00000000-0005-0000-0000-0000621A0000}"/>
    <cellStyle name="Check Cell 4 5 6" xfId="8306" xr:uid="{00000000-0005-0000-0000-0000631A0000}"/>
    <cellStyle name="Check Cell 4 5 6 2" xfId="26731" xr:uid="{00000000-0005-0000-0000-0000641A0000}"/>
    <cellStyle name="Check Cell 4 5 7" xfId="16734" xr:uid="{00000000-0005-0000-0000-0000651A0000}"/>
    <cellStyle name="Check Cell 4 6" xfId="1677" xr:uid="{00000000-0005-0000-0000-0000661A0000}"/>
    <cellStyle name="Check Cell 4 6 2" xfId="4680" xr:uid="{00000000-0005-0000-0000-0000671A0000}"/>
    <cellStyle name="Check Cell 4 6 2 2" xfId="23140" xr:uid="{00000000-0005-0000-0000-0000681A0000}"/>
    <cellStyle name="Check Cell 4 6 3" xfId="6633" xr:uid="{00000000-0005-0000-0000-0000691A0000}"/>
    <cellStyle name="Check Cell 4 6 3 2" xfId="25073" xr:uid="{00000000-0005-0000-0000-00006A1A0000}"/>
    <cellStyle name="Check Cell 4 6 4" xfId="6693" xr:uid="{00000000-0005-0000-0000-00006B1A0000}"/>
    <cellStyle name="Check Cell 4 6 4 2" xfId="25131" xr:uid="{00000000-0005-0000-0000-00006C1A0000}"/>
    <cellStyle name="Check Cell 4 6 5" xfId="6870" xr:uid="{00000000-0005-0000-0000-00006D1A0000}"/>
    <cellStyle name="Check Cell 4 6 5 2" xfId="25308" xr:uid="{00000000-0005-0000-0000-00006E1A0000}"/>
    <cellStyle name="Check Cell 4 6 6" xfId="8307" xr:uid="{00000000-0005-0000-0000-00006F1A0000}"/>
    <cellStyle name="Check Cell 4 6 6 2" xfId="26732" xr:uid="{00000000-0005-0000-0000-0000701A0000}"/>
    <cellStyle name="Check Cell 4 6 7" xfId="16733" xr:uid="{00000000-0005-0000-0000-0000711A0000}"/>
    <cellStyle name="Check Cell 4 7" xfId="1678" xr:uid="{00000000-0005-0000-0000-0000721A0000}"/>
    <cellStyle name="Check Cell 4 7 2" xfId="4681" xr:uid="{00000000-0005-0000-0000-0000731A0000}"/>
    <cellStyle name="Check Cell 4 7 2 2" xfId="23141" xr:uid="{00000000-0005-0000-0000-0000741A0000}"/>
    <cellStyle name="Check Cell 4 7 3" xfId="6634" xr:uid="{00000000-0005-0000-0000-0000751A0000}"/>
    <cellStyle name="Check Cell 4 7 3 2" xfId="25074" xr:uid="{00000000-0005-0000-0000-0000761A0000}"/>
    <cellStyle name="Check Cell 4 7 4" xfId="6692" xr:uid="{00000000-0005-0000-0000-0000771A0000}"/>
    <cellStyle name="Check Cell 4 7 4 2" xfId="25130" xr:uid="{00000000-0005-0000-0000-0000781A0000}"/>
    <cellStyle name="Check Cell 4 7 5" xfId="7050" xr:uid="{00000000-0005-0000-0000-0000791A0000}"/>
    <cellStyle name="Check Cell 4 7 5 2" xfId="25488" xr:uid="{00000000-0005-0000-0000-00007A1A0000}"/>
    <cellStyle name="Check Cell 4 7 6" xfId="8308" xr:uid="{00000000-0005-0000-0000-00007B1A0000}"/>
    <cellStyle name="Check Cell 4 7 6 2" xfId="26733" xr:uid="{00000000-0005-0000-0000-00007C1A0000}"/>
    <cellStyle name="Check Cell 4 7 7" xfId="16732" xr:uid="{00000000-0005-0000-0000-00007D1A0000}"/>
    <cellStyle name="Check Cell 4 8" xfId="1679" xr:uid="{00000000-0005-0000-0000-00007E1A0000}"/>
    <cellStyle name="Check Cell 4 8 2" xfId="4682" xr:uid="{00000000-0005-0000-0000-00007F1A0000}"/>
    <cellStyle name="Check Cell 4 8 2 2" xfId="23142" xr:uid="{00000000-0005-0000-0000-0000801A0000}"/>
    <cellStyle name="Check Cell 4 8 3" xfId="6635" xr:uid="{00000000-0005-0000-0000-0000811A0000}"/>
    <cellStyle name="Check Cell 4 8 3 2" xfId="25075" xr:uid="{00000000-0005-0000-0000-0000821A0000}"/>
    <cellStyle name="Check Cell 4 8 4" xfId="6691" xr:uid="{00000000-0005-0000-0000-0000831A0000}"/>
    <cellStyle name="Check Cell 4 8 4 2" xfId="25129" xr:uid="{00000000-0005-0000-0000-0000841A0000}"/>
    <cellStyle name="Check Cell 4 8 5" xfId="6869" xr:uid="{00000000-0005-0000-0000-0000851A0000}"/>
    <cellStyle name="Check Cell 4 8 5 2" xfId="25307" xr:uid="{00000000-0005-0000-0000-0000861A0000}"/>
    <cellStyle name="Check Cell 4 8 6" xfId="8309" xr:uid="{00000000-0005-0000-0000-0000871A0000}"/>
    <cellStyle name="Check Cell 4 8 6 2" xfId="26734" xr:uid="{00000000-0005-0000-0000-0000881A0000}"/>
    <cellStyle name="Check Cell 4 8 7" xfId="16731" xr:uid="{00000000-0005-0000-0000-0000891A0000}"/>
    <cellStyle name="Check Cell 4 9" xfId="1680" xr:uid="{00000000-0005-0000-0000-00008A1A0000}"/>
    <cellStyle name="Check Cell 4 9 2" xfId="4683" xr:uid="{00000000-0005-0000-0000-00008B1A0000}"/>
    <cellStyle name="Check Cell 4 9 2 2" xfId="23143" xr:uid="{00000000-0005-0000-0000-00008C1A0000}"/>
    <cellStyle name="Check Cell 4 9 3" xfId="6636" xr:uid="{00000000-0005-0000-0000-00008D1A0000}"/>
    <cellStyle name="Check Cell 4 9 3 2" xfId="25076" xr:uid="{00000000-0005-0000-0000-00008E1A0000}"/>
    <cellStyle name="Check Cell 4 9 4" xfId="6690" xr:uid="{00000000-0005-0000-0000-00008F1A0000}"/>
    <cellStyle name="Check Cell 4 9 4 2" xfId="25128" xr:uid="{00000000-0005-0000-0000-0000901A0000}"/>
    <cellStyle name="Check Cell 4 9 5" xfId="6868" xr:uid="{00000000-0005-0000-0000-0000911A0000}"/>
    <cellStyle name="Check Cell 4 9 5 2" xfId="25306" xr:uid="{00000000-0005-0000-0000-0000921A0000}"/>
    <cellStyle name="Check Cell 4 9 6" xfId="8310" xr:uid="{00000000-0005-0000-0000-0000931A0000}"/>
    <cellStyle name="Check Cell 4 9 6 2" xfId="26735" xr:uid="{00000000-0005-0000-0000-0000941A0000}"/>
    <cellStyle name="Check Cell 4 9 7" xfId="16730" xr:uid="{00000000-0005-0000-0000-0000951A0000}"/>
    <cellStyle name="Check Cell 40" xfId="39113" xr:uid="{00000000-0005-0000-0000-0000B9060000}"/>
    <cellStyle name="Check Cell 41" xfId="39114" xr:uid="{00000000-0005-0000-0000-0000BA060000}"/>
    <cellStyle name="Check Cell 42" xfId="39115" xr:uid="{00000000-0005-0000-0000-0000BB060000}"/>
    <cellStyle name="Check Cell 43" xfId="39116" xr:uid="{00000000-0005-0000-0000-0000BC060000}"/>
    <cellStyle name="Check Cell 5" xfId="1681" xr:uid="{00000000-0005-0000-0000-0000961A0000}"/>
    <cellStyle name="Check Cell 5 10" xfId="1682" xr:uid="{00000000-0005-0000-0000-0000971A0000}"/>
    <cellStyle name="Check Cell 5 10 2" xfId="4685" xr:uid="{00000000-0005-0000-0000-0000981A0000}"/>
    <cellStyle name="Check Cell 5 10 2 2" xfId="23145" xr:uid="{00000000-0005-0000-0000-0000991A0000}"/>
    <cellStyle name="Check Cell 5 10 3" xfId="6638" xr:uid="{00000000-0005-0000-0000-00009A1A0000}"/>
    <cellStyle name="Check Cell 5 10 3 2" xfId="25078" xr:uid="{00000000-0005-0000-0000-00009B1A0000}"/>
    <cellStyle name="Check Cell 5 10 4" xfId="6688" xr:uid="{00000000-0005-0000-0000-00009C1A0000}"/>
    <cellStyle name="Check Cell 5 10 4 2" xfId="25126" xr:uid="{00000000-0005-0000-0000-00009D1A0000}"/>
    <cellStyle name="Check Cell 5 10 5" xfId="6866" xr:uid="{00000000-0005-0000-0000-00009E1A0000}"/>
    <cellStyle name="Check Cell 5 10 5 2" xfId="25304" xr:uid="{00000000-0005-0000-0000-00009F1A0000}"/>
    <cellStyle name="Check Cell 5 10 6" xfId="8312" xr:uid="{00000000-0005-0000-0000-0000A01A0000}"/>
    <cellStyle name="Check Cell 5 10 6 2" xfId="26737" xr:uid="{00000000-0005-0000-0000-0000A11A0000}"/>
    <cellStyle name="Check Cell 5 10 7" xfId="16728" xr:uid="{00000000-0005-0000-0000-0000A21A0000}"/>
    <cellStyle name="Check Cell 5 11" xfId="1683" xr:uid="{00000000-0005-0000-0000-0000A31A0000}"/>
    <cellStyle name="Check Cell 5 11 2" xfId="4686" xr:uid="{00000000-0005-0000-0000-0000A41A0000}"/>
    <cellStyle name="Check Cell 5 11 2 2" xfId="23146" xr:uid="{00000000-0005-0000-0000-0000A51A0000}"/>
    <cellStyle name="Check Cell 5 11 3" xfId="6639" xr:uid="{00000000-0005-0000-0000-0000A61A0000}"/>
    <cellStyle name="Check Cell 5 11 3 2" xfId="25079" xr:uid="{00000000-0005-0000-0000-0000A71A0000}"/>
    <cellStyle name="Check Cell 5 11 4" xfId="6687" xr:uid="{00000000-0005-0000-0000-0000A81A0000}"/>
    <cellStyle name="Check Cell 5 11 4 2" xfId="25125" xr:uid="{00000000-0005-0000-0000-0000A91A0000}"/>
    <cellStyle name="Check Cell 5 11 5" xfId="6865" xr:uid="{00000000-0005-0000-0000-0000AA1A0000}"/>
    <cellStyle name="Check Cell 5 11 5 2" xfId="25303" xr:uid="{00000000-0005-0000-0000-0000AB1A0000}"/>
    <cellStyle name="Check Cell 5 11 6" xfId="8313" xr:uid="{00000000-0005-0000-0000-0000AC1A0000}"/>
    <cellStyle name="Check Cell 5 11 6 2" xfId="26738" xr:uid="{00000000-0005-0000-0000-0000AD1A0000}"/>
    <cellStyle name="Check Cell 5 11 7" xfId="16727" xr:uid="{00000000-0005-0000-0000-0000AE1A0000}"/>
    <cellStyle name="Check Cell 5 12" xfId="4684" xr:uid="{00000000-0005-0000-0000-0000AF1A0000}"/>
    <cellStyle name="Check Cell 5 12 2" xfId="23144" xr:uid="{00000000-0005-0000-0000-0000B01A0000}"/>
    <cellStyle name="Check Cell 5 13" xfId="6637" xr:uid="{00000000-0005-0000-0000-0000B11A0000}"/>
    <cellStyle name="Check Cell 5 13 2" xfId="25077" xr:uid="{00000000-0005-0000-0000-0000B21A0000}"/>
    <cellStyle name="Check Cell 5 14" xfId="6689" xr:uid="{00000000-0005-0000-0000-0000B31A0000}"/>
    <cellStyle name="Check Cell 5 14 2" xfId="25127" xr:uid="{00000000-0005-0000-0000-0000B41A0000}"/>
    <cellStyle name="Check Cell 5 15" xfId="6867" xr:uid="{00000000-0005-0000-0000-0000B51A0000}"/>
    <cellStyle name="Check Cell 5 15 2" xfId="25305" xr:uid="{00000000-0005-0000-0000-0000B61A0000}"/>
    <cellStyle name="Check Cell 5 16" xfId="8311" xr:uid="{00000000-0005-0000-0000-0000B71A0000}"/>
    <cellStyle name="Check Cell 5 16 2" xfId="26736" xr:uid="{00000000-0005-0000-0000-0000B81A0000}"/>
    <cellStyle name="Check Cell 5 17" xfId="16729" xr:uid="{00000000-0005-0000-0000-0000B91A0000}"/>
    <cellStyle name="Check Cell 5 2" xfId="1684" xr:uid="{00000000-0005-0000-0000-0000BA1A0000}"/>
    <cellStyle name="Check Cell 5 2 2" xfId="4687" xr:uid="{00000000-0005-0000-0000-0000BB1A0000}"/>
    <cellStyle name="Check Cell 5 2 2 2" xfId="23147" xr:uid="{00000000-0005-0000-0000-0000BC1A0000}"/>
    <cellStyle name="Check Cell 5 2 3" xfId="6640" xr:uid="{00000000-0005-0000-0000-0000BD1A0000}"/>
    <cellStyle name="Check Cell 5 2 3 2" xfId="25080" xr:uid="{00000000-0005-0000-0000-0000BE1A0000}"/>
    <cellStyle name="Check Cell 5 2 4" xfId="6686" xr:uid="{00000000-0005-0000-0000-0000BF1A0000}"/>
    <cellStyle name="Check Cell 5 2 4 2" xfId="25124" xr:uid="{00000000-0005-0000-0000-0000C01A0000}"/>
    <cellStyle name="Check Cell 5 2 5" xfId="6864" xr:uid="{00000000-0005-0000-0000-0000C11A0000}"/>
    <cellStyle name="Check Cell 5 2 5 2" xfId="25302" xr:uid="{00000000-0005-0000-0000-0000C21A0000}"/>
    <cellStyle name="Check Cell 5 2 6" xfId="8314" xr:uid="{00000000-0005-0000-0000-0000C31A0000}"/>
    <cellStyle name="Check Cell 5 2 6 2" xfId="26739" xr:uid="{00000000-0005-0000-0000-0000C41A0000}"/>
    <cellStyle name="Check Cell 5 2 7" xfId="16726" xr:uid="{00000000-0005-0000-0000-0000C51A0000}"/>
    <cellStyle name="Check Cell 5 3" xfId="1685" xr:uid="{00000000-0005-0000-0000-0000C61A0000}"/>
    <cellStyle name="Check Cell 5 3 2" xfId="4688" xr:uid="{00000000-0005-0000-0000-0000C71A0000}"/>
    <cellStyle name="Check Cell 5 3 2 2" xfId="23148" xr:uid="{00000000-0005-0000-0000-0000C81A0000}"/>
    <cellStyle name="Check Cell 5 3 3" xfId="6641" xr:uid="{00000000-0005-0000-0000-0000C91A0000}"/>
    <cellStyle name="Check Cell 5 3 3 2" xfId="25081" xr:uid="{00000000-0005-0000-0000-0000CA1A0000}"/>
    <cellStyle name="Check Cell 5 3 4" xfId="6685" xr:uid="{00000000-0005-0000-0000-0000CB1A0000}"/>
    <cellStyle name="Check Cell 5 3 4 2" xfId="25123" xr:uid="{00000000-0005-0000-0000-0000CC1A0000}"/>
    <cellStyle name="Check Cell 5 3 5" xfId="6863" xr:uid="{00000000-0005-0000-0000-0000CD1A0000}"/>
    <cellStyle name="Check Cell 5 3 5 2" xfId="25301" xr:uid="{00000000-0005-0000-0000-0000CE1A0000}"/>
    <cellStyle name="Check Cell 5 3 6" xfId="8315" xr:uid="{00000000-0005-0000-0000-0000CF1A0000}"/>
    <cellStyle name="Check Cell 5 3 6 2" xfId="26740" xr:uid="{00000000-0005-0000-0000-0000D01A0000}"/>
    <cellStyle name="Check Cell 5 3 7" xfId="16725" xr:uid="{00000000-0005-0000-0000-0000D11A0000}"/>
    <cellStyle name="Check Cell 5 4" xfId="1686" xr:uid="{00000000-0005-0000-0000-0000D21A0000}"/>
    <cellStyle name="Check Cell 5 4 2" xfId="4689" xr:uid="{00000000-0005-0000-0000-0000D31A0000}"/>
    <cellStyle name="Check Cell 5 4 2 2" xfId="23149" xr:uid="{00000000-0005-0000-0000-0000D41A0000}"/>
    <cellStyle name="Check Cell 5 4 3" xfId="6642" xr:uid="{00000000-0005-0000-0000-0000D51A0000}"/>
    <cellStyle name="Check Cell 5 4 3 2" xfId="25082" xr:uid="{00000000-0005-0000-0000-0000D61A0000}"/>
    <cellStyle name="Check Cell 5 4 4" xfId="6684" xr:uid="{00000000-0005-0000-0000-0000D71A0000}"/>
    <cellStyle name="Check Cell 5 4 4 2" xfId="25122" xr:uid="{00000000-0005-0000-0000-0000D81A0000}"/>
    <cellStyle name="Check Cell 5 4 5" xfId="6862" xr:uid="{00000000-0005-0000-0000-0000D91A0000}"/>
    <cellStyle name="Check Cell 5 4 5 2" xfId="25300" xr:uid="{00000000-0005-0000-0000-0000DA1A0000}"/>
    <cellStyle name="Check Cell 5 4 6" xfId="8316" xr:uid="{00000000-0005-0000-0000-0000DB1A0000}"/>
    <cellStyle name="Check Cell 5 4 6 2" xfId="26741" xr:uid="{00000000-0005-0000-0000-0000DC1A0000}"/>
    <cellStyle name="Check Cell 5 4 7" xfId="16724" xr:uid="{00000000-0005-0000-0000-0000DD1A0000}"/>
    <cellStyle name="Check Cell 5 5" xfId="1687" xr:uid="{00000000-0005-0000-0000-0000DE1A0000}"/>
    <cellStyle name="Check Cell 5 5 2" xfId="4690" xr:uid="{00000000-0005-0000-0000-0000DF1A0000}"/>
    <cellStyle name="Check Cell 5 5 2 2" xfId="23150" xr:uid="{00000000-0005-0000-0000-0000E01A0000}"/>
    <cellStyle name="Check Cell 5 5 3" xfId="6643" xr:uid="{00000000-0005-0000-0000-0000E11A0000}"/>
    <cellStyle name="Check Cell 5 5 3 2" xfId="25083" xr:uid="{00000000-0005-0000-0000-0000E21A0000}"/>
    <cellStyle name="Check Cell 5 5 4" xfId="6683" xr:uid="{00000000-0005-0000-0000-0000E31A0000}"/>
    <cellStyle name="Check Cell 5 5 4 2" xfId="25121" xr:uid="{00000000-0005-0000-0000-0000E41A0000}"/>
    <cellStyle name="Check Cell 5 5 5" xfId="6861" xr:uid="{00000000-0005-0000-0000-0000E51A0000}"/>
    <cellStyle name="Check Cell 5 5 5 2" xfId="25299" xr:uid="{00000000-0005-0000-0000-0000E61A0000}"/>
    <cellStyle name="Check Cell 5 5 6" xfId="8317" xr:uid="{00000000-0005-0000-0000-0000E71A0000}"/>
    <cellStyle name="Check Cell 5 5 6 2" xfId="26742" xr:uid="{00000000-0005-0000-0000-0000E81A0000}"/>
    <cellStyle name="Check Cell 5 5 7" xfId="16723" xr:uid="{00000000-0005-0000-0000-0000E91A0000}"/>
    <cellStyle name="Check Cell 5 6" xfId="1688" xr:uid="{00000000-0005-0000-0000-0000EA1A0000}"/>
    <cellStyle name="Check Cell 5 6 2" xfId="4691" xr:uid="{00000000-0005-0000-0000-0000EB1A0000}"/>
    <cellStyle name="Check Cell 5 6 2 2" xfId="23151" xr:uid="{00000000-0005-0000-0000-0000EC1A0000}"/>
    <cellStyle name="Check Cell 5 6 3" xfId="6644" xr:uid="{00000000-0005-0000-0000-0000ED1A0000}"/>
    <cellStyle name="Check Cell 5 6 3 2" xfId="25084" xr:uid="{00000000-0005-0000-0000-0000EE1A0000}"/>
    <cellStyle name="Check Cell 5 6 4" xfId="6682" xr:uid="{00000000-0005-0000-0000-0000EF1A0000}"/>
    <cellStyle name="Check Cell 5 6 4 2" xfId="25120" xr:uid="{00000000-0005-0000-0000-0000F01A0000}"/>
    <cellStyle name="Check Cell 5 6 5" xfId="6860" xr:uid="{00000000-0005-0000-0000-0000F11A0000}"/>
    <cellStyle name="Check Cell 5 6 5 2" xfId="25298" xr:uid="{00000000-0005-0000-0000-0000F21A0000}"/>
    <cellStyle name="Check Cell 5 6 6" xfId="8318" xr:uid="{00000000-0005-0000-0000-0000F31A0000}"/>
    <cellStyle name="Check Cell 5 6 6 2" xfId="26743" xr:uid="{00000000-0005-0000-0000-0000F41A0000}"/>
    <cellStyle name="Check Cell 5 6 7" xfId="16722" xr:uid="{00000000-0005-0000-0000-0000F51A0000}"/>
    <cellStyle name="Check Cell 5 7" xfId="1689" xr:uid="{00000000-0005-0000-0000-0000F61A0000}"/>
    <cellStyle name="Check Cell 5 7 2" xfId="4692" xr:uid="{00000000-0005-0000-0000-0000F71A0000}"/>
    <cellStyle name="Check Cell 5 7 2 2" xfId="23152" xr:uid="{00000000-0005-0000-0000-0000F81A0000}"/>
    <cellStyle name="Check Cell 5 7 3" xfId="6645" xr:uid="{00000000-0005-0000-0000-0000F91A0000}"/>
    <cellStyle name="Check Cell 5 7 3 2" xfId="25085" xr:uid="{00000000-0005-0000-0000-0000FA1A0000}"/>
    <cellStyle name="Check Cell 5 7 4" xfId="6681" xr:uid="{00000000-0005-0000-0000-0000FB1A0000}"/>
    <cellStyle name="Check Cell 5 7 4 2" xfId="25119" xr:uid="{00000000-0005-0000-0000-0000FC1A0000}"/>
    <cellStyle name="Check Cell 5 7 5" xfId="6859" xr:uid="{00000000-0005-0000-0000-0000FD1A0000}"/>
    <cellStyle name="Check Cell 5 7 5 2" xfId="25297" xr:uid="{00000000-0005-0000-0000-0000FE1A0000}"/>
    <cellStyle name="Check Cell 5 7 6" xfId="8319" xr:uid="{00000000-0005-0000-0000-0000FF1A0000}"/>
    <cellStyle name="Check Cell 5 7 6 2" xfId="26744" xr:uid="{00000000-0005-0000-0000-0000001B0000}"/>
    <cellStyle name="Check Cell 5 7 7" xfId="16721" xr:uid="{00000000-0005-0000-0000-0000011B0000}"/>
    <cellStyle name="Check Cell 5 8" xfId="1690" xr:uid="{00000000-0005-0000-0000-0000021B0000}"/>
    <cellStyle name="Check Cell 5 8 2" xfId="4693" xr:uid="{00000000-0005-0000-0000-0000031B0000}"/>
    <cellStyle name="Check Cell 5 8 2 2" xfId="23153" xr:uid="{00000000-0005-0000-0000-0000041B0000}"/>
    <cellStyle name="Check Cell 5 8 3" xfId="6646" xr:uid="{00000000-0005-0000-0000-0000051B0000}"/>
    <cellStyle name="Check Cell 5 8 3 2" xfId="25086" xr:uid="{00000000-0005-0000-0000-0000061B0000}"/>
    <cellStyle name="Check Cell 5 8 4" xfId="6680" xr:uid="{00000000-0005-0000-0000-0000071B0000}"/>
    <cellStyle name="Check Cell 5 8 4 2" xfId="25118" xr:uid="{00000000-0005-0000-0000-0000081B0000}"/>
    <cellStyle name="Check Cell 5 8 5" xfId="6858" xr:uid="{00000000-0005-0000-0000-0000091B0000}"/>
    <cellStyle name="Check Cell 5 8 5 2" xfId="25296" xr:uid="{00000000-0005-0000-0000-00000A1B0000}"/>
    <cellStyle name="Check Cell 5 8 6" xfId="8320" xr:uid="{00000000-0005-0000-0000-00000B1B0000}"/>
    <cellStyle name="Check Cell 5 8 6 2" xfId="26745" xr:uid="{00000000-0005-0000-0000-00000C1B0000}"/>
    <cellStyle name="Check Cell 5 8 7" xfId="16720" xr:uid="{00000000-0005-0000-0000-00000D1B0000}"/>
    <cellStyle name="Check Cell 5 9" xfId="1691" xr:uid="{00000000-0005-0000-0000-00000E1B0000}"/>
    <cellStyle name="Check Cell 5 9 2" xfId="4694" xr:uid="{00000000-0005-0000-0000-00000F1B0000}"/>
    <cellStyle name="Check Cell 5 9 2 2" xfId="23154" xr:uid="{00000000-0005-0000-0000-0000101B0000}"/>
    <cellStyle name="Check Cell 5 9 3" xfId="6647" xr:uid="{00000000-0005-0000-0000-0000111B0000}"/>
    <cellStyle name="Check Cell 5 9 3 2" xfId="25087" xr:uid="{00000000-0005-0000-0000-0000121B0000}"/>
    <cellStyle name="Check Cell 5 9 4" xfId="6679" xr:uid="{00000000-0005-0000-0000-0000131B0000}"/>
    <cellStyle name="Check Cell 5 9 4 2" xfId="25117" xr:uid="{00000000-0005-0000-0000-0000141B0000}"/>
    <cellStyle name="Check Cell 5 9 5" xfId="6857" xr:uid="{00000000-0005-0000-0000-0000151B0000}"/>
    <cellStyle name="Check Cell 5 9 5 2" xfId="25295" xr:uid="{00000000-0005-0000-0000-0000161B0000}"/>
    <cellStyle name="Check Cell 5 9 6" xfId="8321" xr:uid="{00000000-0005-0000-0000-0000171B0000}"/>
    <cellStyle name="Check Cell 5 9 6 2" xfId="26746" xr:uid="{00000000-0005-0000-0000-0000181B0000}"/>
    <cellStyle name="Check Cell 5 9 7" xfId="16719" xr:uid="{00000000-0005-0000-0000-0000191B0000}"/>
    <cellStyle name="Check Cell 6" xfId="1692" xr:uid="{00000000-0005-0000-0000-00001A1B0000}"/>
    <cellStyle name="Check Cell 6 10" xfId="1693" xr:uid="{00000000-0005-0000-0000-00001B1B0000}"/>
    <cellStyle name="Check Cell 6 10 2" xfId="4696" xr:uid="{00000000-0005-0000-0000-00001C1B0000}"/>
    <cellStyle name="Check Cell 6 10 2 2" xfId="23156" xr:uid="{00000000-0005-0000-0000-00001D1B0000}"/>
    <cellStyle name="Check Cell 6 10 3" xfId="6649" xr:uid="{00000000-0005-0000-0000-00001E1B0000}"/>
    <cellStyle name="Check Cell 6 10 3 2" xfId="25089" xr:uid="{00000000-0005-0000-0000-00001F1B0000}"/>
    <cellStyle name="Check Cell 6 10 4" xfId="6677" xr:uid="{00000000-0005-0000-0000-0000201B0000}"/>
    <cellStyle name="Check Cell 6 10 4 2" xfId="25115" xr:uid="{00000000-0005-0000-0000-0000211B0000}"/>
    <cellStyle name="Check Cell 6 10 5" xfId="6855" xr:uid="{00000000-0005-0000-0000-0000221B0000}"/>
    <cellStyle name="Check Cell 6 10 5 2" xfId="25293" xr:uid="{00000000-0005-0000-0000-0000231B0000}"/>
    <cellStyle name="Check Cell 6 10 6" xfId="8323" xr:uid="{00000000-0005-0000-0000-0000241B0000}"/>
    <cellStyle name="Check Cell 6 10 6 2" xfId="26748" xr:uid="{00000000-0005-0000-0000-0000251B0000}"/>
    <cellStyle name="Check Cell 6 10 7" xfId="16717" xr:uid="{00000000-0005-0000-0000-0000261B0000}"/>
    <cellStyle name="Check Cell 6 11" xfId="1694" xr:uid="{00000000-0005-0000-0000-0000271B0000}"/>
    <cellStyle name="Check Cell 6 11 2" xfId="4697" xr:uid="{00000000-0005-0000-0000-0000281B0000}"/>
    <cellStyle name="Check Cell 6 11 2 2" xfId="23157" xr:uid="{00000000-0005-0000-0000-0000291B0000}"/>
    <cellStyle name="Check Cell 6 11 3" xfId="6650" xr:uid="{00000000-0005-0000-0000-00002A1B0000}"/>
    <cellStyle name="Check Cell 6 11 3 2" xfId="25090" xr:uid="{00000000-0005-0000-0000-00002B1B0000}"/>
    <cellStyle name="Check Cell 6 11 4" xfId="6676" xr:uid="{00000000-0005-0000-0000-00002C1B0000}"/>
    <cellStyle name="Check Cell 6 11 4 2" xfId="25114" xr:uid="{00000000-0005-0000-0000-00002D1B0000}"/>
    <cellStyle name="Check Cell 6 11 5" xfId="6854" xr:uid="{00000000-0005-0000-0000-00002E1B0000}"/>
    <cellStyle name="Check Cell 6 11 5 2" xfId="25292" xr:uid="{00000000-0005-0000-0000-00002F1B0000}"/>
    <cellStyle name="Check Cell 6 11 6" xfId="8324" xr:uid="{00000000-0005-0000-0000-0000301B0000}"/>
    <cellStyle name="Check Cell 6 11 6 2" xfId="26749" xr:uid="{00000000-0005-0000-0000-0000311B0000}"/>
    <cellStyle name="Check Cell 6 11 7" xfId="16716" xr:uid="{00000000-0005-0000-0000-0000321B0000}"/>
    <cellStyle name="Check Cell 6 12" xfId="4695" xr:uid="{00000000-0005-0000-0000-0000331B0000}"/>
    <cellStyle name="Check Cell 6 12 2" xfId="23155" xr:uid="{00000000-0005-0000-0000-0000341B0000}"/>
    <cellStyle name="Check Cell 6 13" xfId="6648" xr:uid="{00000000-0005-0000-0000-0000351B0000}"/>
    <cellStyle name="Check Cell 6 13 2" xfId="25088" xr:uid="{00000000-0005-0000-0000-0000361B0000}"/>
    <cellStyle name="Check Cell 6 14" xfId="6678" xr:uid="{00000000-0005-0000-0000-0000371B0000}"/>
    <cellStyle name="Check Cell 6 14 2" xfId="25116" xr:uid="{00000000-0005-0000-0000-0000381B0000}"/>
    <cellStyle name="Check Cell 6 15" xfId="6856" xr:uid="{00000000-0005-0000-0000-0000391B0000}"/>
    <cellStyle name="Check Cell 6 15 2" xfId="25294" xr:uid="{00000000-0005-0000-0000-00003A1B0000}"/>
    <cellStyle name="Check Cell 6 16" xfId="8322" xr:uid="{00000000-0005-0000-0000-00003B1B0000}"/>
    <cellStyle name="Check Cell 6 16 2" xfId="26747" xr:uid="{00000000-0005-0000-0000-00003C1B0000}"/>
    <cellStyle name="Check Cell 6 17" xfId="16718" xr:uid="{00000000-0005-0000-0000-00003D1B0000}"/>
    <cellStyle name="Check Cell 6 2" xfId="1695" xr:uid="{00000000-0005-0000-0000-00003E1B0000}"/>
    <cellStyle name="Check Cell 6 2 2" xfId="4698" xr:uid="{00000000-0005-0000-0000-00003F1B0000}"/>
    <cellStyle name="Check Cell 6 2 2 2" xfId="23158" xr:uid="{00000000-0005-0000-0000-0000401B0000}"/>
    <cellStyle name="Check Cell 6 2 3" xfId="6651" xr:uid="{00000000-0005-0000-0000-0000411B0000}"/>
    <cellStyle name="Check Cell 6 2 3 2" xfId="25091" xr:uid="{00000000-0005-0000-0000-0000421B0000}"/>
    <cellStyle name="Check Cell 6 2 4" xfId="5962" xr:uid="{00000000-0005-0000-0000-0000431B0000}"/>
    <cellStyle name="Check Cell 6 2 4 2" xfId="24403" xr:uid="{00000000-0005-0000-0000-0000441B0000}"/>
    <cellStyle name="Check Cell 6 2 5" xfId="6853" xr:uid="{00000000-0005-0000-0000-0000451B0000}"/>
    <cellStyle name="Check Cell 6 2 5 2" xfId="25291" xr:uid="{00000000-0005-0000-0000-0000461B0000}"/>
    <cellStyle name="Check Cell 6 2 6" xfId="8325" xr:uid="{00000000-0005-0000-0000-0000471B0000}"/>
    <cellStyle name="Check Cell 6 2 6 2" xfId="26750" xr:uid="{00000000-0005-0000-0000-0000481B0000}"/>
    <cellStyle name="Check Cell 6 2 7" xfId="16715" xr:uid="{00000000-0005-0000-0000-0000491B0000}"/>
    <cellStyle name="Check Cell 6 3" xfId="1696" xr:uid="{00000000-0005-0000-0000-00004A1B0000}"/>
    <cellStyle name="Check Cell 6 3 2" xfId="4699" xr:uid="{00000000-0005-0000-0000-00004B1B0000}"/>
    <cellStyle name="Check Cell 6 3 2 2" xfId="23159" xr:uid="{00000000-0005-0000-0000-00004C1B0000}"/>
    <cellStyle name="Check Cell 6 3 3" xfId="6652" xr:uid="{00000000-0005-0000-0000-00004D1B0000}"/>
    <cellStyle name="Check Cell 6 3 3 2" xfId="25092" xr:uid="{00000000-0005-0000-0000-00004E1B0000}"/>
    <cellStyle name="Check Cell 6 3 4" xfId="6675" xr:uid="{00000000-0005-0000-0000-00004F1B0000}"/>
    <cellStyle name="Check Cell 6 3 4 2" xfId="25113" xr:uid="{00000000-0005-0000-0000-0000501B0000}"/>
    <cellStyle name="Check Cell 6 3 5" xfId="6852" xr:uid="{00000000-0005-0000-0000-0000511B0000}"/>
    <cellStyle name="Check Cell 6 3 5 2" xfId="25290" xr:uid="{00000000-0005-0000-0000-0000521B0000}"/>
    <cellStyle name="Check Cell 6 3 6" xfId="8326" xr:uid="{00000000-0005-0000-0000-0000531B0000}"/>
    <cellStyle name="Check Cell 6 3 6 2" xfId="26751" xr:uid="{00000000-0005-0000-0000-0000541B0000}"/>
    <cellStyle name="Check Cell 6 3 7" xfId="16714" xr:uid="{00000000-0005-0000-0000-0000551B0000}"/>
    <cellStyle name="Check Cell 6 4" xfId="1697" xr:uid="{00000000-0005-0000-0000-0000561B0000}"/>
    <cellStyle name="Check Cell 6 4 2" xfId="4700" xr:uid="{00000000-0005-0000-0000-0000571B0000}"/>
    <cellStyle name="Check Cell 6 4 2 2" xfId="23160" xr:uid="{00000000-0005-0000-0000-0000581B0000}"/>
    <cellStyle name="Check Cell 6 4 3" xfId="6653" xr:uid="{00000000-0005-0000-0000-0000591B0000}"/>
    <cellStyle name="Check Cell 6 4 3 2" xfId="25093" xr:uid="{00000000-0005-0000-0000-00005A1B0000}"/>
    <cellStyle name="Check Cell 6 4 4" xfId="6674" xr:uid="{00000000-0005-0000-0000-00005B1B0000}"/>
    <cellStyle name="Check Cell 6 4 4 2" xfId="25112" xr:uid="{00000000-0005-0000-0000-00005C1B0000}"/>
    <cellStyle name="Check Cell 6 4 5" xfId="6851" xr:uid="{00000000-0005-0000-0000-00005D1B0000}"/>
    <cellStyle name="Check Cell 6 4 5 2" xfId="25289" xr:uid="{00000000-0005-0000-0000-00005E1B0000}"/>
    <cellStyle name="Check Cell 6 4 6" xfId="8327" xr:uid="{00000000-0005-0000-0000-00005F1B0000}"/>
    <cellStyle name="Check Cell 6 4 6 2" xfId="26752" xr:uid="{00000000-0005-0000-0000-0000601B0000}"/>
    <cellStyle name="Check Cell 6 4 7" xfId="16713" xr:uid="{00000000-0005-0000-0000-0000611B0000}"/>
    <cellStyle name="Check Cell 6 5" xfId="1698" xr:uid="{00000000-0005-0000-0000-0000621B0000}"/>
    <cellStyle name="Check Cell 6 5 2" xfId="4701" xr:uid="{00000000-0005-0000-0000-0000631B0000}"/>
    <cellStyle name="Check Cell 6 5 2 2" xfId="23161" xr:uid="{00000000-0005-0000-0000-0000641B0000}"/>
    <cellStyle name="Check Cell 6 5 3" xfId="6654" xr:uid="{00000000-0005-0000-0000-0000651B0000}"/>
    <cellStyle name="Check Cell 6 5 3 2" xfId="25094" xr:uid="{00000000-0005-0000-0000-0000661B0000}"/>
    <cellStyle name="Check Cell 6 5 4" xfId="6673" xr:uid="{00000000-0005-0000-0000-0000671B0000}"/>
    <cellStyle name="Check Cell 6 5 4 2" xfId="25111" xr:uid="{00000000-0005-0000-0000-0000681B0000}"/>
    <cellStyle name="Check Cell 6 5 5" xfId="6850" xr:uid="{00000000-0005-0000-0000-0000691B0000}"/>
    <cellStyle name="Check Cell 6 5 5 2" xfId="25288" xr:uid="{00000000-0005-0000-0000-00006A1B0000}"/>
    <cellStyle name="Check Cell 6 5 6" xfId="8328" xr:uid="{00000000-0005-0000-0000-00006B1B0000}"/>
    <cellStyle name="Check Cell 6 5 6 2" xfId="26753" xr:uid="{00000000-0005-0000-0000-00006C1B0000}"/>
    <cellStyle name="Check Cell 6 5 7" xfId="16712" xr:uid="{00000000-0005-0000-0000-00006D1B0000}"/>
    <cellStyle name="Check Cell 6 6" xfId="1699" xr:uid="{00000000-0005-0000-0000-00006E1B0000}"/>
    <cellStyle name="Check Cell 6 6 2" xfId="4702" xr:uid="{00000000-0005-0000-0000-00006F1B0000}"/>
    <cellStyle name="Check Cell 6 6 2 2" xfId="23162" xr:uid="{00000000-0005-0000-0000-0000701B0000}"/>
    <cellStyle name="Check Cell 6 6 3" xfId="6655" xr:uid="{00000000-0005-0000-0000-0000711B0000}"/>
    <cellStyle name="Check Cell 6 6 3 2" xfId="25095" xr:uid="{00000000-0005-0000-0000-0000721B0000}"/>
    <cellStyle name="Check Cell 6 6 4" xfId="6672" xr:uid="{00000000-0005-0000-0000-0000731B0000}"/>
    <cellStyle name="Check Cell 6 6 4 2" xfId="25110" xr:uid="{00000000-0005-0000-0000-0000741B0000}"/>
    <cellStyle name="Check Cell 6 6 5" xfId="6849" xr:uid="{00000000-0005-0000-0000-0000751B0000}"/>
    <cellStyle name="Check Cell 6 6 5 2" xfId="25287" xr:uid="{00000000-0005-0000-0000-0000761B0000}"/>
    <cellStyle name="Check Cell 6 6 6" xfId="8329" xr:uid="{00000000-0005-0000-0000-0000771B0000}"/>
    <cellStyle name="Check Cell 6 6 6 2" xfId="26754" xr:uid="{00000000-0005-0000-0000-0000781B0000}"/>
    <cellStyle name="Check Cell 6 6 7" xfId="16711" xr:uid="{00000000-0005-0000-0000-0000791B0000}"/>
    <cellStyle name="Check Cell 6 7" xfId="1700" xr:uid="{00000000-0005-0000-0000-00007A1B0000}"/>
    <cellStyle name="Check Cell 6 7 2" xfId="4703" xr:uid="{00000000-0005-0000-0000-00007B1B0000}"/>
    <cellStyle name="Check Cell 6 7 2 2" xfId="23163" xr:uid="{00000000-0005-0000-0000-00007C1B0000}"/>
    <cellStyle name="Check Cell 6 7 3" xfId="6656" xr:uid="{00000000-0005-0000-0000-00007D1B0000}"/>
    <cellStyle name="Check Cell 6 7 3 2" xfId="25096" xr:uid="{00000000-0005-0000-0000-00007E1B0000}"/>
    <cellStyle name="Check Cell 6 7 4" xfId="6671" xr:uid="{00000000-0005-0000-0000-00007F1B0000}"/>
    <cellStyle name="Check Cell 6 7 4 2" xfId="25109" xr:uid="{00000000-0005-0000-0000-0000801B0000}"/>
    <cellStyle name="Check Cell 6 7 5" xfId="6848" xr:uid="{00000000-0005-0000-0000-0000811B0000}"/>
    <cellStyle name="Check Cell 6 7 5 2" xfId="25286" xr:uid="{00000000-0005-0000-0000-0000821B0000}"/>
    <cellStyle name="Check Cell 6 7 6" xfId="8330" xr:uid="{00000000-0005-0000-0000-0000831B0000}"/>
    <cellStyle name="Check Cell 6 7 6 2" xfId="26755" xr:uid="{00000000-0005-0000-0000-0000841B0000}"/>
    <cellStyle name="Check Cell 6 7 7" xfId="16710" xr:uid="{00000000-0005-0000-0000-0000851B0000}"/>
    <cellStyle name="Check Cell 6 8" xfId="1701" xr:uid="{00000000-0005-0000-0000-0000861B0000}"/>
    <cellStyle name="Check Cell 6 8 2" xfId="4704" xr:uid="{00000000-0005-0000-0000-0000871B0000}"/>
    <cellStyle name="Check Cell 6 8 2 2" xfId="23164" xr:uid="{00000000-0005-0000-0000-0000881B0000}"/>
    <cellStyle name="Check Cell 6 8 3" xfId="6657" xr:uid="{00000000-0005-0000-0000-0000891B0000}"/>
    <cellStyle name="Check Cell 6 8 3 2" xfId="25097" xr:uid="{00000000-0005-0000-0000-00008A1B0000}"/>
    <cellStyle name="Check Cell 6 8 4" xfId="6670" xr:uid="{00000000-0005-0000-0000-00008B1B0000}"/>
    <cellStyle name="Check Cell 6 8 4 2" xfId="25108" xr:uid="{00000000-0005-0000-0000-00008C1B0000}"/>
    <cellStyle name="Check Cell 6 8 5" xfId="6847" xr:uid="{00000000-0005-0000-0000-00008D1B0000}"/>
    <cellStyle name="Check Cell 6 8 5 2" xfId="25285" xr:uid="{00000000-0005-0000-0000-00008E1B0000}"/>
    <cellStyle name="Check Cell 6 8 6" xfId="8331" xr:uid="{00000000-0005-0000-0000-00008F1B0000}"/>
    <cellStyle name="Check Cell 6 8 6 2" xfId="26756" xr:uid="{00000000-0005-0000-0000-0000901B0000}"/>
    <cellStyle name="Check Cell 6 8 7" xfId="16709" xr:uid="{00000000-0005-0000-0000-0000911B0000}"/>
    <cellStyle name="Check Cell 6 9" xfId="1702" xr:uid="{00000000-0005-0000-0000-0000921B0000}"/>
    <cellStyle name="Check Cell 6 9 2" xfId="4705" xr:uid="{00000000-0005-0000-0000-0000931B0000}"/>
    <cellStyle name="Check Cell 6 9 2 2" xfId="23165" xr:uid="{00000000-0005-0000-0000-0000941B0000}"/>
    <cellStyle name="Check Cell 6 9 3" xfId="6658" xr:uid="{00000000-0005-0000-0000-0000951B0000}"/>
    <cellStyle name="Check Cell 6 9 3 2" xfId="25098" xr:uid="{00000000-0005-0000-0000-0000961B0000}"/>
    <cellStyle name="Check Cell 6 9 4" xfId="6669" xr:uid="{00000000-0005-0000-0000-0000971B0000}"/>
    <cellStyle name="Check Cell 6 9 4 2" xfId="25107" xr:uid="{00000000-0005-0000-0000-0000981B0000}"/>
    <cellStyle name="Check Cell 6 9 5" xfId="6846" xr:uid="{00000000-0005-0000-0000-0000991B0000}"/>
    <cellStyle name="Check Cell 6 9 5 2" xfId="25284" xr:uid="{00000000-0005-0000-0000-00009A1B0000}"/>
    <cellStyle name="Check Cell 6 9 6" xfId="8332" xr:uid="{00000000-0005-0000-0000-00009B1B0000}"/>
    <cellStyle name="Check Cell 6 9 6 2" xfId="26757" xr:uid="{00000000-0005-0000-0000-00009C1B0000}"/>
    <cellStyle name="Check Cell 6 9 7" xfId="16708" xr:uid="{00000000-0005-0000-0000-00009D1B0000}"/>
    <cellStyle name="Check Cell 7" xfId="1703" xr:uid="{00000000-0005-0000-0000-00009E1B0000}"/>
    <cellStyle name="Check Cell 7 2" xfId="4706" xr:uid="{00000000-0005-0000-0000-00009F1B0000}"/>
    <cellStyle name="Check Cell 7 2 2" xfId="23166" xr:uid="{00000000-0005-0000-0000-0000A01B0000}"/>
    <cellStyle name="Check Cell 7 3" xfId="6659" xr:uid="{00000000-0005-0000-0000-0000A11B0000}"/>
    <cellStyle name="Check Cell 7 3 2" xfId="25099" xr:uid="{00000000-0005-0000-0000-0000A21B0000}"/>
    <cellStyle name="Check Cell 7 4" xfId="6668" xr:uid="{00000000-0005-0000-0000-0000A31B0000}"/>
    <cellStyle name="Check Cell 7 4 2" xfId="25106" xr:uid="{00000000-0005-0000-0000-0000A41B0000}"/>
    <cellStyle name="Check Cell 7 5" xfId="6845" xr:uid="{00000000-0005-0000-0000-0000A51B0000}"/>
    <cellStyle name="Check Cell 7 5 2" xfId="25283" xr:uid="{00000000-0005-0000-0000-0000A61B0000}"/>
    <cellStyle name="Check Cell 7 6" xfId="8333" xr:uid="{00000000-0005-0000-0000-0000A71B0000}"/>
    <cellStyle name="Check Cell 7 6 2" xfId="26758" xr:uid="{00000000-0005-0000-0000-0000A81B0000}"/>
    <cellStyle name="Check Cell 7 7" xfId="16707" xr:uid="{00000000-0005-0000-0000-0000A91B0000}"/>
    <cellStyle name="Check Cell 8" xfId="1704" xr:uid="{00000000-0005-0000-0000-0000AA1B0000}"/>
    <cellStyle name="Check Cell 8 2" xfId="4707" xr:uid="{00000000-0005-0000-0000-0000AB1B0000}"/>
    <cellStyle name="Check Cell 8 2 2" xfId="23167" xr:uid="{00000000-0005-0000-0000-0000AC1B0000}"/>
    <cellStyle name="Check Cell 8 3" xfId="6660" xr:uid="{00000000-0005-0000-0000-0000AD1B0000}"/>
    <cellStyle name="Check Cell 8 3 2" xfId="25100" xr:uid="{00000000-0005-0000-0000-0000AE1B0000}"/>
    <cellStyle name="Check Cell 8 4" xfId="6667" xr:uid="{00000000-0005-0000-0000-0000AF1B0000}"/>
    <cellStyle name="Check Cell 8 4 2" xfId="25105" xr:uid="{00000000-0005-0000-0000-0000B01B0000}"/>
    <cellStyle name="Check Cell 8 5" xfId="6844" xr:uid="{00000000-0005-0000-0000-0000B11B0000}"/>
    <cellStyle name="Check Cell 8 5 2" xfId="25282" xr:uid="{00000000-0005-0000-0000-0000B21B0000}"/>
    <cellStyle name="Check Cell 8 6" xfId="8334" xr:uid="{00000000-0005-0000-0000-0000B31B0000}"/>
    <cellStyle name="Check Cell 8 6 2" xfId="26759" xr:uid="{00000000-0005-0000-0000-0000B41B0000}"/>
    <cellStyle name="Check Cell 8 7" xfId="16706" xr:uid="{00000000-0005-0000-0000-0000B51B0000}"/>
    <cellStyle name="Check Cell 9" xfId="1705" xr:uid="{00000000-0005-0000-0000-0000B61B0000}"/>
    <cellStyle name="Check Cell 9 2" xfId="4708" xr:uid="{00000000-0005-0000-0000-0000B71B0000}"/>
    <cellStyle name="Check Cell 9 2 2" xfId="23168" xr:uid="{00000000-0005-0000-0000-0000B81B0000}"/>
    <cellStyle name="Check Cell 9 3" xfId="6661" xr:uid="{00000000-0005-0000-0000-0000B91B0000}"/>
    <cellStyle name="Check Cell 9 3 2" xfId="25101" xr:uid="{00000000-0005-0000-0000-0000BA1B0000}"/>
    <cellStyle name="Check Cell 9 4" xfId="6666" xr:uid="{00000000-0005-0000-0000-0000BB1B0000}"/>
    <cellStyle name="Check Cell 9 4 2" xfId="25104" xr:uid="{00000000-0005-0000-0000-0000BC1B0000}"/>
    <cellStyle name="Check Cell 9 5" xfId="6843" xr:uid="{00000000-0005-0000-0000-0000BD1B0000}"/>
    <cellStyle name="Check Cell 9 5 2" xfId="25281" xr:uid="{00000000-0005-0000-0000-0000BE1B0000}"/>
    <cellStyle name="Check Cell 9 6" xfId="8335" xr:uid="{00000000-0005-0000-0000-0000BF1B0000}"/>
    <cellStyle name="Check Cell 9 6 2" xfId="26760" xr:uid="{00000000-0005-0000-0000-0000C01B0000}"/>
    <cellStyle name="Check Cell 9 7" xfId="16705" xr:uid="{00000000-0005-0000-0000-0000C11B0000}"/>
    <cellStyle name="Cím" xfId="81" xr:uid="{00000000-0005-0000-0000-0000C21B0000}"/>
    <cellStyle name="Címsor 1" xfId="82" xr:uid="{00000000-0005-0000-0000-0000C31B0000}"/>
    <cellStyle name="Címsor 2" xfId="83" xr:uid="{00000000-0005-0000-0000-0000C41B0000}"/>
    <cellStyle name="Címsor 3" xfId="84" xr:uid="{00000000-0005-0000-0000-0000C51B0000}"/>
    <cellStyle name="Címsor 3 2" xfId="4436" xr:uid="{00000000-0005-0000-0000-0000C61B0000}"/>
    <cellStyle name="Címsor 3 2 2" xfId="22896" xr:uid="{00000000-0005-0000-0000-0000C71B0000}"/>
    <cellStyle name="Címsor 3 2 3" xfId="18116" xr:uid="{00000000-0005-0000-0000-0000C81B0000}"/>
    <cellStyle name="Címsor 3 3" xfId="5886" xr:uid="{00000000-0005-0000-0000-0000C91B0000}"/>
    <cellStyle name="Címsor 3 3 2" xfId="24332" xr:uid="{00000000-0005-0000-0000-0000CA1B0000}"/>
    <cellStyle name="Címsor 3 3 3" xfId="19441" xr:uid="{00000000-0005-0000-0000-0000CB1B0000}"/>
    <cellStyle name="Címsor 3 4" xfId="5950" xr:uid="{00000000-0005-0000-0000-0000CC1B0000}"/>
    <cellStyle name="Címsor 3 4 2" xfId="24391" xr:uid="{00000000-0005-0000-0000-0000CD1B0000}"/>
    <cellStyle name="Címsor 3 4 3" xfId="19503" xr:uid="{00000000-0005-0000-0000-0000CE1B0000}"/>
    <cellStyle name="Címsor 3 5" xfId="7025" xr:uid="{00000000-0005-0000-0000-0000CF1B0000}"/>
    <cellStyle name="Címsor 3 5 2" xfId="25463" xr:uid="{00000000-0005-0000-0000-0000D01B0000}"/>
    <cellStyle name="Címsor 3 5 3" xfId="20400" xr:uid="{00000000-0005-0000-0000-0000D11B0000}"/>
    <cellStyle name="Címsor 3 6" xfId="14373" xr:uid="{00000000-0005-0000-0000-0000D21B0000}"/>
    <cellStyle name="Címsor 3 6 2" xfId="35914" xr:uid="{00000000-0005-0000-0000-0000D31B0000}"/>
    <cellStyle name="Címsor 3 7" xfId="17016" xr:uid="{00000000-0005-0000-0000-0000D41B0000}"/>
    <cellStyle name="Címsor 4" xfId="85" xr:uid="{00000000-0005-0000-0000-0000D51B0000}"/>
    <cellStyle name="coin" xfId="3293" xr:uid="{00000000-0005-0000-0000-0000D61B0000}"/>
    <cellStyle name="coin 10" xfId="16066" xr:uid="{00000000-0005-0000-0000-0000D71B0000}"/>
    <cellStyle name="coin 10 2" xfId="37392" xr:uid="{00000000-0005-0000-0000-0000D81B0000}"/>
    <cellStyle name="coin 11" xfId="39117" xr:uid="{00000000-0005-0000-0000-0000C4060000}"/>
    <cellStyle name="coin 2" xfId="5450" xr:uid="{00000000-0005-0000-0000-0000D91B0000}"/>
    <cellStyle name="coin 2 2" xfId="16456" xr:uid="{00000000-0005-0000-0000-0000DA1B0000}"/>
    <cellStyle name="coin 2 2 2" xfId="23903" xr:uid="{00000000-0005-0000-0000-0000DB1B0000}"/>
    <cellStyle name="coin 2 3" xfId="16559" xr:uid="{00000000-0005-0000-0000-0000DC1B0000}"/>
    <cellStyle name="coin 2 3 2" xfId="37775" xr:uid="{00000000-0005-0000-0000-0000DD1B0000}"/>
    <cellStyle name="coin 2 4" xfId="15298" xr:uid="{00000000-0005-0000-0000-0000DE1B0000}"/>
    <cellStyle name="coin 3" xfId="4997" xr:uid="{00000000-0005-0000-0000-0000DF1B0000}"/>
    <cellStyle name="coin 3 2" xfId="23457" xr:uid="{00000000-0005-0000-0000-0000E01B0000}"/>
    <cellStyle name="coin 3 3" xfId="18611" xr:uid="{00000000-0005-0000-0000-0000E11B0000}"/>
    <cellStyle name="coin 4" xfId="6162" xr:uid="{00000000-0005-0000-0000-0000E21B0000}"/>
    <cellStyle name="coin 4 2" xfId="24603" xr:uid="{00000000-0005-0000-0000-0000E31B0000}"/>
    <cellStyle name="coin 4 3" xfId="19712" xr:uid="{00000000-0005-0000-0000-0000E41B0000}"/>
    <cellStyle name="coin 5" xfId="7498" xr:uid="{00000000-0005-0000-0000-0000E51B0000}"/>
    <cellStyle name="coin 5 2" xfId="25928" xr:uid="{00000000-0005-0000-0000-0000E61B0000}"/>
    <cellStyle name="coin 5 3" xfId="20853" xr:uid="{00000000-0005-0000-0000-0000E71B0000}"/>
    <cellStyle name="coin 6" xfId="7866" xr:uid="{00000000-0005-0000-0000-0000E81B0000}"/>
    <cellStyle name="coin 6 2" xfId="26296" xr:uid="{00000000-0005-0000-0000-0000E91B0000}"/>
    <cellStyle name="coin 6 3" xfId="21220" xr:uid="{00000000-0005-0000-0000-0000EA1B0000}"/>
    <cellStyle name="coin 7" xfId="8587" xr:uid="{00000000-0005-0000-0000-0000EB1B0000}"/>
    <cellStyle name="coin 7 2" xfId="27010" xr:uid="{00000000-0005-0000-0000-0000EC1B0000}"/>
    <cellStyle name="coin 7 3" xfId="21878" xr:uid="{00000000-0005-0000-0000-0000ED1B0000}"/>
    <cellStyle name="coin 8" xfId="4079" xr:uid="{00000000-0005-0000-0000-0000EE1B0000}"/>
    <cellStyle name="coin 8 2" xfId="22546" xr:uid="{00000000-0005-0000-0000-0000EF1B0000}"/>
    <cellStyle name="coin 8 3" xfId="17761" xr:uid="{00000000-0005-0000-0000-0000F01B0000}"/>
    <cellStyle name="coin 9" xfId="14696" xr:uid="{00000000-0005-0000-0000-0000F11B0000}"/>
    <cellStyle name="coin 9 2" xfId="36178" xr:uid="{00000000-0005-0000-0000-0000F21B0000}"/>
    <cellStyle name="coin 9 3" xfId="17088" xr:uid="{00000000-0005-0000-0000-0000F31B0000}"/>
    <cellStyle name="Colore 1" xfId="3713" xr:uid="{00000000-0005-0000-0000-0000F41B0000}"/>
    <cellStyle name="Colore 2" xfId="3714" xr:uid="{00000000-0005-0000-0000-0000F51B0000}"/>
    <cellStyle name="Colore 3" xfId="3715" xr:uid="{00000000-0005-0000-0000-0000F61B0000}"/>
    <cellStyle name="Colore 4" xfId="3716" xr:uid="{00000000-0005-0000-0000-0000F71B0000}"/>
    <cellStyle name="Colore 5" xfId="3717" xr:uid="{00000000-0005-0000-0000-0000F81B0000}"/>
    <cellStyle name="Colore 6" xfId="3718" xr:uid="{00000000-0005-0000-0000-0000F91B0000}"/>
    <cellStyle name="Comma" xfId="1" builtinId="3"/>
    <cellStyle name="Comma [0] 2" xfId="3719" xr:uid="{00000000-0005-0000-0000-0000FB1B0000}"/>
    <cellStyle name="Comma [0] 2 10" xfId="12361" xr:uid="{00000000-0005-0000-0000-0000FC1B0000}"/>
    <cellStyle name="Comma [0] 2 10 2" xfId="15761" xr:uid="{00000000-0005-0000-0000-0000FD1B0000}"/>
    <cellStyle name="Comma [0] 2 10 2 2" xfId="37123" xr:uid="{00000000-0005-0000-0000-0000FE1B0000}"/>
    <cellStyle name="Comma [0] 2 10 2 3" xfId="30162" xr:uid="{00000000-0005-0000-0000-0000FF1B0000}"/>
    <cellStyle name="Comma [0] 2 10 2 4" xfId="39118" xr:uid="{00000000-0005-0000-0000-0000C6060000}"/>
    <cellStyle name="Comma [0] 2 10 2 5" xfId="41051" xr:uid="{00000000-0005-0000-0000-0000C6060000}"/>
    <cellStyle name="Comma [0] 2 10 3" xfId="34815" xr:uid="{00000000-0005-0000-0000-0000001C0000}"/>
    <cellStyle name="Comma [0] 2 10 4" xfId="27906" xr:uid="{00000000-0005-0000-0000-0000011C0000}"/>
    <cellStyle name="Comma [0] 2 10 5" xfId="37828" xr:uid="{00000000-0005-0000-0000-0000C5060000}"/>
    <cellStyle name="Comma [0] 2 10 6" xfId="40774" xr:uid="{00000000-0005-0000-0000-0000C5060000}"/>
    <cellStyle name="Comma [0] 2 11" xfId="31616" xr:uid="{00000000-0005-0000-0000-0000021C0000}"/>
    <cellStyle name="Comma [0] 2 12" xfId="16617" xr:uid="{00000000-0005-0000-0000-0000031C0000}"/>
    <cellStyle name="Comma [0] 2 2" xfId="7156" xr:uid="{00000000-0005-0000-0000-0000041C0000}"/>
    <cellStyle name="Comma [0] 2 2 2" xfId="12362" xr:uid="{00000000-0005-0000-0000-0000051C0000}"/>
    <cellStyle name="Comma [0] 2 2 2 2" xfId="34816" xr:uid="{00000000-0005-0000-0000-0000061C0000}"/>
    <cellStyle name="Comma [0] 2 2 2 3" xfId="30163" xr:uid="{00000000-0005-0000-0000-0000071C0000}"/>
    <cellStyle name="Comma [0] 2 2 2 4" xfId="39119" xr:uid="{00000000-0005-0000-0000-0000C8060000}"/>
    <cellStyle name="Comma [0] 2 2 2 5" xfId="41052" xr:uid="{00000000-0005-0000-0000-0000C8060000}"/>
    <cellStyle name="Comma [0] 2 2 3" xfId="15762" xr:uid="{00000000-0005-0000-0000-0000081C0000}"/>
    <cellStyle name="Comma [0] 2 2 3 2" xfId="37124" xr:uid="{00000000-0005-0000-0000-0000091C0000}"/>
    <cellStyle name="Comma [0] 2 2 4" xfId="32767" xr:uid="{00000000-0005-0000-0000-00000A1C0000}"/>
    <cellStyle name="Comma [0] 2 2 5" xfId="27907" xr:uid="{00000000-0005-0000-0000-00000B1C0000}"/>
    <cellStyle name="Comma [0] 2 2 6" xfId="20513" xr:uid="{00000000-0005-0000-0000-00000C1C0000}"/>
    <cellStyle name="Comma [0] 2 2 7" xfId="37829" xr:uid="{00000000-0005-0000-0000-0000C7060000}"/>
    <cellStyle name="Comma [0] 2 2 8" xfId="40775" xr:uid="{00000000-0005-0000-0000-0000C7060000}"/>
    <cellStyle name="Comma [0] 2 3" xfId="8919" xr:uid="{00000000-0005-0000-0000-00000D1C0000}"/>
    <cellStyle name="Comma [0] 2 3 2" xfId="12363" xr:uid="{00000000-0005-0000-0000-00000E1C0000}"/>
    <cellStyle name="Comma [0] 2 3 2 2" xfId="34817" xr:uid="{00000000-0005-0000-0000-00000F1C0000}"/>
    <cellStyle name="Comma [0] 2 3 2 3" xfId="30164" xr:uid="{00000000-0005-0000-0000-0000101C0000}"/>
    <cellStyle name="Comma [0] 2 3 2 4" xfId="39120" xr:uid="{00000000-0005-0000-0000-0000CA060000}"/>
    <cellStyle name="Comma [0] 2 3 2 5" xfId="41053" xr:uid="{00000000-0005-0000-0000-0000CA060000}"/>
    <cellStyle name="Comma [0] 2 3 3" xfId="15763" xr:uid="{00000000-0005-0000-0000-0000111C0000}"/>
    <cellStyle name="Comma [0] 2 3 3 2" xfId="37125" xr:uid="{00000000-0005-0000-0000-0000121C0000}"/>
    <cellStyle name="Comma [0] 2 3 4" xfId="33190" xr:uid="{00000000-0005-0000-0000-0000131C0000}"/>
    <cellStyle name="Comma [0] 2 3 5" xfId="27908" xr:uid="{00000000-0005-0000-0000-0000141C0000}"/>
    <cellStyle name="Comma [0] 2 3 6" xfId="22209" xr:uid="{00000000-0005-0000-0000-0000151C0000}"/>
    <cellStyle name="Comma [0] 2 3 7" xfId="37830" xr:uid="{00000000-0005-0000-0000-0000C9060000}"/>
    <cellStyle name="Comma [0] 2 3 8" xfId="40776" xr:uid="{00000000-0005-0000-0000-0000C9060000}"/>
    <cellStyle name="Comma [0] 2 4" xfId="4410" xr:uid="{00000000-0005-0000-0000-0000161C0000}"/>
    <cellStyle name="Comma [0] 2 4 2" xfId="12364" xr:uid="{00000000-0005-0000-0000-0000171C0000}"/>
    <cellStyle name="Comma [0] 2 4 2 2" xfId="34818" xr:uid="{00000000-0005-0000-0000-0000181C0000}"/>
    <cellStyle name="Comma [0] 2 4 2 3" xfId="30165" xr:uid="{00000000-0005-0000-0000-0000191C0000}"/>
    <cellStyle name="Comma [0] 2 4 2 4" xfId="39121" xr:uid="{00000000-0005-0000-0000-0000CC060000}"/>
    <cellStyle name="Comma [0] 2 4 2 5" xfId="41054" xr:uid="{00000000-0005-0000-0000-0000CC060000}"/>
    <cellStyle name="Comma [0] 2 4 3" xfId="15764" xr:uid="{00000000-0005-0000-0000-00001A1C0000}"/>
    <cellStyle name="Comma [0] 2 4 3 2" xfId="37126" xr:uid="{00000000-0005-0000-0000-00001B1C0000}"/>
    <cellStyle name="Comma [0] 2 4 4" xfId="31793" xr:uid="{00000000-0005-0000-0000-00001C1C0000}"/>
    <cellStyle name="Comma [0] 2 4 5" xfId="27909" xr:uid="{00000000-0005-0000-0000-00001D1C0000}"/>
    <cellStyle name="Comma [0] 2 4 6" xfId="18092" xr:uid="{00000000-0005-0000-0000-00001E1C0000}"/>
    <cellStyle name="Comma [0] 2 4 7" xfId="37831" xr:uid="{00000000-0005-0000-0000-0000CB060000}"/>
    <cellStyle name="Comma [0] 2 4 8" xfId="40777" xr:uid="{00000000-0005-0000-0000-0000CB060000}"/>
    <cellStyle name="Comma [0] 2 5" xfId="12365" xr:uid="{00000000-0005-0000-0000-00001F1C0000}"/>
    <cellStyle name="Comma [0] 2 5 2" xfId="15765" xr:uid="{00000000-0005-0000-0000-0000201C0000}"/>
    <cellStyle name="Comma [0] 2 5 2 2" xfId="37127" xr:uid="{00000000-0005-0000-0000-0000211C0000}"/>
    <cellStyle name="Comma [0] 2 5 2 3" xfId="30166" xr:uid="{00000000-0005-0000-0000-0000221C0000}"/>
    <cellStyle name="Comma [0] 2 5 2 4" xfId="39122" xr:uid="{00000000-0005-0000-0000-0000CE060000}"/>
    <cellStyle name="Comma [0] 2 5 2 5" xfId="41055" xr:uid="{00000000-0005-0000-0000-0000CE060000}"/>
    <cellStyle name="Comma [0] 2 5 3" xfId="34819" xr:uid="{00000000-0005-0000-0000-0000231C0000}"/>
    <cellStyle name="Comma [0] 2 5 4" xfId="27910" xr:uid="{00000000-0005-0000-0000-0000241C0000}"/>
    <cellStyle name="Comma [0] 2 5 5" xfId="17423" xr:uid="{00000000-0005-0000-0000-0000251C0000}"/>
    <cellStyle name="Comma [0] 2 5 6" xfId="37832" xr:uid="{00000000-0005-0000-0000-0000CD060000}"/>
    <cellStyle name="Comma [0] 2 5 7" xfId="40778" xr:uid="{00000000-0005-0000-0000-0000CD060000}"/>
    <cellStyle name="Comma [0] 2 6" xfId="12366" xr:uid="{00000000-0005-0000-0000-0000261C0000}"/>
    <cellStyle name="Comma [0] 2 6 2" xfId="15766" xr:uid="{00000000-0005-0000-0000-0000271C0000}"/>
    <cellStyle name="Comma [0] 2 6 2 2" xfId="37128" xr:uid="{00000000-0005-0000-0000-0000281C0000}"/>
    <cellStyle name="Comma [0] 2 6 2 3" xfId="30167" xr:uid="{00000000-0005-0000-0000-0000291C0000}"/>
    <cellStyle name="Comma [0] 2 6 2 4" xfId="39123" xr:uid="{00000000-0005-0000-0000-0000D0060000}"/>
    <cellStyle name="Comma [0] 2 6 2 5" xfId="41056" xr:uid="{00000000-0005-0000-0000-0000D0060000}"/>
    <cellStyle name="Comma [0] 2 6 3" xfId="34820" xr:uid="{00000000-0005-0000-0000-00002A1C0000}"/>
    <cellStyle name="Comma [0] 2 6 4" xfId="27911" xr:uid="{00000000-0005-0000-0000-00002B1C0000}"/>
    <cellStyle name="Comma [0] 2 6 5" xfId="37833" xr:uid="{00000000-0005-0000-0000-0000CF060000}"/>
    <cellStyle name="Comma [0] 2 6 6" xfId="40779" xr:uid="{00000000-0005-0000-0000-0000CF060000}"/>
    <cellStyle name="Comma [0] 2 7" xfId="12367" xr:uid="{00000000-0005-0000-0000-00002C1C0000}"/>
    <cellStyle name="Comma [0] 2 7 2" xfId="15767" xr:uid="{00000000-0005-0000-0000-00002D1C0000}"/>
    <cellStyle name="Comma [0] 2 7 2 2" xfId="37129" xr:uid="{00000000-0005-0000-0000-00002E1C0000}"/>
    <cellStyle name="Comma [0] 2 7 2 3" xfId="30168" xr:uid="{00000000-0005-0000-0000-00002F1C0000}"/>
    <cellStyle name="Comma [0] 2 7 2 4" xfId="39124" xr:uid="{00000000-0005-0000-0000-0000D2060000}"/>
    <cellStyle name="Comma [0] 2 7 2 5" xfId="41057" xr:uid="{00000000-0005-0000-0000-0000D2060000}"/>
    <cellStyle name="Comma [0] 2 7 3" xfId="34821" xr:uid="{00000000-0005-0000-0000-0000301C0000}"/>
    <cellStyle name="Comma [0] 2 7 4" xfId="27912" xr:uid="{00000000-0005-0000-0000-0000311C0000}"/>
    <cellStyle name="Comma [0] 2 7 5" xfId="37834" xr:uid="{00000000-0005-0000-0000-0000D1060000}"/>
    <cellStyle name="Comma [0] 2 7 6" xfId="40780" xr:uid="{00000000-0005-0000-0000-0000D1060000}"/>
    <cellStyle name="Comma [0] 2 8" xfId="12368" xr:uid="{00000000-0005-0000-0000-0000321C0000}"/>
    <cellStyle name="Comma [0] 2 8 2" xfId="15768" xr:uid="{00000000-0005-0000-0000-0000331C0000}"/>
    <cellStyle name="Comma [0] 2 8 2 2" xfId="37130" xr:uid="{00000000-0005-0000-0000-0000341C0000}"/>
    <cellStyle name="Comma [0] 2 8 2 3" xfId="30169" xr:uid="{00000000-0005-0000-0000-0000351C0000}"/>
    <cellStyle name="Comma [0] 2 8 2 4" xfId="39125" xr:uid="{00000000-0005-0000-0000-0000D4060000}"/>
    <cellStyle name="Comma [0] 2 8 2 5" xfId="41058" xr:uid="{00000000-0005-0000-0000-0000D4060000}"/>
    <cellStyle name="Comma [0] 2 8 3" xfId="34822" xr:uid="{00000000-0005-0000-0000-0000361C0000}"/>
    <cellStyle name="Comma [0] 2 8 4" xfId="27913" xr:uid="{00000000-0005-0000-0000-0000371C0000}"/>
    <cellStyle name="Comma [0] 2 8 5" xfId="37835" xr:uid="{00000000-0005-0000-0000-0000D3060000}"/>
    <cellStyle name="Comma [0] 2 8 6" xfId="40781" xr:uid="{00000000-0005-0000-0000-0000D3060000}"/>
    <cellStyle name="Comma [0] 2 9" xfId="12369" xr:uid="{00000000-0005-0000-0000-0000381C0000}"/>
    <cellStyle name="Comma [0] 2 9 2" xfId="15769" xr:uid="{00000000-0005-0000-0000-0000391C0000}"/>
    <cellStyle name="Comma [0] 2 9 2 2" xfId="37131" xr:uid="{00000000-0005-0000-0000-00003A1C0000}"/>
    <cellStyle name="Comma [0] 2 9 2 3" xfId="30170" xr:uid="{00000000-0005-0000-0000-00003B1C0000}"/>
    <cellStyle name="Comma [0] 2 9 2 4" xfId="39126" xr:uid="{00000000-0005-0000-0000-0000D6060000}"/>
    <cellStyle name="Comma [0] 2 9 2 5" xfId="41059" xr:uid="{00000000-0005-0000-0000-0000D6060000}"/>
    <cellStyle name="Comma [0] 2 9 3" xfId="34823" xr:uid="{00000000-0005-0000-0000-00003C1C0000}"/>
    <cellStyle name="Comma [0] 2 9 4" xfId="27914" xr:uid="{00000000-0005-0000-0000-00003D1C0000}"/>
    <cellStyle name="Comma [0] 2 9 5" xfId="37836" xr:uid="{00000000-0005-0000-0000-0000D5060000}"/>
    <cellStyle name="Comma [0] 2 9 6" xfId="40782" xr:uid="{00000000-0005-0000-0000-0000D5060000}"/>
    <cellStyle name="Comma 10" xfId="5449" xr:uid="{00000000-0005-0000-0000-00003E1C0000}"/>
    <cellStyle name="Comma 10 10" xfId="13527" xr:uid="{00000000-0005-0000-0000-00003F1C0000}"/>
    <cellStyle name="Comma 10 10 2" xfId="35301" xr:uid="{00000000-0005-0000-0000-0000401C0000}"/>
    <cellStyle name="Comma 10 11" xfId="16120" xr:uid="{00000000-0005-0000-0000-0000411C0000}"/>
    <cellStyle name="Comma 10 11 2" xfId="37441" xr:uid="{00000000-0005-0000-0000-0000421C0000}"/>
    <cellStyle name="Comma 10 12" xfId="32171" xr:uid="{00000000-0005-0000-0000-0000431C0000}"/>
    <cellStyle name="Comma 10 13" xfId="28164" xr:uid="{00000000-0005-0000-0000-0000441C0000}"/>
    <cellStyle name="Comma 10 14" xfId="19045" xr:uid="{00000000-0005-0000-0000-0000451C0000}"/>
    <cellStyle name="Comma 10 15" xfId="39127" xr:uid="{00000000-0005-0000-0000-0000D7060000}"/>
    <cellStyle name="Comma 10 16" xfId="41060" xr:uid="{00000000-0005-0000-0000-0000D7060000}"/>
    <cellStyle name="Comma 10 2" xfId="12370" xr:uid="{00000000-0005-0000-0000-0000461C0000}"/>
    <cellStyle name="Comma 10 2 10" xfId="12371" xr:uid="{00000000-0005-0000-0000-0000471C0000}"/>
    <cellStyle name="Comma 10 2 10 2" xfId="15771" xr:uid="{00000000-0005-0000-0000-0000481C0000}"/>
    <cellStyle name="Comma 10 2 10 2 2" xfId="37133" xr:uid="{00000000-0005-0000-0000-0000491C0000}"/>
    <cellStyle name="Comma 10 2 10 2 3" xfId="30172" xr:uid="{00000000-0005-0000-0000-00004A1C0000}"/>
    <cellStyle name="Comma 10 2 10 2 4" xfId="39129" xr:uid="{00000000-0005-0000-0000-0000DA060000}"/>
    <cellStyle name="Comma 10 2 10 2 5" xfId="41062" xr:uid="{00000000-0005-0000-0000-0000DA060000}"/>
    <cellStyle name="Comma 10 2 10 3" xfId="34825" xr:uid="{00000000-0005-0000-0000-00004B1C0000}"/>
    <cellStyle name="Comma 10 2 10 4" xfId="27916" xr:uid="{00000000-0005-0000-0000-00004C1C0000}"/>
    <cellStyle name="Comma 10 2 10 5" xfId="37838" xr:uid="{00000000-0005-0000-0000-0000D9060000}"/>
    <cellStyle name="Comma 10 2 10 6" xfId="40784" xr:uid="{00000000-0005-0000-0000-0000D9060000}"/>
    <cellStyle name="Comma 10 2 11" xfId="12372" xr:uid="{00000000-0005-0000-0000-00004D1C0000}"/>
    <cellStyle name="Comma 10 2 11 2" xfId="15772" xr:uid="{00000000-0005-0000-0000-00004E1C0000}"/>
    <cellStyle name="Comma 10 2 11 2 2" xfId="37134" xr:uid="{00000000-0005-0000-0000-00004F1C0000}"/>
    <cellStyle name="Comma 10 2 11 2 3" xfId="30173" xr:uid="{00000000-0005-0000-0000-0000501C0000}"/>
    <cellStyle name="Comma 10 2 11 2 4" xfId="39130" xr:uid="{00000000-0005-0000-0000-0000DC060000}"/>
    <cellStyle name="Comma 10 2 11 2 5" xfId="41063" xr:uid="{00000000-0005-0000-0000-0000DC060000}"/>
    <cellStyle name="Comma 10 2 11 3" xfId="34826" xr:uid="{00000000-0005-0000-0000-0000511C0000}"/>
    <cellStyle name="Comma 10 2 11 4" xfId="27917" xr:uid="{00000000-0005-0000-0000-0000521C0000}"/>
    <cellStyle name="Comma 10 2 11 5" xfId="37839" xr:uid="{00000000-0005-0000-0000-0000DB060000}"/>
    <cellStyle name="Comma 10 2 11 6" xfId="40785" xr:uid="{00000000-0005-0000-0000-0000DB060000}"/>
    <cellStyle name="Comma 10 2 12" xfId="12373" xr:uid="{00000000-0005-0000-0000-0000531C0000}"/>
    <cellStyle name="Comma 10 2 12 2" xfId="15773" xr:uid="{00000000-0005-0000-0000-0000541C0000}"/>
    <cellStyle name="Comma 10 2 12 2 2" xfId="37135" xr:uid="{00000000-0005-0000-0000-0000551C0000}"/>
    <cellStyle name="Comma 10 2 12 2 3" xfId="30174" xr:uid="{00000000-0005-0000-0000-0000561C0000}"/>
    <cellStyle name="Comma 10 2 12 2 4" xfId="39131" xr:uid="{00000000-0005-0000-0000-0000DE060000}"/>
    <cellStyle name="Comma 10 2 12 2 5" xfId="41064" xr:uid="{00000000-0005-0000-0000-0000DE060000}"/>
    <cellStyle name="Comma 10 2 12 3" xfId="34827" xr:uid="{00000000-0005-0000-0000-0000571C0000}"/>
    <cellStyle name="Comma 10 2 12 4" xfId="27918" xr:uid="{00000000-0005-0000-0000-0000581C0000}"/>
    <cellStyle name="Comma 10 2 12 5" xfId="37840" xr:uid="{00000000-0005-0000-0000-0000DD060000}"/>
    <cellStyle name="Comma 10 2 12 6" xfId="40786" xr:uid="{00000000-0005-0000-0000-0000DD060000}"/>
    <cellStyle name="Comma 10 2 13" xfId="12374" xr:uid="{00000000-0005-0000-0000-0000591C0000}"/>
    <cellStyle name="Comma 10 2 13 2" xfId="15774" xr:uid="{00000000-0005-0000-0000-00005A1C0000}"/>
    <cellStyle name="Comma 10 2 13 2 2" xfId="37136" xr:uid="{00000000-0005-0000-0000-00005B1C0000}"/>
    <cellStyle name="Comma 10 2 13 2 3" xfId="30175" xr:uid="{00000000-0005-0000-0000-00005C1C0000}"/>
    <cellStyle name="Comma 10 2 13 2 4" xfId="39132" xr:uid="{00000000-0005-0000-0000-0000E0060000}"/>
    <cellStyle name="Comma 10 2 13 2 5" xfId="41065" xr:uid="{00000000-0005-0000-0000-0000E0060000}"/>
    <cellStyle name="Comma 10 2 13 3" xfId="34828" xr:uid="{00000000-0005-0000-0000-00005D1C0000}"/>
    <cellStyle name="Comma 10 2 13 4" xfId="27919" xr:uid="{00000000-0005-0000-0000-00005E1C0000}"/>
    <cellStyle name="Comma 10 2 13 5" xfId="37841" xr:uid="{00000000-0005-0000-0000-0000DF060000}"/>
    <cellStyle name="Comma 10 2 13 6" xfId="40787" xr:uid="{00000000-0005-0000-0000-0000DF060000}"/>
    <cellStyle name="Comma 10 2 14" xfId="12375" xr:uid="{00000000-0005-0000-0000-00005F1C0000}"/>
    <cellStyle name="Comma 10 2 14 2" xfId="15775" xr:uid="{00000000-0005-0000-0000-0000601C0000}"/>
    <cellStyle name="Comma 10 2 14 2 2" xfId="37137" xr:uid="{00000000-0005-0000-0000-0000611C0000}"/>
    <cellStyle name="Comma 10 2 14 2 3" xfId="30176" xr:uid="{00000000-0005-0000-0000-0000621C0000}"/>
    <cellStyle name="Comma 10 2 14 2 4" xfId="39133" xr:uid="{00000000-0005-0000-0000-0000E2060000}"/>
    <cellStyle name="Comma 10 2 14 2 5" xfId="41066" xr:uid="{00000000-0005-0000-0000-0000E2060000}"/>
    <cellStyle name="Comma 10 2 14 3" xfId="34829" xr:uid="{00000000-0005-0000-0000-0000631C0000}"/>
    <cellStyle name="Comma 10 2 14 4" xfId="27920" xr:uid="{00000000-0005-0000-0000-0000641C0000}"/>
    <cellStyle name="Comma 10 2 14 5" xfId="37842" xr:uid="{00000000-0005-0000-0000-0000E1060000}"/>
    <cellStyle name="Comma 10 2 14 6" xfId="40788" xr:uid="{00000000-0005-0000-0000-0000E1060000}"/>
    <cellStyle name="Comma 10 2 15" xfId="12376" xr:uid="{00000000-0005-0000-0000-0000651C0000}"/>
    <cellStyle name="Comma 10 2 15 2" xfId="15776" xr:uid="{00000000-0005-0000-0000-0000661C0000}"/>
    <cellStyle name="Comma 10 2 15 2 2" xfId="37138" xr:uid="{00000000-0005-0000-0000-0000671C0000}"/>
    <cellStyle name="Comma 10 2 15 2 3" xfId="30177" xr:uid="{00000000-0005-0000-0000-0000681C0000}"/>
    <cellStyle name="Comma 10 2 15 2 4" xfId="39134" xr:uid="{00000000-0005-0000-0000-0000E4060000}"/>
    <cellStyle name="Comma 10 2 15 2 5" xfId="41067" xr:uid="{00000000-0005-0000-0000-0000E4060000}"/>
    <cellStyle name="Comma 10 2 15 3" xfId="34830" xr:uid="{00000000-0005-0000-0000-0000691C0000}"/>
    <cellStyle name="Comma 10 2 15 4" xfId="27921" xr:uid="{00000000-0005-0000-0000-00006A1C0000}"/>
    <cellStyle name="Comma 10 2 15 5" xfId="37843" xr:uid="{00000000-0005-0000-0000-0000E3060000}"/>
    <cellStyle name="Comma 10 2 15 6" xfId="40789" xr:uid="{00000000-0005-0000-0000-0000E3060000}"/>
    <cellStyle name="Comma 10 2 16" xfId="12377" xr:uid="{00000000-0005-0000-0000-00006B1C0000}"/>
    <cellStyle name="Comma 10 2 16 2" xfId="15777" xr:uid="{00000000-0005-0000-0000-00006C1C0000}"/>
    <cellStyle name="Comma 10 2 16 2 2" xfId="37139" xr:uid="{00000000-0005-0000-0000-00006D1C0000}"/>
    <cellStyle name="Comma 10 2 16 2 3" xfId="30178" xr:uid="{00000000-0005-0000-0000-00006E1C0000}"/>
    <cellStyle name="Comma 10 2 16 2 4" xfId="39135" xr:uid="{00000000-0005-0000-0000-0000E6060000}"/>
    <cellStyle name="Comma 10 2 16 2 5" xfId="41068" xr:uid="{00000000-0005-0000-0000-0000E6060000}"/>
    <cellStyle name="Comma 10 2 16 3" xfId="34831" xr:uid="{00000000-0005-0000-0000-00006F1C0000}"/>
    <cellStyle name="Comma 10 2 16 4" xfId="27922" xr:uid="{00000000-0005-0000-0000-0000701C0000}"/>
    <cellStyle name="Comma 10 2 16 5" xfId="37844" xr:uid="{00000000-0005-0000-0000-0000E5060000}"/>
    <cellStyle name="Comma 10 2 16 6" xfId="40790" xr:uid="{00000000-0005-0000-0000-0000E5060000}"/>
    <cellStyle name="Comma 10 2 17" xfId="12378" xr:uid="{00000000-0005-0000-0000-0000711C0000}"/>
    <cellStyle name="Comma 10 2 17 2" xfId="15778" xr:uid="{00000000-0005-0000-0000-0000721C0000}"/>
    <cellStyle name="Comma 10 2 17 2 2" xfId="37140" xr:uid="{00000000-0005-0000-0000-0000731C0000}"/>
    <cellStyle name="Comma 10 2 17 2 3" xfId="30179" xr:uid="{00000000-0005-0000-0000-0000741C0000}"/>
    <cellStyle name="Comma 10 2 17 2 4" xfId="39136" xr:uid="{00000000-0005-0000-0000-0000E8060000}"/>
    <cellStyle name="Comma 10 2 17 2 5" xfId="41069" xr:uid="{00000000-0005-0000-0000-0000E8060000}"/>
    <cellStyle name="Comma 10 2 17 3" xfId="34832" xr:uid="{00000000-0005-0000-0000-0000751C0000}"/>
    <cellStyle name="Comma 10 2 17 4" xfId="27923" xr:uid="{00000000-0005-0000-0000-0000761C0000}"/>
    <cellStyle name="Comma 10 2 17 5" xfId="37845" xr:uid="{00000000-0005-0000-0000-0000E7060000}"/>
    <cellStyle name="Comma 10 2 17 6" xfId="40791" xr:uid="{00000000-0005-0000-0000-0000E7060000}"/>
    <cellStyle name="Comma 10 2 18" xfId="15770" xr:uid="{00000000-0005-0000-0000-0000771C0000}"/>
    <cellStyle name="Comma 10 2 18 2" xfId="37132" xr:uid="{00000000-0005-0000-0000-0000781C0000}"/>
    <cellStyle name="Comma 10 2 18 3" xfId="30171" xr:uid="{00000000-0005-0000-0000-0000791C0000}"/>
    <cellStyle name="Comma 10 2 18 4" xfId="39128" xr:uid="{00000000-0005-0000-0000-0000E9060000}"/>
    <cellStyle name="Comma 10 2 18 5" xfId="41061" xr:uid="{00000000-0005-0000-0000-0000E9060000}"/>
    <cellStyle name="Comma 10 2 19" xfId="34824" xr:uid="{00000000-0005-0000-0000-00007A1C0000}"/>
    <cellStyle name="Comma 10 2 2" xfId="12379" xr:uid="{00000000-0005-0000-0000-00007B1C0000}"/>
    <cellStyle name="Comma 10 2 2 2" xfId="15779" xr:uid="{00000000-0005-0000-0000-00007C1C0000}"/>
    <cellStyle name="Comma 10 2 2 2 2" xfId="37141" xr:uid="{00000000-0005-0000-0000-00007D1C0000}"/>
    <cellStyle name="Comma 10 2 2 2 3" xfId="30180" xr:uid="{00000000-0005-0000-0000-00007E1C0000}"/>
    <cellStyle name="Comma 10 2 2 2 4" xfId="39137" xr:uid="{00000000-0005-0000-0000-0000EB060000}"/>
    <cellStyle name="Comma 10 2 2 2 5" xfId="41070" xr:uid="{00000000-0005-0000-0000-0000EB060000}"/>
    <cellStyle name="Comma 10 2 2 3" xfId="34833" xr:uid="{00000000-0005-0000-0000-00007F1C0000}"/>
    <cellStyle name="Comma 10 2 2 4" xfId="27924" xr:uid="{00000000-0005-0000-0000-0000801C0000}"/>
    <cellStyle name="Comma 10 2 2 5" xfId="37846" xr:uid="{00000000-0005-0000-0000-0000EA060000}"/>
    <cellStyle name="Comma 10 2 2 6" xfId="40792" xr:uid="{00000000-0005-0000-0000-0000EA060000}"/>
    <cellStyle name="Comma 10 2 20" xfId="27915" xr:uid="{00000000-0005-0000-0000-0000811C0000}"/>
    <cellStyle name="Comma 10 2 21" xfId="37837" xr:uid="{00000000-0005-0000-0000-0000D8060000}"/>
    <cellStyle name="Comma 10 2 22" xfId="40783" xr:uid="{00000000-0005-0000-0000-0000D8060000}"/>
    <cellStyle name="Comma 10 2 3" xfId="12380" xr:uid="{00000000-0005-0000-0000-0000821C0000}"/>
    <cellStyle name="Comma 10 2 3 2" xfId="15780" xr:uid="{00000000-0005-0000-0000-0000831C0000}"/>
    <cellStyle name="Comma 10 2 3 2 2" xfId="37142" xr:uid="{00000000-0005-0000-0000-0000841C0000}"/>
    <cellStyle name="Comma 10 2 3 2 3" xfId="30181" xr:uid="{00000000-0005-0000-0000-0000851C0000}"/>
    <cellStyle name="Comma 10 2 3 2 4" xfId="39138" xr:uid="{00000000-0005-0000-0000-0000ED060000}"/>
    <cellStyle name="Comma 10 2 3 2 5" xfId="41071" xr:uid="{00000000-0005-0000-0000-0000ED060000}"/>
    <cellStyle name="Comma 10 2 3 3" xfId="34834" xr:uid="{00000000-0005-0000-0000-0000861C0000}"/>
    <cellStyle name="Comma 10 2 3 4" xfId="27925" xr:uid="{00000000-0005-0000-0000-0000871C0000}"/>
    <cellStyle name="Comma 10 2 3 5" xfId="37847" xr:uid="{00000000-0005-0000-0000-0000EC060000}"/>
    <cellStyle name="Comma 10 2 3 6" xfId="40793" xr:uid="{00000000-0005-0000-0000-0000EC060000}"/>
    <cellStyle name="Comma 10 2 4" xfId="12381" xr:uid="{00000000-0005-0000-0000-0000881C0000}"/>
    <cellStyle name="Comma 10 2 4 2" xfId="15781" xr:uid="{00000000-0005-0000-0000-0000891C0000}"/>
    <cellStyle name="Comma 10 2 4 2 2" xfId="37143" xr:uid="{00000000-0005-0000-0000-00008A1C0000}"/>
    <cellStyle name="Comma 10 2 4 2 3" xfId="30182" xr:uid="{00000000-0005-0000-0000-00008B1C0000}"/>
    <cellStyle name="Comma 10 2 4 2 4" xfId="39139" xr:uid="{00000000-0005-0000-0000-0000EF060000}"/>
    <cellStyle name="Comma 10 2 4 2 5" xfId="41072" xr:uid="{00000000-0005-0000-0000-0000EF060000}"/>
    <cellStyle name="Comma 10 2 4 3" xfId="34835" xr:uid="{00000000-0005-0000-0000-00008C1C0000}"/>
    <cellStyle name="Comma 10 2 4 4" xfId="27926" xr:uid="{00000000-0005-0000-0000-00008D1C0000}"/>
    <cellStyle name="Comma 10 2 4 5" xfId="37848" xr:uid="{00000000-0005-0000-0000-0000EE060000}"/>
    <cellStyle name="Comma 10 2 4 6" xfId="40794" xr:uid="{00000000-0005-0000-0000-0000EE060000}"/>
    <cellStyle name="Comma 10 2 5" xfId="12382" xr:uid="{00000000-0005-0000-0000-00008E1C0000}"/>
    <cellStyle name="Comma 10 2 5 2" xfId="15782" xr:uid="{00000000-0005-0000-0000-00008F1C0000}"/>
    <cellStyle name="Comma 10 2 5 2 2" xfId="37144" xr:uid="{00000000-0005-0000-0000-0000901C0000}"/>
    <cellStyle name="Comma 10 2 5 2 3" xfId="30183" xr:uid="{00000000-0005-0000-0000-0000911C0000}"/>
    <cellStyle name="Comma 10 2 5 2 4" xfId="39140" xr:uid="{00000000-0005-0000-0000-0000F1060000}"/>
    <cellStyle name="Comma 10 2 5 2 5" xfId="41073" xr:uid="{00000000-0005-0000-0000-0000F1060000}"/>
    <cellStyle name="Comma 10 2 5 3" xfId="34836" xr:uid="{00000000-0005-0000-0000-0000921C0000}"/>
    <cellStyle name="Comma 10 2 5 4" xfId="27927" xr:uid="{00000000-0005-0000-0000-0000931C0000}"/>
    <cellStyle name="Comma 10 2 5 5" xfId="37849" xr:uid="{00000000-0005-0000-0000-0000F0060000}"/>
    <cellStyle name="Comma 10 2 5 6" xfId="40795" xr:uid="{00000000-0005-0000-0000-0000F0060000}"/>
    <cellStyle name="Comma 10 2 6" xfId="12383" xr:uid="{00000000-0005-0000-0000-0000941C0000}"/>
    <cellStyle name="Comma 10 2 6 2" xfId="15783" xr:uid="{00000000-0005-0000-0000-0000951C0000}"/>
    <cellStyle name="Comma 10 2 6 2 2" xfId="37145" xr:uid="{00000000-0005-0000-0000-0000961C0000}"/>
    <cellStyle name="Comma 10 2 6 2 3" xfId="30184" xr:uid="{00000000-0005-0000-0000-0000971C0000}"/>
    <cellStyle name="Comma 10 2 6 2 4" xfId="39141" xr:uid="{00000000-0005-0000-0000-0000F3060000}"/>
    <cellStyle name="Comma 10 2 6 2 5" xfId="41074" xr:uid="{00000000-0005-0000-0000-0000F3060000}"/>
    <cellStyle name="Comma 10 2 6 3" xfId="34837" xr:uid="{00000000-0005-0000-0000-0000981C0000}"/>
    <cellStyle name="Comma 10 2 6 4" xfId="27928" xr:uid="{00000000-0005-0000-0000-0000991C0000}"/>
    <cellStyle name="Comma 10 2 6 5" xfId="37850" xr:uid="{00000000-0005-0000-0000-0000F2060000}"/>
    <cellStyle name="Comma 10 2 6 6" xfId="40796" xr:uid="{00000000-0005-0000-0000-0000F2060000}"/>
    <cellStyle name="Comma 10 2 7" xfId="12384" xr:uid="{00000000-0005-0000-0000-00009A1C0000}"/>
    <cellStyle name="Comma 10 2 7 2" xfId="15784" xr:uid="{00000000-0005-0000-0000-00009B1C0000}"/>
    <cellStyle name="Comma 10 2 7 2 2" xfId="37146" xr:uid="{00000000-0005-0000-0000-00009C1C0000}"/>
    <cellStyle name="Comma 10 2 7 2 3" xfId="30185" xr:uid="{00000000-0005-0000-0000-00009D1C0000}"/>
    <cellStyle name="Comma 10 2 7 2 4" xfId="39142" xr:uid="{00000000-0005-0000-0000-0000F5060000}"/>
    <cellStyle name="Comma 10 2 7 2 5" xfId="41075" xr:uid="{00000000-0005-0000-0000-0000F5060000}"/>
    <cellStyle name="Comma 10 2 7 3" xfId="34838" xr:uid="{00000000-0005-0000-0000-00009E1C0000}"/>
    <cellStyle name="Comma 10 2 7 4" xfId="27929" xr:uid="{00000000-0005-0000-0000-00009F1C0000}"/>
    <cellStyle name="Comma 10 2 7 5" xfId="37851" xr:uid="{00000000-0005-0000-0000-0000F4060000}"/>
    <cellStyle name="Comma 10 2 7 6" xfId="40797" xr:uid="{00000000-0005-0000-0000-0000F4060000}"/>
    <cellStyle name="Comma 10 2 8" xfId="12385" xr:uid="{00000000-0005-0000-0000-0000A01C0000}"/>
    <cellStyle name="Comma 10 2 8 2" xfId="15785" xr:uid="{00000000-0005-0000-0000-0000A11C0000}"/>
    <cellStyle name="Comma 10 2 8 2 2" xfId="37147" xr:uid="{00000000-0005-0000-0000-0000A21C0000}"/>
    <cellStyle name="Comma 10 2 8 2 3" xfId="30186" xr:uid="{00000000-0005-0000-0000-0000A31C0000}"/>
    <cellStyle name="Comma 10 2 8 2 4" xfId="39143" xr:uid="{00000000-0005-0000-0000-0000F7060000}"/>
    <cellStyle name="Comma 10 2 8 2 5" xfId="41076" xr:uid="{00000000-0005-0000-0000-0000F7060000}"/>
    <cellStyle name="Comma 10 2 8 3" xfId="34839" xr:uid="{00000000-0005-0000-0000-0000A41C0000}"/>
    <cellStyle name="Comma 10 2 8 4" xfId="27930" xr:uid="{00000000-0005-0000-0000-0000A51C0000}"/>
    <cellStyle name="Comma 10 2 8 5" xfId="37852" xr:uid="{00000000-0005-0000-0000-0000F6060000}"/>
    <cellStyle name="Comma 10 2 8 6" xfId="40798" xr:uid="{00000000-0005-0000-0000-0000F6060000}"/>
    <cellStyle name="Comma 10 2 9" xfId="12386" xr:uid="{00000000-0005-0000-0000-0000A61C0000}"/>
    <cellStyle name="Comma 10 2 9 2" xfId="15786" xr:uid="{00000000-0005-0000-0000-0000A71C0000}"/>
    <cellStyle name="Comma 10 2 9 2 2" xfId="37148" xr:uid="{00000000-0005-0000-0000-0000A81C0000}"/>
    <cellStyle name="Comma 10 2 9 2 3" xfId="30187" xr:uid="{00000000-0005-0000-0000-0000A91C0000}"/>
    <cellStyle name="Comma 10 2 9 2 4" xfId="39144" xr:uid="{00000000-0005-0000-0000-0000F9060000}"/>
    <cellStyle name="Comma 10 2 9 2 5" xfId="41077" xr:uid="{00000000-0005-0000-0000-0000F9060000}"/>
    <cellStyle name="Comma 10 2 9 3" xfId="34840" xr:uid="{00000000-0005-0000-0000-0000AA1C0000}"/>
    <cellStyle name="Comma 10 2 9 4" xfId="27931" xr:uid="{00000000-0005-0000-0000-0000AB1C0000}"/>
    <cellStyle name="Comma 10 2 9 5" xfId="37853" xr:uid="{00000000-0005-0000-0000-0000F8060000}"/>
    <cellStyle name="Comma 10 2 9 6" xfId="40799" xr:uid="{00000000-0005-0000-0000-0000F8060000}"/>
    <cellStyle name="Comma 10 3" xfId="12387" xr:uid="{00000000-0005-0000-0000-0000AC1C0000}"/>
    <cellStyle name="Comma 10 3 10" xfId="12388" xr:uid="{00000000-0005-0000-0000-0000AD1C0000}"/>
    <cellStyle name="Comma 10 3 10 2" xfId="15788" xr:uid="{00000000-0005-0000-0000-0000AE1C0000}"/>
    <cellStyle name="Comma 10 3 10 2 2" xfId="37150" xr:uid="{00000000-0005-0000-0000-0000AF1C0000}"/>
    <cellStyle name="Comma 10 3 10 2 3" xfId="30189" xr:uid="{00000000-0005-0000-0000-0000B01C0000}"/>
    <cellStyle name="Comma 10 3 10 2 4" xfId="39146" xr:uid="{00000000-0005-0000-0000-0000FC060000}"/>
    <cellStyle name="Comma 10 3 10 2 5" xfId="41079" xr:uid="{00000000-0005-0000-0000-0000FC060000}"/>
    <cellStyle name="Comma 10 3 10 3" xfId="34842" xr:uid="{00000000-0005-0000-0000-0000B11C0000}"/>
    <cellStyle name="Comma 10 3 10 4" xfId="27933" xr:uid="{00000000-0005-0000-0000-0000B21C0000}"/>
    <cellStyle name="Comma 10 3 10 5" xfId="37855" xr:uid="{00000000-0005-0000-0000-0000FB060000}"/>
    <cellStyle name="Comma 10 3 10 6" xfId="40801" xr:uid="{00000000-0005-0000-0000-0000FB060000}"/>
    <cellStyle name="Comma 10 3 11" xfId="12389" xr:uid="{00000000-0005-0000-0000-0000B31C0000}"/>
    <cellStyle name="Comma 10 3 11 2" xfId="15789" xr:uid="{00000000-0005-0000-0000-0000B41C0000}"/>
    <cellStyle name="Comma 10 3 11 2 2" xfId="37151" xr:uid="{00000000-0005-0000-0000-0000B51C0000}"/>
    <cellStyle name="Comma 10 3 11 2 3" xfId="30190" xr:uid="{00000000-0005-0000-0000-0000B61C0000}"/>
    <cellStyle name="Comma 10 3 11 2 4" xfId="39147" xr:uid="{00000000-0005-0000-0000-0000FE060000}"/>
    <cellStyle name="Comma 10 3 11 2 5" xfId="41080" xr:uid="{00000000-0005-0000-0000-0000FE060000}"/>
    <cellStyle name="Comma 10 3 11 3" xfId="34843" xr:uid="{00000000-0005-0000-0000-0000B71C0000}"/>
    <cellStyle name="Comma 10 3 11 4" xfId="27934" xr:uid="{00000000-0005-0000-0000-0000B81C0000}"/>
    <cellStyle name="Comma 10 3 11 5" xfId="37856" xr:uid="{00000000-0005-0000-0000-0000FD060000}"/>
    <cellStyle name="Comma 10 3 11 6" xfId="40802" xr:uid="{00000000-0005-0000-0000-0000FD060000}"/>
    <cellStyle name="Comma 10 3 12" xfId="12390" xr:uid="{00000000-0005-0000-0000-0000B91C0000}"/>
    <cellStyle name="Comma 10 3 12 2" xfId="15790" xr:uid="{00000000-0005-0000-0000-0000BA1C0000}"/>
    <cellStyle name="Comma 10 3 12 2 2" xfId="37152" xr:uid="{00000000-0005-0000-0000-0000BB1C0000}"/>
    <cellStyle name="Comma 10 3 12 2 3" xfId="30191" xr:uid="{00000000-0005-0000-0000-0000BC1C0000}"/>
    <cellStyle name="Comma 10 3 12 2 4" xfId="39148" xr:uid="{00000000-0005-0000-0000-000000070000}"/>
    <cellStyle name="Comma 10 3 12 2 5" xfId="41081" xr:uid="{00000000-0005-0000-0000-000000070000}"/>
    <cellStyle name="Comma 10 3 12 3" xfId="34844" xr:uid="{00000000-0005-0000-0000-0000BD1C0000}"/>
    <cellStyle name="Comma 10 3 12 4" xfId="27935" xr:uid="{00000000-0005-0000-0000-0000BE1C0000}"/>
    <cellStyle name="Comma 10 3 12 5" xfId="37857" xr:uid="{00000000-0005-0000-0000-0000FF060000}"/>
    <cellStyle name="Comma 10 3 12 6" xfId="40803" xr:uid="{00000000-0005-0000-0000-0000FF060000}"/>
    <cellStyle name="Comma 10 3 13" xfId="12391" xr:uid="{00000000-0005-0000-0000-0000BF1C0000}"/>
    <cellStyle name="Comma 10 3 13 2" xfId="15791" xr:uid="{00000000-0005-0000-0000-0000C01C0000}"/>
    <cellStyle name="Comma 10 3 13 2 2" xfId="37153" xr:uid="{00000000-0005-0000-0000-0000C11C0000}"/>
    <cellStyle name="Comma 10 3 13 2 3" xfId="30192" xr:uid="{00000000-0005-0000-0000-0000C21C0000}"/>
    <cellStyle name="Comma 10 3 13 2 4" xfId="39149" xr:uid="{00000000-0005-0000-0000-000002070000}"/>
    <cellStyle name="Comma 10 3 13 2 5" xfId="41082" xr:uid="{00000000-0005-0000-0000-000002070000}"/>
    <cellStyle name="Comma 10 3 13 3" xfId="34845" xr:uid="{00000000-0005-0000-0000-0000C31C0000}"/>
    <cellStyle name="Comma 10 3 13 4" xfId="27936" xr:uid="{00000000-0005-0000-0000-0000C41C0000}"/>
    <cellStyle name="Comma 10 3 13 5" xfId="37858" xr:uid="{00000000-0005-0000-0000-000001070000}"/>
    <cellStyle name="Comma 10 3 13 6" xfId="40804" xr:uid="{00000000-0005-0000-0000-000001070000}"/>
    <cellStyle name="Comma 10 3 14" xfId="12392" xr:uid="{00000000-0005-0000-0000-0000C51C0000}"/>
    <cellStyle name="Comma 10 3 14 2" xfId="15792" xr:uid="{00000000-0005-0000-0000-0000C61C0000}"/>
    <cellStyle name="Comma 10 3 14 2 2" xfId="37154" xr:uid="{00000000-0005-0000-0000-0000C71C0000}"/>
    <cellStyle name="Comma 10 3 14 2 3" xfId="30193" xr:uid="{00000000-0005-0000-0000-0000C81C0000}"/>
    <cellStyle name="Comma 10 3 14 2 4" xfId="39150" xr:uid="{00000000-0005-0000-0000-000004070000}"/>
    <cellStyle name="Comma 10 3 14 2 5" xfId="41083" xr:uid="{00000000-0005-0000-0000-000004070000}"/>
    <cellStyle name="Comma 10 3 14 3" xfId="34846" xr:uid="{00000000-0005-0000-0000-0000C91C0000}"/>
    <cellStyle name="Comma 10 3 14 4" xfId="27937" xr:uid="{00000000-0005-0000-0000-0000CA1C0000}"/>
    <cellStyle name="Comma 10 3 14 5" xfId="37859" xr:uid="{00000000-0005-0000-0000-000003070000}"/>
    <cellStyle name="Comma 10 3 14 6" xfId="40805" xr:uid="{00000000-0005-0000-0000-000003070000}"/>
    <cellStyle name="Comma 10 3 15" xfId="12393" xr:uid="{00000000-0005-0000-0000-0000CB1C0000}"/>
    <cellStyle name="Comma 10 3 15 2" xfId="15793" xr:uid="{00000000-0005-0000-0000-0000CC1C0000}"/>
    <cellStyle name="Comma 10 3 15 2 2" xfId="37155" xr:uid="{00000000-0005-0000-0000-0000CD1C0000}"/>
    <cellStyle name="Comma 10 3 15 2 3" xfId="30194" xr:uid="{00000000-0005-0000-0000-0000CE1C0000}"/>
    <cellStyle name="Comma 10 3 15 2 4" xfId="39151" xr:uid="{00000000-0005-0000-0000-000006070000}"/>
    <cellStyle name="Comma 10 3 15 2 5" xfId="41084" xr:uid="{00000000-0005-0000-0000-000006070000}"/>
    <cellStyle name="Comma 10 3 15 3" xfId="34847" xr:uid="{00000000-0005-0000-0000-0000CF1C0000}"/>
    <cellStyle name="Comma 10 3 15 4" xfId="27938" xr:uid="{00000000-0005-0000-0000-0000D01C0000}"/>
    <cellStyle name="Comma 10 3 15 5" xfId="37860" xr:uid="{00000000-0005-0000-0000-000005070000}"/>
    <cellStyle name="Comma 10 3 15 6" xfId="40806" xr:uid="{00000000-0005-0000-0000-000005070000}"/>
    <cellStyle name="Comma 10 3 16" xfId="12394" xr:uid="{00000000-0005-0000-0000-0000D11C0000}"/>
    <cellStyle name="Comma 10 3 16 2" xfId="15794" xr:uid="{00000000-0005-0000-0000-0000D21C0000}"/>
    <cellStyle name="Comma 10 3 16 2 2" xfId="37156" xr:uid="{00000000-0005-0000-0000-0000D31C0000}"/>
    <cellStyle name="Comma 10 3 16 2 3" xfId="30195" xr:uid="{00000000-0005-0000-0000-0000D41C0000}"/>
    <cellStyle name="Comma 10 3 16 2 4" xfId="39152" xr:uid="{00000000-0005-0000-0000-000008070000}"/>
    <cellStyle name="Comma 10 3 16 2 5" xfId="41085" xr:uid="{00000000-0005-0000-0000-000008070000}"/>
    <cellStyle name="Comma 10 3 16 3" xfId="34848" xr:uid="{00000000-0005-0000-0000-0000D51C0000}"/>
    <cellStyle name="Comma 10 3 16 4" xfId="27939" xr:uid="{00000000-0005-0000-0000-0000D61C0000}"/>
    <cellStyle name="Comma 10 3 16 5" xfId="37861" xr:uid="{00000000-0005-0000-0000-000007070000}"/>
    <cellStyle name="Comma 10 3 16 6" xfId="40807" xr:uid="{00000000-0005-0000-0000-000007070000}"/>
    <cellStyle name="Comma 10 3 17" xfId="12395" xr:uid="{00000000-0005-0000-0000-0000D71C0000}"/>
    <cellStyle name="Comma 10 3 17 2" xfId="15795" xr:uid="{00000000-0005-0000-0000-0000D81C0000}"/>
    <cellStyle name="Comma 10 3 17 2 2" xfId="37157" xr:uid="{00000000-0005-0000-0000-0000D91C0000}"/>
    <cellStyle name="Comma 10 3 17 2 3" xfId="30196" xr:uid="{00000000-0005-0000-0000-0000DA1C0000}"/>
    <cellStyle name="Comma 10 3 17 2 4" xfId="39153" xr:uid="{00000000-0005-0000-0000-00000A070000}"/>
    <cellStyle name="Comma 10 3 17 2 5" xfId="41086" xr:uid="{00000000-0005-0000-0000-00000A070000}"/>
    <cellStyle name="Comma 10 3 17 3" xfId="34849" xr:uid="{00000000-0005-0000-0000-0000DB1C0000}"/>
    <cellStyle name="Comma 10 3 17 4" xfId="27940" xr:uid="{00000000-0005-0000-0000-0000DC1C0000}"/>
    <cellStyle name="Comma 10 3 17 5" xfId="37862" xr:uid="{00000000-0005-0000-0000-000009070000}"/>
    <cellStyle name="Comma 10 3 17 6" xfId="40808" xr:uid="{00000000-0005-0000-0000-000009070000}"/>
    <cellStyle name="Comma 10 3 18" xfId="15787" xr:uid="{00000000-0005-0000-0000-0000DD1C0000}"/>
    <cellStyle name="Comma 10 3 18 2" xfId="37149" xr:uid="{00000000-0005-0000-0000-0000DE1C0000}"/>
    <cellStyle name="Comma 10 3 18 3" xfId="30188" xr:uid="{00000000-0005-0000-0000-0000DF1C0000}"/>
    <cellStyle name="Comma 10 3 18 4" xfId="39145" xr:uid="{00000000-0005-0000-0000-00000B070000}"/>
    <cellStyle name="Comma 10 3 18 5" xfId="41078" xr:uid="{00000000-0005-0000-0000-00000B070000}"/>
    <cellStyle name="Comma 10 3 19" xfId="34841" xr:uid="{00000000-0005-0000-0000-0000E01C0000}"/>
    <cellStyle name="Comma 10 3 2" xfId="12396" xr:uid="{00000000-0005-0000-0000-0000E11C0000}"/>
    <cellStyle name="Comma 10 3 2 2" xfId="15796" xr:uid="{00000000-0005-0000-0000-0000E21C0000}"/>
    <cellStyle name="Comma 10 3 2 2 2" xfId="37158" xr:uid="{00000000-0005-0000-0000-0000E31C0000}"/>
    <cellStyle name="Comma 10 3 2 2 3" xfId="30197" xr:uid="{00000000-0005-0000-0000-0000E41C0000}"/>
    <cellStyle name="Comma 10 3 2 2 4" xfId="39154" xr:uid="{00000000-0005-0000-0000-00000D070000}"/>
    <cellStyle name="Comma 10 3 2 2 5" xfId="41087" xr:uid="{00000000-0005-0000-0000-00000D070000}"/>
    <cellStyle name="Comma 10 3 2 3" xfId="34850" xr:uid="{00000000-0005-0000-0000-0000E51C0000}"/>
    <cellStyle name="Comma 10 3 2 4" xfId="27941" xr:uid="{00000000-0005-0000-0000-0000E61C0000}"/>
    <cellStyle name="Comma 10 3 2 5" xfId="37863" xr:uid="{00000000-0005-0000-0000-00000C070000}"/>
    <cellStyle name="Comma 10 3 2 6" xfId="40809" xr:uid="{00000000-0005-0000-0000-00000C070000}"/>
    <cellStyle name="Comma 10 3 20" xfId="27932" xr:uid="{00000000-0005-0000-0000-0000E71C0000}"/>
    <cellStyle name="Comma 10 3 21" xfId="37854" xr:uid="{00000000-0005-0000-0000-0000FA060000}"/>
    <cellStyle name="Comma 10 3 22" xfId="40800" xr:uid="{00000000-0005-0000-0000-0000FA060000}"/>
    <cellStyle name="Comma 10 3 3" xfId="12397" xr:uid="{00000000-0005-0000-0000-0000E81C0000}"/>
    <cellStyle name="Comma 10 3 3 2" xfId="15797" xr:uid="{00000000-0005-0000-0000-0000E91C0000}"/>
    <cellStyle name="Comma 10 3 3 2 2" xfId="37159" xr:uid="{00000000-0005-0000-0000-0000EA1C0000}"/>
    <cellStyle name="Comma 10 3 3 2 3" xfId="30198" xr:uid="{00000000-0005-0000-0000-0000EB1C0000}"/>
    <cellStyle name="Comma 10 3 3 2 4" xfId="39155" xr:uid="{00000000-0005-0000-0000-00000F070000}"/>
    <cellStyle name="Comma 10 3 3 2 5" xfId="41088" xr:uid="{00000000-0005-0000-0000-00000F070000}"/>
    <cellStyle name="Comma 10 3 3 3" xfId="34851" xr:uid="{00000000-0005-0000-0000-0000EC1C0000}"/>
    <cellStyle name="Comma 10 3 3 4" xfId="27942" xr:uid="{00000000-0005-0000-0000-0000ED1C0000}"/>
    <cellStyle name="Comma 10 3 3 5" xfId="37864" xr:uid="{00000000-0005-0000-0000-00000E070000}"/>
    <cellStyle name="Comma 10 3 3 6" xfId="40810" xr:uid="{00000000-0005-0000-0000-00000E070000}"/>
    <cellStyle name="Comma 10 3 4" xfId="12398" xr:uid="{00000000-0005-0000-0000-0000EE1C0000}"/>
    <cellStyle name="Comma 10 3 4 2" xfId="15798" xr:uid="{00000000-0005-0000-0000-0000EF1C0000}"/>
    <cellStyle name="Comma 10 3 4 2 2" xfId="37160" xr:uid="{00000000-0005-0000-0000-0000F01C0000}"/>
    <cellStyle name="Comma 10 3 4 2 3" xfId="30199" xr:uid="{00000000-0005-0000-0000-0000F11C0000}"/>
    <cellStyle name="Comma 10 3 4 2 4" xfId="39156" xr:uid="{00000000-0005-0000-0000-000011070000}"/>
    <cellStyle name="Comma 10 3 4 2 5" xfId="41089" xr:uid="{00000000-0005-0000-0000-000011070000}"/>
    <cellStyle name="Comma 10 3 4 3" xfId="34852" xr:uid="{00000000-0005-0000-0000-0000F21C0000}"/>
    <cellStyle name="Comma 10 3 4 4" xfId="27943" xr:uid="{00000000-0005-0000-0000-0000F31C0000}"/>
    <cellStyle name="Comma 10 3 4 5" xfId="37865" xr:uid="{00000000-0005-0000-0000-000010070000}"/>
    <cellStyle name="Comma 10 3 4 6" xfId="40811" xr:uid="{00000000-0005-0000-0000-000010070000}"/>
    <cellStyle name="Comma 10 3 5" xfId="12399" xr:uid="{00000000-0005-0000-0000-0000F41C0000}"/>
    <cellStyle name="Comma 10 3 5 2" xfId="15799" xr:uid="{00000000-0005-0000-0000-0000F51C0000}"/>
    <cellStyle name="Comma 10 3 5 2 2" xfId="37161" xr:uid="{00000000-0005-0000-0000-0000F61C0000}"/>
    <cellStyle name="Comma 10 3 5 2 3" xfId="30200" xr:uid="{00000000-0005-0000-0000-0000F71C0000}"/>
    <cellStyle name="Comma 10 3 5 2 4" xfId="39157" xr:uid="{00000000-0005-0000-0000-000013070000}"/>
    <cellStyle name="Comma 10 3 5 2 5" xfId="41090" xr:uid="{00000000-0005-0000-0000-000013070000}"/>
    <cellStyle name="Comma 10 3 5 3" xfId="34853" xr:uid="{00000000-0005-0000-0000-0000F81C0000}"/>
    <cellStyle name="Comma 10 3 5 4" xfId="27944" xr:uid="{00000000-0005-0000-0000-0000F91C0000}"/>
    <cellStyle name="Comma 10 3 5 5" xfId="37866" xr:uid="{00000000-0005-0000-0000-000012070000}"/>
    <cellStyle name="Comma 10 3 5 6" xfId="40812" xr:uid="{00000000-0005-0000-0000-000012070000}"/>
    <cellStyle name="Comma 10 3 6" xfId="12400" xr:uid="{00000000-0005-0000-0000-0000FA1C0000}"/>
    <cellStyle name="Comma 10 3 6 2" xfId="15800" xr:uid="{00000000-0005-0000-0000-0000FB1C0000}"/>
    <cellStyle name="Comma 10 3 6 2 2" xfId="37162" xr:uid="{00000000-0005-0000-0000-0000FC1C0000}"/>
    <cellStyle name="Comma 10 3 6 2 3" xfId="30201" xr:uid="{00000000-0005-0000-0000-0000FD1C0000}"/>
    <cellStyle name="Comma 10 3 6 2 4" xfId="39158" xr:uid="{00000000-0005-0000-0000-000015070000}"/>
    <cellStyle name="Comma 10 3 6 2 5" xfId="41091" xr:uid="{00000000-0005-0000-0000-000015070000}"/>
    <cellStyle name="Comma 10 3 6 3" xfId="34854" xr:uid="{00000000-0005-0000-0000-0000FE1C0000}"/>
    <cellStyle name="Comma 10 3 6 4" xfId="27945" xr:uid="{00000000-0005-0000-0000-0000FF1C0000}"/>
    <cellStyle name="Comma 10 3 6 5" xfId="37867" xr:uid="{00000000-0005-0000-0000-000014070000}"/>
    <cellStyle name="Comma 10 3 6 6" xfId="40813" xr:uid="{00000000-0005-0000-0000-000014070000}"/>
    <cellStyle name="Comma 10 3 7" xfId="12401" xr:uid="{00000000-0005-0000-0000-0000001D0000}"/>
    <cellStyle name="Comma 10 3 7 2" xfId="15801" xr:uid="{00000000-0005-0000-0000-0000011D0000}"/>
    <cellStyle name="Comma 10 3 7 2 2" xfId="37163" xr:uid="{00000000-0005-0000-0000-0000021D0000}"/>
    <cellStyle name="Comma 10 3 7 2 3" xfId="30202" xr:uid="{00000000-0005-0000-0000-0000031D0000}"/>
    <cellStyle name="Comma 10 3 7 2 4" xfId="39159" xr:uid="{00000000-0005-0000-0000-000017070000}"/>
    <cellStyle name="Comma 10 3 7 2 5" xfId="41092" xr:uid="{00000000-0005-0000-0000-000017070000}"/>
    <cellStyle name="Comma 10 3 7 3" xfId="34855" xr:uid="{00000000-0005-0000-0000-0000041D0000}"/>
    <cellStyle name="Comma 10 3 7 4" xfId="27946" xr:uid="{00000000-0005-0000-0000-0000051D0000}"/>
    <cellStyle name="Comma 10 3 7 5" xfId="37868" xr:uid="{00000000-0005-0000-0000-000016070000}"/>
    <cellStyle name="Comma 10 3 7 6" xfId="40814" xr:uid="{00000000-0005-0000-0000-000016070000}"/>
    <cellStyle name="Comma 10 3 8" xfId="12402" xr:uid="{00000000-0005-0000-0000-0000061D0000}"/>
    <cellStyle name="Comma 10 3 8 2" xfId="15802" xr:uid="{00000000-0005-0000-0000-0000071D0000}"/>
    <cellStyle name="Comma 10 3 8 2 2" xfId="37164" xr:uid="{00000000-0005-0000-0000-0000081D0000}"/>
    <cellStyle name="Comma 10 3 8 2 3" xfId="30203" xr:uid="{00000000-0005-0000-0000-0000091D0000}"/>
    <cellStyle name="Comma 10 3 8 2 4" xfId="39160" xr:uid="{00000000-0005-0000-0000-000019070000}"/>
    <cellStyle name="Comma 10 3 8 2 5" xfId="41093" xr:uid="{00000000-0005-0000-0000-000019070000}"/>
    <cellStyle name="Comma 10 3 8 3" xfId="34856" xr:uid="{00000000-0005-0000-0000-00000A1D0000}"/>
    <cellStyle name="Comma 10 3 8 4" xfId="27947" xr:uid="{00000000-0005-0000-0000-00000B1D0000}"/>
    <cellStyle name="Comma 10 3 8 5" xfId="37869" xr:uid="{00000000-0005-0000-0000-000018070000}"/>
    <cellStyle name="Comma 10 3 8 6" xfId="40815" xr:uid="{00000000-0005-0000-0000-000018070000}"/>
    <cellStyle name="Comma 10 3 9" xfId="12403" xr:uid="{00000000-0005-0000-0000-00000C1D0000}"/>
    <cellStyle name="Comma 10 3 9 2" xfId="15803" xr:uid="{00000000-0005-0000-0000-00000D1D0000}"/>
    <cellStyle name="Comma 10 3 9 2 2" xfId="37165" xr:uid="{00000000-0005-0000-0000-00000E1D0000}"/>
    <cellStyle name="Comma 10 3 9 2 3" xfId="30204" xr:uid="{00000000-0005-0000-0000-00000F1D0000}"/>
    <cellStyle name="Comma 10 3 9 2 4" xfId="39161" xr:uid="{00000000-0005-0000-0000-00001B070000}"/>
    <cellStyle name="Comma 10 3 9 2 5" xfId="41094" xr:uid="{00000000-0005-0000-0000-00001B070000}"/>
    <cellStyle name="Comma 10 3 9 3" xfId="34857" xr:uid="{00000000-0005-0000-0000-0000101D0000}"/>
    <cellStyle name="Comma 10 3 9 4" xfId="27948" xr:uid="{00000000-0005-0000-0000-0000111D0000}"/>
    <cellStyle name="Comma 10 3 9 5" xfId="37870" xr:uid="{00000000-0005-0000-0000-00001A070000}"/>
    <cellStyle name="Comma 10 3 9 6" xfId="40816" xr:uid="{00000000-0005-0000-0000-00001A070000}"/>
    <cellStyle name="Comma 10 4" xfId="12404" xr:uid="{00000000-0005-0000-0000-0000121D0000}"/>
    <cellStyle name="Comma 10 4 10" xfId="12405" xr:uid="{00000000-0005-0000-0000-0000131D0000}"/>
    <cellStyle name="Comma 10 4 10 2" xfId="15805" xr:uid="{00000000-0005-0000-0000-0000141D0000}"/>
    <cellStyle name="Comma 10 4 10 2 2" xfId="37167" xr:uid="{00000000-0005-0000-0000-0000151D0000}"/>
    <cellStyle name="Comma 10 4 10 2 3" xfId="30206" xr:uid="{00000000-0005-0000-0000-0000161D0000}"/>
    <cellStyle name="Comma 10 4 10 2 4" xfId="39163" xr:uid="{00000000-0005-0000-0000-00001E070000}"/>
    <cellStyle name="Comma 10 4 10 2 5" xfId="41096" xr:uid="{00000000-0005-0000-0000-00001E070000}"/>
    <cellStyle name="Comma 10 4 10 3" xfId="34859" xr:uid="{00000000-0005-0000-0000-0000171D0000}"/>
    <cellStyle name="Comma 10 4 10 4" xfId="27950" xr:uid="{00000000-0005-0000-0000-0000181D0000}"/>
    <cellStyle name="Comma 10 4 10 5" xfId="37872" xr:uid="{00000000-0005-0000-0000-00001D070000}"/>
    <cellStyle name="Comma 10 4 10 6" xfId="40818" xr:uid="{00000000-0005-0000-0000-00001D070000}"/>
    <cellStyle name="Comma 10 4 11" xfId="12406" xr:uid="{00000000-0005-0000-0000-0000191D0000}"/>
    <cellStyle name="Comma 10 4 11 2" xfId="15806" xr:uid="{00000000-0005-0000-0000-00001A1D0000}"/>
    <cellStyle name="Comma 10 4 11 2 2" xfId="37168" xr:uid="{00000000-0005-0000-0000-00001B1D0000}"/>
    <cellStyle name="Comma 10 4 11 2 3" xfId="30207" xr:uid="{00000000-0005-0000-0000-00001C1D0000}"/>
    <cellStyle name="Comma 10 4 11 2 4" xfId="39164" xr:uid="{00000000-0005-0000-0000-000020070000}"/>
    <cellStyle name="Comma 10 4 11 2 5" xfId="41097" xr:uid="{00000000-0005-0000-0000-000020070000}"/>
    <cellStyle name="Comma 10 4 11 3" xfId="34860" xr:uid="{00000000-0005-0000-0000-00001D1D0000}"/>
    <cellStyle name="Comma 10 4 11 4" xfId="27951" xr:uid="{00000000-0005-0000-0000-00001E1D0000}"/>
    <cellStyle name="Comma 10 4 11 5" xfId="37873" xr:uid="{00000000-0005-0000-0000-00001F070000}"/>
    <cellStyle name="Comma 10 4 11 6" xfId="40819" xr:uid="{00000000-0005-0000-0000-00001F070000}"/>
    <cellStyle name="Comma 10 4 12" xfId="12407" xr:uid="{00000000-0005-0000-0000-00001F1D0000}"/>
    <cellStyle name="Comma 10 4 12 2" xfId="15807" xr:uid="{00000000-0005-0000-0000-0000201D0000}"/>
    <cellStyle name="Comma 10 4 12 2 2" xfId="37169" xr:uid="{00000000-0005-0000-0000-0000211D0000}"/>
    <cellStyle name="Comma 10 4 12 2 3" xfId="30208" xr:uid="{00000000-0005-0000-0000-0000221D0000}"/>
    <cellStyle name="Comma 10 4 12 2 4" xfId="39165" xr:uid="{00000000-0005-0000-0000-000022070000}"/>
    <cellStyle name="Comma 10 4 12 2 5" xfId="41098" xr:uid="{00000000-0005-0000-0000-000022070000}"/>
    <cellStyle name="Comma 10 4 12 3" xfId="34861" xr:uid="{00000000-0005-0000-0000-0000231D0000}"/>
    <cellStyle name="Comma 10 4 12 4" xfId="27952" xr:uid="{00000000-0005-0000-0000-0000241D0000}"/>
    <cellStyle name="Comma 10 4 12 5" xfId="37874" xr:uid="{00000000-0005-0000-0000-000021070000}"/>
    <cellStyle name="Comma 10 4 12 6" xfId="40820" xr:uid="{00000000-0005-0000-0000-000021070000}"/>
    <cellStyle name="Comma 10 4 13" xfId="12408" xr:uid="{00000000-0005-0000-0000-0000251D0000}"/>
    <cellStyle name="Comma 10 4 13 2" xfId="15808" xr:uid="{00000000-0005-0000-0000-0000261D0000}"/>
    <cellStyle name="Comma 10 4 13 2 2" xfId="37170" xr:uid="{00000000-0005-0000-0000-0000271D0000}"/>
    <cellStyle name="Comma 10 4 13 2 3" xfId="30209" xr:uid="{00000000-0005-0000-0000-0000281D0000}"/>
    <cellStyle name="Comma 10 4 13 2 4" xfId="39166" xr:uid="{00000000-0005-0000-0000-000024070000}"/>
    <cellStyle name="Comma 10 4 13 2 5" xfId="41099" xr:uid="{00000000-0005-0000-0000-000024070000}"/>
    <cellStyle name="Comma 10 4 13 3" xfId="34862" xr:uid="{00000000-0005-0000-0000-0000291D0000}"/>
    <cellStyle name="Comma 10 4 13 4" xfId="27953" xr:uid="{00000000-0005-0000-0000-00002A1D0000}"/>
    <cellStyle name="Comma 10 4 13 5" xfId="37875" xr:uid="{00000000-0005-0000-0000-000023070000}"/>
    <cellStyle name="Comma 10 4 13 6" xfId="40821" xr:uid="{00000000-0005-0000-0000-000023070000}"/>
    <cellStyle name="Comma 10 4 14" xfId="12409" xr:uid="{00000000-0005-0000-0000-00002B1D0000}"/>
    <cellStyle name="Comma 10 4 14 2" xfId="15809" xr:uid="{00000000-0005-0000-0000-00002C1D0000}"/>
    <cellStyle name="Comma 10 4 14 2 2" xfId="37171" xr:uid="{00000000-0005-0000-0000-00002D1D0000}"/>
    <cellStyle name="Comma 10 4 14 2 3" xfId="30210" xr:uid="{00000000-0005-0000-0000-00002E1D0000}"/>
    <cellStyle name="Comma 10 4 14 2 4" xfId="39167" xr:uid="{00000000-0005-0000-0000-000026070000}"/>
    <cellStyle name="Comma 10 4 14 2 5" xfId="41100" xr:uid="{00000000-0005-0000-0000-000026070000}"/>
    <cellStyle name="Comma 10 4 14 3" xfId="34863" xr:uid="{00000000-0005-0000-0000-00002F1D0000}"/>
    <cellStyle name="Comma 10 4 14 4" xfId="27954" xr:uid="{00000000-0005-0000-0000-0000301D0000}"/>
    <cellStyle name="Comma 10 4 14 5" xfId="37876" xr:uid="{00000000-0005-0000-0000-000025070000}"/>
    <cellStyle name="Comma 10 4 14 6" xfId="40822" xr:uid="{00000000-0005-0000-0000-000025070000}"/>
    <cellStyle name="Comma 10 4 15" xfId="12410" xr:uid="{00000000-0005-0000-0000-0000311D0000}"/>
    <cellStyle name="Comma 10 4 15 2" xfId="15810" xr:uid="{00000000-0005-0000-0000-0000321D0000}"/>
    <cellStyle name="Comma 10 4 15 2 2" xfId="37172" xr:uid="{00000000-0005-0000-0000-0000331D0000}"/>
    <cellStyle name="Comma 10 4 15 2 3" xfId="30211" xr:uid="{00000000-0005-0000-0000-0000341D0000}"/>
    <cellStyle name="Comma 10 4 15 2 4" xfId="39168" xr:uid="{00000000-0005-0000-0000-000028070000}"/>
    <cellStyle name="Comma 10 4 15 2 5" xfId="41101" xr:uid="{00000000-0005-0000-0000-000028070000}"/>
    <cellStyle name="Comma 10 4 15 3" xfId="34864" xr:uid="{00000000-0005-0000-0000-0000351D0000}"/>
    <cellStyle name="Comma 10 4 15 4" xfId="27955" xr:uid="{00000000-0005-0000-0000-0000361D0000}"/>
    <cellStyle name="Comma 10 4 15 5" xfId="37877" xr:uid="{00000000-0005-0000-0000-000027070000}"/>
    <cellStyle name="Comma 10 4 15 6" xfId="40823" xr:uid="{00000000-0005-0000-0000-000027070000}"/>
    <cellStyle name="Comma 10 4 16" xfId="12411" xr:uid="{00000000-0005-0000-0000-0000371D0000}"/>
    <cellStyle name="Comma 10 4 16 2" xfId="15811" xr:uid="{00000000-0005-0000-0000-0000381D0000}"/>
    <cellStyle name="Comma 10 4 16 2 2" xfId="37173" xr:uid="{00000000-0005-0000-0000-0000391D0000}"/>
    <cellStyle name="Comma 10 4 16 2 3" xfId="30212" xr:uid="{00000000-0005-0000-0000-00003A1D0000}"/>
    <cellStyle name="Comma 10 4 16 2 4" xfId="39169" xr:uid="{00000000-0005-0000-0000-00002A070000}"/>
    <cellStyle name="Comma 10 4 16 2 5" xfId="41102" xr:uid="{00000000-0005-0000-0000-00002A070000}"/>
    <cellStyle name="Comma 10 4 16 3" xfId="34865" xr:uid="{00000000-0005-0000-0000-00003B1D0000}"/>
    <cellStyle name="Comma 10 4 16 4" xfId="27956" xr:uid="{00000000-0005-0000-0000-00003C1D0000}"/>
    <cellStyle name="Comma 10 4 16 5" xfId="37878" xr:uid="{00000000-0005-0000-0000-000029070000}"/>
    <cellStyle name="Comma 10 4 16 6" xfId="40824" xr:uid="{00000000-0005-0000-0000-000029070000}"/>
    <cellStyle name="Comma 10 4 17" xfId="12412" xr:uid="{00000000-0005-0000-0000-00003D1D0000}"/>
    <cellStyle name="Comma 10 4 17 2" xfId="15812" xr:uid="{00000000-0005-0000-0000-00003E1D0000}"/>
    <cellStyle name="Comma 10 4 17 2 2" xfId="37174" xr:uid="{00000000-0005-0000-0000-00003F1D0000}"/>
    <cellStyle name="Comma 10 4 17 2 3" xfId="30213" xr:uid="{00000000-0005-0000-0000-0000401D0000}"/>
    <cellStyle name="Comma 10 4 17 2 4" xfId="39170" xr:uid="{00000000-0005-0000-0000-00002C070000}"/>
    <cellStyle name="Comma 10 4 17 2 5" xfId="41103" xr:uid="{00000000-0005-0000-0000-00002C070000}"/>
    <cellStyle name="Comma 10 4 17 3" xfId="34866" xr:uid="{00000000-0005-0000-0000-0000411D0000}"/>
    <cellStyle name="Comma 10 4 17 4" xfId="27957" xr:uid="{00000000-0005-0000-0000-0000421D0000}"/>
    <cellStyle name="Comma 10 4 17 5" xfId="37879" xr:uid="{00000000-0005-0000-0000-00002B070000}"/>
    <cellStyle name="Comma 10 4 17 6" xfId="40825" xr:uid="{00000000-0005-0000-0000-00002B070000}"/>
    <cellStyle name="Comma 10 4 18" xfId="15804" xr:uid="{00000000-0005-0000-0000-0000431D0000}"/>
    <cellStyle name="Comma 10 4 18 2" xfId="37166" xr:uid="{00000000-0005-0000-0000-0000441D0000}"/>
    <cellStyle name="Comma 10 4 18 3" xfId="30205" xr:uid="{00000000-0005-0000-0000-0000451D0000}"/>
    <cellStyle name="Comma 10 4 18 4" xfId="39162" xr:uid="{00000000-0005-0000-0000-00002D070000}"/>
    <cellStyle name="Comma 10 4 18 5" xfId="41095" xr:uid="{00000000-0005-0000-0000-00002D070000}"/>
    <cellStyle name="Comma 10 4 19" xfId="34858" xr:uid="{00000000-0005-0000-0000-0000461D0000}"/>
    <cellStyle name="Comma 10 4 2" xfId="12413" xr:uid="{00000000-0005-0000-0000-0000471D0000}"/>
    <cellStyle name="Comma 10 4 2 2" xfId="15813" xr:uid="{00000000-0005-0000-0000-0000481D0000}"/>
    <cellStyle name="Comma 10 4 2 2 2" xfId="37175" xr:uid="{00000000-0005-0000-0000-0000491D0000}"/>
    <cellStyle name="Comma 10 4 2 2 3" xfId="30214" xr:uid="{00000000-0005-0000-0000-00004A1D0000}"/>
    <cellStyle name="Comma 10 4 2 2 4" xfId="39171" xr:uid="{00000000-0005-0000-0000-00002F070000}"/>
    <cellStyle name="Comma 10 4 2 2 5" xfId="41104" xr:uid="{00000000-0005-0000-0000-00002F070000}"/>
    <cellStyle name="Comma 10 4 2 3" xfId="34867" xr:uid="{00000000-0005-0000-0000-00004B1D0000}"/>
    <cellStyle name="Comma 10 4 2 4" xfId="27958" xr:uid="{00000000-0005-0000-0000-00004C1D0000}"/>
    <cellStyle name="Comma 10 4 2 5" xfId="37880" xr:uid="{00000000-0005-0000-0000-00002E070000}"/>
    <cellStyle name="Comma 10 4 2 6" xfId="40826" xr:uid="{00000000-0005-0000-0000-00002E070000}"/>
    <cellStyle name="Comma 10 4 20" xfId="27949" xr:uid="{00000000-0005-0000-0000-00004D1D0000}"/>
    <cellStyle name="Comma 10 4 21" xfId="37871" xr:uid="{00000000-0005-0000-0000-00001C070000}"/>
    <cellStyle name="Comma 10 4 22" xfId="40817" xr:uid="{00000000-0005-0000-0000-00001C070000}"/>
    <cellStyle name="Comma 10 4 3" xfId="12414" xr:uid="{00000000-0005-0000-0000-00004E1D0000}"/>
    <cellStyle name="Comma 10 4 3 2" xfId="15814" xr:uid="{00000000-0005-0000-0000-00004F1D0000}"/>
    <cellStyle name="Comma 10 4 3 2 2" xfId="37176" xr:uid="{00000000-0005-0000-0000-0000501D0000}"/>
    <cellStyle name="Comma 10 4 3 2 3" xfId="30215" xr:uid="{00000000-0005-0000-0000-0000511D0000}"/>
    <cellStyle name="Comma 10 4 3 2 4" xfId="39172" xr:uid="{00000000-0005-0000-0000-000031070000}"/>
    <cellStyle name="Comma 10 4 3 2 5" xfId="41105" xr:uid="{00000000-0005-0000-0000-000031070000}"/>
    <cellStyle name="Comma 10 4 3 3" xfId="34868" xr:uid="{00000000-0005-0000-0000-0000521D0000}"/>
    <cellStyle name="Comma 10 4 3 4" xfId="27959" xr:uid="{00000000-0005-0000-0000-0000531D0000}"/>
    <cellStyle name="Comma 10 4 3 5" xfId="37881" xr:uid="{00000000-0005-0000-0000-000030070000}"/>
    <cellStyle name="Comma 10 4 3 6" xfId="40827" xr:uid="{00000000-0005-0000-0000-000030070000}"/>
    <cellStyle name="Comma 10 4 4" xfId="12415" xr:uid="{00000000-0005-0000-0000-0000541D0000}"/>
    <cellStyle name="Comma 10 4 4 2" xfId="15815" xr:uid="{00000000-0005-0000-0000-0000551D0000}"/>
    <cellStyle name="Comma 10 4 4 2 2" xfId="37177" xr:uid="{00000000-0005-0000-0000-0000561D0000}"/>
    <cellStyle name="Comma 10 4 4 2 3" xfId="30216" xr:uid="{00000000-0005-0000-0000-0000571D0000}"/>
    <cellStyle name="Comma 10 4 4 2 4" xfId="39173" xr:uid="{00000000-0005-0000-0000-000033070000}"/>
    <cellStyle name="Comma 10 4 4 2 5" xfId="41106" xr:uid="{00000000-0005-0000-0000-000033070000}"/>
    <cellStyle name="Comma 10 4 4 3" xfId="34869" xr:uid="{00000000-0005-0000-0000-0000581D0000}"/>
    <cellStyle name="Comma 10 4 4 4" xfId="27960" xr:uid="{00000000-0005-0000-0000-0000591D0000}"/>
    <cellStyle name="Comma 10 4 4 5" xfId="37882" xr:uid="{00000000-0005-0000-0000-000032070000}"/>
    <cellStyle name="Comma 10 4 4 6" xfId="40828" xr:uid="{00000000-0005-0000-0000-000032070000}"/>
    <cellStyle name="Comma 10 4 5" xfId="12416" xr:uid="{00000000-0005-0000-0000-00005A1D0000}"/>
    <cellStyle name="Comma 10 4 5 2" xfId="15816" xr:uid="{00000000-0005-0000-0000-00005B1D0000}"/>
    <cellStyle name="Comma 10 4 5 2 2" xfId="37178" xr:uid="{00000000-0005-0000-0000-00005C1D0000}"/>
    <cellStyle name="Comma 10 4 5 2 3" xfId="30217" xr:uid="{00000000-0005-0000-0000-00005D1D0000}"/>
    <cellStyle name="Comma 10 4 5 2 4" xfId="39174" xr:uid="{00000000-0005-0000-0000-000035070000}"/>
    <cellStyle name="Comma 10 4 5 2 5" xfId="41107" xr:uid="{00000000-0005-0000-0000-000035070000}"/>
    <cellStyle name="Comma 10 4 5 3" xfId="34870" xr:uid="{00000000-0005-0000-0000-00005E1D0000}"/>
    <cellStyle name="Comma 10 4 5 4" xfId="27961" xr:uid="{00000000-0005-0000-0000-00005F1D0000}"/>
    <cellStyle name="Comma 10 4 5 5" xfId="37883" xr:uid="{00000000-0005-0000-0000-000034070000}"/>
    <cellStyle name="Comma 10 4 5 6" xfId="40829" xr:uid="{00000000-0005-0000-0000-000034070000}"/>
    <cellStyle name="Comma 10 4 6" xfId="12417" xr:uid="{00000000-0005-0000-0000-0000601D0000}"/>
    <cellStyle name="Comma 10 4 6 2" xfId="15817" xr:uid="{00000000-0005-0000-0000-0000611D0000}"/>
    <cellStyle name="Comma 10 4 6 2 2" xfId="37179" xr:uid="{00000000-0005-0000-0000-0000621D0000}"/>
    <cellStyle name="Comma 10 4 6 2 3" xfId="30218" xr:uid="{00000000-0005-0000-0000-0000631D0000}"/>
    <cellStyle name="Comma 10 4 6 2 4" xfId="39175" xr:uid="{00000000-0005-0000-0000-000037070000}"/>
    <cellStyle name="Comma 10 4 6 2 5" xfId="41108" xr:uid="{00000000-0005-0000-0000-000037070000}"/>
    <cellStyle name="Comma 10 4 6 3" xfId="34871" xr:uid="{00000000-0005-0000-0000-0000641D0000}"/>
    <cellStyle name="Comma 10 4 6 4" xfId="27962" xr:uid="{00000000-0005-0000-0000-0000651D0000}"/>
    <cellStyle name="Comma 10 4 6 5" xfId="37884" xr:uid="{00000000-0005-0000-0000-000036070000}"/>
    <cellStyle name="Comma 10 4 6 6" xfId="40830" xr:uid="{00000000-0005-0000-0000-000036070000}"/>
    <cellStyle name="Comma 10 4 7" xfId="12418" xr:uid="{00000000-0005-0000-0000-0000661D0000}"/>
    <cellStyle name="Comma 10 4 7 2" xfId="15818" xr:uid="{00000000-0005-0000-0000-0000671D0000}"/>
    <cellStyle name="Comma 10 4 7 2 2" xfId="37180" xr:uid="{00000000-0005-0000-0000-0000681D0000}"/>
    <cellStyle name="Comma 10 4 7 2 3" xfId="30219" xr:uid="{00000000-0005-0000-0000-0000691D0000}"/>
    <cellStyle name="Comma 10 4 7 2 4" xfId="39176" xr:uid="{00000000-0005-0000-0000-000039070000}"/>
    <cellStyle name="Comma 10 4 7 2 5" xfId="41109" xr:uid="{00000000-0005-0000-0000-000039070000}"/>
    <cellStyle name="Comma 10 4 7 3" xfId="34872" xr:uid="{00000000-0005-0000-0000-00006A1D0000}"/>
    <cellStyle name="Comma 10 4 7 4" xfId="27963" xr:uid="{00000000-0005-0000-0000-00006B1D0000}"/>
    <cellStyle name="Comma 10 4 7 5" xfId="37885" xr:uid="{00000000-0005-0000-0000-000038070000}"/>
    <cellStyle name="Comma 10 4 7 6" xfId="40831" xr:uid="{00000000-0005-0000-0000-000038070000}"/>
    <cellStyle name="Comma 10 4 8" xfId="12419" xr:uid="{00000000-0005-0000-0000-00006C1D0000}"/>
    <cellStyle name="Comma 10 4 8 2" xfId="15819" xr:uid="{00000000-0005-0000-0000-00006D1D0000}"/>
    <cellStyle name="Comma 10 4 8 2 2" xfId="37181" xr:uid="{00000000-0005-0000-0000-00006E1D0000}"/>
    <cellStyle name="Comma 10 4 8 2 3" xfId="30220" xr:uid="{00000000-0005-0000-0000-00006F1D0000}"/>
    <cellStyle name="Comma 10 4 8 2 4" xfId="39177" xr:uid="{00000000-0005-0000-0000-00003B070000}"/>
    <cellStyle name="Comma 10 4 8 2 5" xfId="41110" xr:uid="{00000000-0005-0000-0000-00003B070000}"/>
    <cellStyle name="Comma 10 4 8 3" xfId="34873" xr:uid="{00000000-0005-0000-0000-0000701D0000}"/>
    <cellStyle name="Comma 10 4 8 4" xfId="27964" xr:uid="{00000000-0005-0000-0000-0000711D0000}"/>
    <cellStyle name="Comma 10 4 8 5" xfId="37886" xr:uid="{00000000-0005-0000-0000-00003A070000}"/>
    <cellStyle name="Comma 10 4 8 6" xfId="40832" xr:uid="{00000000-0005-0000-0000-00003A070000}"/>
    <cellStyle name="Comma 10 4 9" xfId="12420" xr:uid="{00000000-0005-0000-0000-0000721D0000}"/>
    <cellStyle name="Comma 10 4 9 2" xfId="15820" xr:uid="{00000000-0005-0000-0000-0000731D0000}"/>
    <cellStyle name="Comma 10 4 9 2 2" xfId="37182" xr:uid="{00000000-0005-0000-0000-0000741D0000}"/>
    <cellStyle name="Comma 10 4 9 2 3" xfId="30221" xr:uid="{00000000-0005-0000-0000-0000751D0000}"/>
    <cellStyle name="Comma 10 4 9 2 4" xfId="39178" xr:uid="{00000000-0005-0000-0000-00003D070000}"/>
    <cellStyle name="Comma 10 4 9 2 5" xfId="41111" xr:uid="{00000000-0005-0000-0000-00003D070000}"/>
    <cellStyle name="Comma 10 4 9 3" xfId="34874" xr:uid="{00000000-0005-0000-0000-0000761D0000}"/>
    <cellStyle name="Comma 10 4 9 4" xfId="27965" xr:uid="{00000000-0005-0000-0000-0000771D0000}"/>
    <cellStyle name="Comma 10 4 9 5" xfId="37887" xr:uid="{00000000-0005-0000-0000-00003C070000}"/>
    <cellStyle name="Comma 10 4 9 6" xfId="40833" xr:uid="{00000000-0005-0000-0000-00003C070000}"/>
    <cellStyle name="Comma 10 5" xfId="12421" xr:uid="{00000000-0005-0000-0000-0000781D0000}"/>
    <cellStyle name="Comma 10 5 10" xfId="12422" xr:uid="{00000000-0005-0000-0000-0000791D0000}"/>
    <cellStyle name="Comma 10 5 10 2" xfId="15822" xr:uid="{00000000-0005-0000-0000-00007A1D0000}"/>
    <cellStyle name="Comma 10 5 10 2 2" xfId="37184" xr:uid="{00000000-0005-0000-0000-00007B1D0000}"/>
    <cellStyle name="Comma 10 5 10 2 3" xfId="30223" xr:uid="{00000000-0005-0000-0000-00007C1D0000}"/>
    <cellStyle name="Comma 10 5 10 2 4" xfId="39180" xr:uid="{00000000-0005-0000-0000-000040070000}"/>
    <cellStyle name="Comma 10 5 10 2 5" xfId="41113" xr:uid="{00000000-0005-0000-0000-000040070000}"/>
    <cellStyle name="Comma 10 5 10 3" xfId="34876" xr:uid="{00000000-0005-0000-0000-00007D1D0000}"/>
    <cellStyle name="Comma 10 5 10 4" xfId="27967" xr:uid="{00000000-0005-0000-0000-00007E1D0000}"/>
    <cellStyle name="Comma 10 5 10 5" xfId="37889" xr:uid="{00000000-0005-0000-0000-00003F070000}"/>
    <cellStyle name="Comma 10 5 10 6" xfId="40835" xr:uid="{00000000-0005-0000-0000-00003F070000}"/>
    <cellStyle name="Comma 10 5 11" xfId="12423" xr:uid="{00000000-0005-0000-0000-00007F1D0000}"/>
    <cellStyle name="Comma 10 5 11 2" xfId="15823" xr:uid="{00000000-0005-0000-0000-0000801D0000}"/>
    <cellStyle name="Comma 10 5 11 2 2" xfId="37185" xr:uid="{00000000-0005-0000-0000-0000811D0000}"/>
    <cellStyle name="Comma 10 5 11 2 3" xfId="30224" xr:uid="{00000000-0005-0000-0000-0000821D0000}"/>
    <cellStyle name="Comma 10 5 11 2 4" xfId="39181" xr:uid="{00000000-0005-0000-0000-000042070000}"/>
    <cellStyle name="Comma 10 5 11 2 5" xfId="41114" xr:uid="{00000000-0005-0000-0000-000042070000}"/>
    <cellStyle name="Comma 10 5 11 3" xfId="34877" xr:uid="{00000000-0005-0000-0000-0000831D0000}"/>
    <cellStyle name="Comma 10 5 11 4" xfId="27968" xr:uid="{00000000-0005-0000-0000-0000841D0000}"/>
    <cellStyle name="Comma 10 5 11 5" xfId="37890" xr:uid="{00000000-0005-0000-0000-000041070000}"/>
    <cellStyle name="Comma 10 5 11 6" xfId="40836" xr:uid="{00000000-0005-0000-0000-000041070000}"/>
    <cellStyle name="Comma 10 5 12" xfId="12424" xr:uid="{00000000-0005-0000-0000-0000851D0000}"/>
    <cellStyle name="Comma 10 5 12 2" xfId="15824" xr:uid="{00000000-0005-0000-0000-0000861D0000}"/>
    <cellStyle name="Comma 10 5 12 2 2" xfId="37186" xr:uid="{00000000-0005-0000-0000-0000871D0000}"/>
    <cellStyle name="Comma 10 5 12 2 3" xfId="30225" xr:uid="{00000000-0005-0000-0000-0000881D0000}"/>
    <cellStyle name="Comma 10 5 12 2 4" xfId="39182" xr:uid="{00000000-0005-0000-0000-000044070000}"/>
    <cellStyle name="Comma 10 5 12 2 5" xfId="41115" xr:uid="{00000000-0005-0000-0000-000044070000}"/>
    <cellStyle name="Comma 10 5 12 3" xfId="34878" xr:uid="{00000000-0005-0000-0000-0000891D0000}"/>
    <cellStyle name="Comma 10 5 12 4" xfId="27969" xr:uid="{00000000-0005-0000-0000-00008A1D0000}"/>
    <cellStyle name="Comma 10 5 12 5" xfId="37891" xr:uid="{00000000-0005-0000-0000-000043070000}"/>
    <cellStyle name="Comma 10 5 12 6" xfId="40837" xr:uid="{00000000-0005-0000-0000-000043070000}"/>
    <cellStyle name="Comma 10 5 13" xfId="12425" xr:uid="{00000000-0005-0000-0000-00008B1D0000}"/>
    <cellStyle name="Comma 10 5 13 2" xfId="15825" xr:uid="{00000000-0005-0000-0000-00008C1D0000}"/>
    <cellStyle name="Comma 10 5 13 2 2" xfId="37187" xr:uid="{00000000-0005-0000-0000-00008D1D0000}"/>
    <cellStyle name="Comma 10 5 13 2 3" xfId="30226" xr:uid="{00000000-0005-0000-0000-00008E1D0000}"/>
    <cellStyle name="Comma 10 5 13 2 4" xfId="39183" xr:uid="{00000000-0005-0000-0000-000046070000}"/>
    <cellStyle name="Comma 10 5 13 2 5" xfId="41116" xr:uid="{00000000-0005-0000-0000-000046070000}"/>
    <cellStyle name="Comma 10 5 13 3" xfId="34879" xr:uid="{00000000-0005-0000-0000-00008F1D0000}"/>
    <cellStyle name="Comma 10 5 13 4" xfId="27970" xr:uid="{00000000-0005-0000-0000-0000901D0000}"/>
    <cellStyle name="Comma 10 5 13 5" xfId="37892" xr:uid="{00000000-0005-0000-0000-000045070000}"/>
    <cellStyle name="Comma 10 5 13 6" xfId="40838" xr:uid="{00000000-0005-0000-0000-000045070000}"/>
    <cellStyle name="Comma 10 5 14" xfId="12426" xr:uid="{00000000-0005-0000-0000-0000911D0000}"/>
    <cellStyle name="Comma 10 5 14 2" xfId="15826" xr:uid="{00000000-0005-0000-0000-0000921D0000}"/>
    <cellStyle name="Comma 10 5 14 2 2" xfId="37188" xr:uid="{00000000-0005-0000-0000-0000931D0000}"/>
    <cellStyle name="Comma 10 5 14 2 3" xfId="30227" xr:uid="{00000000-0005-0000-0000-0000941D0000}"/>
    <cellStyle name="Comma 10 5 14 2 4" xfId="39184" xr:uid="{00000000-0005-0000-0000-000048070000}"/>
    <cellStyle name="Comma 10 5 14 2 5" xfId="41117" xr:uid="{00000000-0005-0000-0000-000048070000}"/>
    <cellStyle name="Comma 10 5 14 3" xfId="34880" xr:uid="{00000000-0005-0000-0000-0000951D0000}"/>
    <cellStyle name="Comma 10 5 14 4" xfId="27971" xr:uid="{00000000-0005-0000-0000-0000961D0000}"/>
    <cellStyle name="Comma 10 5 14 5" xfId="37893" xr:uid="{00000000-0005-0000-0000-000047070000}"/>
    <cellStyle name="Comma 10 5 14 6" xfId="40839" xr:uid="{00000000-0005-0000-0000-000047070000}"/>
    <cellStyle name="Comma 10 5 15" xfId="12427" xr:uid="{00000000-0005-0000-0000-0000971D0000}"/>
    <cellStyle name="Comma 10 5 15 2" xfId="15827" xr:uid="{00000000-0005-0000-0000-0000981D0000}"/>
    <cellStyle name="Comma 10 5 15 2 2" xfId="37189" xr:uid="{00000000-0005-0000-0000-0000991D0000}"/>
    <cellStyle name="Comma 10 5 15 2 3" xfId="30228" xr:uid="{00000000-0005-0000-0000-00009A1D0000}"/>
    <cellStyle name="Comma 10 5 15 2 4" xfId="39185" xr:uid="{00000000-0005-0000-0000-00004A070000}"/>
    <cellStyle name="Comma 10 5 15 2 5" xfId="41118" xr:uid="{00000000-0005-0000-0000-00004A070000}"/>
    <cellStyle name="Comma 10 5 15 3" xfId="34881" xr:uid="{00000000-0005-0000-0000-00009B1D0000}"/>
    <cellStyle name="Comma 10 5 15 4" xfId="27972" xr:uid="{00000000-0005-0000-0000-00009C1D0000}"/>
    <cellStyle name="Comma 10 5 15 5" xfId="37894" xr:uid="{00000000-0005-0000-0000-000049070000}"/>
    <cellStyle name="Comma 10 5 15 6" xfId="40840" xr:uid="{00000000-0005-0000-0000-000049070000}"/>
    <cellStyle name="Comma 10 5 16" xfId="12428" xr:uid="{00000000-0005-0000-0000-00009D1D0000}"/>
    <cellStyle name="Comma 10 5 16 2" xfId="15828" xr:uid="{00000000-0005-0000-0000-00009E1D0000}"/>
    <cellStyle name="Comma 10 5 16 2 2" xfId="37190" xr:uid="{00000000-0005-0000-0000-00009F1D0000}"/>
    <cellStyle name="Comma 10 5 16 2 3" xfId="30229" xr:uid="{00000000-0005-0000-0000-0000A01D0000}"/>
    <cellStyle name="Comma 10 5 16 2 4" xfId="39186" xr:uid="{00000000-0005-0000-0000-00004C070000}"/>
    <cellStyle name="Comma 10 5 16 2 5" xfId="41119" xr:uid="{00000000-0005-0000-0000-00004C070000}"/>
    <cellStyle name="Comma 10 5 16 3" xfId="34882" xr:uid="{00000000-0005-0000-0000-0000A11D0000}"/>
    <cellStyle name="Comma 10 5 16 4" xfId="27973" xr:uid="{00000000-0005-0000-0000-0000A21D0000}"/>
    <cellStyle name="Comma 10 5 16 5" xfId="37895" xr:uid="{00000000-0005-0000-0000-00004B070000}"/>
    <cellStyle name="Comma 10 5 16 6" xfId="40841" xr:uid="{00000000-0005-0000-0000-00004B070000}"/>
    <cellStyle name="Comma 10 5 17" xfId="12429" xr:uid="{00000000-0005-0000-0000-0000A31D0000}"/>
    <cellStyle name="Comma 10 5 17 2" xfId="15829" xr:uid="{00000000-0005-0000-0000-0000A41D0000}"/>
    <cellStyle name="Comma 10 5 17 2 2" xfId="37191" xr:uid="{00000000-0005-0000-0000-0000A51D0000}"/>
    <cellStyle name="Comma 10 5 17 2 3" xfId="30230" xr:uid="{00000000-0005-0000-0000-0000A61D0000}"/>
    <cellStyle name="Comma 10 5 17 2 4" xfId="39187" xr:uid="{00000000-0005-0000-0000-00004E070000}"/>
    <cellStyle name="Comma 10 5 17 2 5" xfId="41120" xr:uid="{00000000-0005-0000-0000-00004E070000}"/>
    <cellStyle name="Comma 10 5 17 3" xfId="34883" xr:uid="{00000000-0005-0000-0000-0000A71D0000}"/>
    <cellStyle name="Comma 10 5 17 4" xfId="27974" xr:uid="{00000000-0005-0000-0000-0000A81D0000}"/>
    <cellStyle name="Comma 10 5 17 5" xfId="37896" xr:uid="{00000000-0005-0000-0000-00004D070000}"/>
    <cellStyle name="Comma 10 5 17 6" xfId="40842" xr:uid="{00000000-0005-0000-0000-00004D070000}"/>
    <cellStyle name="Comma 10 5 18" xfId="15821" xr:uid="{00000000-0005-0000-0000-0000A91D0000}"/>
    <cellStyle name="Comma 10 5 18 2" xfId="37183" xr:uid="{00000000-0005-0000-0000-0000AA1D0000}"/>
    <cellStyle name="Comma 10 5 18 3" xfId="30222" xr:uid="{00000000-0005-0000-0000-0000AB1D0000}"/>
    <cellStyle name="Comma 10 5 18 4" xfId="39179" xr:uid="{00000000-0005-0000-0000-00004F070000}"/>
    <cellStyle name="Comma 10 5 18 5" xfId="41112" xr:uid="{00000000-0005-0000-0000-00004F070000}"/>
    <cellStyle name="Comma 10 5 19" xfId="34875" xr:uid="{00000000-0005-0000-0000-0000AC1D0000}"/>
    <cellStyle name="Comma 10 5 2" xfId="12430" xr:uid="{00000000-0005-0000-0000-0000AD1D0000}"/>
    <cellStyle name="Comma 10 5 2 2" xfId="15830" xr:uid="{00000000-0005-0000-0000-0000AE1D0000}"/>
    <cellStyle name="Comma 10 5 2 2 2" xfId="37192" xr:uid="{00000000-0005-0000-0000-0000AF1D0000}"/>
    <cellStyle name="Comma 10 5 2 2 3" xfId="30231" xr:uid="{00000000-0005-0000-0000-0000B01D0000}"/>
    <cellStyle name="Comma 10 5 2 2 4" xfId="39188" xr:uid="{00000000-0005-0000-0000-000051070000}"/>
    <cellStyle name="Comma 10 5 2 2 5" xfId="41121" xr:uid="{00000000-0005-0000-0000-000051070000}"/>
    <cellStyle name="Comma 10 5 2 3" xfId="34884" xr:uid="{00000000-0005-0000-0000-0000B11D0000}"/>
    <cellStyle name="Comma 10 5 2 4" xfId="27975" xr:uid="{00000000-0005-0000-0000-0000B21D0000}"/>
    <cellStyle name="Comma 10 5 2 5" xfId="37897" xr:uid="{00000000-0005-0000-0000-000050070000}"/>
    <cellStyle name="Comma 10 5 2 6" xfId="40843" xr:uid="{00000000-0005-0000-0000-000050070000}"/>
    <cellStyle name="Comma 10 5 20" xfId="27966" xr:uid="{00000000-0005-0000-0000-0000B31D0000}"/>
    <cellStyle name="Comma 10 5 21" xfId="37888" xr:uid="{00000000-0005-0000-0000-00003E070000}"/>
    <cellStyle name="Comma 10 5 22" xfId="40834" xr:uid="{00000000-0005-0000-0000-00003E070000}"/>
    <cellStyle name="Comma 10 5 3" xfId="12431" xr:uid="{00000000-0005-0000-0000-0000B41D0000}"/>
    <cellStyle name="Comma 10 5 3 2" xfId="15831" xr:uid="{00000000-0005-0000-0000-0000B51D0000}"/>
    <cellStyle name="Comma 10 5 3 2 2" xfId="37193" xr:uid="{00000000-0005-0000-0000-0000B61D0000}"/>
    <cellStyle name="Comma 10 5 3 2 3" xfId="30232" xr:uid="{00000000-0005-0000-0000-0000B71D0000}"/>
    <cellStyle name="Comma 10 5 3 2 4" xfId="39189" xr:uid="{00000000-0005-0000-0000-000053070000}"/>
    <cellStyle name="Comma 10 5 3 2 5" xfId="41122" xr:uid="{00000000-0005-0000-0000-000053070000}"/>
    <cellStyle name="Comma 10 5 3 3" xfId="34885" xr:uid="{00000000-0005-0000-0000-0000B81D0000}"/>
    <cellStyle name="Comma 10 5 3 4" xfId="27976" xr:uid="{00000000-0005-0000-0000-0000B91D0000}"/>
    <cellStyle name="Comma 10 5 3 5" xfId="37898" xr:uid="{00000000-0005-0000-0000-000052070000}"/>
    <cellStyle name="Comma 10 5 3 6" xfId="40844" xr:uid="{00000000-0005-0000-0000-000052070000}"/>
    <cellStyle name="Comma 10 5 4" xfId="12432" xr:uid="{00000000-0005-0000-0000-0000BA1D0000}"/>
    <cellStyle name="Comma 10 5 4 2" xfId="15832" xr:uid="{00000000-0005-0000-0000-0000BB1D0000}"/>
    <cellStyle name="Comma 10 5 4 2 2" xfId="37194" xr:uid="{00000000-0005-0000-0000-0000BC1D0000}"/>
    <cellStyle name="Comma 10 5 4 2 3" xfId="30233" xr:uid="{00000000-0005-0000-0000-0000BD1D0000}"/>
    <cellStyle name="Comma 10 5 4 2 4" xfId="39190" xr:uid="{00000000-0005-0000-0000-000055070000}"/>
    <cellStyle name="Comma 10 5 4 2 5" xfId="41123" xr:uid="{00000000-0005-0000-0000-000055070000}"/>
    <cellStyle name="Comma 10 5 4 3" xfId="34886" xr:uid="{00000000-0005-0000-0000-0000BE1D0000}"/>
    <cellStyle name="Comma 10 5 4 4" xfId="27977" xr:uid="{00000000-0005-0000-0000-0000BF1D0000}"/>
    <cellStyle name="Comma 10 5 4 5" xfId="37899" xr:uid="{00000000-0005-0000-0000-000054070000}"/>
    <cellStyle name="Comma 10 5 4 6" xfId="40845" xr:uid="{00000000-0005-0000-0000-000054070000}"/>
    <cellStyle name="Comma 10 5 5" xfId="12433" xr:uid="{00000000-0005-0000-0000-0000C01D0000}"/>
    <cellStyle name="Comma 10 5 5 2" xfId="15833" xr:uid="{00000000-0005-0000-0000-0000C11D0000}"/>
    <cellStyle name="Comma 10 5 5 2 2" xfId="37195" xr:uid="{00000000-0005-0000-0000-0000C21D0000}"/>
    <cellStyle name="Comma 10 5 5 2 3" xfId="30234" xr:uid="{00000000-0005-0000-0000-0000C31D0000}"/>
    <cellStyle name="Comma 10 5 5 2 4" xfId="39191" xr:uid="{00000000-0005-0000-0000-000057070000}"/>
    <cellStyle name="Comma 10 5 5 2 5" xfId="41124" xr:uid="{00000000-0005-0000-0000-000057070000}"/>
    <cellStyle name="Comma 10 5 5 3" xfId="34887" xr:uid="{00000000-0005-0000-0000-0000C41D0000}"/>
    <cellStyle name="Comma 10 5 5 4" xfId="27978" xr:uid="{00000000-0005-0000-0000-0000C51D0000}"/>
    <cellStyle name="Comma 10 5 5 5" xfId="37900" xr:uid="{00000000-0005-0000-0000-000056070000}"/>
    <cellStyle name="Comma 10 5 5 6" xfId="40846" xr:uid="{00000000-0005-0000-0000-000056070000}"/>
    <cellStyle name="Comma 10 5 6" xfId="12434" xr:uid="{00000000-0005-0000-0000-0000C61D0000}"/>
    <cellStyle name="Comma 10 5 6 2" xfId="15834" xr:uid="{00000000-0005-0000-0000-0000C71D0000}"/>
    <cellStyle name="Comma 10 5 6 2 2" xfId="37196" xr:uid="{00000000-0005-0000-0000-0000C81D0000}"/>
    <cellStyle name="Comma 10 5 6 2 3" xfId="30235" xr:uid="{00000000-0005-0000-0000-0000C91D0000}"/>
    <cellStyle name="Comma 10 5 6 2 4" xfId="39192" xr:uid="{00000000-0005-0000-0000-000059070000}"/>
    <cellStyle name="Comma 10 5 6 2 5" xfId="41125" xr:uid="{00000000-0005-0000-0000-000059070000}"/>
    <cellStyle name="Comma 10 5 6 3" xfId="34888" xr:uid="{00000000-0005-0000-0000-0000CA1D0000}"/>
    <cellStyle name="Comma 10 5 6 4" xfId="27979" xr:uid="{00000000-0005-0000-0000-0000CB1D0000}"/>
    <cellStyle name="Comma 10 5 6 5" xfId="37901" xr:uid="{00000000-0005-0000-0000-000058070000}"/>
    <cellStyle name="Comma 10 5 6 6" xfId="40847" xr:uid="{00000000-0005-0000-0000-000058070000}"/>
    <cellStyle name="Comma 10 5 7" xfId="12435" xr:uid="{00000000-0005-0000-0000-0000CC1D0000}"/>
    <cellStyle name="Comma 10 5 7 2" xfId="15835" xr:uid="{00000000-0005-0000-0000-0000CD1D0000}"/>
    <cellStyle name="Comma 10 5 7 2 2" xfId="37197" xr:uid="{00000000-0005-0000-0000-0000CE1D0000}"/>
    <cellStyle name="Comma 10 5 7 2 3" xfId="30236" xr:uid="{00000000-0005-0000-0000-0000CF1D0000}"/>
    <cellStyle name="Comma 10 5 7 2 4" xfId="39193" xr:uid="{00000000-0005-0000-0000-00005B070000}"/>
    <cellStyle name="Comma 10 5 7 2 5" xfId="41126" xr:uid="{00000000-0005-0000-0000-00005B070000}"/>
    <cellStyle name="Comma 10 5 7 3" xfId="34889" xr:uid="{00000000-0005-0000-0000-0000D01D0000}"/>
    <cellStyle name="Comma 10 5 7 4" xfId="27980" xr:uid="{00000000-0005-0000-0000-0000D11D0000}"/>
    <cellStyle name="Comma 10 5 7 5" xfId="37902" xr:uid="{00000000-0005-0000-0000-00005A070000}"/>
    <cellStyle name="Comma 10 5 7 6" xfId="40848" xr:uid="{00000000-0005-0000-0000-00005A070000}"/>
    <cellStyle name="Comma 10 5 8" xfId="12436" xr:uid="{00000000-0005-0000-0000-0000D21D0000}"/>
    <cellStyle name="Comma 10 5 8 2" xfId="15836" xr:uid="{00000000-0005-0000-0000-0000D31D0000}"/>
    <cellStyle name="Comma 10 5 8 2 2" xfId="37198" xr:uid="{00000000-0005-0000-0000-0000D41D0000}"/>
    <cellStyle name="Comma 10 5 8 2 3" xfId="30237" xr:uid="{00000000-0005-0000-0000-0000D51D0000}"/>
    <cellStyle name="Comma 10 5 8 2 4" xfId="39194" xr:uid="{00000000-0005-0000-0000-00005D070000}"/>
    <cellStyle name="Comma 10 5 8 2 5" xfId="41127" xr:uid="{00000000-0005-0000-0000-00005D070000}"/>
    <cellStyle name="Comma 10 5 8 3" xfId="34890" xr:uid="{00000000-0005-0000-0000-0000D61D0000}"/>
    <cellStyle name="Comma 10 5 8 4" xfId="27981" xr:uid="{00000000-0005-0000-0000-0000D71D0000}"/>
    <cellStyle name="Comma 10 5 8 5" xfId="37903" xr:uid="{00000000-0005-0000-0000-00005C070000}"/>
    <cellStyle name="Comma 10 5 8 6" xfId="40849" xr:uid="{00000000-0005-0000-0000-00005C070000}"/>
    <cellStyle name="Comma 10 5 9" xfId="12437" xr:uid="{00000000-0005-0000-0000-0000D81D0000}"/>
    <cellStyle name="Comma 10 5 9 2" xfId="15837" xr:uid="{00000000-0005-0000-0000-0000D91D0000}"/>
    <cellStyle name="Comma 10 5 9 2 2" xfId="37199" xr:uid="{00000000-0005-0000-0000-0000DA1D0000}"/>
    <cellStyle name="Comma 10 5 9 2 3" xfId="30238" xr:uid="{00000000-0005-0000-0000-0000DB1D0000}"/>
    <cellStyle name="Comma 10 5 9 2 4" xfId="39195" xr:uid="{00000000-0005-0000-0000-00005F070000}"/>
    <cellStyle name="Comma 10 5 9 2 5" xfId="41128" xr:uid="{00000000-0005-0000-0000-00005F070000}"/>
    <cellStyle name="Comma 10 5 9 3" xfId="34891" xr:uid="{00000000-0005-0000-0000-0000DC1D0000}"/>
    <cellStyle name="Comma 10 5 9 4" xfId="27982" xr:uid="{00000000-0005-0000-0000-0000DD1D0000}"/>
    <cellStyle name="Comma 10 5 9 5" xfId="37904" xr:uid="{00000000-0005-0000-0000-00005E070000}"/>
    <cellStyle name="Comma 10 5 9 6" xfId="40850" xr:uid="{00000000-0005-0000-0000-00005E070000}"/>
    <cellStyle name="Comma 10 6" xfId="12438" xr:uid="{00000000-0005-0000-0000-0000DE1D0000}"/>
    <cellStyle name="Comma 10 6 10" xfId="12439" xr:uid="{00000000-0005-0000-0000-0000DF1D0000}"/>
    <cellStyle name="Comma 10 6 10 2" xfId="15839" xr:uid="{00000000-0005-0000-0000-0000E01D0000}"/>
    <cellStyle name="Comma 10 6 10 2 2" xfId="37201" xr:uid="{00000000-0005-0000-0000-0000E11D0000}"/>
    <cellStyle name="Comma 10 6 10 2 3" xfId="30240" xr:uid="{00000000-0005-0000-0000-0000E21D0000}"/>
    <cellStyle name="Comma 10 6 10 2 4" xfId="39197" xr:uid="{00000000-0005-0000-0000-000062070000}"/>
    <cellStyle name="Comma 10 6 10 2 5" xfId="41130" xr:uid="{00000000-0005-0000-0000-000062070000}"/>
    <cellStyle name="Comma 10 6 10 3" xfId="34893" xr:uid="{00000000-0005-0000-0000-0000E31D0000}"/>
    <cellStyle name="Comma 10 6 10 4" xfId="27984" xr:uid="{00000000-0005-0000-0000-0000E41D0000}"/>
    <cellStyle name="Comma 10 6 10 5" xfId="37906" xr:uid="{00000000-0005-0000-0000-000061070000}"/>
    <cellStyle name="Comma 10 6 10 6" xfId="40852" xr:uid="{00000000-0005-0000-0000-000061070000}"/>
    <cellStyle name="Comma 10 6 11" xfId="12440" xr:uid="{00000000-0005-0000-0000-0000E51D0000}"/>
    <cellStyle name="Comma 10 6 11 2" xfId="15840" xr:uid="{00000000-0005-0000-0000-0000E61D0000}"/>
    <cellStyle name="Comma 10 6 11 2 2" xfId="37202" xr:uid="{00000000-0005-0000-0000-0000E71D0000}"/>
    <cellStyle name="Comma 10 6 11 2 3" xfId="30241" xr:uid="{00000000-0005-0000-0000-0000E81D0000}"/>
    <cellStyle name="Comma 10 6 11 2 4" xfId="39198" xr:uid="{00000000-0005-0000-0000-000064070000}"/>
    <cellStyle name="Comma 10 6 11 2 5" xfId="41131" xr:uid="{00000000-0005-0000-0000-000064070000}"/>
    <cellStyle name="Comma 10 6 11 3" xfId="34894" xr:uid="{00000000-0005-0000-0000-0000E91D0000}"/>
    <cellStyle name="Comma 10 6 11 4" xfId="27985" xr:uid="{00000000-0005-0000-0000-0000EA1D0000}"/>
    <cellStyle name="Comma 10 6 11 5" xfId="37907" xr:uid="{00000000-0005-0000-0000-000063070000}"/>
    <cellStyle name="Comma 10 6 11 6" xfId="40853" xr:uid="{00000000-0005-0000-0000-000063070000}"/>
    <cellStyle name="Comma 10 6 12" xfId="12441" xr:uid="{00000000-0005-0000-0000-0000EB1D0000}"/>
    <cellStyle name="Comma 10 6 12 2" xfId="15841" xr:uid="{00000000-0005-0000-0000-0000EC1D0000}"/>
    <cellStyle name="Comma 10 6 12 2 2" xfId="37203" xr:uid="{00000000-0005-0000-0000-0000ED1D0000}"/>
    <cellStyle name="Comma 10 6 12 2 3" xfId="30242" xr:uid="{00000000-0005-0000-0000-0000EE1D0000}"/>
    <cellStyle name="Comma 10 6 12 2 4" xfId="39199" xr:uid="{00000000-0005-0000-0000-000066070000}"/>
    <cellStyle name="Comma 10 6 12 2 5" xfId="41132" xr:uid="{00000000-0005-0000-0000-000066070000}"/>
    <cellStyle name="Comma 10 6 12 3" xfId="34895" xr:uid="{00000000-0005-0000-0000-0000EF1D0000}"/>
    <cellStyle name="Comma 10 6 12 4" xfId="27986" xr:uid="{00000000-0005-0000-0000-0000F01D0000}"/>
    <cellStyle name="Comma 10 6 12 5" xfId="37908" xr:uid="{00000000-0005-0000-0000-000065070000}"/>
    <cellStyle name="Comma 10 6 12 6" xfId="40854" xr:uid="{00000000-0005-0000-0000-000065070000}"/>
    <cellStyle name="Comma 10 6 13" xfId="12442" xr:uid="{00000000-0005-0000-0000-0000F11D0000}"/>
    <cellStyle name="Comma 10 6 13 2" xfId="15842" xr:uid="{00000000-0005-0000-0000-0000F21D0000}"/>
    <cellStyle name="Comma 10 6 13 2 2" xfId="37204" xr:uid="{00000000-0005-0000-0000-0000F31D0000}"/>
    <cellStyle name="Comma 10 6 13 2 3" xfId="30243" xr:uid="{00000000-0005-0000-0000-0000F41D0000}"/>
    <cellStyle name="Comma 10 6 13 2 4" xfId="39200" xr:uid="{00000000-0005-0000-0000-000068070000}"/>
    <cellStyle name="Comma 10 6 13 2 5" xfId="41133" xr:uid="{00000000-0005-0000-0000-000068070000}"/>
    <cellStyle name="Comma 10 6 13 3" xfId="34896" xr:uid="{00000000-0005-0000-0000-0000F51D0000}"/>
    <cellStyle name="Comma 10 6 13 4" xfId="27987" xr:uid="{00000000-0005-0000-0000-0000F61D0000}"/>
    <cellStyle name="Comma 10 6 13 5" xfId="37909" xr:uid="{00000000-0005-0000-0000-000067070000}"/>
    <cellStyle name="Comma 10 6 13 6" xfId="40855" xr:uid="{00000000-0005-0000-0000-000067070000}"/>
    <cellStyle name="Comma 10 6 14" xfId="12443" xr:uid="{00000000-0005-0000-0000-0000F71D0000}"/>
    <cellStyle name="Comma 10 6 14 2" xfId="15843" xr:uid="{00000000-0005-0000-0000-0000F81D0000}"/>
    <cellStyle name="Comma 10 6 14 2 2" xfId="37205" xr:uid="{00000000-0005-0000-0000-0000F91D0000}"/>
    <cellStyle name="Comma 10 6 14 2 3" xfId="30244" xr:uid="{00000000-0005-0000-0000-0000FA1D0000}"/>
    <cellStyle name="Comma 10 6 14 2 4" xfId="39201" xr:uid="{00000000-0005-0000-0000-00006A070000}"/>
    <cellStyle name="Comma 10 6 14 2 5" xfId="41134" xr:uid="{00000000-0005-0000-0000-00006A070000}"/>
    <cellStyle name="Comma 10 6 14 3" xfId="34897" xr:uid="{00000000-0005-0000-0000-0000FB1D0000}"/>
    <cellStyle name="Comma 10 6 14 4" xfId="27988" xr:uid="{00000000-0005-0000-0000-0000FC1D0000}"/>
    <cellStyle name="Comma 10 6 14 5" xfId="37910" xr:uid="{00000000-0005-0000-0000-000069070000}"/>
    <cellStyle name="Comma 10 6 14 6" xfId="40856" xr:uid="{00000000-0005-0000-0000-000069070000}"/>
    <cellStyle name="Comma 10 6 15" xfId="12444" xr:uid="{00000000-0005-0000-0000-0000FD1D0000}"/>
    <cellStyle name="Comma 10 6 15 2" xfId="15844" xr:uid="{00000000-0005-0000-0000-0000FE1D0000}"/>
    <cellStyle name="Comma 10 6 15 2 2" xfId="37206" xr:uid="{00000000-0005-0000-0000-0000FF1D0000}"/>
    <cellStyle name="Comma 10 6 15 2 3" xfId="30245" xr:uid="{00000000-0005-0000-0000-0000001E0000}"/>
    <cellStyle name="Comma 10 6 15 2 4" xfId="39202" xr:uid="{00000000-0005-0000-0000-00006C070000}"/>
    <cellStyle name="Comma 10 6 15 2 5" xfId="41135" xr:uid="{00000000-0005-0000-0000-00006C070000}"/>
    <cellStyle name="Comma 10 6 15 3" xfId="34898" xr:uid="{00000000-0005-0000-0000-0000011E0000}"/>
    <cellStyle name="Comma 10 6 15 4" xfId="27989" xr:uid="{00000000-0005-0000-0000-0000021E0000}"/>
    <cellStyle name="Comma 10 6 15 5" xfId="37911" xr:uid="{00000000-0005-0000-0000-00006B070000}"/>
    <cellStyle name="Comma 10 6 15 6" xfId="40857" xr:uid="{00000000-0005-0000-0000-00006B070000}"/>
    <cellStyle name="Comma 10 6 16" xfId="12445" xr:uid="{00000000-0005-0000-0000-0000031E0000}"/>
    <cellStyle name="Comma 10 6 16 2" xfId="15845" xr:uid="{00000000-0005-0000-0000-0000041E0000}"/>
    <cellStyle name="Comma 10 6 16 2 2" xfId="37207" xr:uid="{00000000-0005-0000-0000-0000051E0000}"/>
    <cellStyle name="Comma 10 6 16 2 3" xfId="30246" xr:uid="{00000000-0005-0000-0000-0000061E0000}"/>
    <cellStyle name="Comma 10 6 16 2 4" xfId="39203" xr:uid="{00000000-0005-0000-0000-00006E070000}"/>
    <cellStyle name="Comma 10 6 16 2 5" xfId="41136" xr:uid="{00000000-0005-0000-0000-00006E070000}"/>
    <cellStyle name="Comma 10 6 16 3" xfId="34899" xr:uid="{00000000-0005-0000-0000-0000071E0000}"/>
    <cellStyle name="Comma 10 6 16 4" xfId="27990" xr:uid="{00000000-0005-0000-0000-0000081E0000}"/>
    <cellStyle name="Comma 10 6 16 5" xfId="37912" xr:uid="{00000000-0005-0000-0000-00006D070000}"/>
    <cellStyle name="Comma 10 6 16 6" xfId="40858" xr:uid="{00000000-0005-0000-0000-00006D070000}"/>
    <cellStyle name="Comma 10 6 17" xfId="12446" xr:uid="{00000000-0005-0000-0000-0000091E0000}"/>
    <cellStyle name="Comma 10 6 17 2" xfId="15846" xr:uid="{00000000-0005-0000-0000-00000A1E0000}"/>
    <cellStyle name="Comma 10 6 17 2 2" xfId="37208" xr:uid="{00000000-0005-0000-0000-00000B1E0000}"/>
    <cellStyle name="Comma 10 6 17 2 3" xfId="30247" xr:uid="{00000000-0005-0000-0000-00000C1E0000}"/>
    <cellStyle name="Comma 10 6 17 2 4" xfId="39204" xr:uid="{00000000-0005-0000-0000-000070070000}"/>
    <cellStyle name="Comma 10 6 17 2 5" xfId="41137" xr:uid="{00000000-0005-0000-0000-000070070000}"/>
    <cellStyle name="Comma 10 6 17 3" xfId="34900" xr:uid="{00000000-0005-0000-0000-00000D1E0000}"/>
    <cellStyle name="Comma 10 6 17 4" xfId="27991" xr:uid="{00000000-0005-0000-0000-00000E1E0000}"/>
    <cellStyle name="Comma 10 6 17 5" xfId="37913" xr:uid="{00000000-0005-0000-0000-00006F070000}"/>
    <cellStyle name="Comma 10 6 17 6" xfId="40859" xr:uid="{00000000-0005-0000-0000-00006F070000}"/>
    <cellStyle name="Comma 10 6 18" xfId="15838" xr:uid="{00000000-0005-0000-0000-00000F1E0000}"/>
    <cellStyle name="Comma 10 6 18 2" xfId="37200" xr:uid="{00000000-0005-0000-0000-0000101E0000}"/>
    <cellStyle name="Comma 10 6 18 3" xfId="30239" xr:uid="{00000000-0005-0000-0000-0000111E0000}"/>
    <cellStyle name="Comma 10 6 18 4" xfId="39196" xr:uid="{00000000-0005-0000-0000-000071070000}"/>
    <cellStyle name="Comma 10 6 18 5" xfId="41129" xr:uid="{00000000-0005-0000-0000-000071070000}"/>
    <cellStyle name="Comma 10 6 19" xfId="34892" xr:uid="{00000000-0005-0000-0000-0000121E0000}"/>
    <cellStyle name="Comma 10 6 2" xfId="12447" xr:uid="{00000000-0005-0000-0000-0000131E0000}"/>
    <cellStyle name="Comma 10 6 2 2" xfId="15847" xr:uid="{00000000-0005-0000-0000-0000141E0000}"/>
    <cellStyle name="Comma 10 6 2 2 2" xfId="37209" xr:uid="{00000000-0005-0000-0000-0000151E0000}"/>
    <cellStyle name="Comma 10 6 2 2 3" xfId="30248" xr:uid="{00000000-0005-0000-0000-0000161E0000}"/>
    <cellStyle name="Comma 10 6 2 2 4" xfId="39205" xr:uid="{00000000-0005-0000-0000-000073070000}"/>
    <cellStyle name="Comma 10 6 2 2 5" xfId="41138" xr:uid="{00000000-0005-0000-0000-000073070000}"/>
    <cellStyle name="Comma 10 6 2 3" xfId="34901" xr:uid="{00000000-0005-0000-0000-0000171E0000}"/>
    <cellStyle name="Comma 10 6 2 4" xfId="27992" xr:uid="{00000000-0005-0000-0000-0000181E0000}"/>
    <cellStyle name="Comma 10 6 2 5" xfId="37914" xr:uid="{00000000-0005-0000-0000-000072070000}"/>
    <cellStyle name="Comma 10 6 2 6" xfId="40860" xr:uid="{00000000-0005-0000-0000-000072070000}"/>
    <cellStyle name="Comma 10 6 20" xfId="27983" xr:uid="{00000000-0005-0000-0000-0000191E0000}"/>
    <cellStyle name="Comma 10 6 21" xfId="37905" xr:uid="{00000000-0005-0000-0000-000060070000}"/>
    <cellStyle name="Comma 10 6 22" xfId="40851" xr:uid="{00000000-0005-0000-0000-000060070000}"/>
    <cellStyle name="Comma 10 6 3" xfId="12448" xr:uid="{00000000-0005-0000-0000-00001A1E0000}"/>
    <cellStyle name="Comma 10 6 3 2" xfId="15848" xr:uid="{00000000-0005-0000-0000-00001B1E0000}"/>
    <cellStyle name="Comma 10 6 3 2 2" xfId="37210" xr:uid="{00000000-0005-0000-0000-00001C1E0000}"/>
    <cellStyle name="Comma 10 6 3 2 3" xfId="30249" xr:uid="{00000000-0005-0000-0000-00001D1E0000}"/>
    <cellStyle name="Comma 10 6 3 2 4" xfId="39206" xr:uid="{00000000-0005-0000-0000-000075070000}"/>
    <cellStyle name="Comma 10 6 3 2 5" xfId="41139" xr:uid="{00000000-0005-0000-0000-000075070000}"/>
    <cellStyle name="Comma 10 6 3 3" xfId="34902" xr:uid="{00000000-0005-0000-0000-00001E1E0000}"/>
    <cellStyle name="Comma 10 6 3 4" xfId="27993" xr:uid="{00000000-0005-0000-0000-00001F1E0000}"/>
    <cellStyle name="Comma 10 6 3 5" xfId="37915" xr:uid="{00000000-0005-0000-0000-000074070000}"/>
    <cellStyle name="Comma 10 6 3 6" xfId="40861" xr:uid="{00000000-0005-0000-0000-000074070000}"/>
    <cellStyle name="Comma 10 6 4" xfId="12449" xr:uid="{00000000-0005-0000-0000-0000201E0000}"/>
    <cellStyle name="Comma 10 6 4 2" xfId="15849" xr:uid="{00000000-0005-0000-0000-0000211E0000}"/>
    <cellStyle name="Comma 10 6 4 2 2" xfId="37211" xr:uid="{00000000-0005-0000-0000-0000221E0000}"/>
    <cellStyle name="Comma 10 6 4 2 3" xfId="30250" xr:uid="{00000000-0005-0000-0000-0000231E0000}"/>
    <cellStyle name="Comma 10 6 4 2 4" xfId="39207" xr:uid="{00000000-0005-0000-0000-000077070000}"/>
    <cellStyle name="Comma 10 6 4 2 5" xfId="41140" xr:uid="{00000000-0005-0000-0000-000077070000}"/>
    <cellStyle name="Comma 10 6 4 3" xfId="34903" xr:uid="{00000000-0005-0000-0000-0000241E0000}"/>
    <cellStyle name="Comma 10 6 4 4" xfId="27994" xr:uid="{00000000-0005-0000-0000-0000251E0000}"/>
    <cellStyle name="Comma 10 6 4 5" xfId="37916" xr:uid="{00000000-0005-0000-0000-000076070000}"/>
    <cellStyle name="Comma 10 6 4 6" xfId="40862" xr:uid="{00000000-0005-0000-0000-000076070000}"/>
    <cellStyle name="Comma 10 6 5" xfId="12450" xr:uid="{00000000-0005-0000-0000-0000261E0000}"/>
    <cellStyle name="Comma 10 6 5 2" xfId="15850" xr:uid="{00000000-0005-0000-0000-0000271E0000}"/>
    <cellStyle name="Comma 10 6 5 2 2" xfId="37212" xr:uid="{00000000-0005-0000-0000-0000281E0000}"/>
    <cellStyle name="Comma 10 6 5 2 3" xfId="30251" xr:uid="{00000000-0005-0000-0000-0000291E0000}"/>
    <cellStyle name="Comma 10 6 5 2 4" xfId="39208" xr:uid="{00000000-0005-0000-0000-000079070000}"/>
    <cellStyle name="Comma 10 6 5 2 5" xfId="41141" xr:uid="{00000000-0005-0000-0000-000079070000}"/>
    <cellStyle name="Comma 10 6 5 3" xfId="34904" xr:uid="{00000000-0005-0000-0000-00002A1E0000}"/>
    <cellStyle name="Comma 10 6 5 4" xfId="27995" xr:uid="{00000000-0005-0000-0000-00002B1E0000}"/>
    <cellStyle name="Comma 10 6 5 5" xfId="37917" xr:uid="{00000000-0005-0000-0000-000078070000}"/>
    <cellStyle name="Comma 10 6 5 6" xfId="40863" xr:uid="{00000000-0005-0000-0000-000078070000}"/>
    <cellStyle name="Comma 10 6 6" xfId="12451" xr:uid="{00000000-0005-0000-0000-00002C1E0000}"/>
    <cellStyle name="Comma 10 6 6 2" xfId="15851" xr:uid="{00000000-0005-0000-0000-00002D1E0000}"/>
    <cellStyle name="Comma 10 6 6 2 2" xfId="37213" xr:uid="{00000000-0005-0000-0000-00002E1E0000}"/>
    <cellStyle name="Comma 10 6 6 2 3" xfId="30252" xr:uid="{00000000-0005-0000-0000-00002F1E0000}"/>
    <cellStyle name="Comma 10 6 6 2 4" xfId="39209" xr:uid="{00000000-0005-0000-0000-00007B070000}"/>
    <cellStyle name="Comma 10 6 6 2 5" xfId="41142" xr:uid="{00000000-0005-0000-0000-00007B070000}"/>
    <cellStyle name="Comma 10 6 6 3" xfId="34905" xr:uid="{00000000-0005-0000-0000-0000301E0000}"/>
    <cellStyle name="Comma 10 6 6 4" xfId="27996" xr:uid="{00000000-0005-0000-0000-0000311E0000}"/>
    <cellStyle name="Comma 10 6 6 5" xfId="37918" xr:uid="{00000000-0005-0000-0000-00007A070000}"/>
    <cellStyle name="Comma 10 6 6 6" xfId="40864" xr:uid="{00000000-0005-0000-0000-00007A070000}"/>
    <cellStyle name="Comma 10 6 7" xfId="12452" xr:uid="{00000000-0005-0000-0000-0000321E0000}"/>
    <cellStyle name="Comma 10 6 7 2" xfId="15852" xr:uid="{00000000-0005-0000-0000-0000331E0000}"/>
    <cellStyle name="Comma 10 6 7 2 2" xfId="37214" xr:uid="{00000000-0005-0000-0000-0000341E0000}"/>
    <cellStyle name="Comma 10 6 7 2 3" xfId="30253" xr:uid="{00000000-0005-0000-0000-0000351E0000}"/>
    <cellStyle name="Comma 10 6 7 2 4" xfId="39210" xr:uid="{00000000-0005-0000-0000-00007D070000}"/>
    <cellStyle name="Comma 10 6 7 2 5" xfId="41143" xr:uid="{00000000-0005-0000-0000-00007D070000}"/>
    <cellStyle name="Comma 10 6 7 3" xfId="34906" xr:uid="{00000000-0005-0000-0000-0000361E0000}"/>
    <cellStyle name="Comma 10 6 7 4" xfId="27997" xr:uid="{00000000-0005-0000-0000-0000371E0000}"/>
    <cellStyle name="Comma 10 6 7 5" xfId="37919" xr:uid="{00000000-0005-0000-0000-00007C070000}"/>
    <cellStyle name="Comma 10 6 7 6" xfId="40865" xr:uid="{00000000-0005-0000-0000-00007C070000}"/>
    <cellStyle name="Comma 10 6 8" xfId="12453" xr:uid="{00000000-0005-0000-0000-0000381E0000}"/>
    <cellStyle name="Comma 10 6 8 2" xfId="15853" xr:uid="{00000000-0005-0000-0000-0000391E0000}"/>
    <cellStyle name="Comma 10 6 8 2 2" xfId="37215" xr:uid="{00000000-0005-0000-0000-00003A1E0000}"/>
    <cellStyle name="Comma 10 6 8 2 3" xfId="30254" xr:uid="{00000000-0005-0000-0000-00003B1E0000}"/>
    <cellStyle name="Comma 10 6 8 2 4" xfId="39211" xr:uid="{00000000-0005-0000-0000-00007F070000}"/>
    <cellStyle name="Comma 10 6 8 2 5" xfId="41144" xr:uid="{00000000-0005-0000-0000-00007F070000}"/>
    <cellStyle name="Comma 10 6 8 3" xfId="34907" xr:uid="{00000000-0005-0000-0000-00003C1E0000}"/>
    <cellStyle name="Comma 10 6 8 4" xfId="27998" xr:uid="{00000000-0005-0000-0000-00003D1E0000}"/>
    <cellStyle name="Comma 10 6 8 5" xfId="37920" xr:uid="{00000000-0005-0000-0000-00007E070000}"/>
    <cellStyle name="Comma 10 6 8 6" xfId="40866" xr:uid="{00000000-0005-0000-0000-00007E070000}"/>
    <cellStyle name="Comma 10 6 9" xfId="12454" xr:uid="{00000000-0005-0000-0000-00003E1E0000}"/>
    <cellStyle name="Comma 10 6 9 2" xfId="15854" xr:uid="{00000000-0005-0000-0000-00003F1E0000}"/>
    <cellStyle name="Comma 10 6 9 2 2" xfId="37216" xr:uid="{00000000-0005-0000-0000-0000401E0000}"/>
    <cellStyle name="Comma 10 6 9 2 3" xfId="30255" xr:uid="{00000000-0005-0000-0000-0000411E0000}"/>
    <cellStyle name="Comma 10 6 9 2 4" xfId="39212" xr:uid="{00000000-0005-0000-0000-000081070000}"/>
    <cellStyle name="Comma 10 6 9 2 5" xfId="41145" xr:uid="{00000000-0005-0000-0000-000081070000}"/>
    <cellStyle name="Comma 10 6 9 3" xfId="34908" xr:uid="{00000000-0005-0000-0000-0000421E0000}"/>
    <cellStyle name="Comma 10 6 9 4" xfId="27999" xr:uid="{00000000-0005-0000-0000-0000431E0000}"/>
    <cellStyle name="Comma 10 6 9 5" xfId="37921" xr:uid="{00000000-0005-0000-0000-000080070000}"/>
    <cellStyle name="Comma 10 6 9 6" xfId="40867" xr:uid="{00000000-0005-0000-0000-000080070000}"/>
    <cellStyle name="Comma 10 7" xfId="12455" xr:uid="{00000000-0005-0000-0000-0000441E0000}"/>
    <cellStyle name="Comma 10 7 10" xfId="12456" xr:uid="{00000000-0005-0000-0000-0000451E0000}"/>
    <cellStyle name="Comma 10 7 10 2" xfId="15856" xr:uid="{00000000-0005-0000-0000-0000461E0000}"/>
    <cellStyle name="Comma 10 7 10 2 2" xfId="37218" xr:uid="{00000000-0005-0000-0000-0000471E0000}"/>
    <cellStyle name="Comma 10 7 10 2 3" xfId="30257" xr:uid="{00000000-0005-0000-0000-0000481E0000}"/>
    <cellStyle name="Comma 10 7 10 2 4" xfId="39214" xr:uid="{00000000-0005-0000-0000-000084070000}"/>
    <cellStyle name="Comma 10 7 10 2 5" xfId="41147" xr:uid="{00000000-0005-0000-0000-000084070000}"/>
    <cellStyle name="Comma 10 7 10 3" xfId="34910" xr:uid="{00000000-0005-0000-0000-0000491E0000}"/>
    <cellStyle name="Comma 10 7 10 4" xfId="28001" xr:uid="{00000000-0005-0000-0000-00004A1E0000}"/>
    <cellStyle name="Comma 10 7 10 5" xfId="37923" xr:uid="{00000000-0005-0000-0000-000083070000}"/>
    <cellStyle name="Comma 10 7 10 6" xfId="40869" xr:uid="{00000000-0005-0000-0000-000083070000}"/>
    <cellStyle name="Comma 10 7 11" xfId="12457" xr:uid="{00000000-0005-0000-0000-00004B1E0000}"/>
    <cellStyle name="Comma 10 7 11 2" xfId="15857" xr:uid="{00000000-0005-0000-0000-00004C1E0000}"/>
    <cellStyle name="Comma 10 7 11 2 2" xfId="37219" xr:uid="{00000000-0005-0000-0000-00004D1E0000}"/>
    <cellStyle name="Comma 10 7 11 2 3" xfId="30258" xr:uid="{00000000-0005-0000-0000-00004E1E0000}"/>
    <cellStyle name="Comma 10 7 11 2 4" xfId="39215" xr:uid="{00000000-0005-0000-0000-000086070000}"/>
    <cellStyle name="Comma 10 7 11 2 5" xfId="41148" xr:uid="{00000000-0005-0000-0000-000086070000}"/>
    <cellStyle name="Comma 10 7 11 3" xfId="34911" xr:uid="{00000000-0005-0000-0000-00004F1E0000}"/>
    <cellStyle name="Comma 10 7 11 4" xfId="28002" xr:uid="{00000000-0005-0000-0000-0000501E0000}"/>
    <cellStyle name="Comma 10 7 11 5" xfId="37924" xr:uid="{00000000-0005-0000-0000-000085070000}"/>
    <cellStyle name="Comma 10 7 11 6" xfId="40870" xr:uid="{00000000-0005-0000-0000-000085070000}"/>
    <cellStyle name="Comma 10 7 12" xfId="12458" xr:uid="{00000000-0005-0000-0000-0000511E0000}"/>
    <cellStyle name="Comma 10 7 12 2" xfId="15858" xr:uid="{00000000-0005-0000-0000-0000521E0000}"/>
    <cellStyle name="Comma 10 7 12 2 2" xfId="37220" xr:uid="{00000000-0005-0000-0000-0000531E0000}"/>
    <cellStyle name="Comma 10 7 12 2 3" xfId="30259" xr:uid="{00000000-0005-0000-0000-0000541E0000}"/>
    <cellStyle name="Comma 10 7 12 2 4" xfId="39216" xr:uid="{00000000-0005-0000-0000-000088070000}"/>
    <cellStyle name="Comma 10 7 12 2 5" xfId="41149" xr:uid="{00000000-0005-0000-0000-000088070000}"/>
    <cellStyle name="Comma 10 7 12 3" xfId="34912" xr:uid="{00000000-0005-0000-0000-0000551E0000}"/>
    <cellStyle name="Comma 10 7 12 4" xfId="28003" xr:uid="{00000000-0005-0000-0000-0000561E0000}"/>
    <cellStyle name="Comma 10 7 12 5" xfId="37925" xr:uid="{00000000-0005-0000-0000-000087070000}"/>
    <cellStyle name="Comma 10 7 12 6" xfId="40871" xr:uid="{00000000-0005-0000-0000-000087070000}"/>
    <cellStyle name="Comma 10 7 13" xfId="12459" xr:uid="{00000000-0005-0000-0000-0000571E0000}"/>
    <cellStyle name="Comma 10 7 13 2" xfId="15859" xr:uid="{00000000-0005-0000-0000-0000581E0000}"/>
    <cellStyle name="Comma 10 7 13 2 2" xfId="37221" xr:uid="{00000000-0005-0000-0000-0000591E0000}"/>
    <cellStyle name="Comma 10 7 13 2 3" xfId="30260" xr:uid="{00000000-0005-0000-0000-00005A1E0000}"/>
    <cellStyle name="Comma 10 7 13 2 4" xfId="39217" xr:uid="{00000000-0005-0000-0000-00008A070000}"/>
    <cellStyle name="Comma 10 7 13 2 5" xfId="41150" xr:uid="{00000000-0005-0000-0000-00008A070000}"/>
    <cellStyle name="Comma 10 7 13 3" xfId="34913" xr:uid="{00000000-0005-0000-0000-00005B1E0000}"/>
    <cellStyle name="Comma 10 7 13 4" xfId="28004" xr:uid="{00000000-0005-0000-0000-00005C1E0000}"/>
    <cellStyle name="Comma 10 7 13 5" xfId="37926" xr:uid="{00000000-0005-0000-0000-000089070000}"/>
    <cellStyle name="Comma 10 7 13 6" xfId="40872" xr:uid="{00000000-0005-0000-0000-000089070000}"/>
    <cellStyle name="Comma 10 7 14" xfId="12460" xr:uid="{00000000-0005-0000-0000-00005D1E0000}"/>
    <cellStyle name="Comma 10 7 14 2" xfId="15860" xr:uid="{00000000-0005-0000-0000-00005E1E0000}"/>
    <cellStyle name="Comma 10 7 14 2 2" xfId="37222" xr:uid="{00000000-0005-0000-0000-00005F1E0000}"/>
    <cellStyle name="Comma 10 7 14 2 3" xfId="30261" xr:uid="{00000000-0005-0000-0000-0000601E0000}"/>
    <cellStyle name="Comma 10 7 14 2 4" xfId="39218" xr:uid="{00000000-0005-0000-0000-00008C070000}"/>
    <cellStyle name="Comma 10 7 14 2 5" xfId="41151" xr:uid="{00000000-0005-0000-0000-00008C070000}"/>
    <cellStyle name="Comma 10 7 14 3" xfId="34914" xr:uid="{00000000-0005-0000-0000-0000611E0000}"/>
    <cellStyle name="Comma 10 7 14 4" xfId="28005" xr:uid="{00000000-0005-0000-0000-0000621E0000}"/>
    <cellStyle name="Comma 10 7 14 5" xfId="37927" xr:uid="{00000000-0005-0000-0000-00008B070000}"/>
    <cellStyle name="Comma 10 7 14 6" xfId="40873" xr:uid="{00000000-0005-0000-0000-00008B070000}"/>
    <cellStyle name="Comma 10 7 15" xfId="12461" xr:uid="{00000000-0005-0000-0000-0000631E0000}"/>
    <cellStyle name="Comma 10 7 15 2" xfId="15861" xr:uid="{00000000-0005-0000-0000-0000641E0000}"/>
    <cellStyle name="Comma 10 7 15 2 2" xfId="37223" xr:uid="{00000000-0005-0000-0000-0000651E0000}"/>
    <cellStyle name="Comma 10 7 15 2 3" xfId="30262" xr:uid="{00000000-0005-0000-0000-0000661E0000}"/>
    <cellStyle name="Comma 10 7 15 2 4" xfId="39219" xr:uid="{00000000-0005-0000-0000-00008E070000}"/>
    <cellStyle name="Comma 10 7 15 2 5" xfId="41152" xr:uid="{00000000-0005-0000-0000-00008E070000}"/>
    <cellStyle name="Comma 10 7 15 3" xfId="34915" xr:uid="{00000000-0005-0000-0000-0000671E0000}"/>
    <cellStyle name="Comma 10 7 15 4" xfId="28006" xr:uid="{00000000-0005-0000-0000-0000681E0000}"/>
    <cellStyle name="Comma 10 7 15 5" xfId="37928" xr:uid="{00000000-0005-0000-0000-00008D070000}"/>
    <cellStyle name="Comma 10 7 15 6" xfId="40874" xr:uid="{00000000-0005-0000-0000-00008D070000}"/>
    <cellStyle name="Comma 10 7 16" xfId="12462" xr:uid="{00000000-0005-0000-0000-0000691E0000}"/>
    <cellStyle name="Comma 10 7 16 2" xfId="15862" xr:uid="{00000000-0005-0000-0000-00006A1E0000}"/>
    <cellStyle name="Comma 10 7 16 2 2" xfId="37224" xr:uid="{00000000-0005-0000-0000-00006B1E0000}"/>
    <cellStyle name="Comma 10 7 16 2 3" xfId="30263" xr:uid="{00000000-0005-0000-0000-00006C1E0000}"/>
    <cellStyle name="Comma 10 7 16 2 4" xfId="39220" xr:uid="{00000000-0005-0000-0000-000090070000}"/>
    <cellStyle name="Comma 10 7 16 2 5" xfId="41153" xr:uid="{00000000-0005-0000-0000-000090070000}"/>
    <cellStyle name="Comma 10 7 16 3" xfId="34916" xr:uid="{00000000-0005-0000-0000-00006D1E0000}"/>
    <cellStyle name="Comma 10 7 16 4" xfId="28007" xr:uid="{00000000-0005-0000-0000-00006E1E0000}"/>
    <cellStyle name="Comma 10 7 16 5" xfId="37929" xr:uid="{00000000-0005-0000-0000-00008F070000}"/>
    <cellStyle name="Comma 10 7 16 6" xfId="40875" xr:uid="{00000000-0005-0000-0000-00008F070000}"/>
    <cellStyle name="Comma 10 7 17" xfId="12463" xr:uid="{00000000-0005-0000-0000-00006F1E0000}"/>
    <cellStyle name="Comma 10 7 17 2" xfId="15863" xr:uid="{00000000-0005-0000-0000-0000701E0000}"/>
    <cellStyle name="Comma 10 7 17 2 2" xfId="37225" xr:uid="{00000000-0005-0000-0000-0000711E0000}"/>
    <cellStyle name="Comma 10 7 17 2 3" xfId="30264" xr:uid="{00000000-0005-0000-0000-0000721E0000}"/>
    <cellStyle name="Comma 10 7 17 2 4" xfId="39221" xr:uid="{00000000-0005-0000-0000-000092070000}"/>
    <cellStyle name="Comma 10 7 17 2 5" xfId="41154" xr:uid="{00000000-0005-0000-0000-000092070000}"/>
    <cellStyle name="Comma 10 7 17 3" xfId="34917" xr:uid="{00000000-0005-0000-0000-0000731E0000}"/>
    <cellStyle name="Comma 10 7 17 4" xfId="28008" xr:uid="{00000000-0005-0000-0000-0000741E0000}"/>
    <cellStyle name="Comma 10 7 17 5" xfId="37930" xr:uid="{00000000-0005-0000-0000-000091070000}"/>
    <cellStyle name="Comma 10 7 17 6" xfId="40876" xr:uid="{00000000-0005-0000-0000-000091070000}"/>
    <cellStyle name="Comma 10 7 18" xfId="15855" xr:uid="{00000000-0005-0000-0000-0000751E0000}"/>
    <cellStyle name="Comma 10 7 18 2" xfId="37217" xr:uid="{00000000-0005-0000-0000-0000761E0000}"/>
    <cellStyle name="Comma 10 7 18 3" xfId="30256" xr:uid="{00000000-0005-0000-0000-0000771E0000}"/>
    <cellStyle name="Comma 10 7 18 4" xfId="39213" xr:uid="{00000000-0005-0000-0000-000093070000}"/>
    <cellStyle name="Comma 10 7 18 5" xfId="41146" xr:uid="{00000000-0005-0000-0000-000093070000}"/>
    <cellStyle name="Comma 10 7 19" xfId="34909" xr:uid="{00000000-0005-0000-0000-0000781E0000}"/>
    <cellStyle name="Comma 10 7 2" xfId="12464" xr:uid="{00000000-0005-0000-0000-0000791E0000}"/>
    <cellStyle name="Comma 10 7 2 2" xfId="15864" xr:uid="{00000000-0005-0000-0000-00007A1E0000}"/>
    <cellStyle name="Comma 10 7 2 2 2" xfId="37226" xr:uid="{00000000-0005-0000-0000-00007B1E0000}"/>
    <cellStyle name="Comma 10 7 2 2 3" xfId="30265" xr:uid="{00000000-0005-0000-0000-00007C1E0000}"/>
    <cellStyle name="Comma 10 7 2 2 4" xfId="39222" xr:uid="{00000000-0005-0000-0000-000095070000}"/>
    <cellStyle name="Comma 10 7 2 2 5" xfId="41155" xr:uid="{00000000-0005-0000-0000-000095070000}"/>
    <cellStyle name="Comma 10 7 2 3" xfId="34918" xr:uid="{00000000-0005-0000-0000-00007D1E0000}"/>
    <cellStyle name="Comma 10 7 2 4" xfId="28009" xr:uid="{00000000-0005-0000-0000-00007E1E0000}"/>
    <cellStyle name="Comma 10 7 2 5" xfId="37931" xr:uid="{00000000-0005-0000-0000-000094070000}"/>
    <cellStyle name="Comma 10 7 2 6" xfId="40877" xr:uid="{00000000-0005-0000-0000-000094070000}"/>
    <cellStyle name="Comma 10 7 20" xfId="28000" xr:uid="{00000000-0005-0000-0000-00007F1E0000}"/>
    <cellStyle name="Comma 10 7 21" xfId="37922" xr:uid="{00000000-0005-0000-0000-000082070000}"/>
    <cellStyle name="Comma 10 7 22" xfId="40868" xr:uid="{00000000-0005-0000-0000-000082070000}"/>
    <cellStyle name="Comma 10 7 3" xfId="12465" xr:uid="{00000000-0005-0000-0000-0000801E0000}"/>
    <cellStyle name="Comma 10 7 3 2" xfId="15865" xr:uid="{00000000-0005-0000-0000-0000811E0000}"/>
    <cellStyle name="Comma 10 7 3 2 2" xfId="37227" xr:uid="{00000000-0005-0000-0000-0000821E0000}"/>
    <cellStyle name="Comma 10 7 3 2 3" xfId="30266" xr:uid="{00000000-0005-0000-0000-0000831E0000}"/>
    <cellStyle name="Comma 10 7 3 2 4" xfId="39223" xr:uid="{00000000-0005-0000-0000-000097070000}"/>
    <cellStyle name="Comma 10 7 3 2 5" xfId="41156" xr:uid="{00000000-0005-0000-0000-000097070000}"/>
    <cellStyle name="Comma 10 7 3 3" xfId="34919" xr:uid="{00000000-0005-0000-0000-0000841E0000}"/>
    <cellStyle name="Comma 10 7 3 4" xfId="28010" xr:uid="{00000000-0005-0000-0000-0000851E0000}"/>
    <cellStyle name="Comma 10 7 3 5" xfId="37932" xr:uid="{00000000-0005-0000-0000-000096070000}"/>
    <cellStyle name="Comma 10 7 3 6" xfId="40878" xr:uid="{00000000-0005-0000-0000-000096070000}"/>
    <cellStyle name="Comma 10 7 4" xfId="12466" xr:uid="{00000000-0005-0000-0000-0000861E0000}"/>
    <cellStyle name="Comma 10 7 4 2" xfId="15866" xr:uid="{00000000-0005-0000-0000-0000871E0000}"/>
    <cellStyle name="Comma 10 7 4 2 2" xfId="37228" xr:uid="{00000000-0005-0000-0000-0000881E0000}"/>
    <cellStyle name="Comma 10 7 4 2 3" xfId="30267" xr:uid="{00000000-0005-0000-0000-0000891E0000}"/>
    <cellStyle name="Comma 10 7 4 2 4" xfId="39224" xr:uid="{00000000-0005-0000-0000-000099070000}"/>
    <cellStyle name="Comma 10 7 4 2 5" xfId="41157" xr:uid="{00000000-0005-0000-0000-000099070000}"/>
    <cellStyle name="Comma 10 7 4 3" xfId="34920" xr:uid="{00000000-0005-0000-0000-00008A1E0000}"/>
    <cellStyle name="Comma 10 7 4 4" xfId="28011" xr:uid="{00000000-0005-0000-0000-00008B1E0000}"/>
    <cellStyle name="Comma 10 7 4 5" xfId="37933" xr:uid="{00000000-0005-0000-0000-000098070000}"/>
    <cellStyle name="Comma 10 7 4 6" xfId="40879" xr:uid="{00000000-0005-0000-0000-000098070000}"/>
    <cellStyle name="Comma 10 7 5" xfId="12467" xr:uid="{00000000-0005-0000-0000-00008C1E0000}"/>
    <cellStyle name="Comma 10 7 5 2" xfId="15867" xr:uid="{00000000-0005-0000-0000-00008D1E0000}"/>
    <cellStyle name="Comma 10 7 5 2 2" xfId="37229" xr:uid="{00000000-0005-0000-0000-00008E1E0000}"/>
    <cellStyle name="Comma 10 7 5 2 3" xfId="30268" xr:uid="{00000000-0005-0000-0000-00008F1E0000}"/>
    <cellStyle name="Comma 10 7 5 2 4" xfId="39225" xr:uid="{00000000-0005-0000-0000-00009B070000}"/>
    <cellStyle name="Comma 10 7 5 2 5" xfId="41158" xr:uid="{00000000-0005-0000-0000-00009B070000}"/>
    <cellStyle name="Comma 10 7 5 3" xfId="34921" xr:uid="{00000000-0005-0000-0000-0000901E0000}"/>
    <cellStyle name="Comma 10 7 5 4" xfId="28012" xr:uid="{00000000-0005-0000-0000-0000911E0000}"/>
    <cellStyle name="Comma 10 7 5 5" xfId="37934" xr:uid="{00000000-0005-0000-0000-00009A070000}"/>
    <cellStyle name="Comma 10 7 5 6" xfId="40880" xr:uid="{00000000-0005-0000-0000-00009A070000}"/>
    <cellStyle name="Comma 10 7 6" xfId="12468" xr:uid="{00000000-0005-0000-0000-0000921E0000}"/>
    <cellStyle name="Comma 10 7 6 2" xfId="15868" xr:uid="{00000000-0005-0000-0000-0000931E0000}"/>
    <cellStyle name="Comma 10 7 6 2 2" xfId="37230" xr:uid="{00000000-0005-0000-0000-0000941E0000}"/>
    <cellStyle name="Comma 10 7 6 2 3" xfId="30269" xr:uid="{00000000-0005-0000-0000-0000951E0000}"/>
    <cellStyle name="Comma 10 7 6 2 4" xfId="39226" xr:uid="{00000000-0005-0000-0000-00009D070000}"/>
    <cellStyle name="Comma 10 7 6 2 5" xfId="41159" xr:uid="{00000000-0005-0000-0000-00009D070000}"/>
    <cellStyle name="Comma 10 7 6 3" xfId="34922" xr:uid="{00000000-0005-0000-0000-0000961E0000}"/>
    <cellStyle name="Comma 10 7 6 4" xfId="28013" xr:uid="{00000000-0005-0000-0000-0000971E0000}"/>
    <cellStyle name="Comma 10 7 6 5" xfId="37935" xr:uid="{00000000-0005-0000-0000-00009C070000}"/>
    <cellStyle name="Comma 10 7 6 6" xfId="40881" xr:uid="{00000000-0005-0000-0000-00009C070000}"/>
    <cellStyle name="Comma 10 7 7" xfId="12469" xr:uid="{00000000-0005-0000-0000-0000981E0000}"/>
    <cellStyle name="Comma 10 7 7 2" xfId="15869" xr:uid="{00000000-0005-0000-0000-0000991E0000}"/>
    <cellStyle name="Comma 10 7 7 2 2" xfId="37231" xr:uid="{00000000-0005-0000-0000-00009A1E0000}"/>
    <cellStyle name="Comma 10 7 7 2 3" xfId="30270" xr:uid="{00000000-0005-0000-0000-00009B1E0000}"/>
    <cellStyle name="Comma 10 7 7 2 4" xfId="39227" xr:uid="{00000000-0005-0000-0000-00009F070000}"/>
    <cellStyle name="Comma 10 7 7 2 5" xfId="41160" xr:uid="{00000000-0005-0000-0000-00009F070000}"/>
    <cellStyle name="Comma 10 7 7 3" xfId="34923" xr:uid="{00000000-0005-0000-0000-00009C1E0000}"/>
    <cellStyle name="Comma 10 7 7 4" xfId="28014" xr:uid="{00000000-0005-0000-0000-00009D1E0000}"/>
    <cellStyle name="Comma 10 7 7 5" xfId="37936" xr:uid="{00000000-0005-0000-0000-00009E070000}"/>
    <cellStyle name="Comma 10 7 7 6" xfId="40882" xr:uid="{00000000-0005-0000-0000-00009E070000}"/>
    <cellStyle name="Comma 10 7 8" xfId="12470" xr:uid="{00000000-0005-0000-0000-00009E1E0000}"/>
    <cellStyle name="Comma 10 7 8 2" xfId="15870" xr:uid="{00000000-0005-0000-0000-00009F1E0000}"/>
    <cellStyle name="Comma 10 7 8 2 2" xfId="37232" xr:uid="{00000000-0005-0000-0000-0000A01E0000}"/>
    <cellStyle name="Comma 10 7 8 2 3" xfId="30271" xr:uid="{00000000-0005-0000-0000-0000A11E0000}"/>
    <cellStyle name="Comma 10 7 8 2 4" xfId="39228" xr:uid="{00000000-0005-0000-0000-0000A1070000}"/>
    <cellStyle name="Comma 10 7 8 2 5" xfId="41161" xr:uid="{00000000-0005-0000-0000-0000A1070000}"/>
    <cellStyle name="Comma 10 7 8 3" xfId="34924" xr:uid="{00000000-0005-0000-0000-0000A21E0000}"/>
    <cellStyle name="Comma 10 7 8 4" xfId="28015" xr:uid="{00000000-0005-0000-0000-0000A31E0000}"/>
    <cellStyle name="Comma 10 7 8 5" xfId="37937" xr:uid="{00000000-0005-0000-0000-0000A0070000}"/>
    <cellStyle name="Comma 10 7 8 6" xfId="40883" xr:uid="{00000000-0005-0000-0000-0000A0070000}"/>
    <cellStyle name="Comma 10 7 9" xfId="12471" xr:uid="{00000000-0005-0000-0000-0000A41E0000}"/>
    <cellStyle name="Comma 10 7 9 2" xfId="15871" xr:uid="{00000000-0005-0000-0000-0000A51E0000}"/>
    <cellStyle name="Comma 10 7 9 2 2" xfId="37233" xr:uid="{00000000-0005-0000-0000-0000A61E0000}"/>
    <cellStyle name="Comma 10 7 9 2 3" xfId="30272" xr:uid="{00000000-0005-0000-0000-0000A71E0000}"/>
    <cellStyle name="Comma 10 7 9 2 4" xfId="39229" xr:uid="{00000000-0005-0000-0000-0000A3070000}"/>
    <cellStyle name="Comma 10 7 9 2 5" xfId="41162" xr:uid="{00000000-0005-0000-0000-0000A3070000}"/>
    <cellStyle name="Comma 10 7 9 3" xfId="34925" xr:uid="{00000000-0005-0000-0000-0000A81E0000}"/>
    <cellStyle name="Comma 10 7 9 4" xfId="28016" xr:uid="{00000000-0005-0000-0000-0000A91E0000}"/>
    <cellStyle name="Comma 10 7 9 5" xfId="37938" xr:uid="{00000000-0005-0000-0000-0000A2070000}"/>
    <cellStyle name="Comma 10 7 9 6" xfId="40884" xr:uid="{00000000-0005-0000-0000-0000A2070000}"/>
    <cellStyle name="Comma 10 8" xfId="12472" xr:uid="{00000000-0005-0000-0000-0000AA1E0000}"/>
    <cellStyle name="Comma 10 8 10" xfId="12473" xr:uid="{00000000-0005-0000-0000-0000AB1E0000}"/>
    <cellStyle name="Comma 10 8 10 2" xfId="15873" xr:uid="{00000000-0005-0000-0000-0000AC1E0000}"/>
    <cellStyle name="Comma 10 8 10 2 2" xfId="37235" xr:uid="{00000000-0005-0000-0000-0000AD1E0000}"/>
    <cellStyle name="Comma 10 8 10 2 3" xfId="30274" xr:uid="{00000000-0005-0000-0000-0000AE1E0000}"/>
    <cellStyle name="Comma 10 8 10 2 4" xfId="39231" xr:uid="{00000000-0005-0000-0000-0000A6070000}"/>
    <cellStyle name="Comma 10 8 10 2 5" xfId="41164" xr:uid="{00000000-0005-0000-0000-0000A6070000}"/>
    <cellStyle name="Comma 10 8 10 3" xfId="34927" xr:uid="{00000000-0005-0000-0000-0000AF1E0000}"/>
    <cellStyle name="Comma 10 8 10 4" xfId="28018" xr:uid="{00000000-0005-0000-0000-0000B01E0000}"/>
    <cellStyle name="Comma 10 8 10 5" xfId="37940" xr:uid="{00000000-0005-0000-0000-0000A5070000}"/>
    <cellStyle name="Comma 10 8 10 6" xfId="40886" xr:uid="{00000000-0005-0000-0000-0000A5070000}"/>
    <cellStyle name="Comma 10 8 11" xfId="12474" xr:uid="{00000000-0005-0000-0000-0000B11E0000}"/>
    <cellStyle name="Comma 10 8 11 2" xfId="15874" xr:uid="{00000000-0005-0000-0000-0000B21E0000}"/>
    <cellStyle name="Comma 10 8 11 2 2" xfId="37236" xr:uid="{00000000-0005-0000-0000-0000B31E0000}"/>
    <cellStyle name="Comma 10 8 11 2 3" xfId="30275" xr:uid="{00000000-0005-0000-0000-0000B41E0000}"/>
    <cellStyle name="Comma 10 8 11 2 4" xfId="39232" xr:uid="{00000000-0005-0000-0000-0000A8070000}"/>
    <cellStyle name="Comma 10 8 11 2 5" xfId="41165" xr:uid="{00000000-0005-0000-0000-0000A8070000}"/>
    <cellStyle name="Comma 10 8 11 3" xfId="34928" xr:uid="{00000000-0005-0000-0000-0000B51E0000}"/>
    <cellStyle name="Comma 10 8 11 4" xfId="28019" xr:uid="{00000000-0005-0000-0000-0000B61E0000}"/>
    <cellStyle name="Comma 10 8 11 5" xfId="37941" xr:uid="{00000000-0005-0000-0000-0000A7070000}"/>
    <cellStyle name="Comma 10 8 11 6" xfId="40887" xr:uid="{00000000-0005-0000-0000-0000A7070000}"/>
    <cellStyle name="Comma 10 8 12" xfId="12475" xr:uid="{00000000-0005-0000-0000-0000B71E0000}"/>
    <cellStyle name="Comma 10 8 12 2" xfId="15875" xr:uid="{00000000-0005-0000-0000-0000B81E0000}"/>
    <cellStyle name="Comma 10 8 12 2 2" xfId="37237" xr:uid="{00000000-0005-0000-0000-0000B91E0000}"/>
    <cellStyle name="Comma 10 8 12 2 3" xfId="30276" xr:uid="{00000000-0005-0000-0000-0000BA1E0000}"/>
    <cellStyle name="Comma 10 8 12 2 4" xfId="39233" xr:uid="{00000000-0005-0000-0000-0000AA070000}"/>
    <cellStyle name="Comma 10 8 12 2 5" xfId="41166" xr:uid="{00000000-0005-0000-0000-0000AA070000}"/>
    <cellStyle name="Comma 10 8 12 3" xfId="34929" xr:uid="{00000000-0005-0000-0000-0000BB1E0000}"/>
    <cellStyle name="Comma 10 8 12 4" xfId="28020" xr:uid="{00000000-0005-0000-0000-0000BC1E0000}"/>
    <cellStyle name="Comma 10 8 12 5" xfId="37942" xr:uid="{00000000-0005-0000-0000-0000A9070000}"/>
    <cellStyle name="Comma 10 8 12 6" xfId="40888" xr:uid="{00000000-0005-0000-0000-0000A9070000}"/>
    <cellStyle name="Comma 10 8 13" xfId="12476" xr:uid="{00000000-0005-0000-0000-0000BD1E0000}"/>
    <cellStyle name="Comma 10 8 13 2" xfId="15876" xr:uid="{00000000-0005-0000-0000-0000BE1E0000}"/>
    <cellStyle name="Comma 10 8 13 2 2" xfId="37238" xr:uid="{00000000-0005-0000-0000-0000BF1E0000}"/>
    <cellStyle name="Comma 10 8 13 2 3" xfId="30277" xr:uid="{00000000-0005-0000-0000-0000C01E0000}"/>
    <cellStyle name="Comma 10 8 13 2 4" xfId="39234" xr:uid="{00000000-0005-0000-0000-0000AC070000}"/>
    <cellStyle name="Comma 10 8 13 2 5" xfId="41167" xr:uid="{00000000-0005-0000-0000-0000AC070000}"/>
    <cellStyle name="Comma 10 8 13 3" xfId="34930" xr:uid="{00000000-0005-0000-0000-0000C11E0000}"/>
    <cellStyle name="Comma 10 8 13 4" xfId="28021" xr:uid="{00000000-0005-0000-0000-0000C21E0000}"/>
    <cellStyle name="Comma 10 8 13 5" xfId="37943" xr:uid="{00000000-0005-0000-0000-0000AB070000}"/>
    <cellStyle name="Comma 10 8 13 6" xfId="40889" xr:uid="{00000000-0005-0000-0000-0000AB070000}"/>
    <cellStyle name="Comma 10 8 14" xfId="12477" xr:uid="{00000000-0005-0000-0000-0000C31E0000}"/>
    <cellStyle name="Comma 10 8 14 2" xfId="15877" xr:uid="{00000000-0005-0000-0000-0000C41E0000}"/>
    <cellStyle name="Comma 10 8 14 2 2" xfId="37239" xr:uid="{00000000-0005-0000-0000-0000C51E0000}"/>
    <cellStyle name="Comma 10 8 14 2 3" xfId="30278" xr:uid="{00000000-0005-0000-0000-0000C61E0000}"/>
    <cellStyle name="Comma 10 8 14 2 4" xfId="39235" xr:uid="{00000000-0005-0000-0000-0000AE070000}"/>
    <cellStyle name="Comma 10 8 14 2 5" xfId="41168" xr:uid="{00000000-0005-0000-0000-0000AE070000}"/>
    <cellStyle name="Comma 10 8 14 3" xfId="34931" xr:uid="{00000000-0005-0000-0000-0000C71E0000}"/>
    <cellStyle name="Comma 10 8 14 4" xfId="28022" xr:uid="{00000000-0005-0000-0000-0000C81E0000}"/>
    <cellStyle name="Comma 10 8 14 5" xfId="37944" xr:uid="{00000000-0005-0000-0000-0000AD070000}"/>
    <cellStyle name="Comma 10 8 14 6" xfId="40890" xr:uid="{00000000-0005-0000-0000-0000AD070000}"/>
    <cellStyle name="Comma 10 8 15" xfId="12478" xr:uid="{00000000-0005-0000-0000-0000C91E0000}"/>
    <cellStyle name="Comma 10 8 15 2" xfId="15878" xr:uid="{00000000-0005-0000-0000-0000CA1E0000}"/>
    <cellStyle name="Comma 10 8 15 2 2" xfId="37240" xr:uid="{00000000-0005-0000-0000-0000CB1E0000}"/>
    <cellStyle name="Comma 10 8 15 2 3" xfId="30279" xr:uid="{00000000-0005-0000-0000-0000CC1E0000}"/>
    <cellStyle name="Comma 10 8 15 2 4" xfId="39236" xr:uid="{00000000-0005-0000-0000-0000B0070000}"/>
    <cellStyle name="Comma 10 8 15 2 5" xfId="41169" xr:uid="{00000000-0005-0000-0000-0000B0070000}"/>
    <cellStyle name="Comma 10 8 15 3" xfId="34932" xr:uid="{00000000-0005-0000-0000-0000CD1E0000}"/>
    <cellStyle name="Comma 10 8 15 4" xfId="28023" xr:uid="{00000000-0005-0000-0000-0000CE1E0000}"/>
    <cellStyle name="Comma 10 8 15 5" xfId="37945" xr:uid="{00000000-0005-0000-0000-0000AF070000}"/>
    <cellStyle name="Comma 10 8 15 6" xfId="40891" xr:uid="{00000000-0005-0000-0000-0000AF070000}"/>
    <cellStyle name="Comma 10 8 16" xfId="12479" xr:uid="{00000000-0005-0000-0000-0000CF1E0000}"/>
    <cellStyle name="Comma 10 8 16 2" xfId="15879" xr:uid="{00000000-0005-0000-0000-0000D01E0000}"/>
    <cellStyle name="Comma 10 8 16 2 2" xfId="37241" xr:uid="{00000000-0005-0000-0000-0000D11E0000}"/>
    <cellStyle name="Comma 10 8 16 2 3" xfId="30280" xr:uid="{00000000-0005-0000-0000-0000D21E0000}"/>
    <cellStyle name="Comma 10 8 16 2 4" xfId="39237" xr:uid="{00000000-0005-0000-0000-0000B2070000}"/>
    <cellStyle name="Comma 10 8 16 2 5" xfId="41170" xr:uid="{00000000-0005-0000-0000-0000B2070000}"/>
    <cellStyle name="Comma 10 8 16 3" xfId="34933" xr:uid="{00000000-0005-0000-0000-0000D31E0000}"/>
    <cellStyle name="Comma 10 8 16 4" xfId="28024" xr:uid="{00000000-0005-0000-0000-0000D41E0000}"/>
    <cellStyle name="Comma 10 8 16 5" xfId="37946" xr:uid="{00000000-0005-0000-0000-0000B1070000}"/>
    <cellStyle name="Comma 10 8 16 6" xfId="40892" xr:uid="{00000000-0005-0000-0000-0000B1070000}"/>
    <cellStyle name="Comma 10 8 17" xfId="12480" xr:uid="{00000000-0005-0000-0000-0000D51E0000}"/>
    <cellStyle name="Comma 10 8 17 2" xfId="15880" xr:uid="{00000000-0005-0000-0000-0000D61E0000}"/>
    <cellStyle name="Comma 10 8 17 2 2" xfId="37242" xr:uid="{00000000-0005-0000-0000-0000D71E0000}"/>
    <cellStyle name="Comma 10 8 17 2 3" xfId="30281" xr:uid="{00000000-0005-0000-0000-0000D81E0000}"/>
    <cellStyle name="Comma 10 8 17 2 4" xfId="39238" xr:uid="{00000000-0005-0000-0000-0000B4070000}"/>
    <cellStyle name="Comma 10 8 17 2 5" xfId="41171" xr:uid="{00000000-0005-0000-0000-0000B4070000}"/>
    <cellStyle name="Comma 10 8 17 3" xfId="34934" xr:uid="{00000000-0005-0000-0000-0000D91E0000}"/>
    <cellStyle name="Comma 10 8 17 4" xfId="28025" xr:uid="{00000000-0005-0000-0000-0000DA1E0000}"/>
    <cellStyle name="Comma 10 8 17 5" xfId="37947" xr:uid="{00000000-0005-0000-0000-0000B3070000}"/>
    <cellStyle name="Comma 10 8 17 6" xfId="40893" xr:uid="{00000000-0005-0000-0000-0000B3070000}"/>
    <cellStyle name="Comma 10 8 18" xfId="15872" xr:uid="{00000000-0005-0000-0000-0000DB1E0000}"/>
    <cellStyle name="Comma 10 8 18 2" xfId="37234" xr:uid="{00000000-0005-0000-0000-0000DC1E0000}"/>
    <cellStyle name="Comma 10 8 18 3" xfId="30273" xr:uid="{00000000-0005-0000-0000-0000DD1E0000}"/>
    <cellStyle name="Comma 10 8 18 4" xfId="39230" xr:uid="{00000000-0005-0000-0000-0000B5070000}"/>
    <cellStyle name="Comma 10 8 18 5" xfId="41163" xr:uid="{00000000-0005-0000-0000-0000B5070000}"/>
    <cellStyle name="Comma 10 8 19" xfId="34926" xr:uid="{00000000-0005-0000-0000-0000DE1E0000}"/>
    <cellStyle name="Comma 10 8 2" xfId="12481" xr:uid="{00000000-0005-0000-0000-0000DF1E0000}"/>
    <cellStyle name="Comma 10 8 2 2" xfId="15881" xr:uid="{00000000-0005-0000-0000-0000E01E0000}"/>
    <cellStyle name="Comma 10 8 2 2 2" xfId="37243" xr:uid="{00000000-0005-0000-0000-0000E11E0000}"/>
    <cellStyle name="Comma 10 8 2 2 3" xfId="30282" xr:uid="{00000000-0005-0000-0000-0000E21E0000}"/>
    <cellStyle name="Comma 10 8 2 2 4" xfId="39239" xr:uid="{00000000-0005-0000-0000-0000B7070000}"/>
    <cellStyle name="Comma 10 8 2 2 5" xfId="41172" xr:uid="{00000000-0005-0000-0000-0000B7070000}"/>
    <cellStyle name="Comma 10 8 2 3" xfId="34935" xr:uid="{00000000-0005-0000-0000-0000E31E0000}"/>
    <cellStyle name="Comma 10 8 2 4" xfId="28026" xr:uid="{00000000-0005-0000-0000-0000E41E0000}"/>
    <cellStyle name="Comma 10 8 2 5" xfId="37948" xr:uid="{00000000-0005-0000-0000-0000B6070000}"/>
    <cellStyle name="Comma 10 8 2 6" xfId="40894" xr:uid="{00000000-0005-0000-0000-0000B6070000}"/>
    <cellStyle name="Comma 10 8 20" xfId="28017" xr:uid="{00000000-0005-0000-0000-0000E51E0000}"/>
    <cellStyle name="Comma 10 8 21" xfId="37939" xr:uid="{00000000-0005-0000-0000-0000A4070000}"/>
    <cellStyle name="Comma 10 8 22" xfId="40885" xr:uid="{00000000-0005-0000-0000-0000A4070000}"/>
    <cellStyle name="Comma 10 8 3" xfId="12482" xr:uid="{00000000-0005-0000-0000-0000E61E0000}"/>
    <cellStyle name="Comma 10 8 3 2" xfId="15882" xr:uid="{00000000-0005-0000-0000-0000E71E0000}"/>
    <cellStyle name="Comma 10 8 3 2 2" xfId="37244" xr:uid="{00000000-0005-0000-0000-0000E81E0000}"/>
    <cellStyle name="Comma 10 8 3 2 3" xfId="30283" xr:uid="{00000000-0005-0000-0000-0000E91E0000}"/>
    <cellStyle name="Comma 10 8 3 2 4" xfId="39240" xr:uid="{00000000-0005-0000-0000-0000B9070000}"/>
    <cellStyle name="Comma 10 8 3 2 5" xfId="41173" xr:uid="{00000000-0005-0000-0000-0000B9070000}"/>
    <cellStyle name="Comma 10 8 3 3" xfId="34936" xr:uid="{00000000-0005-0000-0000-0000EA1E0000}"/>
    <cellStyle name="Comma 10 8 3 4" xfId="28027" xr:uid="{00000000-0005-0000-0000-0000EB1E0000}"/>
    <cellStyle name="Comma 10 8 3 5" xfId="37949" xr:uid="{00000000-0005-0000-0000-0000B8070000}"/>
    <cellStyle name="Comma 10 8 3 6" xfId="40895" xr:uid="{00000000-0005-0000-0000-0000B8070000}"/>
    <cellStyle name="Comma 10 8 4" xfId="12483" xr:uid="{00000000-0005-0000-0000-0000EC1E0000}"/>
    <cellStyle name="Comma 10 8 4 2" xfId="15883" xr:uid="{00000000-0005-0000-0000-0000ED1E0000}"/>
    <cellStyle name="Comma 10 8 4 2 2" xfId="37245" xr:uid="{00000000-0005-0000-0000-0000EE1E0000}"/>
    <cellStyle name="Comma 10 8 4 2 3" xfId="30284" xr:uid="{00000000-0005-0000-0000-0000EF1E0000}"/>
    <cellStyle name="Comma 10 8 4 2 4" xfId="39241" xr:uid="{00000000-0005-0000-0000-0000BB070000}"/>
    <cellStyle name="Comma 10 8 4 2 5" xfId="41174" xr:uid="{00000000-0005-0000-0000-0000BB070000}"/>
    <cellStyle name="Comma 10 8 4 3" xfId="34937" xr:uid="{00000000-0005-0000-0000-0000F01E0000}"/>
    <cellStyle name="Comma 10 8 4 4" xfId="28028" xr:uid="{00000000-0005-0000-0000-0000F11E0000}"/>
    <cellStyle name="Comma 10 8 4 5" xfId="37950" xr:uid="{00000000-0005-0000-0000-0000BA070000}"/>
    <cellStyle name="Comma 10 8 4 6" xfId="40896" xr:uid="{00000000-0005-0000-0000-0000BA070000}"/>
    <cellStyle name="Comma 10 8 5" xfId="12484" xr:uid="{00000000-0005-0000-0000-0000F21E0000}"/>
    <cellStyle name="Comma 10 8 5 2" xfId="15884" xr:uid="{00000000-0005-0000-0000-0000F31E0000}"/>
    <cellStyle name="Comma 10 8 5 2 2" xfId="37246" xr:uid="{00000000-0005-0000-0000-0000F41E0000}"/>
    <cellStyle name="Comma 10 8 5 2 3" xfId="30285" xr:uid="{00000000-0005-0000-0000-0000F51E0000}"/>
    <cellStyle name="Comma 10 8 5 2 4" xfId="39242" xr:uid="{00000000-0005-0000-0000-0000BD070000}"/>
    <cellStyle name="Comma 10 8 5 2 5" xfId="41175" xr:uid="{00000000-0005-0000-0000-0000BD070000}"/>
    <cellStyle name="Comma 10 8 5 3" xfId="34938" xr:uid="{00000000-0005-0000-0000-0000F61E0000}"/>
    <cellStyle name="Comma 10 8 5 4" xfId="28029" xr:uid="{00000000-0005-0000-0000-0000F71E0000}"/>
    <cellStyle name="Comma 10 8 5 5" xfId="37951" xr:uid="{00000000-0005-0000-0000-0000BC070000}"/>
    <cellStyle name="Comma 10 8 5 6" xfId="40897" xr:uid="{00000000-0005-0000-0000-0000BC070000}"/>
    <cellStyle name="Comma 10 8 6" xfId="12485" xr:uid="{00000000-0005-0000-0000-0000F81E0000}"/>
    <cellStyle name="Comma 10 8 6 2" xfId="15885" xr:uid="{00000000-0005-0000-0000-0000F91E0000}"/>
    <cellStyle name="Comma 10 8 6 2 2" xfId="37247" xr:uid="{00000000-0005-0000-0000-0000FA1E0000}"/>
    <cellStyle name="Comma 10 8 6 2 3" xfId="30286" xr:uid="{00000000-0005-0000-0000-0000FB1E0000}"/>
    <cellStyle name="Comma 10 8 6 2 4" xfId="39243" xr:uid="{00000000-0005-0000-0000-0000BF070000}"/>
    <cellStyle name="Comma 10 8 6 2 5" xfId="41176" xr:uid="{00000000-0005-0000-0000-0000BF070000}"/>
    <cellStyle name="Comma 10 8 6 3" xfId="34939" xr:uid="{00000000-0005-0000-0000-0000FC1E0000}"/>
    <cellStyle name="Comma 10 8 6 4" xfId="28030" xr:uid="{00000000-0005-0000-0000-0000FD1E0000}"/>
    <cellStyle name="Comma 10 8 6 5" xfId="37952" xr:uid="{00000000-0005-0000-0000-0000BE070000}"/>
    <cellStyle name="Comma 10 8 6 6" xfId="40898" xr:uid="{00000000-0005-0000-0000-0000BE070000}"/>
    <cellStyle name="Comma 10 8 7" xfId="12486" xr:uid="{00000000-0005-0000-0000-0000FE1E0000}"/>
    <cellStyle name="Comma 10 8 7 2" xfId="15886" xr:uid="{00000000-0005-0000-0000-0000FF1E0000}"/>
    <cellStyle name="Comma 10 8 7 2 2" xfId="37248" xr:uid="{00000000-0005-0000-0000-0000001F0000}"/>
    <cellStyle name="Comma 10 8 7 2 3" xfId="30287" xr:uid="{00000000-0005-0000-0000-0000011F0000}"/>
    <cellStyle name="Comma 10 8 7 2 4" xfId="39244" xr:uid="{00000000-0005-0000-0000-0000C1070000}"/>
    <cellStyle name="Comma 10 8 7 2 5" xfId="41177" xr:uid="{00000000-0005-0000-0000-0000C1070000}"/>
    <cellStyle name="Comma 10 8 7 3" xfId="34940" xr:uid="{00000000-0005-0000-0000-0000021F0000}"/>
    <cellStyle name="Comma 10 8 7 4" xfId="28031" xr:uid="{00000000-0005-0000-0000-0000031F0000}"/>
    <cellStyle name="Comma 10 8 7 5" xfId="37953" xr:uid="{00000000-0005-0000-0000-0000C0070000}"/>
    <cellStyle name="Comma 10 8 7 6" xfId="40899" xr:uid="{00000000-0005-0000-0000-0000C0070000}"/>
    <cellStyle name="Comma 10 8 8" xfId="12487" xr:uid="{00000000-0005-0000-0000-0000041F0000}"/>
    <cellStyle name="Comma 10 8 8 2" xfId="15887" xr:uid="{00000000-0005-0000-0000-0000051F0000}"/>
    <cellStyle name="Comma 10 8 8 2 2" xfId="37249" xr:uid="{00000000-0005-0000-0000-0000061F0000}"/>
    <cellStyle name="Comma 10 8 8 2 3" xfId="30288" xr:uid="{00000000-0005-0000-0000-0000071F0000}"/>
    <cellStyle name="Comma 10 8 8 2 4" xfId="39245" xr:uid="{00000000-0005-0000-0000-0000C3070000}"/>
    <cellStyle name="Comma 10 8 8 2 5" xfId="41178" xr:uid="{00000000-0005-0000-0000-0000C3070000}"/>
    <cellStyle name="Comma 10 8 8 3" xfId="34941" xr:uid="{00000000-0005-0000-0000-0000081F0000}"/>
    <cellStyle name="Comma 10 8 8 4" xfId="28032" xr:uid="{00000000-0005-0000-0000-0000091F0000}"/>
    <cellStyle name="Comma 10 8 8 5" xfId="37954" xr:uid="{00000000-0005-0000-0000-0000C2070000}"/>
    <cellStyle name="Comma 10 8 8 6" xfId="40900" xr:uid="{00000000-0005-0000-0000-0000C2070000}"/>
    <cellStyle name="Comma 10 8 9" xfId="12488" xr:uid="{00000000-0005-0000-0000-00000A1F0000}"/>
    <cellStyle name="Comma 10 8 9 2" xfId="15888" xr:uid="{00000000-0005-0000-0000-00000B1F0000}"/>
    <cellStyle name="Comma 10 8 9 2 2" xfId="37250" xr:uid="{00000000-0005-0000-0000-00000C1F0000}"/>
    <cellStyle name="Comma 10 8 9 2 3" xfId="30289" xr:uid="{00000000-0005-0000-0000-00000D1F0000}"/>
    <cellStyle name="Comma 10 8 9 2 4" xfId="39246" xr:uid="{00000000-0005-0000-0000-0000C5070000}"/>
    <cellStyle name="Comma 10 8 9 2 5" xfId="41179" xr:uid="{00000000-0005-0000-0000-0000C5070000}"/>
    <cellStyle name="Comma 10 8 9 3" xfId="34942" xr:uid="{00000000-0005-0000-0000-00000E1F0000}"/>
    <cellStyle name="Comma 10 8 9 4" xfId="28033" xr:uid="{00000000-0005-0000-0000-00000F1F0000}"/>
    <cellStyle name="Comma 10 8 9 5" xfId="37955" xr:uid="{00000000-0005-0000-0000-0000C4070000}"/>
    <cellStyle name="Comma 10 8 9 6" xfId="40901" xr:uid="{00000000-0005-0000-0000-0000C4070000}"/>
    <cellStyle name="Comma 10 9" xfId="14156" xr:uid="{00000000-0005-0000-0000-0000101F0000}"/>
    <cellStyle name="Comma 10 9 2" xfId="16304" xr:uid="{00000000-0005-0000-0000-0000111F0000}"/>
    <cellStyle name="Comma 10 9 2 2" xfId="37610" xr:uid="{00000000-0005-0000-0000-0000121F0000}"/>
    <cellStyle name="Comma 10 9 3" xfId="35847" xr:uid="{00000000-0005-0000-0000-0000131F0000}"/>
    <cellStyle name="Comma 10 9 4" xfId="30639" xr:uid="{00000000-0005-0000-0000-0000141F0000}"/>
    <cellStyle name="Comma 11" xfId="5842" xr:uid="{00000000-0005-0000-0000-0000151F0000}"/>
    <cellStyle name="Comma 11 2" xfId="14157" xr:uid="{00000000-0005-0000-0000-0000161F0000}"/>
    <cellStyle name="Comma 11 2 2" xfId="16305" xr:uid="{00000000-0005-0000-0000-0000171F0000}"/>
    <cellStyle name="Comma 11 2 2 2" xfId="37611" xr:uid="{00000000-0005-0000-0000-0000181F0000}"/>
    <cellStyle name="Comma 11 2 3" xfId="35848" xr:uid="{00000000-0005-0000-0000-0000191F0000}"/>
    <cellStyle name="Comma 11 2 4" xfId="30646" xr:uid="{00000000-0005-0000-0000-00001A1F0000}"/>
    <cellStyle name="Comma 11 3" xfId="13534" xr:uid="{00000000-0005-0000-0000-00001B1F0000}"/>
    <cellStyle name="Comma 11 3 2" xfId="35308" xr:uid="{00000000-0005-0000-0000-00001C1F0000}"/>
    <cellStyle name="Comma 11 4" xfId="16122" xr:uid="{00000000-0005-0000-0000-00001D1F0000}"/>
    <cellStyle name="Comma 11 4 2" xfId="37443" xr:uid="{00000000-0005-0000-0000-00001E1F0000}"/>
    <cellStyle name="Comma 11 5" xfId="32409" xr:uid="{00000000-0005-0000-0000-00001F1F0000}"/>
    <cellStyle name="Comma 11 6" xfId="28166" xr:uid="{00000000-0005-0000-0000-0000201F0000}"/>
    <cellStyle name="Comma 11 7" xfId="19397" xr:uid="{00000000-0005-0000-0000-0000211F0000}"/>
    <cellStyle name="Comma 12" xfId="5909" xr:uid="{00000000-0005-0000-0000-0000221F0000}"/>
    <cellStyle name="Comma 12 2" xfId="13533" xr:uid="{00000000-0005-0000-0000-0000231F0000}"/>
    <cellStyle name="Comma 12 2 2" xfId="35307" xr:uid="{00000000-0005-0000-0000-0000241F0000}"/>
    <cellStyle name="Comma 12 2 3" xfId="30645" xr:uid="{00000000-0005-0000-0000-0000251F0000}"/>
    <cellStyle name="Comma 12 3" xfId="16121" xr:uid="{00000000-0005-0000-0000-0000261F0000}"/>
    <cellStyle name="Comma 12 3 2" xfId="37442" xr:uid="{00000000-0005-0000-0000-0000271F0000}"/>
    <cellStyle name="Comma 12 4" xfId="32418" xr:uid="{00000000-0005-0000-0000-0000281F0000}"/>
    <cellStyle name="Comma 12 5" xfId="28165" xr:uid="{00000000-0005-0000-0000-0000291F0000}"/>
    <cellStyle name="Comma 12 6" xfId="19462" xr:uid="{00000000-0005-0000-0000-00002A1F0000}"/>
    <cellStyle name="Comma 13" xfId="7052" xr:uid="{00000000-0005-0000-0000-00002B1F0000}"/>
    <cellStyle name="Comma 13 2" xfId="13535" xr:uid="{00000000-0005-0000-0000-00002C1F0000}"/>
    <cellStyle name="Comma 13 2 2" xfId="35309" xr:uid="{00000000-0005-0000-0000-00002D1F0000}"/>
    <cellStyle name="Comma 13 2 3" xfId="30647" xr:uid="{00000000-0005-0000-0000-00002E1F0000}"/>
    <cellStyle name="Comma 13 3" xfId="16123" xr:uid="{00000000-0005-0000-0000-00002F1F0000}"/>
    <cellStyle name="Comma 13 3 2" xfId="37444" xr:uid="{00000000-0005-0000-0000-0000301F0000}"/>
    <cellStyle name="Comma 13 4" xfId="32735" xr:uid="{00000000-0005-0000-0000-0000311F0000}"/>
    <cellStyle name="Comma 13 5" xfId="28167" xr:uid="{00000000-0005-0000-0000-0000321F0000}"/>
    <cellStyle name="Comma 13 6" xfId="20426" xr:uid="{00000000-0005-0000-0000-0000331F0000}"/>
    <cellStyle name="Comma 14" xfId="6163" xr:uid="{00000000-0005-0000-0000-0000341F0000}"/>
    <cellStyle name="Comma 14 2" xfId="13649" xr:uid="{00000000-0005-0000-0000-0000351F0000}"/>
    <cellStyle name="Comma 14 2 2" xfId="35423" xr:uid="{00000000-0005-0000-0000-0000361F0000}"/>
    <cellStyle name="Comma 14 2 3" xfId="30761" xr:uid="{00000000-0005-0000-0000-0000371F0000}"/>
    <cellStyle name="Comma 14 3" xfId="16154" xr:uid="{00000000-0005-0000-0000-0000381F0000}"/>
    <cellStyle name="Comma 14 3 2" xfId="37472" xr:uid="{00000000-0005-0000-0000-0000391F0000}"/>
    <cellStyle name="Comma 14 4" xfId="32511" xr:uid="{00000000-0005-0000-0000-00003A1F0000}"/>
    <cellStyle name="Comma 14 5" xfId="28170" xr:uid="{00000000-0005-0000-0000-00003B1F0000}"/>
    <cellStyle name="Comma 14 6" xfId="19713" xr:uid="{00000000-0005-0000-0000-00003C1F0000}"/>
    <cellStyle name="Comma 14 7" xfId="39247" xr:uid="{00000000-0005-0000-0000-0000C6070000}"/>
    <cellStyle name="Comma 15" xfId="7497" xr:uid="{00000000-0005-0000-0000-00003D1F0000}"/>
    <cellStyle name="Comma 15 2" xfId="13655" xr:uid="{00000000-0005-0000-0000-00003E1F0000}"/>
    <cellStyle name="Comma 15 2 2" xfId="35429" xr:uid="{00000000-0005-0000-0000-00003F1F0000}"/>
    <cellStyle name="Comma 15 2 3" xfId="30767" xr:uid="{00000000-0005-0000-0000-0000401F0000}"/>
    <cellStyle name="Comma 15 3" xfId="16155" xr:uid="{00000000-0005-0000-0000-0000411F0000}"/>
    <cellStyle name="Comma 15 3 2" xfId="37473" xr:uid="{00000000-0005-0000-0000-0000421F0000}"/>
    <cellStyle name="Comma 15 4" xfId="32865" xr:uid="{00000000-0005-0000-0000-0000431F0000}"/>
    <cellStyle name="Comma 15 5" xfId="28171" xr:uid="{00000000-0005-0000-0000-0000441F0000}"/>
    <cellStyle name="Comma 15 6" xfId="20852" xr:uid="{00000000-0005-0000-0000-0000451F0000}"/>
    <cellStyle name="Comma 16" xfId="8196" xr:uid="{00000000-0005-0000-0000-0000461F0000}"/>
    <cellStyle name="Comma 16 2" xfId="13769" xr:uid="{00000000-0005-0000-0000-0000471F0000}"/>
    <cellStyle name="Comma 16 2 2" xfId="35543" xr:uid="{00000000-0005-0000-0000-0000481F0000}"/>
    <cellStyle name="Comma 16 2 3" xfId="30881" xr:uid="{00000000-0005-0000-0000-0000491F0000}"/>
    <cellStyle name="Comma 16 3" xfId="16185" xr:uid="{00000000-0005-0000-0000-00004A1F0000}"/>
    <cellStyle name="Comma 16 3 2" xfId="37501" xr:uid="{00000000-0005-0000-0000-00004B1F0000}"/>
    <cellStyle name="Comma 16 4" xfId="33018" xr:uid="{00000000-0005-0000-0000-00004C1F0000}"/>
    <cellStyle name="Comma 16 5" xfId="28174" xr:uid="{00000000-0005-0000-0000-00004D1F0000}"/>
    <cellStyle name="Comma 16 6" xfId="21549" xr:uid="{00000000-0005-0000-0000-00004E1F0000}"/>
    <cellStyle name="Comma 17" xfId="3744" xr:uid="{00000000-0005-0000-0000-00004F1F0000}"/>
    <cellStyle name="Comma 17 2" xfId="13775" xr:uid="{00000000-0005-0000-0000-0000501F0000}"/>
    <cellStyle name="Comma 17 2 2" xfId="35549" xr:uid="{00000000-0005-0000-0000-0000511F0000}"/>
    <cellStyle name="Comma 17 2 3" xfId="30887" xr:uid="{00000000-0005-0000-0000-0000521F0000}"/>
    <cellStyle name="Comma 17 3" xfId="16186" xr:uid="{00000000-0005-0000-0000-0000531F0000}"/>
    <cellStyle name="Comma 17 3 2" xfId="37502" xr:uid="{00000000-0005-0000-0000-0000541F0000}"/>
    <cellStyle name="Comma 17 4" xfId="31619" xr:uid="{00000000-0005-0000-0000-0000551F0000}"/>
    <cellStyle name="Comma 17 5" xfId="28175" xr:uid="{00000000-0005-0000-0000-0000561F0000}"/>
    <cellStyle name="Comma 17 6" xfId="17429" xr:uid="{00000000-0005-0000-0000-0000571F0000}"/>
    <cellStyle name="Comma 18" xfId="13776" xr:uid="{00000000-0005-0000-0000-0000581F0000}"/>
    <cellStyle name="Comma 18 2" xfId="16187" xr:uid="{00000000-0005-0000-0000-0000591F0000}"/>
    <cellStyle name="Comma 18 2 2" xfId="37503" xr:uid="{00000000-0005-0000-0000-00005A1F0000}"/>
    <cellStyle name="Comma 18 2 3" xfId="30888" xr:uid="{00000000-0005-0000-0000-00005B1F0000}"/>
    <cellStyle name="Comma 18 3" xfId="35550" xr:uid="{00000000-0005-0000-0000-00005C1F0000}"/>
    <cellStyle name="Comma 18 4" xfId="28176" xr:uid="{00000000-0005-0000-0000-00005D1F0000}"/>
    <cellStyle name="Comma 18 5" xfId="16622" xr:uid="{00000000-0005-0000-0000-00005E1F0000}"/>
    <cellStyle name="Comma 19" xfId="13895" xr:uid="{00000000-0005-0000-0000-00005F1F0000}"/>
    <cellStyle name="Comma 19 2" xfId="16217" xr:uid="{00000000-0005-0000-0000-0000601F0000}"/>
    <cellStyle name="Comma 19 2 2" xfId="37530" xr:uid="{00000000-0005-0000-0000-0000611F0000}"/>
    <cellStyle name="Comma 19 2 3" xfId="31007" xr:uid="{00000000-0005-0000-0000-0000621F0000}"/>
    <cellStyle name="Comma 19 3" xfId="35669" xr:uid="{00000000-0005-0000-0000-0000631F0000}"/>
    <cellStyle name="Comma 19 4" xfId="28179" xr:uid="{00000000-0005-0000-0000-0000641F0000}"/>
    <cellStyle name="Comma 19 5" xfId="17087" xr:uid="{00000000-0005-0000-0000-0000651F0000}"/>
    <cellStyle name="Comma 2" xfId="28" xr:uid="{00000000-0005-0000-0000-0000661F0000}"/>
    <cellStyle name="Comma 2 10" xfId="10312" xr:uid="{00000000-0005-0000-0000-0000671F0000}"/>
    <cellStyle name="Comma 2 10 2" xfId="10506" xr:uid="{00000000-0005-0000-0000-0000681F0000}"/>
    <cellStyle name="Comma 2 10 2 2" xfId="11159" xr:uid="{00000000-0005-0000-0000-0000691F0000}"/>
    <cellStyle name="Comma 2 10 2 2 2" xfId="15543" xr:uid="{00000000-0005-0000-0000-00006A1F0000}"/>
    <cellStyle name="Comma 2 10 2 2 2 2" xfId="36921" xr:uid="{00000000-0005-0000-0000-00006B1F0000}"/>
    <cellStyle name="Comma 2 10 2 2 3" xfId="33976" xr:uid="{00000000-0005-0000-0000-00006C1F0000}"/>
    <cellStyle name="Comma 2 10 2 2 4" xfId="30291" xr:uid="{00000000-0005-0000-0000-00006D1F0000}"/>
    <cellStyle name="Comma 2 10 2 3" xfId="12490" xr:uid="{00000000-0005-0000-0000-00006E1F0000}"/>
    <cellStyle name="Comma 2 10 2 3 2" xfId="34944" xr:uid="{00000000-0005-0000-0000-00006F1F0000}"/>
    <cellStyle name="Comma 2 10 2 3 3" xfId="29139" xr:uid="{00000000-0005-0000-0000-0000701F0000}"/>
    <cellStyle name="Comma 2 10 2 4" xfId="15383" xr:uid="{00000000-0005-0000-0000-0000711F0000}"/>
    <cellStyle name="Comma 2 10 2 4 2" xfId="36770" xr:uid="{00000000-0005-0000-0000-0000721F0000}"/>
    <cellStyle name="Comma 2 10 2 5" xfId="33659" xr:uid="{00000000-0005-0000-0000-0000731F0000}"/>
    <cellStyle name="Comma 2 10 3" xfId="10906" xr:uid="{00000000-0005-0000-0000-0000741F0000}"/>
    <cellStyle name="Comma 2 10 3 2" xfId="15481" xr:uid="{00000000-0005-0000-0000-0000751F0000}"/>
    <cellStyle name="Comma 2 10 3 2 2" xfId="36860" xr:uid="{00000000-0005-0000-0000-0000761F0000}"/>
    <cellStyle name="Comma 2 10 3 3" xfId="33856" xr:uid="{00000000-0005-0000-0000-0000771F0000}"/>
    <cellStyle name="Comma 2 10 3 4" xfId="29041" xr:uid="{00000000-0005-0000-0000-0000781F0000}"/>
    <cellStyle name="Comma 2 10 4" xfId="15322" xr:uid="{00000000-0005-0000-0000-0000791F0000}"/>
    <cellStyle name="Comma 2 10 4 2" xfId="36712" xr:uid="{00000000-0005-0000-0000-00007A1F0000}"/>
    <cellStyle name="Comma 2 10 4 3" xfId="29507" xr:uid="{00000000-0005-0000-0000-00007B1F0000}"/>
    <cellStyle name="Comma 2 10 5" xfId="28944" xr:uid="{00000000-0005-0000-0000-00007C1F0000}"/>
    <cellStyle name="Comma 2 10 6" xfId="33600" xr:uid="{00000000-0005-0000-0000-00007D1F0000}"/>
    <cellStyle name="Comma 2 10 7" xfId="27726" xr:uid="{00000000-0005-0000-0000-00007E1F0000}"/>
    <cellStyle name="Comma 2 11" xfId="10462" xr:uid="{00000000-0005-0000-0000-00007F1F0000}"/>
    <cellStyle name="Comma 2 11 2" xfId="10517" xr:uid="{00000000-0005-0000-0000-0000801F0000}"/>
    <cellStyle name="Comma 2 11 2 2" xfId="11164" xr:uid="{00000000-0005-0000-0000-0000811F0000}"/>
    <cellStyle name="Comma 2 11 2 2 2" xfId="15548" xr:uid="{00000000-0005-0000-0000-0000821F0000}"/>
    <cellStyle name="Comma 2 11 2 2 2 2" xfId="36926" xr:uid="{00000000-0005-0000-0000-0000831F0000}"/>
    <cellStyle name="Comma 2 11 2 2 3" xfId="33981" xr:uid="{00000000-0005-0000-0000-0000841F0000}"/>
    <cellStyle name="Comma 2 11 2 2 4" xfId="30292" xr:uid="{00000000-0005-0000-0000-0000851F0000}"/>
    <cellStyle name="Comma 2 11 2 3" xfId="12491" xr:uid="{00000000-0005-0000-0000-0000861F0000}"/>
    <cellStyle name="Comma 2 11 2 3 2" xfId="34945" xr:uid="{00000000-0005-0000-0000-0000871F0000}"/>
    <cellStyle name="Comma 2 11 2 3 3" xfId="29186" xr:uid="{00000000-0005-0000-0000-0000881F0000}"/>
    <cellStyle name="Comma 2 11 2 4" xfId="15390" xr:uid="{00000000-0005-0000-0000-0000891F0000}"/>
    <cellStyle name="Comma 2 11 2 4 2" xfId="36775" xr:uid="{00000000-0005-0000-0000-00008A1F0000}"/>
    <cellStyle name="Comma 2 11 2 5" xfId="33664" xr:uid="{00000000-0005-0000-0000-00008B1F0000}"/>
    <cellStyle name="Comma 2 11 3" xfId="11117" xr:uid="{00000000-0005-0000-0000-00008C1F0000}"/>
    <cellStyle name="Comma 2 11 3 2" xfId="15501" xr:uid="{00000000-0005-0000-0000-00008D1F0000}"/>
    <cellStyle name="Comma 2 11 3 2 2" xfId="36879" xr:uid="{00000000-0005-0000-0000-00008E1F0000}"/>
    <cellStyle name="Comma 2 11 3 3" xfId="33934" xr:uid="{00000000-0005-0000-0000-00008F1F0000}"/>
    <cellStyle name="Comma 2 11 3 4" xfId="29091" xr:uid="{00000000-0005-0000-0000-0000901F0000}"/>
    <cellStyle name="Comma 2 11 4" xfId="11528" xr:uid="{00000000-0005-0000-0000-0000911F0000}"/>
    <cellStyle name="Comma 2 11 4 2" xfId="15590" xr:uid="{00000000-0005-0000-0000-0000921F0000}"/>
    <cellStyle name="Comma 2 11 4 2 2" xfId="36967" xr:uid="{00000000-0005-0000-0000-0000931F0000}"/>
    <cellStyle name="Comma 2 11 4 3" xfId="34320" xr:uid="{00000000-0005-0000-0000-0000941F0000}"/>
    <cellStyle name="Comma 2 11 4 4" xfId="29682" xr:uid="{00000000-0005-0000-0000-0000951F0000}"/>
    <cellStyle name="Comma 2 11 5" xfId="15341" xr:uid="{00000000-0005-0000-0000-0000961F0000}"/>
    <cellStyle name="Comma 2 11 5 2" xfId="36728" xr:uid="{00000000-0005-0000-0000-0000971F0000}"/>
    <cellStyle name="Comma 2 11 5 3" xfId="28993" xr:uid="{00000000-0005-0000-0000-0000981F0000}"/>
    <cellStyle name="Comma 2 11 6" xfId="33615" xr:uid="{00000000-0005-0000-0000-0000991F0000}"/>
    <cellStyle name="Comma 2 11 7" xfId="27874" xr:uid="{00000000-0005-0000-0000-00009A1F0000}"/>
    <cellStyle name="Comma 2 12" xfId="10469" xr:uid="{00000000-0005-0000-0000-00009B1F0000}"/>
    <cellStyle name="Comma 2 12 2" xfId="11122" xr:uid="{00000000-0005-0000-0000-00009C1F0000}"/>
    <cellStyle name="Comma 2 12 2 2" xfId="12492" xr:uid="{00000000-0005-0000-0000-00009D1F0000}"/>
    <cellStyle name="Comma 2 12 2 3" xfId="15506" xr:uid="{00000000-0005-0000-0000-00009E1F0000}"/>
    <cellStyle name="Comma 2 12 2 3 2" xfId="36884" xr:uid="{00000000-0005-0000-0000-00009F1F0000}"/>
    <cellStyle name="Comma 2 12 2 4" xfId="33939" xr:uid="{00000000-0005-0000-0000-0000A01F0000}"/>
    <cellStyle name="Comma 2 12 3" xfId="11667" xr:uid="{00000000-0005-0000-0000-0000A11F0000}"/>
    <cellStyle name="Comma 2 12 3 2" xfId="15614" xr:uid="{00000000-0005-0000-0000-0000A21F0000}"/>
    <cellStyle name="Comma 2 12 3 2 2" xfId="36990" xr:uid="{00000000-0005-0000-0000-0000A31F0000}"/>
    <cellStyle name="Comma 2 12 3 3" xfId="34445" xr:uid="{00000000-0005-0000-0000-0000A41F0000}"/>
    <cellStyle name="Comma 2 12 3 4" xfId="29797" xr:uid="{00000000-0005-0000-0000-0000A51F0000}"/>
    <cellStyle name="Comma 2 12 4" xfId="15346" xr:uid="{00000000-0005-0000-0000-0000A61F0000}"/>
    <cellStyle name="Comma 2 12 4 2" xfId="36733" xr:uid="{00000000-0005-0000-0000-0000A71F0000}"/>
    <cellStyle name="Comma 2 12 4 3" xfId="29092" xr:uid="{00000000-0005-0000-0000-0000A81F0000}"/>
    <cellStyle name="Comma 2 12 5" xfId="33622" xr:uid="{00000000-0005-0000-0000-0000A91F0000}"/>
    <cellStyle name="Comma 2 12 6" xfId="27885" xr:uid="{00000000-0005-0000-0000-0000AA1F0000}"/>
    <cellStyle name="Comma 2 13" xfId="10537" xr:uid="{00000000-0005-0000-0000-0000AB1F0000}"/>
    <cellStyle name="Comma 2 13 2" xfId="12493" xr:uid="{00000000-0005-0000-0000-0000AC1F0000}"/>
    <cellStyle name="Comma 2 13 3" xfId="11786" xr:uid="{00000000-0005-0000-0000-0000AD1F0000}"/>
    <cellStyle name="Comma 2 13 3 2" xfId="15638" xr:uid="{00000000-0005-0000-0000-0000AE1F0000}"/>
    <cellStyle name="Comma 2 13 3 2 2" xfId="37013" xr:uid="{00000000-0005-0000-0000-0000AF1F0000}"/>
    <cellStyle name="Comma 2 13 3 3" xfId="34564" xr:uid="{00000000-0005-0000-0000-0000B01F0000}"/>
    <cellStyle name="Comma 2 13 3 4" xfId="29915" xr:uid="{00000000-0005-0000-0000-0000B11F0000}"/>
    <cellStyle name="Comma 2 13 4" xfId="15411" xr:uid="{00000000-0005-0000-0000-0000B21F0000}"/>
    <cellStyle name="Comma 2 13 4 2" xfId="36795" xr:uid="{00000000-0005-0000-0000-0000B31F0000}"/>
    <cellStyle name="Comma 2 13 4 3" xfId="28994" xr:uid="{00000000-0005-0000-0000-0000B41F0000}"/>
    <cellStyle name="Comma 2 13 5" xfId="33671" xr:uid="{00000000-0005-0000-0000-0000B51F0000}"/>
    <cellStyle name="Comma 2 13 6" xfId="27890" xr:uid="{00000000-0005-0000-0000-0000B61F0000}"/>
    <cellStyle name="Comma 2 14" xfId="11905" xr:uid="{00000000-0005-0000-0000-0000B71F0000}"/>
    <cellStyle name="Comma 2 14 2" xfId="12494" xr:uid="{00000000-0005-0000-0000-0000B81F0000}"/>
    <cellStyle name="Comma 2 14 3" xfId="15664" xr:uid="{00000000-0005-0000-0000-0000B91F0000}"/>
    <cellStyle name="Comma 2 14 3 2" xfId="37038" xr:uid="{00000000-0005-0000-0000-0000BA1F0000}"/>
    <cellStyle name="Comma 2 14 3 3" xfId="30033" xr:uid="{00000000-0005-0000-0000-0000BB1F0000}"/>
    <cellStyle name="Comma 2 14 4" xfId="29187" xr:uid="{00000000-0005-0000-0000-0000BC1F0000}"/>
    <cellStyle name="Comma 2 14 5" xfId="34683" xr:uid="{00000000-0005-0000-0000-0000BD1F0000}"/>
    <cellStyle name="Comma 2 14 6" xfId="27893" xr:uid="{00000000-0005-0000-0000-0000BE1F0000}"/>
    <cellStyle name="Comma 2 15" xfId="12495" xr:uid="{00000000-0005-0000-0000-0000BF1F0000}"/>
    <cellStyle name="Comma 2 15 2" xfId="30293" xr:uid="{00000000-0005-0000-0000-0000C01F0000}"/>
    <cellStyle name="Comma 2 15 3" xfId="29259" xr:uid="{00000000-0005-0000-0000-0000C11F0000}"/>
    <cellStyle name="Comma 2 16" xfId="12496" xr:uid="{00000000-0005-0000-0000-0000C21F0000}"/>
    <cellStyle name="Comma 2 16 2" xfId="30294" xr:uid="{00000000-0005-0000-0000-0000C31F0000}"/>
    <cellStyle name="Comma 2 16 3" xfId="28428" xr:uid="{00000000-0005-0000-0000-0000C41F0000}"/>
    <cellStyle name="Comma 2 17" xfId="12489" xr:uid="{00000000-0005-0000-0000-0000C51F0000}"/>
    <cellStyle name="Comma 2 17 2" xfId="15889" xr:uid="{00000000-0005-0000-0000-0000C61F0000}"/>
    <cellStyle name="Comma 2 17 2 2" xfId="37251" xr:uid="{00000000-0005-0000-0000-0000C71F0000}"/>
    <cellStyle name="Comma 2 17 2 3" xfId="30290" xr:uid="{00000000-0005-0000-0000-0000C81F0000}"/>
    <cellStyle name="Comma 2 17 3" xfId="34943" xr:uid="{00000000-0005-0000-0000-0000C91F0000}"/>
    <cellStyle name="Comma 2 17 4" xfId="28034" xr:uid="{00000000-0005-0000-0000-0000CA1F0000}"/>
    <cellStyle name="Comma 2 17 5" xfId="39249" xr:uid="{00000000-0005-0000-0000-0000CF070000}"/>
    <cellStyle name="Comma 2 17 6" xfId="41181" xr:uid="{00000000-0005-0000-0000-0000CF070000}"/>
    <cellStyle name="Comma 2 18" xfId="13414" xr:uid="{00000000-0005-0000-0000-0000CB1F0000}"/>
    <cellStyle name="Comma 2 18 2" xfId="16093" xr:uid="{00000000-0005-0000-0000-0000CC1F0000}"/>
    <cellStyle name="Comma 2 18 2 2" xfId="37415" xr:uid="{00000000-0005-0000-0000-0000CD1F0000}"/>
    <cellStyle name="Comma 2 18 2 3" xfId="30526" xr:uid="{00000000-0005-0000-0000-0000CE1F0000}"/>
    <cellStyle name="Comma 2 18 3" xfId="35188" xr:uid="{00000000-0005-0000-0000-0000CF1F0000}"/>
    <cellStyle name="Comma 2 18 4" xfId="28162" xr:uid="{00000000-0005-0000-0000-0000D01F0000}"/>
    <cellStyle name="Comma 2 18 5" xfId="39250" xr:uid="{00000000-0005-0000-0000-0000D0070000}"/>
    <cellStyle name="Comma 2 18 6" xfId="41182" xr:uid="{00000000-0005-0000-0000-0000D0070000}"/>
    <cellStyle name="Comma 2 19" xfId="13536" xr:uid="{00000000-0005-0000-0000-0000D11F0000}"/>
    <cellStyle name="Comma 2 19 2" xfId="16124" xr:uid="{00000000-0005-0000-0000-0000D21F0000}"/>
    <cellStyle name="Comma 2 19 2 2" xfId="37445" xr:uid="{00000000-0005-0000-0000-0000D31F0000}"/>
    <cellStyle name="Comma 2 19 2 3" xfId="30648" xr:uid="{00000000-0005-0000-0000-0000D41F0000}"/>
    <cellStyle name="Comma 2 19 3" xfId="35310" xr:uid="{00000000-0005-0000-0000-0000D51F0000}"/>
    <cellStyle name="Comma 2 19 4" xfId="28168" xr:uid="{00000000-0005-0000-0000-0000D61F0000}"/>
    <cellStyle name="Comma 2 19 5" xfId="39251" xr:uid="{00000000-0005-0000-0000-0000D1070000}"/>
    <cellStyle name="Comma 2 19 6" xfId="41183" xr:uid="{00000000-0005-0000-0000-0000D1070000}"/>
    <cellStyle name="Comma 2 2" xfId="1707" xr:uid="{00000000-0005-0000-0000-0000D71F0000}"/>
    <cellStyle name="Comma 2 2 10" xfId="10470" xr:uid="{00000000-0005-0000-0000-0000D81F0000}"/>
    <cellStyle name="Comma 2 2 10 2" xfId="11123" xr:uid="{00000000-0005-0000-0000-0000D91F0000}"/>
    <cellStyle name="Comma 2 2 10 2 2" xfId="15507" xr:uid="{00000000-0005-0000-0000-0000DA1F0000}"/>
    <cellStyle name="Comma 2 2 10 2 2 2" xfId="36885" xr:uid="{00000000-0005-0000-0000-0000DB1F0000}"/>
    <cellStyle name="Comma 2 2 10 2 3" xfId="33940" xr:uid="{00000000-0005-0000-0000-0000DC1F0000}"/>
    <cellStyle name="Comma 2 2 10 3" xfId="15347" xr:uid="{00000000-0005-0000-0000-0000DD1F0000}"/>
    <cellStyle name="Comma 2 2 10 3 2" xfId="36734" xr:uid="{00000000-0005-0000-0000-0000DE1F0000}"/>
    <cellStyle name="Comma 2 2 10 4" xfId="33623" xr:uid="{00000000-0005-0000-0000-0000DF1F0000}"/>
    <cellStyle name="Comma 2 2 10 5" xfId="28995" xr:uid="{00000000-0005-0000-0000-0000E01F0000}"/>
    <cellStyle name="Comma 2 2 11" xfId="10538" xr:uid="{00000000-0005-0000-0000-0000E11F0000}"/>
    <cellStyle name="Comma 2 2 11 2" xfId="15412" xr:uid="{00000000-0005-0000-0000-0000E21F0000}"/>
    <cellStyle name="Comma 2 2 11 2 2" xfId="36796" xr:uid="{00000000-0005-0000-0000-0000E31F0000}"/>
    <cellStyle name="Comma 2 2 11 3" xfId="33672" xr:uid="{00000000-0005-0000-0000-0000E41F0000}"/>
    <cellStyle name="Comma 2 2 11 4" xfId="29188" xr:uid="{00000000-0005-0000-0000-0000E51F0000}"/>
    <cellStyle name="Comma 2 2 12" xfId="14082" xr:uid="{00000000-0005-0000-0000-0000E61F0000}"/>
    <cellStyle name="Comma 2 2 12 2" xfId="16256" xr:uid="{00000000-0005-0000-0000-0000E71F0000}"/>
    <cellStyle name="Comma 2 2 12 2 2" xfId="37566" xr:uid="{00000000-0005-0000-0000-0000E81F0000}"/>
    <cellStyle name="Comma 2 2 12 3" xfId="35813" xr:uid="{00000000-0005-0000-0000-0000E91F0000}"/>
    <cellStyle name="Comma 2 2 12 4" xfId="29260" xr:uid="{00000000-0005-0000-0000-0000EA1F0000}"/>
    <cellStyle name="Comma 2 2 13" xfId="14124" xr:uid="{00000000-0005-0000-0000-0000EB1F0000}"/>
    <cellStyle name="Comma 2 2 13 2" xfId="16284" xr:uid="{00000000-0005-0000-0000-0000EC1F0000}"/>
    <cellStyle name="Comma 2 2 13 2 2" xfId="37592" xr:uid="{00000000-0005-0000-0000-0000ED1F0000}"/>
    <cellStyle name="Comma 2 2 13 3" xfId="35828" xr:uid="{00000000-0005-0000-0000-0000EE1F0000}"/>
    <cellStyle name="Comma 2 2 13 4" xfId="28429" xr:uid="{00000000-0005-0000-0000-0000EF1F0000}"/>
    <cellStyle name="Comma 2 2 14" xfId="14131" xr:uid="{00000000-0005-0000-0000-0000F01F0000}"/>
    <cellStyle name="Comma 2 2 14 2" xfId="16291" xr:uid="{00000000-0005-0000-0000-0000F11F0000}"/>
    <cellStyle name="Comma 2 2 14 2 2" xfId="37599" xr:uid="{00000000-0005-0000-0000-0000F21F0000}"/>
    <cellStyle name="Comma 2 2 14 3" xfId="35835" xr:uid="{00000000-0005-0000-0000-0000F31F0000}"/>
    <cellStyle name="Comma 2 2 14 4" xfId="29279" xr:uid="{00000000-0005-0000-0000-0000F41F0000}"/>
    <cellStyle name="Comma 2 2 15" xfId="9726" xr:uid="{00000000-0005-0000-0000-0000F51F0000}"/>
    <cellStyle name="Comma 2 2 15 2" xfId="15206" xr:uid="{00000000-0005-0000-0000-0000F61F0000}"/>
    <cellStyle name="Comma 2 2 15 2 2" xfId="36614" xr:uid="{00000000-0005-0000-0000-0000F71F0000}"/>
    <cellStyle name="Comma 2 2 15 3" xfId="33261" xr:uid="{00000000-0005-0000-0000-0000F81F0000}"/>
    <cellStyle name="Comma 2 2 15 4" xfId="28194" xr:uid="{00000000-0005-0000-0000-0000F91F0000}"/>
    <cellStyle name="Comma 2 2 16" xfId="14375" xr:uid="{00000000-0005-0000-0000-0000FA1F0000}"/>
    <cellStyle name="Comma 2 2 16 2" xfId="16376" xr:uid="{00000000-0005-0000-0000-0000FB1F0000}"/>
    <cellStyle name="Comma 2 2 16 2 2" xfId="37678" xr:uid="{00000000-0005-0000-0000-0000FC1F0000}"/>
    <cellStyle name="Comma 2 2 16 3" xfId="35916" xr:uid="{00000000-0005-0000-0000-0000FD1F0000}"/>
    <cellStyle name="Comma 2 2 17" xfId="8928" xr:uid="{00000000-0005-0000-0000-0000FE1F0000}"/>
    <cellStyle name="Comma 2 2 17 2" xfId="33195" xr:uid="{00000000-0005-0000-0000-0000FF1F0000}"/>
    <cellStyle name="Comma 2 2 18" xfId="14712" xr:uid="{00000000-0005-0000-0000-000000200000}"/>
    <cellStyle name="Comma 2 2 18 2" xfId="36192" xr:uid="{00000000-0005-0000-0000-000001200000}"/>
    <cellStyle name="Comma 2 2 19" xfId="31220" xr:uid="{00000000-0005-0000-0000-000002200000}"/>
    <cellStyle name="Comma 2 2 2" xfId="3390" xr:uid="{00000000-0005-0000-0000-000003200000}"/>
    <cellStyle name="Comma 2 2 2 10" xfId="9727" xr:uid="{00000000-0005-0000-0000-000004200000}"/>
    <cellStyle name="Comma 2 2 2 10 2" xfId="15207" xr:uid="{00000000-0005-0000-0000-000005200000}"/>
    <cellStyle name="Comma 2 2 2 10 2 2" xfId="36615" xr:uid="{00000000-0005-0000-0000-000006200000}"/>
    <cellStyle name="Comma 2 2 2 10 3" xfId="33262" xr:uid="{00000000-0005-0000-0000-000007200000}"/>
    <cellStyle name="Comma 2 2 2 10 4" xfId="29189" xr:uid="{00000000-0005-0000-0000-000008200000}"/>
    <cellStyle name="Comma 2 2 2 11" xfId="14376" xr:uid="{00000000-0005-0000-0000-000009200000}"/>
    <cellStyle name="Comma 2 2 2 11 2" xfId="16377" xr:uid="{00000000-0005-0000-0000-00000A200000}"/>
    <cellStyle name="Comma 2 2 2 11 2 2" xfId="37679" xr:uid="{00000000-0005-0000-0000-00000B200000}"/>
    <cellStyle name="Comma 2 2 2 11 3" xfId="35917" xr:uid="{00000000-0005-0000-0000-00000C200000}"/>
    <cellStyle name="Comma 2 2 2 11 4" xfId="29261" xr:uid="{00000000-0005-0000-0000-00000D200000}"/>
    <cellStyle name="Comma 2 2 2 12" xfId="8929" xr:uid="{00000000-0005-0000-0000-00000E200000}"/>
    <cellStyle name="Comma 2 2 2 12 2" xfId="33196" xr:uid="{00000000-0005-0000-0000-00000F200000}"/>
    <cellStyle name="Comma 2 2 2 12 3" xfId="28430" xr:uid="{00000000-0005-0000-0000-000010200000}"/>
    <cellStyle name="Comma 2 2 2 13" xfId="14713" xr:uid="{00000000-0005-0000-0000-000011200000}"/>
    <cellStyle name="Comma 2 2 2 13 2" xfId="36193" xr:uid="{00000000-0005-0000-0000-000012200000}"/>
    <cellStyle name="Comma 2 2 2 13 3" xfId="29280" xr:uid="{00000000-0005-0000-0000-000013200000}"/>
    <cellStyle name="Comma 2 2 2 14" xfId="28195" xr:uid="{00000000-0005-0000-0000-000014200000}"/>
    <cellStyle name="Comma 2 2 2 15" xfId="31450" xr:uid="{00000000-0005-0000-0000-000015200000}"/>
    <cellStyle name="Comma 2 2 2 16" xfId="27343" xr:uid="{00000000-0005-0000-0000-000016200000}"/>
    <cellStyle name="Comma 2 2 2 17" xfId="16613" xr:uid="{00000000-0005-0000-0000-000017200000}"/>
    <cellStyle name="Comma 2 2 2 18" xfId="39253" xr:uid="{00000000-0005-0000-0000-0000D3070000}"/>
    <cellStyle name="Comma 2 2 2 2" xfId="7066" xr:uid="{00000000-0005-0000-0000-000018200000}"/>
    <cellStyle name="Comma 2 2 2 2 10" xfId="29281" xr:uid="{00000000-0005-0000-0000-000019200000}"/>
    <cellStyle name="Comma 2 2 2 2 11" xfId="28413" xr:uid="{00000000-0005-0000-0000-00001A200000}"/>
    <cellStyle name="Comma 2 2 2 2 12" xfId="32743" xr:uid="{00000000-0005-0000-0000-00001B200000}"/>
    <cellStyle name="Comma 2 2 2 2 13" xfId="27344" xr:uid="{00000000-0005-0000-0000-00001C200000}"/>
    <cellStyle name="Comma 2 2 2 2 14" xfId="20440" xr:uid="{00000000-0005-0000-0000-00001D200000}"/>
    <cellStyle name="Comma 2 2 2 2 2" xfId="10472" xr:uid="{00000000-0005-0000-0000-00001E200000}"/>
    <cellStyle name="Comma 2 2 2 2 2 2" xfId="11125" xr:uid="{00000000-0005-0000-0000-00001F200000}"/>
    <cellStyle name="Comma 2 2 2 2 2 2 2" xfId="15509" xr:uid="{00000000-0005-0000-0000-000020200000}"/>
    <cellStyle name="Comma 2 2 2 2 2 2 2 2" xfId="36887" xr:uid="{00000000-0005-0000-0000-000021200000}"/>
    <cellStyle name="Comma 2 2 2 2 2 2 2 3" xfId="29152" xr:uid="{00000000-0005-0000-0000-000022200000}"/>
    <cellStyle name="Comma 2 2 2 2 2 2 3" xfId="29054" xr:uid="{00000000-0005-0000-0000-000023200000}"/>
    <cellStyle name="Comma 2 2 2 2 2 2 4" xfId="33942" xr:uid="{00000000-0005-0000-0000-000024200000}"/>
    <cellStyle name="Comma 2 2 2 2 2 2 5" xfId="28957" xr:uid="{00000000-0005-0000-0000-000025200000}"/>
    <cellStyle name="Comma 2 2 2 2 2 3" xfId="15349" xr:uid="{00000000-0005-0000-0000-000026200000}"/>
    <cellStyle name="Comma 2 2 2 2 2 3 2" xfId="36736" xr:uid="{00000000-0005-0000-0000-000027200000}"/>
    <cellStyle name="Comma 2 2 2 2 2 3 3" xfId="29105" xr:uid="{00000000-0005-0000-0000-000028200000}"/>
    <cellStyle name="Comma 2 2 2 2 2 4" xfId="29007" xr:uid="{00000000-0005-0000-0000-000029200000}"/>
    <cellStyle name="Comma 2 2 2 2 2 5" xfId="29510" xr:uid="{00000000-0005-0000-0000-00002A200000}"/>
    <cellStyle name="Comma 2 2 2 2 2 6" xfId="28900" xr:uid="{00000000-0005-0000-0000-00002B200000}"/>
    <cellStyle name="Comma 2 2 2 2 2 7" xfId="33625" xr:uid="{00000000-0005-0000-0000-00002C200000}"/>
    <cellStyle name="Comma 2 2 2 2 2 8" xfId="27729" xr:uid="{00000000-0005-0000-0000-00002D200000}"/>
    <cellStyle name="Comma 2 2 2 2 3" xfId="10540" xr:uid="{00000000-0005-0000-0000-00002E200000}"/>
    <cellStyle name="Comma 2 2 2 2 3 2" xfId="15414" xr:uid="{00000000-0005-0000-0000-00002F200000}"/>
    <cellStyle name="Comma 2 2 2 2 3 2 2" xfId="29162" xr:uid="{00000000-0005-0000-0000-000030200000}"/>
    <cellStyle name="Comma 2 2 2 2 3 2 3" xfId="29064" xr:uid="{00000000-0005-0000-0000-000031200000}"/>
    <cellStyle name="Comma 2 2 2 2 3 2 4" xfId="36798" xr:uid="{00000000-0005-0000-0000-000032200000}"/>
    <cellStyle name="Comma 2 2 2 2 3 2 5" xfId="28967" xr:uid="{00000000-0005-0000-0000-000033200000}"/>
    <cellStyle name="Comma 2 2 2 2 3 3" xfId="29115" xr:uid="{00000000-0005-0000-0000-000034200000}"/>
    <cellStyle name="Comma 2 2 2 2 3 4" xfId="29017" xr:uid="{00000000-0005-0000-0000-000035200000}"/>
    <cellStyle name="Comma 2 2 2 2 3 5" xfId="33674" xr:uid="{00000000-0005-0000-0000-000036200000}"/>
    <cellStyle name="Comma 2 2 2 2 3 6" xfId="28910" xr:uid="{00000000-0005-0000-0000-000037200000}"/>
    <cellStyle name="Comma 2 2 2 2 4" xfId="9728" xr:uid="{00000000-0005-0000-0000-000038200000}"/>
    <cellStyle name="Comma 2 2 2 2 4 2" xfId="28982" xr:uid="{00000000-0005-0000-0000-000039200000}"/>
    <cellStyle name="Comma 2 2 2 2 4 2 2" xfId="29177" xr:uid="{00000000-0005-0000-0000-00003A200000}"/>
    <cellStyle name="Comma 2 2 2 2 4 2 3" xfId="29079" xr:uid="{00000000-0005-0000-0000-00003B200000}"/>
    <cellStyle name="Comma 2 2 2 2 4 3" xfId="29130" xr:uid="{00000000-0005-0000-0000-00003C200000}"/>
    <cellStyle name="Comma 2 2 2 2 4 4" xfId="29032" xr:uid="{00000000-0005-0000-0000-00003D200000}"/>
    <cellStyle name="Comma 2 2 2 2 4 5" xfId="33263" xr:uid="{00000000-0005-0000-0000-00003E200000}"/>
    <cellStyle name="Comma 2 2 2 2 4 6" xfId="28930" xr:uid="{00000000-0005-0000-0000-00003F200000}"/>
    <cellStyle name="Comma 2 2 2 2 5" xfId="15208" xr:uid="{00000000-0005-0000-0000-000040200000}"/>
    <cellStyle name="Comma 2 2 2 2 5 2" xfId="29142" xr:uid="{00000000-0005-0000-0000-000041200000}"/>
    <cellStyle name="Comma 2 2 2 2 5 3" xfId="29044" xr:uid="{00000000-0005-0000-0000-000042200000}"/>
    <cellStyle name="Comma 2 2 2 2 5 4" xfId="36616" xr:uid="{00000000-0005-0000-0000-000043200000}"/>
    <cellStyle name="Comma 2 2 2 2 5 5" xfId="28947" xr:uid="{00000000-0005-0000-0000-000044200000}"/>
    <cellStyle name="Comma 2 2 2 2 6" xfId="29095" xr:uid="{00000000-0005-0000-0000-000045200000}"/>
    <cellStyle name="Comma 2 2 2 2 7" xfId="28997" xr:uid="{00000000-0005-0000-0000-000046200000}"/>
    <cellStyle name="Comma 2 2 2 2 8" xfId="29190" xr:uid="{00000000-0005-0000-0000-000047200000}"/>
    <cellStyle name="Comma 2 2 2 2 9" xfId="28431" xr:uid="{00000000-0005-0000-0000-000048200000}"/>
    <cellStyle name="Comma 2 2 2 3" xfId="8659" xr:uid="{00000000-0005-0000-0000-000049200000}"/>
    <cellStyle name="Comma 2 2 2 3 10" xfId="21950" xr:uid="{00000000-0005-0000-0000-00004A200000}"/>
    <cellStyle name="Comma 2 2 2 3 2" xfId="10473" xr:uid="{00000000-0005-0000-0000-00004B200000}"/>
    <cellStyle name="Comma 2 2 2 3 2 2" xfId="11126" xr:uid="{00000000-0005-0000-0000-00004C200000}"/>
    <cellStyle name="Comma 2 2 2 3 2 2 2" xfId="15510" xr:uid="{00000000-0005-0000-0000-00004D200000}"/>
    <cellStyle name="Comma 2 2 2 3 2 2 2 2" xfId="36888" xr:uid="{00000000-0005-0000-0000-00004E200000}"/>
    <cellStyle name="Comma 2 2 2 3 2 2 3" xfId="33943" xr:uid="{00000000-0005-0000-0000-00004F200000}"/>
    <cellStyle name="Comma 2 2 2 3 2 2 4" xfId="29151" xr:uid="{00000000-0005-0000-0000-000050200000}"/>
    <cellStyle name="Comma 2 2 2 3 2 3" xfId="15350" xr:uid="{00000000-0005-0000-0000-000051200000}"/>
    <cellStyle name="Comma 2 2 2 3 2 3 2" xfId="36737" xr:uid="{00000000-0005-0000-0000-000052200000}"/>
    <cellStyle name="Comma 2 2 2 3 2 3 3" xfId="29053" xr:uid="{00000000-0005-0000-0000-000053200000}"/>
    <cellStyle name="Comma 2 2 2 3 2 4" xfId="29511" xr:uid="{00000000-0005-0000-0000-000054200000}"/>
    <cellStyle name="Comma 2 2 2 3 2 5" xfId="28956" xr:uid="{00000000-0005-0000-0000-000055200000}"/>
    <cellStyle name="Comma 2 2 2 3 2 6" xfId="33626" xr:uid="{00000000-0005-0000-0000-000056200000}"/>
    <cellStyle name="Comma 2 2 2 3 2 7" xfId="27730" xr:uid="{00000000-0005-0000-0000-000057200000}"/>
    <cellStyle name="Comma 2 2 2 3 3" xfId="10541" xr:uid="{00000000-0005-0000-0000-000058200000}"/>
    <cellStyle name="Comma 2 2 2 3 3 2" xfId="15415" xr:uid="{00000000-0005-0000-0000-000059200000}"/>
    <cellStyle name="Comma 2 2 2 3 3 2 2" xfId="36799" xr:uid="{00000000-0005-0000-0000-00005A200000}"/>
    <cellStyle name="Comma 2 2 2 3 3 3" xfId="33675" xr:uid="{00000000-0005-0000-0000-00005B200000}"/>
    <cellStyle name="Comma 2 2 2 3 3 4" xfId="29104" xr:uid="{00000000-0005-0000-0000-00005C200000}"/>
    <cellStyle name="Comma 2 2 2 3 4" xfId="9729" xr:uid="{00000000-0005-0000-0000-00005D200000}"/>
    <cellStyle name="Comma 2 2 2 3 4 2" xfId="33264" xr:uid="{00000000-0005-0000-0000-00005E200000}"/>
    <cellStyle name="Comma 2 2 2 3 4 3" xfId="29006" xr:uid="{00000000-0005-0000-0000-00005F200000}"/>
    <cellStyle name="Comma 2 2 2 3 5" xfId="15209" xr:uid="{00000000-0005-0000-0000-000060200000}"/>
    <cellStyle name="Comma 2 2 2 3 5 2" xfId="36617" xr:uid="{00000000-0005-0000-0000-000061200000}"/>
    <cellStyle name="Comma 2 2 2 3 5 3" xfId="29191" xr:uid="{00000000-0005-0000-0000-000062200000}"/>
    <cellStyle name="Comma 2 2 2 3 6" xfId="29282" xr:uid="{00000000-0005-0000-0000-000063200000}"/>
    <cellStyle name="Comma 2 2 2 3 7" xfId="28899" xr:uid="{00000000-0005-0000-0000-000064200000}"/>
    <cellStyle name="Comma 2 2 2 3 8" xfId="33109" xr:uid="{00000000-0005-0000-0000-000065200000}"/>
    <cellStyle name="Comma 2 2 2 3 9" xfId="27345" xr:uid="{00000000-0005-0000-0000-000066200000}"/>
    <cellStyle name="Comma 2 2 2 4" xfId="4151" xr:uid="{00000000-0005-0000-0000-000067200000}"/>
    <cellStyle name="Comma 2 2 2 4 10" xfId="17833" xr:uid="{00000000-0005-0000-0000-000068200000}"/>
    <cellStyle name="Comma 2 2 2 4 2" xfId="10474" xr:uid="{00000000-0005-0000-0000-000069200000}"/>
    <cellStyle name="Comma 2 2 2 4 2 2" xfId="11127" xr:uid="{00000000-0005-0000-0000-00006A200000}"/>
    <cellStyle name="Comma 2 2 2 4 2 2 2" xfId="15511" xr:uid="{00000000-0005-0000-0000-00006B200000}"/>
    <cellStyle name="Comma 2 2 2 4 2 2 2 2" xfId="36889" xr:uid="{00000000-0005-0000-0000-00006C200000}"/>
    <cellStyle name="Comma 2 2 2 4 2 2 3" xfId="33944" xr:uid="{00000000-0005-0000-0000-00006D200000}"/>
    <cellStyle name="Comma 2 2 2 4 2 2 4" xfId="29161" xr:uid="{00000000-0005-0000-0000-00006E200000}"/>
    <cellStyle name="Comma 2 2 2 4 2 3" xfId="15351" xr:uid="{00000000-0005-0000-0000-00006F200000}"/>
    <cellStyle name="Comma 2 2 2 4 2 3 2" xfId="36738" xr:uid="{00000000-0005-0000-0000-000070200000}"/>
    <cellStyle name="Comma 2 2 2 4 2 3 3" xfId="29063" xr:uid="{00000000-0005-0000-0000-000071200000}"/>
    <cellStyle name="Comma 2 2 2 4 2 4" xfId="29512" xr:uid="{00000000-0005-0000-0000-000072200000}"/>
    <cellStyle name="Comma 2 2 2 4 2 5" xfId="28966" xr:uid="{00000000-0005-0000-0000-000073200000}"/>
    <cellStyle name="Comma 2 2 2 4 2 6" xfId="33627" xr:uid="{00000000-0005-0000-0000-000074200000}"/>
    <cellStyle name="Comma 2 2 2 4 2 7" xfId="27731" xr:uid="{00000000-0005-0000-0000-000075200000}"/>
    <cellStyle name="Comma 2 2 2 4 3" xfId="10542" xr:uid="{00000000-0005-0000-0000-000076200000}"/>
    <cellStyle name="Comma 2 2 2 4 3 2" xfId="15416" xr:uid="{00000000-0005-0000-0000-000077200000}"/>
    <cellStyle name="Comma 2 2 2 4 3 2 2" xfId="36800" xr:uid="{00000000-0005-0000-0000-000078200000}"/>
    <cellStyle name="Comma 2 2 2 4 3 3" xfId="33676" xr:uid="{00000000-0005-0000-0000-000079200000}"/>
    <cellStyle name="Comma 2 2 2 4 3 4" xfId="29114" xr:uid="{00000000-0005-0000-0000-00007A200000}"/>
    <cellStyle name="Comma 2 2 2 4 4" xfId="9730" xr:uid="{00000000-0005-0000-0000-00007B200000}"/>
    <cellStyle name="Comma 2 2 2 4 4 2" xfId="33265" xr:uid="{00000000-0005-0000-0000-00007C200000}"/>
    <cellStyle name="Comma 2 2 2 4 4 3" xfId="29016" xr:uid="{00000000-0005-0000-0000-00007D200000}"/>
    <cellStyle name="Comma 2 2 2 4 5" xfId="15210" xr:uid="{00000000-0005-0000-0000-00007E200000}"/>
    <cellStyle name="Comma 2 2 2 4 5 2" xfId="36618" xr:uid="{00000000-0005-0000-0000-00007F200000}"/>
    <cellStyle name="Comma 2 2 2 4 5 3" xfId="29192" xr:uid="{00000000-0005-0000-0000-000080200000}"/>
    <cellStyle name="Comma 2 2 2 4 6" xfId="29283" xr:uid="{00000000-0005-0000-0000-000081200000}"/>
    <cellStyle name="Comma 2 2 2 4 7" xfId="28909" xr:uid="{00000000-0005-0000-0000-000082200000}"/>
    <cellStyle name="Comma 2 2 2 4 8" xfId="31712" xr:uid="{00000000-0005-0000-0000-000083200000}"/>
    <cellStyle name="Comma 2 2 2 4 9" xfId="27346" xr:uid="{00000000-0005-0000-0000-000084200000}"/>
    <cellStyle name="Comma 2 2 2 5" xfId="9731" xr:uid="{00000000-0005-0000-0000-000085200000}"/>
    <cellStyle name="Comma 2 2 2 5 2" xfId="10475" xr:uid="{00000000-0005-0000-0000-000086200000}"/>
    <cellStyle name="Comma 2 2 2 5 2 2" xfId="11128" xr:uid="{00000000-0005-0000-0000-000087200000}"/>
    <cellStyle name="Comma 2 2 2 5 2 2 2" xfId="15512" xr:uid="{00000000-0005-0000-0000-000088200000}"/>
    <cellStyle name="Comma 2 2 2 5 2 2 2 2" xfId="36890" xr:uid="{00000000-0005-0000-0000-000089200000}"/>
    <cellStyle name="Comma 2 2 2 5 2 2 3" xfId="33945" xr:uid="{00000000-0005-0000-0000-00008A200000}"/>
    <cellStyle name="Comma 2 2 2 5 2 2 4" xfId="29171" xr:uid="{00000000-0005-0000-0000-00008B200000}"/>
    <cellStyle name="Comma 2 2 2 5 2 3" xfId="15352" xr:uid="{00000000-0005-0000-0000-00008C200000}"/>
    <cellStyle name="Comma 2 2 2 5 2 3 2" xfId="36739" xr:uid="{00000000-0005-0000-0000-00008D200000}"/>
    <cellStyle name="Comma 2 2 2 5 2 3 3" xfId="29073" xr:uid="{00000000-0005-0000-0000-00008E200000}"/>
    <cellStyle name="Comma 2 2 2 5 2 4" xfId="29513" xr:uid="{00000000-0005-0000-0000-00008F200000}"/>
    <cellStyle name="Comma 2 2 2 5 2 5" xfId="28976" xr:uid="{00000000-0005-0000-0000-000090200000}"/>
    <cellStyle name="Comma 2 2 2 5 2 6" xfId="33628" xr:uid="{00000000-0005-0000-0000-000091200000}"/>
    <cellStyle name="Comma 2 2 2 5 2 7" xfId="27732" xr:uid="{00000000-0005-0000-0000-000092200000}"/>
    <cellStyle name="Comma 2 2 2 5 3" xfId="10543" xr:uid="{00000000-0005-0000-0000-000093200000}"/>
    <cellStyle name="Comma 2 2 2 5 3 2" xfId="15417" xr:uid="{00000000-0005-0000-0000-000094200000}"/>
    <cellStyle name="Comma 2 2 2 5 3 2 2" xfId="36801" xr:uid="{00000000-0005-0000-0000-000095200000}"/>
    <cellStyle name="Comma 2 2 2 5 3 3" xfId="33677" xr:uid="{00000000-0005-0000-0000-000096200000}"/>
    <cellStyle name="Comma 2 2 2 5 3 4" xfId="29124" xr:uid="{00000000-0005-0000-0000-000097200000}"/>
    <cellStyle name="Comma 2 2 2 5 4" xfId="15211" xr:uid="{00000000-0005-0000-0000-000098200000}"/>
    <cellStyle name="Comma 2 2 2 5 4 2" xfId="36619" xr:uid="{00000000-0005-0000-0000-000099200000}"/>
    <cellStyle name="Comma 2 2 2 5 4 3" xfId="29026" xr:uid="{00000000-0005-0000-0000-00009A200000}"/>
    <cellStyle name="Comma 2 2 2 5 5" xfId="29284" xr:uid="{00000000-0005-0000-0000-00009B200000}"/>
    <cellStyle name="Comma 2 2 2 5 6" xfId="28919" xr:uid="{00000000-0005-0000-0000-00009C200000}"/>
    <cellStyle name="Comma 2 2 2 5 7" xfId="33266" xr:uid="{00000000-0005-0000-0000-00009D200000}"/>
    <cellStyle name="Comma 2 2 2 5 8" xfId="27347" xr:uid="{00000000-0005-0000-0000-00009E200000}"/>
    <cellStyle name="Comma 2 2 2 5 9" xfId="17160" xr:uid="{00000000-0005-0000-0000-00009F200000}"/>
    <cellStyle name="Comma 2 2 2 6" xfId="10314" xr:uid="{00000000-0005-0000-0000-0000A0200000}"/>
    <cellStyle name="Comma 2 2 2 6 2" xfId="10508" xr:uid="{00000000-0005-0000-0000-0000A1200000}"/>
    <cellStyle name="Comma 2 2 2 6 2 2" xfId="11161" xr:uid="{00000000-0005-0000-0000-0000A2200000}"/>
    <cellStyle name="Comma 2 2 2 6 2 2 2" xfId="15545" xr:uid="{00000000-0005-0000-0000-0000A3200000}"/>
    <cellStyle name="Comma 2 2 2 6 2 2 2 2" xfId="36923" xr:uid="{00000000-0005-0000-0000-0000A4200000}"/>
    <cellStyle name="Comma 2 2 2 6 2 2 3" xfId="33978" xr:uid="{00000000-0005-0000-0000-0000A5200000}"/>
    <cellStyle name="Comma 2 2 2 6 2 2 4" xfId="29176" xr:uid="{00000000-0005-0000-0000-0000A6200000}"/>
    <cellStyle name="Comma 2 2 2 6 2 3" xfId="15385" xr:uid="{00000000-0005-0000-0000-0000A7200000}"/>
    <cellStyle name="Comma 2 2 2 6 2 3 2" xfId="36772" xr:uid="{00000000-0005-0000-0000-0000A8200000}"/>
    <cellStyle name="Comma 2 2 2 6 2 3 3" xfId="29078" xr:uid="{00000000-0005-0000-0000-0000A9200000}"/>
    <cellStyle name="Comma 2 2 2 6 2 4" xfId="33661" xr:uid="{00000000-0005-0000-0000-0000AA200000}"/>
    <cellStyle name="Comma 2 2 2 6 2 5" xfId="28981" xr:uid="{00000000-0005-0000-0000-0000AB200000}"/>
    <cellStyle name="Comma 2 2 2 6 3" xfId="10908" xr:uid="{00000000-0005-0000-0000-0000AC200000}"/>
    <cellStyle name="Comma 2 2 2 6 3 2" xfId="15483" xr:uid="{00000000-0005-0000-0000-0000AD200000}"/>
    <cellStyle name="Comma 2 2 2 6 3 2 2" xfId="36862" xr:uid="{00000000-0005-0000-0000-0000AE200000}"/>
    <cellStyle name="Comma 2 2 2 6 3 3" xfId="33858" xr:uid="{00000000-0005-0000-0000-0000AF200000}"/>
    <cellStyle name="Comma 2 2 2 6 3 4" xfId="29129" xr:uid="{00000000-0005-0000-0000-0000B0200000}"/>
    <cellStyle name="Comma 2 2 2 6 4" xfId="15324" xr:uid="{00000000-0005-0000-0000-0000B1200000}"/>
    <cellStyle name="Comma 2 2 2 6 4 2" xfId="36714" xr:uid="{00000000-0005-0000-0000-0000B2200000}"/>
    <cellStyle name="Comma 2 2 2 6 4 3" xfId="29031" xr:uid="{00000000-0005-0000-0000-0000B3200000}"/>
    <cellStyle name="Comma 2 2 2 6 5" xfId="29509" xr:uid="{00000000-0005-0000-0000-0000B4200000}"/>
    <cellStyle name="Comma 2 2 2 6 6" xfId="28929" xr:uid="{00000000-0005-0000-0000-0000B5200000}"/>
    <cellStyle name="Comma 2 2 2 6 7" xfId="33602" xr:uid="{00000000-0005-0000-0000-0000B6200000}"/>
    <cellStyle name="Comma 2 2 2 6 8" xfId="27728" xr:uid="{00000000-0005-0000-0000-0000B7200000}"/>
    <cellStyle name="Comma 2 2 2 7" xfId="10464" xr:uid="{00000000-0005-0000-0000-0000B8200000}"/>
    <cellStyle name="Comma 2 2 2 7 2" xfId="10519" xr:uid="{00000000-0005-0000-0000-0000B9200000}"/>
    <cellStyle name="Comma 2 2 2 7 2 2" xfId="11166" xr:uid="{00000000-0005-0000-0000-0000BA200000}"/>
    <cellStyle name="Comma 2 2 2 7 2 2 2" xfId="15550" xr:uid="{00000000-0005-0000-0000-0000BB200000}"/>
    <cellStyle name="Comma 2 2 2 7 2 2 2 2" xfId="36928" xr:uid="{00000000-0005-0000-0000-0000BC200000}"/>
    <cellStyle name="Comma 2 2 2 7 2 2 3" xfId="33983" xr:uid="{00000000-0005-0000-0000-0000BD200000}"/>
    <cellStyle name="Comma 2 2 2 7 2 3" xfId="15392" xr:uid="{00000000-0005-0000-0000-0000BE200000}"/>
    <cellStyle name="Comma 2 2 2 7 2 3 2" xfId="36777" xr:uid="{00000000-0005-0000-0000-0000BF200000}"/>
    <cellStyle name="Comma 2 2 2 7 2 4" xfId="33666" xr:uid="{00000000-0005-0000-0000-0000C0200000}"/>
    <cellStyle name="Comma 2 2 2 7 2 5" xfId="29141" xr:uid="{00000000-0005-0000-0000-0000C1200000}"/>
    <cellStyle name="Comma 2 2 2 7 3" xfId="11119" xr:uid="{00000000-0005-0000-0000-0000C2200000}"/>
    <cellStyle name="Comma 2 2 2 7 3 2" xfId="15503" xr:uid="{00000000-0005-0000-0000-0000C3200000}"/>
    <cellStyle name="Comma 2 2 2 7 3 2 2" xfId="36881" xr:uid="{00000000-0005-0000-0000-0000C4200000}"/>
    <cellStyle name="Comma 2 2 2 7 3 3" xfId="33936" xr:uid="{00000000-0005-0000-0000-0000C5200000}"/>
    <cellStyle name="Comma 2 2 2 7 3 4" xfId="29043" xr:uid="{00000000-0005-0000-0000-0000C6200000}"/>
    <cellStyle name="Comma 2 2 2 7 4" xfId="15343" xr:uid="{00000000-0005-0000-0000-0000C7200000}"/>
    <cellStyle name="Comma 2 2 2 7 4 2" xfId="36730" xr:uid="{00000000-0005-0000-0000-0000C8200000}"/>
    <cellStyle name="Comma 2 2 2 7 4 3" xfId="31132" xr:uid="{00000000-0005-0000-0000-0000C9200000}"/>
    <cellStyle name="Comma 2 2 2 7 5" xfId="28946" xr:uid="{00000000-0005-0000-0000-0000CA200000}"/>
    <cellStyle name="Comma 2 2 2 7 6" xfId="33617" xr:uid="{00000000-0005-0000-0000-0000CB200000}"/>
    <cellStyle name="Comma 2 2 2 7 7" xfId="28185" xr:uid="{00000000-0005-0000-0000-0000CC200000}"/>
    <cellStyle name="Comma 2 2 2 8" xfId="10471" xr:uid="{00000000-0005-0000-0000-0000CD200000}"/>
    <cellStyle name="Comma 2 2 2 8 2" xfId="11124" xr:uid="{00000000-0005-0000-0000-0000CE200000}"/>
    <cellStyle name="Comma 2 2 2 8 2 2" xfId="15508" xr:uid="{00000000-0005-0000-0000-0000CF200000}"/>
    <cellStyle name="Comma 2 2 2 8 2 2 2" xfId="36886" xr:uid="{00000000-0005-0000-0000-0000D0200000}"/>
    <cellStyle name="Comma 2 2 2 8 2 3" xfId="33941" xr:uid="{00000000-0005-0000-0000-0000D1200000}"/>
    <cellStyle name="Comma 2 2 2 8 3" xfId="15348" xr:uid="{00000000-0005-0000-0000-0000D2200000}"/>
    <cellStyle name="Comma 2 2 2 8 3 2" xfId="36735" xr:uid="{00000000-0005-0000-0000-0000D3200000}"/>
    <cellStyle name="Comma 2 2 2 8 4" xfId="33624" xr:uid="{00000000-0005-0000-0000-0000D4200000}"/>
    <cellStyle name="Comma 2 2 2 8 5" xfId="29094" xr:uid="{00000000-0005-0000-0000-0000D5200000}"/>
    <cellStyle name="Comma 2 2 2 9" xfId="10539" xr:uid="{00000000-0005-0000-0000-0000D6200000}"/>
    <cellStyle name="Comma 2 2 2 9 2" xfId="15413" xr:uid="{00000000-0005-0000-0000-0000D7200000}"/>
    <cellStyle name="Comma 2 2 2 9 2 2" xfId="36797" xr:uid="{00000000-0005-0000-0000-0000D8200000}"/>
    <cellStyle name="Comma 2 2 2 9 3" xfId="33673" xr:uid="{00000000-0005-0000-0000-0000D9200000}"/>
    <cellStyle name="Comma 2 2 2 9 4" xfId="28996" xr:uid="{00000000-0005-0000-0000-0000DA200000}"/>
    <cellStyle name="Comma 2 2 20" xfId="27342" xr:uid="{00000000-0005-0000-0000-0000DB200000}"/>
    <cellStyle name="Comma 2 2 21" xfId="16608" xr:uid="{00000000-0005-0000-0000-0000DC200000}"/>
    <cellStyle name="Comma 2 2 3" xfId="6663" xr:uid="{00000000-0005-0000-0000-0000DD200000}"/>
    <cellStyle name="Comma 2 2 3 10" xfId="29285" xr:uid="{00000000-0005-0000-0000-0000DE200000}"/>
    <cellStyle name="Comma 2 2 3 11" xfId="28378" xr:uid="{00000000-0005-0000-0000-0000DF200000}"/>
    <cellStyle name="Comma 2 2 3 12" xfId="32715" xr:uid="{00000000-0005-0000-0000-0000E0200000}"/>
    <cellStyle name="Comma 2 2 3 13" xfId="27348" xr:uid="{00000000-0005-0000-0000-0000E1200000}"/>
    <cellStyle name="Comma 2 2 3 14" xfId="20153" xr:uid="{00000000-0005-0000-0000-0000E2200000}"/>
    <cellStyle name="Comma 2 2 3 15" xfId="39252" xr:uid="{00000000-0005-0000-0000-0000D4070000}"/>
    <cellStyle name="Comma 2 2 3 16" xfId="41184" xr:uid="{00000000-0005-0000-0000-0000D4070000}"/>
    <cellStyle name="Comma 2 2 3 2" xfId="9733" xr:uid="{00000000-0005-0000-0000-0000E3200000}"/>
    <cellStyle name="Comma 2 2 3 2 2" xfId="10477" xr:uid="{00000000-0005-0000-0000-0000E4200000}"/>
    <cellStyle name="Comma 2 2 3 2 2 2" xfId="11130" xr:uid="{00000000-0005-0000-0000-0000E5200000}"/>
    <cellStyle name="Comma 2 2 3 2 2 2 2" xfId="15514" xr:uid="{00000000-0005-0000-0000-0000E6200000}"/>
    <cellStyle name="Comma 2 2 3 2 2 2 2 2" xfId="36892" xr:uid="{00000000-0005-0000-0000-0000E7200000}"/>
    <cellStyle name="Comma 2 2 3 2 2 2 3" xfId="33947" xr:uid="{00000000-0005-0000-0000-0000E8200000}"/>
    <cellStyle name="Comma 2 2 3 2 2 2 4" xfId="29153" xr:uid="{00000000-0005-0000-0000-0000E9200000}"/>
    <cellStyle name="Comma 2 2 3 2 2 3" xfId="15354" xr:uid="{00000000-0005-0000-0000-0000EA200000}"/>
    <cellStyle name="Comma 2 2 3 2 2 3 2" xfId="36741" xr:uid="{00000000-0005-0000-0000-0000EB200000}"/>
    <cellStyle name="Comma 2 2 3 2 2 3 3" xfId="29055" xr:uid="{00000000-0005-0000-0000-0000EC200000}"/>
    <cellStyle name="Comma 2 2 3 2 2 4" xfId="29515" xr:uid="{00000000-0005-0000-0000-0000ED200000}"/>
    <cellStyle name="Comma 2 2 3 2 2 5" xfId="28958" xr:uid="{00000000-0005-0000-0000-0000EE200000}"/>
    <cellStyle name="Comma 2 2 3 2 2 6" xfId="33630" xr:uid="{00000000-0005-0000-0000-0000EF200000}"/>
    <cellStyle name="Comma 2 2 3 2 2 7" xfId="27734" xr:uid="{00000000-0005-0000-0000-0000F0200000}"/>
    <cellStyle name="Comma 2 2 3 2 3" xfId="10545" xr:uid="{00000000-0005-0000-0000-0000F1200000}"/>
    <cellStyle name="Comma 2 2 3 2 3 2" xfId="15419" xr:uid="{00000000-0005-0000-0000-0000F2200000}"/>
    <cellStyle name="Comma 2 2 3 2 3 2 2" xfId="36803" xr:uid="{00000000-0005-0000-0000-0000F3200000}"/>
    <cellStyle name="Comma 2 2 3 2 3 3" xfId="33679" xr:uid="{00000000-0005-0000-0000-0000F4200000}"/>
    <cellStyle name="Comma 2 2 3 2 3 4" xfId="29106" xr:uid="{00000000-0005-0000-0000-0000F5200000}"/>
    <cellStyle name="Comma 2 2 3 2 4" xfId="15213" xr:uid="{00000000-0005-0000-0000-0000F6200000}"/>
    <cellStyle name="Comma 2 2 3 2 4 2" xfId="36621" xr:uid="{00000000-0005-0000-0000-0000F7200000}"/>
    <cellStyle name="Comma 2 2 3 2 4 3" xfId="29008" xr:uid="{00000000-0005-0000-0000-0000F8200000}"/>
    <cellStyle name="Comma 2 2 3 2 5" xfId="29194" xr:uid="{00000000-0005-0000-0000-0000F9200000}"/>
    <cellStyle name="Comma 2 2 3 2 6" xfId="29286" xr:uid="{00000000-0005-0000-0000-0000FA200000}"/>
    <cellStyle name="Comma 2 2 3 2 7" xfId="28901" xr:uid="{00000000-0005-0000-0000-0000FB200000}"/>
    <cellStyle name="Comma 2 2 3 2 8" xfId="33268" xr:uid="{00000000-0005-0000-0000-0000FC200000}"/>
    <cellStyle name="Comma 2 2 3 2 9" xfId="27349" xr:uid="{00000000-0005-0000-0000-0000FD200000}"/>
    <cellStyle name="Comma 2 2 3 3" xfId="9734" xr:uid="{00000000-0005-0000-0000-0000FE200000}"/>
    <cellStyle name="Comma 2 2 3 3 2" xfId="10478" xr:uid="{00000000-0005-0000-0000-0000FF200000}"/>
    <cellStyle name="Comma 2 2 3 3 2 2" xfId="11131" xr:uid="{00000000-0005-0000-0000-000000210000}"/>
    <cellStyle name="Comma 2 2 3 3 2 2 2" xfId="15515" xr:uid="{00000000-0005-0000-0000-000001210000}"/>
    <cellStyle name="Comma 2 2 3 3 2 2 2 2" xfId="36893" xr:uid="{00000000-0005-0000-0000-000002210000}"/>
    <cellStyle name="Comma 2 2 3 3 2 2 3" xfId="33948" xr:uid="{00000000-0005-0000-0000-000003210000}"/>
    <cellStyle name="Comma 2 2 3 3 2 2 4" xfId="29163" xr:uid="{00000000-0005-0000-0000-000004210000}"/>
    <cellStyle name="Comma 2 2 3 3 2 3" xfId="15355" xr:uid="{00000000-0005-0000-0000-000005210000}"/>
    <cellStyle name="Comma 2 2 3 3 2 3 2" xfId="36742" xr:uid="{00000000-0005-0000-0000-000006210000}"/>
    <cellStyle name="Comma 2 2 3 3 2 3 3" xfId="29065" xr:uid="{00000000-0005-0000-0000-000007210000}"/>
    <cellStyle name="Comma 2 2 3 3 2 4" xfId="29516" xr:uid="{00000000-0005-0000-0000-000008210000}"/>
    <cellStyle name="Comma 2 2 3 3 2 5" xfId="28968" xr:uid="{00000000-0005-0000-0000-000009210000}"/>
    <cellStyle name="Comma 2 2 3 3 2 6" xfId="33631" xr:uid="{00000000-0005-0000-0000-00000A210000}"/>
    <cellStyle name="Comma 2 2 3 3 2 7" xfId="27735" xr:uid="{00000000-0005-0000-0000-00000B210000}"/>
    <cellStyle name="Comma 2 2 3 3 3" xfId="10546" xr:uid="{00000000-0005-0000-0000-00000C210000}"/>
    <cellStyle name="Comma 2 2 3 3 3 2" xfId="15420" xr:uid="{00000000-0005-0000-0000-00000D210000}"/>
    <cellStyle name="Comma 2 2 3 3 3 2 2" xfId="36804" xr:uid="{00000000-0005-0000-0000-00000E210000}"/>
    <cellStyle name="Comma 2 2 3 3 3 3" xfId="33680" xr:uid="{00000000-0005-0000-0000-00000F210000}"/>
    <cellStyle name="Comma 2 2 3 3 3 4" xfId="29116" xr:uid="{00000000-0005-0000-0000-000010210000}"/>
    <cellStyle name="Comma 2 2 3 3 4" xfId="15214" xr:uid="{00000000-0005-0000-0000-000011210000}"/>
    <cellStyle name="Comma 2 2 3 3 4 2" xfId="36622" xr:uid="{00000000-0005-0000-0000-000012210000}"/>
    <cellStyle name="Comma 2 2 3 3 4 3" xfId="29018" xr:uid="{00000000-0005-0000-0000-000013210000}"/>
    <cellStyle name="Comma 2 2 3 3 5" xfId="29195" xr:uid="{00000000-0005-0000-0000-000014210000}"/>
    <cellStyle name="Comma 2 2 3 3 6" xfId="29287" xr:uid="{00000000-0005-0000-0000-000015210000}"/>
    <cellStyle name="Comma 2 2 3 3 7" xfId="28911" xr:uid="{00000000-0005-0000-0000-000016210000}"/>
    <cellStyle name="Comma 2 2 3 3 8" xfId="33269" xr:uid="{00000000-0005-0000-0000-000017210000}"/>
    <cellStyle name="Comma 2 2 3 3 9" xfId="27350" xr:uid="{00000000-0005-0000-0000-000018210000}"/>
    <cellStyle name="Comma 2 2 3 4" xfId="10476" xr:uid="{00000000-0005-0000-0000-000019210000}"/>
    <cellStyle name="Comma 2 2 3 4 2" xfId="11129" xr:uid="{00000000-0005-0000-0000-00001A210000}"/>
    <cellStyle name="Comma 2 2 3 4 2 2" xfId="15513" xr:uid="{00000000-0005-0000-0000-00001B210000}"/>
    <cellStyle name="Comma 2 2 3 4 2 2 2" xfId="36891" xr:uid="{00000000-0005-0000-0000-00001C210000}"/>
    <cellStyle name="Comma 2 2 3 4 2 2 3" xfId="29178" xr:uid="{00000000-0005-0000-0000-00001D210000}"/>
    <cellStyle name="Comma 2 2 3 4 2 3" xfId="29080" xr:uid="{00000000-0005-0000-0000-00001E210000}"/>
    <cellStyle name="Comma 2 2 3 4 2 4" xfId="33946" xr:uid="{00000000-0005-0000-0000-00001F210000}"/>
    <cellStyle name="Comma 2 2 3 4 2 5" xfId="28983" xr:uid="{00000000-0005-0000-0000-000020210000}"/>
    <cellStyle name="Comma 2 2 3 4 3" xfId="15353" xr:uid="{00000000-0005-0000-0000-000021210000}"/>
    <cellStyle name="Comma 2 2 3 4 3 2" xfId="36740" xr:uid="{00000000-0005-0000-0000-000022210000}"/>
    <cellStyle name="Comma 2 2 3 4 3 3" xfId="29131" xr:uid="{00000000-0005-0000-0000-000023210000}"/>
    <cellStyle name="Comma 2 2 3 4 4" xfId="29033" xr:uid="{00000000-0005-0000-0000-000024210000}"/>
    <cellStyle name="Comma 2 2 3 4 5" xfId="29514" xr:uid="{00000000-0005-0000-0000-000025210000}"/>
    <cellStyle name="Comma 2 2 3 4 6" xfId="28931" xr:uid="{00000000-0005-0000-0000-000026210000}"/>
    <cellStyle name="Comma 2 2 3 4 7" xfId="33629" xr:uid="{00000000-0005-0000-0000-000027210000}"/>
    <cellStyle name="Comma 2 2 3 4 8" xfId="27733" xr:uid="{00000000-0005-0000-0000-000028210000}"/>
    <cellStyle name="Comma 2 2 3 5" xfId="10544" xr:uid="{00000000-0005-0000-0000-000029210000}"/>
    <cellStyle name="Comma 2 2 3 5 2" xfId="15418" xr:uid="{00000000-0005-0000-0000-00002A210000}"/>
    <cellStyle name="Comma 2 2 3 5 2 2" xfId="36802" xr:uid="{00000000-0005-0000-0000-00002B210000}"/>
    <cellStyle name="Comma 2 2 3 5 2 3" xfId="29143" xr:uid="{00000000-0005-0000-0000-00002C210000}"/>
    <cellStyle name="Comma 2 2 3 5 3" xfId="29045" xr:uid="{00000000-0005-0000-0000-00002D210000}"/>
    <cellStyle name="Comma 2 2 3 5 4" xfId="33678" xr:uid="{00000000-0005-0000-0000-00002E210000}"/>
    <cellStyle name="Comma 2 2 3 5 5" xfId="28948" xr:uid="{00000000-0005-0000-0000-00002F210000}"/>
    <cellStyle name="Comma 2 2 3 6" xfId="9732" xr:uid="{00000000-0005-0000-0000-000030210000}"/>
    <cellStyle name="Comma 2 2 3 6 2" xfId="33267" xr:uid="{00000000-0005-0000-0000-000031210000}"/>
    <cellStyle name="Comma 2 2 3 6 3" xfId="29096" xr:uid="{00000000-0005-0000-0000-000032210000}"/>
    <cellStyle name="Comma 2 2 3 7" xfId="15212" xr:uid="{00000000-0005-0000-0000-000033210000}"/>
    <cellStyle name="Comma 2 2 3 7 2" xfId="36620" xr:uid="{00000000-0005-0000-0000-000034210000}"/>
    <cellStyle name="Comma 2 2 3 7 3" xfId="28998" xr:uid="{00000000-0005-0000-0000-000035210000}"/>
    <cellStyle name="Comma 2 2 3 8" xfId="29193" xr:uid="{00000000-0005-0000-0000-000036210000}"/>
    <cellStyle name="Comma 2 2 3 9" xfId="28432" xr:uid="{00000000-0005-0000-0000-000037210000}"/>
    <cellStyle name="Comma 2 2 4" xfId="8337" xr:uid="{00000000-0005-0000-0000-000038210000}"/>
    <cellStyle name="Comma 2 2 4 10" xfId="27351" xr:uid="{00000000-0005-0000-0000-000039210000}"/>
    <cellStyle name="Comma 2 2 4 11" xfId="21629" xr:uid="{00000000-0005-0000-0000-00003A210000}"/>
    <cellStyle name="Comma 2 2 4 2" xfId="10479" xr:uid="{00000000-0005-0000-0000-00003B210000}"/>
    <cellStyle name="Comma 2 2 4 2 2" xfId="11132" xr:uid="{00000000-0005-0000-0000-00003C210000}"/>
    <cellStyle name="Comma 2 2 4 2 2 2" xfId="15516" xr:uid="{00000000-0005-0000-0000-00003D210000}"/>
    <cellStyle name="Comma 2 2 4 2 2 2 2" xfId="36894" xr:uid="{00000000-0005-0000-0000-00003E210000}"/>
    <cellStyle name="Comma 2 2 4 2 2 2 3" xfId="29185" xr:uid="{00000000-0005-0000-0000-00003F210000}"/>
    <cellStyle name="Comma 2 2 4 2 2 3" xfId="29087" xr:uid="{00000000-0005-0000-0000-000040210000}"/>
    <cellStyle name="Comma 2 2 4 2 2 4" xfId="33949" xr:uid="{00000000-0005-0000-0000-000041210000}"/>
    <cellStyle name="Comma 2 2 4 2 2 5" xfId="28990" xr:uid="{00000000-0005-0000-0000-000042210000}"/>
    <cellStyle name="Comma 2 2 4 2 3" xfId="15356" xr:uid="{00000000-0005-0000-0000-000043210000}"/>
    <cellStyle name="Comma 2 2 4 2 3 2" xfId="36743" xr:uid="{00000000-0005-0000-0000-000044210000}"/>
    <cellStyle name="Comma 2 2 4 2 3 3" xfId="29138" xr:uid="{00000000-0005-0000-0000-000045210000}"/>
    <cellStyle name="Comma 2 2 4 2 4" xfId="29040" xr:uid="{00000000-0005-0000-0000-000046210000}"/>
    <cellStyle name="Comma 2 2 4 2 5" xfId="29517" xr:uid="{00000000-0005-0000-0000-000047210000}"/>
    <cellStyle name="Comma 2 2 4 2 6" xfId="28939" xr:uid="{00000000-0005-0000-0000-000048210000}"/>
    <cellStyle name="Comma 2 2 4 2 7" xfId="33632" xr:uid="{00000000-0005-0000-0000-000049210000}"/>
    <cellStyle name="Comma 2 2 4 2 8" xfId="27736" xr:uid="{00000000-0005-0000-0000-00004A210000}"/>
    <cellStyle name="Comma 2 2 4 3" xfId="10547" xr:uid="{00000000-0005-0000-0000-00004B210000}"/>
    <cellStyle name="Comma 2 2 4 3 2" xfId="15421" xr:uid="{00000000-0005-0000-0000-00004C210000}"/>
    <cellStyle name="Comma 2 2 4 3 2 2" xfId="36805" xr:uid="{00000000-0005-0000-0000-00004D210000}"/>
    <cellStyle name="Comma 2 2 4 3 2 3" xfId="29150" xr:uid="{00000000-0005-0000-0000-00004E210000}"/>
    <cellStyle name="Comma 2 2 4 3 3" xfId="29052" xr:uid="{00000000-0005-0000-0000-00004F210000}"/>
    <cellStyle name="Comma 2 2 4 3 4" xfId="33681" xr:uid="{00000000-0005-0000-0000-000050210000}"/>
    <cellStyle name="Comma 2 2 4 3 5" xfId="28955" xr:uid="{00000000-0005-0000-0000-000051210000}"/>
    <cellStyle name="Comma 2 2 4 4" xfId="9735" xr:uid="{00000000-0005-0000-0000-000052210000}"/>
    <cellStyle name="Comma 2 2 4 4 2" xfId="33270" xr:uid="{00000000-0005-0000-0000-000053210000}"/>
    <cellStyle name="Comma 2 2 4 4 3" xfId="29103" xr:uid="{00000000-0005-0000-0000-000054210000}"/>
    <cellStyle name="Comma 2 2 4 5" xfId="15215" xr:uid="{00000000-0005-0000-0000-000055210000}"/>
    <cellStyle name="Comma 2 2 4 5 2" xfId="36623" xr:uid="{00000000-0005-0000-0000-000056210000}"/>
    <cellStyle name="Comma 2 2 4 5 3" xfId="29005" xr:uid="{00000000-0005-0000-0000-000057210000}"/>
    <cellStyle name="Comma 2 2 4 6" xfId="29196" xr:uid="{00000000-0005-0000-0000-000058210000}"/>
    <cellStyle name="Comma 2 2 4 7" xfId="29288" xr:uid="{00000000-0005-0000-0000-000059210000}"/>
    <cellStyle name="Comma 2 2 4 8" xfId="28746" xr:uid="{00000000-0005-0000-0000-00005A210000}"/>
    <cellStyle name="Comma 2 2 4 9" xfId="33029" xr:uid="{00000000-0005-0000-0000-00005B210000}"/>
    <cellStyle name="Comma 2 2 5" xfId="3829" xr:uid="{00000000-0005-0000-0000-00005C210000}"/>
    <cellStyle name="Comma 2 2 5 10" xfId="17512" xr:uid="{00000000-0005-0000-0000-00005D210000}"/>
    <cellStyle name="Comma 2 2 5 2" xfId="10480" xr:uid="{00000000-0005-0000-0000-00005E210000}"/>
    <cellStyle name="Comma 2 2 5 2 2" xfId="11133" xr:uid="{00000000-0005-0000-0000-00005F210000}"/>
    <cellStyle name="Comma 2 2 5 2 2 2" xfId="15517" xr:uid="{00000000-0005-0000-0000-000060210000}"/>
    <cellStyle name="Comma 2 2 5 2 2 2 2" xfId="36895" xr:uid="{00000000-0005-0000-0000-000061210000}"/>
    <cellStyle name="Comma 2 2 5 2 2 3" xfId="33950" xr:uid="{00000000-0005-0000-0000-000062210000}"/>
    <cellStyle name="Comma 2 2 5 2 2 4" xfId="29160" xr:uid="{00000000-0005-0000-0000-000063210000}"/>
    <cellStyle name="Comma 2 2 5 2 3" xfId="15357" xr:uid="{00000000-0005-0000-0000-000064210000}"/>
    <cellStyle name="Comma 2 2 5 2 3 2" xfId="36744" xr:uid="{00000000-0005-0000-0000-000065210000}"/>
    <cellStyle name="Comma 2 2 5 2 3 3" xfId="29062" xr:uid="{00000000-0005-0000-0000-000066210000}"/>
    <cellStyle name="Comma 2 2 5 2 4" xfId="29518" xr:uid="{00000000-0005-0000-0000-000067210000}"/>
    <cellStyle name="Comma 2 2 5 2 5" xfId="28965" xr:uid="{00000000-0005-0000-0000-000068210000}"/>
    <cellStyle name="Comma 2 2 5 2 6" xfId="33633" xr:uid="{00000000-0005-0000-0000-000069210000}"/>
    <cellStyle name="Comma 2 2 5 2 7" xfId="27737" xr:uid="{00000000-0005-0000-0000-00006A210000}"/>
    <cellStyle name="Comma 2 2 5 3" xfId="10548" xr:uid="{00000000-0005-0000-0000-00006B210000}"/>
    <cellStyle name="Comma 2 2 5 3 2" xfId="15422" xr:uid="{00000000-0005-0000-0000-00006C210000}"/>
    <cellStyle name="Comma 2 2 5 3 2 2" xfId="36806" xr:uid="{00000000-0005-0000-0000-00006D210000}"/>
    <cellStyle name="Comma 2 2 5 3 3" xfId="33682" xr:uid="{00000000-0005-0000-0000-00006E210000}"/>
    <cellStyle name="Comma 2 2 5 3 4" xfId="29113" xr:uid="{00000000-0005-0000-0000-00006F210000}"/>
    <cellStyle name="Comma 2 2 5 4" xfId="9736" xr:uid="{00000000-0005-0000-0000-000070210000}"/>
    <cellStyle name="Comma 2 2 5 4 2" xfId="33271" xr:uid="{00000000-0005-0000-0000-000071210000}"/>
    <cellStyle name="Comma 2 2 5 4 3" xfId="29015" xr:uid="{00000000-0005-0000-0000-000072210000}"/>
    <cellStyle name="Comma 2 2 5 5" xfId="15216" xr:uid="{00000000-0005-0000-0000-000073210000}"/>
    <cellStyle name="Comma 2 2 5 5 2" xfId="36624" xr:uid="{00000000-0005-0000-0000-000074210000}"/>
    <cellStyle name="Comma 2 2 5 5 3" xfId="29197" xr:uid="{00000000-0005-0000-0000-000075210000}"/>
    <cellStyle name="Comma 2 2 5 6" xfId="29289" xr:uid="{00000000-0005-0000-0000-000076210000}"/>
    <cellStyle name="Comma 2 2 5 7" xfId="28908" xr:uid="{00000000-0005-0000-0000-000077210000}"/>
    <cellStyle name="Comma 2 2 5 8" xfId="31632" xr:uid="{00000000-0005-0000-0000-000078210000}"/>
    <cellStyle name="Comma 2 2 5 9" xfId="27352" xr:uid="{00000000-0005-0000-0000-000079210000}"/>
    <cellStyle name="Comma 2 2 6" xfId="9737" xr:uid="{00000000-0005-0000-0000-00007A210000}"/>
    <cellStyle name="Comma 2 2 6 10" xfId="16824" xr:uid="{00000000-0005-0000-0000-00007B210000}"/>
    <cellStyle name="Comma 2 2 6 2" xfId="10481" xr:uid="{00000000-0005-0000-0000-00007C210000}"/>
    <cellStyle name="Comma 2 2 6 2 2" xfId="11134" xr:uid="{00000000-0005-0000-0000-00007D210000}"/>
    <cellStyle name="Comma 2 2 6 2 2 2" xfId="15518" xr:uid="{00000000-0005-0000-0000-00007E210000}"/>
    <cellStyle name="Comma 2 2 6 2 2 2 2" xfId="36896" xr:uid="{00000000-0005-0000-0000-00007F210000}"/>
    <cellStyle name="Comma 2 2 6 2 2 3" xfId="33951" xr:uid="{00000000-0005-0000-0000-000080210000}"/>
    <cellStyle name="Comma 2 2 6 2 2 4" xfId="29170" xr:uid="{00000000-0005-0000-0000-000081210000}"/>
    <cellStyle name="Comma 2 2 6 2 3" xfId="15358" xr:uid="{00000000-0005-0000-0000-000082210000}"/>
    <cellStyle name="Comma 2 2 6 2 3 2" xfId="36745" xr:uid="{00000000-0005-0000-0000-000083210000}"/>
    <cellStyle name="Comma 2 2 6 2 3 3" xfId="29072" xr:uid="{00000000-0005-0000-0000-000084210000}"/>
    <cellStyle name="Comma 2 2 6 2 4" xfId="29519" xr:uid="{00000000-0005-0000-0000-000085210000}"/>
    <cellStyle name="Comma 2 2 6 2 5" xfId="28975" xr:uid="{00000000-0005-0000-0000-000086210000}"/>
    <cellStyle name="Comma 2 2 6 2 6" xfId="33634" xr:uid="{00000000-0005-0000-0000-000087210000}"/>
    <cellStyle name="Comma 2 2 6 2 7" xfId="27738" xr:uid="{00000000-0005-0000-0000-000088210000}"/>
    <cellStyle name="Comma 2 2 6 3" xfId="10549" xr:uid="{00000000-0005-0000-0000-000089210000}"/>
    <cellStyle name="Comma 2 2 6 3 2" xfId="15423" xr:uid="{00000000-0005-0000-0000-00008A210000}"/>
    <cellStyle name="Comma 2 2 6 3 2 2" xfId="36807" xr:uid="{00000000-0005-0000-0000-00008B210000}"/>
    <cellStyle name="Comma 2 2 6 3 3" xfId="33683" xr:uid="{00000000-0005-0000-0000-00008C210000}"/>
    <cellStyle name="Comma 2 2 6 3 4" xfId="29123" xr:uid="{00000000-0005-0000-0000-00008D210000}"/>
    <cellStyle name="Comma 2 2 6 4" xfId="15217" xr:uid="{00000000-0005-0000-0000-00008E210000}"/>
    <cellStyle name="Comma 2 2 6 4 2" xfId="36625" xr:uid="{00000000-0005-0000-0000-00008F210000}"/>
    <cellStyle name="Comma 2 2 6 4 3" xfId="29025" xr:uid="{00000000-0005-0000-0000-000090210000}"/>
    <cellStyle name="Comma 2 2 6 5" xfId="29198" xr:uid="{00000000-0005-0000-0000-000091210000}"/>
    <cellStyle name="Comma 2 2 6 6" xfId="29290" xr:uid="{00000000-0005-0000-0000-000092210000}"/>
    <cellStyle name="Comma 2 2 6 7" xfId="28918" xr:uid="{00000000-0005-0000-0000-000093210000}"/>
    <cellStyle name="Comma 2 2 6 8" xfId="33272" xr:uid="{00000000-0005-0000-0000-000094210000}"/>
    <cellStyle name="Comma 2 2 6 9" xfId="27353" xr:uid="{00000000-0005-0000-0000-000095210000}"/>
    <cellStyle name="Comma 2 2 7" xfId="9738" xr:uid="{00000000-0005-0000-0000-000096210000}"/>
    <cellStyle name="Comma 2 2 7 2" xfId="10482" xr:uid="{00000000-0005-0000-0000-000097210000}"/>
    <cellStyle name="Comma 2 2 7 2 2" xfId="11135" xr:uid="{00000000-0005-0000-0000-000098210000}"/>
    <cellStyle name="Comma 2 2 7 2 2 2" xfId="15519" xr:uid="{00000000-0005-0000-0000-000099210000}"/>
    <cellStyle name="Comma 2 2 7 2 2 2 2" xfId="36897" xr:uid="{00000000-0005-0000-0000-00009A210000}"/>
    <cellStyle name="Comma 2 2 7 2 2 3" xfId="33952" xr:uid="{00000000-0005-0000-0000-00009B210000}"/>
    <cellStyle name="Comma 2 2 7 2 2 4" xfId="29175" xr:uid="{00000000-0005-0000-0000-00009C210000}"/>
    <cellStyle name="Comma 2 2 7 2 3" xfId="15359" xr:uid="{00000000-0005-0000-0000-00009D210000}"/>
    <cellStyle name="Comma 2 2 7 2 3 2" xfId="36746" xr:uid="{00000000-0005-0000-0000-00009E210000}"/>
    <cellStyle name="Comma 2 2 7 2 3 3" xfId="29077" xr:uid="{00000000-0005-0000-0000-00009F210000}"/>
    <cellStyle name="Comma 2 2 7 2 4" xfId="29520" xr:uid="{00000000-0005-0000-0000-0000A0210000}"/>
    <cellStyle name="Comma 2 2 7 2 5" xfId="28980" xr:uid="{00000000-0005-0000-0000-0000A1210000}"/>
    <cellStyle name="Comma 2 2 7 2 6" xfId="33635" xr:uid="{00000000-0005-0000-0000-0000A2210000}"/>
    <cellStyle name="Comma 2 2 7 2 7" xfId="27739" xr:uid="{00000000-0005-0000-0000-0000A3210000}"/>
    <cellStyle name="Comma 2 2 7 3" xfId="10550" xr:uid="{00000000-0005-0000-0000-0000A4210000}"/>
    <cellStyle name="Comma 2 2 7 3 2" xfId="15424" xr:uid="{00000000-0005-0000-0000-0000A5210000}"/>
    <cellStyle name="Comma 2 2 7 3 2 2" xfId="36808" xr:uid="{00000000-0005-0000-0000-0000A6210000}"/>
    <cellStyle name="Comma 2 2 7 3 3" xfId="33684" xr:uid="{00000000-0005-0000-0000-0000A7210000}"/>
    <cellStyle name="Comma 2 2 7 3 4" xfId="29128" xr:uid="{00000000-0005-0000-0000-0000A8210000}"/>
    <cellStyle name="Comma 2 2 7 4" xfId="15218" xr:uid="{00000000-0005-0000-0000-0000A9210000}"/>
    <cellStyle name="Comma 2 2 7 4 2" xfId="36626" xr:uid="{00000000-0005-0000-0000-0000AA210000}"/>
    <cellStyle name="Comma 2 2 7 4 3" xfId="29030" xr:uid="{00000000-0005-0000-0000-0000AB210000}"/>
    <cellStyle name="Comma 2 2 7 5" xfId="29291" xr:uid="{00000000-0005-0000-0000-0000AC210000}"/>
    <cellStyle name="Comma 2 2 7 6" xfId="28928" xr:uid="{00000000-0005-0000-0000-0000AD210000}"/>
    <cellStyle name="Comma 2 2 7 7" xfId="33273" xr:uid="{00000000-0005-0000-0000-0000AE210000}"/>
    <cellStyle name="Comma 2 2 7 8" xfId="27354" xr:uid="{00000000-0005-0000-0000-0000AF210000}"/>
    <cellStyle name="Comma 2 2 8" xfId="10313" xr:uid="{00000000-0005-0000-0000-0000B0210000}"/>
    <cellStyle name="Comma 2 2 8 2" xfId="10507" xr:uid="{00000000-0005-0000-0000-0000B1210000}"/>
    <cellStyle name="Comma 2 2 8 2 2" xfId="11160" xr:uid="{00000000-0005-0000-0000-0000B2210000}"/>
    <cellStyle name="Comma 2 2 8 2 2 2" xfId="15544" xr:uid="{00000000-0005-0000-0000-0000B3210000}"/>
    <cellStyle name="Comma 2 2 8 2 2 2 2" xfId="36922" xr:uid="{00000000-0005-0000-0000-0000B4210000}"/>
    <cellStyle name="Comma 2 2 8 2 2 3" xfId="33977" xr:uid="{00000000-0005-0000-0000-0000B5210000}"/>
    <cellStyle name="Comma 2 2 8 2 3" xfId="15384" xr:uid="{00000000-0005-0000-0000-0000B6210000}"/>
    <cellStyle name="Comma 2 2 8 2 3 2" xfId="36771" xr:uid="{00000000-0005-0000-0000-0000B7210000}"/>
    <cellStyle name="Comma 2 2 8 2 4" xfId="33660" xr:uid="{00000000-0005-0000-0000-0000B8210000}"/>
    <cellStyle name="Comma 2 2 8 2 5" xfId="29140" xr:uid="{00000000-0005-0000-0000-0000B9210000}"/>
    <cellStyle name="Comma 2 2 8 3" xfId="10907" xr:uid="{00000000-0005-0000-0000-0000BA210000}"/>
    <cellStyle name="Comma 2 2 8 3 2" xfId="15482" xr:uid="{00000000-0005-0000-0000-0000BB210000}"/>
    <cellStyle name="Comma 2 2 8 3 2 2" xfId="36861" xr:uid="{00000000-0005-0000-0000-0000BC210000}"/>
    <cellStyle name="Comma 2 2 8 3 3" xfId="33857" xr:uid="{00000000-0005-0000-0000-0000BD210000}"/>
    <cellStyle name="Comma 2 2 8 3 4" xfId="29042" xr:uid="{00000000-0005-0000-0000-0000BE210000}"/>
    <cellStyle name="Comma 2 2 8 4" xfId="15323" xr:uid="{00000000-0005-0000-0000-0000BF210000}"/>
    <cellStyle name="Comma 2 2 8 4 2" xfId="36713" xr:uid="{00000000-0005-0000-0000-0000C0210000}"/>
    <cellStyle name="Comma 2 2 8 4 3" xfId="29508" xr:uid="{00000000-0005-0000-0000-0000C1210000}"/>
    <cellStyle name="Comma 2 2 8 5" xfId="28945" xr:uid="{00000000-0005-0000-0000-0000C2210000}"/>
    <cellStyle name="Comma 2 2 8 6" xfId="33601" xr:uid="{00000000-0005-0000-0000-0000C3210000}"/>
    <cellStyle name="Comma 2 2 8 7" xfId="27727" xr:uid="{00000000-0005-0000-0000-0000C4210000}"/>
    <cellStyle name="Comma 2 2 9" xfId="10463" xr:uid="{00000000-0005-0000-0000-0000C5210000}"/>
    <cellStyle name="Comma 2 2 9 2" xfId="10518" xr:uid="{00000000-0005-0000-0000-0000C6210000}"/>
    <cellStyle name="Comma 2 2 9 2 2" xfId="11165" xr:uid="{00000000-0005-0000-0000-0000C7210000}"/>
    <cellStyle name="Comma 2 2 9 2 2 2" xfId="15549" xr:uid="{00000000-0005-0000-0000-0000C8210000}"/>
    <cellStyle name="Comma 2 2 9 2 2 2 2" xfId="36927" xr:uid="{00000000-0005-0000-0000-0000C9210000}"/>
    <cellStyle name="Comma 2 2 9 2 2 3" xfId="33982" xr:uid="{00000000-0005-0000-0000-0000CA210000}"/>
    <cellStyle name="Comma 2 2 9 2 3" xfId="15391" xr:uid="{00000000-0005-0000-0000-0000CB210000}"/>
    <cellStyle name="Comma 2 2 9 2 3 2" xfId="36776" xr:uid="{00000000-0005-0000-0000-0000CC210000}"/>
    <cellStyle name="Comma 2 2 9 2 4" xfId="33665" xr:uid="{00000000-0005-0000-0000-0000CD210000}"/>
    <cellStyle name="Comma 2 2 9 2 5" xfId="29270" xr:uid="{00000000-0005-0000-0000-0000CE210000}"/>
    <cellStyle name="Comma 2 2 9 3" xfId="11118" xr:uid="{00000000-0005-0000-0000-0000CF210000}"/>
    <cellStyle name="Comma 2 2 9 3 2" xfId="15502" xr:uid="{00000000-0005-0000-0000-0000D0210000}"/>
    <cellStyle name="Comma 2 2 9 3 2 2" xfId="36880" xr:uid="{00000000-0005-0000-0000-0000D1210000}"/>
    <cellStyle name="Comma 2 2 9 3 3" xfId="33935" xr:uid="{00000000-0005-0000-0000-0000D2210000}"/>
    <cellStyle name="Comma 2 2 9 3 4" xfId="30295" xr:uid="{00000000-0005-0000-0000-0000D3210000}"/>
    <cellStyle name="Comma 2 2 9 4" xfId="12497" xr:uid="{00000000-0005-0000-0000-0000D4210000}"/>
    <cellStyle name="Comma 2 2 9 4 2" xfId="34946" xr:uid="{00000000-0005-0000-0000-0000D5210000}"/>
    <cellStyle name="Comma 2 2 9 4 3" xfId="29093" xr:uid="{00000000-0005-0000-0000-0000D6210000}"/>
    <cellStyle name="Comma 2 2 9 5" xfId="15342" xr:uid="{00000000-0005-0000-0000-0000D7210000}"/>
    <cellStyle name="Comma 2 2 9 5 2" xfId="36729" xr:uid="{00000000-0005-0000-0000-0000D8210000}"/>
    <cellStyle name="Comma 2 2 9 6" xfId="33616" xr:uid="{00000000-0005-0000-0000-0000D9210000}"/>
    <cellStyle name="Comma 2 20" xfId="13656" xr:uid="{00000000-0005-0000-0000-0000DA210000}"/>
    <cellStyle name="Comma 2 20 2" xfId="16156" xr:uid="{00000000-0005-0000-0000-0000DB210000}"/>
    <cellStyle name="Comma 2 20 2 2" xfId="37474" xr:uid="{00000000-0005-0000-0000-0000DC210000}"/>
    <cellStyle name="Comma 2 20 2 3" xfId="30768" xr:uid="{00000000-0005-0000-0000-0000DD210000}"/>
    <cellStyle name="Comma 2 20 3" xfId="35430" xr:uid="{00000000-0005-0000-0000-0000DE210000}"/>
    <cellStyle name="Comma 2 20 4" xfId="28172" xr:uid="{00000000-0005-0000-0000-0000DF210000}"/>
    <cellStyle name="Comma 2 20 5" xfId="39248" xr:uid="{00000000-0005-0000-0000-0000D5070000}"/>
    <cellStyle name="Comma 2 20 6" xfId="41180" xr:uid="{00000000-0005-0000-0000-0000D5070000}"/>
    <cellStyle name="Comma 2 21" xfId="13777" xr:uid="{00000000-0005-0000-0000-0000E0210000}"/>
    <cellStyle name="Comma 2 21 2" xfId="16188" xr:uid="{00000000-0005-0000-0000-0000E1210000}"/>
    <cellStyle name="Comma 2 21 2 2" xfId="37504" xr:uid="{00000000-0005-0000-0000-0000E2210000}"/>
    <cellStyle name="Comma 2 21 2 3" xfId="30889" xr:uid="{00000000-0005-0000-0000-0000E3210000}"/>
    <cellStyle name="Comma 2 21 3" xfId="35551" xr:uid="{00000000-0005-0000-0000-0000E4210000}"/>
    <cellStyle name="Comma 2 21 4" xfId="28177" xr:uid="{00000000-0005-0000-0000-0000E5210000}"/>
    <cellStyle name="Comma 2 22" xfId="13896" xr:uid="{00000000-0005-0000-0000-0000E6210000}"/>
    <cellStyle name="Comma 2 22 2" xfId="16218" xr:uid="{00000000-0005-0000-0000-0000E7210000}"/>
    <cellStyle name="Comma 2 22 2 2" xfId="37531" xr:uid="{00000000-0005-0000-0000-0000E8210000}"/>
    <cellStyle name="Comma 2 22 2 3" xfId="31008" xr:uid="{00000000-0005-0000-0000-0000E9210000}"/>
    <cellStyle name="Comma 2 22 3" xfId="35670" xr:uid="{00000000-0005-0000-0000-0000EA210000}"/>
    <cellStyle name="Comma 2 22 4" xfId="28180" xr:uid="{00000000-0005-0000-0000-0000EB210000}"/>
    <cellStyle name="Comma 2 23" xfId="14042" xr:uid="{00000000-0005-0000-0000-0000EC210000}"/>
    <cellStyle name="Comma 2 23 2" xfId="16253" xr:uid="{00000000-0005-0000-0000-0000ED210000}"/>
    <cellStyle name="Comma 2 23 2 2" xfId="37563" xr:uid="{00000000-0005-0000-0000-0000EE210000}"/>
    <cellStyle name="Comma 2 23 3" xfId="35811" xr:uid="{00000000-0005-0000-0000-0000EF210000}"/>
    <cellStyle name="Comma 2 23 4" xfId="29278" xr:uid="{00000000-0005-0000-0000-0000F0210000}"/>
    <cellStyle name="Comma 2 24" xfId="14122" xr:uid="{00000000-0005-0000-0000-0000F1210000}"/>
    <cellStyle name="Comma 2 24 2" xfId="16282" xr:uid="{00000000-0005-0000-0000-0000F2210000}"/>
    <cellStyle name="Comma 2 24 2 2" xfId="37590" xr:uid="{00000000-0005-0000-0000-0000F3210000}"/>
    <cellStyle name="Comma 2 24 3" xfId="35826" xr:uid="{00000000-0005-0000-0000-0000F4210000}"/>
    <cellStyle name="Comma 2 24 4" xfId="28193" xr:uid="{00000000-0005-0000-0000-0000F5210000}"/>
    <cellStyle name="Comma 2 25" xfId="14129" xr:uid="{00000000-0005-0000-0000-0000F6210000}"/>
    <cellStyle name="Comma 2 25 2" xfId="16289" xr:uid="{00000000-0005-0000-0000-0000F7210000}"/>
    <cellStyle name="Comma 2 25 2 2" xfId="37597" xr:uid="{00000000-0005-0000-0000-0000F8210000}"/>
    <cellStyle name="Comma 2 25 3" xfId="35833" xr:uid="{00000000-0005-0000-0000-0000F9210000}"/>
    <cellStyle name="Comma 2 26" xfId="9725" xr:uid="{00000000-0005-0000-0000-0000FA210000}"/>
    <cellStyle name="Comma 2 26 2" xfId="15205" xr:uid="{00000000-0005-0000-0000-0000FB210000}"/>
    <cellStyle name="Comma 2 26 2 2" xfId="36613" xr:uid="{00000000-0005-0000-0000-0000FC210000}"/>
    <cellStyle name="Comma 2 26 3" xfId="33260" xr:uid="{00000000-0005-0000-0000-0000FD210000}"/>
    <cellStyle name="Comma 2 27" xfId="14158" xr:uid="{00000000-0005-0000-0000-0000FE210000}"/>
    <cellStyle name="Comma 2 28" xfId="14374" xr:uid="{00000000-0005-0000-0000-0000FF210000}"/>
    <cellStyle name="Comma 2 28 2" xfId="16375" xr:uid="{00000000-0005-0000-0000-000000220000}"/>
    <cellStyle name="Comma 2 28 2 2" xfId="37677" xr:uid="{00000000-0005-0000-0000-000001220000}"/>
    <cellStyle name="Comma 2 28 3" xfId="35915" xr:uid="{00000000-0005-0000-0000-000002220000}"/>
    <cellStyle name="Comma 2 29" xfId="8927" xr:uid="{00000000-0005-0000-0000-000003220000}"/>
    <cellStyle name="Comma 2 29 2" xfId="33194" xr:uid="{00000000-0005-0000-0000-000004220000}"/>
    <cellStyle name="Comma 2 3" xfId="3316" xr:uid="{00000000-0005-0000-0000-000005220000}"/>
    <cellStyle name="Comma 2 3 10" xfId="10483" xr:uid="{00000000-0005-0000-0000-000006220000}"/>
    <cellStyle name="Comma 2 3 10 2" xfId="11136" xr:uid="{00000000-0005-0000-0000-000007220000}"/>
    <cellStyle name="Comma 2 3 10 2 2" xfId="15520" xr:uid="{00000000-0005-0000-0000-000008220000}"/>
    <cellStyle name="Comma 2 3 10 2 2 2" xfId="36898" xr:uid="{00000000-0005-0000-0000-000009220000}"/>
    <cellStyle name="Comma 2 3 10 2 3" xfId="33953" xr:uid="{00000000-0005-0000-0000-00000A220000}"/>
    <cellStyle name="Comma 2 3 10 3" xfId="15360" xr:uid="{00000000-0005-0000-0000-00000B220000}"/>
    <cellStyle name="Comma 2 3 10 3 2" xfId="36747" xr:uid="{00000000-0005-0000-0000-00000C220000}"/>
    <cellStyle name="Comma 2 3 10 4" xfId="33636" xr:uid="{00000000-0005-0000-0000-00000D220000}"/>
    <cellStyle name="Comma 2 3 10 5" xfId="29199" xr:uid="{00000000-0005-0000-0000-00000E220000}"/>
    <cellStyle name="Comma 2 3 11" xfId="10551" xr:uid="{00000000-0005-0000-0000-00000F220000}"/>
    <cellStyle name="Comma 2 3 11 2" xfId="15425" xr:uid="{00000000-0005-0000-0000-000010220000}"/>
    <cellStyle name="Comma 2 3 11 2 2" xfId="36809" xr:uid="{00000000-0005-0000-0000-000011220000}"/>
    <cellStyle name="Comma 2 3 11 3" xfId="33685" xr:uid="{00000000-0005-0000-0000-000012220000}"/>
    <cellStyle name="Comma 2 3 11 4" xfId="29262" xr:uid="{00000000-0005-0000-0000-000013220000}"/>
    <cellStyle name="Comma 2 3 12" xfId="14081" xr:uid="{00000000-0005-0000-0000-000014220000}"/>
    <cellStyle name="Comma 2 3 12 2" xfId="16255" xr:uid="{00000000-0005-0000-0000-000015220000}"/>
    <cellStyle name="Comma 2 3 12 2 2" xfId="37565" xr:uid="{00000000-0005-0000-0000-000016220000}"/>
    <cellStyle name="Comma 2 3 12 3" xfId="35812" xr:uid="{00000000-0005-0000-0000-000017220000}"/>
    <cellStyle name="Comma 2 3 12 4" xfId="28433" xr:uid="{00000000-0005-0000-0000-000018220000}"/>
    <cellStyle name="Comma 2 3 13" xfId="14123" xr:uid="{00000000-0005-0000-0000-000019220000}"/>
    <cellStyle name="Comma 2 3 13 2" xfId="16283" xr:uid="{00000000-0005-0000-0000-00001A220000}"/>
    <cellStyle name="Comma 2 3 13 2 2" xfId="37591" xr:uid="{00000000-0005-0000-0000-00001B220000}"/>
    <cellStyle name="Comma 2 3 13 3" xfId="35827" xr:uid="{00000000-0005-0000-0000-00001C220000}"/>
    <cellStyle name="Comma 2 3 13 4" xfId="29292" xr:uid="{00000000-0005-0000-0000-00001D220000}"/>
    <cellStyle name="Comma 2 3 14" xfId="14130" xr:uid="{00000000-0005-0000-0000-00001E220000}"/>
    <cellStyle name="Comma 2 3 14 2" xfId="16290" xr:uid="{00000000-0005-0000-0000-00001F220000}"/>
    <cellStyle name="Comma 2 3 14 2 2" xfId="37598" xr:uid="{00000000-0005-0000-0000-000020220000}"/>
    <cellStyle name="Comma 2 3 14 3" xfId="35834" xr:uid="{00000000-0005-0000-0000-000021220000}"/>
    <cellStyle name="Comma 2 3 14 4" xfId="28196" xr:uid="{00000000-0005-0000-0000-000022220000}"/>
    <cellStyle name="Comma 2 3 15" xfId="9739" xr:uid="{00000000-0005-0000-0000-000023220000}"/>
    <cellStyle name="Comma 2 3 15 2" xfId="15219" xr:uid="{00000000-0005-0000-0000-000024220000}"/>
    <cellStyle name="Comma 2 3 15 2 2" xfId="36627" xr:uid="{00000000-0005-0000-0000-000025220000}"/>
    <cellStyle name="Comma 2 3 15 3" xfId="33274" xr:uid="{00000000-0005-0000-0000-000026220000}"/>
    <cellStyle name="Comma 2 3 16" xfId="14377" xr:uid="{00000000-0005-0000-0000-000027220000}"/>
    <cellStyle name="Comma 2 3 16 2" xfId="16378" xr:uid="{00000000-0005-0000-0000-000028220000}"/>
    <cellStyle name="Comma 2 3 16 2 2" xfId="37680" xr:uid="{00000000-0005-0000-0000-000029220000}"/>
    <cellStyle name="Comma 2 3 16 3" xfId="35918" xr:uid="{00000000-0005-0000-0000-00002A220000}"/>
    <cellStyle name="Comma 2 3 17" xfId="8930" xr:uid="{00000000-0005-0000-0000-00002B220000}"/>
    <cellStyle name="Comma 2 3 17 2" xfId="33197" xr:uid="{00000000-0005-0000-0000-00002C220000}"/>
    <cellStyle name="Comma 2 3 18" xfId="14714" xr:uid="{00000000-0005-0000-0000-00002D220000}"/>
    <cellStyle name="Comma 2 3 18 2" xfId="36194" xr:uid="{00000000-0005-0000-0000-00002E220000}"/>
    <cellStyle name="Comma 2 3 19" xfId="31387" xr:uid="{00000000-0005-0000-0000-00002F220000}"/>
    <cellStyle name="Comma 2 3 2" xfId="7059" xr:uid="{00000000-0005-0000-0000-000030220000}"/>
    <cellStyle name="Comma 2 3 2 10" xfId="29293" xr:uid="{00000000-0005-0000-0000-000031220000}"/>
    <cellStyle name="Comma 2 3 2 11" xfId="28409" xr:uid="{00000000-0005-0000-0000-000032220000}"/>
    <cellStyle name="Comma 2 3 2 12" xfId="32741" xr:uid="{00000000-0005-0000-0000-000033220000}"/>
    <cellStyle name="Comma 2 3 2 13" xfId="27356" xr:uid="{00000000-0005-0000-0000-000034220000}"/>
    <cellStyle name="Comma 2 3 2 14" xfId="20433" xr:uid="{00000000-0005-0000-0000-000035220000}"/>
    <cellStyle name="Comma 2 3 2 15" xfId="39255" xr:uid="{00000000-0005-0000-0000-0000D7070000}"/>
    <cellStyle name="Comma 2 3 2 2" xfId="9741" xr:uid="{00000000-0005-0000-0000-000036220000}"/>
    <cellStyle name="Comma 2 3 2 2 2" xfId="10485" xr:uid="{00000000-0005-0000-0000-000037220000}"/>
    <cellStyle name="Comma 2 3 2 2 2 2" xfId="11138" xr:uid="{00000000-0005-0000-0000-000038220000}"/>
    <cellStyle name="Comma 2 3 2 2 2 2 2" xfId="15522" xr:uid="{00000000-0005-0000-0000-000039220000}"/>
    <cellStyle name="Comma 2 3 2 2 2 2 2 2" xfId="36900" xr:uid="{00000000-0005-0000-0000-00003A220000}"/>
    <cellStyle name="Comma 2 3 2 2 2 2 3" xfId="33955" xr:uid="{00000000-0005-0000-0000-00003B220000}"/>
    <cellStyle name="Comma 2 3 2 2 2 2 4" xfId="29155" xr:uid="{00000000-0005-0000-0000-00003C220000}"/>
    <cellStyle name="Comma 2 3 2 2 2 3" xfId="15362" xr:uid="{00000000-0005-0000-0000-00003D220000}"/>
    <cellStyle name="Comma 2 3 2 2 2 3 2" xfId="36749" xr:uid="{00000000-0005-0000-0000-00003E220000}"/>
    <cellStyle name="Comma 2 3 2 2 2 3 3" xfId="29057" xr:uid="{00000000-0005-0000-0000-00003F220000}"/>
    <cellStyle name="Comma 2 3 2 2 2 4" xfId="29523" xr:uid="{00000000-0005-0000-0000-000040220000}"/>
    <cellStyle name="Comma 2 3 2 2 2 5" xfId="28960" xr:uid="{00000000-0005-0000-0000-000041220000}"/>
    <cellStyle name="Comma 2 3 2 2 2 6" xfId="33638" xr:uid="{00000000-0005-0000-0000-000042220000}"/>
    <cellStyle name="Comma 2 3 2 2 2 7" xfId="27742" xr:uid="{00000000-0005-0000-0000-000043220000}"/>
    <cellStyle name="Comma 2 3 2 2 3" xfId="10553" xr:uid="{00000000-0005-0000-0000-000044220000}"/>
    <cellStyle name="Comma 2 3 2 2 3 2" xfId="15427" xr:uid="{00000000-0005-0000-0000-000045220000}"/>
    <cellStyle name="Comma 2 3 2 2 3 2 2" xfId="36811" xr:uid="{00000000-0005-0000-0000-000046220000}"/>
    <cellStyle name="Comma 2 3 2 2 3 3" xfId="33687" xr:uid="{00000000-0005-0000-0000-000047220000}"/>
    <cellStyle name="Comma 2 3 2 2 3 4" xfId="29108" xr:uid="{00000000-0005-0000-0000-000048220000}"/>
    <cellStyle name="Comma 2 3 2 2 4" xfId="15221" xr:uid="{00000000-0005-0000-0000-000049220000}"/>
    <cellStyle name="Comma 2 3 2 2 4 2" xfId="36629" xr:uid="{00000000-0005-0000-0000-00004A220000}"/>
    <cellStyle name="Comma 2 3 2 2 4 3" xfId="29010" xr:uid="{00000000-0005-0000-0000-00004B220000}"/>
    <cellStyle name="Comma 2 3 2 2 5" xfId="29201" xr:uid="{00000000-0005-0000-0000-00004C220000}"/>
    <cellStyle name="Comma 2 3 2 2 6" xfId="29294" xr:uid="{00000000-0005-0000-0000-00004D220000}"/>
    <cellStyle name="Comma 2 3 2 2 7" xfId="28903" xr:uid="{00000000-0005-0000-0000-00004E220000}"/>
    <cellStyle name="Comma 2 3 2 2 8" xfId="33276" xr:uid="{00000000-0005-0000-0000-00004F220000}"/>
    <cellStyle name="Comma 2 3 2 2 9" xfId="27357" xr:uid="{00000000-0005-0000-0000-000050220000}"/>
    <cellStyle name="Comma 2 3 2 3" xfId="9742" xr:uid="{00000000-0005-0000-0000-000051220000}"/>
    <cellStyle name="Comma 2 3 2 3 2" xfId="10486" xr:uid="{00000000-0005-0000-0000-000052220000}"/>
    <cellStyle name="Comma 2 3 2 3 2 2" xfId="11139" xr:uid="{00000000-0005-0000-0000-000053220000}"/>
    <cellStyle name="Comma 2 3 2 3 2 2 2" xfId="15523" xr:uid="{00000000-0005-0000-0000-000054220000}"/>
    <cellStyle name="Comma 2 3 2 3 2 2 2 2" xfId="36901" xr:uid="{00000000-0005-0000-0000-000055220000}"/>
    <cellStyle name="Comma 2 3 2 3 2 2 3" xfId="33956" xr:uid="{00000000-0005-0000-0000-000056220000}"/>
    <cellStyle name="Comma 2 3 2 3 2 2 4" xfId="29165" xr:uid="{00000000-0005-0000-0000-000057220000}"/>
    <cellStyle name="Comma 2 3 2 3 2 3" xfId="15363" xr:uid="{00000000-0005-0000-0000-000058220000}"/>
    <cellStyle name="Comma 2 3 2 3 2 3 2" xfId="36750" xr:uid="{00000000-0005-0000-0000-000059220000}"/>
    <cellStyle name="Comma 2 3 2 3 2 3 3" xfId="29067" xr:uid="{00000000-0005-0000-0000-00005A220000}"/>
    <cellStyle name="Comma 2 3 2 3 2 4" xfId="29524" xr:uid="{00000000-0005-0000-0000-00005B220000}"/>
    <cellStyle name="Comma 2 3 2 3 2 5" xfId="28970" xr:uid="{00000000-0005-0000-0000-00005C220000}"/>
    <cellStyle name="Comma 2 3 2 3 2 6" xfId="33639" xr:uid="{00000000-0005-0000-0000-00005D220000}"/>
    <cellStyle name="Comma 2 3 2 3 2 7" xfId="27743" xr:uid="{00000000-0005-0000-0000-00005E220000}"/>
    <cellStyle name="Comma 2 3 2 3 3" xfId="10554" xr:uid="{00000000-0005-0000-0000-00005F220000}"/>
    <cellStyle name="Comma 2 3 2 3 3 2" xfId="15428" xr:uid="{00000000-0005-0000-0000-000060220000}"/>
    <cellStyle name="Comma 2 3 2 3 3 2 2" xfId="36812" xr:uid="{00000000-0005-0000-0000-000061220000}"/>
    <cellStyle name="Comma 2 3 2 3 3 3" xfId="33688" xr:uid="{00000000-0005-0000-0000-000062220000}"/>
    <cellStyle name="Comma 2 3 2 3 3 4" xfId="29118" xr:uid="{00000000-0005-0000-0000-000063220000}"/>
    <cellStyle name="Comma 2 3 2 3 4" xfId="15222" xr:uid="{00000000-0005-0000-0000-000064220000}"/>
    <cellStyle name="Comma 2 3 2 3 4 2" xfId="36630" xr:uid="{00000000-0005-0000-0000-000065220000}"/>
    <cellStyle name="Comma 2 3 2 3 4 3" xfId="29020" xr:uid="{00000000-0005-0000-0000-000066220000}"/>
    <cellStyle name="Comma 2 3 2 3 5" xfId="29202" xr:uid="{00000000-0005-0000-0000-000067220000}"/>
    <cellStyle name="Comma 2 3 2 3 6" xfId="29295" xr:uid="{00000000-0005-0000-0000-000068220000}"/>
    <cellStyle name="Comma 2 3 2 3 7" xfId="28913" xr:uid="{00000000-0005-0000-0000-000069220000}"/>
    <cellStyle name="Comma 2 3 2 3 8" xfId="33277" xr:uid="{00000000-0005-0000-0000-00006A220000}"/>
    <cellStyle name="Comma 2 3 2 3 9" xfId="27358" xr:uid="{00000000-0005-0000-0000-00006B220000}"/>
    <cellStyle name="Comma 2 3 2 4" xfId="10484" xr:uid="{00000000-0005-0000-0000-00006C220000}"/>
    <cellStyle name="Comma 2 3 2 4 2" xfId="11137" xr:uid="{00000000-0005-0000-0000-00006D220000}"/>
    <cellStyle name="Comma 2 3 2 4 2 2" xfId="15521" xr:uid="{00000000-0005-0000-0000-00006E220000}"/>
    <cellStyle name="Comma 2 3 2 4 2 2 2" xfId="36899" xr:uid="{00000000-0005-0000-0000-00006F220000}"/>
    <cellStyle name="Comma 2 3 2 4 2 2 3" xfId="29180" xr:uid="{00000000-0005-0000-0000-000070220000}"/>
    <cellStyle name="Comma 2 3 2 4 2 3" xfId="29082" xr:uid="{00000000-0005-0000-0000-000071220000}"/>
    <cellStyle name="Comma 2 3 2 4 2 4" xfId="33954" xr:uid="{00000000-0005-0000-0000-000072220000}"/>
    <cellStyle name="Comma 2 3 2 4 2 5" xfId="28985" xr:uid="{00000000-0005-0000-0000-000073220000}"/>
    <cellStyle name="Comma 2 3 2 4 3" xfId="15361" xr:uid="{00000000-0005-0000-0000-000074220000}"/>
    <cellStyle name="Comma 2 3 2 4 3 2" xfId="36748" xr:uid="{00000000-0005-0000-0000-000075220000}"/>
    <cellStyle name="Comma 2 3 2 4 3 3" xfId="29133" xr:uid="{00000000-0005-0000-0000-000076220000}"/>
    <cellStyle name="Comma 2 3 2 4 4" xfId="29035" xr:uid="{00000000-0005-0000-0000-000077220000}"/>
    <cellStyle name="Comma 2 3 2 4 5" xfId="29522" xr:uid="{00000000-0005-0000-0000-000078220000}"/>
    <cellStyle name="Comma 2 3 2 4 6" xfId="28933" xr:uid="{00000000-0005-0000-0000-000079220000}"/>
    <cellStyle name="Comma 2 3 2 4 7" xfId="33637" xr:uid="{00000000-0005-0000-0000-00007A220000}"/>
    <cellStyle name="Comma 2 3 2 4 8" xfId="27741" xr:uid="{00000000-0005-0000-0000-00007B220000}"/>
    <cellStyle name="Comma 2 3 2 5" xfId="10552" xr:uid="{00000000-0005-0000-0000-00007C220000}"/>
    <cellStyle name="Comma 2 3 2 5 2" xfId="15426" xr:uid="{00000000-0005-0000-0000-00007D220000}"/>
    <cellStyle name="Comma 2 3 2 5 2 2" xfId="36810" xr:uid="{00000000-0005-0000-0000-00007E220000}"/>
    <cellStyle name="Comma 2 3 2 5 2 3" xfId="29145" xr:uid="{00000000-0005-0000-0000-00007F220000}"/>
    <cellStyle name="Comma 2 3 2 5 3" xfId="29047" xr:uid="{00000000-0005-0000-0000-000080220000}"/>
    <cellStyle name="Comma 2 3 2 5 4" xfId="33686" xr:uid="{00000000-0005-0000-0000-000081220000}"/>
    <cellStyle name="Comma 2 3 2 5 5" xfId="28950" xr:uid="{00000000-0005-0000-0000-000082220000}"/>
    <cellStyle name="Comma 2 3 2 6" xfId="9740" xr:uid="{00000000-0005-0000-0000-000083220000}"/>
    <cellStyle name="Comma 2 3 2 6 2" xfId="33275" xr:uid="{00000000-0005-0000-0000-000084220000}"/>
    <cellStyle name="Comma 2 3 2 6 3" xfId="29098" xr:uid="{00000000-0005-0000-0000-000085220000}"/>
    <cellStyle name="Comma 2 3 2 7" xfId="15220" xr:uid="{00000000-0005-0000-0000-000086220000}"/>
    <cellStyle name="Comma 2 3 2 7 2" xfId="36628" xr:uid="{00000000-0005-0000-0000-000087220000}"/>
    <cellStyle name="Comma 2 3 2 7 3" xfId="29000" xr:uid="{00000000-0005-0000-0000-000088220000}"/>
    <cellStyle name="Comma 2 3 2 8" xfId="29200" xr:uid="{00000000-0005-0000-0000-000089220000}"/>
    <cellStyle name="Comma 2 3 2 9" xfId="28434" xr:uid="{00000000-0005-0000-0000-00008A220000}"/>
    <cellStyle name="Comma 2 3 20" xfId="27355" xr:uid="{00000000-0005-0000-0000-00008B220000}"/>
    <cellStyle name="Comma 2 3 21" xfId="16611" xr:uid="{00000000-0005-0000-0000-00008C220000}"/>
    <cellStyle name="Comma 2 3 3" xfId="8598" xr:uid="{00000000-0005-0000-0000-00008D220000}"/>
    <cellStyle name="Comma 2 3 3 10" xfId="21889" xr:uid="{00000000-0005-0000-0000-00008E220000}"/>
    <cellStyle name="Comma 2 3 3 11" xfId="39254" xr:uid="{00000000-0005-0000-0000-0000D8070000}"/>
    <cellStyle name="Comma 2 3 3 12" xfId="41185" xr:uid="{00000000-0005-0000-0000-0000D8070000}"/>
    <cellStyle name="Comma 2 3 3 2" xfId="9744" xr:uid="{00000000-0005-0000-0000-00008F220000}"/>
    <cellStyle name="Comma 2 3 3 2 2" xfId="10488" xr:uid="{00000000-0005-0000-0000-000090220000}"/>
    <cellStyle name="Comma 2 3 3 2 2 2" xfId="11141" xr:uid="{00000000-0005-0000-0000-000091220000}"/>
    <cellStyle name="Comma 2 3 3 2 2 2 2" xfId="15525" xr:uid="{00000000-0005-0000-0000-000092220000}"/>
    <cellStyle name="Comma 2 3 3 2 2 2 2 2" xfId="36903" xr:uid="{00000000-0005-0000-0000-000093220000}"/>
    <cellStyle name="Comma 2 3 3 2 2 2 3" xfId="33958" xr:uid="{00000000-0005-0000-0000-000094220000}"/>
    <cellStyle name="Comma 2 3 3 2 2 2 4" xfId="29526" xr:uid="{00000000-0005-0000-0000-000095220000}"/>
    <cellStyle name="Comma 2 3 3 2 2 3" xfId="15365" xr:uid="{00000000-0005-0000-0000-000096220000}"/>
    <cellStyle name="Comma 2 3 3 2 2 3 2" xfId="36752" xr:uid="{00000000-0005-0000-0000-000097220000}"/>
    <cellStyle name="Comma 2 3 3 2 2 3 3" xfId="29154" xr:uid="{00000000-0005-0000-0000-000098220000}"/>
    <cellStyle name="Comma 2 3 3 2 2 4" xfId="33641" xr:uid="{00000000-0005-0000-0000-000099220000}"/>
    <cellStyle name="Comma 2 3 3 2 2 5" xfId="27745" xr:uid="{00000000-0005-0000-0000-00009A220000}"/>
    <cellStyle name="Comma 2 3 3 2 3" xfId="10556" xr:uid="{00000000-0005-0000-0000-00009B220000}"/>
    <cellStyle name="Comma 2 3 3 2 3 2" xfId="15430" xr:uid="{00000000-0005-0000-0000-00009C220000}"/>
    <cellStyle name="Comma 2 3 3 2 3 2 2" xfId="36814" xr:uid="{00000000-0005-0000-0000-00009D220000}"/>
    <cellStyle name="Comma 2 3 3 2 3 3" xfId="33690" xr:uid="{00000000-0005-0000-0000-00009E220000}"/>
    <cellStyle name="Comma 2 3 3 2 3 4" xfId="29056" xr:uid="{00000000-0005-0000-0000-00009F220000}"/>
    <cellStyle name="Comma 2 3 3 2 4" xfId="15224" xr:uid="{00000000-0005-0000-0000-0000A0220000}"/>
    <cellStyle name="Comma 2 3 3 2 4 2" xfId="36632" xr:uid="{00000000-0005-0000-0000-0000A1220000}"/>
    <cellStyle name="Comma 2 3 3 2 4 3" xfId="29204" xr:uid="{00000000-0005-0000-0000-0000A2220000}"/>
    <cellStyle name="Comma 2 3 3 2 5" xfId="29297" xr:uid="{00000000-0005-0000-0000-0000A3220000}"/>
    <cellStyle name="Comma 2 3 3 2 6" xfId="28959" xr:uid="{00000000-0005-0000-0000-0000A4220000}"/>
    <cellStyle name="Comma 2 3 3 2 7" xfId="33279" xr:uid="{00000000-0005-0000-0000-0000A5220000}"/>
    <cellStyle name="Comma 2 3 3 2 8" xfId="27360" xr:uid="{00000000-0005-0000-0000-0000A6220000}"/>
    <cellStyle name="Comma 2 3 3 3" xfId="9745" xr:uid="{00000000-0005-0000-0000-0000A7220000}"/>
    <cellStyle name="Comma 2 3 3 3 2" xfId="10489" xr:uid="{00000000-0005-0000-0000-0000A8220000}"/>
    <cellStyle name="Comma 2 3 3 3 2 2" xfId="11142" xr:uid="{00000000-0005-0000-0000-0000A9220000}"/>
    <cellStyle name="Comma 2 3 3 3 2 2 2" xfId="15526" xr:uid="{00000000-0005-0000-0000-0000AA220000}"/>
    <cellStyle name="Comma 2 3 3 3 2 2 2 2" xfId="36904" xr:uid="{00000000-0005-0000-0000-0000AB220000}"/>
    <cellStyle name="Comma 2 3 3 3 2 2 3" xfId="33959" xr:uid="{00000000-0005-0000-0000-0000AC220000}"/>
    <cellStyle name="Comma 2 3 3 3 2 2 4" xfId="29527" xr:uid="{00000000-0005-0000-0000-0000AD220000}"/>
    <cellStyle name="Comma 2 3 3 3 2 3" xfId="15366" xr:uid="{00000000-0005-0000-0000-0000AE220000}"/>
    <cellStyle name="Comma 2 3 3 3 2 3 2" xfId="36753" xr:uid="{00000000-0005-0000-0000-0000AF220000}"/>
    <cellStyle name="Comma 2 3 3 3 2 3 3" xfId="29205" xr:uid="{00000000-0005-0000-0000-0000B0220000}"/>
    <cellStyle name="Comma 2 3 3 3 2 4" xfId="33642" xr:uid="{00000000-0005-0000-0000-0000B1220000}"/>
    <cellStyle name="Comma 2 3 3 3 2 5" xfId="27746" xr:uid="{00000000-0005-0000-0000-0000B2220000}"/>
    <cellStyle name="Comma 2 3 3 3 3" xfId="10557" xr:uid="{00000000-0005-0000-0000-0000B3220000}"/>
    <cellStyle name="Comma 2 3 3 3 3 2" xfId="15431" xr:uid="{00000000-0005-0000-0000-0000B4220000}"/>
    <cellStyle name="Comma 2 3 3 3 3 2 2" xfId="36815" xr:uid="{00000000-0005-0000-0000-0000B5220000}"/>
    <cellStyle name="Comma 2 3 3 3 3 3" xfId="33691" xr:uid="{00000000-0005-0000-0000-0000B6220000}"/>
    <cellStyle name="Comma 2 3 3 3 3 4" xfId="29298" xr:uid="{00000000-0005-0000-0000-0000B7220000}"/>
    <cellStyle name="Comma 2 3 3 3 4" xfId="15225" xr:uid="{00000000-0005-0000-0000-0000B8220000}"/>
    <cellStyle name="Comma 2 3 3 3 4 2" xfId="36633" xr:uid="{00000000-0005-0000-0000-0000B9220000}"/>
    <cellStyle name="Comma 2 3 3 3 4 3" xfId="29107" xr:uid="{00000000-0005-0000-0000-0000BA220000}"/>
    <cellStyle name="Comma 2 3 3 3 5" xfId="33280" xr:uid="{00000000-0005-0000-0000-0000BB220000}"/>
    <cellStyle name="Comma 2 3 3 3 6" xfId="27361" xr:uid="{00000000-0005-0000-0000-0000BC220000}"/>
    <cellStyle name="Comma 2 3 3 4" xfId="10487" xr:uid="{00000000-0005-0000-0000-0000BD220000}"/>
    <cellStyle name="Comma 2 3 3 4 2" xfId="11140" xr:uid="{00000000-0005-0000-0000-0000BE220000}"/>
    <cellStyle name="Comma 2 3 3 4 2 2" xfId="15524" xr:uid="{00000000-0005-0000-0000-0000BF220000}"/>
    <cellStyle name="Comma 2 3 3 4 2 2 2" xfId="36902" xr:uid="{00000000-0005-0000-0000-0000C0220000}"/>
    <cellStyle name="Comma 2 3 3 4 2 3" xfId="33957" xr:uid="{00000000-0005-0000-0000-0000C1220000}"/>
    <cellStyle name="Comma 2 3 3 4 2 4" xfId="29525" xr:uid="{00000000-0005-0000-0000-0000C2220000}"/>
    <cellStyle name="Comma 2 3 3 4 3" xfId="15364" xr:uid="{00000000-0005-0000-0000-0000C3220000}"/>
    <cellStyle name="Comma 2 3 3 4 3 2" xfId="36751" xr:uid="{00000000-0005-0000-0000-0000C4220000}"/>
    <cellStyle name="Comma 2 3 3 4 3 3" xfId="29009" xr:uid="{00000000-0005-0000-0000-0000C5220000}"/>
    <cellStyle name="Comma 2 3 3 4 4" xfId="33640" xr:uid="{00000000-0005-0000-0000-0000C6220000}"/>
    <cellStyle name="Comma 2 3 3 4 5" xfId="27744" xr:uid="{00000000-0005-0000-0000-0000C7220000}"/>
    <cellStyle name="Comma 2 3 3 5" xfId="10555" xr:uid="{00000000-0005-0000-0000-0000C8220000}"/>
    <cellStyle name="Comma 2 3 3 5 2" xfId="15429" xr:uid="{00000000-0005-0000-0000-0000C9220000}"/>
    <cellStyle name="Comma 2 3 3 5 2 2" xfId="36813" xr:uid="{00000000-0005-0000-0000-0000CA220000}"/>
    <cellStyle name="Comma 2 3 3 5 3" xfId="33689" xr:uid="{00000000-0005-0000-0000-0000CB220000}"/>
    <cellStyle name="Comma 2 3 3 5 4" xfId="29203" xr:uid="{00000000-0005-0000-0000-0000CC220000}"/>
    <cellStyle name="Comma 2 3 3 6" xfId="9743" xr:uid="{00000000-0005-0000-0000-0000CD220000}"/>
    <cellStyle name="Comma 2 3 3 6 2" xfId="33278" xr:uid="{00000000-0005-0000-0000-0000CE220000}"/>
    <cellStyle name="Comma 2 3 3 6 3" xfId="29296" xr:uid="{00000000-0005-0000-0000-0000CF220000}"/>
    <cellStyle name="Comma 2 3 3 7" xfId="15223" xr:uid="{00000000-0005-0000-0000-0000D0220000}"/>
    <cellStyle name="Comma 2 3 3 7 2" xfId="36631" xr:uid="{00000000-0005-0000-0000-0000D1220000}"/>
    <cellStyle name="Comma 2 3 3 7 3" xfId="28902" xr:uid="{00000000-0005-0000-0000-0000D2220000}"/>
    <cellStyle name="Comma 2 3 3 8" xfId="33107" xr:uid="{00000000-0005-0000-0000-0000D3220000}"/>
    <cellStyle name="Comma 2 3 3 9" xfId="27359" xr:uid="{00000000-0005-0000-0000-0000D4220000}"/>
    <cellStyle name="Comma 2 3 4" xfId="4090" xr:uid="{00000000-0005-0000-0000-0000D5220000}"/>
    <cellStyle name="Comma 2 3 4 10" xfId="17772" xr:uid="{00000000-0005-0000-0000-0000D6220000}"/>
    <cellStyle name="Comma 2 3 4 2" xfId="10490" xr:uid="{00000000-0005-0000-0000-0000D7220000}"/>
    <cellStyle name="Comma 2 3 4 2 2" xfId="11143" xr:uid="{00000000-0005-0000-0000-0000D8220000}"/>
    <cellStyle name="Comma 2 3 4 2 2 2" xfId="15527" xr:uid="{00000000-0005-0000-0000-0000D9220000}"/>
    <cellStyle name="Comma 2 3 4 2 2 2 2" xfId="36905" xr:uid="{00000000-0005-0000-0000-0000DA220000}"/>
    <cellStyle name="Comma 2 3 4 2 2 3" xfId="33960" xr:uid="{00000000-0005-0000-0000-0000DB220000}"/>
    <cellStyle name="Comma 2 3 4 2 2 4" xfId="29164" xr:uid="{00000000-0005-0000-0000-0000DC220000}"/>
    <cellStyle name="Comma 2 3 4 2 3" xfId="15367" xr:uid="{00000000-0005-0000-0000-0000DD220000}"/>
    <cellStyle name="Comma 2 3 4 2 3 2" xfId="36754" xr:uid="{00000000-0005-0000-0000-0000DE220000}"/>
    <cellStyle name="Comma 2 3 4 2 3 3" xfId="29066" xr:uid="{00000000-0005-0000-0000-0000DF220000}"/>
    <cellStyle name="Comma 2 3 4 2 4" xfId="29528" xr:uid="{00000000-0005-0000-0000-0000E0220000}"/>
    <cellStyle name="Comma 2 3 4 2 5" xfId="28969" xr:uid="{00000000-0005-0000-0000-0000E1220000}"/>
    <cellStyle name="Comma 2 3 4 2 6" xfId="33643" xr:uid="{00000000-0005-0000-0000-0000E2220000}"/>
    <cellStyle name="Comma 2 3 4 2 7" xfId="27747" xr:uid="{00000000-0005-0000-0000-0000E3220000}"/>
    <cellStyle name="Comma 2 3 4 3" xfId="10558" xr:uid="{00000000-0005-0000-0000-0000E4220000}"/>
    <cellStyle name="Comma 2 3 4 3 2" xfId="15432" xr:uid="{00000000-0005-0000-0000-0000E5220000}"/>
    <cellStyle name="Comma 2 3 4 3 2 2" xfId="36816" xr:uid="{00000000-0005-0000-0000-0000E6220000}"/>
    <cellStyle name="Comma 2 3 4 3 3" xfId="33692" xr:uid="{00000000-0005-0000-0000-0000E7220000}"/>
    <cellStyle name="Comma 2 3 4 3 4" xfId="29117" xr:uid="{00000000-0005-0000-0000-0000E8220000}"/>
    <cellStyle name="Comma 2 3 4 4" xfId="9746" xr:uid="{00000000-0005-0000-0000-0000E9220000}"/>
    <cellStyle name="Comma 2 3 4 4 2" xfId="33281" xr:uid="{00000000-0005-0000-0000-0000EA220000}"/>
    <cellStyle name="Comma 2 3 4 4 3" xfId="29019" xr:uid="{00000000-0005-0000-0000-0000EB220000}"/>
    <cellStyle name="Comma 2 3 4 5" xfId="15226" xr:uid="{00000000-0005-0000-0000-0000EC220000}"/>
    <cellStyle name="Comma 2 3 4 5 2" xfId="36634" xr:uid="{00000000-0005-0000-0000-0000ED220000}"/>
    <cellStyle name="Comma 2 3 4 5 3" xfId="29206" xr:uid="{00000000-0005-0000-0000-0000EE220000}"/>
    <cellStyle name="Comma 2 3 4 6" xfId="29299" xr:uid="{00000000-0005-0000-0000-0000EF220000}"/>
    <cellStyle name="Comma 2 3 4 7" xfId="28912" xr:uid="{00000000-0005-0000-0000-0000F0220000}"/>
    <cellStyle name="Comma 2 3 4 8" xfId="31710" xr:uid="{00000000-0005-0000-0000-0000F1220000}"/>
    <cellStyle name="Comma 2 3 4 9" xfId="27362" xr:uid="{00000000-0005-0000-0000-0000F2220000}"/>
    <cellStyle name="Comma 2 3 5" xfId="9747" xr:uid="{00000000-0005-0000-0000-0000F3220000}"/>
    <cellStyle name="Comma 2 3 5 10" xfId="17099" xr:uid="{00000000-0005-0000-0000-0000F4220000}"/>
    <cellStyle name="Comma 2 3 5 2" xfId="10491" xr:uid="{00000000-0005-0000-0000-0000F5220000}"/>
    <cellStyle name="Comma 2 3 5 2 2" xfId="11144" xr:uid="{00000000-0005-0000-0000-0000F6220000}"/>
    <cellStyle name="Comma 2 3 5 2 2 2" xfId="15528" xr:uid="{00000000-0005-0000-0000-0000F7220000}"/>
    <cellStyle name="Comma 2 3 5 2 2 2 2" xfId="36906" xr:uid="{00000000-0005-0000-0000-0000F8220000}"/>
    <cellStyle name="Comma 2 3 5 2 2 3" xfId="33961" xr:uid="{00000000-0005-0000-0000-0000F9220000}"/>
    <cellStyle name="Comma 2 3 5 2 2 4" xfId="29172" xr:uid="{00000000-0005-0000-0000-0000FA220000}"/>
    <cellStyle name="Comma 2 3 5 2 3" xfId="15368" xr:uid="{00000000-0005-0000-0000-0000FB220000}"/>
    <cellStyle name="Comma 2 3 5 2 3 2" xfId="36755" xr:uid="{00000000-0005-0000-0000-0000FC220000}"/>
    <cellStyle name="Comma 2 3 5 2 3 3" xfId="29074" xr:uid="{00000000-0005-0000-0000-0000FD220000}"/>
    <cellStyle name="Comma 2 3 5 2 4" xfId="29529" xr:uid="{00000000-0005-0000-0000-0000FE220000}"/>
    <cellStyle name="Comma 2 3 5 2 5" xfId="28977" xr:uid="{00000000-0005-0000-0000-0000FF220000}"/>
    <cellStyle name="Comma 2 3 5 2 6" xfId="33644" xr:uid="{00000000-0005-0000-0000-000000230000}"/>
    <cellStyle name="Comma 2 3 5 2 7" xfId="27748" xr:uid="{00000000-0005-0000-0000-000001230000}"/>
    <cellStyle name="Comma 2 3 5 3" xfId="10559" xr:uid="{00000000-0005-0000-0000-000002230000}"/>
    <cellStyle name="Comma 2 3 5 3 2" xfId="15433" xr:uid="{00000000-0005-0000-0000-000003230000}"/>
    <cellStyle name="Comma 2 3 5 3 2 2" xfId="36817" xr:uid="{00000000-0005-0000-0000-000004230000}"/>
    <cellStyle name="Comma 2 3 5 3 3" xfId="33693" xr:uid="{00000000-0005-0000-0000-000005230000}"/>
    <cellStyle name="Comma 2 3 5 3 4" xfId="29125" xr:uid="{00000000-0005-0000-0000-000006230000}"/>
    <cellStyle name="Comma 2 3 5 4" xfId="15227" xr:uid="{00000000-0005-0000-0000-000007230000}"/>
    <cellStyle name="Comma 2 3 5 4 2" xfId="36635" xr:uid="{00000000-0005-0000-0000-000008230000}"/>
    <cellStyle name="Comma 2 3 5 4 3" xfId="29027" xr:uid="{00000000-0005-0000-0000-000009230000}"/>
    <cellStyle name="Comma 2 3 5 5" xfId="29207" xr:uid="{00000000-0005-0000-0000-00000A230000}"/>
    <cellStyle name="Comma 2 3 5 6" xfId="29300" xr:uid="{00000000-0005-0000-0000-00000B230000}"/>
    <cellStyle name="Comma 2 3 5 7" xfId="28920" xr:uid="{00000000-0005-0000-0000-00000C230000}"/>
    <cellStyle name="Comma 2 3 5 8" xfId="33282" xr:uid="{00000000-0005-0000-0000-00000D230000}"/>
    <cellStyle name="Comma 2 3 5 9" xfId="27363" xr:uid="{00000000-0005-0000-0000-00000E230000}"/>
    <cellStyle name="Comma 2 3 6" xfId="9748" xr:uid="{00000000-0005-0000-0000-00000F230000}"/>
    <cellStyle name="Comma 2 3 6 2" xfId="10492" xr:uid="{00000000-0005-0000-0000-000010230000}"/>
    <cellStyle name="Comma 2 3 6 2 2" xfId="11145" xr:uid="{00000000-0005-0000-0000-000011230000}"/>
    <cellStyle name="Comma 2 3 6 2 2 2" xfId="15529" xr:uid="{00000000-0005-0000-0000-000012230000}"/>
    <cellStyle name="Comma 2 3 6 2 2 2 2" xfId="36907" xr:uid="{00000000-0005-0000-0000-000013230000}"/>
    <cellStyle name="Comma 2 3 6 2 2 3" xfId="33962" xr:uid="{00000000-0005-0000-0000-000014230000}"/>
    <cellStyle name="Comma 2 3 6 2 2 4" xfId="29179" xr:uid="{00000000-0005-0000-0000-000015230000}"/>
    <cellStyle name="Comma 2 3 6 2 3" xfId="15369" xr:uid="{00000000-0005-0000-0000-000016230000}"/>
    <cellStyle name="Comma 2 3 6 2 3 2" xfId="36756" xr:uid="{00000000-0005-0000-0000-000017230000}"/>
    <cellStyle name="Comma 2 3 6 2 3 3" xfId="29081" xr:uid="{00000000-0005-0000-0000-000018230000}"/>
    <cellStyle name="Comma 2 3 6 2 4" xfId="29530" xr:uid="{00000000-0005-0000-0000-000019230000}"/>
    <cellStyle name="Comma 2 3 6 2 5" xfId="28984" xr:uid="{00000000-0005-0000-0000-00001A230000}"/>
    <cellStyle name="Comma 2 3 6 2 6" xfId="33645" xr:uid="{00000000-0005-0000-0000-00001B230000}"/>
    <cellStyle name="Comma 2 3 6 2 7" xfId="27749" xr:uid="{00000000-0005-0000-0000-00001C230000}"/>
    <cellStyle name="Comma 2 3 6 3" xfId="10560" xr:uid="{00000000-0005-0000-0000-00001D230000}"/>
    <cellStyle name="Comma 2 3 6 3 2" xfId="15434" xr:uid="{00000000-0005-0000-0000-00001E230000}"/>
    <cellStyle name="Comma 2 3 6 3 2 2" xfId="36818" xr:uid="{00000000-0005-0000-0000-00001F230000}"/>
    <cellStyle name="Comma 2 3 6 3 3" xfId="33694" xr:uid="{00000000-0005-0000-0000-000020230000}"/>
    <cellStyle name="Comma 2 3 6 3 4" xfId="29132" xr:uid="{00000000-0005-0000-0000-000021230000}"/>
    <cellStyle name="Comma 2 3 6 4" xfId="15228" xr:uid="{00000000-0005-0000-0000-000022230000}"/>
    <cellStyle name="Comma 2 3 6 4 2" xfId="36636" xr:uid="{00000000-0005-0000-0000-000023230000}"/>
    <cellStyle name="Comma 2 3 6 4 3" xfId="29034" xr:uid="{00000000-0005-0000-0000-000024230000}"/>
    <cellStyle name="Comma 2 3 6 5" xfId="29208" xr:uid="{00000000-0005-0000-0000-000025230000}"/>
    <cellStyle name="Comma 2 3 6 6" xfId="29301" xr:uid="{00000000-0005-0000-0000-000026230000}"/>
    <cellStyle name="Comma 2 3 6 7" xfId="28932" xr:uid="{00000000-0005-0000-0000-000027230000}"/>
    <cellStyle name="Comma 2 3 6 8" xfId="33283" xr:uid="{00000000-0005-0000-0000-000028230000}"/>
    <cellStyle name="Comma 2 3 6 9" xfId="27364" xr:uid="{00000000-0005-0000-0000-000029230000}"/>
    <cellStyle name="Comma 2 3 7" xfId="9749" xr:uid="{00000000-0005-0000-0000-00002A230000}"/>
    <cellStyle name="Comma 2 3 7 2" xfId="10493" xr:uid="{00000000-0005-0000-0000-00002B230000}"/>
    <cellStyle name="Comma 2 3 7 2 2" xfId="11146" xr:uid="{00000000-0005-0000-0000-00002C230000}"/>
    <cellStyle name="Comma 2 3 7 2 2 2" xfId="15530" xr:uid="{00000000-0005-0000-0000-00002D230000}"/>
    <cellStyle name="Comma 2 3 7 2 2 2 2" xfId="36908" xr:uid="{00000000-0005-0000-0000-00002E230000}"/>
    <cellStyle name="Comma 2 3 7 2 2 3" xfId="33963" xr:uid="{00000000-0005-0000-0000-00002F230000}"/>
    <cellStyle name="Comma 2 3 7 2 2 4" xfId="29531" xr:uid="{00000000-0005-0000-0000-000030230000}"/>
    <cellStyle name="Comma 2 3 7 2 3" xfId="15370" xr:uid="{00000000-0005-0000-0000-000031230000}"/>
    <cellStyle name="Comma 2 3 7 2 3 2" xfId="36757" xr:uid="{00000000-0005-0000-0000-000032230000}"/>
    <cellStyle name="Comma 2 3 7 2 3 3" xfId="29144" xr:uid="{00000000-0005-0000-0000-000033230000}"/>
    <cellStyle name="Comma 2 3 7 2 4" xfId="33646" xr:uid="{00000000-0005-0000-0000-000034230000}"/>
    <cellStyle name="Comma 2 3 7 2 5" xfId="27750" xr:uid="{00000000-0005-0000-0000-000035230000}"/>
    <cellStyle name="Comma 2 3 7 3" xfId="10561" xr:uid="{00000000-0005-0000-0000-000036230000}"/>
    <cellStyle name="Comma 2 3 7 3 2" xfId="15435" xr:uid="{00000000-0005-0000-0000-000037230000}"/>
    <cellStyle name="Comma 2 3 7 3 2 2" xfId="36819" xr:uid="{00000000-0005-0000-0000-000038230000}"/>
    <cellStyle name="Comma 2 3 7 3 3" xfId="33695" xr:uid="{00000000-0005-0000-0000-000039230000}"/>
    <cellStyle name="Comma 2 3 7 3 4" xfId="29046" xr:uid="{00000000-0005-0000-0000-00003A230000}"/>
    <cellStyle name="Comma 2 3 7 4" xfId="15229" xr:uid="{00000000-0005-0000-0000-00003B230000}"/>
    <cellStyle name="Comma 2 3 7 4 2" xfId="36637" xr:uid="{00000000-0005-0000-0000-00003C230000}"/>
    <cellStyle name="Comma 2 3 7 4 3" xfId="29302" xr:uid="{00000000-0005-0000-0000-00003D230000}"/>
    <cellStyle name="Comma 2 3 7 5" xfId="28949" xr:uid="{00000000-0005-0000-0000-00003E230000}"/>
    <cellStyle name="Comma 2 3 7 6" xfId="33284" xr:uid="{00000000-0005-0000-0000-00003F230000}"/>
    <cellStyle name="Comma 2 3 7 7" xfId="27365" xr:uid="{00000000-0005-0000-0000-000040230000}"/>
    <cellStyle name="Comma 2 3 8" xfId="10315" xr:uid="{00000000-0005-0000-0000-000041230000}"/>
    <cellStyle name="Comma 2 3 8 2" xfId="10509" xr:uid="{00000000-0005-0000-0000-000042230000}"/>
    <cellStyle name="Comma 2 3 8 2 2" xfId="11162" xr:uid="{00000000-0005-0000-0000-000043230000}"/>
    <cellStyle name="Comma 2 3 8 2 2 2" xfId="15546" xr:uid="{00000000-0005-0000-0000-000044230000}"/>
    <cellStyle name="Comma 2 3 8 2 2 2 2" xfId="36924" xr:uid="{00000000-0005-0000-0000-000045230000}"/>
    <cellStyle name="Comma 2 3 8 2 2 3" xfId="33979" xr:uid="{00000000-0005-0000-0000-000046230000}"/>
    <cellStyle name="Comma 2 3 8 2 3" xfId="15386" xr:uid="{00000000-0005-0000-0000-000047230000}"/>
    <cellStyle name="Comma 2 3 8 2 3 2" xfId="36773" xr:uid="{00000000-0005-0000-0000-000048230000}"/>
    <cellStyle name="Comma 2 3 8 2 4" xfId="33662" xr:uid="{00000000-0005-0000-0000-000049230000}"/>
    <cellStyle name="Comma 2 3 8 2 5" xfId="29271" xr:uid="{00000000-0005-0000-0000-00004A230000}"/>
    <cellStyle name="Comma 2 3 8 3" xfId="10909" xr:uid="{00000000-0005-0000-0000-00004B230000}"/>
    <cellStyle name="Comma 2 3 8 3 2" xfId="15484" xr:uid="{00000000-0005-0000-0000-00004C230000}"/>
    <cellStyle name="Comma 2 3 8 3 2 2" xfId="36863" xr:uid="{00000000-0005-0000-0000-00004D230000}"/>
    <cellStyle name="Comma 2 3 8 3 3" xfId="33859" xr:uid="{00000000-0005-0000-0000-00004E230000}"/>
    <cellStyle name="Comma 2 3 8 3 4" xfId="29521" xr:uid="{00000000-0005-0000-0000-00004F230000}"/>
    <cellStyle name="Comma 2 3 8 4" xfId="15325" xr:uid="{00000000-0005-0000-0000-000050230000}"/>
    <cellStyle name="Comma 2 3 8 4 2" xfId="36715" xr:uid="{00000000-0005-0000-0000-000051230000}"/>
    <cellStyle name="Comma 2 3 8 4 3" xfId="29097" xr:uid="{00000000-0005-0000-0000-000052230000}"/>
    <cellStyle name="Comma 2 3 8 5" xfId="33603" xr:uid="{00000000-0005-0000-0000-000053230000}"/>
    <cellStyle name="Comma 2 3 8 6" xfId="27740" xr:uid="{00000000-0005-0000-0000-000054230000}"/>
    <cellStyle name="Comma 2 3 9" xfId="10465" xr:uid="{00000000-0005-0000-0000-000055230000}"/>
    <cellStyle name="Comma 2 3 9 2" xfId="10520" xr:uid="{00000000-0005-0000-0000-000056230000}"/>
    <cellStyle name="Comma 2 3 9 2 2" xfId="11167" xr:uid="{00000000-0005-0000-0000-000057230000}"/>
    <cellStyle name="Comma 2 3 9 2 2 2" xfId="15551" xr:uid="{00000000-0005-0000-0000-000058230000}"/>
    <cellStyle name="Comma 2 3 9 2 2 2 2" xfId="36929" xr:uid="{00000000-0005-0000-0000-000059230000}"/>
    <cellStyle name="Comma 2 3 9 2 2 3" xfId="33984" xr:uid="{00000000-0005-0000-0000-00005A230000}"/>
    <cellStyle name="Comma 2 3 9 2 3" xfId="15393" xr:uid="{00000000-0005-0000-0000-00005B230000}"/>
    <cellStyle name="Comma 2 3 9 2 3 2" xfId="36778" xr:uid="{00000000-0005-0000-0000-00005C230000}"/>
    <cellStyle name="Comma 2 3 9 2 4" xfId="33667" xr:uid="{00000000-0005-0000-0000-00005D230000}"/>
    <cellStyle name="Comma 2 3 9 2 5" xfId="29272" xr:uid="{00000000-0005-0000-0000-00005E230000}"/>
    <cellStyle name="Comma 2 3 9 3" xfId="11120" xr:uid="{00000000-0005-0000-0000-00005F230000}"/>
    <cellStyle name="Comma 2 3 9 3 2" xfId="15504" xr:uid="{00000000-0005-0000-0000-000060230000}"/>
    <cellStyle name="Comma 2 3 9 3 2 2" xfId="36882" xr:uid="{00000000-0005-0000-0000-000061230000}"/>
    <cellStyle name="Comma 2 3 9 3 3" xfId="33937" xr:uid="{00000000-0005-0000-0000-000062230000}"/>
    <cellStyle name="Comma 2 3 9 3 4" xfId="30296" xr:uid="{00000000-0005-0000-0000-000063230000}"/>
    <cellStyle name="Comma 2 3 9 4" xfId="12498" xr:uid="{00000000-0005-0000-0000-000064230000}"/>
    <cellStyle name="Comma 2 3 9 4 2" xfId="34947" xr:uid="{00000000-0005-0000-0000-000065230000}"/>
    <cellStyle name="Comma 2 3 9 4 3" xfId="28999" xr:uid="{00000000-0005-0000-0000-000066230000}"/>
    <cellStyle name="Comma 2 3 9 5" xfId="15344" xr:uid="{00000000-0005-0000-0000-000067230000}"/>
    <cellStyle name="Comma 2 3 9 5 2" xfId="36731" xr:uid="{00000000-0005-0000-0000-000068230000}"/>
    <cellStyle name="Comma 2 3 9 6" xfId="33618" xr:uid="{00000000-0005-0000-0000-000069230000}"/>
    <cellStyle name="Comma 2 30" xfId="14711" xr:uid="{00000000-0005-0000-0000-00006A230000}"/>
    <cellStyle name="Comma 2 30 2" xfId="36191" xr:uid="{00000000-0005-0000-0000-00006B230000}"/>
    <cellStyle name="Comma 2 31" xfId="31149" xr:uid="{00000000-0005-0000-0000-00006C230000}"/>
    <cellStyle name="Comma 2 32" xfId="27341" xr:uid="{00000000-0005-0000-0000-00006D230000}"/>
    <cellStyle name="Comma 2 33" xfId="16607" xr:uid="{00000000-0005-0000-0000-00006E230000}"/>
    <cellStyle name="Comma 2 34" xfId="37956" xr:uid="{00000000-0005-0000-0000-0000C7070000}"/>
    <cellStyle name="Comma 2 35" xfId="40902" xr:uid="{00000000-0005-0000-0000-0000C7070000}"/>
    <cellStyle name="Comma 2 4" xfId="3389" xr:uid="{00000000-0005-0000-0000-00006F230000}"/>
    <cellStyle name="Comma 2 4 10" xfId="9750" xr:uid="{00000000-0005-0000-0000-000070230000}"/>
    <cellStyle name="Comma 2 4 10 2" xfId="15230" xr:uid="{00000000-0005-0000-0000-000071230000}"/>
    <cellStyle name="Comma 2 4 10 2 2" xfId="36638" xr:uid="{00000000-0005-0000-0000-000072230000}"/>
    <cellStyle name="Comma 2 4 10 3" xfId="33285" xr:uid="{00000000-0005-0000-0000-000073230000}"/>
    <cellStyle name="Comma 2 4 10 4" xfId="29209" xr:uid="{00000000-0005-0000-0000-000074230000}"/>
    <cellStyle name="Comma 2 4 11" xfId="14378" xr:uid="{00000000-0005-0000-0000-000075230000}"/>
    <cellStyle name="Comma 2 4 11 2" xfId="16379" xr:uid="{00000000-0005-0000-0000-000076230000}"/>
    <cellStyle name="Comma 2 4 11 2 2" xfId="37681" xr:uid="{00000000-0005-0000-0000-000077230000}"/>
    <cellStyle name="Comma 2 4 11 3" xfId="35919" xr:uid="{00000000-0005-0000-0000-000078230000}"/>
    <cellStyle name="Comma 2 4 11 4" xfId="29263" xr:uid="{00000000-0005-0000-0000-000079230000}"/>
    <cellStyle name="Comma 2 4 12" xfId="8931" xr:uid="{00000000-0005-0000-0000-00007A230000}"/>
    <cellStyle name="Comma 2 4 12 2" xfId="33198" xr:uid="{00000000-0005-0000-0000-00007B230000}"/>
    <cellStyle name="Comma 2 4 12 3" xfId="28435" xr:uid="{00000000-0005-0000-0000-00007C230000}"/>
    <cellStyle name="Comma 2 4 13" xfId="14715" xr:uid="{00000000-0005-0000-0000-00007D230000}"/>
    <cellStyle name="Comma 2 4 13 2" xfId="36195" xr:uid="{00000000-0005-0000-0000-00007E230000}"/>
    <cellStyle name="Comma 2 4 13 3" xfId="29303" xr:uid="{00000000-0005-0000-0000-00007F230000}"/>
    <cellStyle name="Comma 2 4 14" xfId="28197" xr:uid="{00000000-0005-0000-0000-000080230000}"/>
    <cellStyle name="Comma 2 4 15" xfId="31449" xr:uid="{00000000-0005-0000-0000-000081230000}"/>
    <cellStyle name="Comma 2 4 16" xfId="27366" xr:uid="{00000000-0005-0000-0000-000082230000}"/>
    <cellStyle name="Comma 2 4 17" xfId="16612" xr:uid="{00000000-0005-0000-0000-000083230000}"/>
    <cellStyle name="Comma 2 4 2" xfId="7065" xr:uid="{00000000-0005-0000-0000-000084230000}"/>
    <cellStyle name="Comma 2 4 2 10" xfId="29304" xr:uid="{00000000-0005-0000-0000-000085230000}"/>
    <cellStyle name="Comma 2 4 2 11" xfId="28412" xr:uid="{00000000-0005-0000-0000-000086230000}"/>
    <cellStyle name="Comma 2 4 2 12" xfId="32742" xr:uid="{00000000-0005-0000-0000-000087230000}"/>
    <cellStyle name="Comma 2 4 2 13" xfId="27367" xr:uid="{00000000-0005-0000-0000-000088230000}"/>
    <cellStyle name="Comma 2 4 2 14" xfId="20439" xr:uid="{00000000-0005-0000-0000-000089230000}"/>
    <cellStyle name="Comma 2 4 2 15" xfId="39257" xr:uid="{00000000-0005-0000-0000-0000DA070000}"/>
    <cellStyle name="Comma 2 4 2 2" xfId="10495" xr:uid="{00000000-0005-0000-0000-00008A230000}"/>
    <cellStyle name="Comma 2 4 2 2 2" xfId="11148" xr:uid="{00000000-0005-0000-0000-00008B230000}"/>
    <cellStyle name="Comma 2 4 2 2 2 2" xfId="15532" xr:uid="{00000000-0005-0000-0000-00008C230000}"/>
    <cellStyle name="Comma 2 4 2 2 2 2 2" xfId="36910" xr:uid="{00000000-0005-0000-0000-00008D230000}"/>
    <cellStyle name="Comma 2 4 2 2 2 2 3" xfId="29157" xr:uid="{00000000-0005-0000-0000-00008E230000}"/>
    <cellStyle name="Comma 2 4 2 2 2 3" xfId="29059" xr:uid="{00000000-0005-0000-0000-00008F230000}"/>
    <cellStyle name="Comma 2 4 2 2 2 4" xfId="33965" xr:uid="{00000000-0005-0000-0000-000090230000}"/>
    <cellStyle name="Comma 2 4 2 2 2 5" xfId="28962" xr:uid="{00000000-0005-0000-0000-000091230000}"/>
    <cellStyle name="Comma 2 4 2 2 3" xfId="15372" xr:uid="{00000000-0005-0000-0000-000092230000}"/>
    <cellStyle name="Comma 2 4 2 2 3 2" xfId="36759" xr:uid="{00000000-0005-0000-0000-000093230000}"/>
    <cellStyle name="Comma 2 4 2 2 3 3" xfId="29110" xr:uid="{00000000-0005-0000-0000-000094230000}"/>
    <cellStyle name="Comma 2 4 2 2 4" xfId="29012" xr:uid="{00000000-0005-0000-0000-000095230000}"/>
    <cellStyle name="Comma 2 4 2 2 5" xfId="29533" xr:uid="{00000000-0005-0000-0000-000096230000}"/>
    <cellStyle name="Comma 2 4 2 2 6" xfId="28905" xr:uid="{00000000-0005-0000-0000-000097230000}"/>
    <cellStyle name="Comma 2 4 2 2 7" xfId="33648" xr:uid="{00000000-0005-0000-0000-000098230000}"/>
    <cellStyle name="Comma 2 4 2 2 8" xfId="27752" xr:uid="{00000000-0005-0000-0000-000099230000}"/>
    <cellStyle name="Comma 2 4 2 3" xfId="10563" xr:uid="{00000000-0005-0000-0000-00009A230000}"/>
    <cellStyle name="Comma 2 4 2 3 2" xfId="15437" xr:uid="{00000000-0005-0000-0000-00009B230000}"/>
    <cellStyle name="Comma 2 4 2 3 2 2" xfId="29167" xr:uid="{00000000-0005-0000-0000-00009C230000}"/>
    <cellStyle name="Comma 2 4 2 3 2 3" xfId="29069" xr:uid="{00000000-0005-0000-0000-00009D230000}"/>
    <cellStyle name="Comma 2 4 2 3 2 4" xfId="36821" xr:uid="{00000000-0005-0000-0000-00009E230000}"/>
    <cellStyle name="Comma 2 4 2 3 2 5" xfId="28972" xr:uid="{00000000-0005-0000-0000-00009F230000}"/>
    <cellStyle name="Comma 2 4 2 3 3" xfId="29120" xr:uid="{00000000-0005-0000-0000-0000A0230000}"/>
    <cellStyle name="Comma 2 4 2 3 4" xfId="29022" xr:uid="{00000000-0005-0000-0000-0000A1230000}"/>
    <cellStyle name="Comma 2 4 2 3 5" xfId="33697" xr:uid="{00000000-0005-0000-0000-0000A2230000}"/>
    <cellStyle name="Comma 2 4 2 3 6" xfId="28915" xr:uid="{00000000-0005-0000-0000-0000A3230000}"/>
    <cellStyle name="Comma 2 4 2 4" xfId="9751" xr:uid="{00000000-0005-0000-0000-0000A4230000}"/>
    <cellStyle name="Comma 2 4 2 4 2" xfId="28987" xr:uid="{00000000-0005-0000-0000-0000A5230000}"/>
    <cellStyle name="Comma 2 4 2 4 2 2" xfId="29182" xr:uid="{00000000-0005-0000-0000-0000A6230000}"/>
    <cellStyle name="Comma 2 4 2 4 2 3" xfId="29084" xr:uid="{00000000-0005-0000-0000-0000A7230000}"/>
    <cellStyle name="Comma 2 4 2 4 3" xfId="29135" xr:uid="{00000000-0005-0000-0000-0000A8230000}"/>
    <cellStyle name="Comma 2 4 2 4 4" xfId="29037" xr:uid="{00000000-0005-0000-0000-0000A9230000}"/>
    <cellStyle name="Comma 2 4 2 4 5" xfId="33286" xr:uid="{00000000-0005-0000-0000-0000AA230000}"/>
    <cellStyle name="Comma 2 4 2 4 6" xfId="28935" xr:uid="{00000000-0005-0000-0000-0000AB230000}"/>
    <cellStyle name="Comma 2 4 2 5" xfId="15231" xr:uid="{00000000-0005-0000-0000-0000AC230000}"/>
    <cellStyle name="Comma 2 4 2 5 2" xfId="29147" xr:uid="{00000000-0005-0000-0000-0000AD230000}"/>
    <cellStyle name="Comma 2 4 2 5 3" xfId="29049" xr:uid="{00000000-0005-0000-0000-0000AE230000}"/>
    <cellStyle name="Comma 2 4 2 5 4" xfId="36639" xr:uid="{00000000-0005-0000-0000-0000AF230000}"/>
    <cellStyle name="Comma 2 4 2 5 5" xfId="28952" xr:uid="{00000000-0005-0000-0000-0000B0230000}"/>
    <cellStyle name="Comma 2 4 2 6" xfId="29100" xr:uid="{00000000-0005-0000-0000-0000B1230000}"/>
    <cellStyle name="Comma 2 4 2 7" xfId="29002" xr:uid="{00000000-0005-0000-0000-0000B2230000}"/>
    <cellStyle name="Comma 2 4 2 8" xfId="29210" xr:uid="{00000000-0005-0000-0000-0000B3230000}"/>
    <cellStyle name="Comma 2 4 2 9" xfId="28436" xr:uid="{00000000-0005-0000-0000-0000B4230000}"/>
    <cellStyle name="Comma 2 4 3" xfId="8658" xr:uid="{00000000-0005-0000-0000-0000B5230000}"/>
    <cellStyle name="Comma 2 4 3 10" xfId="21949" xr:uid="{00000000-0005-0000-0000-0000B6230000}"/>
    <cellStyle name="Comma 2 4 3 11" xfId="39258" xr:uid="{00000000-0005-0000-0000-0000DB070000}"/>
    <cellStyle name="Comma 2 4 3 12" xfId="41187" xr:uid="{00000000-0005-0000-0000-0000DB070000}"/>
    <cellStyle name="Comma 2 4 3 2" xfId="10496" xr:uid="{00000000-0005-0000-0000-0000B7230000}"/>
    <cellStyle name="Comma 2 4 3 2 2" xfId="11149" xr:uid="{00000000-0005-0000-0000-0000B8230000}"/>
    <cellStyle name="Comma 2 4 3 2 2 2" xfId="15533" xr:uid="{00000000-0005-0000-0000-0000B9230000}"/>
    <cellStyle name="Comma 2 4 3 2 2 2 2" xfId="36911" xr:uid="{00000000-0005-0000-0000-0000BA230000}"/>
    <cellStyle name="Comma 2 4 3 2 2 3" xfId="33966" xr:uid="{00000000-0005-0000-0000-0000BB230000}"/>
    <cellStyle name="Comma 2 4 3 2 2 4" xfId="29156" xr:uid="{00000000-0005-0000-0000-0000BC230000}"/>
    <cellStyle name="Comma 2 4 3 2 3" xfId="15373" xr:uid="{00000000-0005-0000-0000-0000BD230000}"/>
    <cellStyle name="Comma 2 4 3 2 3 2" xfId="36760" xr:uid="{00000000-0005-0000-0000-0000BE230000}"/>
    <cellStyle name="Comma 2 4 3 2 3 3" xfId="29058" xr:uid="{00000000-0005-0000-0000-0000BF230000}"/>
    <cellStyle name="Comma 2 4 3 2 4" xfId="29534" xr:uid="{00000000-0005-0000-0000-0000C0230000}"/>
    <cellStyle name="Comma 2 4 3 2 5" xfId="28961" xr:uid="{00000000-0005-0000-0000-0000C1230000}"/>
    <cellStyle name="Comma 2 4 3 2 6" xfId="33649" xr:uid="{00000000-0005-0000-0000-0000C2230000}"/>
    <cellStyle name="Comma 2 4 3 2 7" xfId="27753" xr:uid="{00000000-0005-0000-0000-0000C3230000}"/>
    <cellStyle name="Comma 2 4 3 3" xfId="10564" xr:uid="{00000000-0005-0000-0000-0000C4230000}"/>
    <cellStyle name="Comma 2 4 3 3 2" xfId="15438" xr:uid="{00000000-0005-0000-0000-0000C5230000}"/>
    <cellStyle name="Comma 2 4 3 3 2 2" xfId="36822" xr:uid="{00000000-0005-0000-0000-0000C6230000}"/>
    <cellStyle name="Comma 2 4 3 3 3" xfId="33698" xr:uid="{00000000-0005-0000-0000-0000C7230000}"/>
    <cellStyle name="Comma 2 4 3 3 4" xfId="29109" xr:uid="{00000000-0005-0000-0000-0000C8230000}"/>
    <cellStyle name="Comma 2 4 3 4" xfId="9752" xr:uid="{00000000-0005-0000-0000-0000C9230000}"/>
    <cellStyle name="Comma 2 4 3 4 2" xfId="33287" xr:uid="{00000000-0005-0000-0000-0000CA230000}"/>
    <cellStyle name="Comma 2 4 3 4 3" xfId="29011" xr:uid="{00000000-0005-0000-0000-0000CB230000}"/>
    <cellStyle name="Comma 2 4 3 5" xfId="15232" xr:uid="{00000000-0005-0000-0000-0000CC230000}"/>
    <cellStyle name="Comma 2 4 3 5 2" xfId="36640" xr:uid="{00000000-0005-0000-0000-0000CD230000}"/>
    <cellStyle name="Comma 2 4 3 5 3" xfId="29211" xr:uid="{00000000-0005-0000-0000-0000CE230000}"/>
    <cellStyle name="Comma 2 4 3 6" xfId="29305" xr:uid="{00000000-0005-0000-0000-0000CF230000}"/>
    <cellStyle name="Comma 2 4 3 7" xfId="28904" xr:uid="{00000000-0005-0000-0000-0000D0230000}"/>
    <cellStyle name="Comma 2 4 3 8" xfId="33108" xr:uid="{00000000-0005-0000-0000-0000D1230000}"/>
    <cellStyle name="Comma 2 4 3 9" xfId="27368" xr:uid="{00000000-0005-0000-0000-0000D2230000}"/>
    <cellStyle name="Comma 2 4 4" xfId="4150" xr:uid="{00000000-0005-0000-0000-0000D3230000}"/>
    <cellStyle name="Comma 2 4 4 10" xfId="17832" xr:uid="{00000000-0005-0000-0000-0000D4230000}"/>
    <cellStyle name="Comma 2 4 4 11" xfId="39256" xr:uid="{00000000-0005-0000-0000-0000DC070000}"/>
    <cellStyle name="Comma 2 4 4 12" xfId="41186" xr:uid="{00000000-0005-0000-0000-0000DC070000}"/>
    <cellStyle name="Comma 2 4 4 2" xfId="10497" xr:uid="{00000000-0005-0000-0000-0000D5230000}"/>
    <cellStyle name="Comma 2 4 4 2 2" xfId="11150" xr:uid="{00000000-0005-0000-0000-0000D6230000}"/>
    <cellStyle name="Comma 2 4 4 2 2 2" xfId="15534" xr:uid="{00000000-0005-0000-0000-0000D7230000}"/>
    <cellStyle name="Comma 2 4 4 2 2 2 2" xfId="36912" xr:uid="{00000000-0005-0000-0000-0000D8230000}"/>
    <cellStyle name="Comma 2 4 4 2 2 3" xfId="33967" xr:uid="{00000000-0005-0000-0000-0000D9230000}"/>
    <cellStyle name="Comma 2 4 4 2 2 4" xfId="29166" xr:uid="{00000000-0005-0000-0000-0000DA230000}"/>
    <cellStyle name="Comma 2 4 4 2 3" xfId="15374" xr:uid="{00000000-0005-0000-0000-0000DB230000}"/>
    <cellStyle name="Comma 2 4 4 2 3 2" xfId="36761" xr:uid="{00000000-0005-0000-0000-0000DC230000}"/>
    <cellStyle name="Comma 2 4 4 2 3 3" xfId="29068" xr:uid="{00000000-0005-0000-0000-0000DD230000}"/>
    <cellStyle name="Comma 2 4 4 2 4" xfId="29535" xr:uid="{00000000-0005-0000-0000-0000DE230000}"/>
    <cellStyle name="Comma 2 4 4 2 5" xfId="28971" xr:uid="{00000000-0005-0000-0000-0000DF230000}"/>
    <cellStyle name="Comma 2 4 4 2 6" xfId="33650" xr:uid="{00000000-0005-0000-0000-0000E0230000}"/>
    <cellStyle name="Comma 2 4 4 2 7" xfId="27754" xr:uid="{00000000-0005-0000-0000-0000E1230000}"/>
    <cellStyle name="Comma 2 4 4 3" xfId="10565" xr:uid="{00000000-0005-0000-0000-0000E2230000}"/>
    <cellStyle name="Comma 2 4 4 3 2" xfId="15439" xr:uid="{00000000-0005-0000-0000-0000E3230000}"/>
    <cellStyle name="Comma 2 4 4 3 2 2" xfId="36823" xr:uid="{00000000-0005-0000-0000-0000E4230000}"/>
    <cellStyle name="Comma 2 4 4 3 3" xfId="33699" xr:uid="{00000000-0005-0000-0000-0000E5230000}"/>
    <cellStyle name="Comma 2 4 4 3 4" xfId="29119" xr:uid="{00000000-0005-0000-0000-0000E6230000}"/>
    <cellStyle name="Comma 2 4 4 4" xfId="9753" xr:uid="{00000000-0005-0000-0000-0000E7230000}"/>
    <cellStyle name="Comma 2 4 4 4 2" xfId="33288" xr:uid="{00000000-0005-0000-0000-0000E8230000}"/>
    <cellStyle name="Comma 2 4 4 4 3" xfId="29021" xr:uid="{00000000-0005-0000-0000-0000E9230000}"/>
    <cellStyle name="Comma 2 4 4 5" xfId="15233" xr:uid="{00000000-0005-0000-0000-0000EA230000}"/>
    <cellStyle name="Comma 2 4 4 5 2" xfId="36641" xr:uid="{00000000-0005-0000-0000-0000EB230000}"/>
    <cellStyle name="Comma 2 4 4 5 3" xfId="29212" xr:uid="{00000000-0005-0000-0000-0000EC230000}"/>
    <cellStyle name="Comma 2 4 4 6" xfId="29306" xr:uid="{00000000-0005-0000-0000-0000ED230000}"/>
    <cellStyle name="Comma 2 4 4 7" xfId="28914" xr:uid="{00000000-0005-0000-0000-0000EE230000}"/>
    <cellStyle name="Comma 2 4 4 8" xfId="31711" xr:uid="{00000000-0005-0000-0000-0000EF230000}"/>
    <cellStyle name="Comma 2 4 4 9" xfId="27369" xr:uid="{00000000-0005-0000-0000-0000F0230000}"/>
    <cellStyle name="Comma 2 4 5" xfId="9754" xr:uid="{00000000-0005-0000-0000-0000F1230000}"/>
    <cellStyle name="Comma 2 4 5 2" xfId="10498" xr:uid="{00000000-0005-0000-0000-0000F2230000}"/>
    <cellStyle name="Comma 2 4 5 2 2" xfId="11151" xr:uid="{00000000-0005-0000-0000-0000F3230000}"/>
    <cellStyle name="Comma 2 4 5 2 2 2" xfId="15535" xr:uid="{00000000-0005-0000-0000-0000F4230000}"/>
    <cellStyle name="Comma 2 4 5 2 2 2 2" xfId="36913" xr:uid="{00000000-0005-0000-0000-0000F5230000}"/>
    <cellStyle name="Comma 2 4 5 2 2 3" xfId="33968" xr:uid="{00000000-0005-0000-0000-0000F6230000}"/>
    <cellStyle name="Comma 2 4 5 2 2 4" xfId="29173" xr:uid="{00000000-0005-0000-0000-0000F7230000}"/>
    <cellStyle name="Comma 2 4 5 2 3" xfId="15375" xr:uid="{00000000-0005-0000-0000-0000F8230000}"/>
    <cellStyle name="Comma 2 4 5 2 3 2" xfId="36762" xr:uid="{00000000-0005-0000-0000-0000F9230000}"/>
    <cellStyle name="Comma 2 4 5 2 3 3" xfId="29075" xr:uid="{00000000-0005-0000-0000-0000FA230000}"/>
    <cellStyle name="Comma 2 4 5 2 4" xfId="29536" xr:uid="{00000000-0005-0000-0000-0000FB230000}"/>
    <cellStyle name="Comma 2 4 5 2 5" xfId="28978" xr:uid="{00000000-0005-0000-0000-0000FC230000}"/>
    <cellStyle name="Comma 2 4 5 2 6" xfId="33651" xr:uid="{00000000-0005-0000-0000-0000FD230000}"/>
    <cellStyle name="Comma 2 4 5 2 7" xfId="27755" xr:uid="{00000000-0005-0000-0000-0000FE230000}"/>
    <cellStyle name="Comma 2 4 5 3" xfId="10566" xr:uid="{00000000-0005-0000-0000-0000FF230000}"/>
    <cellStyle name="Comma 2 4 5 3 2" xfId="15440" xr:uid="{00000000-0005-0000-0000-000000240000}"/>
    <cellStyle name="Comma 2 4 5 3 2 2" xfId="36824" xr:uid="{00000000-0005-0000-0000-000001240000}"/>
    <cellStyle name="Comma 2 4 5 3 3" xfId="33700" xr:uid="{00000000-0005-0000-0000-000002240000}"/>
    <cellStyle name="Comma 2 4 5 3 4" xfId="29126" xr:uid="{00000000-0005-0000-0000-000003240000}"/>
    <cellStyle name="Comma 2 4 5 4" xfId="15234" xr:uid="{00000000-0005-0000-0000-000004240000}"/>
    <cellStyle name="Comma 2 4 5 4 2" xfId="36642" xr:uid="{00000000-0005-0000-0000-000005240000}"/>
    <cellStyle name="Comma 2 4 5 4 3" xfId="29028" xr:uid="{00000000-0005-0000-0000-000006240000}"/>
    <cellStyle name="Comma 2 4 5 5" xfId="29307" xr:uid="{00000000-0005-0000-0000-000007240000}"/>
    <cellStyle name="Comma 2 4 5 6" xfId="28921" xr:uid="{00000000-0005-0000-0000-000008240000}"/>
    <cellStyle name="Comma 2 4 5 7" xfId="33289" xr:uid="{00000000-0005-0000-0000-000009240000}"/>
    <cellStyle name="Comma 2 4 5 8" xfId="27370" xr:uid="{00000000-0005-0000-0000-00000A240000}"/>
    <cellStyle name="Comma 2 4 5 9" xfId="17159" xr:uid="{00000000-0005-0000-0000-00000B240000}"/>
    <cellStyle name="Comma 2 4 6" xfId="10316" xr:uid="{00000000-0005-0000-0000-00000C240000}"/>
    <cellStyle name="Comma 2 4 6 2" xfId="10510" xr:uid="{00000000-0005-0000-0000-00000D240000}"/>
    <cellStyle name="Comma 2 4 6 2 2" xfId="11163" xr:uid="{00000000-0005-0000-0000-00000E240000}"/>
    <cellStyle name="Comma 2 4 6 2 2 2" xfId="15547" xr:uid="{00000000-0005-0000-0000-00000F240000}"/>
    <cellStyle name="Comma 2 4 6 2 2 2 2" xfId="36925" xr:uid="{00000000-0005-0000-0000-000010240000}"/>
    <cellStyle name="Comma 2 4 6 2 2 3" xfId="33980" xr:uid="{00000000-0005-0000-0000-000011240000}"/>
    <cellStyle name="Comma 2 4 6 2 2 4" xfId="29181" xr:uid="{00000000-0005-0000-0000-000012240000}"/>
    <cellStyle name="Comma 2 4 6 2 3" xfId="15387" xr:uid="{00000000-0005-0000-0000-000013240000}"/>
    <cellStyle name="Comma 2 4 6 2 3 2" xfId="36774" xr:uid="{00000000-0005-0000-0000-000014240000}"/>
    <cellStyle name="Comma 2 4 6 2 3 3" xfId="29083" xr:uid="{00000000-0005-0000-0000-000015240000}"/>
    <cellStyle name="Comma 2 4 6 2 4" xfId="33663" xr:uid="{00000000-0005-0000-0000-000016240000}"/>
    <cellStyle name="Comma 2 4 6 2 5" xfId="28986" xr:uid="{00000000-0005-0000-0000-000017240000}"/>
    <cellStyle name="Comma 2 4 6 3" xfId="10910" xr:uid="{00000000-0005-0000-0000-000018240000}"/>
    <cellStyle name="Comma 2 4 6 3 2" xfId="15485" xr:uid="{00000000-0005-0000-0000-000019240000}"/>
    <cellStyle name="Comma 2 4 6 3 2 2" xfId="36864" xr:uid="{00000000-0005-0000-0000-00001A240000}"/>
    <cellStyle name="Comma 2 4 6 3 3" xfId="33860" xr:uid="{00000000-0005-0000-0000-00001B240000}"/>
    <cellStyle name="Comma 2 4 6 3 4" xfId="29134" xr:uid="{00000000-0005-0000-0000-00001C240000}"/>
    <cellStyle name="Comma 2 4 6 4" xfId="15326" xr:uid="{00000000-0005-0000-0000-00001D240000}"/>
    <cellStyle name="Comma 2 4 6 4 2" xfId="36716" xr:uid="{00000000-0005-0000-0000-00001E240000}"/>
    <cellStyle name="Comma 2 4 6 4 3" xfId="29036" xr:uid="{00000000-0005-0000-0000-00001F240000}"/>
    <cellStyle name="Comma 2 4 6 5" xfId="29532" xr:uid="{00000000-0005-0000-0000-000020240000}"/>
    <cellStyle name="Comma 2 4 6 6" xfId="28934" xr:uid="{00000000-0005-0000-0000-000021240000}"/>
    <cellStyle name="Comma 2 4 6 7" xfId="33604" xr:uid="{00000000-0005-0000-0000-000022240000}"/>
    <cellStyle name="Comma 2 4 6 8" xfId="27751" xr:uid="{00000000-0005-0000-0000-000023240000}"/>
    <cellStyle name="Comma 2 4 7" xfId="10466" xr:uid="{00000000-0005-0000-0000-000024240000}"/>
    <cellStyle name="Comma 2 4 7 2" xfId="10521" xr:uid="{00000000-0005-0000-0000-000025240000}"/>
    <cellStyle name="Comma 2 4 7 2 2" xfId="11168" xr:uid="{00000000-0005-0000-0000-000026240000}"/>
    <cellStyle name="Comma 2 4 7 2 2 2" xfId="15552" xr:uid="{00000000-0005-0000-0000-000027240000}"/>
    <cellStyle name="Comma 2 4 7 2 2 2 2" xfId="36930" xr:uid="{00000000-0005-0000-0000-000028240000}"/>
    <cellStyle name="Comma 2 4 7 2 2 3" xfId="33985" xr:uid="{00000000-0005-0000-0000-000029240000}"/>
    <cellStyle name="Comma 2 4 7 2 3" xfId="15394" xr:uid="{00000000-0005-0000-0000-00002A240000}"/>
    <cellStyle name="Comma 2 4 7 2 3 2" xfId="36779" xr:uid="{00000000-0005-0000-0000-00002B240000}"/>
    <cellStyle name="Comma 2 4 7 2 4" xfId="33668" xr:uid="{00000000-0005-0000-0000-00002C240000}"/>
    <cellStyle name="Comma 2 4 7 2 5" xfId="29146" xr:uid="{00000000-0005-0000-0000-00002D240000}"/>
    <cellStyle name="Comma 2 4 7 3" xfId="11121" xr:uid="{00000000-0005-0000-0000-00002E240000}"/>
    <cellStyle name="Comma 2 4 7 3 2" xfId="15505" xr:uid="{00000000-0005-0000-0000-00002F240000}"/>
    <cellStyle name="Comma 2 4 7 3 2 2" xfId="36883" xr:uid="{00000000-0005-0000-0000-000030240000}"/>
    <cellStyle name="Comma 2 4 7 3 3" xfId="33938" xr:uid="{00000000-0005-0000-0000-000031240000}"/>
    <cellStyle name="Comma 2 4 7 3 4" xfId="29048" xr:uid="{00000000-0005-0000-0000-000032240000}"/>
    <cellStyle name="Comma 2 4 7 4" xfId="12499" xr:uid="{00000000-0005-0000-0000-000033240000}"/>
    <cellStyle name="Comma 2 4 7 5" xfId="15345" xr:uid="{00000000-0005-0000-0000-000034240000}"/>
    <cellStyle name="Comma 2 4 7 5 2" xfId="36732" xr:uid="{00000000-0005-0000-0000-000035240000}"/>
    <cellStyle name="Comma 2 4 7 5 3" xfId="28951" xr:uid="{00000000-0005-0000-0000-000036240000}"/>
    <cellStyle name="Comma 2 4 7 6" xfId="33619" xr:uid="{00000000-0005-0000-0000-000037240000}"/>
    <cellStyle name="Comma 2 4 8" xfId="10494" xr:uid="{00000000-0005-0000-0000-000038240000}"/>
    <cellStyle name="Comma 2 4 8 2" xfId="11147" xr:uid="{00000000-0005-0000-0000-000039240000}"/>
    <cellStyle name="Comma 2 4 8 2 2" xfId="15531" xr:uid="{00000000-0005-0000-0000-00003A240000}"/>
    <cellStyle name="Comma 2 4 8 2 2 2" xfId="36909" xr:uid="{00000000-0005-0000-0000-00003B240000}"/>
    <cellStyle name="Comma 2 4 8 2 3" xfId="33964" xr:uid="{00000000-0005-0000-0000-00003C240000}"/>
    <cellStyle name="Comma 2 4 8 3" xfId="15371" xr:uid="{00000000-0005-0000-0000-00003D240000}"/>
    <cellStyle name="Comma 2 4 8 3 2" xfId="36758" xr:uid="{00000000-0005-0000-0000-00003E240000}"/>
    <cellStyle name="Comma 2 4 8 4" xfId="33647" xr:uid="{00000000-0005-0000-0000-00003F240000}"/>
    <cellStyle name="Comma 2 4 8 5" xfId="29099" xr:uid="{00000000-0005-0000-0000-000040240000}"/>
    <cellStyle name="Comma 2 4 9" xfId="10562" xr:uid="{00000000-0005-0000-0000-000041240000}"/>
    <cellStyle name="Comma 2 4 9 2" xfId="15436" xr:uid="{00000000-0005-0000-0000-000042240000}"/>
    <cellStyle name="Comma 2 4 9 2 2" xfId="36820" xr:uid="{00000000-0005-0000-0000-000043240000}"/>
    <cellStyle name="Comma 2 4 9 3" xfId="33696" xr:uid="{00000000-0005-0000-0000-000044240000}"/>
    <cellStyle name="Comma 2 4 9 4" xfId="29001" xr:uid="{00000000-0005-0000-0000-000045240000}"/>
    <cellStyle name="Comma 2 5" xfId="1706" xr:uid="{00000000-0005-0000-0000-000046240000}"/>
    <cellStyle name="Comma 2 5 10" xfId="29308" xr:uid="{00000000-0005-0000-0000-000047240000}"/>
    <cellStyle name="Comma 2 5 11" xfId="28377" xr:uid="{00000000-0005-0000-0000-000048240000}"/>
    <cellStyle name="Comma 2 5 12" xfId="31219" xr:uid="{00000000-0005-0000-0000-000049240000}"/>
    <cellStyle name="Comma 2 5 13" xfId="27371" xr:uid="{00000000-0005-0000-0000-00004A240000}"/>
    <cellStyle name="Comma 2 5 14" xfId="16823" xr:uid="{00000000-0005-0000-0000-00004B240000}"/>
    <cellStyle name="Comma 2 5 2" xfId="6662" xr:uid="{00000000-0005-0000-0000-00004C240000}"/>
    <cellStyle name="Comma 2 5 2 10" xfId="20152" xr:uid="{00000000-0005-0000-0000-00004D240000}"/>
    <cellStyle name="Comma 2 5 2 2" xfId="10500" xr:uid="{00000000-0005-0000-0000-00004E240000}"/>
    <cellStyle name="Comma 2 5 2 2 2" xfId="11153" xr:uid="{00000000-0005-0000-0000-00004F240000}"/>
    <cellStyle name="Comma 2 5 2 2 2 2" xfId="15537" xr:uid="{00000000-0005-0000-0000-000050240000}"/>
    <cellStyle name="Comma 2 5 2 2 2 2 2" xfId="36915" xr:uid="{00000000-0005-0000-0000-000051240000}"/>
    <cellStyle name="Comma 2 5 2 2 2 3" xfId="33970" xr:uid="{00000000-0005-0000-0000-000052240000}"/>
    <cellStyle name="Comma 2 5 2 2 2 4" xfId="29158" xr:uid="{00000000-0005-0000-0000-000053240000}"/>
    <cellStyle name="Comma 2 5 2 2 3" xfId="15377" xr:uid="{00000000-0005-0000-0000-000054240000}"/>
    <cellStyle name="Comma 2 5 2 2 3 2" xfId="36764" xr:uid="{00000000-0005-0000-0000-000055240000}"/>
    <cellStyle name="Comma 2 5 2 2 3 3" xfId="29060" xr:uid="{00000000-0005-0000-0000-000056240000}"/>
    <cellStyle name="Comma 2 5 2 2 4" xfId="29538" xr:uid="{00000000-0005-0000-0000-000057240000}"/>
    <cellStyle name="Comma 2 5 2 2 5" xfId="28963" xr:uid="{00000000-0005-0000-0000-000058240000}"/>
    <cellStyle name="Comma 2 5 2 2 6" xfId="33653" xr:uid="{00000000-0005-0000-0000-000059240000}"/>
    <cellStyle name="Comma 2 5 2 2 7" xfId="27757" xr:uid="{00000000-0005-0000-0000-00005A240000}"/>
    <cellStyle name="Comma 2 5 2 3" xfId="10568" xr:uid="{00000000-0005-0000-0000-00005B240000}"/>
    <cellStyle name="Comma 2 5 2 3 2" xfId="15442" xr:uid="{00000000-0005-0000-0000-00005C240000}"/>
    <cellStyle name="Comma 2 5 2 3 2 2" xfId="36826" xr:uid="{00000000-0005-0000-0000-00005D240000}"/>
    <cellStyle name="Comma 2 5 2 3 3" xfId="33702" xr:uid="{00000000-0005-0000-0000-00005E240000}"/>
    <cellStyle name="Comma 2 5 2 3 4" xfId="29111" xr:uid="{00000000-0005-0000-0000-00005F240000}"/>
    <cellStyle name="Comma 2 5 2 4" xfId="9756" xr:uid="{00000000-0005-0000-0000-000060240000}"/>
    <cellStyle name="Comma 2 5 2 4 2" xfId="33291" xr:uid="{00000000-0005-0000-0000-000061240000}"/>
    <cellStyle name="Comma 2 5 2 4 3" xfId="29013" xr:uid="{00000000-0005-0000-0000-000062240000}"/>
    <cellStyle name="Comma 2 5 2 5" xfId="15236" xr:uid="{00000000-0005-0000-0000-000063240000}"/>
    <cellStyle name="Comma 2 5 2 5 2" xfId="36644" xr:uid="{00000000-0005-0000-0000-000064240000}"/>
    <cellStyle name="Comma 2 5 2 5 3" xfId="29214" xr:uid="{00000000-0005-0000-0000-000065240000}"/>
    <cellStyle name="Comma 2 5 2 6" xfId="29309" xr:uid="{00000000-0005-0000-0000-000066240000}"/>
    <cellStyle name="Comma 2 5 2 7" xfId="28906" xr:uid="{00000000-0005-0000-0000-000067240000}"/>
    <cellStyle name="Comma 2 5 2 8" xfId="32714" xr:uid="{00000000-0005-0000-0000-000068240000}"/>
    <cellStyle name="Comma 2 5 2 9" xfId="27372" xr:uid="{00000000-0005-0000-0000-000069240000}"/>
    <cellStyle name="Comma 2 5 3" xfId="8336" xr:uid="{00000000-0005-0000-0000-00006A240000}"/>
    <cellStyle name="Comma 2 5 3 10" xfId="21628" xr:uid="{00000000-0005-0000-0000-00006B240000}"/>
    <cellStyle name="Comma 2 5 3 2" xfId="10501" xr:uid="{00000000-0005-0000-0000-00006C240000}"/>
    <cellStyle name="Comma 2 5 3 2 2" xfId="11154" xr:uid="{00000000-0005-0000-0000-00006D240000}"/>
    <cellStyle name="Comma 2 5 3 2 2 2" xfId="15538" xr:uid="{00000000-0005-0000-0000-00006E240000}"/>
    <cellStyle name="Comma 2 5 3 2 2 2 2" xfId="36916" xr:uid="{00000000-0005-0000-0000-00006F240000}"/>
    <cellStyle name="Comma 2 5 3 2 2 3" xfId="33971" xr:uid="{00000000-0005-0000-0000-000070240000}"/>
    <cellStyle name="Comma 2 5 3 2 2 4" xfId="29168" xr:uid="{00000000-0005-0000-0000-000071240000}"/>
    <cellStyle name="Comma 2 5 3 2 3" xfId="15378" xr:uid="{00000000-0005-0000-0000-000072240000}"/>
    <cellStyle name="Comma 2 5 3 2 3 2" xfId="36765" xr:uid="{00000000-0005-0000-0000-000073240000}"/>
    <cellStyle name="Comma 2 5 3 2 3 3" xfId="29070" xr:uid="{00000000-0005-0000-0000-000074240000}"/>
    <cellStyle name="Comma 2 5 3 2 4" xfId="29539" xr:uid="{00000000-0005-0000-0000-000075240000}"/>
    <cellStyle name="Comma 2 5 3 2 5" xfId="28973" xr:uid="{00000000-0005-0000-0000-000076240000}"/>
    <cellStyle name="Comma 2 5 3 2 6" xfId="33654" xr:uid="{00000000-0005-0000-0000-000077240000}"/>
    <cellStyle name="Comma 2 5 3 2 7" xfId="27758" xr:uid="{00000000-0005-0000-0000-000078240000}"/>
    <cellStyle name="Comma 2 5 3 3" xfId="10569" xr:uid="{00000000-0005-0000-0000-000079240000}"/>
    <cellStyle name="Comma 2 5 3 3 2" xfId="15443" xr:uid="{00000000-0005-0000-0000-00007A240000}"/>
    <cellStyle name="Comma 2 5 3 3 2 2" xfId="36827" xr:uid="{00000000-0005-0000-0000-00007B240000}"/>
    <cellStyle name="Comma 2 5 3 3 3" xfId="33703" xr:uid="{00000000-0005-0000-0000-00007C240000}"/>
    <cellStyle name="Comma 2 5 3 3 4" xfId="29121" xr:uid="{00000000-0005-0000-0000-00007D240000}"/>
    <cellStyle name="Comma 2 5 3 4" xfId="9757" xr:uid="{00000000-0005-0000-0000-00007E240000}"/>
    <cellStyle name="Comma 2 5 3 4 2" xfId="33292" xr:uid="{00000000-0005-0000-0000-00007F240000}"/>
    <cellStyle name="Comma 2 5 3 4 3" xfId="29023" xr:uid="{00000000-0005-0000-0000-000080240000}"/>
    <cellStyle name="Comma 2 5 3 5" xfId="15237" xr:uid="{00000000-0005-0000-0000-000081240000}"/>
    <cellStyle name="Comma 2 5 3 5 2" xfId="36645" xr:uid="{00000000-0005-0000-0000-000082240000}"/>
    <cellStyle name="Comma 2 5 3 5 3" xfId="29215" xr:uid="{00000000-0005-0000-0000-000083240000}"/>
    <cellStyle name="Comma 2 5 3 6" xfId="29310" xr:uid="{00000000-0005-0000-0000-000084240000}"/>
    <cellStyle name="Comma 2 5 3 7" xfId="28916" xr:uid="{00000000-0005-0000-0000-000085240000}"/>
    <cellStyle name="Comma 2 5 3 8" xfId="33028" xr:uid="{00000000-0005-0000-0000-000086240000}"/>
    <cellStyle name="Comma 2 5 3 9" xfId="27373" xr:uid="{00000000-0005-0000-0000-000087240000}"/>
    <cellStyle name="Comma 2 5 4" xfId="3828" xr:uid="{00000000-0005-0000-0000-000088240000}"/>
    <cellStyle name="Comma 2 5 4 2" xfId="11152" xr:uid="{00000000-0005-0000-0000-000089240000}"/>
    <cellStyle name="Comma 2 5 4 2 2" xfId="15536" xr:uid="{00000000-0005-0000-0000-00008A240000}"/>
    <cellStyle name="Comma 2 5 4 2 2 2" xfId="36914" xr:uid="{00000000-0005-0000-0000-00008B240000}"/>
    <cellStyle name="Comma 2 5 4 2 2 3" xfId="29183" xr:uid="{00000000-0005-0000-0000-00008C240000}"/>
    <cellStyle name="Comma 2 5 4 2 3" xfId="29085" xr:uid="{00000000-0005-0000-0000-00008D240000}"/>
    <cellStyle name="Comma 2 5 4 2 4" xfId="33969" xr:uid="{00000000-0005-0000-0000-00008E240000}"/>
    <cellStyle name="Comma 2 5 4 2 5" xfId="28988" xr:uid="{00000000-0005-0000-0000-00008F240000}"/>
    <cellStyle name="Comma 2 5 4 3" xfId="10499" xr:uid="{00000000-0005-0000-0000-000090240000}"/>
    <cellStyle name="Comma 2 5 4 3 2" xfId="33652" xr:uid="{00000000-0005-0000-0000-000091240000}"/>
    <cellStyle name="Comma 2 5 4 3 3" xfId="29136" xr:uid="{00000000-0005-0000-0000-000092240000}"/>
    <cellStyle name="Comma 2 5 4 4" xfId="15376" xr:uid="{00000000-0005-0000-0000-000093240000}"/>
    <cellStyle name="Comma 2 5 4 4 2" xfId="36763" xr:uid="{00000000-0005-0000-0000-000094240000}"/>
    <cellStyle name="Comma 2 5 4 4 3" xfId="29038" xr:uid="{00000000-0005-0000-0000-000095240000}"/>
    <cellStyle name="Comma 2 5 4 5" xfId="29537" xr:uid="{00000000-0005-0000-0000-000096240000}"/>
    <cellStyle name="Comma 2 5 4 6" xfId="28936" xr:uid="{00000000-0005-0000-0000-000097240000}"/>
    <cellStyle name="Comma 2 5 4 7" xfId="31631" xr:uid="{00000000-0005-0000-0000-000098240000}"/>
    <cellStyle name="Comma 2 5 4 8" xfId="27756" xr:uid="{00000000-0005-0000-0000-000099240000}"/>
    <cellStyle name="Comma 2 5 4 9" xfId="17511" xr:uid="{00000000-0005-0000-0000-00009A240000}"/>
    <cellStyle name="Comma 2 5 5" xfId="10567" xr:uid="{00000000-0005-0000-0000-00009B240000}"/>
    <cellStyle name="Comma 2 5 5 2" xfId="12500" xr:uid="{00000000-0005-0000-0000-00009C240000}"/>
    <cellStyle name="Comma 2 5 5 2 2" xfId="34948" xr:uid="{00000000-0005-0000-0000-00009D240000}"/>
    <cellStyle name="Comma 2 5 5 2 3" xfId="29148" xr:uid="{00000000-0005-0000-0000-00009E240000}"/>
    <cellStyle name="Comma 2 5 5 3" xfId="15441" xr:uid="{00000000-0005-0000-0000-00009F240000}"/>
    <cellStyle name="Comma 2 5 5 3 2" xfId="36825" xr:uid="{00000000-0005-0000-0000-0000A0240000}"/>
    <cellStyle name="Comma 2 5 5 3 3" xfId="29050" xr:uid="{00000000-0005-0000-0000-0000A1240000}"/>
    <cellStyle name="Comma 2 5 5 4" xfId="30297" xr:uid="{00000000-0005-0000-0000-0000A2240000}"/>
    <cellStyle name="Comma 2 5 5 5" xfId="28953" xr:uid="{00000000-0005-0000-0000-0000A3240000}"/>
    <cellStyle name="Comma 2 5 5 6" xfId="33701" xr:uid="{00000000-0005-0000-0000-0000A4240000}"/>
    <cellStyle name="Comma 2 5 6" xfId="14159" xr:uid="{00000000-0005-0000-0000-0000A5240000}"/>
    <cellStyle name="Comma 2 5 6 2" xfId="35849" xr:uid="{00000000-0005-0000-0000-0000A6240000}"/>
    <cellStyle name="Comma 2 5 6 3" xfId="29101" xr:uid="{00000000-0005-0000-0000-0000A7240000}"/>
    <cellStyle name="Comma 2 5 7" xfId="9755" xr:uid="{00000000-0005-0000-0000-0000A8240000}"/>
    <cellStyle name="Comma 2 5 7 2" xfId="33290" xr:uid="{00000000-0005-0000-0000-0000A9240000}"/>
    <cellStyle name="Comma 2 5 7 3" xfId="29003" xr:uid="{00000000-0005-0000-0000-0000AA240000}"/>
    <cellStyle name="Comma 2 5 8" xfId="15235" xr:uid="{00000000-0005-0000-0000-0000AB240000}"/>
    <cellStyle name="Comma 2 5 8 2" xfId="36643" xr:uid="{00000000-0005-0000-0000-0000AC240000}"/>
    <cellStyle name="Comma 2 5 8 3" xfId="29213" xr:uid="{00000000-0005-0000-0000-0000AD240000}"/>
    <cellStyle name="Comma 2 5 9" xfId="28437" xr:uid="{00000000-0005-0000-0000-0000AE240000}"/>
    <cellStyle name="Comma 2 6" xfId="5925" xr:uid="{00000000-0005-0000-0000-0000AF240000}"/>
    <cellStyle name="Comma 2 6 10" xfId="27374" xr:uid="{00000000-0005-0000-0000-0000B0240000}"/>
    <cellStyle name="Comma 2 6 11" xfId="19478" xr:uid="{00000000-0005-0000-0000-0000B1240000}"/>
    <cellStyle name="Comma 2 6 2" xfId="10502" xr:uid="{00000000-0005-0000-0000-0000B2240000}"/>
    <cellStyle name="Comma 2 6 2 2" xfId="11155" xr:uid="{00000000-0005-0000-0000-0000B3240000}"/>
    <cellStyle name="Comma 2 6 2 2 2" xfId="15539" xr:uid="{00000000-0005-0000-0000-0000B4240000}"/>
    <cellStyle name="Comma 2 6 2 2 2 2" xfId="36917" xr:uid="{00000000-0005-0000-0000-0000B5240000}"/>
    <cellStyle name="Comma 2 6 2 2 2 3" xfId="29184" xr:uid="{00000000-0005-0000-0000-0000B6240000}"/>
    <cellStyle name="Comma 2 6 2 2 3" xfId="29086" xr:uid="{00000000-0005-0000-0000-0000B7240000}"/>
    <cellStyle name="Comma 2 6 2 2 4" xfId="33972" xr:uid="{00000000-0005-0000-0000-0000B8240000}"/>
    <cellStyle name="Comma 2 6 2 2 5" xfId="28989" xr:uid="{00000000-0005-0000-0000-0000B9240000}"/>
    <cellStyle name="Comma 2 6 2 3" xfId="15379" xr:uid="{00000000-0005-0000-0000-0000BA240000}"/>
    <cellStyle name="Comma 2 6 2 3 2" xfId="36766" xr:uid="{00000000-0005-0000-0000-0000BB240000}"/>
    <cellStyle name="Comma 2 6 2 3 3" xfId="29137" xr:uid="{00000000-0005-0000-0000-0000BC240000}"/>
    <cellStyle name="Comma 2 6 2 4" xfId="29039" xr:uid="{00000000-0005-0000-0000-0000BD240000}"/>
    <cellStyle name="Comma 2 6 2 5" xfId="29540" xr:uid="{00000000-0005-0000-0000-0000BE240000}"/>
    <cellStyle name="Comma 2 6 2 6" xfId="28938" xr:uid="{00000000-0005-0000-0000-0000BF240000}"/>
    <cellStyle name="Comma 2 6 2 7" xfId="33655" xr:uid="{00000000-0005-0000-0000-0000C0240000}"/>
    <cellStyle name="Comma 2 6 2 8" xfId="27759" xr:uid="{00000000-0005-0000-0000-0000C1240000}"/>
    <cellStyle name="Comma 2 6 3" xfId="10570" xr:uid="{00000000-0005-0000-0000-0000C2240000}"/>
    <cellStyle name="Comma 2 6 3 2" xfId="12501" xr:uid="{00000000-0005-0000-0000-0000C3240000}"/>
    <cellStyle name="Comma 2 6 3 2 2" xfId="34949" xr:uid="{00000000-0005-0000-0000-0000C4240000}"/>
    <cellStyle name="Comma 2 6 3 2 3" xfId="29149" xr:uid="{00000000-0005-0000-0000-0000C5240000}"/>
    <cellStyle name="Comma 2 6 3 3" xfId="15444" xr:uid="{00000000-0005-0000-0000-0000C6240000}"/>
    <cellStyle name="Comma 2 6 3 3 2" xfId="36828" xr:uid="{00000000-0005-0000-0000-0000C7240000}"/>
    <cellStyle name="Comma 2 6 3 3 3" xfId="29051" xr:uid="{00000000-0005-0000-0000-0000C8240000}"/>
    <cellStyle name="Comma 2 6 3 4" xfId="30298" xr:uid="{00000000-0005-0000-0000-0000C9240000}"/>
    <cellStyle name="Comma 2 6 3 5" xfId="28954" xr:uid="{00000000-0005-0000-0000-0000CA240000}"/>
    <cellStyle name="Comma 2 6 3 6" xfId="33704" xr:uid="{00000000-0005-0000-0000-0000CB240000}"/>
    <cellStyle name="Comma 2 6 4" xfId="14160" xr:uid="{00000000-0005-0000-0000-0000CC240000}"/>
    <cellStyle name="Comma 2 6 4 2" xfId="35850" xr:uid="{00000000-0005-0000-0000-0000CD240000}"/>
    <cellStyle name="Comma 2 6 4 3" xfId="29102" xr:uid="{00000000-0005-0000-0000-0000CE240000}"/>
    <cellStyle name="Comma 2 6 5" xfId="9758" xr:uid="{00000000-0005-0000-0000-0000CF240000}"/>
    <cellStyle name="Comma 2 6 5 2" xfId="33293" xr:uid="{00000000-0005-0000-0000-0000D0240000}"/>
    <cellStyle name="Comma 2 6 5 3" xfId="29004" xr:uid="{00000000-0005-0000-0000-0000D1240000}"/>
    <cellStyle name="Comma 2 6 6" xfId="15238" xr:uid="{00000000-0005-0000-0000-0000D2240000}"/>
    <cellStyle name="Comma 2 6 6 2" xfId="36646" xr:uid="{00000000-0005-0000-0000-0000D3240000}"/>
    <cellStyle name="Comma 2 6 6 3" xfId="29216" xr:uid="{00000000-0005-0000-0000-0000D4240000}"/>
    <cellStyle name="Comma 2 6 7" xfId="29311" xr:uid="{00000000-0005-0000-0000-0000D5240000}"/>
    <cellStyle name="Comma 2 6 8" xfId="28745" xr:uid="{00000000-0005-0000-0000-0000D6240000}"/>
    <cellStyle name="Comma 2 6 9" xfId="32427" xr:uid="{00000000-0005-0000-0000-0000D7240000}"/>
    <cellStyle name="Comma 2 7" xfId="8200" xr:uid="{00000000-0005-0000-0000-0000D8240000}"/>
    <cellStyle name="Comma 2 7 10" xfId="21553" xr:uid="{00000000-0005-0000-0000-0000D9240000}"/>
    <cellStyle name="Comma 2 7 2" xfId="10503" xr:uid="{00000000-0005-0000-0000-0000DA240000}"/>
    <cellStyle name="Comma 2 7 2 2" xfId="11156" xr:uid="{00000000-0005-0000-0000-0000DB240000}"/>
    <cellStyle name="Comma 2 7 2 2 2" xfId="15540" xr:uid="{00000000-0005-0000-0000-0000DC240000}"/>
    <cellStyle name="Comma 2 7 2 2 2 2" xfId="36918" xr:uid="{00000000-0005-0000-0000-0000DD240000}"/>
    <cellStyle name="Comma 2 7 2 2 3" xfId="33973" xr:uid="{00000000-0005-0000-0000-0000DE240000}"/>
    <cellStyle name="Comma 2 7 2 2 4" xfId="29159" xr:uid="{00000000-0005-0000-0000-0000DF240000}"/>
    <cellStyle name="Comma 2 7 2 3" xfId="15380" xr:uid="{00000000-0005-0000-0000-0000E0240000}"/>
    <cellStyle name="Comma 2 7 2 3 2" xfId="36767" xr:uid="{00000000-0005-0000-0000-0000E1240000}"/>
    <cellStyle name="Comma 2 7 2 3 3" xfId="29061" xr:uid="{00000000-0005-0000-0000-0000E2240000}"/>
    <cellStyle name="Comma 2 7 2 4" xfId="29541" xr:uid="{00000000-0005-0000-0000-0000E3240000}"/>
    <cellStyle name="Comma 2 7 2 5" xfId="28964" xr:uid="{00000000-0005-0000-0000-0000E4240000}"/>
    <cellStyle name="Comma 2 7 2 6" xfId="33656" xr:uid="{00000000-0005-0000-0000-0000E5240000}"/>
    <cellStyle name="Comma 2 7 2 7" xfId="27760" xr:uid="{00000000-0005-0000-0000-0000E6240000}"/>
    <cellStyle name="Comma 2 7 3" xfId="10571" xr:uid="{00000000-0005-0000-0000-0000E7240000}"/>
    <cellStyle name="Comma 2 7 3 2" xfId="12502" xr:uid="{00000000-0005-0000-0000-0000E8240000}"/>
    <cellStyle name="Comma 2 7 3 3" xfId="15445" xr:uid="{00000000-0005-0000-0000-0000E9240000}"/>
    <cellStyle name="Comma 2 7 3 3 2" xfId="36829" xr:uid="{00000000-0005-0000-0000-0000EA240000}"/>
    <cellStyle name="Comma 2 7 3 3 3" xfId="29112" xr:uid="{00000000-0005-0000-0000-0000EB240000}"/>
    <cellStyle name="Comma 2 7 3 4" xfId="33705" xr:uid="{00000000-0005-0000-0000-0000EC240000}"/>
    <cellStyle name="Comma 2 7 4" xfId="9759" xr:uid="{00000000-0005-0000-0000-0000ED240000}"/>
    <cellStyle name="Comma 2 7 4 2" xfId="33294" xr:uid="{00000000-0005-0000-0000-0000EE240000}"/>
    <cellStyle name="Comma 2 7 4 3" xfId="29014" xr:uid="{00000000-0005-0000-0000-0000EF240000}"/>
    <cellStyle name="Comma 2 7 5" xfId="15239" xr:uid="{00000000-0005-0000-0000-0000F0240000}"/>
    <cellStyle name="Comma 2 7 5 2" xfId="36647" xr:uid="{00000000-0005-0000-0000-0000F1240000}"/>
    <cellStyle name="Comma 2 7 5 3" xfId="29217" xr:uid="{00000000-0005-0000-0000-0000F2240000}"/>
    <cellStyle name="Comma 2 7 6" xfId="29312" xr:uid="{00000000-0005-0000-0000-0000F3240000}"/>
    <cellStyle name="Comma 2 7 7" xfId="28907" xr:uid="{00000000-0005-0000-0000-0000F4240000}"/>
    <cellStyle name="Comma 2 7 8" xfId="33021" xr:uid="{00000000-0005-0000-0000-0000F5240000}"/>
    <cellStyle name="Comma 2 7 9" xfId="27375" xr:uid="{00000000-0005-0000-0000-0000F6240000}"/>
    <cellStyle name="Comma 2 8" xfId="3751" xr:uid="{00000000-0005-0000-0000-0000F7240000}"/>
    <cellStyle name="Comma 2 8 10" xfId="17435" xr:uid="{00000000-0005-0000-0000-0000F8240000}"/>
    <cellStyle name="Comma 2 8 2" xfId="10504" xr:uid="{00000000-0005-0000-0000-0000F9240000}"/>
    <cellStyle name="Comma 2 8 2 2" xfId="11157" xr:uid="{00000000-0005-0000-0000-0000FA240000}"/>
    <cellStyle name="Comma 2 8 2 2 2" xfId="15541" xr:uid="{00000000-0005-0000-0000-0000FB240000}"/>
    <cellStyle name="Comma 2 8 2 2 2 2" xfId="36919" xr:uid="{00000000-0005-0000-0000-0000FC240000}"/>
    <cellStyle name="Comma 2 8 2 2 3" xfId="33974" xr:uid="{00000000-0005-0000-0000-0000FD240000}"/>
    <cellStyle name="Comma 2 8 2 2 4" xfId="29169" xr:uid="{00000000-0005-0000-0000-0000FE240000}"/>
    <cellStyle name="Comma 2 8 2 3" xfId="15381" xr:uid="{00000000-0005-0000-0000-0000FF240000}"/>
    <cellStyle name="Comma 2 8 2 3 2" xfId="36768" xr:uid="{00000000-0005-0000-0000-000000250000}"/>
    <cellStyle name="Comma 2 8 2 3 3" xfId="29071" xr:uid="{00000000-0005-0000-0000-000001250000}"/>
    <cellStyle name="Comma 2 8 2 4" xfId="29542" xr:uid="{00000000-0005-0000-0000-000002250000}"/>
    <cellStyle name="Comma 2 8 2 5" xfId="28974" xr:uid="{00000000-0005-0000-0000-000003250000}"/>
    <cellStyle name="Comma 2 8 2 6" xfId="33657" xr:uid="{00000000-0005-0000-0000-000004250000}"/>
    <cellStyle name="Comma 2 8 2 7" xfId="27761" xr:uid="{00000000-0005-0000-0000-000005250000}"/>
    <cellStyle name="Comma 2 8 3" xfId="10572" xr:uid="{00000000-0005-0000-0000-000006250000}"/>
    <cellStyle name="Comma 2 8 3 2" xfId="12503" xr:uid="{00000000-0005-0000-0000-000007250000}"/>
    <cellStyle name="Comma 2 8 3 3" xfId="15446" xr:uid="{00000000-0005-0000-0000-000008250000}"/>
    <cellStyle name="Comma 2 8 3 3 2" xfId="36830" xr:uid="{00000000-0005-0000-0000-000009250000}"/>
    <cellStyle name="Comma 2 8 3 3 3" xfId="29122" xr:uid="{00000000-0005-0000-0000-00000A250000}"/>
    <cellStyle name="Comma 2 8 3 4" xfId="33706" xr:uid="{00000000-0005-0000-0000-00000B250000}"/>
    <cellStyle name="Comma 2 8 4" xfId="9760" xr:uid="{00000000-0005-0000-0000-00000C250000}"/>
    <cellStyle name="Comma 2 8 4 2" xfId="33295" xr:uid="{00000000-0005-0000-0000-00000D250000}"/>
    <cellStyle name="Comma 2 8 4 3" xfId="29024" xr:uid="{00000000-0005-0000-0000-00000E250000}"/>
    <cellStyle name="Comma 2 8 5" xfId="15240" xr:uid="{00000000-0005-0000-0000-00000F250000}"/>
    <cellStyle name="Comma 2 8 5 2" xfId="36648" xr:uid="{00000000-0005-0000-0000-000010250000}"/>
    <cellStyle name="Comma 2 8 5 3" xfId="29218" xr:uid="{00000000-0005-0000-0000-000011250000}"/>
    <cellStyle name="Comma 2 8 6" xfId="29313" xr:uid="{00000000-0005-0000-0000-000012250000}"/>
    <cellStyle name="Comma 2 8 7" xfId="28917" xr:uid="{00000000-0005-0000-0000-000013250000}"/>
    <cellStyle name="Comma 2 8 8" xfId="31624" xr:uid="{00000000-0005-0000-0000-000014250000}"/>
    <cellStyle name="Comma 2 8 9" xfId="27376" xr:uid="{00000000-0005-0000-0000-000015250000}"/>
    <cellStyle name="Comma 2 9" xfId="9761" xr:uid="{00000000-0005-0000-0000-000016250000}"/>
    <cellStyle name="Comma 2 9 2" xfId="10505" xr:uid="{00000000-0005-0000-0000-000017250000}"/>
    <cellStyle name="Comma 2 9 2 2" xfId="11158" xr:uid="{00000000-0005-0000-0000-000018250000}"/>
    <cellStyle name="Comma 2 9 2 2 2" xfId="15542" xr:uid="{00000000-0005-0000-0000-000019250000}"/>
    <cellStyle name="Comma 2 9 2 2 2 2" xfId="36920" xr:uid="{00000000-0005-0000-0000-00001A250000}"/>
    <cellStyle name="Comma 2 9 2 2 3" xfId="33975" xr:uid="{00000000-0005-0000-0000-00001B250000}"/>
    <cellStyle name="Comma 2 9 2 2 4" xfId="29174" xr:uid="{00000000-0005-0000-0000-00001C250000}"/>
    <cellStyle name="Comma 2 9 2 3" xfId="15382" xr:uid="{00000000-0005-0000-0000-00001D250000}"/>
    <cellStyle name="Comma 2 9 2 3 2" xfId="36769" xr:uid="{00000000-0005-0000-0000-00001E250000}"/>
    <cellStyle name="Comma 2 9 2 3 3" xfId="29076" xr:uid="{00000000-0005-0000-0000-00001F250000}"/>
    <cellStyle name="Comma 2 9 2 4" xfId="29543" xr:uid="{00000000-0005-0000-0000-000020250000}"/>
    <cellStyle name="Comma 2 9 2 5" xfId="28979" xr:uid="{00000000-0005-0000-0000-000021250000}"/>
    <cellStyle name="Comma 2 9 2 6" xfId="33658" xr:uid="{00000000-0005-0000-0000-000022250000}"/>
    <cellStyle name="Comma 2 9 2 7" xfId="27762" xr:uid="{00000000-0005-0000-0000-000023250000}"/>
    <cellStyle name="Comma 2 9 3" xfId="10573" xr:uid="{00000000-0005-0000-0000-000024250000}"/>
    <cellStyle name="Comma 2 9 3 2" xfId="12504" xr:uid="{00000000-0005-0000-0000-000025250000}"/>
    <cellStyle name="Comma 2 9 3 3" xfId="15447" xr:uid="{00000000-0005-0000-0000-000026250000}"/>
    <cellStyle name="Comma 2 9 3 3 2" xfId="36831" xr:uid="{00000000-0005-0000-0000-000027250000}"/>
    <cellStyle name="Comma 2 9 3 3 3" xfId="29127" xr:uid="{00000000-0005-0000-0000-000028250000}"/>
    <cellStyle name="Comma 2 9 3 4" xfId="33707" xr:uid="{00000000-0005-0000-0000-000029250000}"/>
    <cellStyle name="Comma 2 9 4" xfId="15241" xr:uid="{00000000-0005-0000-0000-00002A250000}"/>
    <cellStyle name="Comma 2 9 4 2" xfId="36649" xr:uid="{00000000-0005-0000-0000-00002B250000}"/>
    <cellStyle name="Comma 2 9 4 3" xfId="29029" xr:uid="{00000000-0005-0000-0000-00002C250000}"/>
    <cellStyle name="Comma 2 9 5" xfId="29314" xr:uid="{00000000-0005-0000-0000-00002D250000}"/>
    <cellStyle name="Comma 2 9 6" xfId="28927" xr:uid="{00000000-0005-0000-0000-00002E250000}"/>
    <cellStyle name="Comma 2 9 7" xfId="33296" xr:uid="{00000000-0005-0000-0000-00002F250000}"/>
    <cellStyle name="Comma 2 9 8" xfId="27377" xr:uid="{00000000-0005-0000-0000-000030250000}"/>
    <cellStyle name="Comma 2 9 9" xfId="16626" xr:uid="{00000000-0005-0000-0000-000031250000}"/>
    <cellStyle name="Comma 2_PrimaryEnergyPrices_TIMES" xfId="39259" xr:uid="{00000000-0005-0000-0000-0000E2070000}"/>
    <cellStyle name="Comma 20" xfId="14009" xr:uid="{00000000-0005-0000-0000-000032250000}"/>
    <cellStyle name="Comma 20 2" xfId="16241" xr:uid="{00000000-0005-0000-0000-000033250000}"/>
    <cellStyle name="Comma 20 2 2" xfId="37552" xr:uid="{00000000-0005-0000-0000-000034250000}"/>
    <cellStyle name="Comma 20 2 3" xfId="31121" xr:uid="{00000000-0005-0000-0000-000035250000}"/>
    <cellStyle name="Comma 20 3" xfId="35783" xr:uid="{00000000-0005-0000-0000-000036250000}"/>
    <cellStyle name="Comma 20 4" xfId="28182" xr:uid="{00000000-0005-0000-0000-000037250000}"/>
    <cellStyle name="Comma 21" xfId="14015" xr:uid="{00000000-0005-0000-0000-000038250000}"/>
    <cellStyle name="Comma 21 2" xfId="16242" xr:uid="{00000000-0005-0000-0000-000039250000}"/>
    <cellStyle name="Comma 21 2 2" xfId="37553" xr:uid="{00000000-0005-0000-0000-00003A250000}"/>
    <cellStyle name="Comma 21 2 3" xfId="31127" xr:uid="{00000000-0005-0000-0000-00003B250000}"/>
    <cellStyle name="Comma 21 3" xfId="35789" xr:uid="{00000000-0005-0000-0000-00003C250000}"/>
    <cellStyle name="Comma 21 4" xfId="28183" xr:uid="{00000000-0005-0000-0000-00003D250000}"/>
    <cellStyle name="Comma 22" xfId="14016" xr:uid="{00000000-0005-0000-0000-00003E250000}"/>
    <cellStyle name="Comma 22 2" xfId="16243" xr:uid="{00000000-0005-0000-0000-00003F250000}"/>
    <cellStyle name="Comma 22 2 2" xfId="37554" xr:uid="{00000000-0005-0000-0000-000040250000}"/>
    <cellStyle name="Comma 22 2 3" xfId="31128" xr:uid="{00000000-0005-0000-0000-000041250000}"/>
    <cellStyle name="Comma 22 3" xfId="35790" xr:uid="{00000000-0005-0000-0000-000042250000}"/>
    <cellStyle name="Comma 22 4" xfId="28184" xr:uid="{00000000-0005-0000-0000-000043250000}"/>
    <cellStyle name="Comma 23" xfId="14035" xr:uid="{00000000-0005-0000-0000-000044250000}"/>
    <cellStyle name="Comma 23 2" xfId="16249" xr:uid="{00000000-0005-0000-0000-000045250000}"/>
    <cellStyle name="Comma 23 2 2" xfId="37559" xr:uid="{00000000-0005-0000-0000-000046250000}"/>
    <cellStyle name="Comma 23 3" xfId="35807" xr:uid="{00000000-0005-0000-0000-000047250000}"/>
    <cellStyle name="Comma 23 4" xfId="31141" xr:uid="{00000000-0005-0000-0000-000048250000}"/>
    <cellStyle name="Comma 24" xfId="14034" xr:uid="{00000000-0005-0000-0000-000049250000}"/>
    <cellStyle name="Comma 24 2" xfId="16248" xr:uid="{00000000-0005-0000-0000-00004A250000}"/>
    <cellStyle name="Comma 24 2 2" xfId="37558" xr:uid="{00000000-0005-0000-0000-00004B250000}"/>
    <cellStyle name="Comma 24 3" xfId="35806" xr:uid="{00000000-0005-0000-0000-00004C250000}"/>
    <cellStyle name="Comma 24 4" xfId="31139" xr:uid="{00000000-0005-0000-0000-00004D250000}"/>
    <cellStyle name="Comma 25" xfId="14036" xr:uid="{00000000-0005-0000-0000-00004E250000}"/>
    <cellStyle name="Comma 25 2" xfId="16250" xr:uid="{00000000-0005-0000-0000-00004F250000}"/>
    <cellStyle name="Comma 25 2 2" xfId="37560" xr:uid="{00000000-0005-0000-0000-000050250000}"/>
    <cellStyle name="Comma 25 3" xfId="35808" xr:uid="{00000000-0005-0000-0000-000051250000}"/>
    <cellStyle name="Comma 25 4" xfId="31140" xr:uid="{00000000-0005-0000-0000-000052250000}"/>
    <cellStyle name="Comma 26" xfId="14037" xr:uid="{00000000-0005-0000-0000-000053250000}"/>
    <cellStyle name="Comma 26 2" xfId="16251" xr:uid="{00000000-0005-0000-0000-000054250000}"/>
    <cellStyle name="Comma 26 2 2" xfId="37561" xr:uid="{00000000-0005-0000-0000-000055250000}"/>
    <cellStyle name="Comma 26 3" xfId="35809" xr:uid="{00000000-0005-0000-0000-000056250000}"/>
    <cellStyle name="Comma 27" xfId="14113" xr:uid="{00000000-0005-0000-0000-000057250000}"/>
    <cellStyle name="Comma 27 2" xfId="16264" xr:uid="{00000000-0005-0000-0000-000058250000}"/>
    <cellStyle name="Comma 27 2 2" xfId="37573" xr:uid="{00000000-0005-0000-0000-000059250000}"/>
    <cellStyle name="Comma 27 3" xfId="35821" xr:uid="{00000000-0005-0000-0000-00005A250000}"/>
    <cellStyle name="Comma 28" xfId="14119" xr:uid="{00000000-0005-0000-0000-00005B250000}"/>
    <cellStyle name="Comma 28 2" xfId="16279" xr:uid="{00000000-0005-0000-0000-00005C250000}"/>
    <cellStyle name="Comma 28 2 2" xfId="37587" xr:uid="{00000000-0005-0000-0000-00005D250000}"/>
    <cellStyle name="Comma 28 3" xfId="35823" xr:uid="{00000000-0005-0000-0000-00005E250000}"/>
    <cellStyle name="Comma 29" xfId="14116" xr:uid="{00000000-0005-0000-0000-00005F250000}"/>
    <cellStyle name="Comma 29 2" xfId="16277" xr:uid="{00000000-0005-0000-0000-000060250000}"/>
    <cellStyle name="Comma 29 2 2" xfId="37585" xr:uid="{00000000-0005-0000-0000-000061250000}"/>
    <cellStyle name="Comma 29 3" xfId="35822" xr:uid="{00000000-0005-0000-0000-000062250000}"/>
    <cellStyle name="Comma 3" xfId="29" xr:uid="{00000000-0005-0000-0000-000063250000}"/>
    <cellStyle name="Comma 3 10" xfId="13521" xr:uid="{00000000-0005-0000-0000-000064250000}"/>
    <cellStyle name="Comma 3 10 2" xfId="16119" xr:uid="{00000000-0005-0000-0000-000065250000}"/>
    <cellStyle name="Comma 3 10 2 2" xfId="37440" xr:uid="{00000000-0005-0000-0000-000066250000}"/>
    <cellStyle name="Comma 3 10 2 3" xfId="30633" xr:uid="{00000000-0005-0000-0000-000067250000}"/>
    <cellStyle name="Comma 3 10 3" xfId="35295" xr:uid="{00000000-0005-0000-0000-000068250000}"/>
    <cellStyle name="Comma 3 10 4" xfId="28163" xr:uid="{00000000-0005-0000-0000-000069250000}"/>
    <cellStyle name="Comma 3 10 5" xfId="39260" xr:uid="{00000000-0005-0000-0000-0000E4070000}"/>
    <cellStyle name="Comma 3 10 6" xfId="41188" xr:uid="{00000000-0005-0000-0000-0000E4070000}"/>
    <cellStyle name="Comma 3 11" xfId="13643" xr:uid="{00000000-0005-0000-0000-00006A250000}"/>
    <cellStyle name="Comma 3 11 2" xfId="16152" xr:uid="{00000000-0005-0000-0000-00006B250000}"/>
    <cellStyle name="Comma 3 11 2 2" xfId="37471" xr:uid="{00000000-0005-0000-0000-00006C250000}"/>
    <cellStyle name="Comma 3 11 2 3" xfId="30755" xr:uid="{00000000-0005-0000-0000-00006D250000}"/>
    <cellStyle name="Comma 3 11 3" xfId="35417" xr:uid="{00000000-0005-0000-0000-00006E250000}"/>
    <cellStyle name="Comma 3 11 4" xfId="28169" xr:uid="{00000000-0005-0000-0000-00006F250000}"/>
    <cellStyle name="Comma 3 12" xfId="13763" xr:uid="{00000000-0005-0000-0000-000070250000}"/>
    <cellStyle name="Comma 3 12 2" xfId="16184" xr:uid="{00000000-0005-0000-0000-000071250000}"/>
    <cellStyle name="Comma 3 12 2 2" xfId="37500" xr:uid="{00000000-0005-0000-0000-000072250000}"/>
    <cellStyle name="Comma 3 12 2 3" xfId="30875" xr:uid="{00000000-0005-0000-0000-000073250000}"/>
    <cellStyle name="Comma 3 12 3" xfId="35537" xr:uid="{00000000-0005-0000-0000-000074250000}"/>
    <cellStyle name="Comma 3 12 4" xfId="28173" xr:uid="{00000000-0005-0000-0000-000075250000}"/>
    <cellStyle name="Comma 3 13" xfId="13884" xr:uid="{00000000-0005-0000-0000-000076250000}"/>
    <cellStyle name="Comma 3 13 2" xfId="16216" xr:uid="{00000000-0005-0000-0000-000077250000}"/>
    <cellStyle name="Comma 3 13 2 2" xfId="37529" xr:uid="{00000000-0005-0000-0000-000078250000}"/>
    <cellStyle name="Comma 3 13 2 3" xfId="30996" xr:uid="{00000000-0005-0000-0000-000079250000}"/>
    <cellStyle name="Comma 3 13 3" xfId="35658" xr:uid="{00000000-0005-0000-0000-00007A250000}"/>
    <cellStyle name="Comma 3 13 4" xfId="28178" xr:uid="{00000000-0005-0000-0000-00007B250000}"/>
    <cellStyle name="Comma 3 14" xfId="14003" xr:uid="{00000000-0005-0000-0000-00007C250000}"/>
    <cellStyle name="Comma 3 14 2" xfId="16240" xr:uid="{00000000-0005-0000-0000-00007D250000}"/>
    <cellStyle name="Comma 3 14 2 2" xfId="37551" xr:uid="{00000000-0005-0000-0000-00007E250000}"/>
    <cellStyle name="Comma 3 14 2 3" xfId="31115" xr:uid="{00000000-0005-0000-0000-00007F250000}"/>
    <cellStyle name="Comma 3 14 3" xfId="35777" xr:uid="{00000000-0005-0000-0000-000080250000}"/>
    <cellStyle name="Comma 3 14 4" xfId="28181" xr:uid="{00000000-0005-0000-0000-000081250000}"/>
    <cellStyle name="Comma 3 15" xfId="14083" xr:uid="{00000000-0005-0000-0000-000082250000}"/>
    <cellStyle name="Comma 3 15 2" xfId="16257" xr:uid="{00000000-0005-0000-0000-000083250000}"/>
    <cellStyle name="Comma 3 15 2 2" xfId="37567" xr:uid="{00000000-0005-0000-0000-000084250000}"/>
    <cellStyle name="Comma 3 15 3" xfId="35814" xr:uid="{00000000-0005-0000-0000-000085250000}"/>
    <cellStyle name="Comma 3 15 4" xfId="29653" xr:uid="{00000000-0005-0000-0000-000086250000}"/>
    <cellStyle name="Comma 3 16" xfId="14125" xr:uid="{00000000-0005-0000-0000-000087250000}"/>
    <cellStyle name="Comma 3 16 2" xfId="16285" xr:uid="{00000000-0005-0000-0000-000088250000}"/>
    <cellStyle name="Comma 3 16 2 2" xfId="37593" xr:uid="{00000000-0005-0000-0000-000089250000}"/>
    <cellStyle name="Comma 3 16 3" xfId="35829" xr:uid="{00000000-0005-0000-0000-00008A250000}"/>
    <cellStyle name="Comma 3 16 4" xfId="28190" xr:uid="{00000000-0005-0000-0000-00008B250000}"/>
    <cellStyle name="Comma 3 17" xfId="14132" xr:uid="{00000000-0005-0000-0000-00008C250000}"/>
    <cellStyle name="Comma 3 17 2" xfId="16292" xr:uid="{00000000-0005-0000-0000-00008D250000}"/>
    <cellStyle name="Comma 3 17 2 2" xfId="37600" xr:uid="{00000000-0005-0000-0000-00008E250000}"/>
    <cellStyle name="Comma 3 17 3" xfId="35836" xr:uid="{00000000-0005-0000-0000-00008F250000}"/>
    <cellStyle name="Comma 3 18" xfId="14161" xr:uid="{00000000-0005-0000-0000-000090250000}"/>
    <cellStyle name="Comma 3 18 2" xfId="16306" xr:uid="{00000000-0005-0000-0000-000091250000}"/>
    <cellStyle name="Comma 3 18 2 2" xfId="37612" xr:uid="{00000000-0005-0000-0000-000092250000}"/>
    <cellStyle name="Comma 3 18 3" xfId="35851" xr:uid="{00000000-0005-0000-0000-000093250000}"/>
    <cellStyle name="Comma 3 19" xfId="14379" xr:uid="{00000000-0005-0000-0000-000094250000}"/>
    <cellStyle name="Comma 3 19 2" xfId="16380" xr:uid="{00000000-0005-0000-0000-000095250000}"/>
    <cellStyle name="Comma 3 19 2 2" xfId="37682" xr:uid="{00000000-0005-0000-0000-000096250000}"/>
    <cellStyle name="Comma 3 19 3" xfId="35920" xr:uid="{00000000-0005-0000-0000-000097250000}"/>
    <cellStyle name="Comma 3 2" xfId="5926" xr:uid="{00000000-0005-0000-0000-000098250000}"/>
    <cellStyle name="Comma 3 2 10" xfId="19479" xr:uid="{00000000-0005-0000-0000-000099250000}"/>
    <cellStyle name="Comma 3 2 11" xfId="37958" xr:uid="{00000000-0005-0000-0000-0000E5070000}"/>
    <cellStyle name="Comma 3 2 12" xfId="40904" xr:uid="{00000000-0005-0000-0000-0000E5070000}"/>
    <cellStyle name="Comma 3 2 2" xfId="12506" xr:uid="{00000000-0005-0000-0000-00009A250000}"/>
    <cellStyle name="Comma 3 2 2 2" xfId="14162" xr:uid="{00000000-0005-0000-0000-00009B250000}"/>
    <cellStyle name="Comma 3 2 2 2 2" xfId="16307" xr:uid="{00000000-0005-0000-0000-00009C250000}"/>
    <cellStyle name="Comma 3 2 2 2 2 2" xfId="37613" xr:uid="{00000000-0005-0000-0000-00009D250000}"/>
    <cellStyle name="Comma 3 2 2 2 3" xfId="35852" xr:uid="{00000000-0005-0000-0000-00009E250000}"/>
    <cellStyle name="Comma 3 2 2 2 4" xfId="30300" xr:uid="{00000000-0005-0000-0000-00009F250000}"/>
    <cellStyle name="Comma 3 2 2 3" xfId="15895" xr:uid="{00000000-0005-0000-0000-0000A0250000}"/>
    <cellStyle name="Comma 3 2 2 3 2" xfId="37257" xr:uid="{00000000-0005-0000-0000-0000A1250000}"/>
    <cellStyle name="Comma 3 2 2 4" xfId="34951" xr:uid="{00000000-0005-0000-0000-0000A2250000}"/>
    <cellStyle name="Comma 3 2 2 5" xfId="28036" xr:uid="{00000000-0005-0000-0000-0000A3250000}"/>
    <cellStyle name="Comma 3 2 2 6" xfId="39262" xr:uid="{00000000-0005-0000-0000-0000E6070000}"/>
    <cellStyle name="Comma 3 2 2 7" xfId="41190" xr:uid="{00000000-0005-0000-0000-0000E6070000}"/>
    <cellStyle name="Comma 3 2 3" xfId="14084" xr:uid="{00000000-0005-0000-0000-0000A4250000}"/>
    <cellStyle name="Comma 3 2 3 2" xfId="14163" xr:uid="{00000000-0005-0000-0000-0000A5250000}"/>
    <cellStyle name="Comma 3 2 3 2 2" xfId="16308" xr:uid="{00000000-0005-0000-0000-0000A6250000}"/>
    <cellStyle name="Comma 3 2 3 2 2 2" xfId="37614" xr:uid="{00000000-0005-0000-0000-0000A7250000}"/>
    <cellStyle name="Comma 3 2 3 2 3" xfId="35853" xr:uid="{00000000-0005-0000-0000-0000A8250000}"/>
    <cellStyle name="Comma 3 2 3 3" xfId="16258" xr:uid="{00000000-0005-0000-0000-0000A9250000}"/>
    <cellStyle name="Comma 3 2 3 3 2" xfId="37568" xr:uid="{00000000-0005-0000-0000-0000AA250000}"/>
    <cellStyle name="Comma 3 2 3 4" xfId="35815" xr:uid="{00000000-0005-0000-0000-0000AB250000}"/>
    <cellStyle name="Comma 3 2 3 5" xfId="29782" xr:uid="{00000000-0005-0000-0000-0000AC250000}"/>
    <cellStyle name="Comma 3 2 3 6" xfId="39261" xr:uid="{00000000-0005-0000-0000-0000E7070000}"/>
    <cellStyle name="Comma 3 2 3 7" xfId="41189" xr:uid="{00000000-0005-0000-0000-0000E7070000}"/>
    <cellStyle name="Comma 3 2 4" xfId="14126" xr:uid="{00000000-0005-0000-0000-0000AD250000}"/>
    <cellStyle name="Comma 3 2 4 2" xfId="14164" xr:uid="{00000000-0005-0000-0000-0000AE250000}"/>
    <cellStyle name="Comma 3 2 4 2 2" xfId="16309" xr:uid="{00000000-0005-0000-0000-0000AF250000}"/>
    <cellStyle name="Comma 3 2 4 2 2 2" xfId="37615" xr:uid="{00000000-0005-0000-0000-0000B0250000}"/>
    <cellStyle name="Comma 3 2 4 2 3" xfId="35854" xr:uid="{00000000-0005-0000-0000-0000B1250000}"/>
    <cellStyle name="Comma 3 2 4 3" xfId="16286" xr:uid="{00000000-0005-0000-0000-0000B2250000}"/>
    <cellStyle name="Comma 3 2 4 3 2" xfId="37594" xr:uid="{00000000-0005-0000-0000-0000B3250000}"/>
    <cellStyle name="Comma 3 2 4 4" xfId="35830" xr:uid="{00000000-0005-0000-0000-0000B4250000}"/>
    <cellStyle name="Comma 3 2 4 5" xfId="28375" xr:uid="{00000000-0005-0000-0000-0000B5250000}"/>
    <cellStyle name="Comma 3 2 5" xfId="14133" xr:uid="{00000000-0005-0000-0000-0000B6250000}"/>
    <cellStyle name="Comma 3 2 5 2" xfId="16293" xr:uid="{00000000-0005-0000-0000-0000B7250000}"/>
    <cellStyle name="Comma 3 2 5 2 2" xfId="37601" xr:uid="{00000000-0005-0000-0000-0000B8250000}"/>
    <cellStyle name="Comma 3 2 5 3" xfId="35837" xr:uid="{00000000-0005-0000-0000-0000B9250000}"/>
    <cellStyle name="Comma 3 2 6" xfId="11640" xr:uid="{00000000-0005-0000-0000-0000BA250000}"/>
    <cellStyle name="Comma 3 2 6 2" xfId="34426" xr:uid="{00000000-0005-0000-0000-0000BB250000}"/>
    <cellStyle name="Comma 3 2 7" xfId="15611" xr:uid="{00000000-0005-0000-0000-0000BC250000}"/>
    <cellStyle name="Comma 3 2 7 2" xfId="36987" xr:uid="{00000000-0005-0000-0000-0000BD250000}"/>
    <cellStyle name="Comma 3 2 8" xfId="32428" xr:uid="{00000000-0005-0000-0000-0000BE250000}"/>
    <cellStyle name="Comma 3 2 9" xfId="27876" xr:uid="{00000000-0005-0000-0000-0000BF250000}"/>
    <cellStyle name="Comma 3 20" xfId="11462" xr:uid="{00000000-0005-0000-0000-0000C0250000}"/>
    <cellStyle name="Comma 3 20 2" xfId="34276" xr:uid="{00000000-0005-0000-0000-0000C1250000}"/>
    <cellStyle name="Comma 3 21" xfId="15576" xr:uid="{00000000-0005-0000-0000-0000C2250000}"/>
    <cellStyle name="Comma 3 21 2" xfId="36953" xr:uid="{00000000-0005-0000-0000-0000C3250000}"/>
    <cellStyle name="Comma 3 22" xfId="31150" xr:uid="{00000000-0005-0000-0000-0000C4250000}"/>
    <cellStyle name="Comma 3 23" xfId="27860" xr:uid="{00000000-0005-0000-0000-0000C5250000}"/>
    <cellStyle name="Comma 3 24" xfId="16605" xr:uid="{00000000-0005-0000-0000-0000C6250000}"/>
    <cellStyle name="Comma 3 25" xfId="37957" xr:uid="{00000000-0005-0000-0000-0000E3070000}"/>
    <cellStyle name="Comma 3 26" xfId="40903" xr:uid="{00000000-0005-0000-0000-0000E3070000}"/>
    <cellStyle name="Comma 3 3" xfId="8201" xr:uid="{00000000-0005-0000-0000-0000C7250000}"/>
    <cellStyle name="Comma 3 3 2" xfId="12507" xr:uid="{00000000-0005-0000-0000-0000C8250000}"/>
    <cellStyle name="Comma 3 3 2 2" xfId="15896" xr:uid="{00000000-0005-0000-0000-0000C9250000}"/>
    <cellStyle name="Comma 3 3 2 2 2" xfId="37258" xr:uid="{00000000-0005-0000-0000-0000CA250000}"/>
    <cellStyle name="Comma 3 3 2 2 3" xfId="30301" xr:uid="{00000000-0005-0000-0000-0000CB250000}"/>
    <cellStyle name="Comma 3 3 2 3" xfId="34952" xr:uid="{00000000-0005-0000-0000-0000CC250000}"/>
    <cellStyle name="Comma 3 3 2 4" xfId="28037" xr:uid="{00000000-0005-0000-0000-0000CD250000}"/>
    <cellStyle name="Comma 3 3 2 5" xfId="39263" xr:uid="{00000000-0005-0000-0000-0000E9070000}"/>
    <cellStyle name="Comma 3 3 2 6" xfId="41191" xr:uid="{00000000-0005-0000-0000-0000E9070000}"/>
    <cellStyle name="Comma 3 3 3" xfId="11774" xr:uid="{00000000-0005-0000-0000-0000CE250000}"/>
    <cellStyle name="Comma 3 3 3 2" xfId="34552" xr:uid="{00000000-0005-0000-0000-0000CF250000}"/>
    <cellStyle name="Comma 3 3 3 3" xfId="29903" xr:uid="{00000000-0005-0000-0000-0000D0250000}"/>
    <cellStyle name="Comma 3 3 4" xfId="15636" xr:uid="{00000000-0005-0000-0000-0000D1250000}"/>
    <cellStyle name="Comma 3 3 4 2" xfId="37011" xr:uid="{00000000-0005-0000-0000-0000D2250000}"/>
    <cellStyle name="Comma 3 3 5" xfId="33022" xr:uid="{00000000-0005-0000-0000-0000D3250000}"/>
    <cellStyle name="Comma 3 3 6" xfId="27888" xr:uid="{00000000-0005-0000-0000-0000D4250000}"/>
    <cellStyle name="Comma 3 3 7" xfId="21554" xr:uid="{00000000-0005-0000-0000-0000D5250000}"/>
    <cellStyle name="Comma 3 3 8" xfId="37959" xr:uid="{00000000-0005-0000-0000-0000E8070000}"/>
    <cellStyle name="Comma 3 3 9" xfId="40905" xr:uid="{00000000-0005-0000-0000-0000E8070000}"/>
    <cellStyle name="Comma 3 4" xfId="3752" xr:uid="{00000000-0005-0000-0000-0000D6250000}"/>
    <cellStyle name="Comma 3 4 2" xfId="12508" xr:uid="{00000000-0005-0000-0000-0000D7250000}"/>
    <cellStyle name="Comma 3 4 2 2" xfId="14165" xr:uid="{00000000-0005-0000-0000-0000D8250000}"/>
    <cellStyle name="Comma 3 4 2 2 2" xfId="16310" xr:uid="{00000000-0005-0000-0000-0000D9250000}"/>
    <cellStyle name="Comma 3 4 2 2 2 2" xfId="37616" xr:uid="{00000000-0005-0000-0000-0000DA250000}"/>
    <cellStyle name="Comma 3 4 2 2 3" xfId="35855" xr:uid="{00000000-0005-0000-0000-0000DB250000}"/>
    <cellStyle name="Comma 3 4 2 2 4" xfId="30302" xr:uid="{00000000-0005-0000-0000-0000DC250000}"/>
    <cellStyle name="Comma 3 4 2 3" xfId="15897" xr:uid="{00000000-0005-0000-0000-0000DD250000}"/>
    <cellStyle name="Comma 3 4 2 3 2" xfId="37259" xr:uid="{00000000-0005-0000-0000-0000DE250000}"/>
    <cellStyle name="Comma 3 4 2 4" xfId="34953" xr:uid="{00000000-0005-0000-0000-0000DF250000}"/>
    <cellStyle name="Comma 3 4 2 5" xfId="28038" xr:uid="{00000000-0005-0000-0000-0000E0250000}"/>
    <cellStyle name="Comma 3 4 2 6" xfId="39264" xr:uid="{00000000-0005-0000-0000-0000EB070000}"/>
    <cellStyle name="Comma 3 4 2 7" xfId="41192" xr:uid="{00000000-0005-0000-0000-0000EB070000}"/>
    <cellStyle name="Comma 3 4 3" xfId="11893" xr:uid="{00000000-0005-0000-0000-0000E1250000}"/>
    <cellStyle name="Comma 3 4 3 2" xfId="34671" xr:uid="{00000000-0005-0000-0000-0000E2250000}"/>
    <cellStyle name="Comma 3 4 3 3" xfId="30021" xr:uid="{00000000-0005-0000-0000-0000E3250000}"/>
    <cellStyle name="Comma 3 4 4" xfId="15661" xr:uid="{00000000-0005-0000-0000-0000E4250000}"/>
    <cellStyle name="Comma 3 4 4 2" xfId="37035" xr:uid="{00000000-0005-0000-0000-0000E5250000}"/>
    <cellStyle name="Comma 3 4 5" xfId="31625" xr:uid="{00000000-0005-0000-0000-0000E6250000}"/>
    <cellStyle name="Comma 3 4 6" xfId="27891" xr:uid="{00000000-0005-0000-0000-0000E7250000}"/>
    <cellStyle name="Comma 3 4 7" xfId="17436" xr:uid="{00000000-0005-0000-0000-0000E8250000}"/>
    <cellStyle name="Comma 3 4 8" xfId="37960" xr:uid="{00000000-0005-0000-0000-0000EA070000}"/>
    <cellStyle name="Comma 3 4 9" xfId="40906" xr:uid="{00000000-0005-0000-0000-0000EA070000}"/>
    <cellStyle name="Comma 3 5" xfId="12012" xr:uid="{00000000-0005-0000-0000-0000E9250000}"/>
    <cellStyle name="Comma 3 5 2" xfId="12509" xr:uid="{00000000-0005-0000-0000-0000EA250000}"/>
    <cellStyle name="Comma 3 5 2 2" xfId="15898" xr:uid="{00000000-0005-0000-0000-0000EB250000}"/>
    <cellStyle name="Comma 3 5 2 2 2" xfId="37260" xr:uid="{00000000-0005-0000-0000-0000EC250000}"/>
    <cellStyle name="Comma 3 5 2 2 3" xfId="30303" xr:uid="{00000000-0005-0000-0000-0000ED250000}"/>
    <cellStyle name="Comma 3 5 2 3" xfId="34954" xr:uid="{00000000-0005-0000-0000-0000EE250000}"/>
    <cellStyle name="Comma 3 5 2 4" xfId="28039" xr:uid="{00000000-0005-0000-0000-0000EF250000}"/>
    <cellStyle name="Comma 3 5 2 5" xfId="39265" xr:uid="{00000000-0005-0000-0000-0000ED070000}"/>
    <cellStyle name="Comma 3 5 2 6" xfId="41193" xr:uid="{00000000-0005-0000-0000-0000ED070000}"/>
    <cellStyle name="Comma 3 5 3" xfId="14166" xr:uid="{00000000-0005-0000-0000-0000F0250000}"/>
    <cellStyle name="Comma 3 5 3 2" xfId="16311" xr:uid="{00000000-0005-0000-0000-0000F1250000}"/>
    <cellStyle name="Comma 3 5 3 2 2" xfId="37617" xr:uid="{00000000-0005-0000-0000-0000F2250000}"/>
    <cellStyle name="Comma 3 5 3 3" xfId="35856" xr:uid="{00000000-0005-0000-0000-0000F3250000}"/>
    <cellStyle name="Comma 3 5 3 4" xfId="30138" xr:uid="{00000000-0005-0000-0000-0000F4250000}"/>
    <cellStyle name="Comma 3 5 4" xfId="15691" xr:uid="{00000000-0005-0000-0000-0000F5250000}"/>
    <cellStyle name="Comma 3 5 4 2" xfId="37063" xr:uid="{00000000-0005-0000-0000-0000F6250000}"/>
    <cellStyle name="Comma 3 5 5" xfId="34790" xr:uid="{00000000-0005-0000-0000-0000F7250000}"/>
    <cellStyle name="Comma 3 5 6" xfId="27894" xr:uid="{00000000-0005-0000-0000-0000F8250000}"/>
    <cellStyle name="Comma 3 5 7" xfId="16627" xr:uid="{00000000-0005-0000-0000-0000F9250000}"/>
    <cellStyle name="Comma 3 5 8" xfId="37961" xr:uid="{00000000-0005-0000-0000-0000EC070000}"/>
    <cellStyle name="Comma 3 5 9" xfId="40907" xr:uid="{00000000-0005-0000-0000-0000EC070000}"/>
    <cellStyle name="Comma 3 6" xfId="12510" xr:uid="{00000000-0005-0000-0000-0000FA250000}"/>
    <cellStyle name="Comma 3 6 2" xfId="15899" xr:uid="{00000000-0005-0000-0000-0000FB250000}"/>
    <cellStyle name="Comma 3 6 2 2" xfId="37261" xr:uid="{00000000-0005-0000-0000-0000FC250000}"/>
    <cellStyle name="Comma 3 6 2 3" xfId="30304" xr:uid="{00000000-0005-0000-0000-0000FD250000}"/>
    <cellStyle name="Comma 3 6 2 4" xfId="39266" xr:uid="{00000000-0005-0000-0000-0000EF070000}"/>
    <cellStyle name="Comma 3 6 2 5" xfId="41194" xr:uid="{00000000-0005-0000-0000-0000EF070000}"/>
    <cellStyle name="Comma 3 6 3" xfId="34955" xr:uid="{00000000-0005-0000-0000-0000FE250000}"/>
    <cellStyle name="Comma 3 6 4" xfId="28040" xr:uid="{00000000-0005-0000-0000-0000FF250000}"/>
    <cellStyle name="Comma 3 6 5" xfId="37962" xr:uid="{00000000-0005-0000-0000-0000EE070000}"/>
    <cellStyle name="Comma 3 6 6" xfId="40908" xr:uid="{00000000-0005-0000-0000-0000EE070000}"/>
    <cellStyle name="Comma 3 7" xfId="12511" xr:uid="{00000000-0005-0000-0000-000000260000}"/>
    <cellStyle name="Comma 3 7 2" xfId="15900" xr:uid="{00000000-0005-0000-0000-000001260000}"/>
    <cellStyle name="Comma 3 7 2 2" xfId="37262" xr:uid="{00000000-0005-0000-0000-000002260000}"/>
    <cellStyle name="Comma 3 7 2 3" xfId="30305" xr:uid="{00000000-0005-0000-0000-000003260000}"/>
    <cellStyle name="Comma 3 7 2 4" xfId="39267" xr:uid="{00000000-0005-0000-0000-0000F1070000}"/>
    <cellStyle name="Comma 3 7 2 5" xfId="41195" xr:uid="{00000000-0005-0000-0000-0000F1070000}"/>
    <cellStyle name="Comma 3 7 3" xfId="34956" xr:uid="{00000000-0005-0000-0000-000004260000}"/>
    <cellStyle name="Comma 3 7 4" xfId="28041" xr:uid="{00000000-0005-0000-0000-000005260000}"/>
    <cellStyle name="Comma 3 7 5" xfId="37963" xr:uid="{00000000-0005-0000-0000-0000F0070000}"/>
    <cellStyle name="Comma 3 7 6" xfId="40909" xr:uid="{00000000-0005-0000-0000-0000F0070000}"/>
    <cellStyle name="Comma 3 8" xfId="12512" xr:uid="{00000000-0005-0000-0000-000006260000}"/>
    <cellStyle name="Comma 3 8 2" xfId="15901" xr:uid="{00000000-0005-0000-0000-000007260000}"/>
    <cellStyle name="Comma 3 8 2 2" xfId="37263" xr:uid="{00000000-0005-0000-0000-000008260000}"/>
    <cellStyle name="Comma 3 8 2 3" xfId="30306" xr:uid="{00000000-0005-0000-0000-000009260000}"/>
    <cellStyle name="Comma 3 8 2 4" xfId="39268" xr:uid="{00000000-0005-0000-0000-0000F3070000}"/>
    <cellStyle name="Comma 3 8 2 5" xfId="41196" xr:uid="{00000000-0005-0000-0000-0000F3070000}"/>
    <cellStyle name="Comma 3 8 3" xfId="34957" xr:uid="{00000000-0005-0000-0000-00000A260000}"/>
    <cellStyle name="Comma 3 8 4" xfId="28042" xr:uid="{00000000-0005-0000-0000-00000B260000}"/>
    <cellStyle name="Comma 3 8 5" xfId="37964" xr:uid="{00000000-0005-0000-0000-0000F2070000}"/>
    <cellStyle name="Comma 3 8 6" xfId="40910" xr:uid="{00000000-0005-0000-0000-0000F2070000}"/>
    <cellStyle name="Comma 3 9" xfId="12505" xr:uid="{00000000-0005-0000-0000-00000C260000}"/>
    <cellStyle name="Comma 3 9 2" xfId="15894" xr:uid="{00000000-0005-0000-0000-00000D260000}"/>
    <cellStyle name="Comma 3 9 2 2" xfId="37256" xr:uid="{00000000-0005-0000-0000-00000E260000}"/>
    <cellStyle name="Comma 3 9 2 3" xfId="30299" xr:uid="{00000000-0005-0000-0000-00000F260000}"/>
    <cellStyle name="Comma 3 9 3" xfId="34950" xr:uid="{00000000-0005-0000-0000-000010260000}"/>
    <cellStyle name="Comma 3 9 4" xfId="28035" xr:uid="{00000000-0005-0000-0000-000011260000}"/>
    <cellStyle name="Comma 3 9 5" xfId="39269" xr:uid="{00000000-0005-0000-0000-0000F4070000}"/>
    <cellStyle name="Comma 3 9 6" xfId="41197" xr:uid="{00000000-0005-0000-0000-0000F4070000}"/>
    <cellStyle name="Comma 30" xfId="14120" xr:uid="{00000000-0005-0000-0000-000012260000}"/>
    <cellStyle name="Comma 30 2" xfId="16280" xr:uid="{00000000-0005-0000-0000-000013260000}"/>
    <cellStyle name="Comma 30 2 2" xfId="37588" xr:uid="{00000000-0005-0000-0000-000014260000}"/>
    <cellStyle name="Comma 30 3" xfId="35824" xr:uid="{00000000-0005-0000-0000-000015260000}"/>
    <cellStyle name="Comma 31" xfId="14127" xr:uid="{00000000-0005-0000-0000-000016260000}"/>
    <cellStyle name="Comma 31 2" xfId="16287" xr:uid="{00000000-0005-0000-0000-000017260000}"/>
    <cellStyle name="Comma 31 2 2" xfId="37595" xr:uid="{00000000-0005-0000-0000-000018260000}"/>
    <cellStyle name="Comma 31 3" xfId="35831" xr:uid="{00000000-0005-0000-0000-000019260000}"/>
    <cellStyle name="Comma 32" xfId="31145" xr:uid="{00000000-0005-0000-0000-00001A260000}"/>
    <cellStyle name="Comma 4" xfId="27" xr:uid="{00000000-0005-0000-0000-00001B260000}"/>
    <cellStyle name="Comma 4 10" xfId="14038" xr:uid="{00000000-0005-0000-0000-00001C260000}"/>
    <cellStyle name="Comma 4 10 2" xfId="16252" xr:uid="{00000000-0005-0000-0000-00001D260000}"/>
    <cellStyle name="Comma 4 10 2 2" xfId="37562" xr:uid="{00000000-0005-0000-0000-00001E260000}"/>
    <cellStyle name="Comma 4 10 3" xfId="35810" xr:uid="{00000000-0005-0000-0000-00001F260000}"/>
    <cellStyle name="Comma 4 10 4" xfId="29681" xr:uid="{00000000-0005-0000-0000-000020260000}"/>
    <cellStyle name="Comma 4 10 5" xfId="39270" xr:uid="{00000000-0005-0000-0000-0000F6070000}"/>
    <cellStyle name="Comma 4 11" xfId="14121" xr:uid="{00000000-0005-0000-0000-000021260000}"/>
    <cellStyle name="Comma 4 11 2" xfId="16281" xr:uid="{00000000-0005-0000-0000-000022260000}"/>
    <cellStyle name="Comma 4 11 2 2" xfId="37589" xr:uid="{00000000-0005-0000-0000-000023260000}"/>
    <cellStyle name="Comma 4 11 3" xfId="35825" xr:uid="{00000000-0005-0000-0000-000024260000}"/>
    <cellStyle name="Comma 4 11 4" xfId="28403" xr:uid="{00000000-0005-0000-0000-000025260000}"/>
    <cellStyle name="Comma 4 12" xfId="14128" xr:uid="{00000000-0005-0000-0000-000026260000}"/>
    <cellStyle name="Comma 4 12 2" xfId="16288" xr:uid="{00000000-0005-0000-0000-000027260000}"/>
    <cellStyle name="Comma 4 12 2 2" xfId="37596" xr:uid="{00000000-0005-0000-0000-000028260000}"/>
    <cellStyle name="Comma 4 12 3" xfId="35832" xr:uid="{00000000-0005-0000-0000-000029260000}"/>
    <cellStyle name="Comma 4 13" xfId="11527" xr:uid="{00000000-0005-0000-0000-00002A260000}"/>
    <cellStyle name="Comma 4 13 2" xfId="34319" xr:uid="{00000000-0005-0000-0000-00002B260000}"/>
    <cellStyle name="Comma 4 14" xfId="15589" xr:uid="{00000000-0005-0000-0000-00002C260000}"/>
    <cellStyle name="Comma 4 14 2" xfId="36966" xr:uid="{00000000-0005-0000-0000-00002D260000}"/>
    <cellStyle name="Comma 4 15" xfId="31148" xr:uid="{00000000-0005-0000-0000-00002E260000}"/>
    <cellStyle name="Comma 4 16" xfId="27873" xr:uid="{00000000-0005-0000-0000-00002F260000}"/>
    <cellStyle name="Comma 4 17" xfId="16614" xr:uid="{00000000-0005-0000-0000-000030260000}"/>
    <cellStyle name="Comma 4 18" xfId="37965" xr:uid="{00000000-0005-0000-0000-0000F5070000}"/>
    <cellStyle name="Comma 4 19" xfId="40911" xr:uid="{00000000-0005-0000-0000-0000F5070000}"/>
    <cellStyle name="Comma 4 2" xfId="5924" xr:uid="{00000000-0005-0000-0000-000031260000}"/>
    <cellStyle name="Comma 4 2 10" xfId="40912" xr:uid="{00000000-0005-0000-0000-0000F7070000}"/>
    <cellStyle name="Comma 4 2 2" xfId="14167" xr:uid="{00000000-0005-0000-0000-000032260000}"/>
    <cellStyle name="Comma 4 2 2 2" xfId="16312" xr:uid="{00000000-0005-0000-0000-000033260000}"/>
    <cellStyle name="Comma 4 2 2 2 2" xfId="37618" xr:uid="{00000000-0005-0000-0000-000034260000}"/>
    <cellStyle name="Comma 4 2 2 3" xfId="35857" xr:uid="{00000000-0005-0000-0000-000035260000}"/>
    <cellStyle name="Comma 4 2 2 4" xfId="30308" xr:uid="{00000000-0005-0000-0000-000036260000}"/>
    <cellStyle name="Comma 4 2 2 5" xfId="39271" xr:uid="{00000000-0005-0000-0000-0000F8070000}"/>
    <cellStyle name="Comma 4 2 2 6" xfId="41198" xr:uid="{00000000-0005-0000-0000-0000F8070000}"/>
    <cellStyle name="Comma 4 2 3" xfId="14168" xr:uid="{00000000-0005-0000-0000-000037260000}"/>
    <cellStyle name="Comma 4 2 3 2" xfId="16313" xr:uid="{00000000-0005-0000-0000-000038260000}"/>
    <cellStyle name="Comma 4 2 3 2 2" xfId="37619" xr:uid="{00000000-0005-0000-0000-000039260000}"/>
    <cellStyle name="Comma 4 2 3 3" xfId="35858" xr:uid="{00000000-0005-0000-0000-00003A260000}"/>
    <cellStyle name="Comma 4 2 4" xfId="12514" xr:uid="{00000000-0005-0000-0000-00003B260000}"/>
    <cellStyle name="Comma 4 2 4 2" xfId="34959" xr:uid="{00000000-0005-0000-0000-00003C260000}"/>
    <cellStyle name="Comma 4 2 5" xfId="15903" xr:uid="{00000000-0005-0000-0000-00003D260000}"/>
    <cellStyle name="Comma 4 2 5 2" xfId="37265" xr:uid="{00000000-0005-0000-0000-00003E260000}"/>
    <cellStyle name="Comma 4 2 6" xfId="32426" xr:uid="{00000000-0005-0000-0000-00003F260000}"/>
    <cellStyle name="Comma 4 2 7" xfId="28044" xr:uid="{00000000-0005-0000-0000-000040260000}"/>
    <cellStyle name="Comma 4 2 8" xfId="19477" xr:uid="{00000000-0005-0000-0000-000041260000}"/>
    <cellStyle name="Comma 4 2 9" xfId="37966" xr:uid="{00000000-0005-0000-0000-0000F7070000}"/>
    <cellStyle name="Comma 4 3" xfId="8199" xr:uid="{00000000-0005-0000-0000-000042260000}"/>
    <cellStyle name="Comma 4 3 2" xfId="14169" xr:uid="{00000000-0005-0000-0000-000043260000}"/>
    <cellStyle name="Comma 4 3 2 2" xfId="16314" xr:uid="{00000000-0005-0000-0000-000044260000}"/>
    <cellStyle name="Comma 4 3 2 2 2" xfId="37620" xr:uid="{00000000-0005-0000-0000-000045260000}"/>
    <cellStyle name="Comma 4 3 2 3" xfId="35859" xr:uid="{00000000-0005-0000-0000-000046260000}"/>
    <cellStyle name="Comma 4 3 2 4" xfId="30309" xr:uid="{00000000-0005-0000-0000-000047260000}"/>
    <cellStyle name="Comma 4 3 2 5" xfId="39272" xr:uid="{00000000-0005-0000-0000-0000FA070000}"/>
    <cellStyle name="Comma 4 3 2 6" xfId="41199" xr:uid="{00000000-0005-0000-0000-0000FA070000}"/>
    <cellStyle name="Comma 4 3 3" xfId="12515" xr:uid="{00000000-0005-0000-0000-000048260000}"/>
    <cellStyle name="Comma 4 3 3 2" xfId="34960" xr:uid="{00000000-0005-0000-0000-000049260000}"/>
    <cellStyle name="Comma 4 3 4" xfId="15904" xr:uid="{00000000-0005-0000-0000-00004A260000}"/>
    <cellStyle name="Comma 4 3 4 2" xfId="37266" xr:uid="{00000000-0005-0000-0000-00004B260000}"/>
    <cellStyle name="Comma 4 3 5" xfId="33020" xr:uid="{00000000-0005-0000-0000-00004C260000}"/>
    <cellStyle name="Comma 4 3 6" xfId="28045" xr:uid="{00000000-0005-0000-0000-00004D260000}"/>
    <cellStyle name="Comma 4 3 7" xfId="21552" xr:uid="{00000000-0005-0000-0000-00004E260000}"/>
    <cellStyle name="Comma 4 3 8" xfId="37967" xr:uid="{00000000-0005-0000-0000-0000F9070000}"/>
    <cellStyle name="Comma 4 3 9" xfId="40913" xr:uid="{00000000-0005-0000-0000-0000F9070000}"/>
    <cellStyle name="Comma 4 4" xfId="3750" xr:uid="{00000000-0005-0000-0000-00004F260000}"/>
    <cellStyle name="Comma 4 4 2" xfId="14170" xr:uid="{00000000-0005-0000-0000-000050260000}"/>
    <cellStyle name="Comma 4 4 2 2" xfId="16315" xr:uid="{00000000-0005-0000-0000-000051260000}"/>
    <cellStyle name="Comma 4 4 2 2 2" xfId="37621" xr:uid="{00000000-0005-0000-0000-000052260000}"/>
    <cellStyle name="Comma 4 4 2 3" xfId="35860" xr:uid="{00000000-0005-0000-0000-000053260000}"/>
    <cellStyle name="Comma 4 4 2 4" xfId="30310" xr:uid="{00000000-0005-0000-0000-000054260000}"/>
    <cellStyle name="Comma 4 4 2 5" xfId="39273" xr:uid="{00000000-0005-0000-0000-0000FC070000}"/>
    <cellStyle name="Comma 4 4 2 6" xfId="41200" xr:uid="{00000000-0005-0000-0000-0000FC070000}"/>
    <cellStyle name="Comma 4 4 3" xfId="12516" xr:uid="{00000000-0005-0000-0000-000055260000}"/>
    <cellStyle name="Comma 4 4 3 2" xfId="34961" xr:uid="{00000000-0005-0000-0000-000056260000}"/>
    <cellStyle name="Comma 4 4 4" xfId="15905" xr:uid="{00000000-0005-0000-0000-000057260000}"/>
    <cellStyle name="Comma 4 4 4 2" xfId="37267" xr:uid="{00000000-0005-0000-0000-000058260000}"/>
    <cellStyle name="Comma 4 4 5" xfId="31623" xr:uid="{00000000-0005-0000-0000-000059260000}"/>
    <cellStyle name="Comma 4 4 6" xfId="28046" xr:uid="{00000000-0005-0000-0000-00005A260000}"/>
    <cellStyle name="Comma 4 4 7" xfId="17434" xr:uid="{00000000-0005-0000-0000-00005B260000}"/>
    <cellStyle name="Comma 4 4 8" xfId="37968" xr:uid="{00000000-0005-0000-0000-0000FB070000}"/>
    <cellStyle name="Comma 4 4 9" xfId="40914" xr:uid="{00000000-0005-0000-0000-0000FB070000}"/>
    <cellStyle name="Comma 4 5" xfId="12517" xr:uid="{00000000-0005-0000-0000-00005C260000}"/>
    <cellStyle name="Comma 4 5 2" xfId="14171" xr:uid="{00000000-0005-0000-0000-00005D260000}"/>
    <cellStyle name="Comma 4 5 2 2" xfId="16316" xr:uid="{00000000-0005-0000-0000-00005E260000}"/>
    <cellStyle name="Comma 4 5 2 2 2" xfId="37622" xr:uid="{00000000-0005-0000-0000-00005F260000}"/>
    <cellStyle name="Comma 4 5 2 3" xfId="35861" xr:uid="{00000000-0005-0000-0000-000060260000}"/>
    <cellStyle name="Comma 4 5 2 4" xfId="30311" xr:uid="{00000000-0005-0000-0000-000061260000}"/>
    <cellStyle name="Comma 4 5 2 5" xfId="39274" xr:uid="{00000000-0005-0000-0000-0000FE070000}"/>
    <cellStyle name="Comma 4 5 2 6" xfId="41201" xr:uid="{00000000-0005-0000-0000-0000FE070000}"/>
    <cellStyle name="Comma 4 5 3" xfId="15906" xr:uid="{00000000-0005-0000-0000-000062260000}"/>
    <cellStyle name="Comma 4 5 3 2" xfId="37268" xr:uid="{00000000-0005-0000-0000-000063260000}"/>
    <cellStyle name="Comma 4 5 4" xfId="34962" xr:uid="{00000000-0005-0000-0000-000064260000}"/>
    <cellStyle name="Comma 4 5 5" xfId="28047" xr:uid="{00000000-0005-0000-0000-000065260000}"/>
    <cellStyle name="Comma 4 5 6" xfId="16625" xr:uid="{00000000-0005-0000-0000-000066260000}"/>
    <cellStyle name="Comma 4 5 7" xfId="37969" xr:uid="{00000000-0005-0000-0000-0000FD070000}"/>
    <cellStyle name="Comma 4 5 8" xfId="40915" xr:uid="{00000000-0005-0000-0000-0000FD070000}"/>
    <cellStyle name="Comma 4 6" xfId="12518" xr:uid="{00000000-0005-0000-0000-000067260000}"/>
    <cellStyle name="Comma 4 6 2" xfId="14172" xr:uid="{00000000-0005-0000-0000-000068260000}"/>
    <cellStyle name="Comma 4 6 2 2" xfId="16317" xr:uid="{00000000-0005-0000-0000-000069260000}"/>
    <cellStyle name="Comma 4 6 2 2 2" xfId="37623" xr:uid="{00000000-0005-0000-0000-00006A260000}"/>
    <cellStyle name="Comma 4 6 2 3" xfId="35862" xr:uid="{00000000-0005-0000-0000-00006B260000}"/>
    <cellStyle name="Comma 4 6 2 4" xfId="30312" xr:uid="{00000000-0005-0000-0000-00006C260000}"/>
    <cellStyle name="Comma 4 6 2 5" xfId="39275" xr:uid="{00000000-0005-0000-0000-000000080000}"/>
    <cellStyle name="Comma 4 6 2 6" xfId="41202" xr:uid="{00000000-0005-0000-0000-000000080000}"/>
    <cellStyle name="Comma 4 6 3" xfId="15907" xr:uid="{00000000-0005-0000-0000-00006D260000}"/>
    <cellStyle name="Comma 4 6 3 2" xfId="37269" xr:uid="{00000000-0005-0000-0000-00006E260000}"/>
    <cellStyle name="Comma 4 6 4" xfId="34963" xr:uid="{00000000-0005-0000-0000-00006F260000}"/>
    <cellStyle name="Comma 4 6 5" xfId="28048" xr:uid="{00000000-0005-0000-0000-000070260000}"/>
    <cellStyle name="Comma 4 6 6" xfId="37970" xr:uid="{00000000-0005-0000-0000-0000FF070000}"/>
    <cellStyle name="Comma 4 6 7" xfId="40916" xr:uid="{00000000-0005-0000-0000-0000FF070000}"/>
    <cellStyle name="Comma 4 7" xfId="12519" xr:uid="{00000000-0005-0000-0000-000071260000}"/>
    <cellStyle name="Comma 4 7 2" xfId="15908" xr:uid="{00000000-0005-0000-0000-000072260000}"/>
    <cellStyle name="Comma 4 7 2 2" xfId="37270" xr:uid="{00000000-0005-0000-0000-000073260000}"/>
    <cellStyle name="Comma 4 7 2 3" xfId="30313" xr:uid="{00000000-0005-0000-0000-000074260000}"/>
    <cellStyle name="Comma 4 7 2 4" xfId="39276" xr:uid="{00000000-0005-0000-0000-000002080000}"/>
    <cellStyle name="Comma 4 7 2 5" xfId="41203" xr:uid="{00000000-0005-0000-0000-000002080000}"/>
    <cellStyle name="Comma 4 7 3" xfId="34964" xr:uid="{00000000-0005-0000-0000-000075260000}"/>
    <cellStyle name="Comma 4 7 4" xfId="28049" xr:uid="{00000000-0005-0000-0000-000076260000}"/>
    <cellStyle name="Comma 4 7 5" xfId="37971" xr:uid="{00000000-0005-0000-0000-000001080000}"/>
    <cellStyle name="Comma 4 7 6" xfId="40917" xr:uid="{00000000-0005-0000-0000-000001080000}"/>
    <cellStyle name="Comma 4 8" xfId="12520" xr:uid="{00000000-0005-0000-0000-000077260000}"/>
    <cellStyle name="Comma 4 8 2" xfId="15909" xr:uid="{00000000-0005-0000-0000-000078260000}"/>
    <cellStyle name="Comma 4 8 2 2" xfId="37271" xr:uid="{00000000-0005-0000-0000-000079260000}"/>
    <cellStyle name="Comma 4 8 2 3" xfId="30314" xr:uid="{00000000-0005-0000-0000-00007A260000}"/>
    <cellStyle name="Comma 4 8 2 4" xfId="39277" xr:uid="{00000000-0005-0000-0000-000004080000}"/>
    <cellStyle name="Comma 4 8 2 5" xfId="41204" xr:uid="{00000000-0005-0000-0000-000004080000}"/>
    <cellStyle name="Comma 4 8 3" xfId="34965" xr:uid="{00000000-0005-0000-0000-00007B260000}"/>
    <cellStyle name="Comma 4 8 4" xfId="28050" xr:uid="{00000000-0005-0000-0000-00007C260000}"/>
    <cellStyle name="Comma 4 8 5" xfId="37972" xr:uid="{00000000-0005-0000-0000-000003080000}"/>
    <cellStyle name="Comma 4 8 6" xfId="40918" xr:uid="{00000000-0005-0000-0000-000003080000}"/>
    <cellStyle name="Comma 4 9" xfId="12513" xr:uid="{00000000-0005-0000-0000-00007D260000}"/>
    <cellStyle name="Comma 4 9 2" xfId="15902" xr:uid="{00000000-0005-0000-0000-00007E260000}"/>
    <cellStyle name="Comma 4 9 2 2" xfId="37264" xr:uid="{00000000-0005-0000-0000-00007F260000}"/>
    <cellStyle name="Comma 4 9 2 3" xfId="30307" xr:uid="{00000000-0005-0000-0000-000080260000}"/>
    <cellStyle name="Comma 4 9 3" xfId="34958" xr:uid="{00000000-0005-0000-0000-000081260000}"/>
    <cellStyle name="Comma 4 9 4" xfId="28043" xr:uid="{00000000-0005-0000-0000-000082260000}"/>
    <cellStyle name="Comma 4 9 5" xfId="39278" xr:uid="{00000000-0005-0000-0000-000005080000}"/>
    <cellStyle name="Comma 4 9 6" xfId="41205" xr:uid="{00000000-0005-0000-0000-000005080000}"/>
    <cellStyle name="Comma 5" xfId="54" xr:uid="{00000000-0005-0000-0000-000083260000}"/>
    <cellStyle name="Comma 5 10" xfId="14134" xr:uid="{00000000-0005-0000-0000-000084260000}"/>
    <cellStyle name="Comma 5 10 2" xfId="16294" xr:uid="{00000000-0005-0000-0000-000085260000}"/>
    <cellStyle name="Comma 5 10 2 2" xfId="37602" xr:uid="{00000000-0005-0000-0000-000086260000}"/>
    <cellStyle name="Comma 5 10 3" xfId="35838" xr:uid="{00000000-0005-0000-0000-000087260000}"/>
    <cellStyle name="Comma 5 10 4" xfId="29796" xr:uid="{00000000-0005-0000-0000-000088260000}"/>
    <cellStyle name="Comma 5 11" xfId="14173" xr:uid="{00000000-0005-0000-0000-000089260000}"/>
    <cellStyle name="Comma 5 11 2" xfId="16318" xr:uid="{00000000-0005-0000-0000-00008A260000}"/>
    <cellStyle name="Comma 5 11 2 2" xfId="37624" xr:uid="{00000000-0005-0000-0000-00008B260000}"/>
    <cellStyle name="Comma 5 11 3" xfId="35863" xr:uid="{00000000-0005-0000-0000-00008C260000}"/>
    <cellStyle name="Comma 5 11 4" xfId="29267" xr:uid="{00000000-0005-0000-0000-00008D260000}"/>
    <cellStyle name="Comma 5 12" xfId="11666" xr:uid="{00000000-0005-0000-0000-00008E260000}"/>
    <cellStyle name="Comma 5 12 2" xfId="34444" xr:uid="{00000000-0005-0000-0000-00008F260000}"/>
    <cellStyle name="Comma 5 13" xfId="15613" xr:uid="{00000000-0005-0000-0000-000090260000}"/>
    <cellStyle name="Comma 5 13 2" xfId="36989" xr:uid="{00000000-0005-0000-0000-000091260000}"/>
    <cellStyle name="Comma 5 14" xfId="31156" xr:uid="{00000000-0005-0000-0000-000092260000}"/>
    <cellStyle name="Comma 5 15" xfId="27884" xr:uid="{00000000-0005-0000-0000-000093260000}"/>
    <cellStyle name="Comma 5 16" xfId="16616" xr:uid="{00000000-0005-0000-0000-000094260000}"/>
    <cellStyle name="Comma 5 17" xfId="37973" xr:uid="{00000000-0005-0000-0000-000006080000}"/>
    <cellStyle name="Comma 5 18" xfId="40919" xr:uid="{00000000-0005-0000-0000-000006080000}"/>
    <cellStyle name="Comma 5 2" xfId="5936" xr:uid="{00000000-0005-0000-0000-000095260000}"/>
    <cellStyle name="Comma 5 2 2" xfId="12522" xr:uid="{00000000-0005-0000-0000-000096260000}"/>
    <cellStyle name="Comma 5 2 2 2" xfId="34967" xr:uid="{00000000-0005-0000-0000-000097260000}"/>
    <cellStyle name="Comma 5 2 2 3" xfId="30316" xr:uid="{00000000-0005-0000-0000-000098260000}"/>
    <cellStyle name="Comma 5 2 2 4" xfId="39280" xr:uid="{00000000-0005-0000-0000-000008080000}"/>
    <cellStyle name="Comma 5 2 2 5" xfId="41207" xr:uid="{00000000-0005-0000-0000-000008080000}"/>
    <cellStyle name="Comma 5 2 3" xfId="15911" xr:uid="{00000000-0005-0000-0000-000099260000}"/>
    <cellStyle name="Comma 5 2 3 2" xfId="37273" xr:uid="{00000000-0005-0000-0000-00009A260000}"/>
    <cellStyle name="Comma 5 2 4" xfId="32432" xr:uid="{00000000-0005-0000-0000-00009B260000}"/>
    <cellStyle name="Comma 5 2 5" xfId="28052" xr:uid="{00000000-0005-0000-0000-00009C260000}"/>
    <cellStyle name="Comma 5 2 6" xfId="19489" xr:uid="{00000000-0005-0000-0000-00009D260000}"/>
    <cellStyle name="Comma 5 2 7" xfId="37974" xr:uid="{00000000-0005-0000-0000-000007080000}"/>
    <cellStyle name="Comma 5 2 8" xfId="40920" xr:uid="{00000000-0005-0000-0000-000007080000}"/>
    <cellStyle name="Comma 5 3" xfId="8211" xr:uid="{00000000-0005-0000-0000-00009E260000}"/>
    <cellStyle name="Comma 5 3 2" xfId="12523" xr:uid="{00000000-0005-0000-0000-00009F260000}"/>
    <cellStyle name="Comma 5 3 2 2" xfId="34968" xr:uid="{00000000-0005-0000-0000-0000A0260000}"/>
    <cellStyle name="Comma 5 3 2 3" xfId="30317" xr:uid="{00000000-0005-0000-0000-0000A1260000}"/>
    <cellStyle name="Comma 5 3 2 4" xfId="39282" xr:uid="{00000000-0005-0000-0000-00000A080000}"/>
    <cellStyle name="Comma 5 3 2 5" xfId="41209" xr:uid="{00000000-0005-0000-0000-00000A080000}"/>
    <cellStyle name="Comma 5 3 3" xfId="15912" xr:uid="{00000000-0005-0000-0000-0000A2260000}"/>
    <cellStyle name="Comma 5 3 3 2" xfId="37274" xr:uid="{00000000-0005-0000-0000-0000A3260000}"/>
    <cellStyle name="Comma 5 3 3 3" xfId="39281" xr:uid="{00000000-0005-0000-0000-00000B080000}"/>
    <cellStyle name="Comma 5 3 3 4" xfId="41208" xr:uid="{00000000-0005-0000-0000-00000B080000}"/>
    <cellStyle name="Comma 5 3 4" xfId="33026" xr:uid="{00000000-0005-0000-0000-0000A4260000}"/>
    <cellStyle name="Comma 5 3 5" xfId="28053" xr:uid="{00000000-0005-0000-0000-0000A5260000}"/>
    <cellStyle name="Comma 5 3 6" xfId="21563" xr:uid="{00000000-0005-0000-0000-0000A6260000}"/>
    <cellStyle name="Comma 5 3 7" xfId="37975" xr:uid="{00000000-0005-0000-0000-000009080000}"/>
    <cellStyle name="Comma 5 3 8" xfId="40921" xr:uid="{00000000-0005-0000-0000-000009080000}"/>
    <cellStyle name="Comma 5 4" xfId="3762" xr:uid="{00000000-0005-0000-0000-0000A7260000}"/>
    <cellStyle name="Comma 5 4 2" xfId="12524" xr:uid="{00000000-0005-0000-0000-0000A8260000}"/>
    <cellStyle name="Comma 5 4 2 2" xfId="34969" xr:uid="{00000000-0005-0000-0000-0000A9260000}"/>
    <cellStyle name="Comma 5 4 2 3" xfId="30318" xr:uid="{00000000-0005-0000-0000-0000AA260000}"/>
    <cellStyle name="Comma 5 4 2 4" xfId="39283" xr:uid="{00000000-0005-0000-0000-00000D080000}"/>
    <cellStyle name="Comma 5 4 2 5" xfId="41210" xr:uid="{00000000-0005-0000-0000-00000D080000}"/>
    <cellStyle name="Comma 5 4 3" xfId="15913" xr:uid="{00000000-0005-0000-0000-0000AB260000}"/>
    <cellStyle name="Comma 5 4 3 2" xfId="37275" xr:uid="{00000000-0005-0000-0000-0000AC260000}"/>
    <cellStyle name="Comma 5 4 4" xfId="31629" xr:uid="{00000000-0005-0000-0000-0000AD260000}"/>
    <cellStyle name="Comma 5 4 5" xfId="28054" xr:uid="{00000000-0005-0000-0000-0000AE260000}"/>
    <cellStyle name="Comma 5 4 6" xfId="17445" xr:uid="{00000000-0005-0000-0000-0000AF260000}"/>
    <cellStyle name="Comma 5 4 7" xfId="37976" xr:uid="{00000000-0005-0000-0000-00000C080000}"/>
    <cellStyle name="Comma 5 4 8" xfId="40922" xr:uid="{00000000-0005-0000-0000-00000C080000}"/>
    <cellStyle name="Comma 5 5" xfId="12525" xr:uid="{00000000-0005-0000-0000-0000B0260000}"/>
    <cellStyle name="Comma 5 5 2" xfId="15914" xr:uid="{00000000-0005-0000-0000-0000B1260000}"/>
    <cellStyle name="Comma 5 5 2 2" xfId="37276" xr:uid="{00000000-0005-0000-0000-0000B2260000}"/>
    <cellStyle name="Comma 5 5 2 3" xfId="30319" xr:uid="{00000000-0005-0000-0000-0000B3260000}"/>
    <cellStyle name="Comma 5 5 2 4" xfId="39284" xr:uid="{00000000-0005-0000-0000-00000F080000}"/>
    <cellStyle name="Comma 5 5 2 5" xfId="41211" xr:uid="{00000000-0005-0000-0000-00000F080000}"/>
    <cellStyle name="Comma 5 5 3" xfId="34970" xr:uid="{00000000-0005-0000-0000-0000B4260000}"/>
    <cellStyle name="Comma 5 5 4" xfId="28055" xr:uid="{00000000-0005-0000-0000-0000B5260000}"/>
    <cellStyle name="Comma 5 5 5" xfId="16638" xr:uid="{00000000-0005-0000-0000-0000B6260000}"/>
    <cellStyle name="Comma 5 5 6" xfId="37977" xr:uid="{00000000-0005-0000-0000-00000E080000}"/>
    <cellStyle name="Comma 5 5 7" xfId="40923" xr:uid="{00000000-0005-0000-0000-00000E080000}"/>
    <cellStyle name="Comma 5 6" xfId="12526" xr:uid="{00000000-0005-0000-0000-0000B7260000}"/>
    <cellStyle name="Comma 5 6 2" xfId="15915" xr:uid="{00000000-0005-0000-0000-0000B8260000}"/>
    <cellStyle name="Comma 5 6 2 2" xfId="37277" xr:uid="{00000000-0005-0000-0000-0000B9260000}"/>
    <cellStyle name="Comma 5 6 2 3" xfId="30320" xr:uid="{00000000-0005-0000-0000-0000BA260000}"/>
    <cellStyle name="Comma 5 6 2 4" xfId="39285" xr:uid="{00000000-0005-0000-0000-000011080000}"/>
    <cellStyle name="Comma 5 6 2 5" xfId="41212" xr:uid="{00000000-0005-0000-0000-000011080000}"/>
    <cellStyle name="Comma 5 6 3" xfId="34971" xr:uid="{00000000-0005-0000-0000-0000BB260000}"/>
    <cellStyle name="Comma 5 6 4" xfId="28056" xr:uid="{00000000-0005-0000-0000-0000BC260000}"/>
    <cellStyle name="Comma 5 6 5" xfId="37978" xr:uid="{00000000-0005-0000-0000-000010080000}"/>
    <cellStyle name="Comma 5 6 6" xfId="40924" xr:uid="{00000000-0005-0000-0000-000010080000}"/>
    <cellStyle name="Comma 5 7" xfId="12527" xr:uid="{00000000-0005-0000-0000-0000BD260000}"/>
    <cellStyle name="Comma 5 7 2" xfId="15916" xr:uid="{00000000-0005-0000-0000-0000BE260000}"/>
    <cellStyle name="Comma 5 7 2 2" xfId="37278" xr:uid="{00000000-0005-0000-0000-0000BF260000}"/>
    <cellStyle name="Comma 5 7 2 3" xfId="30321" xr:uid="{00000000-0005-0000-0000-0000C0260000}"/>
    <cellStyle name="Comma 5 7 2 4" xfId="39286" xr:uid="{00000000-0005-0000-0000-000013080000}"/>
    <cellStyle name="Comma 5 7 2 5" xfId="41213" xr:uid="{00000000-0005-0000-0000-000013080000}"/>
    <cellStyle name="Comma 5 7 3" xfId="34972" xr:uid="{00000000-0005-0000-0000-0000C1260000}"/>
    <cellStyle name="Comma 5 7 4" xfId="28057" xr:uid="{00000000-0005-0000-0000-0000C2260000}"/>
    <cellStyle name="Comma 5 7 5" xfId="37979" xr:uid="{00000000-0005-0000-0000-000012080000}"/>
    <cellStyle name="Comma 5 7 6" xfId="40925" xr:uid="{00000000-0005-0000-0000-000012080000}"/>
    <cellStyle name="Comma 5 8" xfId="12528" xr:uid="{00000000-0005-0000-0000-0000C3260000}"/>
    <cellStyle name="Comma 5 8 2" xfId="15917" xr:uid="{00000000-0005-0000-0000-0000C4260000}"/>
    <cellStyle name="Comma 5 8 2 2" xfId="37279" xr:uid="{00000000-0005-0000-0000-0000C5260000}"/>
    <cellStyle name="Comma 5 8 2 3" xfId="30322" xr:uid="{00000000-0005-0000-0000-0000C6260000}"/>
    <cellStyle name="Comma 5 8 2 4" xfId="39287" xr:uid="{00000000-0005-0000-0000-000015080000}"/>
    <cellStyle name="Comma 5 8 2 5" xfId="41214" xr:uid="{00000000-0005-0000-0000-000015080000}"/>
    <cellStyle name="Comma 5 8 3" xfId="34973" xr:uid="{00000000-0005-0000-0000-0000C7260000}"/>
    <cellStyle name="Comma 5 8 4" xfId="28058" xr:uid="{00000000-0005-0000-0000-0000C8260000}"/>
    <cellStyle name="Comma 5 8 5" xfId="37980" xr:uid="{00000000-0005-0000-0000-000014080000}"/>
    <cellStyle name="Comma 5 8 6" xfId="40926" xr:uid="{00000000-0005-0000-0000-000014080000}"/>
    <cellStyle name="Comma 5 9" xfId="12521" xr:uid="{00000000-0005-0000-0000-0000C9260000}"/>
    <cellStyle name="Comma 5 9 2" xfId="15910" xr:uid="{00000000-0005-0000-0000-0000CA260000}"/>
    <cellStyle name="Comma 5 9 2 2" xfId="37272" xr:uid="{00000000-0005-0000-0000-0000CB260000}"/>
    <cellStyle name="Comma 5 9 2 3" xfId="30315" xr:uid="{00000000-0005-0000-0000-0000CC260000}"/>
    <cellStyle name="Comma 5 9 3" xfId="34966" xr:uid="{00000000-0005-0000-0000-0000CD260000}"/>
    <cellStyle name="Comma 5 9 4" xfId="28051" xr:uid="{00000000-0005-0000-0000-0000CE260000}"/>
    <cellStyle name="Comma 5 9 5" xfId="39279" xr:uid="{00000000-0005-0000-0000-000016080000}"/>
    <cellStyle name="Comma 5 9 6" xfId="41206" xr:uid="{00000000-0005-0000-0000-000016080000}"/>
    <cellStyle name="Comma 6" xfId="3691" xr:uid="{00000000-0005-0000-0000-0000CF260000}"/>
    <cellStyle name="Comma 6 10" xfId="14135" xr:uid="{00000000-0005-0000-0000-0000D0260000}"/>
    <cellStyle name="Comma 6 10 2" xfId="16295" xr:uid="{00000000-0005-0000-0000-0000D1260000}"/>
    <cellStyle name="Comma 6 10 2 2" xfId="37603" xr:uid="{00000000-0005-0000-0000-0000D2260000}"/>
    <cellStyle name="Comma 6 10 3" xfId="35839" xr:uid="{00000000-0005-0000-0000-0000D3260000}"/>
    <cellStyle name="Comma 6 10 4" xfId="29914" xr:uid="{00000000-0005-0000-0000-0000D4260000}"/>
    <cellStyle name="Comma 6 11" xfId="11785" xr:uid="{00000000-0005-0000-0000-0000D5260000}"/>
    <cellStyle name="Comma 6 11 2" xfId="34563" xr:uid="{00000000-0005-0000-0000-0000D6260000}"/>
    <cellStyle name="Comma 6 12" xfId="15637" xr:uid="{00000000-0005-0000-0000-0000D7260000}"/>
    <cellStyle name="Comma 6 12 2" xfId="37012" xr:uid="{00000000-0005-0000-0000-0000D8260000}"/>
    <cellStyle name="Comma 6 13" xfId="31615" xr:uid="{00000000-0005-0000-0000-0000D9260000}"/>
    <cellStyle name="Comma 6 14" xfId="27889" xr:uid="{00000000-0005-0000-0000-0000DA260000}"/>
    <cellStyle name="Comma 6 15" xfId="16615" xr:uid="{00000000-0005-0000-0000-0000DB260000}"/>
    <cellStyle name="Comma 6 16" xfId="37981" xr:uid="{00000000-0005-0000-0000-000017080000}"/>
    <cellStyle name="Comma 6 17" xfId="40927" xr:uid="{00000000-0005-0000-0000-000017080000}"/>
    <cellStyle name="Comma 6 2" xfId="7147" xr:uid="{00000000-0005-0000-0000-0000DC260000}"/>
    <cellStyle name="Comma 6 2 2" xfId="14174" xr:uid="{00000000-0005-0000-0000-0000DD260000}"/>
    <cellStyle name="Comma 6 2 2 2" xfId="16319" xr:uid="{00000000-0005-0000-0000-0000DE260000}"/>
    <cellStyle name="Comma 6 2 2 2 2" xfId="37625" xr:uid="{00000000-0005-0000-0000-0000DF260000}"/>
    <cellStyle name="Comma 6 2 2 3" xfId="35864" xr:uid="{00000000-0005-0000-0000-0000E0260000}"/>
    <cellStyle name="Comma 6 2 2 4" xfId="30324" xr:uid="{00000000-0005-0000-0000-0000E1260000}"/>
    <cellStyle name="Comma 6 2 2 5" xfId="39289" xr:uid="{00000000-0005-0000-0000-000019080000}"/>
    <cellStyle name="Comma 6 2 2 6" xfId="41216" xr:uid="{00000000-0005-0000-0000-000019080000}"/>
    <cellStyle name="Comma 6 2 3" xfId="12530" xr:uid="{00000000-0005-0000-0000-0000E2260000}"/>
    <cellStyle name="Comma 6 2 3 2" xfId="34975" xr:uid="{00000000-0005-0000-0000-0000E3260000}"/>
    <cellStyle name="Comma 6 2 4" xfId="15919" xr:uid="{00000000-0005-0000-0000-0000E4260000}"/>
    <cellStyle name="Comma 6 2 4 2" xfId="37281" xr:uid="{00000000-0005-0000-0000-0000E5260000}"/>
    <cellStyle name="Comma 6 2 5" xfId="32760" xr:uid="{00000000-0005-0000-0000-0000E6260000}"/>
    <cellStyle name="Comma 6 2 6" xfId="28060" xr:uid="{00000000-0005-0000-0000-0000E7260000}"/>
    <cellStyle name="Comma 6 2 7" xfId="20505" xr:uid="{00000000-0005-0000-0000-0000E8260000}"/>
    <cellStyle name="Comma 6 2 8" xfId="37982" xr:uid="{00000000-0005-0000-0000-000018080000}"/>
    <cellStyle name="Comma 6 2 9" xfId="40928" xr:uid="{00000000-0005-0000-0000-000018080000}"/>
    <cellStyle name="Comma 6 3" xfId="8916" xr:uid="{00000000-0005-0000-0000-0000E9260000}"/>
    <cellStyle name="Comma 6 3 2" xfId="12531" xr:uid="{00000000-0005-0000-0000-0000EA260000}"/>
    <cellStyle name="Comma 6 3 2 2" xfId="34976" xr:uid="{00000000-0005-0000-0000-0000EB260000}"/>
    <cellStyle name="Comma 6 3 2 3" xfId="30325" xr:uid="{00000000-0005-0000-0000-0000EC260000}"/>
    <cellStyle name="Comma 6 3 2 4" xfId="39290" xr:uid="{00000000-0005-0000-0000-00001B080000}"/>
    <cellStyle name="Comma 6 3 2 5" xfId="41217" xr:uid="{00000000-0005-0000-0000-00001B080000}"/>
    <cellStyle name="Comma 6 3 3" xfId="15920" xr:uid="{00000000-0005-0000-0000-0000ED260000}"/>
    <cellStyle name="Comma 6 3 3 2" xfId="37282" xr:uid="{00000000-0005-0000-0000-0000EE260000}"/>
    <cellStyle name="Comma 6 3 4" xfId="33189" xr:uid="{00000000-0005-0000-0000-0000EF260000}"/>
    <cellStyle name="Comma 6 3 5" xfId="28061" xr:uid="{00000000-0005-0000-0000-0000F0260000}"/>
    <cellStyle name="Comma 6 3 6" xfId="22207" xr:uid="{00000000-0005-0000-0000-0000F1260000}"/>
    <cellStyle name="Comma 6 3 7" xfId="37983" xr:uid="{00000000-0005-0000-0000-00001A080000}"/>
    <cellStyle name="Comma 6 3 8" xfId="40929" xr:uid="{00000000-0005-0000-0000-00001A080000}"/>
    <cellStyle name="Comma 6 4" xfId="4408" xr:uid="{00000000-0005-0000-0000-0000F2260000}"/>
    <cellStyle name="Comma 6 4 2" xfId="12532" xr:uid="{00000000-0005-0000-0000-0000F3260000}"/>
    <cellStyle name="Comma 6 4 2 2" xfId="34977" xr:uid="{00000000-0005-0000-0000-0000F4260000}"/>
    <cellStyle name="Comma 6 4 2 3" xfId="30326" xr:uid="{00000000-0005-0000-0000-0000F5260000}"/>
    <cellStyle name="Comma 6 4 2 4" xfId="39291" xr:uid="{00000000-0005-0000-0000-00001D080000}"/>
    <cellStyle name="Comma 6 4 2 5" xfId="41218" xr:uid="{00000000-0005-0000-0000-00001D080000}"/>
    <cellStyle name="Comma 6 4 3" xfId="15921" xr:uid="{00000000-0005-0000-0000-0000F6260000}"/>
    <cellStyle name="Comma 6 4 3 2" xfId="37283" xr:uid="{00000000-0005-0000-0000-0000F7260000}"/>
    <cellStyle name="Comma 6 4 4" xfId="31792" xr:uid="{00000000-0005-0000-0000-0000F8260000}"/>
    <cellStyle name="Comma 6 4 5" xfId="28062" xr:uid="{00000000-0005-0000-0000-0000F9260000}"/>
    <cellStyle name="Comma 6 4 6" xfId="18090" xr:uid="{00000000-0005-0000-0000-0000FA260000}"/>
    <cellStyle name="Comma 6 4 7" xfId="37984" xr:uid="{00000000-0005-0000-0000-00001C080000}"/>
    <cellStyle name="Comma 6 4 8" xfId="40930" xr:uid="{00000000-0005-0000-0000-00001C080000}"/>
    <cellStyle name="Comma 6 5" xfId="12533" xr:uid="{00000000-0005-0000-0000-0000FB260000}"/>
    <cellStyle name="Comma 6 5 2" xfId="15922" xr:uid="{00000000-0005-0000-0000-0000FC260000}"/>
    <cellStyle name="Comma 6 5 2 2" xfId="37284" xr:uid="{00000000-0005-0000-0000-0000FD260000}"/>
    <cellStyle name="Comma 6 5 2 3" xfId="30327" xr:uid="{00000000-0005-0000-0000-0000FE260000}"/>
    <cellStyle name="Comma 6 5 2 4" xfId="39292" xr:uid="{00000000-0005-0000-0000-00001F080000}"/>
    <cellStyle name="Comma 6 5 2 5" xfId="41219" xr:uid="{00000000-0005-0000-0000-00001F080000}"/>
    <cellStyle name="Comma 6 5 3" xfId="34978" xr:uid="{00000000-0005-0000-0000-0000FF260000}"/>
    <cellStyle name="Comma 6 5 4" xfId="28063" xr:uid="{00000000-0005-0000-0000-000000270000}"/>
    <cellStyle name="Comma 6 5 5" xfId="17421" xr:uid="{00000000-0005-0000-0000-000001270000}"/>
    <cellStyle name="Comma 6 5 6" xfId="37985" xr:uid="{00000000-0005-0000-0000-00001E080000}"/>
    <cellStyle name="Comma 6 5 7" xfId="40931" xr:uid="{00000000-0005-0000-0000-00001E080000}"/>
    <cellStyle name="Comma 6 6" xfId="12534" xr:uid="{00000000-0005-0000-0000-000002270000}"/>
    <cellStyle name="Comma 6 6 2" xfId="15923" xr:uid="{00000000-0005-0000-0000-000003270000}"/>
    <cellStyle name="Comma 6 6 2 2" xfId="37285" xr:uid="{00000000-0005-0000-0000-000004270000}"/>
    <cellStyle name="Comma 6 6 2 3" xfId="30328" xr:uid="{00000000-0005-0000-0000-000005270000}"/>
    <cellStyle name="Comma 6 6 2 4" xfId="39293" xr:uid="{00000000-0005-0000-0000-000021080000}"/>
    <cellStyle name="Comma 6 6 2 5" xfId="41220" xr:uid="{00000000-0005-0000-0000-000021080000}"/>
    <cellStyle name="Comma 6 6 3" xfId="34979" xr:uid="{00000000-0005-0000-0000-000006270000}"/>
    <cellStyle name="Comma 6 6 4" xfId="28064" xr:uid="{00000000-0005-0000-0000-000007270000}"/>
    <cellStyle name="Comma 6 6 5" xfId="37986" xr:uid="{00000000-0005-0000-0000-000020080000}"/>
    <cellStyle name="Comma 6 6 6" xfId="40932" xr:uid="{00000000-0005-0000-0000-000020080000}"/>
    <cellStyle name="Comma 6 7" xfId="12535" xr:uid="{00000000-0005-0000-0000-000008270000}"/>
    <cellStyle name="Comma 6 7 2" xfId="15924" xr:uid="{00000000-0005-0000-0000-000009270000}"/>
    <cellStyle name="Comma 6 7 2 2" xfId="37286" xr:uid="{00000000-0005-0000-0000-00000A270000}"/>
    <cellStyle name="Comma 6 7 2 3" xfId="30329" xr:uid="{00000000-0005-0000-0000-00000B270000}"/>
    <cellStyle name="Comma 6 7 2 4" xfId="39294" xr:uid="{00000000-0005-0000-0000-000023080000}"/>
    <cellStyle name="Comma 6 7 2 5" xfId="41221" xr:uid="{00000000-0005-0000-0000-000023080000}"/>
    <cellStyle name="Comma 6 7 3" xfId="34980" xr:uid="{00000000-0005-0000-0000-00000C270000}"/>
    <cellStyle name="Comma 6 7 4" xfId="28065" xr:uid="{00000000-0005-0000-0000-00000D270000}"/>
    <cellStyle name="Comma 6 7 5" xfId="37987" xr:uid="{00000000-0005-0000-0000-000022080000}"/>
    <cellStyle name="Comma 6 7 6" xfId="40933" xr:uid="{00000000-0005-0000-0000-000022080000}"/>
    <cellStyle name="Comma 6 8" xfId="12536" xr:uid="{00000000-0005-0000-0000-00000E270000}"/>
    <cellStyle name="Comma 6 8 2" xfId="15925" xr:uid="{00000000-0005-0000-0000-00000F270000}"/>
    <cellStyle name="Comma 6 8 2 2" xfId="37287" xr:uid="{00000000-0005-0000-0000-000010270000}"/>
    <cellStyle name="Comma 6 8 2 3" xfId="30330" xr:uid="{00000000-0005-0000-0000-000011270000}"/>
    <cellStyle name="Comma 6 8 2 4" xfId="39295" xr:uid="{00000000-0005-0000-0000-000025080000}"/>
    <cellStyle name="Comma 6 8 2 5" xfId="41222" xr:uid="{00000000-0005-0000-0000-000025080000}"/>
    <cellStyle name="Comma 6 8 3" xfId="34981" xr:uid="{00000000-0005-0000-0000-000012270000}"/>
    <cellStyle name="Comma 6 8 4" xfId="28066" xr:uid="{00000000-0005-0000-0000-000013270000}"/>
    <cellStyle name="Comma 6 8 5" xfId="37988" xr:uid="{00000000-0005-0000-0000-000024080000}"/>
    <cellStyle name="Comma 6 8 6" xfId="40934" xr:uid="{00000000-0005-0000-0000-000024080000}"/>
    <cellStyle name="Comma 6 9" xfId="12529" xr:uid="{00000000-0005-0000-0000-000014270000}"/>
    <cellStyle name="Comma 6 9 2" xfId="15918" xr:uid="{00000000-0005-0000-0000-000015270000}"/>
    <cellStyle name="Comma 6 9 2 2" xfId="37280" xr:uid="{00000000-0005-0000-0000-000016270000}"/>
    <cellStyle name="Comma 6 9 2 3" xfId="30323" xr:uid="{00000000-0005-0000-0000-000017270000}"/>
    <cellStyle name="Comma 6 9 3" xfId="34974" xr:uid="{00000000-0005-0000-0000-000018270000}"/>
    <cellStyle name="Comma 6 9 4" xfId="28059" xr:uid="{00000000-0005-0000-0000-000019270000}"/>
    <cellStyle name="Comma 6 9 5" xfId="39288" xr:uid="{00000000-0005-0000-0000-000026080000}"/>
    <cellStyle name="Comma 6 9 6" xfId="41215" xr:uid="{00000000-0005-0000-0000-000026080000}"/>
    <cellStyle name="Comma 7" xfId="3742" xr:uid="{00000000-0005-0000-0000-00001A270000}"/>
    <cellStyle name="Comma 7 10" xfId="12538" xr:uid="{00000000-0005-0000-0000-00001B270000}"/>
    <cellStyle name="Comma 7 10 2" xfId="15926" xr:uid="{00000000-0005-0000-0000-00001C270000}"/>
    <cellStyle name="Comma 7 10 2 2" xfId="37288" xr:uid="{00000000-0005-0000-0000-00001D270000}"/>
    <cellStyle name="Comma 7 10 2 3" xfId="30331" xr:uid="{00000000-0005-0000-0000-00001E270000}"/>
    <cellStyle name="Comma 7 10 2 4" xfId="39296" xr:uid="{00000000-0005-0000-0000-000029080000}"/>
    <cellStyle name="Comma 7 10 2 5" xfId="41223" xr:uid="{00000000-0005-0000-0000-000029080000}"/>
    <cellStyle name="Comma 7 10 3" xfId="34982" xr:uid="{00000000-0005-0000-0000-00001F270000}"/>
    <cellStyle name="Comma 7 10 4" xfId="28067" xr:uid="{00000000-0005-0000-0000-000020270000}"/>
    <cellStyle name="Comma 7 10 5" xfId="37989" xr:uid="{00000000-0005-0000-0000-000028080000}"/>
    <cellStyle name="Comma 7 10 6" xfId="40935" xr:uid="{00000000-0005-0000-0000-000028080000}"/>
    <cellStyle name="Comma 7 11" xfId="12539" xr:uid="{00000000-0005-0000-0000-000021270000}"/>
    <cellStyle name="Comma 7 11 2" xfId="15927" xr:uid="{00000000-0005-0000-0000-000022270000}"/>
    <cellStyle name="Comma 7 11 2 2" xfId="37289" xr:uid="{00000000-0005-0000-0000-000023270000}"/>
    <cellStyle name="Comma 7 11 2 3" xfId="30332" xr:uid="{00000000-0005-0000-0000-000024270000}"/>
    <cellStyle name="Comma 7 11 2 4" xfId="39297" xr:uid="{00000000-0005-0000-0000-00002B080000}"/>
    <cellStyle name="Comma 7 11 2 5" xfId="41224" xr:uid="{00000000-0005-0000-0000-00002B080000}"/>
    <cellStyle name="Comma 7 11 3" xfId="34983" xr:uid="{00000000-0005-0000-0000-000025270000}"/>
    <cellStyle name="Comma 7 11 4" xfId="28068" xr:uid="{00000000-0005-0000-0000-000026270000}"/>
    <cellStyle name="Comma 7 11 5" xfId="37990" xr:uid="{00000000-0005-0000-0000-00002A080000}"/>
    <cellStyle name="Comma 7 11 6" xfId="40936" xr:uid="{00000000-0005-0000-0000-00002A080000}"/>
    <cellStyle name="Comma 7 12" xfId="12540" xr:uid="{00000000-0005-0000-0000-000027270000}"/>
    <cellStyle name="Comma 7 12 2" xfId="15928" xr:uid="{00000000-0005-0000-0000-000028270000}"/>
    <cellStyle name="Comma 7 12 2 2" xfId="37290" xr:uid="{00000000-0005-0000-0000-000029270000}"/>
    <cellStyle name="Comma 7 12 2 3" xfId="30333" xr:uid="{00000000-0005-0000-0000-00002A270000}"/>
    <cellStyle name="Comma 7 12 2 4" xfId="39298" xr:uid="{00000000-0005-0000-0000-00002D080000}"/>
    <cellStyle name="Comma 7 12 2 5" xfId="41225" xr:uid="{00000000-0005-0000-0000-00002D080000}"/>
    <cellStyle name="Comma 7 12 3" xfId="34984" xr:uid="{00000000-0005-0000-0000-00002B270000}"/>
    <cellStyle name="Comma 7 12 4" xfId="28069" xr:uid="{00000000-0005-0000-0000-00002C270000}"/>
    <cellStyle name="Comma 7 12 5" xfId="37991" xr:uid="{00000000-0005-0000-0000-00002C080000}"/>
    <cellStyle name="Comma 7 12 6" xfId="40937" xr:uid="{00000000-0005-0000-0000-00002C080000}"/>
    <cellStyle name="Comma 7 13" xfId="12541" xr:uid="{00000000-0005-0000-0000-00002D270000}"/>
    <cellStyle name="Comma 7 13 2" xfId="15929" xr:uid="{00000000-0005-0000-0000-00002E270000}"/>
    <cellStyle name="Comma 7 13 2 2" xfId="37291" xr:uid="{00000000-0005-0000-0000-00002F270000}"/>
    <cellStyle name="Comma 7 13 2 3" xfId="30334" xr:uid="{00000000-0005-0000-0000-000030270000}"/>
    <cellStyle name="Comma 7 13 2 4" xfId="39299" xr:uid="{00000000-0005-0000-0000-00002F080000}"/>
    <cellStyle name="Comma 7 13 2 5" xfId="41226" xr:uid="{00000000-0005-0000-0000-00002F080000}"/>
    <cellStyle name="Comma 7 13 3" xfId="34985" xr:uid="{00000000-0005-0000-0000-000031270000}"/>
    <cellStyle name="Comma 7 13 4" xfId="28070" xr:uid="{00000000-0005-0000-0000-000032270000}"/>
    <cellStyle name="Comma 7 13 5" xfId="37992" xr:uid="{00000000-0005-0000-0000-00002E080000}"/>
    <cellStyle name="Comma 7 13 6" xfId="40938" xr:uid="{00000000-0005-0000-0000-00002E080000}"/>
    <cellStyle name="Comma 7 14" xfId="12542" xr:uid="{00000000-0005-0000-0000-000033270000}"/>
    <cellStyle name="Comma 7 14 2" xfId="15930" xr:uid="{00000000-0005-0000-0000-000034270000}"/>
    <cellStyle name="Comma 7 14 2 2" xfId="37292" xr:uid="{00000000-0005-0000-0000-000035270000}"/>
    <cellStyle name="Comma 7 14 2 3" xfId="30335" xr:uid="{00000000-0005-0000-0000-000036270000}"/>
    <cellStyle name="Comma 7 14 2 4" xfId="39300" xr:uid="{00000000-0005-0000-0000-000031080000}"/>
    <cellStyle name="Comma 7 14 2 5" xfId="41227" xr:uid="{00000000-0005-0000-0000-000031080000}"/>
    <cellStyle name="Comma 7 14 3" xfId="34986" xr:uid="{00000000-0005-0000-0000-000037270000}"/>
    <cellStyle name="Comma 7 14 4" xfId="28071" xr:uid="{00000000-0005-0000-0000-000038270000}"/>
    <cellStyle name="Comma 7 14 5" xfId="37993" xr:uid="{00000000-0005-0000-0000-000030080000}"/>
    <cellStyle name="Comma 7 14 6" xfId="40939" xr:uid="{00000000-0005-0000-0000-000030080000}"/>
    <cellStyle name="Comma 7 15" xfId="12543" xr:uid="{00000000-0005-0000-0000-000039270000}"/>
    <cellStyle name="Comma 7 15 2" xfId="15931" xr:uid="{00000000-0005-0000-0000-00003A270000}"/>
    <cellStyle name="Comma 7 15 2 2" xfId="37293" xr:uid="{00000000-0005-0000-0000-00003B270000}"/>
    <cellStyle name="Comma 7 15 2 3" xfId="30336" xr:uid="{00000000-0005-0000-0000-00003C270000}"/>
    <cellStyle name="Comma 7 15 2 4" xfId="39301" xr:uid="{00000000-0005-0000-0000-000033080000}"/>
    <cellStyle name="Comma 7 15 2 5" xfId="41228" xr:uid="{00000000-0005-0000-0000-000033080000}"/>
    <cellStyle name="Comma 7 15 3" xfId="34987" xr:uid="{00000000-0005-0000-0000-00003D270000}"/>
    <cellStyle name="Comma 7 15 4" xfId="28072" xr:uid="{00000000-0005-0000-0000-00003E270000}"/>
    <cellStyle name="Comma 7 15 5" xfId="37994" xr:uid="{00000000-0005-0000-0000-000032080000}"/>
    <cellStyle name="Comma 7 15 6" xfId="40940" xr:uid="{00000000-0005-0000-0000-000032080000}"/>
    <cellStyle name="Comma 7 16" xfId="12544" xr:uid="{00000000-0005-0000-0000-00003F270000}"/>
    <cellStyle name="Comma 7 16 2" xfId="15932" xr:uid="{00000000-0005-0000-0000-000040270000}"/>
    <cellStyle name="Comma 7 16 2 2" xfId="37294" xr:uid="{00000000-0005-0000-0000-000041270000}"/>
    <cellStyle name="Comma 7 16 2 3" xfId="30337" xr:uid="{00000000-0005-0000-0000-000042270000}"/>
    <cellStyle name="Comma 7 16 2 4" xfId="39302" xr:uid="{00000000-0005-0000-0000-000035080000}"/>
    <cellStyle name="Comma 7 16 2 5" xfId="41229" xr:uid="{00000000-0005-0000-0000-000035080000}"/>
    <cellStyle name="Comma 7 16 3" xfId="34988" xr:uid="{00000000-0005-0000-0000-000043270000}"/>
    <cellStyle name="Comma 7 16 4" xfId="28073" xr:uid="{00000000-0005-0000-0000-000044270000}"/>
    <cellStyle name="Comma 7 16 5" xfId="37995" xr:uid="{00000000-0005-0000-0000-000034080000}"/>
    <cellStyle name="Comma 7 16 6" xfId="40941" xr:uid="{00000000-0005-0000-0000-000034080000}"/>
    <cellStyle name="Comma 7 17" xfId="12545" xr:uid="{00000000-0005-0000-0000-000045270000}"/>
    <cellStyle name="Comma 7 17 2" xfId="15933" xr:uid="{00000000-0005-0000-0000-000046270000}"/>
    <cellStyle name="Comma 7 17 2 2" xfId="37295" xr:uid="{00000000-0005-0000-0000-000047270000}"/>
    <cellStyle name="Comma 7 17 2 3" xfId="30338" xr:uid="{00000000-0005-0000-0000-000048270000}"/>
    <cellStyle name="Comma 7 17 2 4" xfId="39303" xr:uid="{00000000-0005-0000-0000-000037080000}"/>
    <cellStyle name="Comma 7 17 2 5" xfId="41230" xr:uid="{00000000-0005-0000-0000-000037080000}"/>
    <cellStyle name="Comma 7 17 3" xfId="34989" xr:uid="{00000000-0005-0000-0000-000049270000}"/>
    <cellStyle name="Comma 7 17 4" xfId="28074" xr:uid="{00000000-0005-0000-0000-00004A270000}"/>
    <cellStyle name="Comma 7 17 5" xfId="37996" xr:uid="{00000000-0005-0000-0000-000036080000}"/>
    <cellStyle name="Comma 7 17 6" xfId="40942" xr:uid="{00000000-0005-0000-0000-000036080000}"/>
    <cellStyle name="Comma 7 18" xfId="12546" xr:uid="{00000000-0005-0000-0000-00004B270000}"/>
    <cellStyle name="Comma 7 18 2" xfId="15934" xr:uid="{00000000-0005-0000-0000-00004C270000}"/>
    <cellStyle name="Comma 7 18 2 2" xfId="37296" xr:uid="{00000000-0005-0000-0000-00004D270000}"/>
    <cellStyle name="Comma 7 18 2 3" xfId="30339" xr:uid="{00000000-0005-0000-0000-00004E270000}"/>
    <cellStyle name="Comma 7 18 2 4" xfId="39304" xr:uid="{00000000-0005-0000-0000-000039080000}"/>
    <cellStyle name="Comma 7 18 2 5" xfId="41231" xr:uid="{00000000-0005-0000-0000-000039080000}"/>
    <cellStyle name="Comma 7 18 3" xfId="34990" xr:uid="{00000000-0005-0000-0000-00004F270000}"/>
    <cellStyle name="Comma 7 18 4" xfId="28075" xr:uid="{00000000-0005-0000-0000-000050270000}"/>
    <cellStyle name="Comma 7 18 5" xfId="37997" xr:uid="{00000000-0005-0000-0000-000038080000}"/>
    <cellStyle name="Comma 7 18 6" xfId="40943" xr:uid="{00000000-0005-0000-0000-000038080000}"/>
    <cellStyle name="Comma 7 19" xfId="12547" xr:uid="{00000000-0005-0000-0000-000051270000}"/>
    <cellStyle name="Comma 7 19 2" xfId="15935" xr:uid="{00000000-0005-0000-0000-000052270000}"/>
    <cellStyle name="Comma 7 19 2 2" xfId="37297" xr:uid="{00000000-0005-0000-0000-000053270000}"/>
    <cellStyle name="Comma 7 19 2 3" xfId="30340" xr:uid="{00000000-0005-0000-0000-000054270000}"/>
    <cellStyle name="Comma 7 19 2 4" xfId="39305" xr:uid="{00000000-0005-0000-0000-00003B080000}"/>
    <cellStyle name="Comma 7 19 2 5" xfId="41232" xr:uid="{00000000-0005-0000-0000-00003B080000}"/>
    <cellStyle name="Comma 7 19 3" xfId="34991" xr:uid="{00000000-0005-0000-0000-000055270000}"/>
    <cellStyle name="Comma 7 19 4" xfId="28076" xr:uid="{00000000-0005-0000-0000-000056270000}"/>
    <cellStyle name="Comma 7 19 5" xfId="37998" xr:uid="{00000000-0005-0000-0000-00003A080000}"/>
    <cellStyle name="Comma 7 19 6" xfId="40944" xr:uid="{00000000-0005-0000-0000-00003A080000}"/>
    <cellStyle name="Comma 7 2" xfId="7158" xr:uid="{00000000-0005-0000-0000-000057270000}"/>
    <cellStyle name="Comma 7 2 2" xfId="12548" xr:uid="{00000000-0005-0000-0000-000058270000}"/>
    <cellStyle name="Comma 7 2 2 2" xfId="34992" xr:uid="{00000000-0005-0000-0000-000059270000}"/>
    <cellStyle name="Comma 7 2 2 3" xfId="30341" xr:uid="{00000000-0005-0000-0000-00005A270000}"/>
    <cellStyle name="Comma 7 2 2 4" xfId="39306" xr:uid="{00000000-0005-0000-0000-00003D080000}"/>
    <cellStyle name="Comma 7 2 2 5" xfId="41233" xr:uid="{00000000-0005-0000-0000-00003D080000}"/>
    <cellStyle name="Comma 7 2 3" xfId="15936" xr:uid="{00000000-0005-0000-0000-00005B270000}"/>
    <cellStyle name="Comma 7 2 3 2" xfId="37298" xr:uid="{00000000-0005-0000-0000-00005C270000}"/>
    <cellStyle name="Comma 7 2 4" xfId="32768" xr:uid="{00000000-0005-0000-0000-00005D270000}"/>
    <cellStyle name="Comma 7 2 5" xfId="28077" xr:uid="{00000000-0005-0000-0000-00005E270000}"/>
    <cellStyle name="Comma 7 2 6" xfId="20515" xr:uid="{00000000-0005-0000-0000-00005F270000}"/>
    <cellStyle name="Comma 7 2 7" xfId="37999" xr:uid="{00000000-0005-0000-0000-00003C080000}"/>
    <cellStyle name="Comma 7 2 8" xfId="40945" xr:uid="{00000000-0005-0000-0000-00003C080000}"/>
    <cellStyle name="Comma 7 20" xfId="12549" xr:uid="{00000000-0005-0000-0000-000060270000}"/>
    <cellStyle name="Comma 7 20 2" xfId="15937" xr:uid="{00000000-0005-0000-0000-000061270000}"/>
    <cellStyle name="Comma 7 20 2 2" xfId="37299" xr:uid="{00000000-0005-0000-0000-000062270000}"/>
    <cellStyle name="Comma 7 20 2 3" xfId="30342" xr:uid="{00000000-0005-0000-0000-000063270000}"/>
    <cellStyle name="Comma 7 20 2 4" xfId="39307" xr:uid="{00000000-0005-0000-0000-00003F080000}"/>
    <cellStyle name="Comma 7 20 2 5" xfId="41234" xr:uid="{00000000-0005-0000-0000-00003F080000}"/>
    <cellStyle name="Comma 7 20 3" xfId="34993" xr:uid="{00000000-0005-0000-0000-000064270000}"/>
    <cellStyle name="Comma 7 20 4" xfId="28078" xr:uid="{00000000-0005-0000-0000-000065270000}"/>
    <cellStyle name="Comma 7 20 5" xfId="38000" xr:uid="{00000000-0005-0000-0000-00003E080000}"/>
    <cellStyle name="Comma 7 20 6" xfId="40946" xr:uid="{00000000-0005-0000-0000-00003E080000}"/>
    <cellStyle name="Comma 7 21" xfId="12550" xr:uid="{00000000-0005-0000-0000-000066270000}"/>
    <cellStyle name="Comma 7 21 2" xfId="15938" xr:uid="{00000000-0005-0000-0000-000067270000}"/>
    <cellStyle name="Comma 7 21 2 2" xfId="37300" xr:uid="{00000000-0005-0000-0000-000068270000}"/>
    <cellStyle name="Comma 7 21 2 3" xfId="30343" xr:uid="{00000000-0005-0000-0000-000069270000}"/>
    <cellStyle name="Comma 7 21 2 4" xfId="39308" xr:uid="{00000000-0005-0000-0000-000041080000}"/>
    <cellStyle name="Comma 7 21 2 5" xfId="41235" xr:uid="{00000000-0005-0000-0000-000041080000}"/>
    <cellStyle name="Comma 7 21 3" xfId="34994" xr:uid="{00000000-0005-0000-0000-00006A270000}"/>
    <cellStyle name="Comma 7 21 4" xfId="28079" xr:uid="{00000000-0005-0000-0000-00006B270000}"/>
    <cellStyle name="Comma 7 21 5" xfId="38001" xr:uid="{00000000-0005-0000-0000-000040080000}"/>
    <cellStyle name="Comma 7 21 6" xfId="40947" xr:uid="{00000000-0005-0000-0000-000040080000}"/>
    <cellStyle name="Comma 7 22" xfId="12537" xr:uid="{00000000-0005-0000-0000-00006C270000}"/>
    <cellStyle name="Comma 7 23" xfId="11904" xr:uid="{00000000-0005-0000-0000-00006D270000}"/>
    <cellStyle name="Comma 7 23 2" xfId="34682" xr:uid="{00000000-0005-0000-0000-00006E270000}"/>
    <cellStyle name="Comma 7 23 3" xfId="30032" xr:uid="{00000000-0005-0000-0000-00006F270000}"/>
    <cellStyle name="Comma 7 24" xfId="15663" xr:uid="{00000000-0005-0000-0000-000070270000}"/>
    <cellStyle name="Comma 7 24 2" xfId="37037" xr:uid="{00000000-0005-0000-0000-000071270000}"/>
    <cellStyle name="Comma 7 25" xfId="31618" xr:uid="{00000000-0005-0000-0000-000072270000}"/>
    <cellStyle name="Comma 7 26" xfId="27892" xr:uid="{00000000-0005-0000-0000-000073270000}"/>
    <cellStyle name="Comma 7 27" xfId="16621" xr:uid="{00000000-0005-0000-0000-000074270000}"/>
    <cellStyle name="Comma 7 3" xfId="8922" xr:uid="{00000000-0005-0000-0000-000075270000}"/>
    <cellStyle name="Comma 7 3 10" xfId="12552" xr:uid="{00000000-0005-0000-0000-000076270000}"/>
    <cellStyle name="Comma 7 3 10 2" xfId="15940" xr:uid="{00000000-0005-0000-0000-000077270000}"/>
    <cellStyle name="Comma 7 3 10 2 2" xfId="37302" xr:uid="{00000000-0005-0000-0000-000078270000}"/>
    <cellStyle name="Comma 7 3 10 2 3" xfId="30345" xr:uid="{00000000-0005-0000-0000-000079270000}"/>
    <cellStyle name="Comma 7 3 10 2 4" xfId="39310" xr:uid="{00000000-0005-0000-0000-000044080000}"/>
    <cellStyle name="Comma 7 3 10 2 5" xfId="41237" xr:uid="{00000000-0005-0000-0000-000044080000}"/>
    <cellStyle name="Comma 7 3 10 3" xfId="34996" xr:uid="{00000000-0005-0000-0000-00007A270000}"/>
    <cellStyle name="Comma 7 3 10 4" xfId="28081" xr:uid="{00000000-0005-0000-0000-00007B270000}"/>
    <cellStyle name="Comma 7 3 10 5" xfId="38003" xr:uid="{00000000-0005-0000-0000-000043080000}"/>
    <cellStyle name="Comma 7 3 10 6" xfId="40949" xr:uid="{00000000-0005-0000-0000-000043080000}"/>
    <cellStyle name="Comma 7 3 11" xfId="12553" xr:uid="{00000000-0005-0000-0000-00007C270000}"/>
    <cellStyle name="Comma 7 3 11 2" xfId="15941" xr:uid="{00000000-0005-0000-0000-00007D270000}"/>
    <cellStyle name="Comma 7 3 11 2 2" xfId="37303" xr:uid="{00000000-0005-0000-0000-00007E270000}"/>
    <cellStyle name="Comma 7 3 11 2 3" xfId="30346" xr:uid="{00000000-0005-0000-0000-00007F270000}"/>
    <cellStyle name="Comma 7 3 11 2 4" xfId="39311" xr:uid="{00000000-0005-0000-0000-000046080000}"/>
    <cellStyle name="Comma 7 3 11 2 5" xfId="41238" xr:uid="{00000000-0005-0000-0000-000046080000}"/>
    <cellStyle name="Comma 7 3 11 3" xfId="34997" xr:uid="{00000000-0005-0000-0000-000080270000}"/>
    <cellStyle name="Comma 7 3 11 4" xfId="28082" xr:uid="{00000000-0005-0000-0000-000081270000}"/>
    <cellStyle name="Comma 7 3 11 5" xfId="38004" xr:uid="{00000000-0005-0000-0000-000045080000}"/>
    <cellStyle name="Comma 7 3 11 6" xfId="40950" xr:uid="{00000000-0005-0000-0000-000045080000}"/>
    <cellStyle name="Comma 7 3 12" xfId="12554" xr:uid="{00000000-0005-0000-0000-000082270000}"/>
    <cellStyle name="Comma 7 3 12 2" xfId="15942" xr:uid="{00000000-0005-0000-0000-000083270000}"/>
    <cellStyle name="Comma 7 3 12 2 2" xfId="37304" xr:uid="{00000000-0005-0000-0000-000084270000}"/>
    <cellStyle name="Comma 7 3 12 2 3" xfId="30347" xr:uid="{00000000-0005-0000-0000-000085270000}"/>
    <cellStyle name="Comma 7 3 12 2 4" xfId="39312" xr:uid="{00000000-0005-0000-0000-000048080000}"/>
    <cellStyle name="Comma 7 3 12 2 5" xfId="41239" xr:uid="{00000000-0005-0000-0000-000048080000}"/>
    <cellStyle name="Comma 7 3 12 3" xfId="34998" xr:uid="{00000000-0005-0000-0000-000086270000}"/>
    <cellStyle name="Comma 7 3 12 4" xfId="28083" xr:uid="{00000000-0005-0000-0000-000087270000}"/>
    <cellStyle name="Comma 7 3 12 5" xfId="38005" xr:uid="{00000000-0005-0000-0000-000047080000}"/>
    <cellStyle name="Comma 7 3 12 6" xfId="40951" xr:uid="{00000000-0005-0000-0000-000047080000}"/>
    <cellStyle name="Comma 7 3 13" xfId="12555" xr:uid="{00000000-0005-0000-0000-000088270000}"/>
    <cellStyle name="Comma 7 3 13 2" xfId="15943" xr:uid="{00000000-0005-0000-0000-000089270000}"/>
    <cellStyle name="Comma 7 3 13 2 2" xfId="37305" xr:uid="{00000000-0005-0000-0000-00008A270000}"/>
    <cellStyle name="Comma 7 3 13 2 3" xfId="30348" xr:uid="{00000000-0005-0000-0000-00008B270000}"/>
    <cellStyle name="Comma 7 3 13 2 4" xfId="39313" xr:uid="{00000000-0005-0000-0000-00004A080000}"/>
    <cellStyle name="Comma 7 3 13 2 5" xfId="41240" xr:uid="{00000000-0005-0000-0000-00004A080000}"/>
    <cellStyle name="Comma 7 3 13 3" xfId="34999" xr:uid="{00000000-0005-0000-0000-00008C270000}"/>
    <cellStyle name="Comma 7 3 13 4" xfId="28084" xr:uid="{00000000-0005-0000-0000-00008D270000}"/>
    <cellStyle name="Comma 7 3 13 5" xfId="38006" xr:uid="{00000000-0005-0000-0000-000049080000}"/>
    <cellStyle name="Comma 7 3 13 6" xfId="40952" xr:uid="{00000000-0005-0000-0000-000049080000}"/>
    <cellStyle name="Comma 7 3 14" xfId="12556" xr:uid="{00000000-0005-0000-0000-00008E270000}"/>
    <cellStyle name="Comma 7 3 14 2" xfId="15944" xr:uid="{00000000-0005-0000-0000-00008F270000}"/>
    <cellStyle name="Comma 7 3 14 2 2" xfId="37306" xr:uid="{00000000-0005-0000-0000-000090270000}"/>
    <cellStyle name="Comma 7 3 14 2 3" xfId="30349" xr:uid="{00000000-0005-0000-0000-000091270000}"/>
    <cellStyle name="Comma 7 3 14 2 4" xfId="39314" xr:uid="{00000000-0005-0000-0000-00004C080000}"/>
    <cellStyle name="Comma 7 3 14 2 5" xfId="41241" xr:uid="{00000000-0005-0000-0000-00004C080000}"/>
    <cellStyle name="Comma 7 3 14 3" xfId="35000" xr:uid="{00000000-0005-0000-0000-000092270000}"/>
    <cellStyle name="Comma 7 3 14 4" xfId="28085" xr:uid="{00000000-0005-0000-0000-000093270000}"/>
    <cellStyle name="Comma 7 3 14 5" xfId="38007" xr:uid="{00000000-0005-0000-0000-00004B080000}"/>
    <cellStyle name="Comma 7 3 14 6" xfId="40953" xr:uid="{00000000-0005-0000-0000-00004B080000}"/>
    <cellStyle name="Comma 7 3 15" xfId="12557" xr:uid="{00000000-0005-0000-0000-000094270000}"/>
    <cellStyle name="Comma 7 3 15 2" xfId="15945" xr:uid="{00000000-0005-0000-0000-000095270000}"/>
    <cellStyle name="Comma 7 3 15 2 2" xfId="37307" xr:uid="{00000000-0005-0000-0000-000096270000}"/>
    <cellStyle name="Comma 7 3 15 2 3" xfId="30350" xr:uid="{00000000-0005-0000-0000-000097270000}"/>
    <cellStyle name="Comma 7 3 15 2 4" xfId="39315" xr:uid="{00000000-0005-0000-0000-00004E080000}"/>
    <cellStyle name="Comma 7 3 15 2 5" xfId="41242" xr:uid="{00000000-0005-0000-0000-00004E080000}"/>
    <cellStyle name="Comma 7 3 15 3" xfId="35001" xr:uid="{00000000-0005-0000-0000-000098270000}"/>
    <cellStyle name="Comma 7 3 15 4" xfId="28086" xr:uid="{00000000-0005-0000-0000-000099270000}"/>
    <cellStyle name="Comma 7 3 15 5" xfId="38008" xr:uid="{00000000-0005-0000-0000-00004D080000}"/>
    <cellStyle name="Comma 7 3 15 6" xfId="40954" xr:uid="{00000000-0005-0000-0000-00004D080000}"/>
    <cellStyle name="Comma 7 3 16" xfId="12551" xr:uid="{00000000-0005-0000-0000-00009A270000}"/>
    <cellStyle name="Comma 7 3 16 2" xfId="34995" xr:uid="{00000000-0005-0000-0000-00009B270000}"/>
    <cellStyle name="Comma 7 3 16 3" xfId="30344" xr:uid="{00000000-0005-0000-0000-00009C270000}"/>
    <cellStyle name="Comma 7 3 16 4" xfId="39309" xr:uid="{00000000-0005-0000-0000-00004F080000}"/>
    <cellStyle name="Comma 7 3 16 5" xfId="41236" xr:uid="{00000000-0005-0000-0000-00004F080000}"/>
    <cellStyle name="Comma 7 3 17" xfId="15939" xr:uid="{00000000-0005-0000-0000-00009D270000}"/>
    <cellStyle name="Comma 7 3 17 2" xfId="37301" xr:uid="{00000000-0005-0000-0000-00009E270000}"/>
    <cellStyle name="Comma 7 3 18" xfId="33192" xr:uid="{00000000-0005-0000-0000-00009F270000}"/>
    <cellStyle name="Comma 7 3 19" xfId="28080" xr:uid="{00000000-0005-0000-0000-0000A0270000}"/>
    <cellStyle name="Comma 7 3 2" xfId="12558" xr:uid="{00000000-0005-0000-0000-0000A1270000}"/>
    <cellStyle name="Comma 7 3 2 2" xfId="15946" xr:uid="{00000000-0005-0000-0000-0000A2270000}"/>
    <cellStyle name="Comma 7 3 2 2 2" xfId="37308" xr:uid="{00000000-0005-0000-0000-0000A3270000}"/>
    <cellStyle name="Comma 7 3 2 2 3" xfId="30351" xr:uid="{00000000-0005-0000-0000-0000A4270000}"/>
    <cellStyle name="Comma 7 3 2 2 4" xfId="39316" xr:uid="{00000000-0005-0000-0000-000051080000}"/>
    <cellStyle name="Comma 7 3 2 2 5" xfId="41243" xr:uid="{00000000-0005-0000-0000-000051080000}"/>
    <cellStyle name="Comma 7 3 2 3" xfId="35002" xr:uid="{00000000-0005-0000-0000-0000A5270000}"/>
    <cellStyle name="Comma 7 3 2 4" xfId="28087" xr:uid="{00000000-0005-0000-0000-0000A6270000}"/>
    <cellStyle name="Comma 7 3 2 5" xfId="38009" xr:uid="{00000000-0005-0000-0000-000050080000}"/>
    <cellStyle name="Comma 7 3 2 6" xfId="40955" xr:uid="{00000000-0005-0000-0000-000050080000}"/>
    <cellStyle name="Comma 7 3 20" xfId="22212" xr:uid="{00000000-0005-0000-0000-0000A7270000}"/>
    <cellStyle name="Comma 7 3 21" xfId="38002" xr:uid="{00000000-0005-0000-0000-000042080000}"/>
    <cellStyle name="Comma 7 3 22" xfId="40948" xr:uid="{00000000-0005-0000-0000-000042080000}"/>
    <cellStyle name="Comma 7 3 3" xfId="12559" xr:uid="{00000000-0005-0000-0000-0000A8270000}"/>
    <cellStyle name="Comma 7 3 3 2" xfId="15947" xr:uid="{00000000-0005-0000-0000-0000A9270000}"/>
    <cellStyle name="Comma 7 3 3 2 2" xfId="37309" xr:uid="{00000000-0005-0000-0000-0000AA270000}"/>
    <cellStyle name="Comma 7 3 3 2 3" xfId="30352" xr:uid="{00000000-0005-0000-0000-0000AB270000}"/>
    <cellStyle name="Comma 7 3 3 2 4" xfId="39317" xr:uid="{00000000-0005-0000-0000-000053080000}"/>
    <cellStyle name="Comma 7 3 3 2 5" xfId="41244" xr:uid="{00000000-0005-0000-0000-000053080000}"/>
    <cellStyle name="Comma 7 3 3 3" xfId="35003" xr:uid="{00000000-0005-0000-0000-0000AC270000}"/>
    <cellStyle name="Comma 7 3 3 4" xfId="28088" xr:uid="{00000000-0005-0000-0000-0000AD270000}"/>
    <cellStyle name="Comma 7 3 3 5" xfId="38010" xr:uid="{00000000-0005-0000-0000-000052080000}"/>
    <cellStyle name="Comma 7 3 3 6" xfId="40956" xr:uid="{00000000-0005-0000-0000-000052080000}"/>
    <cellStyle name="Comma 7 3 4" xfId="12560" xr:uid="{00000000-0005-0000-0000-0000AE270000}"/>
    <cellStyle name="Comma 7 3 4 2" xfId="15948" xr:uid="{00000000-0005-0000-0000-0000AF270000}"/>
    <cellStyle name="Comma 7 3 4 2 2" xfId="37310" xr:uid="{00000000-0005-0000-0000-0000B0270000}"/>
    <cellStyle name="Comma 7 3 4 2 3" xfId="30353" xr:uid="{00000000-0005-0000-0000-0000B1270000}"/>
    <cellStyle name="Comma 7 3 4 2 4" xfId="39318" xr:uid="{00000000-0005-0000-0000-000055080000}"/>
    <cellStyle name="Comma 7 3 4 2 5" xfId="41245" xr:uid="{00000000-0005-0000-0000-000055080000}"/>
    <cellStyle name="Comma 7 3 4 3" xfId="35004" xr:uid="{00000000-0005-0000-0000-0000B2270000}"/>
    <cellStyle name="Comma 7 3 4 4" xfId="28089" xr:uid="{00000000-0005-0000-0000-0000B3270000}"/>
    <cellStyle name="Comma 7 3 4 5" xfId="38011" xr:uid="{00000000-0005-0000-0000-000054080000}"/>
    <cellStyle name="Comma 7 3 4 6" xfId="40957" xr:uid="{00000000-0005-0000-0000-000054080000}"/>
    <cellStyle name="Comma 7 3 5" xfId="12561" xr:uid="{00000000-0005-0000-0000-0000B4270000}"/>
    <cellStyle name="Comma 7 3 5 2" xfId="15949" xr:uid="{00000000-0005-0000-0000-0000B5270000}"/>
    <cellStyle name="Comma 7 3 5 2 2" xfId="37311" xr:uid="{00000000-0005-0000-0000-0000B6270000}"/>
    <cellStyle name="Comma 7 3 5 2 3" xfId="30354" xr:uid="{00000000-0005-0000-0000-0000B7270000}"/>
    <cellStyle name="Comma 7 3 5 2 4" xfId="39319" xr:uid="{00000000-0005-0000-0000-000057080000}"/>
    <cellStyle name="Comma 7 3 5 2 5" xfId="41246" xr:uid="{00000000-0005-0000-0000-000057080000}"/>
    <cellStyle name="Comma 7 3 5 3" xfId="35005" xr:uid="{00000000-0005-0000-0000-0000B8270000}"/>
    <cellStyle name="Comma 7 3 5 4" xfId="28090" xr:uid="{00000000-0005-0000-0000-0000B9270000}"/>
    <cellStyle name="Comma 7 3 5 5" xfId="38012" xr:uid="{00000000-0005-0000-0000-000056080000}"/>
    <cellStyle name="Comma 7 3 5 6" xfId="40958" xr:uid="{00000000-0005-0000-0000-000056080000}"/>
    <cellStyle name="Comma 7 3 6" xfId="12562" xr:uid="{00000000-0005-0000-0000-0000BA270000}"/>
    <cellStyle name="Comma 7 3 6 2" xfId="15950" xr:uid="{00000000-0005-0000-0000-0000BB270000}"/>
    <cellStyle name="Comma 7 3 6 2 2" xfId="37312" xr:uid="{00000000-0005-0000-0000-0000BC270000}"/>
    <cellStyle name="Comma 7 3 6 2 3" xfId="30355" xr:uid="{00000000-0005-0000-0000-0000BD270000}"/>
    <cellStyle name="Comma 7 3 6 2 4" xfId="39320" xr:uid="{00000000-0005-0000-0000-000059080000}"/>
    <cellStyle name="Comma 7 3 6 2 5" xfId="41247" xr:uid="{00000000-0005-0000-0000-000059080000}"/>
    <cellStyle name="Comma 7 3 6 3" xfId="35006" xr:uid="{00000000-0005-0000-0000-0000BE270000}"/>
    <cellStyle name="Comma 7 3 6 4" xfId="28091" xr:uid="{00000000-0005-0000-0000-0000BF270000}"/>
    <cellStyle name="Comma 7 3 6 5" xfId="38013" xr:uid="{00000000-0005-0000-0000-000058080000}"/>
    <cellStyle name="Comma 7 3 6 6" xfId="40959" xr:uid="{00000000-0005-0000-0000-000058080000}"/>
    <cellStyle name="Comma 7 3 7" xfId="12563" xr:uid="{00000000-0005-0000-0000-0000C0270000}"/>
    <cellStyle name="Comma 7 3 7 2" xfId="15951" xr:uid="{00000000-0005-0000-0000-0000C1270000}"/>
    <cellStyle name="Comma 7 3 7 2 2" xfId="37313" xr:uid="{00000000-0005-0000-0000-0000C2270000}"/>
    <cellStyle name="Comma 7 3 7 2 3" xfId="30356" xr:uid="{00000000-0005-0000-0000-0000C3270000}"/>
    <cellStyle name="Comma 7 3 7 2 4" xfId="39321" xr:uid="{00000000-0005-0000-0000-00005B080000}"/>
    <cellStyle name="Comma 7 3 7 2 5" xfId="41248" xr:uid="{00000000-0005-0000-0000-00005B080000}"/>
    <cellStyle name="Comma 7 3 7 3" xfId="35007" xr:uid="{00000000-0005-0000-0000-0000C4270000}"/>
    <cellStyle name="Comma 7 3 7 4" xfId="28092" xr:uid="{00000000-0005-0000-0000-0000C5270000}"/>
    <cellStyle name="Comma 7 3 7 5" xfId="38014" xr:uid="{00000000-0005-0000-0000-00005A080000}"/>
    <cellStyle name="Comma 7 3 7 6" xfId="40960" xr:uid="{00000000-0005-0000-0000-00005A080000}"/>
    <cellStyle name="Comma 7 3 8" xfId="12564" xr:uid="{00000000-0005-0000-0000-0000C6270000}"/>
    <cellStyle name="Comma 7 3 8 2" xfId="15952" xr:uid="{00000000-0005-0000-0000-0000C7270000}"/>
    <cellStyle name="Comma 7 3 8 2 2" xfId="37314" xr:uid="{00000000-0005-0000-0000-0000C8270000}"/>
    <cellStyle name="Comma 7 3 8 2 3" xfId="30357" xr:uid="{00000000-0005-0000-0000-0000C9270000}"/>
    <cellStyle name="Comma 7 3 8 2 4" xfId="39322" xr:uid="{00000000-0005-0000-0000-00005D080000}"/>
    <cellStyle name="Comma 7 3 8 2 5" xfId="41249" xr:uid="{00000000-0005-0000-0000-00005D080000}"/>
    <cellStyle name="Comma 7 3 8 3" xfId="35008" xr:uid="{00000000-0005-0000-0000-0000CA270000}"/>
    <cellStyle name="Comma 7 3 8 4" xfId="28093" xr:uid="{00000000-0005-0000-0000-0000CB270000}"/>
    <cellStyle name="Comma 7 3 8 5" xfId="38015" xr:uid="{00000000-0005-0000-0000-00005C080000}"/>
    <cellStyle name="Comma 7 3 8 6" xfId="40961" xr:uid="{00000000-0005-0000-0000-00005C080000}"/>
    <cellStyle name="Comma 7 3 9" xfId="12565" xr:uid="{00000000-0005-0000-0000-0000CC270000}"/>
    <cellStyle name="Comma 7 3 9 2" xfId="15953" xr:uid="{00000000-0005-0000-0000-0000CD270000}"/>
    <cellStyle name="Comma 7 3 9 2 2" xfId="37315" xr:uid="{00000000-0005-0000-0000-0000CE270000}"/>
    <cellStyle name="Comma 7 3 9 2 3" xfId="30358" xr:uid="{00000000-0005-0000-0000-0000CF270000}"/>
    <cellStyle name="Comma 7 3 9 2 4" xfId="39323" xr:uid="{00000000-0005-0000-0000-00005F080000}"/>
    <cellStyle name="Comma 7 3 9 2 5" xfId="41250" xr:uid="{00000000-0005-0000-0000-00005F080000}"/>
    <cellStyle name="Comma 7 3 9 3" xfId="35009" xr:uid="{00000000-0005-0000-0000-0000D0270000}"/>
    <cellStyle name="Comma 7 3 9 4" xfId="28094" xr:uid="{00000000-0005-0000-0000-0000D1270000}"/>
    <cellStyle name="Comma 7 3 9 5" xfId="38016" xr:uid="{00000000-0005-0000-0000-00005E080000}"/>
    <cellStyle name="Comma 7 3 9 6" xfId="40962" xr:uid="{00000000-0005-0000-0000-00005E080000}"/>
    <cellStyle name="Comma 7 4" xfId="4413" xr:uid="{00000000-0005-0000-0000-0000D2270000}"/>
    <cellStyle name="Comma 7 4 2" xfId="12566" xr:uid="{00000000-0005-0000-0000-0000D3270000}"/>
    <cellStyle name="Comma 7 4 2 2" xfId="35010" xr:uid="{00000000-0005-0000-0000-0000D4270000}"/>
    <cellStyle name="Comma 7 4 2 3" xfId="30359" xr:uid="{00000000-0005-0000-0000-0000D5270000}"/>
    <cellStyle name="Comma 7 4 2 4" xfId="39324" xr:uid="{00000000-0005-0000-0000-000061080000}"/>
    <cellStyle name="Comma 7 4 2 5" xfId="41251" xr:uid="{00000000-0005-0000-0000-000061080000}"/>
    <cellStyle name="Comma 7 4 3" xfId="15954" xr:uid="{00000000-0005-0000-0000-0000D6270000}"/>
    <cellStyle name="Comma 7 4 3 2" xfId="37316" xr:uid="{00000000-0005-0000-0000-0000D7270000}"/>
    <cellStyle name="Comma 7 4 4" xfId="31795" xr:uid="{00000000-0005-0000-0000-0000D8270000}"/>
    <cellStyle name="Comma 7 4 5" xfId="28095" xr:uid="{00000000-0005-0000-0000-0000D9270000}"/>
    <cellStyle name="Comma 7 4 6" xfId="18095" xr:uid="{00000000-0005-0000-0000-0000DA270000}"/>
    <cellStyle name="Comma 7 4 7" xfId="38017" xr:uid="{00000000-0005-0000-0000-000060080000}"/>
    <cellStyle name="Comma 7 4 8" xfId="40963" xr:uid="{00000000-0005-0000-0000-000060080000}"/>
    <cellStyle name="Comma 7 5" xfId="12567" xr:uid="{00000000-0005-0000-0000-0000DB270000}"/>
    <cellStyle name="Comma 7 5 2" xfId="15955" xr:uid="{00000000-0005-0000-0000-0000DC270000}"/>
    <cellStyle name="Comma 7 5 2 2" xfId="37317" xr:uid="{00000000-0005-0000-0000-0000DD270000}"/>
    <cellStyle name="Comma 7 5 2 3" xfId="30360" xr:uid="{00000000-0005-0000-0000-0000DE270000}"/>
    <cellStyle name="Comma 7 5 2 4" xfId="39325" xr:uid="{00000000-0005-0000-0000-000063080000}"/>
    <cellStyle name="Comma 7 5 2 5" xfId="41252" xr:uid="{00000000-0005-0000-0000-000063080000}"/>
    <cellStyle name="Comma 7 5 3" xfId="35011" xr:uid="{00000000-0005-0000-0000-0000DF270000}"/>
    <cellStyle name="Comma 7 5 4" xfId="28096" xr:uid="{00000000-0005-0000-0000-0000E0270000}"/>
    <cellStyle name="Comma 7 5 5" xfId="17428" xr:uid="{00000000-0005-0000-0000-0000E1270000}"/>
    <cellStyle name="Comma 7 5 6" xfId="38018" xr:uid="{00000000-0005-0000-0000-000062080000}"/>
    <cellStyle name="Comma 7 5 7" xfId="40964" xr:uid="{00000000-0005-0000-0000-000062080000}"/>
    <cellStyle name="Comma 7 6" xfId="12568" xr:uid="{00000000-0005-0000-0000-0000E2270000}"/>
    <cellStyle name="Comma 7 6 2" xfId="15956" xr:uid="{00000000-0005-0000-0000-0000E3270000}"/>
    <cellStyle name="Comma 7 6 2 2" xfId="37318" xr:uid="{00000000-0005-0000-0000-0000E4270000}"/>
    <cellStyle name="Comma 7 6 2 3" xfId="30361" xr:uid="{00000000-0005-0000-0000-0000E5270000}"/>
    <cellStyle name="Comma 7 6 2 4" xfId="39326" xr:uid="{00000000-0005-0000-0000-000065080000}"/>
    <cellStyle name="Comma 7 6 2 5" xfId="41253" xr:uid="{00000000-0005-0000-0000-000065080000}"/>
    <cellStyle name="Comma 7 6 3" xfId="35012" xr:uid="{00000000-0005-0000-0000-0000E6270000}"/>
    <cellStyle name="Comma 7 6 4" xfId="28097" xr:uid="{00000000-0005-0000-0000-0000E7270000}"/>
    <cellStyle name="Comma 7 6 5" xfId="38019" xr:uid="{00000000-0005-0000-0000-000064080000}"/>
    <cellStyle name="Comma 7 6 6" xfId="40965" xr:uid="{00000000-0005-0000-0000-000064080000}"/>
    <cellStyle name="Comma 7 7" xfId="12569" xr:uid="{00000000-0005-0000-0000-0000E8270000}"/>
    <cellStyle name="Comma 7 7 2" xfId="15957" xr:uid="{00000000-0005-0000-0000-0000E9270000}"/>
    <cellStyle name="Comma 7 7 2 2" xfId="37319" xr:uid="{00000000-0005-0000-0000-0000EA270000}"/>
    <cellStyle name="Comma 7 7 2 3" xfId="30362" xr:uid="{00000000-0005-0000-0000-0000EB270000}"/>
    <cellStyle name="Comma 7 7 2 4" xfId="39327" xr:uid="{00000000-0005-0000-0000-000067080000}"/>
    <cellStyle name="Comma 7 7 2 5" xfId="41254" xr:uid="{00000000-0005-0000-0000-000067080000}"/>
    <cellStyle name="Comma 7 7 3" xfId="35013" xr:uid="{00000000-0005-0000-0000-0000EC270000}"/>
    <cellStyle name="Comma 7 7 4" xfId="28098" xr:uid="{00000000-0005-0000-0000-0000ED270000}"/>
    <cellStyle name="Comma 7 7 5" xfId="38020" xr:uid="{00000000-0005-0000-0000-000066080000}"/>
    <cellStyle name="Comma 7 7 6" xfId="40966" xr:uid="{00000000-0005-0000-0000-000066080000}"/>
    <cellStyle name="Comma 7 8" xfId="12570" xr:uid="{00000000-0005-0000-0000-0000EE270000}"/>
    <cellStyle name="Comma 7 8 2" xfId="15958" xr:uid="{00000000-0005-0000-0000-0000EF270000}"/>
    <cellStyle name="Comma 7 8 2 2" xfId="37320" xr:uid="{00000000-0005-0000-0000-0000F0270000}"/>
    <cellStyle name="Comma 7 8 2 3" xfId="30363" xr:uid="{00000000-0005-0000-0000-0000F1270000}"/>
    <cellStyle name="Comma 7 8 2 4" xfId="39328" xr:uid="{00000000-0005-0000-0000-000069080000}"/>
    <cellStyle name="Comma 7 8 2 5" xfId="41255" xr:uid="{00000000-0005-0000-0000-000069080000}"/>
    <cellStyle name="Comma 7 8 3" xfId="35014" xr:uid="{00000000-0005-0000-0000-0000F2270000}"/>
    <cellStyle name="Comma 7 8 4" xfId="28099" xr:uid="{00000000-0005-0000-0000-0000F3270000}"/>
    <cellStyle name="Comma 7 8 5" xfId="38021" xr:uid="{00000000-0005-0000-0000-000068080000}"/>
    <cellStyle name="Comma 7 8 6" xfId="40967" xr:uid="{00000000-0005-0000-0000-000068080000}"/>
    <cellStyle name="Comma 7 9" xfId="12571" xr:uid="{00000000-0005-0000-0000-0000F4270000}"/>
    <cellStyle name="Comma 7 9 2" xfId="15959" xr:uid="{00000000-0005-0000-0000-0000F5270000}"/>
    <cellStyle name="Comma 7 9 2 2" xfId="37321" xr:uid="{00000000-0005-0000-0000-0000F6270000}"/>
    <cellStyle name="Comma 7 9 2 3" xfId="30364" xr:uid="{00000000-0005-0000-0000-0000F7270000}"/>
    <cellStyle name="Comma 7 9 2 4" xfId="39329" xr:uid="{00000000-0005-0000-0000-00006B080000}"/>
    <cellStyle name="Comma 7 9 2 5" xfId="41256" xr:uid="{00000000-0005-0000-0000-00006B080000}"/>
    <cellStyle name="Comma 7 9 3" xfId="35015" xr:uid="{00000000-0005-0000-0000-0000F8270000}"/>
    <cellStyle name="Comma 7 9 4" xfId="28100" xr:uid="{00000000-0005-0000-0000-0000F9270000}"/>
    <cellStyle name="Comma 7 9 5" xfId="38022" xr:uid="{00000000-0005-0000-0000-00006A080000}"/>
    <cellStyle name="Comma 7 9 6" xfId="40968" xr:uid="{00000000-0005-0000-0000-00006A080000}"/>
    <cellStyle name="Comma 8" xfId="3747" xr:uid="{00000000-0005-0000-0000-0000FA270000}"/>
    <cellStyle name="Comma 8 10" xfId="31621" xr:uid="{00000000-0005-0000-0000-0000FB270000}"/>
    <cellStyle name="Comma 8 11" xfId="28101" xr:uid="{00000000-0005-0000-0000-0000FC270000}"/>
    <cellStyle name="Comma 8 12" xfId="17431" xr:uid="{00000000-0005-0000-0000-0000FD270000}"/>
    <cellStyle name="Comma 8 2" xfId="12573" xr:uid="{00000000-0005-0000-0000-0000FE270000}"/>
    <cellStyle name="Comma 8 2 2" xfId="15961" xr:uid="{00000000-0005-0000-0000-0000FF270000}"/>
    <cellStyle name="Comma 8 2 2 2" xfId="37323" xr:uid="{00000000-0005-0000-0000-000000280000}"/>
    <cellStyle name="Comma 8 2 2 3" xfId="30365" xr:uid="{00000000-0005-0000-0000-000001280000}"/>
    <cellStyle name="Comma 8 2 2 4" xfId="39331" xr:uid="{00000000-0005-0000-0000-00006E080000}"/>
    <cellStyle name="Comma 8 2 2 5" xfId="41258" xr:uid="{00000000-0005-0000-0000-00006E080000}"/>
    <cellStyle name="Comma 8 2 3" xfId="35016" xr:uid="{00000000-0005-0000-0000-000002280000}"/>
    <cellStyle name="Comma 8 2 3 2" xfId="39330" xr:uid="{00000000-0005-0000-0000-00006F080000}"/>
    <cellStyle name="Comma 8 2 3 3" xfId="41257" xr:uid="{00000000-0005-0000-0000-00006F080000}"/>
    <cellStyle name="Comma 8 2 4" xfId="28102" xr:uid="{00000000-0005-0000-0000-000003280000}"/>
    <cellStyle name="Comma 8 2 5" xfId="38023" xr:uid="{00000000-0005-0000-0000-00006D080000}"/>
    <cellStyle name="Comma 8 2 6" xfId="40969" xr:uid="{00000000-0005-0000-0000-00006D080000}"/>
    <cellStyle name="Comma 8 3" xfId="12574" xr:uid="{00000000-0005-0000-0000-000004280000}"/>
    <cellStyle name="Comma 8 3 2" xfId="15962" xr:uid="{00000000-0005-0000-0000-000005280000}"/>
    <cellStyle name="Comma 8 3 2 2" xfId="37324" xr:uid="{00000000-0005-0000-0000-000006280000}"/>
    <cellStyle name="Comma 8 3 2 3" xfId="30366" xr:uid="{00000000-0005-0000-0000-000007280000}"/>
    <cellStyle name="Comma 8 3 2 4" xfId="39332" xr:uid="{00000000-0005-0000-0000-000071080000}"/>
    <cellStyle name="Comma 8 3 2 5" xfId="41259" xr:uid="{00000000-0005-0000-0000-000071080000}"/>
    <cellStyle name="Comma 8 3 3" xfId="35017" xr:uid="{00000000-0005-0000-0000-000008280000}"/>
    <cellStyle name="Comma 8 3 4" xfId="28103" xr:uid="{00000000-0005-0000-0000-000009280000}"/>
    <cellStyle name="Comma 8 3 5" xfId="38024" xr:uid="{00000000-0005-0000-0000-000070080000}"/>
    <cellStyle name="Comma 8 3 6" xfId="40970" xr:uid="{00000000-0005-0000-0000-000070080000}"/>
    <cellStyle name="Comma 8 4" xfId="12575" xr:uid="{00000000-0005-0000-0000-00000A280000}"/>
    <cellStyle name="Comma 8 4 2" xfId="15963" xr:uid="{00000000-0005-0000-0000-00000B280000}"/>
    <cellStyle name="Comma 8 4 2 2" xfId="37325" xr:uid="{00000000-0005-0000-0000-00000C280000}"/>
    <cellStyle name="Comma 8 4 2 3" xfId="30367" xr:uid="{00000000-0005-0000-0000-00000D280000}"/>
    <cellStyle name="Comma 8 4 2 4" xfId="39333" xr:uid="{00000000-0005-0000-0000-000073080000}"/>
    <cellStyle name="Comma 8 4 2 5" xfId="41260" xr:uid="{00000000-0005-0000-0000-000073080000}"/>
    <cellStyle name="Comma 8 4 3" xfId="35018" xr:uid="{00000000-0005-0000-0000-00000E280000}"/>
    <cellStyle name="Comma 8 4 4" xfId="28104" xr:uid="{00000000-0005-0000-0000-00000F280000}"/>
    <cellStyle name="Comma 8 4 5" xfId="38025" xr:uid="{00000000-0005-0000-0000-000072080000}"/>
    <cellStyle name="Comma 8 4 6" xfId="40971" xr:uid="{00000000-0005-0000-0000-000072080000}"/>
    <cellStyle name="Comma 8 5" xfId="12576" xr:uid="{00000000-0005-0000-0000-000010280000}"/>
    <cellStyle name="Comma 8 5 2" xfId="15964" xr:uid="{00000000-0005-0000-0000-000011280000}"/>
    <cellStyle name="Comma 8 5 2 2" xfId="37326" xr:uid="{00000000-0005-0000-0000-000012280000}"/>
    <cellStyle name="Comma 8 5 2 3" xfId="30368" xr:uid="{00000000-0005-0000-0000-000013280000}"/>
    <cellStyle name="Comma 8 5 2 4" xfId="39334" xr:uid="{00000000-0005-0000-0000-000075080000}"/>
    <cellStyle name="Comma 8 5 2 5" xfId="41261" xr:uid="{00000000-0005-0000-0000-000075080000}"/>
    <cellStyle name="Comma 8 5 3" xfId="35019" xr:uid="{00000000-0005-0000-0000-000014280000}"/>
    <cellStyle name="Comma 8 5 4" xfId="28105" xr:uid="{00000000-0005-0000-0000-000015280000}"/>
    <cellStyle name="Comma 8 5 5" xfId="38026" xr:uid="{00000000-0005-0000-0000-000074080000}"/>
    <cellStyle name="Comma 8 5 6" xfId="40972" xr:uid="{00000000-0005-0000-0000-000074080000}"/>
    <cellStyle name="Comma 8 6" xfId="12577" xr:uid="{00000000-0005-0000-0000-000016280000}"/>
    <cellStyle name="Comma 8 6 2" xfId="15965" xr:uid="{00000000-0005-0000-0000-000017280000}"/>
    <cellStyle name="Comma 8 6 2 2" xfId="37327" xr:uid="{00000000-0005-0000-0000-000018280000}"/>
    <cellStyle name="Comma 8 6 2 3" xfId="30369" xr:uid="{00000000-0005-0000-0000-000019280000}"/>
    <cellStyle name="Comma 8 6 2 4" xfId="39335" xr:uid="{00000000-0005-0000-0000-000077080000}"/>
    <cellStyle name="Comma 8 6 2 5" xfId="41262" xr:uid="{00000000-0005-0000-0000-000077080000}"/>
    <cellStyle name="Comma 8 6 3" xfId="35020" xr:uid="{00000000-0005-0000-0000-00001A280000}"/>
    <cellStyle name="Comma 8 6 4" xfId="28106" xr:uid="{00000000-0005-0000-0000-00001B280000}"/>
    <cellStyle name="Comma 8 6 5" xfId="38027" xr:uid="{00000000-0005-0000-0000-000076080000}"/>
    <cellStyle name="Comma 8 6 6" xfId="40973" xr:uid="{00000000-0005-0000-0000-000076080000}"/>
    <cellStyle name="Comma 8 7" xfId="12578" xr:uid="{00000000-0005-0000-0000-00001C280000}"/>
    <cellStyle name="Comma 8 7 2" xfId="15966" xr:uid="{00000000-0005-0000-0000-00001D280000}"/>
    <cellStyle name="Comma 8 7 2 2" xfId="37328" xr:uid="{00000000-0005-0000-0000-00001E280000}"/>
    <cellStyle name="Comma 8 7 2 3" xfId="30370" xr:uid="{00000000-0005-0000-0000-00001F280000}"/>
    <cellStyle name="Comma 8 7 2 4" xfId="39336" xr:uid="{00000000-0005-0000-0000-000079080000}"/>
    <cellStyle name="Comma 8 7 2 5" xfId="41263" xr:uid="{00000000-0005-0000-0000-000079080000}"/>
    <cellStyle name="Comma 8 7 3" xfId="35021" xr:uid="{00000000-0005-0000-0000-000020280000}"/>
    <cellStyle name="Comma 8 7 4" xfId="28107" xr:uid="{00000000-0005-0000-0000-000021280000}"/>
    <cellStyle name="Comma 8 7 5" xfId="38028" xr:uid="{00000000-0005-0000-0000-000078080000}"/>
    <cellStyle name="Comma 8 7 6" xfId="40974" xr:uid="{00000000-0005-0000-0000-000078080000}"/>
    <cellStyle name="Comma 8 8" xfId="12579" xr:uid="{00000000-0005-0000-0000-000022280000}"/>
    <cellStyle name="Comma 8 8 2" xfId="15967" xr:uid="{00000000-0005-0000-0000-000023280000}"/>
    <cellStyle name="Comma 8 8 2 2" xfId="37329" xr:uid="{00000000-0005-0000-0000-000024280000}"/>
    <cellStyle name="Comma 8 8 2 3" xfId="30371" xr:uid="{00000000-0005-0000-0000-000025280000}"/>
    <cellStyle name="Comma 8 8 2 4" xfId="39337" xr:uid="{00000000-0005-0000-0000-00007B080000}"/>
    <cellStyle name="Comma 8 8 2 5" xfId="41264" xr:uid="{00000000-0005-0000-0000-00007B080000}"/>
    <cellStyle name="Comma 8 8 3" xfId="35022" xr:uid="{00000000-0005-0000-0000-000026280000}"/>
    <cellStyle name="Comma 8 8 4" xfId="28108" xr:uid="{00000000-0005-0000-0000-000027280000}"/>
    <cellStyle name="Comma 8 8 5" xfId="38029" xr:uid="{00000000-0005-0000-0000-00007A080000}"/>
    <cellStyle name="Comma 8 8 6" xfId="40975" xr:uid="{00000000-0005-0000-0000-00007A080000}"/>
    <cellStyle name="Comma 8 9" xfId="12572" xr:uid="{00000000-0005-0000-0000-000028280000}"/>
    <cellStyle name="Comma 9" xfId="3746" xr:uid="{00000000-0005-0000-0000-000029280000}"/>
    <cellStyle name="Comma 9 10" xfId="13413" xr:uid="{00000000-0005-0000-0000-00002A280000}"/>
    <cellStyle name="Comma 9 10 2" xfId="35187" xr:uid="{00000000-0005-0000-0000-00002B280000}"/>
    <cellStyle name="Comma 9 10 3" xfId="30525" xr:uid="{00000000-0005-0000-0000-00002C280000}"/>
    <cellStyle name="Comma 9 10 4" xfId="39339" xr:uid="{00000000-0005-0000-0000-00007D080000}"/>
    <cellStyle name="Comma 9 10 5" xfId="41266" xr:uid="{00000000-0005-0000-0000-00007D080000}"/>
    <cellStyle name="Comma 9 11" xfId="16092" xr:uid="{00000000-0005-0000-0000-00002D280000}"/>
    <cellStyle name="Comma 9 11 2" xfId="37414" xr:uid="{00000000-0005-0000-0000-00002E280000}"/>
    <cellStyle name="Comma 9 12" xfId="31620" xr:uid="{00000000-0005-0000-0000-00002F280000}"/>
    <cellStyle name="Comma 9 13" xfId="28161" xr:uid="{00000000-0005-0000-0000-000030280000}"/>
    <cellStyle name="Comma 9 14" xfId="17430" xr:uid="{00000000-0005-0000-0000-000031280000}"/>
    <cellStyle name="Comma 9 15" xfId="39338" xr:uid="{00000000-0005-0000-0000-00007C080000}"/>
    <cellStyle name="Comma 9 16" xfId="41265" xr:uid="{00000000-0005-0000-0000-00007C080000}"/>
    <cellStyle name="Comma 9 2" xfId="12580" xr:uid="{00000000-0005-0000-0000-000032280000}"/>
    <cellStyle name="Comma 9 2 2" xfId="15968" xr:uid="{00000000-0005-0000-0000-000033280000}"/>
    <cellStyle name="Comma 9 2 2 2" xfId="37330" xr:uid="{00000000-0005-0000-0000-000034280000}"/>
    <cellStyle name="Comma 9 2 2 3" xfId="30372" xr:uid="{00000000-0005-0000-0000-000035280000}"/>
    <cellStyle name="Comma 9 2 2 4" xfId="39340" xr:uid="{00000000-0005-0000-0000-00007F080000}"/>
    <cellStyle name="Comma 9 2 2 5" xfId="41267" xr:uid="{00000000-0005-0000-0000-00007F080000}"/>
    <cellStyle name="Comma 9 2 3" xfId="35023" xr:uid="{00000000-0005-0000-0000-000036280000}"/>
    <cellStyle name="Comma 9 2 4" xfId="28109" xr:uid="{00000000-0005-0000-0000-000037280000}"/>
    <cellStyle name="Comma 9 2 5" xfId="38030" xr:uid="{00000000-0005-0000-0000-00007E080000}"/>
    <cellStyle name="Comma 9 2 6" xfId="40976" xr:uid="{00000000-0005-0000-0000-00007E080000}"/>
    <cellStyle name="Comma 9 3" xfId="12581" xr:uid="{00000000-0005-0000-0000-000038280000}"/>
    <cellStyle name="Comma 9 3 2" xfId="15969" xr:uid="{00000000-0005-0000-0000-000039280000}"/>
    <cellStyle name="Comma 9 3 2 2" xfId="37331" xr:uid="{00000000-0005-0000-0000-00003A280000}"/>
    <cellStyle name="Comma 9 3 2 3" xfId="30373" xr:uid="{00000000-0005-0000-0000-00003B280000}"/>
    <cellStyle name="Comma 9 3 2 4" xfId="39341" xr:uid="{00000000-0005-0000-0000-000081080000}"/>
    <cellStyle name="Comma 9 3 2 5" xfId="41268" xr:uid="{00000000-0005-0000-0000-000081080000}"/>
    <cellStyle name="Comma 9 3 3" xfId="35024" xr:uid="{00000000-0005-0000-0000-00003C280000}"/>
    <cellStyle name="Comma 9 3 4" xfId="28110" xr:uid="{00000000-0005-0000-0000-00003D280000}"/>
    <cellStyle name="Comma 9 3 5" xfId="38031" xr:uid="{00000000-0005-0000-0000-000080080000}"/>
    <cellStyle name="Comma 9 3 6" xfId="40977" xr:uid="{00000000-0005-0000-0000-000080080000}"/>
    <cellStyle name="Comma 9 4" xfId="12582" xr:uid="{00000000-0005-0000-0000-00003E280000}"/>
    <cellStyle name="Comma 9 4 2" xfId="15970" xr:uid="{00000000-0005-0000-0000-00003F280000}"/>
    <cellStyle name="Comma 9 4 2 2" xfId="37332" xr:uid="{00000000-0005-0000-0000-000040280000}"/>
    <cellStyle name="Comma 9 4 2 3" xfId="30374" xr:uid="{00000000-0005-0000-0000-000041280000}"/>
    <cellStyle name="Comma 9 4 2 4" xfId="39342" xr:uid="{00000000-0005-0000-0000-000083080000}"/>
    <cellStyle name="Comma 9 4 2 5" xfId="41269" xr:uid="{00000000-0005-0000-0000-000083080000}"/>
    <cellStyle name="Comma 9 4 3" xfId="35025" xr:uid="{00000000-0005-0000-0000-000042280000}"/>
    <cellStyle name="Comma 9 4 4" xfId="28111" xr:uid="{00000000-0005-0000-0000-000043280000}"/>
    <cellStyle name="Comma 9 4 5" xfId="38032" xr:uid="{00000000-0005-0000-0000-000082080000}"/>
    <cellStyle name="Comma 9 4 6" xfId="40978" xr:uid="{00000000-0005-0000-0000-000082080000}"/>
    <cellStyle name="Comma 9 5" xfId="12583" xr:uid="{00000000-0005-0000-0000-000044280000}"/>
    <cellStyle name="Comma 9 5 2" xfId="15971" xr:uid="{00000000-0005-0000-0000-000045280000}"/>
    <cellStyle name="Comma 9 5 2 2" xfId="37333" xr:uid="{00000000-0005-0000-0000-000046280000}"/>
    <cellStyle name="Comma 9 5 2 3" xfId="30375" xr:uid="{00000000-0005-0000-0000-000047280000}"/>
    <cellStyle name="Comma 9 5 2 4" xfId="39343" xr:uid="{00000000-0005-0000-0000-000085080000}"/>
    <cellStyle name="Comma 9 5 2 5" xfId="41270" xr:uid="{00000000-0005-0000-0000-000085080000}"/>
    <cellStyle name="Comma 9 5 3" xfId="35026" xr:uid="{00000000-0005-0000-0000-000048280000}"/>
    <cellStyle name="Comma 9 5 4" xfId="28112" xr:uid="{00000000-0005-0000-0000-000049280000}"/>
    <cellStyle name="Comma 9 5 5" xfId="38033" xr:uid="{00000000-0005-0000-0000-000084080000}"/>
    <cellStyle name="Comma 9 5 6" xfId="40979" xr:uid="{00000000-0005-0000-0000-000084080000}"/>
    <cellStyle name="Comma 9 6" xfId="12584" xr:uid="{00000000-0005-0000-0000-00004A280000}"/>
    <cellStyle name="Comma 9 6 2" xfId="15972" xr:uid="{00000000-0005-0000-0000-00004B280000}"/>
    <cellStyle name="Comma 9 6 2 2" xfId="37334" xr:uid="{00000000-0005-0000-0000-00004C280000}"/>
    <cellStyle name="Comma 9 6 2 3" xfId="30376" xr:uid="{00000000-0005-0000-0000-00004D280000}"/>
    <cellStyle name="Comma 9 6 2 4" xfId="39344" xr:uid="{00000000-0005-0000-0000-000087080000}"/>
    <cellStyle name="Comma 9 6 2 5" xfId="41271" xr:uid="{00000000-0005-0000-0000-000087080000}"/>
    <cellStyle name="Comma 9 6 3" xfId="35027" xr:uid="{00000000-0005-0000-0000-00004E280000}"/>
    <cellStyle name="Comma 9 6 4" xfId="28113" xr:uid="{00000000-0005-0000-0000-00004F280000}"/>
    <cellStyle name="Comma 9 6 5" xfId="38034" xr:uid="{00000000-0005-0000-0000-000086080000}"/>
    <cellStyle name="Comma 9 6 6" xfId="40980" xr:uid="{00000000-0005-0000-0000-000086080000}"/>
    <cellStyle name="Comma 9 7" xfId="12585" xr:uid="{00000000-0005-0000-0000-000050280000}"/>
    <cellStyle name="Comma 9 7 2" xfId="15973" xr:uid="{00000000-0005-0000-0000-000051280000}"/>
    <cellStyle name="Comma 9 7 2 2" xfId="37335" xr:uid="{00000000-0005-0000-0000-000052280000}"/>
    <cellStyle name="Comma 9 7 2 3" xfId="30377" xr:uid="{00000000-0005-0000-0000-000053280000}"/>
    <cellStyle name="Comma 9 7 2 4" xfId="39345" xr:uid="{00000000-0005-0000-0000-000089080000}"/>
    <cellStyle name="Comma 9 7 2 5" xfId="41272" xr:uid="{00000000-0005-0000-0000-000089080000}"/>
    <cellStyle name="Comma 9 7 3" xfId="35028" xr:uid="{00000000-0005-0000-0000-000054280000}"/>
    <cellStyle name="Comma 9 7 4" xfId="28114" xr:uid="{00000000-0005-0000-0000-000055280000}"/>
    <cellStyle name="Comma 9 7 5" xfId="38035" xr:uid="{00000000-0005-0000-0000-000088080000}"/>
    <cellStyle name="Comma 9 7 6" xfId="40981" xr:uid="{00000000-0005-0000-0000-000088080000}"/>
    <cellStyle name="Comma 9 8" xfId="12586" xr:uid="{00000000-0005-0000-0000-000056280000}"/>
    <cellStyle name="Comma 9 8 2" xfId="15974" xr:uid="{00000000-0005-0000-0000-000057280000}"/>
    <cellStyle name="Comma 9 8 2 2" xfId="37336" xr:uid="{00000000-0005-0000-0000-000058280000}"/>
    <cellStyle name="Comma 9 8 2 3" xfId="30378" xr:uid="{00000000-0005-0000-0000-000059280000}"/>
    <cellStyle name="Comma 9 8 2 4" xfId="39346" xr:uid="{00000000-0005-0000-0000-00008B080000}"/>
    <cellStyle name="Comma 9 8 2 5" xfId="41273" xr:uid="{00000000-0005-0000-0000-00008B080000}"/>
    <cellStyle name="Comma 9 8 3" xfId="35029" xr:uid="{00000000-0005-0000-0000-00005A280000}"/>
    <cellStyle name="Comma 9 8 4" xfId="28115" xr:uid="{00000000-0005-0000-0000-00005B280000}"/>
    <cellStyle name="Comma 9 8 5" xfId="38036" xr:uid="{00000000-0005-0000-0000-00008A080000}"/>
    <cellStyle name="Comma 9 8 6" xfId="40982" xr:uid="{00000000-0005-0000-0000-00008A080000}"/>
    <cellStyle name="Comma 9 9" xfId="12587" xr:uid="{00000000-0005-0000-0000-00005C280000}"/>
    <cellStyle name="Comma 9 9 2" xfId="15975" xr:uid="{00000000-0005-0000-0000-00005D280000}"/>
    <cellStyle name="Comma 9 9 2 2" xfId="37337" xr:uid="{00000000-0005-0000-0000-00005E280000}"/>
    <cellStyle name="Comma 9 9 2 3" xfId="30379" xr:uid="{00000000-0005-0000-0000-00005F280000}"/>
    <cellStyle name="Comma 9 9 2 4" xfId="39347" xr:uid="{00000000-0005-0000-0000-00008D080000}"/>
    <cellStyle name="Comma 9 9 2 5" xfId="41274" xr:uid="{00000000-0005-0000-0000-00008D080000}"/>
    <cellStyle name="Comma 9 9 3" xfId="35030" xr:uid="{00000000-0005-0000-0000-000060280000}"/>
    <cellStyle name="Comma 9 9 4" xfId="28116" xr:uid="{00000000-0005-0000-0000-000061280000}"/>
    <cellStyle name="Comma 9 9 5" xfId="38037" xr:uid="{00000000-0005-0000-0000-00008C080000}"/>
    <cellStyle name="Comma 9 9 6" xfId="40983" xr:uid="{00000000-0005-0000-0000-00008C080000}"/>
    <cellStyle name="Commentaire" xfId="30" xr:uid="{00000000-0005-0000-0000-000062280000}"/>
    <cellStyle name="Commentaire 10" xfId="3753" xr:uid="{00000000-0005-0000-0000-000063280000}"/>
    <cellStyle name="Commentaire 10 2" xfId="22223" xr:uid="{00000000-0005-0000-0000-000064280000}"/>
    <cellStyle name="Commentaire 10 3" xfId="31626" xr:uid="{00000000-0005-0000-0000-000065280000}"/>
    <cellStyle name="Commentaire 10 4" xfId="17437" xr:uid="{00000000-0005-0000-0000-000066280000}"/>
    <cellStyle name="Commentaire 11" xfId="17084" xr:uid="{00000000-0005-0000-0000-000067280000}"/>
    <cellStyle name="Commentaire 12" xfId="31151" xr:uid="{00000000-0005-0000-0000-000068280000}"/>
    <cellStyle name="Commentaire 13" xfId="16628" xr:uid="{00000000-0005-0000-0000-000069280000}"/>
    <cellStyle name="Commentaire 2" xfId="49" xr:uid="{00000000-0005-0000-0000-00006A280000}"/>
    <cellStyle name="Commentaire 2 10" xfId="17078" xr:uid="{00000000-0005-0000-0000-00006B280000}"/>
    <cellStyle name="Commentaire 2 11" xfId="31155" xr:uid="{00000000-0005-0000-0000-00006C280000}"/>
    <cellStyle name="Commentaire 2 12" xfId="16635" xr:uid="{00000000-0005-0000-0000-00006D280000}"/>
    <cellStyle name="Commentaire 2 2" xfId="4426" xr:uid="{00000000-0005-0000-0000-00006E280000}"/>
    <cellStyle name="Commentaire 2 2 2" xfId="22886" xr:uid="{00000000-0005-0000-0000-00006F280000}"/>
    <cellStyle name="Commentaire 2 2 3" xfId="31798" xr:uid="{00000000-0005-0000-0000-000070280000}"/>
    <cellStyle name="Commentaire 2 2 4" xfId="18106" xr:uid="{00000000-0005-0000-0000-000071280000}"/>
    <cellStyle name="Commentaire 2 3" xfId="5832" xr:uid="{00000000-0005-0000-0000-000072280000}"/>
    <cellStyle name="Commentaire 2 3 2" xfId="24279" xr:uid="{00000000-0005-0000-0000-000073280000}"/>
    <cellStyle name="Commentaire 2 3 3" xfId="32405" xr:uid="{00000000-0005-0000-0000-000074280000}"/>
    <cellStyle name="Commentaire 2 3 4" xfId="19388" xr:uid="{00000000-0005-0000-0000-000075280000}"/>
    <cellStyle name="Commentaire 2 4" xfId="5933" xr:uid="{00000000-0005-0000-0000-000076280000}"/>
    <cellStyle name="Commentaire 2 4 2" xfId="24375" xr:uid="{00000000-0005-0000-0000-000077280000}"/>
    <cellStyle name="Commentaire 2 4 3" xfId="32431" xr:uid="{00000000-0005-0000-0000-000078280000}"/>
    <cellStyle name="Commentaire 2 4 4" xfId="19486" xr:uid="{00000000-0005-0000-0000-000079280000}"/>
    <cellStyle name="Commentaire 2 5" xfId="7034" xr:uid="{00000000-0005-0000-0000-00007A280000}"/>
    <cellStyle name="Commentaire 2 5 2" xfId="25472" xr:uid="{00000000-0005-0000-0000-00007B280000}"/>
    <cellStyle name="Commentaire 2 5 3" xfId="32729" xr:uid="{00000000-0005-0000-0000-00007C280000}"/>
    <cellStyle name="Commentaire 2 5 4" xfId="20409" xr:uid="{00000000-0005-0000-0000-00007D280000}"/>
    <cellStyle name="Commentaire 2 6" xfId="6173" xr:uid="{00000000-0005-0000-0000-00007E280000}"/>
    <cellStyle name="Commentaire 2 6 2" xfId="24613" xr:uid="{00000000-0005-0000-0000-00007F280000}"/>
    <cellStyle name="Commentaire 2 6 3" xfId="32515" xr:uid="{00000000-0005-0000-0000-000080280000}"/>
    <cellStyle name="Commentaire 2 6 4" xfId="19722" xr:uid="{00000000-0005-0000-0000-000081280000}"/>
    <cellStyle name="Commentaire 2 7" xfId="7489" xr:uid="{00000000-0005-0000-0000-000082280000}"/>
    <cellStyle name="Commentaire 2 7 2" xfId="25920" xr:uid="{00000000-0005-0000-0000-000083280000}"/>
    <cellStyle name="Commentaire 2 7 3" xfId="32861" xr:uid="{00000000-0005-0000-0000-000084280000}"/>
    <cellStyle name="Commentaire 2 7 4" xfId="20844" xr:uid="{00000000-0005-0000-0000-000085280000}"/>
    <cellStyle name="Commentaire 2 8" xfId="8208" xr:uid="{00000000-0005-0000-0000-000086280000}"/>
    <cellStyle name="Commentaire 2 8 2" xfId="26634" xr:uid="{00000000-0005-0000-0000-000087280000}"/>
    <cellStyle name="Commentaire 2 8 3" xfId="33025" xr:uid="{00000000-0005-0000-0000-000088280000}"/>
    <cellStyle name="Commentaire 2 8 4" xfId="21560" xr:uid="{00000000-0005-0000-0000-000089280000}"/>
    <cellStyle name="Commentaire 2 9" xfId="3759" xr:uid="{00000000-0005-0000-0000-00008A280000}"/>
    <cellStyle name="Commentaire 2 9 2" xfId="22229" xr:uid="{00000000-0005-0000-0000-00008B280000}"/>
    <cellStyle name="Commentaire 2 9 3" xfId="31628" xr:uid="{00000000-0005-0000-0000-00008C280000}"/>
    <cellStyle name="Commentaire 2 9 4" xfId="17442" xr:uid="{00000000-0005-0000-0000-00008D280000}"/>
    <cellStyle name="Commentaire 3" xfId="4417" xr:uid="{00000000-0005-0000-0000-00008E280000}"/>
    <cellStyle name="Commentaire 3 2" xfId="22877" xr:uid="{00000000-0005-0000-0000-00008F280000}"/>
    <cellStyle name="Commentaire 3 3" xfId="31797" xr:uid="{00000000-0005-0000-0000-000090280000}"/>
    <cellStyle name="Commentaire 3 4" xfId="18098" xr:uid="{00000000-0005-0000-0000-000091280000}"/>
    <cellStyle name="Commentaire 4" xfId="5839" xr:uid="{00000000-0005-0000-0000-000092280000}"/>
    <cellStyle name="Commentaire 4 2" xfId="24286" xr:uid="{00000000-0005-0000-0000-000093280000}"/>
    <cellStyle name="Commentaire 4 3" xfId="32407" xr:uid="{00000000-0005-0000-0000-000094280000}"/>
    <cellStyle name="Commentaire 4 4" xfId="19394" xr:uid="{00000000-0005-0000-0000-000095280000}"/>
    <cellStyle name="Commentaire 5" xfId="5927" xr:uid="{00000000-0005-0000-0000-000096280000}"/>
    <cellStyle name="Commentaire 5 2" xfId="24369" xr:uid="{00000000-0005-0000-0000-000097280000}"/>
    <cellStyle name="Commentaire 5 3" xfId="32429" xr:uid="{00000000-0005-0000-0000-000098280000}"/>
    <cellStyle name="Commentaire 5 4" xfId="19480" xr:uid="{00000000-0005-0000-0000-000099280000}"/>
    <cellStyle name="Commentaire 6" xfId="7048" xr:uid="{00000000-0005-0000-0000-00009A280000}"/>
    <cellStyle name="Commentaire 6 2" xfId="25486" xr:uid="{00000000-0005-0000-0000-00009B280000}"/>
    <cellStyle name="Commentaire 6 3" xfId="32734" xr:uid="{00000000-0005-0000-0000-00009C280000}"/>
    <cellStyle name="Commentaire 6 4" xfId="20423" xr:uid="{00000000-0005-0000-0000-00009D280000}"/>
    <cellStyle name="Commentaire 7" xfId="6168" xr:uid="{00000000-0005-0000-0000-00009E280000}"/>
    <cellStyle name="Commentaire 7 2" xfId="24608" xr:uid="{00000000-0005-0000-0000-00009F280000}"/>
    <cellStyle name="Commentaire 7 3" xfId="32514" xr:uid="{00000000-0005-0000-0000-0000A0280000}"/>
    <cellStyle name="Commentaire 7 4" xfId="19718" xr:uid="{00000000-0005-0000-0000-0000A1280000}"/>
    <cellStyle name="Commentaire 8" xfId="7494" xr:uid="{00000000-0005-0000-0000-0000A2280000}"/>
    <cellStyle name="Commentaire 8 2" xfId="25925" xr:uid="{00000000-0005-0000-0000-0000A3280000}"/>
    <cellStyle name="Commentaire 8 3" xfId="32863" xr:uid="{00000000-0005-0000-0000-0000A4280000}"/>
    <cellStyle name="Commentaire 8 4" xfId="20849" xr:uid="{00000000-0005-0000-0000-0000A5280000}"/>
    <cellStyle name="Commentaire 9" xfId="8202" xr:uid="{00000000-0005-0000-0000-0000A6280000}"/>
    <cellStyle name="Commentaire 9 2" xfId="26628" xr:uid="{00000000-0005-0000-0000-0000A7280000}"/>
    <cellStyle name="Commentaire 9 3" xfId="33023" xr:uid="{00000000-0005-0000-0000-0000A8280000}"/>
    <cellStyle name="Commentaire 9 4" xfId="21555" xr:uid="{00000000-0005-0000-0000-0000A9280000}"/>
    <cellStyle name="Constants" xfId="11463" xr:uid="{00000000-0005-0000-0000-0000AA280000}"/>
    <cellStyle name="Currency 2" xfId="14175" xr:uid="{00000000-0005-0000-0000-0000AB280000}"/>
    <cellStyle name="Currency 2 2" xfId="12588" xr:uid="{00000000-0005-0000-0000-0000AC280000}"/>
    <cellStyle name="Currency 2 2 2" xfId="14176" xr:uid="{00000000-0005-0000-0000-0000AD280000}"/>
    <cellStyle name="Currency 2 2 2 2" xfId="16321" xr:uid="{00000000-0005-0000-0000-0000AE280000}"/>
    <cellStyle name="Currency 2 2 2 2 2" xfId="37627" xr:uid="{00000000-0005-0000-0000-0000AF280000}"/>
    <cellStyle name="Currency 2 2 2 3" xfId="35866" xr:uid="{00000000-0005-0000-0000-0000B0280000}"/>
    <cellStyle name="Currency 2 3" xfId="16320" xr:uid="{00000000-0005-0000-0000-0000B1280000}"/>
    <cellStyle name="Currency 2 3 2" xfId="37626" xr:uid="{00000000-0005-0000-0000-0000B2280000}"/>
    <cellStyle name="Currency 2 4" xfId="35865" xr:uid="{00000000-0005-0000-0000-0000B3280000}"/>
    <cellStyle name="Currency 2 5" xfId="39348" xr:uid="{00000000-0005-0000-0000-000090080000}"/>
    <cellStyle name="CustomCellsOrange" xfId="11512" xr:uid="{00000000-0005-0000-0000-0000B4280000}"/>
    <cellStyle name="CustomCellsOrange 2" xfId="14653" xr:uid="{00000000-0005-0000-0000-0000B5280000}"/>
    <cellStyle name="CustomCellsOrange 2 2" xfId="36137" xr:uid="{00000000-0005-0000-0000-0000B6280000}"/>
    <cellStyle name="CustomizationCells" xfId="1708" xr:uid="{00000000-0005-0000-0000-0000B7280000}"/>
    <cellStyle name="CustomizationCells 10" xfId="16071" xr:uid="{00000000-0005-0000-0000-0000B8280000}"/>
    <cellStyle name="CustomizationCells 10 2" xfId="37397" xr:uid="{00000000-0005-0000-0000-0000B9280000}"/>
    <cellStyle name="CustomizationCells 10 3" xfId="16825" xr:uid="{00000000-0005-0000-0000-0000BA280000}"/>
    <cellStyle name="CustomizationCells 11" xfId="16704" xr:uid="{00000000-0005-0000-0000-0000BB280000}"/>
    <cellStyle name="CustomizationCells 2" xfId="4709" xr:uid="{00000000-0005-0000-0000-0000BC280000}"/>
    <cellStyle name="CustomizationCells 2 2" xfId="23169" xr:uid="{00000000-0005-0000-0000-0000BD280000}"/>
    <cellStyle name="CustomizationCells 3" xfId="4507" xr:uid="{00000000-0005-0000-0000-0000BE280000}"/>
    <cellStyle name="CustomizationCells 3 2" xfId="22967" xr:uid="{00000000-0005-0000-0000-0000BF280000}"/>
    <cellStyle name="CustomizationCells 4" xfId="4506" xr:uid="{00000000-0005-0000-0000-0000C0280000}"/>
    <cellStyle name="CustomizationCells 4 2" xfId="22966" xr:uid="{00000000-0005-0000-0000-0000C1280000}"/>
    <cellStyle name="CustomizationCells 5" xfId="6664" xr:uid="{00000000-0005-0000-0000-0000C2280000}"/>
    <cellStyle name="CustomizationCells 5 2" xfId="25102" xr:uid="{00000000-0005-0000-0000-0000C3280000}"/>
    <cellStyle name="CustomizationCells 6" xfId="6665" xr:uid="{00000000-0005-0000-0000-0000C4280000}"/>
    <cellStyle name="CustomizationCells 6 2" xfId="25103" xr:uid="{00000000-0005-0000-0000-0000C5280000}"/>
    <cellStyle name="CustomizationCells 7" xfId="6842" xr:uid="{00000000-0005-0000-0000-0000C6280000}"/>
    <cellStyle name="CustomizationCells 7 2" xfId="25280" xr:uid="{00000000-0005-0000-0000-0000C7280000}"/>
    <cellStyle name="CustomizationCells 8" xfId="8338" xr:uid="{00000000-0005-0000-0000-0000C8280000}"/>
    <cellStyle name="CustomizationCells 8 2" xfId="26761" xr:uid="{00000000-0005-0000-0000-0000C9280000}"/>
    <cellStyle name="CustomizationCells 9" xfId="3830" xr:uid="{00000000-0005-0000-0000-0000CA280000}"/>
    <cellStyle name="CustomizationCells 9 2" xfId="22297" xr:uid="{00000000-0005-0000-0000-0000CB280000}"/>
    <cellStyle name="CustomizationGreenCells" xfId="11513" xr:uid="{00000000-0005-0000-0000-0000CC280000}"/>
    <cellStyle name="Data" xfId="14177" xr:uid="{00000000-0005-0000-0000-0000CD280000}"/>
    <cellStyle name="Data 2" xfId="37813" xr:uid="{00000000-0005-0000-0000-000007000000}"/>
    <cellStyle name="Defn" xfId="14178" xr:uid="{00000000-0005-0000-0000-0000CE280000}"/>
    <cellStyle name="Defn 2" xfId="14179" xr:uid="{00000000-0005-0000-0000-0000CF280000}"/>
    <cellStyle name="Desc" xfId="14180" xr:uid="{00000000-0005-0000-0000-0000D0280000}"/>
    <cellStyle name="Desc 10" xfId="40760" xr:uid="{00000000-0005-0000-0000-000009000000}"/>
    <cellStyle name="Desc 2" xfId="14181" xr:uid="{00000000-0005-0000-0000-0000D1280000}"/>
    <cellStyle name="Desc 2 2" xfId="14182" xr:uid="{00000000-0005-0000-0000-0000D2280000}"/>
    <cellStyle name="Desc 2 2 2" xfId="16324" xr:uid="{00000000-0005-0000-0000-0000D3280000}"/>
    <cellStyle name="Desc 2 2 2 2" xfId="37630" xr:uid="{00000000-0005-0000-0000-0000D4280000}"/>
    <cellStyle name="Desc 2 2 3" xfId="16484" xr:uid="{00000000-0005-0000-0000-0000D5280000}"/>
    <cellStyle name="Desc 2 2 3 2" xfId="37734" xr:uid="{00000000-0005-0000-0000-0000D6280000}"/>
    <cellStyle name="Desc 2 2 4" xfId="16401" xr:uid="{00000000-0005-0000-0000-0000D7280000}"/>
    <cellStyle name="Desc 2 2 4 2" xfId="37690" xr:uid="{00000000-0005-0000-0000-0000D8280000}"/>
    <cellStyle name="Desc 2 2 5" xfId="35869" xr:uid="{00000000-0005-0000-0000-0000D9280000}"/>
    <cellStyle name="Desc 2 3" xfId="16323" xr:uid="{00000000-0005-0000-0000-0000DA280000}"/>
    <cellStyle name="Desc 2 3 2" xfId="37629" xr:uid="{00000000-0005-0000-0000-0000DB280000}"/>
    <cellStyle name="Desc 2 4" xfId="16483" xr:uid="{00000000-0005-0000-0000-0000DC280000}"/>
    <cellStyle name="Desc 2 4 2" xfId="37733" xr:uid="{00000000-0005-0000-0000-0000DD280000}"/>
    <cellStyle name="Desc 2 5" xfId="14790" xr:uid="{00000000-0005-0000-0000-0000DE280000}"/>
    <cellStyle name="Desc 2 5 2" xfId="36246" xr:uid="{00000000-0005-0000-0000-0000DF280000}"/>
    <cellStyle name="Desc 2 6" xfId="35868" xr:uid="{00000000-0005-0000-0000-0000E0280000}"/>
    <cellStyle name="Desc 2 7" xfId="40761" xr:uid="{00000000-0005-0000-0000-00000A000000}"/>
    <cellStyle name="Desc 3" xfId="14183" xr:uid="{00000000-0005-0000-0000-0000E1280000}"/>
    <cellStyle name="Desc 3 2" xfId="14184" xr:uid="{00000000-0005-0000-0000-0000E2280000}"/>
    <cellStyle name="Desc 4" xfId="14185" xr:uid="{00000000-0005-0000-0000-0000E3280000}"/>
    <cellStyle name="Desc 5" xfId="14186" xr:uid="{00000000-0005-0000-0000-0000E4280000}"/>
    <cellStyle name="Desc 5 2" xfId="16325" xr:uid="{00000000-0005-0000-0000-0000E5280000}"/>
    <cellStyle name="Desc 5 2 2" xfId="37631" xr:uid="{00000000-0005-0000-0000-0000E6280000}"/>
    <cellStyle name="Desc 5 3" xfId="16485" xr:uid="{00000000-0005-0000-0000-0000E7280000}"/>
    <cellStyle name="Desc 5 3 2" xfId="37735" xr:uid="{00000000-0005-0000-0000-0000E8280000}"/>
    <cellStyle name="Desc 5 4" xfId="14979" xr:uid="{00000000-0005-0000-0000-0000E9280000}"/>
    <cellStyle name="Desc 5 4 2" xfId="36405" xr:uid="{00000000-0005-0000-0000-0000EA280000}"/>
    <cellStyle name="Desc 5 5" xfId="35870" xr:uid="{00000000-0005-0000-0000-0000EB280000}"/>
    <cellStyle name="Desc 6" xfId="16322" xr:uid="{00000000-0005-0000-0000-0000EC280000}"/>
    <cellStyle name="Desc 6 2" xfId="37628" xr:uid="{00000000-0005-0000-0000-0000ED280000}"/>
    <cellStyle name="Desc 7" xfId="16482" xr:uid="{00000000-0005-0000-0000-0000EE280000}"/>
    <cellStyle name="Desc 7 2" xfId="37732" xr:uid="{00000000-0005-0000-0000-0000EF280000}"/>
    <cellStyle name="Desc 8" xfId="14976" xr:uid="{00000000-0005-0000-0000-0000F0280000}"/>
    <cellStyle name="Desc 8 2" xfId="36404" xr:uid="{00000000-0005-0000-0000-0000F1280000}"/>
    <cellStyle name="Desc 9" xfId="35867" xr:uid="{00000000-0005-0000-0000-0000F2280000}"/>
    <cellStyle name="Description" xfId="14187" xr:uid="{00000000-0005-0000-0000-0000F3280000}"/>
    <cellStyle name="DocBox_EmptyRow" xfId="11464" xr:uid="{00000000-0005-0000-0000-0000F4280000}"/>
    <cellStyle name="donn_normal" xfId="3294" xr:uid="{00000000-0005-0000-0000-0000F5280000}"/>
    <cellStyle name="EEMS Header" xfId="11514" xr:uid="{00000000-0005-0000-0000-0000F6280000}"/>
    <cellStyle name="EEMS row" xfId="11515" xr:uid="{00000000-0005-0000-0000-0000F7280000}"/>
    <cellStyle name="Eingabe" xfId="14085" xr:uid="{00000000-0005-0000-0000-0000F8280000}"/>
    <cellStyle name="Eingabe 2" xfId="16451" xr:uid="{00000000-0005-0000-0000-0000F9280000}"/>
    <cellStyle name="Eingabe 2 2" xfId="37720" xr:uid="{00000000-0005-0000-0000-0000FA280000}"/>
    <cellStyle name="Eingabe 3" xfId="16552" xr:uid="{00000000-0005-0000-0000-0000FB280000}"/>
    <cellStyle name="Eingabe 3 2" xfId="37769" xr:uid="{00000000-0005-0000-0000-0000FC280000}"/>
    <cellStyle name="Eingabe 4" xfId="15459" xr:uid="{00000000-0005-0000-0000-0000FD280000}"/>
    <cellStyle name="Eingabe 5" xfId="39349" xr:uid="{00000000-0005-0000-0000-000097080000}"/>
    <cellStyle name="Eingabe 6" xfId="41275" xr:uid="{00000000-0005-0000-0000-000097080000}"/>
    <cellStyle name="Ellenőrzőcella" xfId="86" xr:uid="{00000000-0005-0000-0000-0000FE280000}"/>
    <cellStyle name="Ellenőrzőcella 2" xfId="4437" xr:uid="{00000000-0005-0000-0000-0000FF280000}"/>
    <cellStyle name="Ellenőrzőcella 2 2" xfId="22897" xr:uid="{00000000-0005-0000-0000-000000290000}"/>
    <cellStyle name="Ellenőrzőcella 3" xfId="5951" xr:uid="{00000000-0005-0000-0000-000001290000}"/>
    <cellStyle name="Ellenőrzőcella 3 2" xfId="24392" xr:uid="{00000000-0005-0000-0000-000002290000}"/>
    <cellStyle name="Ellenőrzőcella 4" xfId="7138" xr:uid="{00000000-0005-0000-0000-000003290000}"/>
    <cellStyle name="Ellenőrzőcella 4 2" xfId="25572" xr:uid="{00000000-0005-0000-0000-000004290000}"/>
    <cellStyle name="Ellenőrzőcella 5" xfId="7426" xr:uid="{00000000-0005-0000-0000-000005290000}"/>
    <cellStyle name="Ellenőrzőcella 5 2" xfId="25857" xr:uid="{00000000-0005-0000-0000-000006290000}"/>
    <cellStyle name="Ellenőrzőcella 6" xfId="8213" xr:uid="{00000000-0005-0000-0000-000007290000}"/>
    <cellStyle name="Ellenőrzőcella 6 2" xfId="26638" xr:uid="{00000000-0005-0000-0000-000008290000}"/>
    <cellStyle name="Ellenőrzőcella 7" xfId="17015" xr:uid="{00000000-0005-0000-0000-000009290000}"/>
    <cellStyle name="Empty_B_border" xfId="11516" xr:uid="{00000000-0005-0000-0000-00000A290000}"/>
    <cellStyle name="ent_col_ser" xfId="3295" xr:uid="{00000000-0005-0000-0000-00000B290000}"/>
    <cellStyle name="entete_source" xfId="3296" xr:uid="{00000000-0005-0000-0000-00000C290000}"/>
    <cellStyle name="Entrée" xfId="31" xr:uid="{00000000-0005-0000-0000-00000D290000}"/>
    <cellStyle name="Entrée 10" xfId="3754" xr:uid="{00000000-0005-0000-0000-00000E290000}"/>
    <cellStyle name="Entrée 10 2" xfId="22224" xr:uid="{00000000-0005-0000-0000-00000F290000}"/>
    <cellStyle name="Entrée 10 3" xfId="17438" xr:uid="{00000000-0005-0000-0000-000010290000}"/>
    <cellStyle name="Entrée 11" xfId="17083" xr:uid="{00000000-0005-0000-0000-000011290000}"/>
    <cellStyle name="Entrée 12" xfId="16629" xr:uid="{00000000-0005-0000-0000-000012290000}"/>
    <cellStyle name="Entrée 2" xfId="50" xr:uid="{00000000-0005-0000-0000-000013290000}"/>
    <cellStyle name="Entrée 2 10" xfId="17077" xr:uid="{00000000-0005-0000-0000-000014290000}"/>
    <cellStyle name="Entrée 2 11" xfId="16636" xr:uid="{00000000-0005-0000-0000-000015290000}"/>
    <cellStyle name="Entrée 2 2" xfId="4427" xr:uid="{00000000-0005-0000-0000-000016290000}"/>
    <cellStyle name="Entrée 2 2 2" xfId="22887" xr:uid="{00000000-0005-0000-0000-000017290000}"/>
    <cellStyle name="Entrée 2 2 3" xfId="18107" xr:uid="{00000000-0005-0000-0000-000018290000}"/>
    <cellStyle name="Entrée 2 3" xfId="5831" xr:uid="{00000000-0005-0000-0000-000019290000}"/>
    <cellStyle name="Entrée 2 3 2" xfId="24278" xr:uid="{00000000-0005-0000-0000-00001A290000}"/>
    <cellStyle name="Entrée 2 3 3" xfId="19387" xr:uid="{00000000-0005-0000-0000-00001B290000}"/>
    <cellStyle name="Entrée 2 4" xfId="5934" xr:uid="{00000000-0005-0000-0000-00001C290000}"/>
    <cellStyle name="Entrée 2 4 2" xfId="24376" xr:uid="{00000000-0005-0000-0000-00001D290000}"/>
    <cellStyle name="Entrée 2 4 3" xfId="19487" xr:uid="{00000000-0005-0000-0000-00001E290000}"/>
    <cellStyle name="Entrée 2 5" xfId="7033" xr:uid="{00000000-0005-0000-0000-00001F290000}"/>
    <cellStyle name="Entrée 2 5 2" xfId="25471" xr:uid="{00000000-0005-0000-0000-000020290000}"/>
    <cellStyle name="Entrée 2 5 3" xfId="20408" xr:uid="{00000000-0005-0000-0000-000021290000}"/>
    <cellStyle name="Entrée 2 6" xfId="6174" xr:uid="{00000000-0005-0000-0000-000022290000}"/>
    <cellStyle name="Entrée 2 6 2" xfId="24614" xr:uid="{00000000-0005-0000-0000-000023290000}"/>
    <cellStyle name="Entrée 2 6 3" xfId="19723" xr:uid="{00000000-0005-0000-0000-000024290000}"/>
    <cellStyle name="Entrée 2 7" xfId="7488" xr:uid="{00000000-0005-0000-0000-000025290000}"/>
    <cellStyle name="Entrée 2 7 2" xfId="25919" xr:uid="{00000000-0005-0000-0000-000026290000}"/>
    <cellStyle name="Entrée 2 7 3" xfId="20843" xr:uid="{00000000-0005-0000-0000-000027290000}"/>
    <cellStyle name="Entrée 2 8" xfId="8209" xr:uid="{00000000-0005-0000-0000-000028290000}"/>
    <cellStyle name="Entrée 2 8 2" xfId="26635" xr:uid="{00000000-0005-0000-0000-000029290000}"/>
    <cellStyle name="Entrée 2 8 3" xfId="21561" xr:uid="{00000000-0005-0000-0000-00002A290000}"/>
    <cellStyle name="Entrée 2 9" xfId="3760" xr:uid="{00000000-0005-0000-0000-00002B290000}"/>
    <cellStyle name="Entrée 2 9 2" xfId="22230" xr:uid="{00000000-0005-0000-0000-00002C290000}"/>
    <cellStyle name="Entrée 2 9 3" xfId="17443" xr:uid="{00000000-0005-0000-0000-00002D290000}"/>
    <cellStyle name="Entrée 3" xfId="4418" xr:uid="{00000000-0005-0000-0000-00002E290000}"/>
    <cellStyle name="Entrée 3 2" xfId="22878" xr:uid="{00000000-0005-0000-0000-00002F290000}"/>
    <cellStyle name="Entrée 3 3" xfId="18099" xr:uid="{00000000-0005-0000-0000-000030290000}"/>
    <cellStyle name="Entrée 4" xfId="5838" xr:uid="{00000000-0005-0000-0000-000031290000}"/>
    <cellStyle name="Entrée 4 2" xfId="24285" xr:uid="{00000000-0005-0000-0000-000032290000}"/>
    <cellStyle name="Entrée 4 3" xfId="19393" xr:uid="{00000000-0005-0000-0000-000033290000}"/>
    <cellStyle name="Entrée 5" xfId="5928" xr:uid="{00000000-0005-0000-0000-000034290000}"/>
    <cellStyle name="Entrée 5 2" xfId="24370" xr:uid="{00000000-0005-0000-0000-000035290000}"/>
    <cellStyle name="Entrée 5 3" xfId="19481" xr:uid="{00000000-0005-0000-0000-000036290000}"/>
    <cellStyle name="Entrée 6" xfId="7047" xr:uid="{00000000-0005-0000-0000-000037290000}"/>
    <cellStyle name="Entrée 6 2" xfId="25485" xr:uid="{00000000-0005-0000-0000-000038290000}"/>
    <cellStyle name="Entrée 6 3" xfId="20422" xr:uid="{00000000-0005-0000-0000-000039290000}"/>
    <cellStyle name="Entrée 7" xfId="6169" xr:uid="{00000000-0005-0000-0000-00003A290000}"/>
    <cellStyle name="Entrée 7 2" xfId="24609" xr:uid="{00000000-0005-0000-0000-00003B290000}"/>
    <cellStyle name="Entrée 7 3" xfId="19719" xr:uid="{00000000-0005-0000-0000-00003C290000}"/>
    <cellStyle name="Entrée 8" xfId="7493" xr:uid="{00000000-0005-0000-0000-00003D290000}"/>
    <cellStyle name="Entrée 8 2" xfId="25924" xr:uid="{00000000-0005-0000-0000-00003E290000}"/>
    <cellStyle name="Entrée 8 3" xfId="20848" xr:uid="{00000000-0005-0000-0000-00003F290000}"/>
    <cellStyle name="Entrée 9" xfId="8203" xr:uid="{00000000-0005-0000-0000-000040290000}"/>
    <cellStyle name="Entrée 9 2" xfId="26629" xr:uid="{00000000-0005-0000-0000-000041290000}"/>
    <cellStyle name="Entrée 9 3" xfId="21556" xr:uid="{00000000-0005-0000-0000-000042290000}"/>
    <cellStyle name="Ergebnis" xfId="14086" xr:uid="{00000000-0005-0000-0000-000043290000}"/>
    <cellStyle name="Ergebnis 2" xfId="16452" xr:uid="{00000000-0005-0000-0000-000044290000}"/>
    <cellStyle name="Ergebnis 2 2" xfId="37721" xr:uid="{00000000-0005-0000-0000-000045290000}"/>
    <cellStyle name="Ergebnis 3" xfId="16479" xr:uid="{00000000-0005-0000-0000-000046290000}"/>
    <cellStyle name="Ergebnis 4" xfId="39350" xr:uid="{00000000-0005-0000-0000-00009B080000}"/>
    <cellStyle name="Erklärender Text" xfId="14087" xr:uid="{00000000-0005-0000-0000-000047290000}"/>
    <cellStyle name="Estilo 1" xfId="39351" xr:uid="{00000000-0005-0000-0000-00009D080000}"/>
    <cellStyle name="Euro" xfId="1709" xr:uid="{00000000-0005-0000-0000-000048290000}"/>
    <cellStyle name="Euro 10" xfId="1710" xr:uid="{00000000-0005-0000-0000-000049290000}"/>
    <cellStyle name="Euro 10 2" xfId="1711" xr:uid="{00000000-0005-0000-0000-00004A290000}"/>
    <cellStyle name="Euro 10 2 2" xfId="14189" xr:uid="{00000000-0005-0000-0000-00004B290000}"/>
    <cellStyle name="Euro 10 2 3" xfId="14190" xr:uid="{00000000-0005-0000-0000-00004C290000}"/>
    <cellStyle name="Euro 10 2 4" xfId="14188" xr:uid="{00000000-0005-0000-0000-00004D290000}"/>
    <cellStyle name="Euro 10 2 5" xfId="39354" xr:uid="{00000000-0005-0000-0000-0000A0080000}"/>
    <cellStyle name="Euro 10 3" xfId="1712" xr:uid="{00000000-0005-0000-0000-00004E290000}"/>
    <cellStyle name="Euro 10 3 2" xfId="14191" xr:uid="{00000000-0005-0000-0000-00004F290000}"/>
    <cellStyle name="Euro 10 4" xfId="1713" xr:uid="{00000000-0005-0000-0000-000050290000}"/>
    <cellStyle name="Euro 10 5" xfId="1714" xr:uid="{00000000-0005-0000-0000-000051290000}"/>
    <cellStyle name="Euro 10 6" xfId="39353" xr:uid="{00000000-0005-0000-0000-00009F080000}"/>
    <cellStyle name="Euro 11" xfId="1715" xr:uid="{00000000-0005-0000-0000-000052290000}"/>
    <cellStyle name="Euro 11 2" xfId="1716" xr:uid="{00000000-0005-0000-0000-000053290000}"/>
    <cellStyle name="Euro 11 2 2" xfId="14193" xr:uid="{00000000-0005-0000-0000-000054290000}"/>
    <cellStyle name="Euro 11 2 3" xfId="14194" xr:uid="{00000000-0005-0000-0000-000055290000}"/>
    <cellStyle name="Euro 11 2 4" xfId="14192" xr:uid="{00000000-0005-0000-0000-000056290000}"/>
    <cellStyle name="Euro 11 2 5" xfId="39356" xr:uid="{00000000-0005-0000-0000-0000A2080000}"/>
    <cellStyle name="Euro 11 3" xfId="1717" xr:uid="{00000000-0005-0000-0000-000057290000}"/>
    <cellStyle name="Euro 11 3 2" xfId="14195" xr:uid="{00000000-0005-0000-0000-000058290000}"/>
    <cellStyle name="Euro 11 4" xfId="1718" xr:uid="{00000000-0005-0000-0000-000059290000}"/>
    <cellStyle name="Euro 11 5" xfId="1719" xr:uid="{00000000-0005-0000-0000-00005A290000}"/>
    <cellStyle name="Euro 11 6" xfId="39355" xr:uid="{00000000-0005-0000-0000-0000A1080000}"/>
    <cellStyle name="Euro 12" xfId="1720" xr:uid="{00000000-0005-0000-0000-00005B290000}"/>
    <cellStyle name="Euro 12 2" xfId="1721" xr:uid="{00000000-0005-0000-0000-00005C290000}"/>
    <cellStyle name="Euro 12 2 2" xfId="14197" xr:uid="{00000000-0005-0000-0000-00005D290000}"/>
    <cellStyle name="Euro 12 2 3" xfId="14198" xr:uid="{00000000-0005-0000-0000-00005E290000}"/>
    <cellStyle name="Euro 12 2 4" xfId="14196" xr:uid="{00000000-0005-0000-0000-00005F290000}"/>
    <cellStyle name="Euro 12 3" xfId="11641" xr:uid="{00000000-0005-0000-0000-000060290000}"/>
    <cellStyle name="Euro 12 4" xfId="39357" xr:uid="{00000000-0005-0000-0000-0000A3080000}"/>
    <cellStyle name="Euro 13" xfId="1722" xr:uid="{00000000-0005-0000-0000-000061290000}"/>
    <cellStyle name="Euro 13 2" xfId="14200" xr:uid="{00000000-0005-0000-0000-000062290000}"/>
    <cellStyle name="Euro 13 3" xfId="14201" xr:uid="{00000000-0005-0000-0000-000063290000}"/>
    <cellStyle name="Euro 13 4" xfId="14199" xr:uid="{00000000-0005-0000-0000-000064290000}"/>
    <cellStyle name="Euro 13 5" xfId="39358" xr:uid="{00000000-0005-0000-0000-0000A4080000}"/>
    <cellStyle name="Euro 14" xfId="1723" xr:uid="{00000000-0005-0000-0000-000065290000}"/>
    <cellStyle name="Euro 14 2" xfId="1724" xr:uid="{00000000-0005-0000-0000-000066290000}"/>
    <cellStyle name="Euro 14 2 2" xfId="14203" xr:uid="{00000000-0005-0000-0000-000067290000}"/>
    <cellStyle name="Euro 14 3" xfId="9762" xr:uid="{00000000-0005-0000-0000-000068290000}"/>
    <cellStyle name="Euro 14 4" xfId="14202" xr:uid="{00000000-0005-0000-0000-000069290000}"/>
    <cellStyle name="Euro 15" xfId="1725" xr:uid="{00000000-0005-0000-0000-00006A290000}"/>
    <cellStyle name="Euro 15 2" xfId="1726" xr:uid="{00000000-0005-0000-0000-00006B290000}"/>
    <cellStyle name="Euro 15 3" xfId="9763" xr:uid="{00000000-0005-0000-0000-00006C290000}"/>
    <cellStyle name="Euro 15 4" xfId="14204" xr:uid="{00000000-0005-0000-0000-00006D290000}"/>
    <cellStyle name="Euro 16" xfId="1727" xr:uid="{00000000-0005-0000-0000-00006E290000}"/>
    <cellStyle name="Euro 17" xfId="1728" xr:uid="{00000000-0005-0000-0000-00006F290000}"/>
    <cellStyle name="Euro 18" xfId="1729" xr:uid="{00000000-0005-0000-0000-000070290000}"/>
    <cellStyle name="Euro 19" xfId="1730" xr:uid="{00000000-0005-0000-0000-000071290000}"/>
    <cellStyle name="Euro 19 2" xfId="9764" xr:uid="{00000000-0005-0000-0000-000072290000}"/>
    <cellStyle name="Euro 19 3" xfId="39359" xr:uid="{00000000-0005-0000-0000-0000AA080000}"/>
    <cellStyle name="Euro 2" xfId="1731" xr:uid="{00000000-0005-0000-0000-000073290000}"/>
    <cellStyle name="Euro 2 2" xfId="1732" xr:uid="{00000000-0005-0000-0000-000074290000}"/>
    <cellStyle name="Euro 2 2 2" xfId="3682" xr:uid="{00000000-0005-0000-0000-000075290000}"/>
    <cellStyle name="Euro 2 2 2 2" xfId="14206" xr:uid="{00000000-0005-0000-0000-000076290000}"/>
    <cellStyle name="Euro 2 2 2 2 2" xfId="35871" xr:uid="{00000000-0005-0000-0000-000077290000}"/>
    <cellStyle name="Euro 2 2 2 2 3" xfId="29219" xr:uid="{00000000-0005-0000-0000-000078290000}"/>
    <cellStyle name="Euro 2 2 2 3" xfId="9765" xr:uid="{00000000-0005-0000-0000-000079290000}"/>
    <cellStyle name="Euro 2 2 2 3 2" xfId="33297" xr:uid="{00000000-0005-0000-0000-00007A290000}"/>
    <cellStyle name="Euro 2 2 2 3 3" xfId="28198" xr:uid="{00000000-0005-0000-0000-00007B290000}"/>
    <cellStyle name="Euro 2 2 2 4" xfId="27378" xr:uid="{00000000-0005-0000-0000-00007C290000}"/>
    <cellStyle name="Euro 2 2 3" xfId="9766" xr:uid="{00000000-0005-0000-0000-00007D290000}"/>
    <cellStyle name="Euro 2 2 3 2" xfId="14207" xr:uid="{00000000-0005-0000-0000-00007E290000}"/>
    <cellStyle name="Euro 2 2 4" xfId="14089" xr:uid="{00000000-0005-0000-0000-00007F290000}"/>
    <cellStyle name="Euro 2 2 5" xfId="14205" xr:uid="{00000000-0005-0000-0000-000080290000}"/>
    <cellStyle name="Euro 2 3" xfId="1733" xr:uid="{00000000-0005-0000-0000-000081290000}"/>
    <cellStyle name="Euro 2 3 2" xfId="3683" xr:uid="{00000000-0005-0000-0000-000082290000}"/>
    <cellStyle name="Euro 2 3 2 2" xfId="14208" xr:uid="{00000000-0005-0000-0000-000083290000}"/>
    <cellStyle name="Euro 2 3 2 3" xfId="39362" xr:uid="{00000000-0005-0000-0000-0000B3080000}"/>
    <cellStyle name="Euro 2 3 3" xfId="39361" xr:uid="{00000000-0005-0000-0000-0000B2080000}"/>
    <cellStyle name="Euro 2 4" xfId="1734" xr:uid="{00000000-0005-0000-0000-000084290000}"/>
    <cellStyle name="Euro 2 4 2" xfId="3720" xr:uid="{00000000-0005-0000-0000-000085290000}"/>
    <cellStyle name="Euro 2 4 3" xfId="39363" xr:uid="{00000000-0005-0000-0000-0000B4080000}"/>
    <cellStyle name="Euro 2 5" xfId="1735" xr:uid="{00000000-0005-0000-0000-000086290000}"/>
    <cellStyle name="Euro 2 5 2" xfId="39360" xr:uid="{00000000-0005-0000-0000-0000B5080000}"/>
    <cellStyle name="Euro 2 6" xfId="1736" xr:uid="{00000000-0005-0000-0000-000087290000}"/>
    <cellStyle name="Euro 2 6 2" xfId="14088" xr:uid="{00000000-0005-0000-0000-000088290000}"/>
    <cellStyle name="Euro 2 7" xfId="3297" xr:uid="{00000000-0005-0000-0000-000089290000}"/>
    <cellStyle name="Euro 2 8" xfId="3681" xr:uid="{00000000-0005-0000-0000-00008A290000}"/>
    <cellStyle name="Euro 20" xfId="1737" xr:uid="{00000000-0005-0000-0000-00008B290000}"/>
    <cellStyle name="Euro 20 2" xfId="39364" xr:uid="{00000000-0005-0000-0000-0000B6080000}"/>
    <cellStyle name="Euro 21" xfId="1738" xr:uid="{00000000-0005-0000-0000-00008C290000}"/>
    <cellStyle name="Euro 21 2" xfId="9767" xr:uid="{00000000-0005-0000-0000-00008D290000}"/>
    <cellStyle name="Euro 21 3" xfId="39365" xr:uid="{00000000-0005-0000-0000-0000B7080000}"/>
    <cellStyle name="Euro 22" xfId="3680" xr:uid="{00000000-0005-0000-0000-00008E290000}"/>
    <cellStyle name="Euro 22 2" xfId="9768" xr:uid="{00000000-0005-0000-0000-00008F290000}"/>
    <cellStyle name="Euro 22 3" xfId="28438" xr:uid="{00000000-0005-0000-0000-000090290000}"/>
    <cellStyle name="Euro 22 4" xfId="28199" xr:uid="{00000000-0005-0000-0000-000091290000}"/>
    <cellStyle name="Euro 22 5" xfId="27379" xr:uid="{00000000-0005-0000-0000-000092290000}"/>
    <cellStyle name="Euro 22 6" xfId="39366" xr:uid="{00000000-0005-0000-0000-0000B8080000}"/>
    <cellStyle name="Euro 23" xfId="9769" xr:uid="{00000000-0005-0000-0000-000093290000}"/>
    <cellStyle name="Euro 23 2" xfId="28439" xr:uid="{00000000-0005-0000-0000-000094290000}"/>
    <cellStyle name="Euro 24" xfId="11526" xr:uid="{00000000-0005-0000-0000-000095290000}"/>
    <cellStyle name="Euro 24 2" xfId="29680" xr:uid="{00000000-0005-0000-0000-000096290000}"/>
    <cellStyle name="Euro 24 3" xfId="39367" xr:uid="{00000000-0005-0000-0000-0000BA080000}"/>
    <cellStyle name="Euro 25" xfId="39368" xr:uid="{00000000-0005-0000-0000-0000BB080000}"/>
    <cellStyle name="Euro 26" xfId="39369" xr:uid="{00000000-0005-0000-0000-0000BC080000}"/>
    <cellStyle name="Euro 27" xfId="39370" xr:uid="{00000000-0005-0000-0000-0000BD080000}"/>
    <cellStyle name="Euro 28" xfId="39371" xr:uid="{00000000-0005-0000-0000-0000BE080000}"/>
    <cellStyle name="Euro 29" xfId="39372" xr:uid="{00000000-0005-0000-0000-0000BF080000}"/>
    <cellStyle name="Euro 3" xfId="1739" xr:uid="{00000000-0005-0000-0000-000097290000}"/>
    <cellStyle name="Euro 3 2" xfId="1740" xr:uid="{00000000-0005-0000-0000-000098290000}"/>
    <cellStyle name="Euro 3 2 2" xfId="14210" xr:uid="{00000000-0005-0000-0000-000099290000}"/>
    <cellStyle name="Euro 3 2 2 2" xfId="39374" xr:uid="{00000000-0005-0000-0000-0000C2080000}"/>
    <cellStyle name="Euro 3 2 3" xfId="14211" xr:uid="{00000000-0005-0000-0000-00009A290000}"/>
    <cellStyle name="Euro 3 2 4" xfId="14209" xr:uid="{00000000-0005-0000-0000-00009B290000}"/>
    <cellStyle name="Euro 3 2 5" xfId="39373" xr:uid="{00000000-0005-0000-0000-0000C1080000}"/>
    <cellStyle name="Euro 3 3" xfId="1741" xr:uid="{00000000-0005-0000-0000-00009C290000}"/>
    <cellStyle name="Euro 3 3 2" xfId="9770" xr:uid="{00000000-0005-0000-0000-00009D290000}"/>
    <cellStyle name="Euro 3 3 3" xfId="9771" xr:uid="{00000000-0005-0000-0000-00009E290000}"/>
    <cellStyle name="Euro 3 3 4" xfId="9772" xr:uid="{00000000-0005-0000-0000-00009F290000}"/>
    <cellStyle name="Euro 3 3 5" xfId="14212" xr:uid="{00000000-0005-0000-0000-0000A0290000}"/>
    <cellStyle name="Euro 3 3 6" xfId="39375" xr:uid="{00000000-0005-0000-0000-0000C3080000}"/>
    <cellStyle name="Euro 3 4" xfId="1742" xr:uid="{00000000-0005-0000-0000-0000A1290000}"/>
    <cellStyle name="Euro 3 4 2" xfId="9773" xr:uid="{00000000-0005-0000-0000-0000A2290000}"/>
    <cellStyle name="Euro 3 5" xfId="1743" xr:uid="{00000000-0005-0000-0000-0000A3290000}"/>
    <cellStyle name="Euro 3 6" xfId="1744" xr:uid="{00000000-0005-0000-0000-0000A4290000}"/>
    <cellStyle name="Euro 3 7" xfId="1745" xr:uid="{00000000-0005-0000-0000-0000A5290000}"/>
    <cellStyle name="Euro 3 7 2" xfId="9774" xr:uid="{00000000-0005-0000-0000-0000A6290000}"/>
    <cellStyle name="Euro 3 7 3" xfId="28200" xr:uid="{00000000-0005-0000-0000-0000A7290000}"/>
    <cellStyle name="Euro 3 7 4" xfId="27380" xr:uid="{00000000-0005-0000-0000-0000A8290000}"/>
    <cellStyle name="Euro 3 8" xfId="3684" xr:uid="{00000000-0005-0000-0000-0000A9290000}"/>
    <cellStyle name="Euro 3_PrimaryEnergyPrices_TIMES" xfId="39376" xr:uid="{00000000-0005-0000-0000-0000C6080000}"/>
    <cellStyle name="Euro 30" xfId="39377" xr:uid="{00000000-0005-0000-0000-0000C7080000}"/>
    <cellStyle name="Euro 31" xfId="39378" xr:uid="{00000000-0005-0000-0000-0000C8080000}"/>
    <cellStyle name="Euro 32" xfId="39379" xr:uid="{00000000-0005-0000-0000-0000C9080000}"/>
    <cellStyle name="Euro 33" xfId="39380" xr:uid="{00000000-0005-0000-0000-0000CA080000}"/>
    <cellStyle name="Euro 34" xfId="39381" xr:uid="{00000000-0005-0000-0000-0000CB080000}"/>
    <cellStyle name="Euro 35" xfId="39382" xr:uid="{00000000-0005-0000-0000-0000CC080000}"/>
    <cellStyle name="Euro 36" xfId="39383" xr:uid="{00000000-0005-0000-0000-0000CD080000}"/>
    <cellStyle name="Euro 37" xfId="39384" xr:uid="{00000000-0005-0000-0000-0000CE080000}"/>
    <cellStyle name="Euro 38" xfId="39385" xr:uid="{00000000-0005-0000-0000-0000CF080000}"/>
    <cellStyle name="Euro 39" xfId="39386" xr:uid="{00000000-0005-0000-0000-0000D0080000}"/>
    <cellStyle name="Euro 4" xfId="1746" xr:uid="{00000000-0005-0000-0000-0000AA290000}"/>
    <cellStyle name="Euro 4 2" xfId="1747" xr:uid="{00000000-0005-0000-0000-0000AB290000}"/>
    <cellStyle name="Euro 4 2 2" xfId="9775" xr:uid="{00000000-0005-0000-0000-0000AC290000}"/>
    <cellStyle name="Euro 4 2 2 2" xfId="39388" xr:uid="{00000000-0005-0000-0000-0000D3080000}"/>
    <cellStyle name="Euro 4 2 3" xfId="14213" xr:uid="{00000000-0005-0000-0000-0000AD290000}"/>
    <cellStyle name="Euro 4 2 4" xfId="39387" xr:uid="{00000000-0005-0000-0000-0000D2080000}"/>
    <cellStyle name="Euro 4 3" xfId="1748" xr:uid="{00000000-0005-0000-0000-0000AE290000}"/>
    <cellStyle name="Euro 4 3 2" xfId="9776" xr:uid="{00000000-0005-0000-0000-0000AF290000}"/>
    <cellStyle name="Euro 4 3 3" xfId="9777" xr:uid="{00000000-0005-0000-0000-0000B0290000}"/>
    <cellStyle name="Euro 4 3 4" xfId="9778" xr:uid="{00000000-0005-0000-0000-0000B1290000}"/>
    <cellStyle name="Euro 4 3 5" xfId="14214" xr:uid="{00000000-0005-0000-0000-0000B2290000}"/>
    <cellStyle name="Euro 4 4" xfId="1749" xr:uid="{00000000-0005-0000-0000-0000B3290000}"/>
    <cellStyle name="Euro 4 4 2" xfId="9779" xr:uid="{00000000-0005-0000-0000-0000B4290000}"/>
    <cellStyle name="Euro 4 5" xfId="1750" xr:uid="{00000000-0005-0000-0000-0000B5290000}"/>
    <cellStyle name="Euro 4 6" xfId="9780" xr:uid="{00000000-0005-0000-0000-0000B6290000}"/>
    <cellStyle name="Euro 40" xfId="39389" xr:uid="{00000000-0005-0000-0000-0000D6080000}"/>
    <cellStyle name="Euro 41" xfId="39390" xr:uid="{00000000-0005-0000-0000-0000D7080000}"/>
    <cellStyle name="Euro 42" xfId="39391" xr:uid="{00000000-0005-0000-0000-0000D8080000}"/>
    <cellStyle name="Euro 43" xfId="39392" xr:uid="{00000000-0005-0000-0000-0000D9080000}"/>
    <cellStyle name="Euro 44" xfId="39393" xr:uid="{00000000-0005-0000-0000-0000DA080000}"/>
    <cellStyle name="Euro 45" xfId="39394" xr:uid="{00000000-0005-0000-0000-0000DB080000}"/>
    <cellStyle name="Euro 46" xfId="39395" xr:uid="{00000000-0005-0000-0000-0000DC080000}"/>
    <cellStyle name="Euro 47" xfId="39396" xr:uid="{00000000-0005-0000-0000-0000DD080000}"/>
    <cellStyle name="Euro 48" xfId="39397" xr:uid="{00000000-0005-0000-0000-0000DE080000}"/>
    <cellStyle name="Euro 48 2" xfId="39398" xr:uid="{00000000-0005-0000-0000-0000DF080000}"/>
    <cellStyle name="Euro 49" xfId="39399" xr:uid="{00000000-0005-0000-0000-0000E0080000}"/>
    <cellStyle name="Euro 49 2" xfId="39400" xr:uid="{00000000-0005-0000-0000-0000E1080000}"/>
    <cellStyle name="Euro 5" xfId="1751" xr:uid="{00000000-0005-0000-0000-0000B7290000}"/>
    <cellStyle name="Euro 5 2" xfId="1752" xr:uid="{00000000-0005-0000-0000-0000B8290000}"/>
    <cellStyle name="Euro 5 2 2" xfId="9781" xr:uid="{00000000-0005-0000-0000-0000B9290000}"/>
    <cellStyle name="Euro 5 2 2 2" xfId="14216" xr:uid="{00000000-0005-0000-0000-0000BA290000}"/>
    <cellStyle name="Euro 5 2 2 3" xfId="39401" xr:uid="{00000000-0005-0000-0000-0000E4080000}"/>
    <cellStyle name="Euro 5 2 3" xfId="14217" xr:uid="{00000000-0005-0000-0000-0000BB290000}"/>
    <cellStyle name="Euro 5 2 4" xfId="14215" xr:uid="{00000000-0005-0000-0000-0000BC290000}"/>
    <cellStyle name="Euro 5 3" xfId="1753" xr:uid="{00000000-0005-0000-0000-0000BD290000}"/>
    <cellStyle name="Euro 5 3 2" xfId="9782" xr:uid="{00000000-0005-0000-0000-0000BE290000}"/>
    <cellStyle name="Euro 5 3 3" xfId="14218" xr:uid="{00000000-0005-0000-0000-0000BF290000}"/>
    <cellStyle name="Euro 5 4" xfId="1754" xr:uid="{00000000-0005-0000-0000-0000C0290000}"/>
    <cellStyle name="Euro 5 5" xfId="1755" xr:uid="{00000000-0005-0000-0000-0000C1290000}"/>
    <cellStyle name="Euro 5 6" xfId="9783" xr:uid="{00000000-0005-0000-0000-0000C2290000}"/>
    <cellStyle name="Euro 50" xfId="39402" xr:uid="{00000000-0005-0000-0000-0000E6080000}"/>
    <cellStyle name="Euro 50 2" xfId="39403" xr:uid="{00000000-0005-0000-0000-0000E7080000}"/>
    <cellStyle name="Euro 51" xfId="39404" xr:uid="{00000000-0005-0000-0000-0000E8080000}"/>
    <cellStyle name="Euro 51 2" xfId="39405" xr:uid="{00000000-0005-0000-0000-0000E9080000}"/>
    <cellStyle name="Euro 52" xfId="39406" xr:uid="{00000000-0005-0000-0000-0000EA080000}"/>
    <cellStyle name="Euro 52 2" xfId="39407" xr:uid="{00000000-0005-0000-0000-0000EB080000}"/>
    <cellStyle name="Euro 53" xfId="39408" xr:uid="{00000000-0005-0000-0000-0000EC080000}"/>
    <cellStyle name="Euro 53 2" xfId="39409" xr:uid="{00000000-0005-0000-0000-0000ED080000}"/>
    <cellStyle name="Euro 54" xfId="39410" xr:uid="{00000000-0005-0000-0000-0000EE080000}"/>
    <cellStyle name="Euro 54 2" xfId="39411" xr:uid="{00000000-0005-0000-0000-0000EF080000}"/>
    <cellStyle name="Euro 55" xfId="39412" xr:uid="{00000000-0005-0000-0000-0000F0080000}"/>
    <cellStyle name="Euro 55 2" xfId="39413" xr:uid="{00000000-0005-0000-0000-0000F1080000}"/>
    <cellStyle name="Euro 56" xfId="39414" xr:uid="{00000000-0005-0000-0000-0000F2080000}"/>
    <cellStyle name="Euro 56 2" xfId="39415" xr:uid="{00000000-0005-0000-0000-0000F3080000}"/>
    <cellStyle name="Euro 57" xfId="39416" xr:uid="{00000000-0005-0000-0000-0000F4080000}"/>
    <cellStyle name="Euro 58" xfId="39417" xr:uid="{00000000-0005-0000-0000-0000F5080000}"/>
    <cellStyle name="Euro 59" xfId="39352" xr:uid="{00000000-0005-0000-0000-0000F6080000}"/>
    <cellStyle name="Euro 6" xfId="1756" xr:uid="{00000000-0005-0000-0000-0000C3290000}"/>
    <cellStyle name="Euro 6 2" xfId="1757" xr:uid="{00000000-0005-0000-0000-0000C4290000}"/>
    <cellStyle name="Euro 6 2 2" xfId="14220" xr:uid="{00000000-0005-0000-0000-0000C5290000}"/>
    <cellStyle name="Euro 6 2 2 2" xfId="39420" xr:uid="{00000000-0005-0000-0000-0000F9080000}"/>
    <cellStyle name="Euro 6 2 3" xfId="14221" xr:uid="{00000000-0005-0000-0000-0000C6290000}"/>
    <cellStyle name="Euro 6 2 4" xfId="14219" xr:uid="{00000000-0005-0000-0000-0000C7290000}"/>
    <cellStyle name="Euro 6 2 5" xfId="39419" xr:uid="{00000000-0005-0000-0000-0000F8080000}"/>
    <cellStyle name="Euro 6 3" xfId="1758" xr:uid="{00000000-0005-0000-0000-0000C8290000}"/>
    <cellStyle name="Euro 6 3 2" xfId="14222" xr:uid="{00000000-0005-0000-0000-0000C9290000}"/>
    <cellStyle name="Euro 6 4" xfId="1759" xr:uid="{00000000-0005-0000-0000-0000CA290000}"/>
    <cellStyle name="Euro 6 5" xfId="1760" xr:uid="{00000000-0005-0000-0000-0000CB290000}"/>
    <cellStyle name="Euro 6 6" xfId="9784" xr:uid="{00000000-0005-0000-0000-0000CC290000}"/>
    <cellStyle name="Euro 6 7" xfId="39418" xr:uid="{00000000-0005-0000-0000-0000F7080000}"/>
    <cellStyle name="Euro 7" xfId="1761" xr:uid="{00000000-0005-0000-0000-0000CD290000}"/>
    <cellStyle name="Euro 7 2" xfId="1762" xr:uid="{00000000-0005-0000-0000-0000CE290000}"/>
    <cellStyle name="Euro 7 2 2" xfId="14224" xr:uid="{00000000-0005-0000-0000-0000CF290000}"/>
    <cellStyle name="Euro 7 2 3" xfId="14225" xr:uid="{00000000-0005-0000-0000-0000D0290000}"/>
    <cellStyle name="Euro 7 2 4" xfId="14223" xr:uid="{00000000-0005-0000-0000-0000D1290000}"/>
    <cellStyle name="Euro 7 2 5" xfId="39422" xr:uid="{00000000-0005-0000-0000-0000FC080000}"/>
    <cellStyle name="Euro 7 3" xfId="1763" xr:uid="{00000000-0005-0000-0000-0000D2290000}"/>
    <cellStyle name="Euro 7 3 2" xfId="14226" xr:uid="{00000000-0005-0000-0000-0000D3290000}"/>
    <cellStyle name="Euro 7 4" xfId="1764" xr:uid="{00000000-0005-0000-0000-0000D4290000}"/>
    <cellStyle name="Euro 7 5" xfId="1765" xr:uid="{00000000-0005-0000-0000-0000D5290000}"/>
    <cellStyle name="Euro 7 6" xfId="39421" xr:uid="{00000000-0005-0000-0000-0000FB080000}"/>
    <cellStyle name="Euro 8" xfId="1766" xr:uid="{00000000-0005-0000-0000-0000D6290000}"/>
    <cellStyle name="Euro 8 2" xfId="1767" xr:uid="{00000000-0005-0000-0000-0000D7290000}"/>
    <cellStyle name="Euro 8 2 2" xfId="14228" xr:uid="{00000000-0005-0000-0000-0000D8290000}"/>
    <cellStyle name="Euro 8 2 3" xfId="14229" xr:uid="{00000000-0005-0000-0000-0000D9290000}"/>
    <cellStyle name="Euro 8 2 4" xfId="14227" xr:uid="{00000000-0005-0000-0000-0000DA290000}"/>
    <cellStyle name="Euro 8 2 5" xfId="39424" xr:uid="{00000000-0005-0000-0000-0000FF080000}"/>
    <cellStyle name="Euro 8 3" xfId="1768" xr:uid="{00000000-0005-0000-0000-0000DB290000}"/>
    <cellStyle name="Euro 8 3 2" xfId="14230" xr:uid="{00000000-0005-0000-0000-0000DC290000}"/>
    <cellStyle name="Euro 8 4" xfId="1769" xr:uid="{00000000-0005-0000-0000-0000DD290000}"/>
    <cellStyle name="Euro 8 5" xfId="1770" xr:uid="{00000000-0005-0000-0000-0000DE290000}"/>
    <cellStyle name="Euro 8 6" xfId="39423" xr:uid="{00000000-0005-0000-0000-0000FE080000}"/>
    <cellStyle name="Euro 9" xfId="1771" xr:uid="{00000000-0005-0000-0000-0000DF290000}"/>
    <cellStyle name="Euro 9 2" xfId="1772" xr:uid="{00000000-0005-0000-0000-0000E0290000}"/>
    <cellStyle name="Euro 9 2 2" xfId="14232" xr:uid="{00000000-0005-0000-0000-0000E1290000}"/>
    <cellStyle name="Euro 9 2 3" xfId="14233" xr:uid="{00000000-0005-0000-0000-0000E2290000}"/>
    <cellStyle name="Euro 9 2 4" xfId="14231" xr:uid="{00000000-0005-0000-0000-0000E3290000}"/>
    <cellStyle name="Euro 9 2 5" xfId="39426" xr:uid="{00000000-0005-0000-0000-000001090000}"/>
    <cellStyle name="Euro 9 3" xfId="1773" xr:uid="{00000000-0005-0000-0000-0000E4290000}"/>
    <cellStyle name="Euro 9 3 2" xfId="14234" xr:uid="{00000000-0005-0000-0000-0000E5290000}"/>
    <cellStyle name="Euro 9 4" xfId="1774" xr:uid="{00000000-0005-0000-0000-0000E6290000}"/>
    <cellStyle name="Euro 9 5" xfId="1775" xr:uid="{00000000-0005-0000-0000-0000E7290000}"/>
    <cellStyle name="Euro 9 6" xfId="39425" xr:uid="{00000000-0005-0000-0000-000000090000}"/>
    <cellStyle name="Euro_Potentials in TIMES" xfId="14090" xr:uid="{00000000-0005-0000-0000-0000E8290000}"/>
    <cellStyle name="Excel Built-in Normal" xfId="3745" xr:uid="{00000000-0005-0000-0000-0000E9290000}"/>
    <cellStyle name="Explanatory Text 10" xfId="1776" xr:uid="{00000000-0005-0000-0000-0000EA290000}"/>
    <cellStyle name="Explanatory Text 11" xfId="39427" xr:uid="{00000000-0005-0000-0000-000004090000}"/>
    <cellStyle name="Explanatory Text 12" xfId="39428" xr:uid="{00000000-0005-0000-0000-000005090000}"/>
    <cellStyle name="Explanatory Text 13" xfId="39429" xr:uid="{00000000-0005-0000-0000-000006090000}"/>
    <cellStyle name="Explanatory Text 14" xfId="39430" xr:uid="{00000000-0005-0000-0000-000007090000}"/>
    <cellStyle name="Explanatory Text 15" xfId="39431" xr:uid="{00000000-0005-0000-0000-000008090000}"/>
    <cellStyle name="Explanatory Text 16" xfId="39432" xr:uid="{00000000-0005-0000-0000-000009090000}"/>
    <cellStyle name="Explanatory Text 17" xfId="39433" xr:uid="{00000000-0005-0000-0000-00000A090000}"/>
    <cellStyle name="Explanatory Text 18" xfId="39434" xr:uid="{00000000-0005-0000-0000-00000B090000}"/>
    <cellStyle name="Explanatory Text 19" xfId="39435" xr:uid="{00000000-0005-0000-0000-00000C090000}"/>
    <cellStyle name="Explanatory Text 2" xfId="1777" xr:uid="{00000000-0005-0000-0000-0000EB290000}"/>
    <cellStyle name="Explanatory Text 2 10" xfId="1778" xr:uid="{00000000-0005-0000-0000-0000EC290000}"/>
    <cellStyle name="Explanatory Text 2 11" xfId="1779" xr:uid="{00000000-0005-0000-0000-0000ED290000}"/>
    <cellStyle name="Explanatory Text 2 2" xfId="1780" xr:uid="{00000000-0005-0000-0000-0000EE290000}"/>
    <cellStyle name="Explanatory Text 2 3" xfId="1781" xr:uid="{00000000-0005-0000-0000-0000EF290000}"/>
    <cellStyle name="Explanatory Text 2 4" xfId="1782" xr:uid="{00000000-0005-0000-0000-0000F0290000}"/>
    <cellStyle name="Explanatory Text 2 5" xfId="1783" xr:uid="{00000000-0005-0000-0000-0000F1290000}"/>
    <cellStyle name="Explanatory Text 2 6" xfId="1784" xr:uid="{00000000-0005-0000-0000-0000F2290000}"/>
    <cellStyle name="Explanatory Text 2 7" xfId="1785" xr:uid="{00000000-0005-0000-0000-0000F3290000}"/>
    <cellStyle name="Explanatory Text 2 8" xfId="1786" xr:uid="{00000000-0005-0000-0000-0000F4290000}"/>
    <cellStyle name="Explanatory Text 2 9" xfId="1787" xr:uid="{00000000-0005-0000-0000-0000F5290000}"/>
    <cellStyle name="Explanatory Text 20" xfId="39436" xr:uid="{00000000-0005-0000-0000-000017090000}"/>
    <cellStyle name="Explanatory Text 21" xfId="39437" xr:uid="{00000000-0005-0000-0000-000018090000}"/>
    <cellStyle name="Explanatory Text 22" xfId="39438" xr:uid="{00000000-0005-0000-0000-000019090000}"/>
    <cellStyle name="Explanatory Text 23" xfId="39439" xr:uid="{00000000-0005-0000-0000-00001A090000}"/>
    <cellStyle name="Explanatory Text 24" xfId="39440" xr:uid="{00000000-0005-0000-0000-00001B090000}"/>
    <cellStyle name="Explanatory Text 25" xfId="39441" xr:uid="{00000000-0005-0000-0000-00001C090000}"/>
    <cellStyle name="Explanatory Text 26" xfId="39442" xr:uid="{00000000-0005-0000-0000-00001D090000}"/>
    <cellStyle name="Explanatory Text 27" xfId="39443" xr:uid="{00000000-0005-0000-0000-00001E090000}"/>
    <cellStyle name="Explanatory Text 28" xfId="39444" xr:uid="{00000000-0005-0000-0000-00001F090000}"/>
    <cellStyle name="Explanatory Text 29" xfId="39445" xr:uid="{00000000-0005-0000-0000-000020090000}"/>
    <cellStyle name="Explanatory Text 3" xfId="1788" xr:uid="{00000000-0005-0000-0000-0000F6290000}"/>
    <cellStyle name="Explanatory Text 3 10" xfId="1789" xr:uid="{00000000-0005-0000-0000-0000F7290000}"/>
    <cellStyle name="Explanatory Text 3 11" xfId="1790" xr:uid="{00000000-0005-0000-0000-0000F8290000}"/>
    <cellStyle name="Explanatory Text 3 2" xfId="1791" xr:uid="{00000000-0005-0000-0000-0000F9290000}"/>
    <cellStyle name="Explanatory Text 3 3" xfId="1792" xr:uid="{00000000-0005-0000-0000-0000FA290000}"/>
    <cellStyle name="Explanatory Text 3 4" xfId="1793" xr:uid="{00000000-0005-0000-0000-0000FB290000}"/>
    <cellStyle name="Explanatory Text 3 5" xfId="1794" xr:uid="{00000000-0005-0000-0000-0000FC290000}"/>
    <cellStyle name="Explanatory Text 3 6" xfId="1795" xr:uid="{00000000-0005-0000-0000-0000FD290000}"/>
    <cellStyle name="Explanatory Text 3 7" xfId="1796" xr:uid="{00000000-0005-0000-0000-0000FE290000}"/>
    <cellStyle name="Explanatory Text 3 8" xfId="1797" xr:uid="{00000000-0005-0000-0000-0000FF290000}"/>
    <cellStyle name="Explanatory Text 3 9" xfId="1798" xr:uid="{00000000-0005-0000-0000-0000002A0000}"/>
    <cellStyle name="Explanatory Text 30" xfId="39446" xr:uid="{00000000-0005-0000-0000-000022090000}"/>
    <cellStyle name="Explanatory Text 31" xfId="39447" xr:uid="{00000000-0005-0000-0000-000023090000}"/>
    <cellStyle name="Explanatory Text 32" xfId="39448" xr:uid="{00000000-0005-0000-0000-000024090000}"/>
    <cellStyle name="Explanatory Text 33" xfId="39449" xr:uid="{00000000-0005-0000-0000-000025090000}"/>
    <cellStyle name="Explanatory Text 34" xfId="39450" xr:uid="{00000000-0005-0000-0000-000026090000}"/>
    <cellStyle name="Explanatory Text 35" xfId="39451" xr:uid="{00000000-0005-0000-0000-000027090000}"/>
    <cellStyle name="Explanatory Text 36" xfId="39452" xr:uid="{00000000-0005-0000-0000-000028090000}"/>
    <cellStyle name="Explanatory Text 37" xfId="39453" xr:uid="{00000000-0005-0000-0000-000029090000}"/>
    <cellStyle name="Explanatory Text 38" xfId="39454" xr:uid="{00000000-0005-0000-0000-00002A090000}"/>
    <cellStyle name="Explanatory Text 39" xfId="39455" xr:uid="{00000000-0005-0000-0000-00002B090000}"/>
    <cellStyle name="Explanatory Text 4" xfId="1799" xr:uid="{00000000-0005-0000-0000-0000012A0000}"/>
    <cellStyle name="Explanatory Text 4 10" xfId="1800" xr:uid="{00000000-0005-0000-0000-0000022A0000}"/>
    <cellStyle name="Explanatory Text 4 11" xfId="1801" xr:uid="{00000000-0005-0000-0000-0000032A0000}"/>
    <cellStyle name="Explanatory Text 4 2" xfId="1802" xr:uid="{00000000-0005-0000-0000-0000042A0000}"/>
    <cellStyle name="Explanatory Text 4 3" xfId="1803" xr:uid="{00000000-0005-0000-0000-0000052A0000}"/>
    <cellStyle name="Explanatory Text 4 4" xfId="1804" xr:uid="{00000000-0005-0000-0000-0000062A0000}"/>
    <cellStyle name="Explanatory Text 4 5" xfId="1805" xr:uid="{00000000-0005-0000-0000-0000072A0000}"/>
    <cellStyle name="Explanatory Text 4 6" xfId="1806" xr:uid="{00000000-0005-0000-0000-0000082A0000}"/>
    <cellStyle name="Explanatory Text 4 7" xfId="1807" xr:uid="{00000000-0005-0000-0000-0000092A0000}"/>
    <cellStyle name="Explanatory Text 4 8" xfId="1808" xr:uid="{00000000-0005-0000-0000-00000A2A0000}"/>
    <cellStyle name="Explanatory Text 4 9" xfId="1809" xr:uid="{00000000-0005-0000-0000-00000B2A0000}"/>
    <cellStyle name="Explanatory Text 40" xfId="39456" xr:uid="{00000000-0005-0000-0000-00002E090000}"/>
    <cellStyle name="Explanatory Text 41" xfId="39457" xr:uid="{00000000-0005-0000-0000-00002F090000}"/>
    <cellStyle name="Explanatory Text 42" xfId="39458" xr:uid="{00000000-0005-0000-0000-000030090000}"/>
    <cellStyle name="Explanatory Text 43" xfId="39459" xr:uid="{00000000-0005-0000-0000-000031090000}"/>
    <cellStyle name="Explanatory Text 5" xfId="1810" xr:uid="{00000000-0005-0000-0000-00000C2A0000}"/>
    <cellStyle name="Explanatory Text 5 10" xfId="1811" xr:uid="{00000000-0005-0000-0000-00000D2A0000}"/>
    <cellStyle name="Explanatory Text 5 11" xfId="1812" xr:uid="{00000000-0005-0000-0000-00000E2A0000}"/>
    <cellStyle name="Explanatory Text 5 2" xfId="1813" xr:uid="{00000000-0005-0000-0000-00000F2A0000}"/>
    <cellStyle name="Explanatory Text 5 3" xfId="1814" xr:uid="{00000000-0005-0000-0000-0000102A0000}"/>
    <cellStyle name="Explanatory Text 5 4" xfId="1815" xr:uid="{00000000-0005-0000-0000-0000112A0000}"/>
    <cellStyle name="Explanatory Text 5 5" xfId="1816" xr:uid="{00000000-0005-0000-0000-0000122A0000}"/>
    <cellStyle name="Explanatory Text 5 6" xfId="1817" xr:uid="{00000000-0005-0000-0000-0000132A0000}"/>
    <cellStyle name="Explanatory Text 5 7" xfId="1818" xr:uid="{00000000-0005-0000-0000-0000142A0000}"/>
    <cellStyle name="Explanatory Text 5 8" xfId="1819" xr:uid="{00000000-0005-0000-0000-0000152A0000}"/>
    <cellStyle name="Explanatory Text 5 9" xfId="1820" xr:uid="{00000000-0005-0000-0000-0000162A0000}"/>
    <cellStyle name="Explanatory Text 6" xfId="1821" xr:uid="{00000000-0005-0000-0000-0000172A0000}"/>
    <cellStyle name="Explanatory Text 6 10" xfId="1822" xr:uid="{00000000-0005-0000-0000-0000182A0000}"/>
    <cellStyle name="Explanatory Text 6 11" xfId="1823" xr:uid="{00000000-0005-0000-0000-0000192A0000}"/>
    <cellStyle name="Explanatory Text 6 2" xfId="1824" xr:uid="{00000000-0005-0000-0000-00001A2A0000}"/>
    <cellStyle name="Explanatory Text 6 3" xfId="1825" xr:uid="{00000000-0005-0000-0000-00001B2A0000}"/>
    <cellStyle name="Explanatory Text 6 4" xfId="1826" xr:uid="{00000000-0005-0000-0000-00001C2A0000}"/>
    <cellStyle name="Explanatory Text 6 5" xfId="1827" xr:uid="{00000000-0005-0000-0000-00001D2A0000}"/>
    <cellStyle name="Explanatory Text 6 6" xfId="1828" xr:uid="{00000000-0005-0000-0000-00001E2A0000}"/>
    <cellStyle name="Explanatory Text 6 7" xfId="1829" xr:uid="{00000000-0005-0000-0000-00001F2A0000}"/>
    <cellStyle name="Explanatory Text 6 8" xfId="1830" xr:uid="{00000000-0005-0000-0000-0000202A0000}"/>
    <cellStyle name="Explanatory Text 6 9" xfId="1831" xr:uid="{00000000-0005-0000-0000-0000212A0000}"/>
    <cellStyle name="Explanatory Text 7" xfId="1832" xr:uid="{00000000-0005-0000-0000-0000222A0000}"/>
    <cellStyle name="Explanatory Text 8" xfId="1833" xr:uid="{00000000-0005-0000-0000-0000232A0000}"/>
    <cellStyle name="Explanatory Text 9" xfId="1834" xr:uid="{00000000-0005-0000-0000-0000242A0000}"/>
    <cellStyle name="Ezres_vegleges_en" xfId="87" xr:uid="{00000000-0005-0000-0000-0000252A0000}"/>
    <cellStyle name="Figyelmeztetés" xfId="88" xr:uid="{00000000-0005-0000-0000-0000262A0000}"/>
    <cellStyle name="Float" xfId="1835" xr:uid="{00000000-0005-0000-0000-0000272A0000}"/>
    <cellStyle name="Float 2" xfId="1836" xr:uid="{00000000-0005-0000-0000-0000282A0000}"/>
    <cellStyle name="Float 2 2" xfId="14235" xr:uid="{00000000-0005-0000-0000-0000292A0000}"/>
    <cellStyle name="Float 2 2 2" xfId="14236" xr:uid="{00000000-0005-0000-0000-00002A2A0000}"/>
    <cellStyle name="Float 2 2 3" xfId="14237" xr:uid="{00000000-0005-0000-0000-00002B2A0000}"/>
    <cellStyle name="Float 2 3" xfId="14238" xr:uid="{00000000-0005-0000-0000-00002C2A0000}"/>
    <cellStyle name="Float 3" xfId="14239" xr:uid="{00000000-0005-0000-0000-00002D2A0000}"/>
    <cellStyle name="Float 3 2" xfId="14240" xr:uid="{00000000-0005-0000-0000-00002E2A0000}"/>
    <cellStyle name="Float 3 3" xfId="14241" xr:uid="{00000000-0005-0000-0000-00002F2A0000}"/>
    <cellStyle name="Float 4" xfId="14242" xr:uid="{00000000-0005-0000-0000-0000302A0000}"/>
    <cellStyle name="Good 10" xfId="1837" xr:uid="{00000000-0005-0000-0000-0000312A0000}"/>
    <cellStyle name="Good 11" xfId="39460" xr:uid="{00000000-0005-0000-0000-00003C090000}"/>
    <cellStyle name="Good 12" xfId="39461" xr:uid="{00000000-0005-0000-0000-00003D090000}"/>
    <cellStyle name="Good 13" xfId="39462" xr:uid="{00000000-0005-0000-0000-00003E090000}"/>
    <cellStyle name="Good 14" xfId="39463" xr:uid="{00000000-0005-0000-0000-00003F090000}"/>
    <cellStyle name="Good 15" xfId="39464" xr:uid="{00000000-0005-0000-0000-000040090000}"/>
    <cellStyle name="Good 16" xfId="39465" xr:uid="{00000000-0005-0000-0000-000041090000}"/>
    <cellStyle name="Good 17" xfId="39466" xr:uid="{00000000-0005-0000-0000-000042090000}"/>
    <cellStyle name="Good 18" xfId="39467" xr:uid="{00000000-0005-0000-0000-000043090000}"/>
    <cellStyle name="Good 19" xfId="39468" xr:uid="{00000000-0005-0000-0000-000044090000}"/>
    <cellStyle name="Good 2" xfId="1838" xr:uid="{00000000-0005-0000-0000-0000322A0000}"/>
    <cellStyle name="Good 2 10" xfId="1839" xr:uid="{00000000-0005-0000-0000-0000332A0000}"/>
    <cellStyle name="Good 2 10 2" xfId="12589" xr:uid="{00000000-0005-0000-0000-0000342A0000}"/>
    <cellStyle name="Good 2 11" xfId="1840" xr:uid="{00000000-0005-0000-0000-0000352A0000}"/>
    <cellStyle name="Good 2 2" xfId="1841" xr:uid="{00000000-0005-0000-0000-0000362A0000}"/>
    <cellStyle name="Good 2 2 2" xfId="12590" xr:uid="{00000000-0005-0000-0000-0000372A0000}"/>
    <cellStyle name="Good 2 3" xfId="1842" xr:uid="{00000000-0005-0000-0000-0000382A0000}"/>
    <cellStyle name="Good 2 3 2" xfId="12591" xr:uid="{00000000-0005-0000-0000-0000392A0000}"/>
    <cellStyle name="Good 2 4" xfId="1843" xr:uid="{00000000-0005-0000-0000-00003A2A0000}"/>
    <cellStyle name="Good 2 4 2" xfId="12592" xr:uid="{00000000-0005-0000-0000-00003B2A0000}"/>
    <cellStyle name="Good 2 5" xfId="1844" xr:uid="{00000000-0005-0000-0000-00003C2A0000}"/>
    <cellStyle name="Good 2 5 2" xfId="12593" xr:uid="{00000000-0005-0000-0000-00003D2A0000}"/>
    <cellStyle name="Good 2 6" xfId="1845" xr:uid="{00000000-0005-0000-0000-00003E2A0000}"/>
    <cellStyle name="Good 2 6 2" xfId="12594" xr:uid="{00000000-0005-0000-0000-00003F2A0000}"/>
    <cellStyle name="Good 2 7" xfId="1846" xr:uid="{00000000-0005-0000-0000-0000402A0000}"/>
    <cellStyle name="Good 2 7 2" xfId="12595" xr:uid="{00000000-0005-0000-0000-0000412A0000}"/>
    <cellStyle name="Good 2 8" xfId="1847" xr:uid="{00000000-0005-0000-0000-0000422A0000}"/>
    <cellStyle name="Good 2 8 2" xfId="12596" xr:uid="{00000000-0005-0000-0000-0000432A0000}"/>
    <cellStyle name="Good 2 9" xfId="1848" xr:uid="{00000000-0005-0000-0000-0000442A0000}"/>
    <cellStyle name="Good 2 9 2" xfId="12597" xr:uid="{00000000-0005-0000-0000-0000452A0000}"/>
    <cellStyle name="Good 20" xfId="39469" xr:uid="{00000000-0005-0000-0000-000050090000}"/>
    <cellStyle name="Good 21" xfId="39470" xr:uid="{00000000-0005-0000-0000-000051090000}"/>
    <cellStyle name="Good 22" xfId="39471" xr:uid="{00000000-0005-0000-0000-000052090000}"/>
    <cellStyle name="Good 23" xfId="39472" xr:uid="{00000000-0005-0000-0000-000053090000}"/>
    <cellStyle name="Good 24" xfId="39473" xr:uid="{00000000-0005-0000-0000-000054090000}"/>
    <cellStyle name="Good 25" xfId="39474" xr:uid="{00000000-0005-0000-0000-000055090000}"/>
    <cellStyle name="Good 26" xfId="39475" xr:uid="{00000000-0005-0000-0000-000056090000}"/>
    <cellStyle name="Good 27" xfId="39476" xr:uid="{00000000-0005-0000-0000-000057090000}"/>
    <cellStyle name="Good 28" xfId="39477" xr:uid="{00000000-0005-0000-0000-000058090000}"/>
    <cellStyle name="Good 29" xfId="39478" xr:uid="{00000000-0005-0000-0000-000059090000}"/>
    <cellStyle name="Good 3" xfId="1849" xr:uid="{00000000-0005-0000-0000-0000462A0000}"/>
    <cellStyle name="Good 3 10" xfId="1850" xr:uid="{00000000-0005-0000-0000-0000472A0000}"/>
    <cellStyle name="Good 3 11" xfId="1851" xr:uid="{00000000-0005-0000-0000-0000482A0000}"/>
    <cellStyle name="Good 3 12" xfId="12598" xr:uid="{00000000-0005-0000-0000-0000492A0000}"/>
    <cellStyle name="Good 3 2" xfId="1852" xr:uid="{00000000-0005-0000-0000-00004A2A0000}"/>
    <cellStyle name="Good 3 2 2" xfId="39479" xr:uid="{00000000-0005-0000-0000-00005B090000}"/>
    <cellStyle name="Good 3 3" xfId="1853" xr:uid="{00000000-0005-0000-0000-00004B2A0000}"/>
    <cellStyle name="Good 3 4" xfId="1854" xr:uid="{00000000-0005-0000-0000-00004C2A0000}"/>
    <cellStyle name="Good 3 5" xfId="1855" xr:uid="{00000000-0005-0000-0000-00004D2A0000}"/>
    <cellStyle name="Good 3 6" xfId="1856" xr:uid="{00000000-0005-0000-0000-00004E2A0000}"/>
    <cellStyle name="Good 3 7" xfId="1857" xr:uid="{00000000-0005-0000-0000-00004F2A0000}"/>
    <cellStyle name="Good 3 8" xfId="1858" xr:uid="{00000000-0005-0000-0000-0000502A0000}"/>
    <cellStyle name="Good 3 9" xfId="1859" xr:uid="{00000000-0005-0000-0000-0000512A0000}"/>
    <cellStyle name="Good 30" xfId="39480" xr:uid="{00000000-0005-0000-0000-00005D090000}"/>
    <cellStyle name="Good 31" xfId="39481" xr:uid="{00000000-0005-0000-0000-00005E090000}"/>
    <cellStyle name="Good 32" xfId="39482" xr:uid="{00000000-0005-0000-0000-00005F090000}"/>
    <cellStyle name="Good 33" xfId="39483" xr:uid="{00000000-0005-0000-0000-000060090000}"/>
    <cellStyle name="Good 34" xfId="39484" xr:uid="{00000000-0005-0000-0000-000061090000}"/>
    <cellStyle name="Good 35" xfId="39485" xr:uid="{00000000-0005-0000-0000-000062090000}"/>
    <cellStyle name="Good 36" xfId="39486" xr:uid="{00000000-0005-0000-0000-000063090000}"/>
    <cellStyle name="Good 37" xfId="39487" xr:uid="{00000000-0005-0000-0000-000064090000}"/>
    <cellStyle name="Good 38" xfId="39488" xr:uid="{00000000-0005-0000-0000-000065090000}"/>
    <cellStyle name="Good 39" xfId="39489" xr:uid="{00000000-0005-0000-0000-000066090000}"/>
    <cellStyle name="Good 4" xfId="1860" xr:uid="{00000000-0005-0000-0000-0000522A0000}"/>
    <cellStyle name="Good 4 10" xfId="1861" xr:uid="{00000000-0005-0000-0000-0000532A0000}"/>
    <cellStyle name="Good 4 11" xfId="1862" xr:uid="{00000000-0005-0000-0000-0000542A0000}"/>
    <cellStyle name="Good 4 2" xfId="1863" xr:uid="{00000000-0005-0000-0000-0000552A0000}"/>
    <cellStyle name="Good 4 3" xfId="1864" xr:uid="{00000000-0005-0000-0000-0000562A0000}"/>
    <cellStyle name="Good 4 4" xfId="1865" xr:uid="{00000000-0005-0000-0000-0000572A0000}"/>
    <cellStyle name="Good 4 5" xfId="1866" xr:uid="{00000000-0005-0000-0000-0000582A0000}"/>
    <cellStyle name="Good 4 6" xfId="1867" xr:uid="{00000000-0005-0000-0000-0000592A0000}"/>
    <cellStyle name="Good 4 7" xfId="1868" xr:uid="{00000000-0005-0000-0000-00005A2A0000}"/>
    <cellStyle name="Good 4 8" xfId="1869" xr:uid="{00000000-0005-0000-0000-00005B2A0000}"/>
    <cellStyle name="Good 4 9" xfId="1870" xr:uid="{00000000-0005-0000-0000-00005C2A0000}"/>
    <cellStyle name="Good 40" xfId="39490" xr:uid="{00000000-0005-0000-0000-000069090000}"/>
    <cellStyle name="Good 41" xfId="39491" xr:uid="{00000000-0005-0000-0000-00006A090000}"/>
    <cellStyle name="Good 5" xfId="1871" xr:uid="{00000000-0005-0000-0000-00005D2A0000}"/>
    <cellStyle name="Good 5 10" xfId="1872" xr:uid="{00000000-0005-0000-0000-00005E2A0000}"/>
    <cellStyle name="Good 5 11" xfId="1873" xr:uid="{00000000-0005-0000-0000-00005F2A0000}"/>
    <cellStyle name="Good 5 2" xfId="1874" xr:uid="{00000000-0005-0000-0000-0000602A0000}"/>
    <cellStyle name="Good 5 3" xfId="1875" xr:uid="{00000000-0005-0000-0000-0000612A0000}"/>
    <cellStyle name="Good 5 4" xfId="1876" xr:uid="{00000000-0005-0000-0000-0000622A0000}"/>
    <cellStyle name="Good 5 5" xfId="1877" xr:uid="{00000000-0005-0000-0000-0000632A0000}"/>
    <cellStyle name="Good 5 6" xfId="1878" xr:uid="{00000000-0005-0000-0000-0000642A0000}"/>
    <cellStyle name="Good 5 7" xfId="1879" xr:uid="{00000000-0005-0000-0000-0000652A0000}"/>
    <cellStyle name="Good 5 8" xfId="1880" xr:uid="{00000000-0005-0000-0000-0000662A0000}"/>
    <cellStyle name="Good 5 9" xfId="1881" xr:uid="{00000000-0005-0000-0000-0000672A0000}"/>
    <cellStyle name="Good 6" xfId="1882" xr:uid="{00000000-0005-0000-0000-0000682A0000}"/>
    <cellStyle name="Good 6 10" xfId="1883" xr:uid="{00000000-0005-0000-0000-0000692A0000}"/>
    <cellStyle name="Good 6 11" xfId="1884" xr:uid="{00000000-0005-0000-0000-00006A2A0000}"/>
    <cellStyle name="Good 6 2" xfId="1885" xr:uid="{00000000-0005-0000-0000-00006B2A0000}"/>
    <cellStyle name="Good 6 3" xfId="1886" xr:uid="{00000000-0005-0000-0000-00006C2A0000}"/>
    <cellStyle name="Good 6 4" xfId="1887" xr:uid="{00000000-0005-0000-0000-00006D2A0000}"/>
    <cellStyle name="Good 6 5" xfId="1888" xr:uid="{00000000-0005-0000-0000-00006E2A0000}"/>
    <cellStyle name="Good 6 6" xfId="1889" xr:uid="{00000000-0005-0000-0000-00006F2A0000}"/>
    <cellStyle name="Good 6 7" xfId="1890" xr:uid="{00000000-0005-0000-0000-0000702A0000}"/>
    <cellStyle name="Good 6 8" xfId="1891" xr:uid="{00000000-0005-0000-0000-0000712A0000}"/>
    <cellStyle name="Good 6 9" xfId="1892" xr:uid="{00000000-0005-0000-0000-0000722A0000}"/>
    <cellStyle name="Good 7" xfId="1893" xr:uid="{00000000-0005-0000-0000-0000732A0000}"/>
    <cellStyle name="Good 8" xfId="1894" xr:uid="{00000000-0005-0000-0000-0000742A0000}"/>
    <cellStyle name="Good 9" xfId="1895" xr:uid="{00000000-0005-0000-0000-0000752A0000}"/>
    <cellStyle name="Gut" xfId="14091" xr:uid="{00000000-0005-0000-0000-0000762A0000}"/>
    <cellStyle name="Heading" xfId="107" xr:uid="{00000000-0005-0000-0000-0000772A0000}"/>
    <cellStyle name="Heading 1 10" xfId="1896" xr:uid="{00000000-0005-0000-0000-0000782A0000}"/>
    <cellStyle name="Heading 1 11" xfId="39492" xr:uid="{00000000-0005-0000-0000-000074090000}"/>
    <cellStyle name="Heading 1 12" xfId="39493" xr:uid="{00000000-0005-0000-0000-000075090000}"/>
    <cellStyle name="Heading 1 13" xfId="39494" xr:uid="{00000000-0005-0000-0000-000076090000}"/>
    <cellStyle name="Heading 1 14" xfId="39495" xr:uid="{00000000-0005-0000-0000-000077090000}"/>
    <cellStyle name="Heading 1 15" xfId="39496" xr:uid="{00000000-0005-0000-0000-000078090000}"/>
    <cellStyle name="Heading 1 16" xfId="39497" xr:uid="{00000000-0005-0000-0000-000079090000}"/>
    <cellStyle name="Heading 1 17" xfId="39498" xr:uid="{00000000-0005-0000-0000-00007A090000}"/>
    <cellStyle name="Heading 1 18" xfId="39499" xr:uid="{00000000-0005-0000-0000-00007B090000}"/>
    <cellStyle name="Heading 1 19" xfId="39500" xr:uid="{00000000-0005-0000-0000-00007C090000}"/>
    <cellStyle name="Heading 1 2" xfId="1897" xr:uid="{00000000-0005-0000-0000-0000792A0000}"/>
    <cellStyle name="Heading 1 2 10" xfId="1898" xr:uid="{00000000-0005-0000-0000-00007A2A0000}"/>
    <cellStyle name="Heading 1 2 10 2" xfId="12599" xr:uid="{00000000-0005-0000-0000-00007B2A0000}"/>
    <cellStyle name="Heading 1 2 11" xfId="1899" xr:uid="{00000000-0005-0000-0000-00007C2A0000}"/>
    <cellStyle name="Heading 1 2 2" xfId="1900" xr:uid="{00000000-0005-0000-0000-00007D2A0000}"/>
    <cellStyle name="Heading 1 2 2 2" xfId="12600" xr:uid="{00000000-0005-0000-0000-00007E2A0000}"/>
    <cellStyle name="Heading 1 2 3" xfId="1901" xr:uid="{00000000-0005-0000-0000-00007F2A0000}"/>
    <cellStyle name="Heading 1 2 3 2" xfId="12601" xr:uid="{00000000-0005-0000-0000-0000802A0000}"/>
    <cellStyle name="Heading 1 2 4" xfId="1902" xr:uid="{00000000-0005-0000-0000-0000812A0000}"/>
    <cellStyle name="Heading 1 2 4 2" xfId="12602" xr:uid="{00000000-0005-0000-0000-0000822A0000}"/>
    <cellStyle name="Heading 1 2 5" xfId="1903" xr:uid="{00000000-0005-0000-0000-0000832A0000}"/>
    <cellStyle name="Heading 1 2 5 2" xfId="12603" xr:uid="{00000000-0005-0000-0000-0000842A0000}"/>
    <cellStyle name="Heading 1 2 6" xfId="1904" xr:uid="{00000000-0005-0000-0000-0000852A0000}"/>
    <cellStyle name="Heading 1 2 6 2" xfId="12604" xr:uid="{00000000-0005-0000-0000-0000862A0000}"/>
    <cellStyle name="Heading 1 2 7" xfId="1905" xr:uid="{00000000-0005-0000-0000-0000872A0000}"/>
    <cellStyle name="Heading 1 2 7 2" xfId="12605" xr:uid="{00000000-0005-0000-0000-0000882A0000}"/>
    <cellStyle name="Heading 1 2 8" xfId="1906" xr:uid="{00000000-0005-0000-0000-0000892A0000}"/>
    <cellStyle name="Heading 1 2 8 2" xfId="12606" xr:uid="{00000000-0005-0000-0000-00008A2A0000}"/>
    <cellStyle name="Heading 1 2 9" xfId="1907" xr:uid="{00000000-0005-0000-0000-00008B2A0000}"/>
    <cellStyle name="Heading 1 2 9 2" xfId="12607" xr:uid="{00000000-0005-0000-0000-00008C2A0000}"/>
    <cellStyle name="Heading 1 20" xfId="39501" xr:uid="{00000000-0005-0000-0000-000088090000}"/>
    <cellStyle name="Heading 1 21" xfId="39502" xr:uid="{00000000-0005-0000-0000-000089090000}"/>
    <cellStyle name="Heading 1 22" xfId="39503" xr:uid="{00000000-0005-0000-0000-00008A090000}"/>
    <cellStyle name="Heading 1 23" xfId="39504" xr:uid="{00000000-0005-0000-0000-00008B090000}"/>
    <cellStyle name="Heading 1 24" xfId="39505" xr:uid="{00000000-0005-0000-0000-00008C090000}"/>
    <cellStyle name="Heading 1 25" xfId="39506" xr:uid="{00000000-0005-0000-0000-00008D090000}"/>
    <cellStyle name="Heading 1 26" xfId="39507" xr:uid="{00000000-0005-0000-0000-00008E090000}"/>
    <cellStyle name="Heading 1 27" xfId="39508" xr:uid="{00000000-0005-0000-0000-00008F090000}"/>
    <cellStyle name="Heading 1 28" xfId="39509" xr:uid="{00000000-0005-0000-0000-000090090000}"/>
    <cellStyle name="Heading 1 29" xfId="39510" xr:uid="{00000000-0005-0000-0000-000091090000}"/>
    <cellStyle name="Heading 1 3" xfId="1908" xr:uid="{00000000-0005-0000-0000-00008D2A0000}"/>
    <cellStyle name="Heading 1 3 10" xfId="1909" xr:uid="{00000000-0005-0000-0000-00008E2A0000}"/>
    <cellStyle name="Heading 1 3 11" xfId="1910" xr:uid="{00000000-0005-0000-0000-00008F2A0000}"/>
    <cellStyle name="Heading 1 3 12" xfId="12608" xr:uid="{00000000-0005-0000-0000-0000902A0000}"/>
    <cellStyle name="Heading 1 3 2" xfId="1911" xr:uid="{00000000-0005-0000-0000-0000912A0000}"/>
    <cellStyle name="Heading 1 3 2 2" xfId="39511" xr:uid="{00000000-0005-0000-0000-000093090000}"/>
    <cellStyle name="Heading 1 3 3" xfId="1912" xr:uid="{00000000-0005-0000-0000-0000922A0000}"/>
    <cellStyle name="Heading 1 3 4" xfId="1913" xr:uid="{00000000-0005-0000-0000-0000932A0000}"/>
    <cellStyle name="Heading 1 3 5" xfId="1914" xr:uid="{00000000-0005-0000-0000-0000942A0000}"/>
    <cellStyle name="Heading 1 3 6" xfId="1915" xr:uid="{00000000-0005-0000-0000-0000952A0000}"/>
    <cellStyle name="Heading 1 3 7" xfId="1916" xr:uid="{00000000-0005-0000-0000-0000962A0000}"/>
    <cellStyle name="Heading 1 3 8" xfId="1917" xr:uid="{00000000-0005-0000-0000-0000972A0000}"/>
    <cellStyle name="Heading 1 3 9" xfId="1918" xr:uid="{00000000-0005-0000-0000-0000982A0000}"/>
    <cellStyle name="Heading 1 30" xfId="39512" xr:uid="{00000000-0005-0000-0000-000095090000}"/>
    <cellStyle name="Heading 1 31" xfId="39513" xr:uid="{00000000-0005-0000-0000-000096090000}"/>
    <cellStyle name="Heading 1 32" xfId="39514" xr:uid="{00000000-0005-0000-0000-000097090000}"/>
    <cellStyle name="Heading 1 33" xfId="39515" xr:uid="{00000000-0005-0000-0000-000098090000}"/>
    <cellStyle name="Heading 1 34" xfId="39516" xr:uid="{00000000-0005-0000-0000-000099090000}"/>
    <cellStyle name="Heading 1 35" xfId="39517" xr:uid="{00000000-0005-0000-0000-00009A090000}"/>
    <cellStyle name="Heading 1 36" xfId="39518" xr:uid="{00000000-0005-0000-0000-00009B090000}"/>
    <cellStyle name="Heading 1 37" xfId="39519" xr:uid="{00000000-0005-0000-0000-00009C090000}"/>
    <cellStyle name="Heading 1 38" xfId="39520" xr:uid="{00000000-0005-0000-0000-00009D090000}"/>
    <cellStyle name="Heading 1 39" xfId="39521" xr:uid="{00000000-0005-0000-0000-00009E090000}"/>
    <cellStyle name="Heading 1 4" xfId="1919" xr:uid="{00000000-0005-0000-0000-0000992A0000}"/>
    <cellStyle name="Heading 1 4 10" xfId="1920" xr:uid="{00000000-0005-0000-0000-00009A2A0000}"/>
    <cellStyle name="Heading 1 4 11" xfId="1921" xr:uid="{00000000-0005-0000-0000-00009B2A0000}"/>
    <cellStyle name="Heading 1 4 2" xfId="1922" xr:uid="{00000000-0005-0000-0000-00009C2A0000}"/>
    <cellStyle name="Heading 1 4 3" xfId="1923" xr:uid="{00000000-0005-0000-0000-00009D2A0000}"/>
    <cellStyle name="Heading 1 4 4" xfId="1924" xr:uid="{00000000-0005-0000-0000-00009E2A0000}"/>
    <cellStyle name="Heading 1 4 5" xfId="1925" xr:uid="{00000000-0005-0000-0000-00009F2A0000}"/>
    <cellStyle name="Heading 1 4 6" xfId="1926" xr:uid="{00000000-0005-0000-0000-0000A02A0000}"/>
    <cellStyle name="Heading 1 4 7" xfId="1927" xr:uid="{00000000-0005-0000-0000-0000A12A0000}"/>
    <cellStyle name="Heading 1 4 8" xfId="1928" xr:uid="{00000000-0005-0000-0000-0000A22A0000}"/>
    <cellStyle name="Heading 1 4 9" xfId="1929" xr:uid="{00000000-0005-0000-0000-0000A32A0000}"/>
    <cellStyle name="Heading 1 40" xfId="39522" xr:uid="{00000000-0005-0000-0000-0000A1090000}"/>
    <cellStyle name="Heading 1 41" xfId="39523" xr:uid="{00000000-0005-0000-0000-0000A2090000}"/>
    <cellStyle name="Heading 1 5" xfId="1930" xr:uid="{00000000-0005-0000-0000-0000A42A0000}"/>
    <cellStyle name="Heading 1 5 10" xfId="1931" xr:uid="{00000000-0005-0000-0000-0000A52A0000}"/>
    <cellStyle name="Heading 1 5 11" xfId="1932" xr:uid="{00000000-0005-0000-0000-0000A62A0000}"/>
    <cellStyle name="Heading 1 5 2" xfId="1933" xr:uid="{00000000-0005-0000-0000-0000A72A0000}"/>
    <cellStyle name="Heading 1 5 3" xfId="1934" xr:uid="{00000000-0005-0000-0000-0000A82A0000}"/>
    <cellStyle name="Heading 1 5 4" xfId="1935" xr:uid="{00000000-0005-0000-0000-0000A92A0000}"/>
    <cellStyle name="Heading 1 5 5" xfId="1936" xr:uid="{00000000-0005-0000-0000-0000AA2A0000}"/>
    <cellStyle name="Heading 1 5 6" xfId="1937" xr:uid="{00000000-0005-0000-0000-0000AB2A0000}"/>
    <cellStyle name="Heading 1 5 7" xfId="1938" xr:uid="{00000000-0005-0000-0000-0000AC2A0000}"/>
    <cellStyle name="Heading 1 5 8" xfId="1939" xr:uid="{00000000-0005-0000-0000-0000AD2A0000}"/>
    <cellStyle name="Heading 1 5 9" xfId="1940" xr:uid="{00000000-0005-0000-0000-0000AE2A0000}"/>
    <cellStyle name="Heading 1 6" xfId="1941" xr:uid="{00000000-0005-0000-0000-0000AF2A0000}"/>
    <cellStyle name="Heading 1 6 10" xfId="1942" xr:uid="{00000000-0005-0000-0000-0000B02A0000}"/>
    <cellStyle name="Heading 1 6 11" xfId="1943" xr:uid="{00000000-0005-0000-0000-0000B12A0000}"/>
    <cellStyle name="Heading 1 6 2" xfId="1944" xr:uid="{00000000-0005-0000-0000-0000B22A0000}"/>
    <cellStyle name="Heading 1 6 3" xfId="1945" xr:uid="{00000000-0005-0000-0000-0000B32A0000}"/>
    <cellStyle name="Heading 1 6 4" xfId="1946" xr:uid="{00000000-0005-0000-0000-0000B42A0000}"/>
    <cellStyle name="Heading 1 6 5" xfId="1947" xr:uid="{00000000-0005-0000-0000-0000B52A0000}"/>
    <cellStyle name="Heading 1 6 6" xfId="1948" xr:uid="{00000000-0005-0000-0000-0000B62A0000}"/>
    <cellStyle name="Heading 1 6 7" xfId="1949" xr:uid="{00000000-0005-0000-0000-0000B72A0000}"/>
    <cellStyle name="Heading 1 6 8" xfId="1950" xr:uid="{00000000-0005-0000-0000-0000B82A0000}"/>
    <cellStyle name="Heading 1 6 9" xfId="1951" xr:uid="{00000000-0005-0000-0000-0000B92A0000}"/>
    <cellStyle name="Heading 1 7" xfId="1952" xr:uid="{00000000-0005-0000-0000-0000BA2A0000}"/>
    <cellStyle name="Heading 1 8" xfId="1953" xr:uid="{00000000-0005-0000-0000-0000BB2A0000}"/>
    <cellStyle name="Heading 1 9" xfId="1954" xr:uid="{00000000-0005-0000-0000-0000BC2A0000}"/>
    <cellStyle name="Heading 2 10" xfId="1955" xr:uid="{00000000-0005-0000-0000-0000BD2A0000}"/>
    <cellStyle name="Heading 2 11" xfId="39524" xr:uid="{00000000-0005-0000-0000-0000AB090000}"/>
    <cellStyle name="Heading 2 12" xfId="39525" xr:uid="{00000000-0005-0000-0000-0000AC090000}"/>
    <cellStyle name="Heading 2 13" xfId="39526" xr:uid="{00000000-0005-0000-0000-0000AD090000}"/>
    <cellStyle name="Heading 2 14" xfId="39527" xr:uid="{00000000-0005-0000-0000-0000AE090000}"/>
    <cellStyle name="Heading 2 15" xfId="39528" xr:uid="{00000000-0005-0000-0000-0000AF090000}"/>
    <cellStyle name="Heading 2 16" xfId="39529" xr:uid="{00000000-0005-0000-0000-0000B0090000}"/>
    <cellStyle name="Heading 2 17" xfId="39530" xr:uid="{00000000-0005-0000-0000-0000B1090000}"/>
    <cellStyle name="Heading 2 18" xfId="39531" xr:uid="{00000000-0005-0000-0000-0000B2090000}"/>
    <cellStyle name="Heading 2 19" xfId="39532" xr:uid="{00000000-0005-0000-0000-0000B3090000}"/>
    <cellStyle name="Heading 2 2" xfId="1956" xr:uid="{00000000-0005-0000-0000-0000BE2A0000}"/>
    <cellStyle name="Heading 2 2 10" xfId="1957" xr:uid="{00000000-0005-0000-0000-0000BF2A0000}"/>
    <cellStyle name="Heading 2 2 10 2" xfId="12609" xr:uid="{00000000-0005-0000-0000-0000C02A0000}"/>
    <cellStyle name="Heading 2 2 11" xfId="1958" xr:uid="{00000000-0005-0000-0000-0000C12A0000}"/>
    <cellStyle name="Heading 2 2 2" xfId="1959" xr:uid="{00000000-0005-0000-0000-0000C22A0000}"/>
    <cellStyle name="Heading 2 2 2 2" xfId="12610" xr:uid="{00000000-0005-0000-0000-0000C32A0000}"/>
    <cellStyle name="Heading 2 2 3" xfId="1960" xr:uid="{00000000-0005-0000-0000-0000C42A0000}"/>
    <cellStyle name="Heading 2 2 3 2" xfId="12611" xr:uid="{00000000-0005-0000-0000-0000C52A0000}"/>
    <cellStyle name="Heading 2 2 4" xfId="1961" xr:uid="{00000000-0005-0000-0000-0000C62A0000}"/>
    <cellStyle name="Heading 2 2 4 2" xfId="12612" xr:uid="{00000000-0005-0000-0000-0000C72A0000}"/>
    <cellStyle name="Heading 2 2 5" xfId="1962" xr:uid="{00000000-0005-0000-0000-0000C82A0000}"/>
    <cellStyle name="Heading 2 2 5 2" xfId="12613" xr:uid="{00000000-0005-0000-0000-0000C92A0000}"/>
    <cellStyle name="Heading 2 2 6" xfId="1963" xr:uid="{00000000-0005-0000-0000-0000CA2A0000}"/>
    <cellStyle name="Heading 2 2 6 2" xfId="12614" xr:uid="{00000000-0005-0000-0000-0000CB2A0000}"/>
    <cellStyle name="Heading 2 2 7" xfId="1964" xr:uid="{00000000-0005-0000-0000-0000CC2A0000}"/>
    <cellStyle name="Heading 2 2 7 2" xfId="12615" xr:uid="{00000000-0005-0000-0000-0000CD2A0000}"/>
    <cellStyle name="Heading 2 2 8" xfId="1965" xr:uid="{00000000-0005-0000-0000-0000CE2A0000}"/>
    <cellStyle name="Heading 2 2 8 2" xfId="12616" xr:uid="{00000000-0005-0000-0000-0000CF2A0000}"/>
    <cellStyle name="Heading 2 2 9" xfId="1966" xr:uid="{00000000-0005-0000-0000-0000D02A0000}"/>
    <cellStyle name="Heading 2 2 9 2" xfId="12617" xr:uid="{00000000-0005-0000-0000-0000D12A0000}"/>
    <cellStyle name="Heading 2 20" xfId="39533" xr:uid="{00000000-0005-0000-0000-0000BF090000}"/>
    <cellStyle name="Heading 2 21" xfId="39534" xr:uid="{00000000-0005-0000-0000-0000C0090000}"/>
    <cellStyle name="Heading 2 22" xfId="39535" xr:uid="{00000000-0005-0000-0000-0000C1090000}"/>
    <cellStyle name="Heading 2 23" xfId="39536" xr:uid="{00000000-0005-0000-0000-0000C2090000}"/>
    <cellStyle name="Heading 2 24" xfId="39537" xr:uid="{00000000-0005-0000-0000-0000C3090000}"/>
    <cellStyle name="Heading 2 25" xfId="39538" xr:uid="{00000000-0005-0000-0000-0000C4090000}"/>
    <cellStyle name="Heading 2 26" xfId="39539" xr:uid="{00000000-0005-0000-0000-0000C5090000}"/>
    <cellStyle name="Heading 2 27" xfId="39540" xr:uid="{00000000-0005-0000-0000-0000C6090000}"/>
    <cellStyle name="Heading 2 28" xfId="39541" xr:uid="{00000000-0005-0000-0000-0000C7090000}"/>
    <cellStyle name="Heading 2 29" xfId="39542" xr:uid="{00000000-0005-0000-0000-0000C8090000}"/>
    <cellStyle name="Heading 2 3" xfId="1967" xr:uid="{00000000-0005-0000-0000-0000D22A0000}"/>
    <cellStyle name="Heading 2 3 10" xfId="1968" xr:uid="{00000000-0005-0000-0000-0000D32A0000}"/>
    <cellStyle name="Heading 2 3 11" xfId="1969" xr:uid="{00000000-0005-0000-0000-0000D42A0000}"/>
    <cellStyle name="Heading 2 3 12" xfId="12618" xr:uid="{00000000-0005-0000-0000-0000D52A0000}"/>
    <cellStyle name="Heading 2 3 2" xfId="1970" xr:uid="{00000000-0005-0000-0000-0000D62A0000}"/>
    <cellStyle name="Heading 2 3 2 2" xfId="39543" xr:uid="{00000000-0005-0000-0000-0000CA090000}"/>
    <cellStyle name="Heading 2 3 3" xfId="1971" xr:uid="{00000000-0005-0000-0000-0000D72A0000}"/>
    <cellStyle name="Heading 2 3 4" xfId="1972" xr:uid="{00000000-0005-0000-0000-0000D82A0000}"/>
    <cellStyle name="Heading 2 3 5" xfId="1973" xr:uid="{00000000-0005-0000-0000-0000D92A0000}"/>
    <cellStyle name="Heading 2 3 6" xfId="1974" xr:uid="{00000000-0005-0000-0000-0000DA2A0000}"/>
    <cellStyle name="Heading 2 3 7" xfId="1975" xr:uid="{00000000-0005-0000-0000-0000DB2A0000}"/>
    <cellStyle name="Heading 2 3 8" xfId="1976" xr:uid="{00000000-0005-0000-0000-0000DC2A0000}"/>
    <cellStyle name="Heading 2 3 9" xfId="1977" xr:uid="{00000000-0005-0000-0000-0000DD2A0000}"/>
    <cellStyle name="Heading 2 30" xfId="39544" xr:uid="{00000000-0005-0000-0000-0000CC090000}"/>
    <cellStyle name="Heading 2 31" xfId="39545" xr:uid="{00000000-0005-0000-0000-0000CD090000}"/>
    <cellStyle name="Heading 2 32" xfId="39546" xr:uid="{00000000-0005-0000-0000-0000CE090000}"/>
    <cellStyle name="Heading 2 33" xfId="39547" xr:uid="{00000000-0005-0000-0000-0000CF090000}"/>
    <cellStyle name="Heading 2 34" xfId="39548" xr:uid="{00000000-0005-0000-0000-0000D0090000}"/>
    <cellStyle name="Heading 2 35" xfId="39549" xr:uid="{00000000-0005-0000-0000-0000D1090000}"/>
    <cellStyle name="Heading 2 36" xfId="39550" xr:uid="{00000000-0005-0000-0000-0000D2090000}"/>
    <cellStyle name="Heading 2 37" xfId="39551" xr:uid="{00000000-0005-0000-0000-0000D3090000}"/>
    <cellStyle name="Heading 2 38" xfId="39552" xr:uid="{00000000-0005-0000-0000-0000D4090000}"/>
    <cellStyle name="Heading 2 39" xfId="39553" xr:uid="{00000000-0005-0000-0000-0000D5090000}"/>
    <cellStyle name="Heading 2 4" xfId="1978" xr:uid="{00000000-0005-0000-0000-0000DE2A0000}"/>
    <cellStyle name="Heading 2 4 10" xfId="1979" xr:uid="{00000000-0005-0000-0000-0000DF2A0000}"/>
    <cellStyle name="Heading 2 4 11" xfId="1980" xr:uid="{00000000-0005-0000-0000-0000E02A0000}"/>
    <cellStyle name="Heading 2 4 2" xfId="1981" xr:uid="{00000000-0005-0000-0000-0000E12A0000}"/>
    <cellStyle name="Heading 2 4 3" xfId="1982" xr:uid="{00000000-0005-0000-0000-0000E22A0000}"/>
    <cellStyle name="Heading 2 4 4" xfId="1983" xr:uid="{00000000-0005-0000-0000-0000E32A0000}"/>
    <cellStyle name="Heading 2 4 5" xfId="1984" xr:uid="{00000000-0005-0000-0000-0000E42A0000}"/>
    <cellStyle name="Heading 2 4 6" xfId="1985" xr:uid="{00000000-0005-0000-0000-0000E52A0000}"/>
    <cellStyle name="Heading 2 4 7" xfId="1986" xr:uid="{00000000-0005-0000-0000-0000E62A0000}"/>
    <cellStyle name="Heading 2 4 8" xfId="1987" xr:uid="{00000000-0005-0000-0000-0000E72A0000}"/>
    <cellStyle name="Heading 2 4 9" xfId="1988" xr:uid="{00000000-0005-0000-0000-0000E82A0000}"/>
    <cellStyle name="Heading 2 40" xfId="39554" xr:uid="{00000000-0005-0000-0000-0000D8090000}"/>
    <cellStyle name="Heading 2 41" xfId="39555" xr:uid="{00000000-0005-0000-0000-0000D9090000}"/>
    <cellStyle name="Heading 2 5" xfId="1989" xr:uid="{00000000-0005-0000-0000-0000E92A0000}"/>
    <cellStyle name="Heading 2 5 10" xfId="1990" xr:uid="{00000000-0005-0000-0000-0000EA2A0000}"/>
    <cellStyle name="Heading 2 5 11" xfId="1991" xr:uid="{00000000-0005-0000-0000-0000EB2A0000}"/>
    <cellStyle name="Heading 2 5 2" xfId="1992" xr:uid="{00000000-0005-0000-0000-0000EC2A0000}"/>
    <cellStyle name="Heading 2 5 3" xfId="1993" xr:uid="{00000000-0005-0000-0000-0000ED2A0000}"/>
    <cellStyle name="Heading 2 5 4" xfId="1994" xr:uid="{00000000-0005-0000-0000-0000EE2A0000}"/>
    <cellStyle name="Heading 2 5 5" xfId="1995" xr:uid="{00000000-0005-0000-0000-0000EF2A0000}"/>
    <cellStyle name="Heading 2 5 6" xfId="1996" xr:uid="{00000000-0005-0000-0000-0000F02A0000}"/>
    <cellStyle name="Heading 2 5 7" xfId="1997" xr:uid="{00000000-0005-0000-0000-0000F12A0000}"/>
    <cellStyle name="Heading 2 5 8" xfId="1998" xr:uid="{00000000-0005-0000-0000-0000F22A0000}"/>
    <cellStyle name="Heading 2 5 9" xfId="1999" xr:uid="{00000000-0005-0000-0000-0000F32A0000}"/>
    <cellStyle name="Heading 2 6" xfId="2000" xr:uid="{00000000-0005-0000-0000-0000F42A0000}"/>
    <cellStyle name="Heading 2 6 10" xfId="2001" xr:uid="{00000000-0005-0000-0000-0000F52A0000}"/>
    <cellStyle name="Heading 2 6 11" xfId="2002" xr:uid="{00000000-0005-0000-0000-0000F62A0000}"/>
    <cellStyle name="Heading 2 6 2" xfId="2003" xr:uid="{00000000-0005-0000-0000-0000F72A0000}"/>
    <cellStyle name="Heading 2 6 3" xfId="2004" xr:uid="{00000000-0005-0000-0000-0000F82A0000}"/>
    <cellStyle name="Heading 2 6 4" xfId="2005" xr:uid="{00000000-0005-0000-0000-0000F92A0000}"/>
    <cellStyle name="Heading 2 6 5" xfId="2006" xr:uid="{00000000-0005-0000-0000-0000FA2A0000}"/>
    <cellStyle name="Heading 2 6 6" xfId="2007" xr:uid="{00000000-0005-0000-0000-0000FB2A0000}"/>
    <cellStyle name="Heading 2 6 7" xfId="2008" xr:uid="{00000000-0005-0000-0000-0000FC2A0000}"/>
    <cellStyle name="Heading 2 6 8" xfId="2009" xr:uid="{00000000-0005-0000-0000-0000FD2A0000}"/>
    <cellStyle name="Heading 2 6 9" xfId="2010" xr:uid="{00000000-0005-0000-0000-0000FE2A0000}"/>
    <cellStyle name="Heading 2 7" xfId="2011" xr:uid="{00000000-0005-0000-0000-0000FF2A0000}"/>
    <cellStyle name="Heading 2 8" xfId="2012" xr:uid="{00000000-0005-0000-0000-0000002B0000}"/>
    <cellStyle name="Heading 2 9" xfId="2013" xr:uid="{00000000-0005-0000-0000-0000012B0000}"/>
    <cellStyle name="Heading 3 10" xfId="2014" xr:uid="{00000000-0005-0000-0000-0000022B0000}"/>
    <cellStyle name="Heading 3 10 2" xfId="4710" xr:uid="{00000000-0005-0000-0000-0000032B0000}"/>
    <cellStyle name="Heading 3 10 2 2" xfId="23170" xr:uid="{00000000-0005-0000-0000-0000042B0000}"/>
    <cellStyle name="Heading 3 10 2 3" xfId="18326" xr:uid="{00000000-0005-0000-0000-0000052B0000}"/>
    <cellStyle name="Heading 3 10 3" xfId="4508" xr:uid="{00000000-0005-0000-0000-0000062B0000}"/>
    <cellStyle name="Heading 3 10 3 2" xfId="22968" xr:uid="{00000000-0005-0000-0000-0000072B0000}"/>
    <cellStyle name="Heading 3 10 3 3" xfId="18185" xr:uid="{00000000-0005-0000-0000-0000082B0000}"/>
    <cellStyle name="Heading 3 10 4" xfId="6783" xr:uid="{00000000-0005-0000-0000-0000092B0000}"/>
    <cellStyle name="Heading 3 10 4 2" xfId="25221" xr:uid="{00000000-0005-0000-0000-00000A2B0000}"/>
    <cellStyle name="Heading 3 10 4 3" xfId="20213" xr:uid="{00000000-0005-0000-0000-00000B2B0000}"/>
    <cellStyle name="Heading 3 10 5" xfId="7064" xr:uid="{00000000-0005-0000-0000-00000C2B0000}"/>
    <cellStyle name="Heading 3 10 5 2" xfId="25500" xr:uid="{00000000-0005-0000-0000-00000D2B0000}"/>
    <cellStyle name="Heading 3 10 5 3" xfId="20438" xr:uid="{00000000-0005-0000-0000-00000E2B0000}"/>
    <cellStyle name="Heading 3 10 6" xfId="8932" xr:uid="{00000000-0005-0000-0000-00000F2B0000}"/>
    <cellStyle name="Heading 3 10 6 2" xfId="33199" xr:uid="{00000000-0005-0000-0000-0000102B0000}"/>
    <cellStyle name="Heading 3 10 7" xfId="16703" xr:uid="{00000000-0005-0000-0000-0000112B0000}"/>
    <cellStyle name="Heading 3 11" xfId="39556" xr:uid="{00000000-0005-0000-0000-0000E2090000}"/>
    <cellStyle name="Heading 3 12" xfId="39557" xr:uid="{00000000-0005-0000-0000-0000E3090000}"/>
    <cellStyle name="Heading 3 13" xfId="39558" xr:uid="{00000000-0005-0000-0000-0000E4090000}"/>
    <cellStyle name="Heading 3 14" xfId="39559" xr:uid="{00000000-0005-0000-0000-0000E5090000}"/>
    <cellStyle name="Heading 3 15" xfId="39560" xr:uid="{00000000-0005-0000-0000-0000E6090000}"/>
    <cellStyle name="Heading 3 16" xfId="39561" xr:uid="{00000000-0005-0000-0000-0000E7090000}"/>
    <cellStyle name="Heading 3 17" xfId="39562" xr:uid="{00000000-0005-0000-0000-0000E8090000}"/>
    <cellStyle name="Heading 3 18" xfId="39563" xr:uid="{00000000-0005-0000-0000-0000E9090000}"/>
    <cellStyle name="Heading 3 19" xfId="39564" xr:uid="{00000000-0005-0000-0000-0000EA090000}"/>
    <cellStyle name="Heading 3 2" xfId="2015" xr:uid="{00000000-0005-0000-0000-0000122B0000}"/>
    <cellStyle name="Heading 3 2 10" xfId="2016" xr:uid="{00000000-0005-0000-0000-0000132B0000}"/>
    <cellStyle name="Heading 3 2 10 2" xfId="4712" xr:uid="{00000000-0005-0000-0000-0000142B0000}"/>
    <cellStyle name="Heading 3 2 10 2 2" xfId="12619" xr:uid="{00000000-0005-0000-0000-0000152B0000}"/>
    <cellStyle name="Heading 3 2 10 2 2 2" xfId="35031" xr:uid="{00000000-0005-0000-0000-0000162B0000}"/>
    <cellStyle name="Heading 3 2 10 2 2 3" xfId="23172" xr:uid="{00000000-0005-0000-0000-0000172B0000}"/>
    <cellStyle name="Heading 3 2 10 2 3" xfId="31801" xr:uid="{00000000-0005-0000-0000-0000182B0000}"/>
    <cellStyle name="Heading 3 2 10 2 4" xfId="28117" xr:uid="{00000000-0005-0000-0000-0000192B0000}"/>
    <cellStyle name="Heading 3 2 10 2 5" xfId="18328" xr:uid="{00000000-0005-0000-0000-00001A2B0000}"/>
    <cellStyle name="Heading 3 2 10 3" xfId="4510" xr:uid="{00000000-0005-0000-0000-00001B2B0000}"/>
    <cellStyle name="Heading 3 2 10 3 2" xfId="22970" xr:uid="{00000000-0005-0000-0000-00001C2B0000}"/>
    <cellStyle name="Heading 3 2 10 3 3" xfId="18187" xr:uid="{00000000-0005-0000-0000-00001D2B0000}"/>
    <cellStyle name="Heading 3 2 10 4" xfId="6785" xr:uid="{00000000-0005-0000-0000-00001E2B0000}"/>
    <cellStyle name="Heading 3 2 10 4 2" xfId="25223" xr:uid="{00000000-0005-0000-0000-00001F2B0000}"/>
    <cellStyle name="Heading 3 2 10 4 3" xfId="20215" xr:uid="{00000000-0005-0000-0000-0000202B0000}"/>
    <cellStyle name="Heading 3 2 10 5" xfId="7061" xr:uid="{00000000-0005-0000-0000-0000212B0000}"/>
    <cellStyle name="Heading 3 2 10 5 2" xfId="25497" xr:uid="{00000000-0005-0000-0000-0000222B0000}"/>
    <cellStyle name="Heading 3 2 10 5 3" xfId="20435" xr:uid="{00000000-0005-0000-0000-0000232B0000}"/>
    <cellStyle name="Heading 3 2 10 6" xfId="8934" xr:uid="{00000000-0005-0000-0000-0000242B0000}"/>
    <cellStyle name="Heading 3 2 10 6 2" xfId="33201" xr:uid="{00000000-0005-0000-0000-0000252B0000}"/>
    <cellStyle name="Heading 3 2 10 7" xfId="16701" xr:uid="{00000000-0005-0000-0000-0000262B0000}"/>
    <cellStyle name="Heading 3 2 11" xfId="2017" xr:uid="{00000000-0005-0000-0000-0000272B0000}"/>
    <cellStyle name="Heading 3 2 11 2" xfId="4713" xr:uid="{00000000-0005-0000-0000-0000282B0000}"/>
    <cellStyle name="Heading 3 2 11 2 2" xfId="23173" xr:uid="{00000000-0005-0000-0000-0000292B0000}"/>
    <cellStyle name="Heading 3 2 11 2 3" xfId="18329" xr:uid="{00000000-0005-0000-0000-00002A2B0000}"/>
    <cellStyle name="Heading 3 2 11 3" xfId="4511" xr:uid="{00000000-0005-0000-0000-00002B2B0000}"/>
    <cellStyle name="Heading 3 2 11 3 2" xfId="22971" xr:uid="{00000000-0005-0000-0000-00002C2B0000}"/>
    <cellStyle name="Heading 3 2 11 3 3" xfId="18188" xr:uid="{00000000-0005-0000-0000-00002D2B0000}"/>
    <cellStyle name="Heading 3 2 11 4" xfId="6786" xr:uid="{00000000-0005-0000-0000-00002E2B0000}"/>
    <cellStyle name="Heading 3 2 11 4 2" xfId="25224" xr:uid="{00000000-0005-0000-0000-00002F2B0000}"/>
    <cellStyle name="Heading 3 2 11 4 3" xfId="20216" xr:uid="{00000000-0005-0000-0000-0000302B0000}"/>
    <cellStyle name="Heading 3 2 11 5" xfId="7063" xr:uid="{00000000-0005-0000-0000-0000312B0000}"/>
    <cellStyle name="Heading 3 2 11 5 2" xfId="25499" xr:uid="{00000000-0005-0000-0000-0000322B0000}"/>
    <cellStyle name="Heading 3 2 11 5 3" xfId="20437" xr:uid="{00000000-0005-0000-0000-0000332B0000}"/>
    <cellStyle name="Heading 3 2 11 6" xfId="8935" xr:uid="{00000000-0005-0000-0000-0000342B0000}"/>
    <cellStyle name="Heading 3 2 11 6 2" xfId="33202" xr:uid="{00000000-0005-0000-0000-0000352B0000}"/>
    <cellStyle name="Heading 3 2 11 7" xfId="16700" xr:uid="{00000000-0005-0000-0000-0000362B0000}"/>
    <cellStyle name="Heading 3 2 12" xfId="4711" xr:uid="{00000000-0005-0000-0000-0000372B0000}"/>
    <cellStyle name="Heading 3 2 12 2" xfId="23171" xr:uid="{00000000-0005-0000-0000-0000382B0000}"/>
    <cellStyle name="Heading 3 2 12 3" xfId="18327" xr:uid="{00000000-0005-0000-0000-0000392B0000}"/>
    <cellStyle name="Heading 3 2 13" xfId="4509" xr:uid="{00000000-0005-0000-0000-00003A2B0000}"/>
    <cellStyle name="Heading 3 2 13 2" xfId="22969" xr:uid="{00000000-0005-0000-0000-00003B2B0000}"/>
    <cellStyle name="Heading 3 2 13 3" xfId="18186" xr:uid="{00000000-0005-0000-0000-00003C2B0000}"/>
    <cellStyle name="Heading 3 2 14" xfId="6784" xr:uid="{00000000-0005-0000-0000-00003D2B0000}"/>
    <cellStyle name="Heading 3 2 14 2" xfId="25222" xr:uid="{00000000-0005-0000-0000-00003E2B0000}"/>
    <cellStyle name="Heading 3 2 14 3" xfId="20214" xr:uid="{00000000-0005-0000-0000-00003F2B0000}"/>
    <cellStyle name="Heading 3 2 15" xfId="6602" xr:uid="{00000000-0005-0000-0000-0000402B0000}"/>
    <cellStyle name="Heading 3 2 15 2" xfId="25042" xr:uid="{00000000-0005-0000-0000-0000412B0000}"/>
    <cellStyle name="Heading 3 2 15 3" xfId="20151" xr:uid="{00000000-0005-0000-0000-0000422B0000}"/>
    <cellStyle name="Heading 3 2 16" xfId="8933" xr:uid="{00000000-0005-0000-0000-0000432B0000}"/>
    <cellStyle name="Heading 3 2 16 2" xfId="33200" xr:uid="{00000000-0005-0000-0000-0000442B0000}"/>
    <cellStyle name="Heading 3 2 17" xfId="16702" xr:uid="{00000000-0005-0000-0000-0000452B0000}"/>
    <cellStyle name="Heading 3 2 2" xfId="2018" xr:uid="{00000000-0005-0000-0000-0000462B0000}"/>
    <cellStyle name="Heading 3 2 2 2" xfId="4714" xr:uid="{00000000-0005-0000-0000-0000472B0000}"/>
    <cellStyle name="Heading 3 2 2 2 2" xfId="12620" xr:uid="{00000000-0005-0000-0000-0000482B0000}"/>
    <cellStyle name="Heading 3 2 2 2 2 2" xfId="35032" xr:uid="{00000000-0005-0000-0000-0000492B0000}"/>
    <cellStyle name="Heading 3 2 2 2 2 3" xfId="23174" xr:uid="{00000000-0005-0000-0000-00004A2B0000}"/>
    <cellStyle name="Heading 3 2 2 2 3" xfId="31802" xr:uid="{00000000-0005-0000-0000-00004B2B0000}"/>
    <cellStyle name="Heading 3 2 2 2 4" xfId="28118" xr:uid="{00000000-0005-0000-0000-00004C2B0000}"/>
    <cellStyle name="Heading 3 2 2 2 5" xfId="18330" xr:uid="{00000000-0005-0000-0000-00004D2B0000}"/>
    <cellStyle name="Heading 3 2 2 3" xfId="4512" xr:uid="{00000000-0005-0000-0000-00004E2B0000}"/>
    <cellStyle name="Heading 3 2 2 3 2" xfId="22972" xr:uid="{00000000-0005-0000-0000-00004F2B0000}"/>
    <cellStyle name="Heading 3 2 2 3 3" xfId="18189" xr:uid="{00000000-0005-0000-0000-0000502B0000}"/>
    <cellStyle name="Heading 3 2 2 4" xfId="6787" xr:uid="{00000000-0005-0000-0000-0000512B0000}"/>
    <cellStyle name="Heading 3 2 2 4 2" xfId="25225" xr:uid="{00000000-0005-0000-0000-0000522B0000}"/>
    <cellStyle name="Heading 3 2 2 4 3" xfId="20217" xr:uid="{00000000-0005-0000-0000-0000532B0000}"/>
    <cellStyle name="Heading 3 2 2 5" xfId="6601" xr:uid="{00000000-0005-0000-0000-0000542B0000}"/>
    <cellStyle name="Heading 3 2 2 5 2" xfId="25041" xr:uid="{00000000-0005-0000-0000-0000552B0000}"/>
    <cellStyle name="Heading 3 2 2 5 3" xfId="20150" xr:uid="{00000000-0005-0000-0000-0000562B0000}"/>
    <cellStyle name="Heading 3 2 2 6" xfId="8936" xr:uid="{00000000-0005-0000-0000-0000572B0000}"/>
    <cellStyle name="Heading 3 2 2 6 2" xfId="33203" xr:uid="{00000000-0005-0000-0000-0000582B0000}"/>
    <cellStyle name="Heading 3 2 2 7" xfId="16699" xr:uid="{00000000-0005-0000-0000-0000592B0000}"/>
    <cellStyle name="Heading 3 2 3" xfId="2019" xr:uid="{00000000-0005-0000-0000-00005A2B0000}"/>
    <cellStyle name="Heading 3 2 3 2" xfId="4715" xr:uid="{00000000-0005-0000-0000-00005B2B0000}"/>
    <cellStyle name="Heading 3 2 3 2 2" xfId="12621" xr:uid="{00000000-0005-0000-0000-00005C2B0000}"/>
    <cellStyle name="Heading 3 2 3 2 2 2" xfId="35033" xr:uid="{00000000-0005-0000-0000-00005D2B0000}"/>
    <cellStyle name="Heading 3 2 3 2 2 3" xfId="23175" xr:uid="{00000000-0005-0000-0000-00005E2B0000}"/>
    <cellStyle name="Heading 3 2 3 2 3" xfId="31803" xr:uid="{00000000-0005-0000-0000-00005F2B0000}"/>
    <cellStyle name="Heading 3 2 3 2 4" xfId="28119" xr:uid="{00000000-0005-0000-0000-0000602B0000}"/>
    <cellStyle name="Heading 3 2 3 2 5" xfId="18331" xr:uid="{00000000-0005-0000-0000-0000612B0000}"/>
    <cellStyle name="Heading 3 2 3 3" xfId="4513" xr:uid="{00000000-0005-0000-0000-0000622B0000}"/>
    <cellStyle name="Heading 3 2 3 3 2" xfId="22973" xr:uid="{00000000-0005-0000-0000-0000632B0000}"/>
    <cellStyle name="Heading 3 2 3 3 3" xfId="18190" xr:uid="{00000000-0005-0000-0000-0000642B0000}"/>
    <cellStyle name="Heading 3 2 3 4" xfId="6788" xr:uid="{00000000-0005-0000-0000-0000652B0000}"/>
    <cellStyle name="Heading 3 2 3 4 2" xfId="25226" xr:uid="{00000000-0005-0000-0000-0000662B0000}"/>
    <cellStyle name="Heading 3 2 3 4 3" xfId="20218" xr:uid="{00000000-0005-0000-0000-0000672B0000}"/>
    <cellStyle name="Heading 3 2 3 5" xfId="7062" xr:uid="{00000000-0005-0000-0000-0000682B0000}"/>
    <cellStyle name="Heading 3 2 3 5 2" xfId="25498" xr:uid="{00000000-0005-0000-0000-0000692B0000}"/>
    <cellStyle name="Heading 3 2 3 5 3" xfId="20436" xr:uid="{00000000-0005-0000-0000-00006A2B0000}"/>
    <cellStyle name="Heading 3 2 3 6" xfId="8937" xr:uid="{00000000-0005-0000-0000-00006B2B0000}"/>
    <cellStyle name="Heading 3 2 3 6 2" xfId="33204" xr:uid="{00000000-0005-0000-0000-00006C2B0000}"/>
    <cellStyle name="Heading 3 2 3 7" xfId="16698" xr:uid="{00000000-0005-0000-0000-00006D2B0000}"/>
    <cellStyle name="Heading 3 2 4" xfId="2020" xr:uid="{00000000-0005-0000-0000-00006E2B0000}"/>
    <cellStyle name="Heading 3 2 4 2" xfId="4716" xr:uid="{00000000-0005-0000-0000-00006F2B0000}"/>
    <cellStyle name="Heading 3 2 4 2 2" xfId="12622" xr:uid="{00000000-0005-0000-0000-0000702B0000}"/>
    <cellStyle name="Heading 3 2 4 2 2 2" xfId="35034" xr:uid="{00000000-0005-0000-0000-0000712B0000}"/>
    <cellStyle name="Heading 3 2 4 2 2 3" xfId="23176" xr:uid="{00000000-0005-0000-0000-0000722B0000}"/>
    <cellStyle name="Heading 3 2 4 2 3" xfId="31804" xr:uid="{00000000-0005-0000-0000-0000732B0000}"/>
    <cellStyle name="Heading 3 2 4 2 4" xfId="28120" xr:uid="{00000000-0005-0000-0000-0000742B0000}"/>
    <cellStyle name="Heading 3 2 4 2 5" xfId="18332" xr:uid="{00000000-0005-0000-0000-0000752B0000}"/>
    <cellStyle name="Heading 3 2 4 3" xfId="4514" xr:uid="{00000000-0005-0000-0000-0000762B0000}"/>
    <cellStyle name="Heading 3 2 4 3 2" xfId="22974" xr:uid="{00000000-0005-0000-0000-0000772B0000}"/>
    <cellStyle name="Heading 3 2 4 3 3" xfId="18191" xr:uid="{00000000-0005-0000-0000-0000782B0000}"/>
    <cellStyle name="Heading 3 2 4 4" xfId="6789" xr:uid="{00000000-0005-0000-0000-0000792B0000}"/>
    <cellStyle name="Heading 3 2 4 4 2" xfId="25227" xr:uid="{00000000-0005-0000-0000-00007A2B0000}"/>
    <cellStyle name="Heading 3 2 4 4 3" xfId="20219" xr:uid="{00000000-0005-0000-0000-00007B2B0000}"/>
    <cellStyle name="Heading 3 2 4 5" xfId="6600" xr:uid="{00000000-0005-0000-0000-00007C2B0000}"/>
    <cellStyle name="Heading 3 2 4 5 2" xfId="25040" xr:uid="{00000000-0005-0000-0000-00007D2B0000}"/>
    <cellStyle name="Heading 3 2 4 5 3" xfId="20149" xr:uid="{00000000-0005-0000-0000-00007E2B0000}"/>
    <cellStyle name="Heading 3 2 4 6" xfId="8938" xr:uid="{00000000-0005-0000-0000-00007F2B0000}"/>
    <cellStyle name="Heading 3 2 4 6 2" xfId="33205" xr:uid="{00000000-0005-0000-0000-0000802B0000}"/>
    <cellStyle name="Heading 3 2 4 7" xfId="16697" xr:uid="{00000000-0005-0000-0000-0000812B0000}"/>
    <cellStyle name="Heading 3 2 5" xfId="2021" xr:uid="{00000000-0005-0000-0000-0000822B0000}"/>
    <cellStyle name="Heading 3 2 5 2" xfId="4717" xr:uid="{00000000-0005-0000-0000-0000832B0000}"/>
    <cellStyle name="Heading 3 2 5 2 2" xfId="12623" xr:uid="{00000000-0005-0000-0000-0000842B0000}"/>
    <cellStyle name="Heading 3 2 5 2 2 2" xfId="35035" xr:uid="{00000000-0005-0000-0000-0000852B0000}"/>
    <cellStyle name="Heading 3 2 5 2 2 3" xfId="23177" xr:uid="{00000000-0005-0000-0000-0000862B0000}"/>
    <cellStyle name="Heading 3 2 5 2 3" xfId="31805" xr:uid="{00000000-0005-0000-0000-0000872B0000}"/>
    <cellStyle name="Heading 3 2 5 2 4" xfId="28121" xr:uid="{00000000-0005-0000-0000-0000882B0000}"/>
    <cellStyle name="Heading 3 2 5 2 5" xfId="18333" xr:uid="{00000000-0005-0000-0000-0000892B0000}"/>
    <cellStyle name="Heading 3 2 5 3" xfId="4515" xr:uid="{00000000-0005-0000-0000-00008A2B0000}"/>
    <cellStyle name="Heading 3 2 5 3 2" xfId="22975" xr:uid="{00000000-0005-0000-0000-00008B2B0000}"/>
    <cellStyle name="Heading 3 2 5 3 3" xfId="18192" xr:uid="{00000000-0005-0000-0000-00008C2B0000}"/>
    <cellStyle name="Heading 3 2 5 4" xfId="6790" xr:uid="{00000000-0005-0000-0000-00008D2B0000}"/>
    <cellStyle name="Heading 3 2 5 4 2" xfId="25228" xr:uid="{00000000-0005-0000-0000-00008E2B0000}"/>
    <cellStyle name="Heading 3 2 5 4 3" xfId="20220" xr:uid="{00000000-0005-0000-0000-00008F2B0000}"/>
    <cellStyle name="Heading 3 2 5 5" xfId="6599" xr:uid="{00000000-0005-0000-0000-0000902B0000}"/>
    <cellStyle name="Heading 3 2 5 5 2" xfId="25039" xr:uid="{00000000-0005-0000-0000-0000912B0000}"/>
    <cellStyle name="Heading 3 2 5 5 3" xfId="20148" xr:uid="{00000000-0005-0000-0000-0000922B0000}"/>
    <cellStyle name="Heading 3 2 5 6" xfId="8939" xr:uid="{00000000-0005-0000-0000-0000932B0000}"/>
    <cellStyle name="Heading 3 2 5 6 2" xfId="33206" xr:uid="{00000000-0005-0000-0000-0000942B0000}"/>
    <cellStyle name="Heading 3 2 5 7" xfId="16696" xr:uid="{00000000-0005-0000-0000-0000952B0000}"/>
    <cellStyle name="Heading 3 2 6" xfId="2022" xr:uid="{00000000-0005-0000-0000-0000962B0000}"/>
    <cellStyle name="Heading 3 2 6 2" xfId="4718" xr:uid="{00000000-0005-0000-0000-0000972B0000}"/>
    <cellStyle name="Heading 3 2 6 2 2" xfId="12624" xr:uid="{00000000-0005-0000-0000-0000982B0000}"/>
    <cellStyle name="Heading 3 2 6 2 2 2" xfId="35036" xr:uid="{00000000-0005-0000-0000-0000992B0000}"/>
    <cellStyle name="Heading 3 2 6 2 2 3" xfId="23178" xr:uid="{00000000-0005-0000-0000-00009A2B0000}"/>
    <cellStyle name="Heading 3 2 6 2 3" xfId="31806" xr:uid="{00000000-0005-0000-0000-00009B2B0000}"/>
    <cellStyle name="Heading 3 2 6 2 4" xfId="28122" xr:uid="{00000000-0005-0000-0000-00009C2B0000}"/>
    <cellStyle name="Heading 3 2 6 2 5" xfId="18334" xr:uid="{00000000-0005-0000-0000-00009D2B0000}"/>
    <cellStyle name="Heading 3 2 6 3" xfId="4516" xr:uid="{00000000-0005-0000-0000-00009E2B0000}"/>
    <cellStyle name="Heading 3 2 6 3 2" xfId="22976" xr:uid="{00000000-0005-0000-0000-00009F2B0000}"/>
    <cellStyle name="Heading 3 2 6 3 3" xfId="18193" xr:uid="{00000000-0005-0000-0000-0000A02B0000}"/>
    <cellStyle name="Heading 3 2 6 4" xfId="6791" xr:uid="{00000000-0005-0000-0000-0000A12B0000}"/>
    <cellStyle name="Heading 3 2 6 4 2" xfId="25229" xr:uid="{00000000-0005-0000-0000-0000A22B0000}"/>
    <cellStyle name="Heading 3 2 6 4 3" xfId="20221" xr:uid="{00000000-0005-0000-0000-0000A32B0000}"/>
    <cellStyle name="Heading 3 2 6 5" xfId="7060" xr:uid="{00000000-0005-0000-0000-0000A42B0000}"/>
    <cellStyle name="Heading 3 2 6 5 2" xfId="25496" xr:uid="{00000000-0005-0000-0000-0000A52B0000}"/>
    <cellStyle name="Heading 3 2 6 5 3" xfId="20434" xr:uid="{00000000-0005-0000-0000-0000A62B0000}"/>
    <cellStyle name="Heading 3 2 6 6" xfId="8940" xr:uid="{00000000-0005-0000-0000-0000A72B0000}"/>
    <cellStyle name="Heading 3 2 6 6 2" xfId="33207" xr:uid="{00000000-0005-0000-0000-0000A82B0000}"/>
    <cellStyle name="Heading 3 2 6 7" xfId="16695" xr:uid="{00000000-0005-0000-0000-0000A92B0000}"/>
    <cellStyle name="Heading 3 2 7" xfId="2023" xr:uid="{00000000-0005-0000-0000-0000AA2B0000}"/>
    <cellStyle name="Heading 3 2 7 2" xfId="4719" xr:uid="{00000000-0005-0000-0000-0000AB2B0000}"/>
    <cellStyle name="Heading 3 2 7 2 2" xfId="12625" xr:uid="{00000000-0005-0000-0000-0000AC2B0000}"/>
    <cellStyle name="Heading 3 2 7 2 2 2" xfId="35037" xr:uid="{00000000-0005-0000-0000-0000AD2B0000}"/>
    <cellStyle name="Heading 3 2 7 2 2 3" xfId="23179" xr:uid="{00000000-0005-0000-0000-0000AE2B0000}"/>
    <cellStyle name="Heading 3 2 7 2 3" xfId="31807" xr:uid="{00000000-0005-0000-0000-0000AF2B0000}"/>
    <cellStyle name="Heading 3 2 7 2 4" xfId="28123" xr:uid="{00000000-0005-0000-0000-0000B02B0000}"/>
    <cellStyle name="Heading 3 2 7 2 5" xfId="18335" xr:uid="{00000000-0005-0000-0000-0000B12B0000}"/>
    <cellStyle name="Heading 3 2 7 3" xfId="4517" xr:uid="{00000000-0005-0000-0000-0000B22B0000}"/>
    <cellStyle name="Heading 3 2 7 3 2" xfId="22977" xr:uid="{00000000-0005-0000-0000-0000B32B0000}"/>
    <cellStyle name="Heading 3 2 7 3 3" xfId="18194" xr:uid="{00000000-0005-0000-0000-0000B42B0000}"/>
    <cellStyle name="Heading 3 2 7 4" xfId="6792" xr:uid="{00000000-0005-0000-0000-0000B52B0000}"/>
    <cellStyle name="Heading 3 2 7 4 2" xfId="25230" xr:uid="{00000000-0005-0000-0000-0000B62B0000}"/>
    <cellStyle name="Heading 3 2 7 4 3" xfId="20222" xr:uid="{00000000-0005-0000-0000-0000B72B0000}"/>
    <cellStyle name="Heading 3 2 7 5" xfId="6598" xr:uid="{00000000-0005-0000-0000-0000B82B0000}"/>
    <cellStyle name="Heading 3 2 7 5 2" xfId="25038" xr:uid="{00000000-0005-0000-0000-0000B92B0000}"/>
    <cellStyle name="Heading 3 2 7 5 3" xfId="20147" xr:uid="{00000000-0005-0000-0000-0000BA2B0000}"/>
    <cellStyle name="Heading 3 2 7 6" xfId="8941" xr:uid="{00000000-0005-0000-0000-0000BB2B0000}"/>
    <cellStyle name="Heading 3 2 7 6 2" xfId="33208" xr:uid="{00000000-0005-0000-0000-0000BC2B0000}"/>
    <cellStyle name="Heading 3 2 7 7" xfId="16694" xr:uid="{00000000-0005-0000-0000-0000BD2B0000}"/>
    <cellStyle name="Heading 3 2 8" xfId="2024" xr:uid="{00000000-0005-0000-0000-0000BE2B0000}"/>
    <cellStyle name="Heading 3 2 8 2" xfId="4720" xr:uid="{00000000-0005-0000-0000-0000BF2B0000}"/>
    <cellStyle name="Heading 3 2 8 2 2" xfId="12626" xr:uid="{00000000-0005-0000-0000-0000C02B0000}"/>
    <cellStyle name="Heading 3 2 8 2 2 2" xfId="35038" xr:uid="{00000000-0005-0000-0000-0000C12B0000}"/>
    <cellStyle name="Heading 3 2 8 2 2 3" xfId="23180" xr:uid="{00000000-0005-0000-0000-0000C22B0000}"/>
    <cellStyle name="Heading 3 2 8 2 3" xfId="31808" xr:uid="{00000000-0005-0000-0000-0000C32B0000}"/>
    <cellStyle name="Heading 3 2 8 2 4" xfId="28124" xr:uid="{00000000-0005-0000-0000-0000C42B0000}"/>
    <cellStyle name="Heading 3 2 8 2 5" xfId="18336" xr:uid="{00000000-0005-0000-0000-0000C52B0000}"/>
    <cellStyle name="Heading 3 2 8 3" xfId="4518" xr:uid="{00000000-0005-0000-0000-0000C62B0000}"/>
    <cellStyle name="Heading 3 2 8 3 2" xfId="22978" xr:uid="{00000000-0005-0000-0000-0000C72B0000}"/>
    <cellStyle name="Heading 3 2 8 3 3" xfId="18195" xr:uid="{00000000-0005-0000-0000-0000C82B0000}"/>
    <cellStyle name="Heading 3 2 8 4" xfId="6793" xr:uid="{00000000-0005-0000-0000-0000C92B0000}"/>
    <cellStyle name="Heading 3 2 8 4 2" xfId="25231" xr:uid="{00000000-0005-0000-0000-0000CA2B0000}"/>
    <cellStyle name="Heading 3 2 8 4 3" xfId="20223" xr:uid="{00000000-0005-0000-0000-0000CB2B0000}"/>
    <cellStyle name="Heading 3 2 8 5" xfId="7154" xr:uid="{00000000-0005-0000-0000-0000CC2B0000}"/>
    <cellStyle name="Heading 3 2 8 5 2" xfId="25587" xr:uid="{00000000-0005-0000-0000-0000CD2B0000}"/>
    <cellStyle name="Heading 3 2 8 5 3" xfId="20512" xr:uid="{00000000-0005-0000-0000-0000CE2B0000}"/>
    <cellStyle name="Heading 3 2 8 6" xfId="8942" xr:uid="{00000000-0005-0000-0000-0000CF2B0000}"/>
    <cellStyle name="Heading 3 2 8 6 2" xfId="33209" xr:uid="{00000000-0005-0000-0000-0000D02B0000}"/>
    <cellStyle name="Heading 3 2 8 7" xfId="16693" xr:uid="{00000000-0005-0000-0000-0000D12B0000}"/>
    <cellStyle name="Heading 3 2 9" xfId="2025" xr:uid="{00000000-0005-0000-0000-0000D22B0000}"/>
    <cellStyle name="Heading 3 2 9 2" xfId="4721" xr:uid="{00000000-0005-0000-0000-0000D32B0000}"/>
    <cellStyle name="Heading 3 2 9 2 2" xfId="12627" xr:uid="{00000000-0005-0000-0000-0000D42B0000}"/>
    <cellStyle name="Heading 3 2 9 2 2 2" xfId="35039" xr:uid="{00000000-0005-0000-0000-0000D52B0000}"/>
    <cellStyle name="Heading 3 2 9 2 2 3" xfId="23181" xr:uid="{00000000-0005-0000-0000-0000D62B0000}"/>
    <cellStyle name="Heading 3 2 9 2 3" xfId="31809" xr:uid="{00000000-0005-0000-0000-0000D72B0000}"/>
    <cellStyle name="Heading 3 2 9 2 4" xfId="28125" xr:uid="{00000000-0005-0000-0000-0000D82B0000}"/>
    <cellStyle name="Heading 3 2 9 2 5" xfId="18337" xr:uid="{00000000-0005-0000-0000-0000D92B0000}"/>
    <cellStyle name="Heading 3 2 9 3" xfId="4519" xr:uid="{00000000-0005-0000-0000-0000DA2B0000}"/>
    <cellStyle name="Heading 3 2 9 3 2" xfId="22979" xr:uid="{00000000-0005-0000-0000-0000DB2B0000}"/>
    <cellStyle name="Heading 3 2 9 3 3" xfId="18196" xr:uid="{00000000-0005-0000-0000-0000DC2B0000}"/>
    <cellStyle name="Heading 3 2 9 4" xfId="6794" xr:uid="{00000000-0005-0000-0000-0000DD2B0000}"/>
    <cellStyle name="Heading 3 2 9 4 2" xfId="25232" xr:uid="{00000000-0005-0000-0000-0000DE2B0000}"/>
    <cellStyle name="Heading 3 2 9 4 3" xfId="20224" xr:uid="{00000000-0005-0000-0000-0000DF2B0000}"/>
    <cellStyle name="Heading 3 2 9 5" xfId="5949" xr:uid="{00000000-0005-0000-0000-0000E02B0000}"/>
    <cellStyle name="Heading 3 2 9 5 2" xfId="24390" xr:uid="{00000000-0005-0000-0000-0000E12B0000}"/>
    <cellStyle name="Heading 3 2 9 5 3" xfId="19502" xr:uid="{00000000-0005-0000-0000-0000E22B0000}"/>
    <cellStyle name="Heading 3 2 9 6" xfId="8943" xr:uid="{00000000-0005-0000-0000-0000E32B0000}"/>
    <cellStyle name="Heading 3 2 9 6 2" xfId="33210" xr:uid="{00000000-0005-0000-0000-0000E42B0000}"/>
    <cellStyle name="Heading 3 2 9 7" xfId="16692" xr:uid="{00000000-0005-0000-0000-0000E52B0000}"/>
    <cellStyle name="Heading 3 20" xfId="39565" xr:uid="{00000000-0005-0000-0000-0000F6090000}"/>
    <cellStyle name="Heading 3 21" xfId="39566" xr:uid="{00000000-0005-0000-0000-0000F7090000}"/>
    <cellStyle name="Heading 3 22" xfId="39567" xr:uid="{00000000-0005-0000-0000-0000F8090000}"/>
    <cellStyle name="Heading 3 23" xfId="39568" xr:uid="{00000000-0005-0000-0000-0000F9090000}"/>
    <cellStyle name="Heading 3 24" xfId="39569" xr:uid="{00000000-0005-0000-0000-0000FA090000}"/>
    <cellStyle name="Heading 3 25" xfId="39570" xr:uid="{00000000-0005-0000-0000-0000FB090000}"/>
    <cellStyle name="Heading 3 26" xfId="39571" xr:uid="{00000000-0005-0000-0000-0000FC090000}"/>
    <cellStyle name="Heading 3 27" xfId="39572" xr:uid="{00000000-0005-0000-0000-0000FD090000}"/>
    <cellStyle name="Heading 3 28" xfId="39573" xr:uid="{00000000-0005-0000-0000-0000FE090000}"/>
    <cellStyle name="Heading 3 29" xfId="39574" xr:uid="{00000000-0005-0000-0000-0000FF090000}"/>
    <cellStyle name="Heading 3 3" xfId="2026" xr:uid="{00000000-0005-0000-0000-0000E62B0000}"/>
    <cellStyle name="Heading 3 3 10" xfId="2027" xr:uid="{00000000-0005-0000-0000-0000E72B0000}"/>
    <cellStyle name="Heading 3 3 10 2" xfId="4723" xr:uid="{00000000-0005-0000-0000-0000E82B0000}"/>
    <cellStyle name="Heading 3 3 10 2 2" xfId="23183" xr:uid="{00000000-0005-0000-0000-0000E92B0000}"/>
    <cellStyle name="Heading 3 3 10 2 3" xfId="18339" xr:uid="{00000000-0005-0000-0000-0000EA2B0000}"/>
    <cellStyle name="Heading 3 3 10 3" xfId="4521" xr:uid="{00000000-0005-0000-0000-0000EB2B0000}"/>
    <cellStyle name="Heading 3 3 10 3 2" xfId="22981" xr:uid="{00000000-0005-0000-0000-0000EC2B0000}"/>
    <cellStyle name="Heading 3 3 10 3 3" xfId="18198" xr:uid="{00000000-0005-0000-0000-0000ED2B0000}"/>
    <cellStyle name="Heading 3 3 10 4" xfId="6796" xr:uid="{00000000-0005-0000-0000-0000EE2B0000}"/>
    <cellStyle name="Heading 3 3 10 4 2" xfId="25234" xr:uid="{00000000-0005-0000-0000-0000EF2B0000}"/>
    <cellStyle name="Heading 3 3 10 4 3" xfId="20226" xr:uid="{00000000-0005-0000-0000-0000F02B0000}"/>
    <cellStyle name="Heading 3 3 10 5" xfId="6596" xr:uid="{00000000-0005-0000-0000-0000F12B0000}"/>
    <cellStyle name="Heading 3 3 10 5 2" xfId="25036" xr:uid="{00000000-0005-0000-0000-0000F22B0000}"/>
    <cellStyle name="Heading 3 3 10 5 3" xfId="20145" xr:uid="{00000000-0005-0000-0000-0000F32B0000}"/>
    <cellStyle name="Heading 3 3 10 6" xfId="8945" xr:uid="{00000000-0005-0000-0000-0000F42B0000}"/>
    <cellStyle name="Heading 3 3 10 6 2" xfId="33212" xr:uid="{00000000-0005-0000-0000-0000F52B0000}"/>
    <cellStyle name="Heading 3 3 10 7" xfId="16690" xr:uid="{00000000-0005-0000-0000-0000F62B0000}"/>
    <cellStyle name="Heading 3 3 11" xfId="2028" xr:uid="{00000000-0005-0000-0000-0000F72B0000}"/>
    <cellStyle name="Heading 3 3 11 2" xfId="4724" xr:uid="{00000000-0005-0000-0000-0000F82B0000}"/>
    <cellStyle name="Heading 3 3 11 2 2" xfId="23184" xr:uid="{00000000-0005-0000-0000-0000F92B0000}"/>
    <cellStyle name="Heading 3 3 11 2 3" xfId="18340" xr:uid="{00000000-0005-0000-0000-0000FA2B0000}"/>
    <cellStyle name="Heading 3 3 11 3" xfId="4522" xr:uid="{00000000-0005-0000-0000-0000FB2B0000}"/>
    <cellStyle name="Heading 3 3 11 3 2" xfId="22982" xr:uid="{00000000-0005-0000-0000-0000FC2B0000}"/>
    <cellStyle name="Heading 3 3 11 3 3" xfId="18199" xr:uid="{00000000-0005-0000-0000-0000FD2B0000}"/>
    <cellStyle name="Heading 3 3 11 4" xfId="6797" xr:uid="{00000000-0005-0000-0000-0000FE2B0000}"/>
    <cellStyle name="Heading 3 3 11 4 2" xfId="25235" xr:uid="{00000000-0005-0000-0000-0000FF2B0000}"/>
    <cellStyle name="Heading 3 3 11 4 3" xfId="20227" xr:uid="{00000000-0005-0000-0000-0000002C0000}"/>
    <cellStyle name="Heading 3 3 11 5" xfId="6595" xr:uid="{00000000-0005-0000-0000-0000012C0000}"/>
    <cellStyle name="Heading 3 3 11 5 2" xfId="25035" xr:uid="{00000000-0005-0000-0000-0000022C0000}"/>
    <cellStyle name="Heading 3 3 11 5 3" xfId="20144" xr:uid="{00000000-0005-0000-0000-0000032C0000}"/>
    <cellStyle name="Heading 3 3 11 6" xfId="8946" xr:uid="{00000000-0005-0000-0000-0000042C0000}"/>
    <cellStyle name="Heading 3 3 11 6 2" xfId="33213" xr:uid="{00000000-0005-0000-0000-0000052C0000}"/>
    <cellStyle name="Heading 3 3 11 7" xfId="16689" xr:uid="{00000000-0005-0000-0000-0000062C0000}"/>
    <cellStyle name="Heading 3 3 12" xfId="4722" xr:uid="{00000000-0005-0000-0000-0000072C0000}"/>
    <cellStyle name="Heading 3 3 12 2" xfId="12628" xr:uid="{00000000-0005-0000-0000-0000082C0000}"/>
    <cellStyle name="Heading 3 3 12 2 2" xfId="35040" xr:uid="{00000000-0005-0000-0000-0000092C0000}"/>
    <cellStyle name="Heading 3 3 12 2 3" xfId="23182" xr:uid="{00000000-0005-0000-0000-00000A2C0000}"/>
    <cellStyle name="Heading 3 3 12 3" xfId="31810" xr:uid="{00000000-0005-0000-0000-00000B2C0000}"/>
    <cellStyle name="Heading 3 3 12 4" xfId="28126" xr:uid="{00000000-0005-0000-0000-00000C2C0000}"/>
    <cellStyle name="Heading 3 3 12 5" xfId="18338" xr:uid="{00000000-0005-0000-0000-00000D2C0000}"/>
    <cellStyle name="Heading 3 3 13" xfId="4520" xr:uid="{00000000-0005-0000-0000-00000E2C0000}"/>
    <cellStyle name="Heading 3 3 13 2" xfId="22980" xr:uid="{00000000-0005-0000-0000-00000F2C0000}"/>
    <cellStyle name="Heading 3 3 13 3" xfId="18197" xr:uid="{00000000-0005-0000-0000-0000102C0000}"/>
    <cellStyle name="Heading 3 3 14" xfId="6795" xr:uid="{00000000-0005-0000-0000-0000112C0000}"/>
    <cellStyle name="Heading 3 3 14 2" xfId="25233" xr:uid="{00000000-0005-0000-0000-0000122C0000}"/>
    <cellStyle name="Heading 3 3 14 3" xfId="20225" xr:uid="{00000000-0005-0000-0000-0000132C0000}"/>
    <cellStyle name="Heading 3 3 15" xfId="6597" xr:uid="{00000000-0005-0000-0000-0000142C0000}"/>
    <cellStyle name="Heading 3 3 15 2" xfId="25037" xr:uid="{00000000-0005-0000-0000-0000152C0000}"/>
    <cellStyle name="Heading 3 3 15 3" xfId="20146" xr:uid="{00000000-0005-0000-0000-0000162C0000}"/>
    <cellStyle name="Heading 3 3 16" xfId="8944" xr:uid="{00000000-0005-0000-0000-0000172C0000}"/>
    <cellStyle name="Heading 3 3 16 2" xfId="33211" xr:uid="{00000000-0005-0000-0000-0000182C0000}"/>
    <cellStyle name="Heading 3 3 17" xfId="16691" xr:uid="{00000000-0005-0000-0000-0000192C0000}"/>
    <cellStyle name="Heading 3 3 2" xfId="2029" xr:uid="{00000000-0005-0000-0000-00001A2C0000}"/>
    <cellStyle name="Heading 3 3 2 2" xfId="4725" xr:uid="{00000000-0005-0000-0000-00001B2C0000}"/>
    <cellStyle name="Heading 3 3 2 2 2" xfId="23185" xr:uid="{00000000-0005-0000-0000-00001C2C0000}"/>
    <cellStyle name="Heading 3 3 2 2 3" xfId="18341" xr:uid="{00000000-0005-0000-0000-00001D2C0000}"/>
    <cellStyle name="Heading 3 3 2 3" xfId="4523" xr:uid="{00000000-0005-0000-0000-00001E2C0000}"/>
    <cellStyle name="Heading 3 3 2 3 2" xfId="22983" xr:uid="{00000000-0005-0000-0000-00001F2C0000}"/>
    <cellStyle name="Heading 3 3 2 3 3" xfId="18200" xr:uid="{00000000-0005-0000-0000-0000202C0000}"/>
    <cellStyle name="Heading 3 3 2 4" xfId="6798" xr:uid="{00000000-0005-0000-0000-0000212C0000}"/>
    <cellStyle name="Heading 3 3 2 4 2" xfId="25236" xr:uid="{00000000-0005-0000-0000-0000222C0000}"/>
    <cellStyle name="Heading 3 3 2 4 3" xfId="20228" xr:uid="{00000000-0005-0000-0000-0000232C0000}"/>
    <cellStyle name="Heading 3 3 2 5" xfId="6594" xr:uid="{00000000-0005-0000-0000-0000242C0000}"/>
    <cellStyle name="Heading 3 3 2 5 2" xfId="25034" xr:uid="{00000000-0005-0000-0000-0000252C0000}"/>
    <cellStyle name="Heading 3 3 2 5 3" xfId="20143" xr:uid="{00000000-0005-0000-0000-0000262C0000}"/>
    <cellStyle name="Heading 3 3 2 6" xfId="8947" xr:uid="{00000000-0005-0000-0000-0000272C0000}"/>
    <cellStyle name="Heading 3 3 2 6 2" xfId="33214" xr:uid="{00000000-0005-0000-0000-0000282C0000}"/>
    <cellStyle name="Heading 3 3 2 7" xfId="16688" xr:uid="{00000000-0005-0000-0000-0000292C0000}"/>
    <cellStyle name="Heading 3 3 2 8" xfId="39575" xr:uid="{00000000-0005-0000-0000-0000010A0000}"/>
    <cellStyle name="Heading 3 3 3" xfId="2030" xr:uid="{00000000-0005-0000-0000-00002A2C0000}"/>
    <cellStyle name="Heading 3 3 3 2" xfId="4726" xr:uid="{00000000-0005-0000-0000-00002B2C0000}"/>
    <cellStyle name="Heading 3 3 3 2 2" xfId="23186" xr:uid="{00000000-0005-0000-0000-00002C2C0000}"/>
    <cellStyle name="Heading 3 3 3 2 3" xfId="18342" xr:uid="{00000000-0005-0000-0000-00002D2C0000}"/>
    <cellStyle name="Heading 3 3 3 3" xfId="4524" xr:uid="{00000000-0005-0000-0000-00002E2C0000}"/>
    <cellStyle name="Heading 3 3 3 3 2" xfId="22984" xr:uid="{00000000-0005-0000-0000-00002F2C0000}"/>
    <cellStyle name="Heading 3 3 3 3 3" xfId="18201" xr:uid="{00000000-0005-0000-0000-0000302C0000}"/>
    <cellStyle name="Heading 3 3 3 4" xfId="6799" xr:uid="{00000000-0005-0000-0000-0000312C0000}"/>
    <cellStyle name="Heading 3 3 3 4 2" xfId="25237" xr:uid="{00000000-0005-0000-0000-0000322C0000}"/>
    <cellStyle name="Heading 3 3 3 4 3" xfId="20229" xr:uid="{00000000-0005-0000-0000-0000332C0000}"/>
    <cellStyle name="Heading 3 3 3 5" xfId="6593" xr:uid="{00000000-0005-0000-0000-0000342C0000}"/>
    <cellStyle name="Heading 3 3 3 5 2" xfId="25033" xr:uid="{00000000-0005-0000-0000-0000352C0000}"/>
    <cellStyle name="Heading 3 3 3 5 3" xfId="20142" xr:uid="{00000000-0005-0000-0000-0000362C0000}"/>
    <cellStyle name="Heading 3 3 3 6" xfId="8948" xr:uid="{00000000-0005-0000-0000-0000372C0000}"/>
    <cellStyle name="Heading 3 3 3 6 2" xfId="33215" xr:uid="{00000000-0005-0000-0000-0000382C0000}"/>
    <cellStyle name="Heading 3 3 3 7" xfId="16687" xr:uid="{00000000-0005-0000-0000-0000392C0000}"/>
    <cellStyle name="Heading 3 3 4" xfId="2031" xr:uid="{00000000-0005-0000-0000-00003A2C0000}"/>
    <cellStyle name="Heading 3 3 4 2" xfId="4727" xr:uid="{00000000-0005-0000-0000-00003B2C0000}"/>
    <cellStyle name="Heading 3 3 4 2 2" xfId="23187" xr:uid="{00000000-0005-0000-0000-00003C2C0000}"/>
    <cellStyle name="Heading 3 3 4 2 3" xfId="18343" xr:uid="{00000000-0005-0000-0000-00003D2C0000}"/>
    <cellStyle name="Heading 3 3 4 3" xfId="4525" xr:uid="{00000000-0005-0000-0000-00003E2C0000}"/>
    <cellStyle name="Heading 3 3 4 3 2" xfId="22985" xr:uid="{00000000-0005-0000-0000-00003F2C0000}"/>
    <cellStyle name="Heading 3 3 4 3 3" xfId="18202" xr:uid="{00000000-0005-0000-0000-0000402C0000}"/>
    <cellStyle name="Heading 3 3 4 4" xfId="6800" xr:uid="{00000000-0005-0000-0000-0000412C0000}"/>
    <cellStyle name="Heading 3 3 4 4 2" xfId="25238" xr:uid="{00000000-0005-0000-0000-0000422C0000}"/>
    <cellStyle name="Heading 3 3 4 4 3" xfId="20230" xr:uid="{00000000-0005-0000-0000-0000432C0000}"/>
    <cellStyle name="Heading 3 3 4 5" xfId="6592" xr:uid="{00000000-0005-0000-0000-0000442C0000}"/>
    <cellStyle name="Heading 3 3 4 5 2" xfId="25032" xr:uid="{00000000-0005-0000-0000-0000452C0000}"/>
    <cellStyle name="Heading 3 3 4 5 3" xfId="20141" xr:uid="{00000000-0005-0000-0000-0000462C0000}"/>
    <cellStyle name="Heading 3 3 4 6" xfId="8949" xr:uid="{00000000-0005-0000-0000-0000472C0000}"/>
    <cellStyle name="Heading 3 3 4 6 2" xfId="33216" xr:uid="{00000000-0005-0000-0000-0000482C0000}"/>
    <cellStyle name="Heading 3 3 4 7" xfId="16686" xr:uid="{00000000-0005-0000-0000-0000492C0000}"/>
    <cellStyle name="Heading 3 3 5" xfId="2032" xr:uid="{00000000-0005-0000-0000-00004A2C0000}"/>
    <cellStyle name="Heading 3 3 5 2" xfId="4728" xr:uid="{00000000-0005-0000-0000-00004B2C0000}"/>
    <cellStyle name="Heading 3 3 5 2 2" xfId="23188" xr:uid="{00000000-0005-0000-0000-00004C2C0000}"/>
    <cellStyle name="Heading 3 3 5 2 3" xfId="18344" xr:uid="{00000000-0005-0000-0000-00004D2C0000}"/>
    <cellStyle name="Heading 3 3 5 3" xfId="4526" xr:uid="{00000000-0005-0000-0000-00004E2C0000}"/>
    <cellStyle name="Heading 3 3 5 3 2" xfId="22986" xr:uid="{00000000-0005-0000-0000-00004F2C0000}"/>
    <cellStyle name="Heading 3 3 5 3 3" xfId="18203" xr:uid="{00000000-0005-0000-0000-0000502C0000}"/>
    <cellStyle name="Heading 3 3 5 4" xfId="6801" xr:uid="{00000000-0005-0000-0000-0000512C0000}"/>
    <cellStyle name="Heading 3 3 5 4 2" xfId="25239" xr:uid="{00000000-0005-0000-0000-0000522C0000}"/>
    <cellStyle name="Heading 3 3 5 4 3" xfId="20231" xr:uid="{00000000-0005-0000-0000-0000532C0000}"/>
    <cellStyle name="Heading 3 3 5 5" xfId="6591" xr:uid="{00000000-0005-0000-0000-0000542C0000}"/>
    <cellStyle name="Heading 3 3 5 5 2" xfId="25031" xr:uid="{00000000-0005-0000-0000-0000552C0000}"/>
    <cellStyle name="Heading 3 3 5 5 3" xfId="20140" xr:uid="{00000000-0005-0000-0000-0000562C0000}"/>
    <cellStyle name="Heading 3 3 5 6" xfId="8950" xr:uid="{00000000-0005-0000-0000-0000572C0000}"/>
    <cellStyle name="Heading 3 3 5 6 2" xfId="33217" xr:uid="{00000000-0005-0000-0000-0000582C0000}"/>
    <cellStyle name="Heading 3 3 5 7" xfId="16685" xr:uid="{00000000-0005-0000-0000-0000592C0000}"/>
    <cellStyle name="Heading 3 3 6" xfId="2033" xr:uid="{00000000-0005-0000-0000-00005A2C0000}"/>
    <cellStyle name="Heading 3 3 6 2" xfId="4729" xr:uid="{00000000-0005-0000-0000-00005B2C0000}"/>
    <cellStyle name="Heading 3 3 6 2 2" xfId="23189" xr:uid="{00000000-0005-0000-0000-00005C2C0000}"/>
    <cellStyle name="Heading 3 3 6 2 3" xfId="18345" xr:uid="{00000000-0005-0000-0000-00005D2C0000}"/>
    <cellStyle name="Heading 3 3 6 3" xfId="4527" xr:uid="{00000000-0005-0000-0000-00005E2C0000}"/>
    <cellStyle name="Heading 3 3 6 3 2" xfId="22987" xr:uid="{00000000-0005-0000-0000-00005F2C0000}"/>
    <cellStyle name="Heading 3 3 6 3 3" xfId="18204" xr:uid="{00000000-0005-0000-0000-0000602C0000}"/>
    <cellStyle name="Heading 3 3 6 4" xfId="6802" xr:uid="{00000000-0005-0000-0000-0000612C0000}"/>
    <cellStyle name="Heading 3 3 6 4 2" xfId="25240" xr:uid="{00000000-0005-0000-0000-0000622C0000}"/>
    <cellStyle name="Heading 3 3 6 4 3" xfId="20232" xr:uid="{00000000-0005-0000-0000-0000632C0000}"/>
    <cellStyle name="Heading 3 3 6 5" xfId="6590" xr:uid="{00000000-0005-0000-0000-0000642C0000}"/>
    <cellStyle name="Heading 3 3 6 5 2" xfId="25030" xr:uid="{00000000-0005-0000-0000-0000652C0000}"/>
    <cellStyle name="Heading 3 3 6 5 3" xfId="20139" xr:uid="{00000000-0005-0000-0000-0000662C0000}"/>
    <cellStyle name="Heading 3 3 6 6" xfId="8951" xr:uid="{00000000-0005-0000-0000-0000672C0000}"/>
    <cellStyle name="Heading 3 3 6 6 2" xfId="33218" xr:uid="{00000000-0005-0000-0000-0000682C0000}"/>
    <cellStyle name="Heading 3 3 6 7" xfId="16684" xr:uid="{00000000-0005-0000-0000-0000692C0000}"/>
    <cellStyle name="Heading 3 3 7" xfId="2034" xr:uid="{00000000-0005-0000-0000-00006A2C0000}"/>
    <cellStyle name="Heading 3 3 7 2" xfId="4730" xr:uid="{00000000-0005-0000-0000-00006B2C0000}"/>
    <cellStyle name="Heading 3 3 7 2 2" xfId="23190" xr:uid="{00000000-0005-0000-0000-00006C2C0000}"/>
    <cellStyle name="Heading 3 3 7 2 3" xfId="18346" xr:uid="{00000000-0005-0000-0000-00006D2C0000}"/>
    <cellStyle name="Heading 3 3 7 3" xfId="4528" xr:uid="{00000000-0005-0000-0000-00006E2C0000}"/>
    <cellStyle name="Heading 3 3 7 3 2" xfId="22988" xr:uid="{00000000-0005-0000-0000-00006F2C0000}"/>
    <cellStyle name="Heading 3 3 7 3 3" xfId="18205" xr:uid="{00000000-0005-0000-0000-0000702C0000}"/>
    <cellStyle name="Heading 3 3 7 4" xfId="6803" xr:uid="{00000000-0005-0000-0000-0000712C0000}"/>
    <cellStyle name="Heading 3 3 7 4 2" xfId="25241" xr:uid="{00000000-0005-0000-0000-0000722C0000}"/>
    <cellStyle name="Heading 3 3 7 4 3" xfId="20233" xr:uid="{00000000-0005-0000-0000-0000732C0000}"/>
    <cellStyle name="Heading 3 3 7 5" xfId="6589" xr:uid="{00000000-0005-0000-0000-0000742C0000}"/>
    <cellStyle name="Heading 3 3 7 5 2" xfId="25029" xr:uid="{00000000-0005-0000-0000-0000752C0000}"/>
    <cellStyle name="Heading 3 3 7 5 3" xfId="20138" xr:uid="{00000000-0005-0000-0000-0000762C0000}"/>
    <cellStyle name="Heading 3 3 7 6" xfId="8952" xr:uid="{00000000-0005-0000-0000-0000772C0000}"/>
    <cellStyle name="Heading 3 3 7 6 2" xfId="33219" xr:uid="{00000000-0005-0000-0000-0000782C0000}"/>
    <cellStyle name="Heading 3 3 7 7" xfId="16683" xr:uid="{00000000-0005-0000-0000-0000792C0000}"/>
    <cellStyle name="Heading 3 3 8" xfId="2035" xr:uid="{00000000-0005-0000-0000-00007A2C0000}"/>
    <cellStyle name="Heading 3 3 8 2" xfId="4731" xr:uid="{00000000-0005-0000-0000-00007B2C0000}"/>
    <cellStyle name="Heading 3 3 8 2 2" xfId="23191" xr:uid="{00000000-0005-0000-0000-00007C2C0000}"/>
    <cellStyle name="Heading 3 3 8 2 3" xfId="18347" xr:uid="{00000000-0005-0000-0000-00007D2C0000}"/>
    <cellStyle name="Heading 3 3 8 3" xfId="4529" xr:uid="{00000000-0005-0000-0000-00007E2C0000}"/>
    <cellStyle name="Heading 3 3 8 3 2" xfId="22989" xr:uid="{00000000-0005-0000-0000-00007F2C0000}"/>
    <cellStyle name="Heading 3 3 8 3 3" xfId="18206" xr:uid="{00000000-0005-0000-0000-0000802C0000}"/>
    <cellStyle name="Heading 3 3 8 4" xfId="6804" xr:uid="{00000000-0005-0000-0000-0000812C0000}"/>
    <cellStyle name="Heading 3 3 8 4 2" xfId="25242" xr:uid="{00000000-0005-0000-0000-0000822C0000}"/>
    <cellStyle name="Heading 3 3 8 4 3" xfId="20234" xr:uid="{00000000-0005-0000-0000-0000832C0000}"/>
    <cellStyle name="Heading 3 3 8 5" xfId="6588" xr:uid="{00000000-0005-0000-0000-0000842C0000}"/>
    <cellStyle name="Heading 3 3 8 5 2" xfId="25028" xr:uid="{00000000-0005-0000-0000-0000852C0000}"/>
    <cellStyle name="Heading 3 3 8 5 3" xfId="20137" xr:uid="{00000000-0005-0000-0000-0000862C0000}"/>
    <cellStyle name="Heading 3 3 8 6" xfId="8953" xr:uid="{00000000-0005-0000-0000-0000872C0000}"/>
    <cellStyle name="Heading 3 3 8 6 2" xfId="33220" xr:uid="{00000000-0005-0000-0000-0000882C0000}"/>
    <cellStyle name="Heading 3 3 8 7" xfId="16682" xr:uid="{00000000-0005-0000-0000-0000892C0000}"/>
    <cellStyle name="Heading 3 3 9" xfId="2036" xr:uid="{00000000-0005-0000-0000-00008A2C0000}"/>
    <cellStyle name="Heading 3 3 9 2" xfId="4732" xr:uid="{00000000-0005-0000-0000-00008B2C0000}"/>
    <cellStyle name="Heading 3 3 9 2 2" xfId="23192" xr:uid="{00000000-0005-0000-0000-00008C2C0000}"/>
    <cellStyle name="Heading 3 3 9 2 3" xfId="18348" xr:uid="{00000000-0005-0000-0000-00008D2C0000}"/>
    <cellStyle name="Heading 3 3 9 3" xfId="4530" xr:uid="{00000000-0005-0000-0000-00008E2C0000}"/>
    <cellStyle name="Heading 3 3 9 3 2" xfId="22990" xr:uid="{00000000-0005-0000-0000-00008F2C0000}"/>
    <cellStyle name="Heading 3 3 9 3 3" xfId="18207" xr:uid="{00000000-0005-0000-0000-0000902C0000}"/>
    <cellStyle name="Heading 3 3 9 4" xfId="6805" xr:uid="{00000000-0005-0000-0000-0000912C0000}"/>
    <cellStyle name="Heading 3 3 9 4 2" xfId="25243" xr:uid="{00000000-0005-0000-0000-0000922C0000}"/>
    <cellStyle name="Heading 3 3 9 4 3" xfId="20235" xr:uid="{00000000-0005-0000-0000-0000932C0000}"/>
    <cellStyle name="Heading 3 3 9 5" xfId="6587" xr:uid="{00000000-0005-0000-0000-0000942C0000}"/>
    <cellStyle name="Heading 3 3 9 5 2" xfId="25027" xr:uid="{00000000-0005-0000-0000-0000952C0000}"/>
    <cellStyle name="Heading 3 3 9 5 3" xfId="20136" xr:uid="{00000000-0005-0000-0000-0000962C0000}"/>
    <cellStyle name="Heading 3 3 9 6" xfId="8954" xr:uid="{00000000-0005-0000-0000-0000972C0000}"/>
    <cellStyle name="Heading 3 3 9 6 2" xfId="33221" xr:uid="{00000000-0005-0000-0000-0000982C0000}"/>
    <cellStyle name="Heading 3 3 9 7" xfId="16681" xr:uid="{00000000-0005-0000-0000-0000992C0000}"/>
    <cellStyle name="Heading 3 30" xfId="39576" xr:uid="{00000000-0005-0000-0000-0000030A0000}"/>
    <cellStyle name="Heading 3 31" xfId="39577" xr:uid="{00000000-0005-0000-0000-0000040A0000}"/>
    <cellStyle name="Heading 3 32" xfId="39578" xr:uid="{00000000-0005-0000-0000-0000050A0000}"/>
    <cellStyle name="Heading 3 33" xfId="39579" xr:uid="{00000000-0005-0000-0000-0000060A0000}"/>
    <cellStyle name="Heading 3 34" xfId="39580" xr:uid="{00000000-0005-0000-0000-0000070A0000}"/>
    <cellStyle name="Heading 3 35" xfId="39581" xr:uid="{00000000-0005-0000-0000-0000080A0000}"/>
    <cellStyle name="Heading 3 36" xfId="39582" xr:uid="{00000000-0005-0000-0000-0000090A0000}"/>
    <cellStyle name="Heading 3 37" xfId="39583" xr:uid="{00000000-0005-0000-0000-00000A0A0000}"/>
    <cellStyle name="Heading 3 38" xfId="39584" xr:uid="{00000000-0005-0000-0000-00000B0A0000}"/>
    <cellStyle name="Heading 3 39" xfId="39585" xr:uid="{00000000-0005-0000-0000-00000C0A0000}"/>
    <cellStyle name="Heading 3 4" xfId="2037" xr:uid="{00000000-0005-0000-0000-00009A2C0000}"/>
    <cellStyle name="Heading 3 4 10" xfId="2038" xr:uid="{00000000-0005-0000-0000-00009B2C0000}"/>
    <cellStyle name="Heading 3 4 10 2" xfId="4734" xr:uid="{00000000-0005-0000-0000-00009C2C0000}"/>
    <cellStyle name="Heading 3 4 10 2 2" xfId="23194" xr:uid="{00000000-0005-0000-0000-00009D2C0000}"/>
    <cellStyle name="Heading 3 4 10 2 3" xfId="18350" xr:uid="{00000000-0005-0000-0000-00009E2C0000}"/>
    <cellStyle name="Heading 3 4 10 3" xfId="4532" xr:uid="{00000000-0005-0000-0000-00009F2C0000}"/>
    <cellStyle name="Heading 3 4 10 3 2" xfId="22992" xr:uid="{00000000-0005-0000-0000-0000A02C0000}"/>
    <cellStyle name="Heading 3 4 10 3 3" xfId="18209" xr:uid="{00000000-0005-0000-0000-0000A12C0000}"/>
    <cellStyle name="Heading 3 4 10 4" xfId="6807" xr:uid="{00000000-0005-0000-0000-0000A22C0000}"/>
    <cellStyle name="Heading 3 4 10 4 2" xfId="25245" xr:uid="{00000000-0005-0000-0000-0000A32C0000}"/>
    <cellStyle name="Heading 3 4 10 4 3" xfId="20237" xr:uid="{00000000-0005-0000-0000-0000A42C0000}"/>
    <cellStyle name="Heading 3 4 10 5" xfId="6585" xr:uid="{00000000-0005-0000-0000-0000A52C0000}"/>
    <cellStyle name="Heading 3 4 10 5 2" xfId="25025" xr:uid="{00000000-0005-0000-0000-0000A62C0000}"/>
    <cellStyle name="Heading 3 4 10 5 3" xfId="20134" xr:uid="{00000000-0005-0000-0000-0000A72C0000}"/>
    <cellStyle name="Heading 3 4 10 6" xfId="8956" xr:uid="{00000000-0005-0000-0000-0000A82C0000}"/>
    <cellStyle name="Heading 3 4 10 6 2" xfId="33223" xr:uid="{00000000-0005-0000-0000-0000A92C0000}"/>
    <cellStyle name="Heading 3 4 10 7" xfId="16679" xr:uid="{00000000-0005-0000-0000-0000AA2C0000}"/>
    <cellStyle name="Heading 3 4 11" xfId="2039" xr:uid="{00000000-0005-0000-0000-0000AB2C0000}"/>
    <cellStyle name="Heading 3 4 11 2" xfId="4735" xr:uid="{00000000-0005-0000-0000-0000AC2C0000}"/>
    <cellStyle name="Heading 3 4 11 2 2" xfId="23195" xr:uid="{00000000-0005-0000-0000-0000AD2C0000}"/>
    <cellStyle name="Heading 3 4 11 2 3" xfId="18351" xr:uid="{00000000-0005-0000-0000-0000AE2C0000}"/>
    <cellStyle name="Heading 3 4 11 3" xfId="4533" xr:uid="{00000000-0005-0000-0000-0000AF2C0000}"/>
    <cellStyle name="Heading 3 4 11 3 2" xfId="22993" xr:uid="{00000000-0005-0000-0000-0000B02C0000}"/>
    <cellStyle name="Heading 3 4 11 3 3" xfId="18210" xr:uid="{00000000-0005-0000-0000-0000B12C0000}"/>
    <cellStyle name="Heading 3 4 11 4" xfId="6808" xr:uid="{00000000-0005-0000-0000-0000B22C0000}"/>
    <cellStyle name="Heading 3 4 11 4 2" xfId="25246" xr:uid="{00000000-0005-0000-0000-0000B32C0000}"/>
    <cellStyle name="Heading 3 4 11 4 3" xfId="20238" xr:uid="{00000000-0005-0000-0000-0000B42C0000}"/>
    <cellStyle name="Heading 3 4 11 5" xfId="6584" xr:uid="{00000000-0005-0000-0000-0000B52C0000}"/>
    <cellStyle name="Heading 3 4 11 5 2" xfId="25024" xr:uid="{00000000-0005-0000-0000-0000B62C0000}"/>
    <cellStyle name="Heading 3 4 11 5 3" xfId="20133" xr:uid="{00000000-0005-0000-0000-0000B72C0000}"/>
    <cellStyle name="Heading 3 4 11 6" xfId="8957" xr:uid="{00000000-0005-0000-0000-0000B82C0000}"/>
    <cellStyle name="Heading 3 4 11 6 2" xfId="33224" xr:uid="{00000000-0005-0000-0000-0000B92C0000}"/>
    <cellStyle name="Heading 3 4 11 7" xfId="16678" xr:uid="{00000000-0005-0000-0000-0000BA2C0000}"/>
    <cellStyle name="Heading 3 4 12" xfId="4733" xr:uid="{00000000-0005-0000-0000-0000BB2C0000}"/>
    <cellStyle name="Heading 3 4 12 2" xfId="23193" xr:uid="{00000000-0005-0000-0000-0000BC2C0000}"/>
    <cellStyle name="Heading 3 4 12 3" xfId="18349" xr:uid="{00000000-0005-0000-0000-0000BD2C0000}"/>
    <cellStyle name="Heading 3 4 13" xfId="4531" xr:uid="{00000000-0005-0000-0000-0000BE2C0000}"/>
    <cellStyle name="Heading 3 4 13 2" xfId="22991" xr:uid="{00000000-0005-0000-0000-0000BF2C0000}"/>
    <cellStyle name="Heading 3 4 13 3" xfId="18208" xr:uid="{00000000-0005-0000-0000-0000C02C0000}"/>
    <cellStyle name="Heading 3 4 14" xfId="6806" xr:uid="{00000000-0005-0000-0000-0000C12C0000}"/>
    <cellStyle name="Heading 3 4 14 2" xfId="25244" xr:uid="{00000000-0005-0000-0000-0000C22C0000}"/>
    <cellStyle name="Heading 3 4 14 3" xfId="20236" xr:uid="{00000000-0005-0000-0000-0000C32C0000}"/>
    <cellStyle name="Heading 3 4 15" xfId="6586" xr:uid="{00000000-0005-0000-0000-0000C42C0000}"/>
    <cellStyle name="Heading 3 4 15 2" xfId="25026" xr:uid="{00000000-0005-0000-0000-0000C52C0000}"/>
    <cellStyle name="Heading 3 4 15 3" xfId="20135" xr:uid="{00000000-0005-0000-0000-0000C62C0000}"/>
    <cellStyle name="Heading 3 4 16" xfId="8955" xr:uid="{00000000-0005-0000-0000-0000C72C0000}"/>
    <cellStyle name="Heading 3 4 16 2" xfId="33222" xr:uid="{00000000-0005-0000-0000-0000C82C0000}"/>
    <cellStyle name="Heading 3 4 17" xfId="16680" xr:uid="{00000000-0005-0000-0000-0000C92C0000}"/>
    <cellStyle name="Heading 3 4 2" xfId="2040" xr:uid="{00000000-0005-0000-0000-0000CA2C0000}"/>
    <cellStyle name="Heading 3 4 2 2" xfId="4736" xr:uid="{00000000-0005-0000-0000-0000CB2C0000}"/>
    <cellStyle name="Heading 3 4 2 2 2" xfId="23196" xr:uid="{00000000-0005-0000-0000-0000CC2C0000}"/>
    <cellStyle name="Heading 3 4 2 2 3" xfId="18352" xr:uid="{00000000-0005-0000-0000-0000CD2C0000}"/>
    <cellStyle name="Heading 3 4 2 3" xfId="4534" xr:uid="{00000000-0005-0000-0000-0000CE2C0000}"/>
    <cellStyle name="Heading 3 4 2 3 2" xfId="22994" xr:uid="{00000000-0005-0000-0000-0000CF2C0000}"/>
    <cellStyle name="Heading 3 4 2 3 3" xfId="18211" xr:uid="{00000000-0005-0000-0000-0000D02C0000}"/>
    <cellStyle name="Heading 3 4 2 4" xfId="6809" xr:uid="{00000000-0005-0000-0000-0000D12C0000}"/>
    <cellStyle name="Heading 3 4 2 4 2" xfId="25247" xr:uid="{00000000-0005-0000-0000-0000D22C0000}"/>
    <cellStyle name="Heading 3 4 2 4 3" xfId="20239" xr:uid="{00000000-0005-0000-0000-0000D32C0000}"/>
    <cellStyle name="Heading 3 4 2 5" xfId="6583" xr:uid="{00000000-0005-0000-0000-0000D42C0000}"/>
    <cellStyle name="Heading 3 4 2 5 2" xfId="25023" xr:uid="{00000000-0005-0000-0000-0000D52C0000}"/>
    <cellStyle name="Heading 3 4 2 5 3" xfId="20132" xr:uid="{00000000-0005-0000-0000-0000D62C0000}"/>
    <cellStyle name="Heading 3 4 2 6" xfId="8958" xr:uid="{00000000-0005-0000-0000-0000D72C0000}"/>
    <cellStyle name="Heading 3 4 2 6 2" xfId="33225" xr:uid="{00000000-0005-0000-0000-0000D82C0000}"/>
    <cellStyle name="Heading 3 4 2 7" xfId="16677" xr:uid="{00000000-0005-0000-0000-0000D92C0000}"/>
    <cellStyle name="Heading 3 4 3" xfId="2041" xr:uid="{00000000-0005-0000-0000-0000DA2C0000}"/>
    <cellStyle name="Heading 3 4 3 2" xfId="4737" xr:uid="{00000000-0005-0000-0000-0000DB2C0000}"/>
    <cellStyle name="Heading 3 4 3 2 2" xfId="23197" xr:uid="{00000000-0005-0000-0000-0000DC2C0000}"/>
    <cellStyle name="Heading 3 4 3 2 3" xfId="18353" xr:uid="{00000000-0005-0000-0000-0000DD2C0000}"/>
    <cellStyle name="Heading 3 4 3 3" xfId="4535" xr:uid="{00000000-0005-0000-0000-0000DE2C0000}"/>
    <cellStyle name="Heading 3 4 3 3 2" xfId="22995" xr:uid="{00000000-0005-0000-0000-0000DF2C0000}"/>
    <cellStyle name="Heading 3 4 3 3 3" xfId="18212" xr:uid="{00000000-0005-0000-0000-0000E02C0000}"/>
    <cellStyle name="Heading 3 4 3 4" xfId="6810" xr:uid="{00000000-0005-0000-0000-0000E12C0000}"/>
    <cellStyle name="Heading 3 4 3 4 2" xfId="25248" xr:uid="{00000000-0005-0000-0000-0000E22C0000}"/>
    <cellStyle name="Heading 3 4 3 4 3" xfId="20240" xr:uid="{00000000-0005-0000-0000-0000E32C0000}"/>
    <cellStyle name="Heading 3 4 3 5" xfId="6582" xr:uid="{00000000-0005-0000-0000-0000E42C0000}"/>
    <cellStyle name="Heading 3 4 3 5 2" xfId="25022" xr:uid="{00000000-0005-0000-0000-0000E52C0000}"/>
    <cellStyle name="Heading 3 4 3 5 3" xfId="20131" xr:uid="{00000000-0005-0000-0000-0000E62C0000}"/>
    <cellStyle name="Heading 3 4 3 6" xfId="8959" xr:uid="{00000000-0005-0000-0000-0000E72C0000}"/>
    <cellStyle name="Heading 3 4 3 6 2" xfId="33226" xr:uid="{00000000-0005-0000-0000-0000E82C0000}"/>
    <cellStyle name="Heading 3 4 3 7" xfId="16676" xr:uid="{00000000-0005-0000-0000-0000E92C0000}"/>
    <cellStyle name="Heading 3 4 4" xfId="2042" xr:uid="{00000000-0005-0000-0000-0000EA2C0000}"/>
    <cellStyle name="Heading 3 4 4 2" xfId="4738" xr:uid="{00000000-0005-0000-0000-0000EB2C0000}"/>
    <cellStyle name="Heading 3 4 4 2 2" xfId="23198" xr:uid="{00000000-0005-0000-0000-0000EC2C0000}"/>
    <cellStyle name="Heading 3 4 4 2 3" xfId="18354" xr:uid="{00000000-0005-0000-0000-0000ED2C0000}"/>
    <cellStyle name="Heading 3 4 4 3" xfId="4536" xr:uid="{00000000-0005-0000-0000-0000EE2C0000}"/>
    <cellStyle name="Heading 3 4 4 3 2" xfId="22996" xr:uid="{00000000-0005-0000-0000-0000EF2C0000}"/>
    <cellStyle name="Heading 3 4 4 3 3" xfId="18213" xr:uid="{00000000-0005-0000-0000-0000F02C0000}"/>
    <cellStyle name="Heading 3 4 4 4" xfId="6811" xr:uid="{00000000-0005-0000-0000-0000F12C0000}"/>
    <cellStyle name="Heading 3 4 4 4 2" xfId="25249" xr:uid="{00000000-0005-0000-0000-0000F22C0000}"/>
    <cellStyle name="Heading 3 4 4 4 3" xfId="20241" xr:uid="{00000000-0005-0000-0000-0000F32C0000}"/>
    <cellStyle name="Heading 3 4 4 5" xfId="6581" xr:uid="{00000000-0005-0000-0000-0000F42C0000}"/>
    <cellStyle name="Heading 3 4 4 5 2" xfId="25021" xr:uid="{00000000-0005-0000-0000-0000F52C0000}"/>
    <cellStyle name="Heading 3 4 4 5 3" xfId="20130" xr:uid="{00000000-0005-0000-0000-0000F62C0000}"/>
    <cellStyle name="Heading 3 4 4 6" xfId="8960" xr:uid="{00000000-0005-0000-0000-0000F72C0000}"/>
    <cellStyle name="Heading 3 4 4 6 2" xfId="33227" xr:uid="{00000000-0005-0000-0000-0000F82C0000}"/>
    <cellStyle name="Heading 3 4 4 7" xfId="16675" xr:uid="{00000000-0005-0000-0000-0000F92C0000}"/>
    <cellStyle name="Heading 3 4 5" xfId="2043" xr:uid="{00000000-0005-0000-0000-0000FA2C0000}"/>
    <cellStyle name="Heading 3 4 5 2" xfId="4739" xr:uid="{00000000-0005-0000-0000-0000FB2C0000}"/>
    <cellStyle name="Heading 3 4 5 2 2" xfId="23199" xr:uid="{00000000-0005-0000-0000-0000FC2C0000}"/>
    <cellStyle name="Heading 3 4 5 2 3" xfId="18355" xr:uid="{00000000-0005-0000-0000-0000FD2C0000}"/>
    <cellStyle name="Heading 3 4 5 3" xfId="4537" xr:uid="{00000000-0005-0000-0000-0000FE2C0000}"/>
    <cellStyle name="Heading 3 4 5 3 2" xfId="22997" xr:uid="{00000000-0005-0000-0000-0000FF2C0000}"/>
    <cellStyle name="Heading 3 4 5 3 3" xfId="18214" xr:uid="{00000000-0005-0000-0000-0000002D0000}"/>
    <cellStyle name="Heading 3 4 5 4" xfId="6812" xr:uid="{00000000-0005-0000-0000-0000012D0000}"/>
    <cellStyle name="Heading 3 4 5 4 2" xfId="25250" xr:uid="{00000000-0005-0000-0000-0000022D0000}"/>
    <cellStyle name="Heading 3 4 5 4 3" xfId="20242" xr:uid="{00000000-0005-0000-0000-0000032D0000}"/>
    <cellStyle name="Heading 3 4 5 5" xfId="6580" xr:uid="{00000000-0005-0000-0000-0000042D0000}"/>
    <cellStyle name="Heading 3 4 5 5 2" xfId="25020" xr:uid="{00000000-0005-0000-0000-0000052D0000}"/>
    <cellStyle name="Heading 3 4 5 5 3" xfId="20129" xr:uid="{00000000-0005-0000-0000-0000062D0000}"/>
    <cellStyle name="Heading 3 4 5 6" xfId="8961" xr:uid="{00000000-0005-0000-0000-0000072D0000}"/>
    <cellStyle name="Heading 3 4 5 6 2" xfId="33228" xr:uid="{00000000-0005-0000-0000-0000082D0000}"/>
    <cellStyle name="Heading 3 4 5 7" xfId="16674" xr:uid="{00000000-0005-0000-0000-0000092D0000}"/>
    <cellStyle name="Heading 3 4 6" xfId="2044" xr:uid="{00000000-0005-0000-0000-00000A2D0000}"/>
    <cellStyle name="Heading 3 4 6 2" xfId="4740" xr:uid="{00000000-0005-0000-0000-00000B2D0000}"/>
    <cellStyle name="Heading 3 4 6 2 2" xfId="23200" xr:uid="{00000000-0005-0000-0000-00000C2D0000}"/>
    <cellStyle name="Heading 3 4 6 2 3" xfId="18356" xr:uid="{00000000-0005-0000-0000-00000D2D0000}"/>
    <cellStyle name="Heading 3 4 6 3" xfId="4538" xr:uid="{00000000-0005-0000-0000-00000E2D0000}"/>
    <cellStyle name="Heading 3 4 6 3 2" xfId="22998" xr:uid="{00000000-0005-0000-0000-00000F2D0000}"/>
    <cellStyle name="Heading 3 4 6 3 3" xfId="18215" xr:uid="{00000000-0005-0000-0000-0000102D0000}"/>
    <cellStyle name="Heading 3 4 6 4" xfId="6813" xr:uid="{00000000-0005-0000-0000-0000112D0000}"/>
    <cellStyle name="Heading 3 4 6 4 2" xfId="25251" xr:uid="{00000000-0005-0000-0000-0000122D0000}"/>
    <cellStyle name="Heading 3 4 6 4 3" xfId="20243" xr:uid="{00000000-0005-0000-0000-0000132D0000}"/>
    <cellStyle name="Heading 3 4 6 5" xfId="6579" xr:uid="{00000000-0005-0000-0000-0000142D0000}"/>
    <cellStyle name="Heading 3 4 6 5 2" xfId="25019" xr:uid="{00000000-0005-0000-0000-0000152D0000}"/>
    <cellStyle name="Heading 3 4 6 5 3" xfId="20128" xr:uid="{00000000-0005-0000-0000-0000162D0000}"/>
    <cellStyle name="Heading 3 4 6 6" xfId="8962" xr:uid="{00000000-0005-0000-0000-0000172D0000}"/>
    <cellStyle name="Heading 3 4 6 6 2" xfId="33229" xr:uid="{00000000-0005-0000-0000-0000182D0000}"/>
    <cellStyle name="Heading 3 4 6 7" xfId="16673" xr:uid="{00000000-0005-0000-0000-0000192D0000}"/>
    <cellStyle name="Heading 3 4 7" xfId="2045" xr:uid="{00000000-0005-0000-0000-00001A2D0000}"/>
    <cellStyle name="Heading 3 4 7 2" xfId="4741" xr:uid="{00000000-0005-0000-0000-00001B2D0000}"/>
    <cellStyle name="Heading 3 4 7 2 2" xfId="23201" xr:uid="{00000000-0005-0000-0000-00001C2D0000}"/>
    <cellStyle name="Heading 3 4 7 2 3" xfId="18357" xr:uid="{00000000-0005-0000-0000-00001D2D0000}"/>
    <cellStyle name="Heading 3 4 7 3" xfId="4539" xr:uid="{00000000-0005-0000-0000-00001E2D0000}"/>
    <cellStyle name="Heading 3 4 7 3 2" xfId="22999" xr:uid="{00000000-0005-0000-0000-00001F2D0000}"/>
    <cellStyle name="Heading 3 4 7 3 3" xfId="18216" xr:uid="{00000000-0005-0000-0000-0000202D0000}"/>
    <cellStyle name="Heading 3 4 7 4" xfId="6814" xr:uid="{00000000-0005-0000-0000-0000212D0000}"/>
    <cellStyle name="Heading 3 4 7 4 2" xfId="25252" xr:uid="{00000000-0005-0000-0000-0000222D0000}"/>
    <cellStyle name="Heading 3 4 7 4 3" xfId="20244" xr:uid="{00000000-0005-0000-0000-0000232D0000}"/>
    <cellStyle name="Heading 3 4 7 5" xfId="6578" xr:uid="{00000000-0005-0000-0000-0000242D0000}"/>
    <cellStyle name="Heading 3 4 7 5 2" xfId="25018" xr:uid="{00000000-0005-0000-0000-0000252D0000}"/>
    <cellStyle name="Heading 3 4 7 5 3" xfId="20127" xr:uid="{00000000-0005-0000-0000-0000262D0000}"/>
    <cellStyle name="Heading 3 4 7 6" xfId="8963" xr:uid="{00000000-0005-0000-0000-0000272D0000}"/>
    <cellStyle name="Heading 3 4 7 6 2" xfId="33230" xr:uid="{00000000-0005-0000-0000-0000282D0000}"/>
    <cellStyle name="Heading 3 4 7 7" xfId="16672" xr:uid="{00000000-0005-0000-0000-0000292D0000}"/>
    <cellStyle name="Heading 3 4 8" xfId="2046" xr:uid="{00000000-0005-0000-0000-00002A2D0000}"/>
    <cellStyle name="Heading 3 4 8 2" xfId="4742" xr:uid="{00000000-0005-0000-0000-00002B2D0000}"/>
    <cellStyle name="Heading 3 4 8 2 2" xfId="23202" xr:uid="{00000000-0005-0000-0000-00002C2D0000}"/>
    <cellStyle name="Heading 3 4 8 2 3" xfId="18358" xr:uid="{00000000-0005-0000-0000-00002D2D0000}"/>
    <cellStyle name="Heading 3 4 8 3" xfId="4540" xr:uid="{00000000-0005-0000-0000-00002E2D0000}"/>
    <cellStyle name="Heading 3 4 8 3 2" xfId="23000" xr:uid="{00000000-0005-0000-0000-00002F2D0000}"/>
    <cellStyle name="Heading 3 4 8 3 3" xfId="18217" xr:uid="{00000000-0005-0000-0000-0000302D0000}"/>
    <cellStyle name="Heading 3 4 8 4" xfId="6815" xr:uid="{00000000-0005-0000-0000-0000312D0000}"/>
    <cellStyle name="Heading 3 4 8 4 2" xfId="25253" xr:uid="{00000000-0005-0000-0000-0000322D0000}"/>
    <cellStyle name="Heading 3 4 8 4 3" xfId="20245" xr:uid="{00000000-0005-0000-0000-0000332D0000}"/>
    <cellStyle name="Heading 3 4 8 5" xfId="6577" xr:uid="{00000000-0005-0000-0000-0000342D0000}"/>
    <cellStyle name="Heading 3 4 8 5 2" xfId="25017" xr:uid="{00000000-0005-0000-0000-0000352D0000}"/>
    <cellStyle name="Heading 3 4 8 5 3" xfId="20126" xr:uid="{00000000-0005-0000-0000-0000362D0000}"/>
    <cellStyle name="Heading 3 4 8 6" xfId="8964" xr:uid="{00000000-0005-0000-0000-0000372D0000}"/>
    <cellStyle name="Heading 3 4 8 6 2" xfId="33231" xr:uid="{00000000-0005-0000-0000-0000382D0000}"/>
    <cellStyle name="Heading 3 4 8 7" xfId="16671" xr:uid="{00000000-0005-0000-0000-0000392D0000}"/>
    <cellStyle name="Heading 3 4 9" xfId="2047" xr:uid="{00000000-0005-0000-0000-00003A2D0000}"/>
    <cellStyle name="Heading 3 4 9 2" xfId="4743" xr:uid="{00000000-0005-0000-0000-00003B2D0000}"/>
    <cellStyle name="Heading 3 4 9 2 2" xfId="23203" xr:uid="{00000000-0005-0000-0000-00003C2D0000}"/>
    <cellStyle name="Heading 3 4 9 2 3" xfId="18359" xr:uid="{00000000-0005-0000-0000-00003D2D0000}"/>
    <cellStyle name="Heading 3 4 9 3" xfId="4541" xr:uid="{00000000-0005-0000-0000-00003E2D0000}"/>
    <cellStyle name="Heading 3 4 9 3 2" xfId="23001" xr:uid="{00000000-0005-0000-0000-00003F2D0000}"/>
    <cellStyle name="Heading 3 4 9 3 3" xfId="18218" xr:uid="{00000000-0005-0000-0000-0000402D0000}"/>
    <cellStyle name="Heading 3 4 9 4" xfId="6816" xr:uid="{00000000-0005-0000-0000-0000412D0000}"/>
    <cellStyle name="Heading 3 4 9 4 2" xfId="25254" xr:uid="{00000000-0005-0000-0000-0000422D0000}"/>
    <cellStyle name="Heading 3 4 9 4 3" xfId="20246" xr:uid="{00000000-0005-0000-0000-0000432D0000}"/>
    <cellStyle name="Heading 3 4 9 5" xfId="6576" xr:uid="{00000000-0005-0000-0000-0000442D0000}"/>
    <cellStyle name="Heading 3 4 9 5 2" xfId="25016" xr:uid="{00000000-0005-0000-0000-0000452D0000}"/>
    <cellStyle name="Heading 3 4 9 5 3" xfId="20125" xr:uid="{00000000-0005-0000-0000-0000462D0000}"/>
    <cellStyle name="Heading 3 4 9 6" xfId="8965" xr:uid="{00000000-0005-0000-0000-0000472D0000}"/>
    <cellStyle name="Heading 3 4 9 6 2" xfId="33232" xr:uid="{00000000-0005-0000-0000-0000482D0000}"/>
    <cellStyle name="Heading 3 4 9 7" xfId="16670" xr:uid="{00000000-0005-0000-0000-0000492D0000}"/>
    <cellStyle name="Heading 3 40" xfId="39586" xr:uid="{00000000-0005-0000-0000-00000F0A0000}"/>
    <cellStyle name="Heading 3 41" xfId="39587" xr:uid="{00000000-0005-0000-0000-0000100A0000}"/>
    <cellStyle name="Heading 3 5" xfId="2048" xr:uid="{00000000-0005-0000-0000-00004A2D0000}"/>
    <cellStyle name="Heading 3 5 10" xfId="2049" xr:uid="{00000000-0005-0000-0000-00004B2D0000}"/>
    <cellStyle name="Heading 3 5 10 2" xfId="4745" xr:uid="{00000000-0005-0000-0000-00004C2D0000}"/>
    <cellStyle name="Heading 3 5 10 2 2" xfId="23205" xr:uid="{00000000-0005-0000-0000-00004D2D0000}"/>
    <cellStyle name="Heading 3 5 10 2 3" xfId="18361" xr:uid="{00000000-0005-0000-0000-00004E2D0000}"/>
    <cellStyle name="Heading 3 5 10 3" xfId="4543" xr:uid="{00000000-0005-0000-0000-00004F2D0000}"/>
    <cellStyle name="Heading 3 5 10 3 2" xfId="23003" xr:uid="{00000000-0005-0000-0000-0000502D0000}"/>
    <cellStyle name="Heading 3 5 10 3 3" xfId="18220" xr:uid="{00000000-0005-0000-0000-0000512D0000}"/>
    <cellStyle name="Heading 3 5 10 4" xfId="6818" xr:uid="{00000000-0005-0000-0000-0000522D0000}"/>
    <cellStyle name="Heading 3 5 10 4 2" xfId="25256" xr:uid="{00000000-0005-0000-0000-0000532D0000}"/>
    <cellStyle name="Heading 3 5 10 4 3" xfId="20248" xr:uid="{00000000-0005-0000-0000-0000542D0000}"/>
    <cellStyle name="Heading 3 5 10 5" xfId="6574" xr:uid="{00000000-0005-0000-0000-0000552D0000}"/>
    <cellStyle name="Heading 3 5 10 5 2" xfId="25014" xr:uid="{00000000-0005-0000-0000-0000562D0000}"/>
    <cellStyle name="Heading 3 5 10 5 3" xfId="20123" xr:uid="{00000000-0005-0000-0000-0000572D0000}"/>
    <cellStyle name="Heading 3 5 10 6" xfId="8967" xr:uid="{00000000-0005-0000-0000-0000582D0000}"/>
    <cellStyle name="Heading 3 5 10 6 2" xfId="33234" xr:uid="{00000000-0005-0000-0000-0000592D0000}"/>
    <cellStyle name="Heading 3 5 10 7" xfId="16668" xr:uid="{00000000-0005-0000-0000-00005A2D0000}"/>
    <cellStyle name="Heading 3 5 11" xfId="2050" xr:uid="{00000000-0005-0000-0000-00005B2D0000}"/>
    <cellStyle name="Heading 3 5 11 2" xfId="4746" xr:uid="{00000000-0005-0000-0000-00005C2D0000}"/>
    <cellStyle name="Heading 3 5 11 2 2" xfId="23206" xr:uid="{00000000-0005-0000-0000-00005D2D0000}"/>
    <cellStyle name="Heading 3 5 11 2 3" xfId="18362" xr:uid="{00000000-0005-0000-0000-00005E2D0000}"/>
    <cellStyle name="Heading 3 5 11 3" xfId="4544" xr:uid="{00000000-0005-0000-0000-00005F2D0000}"/>
    <cellStyle name="Heading 3 5 11 3 2" xfId="23004" xr:uid="{00000000-0005-0000-0000-0000602D0000}"/>
    <cellStyle name="Heading 3 5 11 3 3" xfId="18221" xr:uid="{00000000-0005-0000-0000-0000612D0000}"/>
    <cellStyle name="Heading 3 5 11 4" xfId="6819" xr:uid="{00000000-0005-0000-0000-0000622D0000}"/>
    <cellStyle name="Heading 3 5 11 4 2" xfId="25257" xr:uid="{00000000-0005-0000-0000-0000632D0000}"/>
    <cellStyle name="Heading 3 5 11 4 3" xfId="20249" xr:uid="{00000000-0005-0000-0000-0000642D0000}"/>
    <cellStyle name="Heading 3 5 11 5" xfId="6573" xr:uid="{00000000-0005-0000-0000-0000652D0000}"/>
    <cellStyle name="Heading 3 5 11 5 2" xfId="25013" xr:uid="{00000000-0005-0000-0000-0000662D0000}"/>
    <cellStyle name="Heading 3 5 11 5 3" xfId="20122" xr:uid="{00000000-0005-0000-0000-0000672D0000}"/>
    <cellStyle name="Heading 3 5 11 6" xfId="8968" xr:uid="{00000000-0005-0000-0000-0000682D0000}"/>
    <cellStyle name="Heading 3 5 11 6 2" xfId="33235" xr:uid="{00000000-0005-0000-0000-0000692D0000}"/>
    <cellStyle name="Heading 3 5 11 7" xfId="16667" xr:uid="{00000000-0005-0000-0000-00006A2D0000}"/>
    <cellStyle name="Heading 3 5 12" xfId="4744" xr:uid="{00000000-0005-0000-0000-00006B2D0000}"/>
    <cellStyle name="Heading 3 5 12 2" xfId="23204" xr:uid="{00000000-0005-0000-0000-00006C2D0000}"/>
    <cellStyle name="Heading 3 5 12 3" xfId="18360" xr:uid="{00000000-0005-0000-0000-00006D2D0000}"/>
    <cellStyle name="Heading 3 5 13" xfId="4542" xr:uid="{00000000-0005-0000-0000-00006E2D0000}"/>
    <cellStyle name="Heading 3 5 13 2" xfId="23002" xr:uid="{00000000-0005-0000-0000-00006F2D0000}"/>
    <cellStyle name="Heading 3 5 13 3" xfId="18219" xr:uid="{00000000-0005-0000-0000-0000702D0000}"/>
    <cellStyle name="Heading 3 5 14" xfId="6817" xr:uid="{00000000-0005-0000-0000-0000712D0000}"/>
    <cellStyle name="Heading 3 5 14 2" xfId="25255" xr:uid="{00000000-0005-0000-0000-0000722D0000}"/>
    <cellStyle name="Heading 3 5 14 3" xfId="20247" xr:uid="{00000000-0005-0000-0000-0000732D0000}"/>
    <cellStyle name="Heading 3 5 15" xfId="6575" xr:uid="{00000000-0005-0000-0000-0000742D0000}"/>
    <cellStyle name="Heading 3 5 15 2" xfId="25015" xr:uid="{00000000-0005-0000-0000-0000752D0000}"/>
    <cellStyle name="Heading 3 5 15 3" xfId="20124" xr:uid="{00000000-0005-0000-0000-0000762D0000}"/>
    <cellStyle name="Heading 3 5 16" xfId="8966" xr:uid="{00000000-0005-0000-0000-0000772D0000}"/>
    <cellStyle name="Heading 3 5 16 2" xfId="33233" xr:uid="{00000000-0005-0000-0000-0000782D0000}"/>
    <cellStyle name="Heading 3 5 17" xfId="16669" xr:uid="{00000000-0005-0000-0000-0000792D0000}"/>
    <cellStyle name="Heading 3 5 2" xfId="2051" xr:uid="{00000000-0005-0000-0000-00007A2D0000}"/>
    <cellStyle name="Heading 3 5 2 2" xfId="4747" xr:uid="{00000000-0005-0000-0000-00007B2D0000}"/>
    <cellStyle name="Heading 3 5 2 2 2" xfId="23207" xr:uid="{00000000-0005-0000-0000-00007C2D0000}"/>
    <cellStyle name="Heading 3 5 2 2 3" xfId="18363" xr:uid="{00000000-0005-0000-0000-00007D2D0000}"/>
    <cellStyle name="Heading 3 5 2 3" xfId="4545" xr:uid="{00000000-0005-0000-0000-00007E2D0000}"/>
    <cellStyle name="Heading 3 5 2 3 2" xfId="23005" xr:uid="{00000000-0005-0000-0000-00007F2D0000}"/>
    <cellStyle name="Heading 3 5 2 3 3" xfId="18222" xr:uid="{00000000-0005-0000-0000-0000802D0000}"/>
    <cellStyle name="Heading 3 5 2 4" xfId="6820" xr:uid="{00000000-0005-0000-0000-0000812D0000}"/>
    <cellStyle name="Heading 3 5 2 4 2" xfId="25258" xr:uid="{00000000-0005-0000-0000-0000822D0000}"/>
    <cellStyle name="Heading 3 5 2 4 3" xfId="20250" xr:uid="{00000000-0005-0000-0000-0000832D0000}"/>
    <cellStyle name="Heading 3 5 2 5" xfId="6572" xr:uid="{00000000-0005-0000-0000-0000842D0000}"/>
    <cellStyle name="Heading 3 5 2 5 2" xfId="25012" xr:uid="{00000000-0005-0000-0000-0000852D0000}"/>
    <cellStyle name="Heading 3 5 2 5 3" xfId="20121" xr:uid="{00000000-0005-0000-0000-0000862D0000}"/>
    <cellStyle name="Heading 3 5 2 6" xfId="8969" xr:uid="{00000000-0005-0000-0000-0000872D0000}"/>
    <cellStyle name="Heading 3 5 2 6 2" xfId="33236" xr:uid="{00000000-0005-0000-0000-0000882D0000}"/>
    <cellStyle name="Heading 3 5 2 7" xfId="16666" xr:uid="{00000000-0005-0000-0000-0000892D0000}"/>
    <cellStyle name="Heading 3 5 3" xfId="2052" xr:uid="{00000000-0005-0000-0000-00008A2D0000}"/>
    <cellStyle name="Heading 3 5 3 2" xfId="4748" xr:uid="{00000000-0005-0000-0000-00008B2D0000}"/>
    <cellStyle name="Heading 3 5 3 2 2" xfId="23208" xr:uid="{00000000-0005-0000-0000-00008C2D0000}"/>
    <cellStyle name="Heading 3 5 3 2 3" xfId="18364" xr:uid="{00000000-0005-0000-0000-00008D2D0000}"/>
    <cellStyle name="Heading 3 5 3 3" xfId="5440" xr:uid="{00000000-0005-0000-0000-00008E2D0000}"/>
    <cellStyle name="Heading 3 5 3 3 2" xfId="23894" xr:uid="{00000000-0005-0000-0000-00008F2D0000}"/>
    <cellStyle name="Heading 3 5 3 3 3" xfId="19036" xr:uid="{00000000-0005-0000-0000-0000902D0000}"/>
    <cellStyle name="Heading 3 5 3 4" xfId="6821" xr:uid="{00000000-0005-0000-0000-0000912D0000}"/>
    <cellStyle name="Heading 3 5 3 4 2" xfId="25259" xr:uid="{00000000-0005-0000-0000-0000922D0000}"/>
    <cellStyle name="Heading 3 5 3 4 3" xfId="20251" xr:uid="{00000000-0005-0000-0000-0000932D0000}"/>
    <cellStyle name="Heading 3 5 3 5" xfId="6571" xr:uid="{00000000-0005-0000-0000-0000942D0000}"/>
    <cellStyle name="Heading 3 5 3 5 2" xfId="25011" xr:uid="{00000000-0005-0000-0000-0000952D0000}"/>
    <cellStyle name="Heading 3 5 3 5 3" xfId="20120" xr:uid="{00000000-0005-0000-0000-0000962D0000}"/>
    <cellStyle name="Heading 3 5 3 6" xfId="8970" xr:uid="{00000000-0005-0000-0000-0000972D0000}"/>
    <cellStyle name="Heading 3 5 3 6 2" xfId="33237" xr:uid="{00000000-0005-0000-0000-0000982D0000}"/>
    <cellStyle name="Heading 3 5 3 7" xfId="16665" xr:uid="{00000000-0005-0000-0000-0000992D0000}"/>
    <cellStyle name="Heading 3 5 4" xfId="2053" xr:uid="{00000000-0005-0000-0000-00009A2D0000}"/>
    <cellStyle name="Heading 3 5 4 2" xfId="4749" xr:uid="{00000000-0005-0000-0000-00009B2D0000}"/>
    <cellStyle name="Heading 3 5 4 2 2" xfId="23209" xr:uid="{00000000-0005-0000-0000-00009C2D0000}"/>
    <cellStyle name="Heading 3 5 4 2 3" xfId="18365" xr:uid="{00000000-0005-0000-0000-00009D2D0000}"/>
    <cellStyle name="Heading 3 5 4 3" xfId="5904" xr:uid="{00000000-0005-0000-0000-00009E2D0000}"/>
    <cellStyle name="Heading 3 5 4 3 2" xfId="24350" xr:uid="{00000000-0005-0000-0000-00009F2D0000}"/>
    <cellStyle name="Heading 3 5 4 3 3" xfId="19457" xr:uid="{00000000-0005-0000-0000-0000A02D0000}"/>
    <cellStyle name="Heading 3 5 4 4" xfId="6822" xr:uid="{00000000-0005-0000-0000-0000A12D0000}"/>
    <cellStyle name="Heading 3 5 4 4 2" xfId="25260" xr:uid="{00000000-0005-0000-0000-0000A22D0000}"/>
    <cellStyle name="Heading 3 5 4 4 3" xfId="20252" xr:uid="{00000000-0005-0000-0000-0000A32D0000}"/>
    <cellStyle name="Heading 3 5 4 5" xfId="6570" xr:uid="{00000000-0005-0000-0000-0000A42D0000}"/>
    <cellStyle name="Heading 3 5 4 5 2" xfId="25010" xr:uid="{00000000-0005-0000-0000-0000A52D0000}"/>
    <cellStyle name="Heading 3 5 4 5 3" xfId="20119" xr:uid="{00000000-0005-0000-0000-0000A62D0000}"/>
    <cellStyle name="Heading 3 5 4 6" xfId="8971" xr:uid="{00000000-0005-0000-0000-0000A72D0000}"/>
    <cellStyle name="Heading 3 5 4 6 2" xfId="33238" xr:uid="{00000000-0005-0000-0000-0000A82D0000}"/>
    <cellStyle name="Heading 3 5 4 7" xfId="16664" xr:uid="{00000000-0005-0000-0000-0000A92D0000}"/>
    <cellStyle name="Heading 3 5 5" xfId="2054" xr:uid="{00000000-0005-0000-0000-0000AA2D0000}"/>
    <cellStyle name="Heading 3 5 5 2" xfId="4750" xr:uid="{00000000-0005-0000-0000-0000AB2D0000}"/>
    <cellStyle name="Heading 3 5 5 2 2" xfId="23210" xr:uid="{00000000-0005-0000-0000-0000AC2D0000}"/>
    <cellStyle name="Heading 3 5 5 2 3" xfId="18366" xr:uid="{00000000-0005-0000-0000-0000AD2D0000}"/>
    <cellStyle name="Heading 3 5 5 3" xfId="5903" xr:uid="{00000000-0005-0000-0000-0000AE2D0000}"/>
    <cellStyle name="Heading 3 5 5 3 2" xfId="24349" xr:uid="{00000000-0005-0000-0000-0000AF2D0000}"/>
    <cellStyle name="Heading 3 5 5 3 3" xfId="19456" xr:uid="{00000000-0005-0000-0000-0000B02D0000}"/>
    <cellStyle name="Heading 3 5 5 4" xfId="6823" xr:uid="{00000000-0005-0000-0000-0000B12D0000}"/>
    <cellStyle name="Heading 3 5 5 4 2" xfId="25261" xr:uid="{00000000-0005-0000-0000-0000B22D0000}"/>
    <cellStyle name="Heading 3 5 5 4 3" xfId="20253" xr:uid="{00000000-0005-0000-0000-0000B32D0000}"/>
    <cellStyle name="Heading 3 5 5 5" xfId="6569" xr:uid="{00000000-0005-0000-0000-0000B42D0000}"/>
    <cellStyle name="Heading 3 5 5 5 2" xfId="25009" xr:uid="{00000000-0005-0000-0000-0000B52D0000}"/>
    <cellStyle name="Heading 3 5 5 5 3" xfId="20118" xr:uid="{00000000-0005-0000-0000-0000B62D0000}"/>
    <cellStyle name="Heading 3 5 5 6" xfId="8972" xr:uid="{00000000-0005-0000-0000-0000B72D0000}"/>
    <cellStyle name="Heading 3 5 5 6 2" xfId="33239" xr:uid="{00000000-0005-0000-0000-0000B82D0000}"/>
    <cellStyle name="Heading 3 5 5 7" xfId="16663" xr:uid="{00000000-0005-0000-0000-0000B92D0000}"/>
    <cellStyle name="Heading 3 5 6" xfId="2055" xr:uid="{00000000-0005-0000-0000-0000BA2D0000}"/>
    <cellStyle name="Heading 3 5 6 2" xfId="4751" xr:uid="{00000000-0005-0000-0000-0000BB2D0000}"/>
    <cellStyle name="Heading 3 5 6 2 2" xfId="23211" xr:uid="{00000000-0005-0000-0000-0000BC2D0000}"/>
    <cellStyle name="Heading 3 5 6 2 3" xfId="18367" xr:uid="{00000000-0005-0000-0000-0000BD2D0000}"/>
    <cellStyle name="Heading 3 5 6 3" xfId="5876" xr:uid="{00000000-0005-0000-0000-0000BE2D0000}"/>
    <cellStyle name="Heading 3 5 6 3 2" xfId="24322" xr:uid="{00000000-0005-0000-0000-0000BF2D0000}"/>
    <cellStyle name="Heading 3 5 6 3 3" xfId="19431" xr:uid="{00000000-0005-0000-0000-0000C02D0000}"/>
    <cellStyle name="Heading 3 5 6 4" xfId="6824" xr:uid="{00000000-0005-0000-0000-0000C12D0000}"/>
    <cellStyle name="Heading 3 5 6 4 2" xfId="25262" xr:uid="{00000000-0005-0000-0000-0000C22D0000}"/>
    <cellStyle name="Heading 3 5 6 4 3" xfId="20254" xr:uid="{00000000-0005-0000-0000-0000C32D0000}"/>
    <cellStyle name="Heading 3 5 6 5" xfId="6568" xr:uid="{00000000-0005-0000-0000-0000C42D0000}"/>
    <cellStyle name="Heading 3 5 6 5 2" xfId="25008" xr:uid="{00000000-0005-0000-0000-0000C52D0000}"/>
    <cellStyle name="Heading 3 5 6 5 3" xfId="20117" xr:uid="{00000000-0005-0000-0000-0000C62D0000}"/>
    <cellStyle name="Heading 3 5 6 6" xfId="8973" xr:uid="{00000000-0005-0000-0000-0000C72D0000}"/>
    <cellStyle name="Heading 3 5 6 6 2" xfId="33240" xr:uid="{00000000-0005-0000-0000-0000C82D0000}"/>
    <cellStyle name="Heading 3 5 6 7" xfId="16662" xr:uid="{00000000-0005-0000-0000-0000C92D0000}"/>
    <cellStyle name="Heading 3 5 7" xfId="2056" xr:uid="{00000000-0005-0000-0000-0000CA2D0000}"/>
    <cellStyle name="Heading 3 5 7 2" xfId="4752" xr:uid="{00000000-0005-0000-0000-0000CB2D0000}"/>
    <cellStyle name="Heading 3 5 7 2 2" xfId="23212" xr:uid="{00000000-0005-0000-0000-0000CC2D0000}"/>
    <cellStyle name="Heading 3 5 7 2 3" xfId="18368" xr:uid="{00000000-0005-0000-0000-0000CD2D0000}"/>
    <cellStyle name="Heading 3 5 7 3" xfId="4546" xr:uid="{00000000-0005-0000-0000-0000CE2D0000}"/>
    <cellStyle name="Heading 3 5 7 3 2" xfId="23006" xr:uid="{00000000-0005-0000-0000-0000CF2D0000}"/>
    <cellStyle name="Heading 3 5 7 3 3" xfId="18223" xr:uid="{00000000-0005-0000-0000-0000D02D0000}"/>
    <cellStyle name="Heading 3 5 7 4" xfId="6825" xr:uid="{00000000-0005-0000-0000-0000D12D0000}"/>
    <cellStyle name="Heading 3 5 7 4 2" xfId="25263" xr:uid="{00000000-0005-0000-0000-0000D22D0000}"/>
    <cellStyle name="Heading 3 5 7 4 3" xfId="20255" xr:uid="{00000000-0005-0000-0000-0000D32D0000}"/>
    <cellStyle name="Heading 3 5 7 5" xfId="6567" xr:uid="{00000000-0005-0000-0000-0000D42D0000}"/>
    <cellStyle name="Heading 3 5 7 5 2" xfId="25007" xr:uid="{00000000-0005-0000-0000-0000D52D0000}"/>
    <cellStyle name="Heading 3 5 7 5 3" xfId="20116" xr:uid="{00000000-0005-0000-0000-0000D62D0000}"/>
    <cellStyle name="Heading 3 5 7 6" xfId="8974" xr:uid="{00000000-0005-0000-0000-0000D72D0000}"/>
    <cellStyle name="Heading 3 5 7 6 2" xfId="33241" xr:uid="{00000000-0005-0000-0000-0000D82D0000}"/>
    <cellStyle name="Heading 3 5 7 7" xfId="16661" xr:uid="{00000000-0005-0000-0000-0000D92D0000}"/>
    <cellStyle name="Heading 3 5 8" xfId="2057" xr:uid="{00000000-0005-0000-0000-0000DA2D0000}"/>
    <cellStyle name="Heading 3 5 8 2" xfId="4753" xr:uid="{00000000-0005-0000-0000-0000DB2D0000}"/>
    <cellStyle name="Heading 3 5 8 2 2" xfId="23213" xr:uid="{00000000-0005-0000-0000-0000DC2D0000}"/>
    <cellStyle name="Heading 3 5 8 2 3" xfId="18369" xr:uid="{00000000-0005-0000-0000-0000DD2D0000}"/>
    <cellStyle name="Heading 3 5 8 3" xfId="5875" xr:uid="{00000000-0005-0000-0000-0000DE2D0000}"/>
    <cellStyle name="Heading 3 5 8 3 2" xfId="24321" xr:uid="{00000000-0005-0000-0000-0000DF2D0000}"/>
    <cellStyle name="Heading 3 5 8 3 3" xfId="19430" xr:uid="{00000000-0005-0000-0000-0000E02D0000}"/>
    <cellStyle name="Heading 3 5 8 4" xfId="6826" xr:uid="{00000000-0005-0000-0000-0000E12D0000}"/>
    <cellStyle name="Heading 3 5 8 4 2" xfId="25264" xr:uid="{00000000-0005-0000-0000-0000E22D0000}"/>
    <cellStyle name="Heading 3 5 8 4 3" xfId="20256" xr:uid="{00000000-0005-0000-0000-0000E32D0000}"/>
    <cellStyle name="Heading 3 5 8 5" xfId="6566" xr:uid="{00000000-0005-0000-0000-0000E42D0000}"/>
    <cellStyle name="Heading 3 5 8 5 2" xfId="25006" xr:uid="{00000000-0005-0000-0000-0000E52D0000}"/>
    <cellStyle name="Heading 3 5 8 5 3" xfId="20115" xr:uid="{00000000-0005-0000-0000-0000E62D0000}"/>
    <cellStyle name="Heading 3 5 8 6" xfId="8975" xr:uid="{00000000-0005-0000-0000-0000E72D0000}"/>
    <cellStyle name="Heading 3 5 8 6 2" xfId="33242" xr:uid="{00000000-0005-0000-0000-0000E82D0000}"/>
    <cellStyle name="Heading 3 5 8 7" xfId="16660" xr:uid="{00000000-0005-0000-0000-0000E92D0000}"/>
    <cellStyle name="Heading 3 5 9" xfId="2058" xr:uid="{00000000-0005-0000-0000-0000EA2D0000}"/>
    <cellStyle name="Heading 3 5 9 2" xfId="4754" xr:uid="{00000000-0005-0000-0000-0000EB2D0000}"/>
    <cellStyle name="Heading 3 5 9 2 2" xfId="23214" xr:uid="{00000000-0005-0000-0000-0000EC2D0000}"/>
    <cellStyle name="Heading 3 5 9 2 3" xfId="18370" xr:uid="{00000000-0005-0000-0000-0000ED2D0000}"/>
    <cellStyle name="Heading 3 5 9 3" xfId="4547" xr:uid="{00000000-0005-0000-0000-0000EE2D0000}"/>
    <cellStyle name="Heading 3 5 9 3 2" xfId="23007" xr:uid="{00000000-0005-0000-0000-0000EF2D0000}"/>
    <cellStyle name="Heading 3 5 9 3 3" xfId="18224" xr:uid="{00000000-0005-0000-0000-0000F02D0000}"/>
    <cellStyle name="Heading 3 5 9 4" xfId="6827" xr:uid="{00000000-0005-0000-0000-0000F12D0000}"/>
    <cellStyle name="Heading 3 5 9 4 2" xfId="25265" xr:uid="{00000000-0005-0000-0000-0000F22D0000}"/>
    <cellStyle name="Heading 3 5 9 4 3" xfId="20257" xr:uid="{00000000-0005-0000-0000-0000F32D0000}"/>
    <cellStyle name="Heading 3 5 9 5" xfId="6565" xr:uid="{00000000-0005-0000-0000-0000F42D0000}"/>
    <cellStyle name="Heading 3 5 9 5 2" xfId="25005" xr:uid="{00000000-0005-0000-0000-0000F52D0000}"/>
    <cellStyle name="Heading 3 5 9 5 3" xfId="20114" xr:uid="{00000000-0005-0000-0000-0000F62D0000}"/>
    <cellStyle name="Heading 3 5 9 6" xfId="8976" xr:uid="{00000000-0005-0000-0000-0000F72D0000}"/>
    <cellStyle name="Heading 3 5 9 6 2" xfId="33243" xr:uid="{00000000-0005-0000-0000-0000F82D0000}"/>
    <cellStyle name="Heading 3 5 9 7" xfId="16659" xr:uid="{00000000-0005-0000-0000-0000F92D0000}"/>
    <cellStyle name="Heading 3 6" xfId="2059" xr:uid="{00000000-0005-0000-0000-0000FA2D0000}"/>
    <cellStyle name="Heading 3 6 10" xfId="2060" xr:uid="{00000000-0005-0000-0000-0000FB2D0000}"/>
    <cellStyle name="Heading 3 6 10 2" xfId="4756" xr:uid="{00000000-0005-0000-0000-0000FC2D0000}"/>
    <cellStyle name="Heading 3 6 10 2 2" xfId="23216" xr:uid="{00000000-0005-0000-0000-0000FD2D0000}"/>
    <cellStyle name="Heading 3 6 10 2 3" xfId="18372" xr:uid="{00000000-0005-0000-0000-0000FE2D0000}"/>
    <cellStyle name="Heading 3 6 10 3" xfId="4548" xr:uid="{00000000-0005-0000-0000-0000FF2D0000}"/>
    <cellStyle name="Heading 3 6 10 3 2" xfId="23008" xr:uid="{00000000-0005-0000-0000-0000002E0000}"/>
    <cellStyle name="Heading 3 6 10 3 3" xfId="18225" xr:uid="{00000000-0005-0000-0000-0000012E0000}"/>
    <cellStyle name="Heading 3 6 10 4" xfId="6829" xr:uid="{00000000-0005-0000-0000-0000022E0000}"/>
    <cellStyle name="Heading 3 6 10 4 2" xfId="25267" xr:uid="{00000000-0005-0000-0000-0000032E0000}"/>
    <cellStyle name="Heading 3 6 10 4 3" xfId="20259" xr:uid="{00000000-0005-0000-0000-0000042E0000}"/>
    <cellStyle name="Heading 3 6 10 5" xfId="6563" xr:uid="{00000000-0005-0000-0000-0000052E0000}"/>
    <cellStyle name="Heading 3 6 10 5 2" xfId="25003" xr:uid="{00000000-0005-0000-0000-0000062E0000}"/>
    <cellStyle name="Heading 3 6 10 5 3" xfId="20112" xr:uid="{00000000-0005-0000-0000-0000072E0000}"/>
    <cellStyle name="Heading 3 6 10 6" xfId="8978" xr:uid="{00000000-0005-0000-0000-0000082E0000}"/>
    <cellStyle name="Heading 3 6 10 6 2" xfId="33245" xr:uid="{00000000-0005-0000-0000-0000092E0000}"/>
    <cellStyle name="Heading 3 6 10 7" xfId="16657" xr:uid="{00000000-0005-0000-0000-00000A2E0000}"/>
    <cellStyle name="Heading 3 6 11" xfId="2061" xr:uid="{00000000-0005-0000-0000-00000B2E0000}"/>
    <cellStyle name="Heading 3 6 11 2" xfId="4757" xr:uid="{00000000-0005-0000-0000-00000C2E0000}"/>
    <cellStyle name="Heading 3 6 11 2 2" xfId="23217" xr:uid="{00000000-0005-0000-0000-00000D2E0000}"/>
    <cellStyle name="Heading 3 6 11 2 3" xfId="18373" xr:uid="{00000000-0005-0000-0000-00000E2E0000}"/>
    <cellStyle name="Heading 3 6 11 3" xfId="5873" xr:uid="{00000000-0005-0000-0000-00000F2E0000}"/>
    <cellStyle name="Heading 3 6 11 3 2" xfId="24319" xr:uid="{00000000-0005-0000-0000-0000102E0000}"/>
    <cellStyle name="Heading 3 6 11 3 3" xfId="19428" xr:uid="{00000000-0005-0000-0000-0000112E0000}"/>
    <cellStyle name="Heading 3 6 11 4" xfId="6830" xr:uid="{00000000-0005-0000-0000-0000122E0000}"/>
    <cellStyle name="Heading 3 6 11 4 2" xfId="25268" xr:uid="{00000000-0005-0000-0000-0000132E0000}"/>
    <cellStyle name="Heading 3 6 11 4 3" xfId="20260" xr:uid="{00000000-0005-0000-0000-0000142E0000}"/>
    <cellStyle name="Heading 3 6 11 5" xfId="6562" xr:uid="{00000000-0005-0000-0000-0000152E0000}"/>
    <cellStyle name="Heading 3 6 11 5 2" xfId="25002" xr:uid="{00000000-0005-0000-0000-0000162E0000}"/>
    <cellStyle name="Heading 3 6 11 5 3" xfId="20111" xr:uid="{00000000-0005-0000-0000-0000172E0000}"/>
    <cellStyle name="Heading 3 6 11 6" xfId="8979" xr:uid="{00000000-0005-0000-0000-0000182E0000}"/>
    <cellStyle name="Heading 3 6 11 6 2" xfId="33246" xr:uid="{00000000-0005-0000-0000-0000192E0000}"/>
    <cellStyle name="Heading 3 6 11 7" xfId="16656" xr:uid="{00000000-0005-0000-0000-00001A2E0000}"/>
    <cellStyle name="Heading 3 6 12" xfId="4755" xr:uid="{00000000-0005-0000-0000-00001B2E0000}"/>
    <cellStyle name="Heading 3 6 12 2" xfId="23215" xr:uid="{00000000-0005-0000-0000-00001C2E0000}"/>
    <cellStyle name="Heading 3 6 12 3" xfId="18371" xr:uid="{00000000-0005-0000-0000-00001D2E0000}"/>
    <cellStyle name="Heading 3 6 13" xfId="5874" xr:uid="{00000000-0005-0000-0000-00001E2E0000}"/>
    <cellStyle name="Heading 3 6 13 2" xfId="24320" xr:uid="{00000000-0005-0000-0000-00001F2E0000}"/>
    <cellStyle name="Heading 3 6 13 3" xfId="19429" xr:uid="{00000000-0005-0000-0000-0000202E0000}"/>
    <cellStyle name="Heading 3 6 14" xfId="6828" xr:uid="{00000000-0005-0000-0000-0000212E0000}"/>
    <cellStyle name="Heading 3 6 14 2" xfId="25266" xr:uid="{00000000-0005-0000-0000-0000222E0000}"/>
    <cellStyle name="Heading 3 6 14 3" xfId="20258" xr:uid="{00000000-0005-0000-0000-0000232E0000}"/>
    <cellStyle name="Heading 3 6 15" xfId="6564" xr:uid="{00000000-0005-0000-0000-0000242E0000}"/>
    <cellStyle name="Heading 3 6 15 2" xfId="25004" xr:uid="{00000000-0005-0000-0000-0000252E0000}"/>
    <cellStyle name="Heading 3 6 15 3" xfId="20113" xr:uid="{00000000-0005-0000-0000-0000262E0000}"/>
    <cellStyle name="Heading 3 6 16" xfId="8977" xr:uid="{00000000-0005-0000-0000-0000272E0000}"/>
    <cellStyle name="Heading 3 6 16 2" xfId="33244" xr:uid="{00000000-0005-0000-0000-0000282E0000}"/>
    <cellStyle name="Heading 3 6 17" xfId="16658" xr:uid="{00000000-0005-0000-0000-0000292E0000}"/>
    <cellStyle name="Heading 3 6 2" xfId="2062" xr:uid="{00000000-0005-0000-0000-00002A2E0000}"/>
    <cellStyle name="Heading 3 6 2 2" xfId="4758" xr:uid="{00000000-0005-0000-0000-00002B2E0000}"/>
    <cellStyle name="Heading 3 6 2 2 2" xfId="23218" xr:uid="{00000000-0005-0000-0000-00002C2E0000}"/>
    <cellStyle name="Heading 3 6 2 2 3" xfId="18374" xr:uid="{00000000-0005-0000-0000-00002D2E0000}"/>
    <cellStyle name="Heading 3 6 2 3" xfId="4549" xr:uid="{00000000-0005-0000-0000-00002E2E0000}"/>
    <cellStyle name="Heading 3 6 2 3 2" xfId="23009" xr:uid="{00000000-0005-0000-0000-00002F2E0000}"/>
    <cellStyle name="Heading 3 6 2 3 3" xfId="18226" xr:uid="{00000000-0005-0000-0000-0000302E0000}"/>
    <cellStyle name="Heading 3 6 2 4" xfId="6831" xr:uid="{00000000-0005-0000-0000-0000312E0000}"/>
    <cellStyle name="Heading 3 6 2 4 2" xfId="25269" xr:uid="{00000000-0005-0000-0000-0000322E0000}"/>
    <cellStyle name="Heading 3 6 2 4 3" xfId="20261" xr:uid="{00000000-0005-0000-0000-0000332E0000}"/>
    <cellStyle name="Heading 3 6 2 5" xfId="6561" xr:uid="{00000000-0005-0000-0000-0000342E0000}"/>
    <cellStyle name="Heading 3 6 2 5 2" xfId="25001" xr:uid="{00000000-0005-0000-0000-0000352E0000}"/>
    <cellStyle name="Heading 3 6 2 5 3" xfId="20110" xr:uid="{00000000-0005-0000-0000-0000362E0000}"/>
    <cellStyle name="Heading 3 6 2 6" xfId="8980" xr:uid="{00000000-0005-0000-0000-0000372E0000}"/>
    <cellStyle name="Heading 3 6 2 6 2" xfId="33247" xr:uid="{00000000-0005-0000-0000-0000382E0000}"/>
    <cellStyle name="Heading 3 6 2 7" xfId="16655" xr:uid="{00000000-0005-0000-0000-0000392E0000}"/>
    <cellStyle name="Heading 3 6 3" xfId="2063" xr:uid="{00000000-0005-0000-0000-00003A2E0000}"/>
    <cellStyle name="Heading 3 6 3 2" xfId="4759" xr:uid="{00000000-0005-0000-0000-00003B2E0000}"/>
    <cellStyle name="Heading 3 6 3 2 2" xfId="23219" xr:uid="{00000000-0005-0000-0000-00003C2E0000}"/>
    <cellStyle name="Heading 3 6 3 2 3" xfId="18375" xr:uid="{00000000-0005-0000-0000-00003D2E0000}"/>
    <cellStyle name="Heading 3 6 3 3" xfId="5872" xr:uid="{00000000-0005-0000-0000-00003E2E0000}"/>
    <cellStyle name="Heading 3 6 3 3 2" xfId="24318" xr:uid="{00000000-0005-0000-0000-00003F2E0000}"/>
    <cellStyle name="Heading 3 6 3 3 3" xfId="19427" xr:uid="{00000000-0005-0000-0000-0000402E0000}"/>
    <cellStyle name="Heading 3 6 3 4" xfId="6832" xr:uid="{00000000-0005-0000-0000-0000412E0000}"/>
    <cellStyle name="Heading 3 6 3 4 2" xfId="25270" xr:uid="{00000000-0005-0000-0000-0000422E0000}"/>
    <cellStyle name="Heading 3 6 3 4 3" xfId="20262" xr:uid="{00000000-0005-0000-0000-0000432E0000}"/>
    <cellStyle name="Heading 3 6 3 5" xfId="6560" xr:uid="{00000000-0005-0000-0000-0000442E0000}"/>
    <cellStyle name="Heading 3 6 3 5 2" xfId="25000" xr:uid="{00000000-0005-0000-0000-0000452E0000}"/>
    <cellStyle name="Heading 3 6 3 5 3" xfId="20109" xr:uid="{00000000-0005-0000-0000-0000462E0000}"/>
    <cellStyle name="Heading 3 6 3 6" xfId="8981" xr:uid="{00000000-0005-0000-0000-0000472E0000}"/>
    <cellStyle name="Heading 3 6 3 6 2" xfId="33248" xr:uid="{00000000-0005-0000-0000-0000482E0000}"/>
    <cellStyle name="Heading 3 6 3 7" xfId="16654" xr:uid="{00000000-0005-0000-0000-0000492E0000}"/>
    <cellStyle name="Heading 3 6 4" xfId="2064" xr:uid="{00000000-0005-0000-0000-00004A2E0000}"/>
    <cellStyle name="Heading 3 6 4 2" xfId="4760" xr:uid="{00000000-0005-0000-0000-00004B2E0000}"/>
    <cellStyle name="Heading 3 6 4 2 2" xfId="23220" xr:uid="{00000000-0005-0000-0000-00004C2E0000}"/>
    <cellStyle name="Heading 3 6 4 2 3" xfId="18376" xr:uid="{00000000-0005-0000-0000-00004D2E0000}"/>
    <cellStyle name="Heading 3 6 4 3" xfId="4550" xr:uid="{00000000-0005-0000-0000-00004E2E0000}"/>
    <cellStyle name="Heading 3 6 4 3 2" xfId="23010" xr:uid="{00000000-0005-0000-0000-00004F2E0000}"/>
    <cellStyle name="Heading 3 6 4 3 3" xfId="18227" xr:uid="{00000000-0005-0000-0000-0000502E0000}"/>
    <cellStyle name="Heading 3 6 4 4" xfId="6833" xr:uid="{00000000-0005-0000-0000-0000512E0000}"/>
    <cellStyle name="Heading 3 6 4 4 2" xfId="25271" xr:uid="{00000000-0005-0000-0000-0000522E0000}"/>
    <cellStyle name="Heading 3 6 4 4 3" xfId="20263" xr:uid="{00000000-0005-0000-0000-0000532E0000}"/>
    <cellStyle name="Heading 3 6 4 5" xfId="6559" xr:uid="{00000000-0005-0000-0000-0000542E0000}"/>
    <cellStyle name="Heading 3 6 4 5 2" xfId="24999" xr:uid="{00000000-0005-0000-0000-0000552E0000}"/>
    <cellStyle name="Heading 3 6 4 5 3" xfId="20108" xr:uid="{00000000-0005-0000-0000-0000562E0000}"/>
    <cellStyle name="Heading 3 6 4 6" xfId="8982" xr:uid="{00000000-0005-0000-0000-0000572E0000}"/>
    <cellStyle name="Heading 3 6 4 6 2" xfId="33249" xr:uid="{00000000-0005-0000-0000-0000582E0000}"/>
    <cellStyle name="Heading 3 6 4 7" xfId="16653" xr:uid="{00000000-0005-0000-0000-0000592E0000}"/>
    <cellStyle name="Heading 3 6 5" xfId="2065" xr:uid="{00000000-0005-0000-0000-00005A2E0000}"/>
    <cellStyle name="Heading 3 6 5 2" xfId="4761" xr:uid="{00000000-0005-0000-0000-00005B2E0000}"/>
    <cellStyle name="Heading 3 6 5 2 2" xfId="23221" xr:uid="{00000000-0005-0000-0000-00005C2E0000}"/>
    <cellStyle name="Heading 3 6 5 2 3" xfId="18377" xr:uid="{00000000-0005-0000-0000-00005D2E0000}"/>
    <cellStyle name="Heading 3 6 5 3" xfId="5871" xr:uid="{00000000-0005-0000-0000-00005E2E0000}"/>
    <cellStyle name="Heading 3 6 5 3 2" xfId="24317" xr:uid="{00000000-0005-0000-0000-00005F2E0000}"/>
    <cellStyle name="Heading 3 6 5 3 3" xfId="19426" xr:uid="{00000000-0005-0000-0000-0000602E0000}"/>
    <cellStyle name="Heading 3 6 5 4" xfId="6834" xr:uid="{00000000-0005-0000-0000-0000612E0000}"/>
    <cellStyle name="Heading 3 6 5 4 2" xfId="25272" xr:uid="{00000000-0005-0000-0000-0000622E0000}"/>
    <cellStyle name="Heading 3 6 5 4 3" xfId="20264" xr:uid="{00000000-0005-0000-0000-0000632E0000}"/>
    <cellStyle name="Heading 3 6 5 5" xfId="6558" xr:uid="{00000000-0005-0000-0000-0000642E0000}"/>
    <cellStyle name="Heading 3 6 5 5 2" xfId="24998" xr:uid="{00000000-0005-0000-0000-0000652E0000}"/>
    <cellStyle name="Heading 3 6 5 5 3" xfId="20107" xr:uid="{00000000-0005-0000-0000-0000662E0000}"/>
    <cellStyle name="Heading 3 6 5 6" xfId="8983" xr:uid="{00000000-0005-0000-0000-0000672E0000}"/>
    <cellStyle name="Heading 3 6 5 6 2" xfId="33250" xr:uid="{00000000-0005-0000-0000-0000682E0000}"/>
    <cellStyle name="Heading 3 6 5 7" xfId="16652" xr:uid="{00000000-0005-0000-0000-0000692E0000}"/>
    <cellStyle name="Heading 3 6 6" xfId="2066" xr:uid="{00000000-0005-0000-0000-00006A2E0000}"/>
    <cellStyle name="Heading 3 6 6 2" xfId="4762" xr:uid="{00000000-0005-0000-0000-00006B2E0000}"/>
    <cellStyle name="Heading 3 6 6 2 2" xfId="23222" xr:uid="{00000000-0005-0000-0000-00006C2E0000}"/>
    <cellStyle name="Heading 3 6 6 2 3" xfId="18378" xr:uid="{00000000-0005-0000-0000-00006D2E0000}"/>
    <cellStyle name="Heading 3 6 6 3" xfId="4551" xr:uid="{00000000-0005-0000-0000-00006E2E0000}"/>
    <cellStyle name="Heading 3 6 6 3 2" xfId="23011" xr:uid="{00000000-0005-0000-0000-00006F2E0000}"/>
    <cellStyle name="Heading 3 6 6 3 3" xfId="18228" xr:uid="{00000000-0005-0000-0000-0000702E0000}"/>
    <cellStyle name="Heading 3 6 6 4" xfId="6835" xr:uid="{00000000-0005-0000-0000-0000712E0000}"/>
    <cellStyle name="Heading 3 6 6 4 2" xfId="25273" xr:uid="{00000000-0005-0000-0000-0000722E0000}"/>
    <cellStyle name="Heading 3 6 6 4 3" xfId="20265" xr:uid="{00000000-0005-0000-0000-0000732E0000}"/>
    <cellStyle name="Heading 3 6 6 5" xfId="6557" xr:uid="{00000000-0005-0000-0000-0000742E0000}"/>
    <cellStyle name="Heading 3 6 6 5 2" xfId="24997" xr:uid="{00000000-0005-0000-0000-0000752E0000}"/>
    <cellStyle name="Heading 3 6 6 5 3" xfId="20106" xr:uid="{00000000-0005-0000-0000-0000762E0000}"/>
    <cellStyle name="Heading 3 6 6 6" xfId="8984" xr:uid="{00000000-0005-0000-0000-0000772E0000}"/>
    <cellStyle name="Heading 3 6 6 6 2" xfId="33251" xr:uid="{00000000-0005-0000-0000-0000782E0000}"/>
    <cellStyle name="Heading 3 6 6 7" xfId="16651" xr:uid="{00000000-0005-0000-0000-0000792E0000}"/>
    <cellStyle name="Heading 3 6 7" xfId="2067" xr:uid="{00000000-0005-0000-0000-00007A2E0000}"/>
    <cellStyle name="Heading 3 6 7 2" xfId="4763" xr:uid="{00000000-0005-0000-0000-00007B2E0000}"/>
    <cellStyle name="Heading 3 6 7 2 2" xfId="23223" xr:uid="{00000000-0005-0000-0000-00007C2E0000}"/>
    <cellStyle name="Heading 3 6 7 2 3" xfId="18379" xr:uid="{00000000-0005-0000-0000-00007D2E0000}"/>
    <cellStyle name="Heading 3 6 7 3" xfId="5870" xr:uid="{00000000-0005-0000-0000-00007E2E0000}"/>
    <cellStyle name="Heading 3 6 7 3 2" xfId="24316" xr:uid="{00000000-0005-0000-0000-00007F2E0000}"/>
    <cellStyle name="Heading 3 6 7 3 3" xfId="19425" xr:uid="{00000000-0005-0000-0000-0000802E0000}"/>
    <cellStyle name="Heading 3 6 7 4" xfId="6836" xr:uid="{00000000-0005-0000-0000-0000812E0000}"/>
    <cellStyle name="Heading 3 6 7 4 2" xfId="25274" xr:uid="{00000000-0005-0000-0000-0000822E0000}"/>
    <cellStyle name="Heading 3 6 7 4 3" xfId="20266" xr:uid="{00000000-0005-0000-0000-0000832E0000}"/>
    <cellStyle name="Heading 3 6 7 5" xfId="6556" xr:uid="{00000000-0005-0000-0000-0000842E0000}"/>
    <cellStyle name="Heading 3 6 7 5 2" xfId="24996" xr:uid="{00000000-0005-0000-0000-0000852E0000}"/>
    <cellStyle name="Heading 3 6 7 5 3" xfId="20105" xr:uid="{00000000-0005-0000-0000-0000862E0000}"/>
    <cellStyle name="Heading 3 6 7 6" xfId="8985" xr:uid="{00000000-0005-0000-0000-0000872E0000}"/>
    <cellStyle name="Heading 3 6 7 6 2" xfId="33252" xr:uid="{00000000-0005-0000-0000-0000882E0000}"/>
    <cellStyle name="Heading 3 6 7 7" xfId="16650" xr:uid="{00000000-0005-0000-0000-0000892E0000}"/>
    <cellStyle name="Heading 3 6 8" xfId="2068" xr:uid="{00000000-0005-0000-0000-00008A2E0000}"/>
    <cellStyle name="Heading 3 6 8 2" xfId="4764" xr:uid="{00000000-0005-0000-0000-00008B2E0000}"/>
    <cellStyle name="Heading 3 6 8 2 2" xfId="23224" xr:uid="{00000000-0005-0000-0000-00008C2E0000}"/>
    <cellStyle name="Heading 3 6 8 2 3" xfId="18380" xr:uid="{00000000-0005-0000-0000-00008D2E0000}"/>
    <cellStyle name="Heading 3 6 8 3" xfId="4552" xr:uid="{00000000-0005-0000-0000-00008E2E0000}"/>
    <cellStyle name="Heading 3 6 8 3 2" xfId="23012" xr:uid="{00000000-0005-0000-0000-00008F2E0000}"/>
    <cellStyle name="Heading 3 6 8 3 3" xfId="18229" xr:uid="{00000000-0005-0000-0000-0000902E0000}"/>
    <cellStyle name="Heading 3 6 8 4" xfId="6837" xr:uid="{00000000-0005-0000-0000-0000912E0000}"/>
    <cellStyle name="Heading 3 6 8 4 2" xfId="25275" xr:uid="{00000000-0005-0000-0000-0000922E0000}"/>
    <cellStyle name="Heading 3 6 8 4 3" xfId="20267" xr:uid="{00000000-0005-0000-0000-0000932E0000}"/>
    <cellStyle name="Heading 3 6 8 5" xfId="6555" xr:uid="{00000000-0005-0000-0000-0000942E0000}"/>
    <cellStyle name="Heading 3 6 8 5 2" xfId="24995" xr:uid="{00000000-0005-0000-0000-0000952E0000}"/>
    <cellStyle name="Heading 3 6 8 5 3" xfId="20104" xr:uid="{00000000-0005-0000-0000-0000962E0000}"/>
    <cellStyle name="Heading 3 6 8 6" xfId="8986" xr:uid="{00000000-0005-0000-0000-0000972E0000}"/>
    <cellStyle name="Heading 3 6 8 6 2" xfId="33253" xr:uid="{00000000-0005-0000-0000-0000982E0000}"/>
    <cellStyle name="Heading 3 6 8 7" xfId="16649" xr:uid="{00000000-0005-0000-0000-0000992E0000}"/>
    <cellStyle name="Heading 3 6 9" xfId="2069" xr:uid="{00000000-0005-0000-0000-00009A2E0000}"/>
    <cellStyle name="Heading 3 6 9 2" xfId="4765" xr:uid="{00000000-0005-0000-0000-00009B2E0000}"/>
    <cellStyle name="Heading 3 6 9 2 2" xfId="23225" xr:uid="{00000000-0005-0000-0000-00009C2E0000}"/>
    <cellStyle name="Heading 3 6 9 2 3" xfId="18381" xr:uid="{00000000-0005-0000-0000-00009D2E0000}"/>
    <cellStyle name="Heading 3 6 9 3" xfId="5869" xr:uid="{00000000-0005-0000-0000-00009E2E0000}"/>
    <cellStyle name="Heading 3 6 9 3 2" xfId="24315" xr:uid="{00000000-0005-0000-0000-00009F2E0000}"/>
    <cellStyle name="Heading 3 6 9 3 3" xfId="19424" xr:uid="{00000000-0005-0000-0000-0000A02E0000}"/>
    <cellStyle name="Heading 3 6 9 4" xfId="6838" xr:uid="{00000000-0005-0000-0000-0000A12E0000}"/>
    <cellStyle name="Heading 3 6 9 4 2" xfId="25276" xr:uid="{00000000-0005-0000-0000-0000A22E0000}"/>
    <cellStyle name="Heading 3 6 9 4 3" xfId="20268" xr:uid="{00000000-0005-0000-0000-0000A32E0000}"/>
    <cellStyle name="Heading 3 6 9 5" xfId="6554" xr:uid="{00000000-0005-0000-0000-0000A42E0000}"/>
    <cellStyle name="Heading 3 6 9 5 2" xfId="24994" xr:uid="{00000000-0005-0000-0000-0000A52E0000}"/>
    <cellStyle name="Heading 3 6 9 5 3" xfId="20103" xr:uid="{00000000-0005-0000-0000-0000A62E0000}"/>
    <cellStyle name="Heading 3 6 9 6" xfId="8987" xr:uid="{00000000-0005-0000-0000-0000A72E0000}"/>
    <cellStyle name="Heading 3 6 9 6 2" xfId="33254" xr:uid="{00000000-0005-0000-0000-0000A82E0000}"/>
    <cellStyle name="Heading 3 6 9 7" xfId="16648" xr:uid="{00000000-0005-0000-0000-0000A92E0000}"/>
    <cellStyle name="Heading 3 7" xfId="2070" xr:uid="{00000000-0005-0000-0000-0000AA2E0000}"/>
    <cellStyle name="Heading 3 7 2" xfId="4766" xr:uid="{00000000-0005-0000-0000-0000AB2E0000}"/>
    <cellStyle name="Heading 3 7 2 2" xfId="23226" xr:uid="{00000000-0005-0000-0000-0000AC2E0000}"/>
    <cellStyle name="Heading 3 7 2 3" xfId="18382" xr:uid="{00000000-0005-0000-0000-0000AD2E0000}"/>
    <cellStyle name="Heading 3 7 3" xfId="4553" xr:uid="{00000000-0005-0000-0000-0000AE2E0000}"/>
    <cellStyle name="Heading 3 7 3 2" xfId="23013" xr:uid="{00000000-0005-0000-0000-0000AF2E0000}"/>
    <cellStyle name="Heading 3 7 3 3" xfId="18230" xr:uid="{00000000-0005-0000-0000-0000B02E0000}"/>
    <cellStyle name="Heading 3 7 4" xfId="6839" xr:uid="{00000000-0005-0000-0000-0000B12E0000}"/>
    <cellStyle name="Heading 3 7 4 2" xfId="25277" xr:uid="{00000000-0005-0000-0000-0000B22E0000}"/>
    <cellStyle name="Heading 3 7 4 3" xfId="20269" xr:uid="{00000000-0005-0000-0000-0000B32E0000}"/>
    <cellStyle name="Heading 3 7 5" xfId="6553" xr:uid="{00000000-0005-0000-0000-0000B42E0000}"/>
    <cellStyle name="Heading 3 7 5 2" xfId="24993" xr:uid="{00000000-0005-0000-0000-0000B52E0000}"/>
    <cellStyle name="Heading 3 7 5 3" xfId="20102" xr:uid="{00000000-0005-0000-0000-0000B62E0000}"/>
    <cellStyle name="Heading 3 7 6" xfId="8988" xr:uid="{00000000-0005-0000-0000-0000B72E0000}"/>
    <cellStyle name="Heading 3 7 6 2" xfId="33255" xr:uid="{00000000-0005-0000-0000-0000B82E0000}"/>
    <cellStyle name="Heading 3 7 7" xfId="16647" xr:uid="{00000000-0005-0000-0000-0000B92E0000}"/>
    <cellStyle name="Heading 3 8" xfId="2071" xr:uid="{00000000-0005-0000-0000-0000BA2E0000}"/>
    <cellStyle name="Heading 3 8 2" xfId="4767" xr:uid="{00000000-0005-0000-0000-0000BB2E0000}"/>
    <cellStyle name="Heading 3 8 2 2" xfId="23227" xr:uid="{00000000-0005-0000-0000-0000BC2E0000}"/>
    <cellStyle name="Heading 3 8 2 3" xfId="18383" xr:uid="{00000000-0005-0000-0000-0000BD2E0000}"/>
    <cellStyle name="Heading 3 8 3" xfId="5868" xr:uid="{00000000-0005-0000-0000-0000BE2E0000}"/>
    <cellStyle name="Heading 3 8 3 2" xfId="24314" xr:uid="{00000000-0005-0000-0000-0000BF2E0000}"/>
    <cellStyle name="Heading 3 8 3 3" xfId="19423" xr:uid="{00000000-0005-0000-0000-0000C02E0000}"/>
    <cellStyle name="Heading 3 8 4" xfId="6840" xr:uid="{00000000-0005-0000-0000-0000C12E0000}"/>
    <cellStyle name="Heading 3 8 4 2" xfId="25278" xr:uid="{00000000-0005-0000-0000-0000C22E0000}"/>
    <cellStyle name="Heading 3 8 4 3" xfId="20270" xr:uid="{00000000-0005-0000-0000-0000C32E0000}"/>
    <cellStyle name="Heading 3 8 5" xfId="6552" xr:uid="{00000000-0005-0000-0000-0000C42E0000}"/>
    <cellStyle name="Heading 3 8 5 2" xfId="24992" xr:uid="{00000000-0005-0000-0000-0000C52E0000}"/>
    <cellStyle name="Heading 3 8 5 3" xfId="20101" xr:uid="{00000000-0005-0000-0000-0000C62E0000}"/>
    <cellStyle name="Heading 3 8 6" xfId="8989" xr:uid="{00000000-0005-0000-0000-0000C72E0000}"/>
    <cellStyle name="Heading 3 8 6 2" xfId="33256" xr:uid="{00000000-0005-0000-0000-0000C82E0000}"/>
    <cellStyle name="Heading 3 8 7" xfId="16646" xr:uid="{00000000-0005-0000-0000-0000C92E0000}"/>
    <cellStyle name="Heading 3 9" xfId="2072" xr:uid="{00000000-0005-0000-0000-0000CA2E0000}"/>
    <cellStyle name="Heading 3 9 2" xfId="4768" xr:uid="{00000000-0005-0000-0000-0000CB2E0000}"/>
    <cellStyle name="Heading 3 9 2 2" xfId="23228" xr:uid="{00000000-0005-0000-0000-0000CC2E0000}"/>
    <cellStyle name="Heading 3 9 2 3" xfId="18384" xr:uid="{00000000-0005-0000-0000-0000CD2E0000}"/>
    <cellStyle name="Heading 3 9 3" xfId="4554" xr:uid="{00000000-0005-0000-0000-0000CE2E0000}"/>
    <cellStyle name="Heading 3 9 3 2" xfId="23014" xr:uid="{00000000-0005-0000-0000-0000CF2E0000}"/>
    <cellStyle name="Heading 3 9 3 3" xfId="18231" xr:uid="{00000000-0005-0000-0000-0000D02E0000}"/>
    <cellStyle name="Heading 3 9 4" xfId="6841" xr:uid="{00000000-0005-0000-0000-0000D12E0000}"/>
    <cellStyle name="Heading 3 9 4 2" xfId="25279" xr:uid="{00000000-0005-0000-0000-0000D22E0000}"/>
    <cellStyle name="Heading 3 9 4 3" xfId="20271" xr:uid="{00000000-0005-0000-0000-0000D32E0000}"/>
    <cellStyle name="Heading 3 9 5" xfId="6551" xr:uid="{00000000-0005-0000-0000-0000D42E0000}"/>
    <cellStyle name="Heading 3 9 5 2" xfId="24991" xr:uid="{00000000-0005-0000-0000-0000D52E0000}"/>
    <cellStyle name="Heading 3 9 5 3" xfId="20100" xr:uid="{00000000-0005-0000-0000-0000D62E0000}"/>
    <cellStyle name="Heading 3 9 6" xfId="8990" xr:uid="{00000000-0005-0000-0000-0000D72E0000}"/>
    <cellStyle name="Heading 3 9 6 2" xfId="33257" xr:uid="{00000000-0005-0000-0000-0000D82E0000}"/>
    <cellStyle name="Heading 3 9 7" xfId="16645" xr:uid="{00000000-0005-0000-0000-0000D92E0000}"/>
    <cellStyle name="Heading 4 10" xfId="2073" xr:uid="{00000000-0005-0000-0000-0000DA2E0000}"/>
    <cellStyle name="Heading 4 11" xfId="39588" xr:uid="{00000000-0005-0000-0000-0000190A0000}"/>
    <cellStyle name="Heading 4 12" xfId="39589" xr:uid="{00000000-0005-0000-0000-00001A0A0000}"/>
    <cellStyle name="Heading 4 13" xfId="39590" xr:uid="{00000000-0005-0000-0000-00001B0A0000}"/>
    <cellStyle name="Heading 4 14" xfId="39591" xr:uid="{00000000-0005-0000-0000-00001C0A0000}"/>
    <cellStyle name="Heading 4 15" xfId="39592" xr:uid="{00000000-0005-0000-0000-00001D0A0000}"/>
    <cellStyle name="Heading 4 16" xfId="39593" xr:uid="{00000000-0005-0000-0000-00001E0A0000}"/>
    <cellStyle name="Heading 4 17" xfId="39594" xr:uid="{00000000-0005-0000-0000-00001F0A0000}"/>
    <cellStyle name="Heading 4 18" xfId="39595" xr:uid="{00000000-0005-0000-0000-0000200A0000}"/>
    <cellStyle name="Heading 4 19" xfId="39596" xr:uid="{00000000-0005-0000-0000-0000210A0000}"/>
    <cellStyle name="Heading 4 2" xfId="2074" xr:uid="{00000000-0005-0000-0000-0000DB2E0000}"/>
    <cellStyle name="Heading 4 2 10" xfId="2075" xr:uid="{00000000-0005-0000-0000-0000DC2E0000}"/>
    <cellStyle name="Heading 4 2 10 2" xfId="12629" xr:uid="{00000000-0005-0000-0000-0000DD2E0000}"/>
    <cellStyle name="Heading 4 2 11" xfId="2076" xr:uid="{00000000-0005-0000-0000-0000DE2E0000}"/>
    <cellStyle name="Heading 4 2 2" xfId="2077" xr:uid="{00000000-0005-0000-0000-0000DF2E0000}"/>
    <cellStyle name="Heading 4 2 2 2" xfId="12630" xr:uid="{00000000-0005-0000-0000-0000E02E0000}"/>
    <cellStyle name="Heading 4 2 3" xfId="2078" xr:uid="{00000000-0005-0000-0000-0000E12E0000}"/>
    <cellStyle name="Heading 4 2 3 2" xfId="12631" xr:uid="{00000000-0005-0000-0000-0000E22E0000}"/>
    <cellStyle name="Heading 4 2 4" xfId="2079" xr:uid="{00000000-0005-0000-0000-0000E32E0000}"/>
    <cellStyle name="Heading 4 2 4 2" xfId="12632" xr:uid="{00000000-0005-0000-0000-0000E42E0000}"/>
    <cellStyle name="Heading 4 2 5" xfId="2080" xr:uid="{00000000-0005-0000-0000-0000E52E0000}"/>
    <cellStyle name="Heading 4 2 5 2" xfId="12633" xr:uid="{00000000-0005-0000-0000-0000E62E0000}"/>
    <cellStyle name="Heading 4 2 6" xfId="2081" xr:uid="{00000000-0005-0000-0000-0000E72E0000}"/>
    <cellStyle name="Heading 4 2 6 2" xfId="12634" xr:uid="{00000000-0005-0000-0000-0000E82E0000}"/>
    <cellStyle name="Heading 4 2 7" xfId="2082" xr:uid="{00000000-0005-0000-0000-0000E92E0000}"/>
    <cellStyle name="Heading 4 2 7 2" xfId="12635" xr:uid="{00000000-0005-0000-0000-0000EA2E0000}"/>
    <cellStyle name="Heading 4 2 8" xfId="2083" xr:uid="{00000000-0005-0000-0000-0000EB2E0000}"/>
    <cellStyle name="Heading 4 2 8 2" xfId="12636" xr:uid="{00000000-0005-0000-0000-0000EC2E0000}"/>
    <cellStyle name="Heading 4 2 9" xfId="2084" xr:uid="{00000000-0005-0000-0000-0000ED2E0000}"/>
    <cellStyle name="Heading 4 2 9 2" xfId="12637" xr:uid="{00000000-0005-0000-0000-0000EE2E0000}"/>
    <cellStyle name="Heading 4 20" xfId="39597" xr:uid="{00000000-0005-0000-0000-00002D0A0000}"/>
    <cellStyle name="Heading 4 21" xfId="39598" xr:uid="{00000000-0005-0000-0000-00002E0A0000}"/>
    <cellStyle name="Heading 4 22" xfId="39599" xr:uid="{00000000-0005-0000-0000-00002F0A0000}"/>
    <cellStyle name="Heading 4 23" xfId="39600" xr:uid="{00000000-0005-0000-0000-0000300A0000}"/>
    <cellStyle name="Heading 4 24" xfId="39601" xr:uid="{00000000-0005-0000-0000-0000310A0000}"/>
    <cellStyle name="Heading 4 25" xfId="39602" xr:uid="{00000000-0005-0000-0000-0000320A0000}"/>
    <cellStyle name="Heading 4 26" xfId="39603" xr:uid="{00000000-0005-0000-0000-0000330A0000}"/>
    <cellStyle name="Heading 4 27" xfId="39604" xr:uid="{00000000-0005-0000-0000-0000340A0000}"/>
    <cellStyle name="Heading 4 28" xfId="39605" xr:uid="{00000000-0005-0000-0000-0000350A0000}"/>
    <cellStyle name="Heading 4 29" xfId="39606" xr:uid="{00000000-0005-0000-0000-0000360A0000}"/>
    <cellStyle name="Heading 4 3" xfId="2085" xr:uid="{00000000-0005-0000-0000-0000EF2E0000}"/>
    <cellStyle name="Heading 4 3 10" xfId="2086" xr:uid="{00000000-0005-0000-0000-0000F02E0000}"/>
    <cellStyle name="Heading 4 3 11" xfId="2087" xr:uid="{00000000-0005-0000-0000-0000F12E0000}"/>
    <cellStyle name="Heading 4 3 12" xfId="12638" xr:uid="{00000000-0005-0000-0000-0000F22E0000}"/>
    <cellStyle name="Heading 4 3 2" xfId="2088" xr:uid="{00000000-0005-0000-0000-0000F32E0000}"/>
    <cellStyle name="Heading 4 3 2 2" xfId="39607" xr:uid="{00000000-0005-0000-0000-0000380A0000}"/>
    <cellStyle name="Heading 4 3 3" xfId="2089" xr:uid="{00000000-0005-0000-0000-0000F42E0000}"/>
    <cellStyle name="Heading 4 3 4" xfId="2090" xr:uid="{00000000-0005-0000-0000-0000F52E0000}"/>
    <cellStyle name="Heading 4 3 5" xfId="2091" xr:uid="{00000000-0005-0000-0000-0000F62E0000}"/>
    <cellStyle name="Heading 4 3 6" xfId="2092" xr:uid="{00000000-0005-0000-0000-0000F72E0000}"/>
    <cellStyle name="Heading 4 3 7" xfId="2093" xr:uid="{00000000-0005-0000-0000-0000F82E0000}"/>
    <cellStyle name="Heading 4 3 8" xfId="2094" xr:uid="{00000000-0005-0000-0000-0000F92E0000}"/>
    <cellStyle name="Heading 4 3 9" xfId="2095" xr:uid="{00000000-0005-0000-0000-0000FA2E0000}"/>
    <cellStyle name="Heading 4 30" xfId="39608" xr:uid="{00000000-0005-0000-0000-00003A0A0000}"/>
    <cellStyle name="Heading 4 31" xfId="39609" xr:uid="{00000000-0005-0000-0000-00003B0A0000}"/>
    <cellStyle name="Heading 4 32" xfId="39610" xr:uid="{00000000-0005-0000-0000-00003C0A0000}"/>
    <cellStyle name="Heading 4 33" xfId="39611" xr:uid="{00000000-0005-0000-0000-00003D0A0000}"/>
    <cellStyle name="Heading 4 34" xfId="39612" xr:uid="{00000000-0005-0000-0000-00003E0A0000}"/>
    <cellStyle name="Heading 4 35" xfId="39613" xr:uid="{00000000-0005-0000-0000-00003F0A0000}"/>
    <cellStyle name="Heading 4 36" xfId="39614" xr:uid="{00000000-0005-0000-0000-0000400A0000}"/>
    <cellStyle name="Heading 4 37" xfId="39615" xr:uid="{00000000-0005-0000-0000-0000410A0000}"/>
    <cellStyle name="Heading 4 38" xfId="39616" xr:uid="{00000000-0005-0000-0000-0000420A0000}"/>
    <cellStyle name="Heading 4 39" xfId="39617" xr:uid="{00000000-0005-0000-0000-0000430A0000}"/>
    <cellStyle name="Heading 4 4" xfId="2096" xr:uid="{00000000-0005-0000-0000-0000FB2E0000}"/>
    <cellStyle name="Heading 4 4 10" xfId="2097" xr:uid="{00000000-0005-0000-0000-0000FC2E0000}"/>
    <cellStyle name="Heading 4 4 11" xfId="2098" xr:uid="{00000000-0005-0000-0000-0000FD2E0000}"/>
    <cellStyle name="Heading 4 4 2" xfId="2099" xr:uid="{00000000-0005-0000-0000-0000FE2E0000}"/>
    <cellStyle name="Heading 4 4 3" xfId="2100" xr:uid="{00000000-0005-0000-0000-0000FF2E0000}"/>
    <cellStyle name="Heading 4 4 4" xfId="2101" xr:uid="{00000000-0005-0000-0000-0000002F0000}"/>
    <cellStyle name="Heading 4 4 5" xfId="2102" xr:uid="{00000000-0005-0000-0000-0000012F0000}"/>
    <cellStyle name="Heading 4 4 6" xfId="2103" xr:uid="{00000000-0005-0000-0000-0000022F0000}"/>
    <cellStyle name="Heading 4 4 7" xfId="2104" xr:uid="{00000000-0005-0000-0000-0000032F0000}"/>
    <cellStyle name="Heading 4 4 8" xfId="2105" xr:uid="{00000000-0005-0000-0000-0000042F0000}"/>
    <cellStyle name="Heading 4 4 9" xfId="2106" xr:uid="{00000000-0005-0000-0000-0000052F0000}"/>
    <cellStyle name="Heading 4 40" xfId="39618" xr:uid="{00000000-0005-0000-0000-0000460A0000}"/>
    <cellStyle name="Heading 4 41" xfId="39619" xr:uid="{00000000-0005-0000-0000-0000470A0000}"/>
    <cellStyle name="Heading 4 5" xfId="2107" xr:uid="{00000000-0005-0000-0000-0000062F0000}"/>
    <cellStyle name="Heading 4 5 10" xfId="2108" xr:uid="{00000000-0005-0000-0000-0000072F0000}"/>
    <cellStyle name="Heading 4 5 11" xfId="2109" xr:uid="{00000000-0005-0000-0000-0000082F0000}"/>
    <cellStyle name="Heading 4 5 2" xfId="2110" xr:uid="{00000000-0005-0000-0000-0000092F0000}"/>
    <cellStyle name="Heading 4 5 3" xfId="2111" xr:uid="{00000000-0005-0000-0000-00000A2F0000}"/>
    <cellStyle name="Heading 4 5 4" xfId="2112" xr:uid="{00000000-0005-0000-0000-00000B2F0000}"/>
    <cellStyle name="Heading 4 5 5" xfId="2113" xr:uid="{00000000-0005-0000-0000-00000C2F0000}"/>
    <cellStyle name="Heading 4 5 6" xfId="2114" xr:uid="{00000000-0005-0000-0000-00000D2F0000}"/>
    <cellStyle name="Heading 4 5 7" xfId="2115" xr:uid="{00000000-0005-0000-0000-00000E2F0000}"/>
    <cellStyle name="Heading 4 5 8" xfId="2116" xr:uid="{00000000-0005-0000-0000-00000F2F0000}"/>
    <cellStyle name="Heading 4 5 9" xfId="2117" xr:uid="{00000000-0005-0000-0000-0000102F0000}"/>
    <cellStyle name="Heading 4 6" xfId="2118" xr:uid="{00000000-0005-0000-0000-0000112F0000}"/>
    <cellStyle name="Heading 4 6 10" xfId="2119" xr:uid="{00000000-0005-0000-0000-0000122F0000}"/>
    <cellStyle name="Heading 4 6 11" xfId="2120" xr:uid="{00000000-0005-0000-0000-0000132F0000}"/>
    <cellStyle name="Heading 4 6 2" xfId="2121" xr:uid="{00000000-0005-0000-0000-0000142F0000}"/>
    <cellStyle name="Heading 4 6 3" xfId="2122" xr:uid="{00000000-0005-0000-0000-0000152F0000}"/>
    <cellStyle name="Heading 4 6 4" xfId="2123" xr:uid="{00000000-0005-0000-0000-0000162F0000}"/>
    <cellStyle name="Heading 4 6 5" xfId="2124" xr:uid="{00000000-0005-0000-0000-0000172F0000}"/>
    <cellStyle name="Heading 4 6 6" xfId="2125" xr:uid="{00000000-0005-0000-0000-0000182F0000}"/>
    <cellStyle name="Heading 4 6 7" xfId="2126" xr:uid="{00000000-0005-0000-0000-0000192F0000}"/>
    <cellStyle name="Heading 4 6 8" xfId="2127" xr:uid="{00000000-0005-0000-0000-00001A2F0000}"/>
    <cellStyle name="Heading 4 6 9" xfId="2128" xr:uid="{00000000-0005-0000-0000-00001B2F0000}"/>
    <cellStyle name="Heading 4 7" xfId="2129" xr:uid="{00000000-0005-0000-0000-00001C2F0000}"/>
    <cellStyle name="Heading 4 8" xfId="2130" xr:uid="{00000000-0005-0000-0000-00001D2F0000}"/>
    <cellStyle name="Heading 4 9" xfId="2131" xr:uid="{00000000-0005-0000-0000-00001E2F0000}"/>
    <cellStyle name="Heading 5" xfId="14243" xr:uid="{00000000-0005-0000-0000-00001F2F0000}"/>
    <cellStyle name="Heading 5 2" xfId="14244" xr:uid="{00000000-0005-0000-0000-0000202F0000}"/>
    <cellStyle name="Heading 5 2 2" xfId="35873" xr:uid="{00000000-0005-0000-0000-0000212F0000}"/>
    <cellStyle name="Heading 5 3" xfId="14245" xr:uid="{00000000-0005-0000-0000-0000222F0000}"/>
    <cellStyle name="Heading 5 3 2" xfId="35874" xr:uid="{00000000-0005-0000-0000-0000232F0000}"/>
    <cellStyle name="Heading 5 4" xfId="35872" xr:uid="{00000000-0005-0000-0000-0000242F0000}"/>
    <cellStyle name="Heading 6" xfId="14246" xr:uid="{00000000-0005-0000-0000-0000252F0000}"/>
    <cellStyle name="Heading 7" xfId="14247" xr:uid="{00000000-0005-0000-0000-0000262F0000}"/>
    <cellStyle name="Heading 8" xfId="14248" xr:uid="{00000000-0005-0000-0000-0000272F0000}"/>
    <cellStyle name="Headline" xfId="11465" xr:uid="{00000000-0005-0000-0000-0000282F0000}"/>
    <cellStyle name="Hivatkozott cella" xfId="89" xr:uid="{00000000-0005-0000-0000-0000292F0000}"/>
    <cellStyle name="Hyperlink" xfId="8923" builtinId="8"/>
    <cellStyle name="Hyperlink 2" xfId="2132" xr:uid="{00000000-0005-0000-0000-00002B2F0000}"/>
    <cellStyle name="Hyperlink 2 2" xfId="2133" xr:uid="{00000000-0005-0000-0000-00002C2F0000}"/>
    <cellStyle name="Hyperlink 2 3" xfId="14250" xr:uid="{00000000-0005-0000-0000-00002D2F0000}"/>
    <cellStyle name="Hyperlink 2 3 2" xfId="35875" xr:uid="{00000000-0005-0000-0000-00002E2F0000}"/>
    <cellStyle name="Hyperlink 2 3 3" xfId="28992" xr:uid="{00000000-0005-0000-0000-00002F2F0000}"/>
    <cellStyle name="Hyperlink 2 4" xfId="14249" xr:uid="{00000000-0005-0000-0000-0000302F0000}"/>
    <cellStyle name="Hyperlink 3" xfId="12639" xr:uid="{00000000-0005-0000-0000-0000312F0000}"/>
    <cellStyle name="Hyperlink 3 2" xfId="14252" xr:uid="{00000000-0005-0000-0000-0000322F0000}"/>
    <cellStyle name="Hyperlink 3 3" xfId="14253" xr:uid="{00000000-0005-0000-0000-0000332F0000}"/>
    <cellStyle name="Hyperlink 3 4" xfId="14251" xr:uid="{00000000-0005-0000-0000-0000342F0000}"/>
    <cellStyle name="Hyperlink 4" xfId="14254" xr:uid="{00000000-0005-0000-0000-0000352F0000}"/>
    <cellStyle name="Hyperlink 5" xfId="14255" xr:uid="{00000000-0005-0000-0000-0000362F0000}"/>
    <cellStyle name="Input 10" xfId="2134" xr:uid="{00000000-0005-0000-0000-0000372F0000}"/>
    <cellStyle name="Input 10 10" xfId="15245" xr:uid="{00000000-0005-0000-0000-0000382F0000}"/>
    <cellStyle name="Input 10 10 2" xfId="36652" xr:uid="{00000000-0005-0000-0000-0000392F0000}"/>
    <cellStyle name="Input 10 10 3" xfId="16826" xr:uid="{00000000-0005-0000-0000-00003A2F0000}"/>
    <cellStyle name="Input 10 11" xfId="15302" xr:uid="{00000000-0005-0000-0000-00003B2F0000}"/>
    <cellStyle name="Input 10 11 2" xfId="36695" xr:uid="{00000000-0005-0000-0000-00003C2F0000}"/>
    <cellStyle name="Input 10 12" xfId="31221" xr:uid="{00000000-0005-0000-0000-00003D2F0000}"/>
    <cellStyle name="Input 10 2" xfId="3391" xr:uid="{00000000-0005-0000-0000-00003E2F0000}"/>
    <cellStyle name="Input 10 2 10" xfId="14800" xr:uid="{00000000-0005-0000-0000-00003F2F0000}"/>
    <cellStyle name="Input 10 2 10 2" xfId="36256" xr:uid="{00000000-0005-0000-0000-0000402F0000}"/>
    <cellStyle name="Input 10 2 11" xfId="31451" xr:uid="{00000000-0005-0000-0000-0000412F0000}"/>
    <cellStyle name="Input 10 2 12" xfId="39620" xr:uid="{00000000-0005-0000-0000-0000530A0000}"/>
    <cellStyle name="Input 10 2 13" xfId="41276" xr:uid="{00000000-0005-0000-0000-0000530A0000}"/>
    <cellStyle name="Input 10 2 2" xfId="5527" xr:uid="{00000000-0005-0000-0000-0000422F0000}"/>
    <cellStyle name="Input 10 2 2 2" xfId="23980" xr:uid="{00000000-0005-0000-0000-0000432F0000}"/>
    <cellStyle name="Input 10 2 2 3" xfId="19115" xr:uid="{00000000-0005-0000-0000-0000442F0000}"/>
    <cellStyle name="Input 10 2 3" xfId="5049" xr:uid="{00000000-0005-0000-0000-0000452F0000}"/>
    <cellStyle name="Input 10 2 3 2" xfId="23509" xr:uid="{00000000-0005-0000-0000-0000462F0000}"/>
    <cellStyle name="Input 10 2 3 3" xfId="18663" xr:uid="{00000000-0005-0000-0000-0000472F0000}"/>
    <cellStyle name="Input 10 2 4" xfId="6086" xr:uid="{00000000-0005-0000-0000-0000482F0000}"/>
    <cellStyle name="Input 10 2 4 2" xfId="24527" xr:uid="{00000000-0005-0000-0000-0000492F0000}"/>
    <cellStyle name="Input 10 2 4 3" xfId="19636" xr:uid="{00000000-0005-0000-0000-00004A2F0000}"/>
    <cellStyle name="Input 10 2 5" xfId="7563" xr:uid="{00000000-0005-0000-0000-00004B2F0000}"/>
    <cellStyle name="Input 10 2 5 2" xfId="25993" xr:uid="{00000000-0005-0000-0000-00004C2F0000}"/>
    <cellStyle name="Input 10 2 5 3" xfId="20918" xr:uid="{00000000-0005-0000-0000-00004D2F0000}"/>
    <cellStyle name="Input 10 2 6" xfId="7936" xr:uid="{00000000-0005-0000-0000-00004E2F0000}"/>
    <cellStyle name="Input 10 2 6 2" xfId="26366" xr:uid="{00000000-0005-0000-0000-00004F2F0000}"/>
    <cellStyle name="Input 10 2 6 3" xfId="21290" xr:uid="{00000000-0005-0000-0000-0000502F0000}"/>
    <cellStyle name="Input 10 2 7" xfId="8660" xr:uid="{00000000-0005-0000-0000-0000512F0000}"/>
    <cellStyle name="Input 10 2 7 2" xfId="27080" xr:uid="{00000000-0005-0000-0000-0000522F0000}"/>
    <cellStyle name="Input 10 2 7 3" xfId="21951" xr:uid="{00000000-0005-0000-0000-0000532F0000}"/>
    <cellStyle name="Input 10 2 8" xfId="4152" xr:uid="{00000000-0005-0000-0000-0000542F0000}"/>
    <cellStyle name="Input 10 2 8 2" xfId="22616" xr:uid="{00000000-0005-0000-0000-0000552F0000}"/>
    <cellStyle name="Input 10 2 8 3" xfId="17834" xr:uid="{00000000-0005-0000-0000-0000562F0000}"/>
    <cellStyle name="Input 10 2 9" xfId="15610" xr:uid="{00000000-0005-0000-0000-0000572F0000}"/>
    <cellStyle name="Input 10 2 9 2" xfId="36986" xr:uid="{00000000-0005-0000-0000-0000582F0000}"/>
    <cellStyle name="Input 10 2 9 3" xfId="17161" xr:uid="{00000000-0005-0000-0000-0000592F0000}"/>
    <cellStyle name="Input 10 3" xfId="4769" xr:uid="{00000000-0005-0000-0000-00005A2F0000}"/>
    <cellStyle name="Input 10 3 2" xfId="23229" xr:uid="{00000000-0005-0000-0000-00005B2F0000}"/>
    <cellStyle name="Input 10 3 3" xfId="18385" xr:uid="{00000000-0005-0000-0000-00005C2F0000}"/>
    <cellStyle name="Input 10 4" xfId="4555" xr:uid="{00000000-0005-0000-0000-00005D2F0000}"/>
    <cellStyle name="Input 10 4 2" xfId="23015" xr:uid="{00000000-0005-0000-0000-00005E2F0000}"/>
    <cellStyle name="Input 10 4 3" xfId="18232" xr:uid="{00000000-0005-0000-0000-00005F2F0000}"/>
    <cellStyle name="Input 10 5" xfId="6537" xr:uid="{00000000-0005-0000-0000-0000602F0000}"/>
    <cellStyle name="Input 10 5 2" xfId="24977" xr:uid="{00000000-0005-0000-0000-0000612F0000}"/>
    <cellStyle name="Input 10 5 3" xfId="20086" xr:uid="{00000000-0005-0000-0000-0000622F0000}"/>
    <cellStyle name="Input 10 6" xfId="6950" xr:uid="{00000000-0005-0000-0000-0000632F0000}"/>
    <cellStyle name="Input 10 6 2" xfId="25388" xr:uid="{00000000-0005-0000-0000-0000642F0000}"/>
    <cellStyle name="Input 10 6 3" xfId="20331" xr:uid="{00000000-0005-0000-0000-0000652F0000}"/>
    <cellStyle name="Input 10 7" xfId="6550" xr:uid="{00000000-0005-0000-0000-0000662F0000}"/>
    <cellStyle name="Input 10 7 2" xfId="24990" xr:uid="{00000000-0005-0000-0000-0000672F0000}"/>
    <cellStyle name="Input 10 7 3" xfId="20099" xr:uid="{00000000-0005-0000-0000-0000682F0000}"/>
    <cellStyle name="Input 10 8" xfId="8339" xr:uid="{00000000-0005-0000-0000-0000692F0000}"/>
    <cellStyle name="Input 10 8 2" xfId="26762" xr:uid="{00000000-0005-0000-0000-00006A2F0000}"/>
    <cellStyle name="Input 10 8 3" xfId="21630" xr:uid="{00000000-0005-0000-0000-00006B2F0000}"/>
    <cellStyle name="Input 10 9" xfId="3831" xr:uid="{00000000-0005-0000-0000-00006C2F0000}"/>
    <cellStyle name="Input 10 9 2" xfId="22298" xr:uid="{00000000-0005-0000-0000-00006D2F0000}"/>
    <cellStyle name="Input 10 9 3" xfId="17513" xr:uid="{00000000-0005-0000-0000-00006E2F0000}"/>
    <cellStyle name="Input 11 2" xfId="39621" xr:uid="{00000000-0005-0000-0000-0000540A0000}"/>
    <cellStyle name="Input 11 2 2" xfId="41277" xr:uid="{00000000-0005-0000-0000-0000540A0000}"/>
    <cellStyle name="Input 12 2" xfId="39622" xr:uid="{00000000-0005-0000-0000-0000550A0000}"/>
    <cellStyle name="Input 12 2 2" xfId="41278" xr:uid="{00000000-0005-0000-0000-0000550A0000}"/>
    <cellStyle name="Input 13 2" xfId="39623" xr:uid="{00000000-0005-0000-0000-0000560A0000}"/>
    <cellStyle name="Input 13 2 2" xfId="41279" xr:uid="{00000000-0005-0000-0000-0000560A0000}"/>
    <cellStyle name="Input 14 2" xfId="39624" xr:uid="{00000000-0005-0000-0000-0000570A0000}"/>
    <cellStyle name="Input 14 2 2" xfId="41280" xr:uid="{00000000-0005-0000-0000-0000570A0000}"/>
    <cellStyle name="Input 15 2" xfId="39625" xr:uid="{00000000-0005-0000-0000-0000580A0000}"/>
    <cellStyle name="Input 15 2 2" xfId="41281" xr:uid="{00000000-0005-0000-0000-0000580A0000}"/>
    <cellStyle name="Input 16 2" xfId="39626" xr:uid="{00000000-0005-0000-0000-0000590A0000}"/>
    <cellStyle name="Input 16 2 2" xfId="41282" xr:uid="{00000000-0005-0000-0000-0000590A0000}"/>
    <cellStyle name="Input 17 2" xfId="39627" xr:uid="{00000000-0005-0000-0000-00005A0A0000}"/>
    <cellStyle name="Input 17 2 2" xfId="41283" xr:uid="{00000000-0005-0000-0000-00005A0A0000}"/>
    <cellStyle name="Input 18 2" xfId="39628" xr:uid="{00000000-0005-0000-0000-00005B0A0000}"/>
    <cellStyle name="Input 18 2 2" xfId="41284" xr:uid="{00000000-0005-0000-0000-00005B0A0000}"/>
    <cellStyle name="Input 19 2" xfId="39629" xr:uid="{00000000-0005-0000-0000-00005C0A0000}"/>
    <cellStyle name="Input 19 2 2" xfId="41285" xr:uid="{00000000-0005-0000-0000-00005C0A0000}"/>
    <cellStyle name="Input 2" xfId="2135" xr:uid="{00000000-0005-0000-0000-00006F2F0000}"/>
    <cellStyle name="Input 2 10" xfId="2136" xr:uid="{00000000-0005-0000-0000-0000702F0000}"/>
    <cellStyle name="Input 2 10 10" xfId="15657" xr:uid="{00000000-0005-0000-0000-0000712F0000}"/>
    <cellStyle name="Input 2 10 10 2" xfId="37032" xr:uid="{00000000-0005-0000-0000-0000722F0000}"/>
    <cellStyle name="Input 2 10 10 3" xfId="16828" xr:uid="{00000000-0005-0000-0000-0000732F0000}"/>
    <cellStyle name="Input 2 10 11" xfId="14413" xr:uid="{00000000-0005-0000-0000-0000742F0000}"/>
    <cellStyle name="Input 2 10 11 2" xfId="35941" xr:uid="{00000000-0005-0000-0000-0000752F0000}"/>
    <cellStyle name="Input 2 10 12" xfId="31223" xr:uid="{00000000-0005-0000-0000-0000762F0000}"/>
    <cellStyle name="Input 2 10 13" xfId="38039" xr:uid="{00000000-0005-0000-0000-00005E0A0000}"/>
    <cellStyle name="Input 2 10 14" xfId="40985" xr:uid="{00000000-0005-0000-0000-00005E0A0000}"/>
    <cellStyle name="Input 2 10 2" xfId="3393" xr:uid="{00000000-0005-0000-0000-0000772F0000}"/>
    <cellStyle name="Input 2 10 2 10" xfId="15463" xr:uid="{00000000-0005-0000-0000-0000782F0000}"/>
    <cellStyle name="Input 2 10 2 10 2" xfId="36844" xr:uid="{00000000-0005-0000-0000-0000792F0000}"/>
    <cellStyle name="Input 2 10 2 11" xfId="31453" xr:uid="{00000000-0005-0000-0000-00007A2F0000}"/>
    <cellStyle name="Input 2 10 2 12" xfId="28127" xr:uid="{00000000-0005-0000-0000-00007B2F0000}"/>
    <cellStyle name="Input 2 10 2 2" xfId="5529" xr:uid="{00000000-0005-0000-0000-00007C2F0000}"/>
    <cellStyle name="Input 2 10 2 2 2" xfId="12640" xr:uid="{00000000-0005-0000-0000-00007D2F0000}"/>
    <cellStyle name="Input 2 10 2 2 2 2" xfId="35041" xr:uid="{00000000-0005-0000-0000-00007E2F0000}"/>
    <cellStyle name="Input 2 10 2 2 2 3" xfId="23982" xr:uid="{00000000-0005-0000-0000-00007F2F0000}"/>
    <cellStyle name="Input 2 10 2 2 3" xfId="14535" xr:uid="{00000000-0005-0000-0000-0000802F0000}"/>
    <cellStyle name="Input 2 10 2 2 3 2" xfId="36061" xr:uid="{00000000-0005-0000-0000-0000812F0000}"/>
    <cellStyle name="Input 2 10 2 2 4" xfId="14836" xr:uid="{00000000-0005-0000-0000-0000822F0000}"/>
    <cellStyle name="Input 2 10 2 2 4 2" xfId="36286" xr:uid="{00000000-0005-0000-0000-0000832F0000}"/>
    <cellStyle name="Input 2 10 2 2 5" xfId="14537" xr:uid="{00000000-0005-0000-0000-0000842F0000}"/>
    <cellStyle name="Input 2 10 2 2 6" xfId="32190" xr:uid="{00000000-0005-0000-0000-0000852F0000}"/>
    <cellStyle name="Input 2 10 2 2 7" xfId="30380" xr:uid="{00000000-0005-0000-0000-0000862F0000}"/>
    <cellStyle name="Input 2 10 2 2 8" xfId="19117" xr:uid="{00000000-0005-0000-0000-0000872F0000}"/>
    <cellStyle name="Input 2 10 2 3" xfId="5051" xr:uid="{00000000-0005-0000-0000-0000882F0000}"/>
    <cellStyle name="Input 2 10 2 3 2" xfId="23511" xr:uid="{00000000-0005-0000-0000-0000892F0000}"/>
    <cellStyle name="Input 2 10 2 3 3" xfId="18665" xr:uid="{00000000-0005-0000-0000-00008A2F0000}"/>
    <cellStyle name="Input 2 10 2 4" xfId="6084" xr:uid="{00000000-0005-0000-0000-00008B2F0000}"/>
    <cellStyle name="Input 2 10 2 4 2" xfId="24525" xr:uid="{00000000-0005-0000-0000-00008C2F0000}"/>
    <cellStyle name="Input 2 10 2 4 3" xfId="19634" xr:uid="{00000000-0005-0000-0000-00008D2F0000}"/>
    <cellStyle name="Input 2 10 2 5" xfId="7565" xr:uid="{00000000-0005-0000-0000-00008E2F0000}"/>
    <cellStyle name="Input 2 10 2 5 2" xfId="25995" xr:uid="{00000000-0005-0000-0000-00008F2F0000}"/>
    <cellStyle name="Input 2 10 2 5 3" xfId="20920" xr:uid="{00000000-0005-0000-0000-0000902F0000}"/>
    <cellStyle name="Input 2 10 2 6" xfId="7938" xr:uid="{00000000-0005-0000-0000-0000912F0000}"/>
    <cellStyle name="Input 2 10 2 6 2" xfId="26368" xr:uid="{00000000-0005-0000-0000-0000922F0000}"/>
    <cellStyle name="Input 2 10 2 6 3" xfId="21292" xr:uid="{00000000-0005-0000-0000-0000932F0000}"/>
    <cellStyle name="Input 2 10 2 7" xfId="8662" xr:uid="{00000000-0005-0000-0000-0000942F0000}"/>
    <cellStyle name="Input 2 10 2 7 2" xfId="27082" xr:uid="{00000000-0005-0000-0000-0000952F0000}"/>
    <cellStyle name="Input 2 10 2 7 3" xfId="21953" xr:uid="{00000000-0005-0000-0000-0000962F0000}"/>
    <cellStyle name="Input 2 10 2 8" xfId="4154" xr:uid="{00000000-0005-0000-0000-0000972F0000}"/>
    <cellStyle name="Input 2 10 2 8 2" xfId="22618" xr:uid="{00000000-0005-0000-0000-0000982F0000}"/>
    <cellStyle name="Input 2 10 2 8 3" xfId="17836" xr:uid="{00000000-0005-0000-0000-0000992F0000}"/>
    <cellStyle name="Input 2 10 2 9" xfId="15142" xr:uid="{00000000-0005-0000-0000-00009A2F0000}"/>
    <cellStyle name="Input 2 10 2 9 2" xfId="36553" xr:uid="{00000000-0005-0000-0000-00009B2F0000}"/>
    <cellStyle name="Input 2 10 2 9 3" xfId="17163" xr:uid="{00000000-0005-0000-0000-00009C2F0000}"/>
    <cellStyle name="Input 2 10 3" xfId="4771" xr:uid="{00000000-0005-0000-0000-00009D2F0000}"/>
    <cellStyle name="Input 2 10 3 2" xfId="23231" xr:uid="{00000000-0005-0000-0000-00009E2F0000}"/>
    <cellStyle name="Input 2 10 3 3" xfId="18386" xr:uid="{00000000-0005-0000-0000-00009F2F0000}"/>
    <cellStyle name="Input 2 10 4" xfId="4556" xr:uid="{00000000-0005-0000-0000-0000A02F0000}"/>
    <cellStyle name="Input 2 10 4 2" xfId="23016" xr:uid="{00000000-0005-0000-0000-0000A12F0000}"/>
    <cellStyle name="Input 2 10 4 3" xfId="18233" xr:uid="{00000000-0005-0000-0000-0000A22F0000}"/>
    <cellStyle name="Input 2 10 5" xfId="6535" xr:uid="{00000000-0005-0000-0000-0000A32F0000}"/>
    <cellStyle name="Input 2 10 5 2" xfId="24975" xr:uid="{00000000-0005-0000-0000-0000A42F0000}"/>
    <cellStyle name="Input 2 10 5 3" xfId="20084" xr:uid="{00000000-0005-0000-0000-0000A52F0000}"/>
    <cellStyle name="Input 2 10 6" xfId="6952" xr:uid="{00000000-0005-0000-0000-0000A62F0000}"/>
    <cellStyle name="Input 2 10 6 2" xfId="25390" xr:uid="{00000000-0005-0000-0000-0000A72F0000}"/>
    <cellStyle name="Input 2 10 6 3" xfId="20333" xr:uid="{00000000-0005-0000-0000-0000A82F0000}"/>
    <cellStyle name="Input 2 10 7" xfId="6548" xr:uid="{00000000-0005-0000-0000-0000A92F0000}"/>
    <cellStyle name="Input 2 10 7 2" xfId="24988" xr:uid="{00000000-0005-0000-0000-0000AA2F0000}"/>
    <cellStyle name="Input 2 10 7 3" xfId="20097" xr:uid="{00000000-0005-0000-0000-0000AB2F0000}"/>
    <cellStyle name="Input 2 10 8" xfId="8341" xr:uid="{00000000-0005-0000-0000-0000AC2F0000}"/>
    <cellStyle name="Input 2 10 8 2" xfId="26764" xr:uid="{00000000-0005-0000-0000-0000AD2F0000}"/>
    <cellStyle name="Input 2 10 8 3" xfId="21632" xr:uid="{00000000-0005-0000-0000-0000AE2F0000}"/>
    <cellStyle name="Input 2 10 9" xfId="3833" xr:uid="{00000000-0005-0000-0000-0000AF2F0000}"/>
    <cellStyle name="Input 2 10 9 2" xfId="22300" xr:uid="{00000000-0005-0000-0000-0000B02F0000}"/>
    <cellStyle name="Input 2 10 9 3" xfId="17515" xr:uid="{00000000-0005-0000-0000-0000B12F0000}"/>
    <cellStyle name="Input 2 11" xfId="2137" xr:uid="{00000000-0005-0000-0000-0000B22F0000}"/>
    <cellStyle name="Input 2 11 10" xfId="15729" xr:uid="{00000000-0005-0000-0000-0000B32F0000}"/>
    <cellStyle name="Input 2 11 10 2" xfId="37094" xr:uid="{00000000-0005-0000-0000-0000B42F0000}"/>
    <cellStyle name="Input 2 11 10 3" xfId="16829" xr:uid="{00000000-0005-0000-0000-0000B52F0000}"/>
    <cellStyle name="Input 2 11 11" xfId="15560" xr:uid="{00000000-0005-0000-0000-0000B62F0000}"/>
    <cellStyle name="Input 2 11 11 2" xfId="36938" xr:uid="{00000000-0005-0000-0000-0000B72F0000}"/>
    <cellStyle name="Input 2 11 12" xfId="31224" xr:uid="{00000000-0005-0000-0000-0000B82F0000}"/>
    <cellStyle name="Input 2 11 13" xfId="39630" xr:uid="{00000000-0005-0000-0000-00005F0A0000}"/>
    <cellStyle name="Input 2 11 14" xfId="41286" xr:uid="{00000000-0005-0000-0000-00005F0A0000}"/>
    <cellStyle name="Input 2 11 2" xfId="3394" xr:uid="{00000000-0005-0000-0000-0000B92F0000}"/>
    <cellStyle name="Input 2 11 2 10" xfId="15194" xr:uid="{00000000-0005-0000-0000-0000BA2F0000}"/>
    <cellStyle name="Input 2 11 2 10 2" xfId="36602" xr:uid="{00000000-0005-0000-0000-0000BB2F0000}"/>
    <cellStyle name="Input 2 11 2 11" xfId="31454" xr:uid="{00000000-0005-0000-0000-0000BC2F0000}"/>
    <cellStyle name="Input 2 11 2 2" xfId="5530" xr:uid="{00000000-0005-0000-0000-0000BD2F0000}"/>
    <cellStyle name="Input 2 11 2 2 2" xfId="23983" xr:uid="{00000000-0005-0000-0000-0000BE2F0000}"/>
    <cellStyle name="Input 2 11 2 2 3" xfId="19118" xr:uid="{00000000-0005-0000-0000-0000BF2F0000}"/>
    <cellStyle name="Input 2 11 2 3" xfId="5052" xr:uid="{00000000-0005-0000-0000-0000C02F0000}"/>
    <cellStyle name="Input 2 11 2 3 2" xfId="23512" xr:uid="{00000000-0005-0000-0000-0000C12F0000}"/>
    <cellStyle name="Input 2 11 2 3 3" xfId="18666" xr:uid="{00000000-0005-0000-0000-0000C22F0000}"/>
    <cellStyle name="Input 2 11 2 4" xfId="6083" xr:uid="{00000000-0005-0000-0000-0000C32F0000}"/>
    <cellStyle name="Input 2 11 2 4 2" xfId="24524" xr:uid="{00000000-0005-0000-0000-0000C42F0000}"/>
    <cellStyle name="Input 2 11 2 4 3" xfId="19633" xr:uid="{00000000-0005-0000-0000-0000C52F0000}"/>
    <cellStyle name="Input 2 11 2 5" xfId="7566" xr:uid="{00000000-0005-0000-0000-0000C62F0000}"/>
    <cellStyle name="Input 2 11 2 5 2" xfId="25996" xr:uid="{00000000-0005-0000-0000-0000C72F0000}"/>
    <cellStyle name="Input 2 11 2 5 3" xfId="20921" xr:uid="{00000000-0005-0000-0000-0000C82F0000}"/>
    <cellStyle name="Input 2 11 2 6" xfId="7939" xr:uid="{00000000-0005-0000-0000-0000C92F0000}"/>
    <cellStyle name="Input 2 11 2 6 2" xfId="26369" xr:uid="{00000000-0005-0000-0000-0000CA2F0000}"/>
    <cellStyle name="Input 2 11 2 6 3" xfId="21293" xr:uid="{00000000-0005-0000-0000-0000CB2F0000}"/>
    <cellStyle name="Input 2 11 2 7" xfId="8663" xr:uid="{00000000-0005-0000-0000-0000CC2F0000}"/>
    <cellStyle name="Input 2 11 2 7 2" xfId="27083" xr:uid="{00000000-0005-0000-0000-0000CD2F0000}"/>
    <cellStyle name="Input 2 11 2 7 3" xfId="21954" xr:uid="{00000000-0005-0000-0000-0000CE2F0000}"/>
    <cellStyle name="Input 2 11 2 8" xfId="4155" xr:uid="{00000000-0005-0000-0000-0000CF2F0000}"/>
    <cellStyle name="Input 2 11 2 8 2" xfId="22619" xr:uid="{00000000-0005-0000-0000-0000D02F0000}"/>
    <cellStyle name="Input 2 11 2 8 3" xfId="17837" xr:uid="{00000000-0005-0000-0000-0000D12F0000}"/>
    <cellStyle name="Input 2 11 2 9" xfId="14495" xr:uid="{00000000-0005-0000-0000-0000D22F0000}"/>
    <cellStyle name="Input 2 11 2 9 2" xfId="36023" xr:uid="{00000000-0005-0000-0000-0000D32F0000}"/>
    <cellStyle name="Input 2 11 2 9 3" xfId="17164" xr:uid="{00000000-0005-0000-0000-0000D42F0000}"/>
    <cellStyle name="Input 2 11 3" xfId="4772" xr:uid="{00000000-0005-0000-0000-0000D52F0000}"/>
    <cellStyle name="Input 2 11 3 2" xfId="23232" xr:uid="{00000000-0005-0000-0000-0000D62F0000}"/>
    <cellStyle name="Input 2 11 3 3" xfId="18387" xr:uid="{00000000-0005-0000-0000-0000D72F0000}"/>
    <cellStyle name="Input 2 11 4" xfId="5866" xr:uid="{00000000-0005-0000-0000-0000D82F0000}"/>
    <cellStyle name="Input 2 11 4 2" xfId="24312" xr:uid="{00000000-0005-0000-0000-0000D92F0000}"/>
    <cellStyle name="Input 2 11 4 3" xfId="19421" xr:uid="{00000000-0005-0000-0000-0000DA2F0000}"/>
    <cellStyle name="Input 2 11 5" xfId="6534" xr:uid="{00000000-0005-0000-0000-0000DB2F0000}"/>
    <cellStyle name="Input 2 11 5 2" xfId="24974" xr:uid="{00000000-0005-0000-0000-0000DC2F0000}"/>
    <cellStyle name="Input 2 11 5 3" xfId="20083" xr:uid="{00000000-0005-0000-0000-0000DD2F0000}"/>
    <cellStyle name="Input 2 11 6" xfId="6953" xr:uid="{00000000-0005-0000-0000-0000DE2F0000}"/>
    <cellStyle name="Input 2 11 6 2" xfId="25391" xr:uid="{00000000-0005-0000-0000-0000DF2F0000}"/>
    <cellStyle name="Input 2 11 6 3" xfId="20334" xr:uid="{00000000-0005-0000-0000-0000E02F0000}"/>
    <cellStyle name="Input 2 11 7" xfId="6547" xr:uid="{00000000-0005-0000-0000-0000E12F0000}"/>
    <cellStyle name="Input 2 11 7 2" xfId="24987" xr:uid="{00000000-0005-0000-0000-0000E22F0000}"/>
    <cellStyle name="Input 2 11 7 3" xfId="20096" xr:uid="{00000000-0005-0000-0000-0000E32F0000}"/>
    <cellStyle name="Input 2 11 8" xfId="8342" xr:uid="{00000000-0005-0000-0000-0000E42F0000}"/>
    <cellStyle name="Input 2 11 8 2" xfId="26765" xr:uid="{00000000-0005-0000-0000-0000E52F0000}"/>
    <cellStyle name="Input 2 11 8 3" xfId="21633" xr:uid="{00000000-0005-0000-0000-0000E62F0000}"/>
    <cellStyle name="Input 2 11 9" xfId="3834" xr:uid="{00000000-0005-0000-0000-0000E72F0000}"/>
    <cellStyle name="Input 2 11 9 2" xfId="22301" xr:uid="{00000000-0005-0000-0000-0000E82F0000}"/>
    <cellStyle name="Input 2 11 9 3" xfId="17516" xr:uid="{00000000-0005-0000-0000-0000E92F0000}"/>
    <cellStyle name="Input 2 12" xfId="3392" xr:uid="{00000000-0005-0000-0000-0000EA2F0000}"/>
    <cellStyle name="Input 2 12 10" xfId="14814" xr:uid="{00000000-0005-0000-0000-0000EB2F0000}"/>
    <cellStyle name="Input 2 12 10 2" xfId="36270" xr:uid="{00000000-0005-0000-0000-0000EC2F0000}"/>
    <cellStyle name="Input 2 12 11" xfId="31452" xr:uid="{00000000-0005-0000-0000-0000ED2F0000}"/>
    <cellStyle name="Input 2 12 2" xfId="5528" xr:uid="{00000000-0005-0000-0000-0000EE2F0000}"/>
    <cellStyle name="Input 2 12 2 2" xfId="23981" xr:uid="{00000000-0005-0000-0000-0000EF2F0000}"/>
    <cellStyle name="Input 2 12 2 3" xfId="19116" xr:uid="{00000000-0005-0000-0000-0000F02F0000}"/>
    <cellStyle name="Input 2 12 3" xfId="5050" xr:uid="{00000000-0005-0000-0000-0000F12F0000}"/>
    <cellStyle name="Input 2 12 3 2" xfId="23510" xr:uid="{00000000-0005-0000-0000-0000F22F0000}"/>
    <cellStyle name="Input 2 12 3 3" xfId="18664" xr:uid="{00000000-0005-0000-0000-0000F32F0000}"/>
    <cellStyle name="Input 2 12 4" xfId="6085" xr:uid="{00000000-0005-0000-0000-0000F42F0000}"/>
    <cellStyle name="Input 2 12 4 2" xfId="24526" xr:uid="{00000000-0005-0000-0000-0000F52F0000}"/>
    <cellStyle name="Input 2 12 4 3" xfId="19635" xr:uid="{00000000-0005-0000-0000-0000F62F0000}"/>
    <cellStyle name="Input 2 12 5" xfId="7564" xr:uid="{00000000-0005-0000-0000-0000F72F0000}"/>
    <cellStyle name="Input 2 12 5 2" xfId="25994" xr:uid="{00000000-0005-0000-0000-0000F82F0000}"/>
    <cellStyle name="Input 2 12 5 3" xfId="20919" xr:uid="{00000000-0005-0000-0000-0000F92F0000}"/>
    <cellStyle name="Input 2 12 6" xfId="7937" xr:uid="{00000000-0005-0000-0000-0000FA2F0000}"/>
    <cellStyle name="Input 2 12 6 2" xfId="26367" xr:uid="{00000000-0005-0000-0000-0000FB2F0000}"/>
    <cellStyle name="Input 2 12 6 3" xfId="21291" xr:uid="{00000000-0005-0000-0000-0000FC2F0000}"/>
    <cellStyle name="Input 2 12 7" xfId="8661" xr:uid="{00000000-0005-0000-0000-0000FD2F0000}"/>
    <cellStyle name="Input 2 12 7 2" xfId="27081" xr:uid="{00000000-0005-0000-0000-0000FE2F0000}"/>
    <cellStyle name="Input 2 12 7 3" xfId="21952" xr:uid="{00000000-0005-0000-0000-0000FF2F0000}"/>
    <cellStyle name="Input 2 12 8" xfId="4153" xr:uid="{00000000-0005-0000-0000-000000300000}"/>
    <cellStyle name="Input 2 12 8 2" xfId="22617" xr:uid="{00000000-0005-0000-0000-000001300000}"/>
    <cellStyle name="Input 2 12 8 3" xfId="17835" xr:uid="{00000000-0005-0000-0000-000002300000}"/>
    <cellStyle name="Input 2 12 9" xfId="14571" xr:uid="{00000000-0005-0000-0000-000003300000}"/>
    <cellStyle name="Input 2 12 9 2" xfId="36090" xr:uid="{00000000-0005-0000-0000-000004300000}"/>
    <cellStyle name="Input 2 12 9 3" xfId="17162" xr:uid="{00000000-0005-0000-0000-000005300000}"/>
    <cellStyle name="Input 2 13" xfId="4770" xr:uid="{00000000-0005-0000-0000-000006300000}"/>
    <cellStyle name="Input 2 13 2" xfId="16486" xr:uid="{00000000-0005-0000-0000-000007300000}"/>
    <cellStyle name="Input 2 13 2 2" xfId="23230" xr:uid="{00000000-0005-0000-0000-000008300000}"/>
    <cellStyle name="Input 2 13 3" xfId="16561" xr:uid="{00000000-0005-0000-0000-000009300000}"/>
    <cellStyle name="Input 2 13 3 2" xfId="37777" xr:uid="{00000000-0005-0000-0000-00000A300000}"/>
    <cellStyle name="Input 2 13 4" xfId="14738" xr:uid="{00000000-0005-0000-0000-00000B300000}"/>
    <cellStyle name="Input 2 14" xfId="5867" xr:uid="{00000000-0005-0000-0000-00000C300000}"/>
    <cellStyle name="Input 2 14 2" xfId="24313" xr:uid="{00000000-0005-0000-0000-00000D300000}"/>
    <cellStyle name="Input 2 14 3" xfId="19422" xr:uid="{00000000-0005-0000-0000-00000E300000}"/>
    <cellStyle name="Input 2 15" xfId="6536" xr:uid="{00000000-0005-0000-0000-00000F300000}"/>
    <cellStyle name="Input 2 15 2" xfId="24976" xr:uid="{00000000-0005-0000-0000-000010300000}"/>
    <cellStyle name="Input 2 15 3" xfId="20085" xr:uid="{00000000-0005-0000-0000-000011300000}"/>
    <cellStyle name="Input 2 16" xfId="6951" xr:uid="{00000000-0005-0000-0000-000012300000}"/>
    <cellStyle name="Input 2 16 2" xfId="25389" xr:uid="{00000000-0005-0000-0000-000013300000}"/>
    <cellStyle name="Input 2 16 3" xfId="20332" xr:uid="{00000000-0005-0000-0000-000014300000}"/>
    <cellStyle name="Input 2 17" xfId="6549" xr:uid="{00000000-0005-0000-0000-000015300000}"/>
    <cellStyle name="Input 2 17 2" xfId="24989" xr:uid="{00000000-0005-0000-0000-000016300000}"/>
    <cellStyle name="Input 2 17 3" xfId="20098" xr:uid="{00000000-0005-0000-0000-000017300000}"/>
    <cellStyle name="Input 2 18" xfId="8340" xr:uid="{00000000-0005-0000-0000-000018300000}"/>
    <cellStyle name="Input 2 18 2" xfId="26763" xr:uid="{00000000-0005-0000-0000-000019300000}"/>
    <cellStyle name="Input 2 18 3" xfId="21631" xr:uid="{00000000-0005-0000-0000-00001A300000}"/>
    <cellStyle name="Input 2 19" xfId="3832" xr:uid="{00000000-0005-0000-0000-00001B300000}"/>
    <cellStyle name="Input 2 19 2" xfId="22299" xr:uid="{00000000-0005-0000-0000-00001C300000}"/>
    <cellStyle name="Input 2 19 3" xfId="17514" xr:uid="{00000000-0005-0000-0000-00001D300000}"/>
    <cellStyle name="Input 2 2" xfId="2138" xr:uid="{00000000-0005-0000-0000-00001E300000}"/>
    <cellStyle name="Input 2 2 10" xfId="15143" xr:uid="{00000000-0005-0000-0000-00001F300000}"/>
    <cellStyle name="Input 2 2 10 2" xfId="36554" xr:uid="{00000000-0005-0000-0000-000020300000}"/>
    <cellStyle name="Input 2 2 10 3" xfId="16830" xr:uid="{00000000-0005-0000-0000-000021300000}"/>
    <cellStyle name="Input 2 2 11" xfId="14722" xr:uid="{00000000-0005-0000-0000-000022300000}"/>
    <cellStyle name="Input 2 2 11 2" xfId="36202" xr:uid="{00000000-0005-0000-0000-000023300000}"/>
    <cellStyle name="Input 2 2 12" xfId="31225" xr:uid="{00000000-0005-0000-0000-000024300000}"/>
    <cellStyle name="Input 2 2 13" xfId="38040" xr:uid="{00000000-0005-0000-0000-0000600A0000}"/>
    <cellStyle name="Input 2 2 14" xfId="40986" xr:uid="{00000000-0005-0000-0000-0000600A0000}"/>
    <cellStyle name="Input 2 2 2" xfId="3395" xr:uid="{00000000-0005-0000-0000-000025300000}"/>
    <cellStyle name="Input 2 2 2 10" xfId="15009" xr:uid="{00000000-0005-0000-0000-000026300000}"/>
    <cellStyle name="Input 2 2 2 10 2" xfId="36434" xr:uid="{00000000-0005-0000-0000-000027300000}"/>
    <cellStyle name="Input 2 2 2 11" xfId="31455" xr:uid="{00000000-0005-0000-0000-000028300000}"/>
    <cellStyle name="Input 2 2 2 12" xfId="28128" xr:uid="{00000000-0005-0000-0000-000029300000}"/>
    <cellStyle name="Input 2 2 2 13" xfId="39632" xr:uid="{00000000-0005-0000-0000-0000610A0000}"/>
    <cellStyle name="Input 2 2 2 14" xfId="41288" xr:uid="{00000000-0005-0000-0000-0000610A0000}"/>
    <cellStyle name="Input 2 2 2 2" xfId="5531" xr:uid="{00000000-0005-0000-0000-00002A300000}"/>
    <cellStyle name="Input 2 2 2 2 2" xfId="12641" xr:uid="{00000000-0005-0000-0000-00002B300000}"/>
    <cellStyle name="Input 2 2 2 2 2 2" xfId="35042" xr:uid="{00000000-0005-0000-0000-00002C300000}"/>
    <cellStyle name="Input 2 2 2 2 2 3" xfId="23984" xr:uid="{00000000-0005-0000-0000-00002D300000}"/>
    <cellStyle name="Input 2 2 2 2 3" xfId="15182" xr:uid="{00000000-0005-0000-0000-00002E300000}"/>
    <cellStyle name="Input 2 2 2 2 3 2" xfId="36592" xr:uid="{00000000-0005-0000-0000-00002F300000}"/>
    <cellStyle name="Input 2 2 2 2 4" xfId="15316" xr:uid="{00000000-0005-0000-0000-000030300000}"/>
    <cellStyle name="Input 2 2 2 2 4 2" xfId="36707" xr:uid="{00000000-0005-0000-0000-000031300000}"/>
    <cellStyle name="Input 2 2 2 2 5" xfId="15395" xr:uid="{00000000-0005-0000-0000-000032300000}"/>
    <cellStyle name="Input 2 2 2 2 6" xfId="32191" xr:uid="{00000000-0005-0000-0000-000033300000}"/>
    <cellStyle name="Input 2 2 2 2 7" xfId="30381" xr:uid="{00000000-0005-0000-0000-000034300000}"/>
    <cellStyle name="Input 2 2 2 2 8" xfId="19119" xr:uid="{00000000-0005-0000-0000-000035300000}"/>
    <cellStyle name="Input 2 2 2 3" xfId="5053" xr:uid="{00000000-0005-0000-0000-000036300000}"/>
    <cellStyle name="Input 2 2 2 3 2" xfId="23513" xr:uid="{00000000-0005-0000-0000-000037300000}"/>
    <cellStyle name="Input 2 2 2 3 3" xfId="18667" xr:uid="{00000000-0005-0000-0000-000038300000}"/>
    <cellStyle name="Input 2 2 2 4" xfId="6082" xr:uid="{00000000-0005-0000-0000-000039300000}"/>
    <cellStyle name="Input 2 2 2 4 2" xfId="24523" xr:uid="{00000000-0005-0000-0000-00003A300000}"/>
    <cellStyle name="Input 2 2 2 4 3" xfId="19632" xr:uid="{00000000-0005-0000-0000-00003B300000}"/>
    <cellStyle name="Input 2 2 2 5" xfId="7567" xr:uid="{00000000-0005-0000-0000-00003C300000}"/>
    <cellStyle name="Input 2 2 2 5 2" xfId="25997" xr:uid="{00000000-0005-0000-0000-00003D300000}"/>
    <cellStyle name="Input 2 2 2 5 3" xfId="20922" xr:uid="{00000000-0005-0000-0000-00003E300000}"/>
    <cellStyle name="Input 2 2 2 6" xfId="7940" xr:uid="{00000000-0005-0000-0000-00003F300000}"/>
    <cellStyle name="Input 2 2 2 6 2" xfId="26370" xr:uid="{00000000-0005-0000-0000-000040300000}"/>
    <cellStyle name="Input 2 2 2 6 3" xfId="21294" xr:uid="{00000000-0005-0000-0000-000041300000}"/>
    <cellStyle name="Input 2 2 2 7" xfId="8664" xr:uid="{00000000-0005-0000-0000-000042300000}"/>
    <cellStyle name="Input 2 2 2 7 2" xfId="27084" xr:uid="{00000000-0005-0000-0000-000043300000}"/>
    <cellStyle name="Input 2 2 2 7 3" xfId="21955" xr:uid="{00000000-0005-0000-0000-000044300000}"/>
    <cellStyle name="Input 2 2 2 8" xfId="4156" xr:uid="{00000000-0005-0000-0000-000045300000}"/>
    <cellStyle name="Input 2 2 2 8 2" xfId="22620" xr:uid="{00000000-0005-0000-0000-000046300000}"/>
    <cellStyle name="Input 2 2 2 8 3" xfId="17838" xr:uid="{00000000-0005-0000-0000-000047300000}"/>
    <cellStyle name="Input 2 2 2 9" xfId="15752" xr:uid="{00000000-0005-0000-0000-000048300000}"/>
    <cellStyle name="Input 2 2 2 9 2" xfId="37115" xr:uid="{00000000-0005-0000-0000-000049300000}"/>
    <cellStyle name="Input 2 2 2 9 3" xfId="17165" xr:uid="{00000000-0005-0000-0000-00004A300000}"/>
    <cellStyle name="Input 2 2 3" xfId="4773" xr:uid="{00000000-0005-0000-0000-00004B300000}"/>
    <cellStyle name="Input 2 2 3 2" xfId="23233" xr:uid="{00000000-0005-0000-0000-00004C300000}"/>
    <cellStyle name="Input 2 2 3 3" xfId="18388" xr:uid="{00000000-0005-0000-0000-00004D300000}"/>
    <cellStyle name="Input 2 2 3 4" xfId="39631" xr:uid="{00000000-0005-0000-0000-0000620A0000}"/>
    <cellStyle name="Input 2 2 3 5" xfId="41287" xr:uid="{00000000-0005-0000-0000-0000620A0000}"/>
    <cellStyle name="Input 2 2 4" xfId="4557" xr:uid="{00000000-0005-0000-0000-00004E300000}"/>
    <cellStyle name="Input 2 2 4 2" xfId="23017" xr:uid="{00000000-0005-0000-0000-00004F300000}"/>
    <cellStyle name="Input 2 2 4 3" xfId="18234" xr:uid="{00000000-0005-0000-0000-000050300000}"/>
    <cellStyle name="Input 2 2 5" xfId="6533" xr:uid="{00000000-0005-0000-0000-000051300000}"/>
    <cellStyle name="Input 2 2 5 2" xfId="24973" xr:uid="{00000000-0005-0000-0000-000052300000}"/>
    <cellStyle name="Input 2 2 5 3" xfId="20082" xr:uid="{00000000-0005-0000-0000-000053300000}"/>
    <cellStyle name="Input 2 2 6" xfId="6954" xr:uid="{00000000-0005-0000-0000-000054300000}"/>
    <cellStyle name="Input 2 2 6 2" xfId="25392" xr:uid="{00000000-0005-0000-0000-000055300000}"/>
    <cellStyle name="Input 2 2 6 3" xfId="20335" xr:uid="{00000000-0005-0000-0000-000056300000}"/>
    <cellStyle name="Input 2 2 7" xfId="6546" xr:uid="{00000000-0005-0000-0000-000057300000}"/>
    <cellStyle name="Input 2 2 7 2" xfId="24986" xr:uid="{00000000-0005-0000-0000-000058300000}"/>
    <cellStyle name="Input 2 2 7 3" xfId="20095" xr:uid="{00000000-0005-0000-0000-000059300000}"/>
    <cellStyle name="Input 2 2 8" xfId="8343" xr:uid="{00000000-0005-0000-0000-00005A300000}"/>
    <cellStyle name="Input 2 2 8 2" xfId="26766" xr:uid="{00000000-0005-0000-0000-00005B300000}"/>
    <cellStyle name="Input 2 2 8 3" xfId="21634" xr:uid="{00000000-0005-0000-0000-00005C300000}"/>
    <cellStyle name="Input 2 2 9" xfId="3835" xr:uid="{00000000-0005-0000-0000-00005D300000}"/>
    <cellStyle name="Input 2 2 9 2" xfId="22302" xr:uid="{00000000-0005-0000-0000-00005E300000}"/>
    <cellStyle name="Input 2 2 9 3" xfId="17517" xr:uid="{00000000-0005-0000-0000-00005F300000}"/>
    <cellStyle name="Input 2 20" xfId="15634" xr:uid="{00000000-0005-0000-0000-000060300000}"/>
    <cellStyle name="Input 2 20 2" xfId="37009" xr:uid="{00000000-0005-0000-0000-000061300000}"/>
    <cellStyle name="Input 2 20 3" xfId="16827" xr:uid="{00000000-0005-0000-0000-000062300000}"/>
    <cellStyle name="Input 2 21" xfId="16067" xr:uid="{00000000-0005-0000-0000-000063300000}"/>
    <cellStyle name="Input 2 21 2" xfId="37393" xr:uid="{00000000-0005-0000-0000-000064300000}"/>
    <cellStyle name="Input 2 22" xfId="31222" xr:uid="{00000000-0005-0000-0000-000065300000}"/>
    <cellStyle name="Input 2 23" xfId="38038" xr:uid="{00000000-0005-0000-0000-00005D0A0000}"/>
    <cellStyle name="Input 2 24" xfId="40984" xr:uid="{00000000-0005-0000-0000-00005D0A0000}"/>
    <cellStyle name="Input 2 3" xfId="2139" xr:uid="{00000000-0005-0000-0000-000066300000}"/>
    <cellStyle name="Input 2 3 10" xfId="14498" xr:uid="{00000000-0005-0000-0000-000067300000}"/>
    <cellStyle name="Input 2 3 10 2" xfId="36026" xr:uid="{00000000-0005-0000-0000-000068300000}"/>
    <cellStyle name="Input 2 3 10 3" xfId="16831" xr:uid="{00000000-0005-0000-0000-000069300000}"/>
    <cellStyle name="Input 2 3 11" xfId="15253" xr:uid="{00000000-0005-0000-0000-00006A300000}"/>
    <cellStyle name="Input 2 3 11 2" xfId="36658" xr:uid="{00000000-0005-0000-0000-00006B300000}"/>
    <cellStyle name="Input 2 3 12" xfId="31226" xr:uid="{00000000-0005-0000-0000-00006C300000}"/>
    <cellStyle name="Input 2 3 13" xfId="38041" xr:uid="{00000000-0005-0000-0000-0000630A0000}"/>
    <cellStyle name="Input 2 3 14" xfId="40987" xr:uid="{00000000-0005-0000-0000-0000630A0000}"/>
    <cellStyle name="Input 2 3 2" xfId="3396" xr:uid="{00000000-0005-0000-0000-00006D300000}"/>
    <cellStyle name="Input 2 3 2 10" xfId="15173" xr:uid="{00000000-0005-0000-0000-00006E300000}"/>
    <cellStyle name="Input 2 3 2 10 2" xfId="36583" xr:uid="{00000000-0005-0000-0000-00006F300000}"/>
    <cellStyle name="Input 2 3 2 11" xfId="31456" xr:uid="{00000000-0005-0000-0000-000070300000}"/>
    <cellStyle name="Input 2 3 2 12" xfId="28129" xr:uid="{00000000-0005-0000-0000-000071300000}"/>
    <cellStyle name="Input 2 3 2 2" xfId="5532" xr:uid="{00000000-0005-0000-0000-000072300000}"/>
    <cellStyle name="Input 2 3 2 2 2" xfId="12642" xr:uid="{00000000-0005-0000-0000-000073300000}"/>
    <cellStyle name="Input 2 3 2 2 2 2" xfId="35043" xr:uid="{00000000-0005-0000-0000-000074300000}"/>
    <cellStyle name="Input 2 3 2 2 2 3" xfId="23985" xr:uid="{00000000-0005-0000-0000-000075300000}"/>
    <cellStyle name="Input 2 3 2 2 3" xfId="14534" xr:uid="{00000000-0005-0000-0000-000076300000}"/>
    <cellStyle name="Input 2 3 2 2 3 2" xfId="36060" xr:uid="{00000000-0005-0000-0000-000077300000}"/>
    <cellStyle name="Input 2 3 2 2 4" xfId="14837" xr:uid="{00000000-0005-0000-0000-000078300000}"/>
    <cellStyle name="Input 2 3 2 2 4 2" xfId="36287" xr:uid="{00000000-0005-0000-0000-000079300000}"/>
    <cellStyle name="Input 2 3 2 2 5" xfId="16391" xr:uid="{00000000-0005-0000-0000-00007A300000}"/>
    <cellStyle name="Input 2 3 2 2 6" xfId="32192" xr:uid="{00000000-0005-0000-0000-00007B300000}"/>
    <cellStyle name="Input 2 3 2 2 7" xfId="30382" xr:uid="{00000000-0005-0000-0000-00007C300000}"/>
    <cellStyle name="Input 2 3 2 2 8" xfId="19120" xr:uid="{00000000-0005-0000-0000-00007D300000}"/>
    <cellStyle name="Input 2 3 2 3" xfId="5054" xr:uid="{00000000-0005-0000-0000-00007E300000}"/>
    <cellStyle name="Input 2 3 2 3 2" xfId="23514" xr:uid="{00000000-0005-0000-0000-00007F300000}"/>
    <cellStyle name="Input 2 3 2 3 3" xfId="18668" xr:uid="{00000000-0005-0000-0000-000080300000}"/>
    <cellStyle name="Input 2 3 2 4" xfId="6081" xr:uid="{00000000-0005-0000-0000-000081300000}"/>
    <cellStyle name="Input 2 3 2 4 2" xfId="24522" xr:uid="{00000000-0005-0000-0000-000082300000}"/>
    <cellStyle name="Input 2 3 2 4 3" xfId="19631" xr:uid="{00000000-0005-0000-0000-000083300000}"/>
    <cellStyle name="Input 2 3 2 5" xfId="7568" xr:uid="{00000000-0005-0000-0000-000084300000}"/>
    <cellStyle name="Input 2 3 2 5 2" xfId="25998" xr:uid="{00000000-0005-0000-0000-000085300000}"/>
    <cellStyle name="Input 2 3 2 5 3" xfId="20923" xr:uid="{00000000-0005-0000-0000-000086300000}"/>
    <cellStyle name="Input 2 3 2 6" xfId="7941" xr:uid="{00000000-0005-0000-0000-000087300000}"/>
    <cellStyle name="Input 2 3 2 6 2" xfId="26371" xr:uid="{00000000-0005-0000-0000-000088300000}"/>
    <cellStyle name="Input 2 3 2 6 3" xfId="21295" xr:uid="{00000000-0005-0000-0000-000089300000}"/>
    <cellStyle name="Input 2 3 2 7" xfId="8665" xr:uid="{00000000-0005-0000-0000-00008A300000}"/>
    <cellStyle name="Input 2 3 2 7 2" xfId="27085" xr:uid="{00000000-0005-0000-0000-00008B300000}"/>
    <cellStyle name="Input 2 3 2 7 3" xfId="21956" xr:uid="{00000000-0005-0000-0000-00008C300000}"/>
    <cellStyle name="Input 2 3 2 8" xfId="4157" xr:uid="{00000000-0005-0000-0000-00008D300000}"/>
    <cellStyle name="Input 2 3 2 8 2" xfId="22621" xr:uid="{00000000-0005-0000-0000-00008E300000}"/>
    <cellStyle name="Input 2 3 2 8 3" xfId="17839" xr:uid="{00000000-0005-0000-0000-00008F300000}"/>
    <cellStyle name="Input 2 3 2 9" xfId="15730" xr:uid="{00000000-0005-0000-0000-000090300000}"/>
    <cellStyle name="Input 2 3 2 9 2" xfId="37095" xr:uid="{00000000-0005-0000-0000-000091300000}"/>
    <cellStyle name="Input 2 3 2 9 3" xfId="17166" xr:uid="{00000000-0005-0000-0000-000092300000}"/>
    <cellStyle name="Input 2 3 3" xfId="4774" xr:uid="{00000000-0005-0000-0000-000093300000}"/>
    <cellStyle name="Input 2 3 3 2" xfId="23234" xr:uid="{00000000-0005-0000-0000-000094300000}"/>
    <cellStyle name="Input 2 3 3 3" xfId="18389" xr:uid="{00000000-0005-0000-0000-000095300000}"/>
    <cellStyle name="Input 2 3 4" xfId="5865" xr:uid="{00000000-0005-0000-0000-000096300000}"/>
    <cellStyle name="Input 2 3 4 2" xfId="24311" xr:uid="{00000000-0005-0000-0000-000097300000}"/>
    <cellStyle name="Input 2 3 4 3" xfId="19420" xr:uid="{00000000-0005-0000-0000-000098300000}"/>
    <cellStyle name="Input 2 3 5" xfId="6532" xr:uid="{00000000-0005-0000-0000-000099300000}"/>
    <cellStyle name="Input 2 3 5 2" xfId="24972" xr:uid="{00000000-0005-0000-0000-00009A300000}"/>
    <cellStyle name="Input 2 3 5 3" xfId="20081" xr:uid="{00000000-0005-0000-0000-00009B300000}"/>
    <cellStyle name="Input 2 3 6" xfId="6955" xr:uid="{00000000-0005-0000-0000-00009C300000}"/>
    <cellStyle name="Input 2 3 6 2" xfId="25393" xr:uid="{00000000-0005-0000-0000-00009D300000}"/>
    <cellStyle name="Input 2 3 6 3" xfId="20336" xr:uid="{00000000-0005-0000-0000-00009E300000}"/>
    <cellStyle name="Input 2 3 7" xfId="6545" xr:uid="{00000000-0005-0000-0000-00009F300000}"/>
    <cellStyle name="Input 2 3 7 2" xfId="24985" xr:uid="{00000000-0005-0000-0000-0000A0300000}"/>
    <cellStyle name="Input 2 3 7 3" xfId="20094" xr:uid="{00000000-0005-0000-0000-0000A1300000}"/>
    <cellStyle name="Input 2 3 8" xfId="8344" xr:uid="{00000000-0005-0000-0000-0000A2300000}"/>
    <cellStyle name="Input 2 3 8 2" xfId="26767" xr:uid="{00000000-0005-0000-0000-0000A3300000}"/>
    <cellStyle name="Input 2 3 8 3" xfId="21635" xr:uid="{00000000-0005-0000-0000-0000A4300000}"/>
    <cellStyle name="Input 2 3 9" xfId="3836" xr:uid="{00000000-0005-0000-0000-0000A5300000}"/>
    <cellStyle name="Input 2 3 9 2" xfId="22303" xr:uid="{00000000-0005-0000-0000-0000A6300000}"/>
    <cellStyle name="Input 2 3 9 3" xfId="17518" xr:uid="{00000000-0005-0000-0000-0000A7300000}"/>
    <cellStyle name="Input 2 4" xfId="2140" xr:uid="{00000000-0005-0000-0000-0000A8300000}"/>
    <cellStyle name="Input 2 4 10" xfId="14496" xr:uid="{00000000-0005-0000-0000-0000A9300000}"/>
    <cellStyle name="Input 2 4 10 2" xfId="36024" xr:uid="{00000000-0005-0000-0000-0000AA300000}"/>
    <cellStyle name="Input 2 4 10 3" xfId="16832" xr:uid="{00000000-0005-0000-0000-0000AB300000}"/>
    <cellStyle name="Input 2 4 11" xfId="16068" xr:uid="{00000000-0005-0000-0000-0000AC300000}"/>
    <cellStyle name="Input 2 4 11 2" xfId="37394" xr:uid="{00000000-0005-0000-0000-0000AD300000}"/>
    <cellStyle name="Input 2 4 12" xfId="31227" xr:uid="{00000000-0005-0000-0000-0000AE300000}"/>
    <cellStyle name="Input 2 4 13" xfId="38042" xr:uid="{00000000-0005-0000-0000-0000640A0000}"/>
    <cellStyle name="Input 2 4 14" xfId="40988" xr:uid="{00000000-0005-0000-0000-0000640A0000}"/>
    <cellStyle name="Input 2 4 2" xfId="3397" xr:uid="{00000000-0005-0000-0000-0000AF300000}"/>
    <cellStyle name="Input 2 4 2 10" xfId="15011" xr:uid="{00000000-0005-0000-0000-0000B0300000}"/>
    <cellStyle name="Input 2 4 2 10 2" xfId="36436" xr:uid="{00000000-0005-0000-0000-0000B1300000}"/>
    <cellStyle name="Input 2 4 2 11" xfId="31457" xr:uid="{00000000-0005-0000-0000-0000B2300000}"/>
    <cellStyle name="Input 2 4 2 12" xfId="28130" xr:uid="{00000000-0005-0000-0000-0000B3300000}"/>
    <cellStyle name="Input 2 4 2 2" xfId="5533" xr:uid="{00000000-0005-0000-0000-0000B4300000}"/>
    <cellStyle name="Input 2 4 2 2 2" xfId="12643" xr:uid="{00000000-0005-0000-0000-0000B5300000}"/>
    <cellStyle name="Input 2 4 2 2 2 2" xfId="35044" xr:uid="{00000000-0005-0000-0000-0000B6300000}"/>
    <cellStyle name="Input 2 4 2 2 2 3" xfId="23986" xr:uid="{00000000-0005-0000-0000-0000B7300000}"/>
    <cellStyle name="Input 2 4 2 2 3" xfId="15181" xr:uid="{00000000-0005-0000-0000-0000B8300000}"/>
    <cellStyle name="Input 2 4 2 2 3 2" xfId="36591" xr:uid="{00000000-0005-0000-0000-0000B9300000}"/>
    <cellStyle name="Input 2 4 2 2 4" xfId="15021" xr:uid="{00000000-0005-0000-0000-0000BA300000}"/>
    <cellStyle name="Input 2 4 2 2 4 2" xfId="36446" xr:uid="{00000000-0005-0000-0000-0000BB300000}"/>
    <cellStyle name="Input 2 4 2 2 5" xfId="14978" xr:uid="{00000000-0005-0000-0000-0000BC300000}"/>
    <cellStyle name="Input 2 4 2 2 6" xfId="32193" xr:uid="{00000000-0005-0000-0000-0000BD300000}"/>
    <cellStyle name="Input 2 4 2 2 7" xfId="30383" xr:uid="{00000000-0005-0000-0000-0000BE300000}"/>
    <cellStyle name="Input 2 4 2 2 8" xfId="19121" xr:uid="{00000000-0005-0000-0000-0000BF300000}"/>
    <cellStyle name="Input 2 4 2 3" xfId="5055" xr:uid="{00000000-0005-0000-0000-0000C0300000}"/>
    <cellStyle name="Input 2 4 2 3 2" xfId="23515" xr:uid="{00000000-0005-0000-0000-0000C1300000}"/>
    <cellStyle name="Input 2 4 2 3 3" xfId="18669" xr:uid="{00000000-0005-0000-0000-0000C2300000}"/>
    <cellStyle name="Input 2 4 2 4" xfId="6080" xr:uid="{00000000-0005-0000-0000-0000C3300000}"/>
    <cellStyle name="Input 2 4 2 4 2" xfId="24521" xr:uid="{00000000-0005-0000-0000-0000C4300000}"/>
    <cellStyle name="Input 2 4 2 4 3" xfId="19630" xr:uid="{00000000-0005-0000-0000-0000C5300000}"/>
    <cellStyle name="Input 2 4 2 5" xfId="7569" xr:uid="{00000000-0005-0000-0000-0000C6300000}"/>
    <cellStyle name="Input 2 4 2 5 2" xfId="25999" xr:uid="{00000000-0005-0000-0000-0000C7300000}"/>
    <cellStyle name="Input 2 4 2 5 3" xfId="20924" xr:uid="{00000000-0005-0000-0000-0000C8300000}"/>
    <cellStyle name="Input 2 4 2 6" xfId="7942" xr:uid="{00000000-0005-0000-0000-0000C9300000}"/>
    <cellStyle name="Input 2 4 2 6 2" xfId="26372" xr:uid="{00000000-0005-0000-0000-0000CA300000}"/>
    <cellStyle name="Input 2 4 2 6 3" xfId="21296" xr:uid="{00000000-0005-0000-0000-0000CB300000}"/>
    <cellStyle name="Input 2 4 2 7" xfId="8666" xr:uid="{00000000-0005-0000-0000-0000CC300000}"/>
    <cellStyle name="Input 2 4 2 7 2" xfId="27086" xr:uid="{00000000-0005-0000-0000-0000CD300000}"/>
    <cellStyle name="Input 2 4 2 7 3" xfId="21957" xr:uid="{00000000-0005-0000-0000-0000CE300000}"/>
    <cellStyle name="Input 2 4 2 8" xfId="4158" xr:uid="{00000000-0005-0000-0000-0000CF300000}"/>
    <cellStyle name="Input 2 4 2 8 2" xfId="22622" xr:uid="{00000000-0005-0000-0000-0000D0300000}"/>
    <cellStyle name="Input 2 4 2 8 3" xfId="17840" xr:uid="{00000000-0005-0000-0000-0000D1300000}"/>
    <cellStyle name="Input 2 4 2 9" xfId="15144" xr:uid="{00000000-0005-0000-0000-0000D2300000}"/>
    <cellStyle name="Input 2 4 2 9 2" xfId="36555" xr:uid="{00000000-0005-0000-0000-0000D3300000}"/>
    <cellStyle name="Input 2 4 2 9 3" xfId="17167" xr:uid="{00000000-0005-0000-0000-0000D4300000}"/>
    <cellStyle name="Input 2 4 3" xfId="4775" xr:uid="{00000000-0005-0000-0000-0000D5300000}"/>
    <cellStyle name="Input 2 4 3 2" xfId="23235" xr:uid="{00000000-0005-0000-0000-0000D6300000}"/>
    <cellStyle name="Input 2 4 3 3" xfId="18390" xr:uid="{00000000-0005-0000-0000-0000D7300000}"/>
    <cellStyle name="Input 2 4 4" xfId="4558" xr:uid="{00000000-0005-0000-0000-0000D8300000}"/>
    <cellStyle name="Input 2 4 4 2" xfId="23018" xr:uid="{00000000-0005-0000-0000-0000D9300000}"/>
    <cellStyle name="Input 2 4 4 3" xfId="18235" xr:uid="{00000000-0005-0000-0000-0000DA300000}"/>
    <cellStyle name="Input 2 4 5" xfId="6531" xr:uid="{00000000-0005-0000-0000-0000DB300000}"/>
    <cellStyle name="Input 2 4 5 2" xfId="24971" xr:uid="{00000000-0005-0000-0000-0000DC300000}"/>
    <cellStyle name="Input 2 4 5 3" xfId="20080" xr:uid="{00000000-0005-0000-0000-0000DD300000}"/>
    <cellStyle name="Input 2 4 6" xfId="6956" xr:uid="{00000000-0005-0000-0000-0000DE300000}"/>
    <cellStyle name="Input 2 4 6 2" xfId="25394" xr:uid="{00000000-0005-0000-0000-0000DF300000}"/>
    <cellStyle name="Input 2 4 6 3" xfId="20337" xr:uid="{00000000-0005-0000-0000-0000E0300000}"/>
    <cellStyle name="Input 2 4 7" xfId="6544" xr:uid="{00000000-0005-0000-0000-0000E1300000}"/>
    <cellStyle name="Input 2 4 7 2" xfId="24984" xr:uid="{00000000-0005-0000-0000-0000E2300000}"/>
    <cellStyle name="Input 2 4 7 3" xfId="20093" xr:uid="{00000000-0005-0000-0000-0000E3300000}"/>
    <cellStyle name="Input 2 4 8" xfId="8345" xr:uid="{00000000-0005-0000-0000-0000E4300000}"/>
    <cellStyle name="Input 2 4 8 2" xfId="26768" xr:uid="{00000000-0005-0000-0000-0000E5300000}"/>
    <cellStyle name="Input 2 4 8 3" xfId="21636" xr:uid="{00000000-0005-0000-0000-0000E6300000}"/>
    <cellStyle name="Input 2 4 9" xfId="3837" xr:uid="{00000000-0005-0000-0000-0000E7300000}"/>
    <cellStyle name="Input 2 4 9 2" xfId="22304" xr:uid="{00000000-0005-0000-0000-0000E8300000}"/>
    <cellStyle name="Input 2 4 9 3" xfId="17519" xr:uid="{00000000-0005-0000-0000-0000E9300000}"/>
    <cellStyle name="Input 2 5" xfId="2141" xr:uid="{00000000-0005-0000-0000-0000EA300000}"/>
    <cellStyle name="Input 2 5 10" xfId="15731" xr:uid="{00000000-0005-0000-0000-0000EB300000}"/>
    <cellStyle name="Input 2 5 10 2" xfId="37096" xr:uid="{00000000-0005-0000-0000-0000EC300000}"/>
    <cellStyle name="Input 2 5 10 3" xfId="16833" xr:uid="{00000000-0005-0000-0000-0000ED300000}"/>
    <cellStyle name="Input 2 5 11" xfId="15478" xr:uid="{00000000-0005-0000-0000-0000EE300000}"/>
    <cellStyle name="Input 2 5 11 2" xfId="36857" xr:uid="{00000000-0005-0000-0000-0000EF300000}"/>
    <cellStyle name="Input 2 5 12" xfId="31228" xr:uid="{00000000-0005-0000-0000-0000F0300000}"/>
    <cellStyle name="Input 2 5 13" xfId="38043" xr:uid="{00000000-0005-0000-0000-0000650A0000}"/>
    <cellStyle name="Input 2 5 14" xfId="40989" xr:uid="{00000000-0005-0000-0000-0000650A0000}"/>
    <cellStyle name="Input 2 5 2" xfId="3398" xr:uid="{00000000-0005-0000-0000-0000F1300000}"/>
    <cellStyle name="Input 2 5 2 10" xfId="16149" xr:uid="{00000000-0005-0000-0000-0000F2300000}"/>
    <cellStyle name="Input 2 5 2 10 2" xfId="37470" xr:uid="{00000000-0005-0000-0000-0000F3300000}"/>
    <cellStyle name="Input 2 5 2 11" xfId="31458" xr:uid="{00000000-0005-0000-0000-0000F4300000}"/>
    <cellStyle name="Input 2 5 2 12" xfId="28131" xr:uid="{00000000-0005-0000-0000-0000F5300000}"/>
    <cellStyle name="Input 2 5 2 2" xfId="5534" xr:uid="{00000000-0005-0000-0000-0000F6300000}"/>
    <cellStyle name="Input 2 5 2 2 2" xfId="12644" xr:uid="{00000000-0005-0000-0000-0000F7300000}"/>
    <cellStyle name="Input 2 5 2 2 2 2" xfId="35045" xr:uid="{00000000-0005-0000-0000-0000F8300000}"/>
    <cellStyle name="Input 2 5 2 2 2 3" xfId="23987" xr:uid="{00000000-0005-0000-0000-0000F9300000}"/>
    <cellStyle name="Input 2 5 2 2 3" xfId="14533" xr:uid="{00000000-0005-0000-0000-0000FA300000}"/>
    <cellStyle name="Input 2 5 2 2 3 2" xfId="36059" xr:uid="{00000000-0005-0000-0000-0000FB300000}"/>
    <cellStyle name="Input 2 5 2 2 4" xfId="14838" xr:uid="{00000000-0005-0000-0000-0000FC300000}"/>
    <cellStyle name="Input 2 5 2 2 4 2" xfId="36288" xr:uid="{00000000-0005-0000-0000-0000FD300000}"/>
    <cellStyle name="Input 2 5 2 2 5" xfId="15183" xr:uid="{00000000-0005-0000-0000-0000FE300000}"/>
    <cellStyle name="Input 2 5 2 2 6" xfId="32194" xr:uid="{00000000-0005-0000-0000-0000FF300000}"/>
    <cellStyle name="Input 2 5 2 2 7" xfId="30384" xr:uid="{00000000-0005-0000-0000-000000310000}"/>
    <cellStyle name="Input 2 5 2 2 8" xfId="19122" xr:uid="{00000000-0005-0000-0000-000001310000}"/>
    <cellStyle name="Input 2 5 2 3" xfId="5056" xr:uid="{00000000-0005-0000-0000-000002310000}"/>
    <cellStyle name="Input 2 5 2 3 2" xfId="23516" xr:uid="{00000000-0005-0000-0000-000003310000}"/>
    <cellStyle name="Input 2 5 2 3 3" xfId="18670" xr:uid="{00000000-0005-0000-0000-000004310000}"/>
    <cellStyle name="Input 2 5 2 4" xfId="6079" xr:uid="{00000000-0005-0000-0000-000005310000}"/>
    <cellStyle name="Input 2 5 2 4 2" xfId="24520" xr:uid="{00000000-0005-0000-0000-000006310000}"/>
    <cellStyle name="Input 2 5 2 4 3" xfId="19629" xr:uid="{00000000-0005-0000-0000-000007310000}"/>
    <cellStyle name="Input 2 5 2 5" xfId="7570" xr:uid="{00000000-0005-0000-0000-000008310000}"/>
    <cellStyle name="Input 2 5 2 5 2" xfId="26000" xr:uid="{00000000-0005-0000-0000-000009310000}"/>
    <cellStyle name="Input 2 5 2 5 3" xfId="20925" xr:uid="{00000000-0005-0000-0000-00000A310000}"/>
    <cellStyle name="Input 2 5 2 6" xfId="7943" xr:uid="{00000000-0005-0000-0000-00000B310000}"/>
    <cellStyle name="Input 2 5 2 6 2" xfId="26373" xr:uid="{00000000-0005-0000-0000-00000C310000}"/>
    <cellStyle name="Input 2 5 2 6 3" xfId="21297" xr:uid="{00000000-0005-0000-0000-00000D310000}"/>
    <cellStyle name="Input 2 5 2 7" xfId="8667" xr:uid="{00000000-0005-0000-0000-00000E310000}"/>
    <cellStyle name="Input 2 5 2 7 2" xfId="27087" xr:uid="{00000000-0005-0000-0000-00000F310000}"/>
    <cellStyle name="Input 2 5 2 7 3" xfId="21958" xr:uid="{00000000-0005-0000-0000-000010310000}"/>
    <cellStyle name="Input 2 5 2 8" xfId="4159" xr:uid="{00000000-0005-0000-0000-000011310000}"/>
    <cellStyle name="Input 2 5 2 8 2" xfId="22623" xr:uid="{00000000-0005-0000-0000-000012310000}"/>
    <cellStyle name="Input 2 5 2 8 3" xfId="17841" xr:uid="{00000000-0005-0000-0000-000013310000}"/>
    <cellStyle name="Input 2 5 2 9" xfId="14497" xr:uid="{00000000-0005-0000-0000-000014310000}"/>
    <cellStyle name="Input 2 5 2 9 2" xfId="36025" xr:uid="{00000000-0005-0000-0000-000015310000}"/>
    <cellStyle name="Input 2 5 2 9 3" xfId="17168" xr:uid="{00000000-0005-0000-0000-000016310000}"/>
    <cellStyle name="Input 2 5 3" xfId="4776" xr:uid="{00000000-0005-0000-0000-000017310000}"/>
    <cellStyle name="Input 2 5 3 2" xfId="23236" xr:uid="{00000000-0005-0000-0000-000018310000}"/>
    <cellStyle name="Input 2 5 3 3" xfId="18391" xr:uid="{00000000-0005-0000-0000-000019310000}"/>
    <cellStyle name="Input 2 5 4" xfId="5864" xr:uid="{00000000-0005-0000-0000-00001A310000}"/>
    <cellStyle name="Input 2 5 4 2" xfId="24310" xr:uid="{00000000-0005-0000-0000-00001B310000}"/>
    <cellStyle name="Input 2 5 4 3" xfId="19419" xr:uid="{00000000-0005-0000-0000-00001C310000}"/>
    <cellStyle name="Input 2 5 5" xfId="6530" xr:uid="{00000000-0005-0000-0000-00001D310000}"/>
    <cellStyle name="Input 2 5 5 2" xfId="24970" xr:uid="{00000000-0005-0000-0000-00001E310000}"/>
    <cellStyle name="Input 2 5 5 3" xfId="20079" xr:uid="{00000000-0005-0000-0000-00001F310000}"/>
    <cellStyle name="Input 2 5 6" xfId="6957" xr:uid="{00000000-0005-0000-0000-000020310000}"/>
    <cellStyle name="Input 2 5 6 2" xfId="25395" xr:uid="{00000000-0005-0000-0000-000021310000}"/>
    <cellStyle name="Input 2 5 6 3" xfId="20338" xr:uid="{00000000-0005-0000-0000-000022310000}"/>
    <cellStyle name="Input 2 5 7" xfId="6543" xr:uid="{00000000-0005-0000-0000-000023310000}"/>
    <cellStyle name="Input 2 5 7 2" xfId="24983" xr:uid="{00000000-0005-0000-0000-000024310000}"/>
    <cellStyle name="Input 2 5 7 3" xfId="20092" xr:uid="{00000000-0005-0000-0000-000025310000}"/>
    <cellStyle name="Input 2 5 8" xfId="8346" xr:uid="{00000000-0005-0000-0000-000026310000}"/>
    <cellStyle name="Input 2 5 8 2" xfId="26769" xr:uid="{00000000-0005-0000-0000-000027310000}"/>
    <cellStyle name="Input 2 5 8 3" xfId="21637" xr:uid="{00000000-0005-0000-0000-000028310000}"/>
    <cellStyle name="Input 2 5 9" xfId="3838" xr:uid="{00000000-0005-0000-0000-000029310000}"/>
    <cellStyle name="Input 2 5 9 2" xfId="22305" xr:uid="{00000000-0005-0000-0000-00002A310000}"/>
    <cellStyle name="Input 2 5 9 3" xfId="17520" xr:uid="{00000000-0005-0000-0000-00002B310000}"/>
    <cellStyle name="Input 2 6" xfId="2142" xr:uid="{00000000-0005-0000-0000-00002C310000}"/>
    <cellStyle name="Input 2 6 10" xfId="15145" xr:uid="{00000000-0005-0000-0000-00002D310000}"/>
    <cellStyle name="Input 2 6 10 2" xfId="36556" xr:uid="{00000000-0005-0000-0000-00002E310000}"/>
    <cellStyle name="Input 2 6 10 3" xfId="16834" xr:uid="{00000000-0005-0000-0000-00002F310000}"/>
    <cellStyle name="Input 2 6 11" xfId="14665" xr:uid="{00000000-0005-0000-0000-000030310000}"/>
    <cellStyle name="Input 2 6 11 2" xfId="36148" xr:uid="{00000000-0005-0000-0000-000031310000}"/>
    <cellStyle name="Input 2 6 12" xfId="31229" xr:uid="{00000000-0005-0000-0000-000032310000}"/>
    <cellStyle name="Input 2 6 13" xfId="38044" xr:uid="{00000000-0005-0000-0000-0000660A0000}"/>
    <cellStyle name="Input 2 6 14" xfId="40990" xr:uid="{00000000-0005-0000-0000-0000660A0000}"/>
    <cellStyle name="Input 2 6 2" xfId="3399" xr:uid="{00000000-0005-0000-0000-000033310000}"/>
    <cellStyle name="Input 2 6 2 10" xfId="16331" xr:uid="{00000000-0005-0000-0000-000034310000}"/>
    <cellStyle name="Input 2 6 2 10 2" xfId="37636" xr:uid="{00000000-0005-0000-0000-000035310000}"/>
    <cellStyle name="Input 2 6 2 11" xfId="31459" xr:uid="{00000000-0005-0000-0000-000036310000}"/>
    <cellStyle name="Input 2 6 2 12" xfId="28132" xr:uid="{00000000-0005-0000-0000-000037310000}"/>
    <cellStyle name="Input 2 6 2 2" xfId="5535" xr:uid="{00000000-0005-0000-0000-000038310000}"/>
    <cellStyle name="Input 2 6 2 2 2" xfId="12645" xr:uid="{00000000-0005-0000-0000-000039310000}"/>
    <cellStyle name="Input 2 6 2 2 2 2" xfId="35046" xr:uid="{00000000-0005-0000-0000-00003A310000}"/>
    <cellStyle name="Input 2 6 2 2 2 3" xfId="23988" xr:uid="{00000000-0005-0000-0000-00003B310000}"/>
    <cellStyle name="Input 2 6 2 2 3" xfId="15180" xr:uid="{00000000-0005-0000-0000-00003C310000}"/>
    <cellStyle name="Input 2 6 2 2 3 2" xfId="36590" xr:uid="{00000000-0005-0000-0000-00003D310000}"/>
    <cellStyle name="Input 2 6 2 2 4" xfId="15022" xr:uid="{00000000-0005-0000-0000-00003E310000}"/>
    <cellStyle name="Input 2 6 2 2 4 2" xfId="36447" xr:uid="{00000000-0005-0000-0000-00003F310000}"/>
    <cellStyle name="Input 2 6 2 2 5" xfId="16073" xr:uid="{00000000-0005-0000-0000-000040310000}"/>
    <cellStyle name="Input 2 6 2 2 6" xfId="32195" xr:uid="{00000000-0005-0000-0000-000041310000}"/>
    <cellStyle name="Input 2 6 2 2 7" xfId="30385" xr:uid="{00000000-0005-0000-0000-000042310000}"/>
    <cellStyle name="Input 2 6 2 2 8" xfId="19123" xr:uid="{00000000-0005-0000-0000-000043310000}"/>
    <cellStyle name="Input 2 6 2 3" xfId="5057" xr:uid="{00000000-0005-0000-0000-000044310000}"/>
    <cellStyle name="Input 2 6 2 3 2" xfId="23517" xr:uid="{00000000-0005-0000-0000-000045310000}"/>
    <cellStyle name="Input 2 6 2 3 3" xfId="18671" xr:uid="{00000000-0005-0000-0000-000046310000}"/>
    <cellStyle name="Input 2 6 2 4" xfId="6078" xr:uid="{00000000-0005-0000-0000-000047310000}"/>
    <cellStyle name="Input 2 6 2 4 2" xfId="24519" xr:uid="{00000000-0005-0000-0000-000048310000}"/>
    <cellStyle name="Input 2 6 2 4 3" xfId="19628" xr:uid="{00000000-0005-0000-0000-000049310000}"/>
    <cellStyle name="Input 2 6 2 5" xfId="7571" xr:uid="{00000000-0005-0000-0000-00004A310000}"/>
    <cellStyle name="Input 2 6 2 5 2" xfId="26001" xr:uid="{00000000-0005-0000-0000-00004B310000}"/>
    <cellStyle name="Input 2 6 2 5 3" xfId="20926" xr:uid="{00000000-0005-0000-0000-00004C310000}"/>
    <cellStyle name="Input 2 6 2 6" xfId="7944" xr:uid="{00000000-0005-0000-0000-00004D310000}"/>
    <cellStyle name="Input 2 6 2 6 2" xfId="26374" xr:uid="{00000000-0005-0000-0000-00004E310000}"/>
    <cellStyle name="Input 2 6 2 6 3" xfId="21298" xr:uid="{00000000-0005-0000-0000-00004F310000}"/>
    <cellStyle name="Input 2 6 2 7" xfId="8668" xr:uid="{00000000-0005-0000-0000-000050310000}"/>
    <cellStyle name="Input 2 6 2 7 2" xfId="27088" xr:uid="{00000000-0005-0000-0000-000051310000}"/>
    <cellStyle name="Input 2 6 2 7 3" xfId="21959" xr:uid="{00000000-0005-0000-0000-000052310000}"/>
    <cellStyle name="Input 2 6 2 8" xfId="4160" xr:uid="{00000000-0005-0000-0000-000053310000}"/>
    <cellStyle name="Input 2 6 2 8 2" xfId="22624" xr:uid="{00000000-0005-0000-0000-000054310000}"/>
    <cellStyle name="Input 2 6 2 8 3" xfId="17842" xr:uid="{00000000-0005-0000-0000-000055310000}"/>
    <cellStyle name="Input 2 6 2 9" xfId="15732" xr:uid="{00000000-0005-0000-0000-000056310000}"/>
    <cellStyle name="Input 2 6 2 9 2" xfId="37097" xr:uid="{00000000-0005-0000-0000-000057310000}"/>
    <cellStyle name="Input 2 6 2 9 3" xfId="17169" xr:uid="{00000000-0005-0000-0000-000058310000}"/>
    <cellStyle name="Input 2 6 3" xfId="4777" xr:uid="{00000000-0005-0000-0000-000059310000}"/>
    <cellStyle name="Input 2 6 3 2" xfId="23237" xr:uid="{00000000-0005-0000-0000-00005A310000}"/>
    <cellStyle name="Input 2 6 3 3" xfId="18392" xr:uid="{00000000-0005-0000-0000-00005B310000}"/>
    <cellStyle name="Input 2 6 4" xfId="4559" xr:uid="{00000000-0005-0000-0000-00005C310000}"/>
    <cellStyle name="Input 2 6 4 2" xfId="23019" xr:uid="{00000000-0005-0000-0000-00005D310000}"/>
    <cellStyle name="Input 2 6 4 3" xfId="18236" xr:uid="{00000000-0005-0000-0000-00005E310000}"/>
    <cellStyle name="Input 2 6 5" xfId="6529" xr:uid="{00000000-0005-0000-0000-00005F310000}"/>
    <cellStyle name="Input 2 6 5 2" xfId="24969" xr:uid="{00000000-0005-0000-0000-000060310000}"/>
    <cellStyle name="Input 2 6 5 3" xfId="20078" xr:uid="{00000000-0005-0000-0000-000061310000}"/>
    <cellStyle name="Input 2 6 6" xfId="6958" xr:uid="{00000000-0005-0000-0000-000062310000}"/>
    <cellStyle name="Input 2 6 6 2" xfId="25396" xr:uid="{00000000-0005-0000-0000-000063310000}"/>
    <cellStyle name="Input 2 6 6 3" xfId="20339" xr:uid="{00000000-0005-0000-0000-000064310000}"/>
    <cellStyle name="Input 2 6 7" xfId="6542" xr:uid="{00000000-0005-0000-0000-000065310000}"/>
    <cellStyle name="Input 2 6 7 2" xfId="24982" xr:uid="{00000000-0005-0000-0000-000066310000}"/>
    <cellStyle name="Input 2 6 7 3" xfId="20091" xr:uid="{00000000-0005-0000-0000-000067310000}"/>
    <cellStyle name="Input 2 6 8" xfId="8347" xr:uid="{00000000-0005-0000-0000-000068310000}"/>
    <cellStyle name="Input 2 6 8 2" xfId="26770" xr:uid="{00000000-0005-0000-0000-000069310000}"/>
    <cellStyle name="Input 2 6 8 3" xfId="21638" xr:uid="{00000000-0005-0000-0000-00006A310000}"/>
    <cellStyle name="Input 2 6 9" xfId="3839" xr:uid="{00000000-0005-0000-0000-00006B310000}"/>
    <cellStyle name="Input 2 6 9 2" xfId="22306" xr:uid="{00000000-0005-0000-0000-00006C310000}"/>
    <cellStyle name="Input 2 6 9 3" xfId="17521" xr:uid="{00000000-0005-0000-0000-00006D310000}"/>
    <cellStyle name="Input 2 7" xfId="2143" xr:uid="{00000000-0005-0000-0000-00006E310000}"/>
    <cellStyle name="Input 2 7 10" xfId="14605" xr:uid="{00000000-0005-0000-0000-00006F310000}"/>
    <cellStyle name="Input 2 7 10 2" xfId="36108" xr:uid="{00000000-0005-0000-0000-000070310000}"/>
    <cellStyle name="Input 2 7 10 3" xfId="16835" xr:uid="{00000000-0005-0000-0000-000071310000}"/>
    <cellStyle name="Input 2 7 11" xfId="15195" xr:uid="{00000000-0005-0000-0000-000072310000}"/>
    <cellStyle name="Input 2 7 11 2" xfId="36603" xr:uid="{00000000-0005-0000-0000-000073310000}"/>
    <cellStyle name="Input 2 7 12" xfId="31230" xr:uid="{00000000-0005-0000-0000-000074310000}"/>
    <cellStyle name="Input 2 7 13" xfId="38045" xr:uid="{00000000-0005-0000-0000-0000670A0000}"/>
    <cellStyle name="Input 2 7 14" xfId="40991" xr:uid="{00000000-0005-0000-0000-0000670A0000}"/>
    <cellStyle name="Input 2 7 2" xfId="3400" xr:uid="{00000000-0005-0000-0000-000075310000}"/>
    <cellStyle name="Input 2 7 2 10" xfId="15055" xr:uid="{00000000-0005-0000-0000-000076310000}"/>
    <cellStyle name="Input 2 7 2 10 2" xfId="36469" xr:uid="{00000000-0005-0000-0000-000077310000}"/>
    <cellStyle name="Input 2 7 2 11" xfId="31460" xr:uid="{00000000-0005-0000-0000-000078310000}"/>
    <cellStyle name="Input 2 7 2 12" xfId="28133" xr:uid="{00000000-0005-0000-0000-000079310000}"/>
    <cellStyle name="Input 2 7 2 2" xfId="5536" xr:uid="{00000000-0005-0000-0000-00007A310000}"/>
    <cellStyle name="Input 2 7 2 2 2" xfId="12646" xr:uid="{00000000-0005-0000-0000-00007B310000}"/>
    <cellStyle name="Input 2 7 2 2 2 2" xfId="35047" xr:uid="{00000000-0005-0000-0000-00007C310000}"/>
    <cellStyle name="Input 2 7 2 2 2 3" xfId="23989" xr:uid="{00000000-0005-0000-0000-00007D310000}"/>
    <cellStyle name="Input 2 7 2 2 3" xfId="14532" xr:uid="{00000000-0005-0000-0000-00007E310000}"/>
    <cellStyle name="Input 2 7 2 2 3 2" xfId="36058" xr:uid="{00000000-0005-0000-0000-00007F310000}"/>
    <cellStyle name="Input 2 7 2 2 4" xfId="14839" xr:uid="{00000000-0005-0000-0000-000080310000}"/>
    <cellStyle name="Input 2 7 2 2 4 2" xfId="36289" xr:uid="{00000000-0005-0000-0000-000081310000}"/>
    <cellStyle name="Input 2 7 2 2 5" xfId="16472" xr:uid="{00000000-0005-0000-0000-000082310000}"/>
    <cellStyle name="Input 2 7 2 2 6" xfId="32196" xr:uid="{00000000-0005-0000-0000-000083310000}"/>
    <cellStyle name="Input 2 7 2 2 7" xfId="30386" xr:uid="{00000000-0005-0000-0000-000084310000}"/>
    <cellStyle name="Input 2 7 2 2 8" xfId="19124" xr:uid="{00000000-0005-0000-0000-000085310000}"/>
    <cellStyle name="Input 2 7 2 3" xfId="5058" xr:uid="{00000000-0005-0000-0000-000086310000}"/>
    <cellStyle name="Input 2 7 2 3 2" xfId="23518" xr:uid="{00000000-0005-0000-0000-000087310000}"/>
    <cellStyle name="Input 2 7 2 3 3" xfId="18672" xr:uid="{00000000-0005-0000-0000-000088310000}"/>
    <cellStyle name="Input 2 7 2 4" xfId="6077" xr:uid="{00000000-0005-0000-0000-000089310000}"/>
    <cellStyle name="Input 2 7 2 4 2" xfId="24518" xr:uid="{00000000-0005-0000-0000-00008A310000}"/>
    <cellStyle name="Input 2 7 2 4 3" xfId="19627" xr:uid="{00000000-0005-0000-0000-00008B310000}"/>
    <cellStyle name="Input 2 7 2 5" xfId="7572" xr:uid="{00000000-0005-0000-0000-00008C310000}"/>
    <cellStyle name="Input 2 7 2 5 2" xfId="26002" xr:uid="{00000000-0005-0000-0000-00008D310000}"/>
    <cellStyle name="Input 2 7 2 5 3" xfId="20927" xr:uid="{00000000-0005-0000-0000-00008E310000}"/>
    <cellStyle name="Input 2 7 2 6" xfId="7945" xr:uid="{00000000-0005-0000-0000-00008F310000}"/>
    <cellStyle name="Input 2 7 2 6 2" xfId="26375" xr:uid="{00000000-0005-0000-0000-000090310000}"/>
    <cellStyle name="Input 2 7 2 6 3" xfId="21299" xr:uid="{00000000-0005-0000-0000-000091310000}"/>
    <cellStyle name="Input 2 7 2 7" xfId="8669" xr:uid="{00000000-0005-0000-0000-000092310000}"/>
    <cellStyle name="Input 2 7 2 7 2" xfId="27089" xr:uid="{00000000-0005-0000-0000-000093310000}"/>
    <cellStyle name="Input 2 7 2 7 3" xfId="21960" xr:uid="{00000000-0005-0000-0000-000094310000}"/>
    <cellStyle name="Input 2 7 2 8" xfId="4161" xr:uid="{00000000-0005-0000-0000-000095310000}"/>
    <cellStyle name="Input 2 7 2 8 2" xfId="22625" xr:uid="{00000000-0005-0000-0000-000096310000}"/>
    <cellStyle name="Input 2 7 2 8 3" xfId="17843" xr:uid="{00000000-0005-0000-0000-000097310000}"/>
    <cellStyle name="Input 2 7 2 9" xfId="15735" xr:uid="{00000000-0005-0000-0000-000098310000}"/>
    <cellStyle name="Input 2 7 2 9 2" xfId="37100" xr:uid="{00000000-0005-0000-0000-000099310000}"/>
    <cellStyle name="Input 2 7 2 9 3" xfId="17170" xr:uid="{00000000-0005-0000-0000-00009A310000}"/>
    <cellStyle name="Input 2 7 3" xfId="4778" xr:uid="{00000000-0005-0000-0000-00009B310000}"/>
    <cellStyle name="Input 2 7 3 2" xfId="23238" xr:uid="{00000000-0005-0000-0000-00009C310000}"/>
    <cellStyle name="Input 2 7 3 3" xfId="18393" xr:uid="{00000000-0005-0000-0000-00009D310000}"/>
    <cellStyle name="Input 2 7 4" xfId="5861" xr:uid="{00000000-0005-0000-0000-00009E310000}"/>
    <cellStyle name="Input 2 7 4 2" xfId="24307" xr:uid="{00000000-0005-0000-0000-00009F310000}"/>
    <cellStyle name="Input 2 7 4 3" xfId="19416" xr:uid="{00000000-0005-0000-0000-0000A0310000}"/>
    <cellStyle name="Input 2 7 5" xfId="6528" xr:uid="{00000000-0005-0000-0000-0000A1310000}"/>
    <cellStyle name="Input 2 7 5 2" xfId="24968" xr:uid="{00000000-0005-0000-0000-0000A2310000}"/>
    <cellStyle name="Input 2 7 5 3" xfId="20077" xr:uid="{00000000-0005-0000-0000-0000A3310000}"/>
    <cellStyle name="Input 2 7 6" xfId="6959" xr:uid="{00000000-0005-0000-0000-0000A4310000}"/>
    <cellStyle name="Input 2 7 6 2" xfId="25397" xr:uid="{00000000-0005-0000-0000-0000A5310000}"/>
    <cellStyle name="Input 2 7 6 3" xfId="20340" xr:uid="{00000000-0005-0000-0000-0000A6310000}"/>
    <cellStyle name="Input 2 7 7" xfId="6541" xr:uid="{00000000-0005-0000-0000-0000A7310000}"/>
    <cellStyle name="Input 2 7 7 2" xfId="24981" xr:uid="{00000000-0005-0000-0000-0000A8310000}"/>
    <cellStyle name="Input 2 7 7 3" xfId="20090" xr:uid="{00000000-0005-0000-0000-0000A9310000}"/>
    <cellStyle name="Input 2 7 8" xfId="8348" xr:uid="{00000000-0005-0000-0000-0000AA310000}"/>
    <cellStyle name="Input 2 7 8 2" xfId="26771" xr:uid="{00000000-0005-0000-0000-0000AB310000}"/>
    <cellStyle name="Input 2 7 8 3" xfId="21639" xr:uid="{00000000-0005-0000-0000-0000AC310000}"/>
    <cellStyle name="Input 2 7 9" xfId="3840" xr:uid="{00000000-0005-0000-0000-0000AD310000}"/>
    <cellStyle name="Input 2 7 9 2" xfId="22307" xr:uid="{00000000-0005-0000-0000-0000AE310000}"/>
    <cellStyle name="Input 2 7 9 3" xfId="17522" xr:uid="{00000000-0005-0000-0000-0000AF310000}"/>
    <cellStyle name="Input 2 8" xfId="2144" xr:uid="{00000000-0005-0000-0000-0000B0310000}"/>
    <cellStyle name="Input 2 8 10" xfId="15146" xr:uid="{00000000-0005-0000-0000-0000B1310000}"/>
    <cellStyle name="Input 2 8 10 2" xfId="36557" xr:uid="{00000000-0005-0000-0000-0000B2310000}"/>
    <cellStyle name="Input 2 8 10 3" xfId="16836" xr:uid="{00000000-0005-0000-0000-0000B3310000}"/>
    <cellStyle name="Input 2 8 11" xfId="14840" xr:uid="{00000000-0005-0000-0000-0000B4310000}"/>
    <cellStyle name="Input 2 8 11 2" xfId="36290" xr:uid="{00000000-0005-0000-0000-0000B5310000}"/>
    <cellStyle name="Input 2 8 12" xfId="31231" xr:uid="{00000000-0005-0000-0000-0000B6310000}"/>
    <cellStyle name="Input 2 8 13" xfId="38046" xr:uid="{00000000-0005-0000-0000-0000680A0000}"/>
    <cellStyle name="Input 2 8 14" xfId="40992" xr:uid="{00000000-0005-0000-0000-0000680A0000}"/>
    <cellStyle name="Input 2 8 2" xfId="3401" xr:uid="{00000000-0005-0000-0000-0000B7310000}"/>
    <cellStyle name="Input 2 8 2 10" xfId="14859" xr:uid="{00000000-0005-0000-0000-0000B8310000}"/>
    <cellStyle name="Input 2 8 2 10 2" xfId="36307" xr:uid="{00000000-0005-0000-0000-0000B9310000}"/>
    <cellStyle name="Input 2 8 2 11" xfId="31461" xr:uid="{00000000-0005-0000-0000-0000BA310000}"/>
    <cellStyle name="Input 2 8 2 12" xfId="28134" xr:uid="{00000000-0005-0000-0000-0000BB310000}"/>
    <cellStyle name="Input 2 8 2 2" xfId="5537" xr:uid="{00000000-0005-0000-0000-0000BC310000}"/>
    <cellStyle name="Input 2 8 2 2 2" xfId="12647" xr:uid="{00000000-0005-0000-0000-0000BD310000}"/>
    <cellStyle name="Input 2 8 2 2 2 2" xfId="35048" xr:uid="{00000000-0005-0000-0000-0000BE310000}"/>
    <cellStyle name="Input 2 8 2 2 2 3" xfId="23990" xr:uid="{00000000-0005-0000-0000-0000BF310000}"/>
    <cellStyle name="Input 2 8 2 2 3" xfId="15740" xr:uid="{00000000-0005-0000-0000-0000C0310000}"/>
    <cellStyle name="Input 2 8 2 2 3 2" xfId="37105" xr:uid="{00000000-0005-0000-0000-0000C1310000}"/>
    <cellStyle name="Input 2 8 2 2 4" xfId="15474" xr:uid="{00000000-0005-0000-0000-0000C2310000}"/>
    <cellStyle name="Input 2 8 2 2 4 2" xfId="36853" xr:uid="{00000000-0005-0000-0000-0000C3310000}"/>
    <cellStyle name="Input 2 8 2 2 5" xfId="14971" xr:uid="{00000000-0005-0000-0000-0000C4310000}"/>
    <cellStyle name="Input 2 8 2 2 6" xfId="32197" xr:uid="{00000000-0005-0000-0000-0000C5310000}"/>
    <cellStyle name="Input 2 8 2 2 7" xfId="30387" xr:uid="{00000000-0005-0000-0000-0000C6310000}"/>
    <cellStyle name="Input 2 8 2 2 8" xfId="19125" xr:uid="{00000000-0005-0000-0000-0000C7310000}"/>
    <cellStyle name="Input 2 8 2 3" xfId="5059" xr:uid="{00000000-0005-0000-0000-0000C8310000}"/>
    <cellStyle name="Input 2 8 2 3 2" xfId="23519" xr:uid="{00000000-0005-0000-0000-0000C9310000}"/>
    <cellStyle name="Input 2 8 2 3 3" xfId="18673" xr:uid="{00000000-0005-0000-0000-0000CA310000}"/>
    <cellStyle name="Input 2 8 2 4" xfId="6076" xr:uid="{00000000-0005-0000-0000-0000CB310000}"/>
    <cellStyle name="Input 2 8 2 4 2" xfId="24517" xr:uid="{00000000-0005-0000-0000-0000CC310000}"/>
    <cellStyle name="Input 2 8 2 4 3" xfId="19626" xr:uid="{00000000-0005-0000-0000-0000CD310000}"/>
    <cellStyle name="Input 2 8 2 5" xfId="7573" xr:uid="{00000000-0005-0000-0000-0000CE310000}"/>
    <cellStyle name="Input 2 8 2 5 2" xfId="26003" xr:uid="{00000000-0005-0000-0000-0000CF310000}"/>
    <cellStyle name="Input 2 8 2 5 3" xfId="20928" xr:uid="{00000000-0005-0000-0000-0000D0310000}"/>
    <cellStyle name="Input 2 8 2 6" xfId="7946" xr:uid="{00000000-0005-0000-0000-0000D1310000}"/>
    <cellStyle name="Input 2 8 2 6 2" xfId="26376" xr:uid="{00000000-0005-0000-0000-0000D2310000}"/>
    <cellStyle name="Input 2 8 2 6 3" xfId="21300" xr:uid="{00000000-0005-0000-0000-0000D3310000}"/>
    <cellStyle name="Input 2 8 2 7" xfId="8670" xr:uid="{00000000-0005-0000-0000-0000D4310000}"/>
    <cellStyle name="Input 2 8 2 7 2" xfId="27090" xr:uid="{00000000-0005-0000-0000-0000D5310000}"/>
    <cellStyle name="Input 2 8 2 7 3" xfId="21961" xr:uid="{00000000-0005-0000-0000-0000D6310000}"/>
    <cellStyle name="Input 2 8 2 8" xfId="4162" xr:uid="{00000000-0005-0000-0000-0000D7310000}"/>
    <cellStyle name="Input 2 8 2 8 2" xfId="22626" xr:uid="{00000000-0005-0000-0000-0000D8310000}"/>
    <cellStyle name="Input 2 8 2 8 3" xfId="17844" xr:uid="{00000000-0005-0000-0000-0000D9310000}"/>
    <cellStyle name="Input 2 8 2 9" xfId="15733" xr:uid="{00000000-0005-0000-0000-0000DA310000}"/>
    <cellStyle name="Input 2 8 2 9 2" xfId="37098" xr:uid="{00000000-0005-0000-0000-0000DB310000}"/>
    <cellStyle name="Input 2 8 2 9 3" xfId="17171" xr:uid="{00000000-0005-0000-0000-0000DC310000}"/>
    <cellStyle name="Input 2 8 3" xfId="4779" xr:uid="{00000000-0005-0000-0000-0000DD310000}"/>
    <cellStyle name="Input 2 8 3 2" xfId="23239" xr:uid="{00000000-0005-0000-0000-0000DE310000}"/>
    <cellStyle name="Input 2 8 3 3" xfId="18394" xr:uid="{00000000-0005-0000-0000-0000DF310000}"/>
    <cellStyle name="Input 2 8 4" xfId="5863" xr:uid="{00000000-0005-0000-0000-0000E0310000}"/>
    <cellStyle name="Input 2 8 4 2" xfId="24309" xr:uid="{00000000-0005-0000-0000-0000E1310000}"/>
    <cellStyle name="Input 2 8 4 3" xfId="19418" xr:uid="{00000000-0005-0000-0000-0000E2310000}"/>
    <cellStyle name="Input 2 8 5" xfId="6527" xr:uid="{00000000-0005-0000-0000-0000E3310000}"/>
    <cellStyle name="Input 2 8 5 2" xfId="24967" xr:uid="{00000000-0005-0000-0000-0000E4310000}"/>
    <cellStyle name="Input 2 8 5 3" xfId="20076" xr:uid="{00000000-0005-0000-0000-0000E5310000}"/>
    <cellStyle name="Input 2 8 6" xfId="6960" xr:uid="{00000000-0005-0000-0000-0000E6310000}"/>
    <cellStyle name="Input 2 8 6 2" xfId="25398" xr:uid="{00000000-0005-0000-0000-0000E7310000}"/>
    <cellStyle name="Input 2 8 6 3" xfId="20341" xr:uid="{00000000-0005-0000-0000-0000E8310000}"/>
    <cellStyle name="Input 2 8 7" xfId="6540" xr:uid="{00000000-0005-0000-0000-0000E9310000}"/>
    <cellStyle name="Input 2 8 7 2" xfId="24980" xr:uid="{00000000-0005-0000-0000-0000EA310000}"/>
    <cellStyle name="Input 2 8 7 3" xfId="20089" xr:uid="{00000000-0005-0000-0000-0000EB310000}"/>
    <cellStyle name="Input 2 8 8" xfId="8349" xr:uid="{00000000-0005-0000-0000-0000EC310000}"/>
    <cellStyle name="Input 2 8 8 2" xfId="26772" xr:uid="{00000000-0005-0000-0000-0000ED310000}"/>
    <cellStyle name="Input 2 8 8 3" xfId="21640" xr:uid="{00000000-0005-0000-0000-0000EE310000}"/>
    <cellStyle name="Input 2 8 9" xfId="3841" xr:uid="{00000000-0005-0000-0000-0000EF310000}"/>
    <cellStyle name="Input 2 8 9 2" xfId="22308" xr:uid="{00000000-0005-0000-0000-0000F0310000}"/>
    <cellStyle name="Input 2 8 9 3" xfId="17523" xr:uid="{00000000-0005-0000-0000-0000F1310000}"/>
    <cellStyle name="Input 2 9" xfId="2145" xr:uid="{00000000-0005-0000-0000-0000F2310000}"/>
    <cellStyle name="Input 2 9 10" xfId="14499" xr:uid="{00000000-0005-0000-0000-0000F3310000}"/>
    <cellStyle name="Input 2 9 10 2" xfId="36027" xr:uid="{00000000-0005-0000-0000-0000F4310000}"/>
    <cellStyle name="Input 2 9 10 3" xfId="16837" xr:uid="{00000000-0005-0000-0000-0000F5310000}"/>
    <cellStyle name="Input 2 9 11" xfId="16118" xr:uid="{00000000-0005-0000-0000-0000F6310000}"/>
    <cellStyle name="Input 2 9 11 2" xfId="37439" xr:uid="{00000000-0005-0000-0000-0000F7310000}"/>
    <cellStyle name="Input 2 9 12" xfId="31232" xr:uid="{00000000-0005-0000-0000-0000F8310000}"/>
    <cellStyle name="Input 2 9 13" xfId="38047" xr:uid="{00000000-0005-0000-0000-0000690A0000}"/>
    <cellStyle name="Input 2 9 14" xfId="40993" xr:uid="{00000000-0005-0000-0000-0000690A0000}"/>
    <cellStyle name="Input 2 9 2" xfId="3402" xr:uid="{00000000-0005-0000-0000-0000F9310000}"/>
    <cellStyle name="Input 2 9 2 10" xfId="14702" xr:uid="{00000000-0005-0000-0000-0000FA310000}"/>
    <cellStyle name="Input 2 9 2 10 2" xfId="36182" xr:uid="{00000000-0005-0000-0000-0000FB310000}"/>
    <cellStyle name="Input 2 9 2 11" xfId="31462" xr:uid="{00000000-0005-0000-0000-0000FC310000}"/>
    <cellStyle name="Input 2 9 2 12" xfId="28135" xr:uid="{00000000-0005-0000-0000-0000FD310000}"/>
    <cellStyle name="Input 2 9 2 2" xfId="5538" xr:uid="{00000000-0005-0000-0000-0000FE310000}"/>
    <cellStyle name="Input 2 9 2 2 2" xfId="12648" xr:uid="{00000000-0005-0000-0000-0000FF310000}"/>
    <cellStyle name="Input 2 9 2 2 2 2" xfId="35049" xr:uid="{00000000-0005-0000-0000-000000320000}"/>
    <cellStyle name="Input 2 9 2 2 2 3" xfId="23991" xr:uid="{00000000-0005-0000-0000-000001320000}"/>
    <cellStyle name="Input 2 9 2 2 3" xfId="15179" xr:uid="{00000000-0005-0000-0000-000002320000}"/>
    <cellStyle name="Input 2 9 2 2 3 2" xfId="36589" xr:uid="{00000000-0005-0000-0000-000003320000}"/>
    <cellStyle name="Input 2 9 2 2 4" xfId="16130" xr:uid="{00000000-0005-0000-0000-000004320000}"/>
    <cellStyle name="Input 2 9 2 2 4 2" xfId="37451" xr:uid="{00000000-0005-0000-0000-000005320000}"/>
    <cellStyle name="Input 2 9 2 2 5" xfId="15294" xr:uid="{00000000-0005-0000-0000-000006320000}"/>
    <cellStyle name="Input 2 9 2 2 6" xfId="32198" xr:uid="{00000000-0005-0000-0000-000007320000}"/>
    <cellStyle name="Input 2 9 2 2 7" xfId="30388" xr:uid="{00000000-0005-0000-0000-000008320000}"/>
    <cellStyle name="Input 2 9 2 2 8" xfId="19126" xr:uid="{00000000-0005-0000-0000-000009320000}"/>
    <cellStyle name="Input 2 9 2 3" xfId="5060" xr:uid="{00000000-0005-0000-0000-00000A320000}"/>
    <cellStyle name="Input 2 9 2 3 2" xfId="23520" xr:uid="{00000000-0005-0000-0000-00000B320000}"/>
    <cellStyle name="Input 2 9 2 3 3" xfId="18674" xr:uid="{00000000-0005-0000-0000-00000C320000}"/>
    <cellStyle name="Input 2 9 2 4" xfId="6075" xr:uid="{00000000-0005-0000-0000-00000D320000}"/>
    <cellStyle name="Input 2 9 2 4 2" xfId="24516" xr:uid="{00000000-0005-0000-0000-00000E320000}"/>
    <cellStyle name="Input 2 9 2 4 3" xfId="19625" xr:uid="{00000000-0005-0000-0000-00000F320000}"/>
    <cellStyle name="Input 2 9 2 5" xfId="7574" xr:uid="{00000000-0005-0000-0000-000010320000}"/>
    <cellStyle name="Input 2 9 2 5 2" xfId="26004" xr:uid="{00000000-0005-0000-0000-000011320000}"/>
    <cellStyle name="Input 2 9 2 5 3" xfId="20929" xr:uid="{00000000-0005-0000-0000-000012320000}"/>
    <cellStyle name="Input 2 9 2 6" xfId="7947" xr:uid="{00000000-0005-0000-0000-000013320000}"/>
    <cellStyle name="Input 2 9 2 6 2" xfId="26377" xr:uid="{00000000-0005-0000-0000-000014320000}"/>
    <cellStyle name="Input 2 9 2 6 3" xfId="21301" xr:uid="{00000000-0005-0000-0000-000015320000}"/>
    <cellStyle name="Input 2 9 2 7" xfId="8671" xr:uid="{00000000-0005-0000-0000-000016320000}"/>
    <cellStyle name="Input 2 9 2 7 2" xfId="27091" xr:uid="{00000000-0005-0000-0000-000017320000}"/>
    <cellStyle name="Input 2 9 2 7 3" xfId="21962" xr:uid="{00000000-0005-0000-0000-000018320000}"/>
    <cellStyle name="Input 2 9 2 8" xfId="4163" xr:uid="{00000000-0005-0000-0000-000019320000}"/>
    <cellStyle name="Input 2 9 2 8 2" xfId="22627" xr:uid="{00000000-0005-0000-0000-00001A320000}"/>
    <cellStyle name="Input 2 9 2 8 3" xfId="17845" xr:uid="{00000000-0005-0000-0000-00001B320000}"/>
    <cellStyle name="Input 2 9 2 9" xfId="15147" xr:uid="{00000000-0005-0000-0000-00001C320000}"/>
    <cellStyle name="Input 2 9 2 9 2" xfId="36558" xr:uid="{00000000-0005-0000-0000-00001D320000}"/>
    <cellStyle name="Input 2 9 2 9 3" xfId="17172" xr:uid="{00000000-0005-0000-0000-00001E320000}"/>
    <cellStyle name="Input 2 9 3" xfId="4780" xr:uid="{00000000-0005-0000-0000-00001F320000}"/>
    <cellStyle name="Input 2 9 3 2" xfId="23240" xr:uid="{00000000-0005-0000-0000-000020320000}"/>
    <cellStyle name="Input 2 9 3 3" xfId="18395" xr:uid="{00000000-0005-0000-0000-000021320000}"/>
    <cellStyle name="Input 2 9 4" xfId="4560" xr:uid="{00000000-0005-0000-0000-000022320000}"/>
    <cellStyle name="Input 2 9 4 2" xfId="23020" xr:uid="{00000000-0005-0000-0000-000023320000}"/>
    <cellStyle name="Input 2 9 4 3" xfId="18237" xr:uid="{00000000-0005-0000-0000-000024320000}"/>
    <cellStyle name="Input 2 9 5" xfId="6526" xr:uid="{00000000-0005-0000-0000-000025320000}"/>
    <cellStyle name="Input 2 9 5 2" xfId="24966" xr:uid="{00000000-0005-0000-0000-000026320000}"/>
    <cellStyle name="Input 2 9 5 3" xfId="20075" xr:uid="{00000000-0005-0000-0000-000027320000}"/>
    <cellStyle name="Input 2 9 6" xfId="6961" xr:uid="{00000000-0005-0000-0000-000028320000}"/>
    <cellStyle name="Input 2 9 6 2" xfId="25399" xr:uid="{00000000-0005-0000-0000-000029320000}"/>
    <cellStyle name="Input 2 9 6 3" xfId="20342" xr:uid="{00000000-0005-0000-0000-00002A320000}"/>
    <cellStyle name="Input 2 9 7" xfId="7024" xr:uid="{00000000-0005-0000-0000-00002B320000}"/>
    <cellStyle name="Input 2 9 7 2" xfId="25462" xr:uid="{00000000-0005-0000-0000-00002C320000}"/>
    <cellStyle name="Input 2 9 7 3" xfId="20399" xr:uid="{00000000-0005-0000-0000-00002D320000}"/>
    <cellStyle name="Input 2 9 8" xfId="8350" xr:uid="{00000000-0005-0000-0000-00002E320000}"/>
    <cellStyle name="Input 2 9 8 2" xfId="26773" xr:uid="{00000000-0005-0000-0000-00002F320000}"/>
    <cellStyle name="Input 2 9 8 3" xfId="21641" xr:uid="{00000000-0005-0000-0000-000030320000}"/>
    <cellStyle name="Input 2 9 9" xfId="3842" xr:uid="{00000000-0005-0000-0000-000031320000}"/>
    <cellStyle name="Input 2 9 9 2" xfId="22309" xr:uid="{00000000-0005-0000-0000-000032320000}"/>
    <cellStyle name="Input 2 9 9 3" xfId="17524" xr:uid="{00000000-0005-0000-0000-000033320000}"/>
    <cellStyle name="Input 2_PrimaryEnergyPrices_TIMES" xfId="39633" xr:uid="{00000000-0005-0000-0000-00006A0A0000}"/>
    <cellStyle name="Input 20 2" xfId="39634" xr:uid="{00000000-0005-0000-0000-00006B0A0000}"/>
    <cellStyle name="Input 20 2 2" xfId="41289" xr:uid="{00000000-0005-0000-0000-00006B0A0000}"/>
    <cellStyle name="Input 21 2" xfId="39635" xr:uid="{00000000-0005-0000-0000-00006C0A0000}"/>
    <cellStyle name="Input 21 2 2" xfId="41290" xr:uid="{00000000-0005-0000-0000-00006C0A0000}"/>
    <cellStyle name="Input 22 2" xfId="39636" xr:uid="{00000000-0005-0000-0000-00006D0A0000}"/>
    <cellStyle name="Input 22 2 2" xfId="41291" xr:uid="{00000000-0005-0000-0000-00006D0A0000}"/>
    <cellStyle name="Input 23 2" xfId="39637" xr:uid="{00000000-0005-0000-0000-00006E0A0000}"/>
    <cellStyle name="Input 23 2 2" xfId="41292" xr:uid="{00000000-0005-0000-0000-00006E0A0000}"/>
    <cellStyle name="Input 24 2" xfId="39638" xr:uid="{00000000-0005-0000-0000-00006F0A0000}"/>
    <cellStyle name="Input 24 2 2" xfId="41293" xr:uid="{00000000-0005-0000-0000-00006F0A0000}"/>
    <cellStyle name="Input 25 2" xfId="39639" xr:uid="{00000000-0005-0000-0000-0000700A0000}"/>
    <cellStyle name="Input 25 2 2" xfId="41294" xr:uid="{00000000-0005-0000-0000-0000700A0000}"/>
    <cellStyle name="Input 26 2" xfId="39640" xr:uid="{00000000-0005-0000-0000-0000710A0000}"/>
    <cellStyle name="Input 26 2 2" xfId="41295" xr:uid="{00000000-0005-0000-0000-0000710A0000}"/>
    <cellStyle name="Input 27 2" xfId="39641" xr:uid="{00000000-0005-0000-0000-0000720A0000}"/>
    <cellStyle name="Input 27 2 2" xfId="41296" xr:uid="{00000000-0005-0000-0000-0000720A0000}"/>
    <cellStyle name="Input 28 2" xfId="39642" xr:uid="{00000000-0005-0000-0000-0000730A0000}"/>
    <cellStyle name="Input 28 2 2" xfId="41297" xr:uid="{00000000-0005-0000-0000-0000730A0000}"/>
    <cellStyle name="Input 29 2" xfId="39643" xr:uid="{00000000-0005-0000-0000-0000740A0000}"/>
    <cellStyle name="Input 29 2 2" xfId="41298" xr:uid="{00000000-0005-0000-0000-0000740A0000}"/>
    <cellStyle name="Input 3" xfId="2146" xr:uid="{00000000-0005-0000-0000-000034320000}"/>
    <cellStyle name="Input 3 10" xfId="2147" xr:uid="{00000000-0005-0000-0000-000035320000}"/>
    <cellStyle name="Input 3 10 10" xfId="14500" xr:uid="{00000000-0005-0000-0000-000036320000}"/>
    <cellStyle name="Input 3 10 10 2" xfId="36028" xr:uid="{00000000-0005-0000-0000-000037320000}"/>
    <cellStyle name="Input 3 10 10 3" xfId="16839" xr:uid="{00000000-0005-0000-0000-000038320000}"/>
    <cellStyle name="Input 3 10 11" xfId="15193" xr:uid="{00000000-0005-0000-0000-000039320000}"/>
    <cellStyle name="Input 3 10 11 2" xfId="36601" xr:uid="{00000000-0005-0000-0000-00003A320000}"/>
    <cellStyle name="Input 3 10 12" xfId="31234" xr:uid="{00000000-0005-0000-0000-00003B320000}"/>
    <cellStyle name="Input 3 10 2" xfId="3404" xr:uid="{00000000-0005-0000-0000-00003C320000}"/>
    <cellStyle name="Input 3 10 2 10" xfId="15333" xr:uid="{00000000-0005-0000-0000-00003D320000}"/>
    <cellStyle name="Input 3 10 2 10 2" xfId="36721" xr:uid="{00000000-0005-0000-0000-00003E320000}"/>
    <cellStyle name="Input 3 10 2 11" xfId="31464" xr:uid="{00000000-0005-0000-0000-00003F320000}"/>
    <cellStyle name="Input 3 10 2 2" xfId="5540" xr:uid="{00000000-0005-0000-0000-000040320000}"/>
    <cellStyle name="Input 3 10 2 2 2" xfId="23993" xr:uid="{00000000-0005-0000-0000-000041320000}"/>
    <cellStyle name="Input 3 10 2 2 3" xfId="19128" xr:uid="{00000000-0005-0000-0000-000042320000}"/>
    <cellStyle name="Input 3 10 2 3" xfId="5062" xr:uid="{00000000-0005-0000-0000-000043320000}"/>
    <cellStyle name="Input 3 10 2 3 2" xfId="23522" xr:uid="{00000000-0005-0000-0000-000044320000}"/>
    <cellStyle name="Input 3 10 2 3 3" xfId="18676" xr:uid="{00000000-0005-0000-0000-000045320000}"/>
    <cellStyle name="Input 3 10 2 4" xfId="6073" xr:uid="{00000000-0005-0000-0000-000046320000}"/>
    <cellStyle name="Input 3 10 2 4 2" xfId="24514" xr:uid="{00000000-0005-0000-0000-000047320000}"/>
    <cellStyle name="Input 3 10 2 4 3" xfId="19623" xr:uid="{00000000-0005-0000-0000-000048320000}"/>
    <cellStyle name="Input 3 10 2 5" xfId="7576" xr:uid="{00000000-0005-0000-0000-000049320000}"/>
    <cellStyle name="Input 3 10 2 5 2" xfId="26006" xr:uid="{00000000-0005-0000-0000-00004A320000}"/>
    <cellStyle name="Input 3 10 2 5 3" xfId="20931" xr:uid="{00000000-0005-0000-0000-00004B320000}"/>
    <cellStyle name="Input 3 10 2 6" xfId="7949" xr:uid="{00000000-0005-0000-0000-00004C320000}"/>
    <cellStyle name="Input 3 10 2 6 2" xfId="26379" xr:uid="{00000000-0005-0000-0000-00004D320000}"/>
    <cellStyle name="Input 3 10 2 6 3" xfId="21303" xr:uid="{00000000-0005-0000-0000-00004E320000}"/>
    <cellStyle name="Input 3 10 2 7" xfId="8673" xr:uid="{00000000-0005-0000-0000-00004F320000}"/>
    <cellStyle name="Input 3 10 2 7 2" xfId="27093" xr:uid="{00000000-0005-0000-0000-000050320000}"/>
    <cellStyle name="Input 3 10 2 7 3" xfId="21964" xr:uid="{00000000-0005-0000-0000-000051320000}"/>
    <cellStyle name="Input 3 10 2 8" xfId="4165" xr:uid="{00000000-0005-0000-0000-000052320000}"/>
    <cellStyle name="Input 3 10 2 8 2" xfId="22629" xr:uid="{00000000-0005-0000-0000-000053320000}"/>
    <cellStyle name="Input 3 10 2 8 3" xfId="17847" xr:uid="{00000000-0005-0000-0000-000054320000}"/>
    <cellStyle name="Input 3 10 2 9" xfId="15148" xr:uid="{00000000-0005-0000-0000-000055320000}"/>
    <cellStyle name="Input 3 10 2 9 2" xfId="36559" xr:uid="{00000000-0005-0000-0000-000056320000}"/>
    <cellStyle name="Input 3 10 2 9 3" xfId="17174" xr:uid="{00000000-0005-0000-0000-000057320000}"/>
    <cellStyle name="Input 3 10 3" xfId="4782" xr:uid="{00000000-0005-0000-0000-000058320000}"/>
    <cellStyle name="Input 3 10 3 2" xfId="23242" xr:uid="{00000000-0005-0000-0000-000059320000}"/>
    <cellStyle name="Input 3 10 3 3" xfId="18397" xr:uid="{00000000-0005-0000-0000-00005A320000}"/>
    <cellStyle name="Input 3 10 4" xfId="4561" xr:uid="{00000000-0005-0000-0000-00005B320000}"/>
    <cellStyle name="Input 3 10 4 2" xfId="23021" xr:uid="{00000000-0005-0000-0000-00005C320000}"/>
    <cellStyle name="Input 3 10 4 3" xfId="18238" xr:uid="{00000000-0005-0000-0000-00005D320000}"/>
    <cellStyle name="Input 3 10 5" xfId="6524" xr:uid="{00000000-0005-0000-0000-00005E320000}"/>
    <cellStyle name="Input 3 10 5 2" xfId="24964" xr:uid="{00000000-0005-0000-0000-00005F320000}"/>
    <cellStyle name="Input 3 10 5 3" xfId="20073" xr:uid="{00000000-0005-0000-0000-000060320000}"/>
    <cellStyle name="Input 3 10 6" xfId="6963" xr:uid="{00000000-0005-0000-0000-000061320000}"/>
    <cellStyle name="Input 3 10 6 2" xfId="25401" xr:uid="{00000000-0005-0000-0000-000062320000}"/>
    <cellStyle name="Input 3 10 6 3" xfId="20344" xr:uid="{00000000-0005-0000-0000-000063320000}"/>
    <cellStyle name="Input 3 10 7" xfId="6538" xr:uid="{00000000-0005-0000-0000-000064320000}"/>
    <cellStyle name="Input 3 10 7 2" xfId="24978" xr:uid="{00000000-0005-0000-0000-000065320000}"/>
    <cellStyle name="Input 3 10 7 3" xfId="20087" xr:uid="{00000000-0005-0000-0000-000066320000}"/>
    <cellStyle name="Input 3 10 8" xfId="8352" xr:uid="{00000000-0005-0000-0000-000067320000}"/>
    <cellStyle name="Input 3 10 8 2" xfId="26775" xr:uid="{00000000-0005-0000-0000-000068320000}"/>
    <cellStyle name="Input 3 10 8 3" xfId="21643" xr:uid="{00000000-0005-0000-0000-000069320000}"/>
    <cellStyle name="Input 3 10 9" xfId="3844" xr:uid="{00000000-0005-0000-0000-00006A320000}"/>
    <cellStyle name="Input 3 10 9 2" xfId="22311" xr:uid="{00000000-0005-0000-0000-00006B320000}"/>
    <cellStyle name="Input 3 10 9 3" xfId="17526" xr:uid="{00000000-0005-0000-0000-00006C320000}"/>
    <cellStyle name="Input 3 11" xfId="2148" xr:uid="{00000000-0005-0000-0000-00006D320000}"/>
    <cellStyle name="Input 3 11 10" xfId="16497" xr:uid="{00000000-0005-0000-0000-00006E320000}"/>
    <cellStyle name="Input 3 11 10 2" xfId="37740" xr:uid="{00000000-0005-0000-0000-00006F320000}"/>
    <cellStyle name="Input 3 11 10 3" xfId="16840" xr:uid="{00000000-0005-0000-0000-000070320000}"/>
    <cellStyle name="Input 3 11 11" xfId="14681" xr:uid="{00000000-0005-0000-0000-000071320000}"/>
    <cellStyle name="Input 3 11 11 2" xfId="36164" xr:uid="{00000000-0005-0000-0000-000072320000}"/>
    <cellStyle name="Input 3 11 12" xfId="31235" xr:uid="{00000000-0005-0000-0000-000073320000}"/>
    <cellStyle name="Input 3 11 2" xfId="3405" xr:uid="{00000000-0005-0000-0000-000074320000}"/>
    <cellStyle name="Input 3 11 2 10" xfId="14666" xr:uid="{00000000-0005-0000-0000-000075320000}"/>
    <cellStyle name="Input 3 11 2 10 2" xfId="36149" xr:uid="{00000000-0005-0000-0000-000076320000}"/>
    <cellStyle name="Input 3 11 2 11" xfId="31465" xr:uid="{00000000-0005-0000-0000-000077320000}"/>
    <cellStyle name="Input 3 11 2 2" xfId="5541" xr:uid="{00000000-0005-0000-0000-000078320000}"/>
    <cellStyle name="Input 3 11 2 2 2" xfId="23994" xr:uid="{00000000-0005-0000-0000-000079320000}"/>
    <cellStyle name="Input 3 11 2 2 3" xfId="19129" xr:uid="{00000000-0005-0000-0000-00007A320000}"/>
    <cellStyle name="Input 3 11 2 3" xfId="5063" xr:uid="{00000000-0005-0000-0000-00007B320000}"/>
    <cellStyle name="Input 3 11 2 3 2" xfId="23523" xr:uid="{00000000-0005-0000-0000-00007C320000}"/>
    <cellStyle name="Input 3 11 2 3 3" xfId="18677" xr:uid="{00000000-0005-0000-0000-00007D320000}"/>
    <cellStyle name="Input 3 11 2 4" xfId="6072" xr:uid="{00000000-0005-0000-0000-00007E320000}"/>
    <cellStyle name="Input 3 11 2 4 2" xfId="24513" xr:uid="{00000000-0005-0000-0000-00007F320000}"/>
    <cellStyle name="Input 3 11 2 4 3" xfId="19622" xr:uid="{00000000-0005-0000-0000-000080320000}"/>
    <cellStyle name="Input 3 11 2 5" xfId="7577" xr:uid="{00000000-0005-0000-0000-000081320000}"/>
    <cellStyle name="Input 3 11 2 5 2" xfId="26007" xr:uid="{00000000-0005-0000-0000-000082320000}"/>
    <cellStyle name="Input 3 11 2 5 3" xfId="20932" xr:uid="{00000000-0005-0000-0000-000083320000}"/>
    <cellStyle name="Input 3 11 2 6" xfId="7950" xr:uid="{00000000-0005-0000-0000-000084320000}"/>
    <cellStyle name="Input 3 11 2 6 2" xfId="26380" xr:uid="{00000000-0005-0000-0000-000085320000}"/>
    <cellStyle name="Input 3 11 2 6 3" xfId="21304" xr:uid="{00000000-0005-0000-0000-000086320000}"/>
    <cellStyle name="Input 3 11 2 7" xfId="8674" xr:uid="{00000000-0005-0000-0000-000087320000}"/>
    <cellStyle name="Input 3 11 2 7 2" xfId="27094" xr:uid="{00000000-0005-0000-0000-000088320000}"/>
    <cellStyle name="Input 3 11 2 7 3" xfId="21965" xr:uid="{00000000-0005-0000-0000-000089320000}"/>
    <cellStyle name="Input 3 11 2 8" xfId="4166" xr:uid="{00000000-0005-0000-0000-00008A320000}"/>
    <cellStyle name="Input 3 11 2 8 2" xfId="22630" xr:uid="{00000000-0005-0000-0000-00008B320000}"/>
    <cellStyle name="Input 3 11 2 8 3" xfId="17848" xr:uid="{00000000-0005-0000-0000-00008C320000}"/>
    <cellStyle name="Input 3 11 2 9" xfId="14634" xr:uid="{00000000-0005-0000-0000-00008D320000}"/>
    <cellStyle name="Input 3 11 2 9 2" xfId="36127" xr:uid="{00000000-0005-0000-0000-00008E320000}"/>
    <cellStyle name="Input 3 11 2 9 3" xfId="17175" xr:uid="{00000000-0005-0000-0000-00008F320000}"/>
    <cellStyle name="Input 3 11 3" xfId="4783" xr:uid="{00000000-0005-0000-0000-000090320000}"/>
    <cellStyle name="Input 3 11 3 2" xfId="23243" xr:uid="{00000000-0005-0000-0000-000091320000}"/>
    <cellStyle name="Input 3 11 3 3" xfId="18398" xr:uid="{00000000-0005-0000-0000-000092320000}"/>
    <cellStyle name="Input 3 11 4" xfId="4562" xr:uid="{00000000-0005-0000-0000-000093320000}"/>
    <cellStyle name="Input 3 11 4 2" xfId="23022" xr:uid="{00000000-0005-0000-0000-000094320000}"/>
    <cellStyle name="Input 3 11 4 3" xfId="18239" xr:uid="{00000000-0005-0000-0000-000095320000}"/>
    <cellStyle name="Input 3 11 5" xfId="6523" xr:uid="{00000000-0005-0000-0000-000096320000}"/>
    <cellStyle name="Input 3 11 5 2" xfId="24963" xr:uid="{00000000-0005-0000-0000-000097320000}"/>
    <cellStyle name="Input 3 11 5 3" xfId="20072" xr:uid="{00000000-0005-0000-0000-000098320000}"/>
    <cellStyle name="Input 3 11 6" xfId="6964" xr:uid="{00000000-0005-0000-0000-000099320000}"/>
    <cellStyle name="Input 3 11 6 2" xfId="25402" xr:uid="{00000000-0005-0000-0000-00009A320000}"/>
    <cellStyle name="Input 3 11 6 3" xfId="20345" xr:uid="{00000000-0005-0000-0000-00009B320000}"/>
    <cellStyle name="Input 3 11 7" xfId="6478" xr:uid="{00000000-0005-0000-0000-00009C320000}"/>
    <cellStyle name="Input 3 11 7 2" xfId="24918" xr:uid="{00000000-0005-0000-0000-00009D320000}"/>
    <cellStyle name="Input 3 11 7 3" xfId="20027" xr:uid="{00000000-0005-0000-0000-00009E320000}"/>
    <cellStyle name="Input 3 11 8" xfId="8353" xr:uid="{00000000-0005-0000-0000-00009F320000}"/>
    <cellStyle name="Input 3 11 8 2" xfId="26776" xr:uid="{00000000-0005-0000-0000-0000A0320000}"/>
    <cellStyle name="Input 3 11 8 3" xfId="21644" xr:uid="{00000000-0005-0000-0000-0000A1320000}"/>
    <cellStyle name="Input 3 11 9" xfId="3845" xr:uid="{00000000-0005-0000-0000-0000A2320000}"/>
    <cellStyle name="Input 3 11 9 2" xfId="22312" xr:uid="{00000000-0005-0000-0000-0000A3320000}"/>
    <cellStyle name="Input 3 11 9 3" xfId="17527" xr:uid="{00000000-0005-0000-0000-0000A4320000}"/>
    <cellStyle name="Input 3 12" xfId="3403" xr:uid="{00000000-0005-0000-0000-0000A5320000}"/>
    <cellStyle name="Input 3 12 10" xfId="15475" xr:uid="{00000000-0005-0000-0000-0000A6320000}"/>
    <cellStyle name="Input 3 12 10 2" xfId="36854" xr:uid="{00000000-0005-0000-0000-0000A7320000}"/>
    <cellStyle name="Input 3 12 11" xfId="31463" xr:uid="{00000000-0005-0000-0000-0000A8320000}"/>
    <cellStyle name="Input 3 12 12" xfId="28136" xr:uid="{00000000-0005-0000-0000-0000A9320000}"/>
    <cellStyle name="Input 3 12 2" xfId="5539" xr:uid="{00000000-0005-0000-0000-0000AA320000}"/>
    <cellStyle name="Input 3 12 2 2" xfId="12649" xr:uid="{00000000-0005-0000-0000-0000AB320000}"/>
    <cellStyle name="Input 3 12 2 2 2" xfId="35050" xr:uid="{00000000-0005-0000-0000-0000AC320000}"/>
    <cellStyle name="Input 3 12 2 2 3" xfId="23992" xr:uid="{00000000-0005-0000-0000-0000AD320000}"/>
    <cellStyle name="Input 3 12 2 3" xfId="15178" xr:uid="{00000000-0005-0000-0000-0000AE320000}"/>
    <cellStyle name="Input 3 12 2 3 2" xfId="36588" xr:uid="{00000000-0005-0000-0000-0000AF320000}"/>
    <cellStyle name="Input 3 12 2 4" xfId="15569" xr:uid="{00000000-0005-0000-0000-0000B0320000}"/>
    <cellStyle name="Input 3 12 2 4 2" xfId="36946" xr:uid="{00000000-0005-0000-0000-0000B1320000}"/>
    <cellStyle name="Input 3 12 2 5" xfId="14700" xr:uid="{00000000-0005-0000-0000-0000B2320000}"/>
    <cellStyle name="Input 3 12 2 6" xfId="32199" xr:uid="{00000000-0005-0000-0000-0000B3320000}"/>
    <cellStyle name="Input 3 12 2 7" xfId="30389" xr:uid="{00000000-0005-0000-0000-0000B4320000}"/>
    <cellStyle name="Input 3 12 2 8" xfId="19127" xr:uid="{00000000-0005-0000-0000-0000B5320000}"/>
    <cellStyle name="Input 3 12 3" xfId="5061" xr:uid="{00000000-0005-0000-0000-0000B6320000}"/>
    <cellStyle name="Input 3 12 3 2" xfId="23521" xr:uid="{00000000-0005-0000-0000-0000B7320000}"/>
    <cellStyle name="Input 3 12 3 3" xfId="18675" xr:uid="{00000000-0005-0000-0000-0000B8320000}"/>
    <cellStyle name="Input 3 12 4" xfId="6074" xr:uid="{00000000-0005-0000-0000-0000B9320000}"/>
    <cellStyle name="Input 3 12 4 2" xfId="24515" xr:uid="{00000000-0005-0000-0000-0000BA320000}"/>
    <cellStyle name="Input 3 12 4 3" xfId="19624" xr:uid="{00000000-0005-0000-0000-0000BB320000}"/>
    <cellStyle name="Input 3 12 5" xfId="7575" xr:uid="{00000000-0005-0000-0000-0000BC320000}"/>
    <cellStyle name="Input 3 12 5 2" xfId="26005" xr:uid="{00000000-0005-0000-0000-0000BD320000}"/>
    <cellStyle name="Input 3 12 5 3" xfId="20930" xr:uid="{00000000-0005-0000-0000-0000BE320000}"/>
    <cellStyle name="Input 3 12 6" xfId="7948" xr:uid="{00000000-0005-0000-0000-0000BF320000}"/>
    <cellStyle name="Input 3 12 6 2" xfId="26378" xr:uid="{00000000-0005-0000-0000-0000C0320000}"/>
    <cellStyle name="Input 3 12 6 3" xfId="21302" xr:uid="{00000000-0005-0000-0000-0000C1320000}"/>
    <cellStyle name="Input 3 12 7" xfId="8672" xr:uid="{00000000-0005-0000-0000-0000C2320000}"/>
    <cellStyle name="Input 3 12 7 2" xfId="27092" xr:uid="{00000000-0005-0000-0000-0000C3320000}"/>
    <cellStyle name="Input 3 12 7 3" xfId="21963" xr:uid="{00000000-0005-0000-0000-0000C4320000}"/>
    <cellStyle name="Input 3 12 8" xfId="4164" xr:uid="{00000000-0005-0000-0000-0000C5320000}"/>
    <cellStyle name="Input 3 12 8 2" xfId="22628" xr:uid="{00000000-0005-0000-0000-0000C6320000}"/>
    <cellStyle name="Input 3 12 8 3" xfId="17846" xr:uid="{00000000-0005-0000-0000-0000C7320000}"/>
    <cellStyle name="Input 3 12 9" xfId="14504" xr:uid="{00000000-0005-0000-0000-0000C8320000}"/>
    <cellStyle name="Input 3 12 9 2" xfId="36032" xr:uid="{00000000-0005-0000-0000-0000C9320000}"/>
    <cellStyle name="Input 3 12 9 3" xfId="17173" xr:uid="{00000000-0005-0000-0000-0000CA320000}"/>
    <cellStyle name="Input 3 13" xfId="4781" xr:uid="{00000000-0005-0000-0000-0000CB320000}"/>
    <cellStyle name="Input 3 13 2" xfId="23241" xr:uid="{00000000-0005-0000-0000-0000CC320000}"/>
    <cellStyle name="Input 3 13 3" xfId="18396" xr:uid="{00000000-0005-0000-0000-0000CD320000}"/>
    <cellStyle name="Input 3 14" xfId="5862" xr:uid="{00000000-0005-0000-0000-0000CE320000}"/>
    <cellStyle name="Input 3 14 2" xfId="24308" xr:uid="{00000000-0005-0000-0000-0000CF320000}"/>
    <cellStyle name="Input 3 14 3" xfId="19417" xr:uid="{00000000-0005-0000-0000-0000D0320000}"/>
    <cellStyle name="Input 3 15" xfId="6525" xr:uid="{00000000-0005-0000-0000-0000D1320000}"/>
    <cellStyle name="Input 3 15 2" xfId="24965" xr:uid="{00000000-0005-0000-0000-0000D2320000}"/>
    <cellStyle name="Input 3 15 3" xfId="20074" xr:uid="{00000000-0005-0000-0000-0000D3320000}"/>
    <cellStyle name="Input 3 16" xfId="6962" xr:uid="{00000000-0005-0000-0000-0000D4320000}"/>
    <cellStyle name="Input 3 16 2" xfId="25400" xr:uid="{00000000-0005-0000-0000-0000D5320000}"/>
    <cellStyle name="Input 3 16 3" xfId="20343" xr:uid="{00000000-0005-0000-0000-0000D6320000}"/>
    <cellStyle name="Input 3 17" xfId="6539" xr:uid="{00000000-0005-0000-0000-0000D7320000}"/>
    <cellStyle name="Input 3 17 2" xfId="24979" xr:uid="{00000000-0005-0000-0000-0000D8320000}"/>
    <cellStyle name="Input 3 17 3" xfId="20088" xr:uid="{00000000-0005-0000-0000-0000D9320000}"/>
    <cellStyle name="Input 3 18" xfId="8351" xr:uid="{00000000-0005-0000-0000-0000DA320000}"/>
    <cellStyle name="Input 3 18 2" xfId="26774" xr:uid="{00000000-0005-0000-0000-0000DB320000}"/>
    <cellStyle name="Input 3 18 3" xfId="21642" xr:uid="{00000000-0005-0000-0000-0000DC320000}"/>
    <cellStyle name="Input 3 19" xfId="3843" xr:uid="{00000000-0005-0000-0000-0000DD320000}"/>
    <cellStyle name="Input 3 19 2" xfId="22310" xr:uid="{00000000-0005-0000-0000-0000DE320000}"/>
    <cellStyle name="Input 3 19 3" xfId="17525" xr:uid="{00000000-0005-0000-0000-0000DF320000}"/>
    <cellStyle name="Input 3 2" xfId="2149" xr:uid="{00000000-0005-0000-0000-0000E0320000}"/>
    <cellStyle name="Input 3 2 10" xfId="14501" xr:uid="{00000000-0005-0000-0000-0000E1320000}"/>
    <cellStyle name="Input 3 2 10 2" xfId="36029" xr:uid="{00000000-0005-0000-0000-0000E2320000}"/>
    <cellStyle name="Input 3 2 10 3" xfId="16841" xr:uid="{00000000-0005-0000-0000-0000E3320000}"/>
    <cellStyle name="Input 3 2 11" xfId="14841" xr:uid="{00000000-0005-0000-0000-0000E4320000}"/>
    <cellStyle name="Input 3 2 11 2" xfId="36291" xr:uid="{00000000-0005-0000-0000-0000E5320000}"/>
    <cellStyle name="Input 3 2 12" xfId="31236" xr:uid="{00000000-0005-0000-0000-0000E6320000}"/>
    <cellStyle name="Input 3 2 13" xfId="39645" xr:uid="{00000000-0005-0000-0000-0000760A0000}"/>
    <cellStyle name="Input 3 2 14" xfId="41300" xr:uid="{00000000-0005-0000-0000-0000760A0000}"/>
    <cellStyle name="Input 3 2 2" xfId="3406" xr:uid="{00000000-0005-0000-0000-0000E7320000}"/>
    <cellStyle name="Input 3 2 2 10" xfId="15060" xr:uid="{00000000-0005-0000-0000-0000E8320000}"/>
    <cellStyle name="Input 3 2 2 10 2" xfId="36471" xr:uid="{00000000-0005-0000-0000-0000E9320000}"/>
    <cellStyle name="Input 3 2 2 11" xfId="31466" xr:uid="{00000000-0005-0000-0000-0000EA320000}"/>
    <cellStyle name="Input 3 2 2 2" xfId="5542" xr:uid="{00000000-0005-0000-0000-0000EB320000}"/>
    <cellStyle name="Input 3 2 2 2 2" xfId="23995" xr:uid="{00000000-0005-0000-0000-0000EC320000}"/>
    <cellStyle name="Input 3 2 2 2 3" xfId="19130" xr:uid="{00000000-0005-0000-0000-0000ED320000}"/>
    <cellStyle name="Input 3 2 2 3" xfId="5064" xr:uid="{00000000-0005-0000-0000-0000EE320000}"/>
    <cellStyle name="Input 3 2 2 3 2" xfId="23524" xr:uid="{00000000-0005-0000-0000-0000EF320000}"/>
    <cellStyle name="Input 3 2 2 3 3" xfId="18678" xr:uid="{00000000-0005-0000-0000-0000F0320000}"/>
    <cellStyle name="Input 3 2 2 4" xfId="6071" xr:uid="{00000000-0005-0000-0000-0000F1320000}"/>
    <cellStyle name="Input 3 2 2 4 2" xfId="24512" xr:uid="{00000000-0005-0000-0000-0000F2320000}"/>
    <cellStyle name="Input 3 2 2 4 3" xfId="19621" xr:uid="{00000000-0005-0000-0000-0000F3320000}"/>
    <cellStyle name="Input 3 2 2 5" xfId="7578" xr:uid="{00000000-0005-0000-0000-0000F4320000}"/>
    <cellStyle name="Input 3 2 2 5 2" xfId="26008" xr:uid="{00000000-0005-0000-0000-0000F5320000}"/>
    <cellStyle name="Input 3 2 2 5 3" xfId="20933" xr:uid="{00000000-0005-0000-0000-0000F6320000}"/>
    <cellStyle name="Input 3 2 2 6" xfId="7951" xr:uid="{00000000-0005-0000-0000-0000F7320000}"/>
    <cellStyle name="Input 3 2 2 6 2" xfId="26381" xr:uid="{00000000-0005-0000-0000-0000F8320000}"/>
    <cellStyle name="Input 3 2 2 6 3" xfId="21305" xr:uid="{00000000-0005-0000-0000-0000F9320000}"/>
    <cellStyle name="Input 3 2 2 7" xfId="8675" xr:uid="{00000000-0005-0000-0000-0000FA320000}"/>
    <cellStyle name="Input 3 2 2 7 2" xfId="27095" xr:uid="{00000000-0005-0000-0000-0000FB320000}"/>
    <cellStyle name="Input 3 2 2 7 3" xfId="21966" xr:uid="{00000000-0005-0000-0000-0000FC320000}"/>
    <cellStyle name="Input 3 2 2 8" xfId="4167" xr:uid="{00000000-0005-0000-0000-0000FD320000}"/>
    <cellStyle name="Input 3 2 2 8 2" xfId="22631" xr:uid="{00000000-0005-0000-0000-0000FE320000}"/>
    <cellStyle name="Input 3 2 2 8 3" xfId="17849" xr:uid="{00000000-0005-0000-0000-0000FF320000}"/>
    <cellStyle name="Input 3 2 2 9" xfId="14502" xr:uid="{00000000-0005-0000-0000-000000330000}"/>
    <cellStyle name="Input 3 2 2 9 2" xfId="36030" xr:uid="{00000000-0005-0000-0000-000001330000}"/>
    <cellStyle name="Input 3 2 2 9 3" xfId="17176" xr:uid="{00000000-0005-0000-0000-000002330000}"/>
    <cellStyle name="Input 3 2 3" xfId="4784" xr:uid="{00000000-0005-0000-0000-000003330000}"/>
    <cellStyle name="Input 3 2 3 2" xfId="23244" xr:uid="{00000000-0005-0000-0000-000004330000}"/>
    <cellStyle name="Input 3 2 3 3" xfId="18399" xr:uid="{00000000-0005-0000-0000-000005330000}"/>
    <cellStyle name="Input 3 2 4" xfId="5860" xr:uid="{00000000-0005-0000-0000-000006330000}"/>
    <cellStyle name="Input 3 2 4 2" xfId="24306" xr:uid="{00000000-0005-0000-0000-000007330000}"/>
    <cellStyle name="Input 3 2 4 3" xfId="19415" xr:uid="{00000000-0005-0000-0000-000008330000}"/>
    <cellStyle name="Input 3 2 5" xfId="6522" xr:uid="{00000000-0005-0000-0000-000009330000}"/>
    <cellStyle name="Input 3 2 5 2" xfId="24962" xr:uid="{00000000-0005-0000-0000-00000A330000}"/>
    <cellStyle name="Input 3 2 5 3" xfId="20071" xr:uid="{00000000-0005-0000-0000-00000B330000}"/>
    <cellStyle name="Input 3 2 6" xfId="6965" xr:uid="{00000000-0005-0000-0000-00000C330000}"/>
    <cellStyle name="Input 3 2 6 2" xfId="25403" xr:uid="{00000000-0005-0000-0000-00000D330000}"/>
    <cellStyle name="Input 3 2 6 3" xfId="20346" xr:uid="{00000000-0005-0000-0000-00000E330000}"/>
    <cellStyle name="Input 3 2 7" xfId="7046" xr:uid="{00000000-0005-0000-0000-00000F330000}"/>
    <cellStyle name="Input 3 2 7 2" xfId="25484" xr:uid="{00000000-0005-0000-0000-000010330000}"/>
    <cellStyle name="Input 3 2 7 3" xfId="20421" xr:uid="{00000000-0005-0000-0000-000011330000}"/>
    <cellStyle name="Input 3 2 8" xfId="8354" xr:uid="{00000000-0005-0000-0000-000012330000}"/>
    <cellStyle name="Input 3 2 8 2" xfId="26777" xr:uid="{00000000-0005-0000-0000-000013330000}"/>
    <cellStyle name="Input 3 2 8 3" xfId="21645" xr:uid="{00000000-0005-0000-0000-000014330000}"/>
    <cellStyle name="Input 3 2 9" xfId="3846" xr:uid="{00000000-0005-0000-0000-000015330000}"/>
    <cellStyle name="Input 3 2 9 2" xfId="22313" xr:uid="{00000000-0005-0000-0000-000016330000}"/>
    <cellStyle name="Input 3 2 9 3" xfId="17528" xr:uid="{00000000-0005-0000-0000-000017330000}"/>
    <cellStyle name="Input 3 20" xfId="15734" xr:uid="{00000000-0005-0000-0000-000018330000}"/>
    <cellStyle name="Input 3 20 2" xfId="37099" xr:uid="{00000000-0005-0000-0000-000019330000}"/>
    <cellStyle name="Input 3 20 3" xfId="16838" xr:uid="{00000000-0005-0000-0000-00001A330000}"/>
    <cellStyle name="Input 3 21" xfId="15306" xr:uid="{00000000-0005-0000-0000-00001B330000}"/>
    <cellStyle name="Input 3 21 2" xfId="36699" xr:uid="{00000000-0005-0000-0000-00001C330000}"/>
    <cellStyle name="Input 3 22" xfId="31233" xr:uid="{00000000-0005-0000-0000-00001D330000}"/>
    <cellStyle name="Input 3 23" xfId="38048" xr:uid="{00000000-0005-0000-0000-0000750A0000}"/>
    <cellStyle name="Input 3 24" xfId="40994" xr:uid="{00000000-0005-0000-0000-0000750A0000}"/>
    <cellStyle name="Input 3 3" xfId="2150" xr:uid="{00000000-0005-0000-0000-00001E330000}"/>
    <cellStyle name="Input 3 3 10" xfId="15149" xr:uid="{00000000-0005-0000-0000-00001F330000}"/>
    <cellStyle name="Input 3 3 10 2" xfId="36560" xr:uid="{00000000-0005-0000-0000-000020330000}"/>
    <cellStyle name="Input 3 3 10 3" xfId="16842" xr:uid="{00000000-0005-0000-0000-000021330000}"/>
    <cellStyle name="Input 3 3 11" xfId="15583" xr:uid="{00000000-0005-0000-0000-000022330000}"/>
    <cellStyle name="Input 3 3 11 2" xfId="36960" xr:uid="{00000000-0005-0000-0000-000023330000}"/>
    <cellStyle name="Input 3 3 12" xfId="31237" xr:uid="{00000000-0005-0000-0000-000024330000}"/>
    <cellStyle name="Input 3 3 13" xfId="39646" xr:uid="{00000000-0005-0000-0000-0000770A0000}"/>
    <cellStyle name="Input 3 3 14" xfId="41301" xr:uid="{00000000-0005-0000-0000-0000770A0000}"/>
    <cellStyle name="Input 3 3 2" xfId="3407" xr:uid="{00000000-0005-0000-0000-000025330000}"/>
    <cellStyle name="Input 3 3 2 10" xfId="14953" xr:uid="{00000000-0005-0000-0000-000026330000}"/>
    <cellStyle name="Input 3 3 2 10 2" xfId="36386" xr:uid="{00000000-0005-0000-0000-000027330000}"/>
    <cellStyle name="Input 3 3 2 11" xfId="31467" xr:uid="{00000000-0005-0000-0000-000028330000}"/>
    <cellStyle name="Input 3 3 2 2" xfId="5543" xr:uid="{00000000-0005-0000-0000-000029330000}"/>
    <cellStyle name="Input 3 3 2 2 2" xfId="23996" xr:uid="{00000000-0005-0000-0000-00002A330000}"/>
    <cellStyle name="Input 3 3 2 2 3" xfId="19131" xr:uid="{00000000-0005-0000-0000-00002B330000}"/>
    <cellStyle name="Input 3 3 2 3" xfId="5065" xr:uid="{00000000-0005-0000-0000-00002C330000}"/>
    <cellStyle name="Input 3 3 2 3 2" xfId="23525" xr:uid="{00000000-0005-0000-0000-00002D330000}"/>
    <cellStyle name="Input 3 3 2 3 3" xfId="18679" xr:uid="{00000000-0005-0000-0000-00002E330000}"/>
    <cellStyle name="Input 3 3 2 4" xfId="6070" xr:uid="{00000000-0005-0000-0000-00002F330000}"/>
    <cellStyle name="Input 3 3 2 4 2" xfId="24511" xr:uid="{00000000-0005-0000-0000-000030330000}"/>
    <cellStyle name="Input 3 3 2 4 3" xfId="19620" xr:uid="{00000000-0005-0000-0000-000031330000}"/>
    <cellStyle name="Input 3 3 2 5" xfId="7579" xr:uid="{00000000-0005-0000-0000-000032330000}"/>
    <cellStyle name="Input 3 3 2 5 2" xfId="26009" xr:uid="{00000000-0005-0000-0000-000033330000}"/>
    <cellStyle name="Input 3 3 2 5 3" xfId="20934" xr:uid="{00000000-0005-0000-0000-000034330000}"/>
    <cellStyle name="Input 3 3 2 6" xfId="7952" xr:uid="{00000000-0005-0000-0000-000035330000}"/>
    <cellStyle name="Input 3 3 2 6 2" xfId="26382" xr:uid="{00000000-0005-0000-0000-000036330000}"/>
    <cellStyle name="Input 3 3 2 6 3" xfId="21306" xr:uid="{00000000-0005-0000-0000-000037330000}"/>
    <cellStyle name="Input 3 3 2 7" xfId="8676" xr:uid="{00000000-0005-0000-0000-000038330000}"/>
    <cellStyle name="Input 3 3 2 7 2" xfId="27096" xr:uid="{00000000-0005-0000-0000-000039330000}"/>
    <cellStyle name="Input 3 3 2 7 3" xfId="21967" xr:uid="{00000000-0005-0000-0000-00003A330000}"/>
    <cellStyle name="Input 3 3 2 8" xfId="4168" xr:uid="{00000000-0005-0000-0000-00003B330000}"/>
    <cellStyle name="Input 3 3 2 8 2" xfId="22632" xr:uid="{00000000-0005-0000-0000-00003C330000}"/>
    <cellStyle name="Input 3 3 2 8 3" xfId="17850" xr:uid="{00000000-0005-0000-0000-00003D330000}"/>
    <cellStyle name="Input 3 3 2 9" xfId="14503" xr:uid="{00000000-0005-0000-0000-00003E330000}"/>
    <cellStyle name="Input 3 3 2 9 2" xfId="36031" xr:uid="{00000000-0005-0000-0000-00003F330000}"/>
    <cellStyle name="Input 3 3 2 9 3" xfId="17177" xr:uid="{00000000-0005-0000-0000-000040330000}"/>
    <cellStyle name="Input 3 3 3" xfId="4785" xr:uid="{00000000-0005-0000-0000-000041330000}"/>
    <cellStyle name="Input 3 3 3 2" xfId="23245" xr:uid="{00000000-0005-0000-0000-000042330000}"/>
    <cellStyle name="Input 3 3 3 3" xfId="18400" xr:uid="{00000000-0005-0000-0000-000043330000}"/>
    <cellStyle name="Input 3 3 4" xfId="4563" xr:uid="{00000000-0005-0000-0000-000044330000}"/>
    <cellStyle name="Input 3 3 4 2" xfId="23023" xr:uid="{00000000-0005-0000-0000-000045330000}"/>
    <cellStyle name="Input 3 3 4 3" xfId="18240" xr:uid="{00000000-0005-0000-0000-000046330000}"/>
    <cellStyle name="Input 3 3 5" xfId="6521" xr:uid="{00000000-0005-0000-0000-000047330000}"/>
    <cellStyle name="Input 3 3 5 2" xfId="24961" xr:uid="{00000000-0005-0000-0000-000048330000}"/>
    <cellStyle name="Input 3 3 5 3" xfId="20070" xr:uid="{00000000-0005-0000-0000-000049330000}"/>
    <cellStyle name="Input 3 3 6" xfId="6966" xr:uid="{00000000-0005-0000-0000-00004A330000}"/>
    <cellStyle name="Input 3 3 6 2" xfId="25404" xr:uid="{00000000-0005-0000-0000-00004B330000}"/>
    <cellStyle name="Input 3 3 6 3" xfId="20347" xr:uid="{00000000-0005-0000-0000-00004C330000}"/>
    <cellStyle name="Input 3 3 7" xfId="7137" xr:uid="{00000000-0005-0000-0000-00004D330000}"/>
    <cellStyle name="Input 3 3 7 2" xfId="25571" xr:uid="{00000000-0005-0000-0000-00004E330000}"/>
    <cellStyle name="Input 3 3 7 3" xfId="20496" xr:uid="{00000000-0005-0000-0000-00004F330000}"/>
    <cellStyle name="Input 3 3 8" xfId="8355" xr:uid="{00000000-0005-0000-0000-000050330000}"/>
    <cellStyle name="Input 3 3 8 2" xfId="26778" xr:uid="{00000000-0005-0000-0000-000051330000}"/>
    <cellStyle name="Input 3 3 8 3" xfId="21646" xr:uid="{00000000-0005-0000-0000-000052330000}"/>
    <cellStyle name="Input 3 3 9" xfId="3847" xr:uid="{00000000-0005-0000-0000-000053330000}"/>
    <cellStyle name="Input 3 3 9 2" xfId="22314" xr:uid="{00000000-0005-0000-0000-000054330000}"/>
    <cellStyle name="Input 3 3 9 3" xfId="17529" xr:uid="{00000000-0005-0000-0000-000055330000}"/>
    <cellStyle name="Input 3 4" xfId="2151" xr:uid="{00000000-0005-0000-0000-000056330000}"/>
    <cellStyle name="Input 3 4 10" xfId="14569" xr:uid="{00000000-0005-0000-0000-000057330000}"/>
    <cellStyle name="Input 3 4 10 2" xfId="36088" xr:uid="{00000000-0005-0000-0000-000058330000}"/>
    <cellStyle name="Input 3 4 10 3" xfId="16843" xr:uid="{00000000-0005-0000-0000-000059330000}"/>
    <cellStyle name="Input 3 4 11" xfId="15317" xr:uid="{00000000-0005-0000-0000-00005A330000}"/>
    <cellStyle name="Input 3 4 11 2" xfId="36708" xr:uid="{00000000-0005-0000-0000-00005B330000}"/>
    <cellStyle name="Input 3 4 12" xfId="31238" xr:uid="{00000000-0005-0000-0000-00005C330000}"/>
    <cellStyle name="Input 3 4 13" xfId="39644" xr:uid="{00000000-0005-0000-0000-0000780A0000}"/>
    <cellStyle name="Input 3 4 14" xfId="41299" xr:uid="{00000000-0005-0000-0000-0000780A0000}"/>
    <cellStyle name="Input 3 4 2" xfId="3408" xr:uid="{00000000-0005-0000-0000-00005D330000}"/>
    <cellStyle name="Input 3 4 2 10" xfId="15338" xr:uid="{00000000-0005-0000-0000-00005E330000}"/>
    <cellStyle name="Input 3 4 2 10 2" xfId="36725" xr:uid="{00000000-0005-0000-0000-00005F330000}"/>
    <cellStyle name="Input 3 4 2 11" xfId="31468" xr:uid="{00000000-0005-0000-0000-000060330000}"/>
    <cellStyle name="Input 3 4 2 2" xfId="5544" xr:uid="{00000000-0005-0000-0000-000061330000}"/>
    <cellStyle name="Input 3 4 2 2 2" xfId="23997" xr:uid="{00000000-0005-0000-0000-000062330000}"/>
    <cellStyle name="Input 3 4 2 2 3" xfId="19132" xr:uid="{00000000-0005-0000-0000-000063330000}"/>
    <cellStyle name="Input 3 4 2 3" xfId="5066" xr:uid="{00000000-0005-0000-0000-000064330000}"/>
    <cellStyle name="Input 3 4 2 3 2" xfId="23526" xr:uid="{00000000-0005-0000-0000-000065330000}"/>
    <cellStyle name="Input 3 4 2 3 3" xfId="18680" xr:uid="{00000000-0005-0000-0000-000066330000}"/>
    <cellStyle name="Input 3 4 2 4" xfId="6069" xr:uid="{00000000-0005-0000-0000-000067330000}"/>
    <cellStyle name="Input 3 4 2 4 2" xfId="24510" xr:uid="{00000000-0005-0000-0000-000068330000}"/>
    <cellStyle name="Input 3 4 2 4 3" xfId="19619" xr:uid="{00000000-0005-0000-0000-000069330000}"/>
    <cellStyle name="Input 3 4 2 5" xfId="7580" xr:uid="{00000000-0005-0000-0000-00006A330000}"/>
    <cellStyle name="Input 3 4 2 5 2" xfId="26010" xr:uid="{00000000-0005-0000-0000-00006B330000}"/>
    <cellStyle name="Input 3 4 2 5 3" xfId="20935" xr:uid="{00000000-0005-0000-0000-00006C330000}"/>
    <cellStyle name="Input 3 4 2 6" xfId="7953" xr:uid="{00000000-0005-0000-0000-00006D330000}"/>
    <cellStyle name="Input 3 4 2 6 2" xfId="26383" xr:uid="{00000000-0005-0000-0000-00006E330000}"/>
    <cellStyle name="Input 3 4 2 6 3" xfId="21307" xr:uid="{00000000-0005-0000-0000-00006F330000}"/>
    <cellStyle name="Input 3 4 2 7" xfId="8677" xr:uid="{00000000-0005-0000-0000-000070330000}"/>
    <cellStyle name="Input 3 4 2 7 2" xfId="27097" xr:uid="{00000000-0005-0000-0000-000071330000}"/>
    <cellStyle name="Input 3 4 2 7 3" xfId="21968" xr:uid="{00000000-0005-0000-0000-000072330000}"/>
    <cellStyle name="Input 3 4 2 8" xfId="4169" xr:uid="{00000000-0005-0000-0000-000073330000}"/>
    <cellStyle name="Input 3 4 2 8 2" xfId="22633" xr:uid="{00000000-0005-0000-0000-000074330000}"/>
    <cellStyle name="Input 3 4 2 8 3" xfId="17851" xr:uid="{00000000-0005-0000-0000-000075330000}"/>
    <cellStyle name="Input 3 4 2 9" xfId="15150" xr:uid="{00000000-0005-0000-0000-000076330000}"/>
    <cellStyle name="Input 3 4 2 9 2" xfId="36561" xr:uid="{00000000-0005-0000-0000-000077330000}"/>
    <cellStyle name="Input 3 4 2 9 3" xfId="17178" xr:uid="{00000000-0005-0000-0000-000078330000}"/>
    <cellStyle name="Input 3 4 3" xfId="4786" xr:uid="{00000000-0005-0000-0000-000079330000}"/>
    <cellStyle name="Input 3 4 3 2" xfId="23246" xr:uid="{00000000-0005-0000-0000-00007A330000}"/>
    <cellStyle name="Input 3 4 3 3" xfId="18401" xr:uid="{00000000-0005-0000-0000-00007B330000}"/>
    <cellStyle name="Input 3 4 4" xfId="5859" xr:uid="{00000000-0005-0000-0000-00007C330000}"/>
    <cellStyle name="Input 3 4 4 2" xfId="24305" xr:uid="{00000000-0005-0000-0000-00007D330000}"/>
    <cellStyle name="Input 3 4 4 3" xfId="19414" xr:uid="{00000000-0005-0000-0000-00007E330000}"/>
    <cellStyle name="Input 3 4 5" xfId="6520" xr:uid="{00000000-0005-0000-0000-00007F330000}"/>
    <cellStyle name="Input 3 4 5 2" xfId="24960" xr:uid="{00000000-0005-0000-0000-000080330000}"/>
    <cellStyle name="Input 3 4 5 3" xfId="20069" xr:uid="{00000000-0005-0000-0000-000081330000}"/>
    <cellStyle name="Input 3 4 6" xfId="6967" xr:uid="{00000000-0005-0000-0000-000082330000}"/>
    <cellStyle name="Input 3 4 6 2" xfId="25405" xr:uid="{00000000-0005-0000-0000-000083330000}"/>
    <cellStyle name="Input 3 4 6 3" xfId="20348" xr:uid="{00000000-0005-0000-0000-000084330000}"/>
    <cellStyle name="Input 3 4 7" xfId="7022" xr:uid="{00000000-0005-0000-0000-000085330000}"/>
    <cellStyle name="Input 3 4 7 2" xfId="25460" xr:uid="{00000000-0005-0000-0000-000086330000}"/>
    <cellStyle name="Input 3 4 7 3" xfId="20397" xr:uid="{00000000-0005-0000-0000-000087330000}"/>
    <cellStyle name="Input 3 4 8" xfId="8356" xr:uid="{00000000-0005-0000-0000-000088330000}"/>
    <cellStyle name="Input 3 4 8 2" xfId="26779" xr:uid="{00000000-0005-0000-0000-000089330000}"/>
    <cellStyle name="Input 3 4 8 3" xfId="21647" xr:uid="{00000000-0005-0000-0000-00008A330000}"/>
    <cellStyle name="Input 3 4 9" xfId="3848" xr:uid="{00000000-0005-0000-0000-00008B330000}"/>
    <cellStyle name="Input 3 4 9 2" xfId="22315" xr:uid="{00000000-0005-0000-0000-00008C330000}"/>
    <cellStyle name="Input 3 4 9 3" xfId="17530" xr:uid="{00000000-0005-0000-0000-00008D330000}"/>
    <cellStyle name="Input 3 5" xfId="2152" xr:uid="{00000000-0005-0000-0000-00008E330000}"/>
    <cellStyle name="Input 3 5 10" xfId="15751" xr:uid="{00000000-0005-0000-0000-00008F330000}"/>
    <cellStyle name="Input 3 5 10 2" xfId="37114" xr:uid="{00000000-0005-0000-0000-000090330000}"/>
    <cellStyle name="Input 3 5 10 3" xfId="16844" xr:uid="{00000000-0005-0000-0000-000091330000}"/>
    <cellStyle name="Input 3 5 11" xfId="16348" xr:uid="{00000000-0005-0000-0000-000092330000}"/>
    <cellStyle name="Input 3 5 11 2" xfId="37651" xr:uid="{00000000-0005-0000-0000-000093330000}"/>
    <cellStyle name="Input 3 5 12" xfId="31239" xr:uid="{00000000-0005-0000-0000-000094330000}"/>
    <cellStyle name="Input 3 5 2" xfId="3409" xr:uid="{00000000-0005-0000-0000-000095330000}"/>
    <cellStyle name="Input 3 5 2 10" xfId="15571" xr:uid="{00000000-0005-0000-0000-000096330000}"/>
    <cellStyle name="Input 3 5 2 10 2" xfId="36948" xr:uid="{00000000-0005-0000-0000-000097330000}"/>
    <cellStyle name="Input 3 5 2 11" xfId="31469" xr:uid="{00000000-0005-0000-0000-000098330000}"/>
    <cellStyle name="Input 3 5 2 2" xfId="5545" xr:uid="{00000000-0005-0000-0000-000099330000}"/>
    <cellStyle name="Input 3 5 2 2 2" xfId="23998" xr:uid="{00000000-0005-0000-0000-00009A330000}"/>
    <cellStyle name="Input 3 5 2 2 3" xfId="19133" xr:uid="{00000000-0005-0000-0000-00009B330000}"/>
    <cellStyle name="Input 3 5 2 3" xfId="5067" xr:uid="{00000000-0005-0000-0000-00009C330000}"/>
    <cellStyle name="Input 3 5 2 3 2" xfId="23527" xr:uid="{00000000-0005-0000-0000-00009D330000}"/>
    <cellStyle name="Input 3 5 2 3 3" xfId="18681" xr:uid="{00000000-0005-0000-0000-00009E330000}"/>
    <cellStyle name="Input 3 5 2 4" xfId="6068" xr:uid="{00000000-0005-0000-0000-00009F330000}"/>
    <cellStyle name="Input 3 5 2 4 2" xfId="24509" xr:uid="{00000000-0005-0000-0000-0000A0330000}"/>
    <cellStyle name="Input 3 5 2 4 3" xfId="19618" xr:uid="{00000000-0005-0000-0000-0000A1330000}"/>
    <cellStyle name="Input 3 5 2 5" xfId="7581" xr:uid="{00000000-0005-0000-0000-0000A2330000}"/>
    <cellStyle name="Input 3 5 2 5 2" xfId="26011" xr:uid="{00000000-0005-0000-0000-0000A3330000}"/>
    <cellStyle name="Input 3 5 2 5 3" xfId="20936" xr:uid="{00000000-0005-0000-0000-0000A4330000}"/>
    <cellStyle name="Input 3 5 2 6" xfId="7954" xr:uid="{00000000-0005-0000-0000-0000A5330000}"/>
    <cellStyle name="Input 3 5 2 6 2" xfId="26384" xr:uid="{00000000-0005-0000-0000-0000A6330000}"/>
    <cellStyle name="Input 3 5 2 6 3" xfId="21308" xr:uid="{00000000-0005-0000-0000-0000A7330000}"/>
    <cellStyle name="Input 3 5 2 7" xfId="8678" xr:uid="{00000000-0005-0000-0000-0000A8330000}"/>
    <cellStyle name="Input 3 5 2 7 2" xfId="27098" xr:uid="{00000000-0005-0000-0000-0000A9330000}"/>
    <cellStyle name="Input 3 5 2 7 3" xfId="21969" xr:uid="{00000000-0005-0000-0000-0000AA330000}"/>
    <cellStyle name="Input 3 5 2 8" xfId="4170" xr:uid="{00000000-0005-0000-0000-0000AB330000}"/>
    <cellStyle name="Input 3 5 2 8 2" xfId="22634" xr:uid="{00000000-0005-0000-0000-0000AC330000}"/>
    <cellStyle name="Input 3 5 2 8 3" xfId="17852" xr:uid="{00000000-0005-0000-0000-0000AD330000}"/>
    <cellStyle name="Input 3 5 2 9" xfId="15151" xr:uid="{00000000-0005-0000-0000-0000AE330000}"/>
    <cellStyle name="Input 3 5 2 9 2" xfId="36562" xr:uid="{00000000-0005-0000-0000-0000AF330000}"/>
    <cellStyle name="Input 3 5 2 9 3" xfId="17179" xr:uid="{00000000-0005-0000-0000-0000B0330000}"/>
    <cellStyle name="Input 3 5 3" xfId="4787" xr:uid="{00000000-0005-0000-0000-0000B1330000}"/>
    <cellStyle name="Input 3 5 3 2" xfId="23247" xr:uid="{00000000-0005-0000-0000-0000B2330000}"/>
    <cellStyle name="Input 3 5 3 3" xfId="18402" xr:uid="{00000000-0005-0000-0000-0000B3330000}"/>
    <cellStyle name="Input 3 5 4" xfId="4564" xr:uid="{00000000-0005-0000-0000-0000B4330000}"/>
    <cellStyle name="Input 3 5 4 2" xfId="23024" xr:uid="{00000000-0005-0000-0000-0000B5330000}"/>
    <cellStyle name="Input 3 5 4 3" xfId="18241" xr:uid="{00000000-0005-0000-0000-0000B6330000}"/>
    <cellStyle name="Input 3 5 5" xfId="6519" xr:uid="{00000000-0005-0000-0000-0000B7330000}"/>
    <cellStyle name="Input 3 5 5 2" xfId="24959" xr:uid="{00000000-0005-0000-0000-0000B8330000}"/>
    <cellStyle name="Input 3 5 5 3" xfId="20068" xr:uid="{00000000-0005-0000-0000-0000B9330000}"/>
    <cellStyle name="Input 3 5 6" xfId="6968" xr:uid="{00000000-0005-0000-0000-0000BA330000}"/>
    <cellStyle name="Input 3 5 6 2" xfId="25406" xr:uid="{00000000-0005-0000-0000-0000BB330000}"/>
    <cellStyle name="Input 3 5 6 3" xfId="20349" xr:uid="{00000000-0005-0000-0000-0000BC330000}"/>
    <cellStyle name="Input 3 5 7" xfId="7136" xr:uid="{00000000-0005-0000-0000-0000BD330000}"/>
    <cellStyle name="Input 3 5 7 2" xfId="25570" xr:uid="{00000000-0005-0000-0000-0000BE330000}"/>
    <cellStyle name="Input 3 5 7 3" xfId="20495" xr:uid="{00000000-0005-0000-0000-0000BF330000}"/>
    <cellStyle name="Input 3 5 8" xfId="8357" xr:uid="{00000000-0005-0000-0000-0000C0330000}"/>
    <cellStyle name="Input 3 5 8 2" xfId="26780" xr:uid="{00000000-0005-0000-0000-0000C1330000}"/>
    <cellStyle name="Input 3 5 8 3" xfId="21648" xr:uid="{00000000-0005-0000-0000-0000C2330000}"/>
    <cellStyle name="Input 3 5 9" xfId="3849" xr:uid="{00000000-0005-0000-0000-0000C3330000}"/>
    <cellStyle name="Input 3 5 9 2" xfId="22316" xr:uid="{00000000-0005-0000-0000-0000C4330000}"/>
    <cellStyle name="Input 3 5 9 3" xfId="17531" xr:uid="{00000000-0005-0000-0000-0000C5330000}"/>
    <cellStyle name="Input 3 6" xfId="2153" xr:uid="{00000000-0005-0000-0000-0000C6330000}"/>
    <cellStyle name="Input 3 6 10" xfId="14603" xr:uid="{00000000-0005-0000-0000-0000C7330000}"/>
    <cellStyle name="Input 3 6 10 2" xfId="36106" xr:uid="{00000000-0005-0000-0000-0000C8330000}"/>
    <cellStyle name="Input 3 6 10 3" xfId="16845" xr:uid="{00000000-0005-0000-0000-0000C9330000}"/>
    <cellStyle name="Input 3 6 11" xfId="16147" xr:uid="{00000000-0005-0000-0000-0000CA330000}"/>
    <cellStyle name="Input 3 6 11 2" xfId="37468" xr:uid="{00000000-0005-0000-0000-0000CB330000}"/>
    <cellStyle name="Input 3 6 12" xfId="31240" xr:uid="{00000000-0005-0000-0000-0000CC330000}"/>
    <cellStyle name="Input 3 6 2" xfId="3410" xr:uid="{00000000-0005-0000-0000-0000CD330000}"/>
    <cellStyle name="Input 3 6 2 10" xfId="15499" xr:uid="{00000000-0005-0000-0000-0000CE330000}"/>
    <cellStyle name="Input 3 6 2 10 2" xfId="36877" xr:uid="{00000000-0005-0000-0000-0000CF330000}"/>
    <cellStyle name="Input 3 6 2 11" xfId="31470" xr:uid="{00000000-0005-0000-0000-0000D0330000}"/>
    <cellStyle name="Input 3 6 2 2" xfId="5546" xr:uid="{00000000-0005-0000-0000-0000D1330000}"/>
    <cellStyle name="Input 3 6 2 2 2" xfId="23999" xr:uid="{00000000-0005-0000-0000-0000D2330000}"/>
    <cellStyle name="Input 3 6 2 2 3" xfId="19134" xr:uid="{00000000-0005-0000-0000-0000D3330000}"/>
    <cellStyle name="Input 3 6 2 3" xfId="5068" xr:uid="{00000000-0005-0000-0000-0000D4330000}"/>
    <cellStyle name="Input 3 6 2 3 2" xfId="23528" xr:uid="{00000000-0005-0000-0000-0000D5330000}"/>
    <cellStyle name="Input 3 6 2 3 3" xfId="18682" xr:uid="{00000000-0005-0000-0000-0000D6330000}"/>
    <cellStyle name="Input 3 6 2 4" xfId="6067" xr:uid="{00000000-0005-0000-0000-0000D7330000}"/>
    <cellStyle name="Input 3 6 2 4 2" xfId="24508" xr:uid="{00000000-0005-0000-0000-0000D8330000}"/>
    <cellStyle name="Input 3 6 2 4 3" xfId="19617" xr:uid="{00000000-0005-0000-0000-0000D9330000}"/>
    <cellStyle name="Input 3 6 2 5" xfId="7582" xr:uid="{00000000-0005-0000-0000-0000DA330000}"/>
    <cellStyle name="Input 3 6 2 5 2" xfId="26012" xr:uid="{00000000-0005-0000-0000-0000DB330000}"/>
    <cellStyle name="Input 3 6 2 5 3" xfId="20937" xr:uid="{00000000-0005-0000-0000-0000DC330000}"/>
    <cellStyle name="Input 3 6 2 6" xfId="7955" xr:uid="{00000000-0005-0000-0000-0000DD330000}"/>
    <cellStyle name="Input 3 6 2 6 2" xfId="26385" xr:uid="{00000000-0005-0000-0000-0000DE330000}"/>
    <cellStyle name="Input 3 6 2 6 3" xfId="21309" xr:uid="{00000000-0005-0000-0000-0000DF330000}"/>
    <cellStyle name="Input 3 6 2 7" xfId="8679" xr:uid="{00000000-0005-0000-0000-0000E0330000}"/>
    <cellStyle name="Input 3 6 2 7 2" xfId="27099" xr:uid="{00000000-0005-0000-0000-0000E1330000}"/>
    <cellStyle name="Input 3 6 2 7 3" xfId="21970" xr:uid="{00000000-0005-0000-0000-0000E2330000}"/>
    <cellStyle name="Input 3 6 2 8" xfId="4171" xr:uid="{00000000-0005-0000-0000-0000E3330000}"/>
    <cellStyle name="Input 3 6 2 8 2" xfId="22635" xr:uid="{00000000-0005-0000-0000-0000E4330000}"/>
    <cellStyle name="Input 3 6 2 8 3" xfId="17853" xr:uid="{00000000-0005-0000-0000-0000E5330000}"/>
    <cellStyle name="Input 3 6 2 9" xfId="15736" xr:uid="{00000000-0005-0000-0000-0000E6330000}"/>
    <cellStyle name="Input 3 6 2 9 2" xfId="37101" xr:uid="{00000000-0005-0000-0000-0000E7330000}"/>
    <cellStyle name="Input 3 6 2 9 3" xfId="17180" xr:uid="{00000000-0005-0000-0000-0000E8330000}"/>
    <cellStyle name="Input 3 6 3" xfId="4788" xr:uid="{00000000-0005-0000-0000-0000E9330000}"/>
    <cellStyle name="Input 3 6 3 2" xfId="23248" xr:uid="{00000000-0005-0000-0000-0000EA330000}"/>
    <cellStyle name="Input 3 6 3 3" xfId="18403" xr:uid="{00000000-0005-0000-0000-0000EB330000}"/>
    <cellStyle name="Input 3 6 4" xfId="5858" xr:uid="{00000000-0005-0000-0000-0000EC330000}"/>
    <cellStyle name="Input 3 6 4 2" xfId="24304" xr:uid="{00000000-0005-0000-0000-0000ED330000}"/>
    <cellStyle name="Input 3 6 4 3" xfId="19413" xr:uid="{00000000-0005-0000-0000-0000EE330000}"/>
    <cellStyle name="Input 3 6 5" xfId="6518" xr:uid="{00000000-0005-0000-0000-0000EF330000}"/>
    <cellStyle name="Input 3 6 5 2" xfId="24958" xr:uid="{00000000-0005-0000-0000-0000F0330000}"/>
    <cellStyle name="Input 3 6 5 3" xfId="20067" xr:uid="{00000000-0005-0000-0000-0000F1330000}"/>
    <cellStyle name="Input 3 6 6" xfId="6969" xr:uid="{00000000-0005-0000-0000-0000F2330000}"/>
    <cellStyle name="Input 3 6 6 2" xfId="25407" xr:uid="{00000000-0005-0000-0000-0000F3330000}"/>
    <cellStyle name="Input 3 6 6 3" xfId="20350" xr:uid="{00000000-0005-0000-0000-0000F4330000}"/>
    <cellStyle name="Input 3 6 7" xfId="7021" xr:uid="{00000000-0005-0000-0000-0000F5330000}"/>
    <cellStyle name="Input 3 6 7 2" xfId="25459" xr:uid="{00000000-0005-0000-0000-0000F6330000}"/>
    <cellStyle name="Input 3 6 7 3" xfId="20396" xr:uid="{00000000-0005-0000-0000-0000F7330000}"/>
    <cellStyle name="Input 3 6 8" xfId="8358" xr:uid="{00000000-0005-0000-0000-0000F8330000}"/>
    <cellStyle name="Input 3 6 8 2" xfId="26781" xr:uid="{00000000-0005-0000-0000-0000F9330000}"/>
    <cellStyle name="Input 3 6 8 3" xfId="21649" xr:uid="{00000000-0005-0000-0000-0000FA330000}"/>
    <cellStyle name="Input 3 6 9" xfId="3850" xr:uid="{00000000-0005-0000-0000-0000FB330000}"/>
    <cellStyle name="Input 3 6 9 2" xfId="22317" xr:uid="{00000000-0005-0000-0000-0000FC330000}"/>
    <cellStyle name="Input 3 6 9 3" xfId="17532" xr:uid="{00000000-0005-0000-0000-0000FD330000}"/>
    <cellStyle name="Input 3 7" xfId="2154" xr:uid="{00000000-0005-0000-0000-0000FE330000}"/>
    <cellStyle name="Input 3 7 10" xfId="14632" xr:uid="{00000000-0005-0000-0000-0000FF330000}"/>
    <cellStyle name="Input 3 7 10 2" xfId="36125" xr:uid="{00000000-0005-0000-0000-000000340000}"/>
    <cellStyle name="Input 3 7 10 3" xfId="16846" xr:uid="{00000000-0005-0000-0000-000001340000}"/>
    <cellStyle name="Input 3 7 11" xfId="14562" xr:uid="{00000000-0005-0000-0000-000002340000}"/>
    <cellStyle name="Input 3 7 11 2" xfId="36082" xr:uid="{00000000-0005-0000-0000-000003340000}"/>
    <cellStyle name="Input 3 7 12" xfId="31241" xr:uid="{00000000-0005-0000-0000-000004340000}"/>
    <cellStyle name="Input 3 7 2" xfId="3411" xr:uid="{00000000-0005-0000-0000-000005340000}"/>
    <cellStyle name="Input 3 7 2 10" xfId="14549" xr:uid="{00000000-0005-0000-0000-000006340000}"/>
    <cellStyle name="Input 3 7 2 10 2" xfId="36072" xr:uid="{00000000-0005-0000-0000-000007340000}"/>
    <cellStyle name="Input 3 7 2 11" xfId="31471" xr:uid="{00000000-0005-0000-0000-000008340000}"/>
    <cellStyle name="Input 3 7 2 2" xfId="5547" xr:uid="{00000000-0005-0000-0000-000009340000}"/>
    <cellStyle name="Input 3 7 2 2 2" xfId="24000" xr:uid="{00000000-0005-0000-0000-00000A340000}"/>
    <cellStyle name="Input 3 7 2 2 3" xfId="19135" xr:uid="{00000000-0005-0000-0000-00000B340000}"/>
    <cellStyle name="Input 3 7 2 3" xfId="5069" xr:uid="{00000000-0005-0000-0000-00000C340000}"/>
    <cellStyle name="Input 3 7 2 3 2" xfId="23529" xr:uid="{00000000-0005-0000-0000-00000D340000}"/>
    <cellStyle name="Input 3 7 2 3 3" xfId="18683" xr:uid="{00000000-0005-0000-0000-00000E340000}"/>
    <cellStyle name="Input 3 7 2 4" xfId="6066" xr:uid="{00000000-0005-0000-0000-00000F340000}"/>
    <cellStyle name="Input 3 7 2 4 2" xfId="24507" xr:uid="{00000000-0005-0000-0000-000010340000}"/>
    <cellStyle name="Input 3 7 2 4 3" xfId="19616" xr:uid="{00000000-0005-0000-0000-000011340000}"/>
    <cellStyle name="Input 3 7 2 5" xfId="7583" xr:uid="{00000000-0005-0000-0000-000012340000}"/>
    <cellStyle name="Input 3 7 2 5 2" xfId="26013" xr:uid="{00000000-0005-0000-0000-000013340000}"/>
    <cellStyle name="Input 3 7 2 5 3" xfId="20938" xr:uid="{00000000-0005-0000-0000-000014340000}"/>
    <cellStyle name="Input 3 7 2 6" xfId="7956" xr:uid="{00000000-0005-0000-0000-000015340000}"/>
    <cellStyle name="Input 3 7 2 6 2" xfId="26386" xr:uid="{00000000-0005-0000-0000-000016340000}"/>
    <cellStyle name="Input 3 7 2 6 3" xfId="21310" xr:uid="{00000000-0005-0000-0000-000017340000}"/>
    <cellStyle name="Input 3 7 2 7" xfId="8680" xr:uid="{00000000-0005-0000-0000-000018340000}"/>
    <cellStyle name="Input 3 7 2 7 2" xfId="27100" xr:uid="{00000000-0005-0000-0000-000019340000}"/>
    <cellStyle name="Input 3 7 2 7 3" xfId="21971" xr:uid="{00000000-0005-0000-0000-00001A340000}"/>
    <cellStyle name="Input 3 7 2 8" xfId="4172" xr:uid="{00000000-0005-0000-0000-00001B340000}"/>
    <cellStyle name="Input 3 7 2 8 2" xfId="22636" xr:uid="{00000000-0005-0000-0000-00001C340000}"/>
    <cellStyle name="Input 3 7 2 8 3" xfId="17854" xr:uid="{00000000-0005-0000-0000-00001D340000}"/>
    <cellStyle name="Input 3 7 2 9" xfId="16405" xr:uid="{00000000-0005-0000-0000-00001E340000}"/>
    <cellStyle name="Input 3 7 2 9 2" xfId="37694" xr:uid="{00000000-0005-0000-0000-00001F340000}"/>
    <cellStyle name="Input 3 7 2 9 3" xfId="17181" xr:uid="{00000000-0005-0000-0000-000020340000}"/>
    <cellStyle name="Input 3 7 3" xfId="4789" xr:uid="{00000000-0005-0000-0000-000021340000}"/>
    <cellStyle name="Input 3 7 3 2" xfId="23249" xr:uid="{00000000-0005-0000-0000-000022340000}"/>
    <cellStyle name="Input 3 7 3 3" xfId="18404" xr:uid="{00000000-0005-0000-0000-000023340000}"/>
    <cellStyle name="Input 3 7 4" xfId="4565" xr:uid="{00000000-0005-0000-0000-000024340000}"/>
    <cellStyle name="Input 3 7 4 2" xfId="23025" xr:uid="{00000000-0005-0000-0000-000025340000}"/>
    <cellStyle name="Input 3 7 4 3" xfId="18242" xr:uid="{00000000-0005-0000-0000-000026340000}"/>
    <cellStyle name="Input 3 7 5" xfId="6517" xr:uid="{00000000-0005-0000-0000-000027340000}"/>
    <cellStyle name="Input 3 7 5 2" xfId="24957" xr:uid="{00000000-0005-0000-0000-000028340000}"/>
    <cellStyle name="Input 3 7 5 3" xfId="20066" xr:uid="{00000000-0005-0000-0000-000029340000}"/>
    <cellStyle name="Input 3 7 6" xfId="6970" xr:uid="{00000000-0005-0000-0000-00002A340000}"/>
    <cellStyle name="Input 3 7 6 2" xfId="25408" xr:uid="{00000000-0005-0000-0000-00002B340000}"/>
    <cellStyle name="Input 3 7 6 3" xfId="20351" xr:uid="{00000000-0005-0000-0000-00002C340000}"/>
    <cellStyle name="Input 3 7 7" xfId="7135" xr:uid="{00000000-0005-0000-0000-00002D340000}"/>
    <cellStyle name="Input 3 7 7 2" xfId="25569" xr:uid="{00000000-0005-0000-0000-00002E340000}"/>
    <cellStyle name="Input 3 7 7 3" xfId="20494" xr:uid="{00000000-0005-0000-0000-00002F340000}"/>
    <cellStyle name="Input 3 7 8" xfId="8359" xr:uid="{00000000-0005-0000-0000-000030340000}"/>
    <cellStyle name="Input 3 7 8 2" xfId="26782" xr:uid="{00000000-0005-0000-0000-000031340000}"/>
    <cellStyle name="Input 3 7 8 3" xfId="21650" xr:uid="{00000000-0005-0000-0000-000032340000}"/>
    <cellStyle name="Input 3 7 9" xfId="3851" xr:uid="{00000000-0005-0000-0000-000033340000}"/>
    <cellStyle name="Input 3 7 9 2" xfId="22318" xr:uid="{00000000-0005-0000-0000-000034340000}"/>
    <cellStyle name="Input 3 7 9 3" xfId="17533" xr:uid="{00000000-0005-0000-0000-000035340000}"/>
    <cellStyle name="Input 3 8" xfId="2155" xr:uid="{00000000-0005-0000-0000-000036340000}"/>
    <cellStyle name="Input 3 8 10" xfId="16369" xr:uid="{00000000-0005-0000-0000-000037340000}"/>
    <cellStyle name="Input 3 8 10 2" xfId="37671" xr:uid="{00000000-0005-0000-0000-000038340000}"/>
    <cellStyle name="Input 3 8 10 3" xfId="16847" xr:uid="{00000000-0005-0000-0000-000039340000}"/>
    <cellStyle name="Input 3 8 11" xfId="14716" xr:uid="{00000000-0005-0000-0000-00003A340000}"/>
    <cellStyle name="Input 3 8 11 2" xfId="36196" xr:uid="{00000000-0005-0000-0000-00003B340000}"/>
    <cellStyle name="Input 3 8 12" xfId="31242" xr:uid="{00000000-0005-0000-0000-00003C340000}"/>
    <cellStyle name="Input 3 8 2" xfId="3412" xr:uid="{00000000-0005-0000-0000-00003D340000}"/>
    <cellStyle name="Input 3 8 2 10" xfId="15702" xr:uid="{00000000-0005-0000-0000-00003E340000}"/>
    <cellStyle name="Input 3 8 2 10 2" xfId="37067" xr:uid="{00000000-0005-0000-0000-00003F340000}"/>
    <cellStyle name="Input 3 8 2 11" xfId="31472" xr:uid="{00000000-0005-0000-0000-000040340000}"/>
    <cellStyle name="Input 3 8 2 2" xfId="5548" xr:uid="{00000000-0005-0000-0000-000041340000}"/>
    <cellStyle name="Input 3 8 2 2 2" xfId="24001" xr:uid="{00000000-0005-0000-0000-000042340000}"/>
    <cellStyle name="Input 3 8 2 2 3" xfId="19136" xr:uid="{00000000-0005-0000-0000-000043340000}"/>
    <cellStyle name="Input 3 8 2 3" xfId="5070" xr:uid="{00000000-0005-0000-0000-000044340000}"/>
    <cellStyle name="Input 3 8 2 3 2" xfId="23530" xr:uid="{00000000-0005-0000-0000-000045340000}"/>
    <cellStyle name="Input 3 8 2 3 3" xfId="18684" xr:uid="{00000000-0005-0000-0000-000046340000}"/>
    <cellStyle name="Input 3 8 2 4" xfId="6065" xr:uid="{00000000-0005-0000-0000-000047340000}"/>
    <cellStyle name="Input 3 8 2 4 2" xfId="24506" xr:uid="{00000000-0005-0000-0000-000048340000}"/>
    <cellStyle name="Input 3 8 2 4 3" xfId="19615" xr:uid="{00000000-0005-0000-0000-000049340000}"/>
    <cellStyle name="Input 3 8 2 5" xfId="7584" xr:uid="{00000000-0005-0000-0000-00004A340000}"/>
    <cellStyle name="Input 3 8 2 5 2" xfId="26014" xr:uid="{00000000-0005-0000-0000-00004B340000}"/>
    <cellStyle name="Input 3 8 2 5 3" xfId="20939" xr:uid="{00000000-0005-0000-0000-00004C340000}"/>
    <cellStyle name="Input 3 8 2 6" xfId="7957" xr:uid="{00000000-0005-0000-0000-00004D340000}"/>
    <cellStyle name="Input 3 8 2 6 2" xfId="26387" xr:uid="{00000000-0005-0000-0000-00004E340000}"/>
    <cellStyle name="Input 3 8 2 6 3" xfId="21311" xr:uid="{00000000-0005-0000-0000-00004F340000}"/>
    <cellStyle name="Input 3 8 2 7" xfId="8681" xr:uid="{00000000-0005-0000-0000-000050340000}"/>
    <cellStyle name="Input 3 8 2 7 2" xfId="27101" xr:uid="{00000000-0005-0000-0000-000051340000}"/>
    <cellStyle name="Input 3 8 2 7 3" xfId="21972" xr:uid="{00000000-0005-0000-0000-000052340000}"/>
    <cellStyle name="Input 3 8 2 8" xfId="4173" xr:uid="{00000000-0005-0000-0000-000053340000}"/>
    <cellStyle name="Input 3 8 2 8 2" xfId="22637" xr:uid="{00000000-0005-0000-0000-000054340000}"/>
    <cellStyle name="Input 3 8 2 8 3" xfId="17855" xr:uid="{00000000-0005-0000-0000-000055340000}"/>
    <cellStyle name="Input 3 8 2 9" xfId="14394" xr:uid="{00000000-0005-0000-0000-000056340000}"/>
    <cellStyle name="Input 3 8 2 9 2" xfId="35930" xr:uid="{00000000-0005-0000-0000-000057340000}"/>
    <cellStyle name="Input 3 8 2 9 3" xfId="17182" xr:uid="{00000000-0005-0000-0000-000058340000}"/>
    <cellStyle name="Input 3 8 3" xfId="4790" xr:uid="{00000000-0005-0000-0000-000059340000}"/>
    <cellStyle name="Input 3 8 3 2" xfId="23250" xr:uid="{00000000-0005-0000-0000-00005A340000}"/>
    <cellStyle name="Input 3 8 3 3" xfId="18405" xr:uid="{00000000-0005-0000-0000-00005B340000}"/>
    <cellStyle name="Input 3 8 4" xfId="5857" xr:uid="{00000000-0005-0000-0000-00005C340000}"/>
    <cellStyle name="Input 3 8 4 2" xfId="24303" xr:uid="{00000000-0005-0000-0000-00005D340000}"/>
    <cellStyle name="Input 3 8 4 3" xfId="19412" xr:uid="{00000000-0005-0000-0000-00005E340000}"/>
    <cellStyle name="Input 3 8 5" xfId="6516" xr:uid="{00000000-0005-0000-0000-00005F340000}"/>
    <cellStyle name="Input 3 8 5 2" xfId="24956" xr:uid="{00000000-0005-0000-0000-000060340000}"/>
    <cellStyle name="Input 3 8 5 3" xfId="20065" xr:uid="{00000000-0005-0000-0000-000061340000}"/>
    <cellStyle name="Input 3 8 6" xfId="6971" xr:uid="{00000000-0005-0000-0000-000062340000}"/>
    <cellStyle name="Input 3 8 6 2" xfId="25409" xr:uid="{00000000-0005-0000-0000-000063340000}"/>
    <cellStyle name="Input 3 8 6 3" xfId="20352" xr:uid="{00000000-0005-0000-0000-000064340000}"/>
    <cellStyle name="Input 3 8 7" xfId="7020" xr:uid="{00000000-0005-0000-0000-000065340000}"/>
    <cellStyle name="Input 3 8 7 2" xfId="25458" xr:uid="{00000000-0005-0000-0000-000066340000}"/>
    <cellStyle name="Input 3 8 7 3" xfId="20395" xr:uid="{00000000-0005-0000-0000-000067340000}"/>
    <cellStyle name="Input 3 8 8" xfId="8360" xr:uid="{00000000-0005-0000-0000-000068340000}"/>
    <cellStyle name="Input 3 8 8 2" xfId="26783" xr:uid="{00000000-0005-0000-0000-000069340000}"/>
    <cellStyle name="Input 3 8 8 3" xfId="21651" xr:uid="{00000000-0005-0000-0000-00006A340000}"/>
    <cellStyle name="Input 3 8 9" xfId="3852" xr:uid="{00000000-0005-0000-0000-00006B340000}"/>
    <cellStyle name="Input 3 8 9 2" xfId="22319" xr:uid="{00000000-0005-0000-0000-00006C340000}"/>
    <cellStyle name="Input 3 8 9 3" xfId="17534" xr:uid="{00000000-0005-0000-0000-00006D340000}"/>
    <cellStyle name="Input 3 9" xfId="2156" xr:uid="{00000000-0005-0000-0000-00006E340000}"/>
    <cellStyle name="Input 3 9 10" xfId="14401" xr:uid="{00000000-0005-0000-0000-00006F340000}"/>
    <cellStyle name="Input 3 9 10 2" xfId="35933" xr:uid="{00000000-0005-0000-0000-000070340000}"/>
    <cellStyle name="Input 3 9 10 3" xfId="16848" xr:uid="{00000000-0005-0000-0000-000071340000}"/>
    <cellStyle name="Input 3 9 11" xfId="15480" xr:uid="{00000000-0005-0000-0000-000072340000}"/>
    <cellStyle name="Input 3 9 11 2" xfId="36859" xr:uid="{00000000-0005-0000-0000-000073340000}"/>
    <cellStyle name="Input 3 9 12" xfId="31243" xr:uid="{00000000-0005-0000-0000-000074340000}"/>
    <cellStyle name="Input 3 9 2" xfId="3413" xr:uid="{00000000-0005-0000-0000-000075340000}"/>
    <cellStyle name="Input 3 9 2 10" xfId="15170" xr:uid="{00000000-0005-0000-0000-000076340000}"/>
    <cellStyle name="Input 3 9 2 10 2" xfId="36581" xr:uid="{00000000-0005-0000-0000-000077340000}"/>
    <cellStyle name="Input 3 9 2 11" xfId="31473" xr:uid="{00000000-0005-0000-0000-000078340000}"/>
    <cellStyle name="Input 3 9 2 2" xfId="5549" xr:uid="{00000000-0005-0000-0000-000079340000}"/>
    <cellStyle name="Input 3 9 2 2 2" xfId="24002" xr:uid="{00000000-0005-0000-0000-00007A340000}"/>
    <cellStyle name="Input 3 9 2 2 3" xfId="19137" xr:uid="{00000000-0005-0000-0000-00007B340000}"/>
    <cellStyle name="Input 3 9 2 3" xfId="5071" xr:uid="{00000000-0005-0000-0000-00007C340000}"/>
    <cellStyle name="Input 3 9 2 3 2" xfId="23531" xr:uid="{00000000-0005-0000-0000-00007D340000}"/>
    <cellStyle name="Input 3 9 2 3 3" xfId="18685" xr:uid="{00000000-0005-0000-0000-00007E340000}"/>
    <cellStyle name="Input 3 9 2 4" xfId="6064" xr:uid="{00000000-0005-0000-0000-00007F340000}"/>
    <cellStyle name="Input 3 9 2 4 2" xfId="24505" xr:uid="{00000000-0005-0000-0000-000080340000}"/>
    <cellStyle name="Input 3 9 2 4 3" xfId="19614" xr:uid="{00000000-0005-0000-0000-000081340000}"/>
    <cellStyle name="Input 3 9 2 5" xfId="7585" xr:uid="{00000000-0005-0000-0000-000082340000}"/>
    <cellStyle name="Input 3 9 2 5 2" xfId="26015" xr:uid="{00000000-0005-0000-0000-000083340000}"/>
    <cellStyle name="Input 3 9 2 5 3" xfId="20940" xr:uid="{00000000-0005-0000-0000-000084340000}"/>
    <cellStyle name="Input 3 9 2 6" xfId="7958" xr:uid="{00000000-0005-0000-0000-000085340000}"/>
    <cellStyle name="Input 3 9 2 6 2" xfId="26388" xr:uid="{00000000-0005-0000-0000-000086340000}"/>
    <cellStyle name="Input 3 9 2 6 3" xfId="21312" xr:uid="{00000000-0005-0000-0000-000087340000}"/>
    <cellStyle name="Input 3 9 2 7" xfId="8682" xr:uid="{00000000-0005-0000-0000-000088340000}"/>
    <cellStyle name="Input 3 9 2 7 2" xfId="27102" xr:uid="{00000000-0005-0000-0000-000089340000}"/>
    <cellStyle name="Input 3 9 2 7 3" xfId="21973" xr:uid="{00000000-0005-0000-0000-00008A340000}"/>
    <cellStyle name="Input 3 9 2 8" xfId="4174" xr:uid="{00000000-0005-0000-0000-00008B340000}"/>
    <cellStyle name="Input 3 9 2 8 2" xfId="22638" xr:uid="{00000000-0005-0000-0000-00008C340000}"/>
    <cellStyle name="Input 3 9 2 8 3" xfId="17856" xr:uid="{00000000-0005-0000-0000-00008D340000}"/>
    <cellStyle name="Input 3 9 2 9" xfId="14406" xr:uid="{00000000-0005-0000-0000-00008E340000}"/>
    <cellStyle name="Input 3 9 2 9 2" xfId="35937" xr:uid="{00000000-0005-0000-0000-00008F340000}"/>
    <cellStyle name="Input 3 9 2 9 3" xfId="17183" xr:uid="{00000000-0005-0000-0000-000090340000}"/>
    <cellStyle name="Input 3 9 3" xfId="4791" xr:uid="{00000000-0005-0000-0000-000091340000}"/>
    <cellStyle name="Input 3 9 3 2" xfId="23251" xr:uid="{00000000-0005-0000-0000-000092340000}"/>
    <cellStyle name="Input 3 9 3 3" xfId="18406" xr:uid="{00000000-0005-0000-0000-000093340000}"/>
    <cellStyle name="Input 3 9 4" xfId="4566" xr:uid="{00000000-0005-0000-0000-000094340000}"/>
    <cellStyle name="Input 3 9 4 2" xfId="23026" xr:uid="{00000000-0005-0000-0000-000095340000}"/>
    <cellStyle name="Input 3 9 4 3" xfId="18243" xr:uid="{00000000-0005-0000-0000-000096340000}"/>
    <cellStyle name="Input 3 9 5" xfId="6515" xr:uid="{00000000-0005-0000-0000-000097340000}"/>
    <cellStyle name="Input 3 9 5 2" xfId="24955" xr:uid="{00000000-0005-0000-0000-000098340000}"/>
    <cellStyle name="Input 3 9 5 3" xfId="20064" xr:uid="{00000000-0005-0000-0000-000099340000}"/>
    <cellStyle name="Input 3 9 6" xfId="6972" xr:uid="{00000000-0005-0000-0000-00009A340000}"/>
    <cellStyle name="Input 3 9 6 2" xfId="25410" xr:uid="{00000000-0005-0000-0000-00009B340000}"/>
    <cellStyle name="Input 3 9 6 3" xfId="20353" xr:uid="{00000000-0005-0000-0000-00009C340000}"/>
    <cellStyle name="Input 3 9 7" xfId="7134" xr:uid="{00000000-0005-0000-0000-00009D340000}"/>
    <cellStyle name="Input 3 9 7 2" xfId="25568" xr:uid="{00000000-0005-0000-0000-00009E340000}"/>
    <cellStyle name="Input 3 9 7 3" xfId="20493" xr:uid="{00000000-0005-0000-0000-00009F340000}"/>
    <cellStyle name="Input 3 9 8" xfId="8361" xr:uid="{00000000-0005-0000-0000-0000A0340000}"/>
    <cellStyle name="Input 3 9 8 2" xfId="26784" xr:uid="{00000000-0005-0000-0000-0000A1340000}"/>
    <cellStyle name="Input 3 9 8 3" xfId="21652" xr:uid="{00000000-0005-0000-0000-0000A2340000}"/>
    <cellStyle name="Input 3 9 9" xfId="3853" xr:uid="{00000000-0005-0000-0000-0000A3340000}"/>
    <cellStyle name="Input 3 9 9 2" xfId="22320" xr:uid="{00000000-0005-0000-0000-0000A4340000}"/>
    <cellStyle name="Input 3 9 9 3" xfId="17535" xr:uid="{00000000-0005-0000-0000-0000A5340000}"/>
    <cellStyle name="Input 30 2" xfId="39647" xr:uid="{00000000-0005-0000-0000-0000790A0000}"/>
    <cellStyle name="Input 30 2 2" xfId="41302" xr:uid="{00000000-0005-0000-0000-0000790A0000}"/>
    <cellStyle name="Input 31 2" xfId="39648" xr:uid="{00000000-0005-0000-0000-00007A0A0000}"/>
    <cellStyle name="Input 31 2 2" xfId="41303" xr:uid="{00000000-0005-0000-0000-00007A0A0000}"/>
    <cellStyle name="Input 32 2" xfId="39649" xr:uid="{00000000-0005-0000-0000-00007B0A0000}"/>
    <cellStyle name="Input 32 2 2" xfId="41304" xr:uid="{00000000-0005-0000-0000-00007B0A0000}"/>
    <cellStyle name="Input 33 2" xfId="39650" xr:uid="{00000000-0005-0000-0000-00007C0A0000}"/>
    <cellStyle name="Input 33 2 2" xfId="41305" xr:uid="{00000000-0005-0000-0000-00007C0A0000}"/>
    <cellStyle name="Input 34" xfId="39651" xr:uid="{00000000-0005-0000-0000-00007D0A0000}"/>
    <cellStyle name="Input 34 2" xfId="39652" xr:uid="{00000000-0005-0000-0000-00007E0A0000}"/>
    <cellStyle name="Input 34 2 2" xfId="41307" xr:uid="{00000000-0005-0000-0000-00007E0A0000}"/>
    <cellStyle name="Input 34 3" xfId="41306" xr:uid="{00000000-0005-0000-0000-00007D0A0000}"/>
    <cellStyle name="Input 34_ELC_final" xfId="39653" xr:uid="{00000000-0005-0000-0000-00007F0A0000}"/>
    <cellStyle name="Input 35" xfId="39654" xr:uid="{00000000-0005-0000-0000-0000800A0000}"/>
    <cellStyle name="Input 35 2" xfId="41308" xr:uid="{00000000-0005-0000-0000-0000800A0000}"/>
    <cellStyle name="Input 36" xfId="39655" xr:uid="{00000000-0005-0000-0000-0000810A0000}"/>
    <cellStyle name="Input 36 2" xfId="41309" xr:uid="{00000000-0005-0000-0000-0000810A0000}"/>
    <cellStyle name="Input 37" xfId="39656" xr:uid="{00000000-0005-0000-0000-0000820A0000}"/>
    <cellStyle name="Input 37 2" xfId="41310" xr:uid="{00000000-0005-0000-0000-0000820A0000}"/>
    <cellStyle name="Input 38" xfId="39657" xr:uid="{00000000-0005-0000-0000-0000830A0000}"/>
    <cellStyle name="Input 38 2" xfId="41311" xr:uid="{00000000-0005-0000-0000-0000830A0000}"/>
    <cellStyle name="Input 39" xfId="39658" xr:uid="{00000000-0005-0000-0000-0000840A0000}"/>
    <cellStyle name="Input 39 2" xfId="41312" xr:uid="{00000000-0005-0000-0000-0000840A0000}"/>
    <cellStyle name="Input 4" xfId="2157" xr:uid="{00000000-0005-0000-0000-0000A6340000}"/>
    <cellStyle name="Input 4 10" xfId="2158" xr:uid="{00000000-0005-0000-0000-0000A7340000}"/>
    <cellStyle name="Input 4 10 10" xfId="15051" xr:uid="{00000000-0005-0000-0000-0000A8340000}"/>
    <cellStyle name="Input 4 10 10 2" xfId="36467" xr:uid="{00000000-0005-0000-0000-0000A9340000}"/>
    <cellStyle name="Input 4 10 10 3" xfId="16850" xr:uid="{00000000-0005-0000-0000-0000AA340000}"/>
    <cellStyle name="Input 4 10 11" xfId="16112" xr:uid="{00000000-0005-0000-0000-0000AB340000}"/>
    <cellStyle name="Input 4 10 11 2" xfId="37434" xr:uid="{00000000-0005-0000-0000-0000AC340000}"/>
    <cellStyle name="Input 4 10 12" xfId="31245" xr:uid="{00000000-0005-0000-0000-0000AD340000}"/>
    <cellStyle name="Input 4 10 2" xfId="3415" xr:uid="{00000000-0005-0000-0000-0000AE340000}"/>
    <cellStyle name="Input 4 10 2 10" xfId="15747" xr:uid="{00000000-0005-0000-0000-0000AF340000}"/>
    <cellStyle name="Input 4 10 2 10 2" xfId="37112" xr:uid="{00000000-0005-0000-0000-0000B0340000}"/>
    <cellStyle name="Input 4 10 2 11" xfId="31475" xr:uid="{00000000-0005-0000-0000-0000B1340000}"/>
    <cellStyle name="Input 4 10 2 2" xfId="5551" xr:uid="{00000000-0005-0000-0000-0000B2340000}"/>
    <cellStyle name="Input 4 10 2 2 2" xfId="24004" xr:uid="{00000000-0005-0000-0000-0000B3340000}"/>
    <cellStyle name="Input 4 10 2 2 3" xfId="19139" xr:uid="{00000000-0005-0000-0000-0000B4340000}"/>
    <cellStyle name="Input 4 10 2 3" xfId="5073" xr:uid="{00000000-0005-0000-0000-0000B5340000}"/>
    <cellStyle name="Input 4 10 2 3 2" xfId="23533" xr:uid="{00000000-0005-0000-0000-0000B6340000}"/>
    <cellStyle name="Input 4 10 2 3 3" xfId="18687" xr:uid="{00000000-0005-0000-0000-0000B7340000}"/>
    <cellStyle name="Input 4 10 2 4" xfId="6062" xr:uid="{00000000-0005-0000-0000-0000B8340000}"/>
    <cellStyle name="Input 4 10 2 4 2" xfId="24503" xr:uid="{00000000-0005-0000-0000-0000B9340000}"/>
    <cellStyle name="Input 4 10 2 4 3" xfId="19612" xr:uid="{00000000-0005-0000-0000-0000BA340000}"/>
    <cellStyle name="Input 4 10 2 5" xfId="7587" xr:uid="{00000000-0005-0000-0000-0000BB340000}"/>
    <cellStyle name="Input 4 10 2 5 2" xfId="26017" xr:uid="{00000000-0005-0000-0000-0000BC340000}"/>
    <cellStyle name="Input 4 10 2 5 3" xfId="20942" xr:uid="{00000000-0005-0000-0000-0000BD340000}"/>
    <cellStyle name="Input 4 10 2 6" xfId="7960" xr:uid="{00000000-0005-0000-0000-0000BE340000}"/>
    <cellStyle name="Input 4 10 2 6 2" xfId="26390" xr:uid="{00000000-0005-0000-0000-0000BF340000}"/>
    <cellStyle name="Input 4 10 2 6 3" xfId="21314" xr:uid="{00000000-0005-0000-0000-0000C0340000}"/>
    <cellStyle name="Input 4 10 2 7" xfId="8684" xr:uid="{00000000-0005-0000-0000-0000C1340000}"/>
    <cellStyle name="Input 4 10 2 7 2" xfId="27104" xr:uid="{00000000-0005-0000-0000-0000C2340000}"/>
    <cellStyle name="Input 4 10 2 7 3" xfId="21975" xr:uid="{00000000-0005-0000-0000-0000C3340000}"/>
    <cellStyle name="Input 4 10 2 8" xfId="4176" xr:uid="{00000000-0005-0000-0000-0000C4340000}"/>
    <cellStyle name="Input 4 10 2 8 2" xfId="22640" xr:uid="{00000000-0005-0000-0000-0000C5340000}"/>
    <cellStyle name="Input 4 10 2 8 3" xfId="17858" xr:uid="{00000000-0005-0000-0000-0000C6340000}"/>
    <cellStyle name="Input 4 10 2 9" xfId="15152" xr:uid="{00000000-0005-0000-0000-0000C7340000}"/>
    <cellStyle name="Input 4 10 2 9 2" xfId="36563" xr:uid="{00000000-0005-0000-0000-0000C8340000}"/>
    <cellStyle name="Input 4 10 2 9 3" xfId="17185" xr:uid="{00000000-0005-0000-0000-0000C9340000}"/>
    <cellStyle name="Input 4 10 3" xfId="4793" xr:uid="{00000000-0005-0000-0000-0000CA340000}"/>
    <cellStyle name="Input 4 10 3 2" xfId="23253" xr:uid="{00000000-0005-0000-0000-0000CB340000}"/>
    <cellStyle name="Input 4 10 3 3" xfId="18408" xr:uid="{00000000-0005-0000-0000-0000CC340000}"/>
    <cellStyle name="Input 4 10 4" xfId="4567" xr:uid="{00000000-0005-0000-0000-0000CD340000}"/>
    <cellStyle name="Input 4 10 4 2" xfId="23027" xr:uid="{00000000-0005-0000-0000-0000CE340000}"/>
    <cellStyle name="Input 4 10 4 3" xfId="18244" xr:uid="{00000000-0005-0000-0000-0000CF340000}"/>
    <cellStyle name="Input 4 10 5" xfId="6513" xr:uid="{00000000-0005-0000-0000-0000D0340000}"/>
    <cellStyle name="Input 4 10 5 2" xfId="24953" xr:uid="{00000000-0005-0000-0000-0000D1340000}"/>
    <cellStyle name="Input 4 10 5 3" xfId="20062" xr:uid="{00000000-0005-0000-0000-0000D2340000}"/>
    <cellStyle name="Input 4 10 6" xfId="6974" xr:uid="{00000000-0005-0000-0000-0000D3340000}"/>
    <cellStyle name="Input 4 10 6 2" xfId="25412" xr:uid="{00000000-0005-0000-0000-0000D4340000}"/>
    <cellStyle name="Input 4 10 6 3" xfId="20355" xr:uid="{00000000-0005-0000-0000-0000D5340000}"/>
    <cellStyle name="Input 4 10 7" xfId="6477" xr:uid="{00000000-0005-0000-0000-0000D6340000}"/>
    <cellStyle name="Input 4 10 7 2" xfId="24917" xr:uid="{00000000-0005-0000-0000-0000D7340000}"/>
    <cellStyle name="Input 4 10 7 3" xfId="20026" xr:uid="{00000000-0005-0000-0000-0000D8340000}"/>
    <cellStyle name="Input 4 10 8" xfId="8363" xr:uid="{00000000-0005-0000-0000-0000D9340000}"/>
    <cellStyle name="Input 4 10 8 2" xfId="26786" xr:uid="{00000000-0005-0000-0000-0000DA340000}"/>
    <cellStyle name="Input 4 10 8 3" xfId="21654" xr:uid="{00000000-0005-0000-0000-0000DB340000}"/>
    <cellStyle name="Input 4 10 9" xfId="3855" xr:uid="{00000000-0005-0000-0000-0000DC340000}"/>
    <cellStyle name="Input 4 10 9 2" xfId="22322" xr:uid="{00000000-0005-0000-0000-0000DD340000}"/>
    <cellStyle name="Input 4 10 9 3" xfId="17537" xr:uid="{00000000-0005-0000-0000-0000DE340000}"/>
    <cellStyle name="Input 4 11" xfId="2159" xr:uid="{00000000-0005-0000-0000-0000DF340000}"/>
    <cellStyle name="Input 4 11 10" xfId="14505" xr:uid="{00000000-0005-0000-0000-0000E0340000}"/>
    <cellStyle name="Input 4 11 10 2" xfId="36033" xr:uid="{00000000-0005-0000-0000-0000E1340000}"/>
    <cellStyle name="Input 4 11 10 3" xfId="16851" xr:uid="{00000000-0005-0000-0000-0000E2340000}"/>
    <cellStyle name="Input 4 11 11" xfId="14558" xr:uid="{00000000-0005-0000-0000-0000E3340000}"/>
    <cellStyle name="Input 4 11 11 2" xfId="36079" xr:uid="{00000000-0005-0000-0000-0000E4340000}"/>
    <cellStyle name="Input 4 11 12" xfId="31246" xr:uid="{00000000-0005-0000-0000-0000E5340000}"/>
    <cellStyle name="Input 4 11 2" xfId="3416" xr:uid="{00000000-0005-0000-0000-0000E6340000}"/>
    <cellStyle name="Input 4 11 2 10" xfId="16601" xr:uid="{00000000-0005-0000-0000-0000E7340000}"/>
    <cellStyle name="Input 4 11 2 10 2" xfId="37810" xr:uid="{00000000-0005-0000-0000-0000E8340000}"/>
    <cellStyle name="Input 4 11 2 11" xfId="31476" xr:uid="{00000000-0005-0000-0000-0000E9340000}"/>
    <cellStyle name="Input 4 11 2 2" xfId="5552" xr:uid="{00000000-0005-0000-0000-0000EA340000}"/>
    <cellStyle name="Input 4 11 2 2 2" xfId="24005" xr:uid="{00000000-0005-0000-0000-0000EB340000}"/>
    <cellStyle name="Input 4 11 2 2 3" xfId="19140" xr:uid="{00000000-0005-0000-0000-0000EC340000}"/>
    <cellStyle name="Input 4 11 2 3" xfId="5074" xr:uid="{00000000-0005-0000-0000-0000ED340000}"/>
    <cellStyle name="Input 4 11 2 3 2" xfId="23534" xr:uid="{00000000-0005-0000-0000-0000EE340000}"/>
    <cellStyle name="Input 4 11 2 3 3" xfId="18688" xr:uid="{00000000-0005-0000-0000-0000EF340000}"/>
    <cellStyle name="Input 4 11 2 4" xfId="6061" xr:uid="{00000000-0005-0000-0000-0000F0340000}"/>
    <cellStyle name="Input 4 11 2 4 2" xfId="24502" xr:uid="{00000000-0005-0000-0000-0000F1340000}"/>
    <cellStyle name="Input 4 11 2 4 3" xfId="19611" xr:uid="{00000000-0005-0000-0000-0000F2340000}"/>
    <cellStyle name="Input 4 11 2 5" xfId="7588" xr:uid="{00000000-0005-0000-0000-0000F3340000}"/>
    <cellStyle name="Input 4 11 2 5 2" xfId="26018" xr:uid="{00000000-0005-0000-0000-0000F4340000}"/>
    <cellStyle name="Input 4 11 2 5 3" xfId="20943" xr:uid="{00000000-0005-0000-0000-0000F5340000}"/>
    <cellStyle name="Input 4 11 2 6" xfId="7961" xr:uid="{00000000-0005-0000-0000-0000F6340000}"/>
    <cellStyle name="Input 4 11 2 6 2" xfId="26391" xr:uid="{00000000-0005-0000-0000-0000F7340000}"/>
    <cellStyle name="Input 4 11 2 6 3" xfId="21315" xr:uid="{00000000-0005-0000-0000-0000F8340000}"/>
    <cellStyle name="Input 4 11 2 7" xfId="8685" xr:uid="{00000000-0005-0000-0000-0000F9340000}"/>
    <cellStyle name="Input 4 11 2 7 2" xfId="27105" xr:uid="{00000000-0005-0000-0000-0000FA340000}"/>
    <cellStyle name="Input 4 11 2 7 3" xfId="21976" xr:uid="{00000000-0005-0000-0000-0000FB340000}"/>
    <cellStyle name="Input 4 11 2 8" xfId="4177" xr:uid="{00000000-0005-0000-0000-0000FC340000}"/>
    <cellStyle name="Input 4 11 2 8 2" xfId="22641" xr:uid="{00000000-0005-0000-0000-0000FD340000}"/>
    <cellStyle name="Input 4 11 2 8 3" xfId="17859" xr:uid="{00000000-0005-0000-0000-0000FE340000}"/>
    <cellStyle name="Input 4 11 2 9" xfId="15153" xr:uid="{00000000-0005-0000-0000-0000FF340000}"/>
    <cellStyle name="Input 4 11 2 9 2" xfId="36564" xr:uid="{00000000-0005-0000-0000-000000350000}"/>
    <cellStyle name="Input 4 11 2 9 3" xfId="17186" xr:uid="{00000000-0005-0000-0000-000001350000}"/>
    <cellStyle name="Input 4 11 3" xfId="4794" xr:uid="{00000000-0005-0000-0000-000002350000}"/>
    <cellStyle name="Input 4 11 3 2" xfId="23254" xr:uid="{00000000-0005-0000-0000-000003350000}"/>
    <cellStyle name="Input 4 11 3 3" xfId="18409" xr:uid="{00000000-0005-0000-0000-000004350000}"/>
    <cellStyle name="Input 4 11 4" xfId="5855" xr:uid="{00000000-0005-0000-0000-000005350000}"/>
    <cellStyle name="Input 4 11 4 2" xfId="24301" xr:uid="{00000000-0005-0000-0000-000006350000}"/>
    <cellStyle name="Input 4 11 4 3" xfId="19410" xr:uid="{00000000-0005-0000-0000-000007350000}"/>
    <cellStyle name="Input 4 11 5" xfId="6512" xr:uid="{00000000-0005-0000-0000-000008350000}"/>
    <cellStyle name="Input 4 11 5 2" xfId="24952" xr:uid="{00000000-0005-0000-0000-000009350000}"/>
    <cellStyle name="Input 4 11 5 3" xfId="20061" xr:uid="{00000000-0005-0000-0000-00000A350000}"/>
    <cellStyle name="Input 4 11 6" xfId="6975" xr:uid="{00000000-0005-0000-0000-00000B350000}"/>
    <cellStyle name="Input 4 11 6 2" xfId="25413" xr:uid="{00000000-0005-0000-0000-00000C350000}"/>
    <cellStyle name="Input 4 11 6 3" xfId="20356" xr:uid="{00000000-0005-0000-0000-00000D350000}"/>
    <cellStyle name="Input 4 11 7" xfId="6476" xr:uid="{00000000-0005-0000-0000-00000E350000}"/>
    <cellStyle name="Input 4 11 7 2" xfId="24916" xr:uid="{00000000-0005-0000-0000-00000F350000}"/>
    <cellStyle name="Input 4 11 7 3" xfId="20025" xr:uid="{00000000-0005-0000-0000-000010350000}"/>
    <cellStyle name="Input 4 11 8" xfId="8364" xr:uid="{00000000-0005-0000-0000-000011350000}"/>
    <cellStyle name="Input 4 11 8 2" xfId="26787" xr:uid="{00000000-0005-0000-0000-000012350000}"/>
    <cellStyle name="Input 4 11 8 3" xfId="21655" xr:uid="{00000000-0005-0000-0000-000013350000}"/>
    <cellStyle name="Input 4 11 9" xfId="3856" xr:uid="{00000000-0005-0000-0000-000014350000}"/>
    <cellStyle name="Input 4 11 9 2" xfId="22323" xr:uid="{00000000-0005-0000-0000-000015350000}"/>
    <cellStyle name="Input 4 11 9 3" xfId="17538" xr:uid="{00000000-0005-0000-0000-000016350000}"/>
    <cellStyle name="Input 4 12" xfId="3414" xr:uid="{00000000-0005-0000-0000-000017350000}"/>
    <cellStyle name="Input 4 12 10" xfId="15464" xr:uid="{00000000-0005-0000-0000-000018350000}"/>
    <cellStyle name="Input 4 12 10 2" xfId="36845" xr:uid="{00000000-0005-0000-0000-000019350000}"/>
    <cellStyle name="Input 4 12 11" xfId="31474" xr:uid="{00000000-0005-0000-0000-00001A350000}"/>
    <cellStyle name="Input 4 12 2" xfId="5550" xr:uid="{00000000-0005-0000-0000-00001B350000}"/>
    <cellStyle name="Input 4 12 2 2" xfId="24003" xr:uid="{00000000-0005-0000-0000-00001C350000}"/>
    <cellStyle name="Input 4 12 2 3" xfId="19138" xr:uid="{00000000-0005-0000-0000-00001D350000}"/>
    <cellStyle name="Input 4 12 3" xfId="5072" xr:uid="{00000000-0005-0000-0000-00001E350000}"/>
    <cellStyle name="Input 4 12 3 2" xfId="23532" xr:uid="{00000000-0005-0000-0000-00001F350000}"/>
    <cellStyle name="Input 4 12 3 3" xfId="18686" xr:uid="{00000000-0005-0000-0000-000020350000}"/>
    <cellStyle name="Input 4 12 4" xfId="6063" xr:uid="{00000000-0005-0000-0000-000021350000}"/>
    <cellStyle name="Input 4 12 4 2" xfId="24504" xr:uid="{00000000-0005-0000-0000-000022350000}"/>
    <cellStyle name="Input 4 12 4 3" xfId="19613" xr:uid="{00000000-0005-0000-0000-000023350000}"/>
    <cellStyle name="Input 4 12 5" xfId="7586" xr:uid="{00000000-0005-0000-0000-000024350000}"/>
    <cellStyle name="Input 4 12 5 2" xfId="26016" xr:uid="{00000000-0005-0000-0000-000025350000}"/>
    <cellStyle name="Input 4 12 5 3" xfId="20941" xr:uid="{00000000-0005-0000-0000-000026350000}"/>
    <cellStyle name="Input 4 12 6" xfId="7959" xr:uid="{00000000-0005-0000-0000-000027350000}"/>
    <cellStyle name="Input 4 12 6 2" xfId="26389" xr:uid="{00000000-0005-0000-0000-000028350000}"/>
    <cellStyle name="Input 4 12 6 3" xfId="21313" xr:uid="{00000000-0005-0000-0000-000029350000}"/>
    <cellStyle name="Input 4 12 7" xfId="8683" xr:uid="{00000000-0005-0000-0000-00002A350000}"/>
    <cellStyle name="Input 4 12 7 2" xfId="27103" xr:uid="{00000000-0005-0000-0000-00002B350000}"/>
    <cellStyle name="Input 4 12 7 3" xfId="21974" xr:uid="{00000000-0005-0000-0000-00002C350000}"/>
    <cellStyle name="Input 4 12 8" xfId="4175" xr:uid="{00000000-0005-0000-0000-00002D350000}"/>
    <cellStyle name="Input 4 12 8 2" xfId="22639" xr:uid="{00000000-0005-0000-0000-00002E350000}"/>
    <cellStyle name="Input 4 12 8 3" xfId="17857" xr:uid="{00000000-0005-0000-0000-00002F350000}"/>
    <cellStyle name="Input 4 12 9" xfId="14506" xr:uid="{00000000-0005-0000-0000-000030350000}"/>
    <cellStyle name="Input 4 12 9 2" xfId="36034" xr:uid="{00000000-0005-0000-0000-000031350000}"/>
    <cellStyle name="Input 4 12 9 3" xfId="17184" xr:uid="{00000000-0005-0000-0000-000032350000}"/>
    <cellStyle name="Input 4 13" xfId="4792" xr:uid="{00000000-0005-0000-0000-000033350000}"/>
    <cellStyle name="Input 4 13 2" xfId="23252" xr:uid="{00000000-0005-0000-0000-000034350000}"/>
    <cellStyle name="Input 4 13 3" xfId="18407" xr:uid="{00000000-0005-0000-0000-000035350000}"/>
    <cellStyle name="Input 4 14" xfId="5856" xr:uid="{00000000-0005-0000-0000-000036350000}"/>
    <cellStyle name="Input 4 14 2" xfId="24302" xr:uid="{00000000-0005-0000-0000-000037350000}"/>
    <cellStyle name="Input 4 14 3" xfId="19411" xr:uid="{00000000-0005-0000-0000-000038350000}"/>
    <cellStyle name="Input 4 15" xfId="6514" xr:uid="{00000000-0005-0000-0000-000039350000}"/>
    <cellStyle name="Input 4 15 2" xfId="24954" xr:uid="{00000000-0005-0000-0000-00003A350000}"/>
    <cellStyle name="Input 4 15 3" xfId="20063" xr:uid="{00000000-0005-0000-0000-00003B350000}"/>
    <cellStyle name="Input 4 16" xfId="6973" xr:uid="{00000000-0005-0000-0000-00003C350000}"/>
    <cellStyle name="Input 4 16 2" xfId="25411" xr:uid="{00000000-0005-0000-0000-00003D350000}"/>
    <cellStyle name="Input 4 16 3" xfId="20354" xr:uid="{00000000-0005-0000-0000-00003E350000}"/>
    <cellStyle name="Input 4 17" xfId="6161" xr:uid="{00000000-0005-0000-0000-00003F350000}"/>
    <cellStyle name="Input 4 17 2" xfId="24602" xr:uid="{00000000-0005-0000-0000-000040350000}"/>
    <cellStyle name="Input 4 17 3" xfId="19711" xr:uid="{00000000-0005-0000-0000-000041350000}"/>
    <cellStyle name="Input 4 18" xfId="8362" xr:uid="{00000000-0005-0000-0000-000042350000}"/>
    <cellStyle name="Input 4 18 2" xfId="26785" xr:uid="{00000000-0005-0000-0000-000043350000}"/>
    <cellStyle name="Input 4 18 3" xfId="21653" xr:uid="{00000000-0005-0000-0000-000044350000}"/>
    <cellStyle name="Input 4 19" xfId="3854" xr:uid="{00000000-0005-0000-0000-000045350000}"/>
    <cellStyle name="Input 4 19 2" xfId="22321" xr:uid="{00000000-0005-0000-0000-000046350000}"/>
    <cellStyle name="Input 4 19 3" xfId="17536" xr:uid="{00000000-0005-0000-0000-000047350000}"/>
    <cellStyle name="Input 4 2" xfId="2160" xr:uid="{00000000-0005-0000-0000-000048350000}"/>
    <cellStyle name="Input 4 2 10" xfId="14570" xr:uid="{00000000-0005-0000-0000-000049350000}"/>
    <cellStyle name="Input 4 2 10 2" xfId="36089" xr:uid="{00000000-0005-0000-0000-00004A350000}"/>
    <cellStyle name="Input 4 2 10 3" xfId="16852" xr:uid="{00000000-0005-0000-0000-00004B350000}"/>
    <cellStyle name="Input 4 2 11" xfId="15562" xr:uid="{00000000-0005-0000-0000-00004C350000}"/>
    <cellStyle name="Input 4 2 11 2" xfId="36940" xr:uid="{00000000-0005-0000-0000-00004D350000}"/>
    <cellStyle name="Input 4 2 12" xfId="31247" xr:uid="{00000000-0005-0000-0000-00004E350000}"/>
    <cellStyle name="Input 4 2 13" xfId="39660" xr:uid="{00000000-0005-0000-0000-0000860A0000}"/>
    <cellStyle name="Input 4 2 14" xfId="41314" xr:uid="{00000000-0005-0000-0000-0000860A0000}"/>
    <cellStyle name="Input 4 2 2" xfId="3417" xr:uid="{00000000-0005-0000-0000-00004F350000}"/>
    <cellStyle name="Input 4 2 2 10" xfId="14559" xr:uid="{00000000-0005-0000-0000-000050350000}"/>
    <cellStyle name="Input 4 2 2 10 2" xfId="36080" xr:uid="{00000000-0005-0000-0000-000051350000}"/>
    <cellStyle name="Input 4 2 2 11" xfId="31477" xr:uid="{00000000-0005-0000-0000-000052350000}"/>
    <cellStyle name="Input 4 2 2 2" xfId="5553" xr:uid="{00000000-0005-0000-0000-000053350000}"/>
    <cellStyle name="Input 4 2 2 2 2" xfId="24006" xr:uid="{00000000-0005-0000-0000-000054350000}"/>
    <cellStyle name="Input 4 2 2 2 3" xfId="19141" xr:uid="{00000000-0005-0000-0000-000055350000}"/>
    <cellStyle name="Input 4 2 2 3" xfId="5075" xr:uid="{00000000-0005-0000-0000-000056350000}"/>
    <cellStyle name="Input 4 2 2 3 2" xfId="23535" xr:uid="{00000000-0005-0000-0000-000057350000}"/>
    <cellStyle name="Input 4 2 2 3 3" xfId="18689" xr:uid="{00000000-0005-0000-0000-000058350000}"/>
    <cellStyle name="Input 4 2 2 4" xfId="6060" xr:uid="{00000000-0005-0000-0000-000059350000}"/>
    <cellStyle name="Input 4 2 2 4 2" xfId="24501" xr:uid="{00000000-0005-0000-0000-00005A350000}"/>
    <cellStyle name="Input 4 2 2 4 3" xfId="19610" xr:uid="{00000000-0005-0000-0000-00005B350000}"/>
    <cellStyle name="Input 4 2 2 5" xfId="7589" xr:uid="{00000000-0005-0000-0000-00005C350000}"/>
    <cellStyle name="Input 4 2 2 5 2" xfId="26019" xr:uid="{00000000-0005-0000-0000-00005D350000}"/>
    <cellStyle name="Input 4 2 2 5 3" xfId="20944" xr:uid="{00000000-0005-0000-0000-00005E350000}"/>
    <cellStyle name="Input 4 2 2 6" xfId="7962" xr:uid="{00000000-0005-0000-0000-00005F350000}"/>
    <cellStyle name="Input 4 2 2 6 2" xfId="26392" xr:uid="{00000000-0005-0000-0000-000060350000}"/>
    <cellStyle name="Input 4 2 2 6 3" xfId="21316" xr:uid="{00000000-0005-0000-0000-000061350000}"/>
    <cellStyle name="Input 4 2 2 7" xfId="8686" xr:uid="{00000000-0005-0000-0000-000062350000}"/>
    <cellStyle name="Input 4 2 2 7 2" xfId="27106" xr:uid="{00000000-0005-0000-0000-000063350000}"/>
    <cellStyle name="Input 4 2 2 7 3" xfId="21977" xr:uid="{00000000-0005-0000-0000-000064350000}"/>
    <cellStyle name="Input 4 2 2 8" xfId="4178" xr:uid="{00000000-0005-0000-0000-000065350000}"/>
    <cellStyle name="Input 4 2 2 8 2" xfId="22642" xr:uid="{00000000-0005-0000-0000-000066350000}"/>
    <cellStyle name="Input 4 2 2 8 3" xfId="17860" xr:uid="{00000000-0005-0000-0000-000067350000}"/>
    <cellStyle name="Input 4 2 2 9" xfId="15154" xr:uid="{00000000-0005-0000-0000-000068350000}"/>
    <cellStyle name="Input 4 2 2 9 2" xfId="36565" xr:uid="{00000000-0005-0000-0000-000069350000}"/>
    <cellStyle name="Input 4 2 2 9 3" xfId="17187" xr:uid="{00000000-0005-0000-0000-00006A350000}"/>
    <cellStyle name="Input 4 2 3" xfId="4795" xr:uid="{00000000-0005-0000-0000-00006B350000}"/>
    <cellStyle name="Input 4 2 3 2" xfId="23255" xr:uid="{00000000-0005-0000-0000-00006C350000}"/>
    <cellStyle name="Input 4 2 3 3" xfId="18410" xr:uid="{00000000-0005-0000-0000-00006D350000}"/>
    <cellStyle name="Input 4 2 4" xfId="4568" xr:uid="{00000000-0005-0000-0000-00006E350000}"/>
    <cellStyle name="Input 4 2 4 2" xfId="23028" xr:uid="{00000000-0005-0000-0000-00006F350000}"/>
    <cellStyle name="Input 4 2 4 3" xfId="18245" xr:uid="{00000000-0005-0000-0000-000070350000}"/>
    <cellStyle name="Input 4 2 5" xfId="6511" xr:uid="{00000000-0005-0000-0000-000071350000}"/>
    <cellStyle name="Input 4 2 5 2" xfId="24951" xr:uid="{00000000-0005-0000-0000-000072350000}"/>
    <cellStyle name="Input 4 2 5 3" xfId="20060" xr:uid="{00000000-0005-0000-0000-000073350000}"/>
    <cellStyle name="Input 4 2 6" xfId="6976" xr:uid="{00000000-0005-0000-0000-000074350000}"/>
    <cellStyle name="Input 4 2 6 2" xfId="25414" xr:uid="{00000000-0005-0000-0000-000075350000}"/>
    <cellStyle name="Input 4 2 6 3" xfId="20357" xr:uid="{00000000-0005-0000-0000-000076350000}"/>
    <cellStyle name="Input 4 2 7" xfId="6475" xr:uid="{00000000-0005-0000-0000-000077350000}"/>
    <cellStyle name="Input 4 2 7 2" xfId="24915" xr:uid="{00000000-0005-0000-0000-000078350000}"/>
    <cellStyle name="Input 4 2 7 3" xfId="20024" xr:uid="{00000000-0005-0000-0000-000079350000}"/>
    <cellStyle name="Input 4 2 8" xfId="8365" xr:uid="{00000000-0005-0000-0000-00007A350000}"/>
    <cellStyle name="Input 4 2 8 2" xfId="26788" xr:uid="{00000000-0005-0000-0000-00007B350000}"/>
    <cellStyle name="Input 4 2 8 3" xfId="21656" xr:uid="{00000000-0005-0000-0000-00007C350000}"/>
    <cellStyle name="Input 4 2 9" xfId="3857" xr:uid="{00000000-0005-0000-0000-00007D350000}"/>
    <cellStyle name="Input 4 2 9 2" xfId="22324" xr:uid="{00000000-0005-0000-0000-00007E350000}"/>
    <cellStyle name="Input 4 2 9 3" xfId="17539" xr:uid="{00000000-0005-0000-0000-00007F350000}"/>
    <cellStyle name="Input 4 20" xfId="14661" xr:uid="{00000000-0005-0000-0000-000080350000}"/>
    <cellStyle name="Input 4 20 2" xfId="36145" xr:uid="{00000000-0005-0000-0000-000081350000}"/>
    <cellStyle name="Input 4 20 3" xfId="16849" xr:uid="{00000000-0005-0000-0000-000082350000}"/>
    <cellStyle name="Input 4 21" xfId="15331" xr:uid="{00000000-0005-0000-0000-000083350000}"/>
    <cellStyle name="Input 4 21 2" xfId="36719" xr:uid="{00000000-0005-0000-0000-000084350000}"/>
    <cellStyle name="Input 4 22" xfId="31244" xr:uid="{00000000-0005-0000-0000-000085350000}"/>
    <cellStyle name="Input 4 23" xfId="39659" xr:uid="{00000000-0005-0000-0000-0000850A0000}"/>
    <cellStyle name="Input 4 24" xfId="41313" xr:uid="{00000000-0005-0000-0000-0000850A0000}"/>
    <cellStyle name="Input 4 3" xfId="2161" xr:uid="{00000000-0005-0000-0000-000086350000}"/>
    <cellStyle name="Input 4 3 10" xfId="14585" xr:uid="{00000000-0005-0000-0000-000087350000}"/>
    <cellStyle name="Input 4 3 10 2" xfId="36098" xr:uid="{00000000-0005-0000-0000-000088350000}"/>
    <cellStyle name="Input 4 3 10 3" xfId="16853" xr:uid="{00000000-0005-0000-0000-000089350000}"/>
    <cellStyle name="Input 4 3 11" xfId="16594" xr:uid="{00000000-0005-0000-0000-00008A350000}"/>
    <cellStyle name="Input 4 3 11 2" xfId="37804" xr:uid="{00000000-0005-0000-0000-00008B350000}"/>
    <cellStyle name="Input 4 3 12" xfId="31248" xr:uid="{00000000-0005-0000-0000-00008C350000}"/>
    <cellStyle name="Input 4 3 2" xfId="3418" xr:uid="{00000000-0005-0000-0000-00008D350000}"/>
    <cellStyle name="Input 4 3 2 10" xfId="16593" xr:uid="{00000000-0005-0000-0000-00008E350000}"/>
    <cellStyle name="Input 4 3 2 10 2" xfId="37803" xr:uid="{00000000-0005-0000-0000-00008F350000}"/>
    <cellStyle name="Input 4 3 2 11" xfId="31478" xr:uid="{00000000-0005-0000-0000-000090350000}"/>
    <cellStyle name="Input 4 3 2 2" xfId="5554" xr:uid="{00000000-0005-0000-0000-000091350000}"/>
    <cellStyle name="Input 4 3 2 2 2" xfId="24007" xr:uid="{00000000-0005-0000-0000-000092350000}"/>
    <cellStyle name="Input 4 3 2 2 3" xfId="19142" xr:uid="{00000000-0005-0000-0000-000093350000}"/>
    <cellStyle name="Input 4 3 2 3" xfId="5076" xr:uid="{00000000-0005-0000-0000-000094350000}"/>
    <cellStyle name="Input 4 3 2 3 2" xfId="23536" xr:uid="{00000000-0005-0000-0000-000095350000}"/>
    <cellStyle name="Input 4 3 2 3 3" xfId="18690" xr:uid="{00000000-0005-0000-0000-000096350000}"/>
    <cellStyle name="Input 4 3 2 4" xfId="6059" xr:uid="{00000000-0005-0000-0000-000097350000}"/>
    <cellStyle name="Input 4 3 2 4 2" xfId="24500" xr:uid="{00000000-0005-0000-0000-000098350000}"/>
    <cellStyle name="Input 4 3 2 4 3" xfId="19609" xr:uid="{00000000-0005-0000-0000-000099350000}"/>
    <cellStyle name="Input 4 3 2 5" xfId="7590" xr:uid="{00000000-0005-0000-0000-00009A350000}"/>
    <cellStyle name="Input 4 3 2 5 2" xfId="26020" xr:uid="{00000000-0005-0000-0000-00009B350000}"/>
    <cellStyle name="Input 4 3 2 5 3" xfId="20945" xr:uid="{00000000-0005-0000-0000-00009C350000}"/>
    <cellStyle name="Input 4 3 2 6" xfId="7963" xr:uid="{00000000-0005-0000-0000-00009D350000}"/>
    <cellStyle name="Input 4 3 2 6 2" xfId="26393" xr:uid="{00000000-0005-0000-0000-00009E350000}"/>
    <cellStyle name="Input 4 3 2 6 3" xfId="21317" xr:uid="{00000000-0005-0000-0000-00009F350000}"/>
    <cellStyle name="Input 4 3 2 7" xfId="8687" xr:uid="{00000000-0005-0000-0000-0000A0350000}"/>
    <cellStyle name="Input 4 3 2 7 2" xfId="27107" xr:uid="{00000000-0005-0000-0000-0000A1350000}"/>
    <cellStyle name="Input 4 3 2 7 3" xfId="21978" xr:uid="{00000000-0005-0000-0000-0000A2350000}"/>
    <cellStyle name="Input 4 3 2 8" xfId="4179" xr:uid="{00000000-0005-0000-0000-0000A3350000}"/>
    <cellStyle name="Input 4 3 2 8 2" xfId="22643" xr:uid="{00000000-0005-0000-0000-0000A4350000}"/>
    <cellStyle name="Input 4 3 2 8 3" xfId="17861" xr:uid="{00000000-0005-0000-0000-0000A5350000}"/>
    <cellStyle name="Input 4 3 2 9" xfId="14507" xr:uid="{00000000-0005-0000-0000-0000A6350000}"/>
    <cellStyle name="Input 4 3 2 9 2" xfId="36035" xr:uid="{00000000-0005-0000-0000-0000A7350000}"/>
    <cellStyle name="Input 4 3 2 9 3" xfId="17188" xr:uid="{00000000-0005-0000-0000-0000A8350000}"/>
    <cellStyle name="Input 4 3 3" xfId="4796" xr:uid="{00000000-0005-0000-0000-0000A9350000}"/>
    <cellStyle name="Input 4 3 3 2" xfId="23256" xr:uid="{00000000-0005-0000-0000-0000AA350000}"/>
    <cellStyle name="Input 4 3 3 3" xfId="18411" xr:uid="{00000000-0005-0000-0000-0000AB350000}"/>
    <cellStyle name="Input 4 3 4" xfId="5854" xr:uid="{00000000-0005-0000-0000-0000AC350000}"/>
    <cellStyle name="Input 4 3 4 2" xfId="24300" xr:uid="{00000000-0005-0000-0000-0000AD350000}"/>
    <cellStyle name="Input 4 3 4 3" xfId="19409" xr:uid="{00000000-0005-0000-0000-0000AE350000}"/>
    <cellStyle name="Input 4 3 5" xfId="6510" xr:uid="{00000000-0005-0000-0000-0000AF350000}"/>
    <cellStyle name="Input 4 3 5 2" xfId="24950" xr:uid="{00000000-0005-0000-0000-0000B0350000}"/>
    <cellStyle name="Input 4 3 5 3" xfId="20059" xr:uid="{00000000-0005-0000-0000-0000B1350000}"/>
    <cellStyle name="Input 4 3 6" xfId="6977" xr:uid="{00000000-0005-0000-0000-0000B2350000}"/>
    <cellStyle name="Input 4 3 6 2" xfId="25415" xr:uid="{00000000-0005-0000-0000-0000B3350000}"/>
    <cellStyle name="Input 4 3 6 3" xfId="20358" xr:uid="{00000000-0005-0000-0000-0000B4350000}"/>
    <cellStyle name="Input 4 3 7" xfId="6474" xr:uid="{00000000-0005-0000-0000-0000B5350000}"/>
    <cellStyle name="Input 4 3 7 2" xfId="24914" xr:uid="{00000000-0005-0000-0000-0000B6350000}"/>
    <cellStyle name="Input 4 3 7 3" xfId="20023" xr:uid="{00000000-0005-0000-0000-0000B7350000}"/>
    <cellStyle name="Input 4 3 8" xfId="8366" xr:uid="{00000000-0005-0000-0000-0000B8350000}"/>
    <cellStyle name="Input 4 3 8 2" xfId="26789" xr:uid="{00000000-0005-0000-0000-0000B9350000}"/>
    <cellStyle name="Input 4 3 8 3" xfId="21657" xr:uid="{00000000-0005-0000-0000-0000BA350000}"/>
    <cellStyle name="Input 4 3 9" xfId="3858" xr:uid="{00000000-0005-0000-0000-0000BB350000}"/>
    <cellStyle name="Input 4 3 9 2" xfId="22325" xr:uid="{00000000-0005-0000-0000-0000BC350000}"/>
    <cellStyle name="Input 4 3 9 3" xfId="17540" xr:uid="{00000000-0005-0000-0000-0000BD350000}"/>
    <cellStyle name="Input 4 4" xfId="2162" xr:uid="{00000000-0005-0000-0000-0000BE350000}"/>
    <cellStyle name="Input 4 4 10" xfId="14604" xr:uid="{00000000-0005-0000-0000-0000BF350000}"/>
    <cellStyle name="Input 4 4 10 2" xfId="36107" xr:uid="{00000000-0005-0000-0000-0000C0350000}"/>
    <cellStyle name="Input 4 4 10 3" xfId="16854" xr:uid="{00000000-0005-0000-0000-0000C1350000}"/>
    <cellStyle name="Input 4 4 11" xfId="14854" xr:uid="{00000000-0005-0000-0000-0000C2350000}"/>
    <cellStyle name="Input 4 4 11 2" xfId="36302" xr:uid="{00000000-0005-0000-0000-0000C3350000}"/>
    <cellStyle name="Input 4 4 12" xfId="31249" xr:uid="{00000000-0005-0000-0000-0000C4350000}"/>
    <cellStyle name="Input 4 4 2" xfId="3419" xr:uid="{00000000-0005-0000-0000-0000C5350000}"/>
    <cellStyle name="Input 4 4 2 10" xfId="16577" xr:uid="{00000000-0005-0000-0000-0000C6350000}"/>
    <cellStyle name="Input 4 4 2 10 2" xfId="37788" xr:uid="{00000000-0005-0000-0000-0000C7350000}"/>
    <cellStyle name="Input 4 4 2 11" xfId="31479" xr:uid="{00000000-0005-0000-0000-0000C8350000}"/>
    <cellStyle name="Input 4 4 2 2" xfId="5555" xr:uid="{00000000-0005-0000-0000-0000C9350000}"/>
    <cellStyle name="Input 4 4 2 2 2" xfId="24008" xr:uid="{00000000-0005-0000-0000-0000CA350000}"/>
    <cellStyle name="Input 4 4 2 2 3" xfId="19143" xr:uid="{00000000-0005-0000-0000-0000CB350000}"/>
    <cellStyle name="Input 4 4 2 3" xfId="5077" xr:uid="{00000000-0005-0000-0000-0000CC350000}"/>
    <cellStyle name="Input 4 4 2 3 2" xfId="23537" xr:uid="{00000000-0005-0000-0000-0000CD350000}"/>
    <cellStyle name="Input 4 4 2 3 3" xfId="18691" xr:uid="{00000000-0005-0000-0000-0000CE350000}"/>
    <cellStyle name="Input 4 4 2 4" xfId="6058" xr:uid="{00000000-0005-0000-0000-0000CF350000}"/>
    <cellStyle name="Input 4 4 2 4 2" xfId="24499" xr:uid="{00000000-0005-0000-0000-0000D0350000}"/>
    <cellStyle name="Input 4 4 2 4 3" xfId="19608" xr:uid="{00000000-0005-0000-0000-0000D1350000}"/>
    <cellStyle name="Input 4 4 2 5" xfId="7591" xr:uid="{00000000-0005-0000-0000-0000D2350000}"/>
    <cellStyle name="Input 4 4 2 5 2" xfId="26021" xr:uid="{00000000-0005-0000-0000-0000D3350000}"/>
    <cellStyle name="Input 4 4 2 5 3" xfId="20946" xr:uid="{00000000-0005-0000-0000-0000D4350000}"/>
    <cellStyle name="Input 4 4 2 6" xfId="7964" xr:uid="{00000000-0005-0000-0000-0000D5350000}"/>
    <cellStyle name="Input 4 4 2 6 2" xfId="26394" xr:uid="{00000000-0005-0000-0000-0000D6350000}"/>
    <cellStyle name="Input 4 4 2 6 3" xfId="21318" xr:uid="{00000000-0005-0000-0000-0000D7350000}"/>
    <cellStyle name="Input 4 4 2 7" xfId="8688" xr:uid="{00000000-0005-0000-0000-0000D8350000}"/>
    <cellStyle name="Input 4 4 2 7 2" xfId="27108" xr:uid="{00000000-0005-0000-0000-0000D9350000}"/>
    <cellStyle name="Input 4 4 2 7 3" xfId="21979" xr:uid="{00000000-0005-0000-0000-0000DA350000}"/>
    <cellStyle name="Input 4 4 2 8" xfId="4180" xr:uid="{00000000-0005-0000-0000-0000DB350000}"/>
    <cellStyle name="Input 4 4 2 8 2" xfId="22644" xr:uid="{00000000-0005-0000-0000-0000DC350000}"/>
    <cellStyle name="Input 4 4 2 8 3" xfId="17862" xr:uid="{00000000-0005-0000-0000-0000DD350000}"/>
    <cellStyle name="Input 4 4 2 9" xfId="15155" xr:uid="{00000000-0005-0000-0000-0000DE350000}"/>
    <cellStyle name="Input 4 4 2 9 2" xfId="36566" xr:uid="{00000000-0005-0000-0000-0000DF350000}"/>
    <cellStyle name="Input 4 4 2 9 3" xfId="17189" xr:uid="{00000000-0005-0000-0000-0000E0350000}"/>
    <cellStyle name="Input 4 4 3" xfId="4797" xr:uid="{00000000-0005-0000-0000-0000E1350000}"/>
    <cellStyle name="Input 4 4 3 2" xfId="23257" xr:uid="{00000000-0005-0000-0000-0000E2350000}"/>
    <cellStyle name="Input 4 4 3 3" xfId="18412" xr:uid="{00000000-0005-0000-0000-0000E3350000}"/>
    <cellStyle name="Input 4 4 4" xfId="4569" xr:uid="{00000000-0005-0000-0000-0000E4350000}"/>
    <cellStyle name="Input 4 4 4 2" xfId="23029" xr:uid="{00000000-0005-0000-0000-0000E5350000}"/>
    <cellStyle name="Input 4 4 4 3" xfId="18246" xr:uid="{00000000-0005-0000-0000-0000E6350000}"/>
    <cellStyle name="Input 4 4 5" xfId="6509" xr:uid="{00000000-0005-0000-0000-0000E7350000}"/>
    <cellStyle name="Input 4 4 5 2" xfId="24949" xr:uid="{00000000-0005-0000-0000-0000E8350000}"/>
    <cellStyle name="Input 4 4 5 3" xfId="20058" xr:uid="{00000000-0005-0000-0000-0000E9350000}"/>
    <cellStyle name="Input 4 4 6" xfId="6978" xr:uid="{00000000-0005-0000-0000-0000EA350000}"/>
    <cellStyle name="Input 4 4 6 2" xfId="25416" xr:uid="{00000000-0005-0000-0000-0000EB350000}"/>
    <cellStyle name="Input 4 4 6 3" xfId="20359" xr:uid="{00000000-0005-0000-0000-0000EC350000}"/>
    <cellStyle name="Input 4 4 7" xfId="6473" xr:uid="{00000000-0005-0000-0000-0000ED350000}"/>
    <cellStyle name="Input 4 4 7 2" xfId="24913" xr:uid="{00000000-0005-0000-0000-0000EE350000}"/>
    <cellStyle name="Input 4 4 7 3" xfId="20022" xr:uid="{00000000-0005-0000-0000-0000EF350000}"/>
    <cellStyle name="Input 4 4 8" xfId="8367" xr:uid="{00000000-0005-0000-0000-0000F0350000}"/>
    <cellStyle name="Input 4 4 8 2" xfId="26790" xr:uid="{00000000-0005-0000-0000-0000F1350000}"/>
    <cellStyle name="Input 4 4 8 3" xfId="21658" xr:uid="{00000000-0005-0000-0000-0000F2350000}"/>
    <cellStyle name="Input 4 4 9" xfId="3859" xr:uid="{00000000-0005-0000-0000-0000F3350000}"/>
    <cellStyle name="Input 4 4 9 2" xfId="22326" xr:uid="{00000000-0005-0000-0000-0000F4350000}"/>
    <cellStyle name="Input 4 4 9 3" xfId="17541" xr:uid="{00000000-0005-0000-0000-0000F5350000}"/>
    <cellStyle name="Input 4 5" xfId="2163" xr:uid="{00000000-0005-0000-0000-0000F6350000}"/>
    <cellStyle name="Input 4 5 10" xfId="14633" xr:uid="{00000000-0005-0000-0000-0000F7350000}"/>
    <cellStyle name="Input 4 5 10 2" xfId="36126" xr:uid="{00000000-0005-0000-0000-0000F8350000}"/>
    <cellStyle name="Input 4 5 10 3" xfId="16855" xr:uid="{00000000-0005-0000-0000-0000F9350000}"/>
    <cellStyle name="Input 4 5 11" xfId="16576" xr:uid="{00000000-0005-0000-0000-0000FA350000}"/>
    <cellStyle name="Input 4 5 11 2" xfId="37787" xr:uid="{00000000-0005-0000-0000-0000FB350000}"/>
    <cellStyle name="Input 4 5 12" xfId="31250" xr:uid="{00000000-0005-0000-0000-0000FC350000}"/>
    <cellStyle name="Input 4 5 2" xfId="3420" xr:uid="{00000000-0005-0000-0000-0000FD350000}"/>
    <cellStyle name="Input 4 5 2 10" xfId="14856" xr:uid="{00000000-0005-0000-0000-0000FE350000}"/>
    <cellStyle name="Input 4 5 2 10 2" xfId="36304" xr:uid="{00000000-0005-0000-0000-0000FF350000}"/>
    <cellStyle name="Input 4 5 2 11" xfId="31480" xr:uid="{00000000-0005-0000-0000-000000360000}"/>
    <cellStyle name="Input 4 5 2 2" xfId="5556" xr:uid="{00000000-0005-0000-0000-000001360000}"/>
    <cellStyle name="Input 4 5 2 2 2" xfId="24009" xr:uid="{00000000-0005-0000-0000-000002360000}"/>
    <cellStyle name="Input 4 5 2 2 3" xfId="19144" xr:uid="{00000000-0005-0000-0000-000003360000}"/>
    <cellStyle name="Input 4 5 2 3" xfId="5078" xr:uid="{00000000-0005-0000-0000-000004360000}"/>
    <cellStyle name="Input 4 5 2 3 2" xfId="23538" xr:uid="{00000000-0005-0000-0000-000005360000}"/>
    <cellStyle name="Input 4 5 2 3 3" xfId="18692" xr:uid="{00000000-0005-0000-0000-000006360000}"/>
    <cellStyle name="Input 4 5 2 4" xfId="6057" xr:uid="{00000000-0005-0000-0000-000007360000}"/>
    <cellStyle name="Input 4 5 2 4 2" xfId="24498" xr:uid="{00000000-0005-0000-0000-000008360000}"/>
    <cellStyle name="Input 4 5 2 4 3" xfId="19607" xr:uid="{00000000-0005-0000-0000-000009360000}"/>
    <cellStyle name="Input 4 5 2 5" xfId="7592" xr:uid="{00000000-0005-0000-0000-00000A360000}"/>
    <cellStyle name="Input 4 5 2 5 2" xfId="26022" xr:uid="{00000000-0005-0000-0000-00000B360000}"/>
    <cellStyle name="Input 4 5 2 5 3" xfId="20947" xr:uid="{00000000-0005-0000-0000-00000C360000}"/>
    <cellStyle name="Input 4 5 2 6" xfId="7965" xr:uid="{00000000-0005-0000-0000-00000D360000}"/>
    <cellStyle name="Input 4 5 2 6 2" xfId="26395" xr:uid="{00000000-0005-0000-0000-00000E360000}"/>
    <cellStyle name="Input 4 5 2 6 3" xfId="21319" xr:uid="{00000000-0005-0000-0000-00000F360000}"/>
    <cellStyle name="Input 4 5 2 7" xfId="8689" xr:uid="{00000000-0005-0000-0000-000010360000}"/>
    <cellStyle name="Input 4 5 2 7 2" xfId="27109" xr:uid="{00000000-0005-0000-0000-000011360000}"/>
    <cellStyle name="Input 4 5 2 7 3" xfId="21980" xr:uid="{00000000-0005-0000-0000-000012360000}"/>
    <cellStyle name="Input 4 5 2 8" xfId="4181" xr:uid="{00000000-0005-0000-0000-000013360000}"/>
    <cellStyle name="Input 4 5 2 8 2" xfId="22645" xr:uid="{00000000-0005-0000-0000-000014360000}"/>
    <cellStyle name="Input 4 5 2 8 3" xfId="17863" xr:uid="{00000000-0005-0000-0000-000015360000}"/>
    <cellStyle name="Input 4 5 2 9" xfId="16404" xr:uid="{00000000-0005-0000-0000-000016360000}"/>
    <cellStyle name="Input 4 5 2 9 2" xfId="37693" xr:uid="{00000000-0005-0000-0000-000017360000}"/>
    <cellStyle name="Input 4 5 2 9 3" xfId="17190" xr:uid="{00000000-0005-0000-0000-000018360000}"/>
    <cellStyle name="Input 4 5 3" xfId="4798" xr:uid="{00000000-0005-0000-0000-000019360000}"/>
    <cellStyle name="Input 4 5 3 2" xfId="23258" xr:uid="{00000000-0005-0000-0000-00001A360000}"/>
    <cellStyle name="Input 4 5 3 3" xfId="18413" xr:uid="{00000000-0005-0000-0000-00001B360000}"/>
    <cellStyle name="Input 4 5 4" xfId="5853" xr:uid="{00000000-0005-0000-0000-00001C360000}"/>
    <cellStyle name="Input 4 5 4 2" xfId="24299" xr:uid="{00000000-0005-0000-0000-00001D360000}"/>
    <cellStyle name="Input 4 5 4 3" xfId="19408" xr:uid="{00000000-0005-0000-0000-00001E360000}"/>
    <cellStyle name="Input 4 5 5" xfId="6508" xr:uid="{00000000-0005-0000-0000-00001F360000}"/>
    <cellStyle name="Input 4 5 5 2" xfId="24948" xr:uid="{00000000-0005-0000-0000-000020360000}"/>
    <cellStyle name="Input 4 5 5 3" xfId="20057" xr:uid="{00000000-0005-0000-0000-000021360000}"/>
    <cellStyle name="Input 4 5 6" xfId="6979" xr:uid="{00000000-0005-0000-0000-000022360000}"/>
    <cellStyle name="Input 4 5 6 2" xfId="25417" xr:uid="{00000000-0005-0000-0000-000023360000}"/>
    <cellStyle name="Input 4 5 6 3" xfId="20360" xr:uid="{00000000-0005-0000-0000-000024360000}"/>
    <cellStyle name="Input 4 5 7" xfId="6472" xr:uid="{00000000-0005-0000-0000-000025360000}"/>
    <cellStyle name="Input 4 5 7 2" xfId="24912" xr:uid="{00000000-0005-0000-0000-000026360000}"/>
    <cellStyle name="Input 4 5 7 3" xfId="20021" xr:uid="{00000000-0005-0000-0000-000027360000}"/>
    <cellStyle name="Input 4 5 8" xfId="8368" xr:uid="{00000000-0005-0000-0000-000028360000}"/>
    <cellStyle name="Input 4 5 8 2" xfId="26791" xr:uid="{00000000-0005-0000-0000-000029360000}"/>
    <cellStyle name="Input 4 5 8 3" xfId="21659" xr:uid="{00000000-0005-0000-0000-00002A360000}"/>
    <cellStyle name="Input 4 5 9" xfId="3860" xr:uid="{00000000-0005-0000-0000-00002B360000}"/>
    <cellStyle name="Input 4 5 9 2" xfId="22327" xr:uid="{00000000-0005-0000-0000-00002C360000}"/>
    <cellStyle name="Input 4 5 9 3" xfId="17542" xr:uid="{00000000-0005-0000-0000-00002D360000}"/>
    <cellStyle name="Input 4 6" xfId="2164" xr:uid="{00000000-0005-0000-0000-00002E360000}"/>
    <cellStyle name="Input 4 6 10" xfId="16370" xr:uid="{00000000-0005-0000-0000-00002F360000}"/>
    <cellStyle name="Input 4 6 10 2" xfId="37672" xr:uid="{00000000-0005-0000-0000-000030360000}"/>
    <cellStyle name="Input 4 6 10 3" xfId="16856" xr:uid="{00000000-0005-0000-0000-000031360000}"/>
    <cellStyle name="Input 4 6 11" xfId="16517" xr:uid="{00000000-0005-0000-0000-000032360000}"/>
    <cellStyle name="Input 4 6 11 2" xfId="37743" xr:uid="{00000000-0005-0000-0000-000033360000}"/>
    <cellStyle name="Input 4 6 12" xfId="31251" xr:uid="{00000000-0005-0000-0000-000034360000}"/>
    <cellStyle name="Input 4 6 2" xfId="3421" xr:uid="{00000000-0005-0000-0000-000035360000}"/>
    <cellStyle name="Input 4 6 2 10" xfId="14961" xr:uid="{00000000-0005-0000-0000-000036360000}"/>
    <cellStyle name="Input 4 6 2 10 2" xfId="36394" xr:uid="{00000000-0005-0000-0000-000037360000}"/>
    <cellStyle name="Input 4 6 2 11" xfId="31481" xr:uid="{00000000-0005-0000-0000-000038360000}"/>
    <cellStyle name="Input 4 6 2 2" xfId="5557" xr:uid="{00000000-0005-0000-0000-000039360000}"/>
    <cellStyle name="Input 4 6 2 2 2" xfId="24010" xr:uid="{00000000-0005-0000-0000-00003A360000}"/>
    <cellStyle name="Input 4 6 2 2 3" xfId="19145" xr:uid="{00000000-0005-0000-0000-00003B360000}"/>
    <cellStyle name="Input 4 6 2 3" xfId="5079" xr:uid="{00000000-0005-0000-0000-00003C360000}"/>
    <cellStyle name="Input 4 6 2 3 2" xfId="23539" xr:uid="{00000000-0005-0000-0000-00003D360000}"/>
    <cellStyle name="Input 4 6 2 3 3" xfId="18693" xr:uid="{00000000-0005-0000-0000-00003E360000}"/>
    <cellStyle name="Input 4 6 2 4" xfId="6056" xr:uid="{00000000-0005-0000-0000-00003F360000}"/>
    <cellStyle name="Input 4 6 2 4 2" xfId="24497" xr:uid="{00000000-0005-0000-0000-000040360000}"/>
    <cellStyle name="Input 4 6 2 4 3" xfId="19606" xr:uid="{00000000-0005-0000-0000-000041360000}"/>
    <cellStyle name="Input 4 6 2 5" xfId="7593" xr:uid="{00000000-0005-0000-0000-000042360000}"/>
    <cellStyle name="Input 4 6 2 5 2" xfId="26023" xr:uid="{00000000-0005-0000-0000-000043360000}"/>
    <cellStyle name="Input 4 6 2 5 3" xfId="20948" xr:uid="{00000000-0005-0000-0000-000044360000}"/>
    <cellStyle name="Input 4 6 2 6" xfId="7966" xr:uid="{00000000-0005-0000-0000-000045360000}"/>
    <cellStyle name="Input 4 6 2 6 2" xfId="26396" xr:uid="{00000000-0005-0000-0000-000046360000}"/>
    <cellStyle name="Input 4 6 2 6 3" xfId="21320" xr:uid="{00000000-0005-0000-0000-000047360000}"/>
    <cellStyle name="Input 4 6 2 7" xfId="8690" xr:uid="{00000000-0005-0000-0000-000048360000}"/>
    <cellStyle name="Input 4 6 2 7 2" xfId="27110" xr:uid="{00000000-0005-0000-0000-000049360000}"/>
    <cellStyle name="Input 4 6 2 7 3" xfId="21981" xr:uid="{00000000-0005-0000-0000-00004A360000}"/>
    <cellStyle name="Input 4 6 2 8" xfId="4182" xr:uid="{00000000-0005-0000-0000-00004B360000}"/>
    <cellStyle name="Input 4 6 2 8 2" xfId="22646" xr:uid="{00000000-0005-0000-0000-00004C360000}"/>
    <cellStyle name="Input 4 6 2 8 3" xfId="17864" xr:uid="{00000000-0005-0000-0000-00004D360000}"/>
    <cellStyle name="Input 4 6 2 9" xfId="15040" xr:uid="{00000000-0005-0000-0000-00004E360000}"/>
    <cellStyle name="Input 4 6 2 9 2" xfId="36462" xr:uid="{00000000-0005-0000-0000-00004F360000}"/>
    <cellStyle name="Input 4 6 2 9 3" xfId="17191" xr:uid="{00000000-0005-0000-0000-000050360000}"/>
    <cellStyle name="Input 4 6 3" xfId="4799" xr:uid="{00000000-0005-0000-0000-000051360000}"/>
    <cellStyle name="Input 4 6 3 2" xfId="23259" xr:uid="{00000000-0005-0000-0000-000052360000}"/>
    <cellStyle name="Input 4 6 3 3" xfId="18414" xr:uid="{00000000-0005-0000-0000-000053360000}"/>
    <cellStyle name="Input 4 6 4" xfId="4570" xr:uid="{00000000-0005-0000-0000-000054360000}"/>
    <cellStyle name="Input 4 6 4 2" xfId="23030" xr:uid="{00000000-0005-0000-0000-000055360000}"/>
    <cellStyle name="Input 4 6 4 3" xfId="18247" xr:uid="{00000000-0005-0000-0000-000056360000}"/>
    <cellStyle name="Input 4 6 5" xfId="6507" xr:uid="{00000000-0005-0000-0000-000057360000}"/>
    <cellStyle name="Input 4 6 5 2" xfId="24947" xr:uid="{00000000-0005-0000-0000-000058360000}"/>
    <cellStyle name="Input 4 6 5 3" xfId="20056" xr:uid="{00000000-0005-0000-0000-000059360000}"/>
    <cellStyle name="Input 4 6 6" xfId="6980" xr:uid="{00000000-0005-0000-0000-00005A360000}"/>
    <cellStyle name="Input 4 6 6 2" xfId="25418" xr:uid="{00000000-0005-0000-0000-00005B360000}"/>
    <cellStyle name="Input 4 6 6 3" xfId="20361" xr:uid="{00000000-0005-0000-0000-00005C360000}"/>
    <cellStyle name="Input 4 6 7" xfId="6471" xr:uid="{00000000-0005-0000-0000-00005D360000}"/>
    <cellStyle name="Input 4 6 7 2" xfId="24911" xr:uid="{00000000-0005-0000-0000-00005E360000}"/>
    <cellStyle name="Input 4 6 7 3" xfId="20020" xr:uid="{00000000-0005-0000-0000-00005F360000}"/>
    <cellStyle name="Input 4 6 8" xfId="8369" xr:uid="{00000000-0005-0000-0000-000060360000}"/>
    <cellStyle name="Input 4 6 8 2" xfId="26792" xr:uid="{00000000-0005-0000-0000-000061360000}"/>
    <cellStyle name="Input 4 6 8 3" xfId="21660" xr:uid="{00000000-0005-0000-0000-000062360000}"/>
    <cellStyle name="Input 4 6 9" xfId="3861" xr:uid="{00000000-0005-0000-0000-000063360000}"/>
    <cellStyle name="Input 4 6 9 2" xfId="22328" xr:uid="{00000000-0005-0000-0000-000064360000}"/>
    <cellStyle name="Input 4 6 9 3" xfId="17543" xr:uid="{00000000-0005-0000-0000-000065360000}"/>
    <cellStyle name="Input 4 7" xfId="2165" xr:uid="{00000000-0005-0000-0000-000066360000}"/>
    <cellStyle name="Input 4 7 10" xfId="15044" xr:uid="{00000000-0005-0000-0000-000067360000}"/>
    <cellStyle name="Input 4 7 10 2" xfId="36464" xr:uid="{00000000-0005-0000-0000-000068360000}"/>
    <cellStyle name="Input 4 7 10 3" xfId="16857" xr:uid="{00000000-0005-0000-0000-000069360000}"/>
    <cellStyle name="Input 4 7 11" xfId="16563" xr:uid="{00000000-0005-0000-0000-00006A360000}"/>
    <cellStyle name="Input 4 7 11 2" xfId="37778" xr:uid="{00000000-0005-0000-0000-00006B360000}"/>
    <cellStyle name="Input 4 7 12" xfId="31252" xr:uid="{00000000-0005-0000-0000-00006C360000}"/>
    <cellStyle name="Input 4 7 2" xfId="3422" xr:uid="{00000000-0005-0000-0000-00006D360000}"/>
    <cellStyle name="Input 4 7 2 10" xfId="14524" xr:uid="{00000000-0005-0000-0000-00006E360000}"/>
    <cellStyle name="Input 4 7 2 10 2" xfId="36051" xr:uid="{00000000-0005-0000-0000-00006F360000}"/>
    <cellStyle name="Input 4 7 2 11" xfId="31482" xr:uid="{00000000-0005-0000-0000-000070360000}"/>
    <cellStyle name="Input 4 7 2 2" xfId="5558" xr:uid="{00000000-0005-0000-0000-000071360000}"/>
    <cellStyle name="Input 4 7 2 2 2" xfId="24011" xr:uid="{00000000-0005-0000-0000-000072360000}"/>
    <cellStyle name="Input 4 7 2 2 3" xfId="19146" xr:uid="{00000000-0005-0000-0000-000073360000}"/>
    <cellStyle name="Input 4 7 2 3" xfId="5080" xr:uid="{00000000-0005-0000-0000-000074360000}"/>
    <cellStyle name="Input 4 7 2 3 2" xfId="23540" xr:uid="{00000000-0005-0000-0000-000075360000}"/>
    <cellStyle name="Input 4 7 2 3 3" xfId="18694" xr:uid="{00000000-0005-0000-0000-000076360000}"/>
    <cellStyle name="Input 4 7 2 4" xfId="6055" xr:uid="{00000000-0005-0000-0000-000077360000}"/>
    <cellStyle name="Input 4 7 2 4 2" xfId="24496" xr:uid="{00000000-0005-0000-0000-000078360000}"/>
    <cellStyle name="Input 4 7 2 4 3" xfId="19605" xr:uid="{00000000-0005-0000-0000-000079360000}"/>
    <cellStyle name="Input 4 7 2 5" xfId="7594" xr:uid="{00000000-0005-0000-0000-00007A360000}"/>
    <cellStyle name="Input 4 7 2 5 2" xfId="26024" xr:uid="{00000000-0005-0000-0000-00007B360000}"/>
    <cellStyle name="Input 4 7 2 5 3" xfId="20949" xr:uid="{00000000-0005-0000-0000-00007C360000}"/>
    <cellStyle name="Input 4 7 2 6" xfId="7967" xr:uid="{00000000-0005-0000-0000-00007D360000}"/>
    <cellStyle name="Input 4 7 2 6 2" xfId="26397" xr:uid="{00000000-0005-0000-0000-00007E360000}"/>
    <cellStyle name="Input 4 7 2 6 3" xfId="21321" xr:uid="{00000000-0005-0000-0000-00007F360000}"/>
    <cellStyle name="Input 4 7 2 7" xfId="8691" xr:uid="{00000000-0005-0000-0000-000080360000}"/>
    <cellStyle name="Input 4 7 2 7 2" xfId="27111" xr:uid="{00000000-0005-0000-0000-000081360000}"/>
    <cellStyle name="Input 4 7 2 7 3" xfId="21982" xr:uid="{00000000-0005-0000-0000-000082360000}"/>
    <cellStyle name="Input 4 7 2 8" xfId="4183" xr:uid="{00000000-0005-0000-0000-000083360000}"/>
    <cellStyle name="Input 4 7 2 8 2" xfId="22647" xr:uid="{00000000-0005-0000-0000-000084360000}"/>
    <cellStyle name="Input 4 7 2 8 3" xfId="17865" xr:uid="{00000000-0005-0000-0000-000085360000}"/>
    <cellStyle name="Input 4 7 2 9" xfId="15688" xr:uid="{00000000-0005-0000-0000-000086360000}"/>
    <cellStyle name="Input 4 7 2 9 2" xfId="37061" xr:uid="{00000000-0005-0000-0000-000087360000}"/>
    <cellStyle name="Input 4 7 2 9 3" xfId="17192" xr:uid="{00000000-0005-0000-0000-000088360000}"/>
    <cellStyle name="Input 4 7 3" xfId="4800" xr:uid="{00000000-0005-0000-0000-000089360000}"/>
    <cellStyle name="Input 4 7 3 2" xfId="23260" xr:uid="{00000000-0005-0000-0000-00008A360000}"/>
    <cellStyle name="Input 4 7 3 3" xfId="18415" xr:uid="{00000000-0005-0000-0000-00008B360000}"/>
    <cellStyle name="Input 4 7 4" xfId="5850" xr:uid="{00000000-0005-0000-0000-00008C360000}"/>
    <cellStyle name="Input 4 7 4 2" xfId="24296" xr:uid="{00000000-0005-0000-0000-00008D360000}"/>
    <cellStyle name="Input 4 7 4 3" xfId="19405" xr:uid="{00000000-0005-0000-0000-00008E360000}"/>
    <cellStyle name="Input 4 7 5" xfId="6506" xr:uid="{00000000-0005-0000-0000-00008F360000}"/>
    <cellStyle name="Input 4 7 5 2" xfId="24946" xr:uid="{00000000-0005-0000-0000-000090360000}"/>
    <cellStyle name="Input 4 7 5 3" xfId="20055" xr:uid="{00000000-0005-0000-0000-000091360000}"/>
    <cellStyle name="Input 4 7 6" xfId="6981" xr:uid="{00000000-0005-0000-0000-000092360000}"/>
    <cellStyle name="Input 4 7 6 2" xfId="25419" xr:uid="{00000000-0005-0000-0000-000093360000}"/>
    <cellStyle name="Input 4 7 6 3" xfId="20362" xr:uid="{00000000-0005-0000-0000-000094360000}"/>
    <cellStyle name="Input 4 7 7" xfId="6470" xr:uid="{00000000-0005-0000-0000-000095360000}"/>
    <cellStyle name="Input 4 7 7 2" xfId="24910" xr:uid="{00000000-0005-0000-0000-000096360000}"/>
    <cellStyle name="Input 4 7 7 3" xfId="20019" xr:uid="{00000000-0005-0000-0000-000097360000}"/>
    <cellStyle name="Input 4 7 8" xfId="8370" xr:uid="{00000000-0005-0000-0000-000098360000}"/>
    <cellStyle name="Input 4 7 8 2" xfId="26793" xr:uid="{00000000-0005-0000-0000-000099360000}"/>
    <cellStyle name="Input 4 7 8 3" xfId="21661" xr:uid="{00000000-0005-0000-0000-00009A360000}"/>
    <cellStyle name="Input 4 7 9" xfId="3862" xr:uid="{00000000-0005-0000-0000-00009B360000}"/>
    <cellStyle name="Input 4 7 9 2" xfId="22329" xr:uid="{00000000-0005-0000-0000-00009C360000}"/>
    <cellStyle name="Input 4 7 9 3" xfId="17544" xr:uid="{00000000-0005-0000-0000-00009D360000}"/>
    <cellStyle name="Input 4 8" xfId="2166" xr:uid="{00000000-0005-0000-0000-00009E360000}"/>
    <cellStyle name="Input 4 8 10" xfId="16496" xr:uid="{00000000-0005-0000-0000-00009F360000}"/>
    <cellStyle name="Input 4 8 10 2" xfId="37739" xr:uid="{00000000-0005-0000-0000-0000A0360000}"/>
    <cellStyle name="Input 4 8 10 3" xfId="16858" xr:uid="{00000000-0005-0000-0000-0000A1360000}"/>
    <cellStyle name="Input 4 8 11" xfId="16554" xr:uid="{00000000-0005-0000-0000-0000A2360000}"/>
    <cellStyle name="Input 4 8 11 2" xfId="37770" xr:uid="{00000000-0005-0000-0000-0000A3360000}"/>
    <cellStyle name="Input 4 8 12" xfId="31253" xr:uid="{00000000-0005-0000-0000-0000A4360000}"/>
    <cellStyle name="Input 4 8 2" xfId="3423" xr:uid="{00000000-0005-0000-0000-0000A5360000}"/>
    <cellStyle name="Input 4 8 2 10" xfId="16564" xr:uid="{00000000-0005-0000-0000-0000A6360000}"/>
    <cellStyle name="Input 4 8 2 10 2" xfId="37779" xr:uid="{00000000-0005-0000-0000-0000A7360000}"/>
    <cellStyle name="Input 4 8 2 11" xfId="31483" xr:uid="{00000000-0005-0000-0000-0000A8360000}"/>
    <cellStyle name="Input 4 8 2 2" xfId="5559" xr:uid="{00000000-0005-0000-0000-0000A9360000}"/>
    <cellStyle name="Input 4 8 2 2 2" xfId="24012" xr:uid="{00000000-0005-0000-0000-0000AA360000}"/>
    <cellStyle name="Input 4 8 2 2 3" xfId="19147" xr:uid="{00000000-0005-0000-0000-0000AB360000}"/>
    <cellStyle name="Input 4 8 2 3" xfId="5081" xr:uid="{00000000-0005-0000-0000-0000AC360000}"/>
    <cellStyle name="Input 4 8 2 3 2" xfId="23541" xr:uid="{00000000-0005-0000-0000-0000AD360000}"/>
    <cellStyle name="Input 4 8 2 3 3" xfId="18695" xr:uid="{00000000-0005-0000-0000-0000AE360000}"/>
    <cellStyle name="Input 4 8 2 4" xfId="6054" xr:uid="{00000000-0005-0000-0000-0000AF360000}"/>
    <cellStyle name="Input 4 8 2 4 2" xfId="24495" xr:uid="{00000000-0005-0000-0000-0000B0360000}"/>
    <cellStyle name="Input 4 8 2 4 3" xfId="19604" xr:uid="{00000000-0005-0000-0000-0000B1360000}"/>
    <cellStyle name="Input 4 8 2 5" xfId="7595" xr:uid="{00000000-0005-0000-0000-0000B2360000}"/>
    <cellStyle name="Input 4 8 2 5 2" xfId="26025" xr:uid="{00000000-0005-0000-0000-0000B3360000}"/>
    <cellStyle name="Input 4 8 2 5 3" xfId="20950" xr:uid="{00000000-0005-0000-0000-0000B4360000}"/>
    <cellStyle name="Input 4 8 2 6" xfId="7968" xr:uid="{00000000-0005-0000-0000-0000B5360000}"/>
    <cellStyle name="Input 4 8 2 6 2" xfId="26398" xr:uid="{00000000-0005-0000-0000-0000B6360000}"/>
    <cellStyle name="Input 4 8 2 6 3" xfId="21322" xr:uid="{00000000-0005-0000-0000-0000B7360000}"/>
    <cellStyle name="Input 4 8 2 7" xfId="8692" xr:uid="{00000000-0005-0000-0000-0000B8360000}"/>
    <cellStyle name="Input 4 8 2 7 2" xfId="27112" xr:uid="{00000000-0005-0000-0000-0000B9360000}"/>
    <cellStyle name="Input 4 8 2 7 3" xfId="21983" xr:uid="{00000000-0005-0000-0000-0000BA360000}"/>
    <cellStyle name="Input 4 8 2 8" xfId="4184" xr:uid="{00000000-0005-0000-0000-0000BB360000}"/>
    <cellStyle name="Input 4 8 2 8 2" xfId="22648" xr:uid="{00000000-0005-0000-0000-0000BC360000}"/>
    <cellStyle name="Input 4 8 2 8 3" xfId="17866" xr:uid="{00000000-0005-0000-0000-0000BD360000}"/>
    <cellStyle name="Input 4 8 2 9" xfId="16403" xr:uid="{00000000-0005-0000-0000-0000BE360000}"/>
    <cellStyle name="Input 4 8 2 9 2" xfId="37692" xr:uid="{00000000-0005-0000-0000-0000BF360000}"/>
    <cellStyle name="Input 4 8 2 9 3" xfId="17193" xr:uid="{00000000-0005-0000-0000-0000C0360000}"/>
    <cellStyle name="Input 4 8 3" xfId="4801" xr:uid="{00000000-0005-0000-0000-0000C1360000}"/>
    <cellStyle name="Input 4 8 3 2" xfId="23261" xr:uid="{00000000-0005-0000-0000-0000C2360000}"/>
    <cellStyle name="Input 4 8 3 3" xfId="18416" xr:uid="{00000000-0005-0000-0000-0000C3360000}"/>
    <cellStyle name="Input 4 8 4" xfId="5852" xr:uid="{00000000-0005-0000-0000-0000C4360000}"/>
    <cellStyle name="Input 4 8 4 2" xfId="24298" xr:uid="{00000000-0005-0000-0000-0000C5360000}"/>
    <cellStyle name="Input 4 8 4 3" xfId="19407" xr:uid="{00000000-0005-0000-0000-0000C6360000}"/>
    <cellStyle name="Input 4 8 5" xfId="6505" xr:uid="{00000000-0005-0000-0000-0000C7360000}"/>
    <cellStyle name="Input 4 8 5 2" xfId="24945" xr:uid="{00000000-0005-0000-0000-0000C8360000}"/>
    <cellStyle name="Input 4 8 5 3" xfId="20054" xr:uid="{00000000-0005-0000-0000-0000C9360000}"/>
    <cellStyle name="Input 4 8 6" xfId="6982" xr:uid="{00000000-0005-0000-0000-0000CA360000}"/>
    <cellStyle name="Input 4 8 6 2" xfId="25420" xr:uid="{00000000-0005-0000-0000-0000CB360000}"/>
    <cellStyle name="Input 4 8 6 3" xfId="20363" xr:uid="{00000000-0005-0000-0000-0000CC360000}"/>
    <cellStyle name="Input 4 8 7" xfId="6469" xr:uid="{00000000-0005-0000-0000-0000CD360000}"/>
    <cellStyle name="Input 4 8 7 2" xfId="24909" xr:uid="{00000000-0005-0000-0000-0000CE360000}"/>
    <cellStyle name="Input 4 8 7 3" xfId="20018" xr:uid="{00000000-0005-0000-0000-0000CF360000}"/>
    <cellStyle name="Input 4 8 8" xfId="8371" xr:uid="{00000000-0005-0000-0000-0000D0360000}"/>
    <cellStyle name="Input 4 8 8 2" xfId="26794" xr:uid="{00000000-0005-0000-0000-0000D1360000}"/>
    <cellStyle name="Input 4 8 8 3" xfId="21662" xr:uid="{00000000-0005-0000-0000-0000D2360000}"/>
    <cellStyle name="Input 4 8 9" xfId="3863" xr:uid="{00000000-0005-0000-0000-0000D3360000}"/>
    <cellStyle name="Input 4 8 9 2" xfId="22330" xr:uid="{00000000-0005-0000-0000-0000D4360000}"/>
    <cellStyle name="Input 4 8 9 3" xfId="17545" xr:uid="{00000000-0005-0000-0000-0000D5360000}"/>
    <cellStyle name="Input 4 9" xfId="2167" xr:uid="{00000000-0005-0000-0000-0000D6360000}"/>
    <cellStyle name="Input 4 9 10" xfId="16371" xr:uid="{00000000-0005-0000-0000-0000D7360000}"/>
    <cellStyle name="Input 4 9 10 2" xfId="37673" xr:uid="{00000000-0005-0000-0000-0000D8360000}"/>
    <cellStyle name="Input 4 9 10 3" xfId="16859" xr:uid="{00000000-0005-0000-0000-0000D9360000}"/>
    <cellStyle name="Input 4 9 11" xfId="14525" xr:uid="{00000000-0005-0000-0000-0000DA360000}"/>
    <cellStyle name="Input 4 9 11 2" xfId="36052" xr:uid="{00000000-0005-0000-0000-0000DB360000}"/>
    <cellStyle name="Input 4 9 12" xfId="31254" xr:uid="{00000000-0005-0000-0000-0000DC360000}"/>
    <cellStyle name="Input 4 9 2" xfId="3424" xr:uid="{00000000-0005-0000-0000-0000DD360000}"/>
    <cellStyle name="Input 4 9 2 10" xfId="14962" xr:uid="{00000000-0005-0000-0000-0000DE360000}"/>
    <cellStyle name="Input 4 9 2 10 2" xfId="36395" xr:uid="{00000000-0005-0000-0000-0000DF360000}"/>
    <cellStyle name="Input 4 9 2 11" xfId="31484" xr:uid="{00000000-0005-0000-0000-0000E0360000}"/>
    <cellStyle name="Input 4 9 2 2" xfId="5560" xr:uid="{00000000-0005-0000-0000-0000E1360000}"/>
    <cellStyle name="Input 4 9 2 2 2" xfId="24013" xr:uid="{00000000-0005-0000-0000-0000E2360000}"/>
    <cellStyle name="Input 4 9 2 2 3" xfId="19148" xr:uid="{00000000-0005-0000-0000-0000E3360000}"/>
    <cellStyle name="Input 4 9 2 3" xfId="5082" xr:uid="{00000000-0005-0000-0000-0000E4360000}"/>
    <cellStyle name="Input 4 9 2 3 2" xfId="23542" xr:uid="{00000000-0005-0000-0000-0000E5360000}"/>
    <cellStyle name="Input 4 9 2 3 3" xfId="18696" xr:uid="{00000000-0005-0000-0000-0000E6360000}"/>
    <cellStyle name="Input 4 9 2 4" xfId="6053" xr:uid="{00000000-0005-0000-0000-0000E7360000}"/>
    <cellStyle name="Input 4 9 2 4 2" xfId="24494" xr:uid="{00000000-0005-0000-0000-0000E8360000}"/>
    <cellStyle name="Input 4 9 2 4 3" xfId="19603" xr:uid="{00000000-0005-0000-0000-0000E9360000}"/>
    <cellStyle name="Input 4 9 2 5" xfId="7596" xr:uid="{00000000-0005-0000-0000-0000EA360000}"/>
    <cellStyle name="Input 4 9 2 5 2" xfId="26026" xr:uid="{00000000-0005-0000-0000-0000EB360000}"/>
    <cellStyle name="Input 4 9 2 5 3" xfId="20951" xr:uid="{00000000-0005-0000-0000-0000EC360000}"/>
    <cellStyle name="Input 4 9 2 6" xfId="7969" xr:uid="{00000000-0005-0000-0000-0000ED360000}"/>
    <cellStyle name="Input 4 9 2 6 2" xfId="26399" xr:uid="{00000000-0005-0000-0000-0000EE360000}"/>
    <cellStyle name="Input 4 9 2 6 3" xfId="21323" xr:uid="{00000000-0005-0000-0000-0000EF360000}"/>
    <cellStyle name="Input 4 9 2 7" xfId="8693" xr:uid="{00000000-0005-0000-0000-0000F0360000}"/>
    <cellStyle name="Input 4 9 2 7 2" xfId="27113" xr:uid="{00000000-0005-0000-0000-0000F1360000}"/>
    <cellStyle name="Input 4 9 2 7 3" xfId="21984" xr:uid="{00000000-0005-0000-0000-0000F2360000}"/>
    <cellStyle name="Input 4 9 2 8" xfId="4185" xr:uid="{00000000-0005-0000-0000-0000F3360000}"/>
    <cellStyle name="Input 4 9 2 8 2" xfId="22649" xr:uid="{00000000-0005-0000-0000-0000F4360000}"/>
    <cellStyle name="Input 4 9 2 8 3" xfId="17867" xr:uid="{00000000-0005-0000-0000-0000F5360000}"/>
    <cellStyle name="Input 4 9 2 9" xfId="14395" xr:uid="{00000000-0005-0000-0000-0000F6360000}"/>
    <cellStyle name="Input 4 9 2 9 2" xfId="35931" xr:uid="{00000000-0005-0000-0000-0000F7360000}"/>
    <cellStyle name="Input 4 9 2 9 3" xfId="17194" xr:uid="{00000000-0005-0000-0000-0000F8360000}"/>
    <cellStyle name="Input 4 9 3" xfId="4802" xr:uid="{00000000-0005-0000-0000-0000F9360000}"/>
    <cellStyle name="Input 4 9 3 2" xfId="23262" xr:uid="{00000000-0005-0000-0000-0000FA360000}"/>
    <cellStyle name="Input 4 9 3 3" xfId="18417" xr:uid="{00000000-0005-0000-0000-0000FB360000}"/>
    <cellStyle name="Input 4 9 4" xfId="4571" xr:uid="{00000000-0005-0000-0000-0000FC360000}"/>
    <cellStyle name="Input 4 9 4 2" xfId="23031" xr:uid="{00000000-0005-0000-0000-0000FD360000}"/>
    <cellStyle name="Input 4 9 4 3" xfId="18248" xr:uid="{00000000-0005-0000-0000-0000FE360000}"/>
    <cellStyle name="Input 4 9 5" xfId="6504" xr:uid="{00000000-0005-0000-0000-0000FF360000}"/>
    <cellStyle name="Input 4 9 5 2" xfId="24944" xr:uid="{00000000-0005-0000-0000-000000370000}"/>
    <cellStyle name="Input 4 9 5 3" xfId="20053" xr:uid="{00000000-0005-0000-0000-000001370000}"/>
    <cellStyle name="Input 4 9 6" xfId="6983" xr:uid="{00000000-0005-0000-0000-000002370000}"/>
    <cellStyle name="Input 4 9 6 2" xfId="25421" xr:uid="{00000000-0005-0000-0000-000003370000}"/>
    <cellStyle name="Input 4 9 6 3" xfId="20364" xr:uid="{00000000-0005-0000-0000-000004370000}"/>
    <cellStyle name="Input 4 9 7" xfId="6468" xr:uid="{00000000-0005-0000-0000-000005370000}"/>
    <cellStyle name="Input 4 9 7 2" xfId="24908" xr:uid="{00000000-0005-0000-0000-000006370000}"/>
    <cellStyle name="Input 4 9 7 3" xfId="20017" xr:uid="{00000000-0005-0000-0000-000007370000}"/>
    <cellStyle name="Input 4 9 8" xfId="8372" xr:uid="{00000000-0005-0000-0000-000008370000}"/>
    <cellStyle name="Input 4 9 8 2" xfId="26795" xr:uid="{00000000-0005-0000-0000-000009370000}"/>
    <cellStyle name="Input 4 9 8 3" xfId="21663" xr:uid="{00000000-0005-0000-0000-00000A370000}"/>
    <cellStyle name="Input 4 9 9" xfId="3864" xr:uid="{00000000-0005-0000-0000-00000B370000}"/>
    <cellStyle name="Input 4 9 9 2" xfId="22331" xr:uid="{00000000-0005-0000-0000-00000C370000}"/>
    <cellStyle name="Input 4 9 9 3" xfId="17546" xr:uid="{00000000-0005-0000-0000-00000D370000}"/>
    <cellStyle name="Input 40" xfId="39661" xr:uid="{00000000-0005-0000-0000-0000870A0000}"/>
    <cellStyle name="Input 40 2" xfId="41315" xr:uid="{00000000-0005-0000-0000-0000870A0000}"/>
    <cellStyle name="Input 5" xfId="2168" xr:uid="{00000000-0005-0000-0000-00000E370000}"/>
    <cellStyle name="Input 5 10" xfId="2169" xr:uid="{00000000-0005-0000-0000-00000F370000}"/>
    <cellStyle name="Input 5 10 10" xfId="14407" xr:uid="{00000000-0005-0000-0000-000010370000}"/>
    <cellStyle name="Input 5 10 10 2" xfId="35938" xr:uid="{00000000-0005-0000-0000-000011370000}"/>
    <cellStyle name="Input 5 10 10 3" xfId="16861" xr:uid="{00000000-0005-0000-0000-000012370000}"/>
    <cellStyle name="Input 5 10 11" xfId="16565" xr:uid="{00000000-0005-0000-0000-000013370000}"/>
    <cellStyle name="Input 5 10 11 2" xfId="37780" xr:uid="{00000000-0005-0000-0000-000014370000}"/>
    <cellStyle name="Input 5 10 12" xfId="31256" xr:uid="{00000000-0005-0000-0000-000015370000}"/>
    <cellStyle name="Input 5 10 2" xfId="3426" xr:uid="{00000000-0005-0000-0000-000016370000}"/>
    <cellStyle name="Input 5 10 2 10" xfId="14574" xr:uid="{00000000-0005-0000-0000-000017370000}"/>
    <cellStyle name="Input 5 10 2 10 2" xfId="36093" xr:uid="{00000000-0005-0000-0000-000018370000}"/>
    <cellStyle name="Input 5 10 2 11" xfId="31486" xr:uid="{00000000-0005-0000-0000-000019370000}"/>
    <cellStyle name="Input 5 10 2 2" xfId="5562" xr:uid="{00000000-0005-0000-0000-00001A370000}"/>
    <cellStyle name="Input 5 10 2 2 2" xfId="24015" xr:uid="{00000000-0005-0000-0000-00001B370000}"/>
    <cellStyle name="Input 5 10 2 2 3" xfId="19150" xr:uid="{00000000-0005-0000-0000-00001C370000}"/>
    <cellStyle name="Input 5 10 2 3" xfId="5084" xr:uid="{00000000-0005-0000-0000-00001D370000}"/>
    <cellStyle name="Input 5 10 2 3 2" xfId="23544" xr:uid="{00000000-0005-0000-0000-00001E370000}"/>
    <cellStyle name="Input 5 10 2 3 3" xfId="18698" xr:uid="{00000000-0005-0000-0000-00001F370000}"/>
    <cellStyle name="Input 5 10 2 4" xfId="6051" xr:uid="{00000000-0005-0000-0000-000020370000}"/>
    <cellStyle name="Input 5 10 2 4 2" xfId="24492" xr:uid="{00000000-0005-0000-0000-000021370000}"/>
    <cellStyle name="Input 5 10 2 4 3" xfId="19601" xr:uid="{00000000-0005-0000-0000-000022370000}"/>
    <cellStyle name="Input 5 10 2 5" xfId="7598" xr:uid="{00000000-0005-0000-0000-000023370000}"/>
    <cellStyle name="Input 5 10 2 5 2" xfId="26028" xr:uid="{00000000-0005-0000-0000-000024370000}"/>
    <cellStyle name="Input 5 10 2 5 3" xfId="20953" xr:uid="{00000000-0005-0000-0000-000025370000}"/>
    <cellStyle name="Input 5 10 2 6" xfId="7971" xr:uid="{00000000-0005-0000-0000-000026370000}"/>
    <cellStyle name="Input 5 10 2 6 2" xfId="26401" xr:uid="{00000000-0005-0000-0000-000027370000}"/>
    <cellStyle name="Input 5 10 2 6 3" xfId="21325" xr:uid="{00000000-0005-0000-0000-000028370000}"/>
    <cellStyle name="Input 5 10 2 7" xfId="8695" xr:uid="{00000000-0005-0000-0000-000029370000}"/>
    <cellStyle name="Input 5 10 2 7 2" xfId="27115" xr:uid="{00000000-0005-0000-0000-00002A370000}"/>
    <cellStyle name="Input 5 10 2 7 3" xfId="21986" xr:uid="{00000000-0005-0000-0000-00002B370000}"/>
    <cellStyle name="Input 5 10 2 8" xfId="4187" xr:uid="{00000000-0005-0000-0000-00002C370000}"/>
    <cellStyle name="Input 5 10 2 8 2" xfId="22651" xr:uid="{00000000-0005-0000-0000-00002D370000}"/>
    <cellStyle name="Input 5 10 2 8 3" xfId="17869" xr:uid="{00000000-0005-0000-0000-00002E370000}"/>
    <cellStyle name="Input 5 10 2 9" xfId="14508" xr:uid="{00000000-0005-0000-0000-00002F370000}"/>
    <cellStyle name="Input 5 10 2 9 2" xfId="36036" xr:uid="{00000000-0005-0000-0000-000030370000}"/>
    <cellStyle name="Input 5 10 2 9 3" xfId="17196" xr:uid="{00000000-0005-0000-0000-000031370000}"/>
    <cellStyle name="Input 5 10 3" xfId="4804" xr:uid="{00000000-0005-0000-0000-000032370000}"/>
    <cellStyle name="Input 5 10 3 2" xfId="23264" xr:uid="{00000000-0005-0000-0000-000033370000}"/>
    <cellStyle name="Input 5 10 3 3" xfId="18419" xr:uid="{00000000-0005-0000-0000-000034370000}"/>
    <cellStyle name="Input 5 10 4" xfId="4572" xr:uid="{00000000-0005-0000-0000-000035370000}"/>
    <cellStyle name="Input 5 10 4 2" xfId="23032" xr:uid="{00000000-0005-0000-0000-000036370000}"/>
    <cellStyle name="Input 5 10 4 3" xfId="18249" xr:uid="{00000000-0005-0000-0000-000037370000}"/>
    <cellStyle name="Input 5 10 5" xfId="6502" xr:uid="{00000000-0005-0000-0000-000038370000}"/>
    <cellStyle name="Input 5 10 5 2" xfId="24942" xr:uid="{00000000-0005-0000-0000-000039370000}"/>
    <cellStyle name="Input 5 10 5 3" xfId="20051" xr:uid="{00000000-0005-0000-0000-00003A370000}"/>
    <cellStyle name="Input 5 10 6" xfId="6985" xr:uid="{00000000-0005-0000-0000-00003B370000}"/>
    <cellStyle name="Input 5 10 6 2" xfId="25423" xr:uid="{00000000-0005-0000-0000-00003C370000}"/>
    <cellStyle name="Input 5 10 6 3" xfId="20366" xr:uid="{00000000-0005-0000-0000-00003D370000}"/>
    <cellStyle name="Input 5 10 7" xfId="6466" xr:uid="{00000000-0005-0000-0000-00003E370000}"/>
    <cellStyle name="Input 5 10 7 2" xfId="24906" xr:uid="{00000000-0005-0000-0000-00003F370000}"/>
    <cellStyle name="Input 5 10 7 3" xfId="20015" xr:uid="{00000000-0005-0000-0000-000040370000}"/>
    <cellStyle name="Input 5 10 8" xfId="8374" xr:uid="{00000000-0005-0000-0000-000041370000}"/>
    <cellStyle name="Input 5 10 8 2" xfId="26797" xr:uid="{00000000-0005-0000-0000-000042370000}"/>
    <cellStyle name="Input 5 10 8 3" xfId="21665" xr:uid="{00000000-0005-0000-0000-000043370000}"/>
    <cellStyle name="Input 5 10 9" xfId="3866" xr:uid="{00000000-0005-0000-0000-000044370000}"/>
    <cellStyle name="Input 5 10 9 2" xfId="22333" xr:uid="{00000000-0005-0000-0000-000045370000}"/>
    <cellStyle name="Input 5 10 9 3" xfId="17548" xr:uid="{00000000-0005-0000-0000-000046370000}"/>
    <cellStyle name="Input 5 11" xfId="2170" xr:uid="{00000000-0005-0000-0000-000047370000}"/>
    <cellStyle name="Input 5 11 10" xfId="15156" xr:uid="{00000000-0005-0000-0000-000048370000}"/>
    <cellStyle name="Input 5 11 10 2" xfId="36567" xr:uid="{00000000-0005-0000-0000-000049370000}"/>
    <cellStyle name="Input 5 11 10 3" xfId="16862" xr:uid="{00000000-0005-0000-0000-00004A370000}"/>
    <cellStyle name="Input 5 11 11" xfId="15171" xr:uid="{00000000-0005-0000-0000-00004B370000}"/>
    <cellStyle name="Input 5 11 11 2" xfId="36582" xr:uid="{00000000-0005-0000-0000-00004C370000}"/>
    <cellStyle name="Input 5 11 12" xfId="31257" xr:uid="{00000000-0005-0000-0000-00004D370000}"/>
    <cellStyle name="Input 5 11 2" xfId="3427" xr:uid="{00000000-0005-0000-0000-00004E370000}"/>
    <cellStyle name="Input 5 11 2 10" xfId="14842" xr:uid="{00000000-0005-0000-0000-00004F370000}"/>
    <cellStyle name="Input 5 11 2 10 2" xfId="36292" xr:uid="{00000000-0005-0000-0000-000050370000}"/>
    <cellStyle name="Input 5 11 2 11" xfId="31487" xr:uid="{00000000-0005-0000-0000-000051370000}"/>
    <cellStyle name="Input 5 11 2 2" xfId="5563" xr:uid="{00000000-0005-0000-0000-000052370000}"/>
    <cellStyle name="Input 5 11 2 2 2" xfId="24016" xr:uid="{00000000-0005-0000-0000-000053370000}"/>
    <cellStyle name="Input 5 11 2 2 3" xfId="19151" xr:uid="{00000000-0005-0000-0000-000054370000}"/>
    <cellStyle name="Input 5 11 2 3" xfId="5085" xr:uid="{00000000-0005-0000-0000-000055370000}"/>
    <cellStyle name="Input 5 11 2 3 2" xfId="23545" xr:uid="{00000000-0005-0000-0000-000056370000}"/>
    <cellStyle name="Input 5 11 2 3 3" xfId="18699" xr:uid="{00000000-0005-0000-0000-000057370000}"/>
    <cellStyle name="Input 5 11 2 4" xfId="6050" xr:uid="{00000000-0005-0000-0000-000058370000}"/>
    <cellStyle name="Input 5 11 2 4 2" xfId="24491" xr:uid="{00000000-0005-0000-0000-000059370000}"/>
    <cellStyle name="Input 5 11 2 4 3" xfId="19600" xr:uid="{00000000-0005-0000-0000-00005A370000}"/>
    <cellStyle name="Input 5 11 2 5" xfId="7599" xr:uid="{00000000-0005-0000-0000-00005B370000}"/>
    <cellStyle name="Input 5 11 2 5 2" xfId="26029" xr:uid="{00000000-0005-0000-0000-00005C370000}"/>
    <cellStyle name="Input 5 11 2 5 3" xfId="20954" xr:uid="{00000000-0005-0000-0000-00005D370000}"/>
    <cellStyle name="Input 5 11 2 6" xfId="7972" xr:uid="{00000000-0005-0000-0000-00005E370000}"/>
    <cellStyle name="Input 5 11 2 6 2" xfId="26402" xr:uid="{00000000-0005-0000-0000-00005F370000}"/>
    <cellStyle name="Input 5 11 2 6 3" xfId="21326" xr:uid="{00000000-0005-0000-0000-000060370000}"/>
    <cellStyle name="Input 5 11 2 7" xfId="8696" xr:uid="{00000000-0005-0000-0000-000061370000}"/>
    <cellStyle name="Input 5 11 2 7 2" xfId="27116" xr:uid="{00000000-0005-0000-0000-000062370000}"/>
    <cellStyle name="Input 5 11 2 7 3" xfId="21987" xr:uid="{00000000-0005-0000-0000-000063370000}"/>
    <cellStyle name="Input 5 11 2 8" xfId="4188" xr:uid="{00000000-0005-0000-0000-000064370000}"/>
    <cellStyle name="Input 5 11 2 8 2" xfId="22652" xr:uid="{00000000-0005-0000-0000-000065370000}"/>
    <cellStyle name="Input 5 11 2 8 3" xfId="17870" xr:uid="{00000000-0005-0000-0000-000066370000}"/>
    <cellStyle name="Input 5 11 2 9" xfId="14509" xr:uid="{00000000-0005-0000-0000-000067370000}"/>
    <cellStyle name="Input 5 11 2 9 2" xfId="36037" xr:uid="{00000000-0005-0000-0000-000068370000}"/>
    <cellStyle name="Input 5 11 2 9 3" xfId="17197" xr:uid="{00000000-0005-0000-0000-000069370000}"/>
    <cellStyle name="Input 5 11 3" xfId="4805" xr:uid="{00000000-0005-0000-0000-00006A370000}"/>
    <cellStyle name="Input 5 11 3 2" xfId="23265" xr:uid="{00000000-0005-0000-0000-00006B370000}"/>
    <cellStyle name="Input 5 11 3 3" xfId="18420" xr:uid="{00000000-0005-0000-0000-00006C370000}"/>
    <cellStyle name="Input 5 11 4" xfId="4573" xr:uid="{00000000-0005-0000-0000-00006D370000}"/>
    <cellStyle name="Input 5 11 4 2" xfId="23033" xr:uid="{00000000-0005-0000-0000-00006E370000}"/>
    <cellStyle name="Input 5 11 4 3" xfId="18250" xr:uid="{00000000-0005-0000-0000-00006F370000}"/>
    <cellStyle name="Input 5 11 5" xfId="6501" xr:uid="{00000000-0005-0000-0000-000070370000}"/>
    <cellStyle name="Input 5 11 5 2" xfId="24941" xr:uid="{00000000-0005-0000-0000-000071370000}"/>
    <cellStyle name="Input 5 11 5 3" xfId="20050" xr:uid="{00000000-0005-0000-0000-000072370000}"/>
    <cellStyle name="Input 5 11 6" xfId="6986" xr:uid="{00000000-0005-0000-0000-000073370000}"/>
    <cellStyle name="Input 5 11 6 2" xfId="25424" xr:uid="{00000000-0005-0000-0000-000074370000}"/>
    <cellStyle name="Input 5 11 6 3" xfId="20367" xr:uid="{00000000-0005-0000-0000-000075370000}"/>
    <cellStyle name="Input 5 11 7" xfId="6465" xr:uid="{00000000-0005-0000-0000-000076370000}"/>
    <cellStyle name="Input 5 11 7 2" xfId="24905" xr:uid="{00000000-0005-0000-0000-000077370000}"/>
    <cellStyle name="Input 5 11 7 3" xfId="20014" xr:uid="{00000000-0005-0000-0000-000078370000}"/>
    <cellStyle name="Input 5 11 8" xfId="8375" xr:uid="{00000000-0005-0000-0000-000079370000}"/>
    <cellStyle name="Input 5 11 8 2" xfId="26798" xr:uid="{00000000-0005-0000-0000-00007A370000}"/>
    <cellStyle name="Input 5 11 8 3" xfId="21666" xr:uid="{00000000-0005-0000-0000-00007B370000}"/>
    <cellStyle name="Input 5 11 9" xfId="3867" xr:uid="{00000000-0005-0000-0000-00007C370000}"/>
    <cellStyle name="Input 5 11 9 2" xfId="22334" xr:uid="{00000000-0005-0000-0000-00007D370000}"/>
    <cellStyle name="Input 5 11 9 3" xfId="17549" xr:uid="{00000000-0005-0000-0000-00007E370000}"/>
    <cellStyle name="Input 5 12" xfId="3425" xr:uid="{00000000-0005-0000-0000-00007F370000}"/>
    <cellStyle name="Input 5 12 10" xfId="14963" xr:uid="{00000000-0005-0000-0000-000080370000}"/>
    <cellStyle name="Input 5 12 10 2" xfId="36396" xr:uid="{00000000-0005-0000-0000-000081370000}"/>
    <cellStyle name="Input 5 12 11" xfId="31485" xr:uid="{00000000-0005-0000-0000-000082370000}"/>
    <cellStyle name="Input 5 12 2" xfId="5561" xr:uid="{00000000-0005-0000-0000-000083370000}"/>
    <cellStyle name="Input 5 12 2 2" xfId="24014" xr:uid="{00000000-0005-0000-0000-000084370000}"/>
    <cellStyle name="Input 5 12 2 3" xfId="19149" xr:uid="{00000000-0005-0000-0000-000085370000}"/>
    <cellStyle name="Input 5 12 3" xfId="5083" xr:uid="{00000000-0005-0000-0000-000086370000}"/>
    <cellStyle name="Input 5 12 3 2" xfId="23543" xr:uid="{00000000-0005-0000-0000-000087370000}"/>
    <cellStyle name="Input 5 12 3 3" xfId="18697" xr:uid="{00000000-0005-0000-0000-000088370000}"/>
    <cellStyle name="Input 5 12 4" xfId="6052" xr:uid="{00000000-0005-0000-0000-000089370000}"/>
    <cellStyle name="Input 5 12 4 2" xfId="24493" xr:uid="{00000000-0005-0000-0000-00008A370000}"/>
    <cellStyle name="Input 5 12 4 3" xfId="19602" xr:uid="{00000000-0005-0000-0000-00008B370000}"/>
    <cellStyle name="Input 5 12 5" xfId="7597" xr:uid="{00000000-0005-0000-0000-00008C370000}"/>
    <cellStyle name="Input 5 12 5 2" xfId="26027" xr:uid="{00000000-0005-0000-0000-00008D370000}"/>
    <cellStyle name="Input 5 12 5 3" xfId="20952" xr:uid="{00000000-0005-0000-0000-00008E370000}"/>
    <cellStyle name="Input 5 12 6" xfId="7970" xr:uid="{00000000-0005-0000-0000-00008F370000}"/>
    <cellStyle name="Input 5 12 6 2" xfId="26400" xr:uid="{00000000-0005-0000-0000-000090370000}"/>
    <cellStyle name="Input 5 12 6 3" xfId="21324" xr:uid="{00000000-0005-0000-0000-000091370000}"/>
    <cellStyle name="Input 5 12 7" xfId="8694" xr:uid="{00000000-0005-0000-0000-000092370000}"/>
    <cellStyle name="Input 5 12 7 2" xfId="27114" xr:uid="{00000000-0005-0000-0000-000093370000}"/>
    <cellStyle name="Input 5 12 7 3" xfId="21985" xr:uid="{00000000-0005-0000-0000-000094370000}"/>
    <cellStyle name="Input 5 12 8" xfId="4186" xr:uid="{00000000-0005-0000-0000-000095370000}"/>
    <cellStyle name="Input 5 12 8 2" xfId="22650" xr:uid="{00000000-0005-0000-0000-000096370000}"/>
    <cellStyle name="Input 5 12 8 3" xfId="17868" xr:uid="{00000000-0005-0000-0000-000097370000}"/>
    <cellStyle name="Input 5 12 9" xfId="15157" xr:uid="{00000000-0005-0000-0000-000098370000}"/>
    <cellStyle name="Input 5 12 9 2" xfId="36568" xr:uid="{00000000-0005-0000-0000-000099370000}"/>
    <cellStyle name="Input 5 12 9 3" xfId="17195" xr:uid="{00000000-0005-0000-0000-00009A370000}"/>
    <cellStyle name="Input 5 13" xfId="4803" xr:uid="{00000000-0005-0000-0000-00009B370000}"/>
    <cellStyle name="Input 5 13 2" xfId="23263" xr:uid="{00000000-0005-0000-0000-00009C370000}"/>
    <cellStyle name="Input 5 13 3" xfId="18418" xr:uid="{00000000-0005-0000-0000-00009D370000}"/>
    <cellStyle name="Input 5 14" xfId="5851" xr:uid="{00000000-0005-0000-0000-00009E370000}"/>
    <cellStyle name="Input 5 14 2" xfId="24297" xr:uid="{00000000-0005-0000-0000-00009F370000}"/>
    <cellStyle name="Input 5 14 3" xfId="19406" xr:uid="{00000000-0005-0000-0000-0000A0370000}"/>
    <cellStyle name="Input 5 15" xfId="6503" xr:uid="{00000000-0005-0000-0000-0000A1370000}"/>
    <cellStyle name="Input 5 15 2" xfId="24943" xr:uid="{00000000-0005-0000-0000-0000A2370000}"/>
    <cellStyle name="Input 5 15 3" xfId="20052" xr:uid="{00000000-0005-0000-0000-0000A3370000}"/>
    <cellStyle name="Input 5 16" xfId="6984" xr:uid="{00000000-0005-0000-0000-0000A4370000}"/>
    <cellStyle name="Input 5 16 2" xfId="25422" xr:uid="{00000000-0005-0000-0000-0000A5370000}"/>
    <cellStyle name="Input 5 16 3" xfId="20365" xr:uid="{00000000-0005-0000-0000-0000A6370000}"/>
    <cellStyle name="Input 5 17" xfId="6467" xr:uid="{00000000-0005-0000-0000-0000A7370000}"/>
    <cellStyle name="Input 5 17 2" xfId="24907" xr:uid="{00000000-0005-0000-0000-0000A8370000}"/>
    <cellStyle name="Input 5 17 3" xfId="20016" xr:uid="{00000000-0005-0000-0000-0000A9370000}"/>
    <cellStyle name="Input 5 18" xfId="8373" xr:uid="{00000000-0005-0000-0000-0000AA370000}"/>
    <cellStyle name="Input 5 18 2" xfId="26796" xr:uid="{00000000-0005-0000-0000-0000AB370000}"/>
    <cellStyle name="Input 5 18 3" xfId="21664" xr:uid="{00000000-0005-0000-0000-0000AC370000}"/>
    <cellStyle name="Input 5 19" xfId="3865" xr:uid="{00000000-0005-0000-0000-0000AD370000}"/>
    <cellStyle name="Input 5 19 2" xfId="22332" xr:uid="{00000000-0005-0000-0000-0000AE370000}"/>
    <cellStyle name="Input 5 19 3" xfId="17547" xr:uid="{00000000-0005-0000-0000-0000AF370000}"/>
    <cellStyle name="Input 5 2" xfId="2171" xr:uid="{00000000-0005-0000-0000-0000B0370000}"/>
    <cellStyle name="Input 5 2 10" xfId="16114" xr:uid="{00000000-0005-0000-0000-0000B1370000}"/>
    <cellStyle name="Input 5 2 10 2" xfId="37436" xr:uid="{00000000-0005-0000-0000-0000B2370000}"/>
    <cellStyle name="Input 5 2 10 3" xfId="16863" xr:uid="{00000000-0005-0000-0000-0000B3370000}"/>
    <cellStyle name="Input 5 2 11" xfId="16566" xr:uid="{00000000-0005-0000-0000-0000B4370000}"/>
    <cellStyle name="Input 5 2 11 2" xfId="37781" xr:uid="{00000000-0005-0000-0000-0000B5370000}"/>
    <cellStyle name="Input 5 2 12" xfId="31258" xr:uid="{00000000-0005-0000-0000-0000B6370000}"/>
    <cellStyle name="Input 5 2 13" xfId="39663" xr:uid="{00000000-0005-0000-0000-0000890A0000}"/>
    <cellStyle name="Input 5 2 14" xfId="41317" xr:uid="{00000000-0005-0000-0000-0000890A0000}"/>
    <cellStyle name="Input 5 2 2" xfId="3428" xr:uid="{00000000-0005-0000-0000-0000B7370000}"/>
    <cellStyle name="Input 5 2 2 10" xfId="15186" xr:uid="{00000000-0005-0000-0000-0000B8370000}"/>
    <cellStyle name="Input 5 2 2 10 2" xfId="36594" xr:uid="{00000000-0005-0000-0000-0000B9370000}"/>
    <cellStyle name="Input 5 2 2 11" xfId="31488" xr:uid="{00000000-0005-0000-0000-0000BA370000}"/>
    <cellStyle name="Input 5 2 2 2" xfId="5564" xr:uid="{00000000-0005-0000-0000-0000BB370000}"/>
    <cellStyle name="Input 5 2 2 2 2" xfId="24017" xr:uid="{00000000-0005-0000-0000-0000BC370000}"/>
    <cellStyle name="Input 5 2 2 2 3" xfId="19152" xr:uid="{00000000-0005-0000-0000-0000BD370000}"/>
    <cellStyle name="Input 5 2 2 3" xfId="5086" xr:uid="{00000000-0005-0000-0000-0000BE370000}"/>
    <cellStyle name="Input 5 2 2 3 2" xfId="23546" xr:uid="{00000000-0005-0000-0000-0000BF370000}"/>
    <cellStyle name="Input 5 2 2 3 3" xfId="18700" xr:uid="{00000000-0005-0000-0000-0000C0370000}"/>
    <cellStyle name="Input 5 2 2 4" xfId="6049" xr:uid="{00000000-0005-0000-0000-0000C1370000}"/>
    <cellStyle name="Input 5 2 2 4 2" xfId="24490" xr:uid="{00000000-0005-0000-0000-0000C2370000}"/>
    <cellStyle name="Input 5 2 2 4 3" xfId="19599" xr:uid="{00000000-0005-0000-0000-0000C3370000}"/>
    <cellStyle name="Input 5 2 2 5" xfId="7600" xr:uid="{00000000-0005-0000-0000-0000C4370000}"/>
    <cellStyle name="Input 5 2 2 5 2" xfId="26030" xr:uid="{00000000-0005-0000-0000-0000C5370000}"/>
    <cellStyle name="Input 5 2 2 5 3" xfId="20955" xr:uid="{00000000-0005-0000-0000-0000C6370000}"/>
    <cellStyle name="Input 5 2 2 6" xfId="7973" xr:uid="{00000000-0005-0000-0000-0000C7370000}"/>
    <cellStyle name="Input 5 2 2 6 2" xfId="26403" xr:uid="{00000000-0005-0000-0000-0000C8370000}"/>
    <cellStyle name="Input 5 2 2 6 3" xfId="21327" xr:uid="{00000000-0005-0000-0000-0000C9370000}"/>
    <cellStyle name="Input 5 2 2 7" xfId="8697" xr:uid="{00000000-0005-0000-0000-0000CA370000}"/>
    <cellStyle name="Input 5 2 2 7 2" xfId="27117" xr:uid="{00000000-0005-0000-0000-0000CB370000}"/>
    <cellStyle name="Input 5 2 2 7 3" xfId="21988" xr:uid="{00000000-0005-0000-0000-0000CC370000}"/>
    <cellStyle name="Input 5 2 2 8" xfId="4189" xr:uid="{00000000-0005-0000-0000-0000CD370000}"/>
    <cellStyle name="Input 5 2 2 8 2" xfId="22653" xr:uid="{00000000-0005-0000-0000-0000CE370000}"/>
    <cellStyle name="Input 5 2 2 8 3" xfId="17871" xr:uid="{00000000-0005-0000-0000-0000CF370000}"/>
    <cellStyle name="Input 5 2 2 9" xfId="14510" xr:uid="{00000000-0005-0000-0000-0000D0370000}"/>
    <cellStyle name="Input 5 2 2 9 2" xfId="36038" xr:uid="{00000000-0005-0000-0000-0000D1370000}"/>
    <cellStyle name="Input 5 2 2 9 3" xfId="17198" xr:uid="{00000000-0005-0000-0000-0000D2370000}"/>
    <cellStyle name="Input 5 2 3" xfId="4806" xr:uid="{00000000-0005-0000-0000-0000D3370000}"/>
    <cellStyle name="Input 5 2 3 2" xfId="23266" xr:uid="{00000000-0005-0000-0000-0000D4370000}"/>
    <cellStyle name="Input 5 2 3 3" xfId="18421" xr:uid="{00000000-0005-0000-0000-0000D5370000}"/>
    <cellStyle name="Input 5 2 4" xfId="5849" xr:uid="{00000000-0005-0000-0000-0000D6370000}"/>
    <cellStyle name="Input 5 2 4 2" xfId="24295" xr:uid="{00000000-0005-0000-0000-0000D7370000}"/>
    <cellStyle name="Input 5 2 4 3" xfId="19404" xr:uid="{00000000-0005-0000-0000-0000D8370000}"/>
    <cellStyle name="Input 5 2 5" xfId="6500" xr:uid="{00000000-0005-0000-0000-0000D9370000}"/>
    <cellStyle name="Input 5 2 5 2" xfId="24940" xr:uid="{00000000-0005-0000-0000-0000DA370000}"/>
    <cellStyle name="Input 5 2 5 3" xfId="20049" xr:uid="{00000000-0005-0000-0000-0000DB370000}"/>
    <cellStyle name="Input 5 2 6" xfId="6987" xr:uid="{00000000-0005-0000-0000-0000DC370000}"/>
    <cellStyle name="Input 5 2 6 2" xfId="25425" xr:uid="{00000000-0005-0000-0000-0000DD370000}"/>
    <cellStyle name="Input 5 2 6 3" xfId="20368" xr:uid="{00000000-0005-0000-0000-0000DE370000}"/>
    <cellStyle name="Input 5 2 7" xfId="6464" xr:uid="{00000000-0005-0000-0000-0000DF370000}"/>
    <cellStyle name="Input 5 2 7 2" xfId="24904" xr:uid="{00000000-0005-0000-0000-0000E0370000}"/>
    <cellStyle name="Input 5 2 7 3" xfId="20013" xr:uid="{00000000-0005-0000-0000-0000E1370000}"/>
    <cellStyle name="Input 5 2 8" xfId="8376" xr:uid="{00000000-0005-0000-0000-0000E2370000}"/>
    <cellStyle name="Input 5 2 8 2" xfId="26799" xr:uid="{00000000-0005-0000-0000-0000E3370000}"/>
    <cellStyle name="Input 5 2 8 3" xfId="21667" xr:uid="{00000000-0005-0000-0000-0000E4370000}"/>
    <cellStyle name="Input 5 2 9" xfId="3868" xr:uid="{00000000-0005-0000-0000-0000E5370000}"/>
    <cellStyle name="Input 5 2 9 2" xfId="22335" xr:uid="{00000000-0005-0000-0000-0000E6370000}"/>
    <cellStyle name="Input 5 2 9 3" xfId="17550" xr:uid="{00000000-0005-0000-0000-0000E7370000}"/>
    <cellStyle name="Input 5 20" xfId="14402" xr:uid="{00000000-0005-0000-0000-0000E8370000}"/>
    <cellStyle name="Input 5 20 2" xfId="35934" xr:uid="{00000000-0005-0000-0000-0000E9370000}"/>
    <cellStyle name="Input 5 20 3" xfId="16860" xr:uid="{00000000-0005-0000-0000-0000EA370000}"/>
    <cellStyle name="Input 5 21" xfId="14540" xr:uid="{00000000-0005-0000-0000-0000EB370000}"/>
    <cellStyle name="Input 5 21 2" xfId="36063" xr:uid="{00000000-0005-0000-0000-0000EC370000}"/>
    <cellStyle name="Input 5 22" xfId="31255" xr:uid="{00000000-0005-0000-0000-0000ED370000}"/>
    <cellStyle name="Input 5 23" xfId="39662" xr:uid="{00000000-0005-0000-0000-0000880A0000}"/>
    <cellStyle name="Input 5 24" xfId="41316" xr:uid="{00000000-0005-0000-0000-0000880A0000}"/>
    <cellStyle name="Input 5 3" xfId="2172" xr:uid="{00000000-0005-0000-0000-0000EE370000}"/>
    <cellStyle name="Input 5 3 10" xfId="14587" xr:uid="{00000000-0005-0000-0000-0000EF370000}"/>
    <cellStyle name="Input 5 3 10 2" xfId="36100" xr:uid="{00000000-0005-0000-0000-0000F0370000}"/>
    <cellStyle name="Input 5 3 10 3" xfId="16864" xr:uid="{00000000-0005-0000-0000-0000F1370000}"/>
    <cellStyle name="Input 5 3 11" xfId="15023" xr:uid="{00000000-0005-0000-0000-0000F2370000}"/>
    <cellStyle name="Input 5 3 11 2" xfId="36448" xr:uid="{00000000-0005-0000-0000-0000F3370000}"/>
    <cellStyle name="Input 5 3 12" xfId="31259" xr:uid="{00000000-0005-0000-0000-0000F4370000}"/>
    <cellStyle name="Input 5 3 2" xfId="3429" xr:uid="{00000000-0005-0000-0000-0000F5370000}"/>
    <cellStyle name="Input 5 3 2 10" xfId="16278" xr:uid="{00000000-0005-0000-0000-0000F6370000}"/>
    <cellStyle name="Input 5 3 2 10 2" xfId="37586" xr:uid="{00000000-0005-0000-0000-0000F7370000}"/>
    <cellStyle name="Input 5 3 2 11" xfId="31489" xr:uid="{00000000-0005-0000-0000-0000F8370000}"/>
    <cellStyle name="Input 5 3 2 2" xfId="5565" xr:uid="{00000000-0005-0000-0000-0000F9370000}"/>
    <cellStyle name="Input 5 3 2 2 2" xfId="24018" xr:uid="{00000000-0005-0000-0000-0000FA370000}"/>
    <cellStyle name="Input 5 3 2 2 3" xfId="19153" xr:uid="{00000000-0005-0000-0000-0000FB370000}"/>
    <cellStyle name="Input 5 3 2 3" xfId="5087" xr:uid="{00000000-0005-0000-0000-0000FC370000}"/>
    <cellStyle name="Input 5 3 2 3 2" xfId="23547" xr:uid="{00000000-0005-0000-0000-0000FD370000}"/>
    <cellStyle name="Input 5 3 2 3 3" xfId="18701" xr:uid="{00000000-0005-0000-0000-0000FE370000}"/>
    <cellStyle name="Input 5 3 2 4" xfId="6048" xr:uid="{00000000-0005-0000-0000-0000FF370000}"/>
    <cellStyle name="Input 5 3 2 4 2" xfId="24489" xr:uid="{00000000-0005-0000-0000-000000380000}"/>
    <cellStyle name="Input 5 3 2 4 3" xfId="19598" xr:uid="{00000000-0005-0000-0000-000001380000}"/>
    <cellStyle name="Input 5 3 2 5" xfId="7601" xr:uid="{00000000-0005-0000-0000-000002380000}"/>
    <cellStyle name="Input 5 3 2 5 2" xfId="26031" xr:uid="{00000000-0005-0000-0000-000003380000}"/>
    <cellStyle name="Input 5 3 2 5 3" xfId="20956" xr:uid="{00000000-0005-0000-0000-000004380000}"/>
    <cellStyle name="Input 5 3 2 6" xfId="7974" xr:uid="{00000000-0005-0000-0000-000005380000}"/>
    <cellStyle name="Input 5 3 2 6 2" xfId="26404" xr:uid="{00000000-0005-0000-0000-000006380000}"/>
    <cellStyle name="Input 5 3 2 6 3" xfId="21328" xr:uid="{00000000-0005-0000-0000-000007380000}"/>
    <cellStyle name="Input 5 3 2 7" xfId="8698" xr:uid="{00000000-0005-0000-0000-000008380000}"/>
    <cellStyle name="Input 5 3 2 7 2" xfId="27118" xr:uid="{00000000-0005-0000-0000-000009380000}"/>
    <cellStyle name="Input 5 3 2 7 3" xfId="21989" xr:uid="{00000000-0005-0000-0000-00000A380000}"/>
    <cellStyle name="Input 5 3 2 8" xfId="4190" xr:uid="{00000000-0005-0000-0000-00000B380000}"/>
    <cellStyle name="Input 5 3 2 8 2" xfId="22654" xr:uid="{00000000-0005-0000-0000-00000C380000}"/>
    <cellStyle name="Input 5 3 2 8 3" xfId="17872" xr:uid="{00000000-0005-0000-0000-00000D380000}"/>
    <cellStyle name="Input 5 3 2 9" xfId="15158" xr:uid="{00000000-0005-0000-0000-00000E380000}"/>
    <cellStyle name="Input 5 3 2 9 2" xfId="36569" xr:uid="{00000000-0005-0000-0000-00000F380000}"/>
    <cellStyle name="Input 5 3 2 9 3" xfId="17199" xr:uid="{00000000-0005-0000-0000-000010380000}"/>
    <cellStyle name="Input 5 3 3" xfId="4807" xr:uid="{00000000-0005-0000-0000-000011380000}"/>
    <cellStyle name="Input 5 3 3 2" xfId="23267" xr:uid="{00000000-0005-0000-0000-000012380000}"/>
    <cellStyle name="Input 5 3 3 3" xfId="18422" xr:uid="{00000000-0005-0000-0000-000013380000}"/>
    <cellStyle name="Input 5 3 4" xfId="4574" xr:uid="{00000000-0005-0000-0000-000014380000}"/>
    <cellStyle name="Input 5 3 4 2" xfId="23034" xr:uid="{00000000-0005-0000-0000-000015380000}"/>
    <cellStyle name="Input 5 3 4 3" xfId="18251" xr:uid="{00000000-0005-0000-0000-000016380000}"/>
    <cellStyle name="Input 5 3 5" xfId="6499" xr:uid="{00000000-0005-0000-0000-000017380000}"/>
    <cellStyle name="Input 5 3 5 2" xfId="24939" xr:uid="{00000000-0005-0000-0000-000018380000}"/>
    <cellStyle name="Input 5 3 5 3" xfId="20048" xr:uid="{00000000-0005-0000-0000-000019380000}"/>
    <cellStyle name="Input 5 3 6" xfId="6988" xr:uid="{00000000-0005-0000-0000-00001A380000}"/>
    <cellStyle name="Input 5 3 6 2" xfId="25426" xr:uid="{00000000-0005-0000-0000-00001B380000}"/>
    <cellStyle name="Input 5 3 6 3" xfId="20369" xr:uid="{00000000-0005-0000-0000-00001C380000}"/>
    <cellStyle name="Input 5 3 7" xfId="6463" xr:uid="{00000000-0005-0000-0000-00001D380000}"/>
    <cellStyle name="Input 5 3 7 2" xfId="24903" xr:uid="{00000000-0005-0000-0000-00001E380000}"/>
    <cellStyle name="Input 5 3 7 3" xfId="20012" xr:uid="{00000000-0005-0000-0000-00001F380000}"/>
    <cellStyle name="Input 5 3 8" xfId="8377" xr:uid="{00000000-0005-0000-0000-000020380000}"/>
    <cellStyle name="Input 5 3 8 2" xfId="26800" xr:uid="{00000000-0005-0000-0000-000021380000}"/>
    <cellStyle name="Input 5 3 8 3" xfId="21668" xr:uid="{00000000-0005-0000-0000-000022380000}"/>
    <cellStyle name="Input 5 3 9" xfId="3869" xr:uid="{00000000-0005-0000-0000-000023380000}"/>
    <cellStyle name="Input 5 3 9 2" xfId="22336" xr:uid="{00000000-0005-0000-0000-000024380000}"/>
    <cellStyle name="Input 5 3 9 3" xfId="17551" xr:uid="{00000000-0005-0000-0000-000025380000}"/>
    <cellStyle name="Input 5 4" xfId="2173" xr:uid="{00000000-0005-0000-0000-000026380000}"/>
    <cellStyle name="Input 5 4 10" xfId="16254" xr:uid="{00000000-0005-0000-0000-000027380000}"/>
    <cellStyle name="Input 5 4 10 2" xfId="37564" xr:uid="{00000000-0005-0000-0000-000028380000}"/>
    <cellStyle name="Input 5 4 10 3" xfId="16865" xr:uid="{00000000-0005-0000-0000-000029380000}"/>
    <cellStyle name="Input 5 4 11" xfId="15250" xr:uid="{00000000-0005-0000-0000-00002A380000}"/>
    <cellStyle name="Input 5 4 11 2" xfId="36656" xr:uid="{00000000-0005-0000-0000-00002B380000}"/>
    <cellStyle name="Input 5 4 12" xfId="31260" xr:uid="{00000000-0005-0000-0000-00002C380000}"/>
    <cellStyle name="Input 5 4 2" xfId="3430" xr:uid="{00000000-0005-0000-0000-00002D380000}"/>
    <cellStyle name="Input 5 4 2 10" xfId="16078" xr:uid="{00000000-0005-0000-0000-00002E380000}"/>
    <cellStyle name="Input 5 4 2 10 2" xfId="37400" xr:uid="{00000000-0005-0000-0000-00002F380000}"/>
    <cellStyle name="Input 5 4 2 11" xfId="31490" xr:uid="{00000000-0005-0000-0000-000030380000}"/>
    <cellStyle name="Input 5 4 2 2" xfId="5566" xr:uid="{00000000-0005-0000-0000-000031380000}"/>
    <cellStyle name="Input 5 4 2 2 2" xfId="24019" xr:uid="{00000000-0005-0000-0000-000032380000}"/>
    <cellStyle name="Input 5 4 2 2 3" xfId="19154" xr:uid="{00000000-0005-0000-0000-000033380000}"/>
    <cellStyle name="Input 5 4 2 3" xfId="5088" xr:uid="{00000000-0005-0000-0000-000034380000}"/>
    <cellStyle name="Input 5 4 2 3 2" xfId="23548" xr:uid="{00000000-0005-0000-0000-000035380000}"/>
    <cellStyle name="Input 5 4 2 3 3" xfId="18702" xr:uid="{00000000-0005-0000-0000-000036380000}"/>
    <cellStyle name="Input 5 4 2 4" xfId="6047" xr:uid="{00000000-0005-0000-0000-000037380000}"/>
    <cellStyle name="Input 5 4 2 4 2" xfId="24488" xr:uid="{00000000-0005-0000-0000-000038380000}"/>
    <cellStyle name="Input 5 4 2 4 3" xfId="19597" xr:uid="{00000000-0005-0000-0000-000039380000}"/>
    <cellStyle name="Input 5 4 2 5" xfId="7602" xr:uid="{00000000-0005-0000-0000-00003A380000}"/>
    <cellStyle name="Input 5 4 2 5 2" xfId="26032" xr:uid="{00000000-0005-0000-0000-00003B380000}"/>
    <cellStyle name="Input 5 4 2 5 3" xfId="20957" xr:uid="{00000000-0005-0000-0000-00003C380000}"/>
    <cellStyle name="Input 5 4 2 6" xfId="7975" xr:uid="{00000000-0005-0000-0000-00003D380000}"/>
    <cellStyle name="Input 5 4 2 6 2" xfId="26405" xr:uid="{00000000-0005-0000-0000-00003E380000}"/>
    <cellStyle name="Input 5 4 2 6 3" xfId="21329" xr:uid="{00000000-0005-0000-0000-00003F380000}"/>
    <cellStyle name="Input 5 4 2 7" xfId="8699" xr:uid="{00000000-0005-0000-0000-000040380000}"/>
    <cellStyle name="Input 5 4 2 7 2" xfId="27119" xr:uid="{00000000-0005-0000-0000-000041380000}"/>
    <cellStyle name="Input 5 4 2 7 3" xfId="21990" xr:uid="{00000000-0005-0000-0000-000042380000}"/>
    <cellStyle name="Input 5 4 2 8" xfId="4191" xr:uid="{00000000-0005-0000-0000-000043380000}"/>
    <cellStyle name="Input 5 4 2 8 2" xfId="22655" xr:uid="{00000000-0005-0000-0000-000044380000}"/>
    <cellStyle name="Input 5 4 2 8 3" xfId="17873" xr:uid="{00000000-0005-0000-0000-000045380000}"/>
    <cellStyle name="Input 5 4 2 9" xfId="14511" xr:uid="{00000000-0005-0000-0000-000046380000}"/>
    <cellStyle name="Input 5 4 2 9 2" xfId="36039" xr:uid="{00000000-0005-0000-0000-000047380000}"/>
    <cellStyle name="Input 5 4 2 9 3" xfId="17200" xr:uid="{00000000-0005-0000-0000-000048380000}"/>
    <cellStyle name="Input 5 4 3" xfId="4808" xr:uid="{00000000-0005-0000-0000-000049380000}"/>
    <cellStyle name="Input 5 4 3 2" xfId="23268" xr:uid="{00000000-0005-0000-0000-00004A380000}"/>
    <cellStyle name="Input 5 4 3 3" xfId="18423" xr:uid="{00000000-0005-0000-0000-00004B380000}"/>
    <cellStyle name="Input 5 4 4" xfId="5437" xr:uid="{00000000-0005-0000-0000-00004C380000}"/>
    <cellStyle name="Input 5 4 4 2" xfId="23891" xr:uid="{00000000-0005-0000-0000-00004D380000}"/>
    <cellStyle name="Input 5 4 4 3" xfId="19034" xr:uid="{00000000-0005-0000-0000-00004E380000}"/>
    <cellStyle name="Input 5 4 5" xfId="6498" xr:uid="{00000000-0005-0000-0000-00004F380000}"/>
    <cellStyle name="Input 5 4 5 2" xfId="24938" xr:uid="{00000000-0005-0000-0000-000050380000}"/>
    <cellStyle name="Input 5 4 5 3" xfId="20047" xr:uid="{00000000-0005-0000-0000-000051380000}"/>
    <cellStyle name="Input 5 4 6" xfId="6989" xr:uid="{00000000-0005-0000-0000-000052380000}"/>
    <cellStyle name="Input 5 4 6 2" xfId="25427" xr:uid="{00000000-0005-0000-0000-000053380000}"/>
    <cellStyle name="Input 5 4 6 3" xfId="20370" xr:uid="{00000000-0005-0000-0000-000054380000}"/>
    <cellStyle name="Input 5 4 7" xfId="6462" xr:uid="{00000000-0005-0000-0000-000055380000}"/>
    <cellStyle name="Input 5 4 7 2" xfId="24902" xr:uid="{00000000-0005-0000-0000-000056380000}"/>
    <cellStyle name="Input 5 4 7 3" xfId="20011" xr:uid="{00000000-0005-0000-0000-000057380000}"/>
    <cellStyle name="Input 5 4 8" xfId="8378" xr:uid="{00000000-0005-0000-0000-000058380000}"/>
    <cellStyle name="Input 5 4 8 2" xfId="26801" xr:uid="{00000000-0005-0000-0000-000059380000}"/>
    <cellStyle name="Input 5 4 8 3" xfId="21669" xr:uid="{00000000-0005-0000-0000-00005A380000}"/>
    <cellStyle name="Input 5 4 9" xfId="3870" xr:uid="{00000000-0005-0000-0000-00005B380000}"/>
    <cellStyle name="Input 5 4 9 2" xfId="22337" xr:uid="{00000000-0005-0000-0000-00005C380000}"/>
    <cellStyle name="Input 5 4 9 3" xfId="17552" xr:uid="{00000000-0005-0000-0000-00005D380000}"/>
    <cellStyle name="Input 5 5" xfId="2174" xr:uid="{00000000-0005-0000-0000-00005E380000}"/>
    <cellStyle name="Input 5 5 10" xfId="14636" xr:uid="{00000000-0005-0000-0000-00005F380000}"/>
    <cellStyle name="Input 5 5 10 2" xfId="36129" xr:uid="{00000000-0005-0000-0000-000060380000}"/>
    <cellStyle name="Input 5 5 10 3" xfId="16866" xr:uid="{00000000-0005-0000-0000-000061380000}"/>
    <cellStyle name="Input 5 5 11" xfId="15024" xr:uid="{00000000-0005-0000-0000-000062380000}"/>
    <cellStyle name="Input 5 5 11 2" xfId="36449" xr:uid="{00000000-0005-0000-0000-000063380000}"/>
    <cellStyle name="Input 5 5 12" xfId="31261" xr:uid="{00000000-0005-0000-0000-000064380000}"/>
    <cellStyle name="Input 5 5 2" xfId="3431" xr:uid="{00000000-0005-0000-0000-000065380000}"/>
    <cellStyle name="Input 5 5 2 10" xfId="16384" xr:uid="{00000000-0005-0000-0000-000066380000}"/>
    <cellStyle name="Input 5 5 2 10 2" xfId="37683" xr:uid="{00000000-0005-0000-0000-000067380000}"/>
    <cellStyle name="Input 5 5 2 11" xfId="31491" xr:uid="{00000000-0005-0000-0000-000068380000}"/>
    <cellStyle name="Input 5 5 2 2" xfId="5567" xr:uid="{00000000-0005-0000-0000-000069380000}"/>
    <cellStyle name="Input 5 5 2 2 2" xfId="24020" xr:uid="{00000000-0005-0000-0000-00006A380000}"/>
    <cellStyle name="Input 5 5 2 2 3" xfId="19155" xr:uid="{00000000-0005-0000-0000-00006B380000}"/>
    <cellStyle name="Input 5 5 2 3" xfId="5089" xr:uid="{00000000-0005-0000-0000-00006C380000}"/>
    <cellStyle name="Input 5 5 2 3 2" xfId="23549" xr:uid="{00000000-0005-0000-0000-00006D380000}"/>
    <cellStyle name="Input 5 5 2 3 3" xfId="18703" xr:uid="{00000000-0005-0000-0000-00006E380000}"/>
    <cellStyle name="Input 5 5 2 4" xfId="6046" xr:uid="{00000000-0005-0000-0000-00006F380000}"/>
    <cellStyle name="Input 5 5 2 4 2" xfId="24487" xr:uid="{00000000-0005-0000-0000-000070380000}"/>
    <cellStyle name="Input 5 5 2 4 3" xfId="19596" xr:uid="{00000000-0005-0000-0000-000071380000}"/>
    <cellStyle name="Input 5 5 2 5" xfId="7603" xr:uid="{00000000-0005-0000-0000-000072380000}"/>
    <cellStyle name="Input 5 5 2 5 2" xfId="26033" xr:uid="{00000000-0005-0000-0000-000073380000}"/>
    <cellStyle name="Input 5 5 2 5 3" xfId="20958" xr:uid="{00000000-0005-0000-0000-000074380000}"/>
    <cellStyle name="Input 5 5 2 6" xfId="7976" xr:uid="{00000000-0005-0000-0000-000075380000}"/>
    <cellStyle name="Input 5 5 2 6 2" xfId="26406" xr:uid="{00000000-0005-0000-0000-000076380000}"/>
    <cellStyle name="Input 5 5 2 6 3" xfId="21330" xr:uid="{00000000-0005-0000-0000-000077380000}"/>
    <cellStyle name="Input 5 5 2 7" xfId="8700" xr:uid="{00000000-0005-0000-0000-000078380000}"/>
    <cellStyle name="Input 5 5 2 7 2" xfId="27120" xr:uid="{00000000-0005-0000-0000-000079380000}"/>
    <cellStyle name="Input 5 5 2 7 3" xfId="21991" xr:uid="{00000000-0005-0000-0000-00007A380000}"/>
    <cellStyle name="Input 5 5 2 8" xfId="4192" xr:uid="{00000000-0005-0000-0000-00007B380000}"/>
    <cellStyle name="Input 5 5 2 8 2" xfId="22656" xr:uid="{00000000-0005-0000-0000-00007C380000}"/>
    <cellStyle name="Input 5 5 2 8 3" xfId="17874" xr:uid="{00000000-0005-0000-0000-00007D380000}"/>
    <cellStyle name="Input 5 5 2 9" xfId="15159" xr:uid="{00000000-0005-0000-0000-00007E380000}"/>
    <cellStyle name="Input 5 5 2 9 2" xfId="36570" xr:uid="{00000000-0005-0000-0000-00007F380000}"/>
    <cellStyle name="Input 5 5 2 9 3" xfId="17201" xr:uid="{00000000-0005-0000-0000-000080380000}"/>
    <cellStyle name="Input 5 5 3" xfId="4809" xr:uid="{00000000-0005-0000-0000-000081380000}"/>
    <cellStyle name="Input 5 5 3 2" xfId="23269" xr:uid="{00000000-0005-0000-0000-000082380000}"/>
    <cellStyle name="Input 5 5 3 3" xfId="18424" xr:uid="{00000000-0005-0000-0000-000083380000}"/>
    <cellStyle name="Input 5 5 4" xfId="5441" xr:uid="{00000000-0005-0000-0000-000084380000}"/>
    <cellStyle name="Input 5 5 4 2" xfId="23895" xr:uid="{00000000-0005-0000-0000-000085380000}"/>
    <cellStyle name="Input 5 5 4 3" xfId="19037" xr:uid="{00000000-0005-0000-0000-000086380000}"/>
    <cellStyle name="Input 5 5 5" xfId="6497" xr:uid="{00000000-0005-0000-0000-000087380000}"/>
    <cellStyle name="Input 5 5 5 2" xfId="24937" xr:uid="{00000000-0005-0000-0000-000088380000}"/>
    <cellStyle name="Input 5 5 5 3" xfId="20046" xr:uid="{00000000-0005-0000-0000-000089380000}"/>
    <cellStyle name="Input 5 5 6" xfId="6990" xr:uid="{00000000-0005-0000-0000-00008A380000}"/>
    <cellStyle name="Input 5 5 6 2" xfId="25428" xr:uid="{00000000-0005-0000-0000-00008B380000}"/>
    <cellStyle name="Input 5 5 6 3" xfId="20371" xr:uid="{00000000-0005-0000-0000-00008C380000}"/>
    <cellStyle name="Input 5 5 7" xfId="6461" xr:uid="{00000000-0005-0000-0000-00008D380000}"/>
    <cellStyle name="Input 5 5 7 2" xfId="24901" xr:uid="{00000000-0005-0000-0000-00008E380000}"/>
    <cellStyle name="Input 5 5 7 3" xfId="20010" xr:uid="{00000000-0005-0000-0000-00008F380000}"/>
    <cellStyle name="Input 5 5 8" xfId="8379" xr:uid="{00000000-0005-0000-0000-000090380000}"/>
    <cellStyle name="Input 5 5 8 2" xfId="26802" xr:uid="{00000000-0005-0000-0000-000091380000}"/>
    <cellStyle name="Input 5 5 8 3" xfId="21670" xr:uid="{00000000-0005-0000-0000-000092380000}"/>
    <cellStyle name="Input 5 5 9" xfId="3871" xr:uid="{00000000-0005-0000-0000-000093380000}"/>
    <cellStyle name="Input 5 5 9 2" xfId="22338" xr:uid="{00000000-0005-0000-0000-000094380000}"/>
    <cellStyle name="Input 5 5 9 3" xfId="17553" xr:uid="{00000000-0005-0000-0000-000095380000}"/>
    <cellStyle name="Input 5 6" xfId="2175" xr:uid="{00000000-0005-0000-0000-000096380000}"/>
    <cellStyle name="Input 5 6 10" xfId="14698" xr:uid="{00000000-0005-0000-0000-000097380000}"/>
    <cellStyle name="Input 5 6 10 2" xfId="36180" xr:uid="{00000000-0005-0000-0000-000098380000}"/>
    <cellStyle name="Input 5 6 10 3" xfId="16867" xr:uid="{00000000-0005-0000-0000-000099380000}"/>
    <cellStyle name="Input 5 6 11" xfId="14589" xr:uid="{00000000-0005-0000-0000-00009A380000}"/>
    <cellStyle name="Input 5 6 11 2" xfId="36101" xr:uid="{00000000-0005-0000-0000-00009B380000}"/>
    <cellStyle name="Input 5 6 12" xfId="31262" xr:uid="{00000000-0005-0000-0000-00009C380000}"/>
    <cellStyle name="Input 5 6 2" xfId="3432" xr:uid="{00000000-0005-0000-0000-00009D380000}"/>
    <cellStyle name="Input 5 6 2 10" xfId="14847" xr:uid="{00000000-0005-0000-0000-00009E380000}"/>
    <cellStyle name="Input 5 6 2 10 2" xfId="36295" xr:uid="{00000000-0005-0000-0000-00009F380000}"/>
    <cellStyle name="Input 5 6 2 11" xfId="31492" xr:uid="{00000000-0005-0000-0000-0000A0380000}"/>
    <cellStyle name="Input 5 6 2 2" xfId="5568" xr:uid="{00000000-0005-0000-0000-0000A1380000}"/>
    <cellStyle name="Input 5 6 2 2 2" xfId="24021" xr:uid="{00000000-0005-0000-0000-0000A2380000}"/>
    <cellStyle name="Input 5 6 2 2 3" xfId="19156" xr:uid="{00000000-0005-0000-0000-0000A3380000}"/>
    <cellStyle name="Input 5 6 2 3" xfId="5090" xr:uid="{00000000-0005-0000-0000-0000A4380000}"/>
    <cellStyle name="Input 5 6 2 3 2" xfId="23550" xr:uid="{00000000-0005-0000-0000-0000A5380000}"/>
    <cellStyle name="Input 5 6 2 3 3" xfId="18704" xr:uid="{00000000-0005-0000-0000-0000A6380000}"/>
    <cellStyle name="Input 5 6 2 4" xfId="6045" xr:uid="{00000000-0005-0000-0000-0000A7380000}"/>
    <cellStyle name="Input 5 6 2 4 2" xfId="24486" xr:uid="{00000000-0005-0000-0000-0000A8380000}"/>
    <cellStyle name="Input 5 6 2 4 3" xfId="19595" xr:uid="{00000000-0005-0000-0000-0000A9380000}"/>
    <cellStyle name="Input 5 6 2 5" xfId="7604" xr:uid="{00000000-0005-0000-0000-0000AA380000}"/>
    <cellStyle name="Input 5 6 2 5 2" xfId="26034" xr:uid="{00000000-0005-0000-0000-0000AB380000}"/>
    <cellStyle name="Input 5 6 2 5 3" xfId="20959" xr:uid="{00000000-0005-0000-0000-0000AC380000}"/>
    <cellStyle name="Input 5 6 2 6" xfId="7977" xr:uid="{00000000-0005-0000-0000-0000AD380000}"/>
    <cellStyle name="Input 5 6 2 6 2" xfId="26407" xr:uid="{00000000-0005-0000-0000-0000AE380000}"/>
    <cellStyle name="Input 5 6 2 6 3" xfId="21331" xr:uid="{00000000-0005-0000-0000-0000AF380000}"/>
    <cellStyle name="Input 5 6 2 7" xfId="8701" xr:uid="{00000000-0005-0000-0000-0000B0380000}"/>
    <cellStyle name="Input 5 6 2 7 2" xfId="27121" xr:uid="{00000000-0005-0000-0000-0000B1380000}"/>
    <cellStyle name="Input 5 6 2 7 3" xfId="21992" xr:uid="{00000000-0005-0000-0000-0000B2380000}"/>
    <cellStyle name="Input 5 6 2 8" xfId="4193" xr:uid="{00000000-0005-0000-0000-0000B3380000}"/>
    <cellStyle name="Input 5 6 2 8 2" xfId="22657" xr:uid="{00000000-0005-0000-0000-0000B4380000}"/>
    <cellStyle name="Input 5 6 2 8 3" xfId="17875" xr:uid="{00000000-0005-0000-0000-0000B5380000}"/>
    <cellStyle name="Input 5 6 2 9" xfId="14512" xr:uid="{00000000-0005-0000-0000-0000B6380000}"/>
    <cellStyle name="Input 5 6 2 9 2" xfId="36040" xr:uid="{00000000-0005-0000-0000-0000B7380000}"/>
    <cellStyle name="Input 5 6 2 9 3" xfId="17202" xr:uid="{00000000-0005-0000-0000-0000B8380000}"/>
    <cellStyle name="Input 5 6 3" xfId="4810" xr:uid="{00000000-0005-0000-0000-0000B9380000}"/>
    <cellStyle name="Input 5 6 3 2" xfId="23270" xr:uid="{00000000-0005-0000-0000-0000BA380000}"/>
    <cellStyle name="Input 5 6 3 3" xfId="18425" xr:uid="{00000000-0005-0000-0000-0000BB380000}"/>
    <cellStyle name="Input 5 6 4" xfId="5902" xr:uid="{00000000-0005-0000-0000-0000BC380000}"/>
    <cellStyle name="Input 5 6 4 2" xfId="24348" xr:uid="{00000000-0005-0000-0000-0000BD380000}"/>
    <cellStyle name="Input 5 6 4 3" xfId="19455" xr:uid="{00000000-0005-0000-0000-0000BE380000}"/>
    <cellStyle name="Input 5 6 5" xfId="6496" xr:uid="{00000000-0005-0000-0000-0000BF380000}"/>
    <cellStyle name="Input 5 6 5 2" xfId="24936" xr:uid="{00000000-0005-0000-0000-0000C0380000}"/>
    <cellStyle name="Input 5 6 5 3" xfId="20045" xr:uid="{00000000-0005-0000-0000-0000C1380000}"/>
    <cellStyle name="Input 5 6 6" xfId="6991" xr:uid="{00000000-0005-0000-0000-0000C2380000}"/>
    <cellStyle name="Input 5 6 6 2" xfId="25429" xr:uid="{00000000-0005-0000-0000-0000C3380000}"/>
    <cellStyle name="Input 5 6 6 3" xfId="20372" xr:uid="{00000000-0005-0000-0000-0000C4380000}"/>
    <cellStyle name="Input 5 6 7" xfId="6460" xr:uid="{00000000-0005-0000-0000-0000C5380000}"/>
    <cellStyle name="Input 5 6 7 2" xfId="24900" xr:uid="{00000000-0005-0000-0000-0000C6380000}"/>
    <cellStyle name="Input 5 6 7 3" xfId="20009" xr:uid="{00000000-0005-0000-0000-0000C7380000}"/>
    <cellStyle name="Input 5 6 8" xfId="8380" xr:uid="{00000000-0005-0000-0000-0000C8380000}"/>
    <cellStyle name="Input 5 6 8 2" xfId="26803" xr:uid="{00000000-0005-0000-0000-0000C9380000}"/>
    <cellStyle name="Input 5 6 8 3" xfId="21671" xr:uid="{00000000-0005-0000-0000-0000CA380000}"/>
    <cellStyle name="Input 5 6 9" xfId="3872" xr:uid="{00000000-0005-0000-0000-0000CB380000}"/>
    <cellStyle name="Input 5 6 9 2" xfId="22339" xr:uid="{00000000-0005-0000-0000-0000CC380000}"/>
    <cellStyle name="Input 5 6 9 3" xfId="17554" xr:uid="{00000000-0005-0000-0000-0000CD380000}"/>
    <cellStyle name="Input 5 7" xfId="2176" xr:uid="{00000000-0005-0000-0000-0000CE380000}"/>
    <cellStyle name="Input 5 7 10" xfId="14513" xr:uid="{00000000-0005-0000-0000-0000CF380000}"/>
    <cellStyle name="Input 5 7 10 2" xfId="36041" xr:uid="{00000000-0005-0000-0000-0000D0380000}"/>
    <cellStyle name="Input 5 7 10 3" xfId="16868" xr:uid="{00000000-0005-0000-0000-0000D1380000}"/>
    <cellStyle name="Input 5 7 11" xfId="14560" xr:uid="{00000000-0005-0000-0000-0000D2380000}"/>
    <cellStyle name="Input 5 7 11 2" xfId="36081" xr:uid="{00000000-0005-0000-0000-0000D3380000}"/>
    <cellStyle name="Input 5 7 12" xfId="31263" xr:uid="{00000000-0005-0000-0000-0000D4380000}"/>
    <cellStyle name="Input 5 7 2" xfId="3433" xr:uid="{00000000-0005-0000-0000-0000D5380000}"/>
    <cellStyle name="Input 5 7 2 10" xfId="15340" xr:uid="{00000000-0005-0000-0000-0000D6380000}"/>
    <cellStyle name="Input 5 7 2 10 2" xfId="36727" xr:uid="{00000000-0005-0000-0000-0000D7380000}"/>
    <cellStyle name="Input 5 7 2 11" xfId="31493" xr:uid="{00000000-0005-0000-0000-0000D8380000}"/>
    <cellStyle name="Input 5 7 2 2" xfId="5569" xr:uid="{00000000-0005-0000-0000-0000D9380000}"/>
    <cellStyle name="Input 5 7 2 2 2" xfId="24022" xr:uid="{00000000-0005-0000-0000-0000DA380000}"/>
    <cellStyle name="Input 5 7 2 2 3" xfId="19157" xr:uid="{00000000-0005-0000-0000-0000DB380000}"/>
    <cellStyle name="Input 5 7 2 3" xfId="5091" xr:uid="{00000000-0005-0000-0000-0000DC380000}"/>
    <cellStyle name="Input 5 7 2 3 2" xfId="23551" xr:uid="{00000000-0005-0000-0000-0000DD380000}"/>
    <cellStyle name="Input 5 7 2 3 3" xfId="18705" xr:uid="{00000000-0005-0000-0000-0000DE380000}"/>
    <cellStyle name="Input 5 7 2 4" xfId="6044" xr:uid="{00000000-0005-0000-0000-0000DF380000}"/>
    <cellStyle name="Input 5 7 2 4 2" xfId="24485" xr:uid="{00000000-0005-0000-0000-0000E0380000}"/>
    <cellStyle name="Input 5 7 2 4 3" xfId="19594" xr:uid="{00000000-0005-0000-0000-0000E1380000}"/>
    <cellStyle name="Input 5 7 2 5" xfId="7605" xr:uid="{00000000-0005-0000-0000-0000E2380000}"/>
    <cellStyle name="Input 5 7 2 5 2" xfId="26035" xr:uid="{00000000-0005-0000-0000-0000E3380000}"/>
    <cellStyle name="Input 5 7 2 5 3" xfId="20960" xr:uid="{00000000-0005-0000-0000-0000E4380000}"/>
    <cellStyle name="Input 5 7 2 6" xfId="7978" xr:uid="{00000000-0005-0000-0000-0000E5380000}"/>
    <cellStyle name="Input 5 7 2 6 2" xfId="26408" xr:uid="{00000000-0005-0000-0000-0000E6380000}"/>
    <cellStyle name="Input 5 7 2 6 3" xfId="21332" xr:uid="{00000000-0005-0000-0000-0000E7380000}"/>
    <cellStyle name="Input 5 7 2 7" xfId="8702" xr:uid="{00000000-0005-0000-0000-0000E8380000}"/>
    <cellStyle name="Input 5 7 2 7 2" xfId="27122" xr:uid="{00000000-0005-0000-0000-0000E9380000}"/>
    <cellStyle name="Input 5 7 2 7 3" xfId="21993" xr:uid="{00000000-0005-0000-0000-0000EA380000}"/>
    <cellStyle name="Input 5 7 2 8" xfId="4194" xr:uid="{00000000-0005-0000-0000-0000EB380000}"/>
    <cellStyle name="Input 5 7 2 8 2" xfId="22658" xr:uid="{00000000-0005-0000-0000-0000EC380000}"/>
    <cellStyle name="Input 5 7 2 8 3" xfId="17876" xr:uid="{00000000-0005-0000-0000-0000ED380000}"/>
    <cellStyle name="Input 5 7 2 9" xfId="15160" xr:uid="{00000000-0005-0000-0000-0000EE380000}"/>
    <cellStyle name="Input 5 7 2 9 2" xfId="36571" xr:uid="{00000000-0005-0000-0000-0000EF380000}"/>
    <cellStyle name="Input 5 7 2 9 3" xfId="17203" xr:uid="{00000000-0005-0000-0000-0000F0380000}"/>
    <cellStyle name="Input 5 7 3" xfId="4811" xr:uid="{00000000-0005-0000-0000-0000F1380000}"/>
    <cellStyle name="Input 5 7 3 2" xfId="23271" xr:uid="{00000000-0005-0000-0000-0000F2380000}"/>
    <cellStyle name="Input 5 7 3 3" xfId="18426" xr:uid="{00000000-0005-0000-0000-0000F3380000}"/>
    <cellStyle name="Input 5 7 4" xfId="5377" xr:uid="{00000000-0005-0000-0000-0000F4380000}"/>
    <cellStyle name="Input 5 7 4 2" xfId="23831" xr:uid="{00000000-0005-0000-0000-0000F5380000}"/>
    <cellStyle name="Input 5 7 4 3" xfId="18974" xr:uid="{00000000-0005-0000-0000-0000F6380000}"/>
    <cellStyle name="Input 5 7 5" xfId="6495" xr:uid="{00000000-0005-0000-0000-0000F7380000}"/>
    <cellStyle name="Input 5 7 5 2" xfId="24935" xr:uid="{00000000-0005-0000-0000-0000F8380000}"/>
    <cellStyle name="Input 5 7 5 3" xfId="20044" xr:uid="{00000000-0005-0000-0000-0000F9380000}"/>
    <cellStyle name="Input 5 7 6" xfId="6992" xr:uid="{00000000-0005-0000-0000-0000FA380000}"/>
    <cellStyle name="Input 5 7 6 2" xfId="25430" xr:uid="{00000000-0005-0000-0000-0000FB380000}"/>
    <cellStyle name="Input 5 7 6 3" xfId="20373" xr:uid="{00000000-0005-0000-0000-0000FC380000}"/>
    <cellStyle name="Input 5 7 7" xfId="6459" xr:uid="{00000000-0005-0000-0000-0000FD380000}"/>
    <cellStyle name="Input 5 7 7 2" xfId="24899" xr:uid="{00000000-0005-0000-0000-0000FE380000}"/>
    <cellStyle name="Input 5 7 7 3" xfId="20008" xr:uid="{00000000-0005-0000-0000-0000FF380000}"/>
    <cellStyle name="Input 5 7 8" xfId="8381" xr:uid="{00000000-0005-0000-0000-000000390000}"/>
    <cellStyle name="Input 5 7 8 2" xfId="26804" xr:uid="{00000000-0005-0000-0000-000001390000}"/>
    <cellStyle name="Input 5 7 8 3" xfId="21672" xr:uid="{00000000-0005-0000-0000-000002390000}"/>
    <cellStyle name="Input 5 7 9" xfId="3873" xr:uid="{00000000-0005-0000-0000-000003390000}"/>
    <cellStyle name="Input 5 7 9 2" xfId="22340" xr:uid="{00000000-0005-0000-0000-000004390000}"/>
    <cellStyle name="Input 5 7 9 3" xfId="17555" xr:uid="{00000000-0005-0000-0000-000005390000}"/>
    <cellStyle name="Input 5 8" xfId="2177" xr:uid="{00000000-0005-0000-0000-000006390000}"/>
    <cellStyle name="Input 5 8 10" xfId="14514" xr:uid="{00000000-0005-0000-0000-000007390000}"/>
    <cellStyle name="Input 5 8 10 2" xfId="36042" xr:uid="{00000000-0005-0000-0000-000008390000}"/>
    <cellStyle name="Input 5 8 10 3" xfId="16869" xr:uid="{00000000-0005-0000-0000-000009390000}"/>
    <cellStyle name="Input 5 8 11" xfId="15573" xr:uid="{00000000-0005-0000-0000-00000A390000}"/>
    <cellStyle name="Input 5 8 11 2" xfId="36950" xr:uid="{00000000-0005-0000-0000-00000B390000}"/>
    <cellStyle name="Input 5 8 12" xfId="31264" xr:uid="{00000000-0005-0000-0000-00000C390000}"/>
    <cellStyle name="Input 5 8 2" xfId="3434" xr:uid="{00000000-0005-0000-0000-00000D390000}"/>
    <cellStyle name="Input 5 8 2 10" xfId="14964" xr:uid="{00000000-0005-0000-0000-00000E390000}"/>
    <cellStyle name="Input 5 8 2 10 2" xfId="36397" xr:uid="{00000000-0005-0000-0000-00000F390000}"/>
    <cellStyle name="Input 5 8 2 11" xfId="31494" xr:uid="{00000000-0005-0000-0000-000010390000}"/>
    <cellStyle name="Input 5 8 2 2" xfId="5570" xr:uid="{00000000-0005-0000-0000-000011390000}"/>
    <cellStyle name="Input 5 8 2 2 2" xfId="24023" xr:uid="{00000000-0005-0000-0000-000012390000}"/>
    <cellStyle name="Input 5 8 2 2 3" xfId="19158" xr:uid="{00000000-0005-0000-0000-000013390000}"/>
    <cellStyle name="Input 5 8 2 3" xfId="5092" xr:uid="{00000000-0005-0000-0000-000014390000}"/>
    <cellStyle name="Input 5 8 2 3 2" xfId="23552" xr:uid="{00000000-0005-0000-0000-000015390000}"/>
    <cellStyle name="Input 5 8 2 3 3" xfId="18706" xr:uid="{00000000-0005-0000-0000-000016390000}"/>
    <cellStyle name="Input 5 8 2 4" xfId="6043" xr:uid="{00000000-0005-0000-0000-000017390000}"/>
    <cellStyle name="Input 5 8 2 4 2" xfId="24484" xr:uid="{00000000-0005-0000-0000-000018390000}"/>
    <cellStyle name="Input 5 8 2 4 3" xfId="19593" xr:uid="{00000000-0005-0000-0000-000019390000}"/>
    <cellStyle name="Input 5 8 2 5" xfId="7606" xr:uid="{00000000-0005-0000-0000-00001A390000}"/>
    <cellStyle name="Input 5 8 2 5 2" xfId="26036" xr:uid="{00000000-0005-0000-0000-00001B390000}"/>
    <cellStyle name="Input 5 8 2 5 3" xfId="20961" xr:uid="{00000000-0005-0000-0000-00001C390000}"/>
    <cellStyle name="Input 5 8 2 6" xfId="7979" xr:uid="{00000000-0005-0000-0000-00001D390000}"/>
    <cellStyle name="Input 5 8 2 6 2" xfId="26409" xr:uid="{00000000-0005-0000-0000-00001E390000}"/>
    <cellStyle name="Input 5 8 2 6 3" xfId="21333" xr:uid="{00000000-0005-0000-0000-00001F390000}"/>
    <cellStyle name="Input 5 8 2 7" xfId="8703" xr:uid="{00000000-0005-0000-0000-000020390000}"/>
    <cellStyle name="Input 5 8 2 7 2" xfId="27123" xr:uid="{00000000-0005-0000-0000-000021390000}"/>
    <cellStyle name="Input 5 8 2 7 3" xfId="21994" xr:uid="{00000000-0005-0000-0000-000022390000}"/>
    <cellStyle name="Input 5 8 2 8" xfId="4195" xr:uid="{00000000-0005-0000-0000-000023390000}"/>
    <cellStyle name="Input 5 8 2 8 2" xfId="22659" xr:uid="{00000000-0005-0000-0000-000024390000}"/>
    <cellStyle name="Input 5 8 2 8 3" xfId="17877" xr:uid="{00000000-0005-0000-0000-000025390000}"/>
    <cellStyle name="Input 5 8 2 9" xfId="15161" xr:uid="{00000000-0005-0000-0000-000026390000}"/>
    <cellStyle name="Input 5 8 2 9 2" xfId="36572" xr:uid="{00000000-0005-0000-0000-000027390000}"/>
    <cellStyle name="Input 5 8 2 9 3" xfId="17204" xr:uid="{00000000-0005-0000-0000-000028390000}"/>
    <cellStyle name="Input 5 8 3" xfId="4812" xr:uid="{00000000-0005-0000-0000-000029390000}"/>
    <cellStyle name="Input 5 8 3 2" xfId="23272" xr:uid="{00000000-0005-0000-0000-00002A390000}"/>
    <cellStyle name="Input 5 8 3 3" xfId="18427" xr:uid="{00000000-0005-0000-0000-00002B390000}"/>
    <cellStyle name="Input 5 8 4" xfId="4575" xr:uid="{00000000-0005-0000-0000-00002C390000}"/>
    <cellStyle name="Input 5 8 4 2" xfId="23035" xr:uid="{00000000-0005-0000-0000-00002D390000}"/>
    <cellStyle name="Input 5 8 4 3" xfId="18252" xr:uid="{00000000-0005-0000-0000-00002E390000}"/>
    <cellStyle name="Input 5 8 5" xfId="6494" xr:uid="{00000000-0005-0000-0000-00002F390000}"/>
    <cellStyle name="Input 5 8 5 2" xfId="24934" xr:uid="{00000000-0005-0000-0000-000030390000}"/>
    <cellStyle name="Input 5 8 5 3" xfId="20043" xr:uid="{00000000-0005-0000-0000-000031390000}"/>
    <cellStyle name="Input 5 8 6" xfId="6993" xr:uid="{00000000-0005-0000-0000-000032390000}"/>
    <cellStyle name="Input 5 8 6 2" xfId="25431" xr:uid="{00000000-0005-0000-0000-000033390000}"/>
    <cellStyle name="Input 5 8 6 3" xfId="20374" xr:uid="{00000000-0005-0000-0000-000034390000}"/>
    <cellStyle name="Input 5 8 7" xfId="6458" xr:uid="{00000000-0005-0000-0000-000035390000}"/>
    <cellStyle name="Input 5 8 7 2" xfId="24898" xr:uid="{00000000-0005-0000-0000-000036390000}"/>
    <cellStyle name="Input 5 8 7 3" xfId="20007" xr:uid="{00000000-0005-0000-0000-000037390000}"/>
    <cellStyle name="Input 5 8 8" xfId="8382" xr:uid="{00000000-0005-0000-0000-000038390000}"/>
    <cellStyle name="Input 5 8 8 2" xfId="26805" xr:uid="{00000000-0005-0000-0000-000039390000}"/>
    <cellStyle name="Input 5 8 8 3" xfId="21673" xr:uid="{00000000-0005-0000-0000-00003A390000}"/>
    <cellStyle name="Input 5 8 9" xfId="3874" xr:uid="{00000000-0005-0000-0000-00003B390000}"/>
    <cellStyle name="Input 5 8 9 2" xfId="22341" xr:uid="{00000000-0005-0000-0000-00003C390000}"/>
    <cellStyle name="Input 5 8 9 3" xfId="17556" xr:uid="{00000000-0005-0000-0000-00003D390000}"/>
    <cellStyle name="Input 5 9" xfId="2178" xr:uid="{00000000-0005-0000-0000-00003E390000}"/>
    <cellStyle name="Input 5 9 10" xfId="15162" xr:uid="{00000000-0005-0000-0000-00003F390000}"/>
    <cellStyle name="Input 5 9 10 2" xfId="36573" xr:uid="{00000000-0005-0000-0000-000040390000}"/>
    <cellStyle name="Input 5 9 10 3" xfId="16870" xr:uid="{00000000-0005-0000-0000-000041390000}"/>
    <cellStyle name="Input 5 9 11" xfId="15251" xr:uid="{00000000-0005-0000-0000-000042390000}"/>
    <cellStyle name="Input 5 9 11 2" xfId="36657" xr:uid="{00000000-0005-0000-0000-000043390000}"/>
    <cellStyle name="Input 5 9 12" xfId="31265" xr:uid="{00000000-0005-0000-0000-000044390000}"/>
    <cellStyle name="Input 5 9 2" xfId="3435" xr:uid="{00000000-0005-0000-0000-000045390000}"/>
    <cellStyle name="Input 5 9 2 10" xfId="15303" xr:uid="{00000000-0005-0000-0000-000046390000}"/>
    <cellStyle name="Input 5 9 2 10 2" xfId="36696" xr:uid="{00000000-0005-0000-0000-000047390000}"/>
    <cellStyle name="Input 5 9 2 11" xfId="31495" xr:uid="{00000000-0005-0000-0000-000048390000}"/>
    <cellStyle name="Input 5 9 2 2" xfId="5571" xr:uid="{00000000-0005-0000-0000-000049390000}"/>
    <cellStyle name="Input 5 9 2 2 2" xfId="24024" xr:uid="{00000000-0005-0000-0000-00004A390000}"/>
    <cellStyle name="Input 5 9 2 2 3" xfId="19159" xr:uid="{00000000-0005-0000-0000-00004B390000}"/>
    <cellStyle name="Input 5 9 2 3" xfId="5093" xr:uid="{00000000-0005-0000-0000-00004C390000}"/>
    <cellStyle name="Input 5 9 2 3 2" xfId="23553" xr:uid="{00000000-0005-0000-0000-00004D390000}"/>
    <cellStyle name="Input 5 9 2 3 3" xfId="18707" xr:uid="{00000000-0005-0000-0000-00004E390000}"/>
    <cellStyle name="Input 5 9 2 4" xfId="6042" xr:uid="{00000000-0005-0000-0000-00004F390000}"/>
    <cellStyle name="Input 5 9 2 4 2" xfId="24483" xr:uid="{00000000-0005-0000-0000-000050390000}"/>
    <cellStyle name="Input 5 9 2 4 3" xfId="19592" xr:uid="{00000000-0005-0000-0000-000051390000}"/>
    <cellStyle name="Input 5 9 2 5" xfId="7607" xr:uid="{00000000-0005-0000-0000-000052390000}"/>
    <cellStyle name="Input 5 9 2 5 2" xfId="26037" xr:uid="{00000000-0005-0000-0000-000053390000}"/>
    <cellStyle name="Input 5 9 2 5 3" xfId="20962" xr:uid="{00000000-0005-0000-0000-000054390000}"/>
    <cellStyle name="Input 5 9 2 6" xfId="7980" xr:uid="{00000000-0005-0000-0000-000055390000}"/>
    <cellStyle name="Input 5 9 2 6 2" xfId="26410" xr:uid="{00000000-0005-0000-0000-000056390000}"/>
    <cellStyle name="Input 5 9 2 6 3" xfId="21334" xr:uid="{00000000-0005-0000-0000-000057390000}"/>
    <cellStyle name="Input 5 9 2 7" xfId="8704" xr:uid="{00000000-0005-0000-0000-000058390000}"/>
    <cellStyle name="Input 5 9 2 7 2" xfId="27124" xr:uid="{00000000-0005-0000-0000-000059390000}"/>
    <cellStyle name="Input 5 9 2 7 3" xfId="21995" xr:uid="{00000000-0005-0000-0000-00005A390000}"/>
    <cellStyle name="Input 5 9 2 8" xfId="4196" xr:uid="{00000000-0005-0000-0000-00005B390000}"/>
    <cellStyle name="Input 5 9 2 8 2" xfId="22660" xr:uid="{00000000-0005-0000-0000-00005C390000}"/>
    <cellStyle name="Input 5 9 2 8 3" xfId="17878" xr:uid="{00000000-0005-0000-0000-00005D390000}"/>
    <cellStyle name="Input 5 9 2 9" xfId="15737" xr:uid="{00000000-0005-0000-0000-00005E390000}"/>
    <cellStyle name="Input 5 9 2 9 2" xfId="37102" xr:uid="{00000000-0005-0000-0000-00005F390000}"/>
    <cellStyle name="Input 5 9 2 9 3" xfId="17205" xr:uid="{00000000-0005-0000-0000-000060390000}"/>
    <cellStyle name="Input 5 9 3" xfId="4813" xr:uid="{00000000-0005-0000-0000-000061390000}"/>
    <cellStyle name="Input 5 9 3 2" xfId="23273" xr:uid="{00000000-0005-0000-0000-000062390000}"/>
    <cellStyle name="Input 5 9 3 3" xfId="18428" xr:uid="{00000000-0005-0000-0000-000063390000}"/>
    <cellStyle name="Input 5 9 4" xfId="4576" xr:uid="{00000000-0005-0000-0000-000064390000}"/>
    <cellStyle name="Input 5 9 4 2" xfId="23036" xr:uid="{00000000-0005-0000-0000-000065390000}"/>
    <cellStyle name="Input 5 9 4 3" xfId="18253" xr:uid="{00000000-0005-0000-0000-000066390000}"/>
    <cellStyle name="Input 5 9 5" xfId="6493" xr:uid="{00000000-0005-0000-0000-000067390000}"/>
    <cellStyle name="Input 5 9 5 2" xfId="24933" xr:uid="{00000000-0005-0000-0000-000068390000}"/>
    <cellStyle name="Input 5 9 5 3" xfId="20042" xr:uid="{00000000-0005-0000-0000-000069390000}"/>
    <cellStyle name="Input 5 9 6" xfId="6994" xr:uid="{00000000-0005-0000-0000-00006A390000}"/>
    <cellStyle name="Input 5 9 6 2" xfId="25432" xr:uid="{00000000-0005-0000-0000-00006B390000}"/>
    <cellStyle name="Input 5 9 6 3" xfId="20375" xr:uid="{00000000-0005-0000-0000-00006C390000}"/>
    <cellStyle name="Input 5 9 7" xfId="6457" xr:uid="{00000000-0005-0000-0000-00006D390000}"/>
    <cellStyle name="Input 5 9 7 2" xfId="24897" xr:uid="{00000000-0005-0000-0000-00006E390000}"/>
    <cellStyle name="Input 5 9 7 3" xfId="20006" xr:uid="{00000000-0005-0000-0000-00006F390000}"/>
    <cellStyle name="Input 5 9 8" xfId="8383" xr:uid="{00000000-0005-0000-0000-000070390000}"/>
    <cellStyle name="Input 5 9 8 2" xfId="26806" xr:uid="{00000000-0005-0000-0000-000071390000}"/>
    <cellStyle name="Input 5 9 8 3" xfId="21674" xr:uid="{00000000-0005-0000-0000-000072390000}"/>
    <cellStyle name="Input 5 9 9" xfId="3875" xr:uid="{00000000-0005-0000-0000-000073390000}"/>
    <cellStyle name="Input 5 9 9 2" xfId="22342" xr:uid="{00000000-0005-0000-0000-000074390000}"/>
    <cellStyle name="Input 5 9 9 3" xfId="17557" xr:uid="{00000000-0005-0000-0000-000075390000}"/>
    <cellStyle name="Input 6" xfId="2179" xr:uid="{00000000-0005-0000-0000-000076390000}"/>
    <cellStyle name="Input 6 10" xfId="2180" xr:uid="{00000000-0005-0000-0000-000077390000}"/>
    <cellStyle name="Input 6 10 10" xfId="14819" xr:uid="{00000000-0005-0000-0000-000078390000}"/>
    <cellStyle name="Input 6 10 10 2" xfId="36274" xr:uid="{00000000-0005-0000-0000-000079390000}"/>
    <cellStyle name="Input 6 10 10 3" xfId="16872" xr:uid="{00000000-0005-0000-0000-00007A390000}"/>
    <cellStyle name="Input 6 10 11" xfId="16079" xr:uid="{00000000-0005-0000-0000-00007B390000}"/>
    <cellStyle name="Input 6 10 11 2" xfId="37401" xr:uid="{00000000-0005-0000-0000-00007C390000}"/>
    <cellStyle name="Input 6 10 12" xfId="31267" xr:uid="{00000000-0005-0000-0000-00007D390000}"/>
    <cellStyle name="Input 6 10 2" xfId="3437" xr:uid="{00000000-0005-0000-0000-00007E390000}"/>
    <cellStyle name="Input 6 10 2 10" xfId="15595" xr:uid="{00000000-0005-0000-0000-00007F390000}"/>
    <cellStyle name="Input 6 10 2 10 2" xfId="36972" xr:uid="{00000000-0005-0000-0000-000080390000}"/>
    <cellStyle name="Input 6 10 2 11" xfId="31497" xr:uid="{00000000-0005-0000-0000-000081390000}"/>
    <cellStyle name="Input 6 10 2 2" xfId="5573" xr:uid="{00000000-0005-0000-0000-000082390000}"/>
    <cellStyle name="Input 6 10 2 2 2" xfId="24026" xr:uid="{00000000-0005-0000-0000-000083390000}"/>
    <cellStyle name="Input 6 10 2 2 3" xfId="19161" xr:uid="{00000000-0005-0000-0000-000084390000}"/>
    <cellStyle name="Input 6 10 2 3" xfId="5095" xr:uid="{00000000-0005-0000-0000-000085390000}"/>
    <cellStyle name="Input 6 10 2 3 2" xfId="23555" xr:uid="{00000000-0005-0000-0000-000086390000}"/>
    <cellStyle name="Input 6 10 2 3 3" xfId="18709" xr:uid="{00000000-0005-0000-0000-000087390000}"/>
    <cellStyle name="Input 6 10 2 4" xfId="6040" xr:uid="{00000000-0005-0000-0000-000088390000}"/>
    <cellStyle name="Input 6 10 2 4 2" xfId="24481" xr:uid="{00000000-0005-0000-0000-000089390000}"/>
    <cellStyle name="Input 6 10 2 4 3" xfId="19590" xr:uid="{00000000-0005-0000-0000-00008A390000}"/>
    <cellStyle name="Input 6 10 2 5" xfId="7609" xr:uid="{00000000-0005-0000-0000-00008B390000}"/>
    <cellStyle name="Input 6 10 2 5 2" xfId="26039" xr:uid="{00000000-0005-0000-0000-00008C390000}"/>
    <cellStyle name="Input 6 10 2 5 3" xfId="20964" xr:uid="{00000000-0005-0000-0000-00008D390000}"/>
    <cellStyle name="Input 6 10 2 6" xfId="7982" xr:uid="{00000000-0005-0000-0000-00008E390000}"/>
    <cellStyle name="Input 6 10 2 6 2" xfId="26412" xr:uid="{00000000-0005-0000-0000-00008F390000}"/>
    <cellStyle name="Input 6 10 2 6 3" xfId="21336" xr:uid="{00000000-0005-0000-0000-000090390000}"/>
    <cellStyle name="Input 6 10 2 7" xfId="8706" xr:uid="{00000000-0005-0000-0000-000091390000}"/>
    <cellStyle name="Input 6 10 2 7 2" xfId="27126" xr:uid="{00000000-0005-0000-0000-000092390000}"/>
    <cellStyle name="Input 6 10 2 7 3" xfId="21997" xr:uid="{00000000-0005-0000-0000-000093390000}"/>
    <cellStyle name="Input 6 10 2 8" xfId="4198" xr:uid="{00000000-0005-0000-0000-000094390000}"/>
    <cellStyle name="Input 6 10 2 8 2" xfId="22662" xr:uid="{00000000-0005-0000-0000-000095390000}"/>
    <cellStyle name="Input 6 10 2 8 3" xfId="17880" xr:uid="{00000000-0005-0000-0000-000096390000}"/>
    <cellStyle name="Input 6 10 2 9" xfId="14515" xr:uid="{00000000-0005-0000-0000-000097390000}"/>
    <cellStyle name="Input 6 10 2 9 2" xfId="36043" xr:uid="{00000000-0005-0000-0000-000098390000}"/>
    <cellStyle name="Input 6 10 2 9 3" xfId="17207" xr:uid="{00000000-0005-0000-0000-000099390000}"/>
    <cellStyle name="Input 6 10 3" xfId="4815" xr:uid="{00000000-0005-0000-0000-00009A390000}"/>
    <cellStyle name="Input 6 10 3 2" xfId="23275" xr:uid="{00000000-0005-0000-0000-00009B390000}"/>
    <cellStyle name="Input 6 10 3 3" xfId="18430" xr:uid="{00000000-0005-0000-0000-00009C390000}"/>
    <cellStyle name="Input 6 10 4" xfId="4578" xr:uid="{00000000-0005-0000-0000-00009D390000}"/>
    <cellStyle name="Input 6 10 4 2" xfId="23038" xr:uid="{00000000-0005-0000-0000-00009E390000}"/>
    <cellStyle name="Input 6 10 4 3" xfId="18255" xr:uid="{00000000-0005-0000-0000-00009F390000}"/>
    <cellStyle name="Input 6 10 5" xfId="6491" xr:uid="{00000000-0005-0000-0000-0000A0390000}"/>
    <cellStyle name="Input 6 10 5 2" xfId="24931" xr:uid="{00000000-0005-0000-0000-0000A1390000}"/>
    <cellStyle name="Input 6 10 5 3" xfId="20040" xr:uid="{00000000-0005-0000-0000-0000A2390000}"/>
    <cellStyle name="Input 6 10 6" xfId="6996" xr:uid="{00000000-0005-0000-0000-0000A3390000}"/>
    <cellStyle name="Input 6 10 6 2" xfId="25434" xr:uid="{00000000-0005-0000-0000-0000A4390000}"/>
    <cellStyle name="Input 6 10 6 3" xfId="20377" xr:uid="{00000000-0005-0000-0000-0000A5390000}"/>
    <cellStyle name="Input 6 10 7" xfId="6455" xr:uid="{00000000-0005-0000-0000-0000A6390000}"/>
    <cellStyle name="Input 6 10 7 2" xfId="24895" xr:uid="{00000000-0005-0000-0000-0000A7390000}"/>
    <cellStyle name="Input 6 10 7 3" xfId="20004" xr:uid="{00000000-0005-0000-0000-0000A8390000}"/>
    <cellStyle name="Input 6 10 8" xfId="8385" xr:uid="{00000000-0005-0000-0000-0000A9390000}"/>
    <cellStyle name="Input 6 10 8 2" xfId="26808" xr:uid="{00000000-0005-0000-0000-0000AA390000}"/>
    <cellStyle name="Input 6 10 8 3" xfId="21676" xr:uid="{00000000-0005-0000-0000-0000AB390000}"/>
    <cellStyle name="Input 6 10 9" xfId="3877" xr:uid="{00000000-0005-0000-0000-0000AC390000}"/>
    <cellStyle name="Input 6 10 9 2" xfId="22344" xr:uid="{00000000-0005-0000-0000-0000AD390000}"/>
    <cellStyle name="Input 6 10 9 3" xfId="17559" xr:uid="{00000000-0005-0000-0000-0000AE390000}"/>
    <cellStyle name="Input 6 11" xfId="2181" xr:uid="{00000000-0005-0000-0000-0000AF390000}"/>
    <cellStyle name="Input 6 11 10" xfId="15163" xr:uid="{00000000-0005-0000-0000-0000B0390000}"/>
    <cellStyle name="Input 6 11 10 2" xfId="36574" xr:uid="{00000000-0005-0000-0000-0000B1390000}"/>
    <cellStyle name="Input 6 11 10 3" xfId="16873" xr:uid="{00000000-0005-0000-0000-0000B2390000}"/>
    <cellStyle name="Input 6 11 11" xfId="16367" xr:uid="{00000000-0005-0000-0000-0000B3390000}"/>
    <cellStyle name="Input 6 11 11 2" xfId="37669" xr:uid="{00000000-0005-0000-0000-0000B4390000}"/>
    <cellStyle name="Input 6 11 12" xfId="31268" xr:uid="{00000000-0005-0000-0000-0000B5390000}"/>
    <cellStyle name="Input 6 11 2" xfId="3438" xr:uid="{00000000-0005-0000-0000-0000B6390000}"/>
    <cellStyle name="Input 6 11 2 10" xfId="15497" xr:uid="{00000000-0005-0000-0000-0000B7390000}"/>
    <cellStyle name="Input 6 11 2 10 2" xfId="36875" xr:uid="{00000000-0005-0000-0000-0000B8390000}"/>
    <cellStyle name="Input 6 11 2 11" xfId="31498" xr:uid="{00000000-0005-0000-0000-0000B9390000}"/>
    <cellStyle name="Input 6 11 2 2" xfId="5574" xr:uid="{00000000-0005-0000-0000-0000BA390000}"/>
    <cellStyle name="Input 6 11 2 2 2" xfId="24027" xr:uid="{00000000-0005-0000-0000-0000BB390000}"/>
    <cellStyle name="Input 6 11 2 2 3" xfId="19162" xr:uid="{00000000-0005-0000-0000-0000BC390000}"/>
    <cellStyle name="Input 6 11 2 3" xfId="5096" xr:uid="{00000000-0005-0000-0000-0000BD390000}"/>
    <cellStyle name="Input 6 11 2 3 2" xfId="23556" xr:uid="{00000000-0005-0000-0000-0000BE390000}"/>
    <cellStyle name="Input 6 11 2 3 3" xfId="18710" xr:uid="{00000000-0005-0000-0000-0000BF390000}"/>
    <cellStyle name="Input 6 11 2 4" xfId="6039" xr:uid="{00000000-0005-0000-0000-0000C0390000}"/>
    <cellStyle name="Input 6 11 2 4 2" xfId="24480" xr:uid="{00000000-0005-0000-0000-0000C1390000}"/>
    <cellStyle name="Input 6 11 2 4 3" xfId="19589" xr:uid="{00000000-0005-0000-0000-0000C2390000}"/>
    <cellStyle name="Input 6 11 2 5" xfId="7610" xr:uid="{00000000-0005-0000-0000-0000C3390000}"/>
    <cellStyle name="Input 6 11 2 5 2" xfId="26040" xr:uid="{00000000-0005-0000-0000-0000C4390000}"/>
    <cellStyle name="Input 6 11 2 5 3" xfId="20965" xr:uid="{00000000-0005-0000-0000-0000C5390000}"/>
    <cellStyle name="Input 6 11 2 6" xfId="7983" xr:uid="{00000000-0005-0000-0000-0000C6390000}"/>
    <cellStyle name="Input 6 11 2 6 2" xfId="26413" xr:uid="{00000000-0005-0000-0000-0000C7390000}"/>
    <cellStyle name="Input 6 11 2 6 3" xfId="21337" xr:uid="{00000000-0005-0000-0000-0000C8390000}"/>
    <cellStyle name="Input 6 11 2 7" xfId="8707" xr:uid="{00000000-0005-0000-0000-0000C9390000}"/>
    <cellStyle name="Input 6 11 2 7 2" xfId="27127" xr:uid="{00000000-0005-0000-0000-0000CA390000}"/>
    <cellStyle name="Input 6 11 2 7 3" xfId="21998" xr:uid="{00000000-0005-0000-0000-0000CB390000}"/>
    <cellStyle name="Input 6 11 2 8" xfId="4199" xr:uid="{00000000-0005-0000-0000-0000CC390000}"/>
    <cellStyle name="Input 6 11 2 8 2" xfId="22663" xr:uid="{00000000-0005-0000-0000-0000CD390000}"/>
    <cellStyle name="Input 6 11 2 8 3" xfId="17881" xr:uid="{00000000-0005-0000-0000-0000CE390000}"/>
    <cellStyle name="Input 6 11 2 9" xfId="14516" xr:uid="{00000000-0005-0000-0000-0000CF390000}"/>
    <cellStyle name="Input 6 11 2 9 2" xfId="36044" xr:uid="{00000000-0005-0000-0000-0000D0390000}"/>
    <cellStyle name="Input 6 11 2 9 3" xfId="17208" xr:uid="{00000000-0005-0000-0000-0000D1390000}"/>
    <cellStyle name="Input 6 11 3" xfId="4816" xr:uid="{00000000-0005-0000-0000-0000D2390000}"/>
    <cellStyle name="Input 6 11 3 2" xfId="23276" xr:uid="{00000000-0005-0000-0000-0000D3390000}"/>
    <cellStyle name="Input 6 11 3 3" xfId="18431" xr:uid="{00000000-0005-0000-0000-0000D4390000}"/>
    <cellStyle name="Input 6 11 4" xfId="4579" xr:uid="{00000000-0005-0000-0000-0000D5390000}"/>
    <cellStyle name="Input 6 11 4 2" xfId="23039" xr:uid="{00000000-0005-0000-0000-0000D6390000}"/>
    <cellStyle name="Input 6 11 4 3" xfId="18256" xr:uid="{00000000-0005-0000-0000-0000D7390000}"/>
    <cellStyle name="Input 6 11 5" xfId="6490" xr:uid="{00000000-0005-0000-0000-0000D8390000}"/>
    <cellStyle name="Input 6 11 5 2" xfId="24930" xr:uid="{00000000-0005-0000-0000-0000D9390000}"/>
    <cellStyle name="Input 6 11 5 3" xfId="20039" xr:uid="{00000000-0005-0000-0000-0000DA390000}"/>
    <cellStyle name="Input 6 11 6" xfId="6997" xr:uid="{00000000-0005-0000-0000-0000DB390000}"/>
    <cellStyle name="Input 6 11 6 2" xfId="25435" xr:uid="{00000000-0005-0000-0000-0000DC390000}"/>
    <cellStyle name="Input 6 11 6 3" xfId="20378" xr:uid="{00000000-0005-0000-0000-0000DD390000}"/>
    <cellStyle name="Input 6 11 7" xfId="6454" xr:uid="{00000000-0005-0000-0000-0000DE390000}"/>
    <cellStyle name="Input 6 11 7 2" xfId="24894" xr:uid="{00000000-0005-0000-0000-0000DF390000}"/>
    <cellStyle name="Input 6 11 7 3" xfId="20003" xr:uid="{00000000-0005-0000-0000-0000E0390000}"/>
    <cellStyle name="Input 6 11 8" xfId="8386" xr:uid="{00000000-0005-0000-0000-0000E1390000}"/>
    <cellStyle name="Input 6 11 8 2" xfId="26809" xr:uid="{00000000-0005-0000-0000-0000E2390000}"/>
    <cellStyle name="Input 6 11 8 3" xfId="21677" xr:uid="{00000000-0005-0000-0000-0000E3390000}"/>
    <cellStyle name="Input 6 11 9" xfId="3878" xr:uid="{00000000-0005-0000-0000-0000E4390000}"/>
    <cellStyle name="Input 6 11 9 2" xfId="22345" xr:uid="{00000000-0005-0000-0000-0000E5390000}"/>
    <cellStyle name="Input 6 11 9 3" xfId="17560" xr:uid="{00000000-0005-0000-0000-0000E6390000}"/>
    <cellStyle name="Input 6 12" xfId="3436" xr:uid="{00000000-0005-0000-0000-0000E7390000}"/>
    <cellStyle name="Input 6 12 10" xfId="14548" xr:uid="{00000000-0005-0000-0000-0000E8390000}"/>
    <cellStyle name="Input 6 12 10 2" xfId="36071" xr:uid="{00000000-0005-0000-0000-0000E9390000}"/>
    <cellStyle name="Input 6 12 11" xfId="31496" xr:uid="{00000000-0005-0000-0000-0000EA390000}"/>
    <cellStyle name="Input 6 12 2" xfId="5572" xr:uid="{00000000-0005-0000-0000-0000EB390000}"/>
    <cellStyle name="Input 6 12 2 2" xfId="24025" xr:uid="{00000000-0005-0000-0000-0000EC390000}"/>
    <cellStyle name="Input 6 12 2 3" xfId="19160" xr:uid="{00000000-0005-0000-0000-0000ED390000}"/>
    <cellStyle name="Input 6 12 3" xfId="5094" xr:uid="{00000000-0005-0000-0000-0000EE390000}"/>
    <cellStyle name="Input 6 12 3 2" xfId="23554" xr:uid="{00000000-0005-0000-0000-0000EF390000}"/>
    <cellStyle name="Input 6 12 3 3" xfId="18708" xr:uid="{00000000-0005-0000-0000-0000F0390000}"/>
    <cellStyle name="Input 6 12 4" xfId="6041" xr:uid="{00000000-0005-0000-0000-0000F1390000}"/>
    <cellStyle name="Input 6 12 4 2" xfId="24482" xr:uid="{00000000-0005-0000-0000-0000F2390000}"/>
    <cellStyle name="Input 6 12 4 3" xfId="19591" xr:uid="{00000000-0005-0000-0000-0000F3390000}"/>
    <cellStyle name="Input 6 12 5" xfId="7608" xr:uid="{00000000-0005-0000-0000-0000F4390000}"/>
    <cellStyle name="Input 6 12 5 2" xfId="26038" xr:uid="{00000000-0005-0000-0000-0000F5390000}"/>
    <cellStyle name="Input 6 12 5 3" xfId="20963" xr:uid="{00000000-0005-0000-0000-0000F6390000}"/>
    <cellStyle name="Input 6 12 6" xfId="7981" xr:uid="{00000000-0005-0000-0000-0000F7390000}"/>
    <cellStyle name="Input 6 12 6 2" xfId="26411" xr:uid="{00000000-0005-0000-0000-0000F8390000}"/>
    <cellStyle name="Input 6 12 6 3" xfId="21335" xr:uid="{00000000-0005-0000-0000-0000F9390000}"/>
    <cellStyle name="Input 6 12 7" xfId="8705" xr:uid="{00000000-0005-0000-0000-0000FA390000}"/>
    <cellStyle name="Input 6 12 7 2" xfId="27125" xr:uid="{00000000-0005-0000-0000-0000FB390000}"/>
    <cellStyle name="Input 6 12 7 3" xfId="21996" xr:uid="{00000000-0005-0000-0000-0000FC390000}"/>
    <cellStyle name="Input 6 12 8" xfId="4197" xr:uid="{00000000-0005-0000-0000-0000FD390000}"/>
    <cellStyle name="Input 6 12 8 2" xfId="22661" xr:uid="{00000000-0005-0000-0000-0000FE390000}"/>
    <cellStyle name="Input 6 12 8 3" xfId="17879" xr:uid="{00000000-0005-0000-0000-0000FF390000}"/>
    <cellStyle name="Input 6 12 9" xfId="15164" xr:uid="{00000000-0005-0000-0000-0000003A0000}"/>
    <cellStyle name="Input 6 12 9 2" xfId="36575" xr:uid="{00000000-0005-0000-0000-0000013A0000}"/>
    <cellStyle name="Input 6 12 9 3" xfId="17206" xr:uid="{00000000-0005-0000-0000-0000023A0000}"/>
    <cellStyle name="Input 6 13" xfId="4814" xr:uid="{00000000-0005-0000-0000-0000033A0000}"/>
    <cellStyle name="Input 6 13 2" xfId="23274" xr:uid="{00000000-0005-0000-0000-0000043A0000}"/>
    <cellStyle name="Input 6 13 3" xfId="18429" xr:uid="{00000000-0005-0000-0000-0000053A0000}"/>
    <cellStyle name="Input 6 14" xfId="4577" xr:uid="{00000000-0005-0000-0000-0000063A0000}"/>
    <cellStyle name="Input 6 14 2" xfId="23037" xr:uid="{00000000-0005-0000-0000-0000073A0000}"/>
    <cellStyle name="Input 6 14 3" xfId="18254" xr:uid="{00000000-0005-0000-0000-0000083A0000}"/>
    <cellStyle name="Input 6 15" xfId="6492" xr:uid="{00000000-0005-0000-0000-0000093A0000}"/>
    <cellStyle name="Input 6 15 2" xfId="24932" xr:uid="{00000000-0005-0000-0000-00000A3A0000}"/>
    <cellStyle name="Input 6 15 3" xfId="20041" xr:uid="{00000000-0005-0000-0000-00000B3A0000}"/>
    <cellStyle name="Input 6 16" xfId="6995" xr:uid="{00000000-0005-0000-0000-00000C3A0000}"/>
    <cellStyle name="Input 6 16 2" xfId="25433" xr:uid="{00000000-0005-0000-0000-00000D3A0000}"/>
    <cellStyle name="Input 6 16 3" xfId="20376" xr:uid="{00000000-0005-0000-0000-00000E3A0000}"/>
    <cellStyle name="Input 6 17" xfId="6456" xr:uid="{00000000-0005-0000-0000-00000F3A0000}"/>
    <cellStyle name="Input 6 17 2" xfId="24896" xr:uid="{00000000-0005-0000-0000-0000103A0000}"/>
    <cellStyle name="Input 6 17 3" xfId="20005" xr:uid="{00000000-0005-0000-0000-0000113A0000}"/>
    <cellStyle name="Input 6 18" xfId="8384" xr:uid="{00000000-0005-0000-0000-0000123A0000}"/>
    <cellStyle name="Input 6 18 2" xfId="26807" xr:uid="{00000000-0005-0000-0000-0000133A0000}"/>
    <cellStyle name="Input 6 18 3" xfId="21675" xr:uid="{00000000-0005-0000-0000-0000143A0000}"/>
    <cellStyle name="Input 6 19" xfId="3876" xr:uid="{00000000-0005-0000-0000-0000153A0000}"/>
    <cellStyle name="Input 6 19 2" xfId="22343" xr:uid="{00000000-0005-0000-0000-0000163A0000}"/>
    <cellStyle name="Input 6 19 3" xfId="17558" xr:uid="{00000000-0005-0000-0000-0000173A0000}"/>
    <cellStyle name="Input 6 2" xfId="2182" xr:uid="{00000000-0005-0000-0000-0000183A0000}"/>
    <cellStyle name="Input 6 2 10" xfId="14517" xr:uid="{00000000-0005-0000-0000-0000193A0000}"/>
    <cellStyle name="Input 6 2 10 2" xfId="36045" xr:uid="{00000000-0005-0000-0000-00001A3A0000}"/>
    <cellStyle name="Input 6 2 10 3" xfId="16874" xr:uid="{00000000-0005-0000-0000-00001B3A0000}"/>
    <cellStyle name="Input 6 2 11" xfId="15746" xr:uid="{00000000-0005-0000-0000-00001C3A0000}"/>
    <cellStyle name="Input 6 2 11 2" xfId="37111" xr:uid="{00000000-0005-0000-0000-00001D3A0000}"/>
    <cellStyle name="Input 6 2 12" xfId="31269" xr:uid="{00000000-0005-0000-0000-00001E3A0000}"/>
    <cellStyle name="Input 6 2 13" xfId="39665" xr:uid="{00000000-0005-0000-0000-00008B0A0000}"/>
    <cellStyle name="Input 6 2 14" xfId="41319" xr:uid="{00000000-0005-0000-0000-00008B0A0000}"/>
    <cellStyle name="Input 6 2 2" xfId="3439" xr:uid="{00000000-0005-0000-0000-00001F3A0000}"/>
    <cellStyle name="Input 6 2 2 10" xfId="16161" xr:uid="{00000000-0005-0000-0000-0000203A0000}"/>
    <cellStyle name="Input 6 2 2 10 2" xfId="37478" xr:uid="{00000000-0005-0000-0000-0000213A0000}"/>
    <cellStyle name="Input 6 2 2 11" xfId="31499" xr:uid="{00000000-0005-0000-0000-0000223A0000}"/>
    <cellStyle name="Input 6 2 2 2" xfId="5575" xr:uid="{00000000-0005-0000-0000-0000233A0000}"/>
    <cellStyle name="Input 6 2 2 2 2" xfId="24028" xr:uid="{00000000-0005-0000-0000-0000243A0000}"/>
    <cellStyle name="Input 6 2 2 2 3" xfId="19163" xr:uid="{00000000-0005-0000-0000-0000253A0000}"/>
    <cellStyle name="Input 6 2 2 3" xfId="5097" xr:uid="{00000000-0005-0000-0000-0000263A0000}"/>
    <cellStyle name="Input 6 2 2 3 2" xfId="23557" xr:uid="{00000000-0005-0000-0000-0000273A0000}"/>
    <cellStyle name="Input 6 2 2 3 3" xfId="18711" xr:uid="{00000000-0005-0000-0000-0000283A0000}"/>
    <cellStyle name="Input 6 2 2 4" xfId="6038" xr:uid="{00000000-0005-0000-0000-0000293A0000}"/>
    <cellStyle name="Input 6 2 2 4 2" xfId="24479" xr:uid="{00000000-0005-0000-0000-00002A3A0000}"/>
    <cellStyle name="Input 6 2 2 4 3" xfId="19588" xr:uid="{00000000-0005-0000-0000-00002B3A0000}"/>
    <cellStyle name="Input 6 2 2 5" xfId="7611" xr:uid="{00000000-0005-0000-0000-00002C3A0000}"/>
    <cellStyle name="Input 6 2 2 5 2" xfId="26041" xr:uid="{00000000-0005-0000-0000-00002D3A0000}"/>
    <cellStyle name="Input 6 2 2 5 3" xfId="20966" xr:uid="{00000000-0005-0000-0000-00002E3A0000}"/>
    <cellStyle name="Input 6 2 2 6" xfId="7984" xr:uid="{00000000-0005-0000-0000-00002F3A0000}"/>
    <cellStyle name="Input 6 2 2 6 2" xfId="26414" xr:uid="{00000000-0005-0000-0000-0000303A0000}"/>
    <cellStyle name="Input 6 2 2 6 3" xfId="21338" xr:uid="{00000000-0005-0000-0000-0000313A0000}"/>
    <cellStyle name="Input 6 2 2 7" xfId="8708" xr:uid="{00000000-0005-0000-0000-0000323A0000}"/>
    <cellStyle name="Input 6 2 2 7 2" xfId="27128" xr:uid="{00000000-0005-0000-0000-0000333A0000}"/>
    <cellStyle name="Input 6 2 2 7 3" xfId="21999" xr:uid="{00000000-0005-0000-0000-0000343A0000}"/>
    <cellStyle name="Input 6 2 2 8" xfId="4200" xr:uid="{00000000-0005-0000-0000-0000353A0000}"/>
    <cellStyle name="Input 6 2 2 8 2" xfId="22664" xr:uid="{00000000-0005-0000-0000-0000363A0000}"/>
    <cellStyle name="Input 6 2 2 8 3" xfId="17882" xr:uid="{00000000-0005-0000-0000-0000373A0000}"/>
    <cellStyle name="Input 6 2 2 9" xfId="15165" xr:uid="{00000000-0005-0000-0000-0000383A0000}"/>
    <cellStyle name="Input 6 2 2 9 2" xfId="36576" xr:uid="{00000000-0005-0000-0000-0000393A0000}"/>
    <cellStyle name="Input 6 2 2 9 3" xfId="17209" xr:uid="{00000000-0005-0000-0000-00003A3A0000}"/>
    <cellStyle name="Input 6 2 3" xfId="4817" xr:uid="{00000000-0005-0000-0000-00003B3A0000}"/>
    <cellStyle name="Input 6 2 3 2" xfId="23277" xr:uid="{00000000-0005-0000-0000-00003C3A0000}"/>
    <cellStyle name="Input 6 2 3 3" xfId="18432" xr:uid="{00000000-0005-0000-0000-00003D3A0000}"/>
    <cellStyle name="Input 6 2 4" xfId="4580" xr:uid="{00000000-0005-0000-0000-00003E3A0000}"/>
    <cellStyle name="Input 6 2 4 2" xfId="23040" xr:uid="{00000000-0005-0000-0000-00003F3A0000}"/>
    <cellStyle name="Input 6 2 4 3" xfId="18257" xr:uid="{00000000-0005-0000-0000-0000403A0000}"/>
    <cellStyle name="Input 6 2 5" xfId="6489" xr:uid="{00000000-0005-0000-0000-0000413A0000}"/>
    <cellStyle name="Input 6 2 5 2" xfId="24929" xr:uid="{00000000-0005-0000-0000-0000423A0000}"/>
    <cellStyle name="Input 6 2 5 3" xfId="20038" xr:uid="{00000000-0005-0000-0000-0000433A0000}"/>
    <cellStyle name="Input 6 2 6" xfId="6998" xr:uid="{00000000-0005-0000-0000-0000443A0000}"/>
    <cellStyle name="Input 6 2 6 2" xfId="25436" xr:uid="{00000000-0005-0000-0000-0000453A0000}"/>
    <cellStyle name="Input 6 2 6 3" xfId="20379" xr:uid="{00000000-0005-0000-0000-0000463A0000}"/>
    <cellStyle name="Input 6 2 7" xfId="6453" xr:uid="{00000000-0005-0000-0000-0000473A0000}"/>
    <cellStyle name="Input 6 2 7 2" xfId="24893" xr:uid="{00000000-0005-0000-0000-0000483A0000}"/>
    <cellStyle name="Input 6 2 7 3" xfId="20002" xr:uid="{00000000-0005-0000-0000-0000493A0000}"/>
    <cellStyle name="Input 6 2 8" xfId="8387" xr:uid="{00000000-0005-0000-0000-00004A3A0000}"/>
    <cellStyle name="Input 6 2 8 2" xfId="26810" xr:uid="{00000000-0005-0000-0000-00004B3A0000}"/>
    <cellStyle name="Input 6 2 8 3" xfId="21678" xr:uid="{00000000-0005-0000-0000-00004C3A0000}"/>
    <cellStyle name="Input 6 2 9" xfId="3879" xr:uid="{00000000-0005-0000-0000-00004D3A0000}"/>
    <cellStyle name="Input 6 2 9 2" xfId="22346" xr:uid="{00000000-0005-0000-0000-00004E3A0000}"/>
    <cellStyle name="Input 6 2 9 3" xfId="17561" xr:uid="{00000000-0005-0000-0000-00004F3A0000}"/>
    <cellStyle name="Input 6 20" xfId="15246" xr:uid="{00000000-0005-0000-0000-0000503A0000}"/>
    <cellStyle name="Input 6 20 2" xfId="36653" xr:uid="{00000000-0005-0000-0000-0000513A0000}"/>
    <cellStyle name="Input 6 20 3" xfId="16871" xr:uid="{00000000-0005-0000-0000-0000523A0000}"/>
    <cellStyle name="Input 6 21" xfId="15025" xr:uid="{00000000-0005-0000-0000-0000533A0000}"/>
    <cellStyle name="Input 6 21 2" xfId="36450" xr:uid="{00000000-0005-0000-0000-0000543A0000}"/>
    <cellStyle name="Input 6 22" xfId="31266" xr:uid="{00000000-0005-0000-0000-0000553A0000}"/>
    <cellStyle name="Input 6 23" xfId="39664" xr:uid="{00000000-0005-0000-0000-00008A0A0000}"/>
    <cellStyle name="Input 6 24" xfId="41318" xr:uid="{00000000-0005-0000-0000-00008A0A0000}"/>
    <cellStyle name="Input 6 3" xfId="2183" xr:uid="{00000000-0005-0000-0000-0000563A0000}"/>
    <cellStyle name="Input 6 3 10" xfId="14518" xr:uid="{00000000-0005-0000-0000-0000573A0000}"/>
    <cellStyle name="Input 6 3 10 2" xfId="36046" xr:uid="{00000000-0005-0000-0000-0000583A0000}"/>
    <cellStyle name="Input 6 3 10 3" xfId="16875" xr:uid="{00000000-0005-0000-0000-0000593A0000}"/>
    <cellStyle name="Input 6 3 11" xfId="16195" xr:uid="{00000000-0005-0000-0000-00005A3A0000}"/>
    <cellStyle name="Input 6 3 11 2" xfId="37510" xr:uid="{00000000-0005-0000-0000-00005B3A0000}"/>
    <cellStyle name="Input 6 3 12" xfId="31270" xr:uid="{00000000-0005-0000-0000-00005C3A0000}"/>
    <cellStyle name="Input 6 3 2" xfId="3440" xr:uid="{00000000-0005-0000-0000-00005D3A0000}"/>
    <cellStyle name="Input 6 3 2 10" xfId="14846" xr:uid="{00000000-0005-0000-0000-00005E3A0000}"/>
    <cellStyle name="Input 6 3 2 10 2" xfId="36294" xr:uid="{00000000-0005-0000-0000-00005F3A0000}"/>
    <cellStyle name="Input 6 3 2 11" xfId="31500" xr:uid="{00000000-0005-0000-0000-0000603A0000}"/>
    <cellStyle name="Input 6 3 2 2" xfId="5576" xr:uid="{00000000-0005-0000-0000-0000613A0000}"/>
    <cellStyle name="Input 6 3 2 2 2" xfId="24029" xr:uid="{00000000-0005-0000-0000-0000623A0000}"/>
    <cellStyle name="Input 6 3 2 2 3" xfId="19164" xr:uid="{00000000-0005-0000-0000-0000633A0000}"/>
    <cellStyle name="Input 6 3 2 3" xfId="5098" xr:uid="{00000000-0005-0000-0000-0000643A0000}"/>
    <cellStyle name="Input 6 3 2 3 2" xfId="23558" xr:uid="{00000000-0005-0000-0000-0000653A0000}"/>
    <cellStyle name="Input 6 3 2 3 3" xfId="18712" xr:uid="{00000000-0005-0000-0000-0000663A0000}"/>
    <cellStyle name="Input 6 3 2 4" xfId="6037" xr:uid="{00000000-0005-0000-0000-0000673A0000}"/>
    <cellStyle name="Input 6 3 2 4 2" xfId="24478" xr:uid="{00000000-0005-0000-0000-0000683A0000}"/>
    <cellStyle name="Input 6 3 2 4 3" xfId="19587" xr:uid="{00000000-0005-0000-0000-0000693A0000}"/>
    <cellStyle name="Input 6 3 2 5" xfId="7612" xr:uid="{00000000-0005-0000-0000-00006A3A0000}"/>
    <cellStyle name="Input 6 3 2 5 2" xfId="26042" xr:uid="{00000000-0005-0000-0000-00006B3A0000}"/>
    <cellStyle name="Input 6 3 2 5 3" xfId="20967" xr:uid="{00000000-0005-0000-0000-00006C3A0000}"/>
    <cellStyle name="Input 6 3 2 6" xfId="7985" xr:uid="{00000000-0005-0000-0000-00006D3A0000}"/>
    <cellStyle name="Input 6 3 2 6 2" xfId="26415" xr:uid="{00000000-0005-0000-0000-00006E3A0000}"/>
    <cellStyle name="Input 6 3 2 6 3" xfId="21339" xr:uid="{00000000-0005-0000-0000-00006F3A0000}"/>
    <cellStyle name="Input 6 3 2 7" xfId="8709" xr:uid="{00000000-0005-0000-0000-0000703A0000}"/>
    <cellStyle name="Input 6 3 2 7 2" xfId="27129" xr:uid="{00000000-0005-0000-0000-0000713A0000}"/>
    <cellStyle name="Input 6 3 2 7 3" xfId="22000" xr:uid="{00000000-0005-0000-0000-0000723A0000}"/>
    <cellStyle name="Input 6 3 2 8" xfId="4201" xr:uid="{00000000-0005-0000-0000-0000733A0000}"/>
    <cellStyle name="Input 6 3 2 8 2" xfId="22665" xr:uid="{00000000-0005-0000-0000-0000743A0000}"/>
    <cellStyle name="Input 6 3 2 8 3" xfId="17883" xr:uid="{00000000-0005-0000-0000-0000753A0000}"/>
    <cellStyle name="Input 6 3 2 9" xfId="16148" xr:uid="{00000000-0005-0000-0000-0000763A0000}"/>
    <cellStyle name="Input 6 3 2 9 2" xfId="37469" xr:uid="{00000000-0005-0000-0000-0000773A0000}"/>
    <cellStyle name="Input 6 3 2 9 3" xfId="17210" xr:uid="{00000000-0005-0000-0000-0000783A0000}"/>
    <cellStyle name="Input 6 3 3" xfId="4818" xr:uid="{00000000-0005-0000-0000-0000793A0000}"/>
    <cellStyle name="Input 6 3 3 2" xfId="23278" xr:uid="{00000000-0005-0000-0000-00007A3A0000}"/>
    <cellStyle name="Input 6 3 3 3" xfId="18433" xr:uid="{00000000-0005-0000-0000-00007B3A0000}"/>
    <cellStyle name="Input 6 3 4" xfId="4581" xr:uid="{00000000-0005-0000-0000-00007C3A0000}"/>
    <cellStyle name="Input 6 3 4 2" xfId="23041" xr:uid="{00000000-0005-0000-0000-00007D3A0000}"/>
    <cellStyle name="Input 6 3 4 3" xfId="18258" xr:uid="{00000000-0005-0000-0000-00007E3A0000}"/>
    <cellStyle name="Input 6 3 5" xfId="6488" xr:uid="{00000000-0005-0000-0000-00007F3A0000}"/>
    <cellStyle name="Input 6 3 5 2" xfId="24928" xr:uid="{00000000-0005-0000-0000-0000803A0000}"/>
    <cellStyle name="Input 6 3 5 3" xfId="20037" xr:uid="{00000000-0005-0000-0000-0000813A0000}"/>
    <cellStyle name="Input 6 3 6" xfId="6999" xr:uid="{00000000-0005-0000-0000-0000823A0000}"/>
    <cellStyle name="Input 6 3 6 2" xfId="25437" xr:uid="{00000000-0005-0000-0000-0000833A0000}"/>
    <cellStyle name="Input 6 3 6 3" xfId="20380" xr:uid="{00000000-0005-0000-0000-0000843A0000}"/>
    <cellStyle name="Input 6 3 7" xfId="6452" xr:uid="{00000000-0005-0000-0000-0000853A0000}"/>
    <cellStyle name="Input 6 3 7 2" xfId="24892" xr:uid="{00000000-0005-0000-0000-0000863A0000}"/>
    <cellStyle name="Input 6 3 7 3" xfId="20001" xr:uid="{00000000-0005-0000-0000-0000873A0000}"/>
    <cellStyle name="Input 6 3 8" xfId="8388" xr:uid="{00000000-0005-0000-0000-0000883A0000}"/>
    <cellStyle name="Input 6 3 8 2" xfId="26811" xr:uid="{00000000-0005-0000-0000-0000893A0000}"/>
    <cellStyle name="Input 6 3 8 3" xfId="21679" xr:uid="{00000000-0005-0000-0000-00008A3A0000}"/>
    <cellStyle name="Input 6 3 9" xfId="3880" xr:uid="{00000000-0005-0000-0000-00008B3A0000}"/>
    <cellStyle name="Input 6 3 9 2" xfId="22347" xr:uid="{00000000-0005-0000-0000-00008C3A0000}"/>
    <cellStyle name="Input 6 3 9 3" xfId="17562" xr:uid="{00000000-0005-0000-0000-00008D3A0000}"/>
    <cellStyle name="Input 6 4" xfId="2184" xr:uid="{00000000-0005-0000-0000-00008E3A0000}"/>
    <cellStyle name="Input 6 4 10" xfId="16179" xr:uid="{00000000-0005-0000-0000-00008F3A0000}"/>
    <cellStyle name="Input 6 4 10 2" xfId="37496" xr:uid="{00000000-0005-0000-0000-0000903A0000}"/>
    <cellStyle name="Input 6 4 10 3" xfId="16876" xr:uid="{00000000-0005-0000-0000-0000913A0000}"/>
    <cellStyle name="Input 6 4 11" xfId="14526" xr:uid="{00000000-0005-0000-0000-0000923A0000}"/>
    <cellStyle name="Input 6 4 11 2" xfId="36053" xr:uid="{00000000-0005-0000-0000-0000933A0000}"/>
    <cellStyle name="Input 6 4 12" xfId="31271" xr:uid="{00000000-0005-0000-0000-0000943A0000}"/>
    <cellStyle name="Input 6 4 2" xfId="3441" xr:uid="{00000000-0005-0000-0000-0000953A0000}"/>
    <cellStyle name="Input 6 4 2 10" xfId="15612" xr:uid="{00000000-0005-0000-0000-0000963A0000}"/>
    <cellStyle name="Input 6 4 2 10 2" xfId="36988" xr:uid="{00000000-0005-0000-0000-0000973A0000}"/>
    <cellStyle name="Input 6 4 2 11" xfId="31501" xr:uid="{00000000-0005-0000-0000-0000983A0000}"/>
    <cellStyle name="Input 6 4 2 2" xfId="5577" xr:uid="{00000000-0005-0000-0000-0000993A0000}"/>
    <cellStyle name="Input 6 4 2 2 2" xfId="24030" xr:uid="{00000000-0005-0000-0000-00009A3A0000}"/>
    <cellStyle name="Input 6 4 2 2 3" xfId="19165" xr:uid="{00000000-0005-0000-0000-00009B3A0000}"/>
    <cellStyle name="Input 6 4 2 3" xfId="5099" xr:uid="{00000000-0005-0000-0000-00009C3A0000}"/>
    <cellStyle name="Input 6 4 2 3 2" xfId="23559" xr:uid="{00000000-0005-0000-0000-00009D3A0000}"/>
    <cellStyle name="Input 6 4 2 3 3" xfId="18713" xr:uid="{00000000-0005-0000-0000-00009E3A0000}"/>
    <cellStyle name="Input 6 4 2 4" xfId="6036" xr:uid="{00000000-0005-0000-0000-00009F3A0000}"/>
    <cellStyle name="Input 6 4 2 4 2" xfId="24477" xr:uid="{00000000-0005-0000-0000-0000A03A0000}"/>
    <cellStyle name="Input 6 4 2 4 3" xfId="19586" xr:uid="{00000000-0005-0000-0000-0000A13A0000}"/>
    <cellStyle name="Input 6 4 2 5" xfId="7613" xr:uid="{00000000-0005-0000-0000-0000A23A0000}"/>
    <cellStyle name="Input 6 4 2 5 2" xfId="26043" xr:uid="{00000000-0005-0000-0000-0000A33A0000}"/>
    <cellStyle name="Input 6 4 2 5 3" xfId="20968" xr:uid="{00000000-0005-0000-0000-0000A43A0000}"/>
    <cellStyle name="Input 6 4 2 6" xfId="7986" xr:uid="{00000000-0005-0000-0000-0000A53A0000}"/>
    <cellStyle name="Input 6 4 2 6 2" xfId="26416" xr:uid="{00000000-0005-0000-0000-0000A63A0000}"/>
    <cellStyle name="Input 6 4 2 6 3" xfId="21340" xr:uid="{00000000-0005-0000-0000-0000A73A0000}"/>
    <cellStyle name="Input 6 4 2 7" xfId="8710" xr:uid="{00000000-0005-0000-0000-0000A83A0000}"/>
    <cellStyle name="Input 6 4 2 7 2" xfId="27130" xr:uid="{00000000-0005-0000-0000-0000A93A0000}"/>
    <cellStyle name="Input 6 4 2 7 3" xfId="22001" xr:uid="{00000000-0005-0000-0000-0000AA3A0000}"/>
    <cellStyle name="Input 6 4 2 8" xfId="4202" xr:uid="{00000000-0005-0000-0000-0000AB3A0000}"/>
    <cellStyle name="Input 6 4 2 8 2" xfId="22666" xr:uid="{00000000-0005-0000-0000-0000AC3A0000}"/>
    <cellStyle name="Input 6 4 2 8 3" xfId="17884" xr:uid="{00000000-0005-0000-0000-0000AD3A0000}"/>
    <cellStyle name="Input 6 4 2 9" xfId="15052" xr:uid="{00000000-0005-0000-0000-0000AE3A0000}"/>
    <cellStyle name="Input 6 4 2 9 2" xfId="36468" xr:uid="{00000000-0005-0000-0000-0000AF3A0000}"/>
    <cellStyle name="Input 6 4 2 9 3" xfId="17211" xr:uid="{00000000-0005-0000-0000-0000B03A0000}"/>
    <cellStyle name="Input 6 4 3" xfId="4819" xr:uid="{00000000-0005-0000-0000-0000B13A0000}"/>
    <cellStyle name="Input 6 4 3 2" xfId="23279" xr:uid="{00000000-0005-0000-0000-0000B23A0000}"/>
    <cellStyle name="Input 6 4 3 3" xfId="18434" xr:uid="{00000000-0005-0000-0000-0000B33A0000}"/>
    <cellStyle name="Input 6 4 4" xfId="4582" xr:uid="{00000000-0005-0000-0000-0000B43A0000}"/>
    <cellStyle name="Input 6 4 4 2" xfId="23042" xr:uid="{00000000-0005-0000-0000-0000B53A0000}"/>
    <cellStyle name="Input 6 4 4 3" xfId="18259" xr:uid="{00000000-0005-0000-0000-0000B63A0000}"/>
    <cellStyle name="Input 6 4 5" xfId="6487" xr:uid="{00000000-0005-0000-0000-0000B73A0000}"/>
    <cellStyle name="Input 6 4 5 2" xfId="24927" xr:uid="{00000000-0005-0000-0000-0000B83A0000}"/>
    <cellStyle name="Input 6 4 5 3" xfId="20036" xr:uid="{00000000-0005-0000-0000-0000B93A0000}"/>
    <cellStyle name="Input 6 4 6" xfId="7000" xr:uid="{00000000-0005-0000-0000-0000BA3A0000}"/>
    <cellStyle name="Input 6 4 6 2" xfId="25438" xr:uid="{00000000-0005-0000-0000-0000BB3A0000}"/>
    <cellStyle name="Input 6 4 6 3" xfId="20381" xr:uid="{00000000-0005-0000-0000-0000BC3A0000}"/>
    <cellStyle name="Input 6 4 7" xfId="6451" xr:uid="{00000000-0005-0000-0000-0000BD3A0000}"/>
    <cellStyle name="Input 6 4 7 2" xfId="24891" xr:uid="{00000000-0005-0000-0000-0000BE3A0000}"/>
    <cellStyle name="Input 6 4 7 3" xfId="20000" xr:uid="{00000000-0005-0000-0000-0000BF3A0000}"/>
    <cellStyle name="Input 6 4 8" xfId="8389" xr:uid="{00000000-0005-0000-0000-0000C03A0000}"/>
    <cellStyle name="Input 6 4 8 2" xfId="26812" xr:uid="{00000000-0005-0000-0000-0000C13A0000}"/>
    <cellStyle name="Input 6 4 8 3" xfId="21680" xr:uid="{00000000-0005-0000-0000-0000C23A0000}"/>
    <cellStyle name="Input 6 4 9" xfId="3881" xr:uid="{00000000-0005-0000-0000-0000C33A0000}"/>
    <cellStyle name="Input 6 4 9 2" xfId="22348" xr:uid="{00000000-0005-0000-0000-0000C43A0000}"/>
    <cellStyle name="Input 6 4 9 3" xfId="17563" xr:uid="{00000000-0005-0000-0000-0000C53A0000}"/>
    <cellStyle name="Input 6 5" xfId="2185" xr:uid="{00000000-0005-0000-0000-0000C63A0000}"/>
    <cellStyle name="Input 6 5 10" xfId="15166" xr:uid="{00000000-0005-0000-0000-0000C73A0000}"/>
    <cellStyle name="Input 6 5 10 2" xfId="36577" xr:uid="{00000000-0005-0000-0000-0000C83A0000}"/>
    <cellStyle name="Input 6 5 10 3" xfId="16877" xr:uid="{00000000-0005-0000-0000-0000C93A0000}"/>
    <cellStyle name="Input 6 5 11" xfId="16567" xr:uid="{00000000-0005-0000-0000-0000CA3A0000}"/>
    <cellStyle name="Input 6 5 11 2" xfId="37782" xr:uid="{00000000-0005-0000-0000-0000CB3A0000}"/>
    <cellStyle name="Input 6 5 12" xfId="31272" xr:uid="{00000000-0005-0000-0000-0000CC3A0000}"/>
    <cellStyle name="Input 6 5 2" xfId="3442" xr:uid="{00000000-0005-0000-0000-0000CD3A0000}"/>
    <cellStyle name="Input 6 5 2 10" xfId="15293" xr:uid="{00000000-0005-0000-0000-0000CE3A0000}"/>
    <cellStyle name="Input 6 5 2 10 2" xfId="36691" xr:uid="{00000000-0005-0000-0000-0000CF3A0000}"/>
    <cellStyle name="Input 6 5 2 11" xfId="31502" xr:uid="{00000000-0005-0000-0000-0000D03A0000}"/>
    <cellStyle name="Input 6 5 2 2" xfId="5578" xr:uid="{00000000-0005-0000-0000-0000D13A0000}"/>
    <cellStyle name="Input 6 5 2 2 2" xfId="24031" xr:uid="{00000000-0005-0000-0000-0000D23A0000}"/>
    <cellStyle name="Input 6 5 2 2 3" xfId="19166" xr:uid="{00000000-0005-0000-0000-0000D33A0000}"/>
    <cellStyle name="Input 6 5 2 3" xfId="5100" xr:uid="{00000000-0005-0000-0000-0000D43A0000}"/>
    <cellStyle name="Input 6 5 2 3 2" xfId="23560" xr:uid="{00000000-0005-0000-0000-0000D53A0000}"/>
    <cellStyle name="Input 6 5 2 3 3" xfId="18714" xr:uid="{00000000-0005-0000-0000-0000D63A0000}"/>
    <cellStyle name="Input 6 5 2 4" xfId="6035" xr:uid="{00000000-0005-0000-0000-0000D73A0000}"/>
    <cellStyle name="Input 6 5 2 4 2" xfId="24476" xr:uid="{00000000-0005-0000-0000-0000D83A0000}"/>
    <cellStyle name="Input 6 5 2 4 3" xfId="19585" xr:uid="{00000000-0005-0000-0000-0000D93A0000}"/>
    <cellStyle name="Input 6 5 2 5" xfId="7614" xr:uid="{00000000-0005-0000-0000-0000DA3A0000}"/>
    <cellStyle name="Input 6 5 2 5 2" xfId="26044" xr:uid="{00000000-0005-0000-0000-0000DB3A0000}"/>
    <cellStyle name="Input 6 5 2 5 3" xfId="20969" xr:uid="{00000000-0005-0000-0000-0000DC3A0000}"/>
    <cellStyle name="Input 6 5 2 6" xfId="7987" xr:uid="{00000000-0005-0000-0000-0000DD3A0000}"/>
    <cellStyle name="Input 6 5 2 6 2" xfId="26417" xr:uid="{00000000-0005-0000-0000-0000DE3A0000}"/>
    <cellStyle name="Input 6 5 2 6 3" xfId="21341" xr:uid="{00000000-0005-0000-0000-0000DF3A0000}"/>
    <cellStyle name="Input 6 5 2 7" xfId="8711" xr:uid="{00000000-0005-0000-0000-0000E03A0000}"/>
    <cellStyle name="Input 6 5 2 7 2" xfId="27131" xr:uid="{00000000-0005-0000-0000-0000E13A0000}"/>
    <cellStyle name="Input 6 5 2 7 3" xfId="22002" xr:uid="{00000000-0005-0000-0000-0000E23A0000}"/>
    <cellStyle name="Input 6 5 2 8" xfId="4203" xr:uid="{00000000-0005-0000-0000-0000E33A0000}"/>
    <cellStyle name="Input 6 5 2 8 2" xfId="22667" xr:uid="{00000000-0005-0000-0000-0000E43A0000}"/>
    <cellStyle name="Input 6 5 2 8 3" xfId="17885" xr:uid="{00000000-0005-0000-0000-0000E53A0000}"/>
    <cellStyle name="Input 6 5 2 9" xfId="14519" xr:uid="{00000000-0005-0000-0000-0000E63A0000}"/>
    <cellStyle name="Input 6 5 2 9 2" xfId="36047" xr:uid="{00000000-0005-0000-0000-0000E73A0000}"/>
    <cellStyle name="Input 6 5 2 9 3" xfId="17212" xr:uid="{00000000-0005-0000-0000-0000E83A0000}"/>
    <cellStyle name="Input 6 5 3" xfId="4820" xr:uid="{00000000-0005-0000-0000-0000E93A0000}"/>
    <cellStyle name="Input 6 5 3 2" xfId="23280" xr:uid="{00000000-0005-0000-0000-0000EA3A0000}"/>
    <cellStyle name="Input 6 5 3 3" xfId="18435" xr:uid="{00000000-0005-0000-0000-0000EB3A0000}"/>
    <cellStyle name="Input 6 5 4" xfId="4583" xr:uid="{00000000-0005-0000-0000-0000EC3A0000}"/>
    <cellStyle name="Input 6 5 4 2" xfId="23043" xr:uid="{00000000-0005-0000-0000-0000ED3A0000}"/>
    <cellStyle name="Input 6 5 4 3" xfId="18260" xr:uid="{00000000-0005-0000-0000-0000EE3A0000}"/>
    <cellStyle name="Input 6 5 5" xfId="6486" xr:uid="{00000000-0005-0000-0000-0000EF3A0000}"/>
    <cellStyle name="Input 6 5 5 2" xfId="24926" xr:uid="{00000000-0005-0000-0000-0000F03A0000}"/>
    <cellStyle name="Input 6 5 5 3" xfId="20035" xr:uid="{00000000-0005-0000-0000-0000F13A0000}"/>
    <cellStyle name="Input 6 5 6" xfId="7001" xr:uid="{00000000-0005-0000-0000-0000F23A0000}"/>
    <cellStyle name="Input 6 5 6 2" xfId="25439" xr:uid="{00000000-0005-0000-0000-0000F33A0000}"/>
    <cellStyle name="Input 6 5 6 3" xfId="20382" xr:uid="{00000000-0005-0000-0000-0000F43A0000}"/>
    <cellStyle name="Input 6 5 7" xfId="6450" xr:uid="{00000000-0005-0000-0000-0000F53A0000}"/>
    <cellStyle name="Input 6 5 7 2" xfId="24890" xr:uid="{00000000-0005-0000-0000-0000F63A0000}"/>
    <cellStyle name="Input 6 5 7 3" xfId="19999" xr:uid="{00000000-0005-0000-0000-0000F73A0000}"/>
    <cellStyle name="Input 6 5 8" xfId="8390" xr:uid="{00000000-0005-0000-0000-0000F83A0000}"/>
    <cellStyle name="Input 6 5 8 2" xfId="26813" xr:uid="{00000000-0005-0000-0000-0000F93A0000}"/>
    <cellStyle name="Input 6 5 8 3" xfId="21681" xr:uid="{00000000-0005-0000-0000-0000FA3A0000}"/>
    <cellStyle name="Input 6 5 9" xfId="3882" xr:uid="{00000000-0005-0000-0000-0000FB3A0000}"/>
    <cellStyle name="Input 6 5 9 2" xfId="22349" xr:uid="{00000000-0005-0000-0000-0000FC3A0000}"/>
    <cellStyle name="Input 6 5 9 3" xfId="17564" xr:uid="{00000000-0005-0000-0000-0000FD3A0000}"/>
    <cellStyle name="Input 6 6" xfId="2186" xr:uid="{00000000-0005-0000-0000-0000FE3A0000}"/>
    <cellStyle name="Input 6 6 10" xfId="14572" xr:uid="{00000000-0005-0000-0000-0000FF3A0000}"/>
    <cellStyle name="Input 6 6 10 2" xfId="36091" xr:uid="{00000000-0005-0000-0000-0000003B0000}"/>
    <cellStyle name="Input 6 6 10 3" xfId="16878" xr:uid="{00000000-0005-0000-0000-0000013B0000}"/>
    <cellStyle name="Input 6 6 11" xfId="15570" xr:uid="{00000000-0005-0000-0000-0000023B0000}"/>
    <cellStyle name="Input 6 6 11 2" xfId="36947" xr:uid="{00000000-0005-0000-0000-0000033B0000}"/>
    <cellStyle name="Input 6 6 12" xfId="31273" xr:uid="{00000000-0005-0000-0000-0000043B0000}"/>
    <cellStyle name="Input 6 6 2" xfId="3443" xr:uid="{00000000-0005-0000-0000-0000053B0000}"/>
    <cellStyle name="Input 6 6 2 10" xfId="16221" xr:uid="{00000000-0005-0000-0000-0000063B0000}"/>
    <cellStyle name="Input 6 6 2 10 2" xfId="37534" xr:uid="{00000000-0005-0000-0000-0000073B0000}"/>
    <cellStyle name="Input 6 6 2 11" xfId="31503" xr:uid="{00000000-0005-0000-0000-0000083B0000}"/>
    <cellStyle name="Input 6 6 2 2" xfId="5579" xr:uid="{00000000-0005-0000-0000-0000093B0000}"/>
    <cellStyle name="Input 6 6 2 2 2" xfId="24032" xr:uid="{00000000-0005-0000-0000-00000A3B0000}"/>
    <cellStyle name="Input 6 6 2 2 3" xfId="19167" xr:uid="{00000000-0005-0000-0000-00000B3B0000}"/>
    <cellStyle name="Input 6 6 2 3" xfId="5101" xr:uid="{00000000-0005-0000-0000-00000C3B0000}"/>
    <cellStyle name="Input 6 6 2 3 2" xfId="23561" xr:uid="{00000000-0005-0000-0000-00000D3B0000}"/>
    <cellStyle name="Input 6 6 2 3 3" xfId="18715" xr:uid="{00000000-0005-0000-0000-00000E3B0000}"/>
    <cellStyle name="Input 6 6 2 4" xfId="6034" xr:uid="{00000000-0005-0000-0000-00000F3B0000}"/>
    <cellStyle name="Input 6 6 2 4 2" xfId="24475" xr:uid="{00000000-0005-0000-0000-0000103B0000}"/>
    <cellStyle name="Input 6 6 2 4 3" xfId="19584" xr:uid="{00000000-0005-0000-0000-0000113B0000}"/>
    <cellStyle name="Input 6 6 2 5" xfId="7615" xr:uid="{00000000-0005-0000-0000-0000123B0000}"/>
    <cellStyle name="Input 6 6 2 5 2" xfId="26045" xr:uid="{00000000-0005-0000-0000-0000133B0000}"/>
    <cellStyle name="Input 6 6 2 5 3" xfId="20970" xr:uid="{00000000-0005-0000-0000-0000143B0000}"/>
    <cellStyle name="Input 6 6 2 6" xfId="7988" xr:uid="{00000000-0005-0000-0000-0000153B0000}"/>
    <cellStyle name="Input 6 6 2 6 2" xfId="26418" xr:uid="{00000000-0005-0000-0000-0000163B0000}"/>
    <cellStyle name="Input 6 6 2 6 3" xfId="21342" xr:uid="{00000000-0005-0000-0000-0000173B0000}"/>
    <cellStyle name="Input 6 6 2 7" xfId="8712" xr:uid="{00000000-0005-0000-0000-0000183B0000}"/>
    <cellStyle name="Input 6 6 2 7 2" xfId="27132" xr:uid="{00000000-0005-0000-0000-0000193B0000}"/>
    <cellStyle name="Input 6 6 2 7 3" xfId="22003" xr:uid="{00000000-0005-0000-0000-00001A3B0000}"/>
    <cellStyle name="Input 6 6 2 8" xfId="4204" xr:uid="{00000000-0005-0000-0000-00001B3B0000}"/>
    <cellStyle name="Input 6 6 2 8 2" xfId="22668" xr:uid="{00000000-0005-0000-0000-00001C3B0000}"/>
    <cellStyle name="Input 6 6 2 8 3" xfId="17886" xr:uid="{00000000-0005-0000-0000-00001D3B0000}"/>
    <cellStyle name="Input 6 6 2 9" xfId="15167" xr:uid="{00000000-0005-0000-0000-00001E3B0000}"/>
    <cellStyle name="Input 6 6 2 9 2" xfId="36578" xr:uid="{00000000-0005-0000-0000-00001F3B0000}"/>
    <cellStyle name="Input 6 6 2 9 3" xfId="17213" xr:uid="{00000000-0005-0000-0000-0000203B0000}"/>
    <cellStyle name="Input 6 6 3" xfId="4821" xr:uid="{00000000-0005-0000-0000-0000213B0000}"/>
    <cellStyle name="Input 6 6 3 2" xfId="23281" xr:uid="{00000000-0005-0000-0000-0000223B0000}"/>
    <cellStyle name="Input 6 6 3 3" xfId="18436" xr:uid="{00000000-0005-0000-0000-0000233B0000}"/>
    <cellStyle name="Input 6 6 4" xfId="4584" xr:uid="{00000000-0005-0000-0000-0000243B0000}"/>
    <cellStyle name="Input 6 6 4 2" xfId="23044" xr:uid="{00000000-0005-0000-0000-0000253B0000}"/>
    <cellStyle name="Input 6 6 4 3" xfId="18261" xr:uid="{00000000-0005-0000-0000-0000263B0000}"/>
    <cellStyle name="Input 6 6 5" xfId="6485" xr:uid="{00000000-0005-0000-0000-0000273B0000}"/>
    <cellStyle name="Input 6 6 5 2" xfId="24925" xr:uid="{00000000-0005-0000-0000-0000283B0000}"/>
    <cellStyle name="Input 6 6 5 3" xfId="20034" xr:uid="{00000000-0005-0000-0000-0000293B0000}"/>
    <cellStyle name="Input 6 6 6" xfId="7002" xr:uid="{00000000-0005-0000-0000-00002A3B0000}"/>
    <cellStyle name="Input 6 6 6 2" xfId="25440" xr:uid="{00000000-0005-0000-0000-00002B3B0000}"/>
    <cellStyle name="Input 6 6 6 3" xfId="20383" xr:uid="{00000000-0005-0000-0000-00002C3B0000}"/>
    <cellStyle name="Input 6 6 7" xfId="6449" xr:uid="{00000000-0005-0000-0000-00002D3B0000}"/>
    <cellStyle name="Input 6 6 7 2" xfId="24889" xr:uid="{00000000-0005-0000-0000-00002E3B0000}"/>
    <cellStyle name="Input 6 6 7 3" xfId="19998" xr:uid="{00000000-0005-0000-0000-00002F3B0000}"/>
    <cellStyle name="Input 6 6 8" xfId="8391" xr:uid="{00000000-0005-0000-0000-0000303B0000}"/>
    <cellStyle name="Input 6 6 8 2" xfId="26814" xr:uid="{00000000-0005-0000-0000-0000313B0000}"/>
    <cellStyle name="Input 6 6 8 3" xfId="21682" xr:uid="{00000000-0005-0000-0000-0000323B0000}"/>
    <cellStyle name="Input 6 6 9" xfId="3883" xr:uid="{00000000-0005-0000-0000-0000333B0000}"/>
    <cellStyle name="Input 6 6 9 2" xfId="22350" xr:uid="{00000000-0005-0000-0000-0000343B0000}"/>
    <cellStyle name="Input 6 6 9 3" xfId="17565" xr:uid="{00000000-0005-0000-0000-0000353B0000}"/>
    <cellStyle name="Input 6 7" xfId="2187" xr:uid="{00000000-0005-0000-0000-0000363B0000}"/>
    <cellStyle name="Input 6 7 10" xfId="14586" xr:uid="{00000000-0005-0000-0000-0000373B0000}"/>
    <cellStyle name="Input 6 7 10 2" xfId="36099" xr:uid="{00000000-0005-0000-0000-0000383B0000}"/>
    <cellStyle name="Input 6 7 10 3" xfId="16879" xr:uid="{00000000-0005-0000-0000-0000393B0000}"/>
    <cellStyle name="Input 6 7 11" xfId="15476" xr:uid="{00000000-0005-0000-0000-00003A3B0000}"/>
    <cellStyle name="Input 6 7 11 2" xfId="36855" xr:uid="{00000000-0005-0000-0000-00003B3B0000}"/>
    <cellStyle name="Input 6 7 12" xfId="31274" xr:uid="{00000000-0005-0000-0000-00003C3B0000}"/>
    <cellStyle name="Input 6 7 2" xfId="3444" xr:uid="{00000000-0005-0000-0000-00003D3B0000}"/>
    <cellStyle name="Input 6 7 2 10" xfId="15318" xr:uid="{00000000-0005-0000-0000-00003E3B0000}"/>
    <cellStyle name="Input 6 7 2 10 2" xfId="36709" xr:uid="{00000000-0005-0000-0000-00003F3B0000}"/>
    <cellStyle name="Input 6 7 2 11" xfId="31504" xr:uid="{00000000-0005-0000-0000-0000403B0000}"/>
    <cellStyle name="Input 6 7 2 2" xfId="5580" xr:uid="{00000000-0005-0000-0000-0000413B0000}"/>
    <cellStyle name="Input 6 7 2 2 2" xfId="24033" xr:uid="{00000000-0005-0000-0000-0000423B0000}"/>
    <cellStyle name="Input 6 7 2 2 3" xfId="19168" xr:uid="{00000000-0005-0000-0000-0000433B0000}"/>
    <cellStyle name="Input 6 7 2 3" xfId="5102" xr:uid="{00000000-0005-0000-0000-0000443B0000}"/>
    <cellStyle name="Input 6 7 2 3 2" xfId="23562" xr:uid="{00000000-0005-0000-0000-0000453B0000}"/>
    <cellStyle name="Input 6 7 2 3 3" xfId="18716" xr:uid="{00000000-0005-0000-0000-0000463B0000}"/>
    <cellStyle name="Input 6 7 2 4" xfId="6033" xr:uid="{00000000-0005-0000-0000-0000473B0000}"/>
    <cellStyle name="Input 6 7 2 4 2" xfId="24474" xr:uid="{00000000-0005-0000-0000-0000483B0000}"/>
    <cellStyle name="Input 6 7 2 4 3" xfId="19583" xr:uid="{00000000-0005-0000-0000-0000493B0000}"/>
    <cellStyle name="Input 6 7 2 5" xfId="7616" xr:uid="{00000000-0005-0000-0000-00004A3B0000}"/>
    <cellStyle name="Input 6 7 2 5 2" xfId="26046" xr:uid="{00000000-0005-0000-0000-00004B3B0000}"/>
    <cellStyle name="Input 6 7 2 5 3" xfId="20971" xr:uid="{00000000-0005-0000-0000-00004C3B0000}"/>
    <cellStyle name="Input 6 7 2 6" xfId="7989" xr:uid="{00000000-0005-0000-0000-00004D3B0000}"/>
    <cellStyle name="Input 6 7 2 6 2" xfId="26419" xr:uid="{00000000-0005-0000-0000-00004E3B0000}"/>
    <cellStyle name="Input 6 7 2 6 3" xfId="21343" xr:uid="{00000000-0005-0000-0000-00004F3B0000}"/>
    <cellStyle name="Input 6 7 2 7" xfId="8713" xr:uid="{00000000-0005-0000-0000-0000503B0000}"/>
    <cellStyle name="Input 6 7 2 7 2" xfId="27133" xr:uid="{00000000-0005-0000-0000-0000513B0000}"/>
    <cellStyle name="Input 6 7 2 7 3" xfId="22004" xr:uid="{00000000-0005-0000-0000-0000523B0000}"/>
    <cellStyle name="Input 6 7 2 8" xfId="4205" xr:uid="{00000000-0005-0000-0000-0000533B0000}"/>
    <cellStyle name="Input 6 7 2 8 2" xfId="22669" xr:uid="{00000000-0005-0000-0000-0000543B0000}"/>
    <cellStyle name="Input 6 7 2 8 3" xfId="17887" xr:uid="{00000000-0005-0000-0000-0000553B0000}"/>
    <cellStyle name="Input 6 7 2 9" xfId="14520" xr:uid="{00000000-0005-0000-0000-0000563B0000}"/>
    <cellStyle name="Input 6 7 2 9 2" xfId="36048" xr:uid="{00000000-0005-0000-0000-0000573B0000}"/>
    <cellStyle name="Input 6 7 2 9 3" xfId="17214" xr:uid="{00000000-0005-0000-0000-0000583B0000}"/>
    <cellStyle name="Input 6 7 3" xfId="4822" xr:uid="{00000000-0005-0000-0000-0000593B0000}"/>
    <cellStyle name="Input 6 7 3 2" xfId="23282" xr:uid="{00000000-0005-0000-0000-00005A3B0000}"/>
    <cellStyle name="Input 6 7 3 3" xfId="18437" xr:uid="{00000000-0005-0000-0000-00005B3B0000}"/>
    <cellStyle name="Input 6 7 4" xfId="4585" xr:uid="{00000000-0005-0000-0000-00005C3B0000}"/>
    <cellStyle name="Input 6 7 4 2" xfId="23045" xr:uid="{00000000-0005-0000-0000-00005D3B0000}"/>
    <cellStyle name="Input 6 7 4 3" xfId="18262" xr:uid="{00000000-0005-0000-0000-00005E3B0000}"/>
    <cellStyle name="Input 6 7 5" xfId="6484" xr:uid="{00000000-0005-0000-0000-00005F3B0000}"/>
    <cellStyle name="Input 6 7 5 2" xfId="24924" xr:uid="{00000000-0005-0000-0000-0000603B0000}"/>
    <cellStyle name="Input 6 7 5 3" xfId="20033" xr:uid="{00000000-0005-0000-0000-0000613B0000}"/>
    <cellStyle name="Input 6 7 6" xfId="7003" xr:uid="{00000000-0005-0000-0000-0000623B0000}"/>
    <cellStyle name="Input 6 7 6 2" xfId="25441" xr:uid="{00000000-0005-0000-0000-0000633B0000}"/>
    <cellStyle name="Input 6 7 6 3" xfId="20384" xr:uid="{00000000-0005-0000-0000-0000643B0000}"/>
    <cellStyle name="Input 6 7 7" xfId="6448" xr:uid="{00000000-0005-0000-0000-0000653B0000}"/>
    <cellStyle name="Input 6 7 7 2" xfId="24888" xr:uid="{00000000-0005-0000-0000-0000663B0000}"/>
    <cellStyle name="Input 6 7 7 3" xfId="19997" xr:uid="{00000000-0005-0000-0000-0000673B0000}"/>
    <cellStyle name="Input 6 7 8" xfId="8392" xr:uid="{00000000-0005-0000-0000-0000683B0000}"/>
    <cellStyle name="Input 6 7 8 2" xfId="26815" xr:uid="{00000000-0005-0000-0000-0000693B0000}"/>
    <cellStyle name="Input 6 7 8 3" xfId="21683" xr:uid="{00000000-0005-0000-0000-00006A3B0000}"/>
    <cellStyle name="Input 6 7 9" xfId="3884" xr:uid="{00000000-0005-0000-0000-00006B3B0000}"/>
    <cellStyle name="Input 6 7 9 2" xfId="22351" xr:uid="{00000000-0005-0000-0000-00006C3B0000}"/>
    <cellStyle name="Input 6 7 9 3" xfId="17566" xr:uid="{00000000-0005-0000-0000-00006D3B0000}"/>
    <cellStyle name="Input 6 8" xfId="2188" xr:uid="{00000000-0005-0000-0000-00006E3B0000}"/>
    <cellStyle name="Input 6 8 10" xfId="14606" xr:uid="{00000000-0005-0000-0000-00006F3B0000}"/>
    <cellStyle name="Input 6 8 10 2" xfId="36109" xr:uid="{00000000-0005-0000-0000-0000703B0000}"/>
    <cellStyle name="Input 6 8 10 3" xfId="16880" xr:uid="{00000000-0005-0000-0000-0000713B0000}"/>
    <cellStyle name="Input 6 8 11" xfId="16336" xr:uid="{00000000-0005-0000-0000-0000723B0000}"/>
    <cellStyle name="Input 6 8 11 2" xfId="37639" xr:uid="{00000000-0005-0000-0000-0000733B0000}"/>
    <cellStyle name="Input 6 8 12" xfId="31275" xr:uid="{00000000-0005-0000-0000-0000743B0000}"/>
    <cellStyle name="Input 6 8 2" xfId="3445" xr:uid="{00000000-0005-0000-0000-0000753B0000}"/>
    <cellStyle name="Input 6 8 2 10" xfId="16555" xr:uid="{00000000-0005-0000-0000-0000763B0000}"/>
    <cellStyle name="Input 6 8 2 10 2" xfId="37771" xr:uid="{00000000-0005-0000-0000-0000773B0000}"/>
    <cellStyle name="Input 6 8 2 11" xfId="31505" xr:uid="{00000000-0005-0000-0000-0000783B0000}"/>
    <cellStyle name="Input 6 8 2 2" xfId="5581" xr:uid="{00000000-0005-0000-0000-0000793B0000}"/>
    <cellStyle name="Input 6 8 2 2 2" xfId="24034" xr:uid="{00000000-0005-0000-0000-00007A3B0000}"/>
    <cellStyle name="Input 6 8 2 2 3" xfId="19169" xr:uid="{00000000-0005-0000-0000-00007B3B0000}"/>
    <cellStyle name="Input 6 8 2 3" xfId="5103" xr:uid="{00000000-0005-0000-0000-00007C3B0000}"/>
    <cellStyle name="Input 6 8 2 3 2" xfId="23563" xr:uid="{00000000-0005-0000-0000-00007D3B0000}"/>
    <cellStyle name="Input 6 8 2 3 3" xfId="18717" xr:uid="{00000000-0005-0000-0000-00007E3B0000}"/>
    <cellStyle name="Input 6 8 2 4" xfId="6032" xr:uid="{00000000-0005-0000-0000-00007F3B0000}"/>
    <cellStyle name="Input 6 8 2 4 2" xfId="24473" xr:uid="{00000000-0005-0000-0000-0000803B0000}"/>
    <cellStyle name="Input 6 8 2 4 3" xfId="19582" xr:uid="{00000000-0005-0000-0000-0000813B0000}"/>
    <cellStyle name="Input 6 8 2 5" xfId="7617" xr:uid="{00000000-0005-0000-0000-0000823B0000}"/>
    <cellStyle name="Input 6 8 2 5 2" xfId="26047" xr:uid="{00000000-0005-0000-0000-0000833B0000}"/>
    <cellStyle name="Input 6 8 2 5 3" xfId="20972" xr:uid="{00000000-0005-0000-0000-0000843B0000}"/>
    <cellStyle name="Input 6 8 2 6" xfId="7990" xr:uid="{00000000-0005-0000-0000-0000853B0000}"/>
    <cellStyle name="Input 6 8 2 6 2" xfId="26420" xr:uid="{00000000-0005-0000-0000-0000863B0000}"/>
    <cellStyle name="Input 6 8 2 6 3" xfId="21344" xr:uid="{00000000-0005-0000-0000-0000873B0000}"/>
    <cellStyle name="Input 6 8 2 7" xfId="8714" xr:uid="{00000000-0005-0000-0000-0000883B0000}"/>
    <cellStyle name="Input 6 8 2 7 2" xfId="27134" xr:uid="{00000000-0005-0000-0000-0000893B0000}"/>
    <cellStyle name="Input 6 8 2 7 3" xfId="22005" xr:uid="{00000000-0005-0000-0000-00008A3B0000}"/>
    <cellStyle name="Input 6 8 2 8" xfId="4206" xr:uid="{00000000-0005-0000-0000-00008B3B0000}"/>
    <cellStyle name="Input 6 8 2 8 2" xfId="22670" xr:uid="{00000000-0005-0000-0000-00008C3B0000}"/>
    <cellStyle name="Input 6 8 2 8 3" xfId="17888" xr:uid="{00000000-0005-0000-0000-00008D3B0000}"/>
    <cellStyle name="Input 6 8 2 9" xfId="15168" xr:uid="{00000000-0005-0000-0000-00008E3B0000}"/>
    <cellStyle name="Input 6 8 2 9 2" xfId="36579" xr:uid="{00000000-0005-0000-0000-00008F3B0000}"/>
    <cellStyle name="Input 6 8 2 9 3" xfId="17215" xr:uid="{00000000-0005-0000-0000-0000903B0000}"/>
    <cellStyle name="Input 6 8 3" xfId="4823" xr:uid="{00000000-0005-0000-0000-0000913B0000}"/>
    <cellStyle name="Input 6 8 3 2" xfId="23283" xr:uid="{00000000-0005-0000-0000-0000923B0000}"/>
    <cellStyle name="Input 6 8 3 3" xfId="18438" xr:uid="{00000000-0005-0000-0000-0000933B0000}"/>
    <cellStyle name="Input 6 8 4" xfId="4586" xr:uid="{00000000-0005-0000-0000-0000943B0000}"/>
    <cellStyle name="Input 6 8 4 2" xfId="23046" xr:uid="{00000000-0005-0000-0000-0000953B0000}"/>
    <cellStyle name="Input 6 8 4 3" xfId="18263" xr:uid="{00000000-0005-0000-0000-0000963B0000}"/>
    <cellStyle name="Input 6 8 5" xfId="6483" xr:uid="{00000000-0005-0000-0000-0000973B0000}"/>
    <cellStyle name="Input 6 8 5 2" xfId="24923" xr:uid="{00000000-0005-0000-0000-0000983B0000}"/>
    <cellStyle name="Input 6 8 5 3" xfId="20032" xr:uid="{00000000-0005-0000-0000-0000993B0000}"/>
    <cellStyle name="Input 6 8 6" xfId="7004" xr:uid="{00000000-0005-0000-0000-00009A3B0000}"/>
    <cellStyle name="Input 6 8 6 2" xfId="25442" xr:uid="{00000000-0005-0000-0000-00009B3B0000}"/>
    <cellStyle name="Input 6 8 6 3" xfId="20385" xr:uid="{00000000-0005-0000-0000-00009C3B0000}"/>
    <cellStyle name="Input 6 8 7" xfId="6447" xr:uid="{00000000-0005-0000-0000-00009D3B0000}"/>
    <cellStyle name="Input 6 8 7 2" xfId="24887" xr:uid="{00000000-0005-0000-0000-00009E3B0000}"/>
    <cellStyle name="Input 6 8 7 3" xfId="19996" xr:uid="{00000000-0005-0000-0000-00009F3B0000}"/>
    <cellStyle name="Input 6 8 8" xfId="8393" xr:uid="{00000000-0005-0000-0000-0000A03B0000}"/>
    <cellStyle name="Input 6 8 8 2" xfId="26816" xr:uid="{00000000-0005-0000-0000-0000A13B0000}"/>
    <cellStyle name="Input 6 8 8 3" xfId="21684" xr:uid="{00000000-0005-0000-0000-0000A23B0000}"/>
    <cellStyle name="Input 6 8 9" xfId="3885" xr:uid="{00000000-0005-0000-0000-0000A33B0000}"/>
    <cellStyle name="Input 6 8 9 2" xfId="22352" xr:uid="{00000000-0005-0000-0000-0000A43B0000}"/>
    <cellStyle name="Input 6 8 9 3" xfId="17567" xr:uid="{00000000-0005-0000-0000-0000A53B0000}"/>
    <cellStyle name="Input 6 9" xfId="2189" xr:uid="{00000000-0005-0000-0000-0000A63B0000}"/>
    <cellStyle name="Input 6 9 10" xfId="14635" xr:uid="{00000000-0005-0000-0000-0000A73B0000}"/>
    <cellStyle name="Input 6 9 10 2" xfId="36128" xr:uid="{00000000-0005-0000-0000-0000A83B0000}"/>
    <cellStyle name="Input 6 9 10 3" xfId="16881" xr:uid="{00000000-0005-0000-0000-0000A93B0000}"/>
    <cellStyle name="Input 6 9 11" xfId="14607" xr:uid="{00000000-0005-0000-0000-0000AA3B0000}"/>
    <cellStyle name="Input 6 9 11 2" xfId="36110" xr:uid="{00000000-0005-0000-0000-0000AB3B0000}"/>
    <cellStyle name="Input 6 9 12" xfId="31276" xr:uid="{00000000-0005-0000-0000-0000AC3B0000}"/>
    <cellStyle name="Input 6 9 2" xfId="3446" xr:uid="{00000000-0005-0000-0000-0000AD3B0000}"/>
    <cellStyle name="Input 6 9 2 10" xfId="14968" xr:uid="{00000000-0005-0000-0000-0000AE3B0000}"/>
    <cellStyle name="Input 6 9 2 10 2" xfId="36401" xr:uid="{00000000-0005-0000-0000-0000AF3B0000}"/>
    <cellStyle name="Input 6 9 2 11" xfId="31506" xr:uid="{00000000-0005-0000-0000-0000B03B0000}"/>
    <cellStyle name="Input 6 9 2 2" xfId="5582" xr:uid="{00000000-0005-0000-0000-0000B13B0000}"/>
    <cellStyle name="Input 6 9 2 2 2" xfId="24035" xr:uid="{00000000-0005-0000-0000-0000B23B0000}"/>
    <cellStyle name="Input 6 9 2 2 3" xfId="19170" xr:uid="{00000000-0005-0000-0000-0000B33B0000}"/>
    <cellStyle name="Input 6 9 2 3" xfId="5104" xr:uid="{00000000-0005-0000-0000-0000B43B0000}"/>
    <cellStyle name="Input 6 9 2 3 2" xfId="23564" xr:uid="{00000000-0005-0000-0000-0000B53B0000}"/>
    <cellStyle name="Input 6 9 2 3 3" xfId="18718" xr:uid="{00000000-0005-0000-0000-0000B63B0000}"/>
    <cellStyle name="Input 6 9 2 4" xfId="6031" xr:uid="{00000000-0005-0000-0000-0000B73B0000}"/>
    <cellStyle name="Input 6 9 2 4 2" xfId="24472" xr:uid="{00000000-0005-0000-0000-0000B83B0000}"/>
    <cellStyle name="Input 6 9 2 4 3" xfId="19581" xr:uid="{00000000-0005-0000-0000-0000B93B0000}"/>
    <cellStyle name="Input 6 9 2 5" xfId="7618" xr:uid="{00000000-0005-0000-0000-0000BA3B0000}"/>
    <cellStyle name="Input 6 9 2 5 2" xfId="26048" xr:uid="{00000000-0005-0000-0000-0000BB3B0000}"/>
    <cellStyle name="Input 6 9 2 5 3" xfId="20973" xr:uid="{00000000-0005-0000-0000-0000BC3B0000}"/>
    <cellStyle name="Input 6 9 2 6" xfId="7991" xr:uid="{00000000-0005-0000-0000-0000BD3B0000}"/>
    <cellStyle name="Input 6 9 2 6 2" xfId="26421" xr:uid="{00000000-0005-0000-0000-0000BE3B0000}"/>
    <cellStyle name="Input 6 9 2 6 3" xfId="21345" xr:uid="{00000000-0005-0000-0000-0000BF3B0000}"/>
    <cellStyle name="Input 6 9 2 7" xfId="8715" xr:uid="{00000000-0005-0000-0000-0000C03B0000}"/>
    <cellStyle name="Input 6 9 2 7 2" xfId="27135" xr:uid="{00000000-0005-0000-0000-0000C13B0000}"/>
    <cellStyle name="Input 6 9 2 7 3" xfId="22006" xr:uid="{00000000-0005-0000-0000-0000C23B0000}"/>
    <cellStyle name="Input 6 9 2 8" xfId="4207" xr:uid="{00000000-0005-0000-0000-0000C33B0000}"/>
    <cellStyle name="Input 6 9 2 8 2" xfId="22671" xr:uid="{00000000-0005-0000-0000-0000C43B0000}"/>
    <cellStyle name="Input 6 9 2 8 3" xfId="17889" xr:uid="{00000000-0005-0000-0000-0000C53B0000}"/>
    <cellStyle name="Input 6 9 2 9" xfId="14521" xr:uid="{00000000-0005-0000-0000-0000C63B0000}"/>
    <cellStyle name="Input 6 9 2 9 2" xfId="36049" xr:uid="{00000000-0005-0000-0000-0000C73B0000}"/>
    <cellStyle name="Input 6 9 2 9 3" xfId="17216" xr:uid="{00000000-0005-0000-0000-0000C83B0000}"/>
    <cellStyle name="Input 6 9 3" xfId="4824" xr:uid="{00000000-0005-0000-0000-0000C93B0000}"/>
    <cellStyle name="Input 6 9 3 2" xfId="23284" xr:uid="{00000000-0005-0000-0000-0000CA3B0000}"/>
    <cellStyle name="Input 6 9 3 3" xfId="18439" xr:uid="{00000000-0005-0000-0000-0000CB3B0000}"/>
    <cellStyle name="Input 6 9 4" xfId="4587" xr:uid="{00000000-0005-0000-0000-0000CC3B0000}"/>
    <cellStyle name="Input 6 9 4 2" xfId="23047" xr:uid="{00000000-0005-0000-0000-0000CD3B0000}"/>
    <cellStyle name="Input 6 9 4 3" xfId="18264" xr:uid="{00000000-0005-0000-0000-0000CE3B0000}"/>
    <cellStyle name="Input 6 9 5" xfId="6482" xr:uid="{00000000-0005-0000-0000-0000CF3B0000}"/>
    <cellStyle name="Input 6 9 5 2" xfId="24922" xr:uid="{00000000-0005-0000-0000-0000D03B0000}"/>
    <cellStyle name="Input 6 9 5 3" xfId="20031" xr:uid="{00000000-0005-0000-0000-0000D13B0000}"/>
    <cellStyle name="Input 6 9 6" xfId="7005" xr:uid="{00000000-0005-0000-0000-0000D23B0000}"/>
    <cellStyle name="Input 6 9 6 2" xfId="25443" xr:uid="{00000000-0005-0000-0000-0000D33B0000}"/>
    <cellStyle name="Input 6 9 6 3" xfId="20386" xr:uid="{00000000-0005-0000-0000-0000D43B0000}"/>
    <cellStyle name="Input 6 9 7" xfId="6446" xr:uid="{00000000-0005-0000-0000-0000D53B0000}"/>
    <cellStyle name="Input 6 9 7 2" xfId="24886" xr:uid="{00000000-0005-0000-0000-0000D63B0000}"/>
    <cellStyle name="Input 6 9 7 3" xfId="19995" xr:uid="{00000000-0005-0000-0000-0000D73B0000}"/>
    <cellStyle name="Input 6 9 8" xfId="8394" xr:uid="{00000000-0005-0000-0000-0000D83B0000}"/>
    <cellStyle name="Input 6 9 8 2" xfId="26817" xr:uid="{00000000-0005-0000-0000-0000D93B0000}"/>
    <cellStyle name="Input 6 9 8 3" xfId="21685" xr:uid="{00000000-0005-0000-0000-0000DA3B0000}"/>
    <cellStyle name="Input 6 9 9" xfId="3886" xr:uid="{00000000-0005-0000-0000-0000DB3B0000}"/>
    <cellStyle name="Input 6 9 9 2" xfId="22353" xr:uid="{00000000-0005-0000-0000-0000DC3B0000}"/>
    <cellStyle name="Input 6 9 9 3" xfId="17568" xr:uid="{00000000-0005-0000-0000-0000DD3B0000}"/>
    <cellStyle name="Input 7" xfId="2190" xr:uid="{00000000-0005-0000-0000-0000DE3B0000}"/>
    <cellStyle name="Input 7 10" xfId="14820" xr:uid="{00000000-0005-0000-0000-0000DF3B0000}"/>
    <cellStyle name="Input 7 10 2" xfId="36275" xr:uid="{00000000-0005-0000-0000-0000E03B0000}"/>
    <cellStyle name="Input 7 10 3" xfId="16882" xr:uid="{00000000-0005-0000-0000-0000E13B0000}"/>
    <cellStyle name="Input 7 11" xfId="15026" xr:uid="{00000000-0005-0000-0000-0000E23B0000}"/>
    <cellStyle name="Input 7 11 2" xfId="36451" xr:uid="{00000000-0005-0000-0000-0000E33B0000}"/>
    <cellStyle name="Input 7 12" xfId="31277" xr:uid="{00000000-0005-0000-0000-0000E43B0000}"/>
    <cellStyle name="Input 7 2" xfId="3447" xr:uid="{00000000-0005-0000-0000-0000E53B0000}"/>
    <cellStyle name="Input 7 2 10" xfId="14843" xr:uid="{00000000-0005-0000-0000-0000E63B0000}"/>
    <cellStyle name="Input 7 2 10 2" xfId="36293" xr:uid="{00000000-0005-0000-0000-0000E73B0000}"/>
    <cellStyle name="Input 7 2 11" xfId="31507" xr:uid="{00000000-0005-0000-0000-0000E83B0000}"/>
    <cellStyle name="Input 7 2 12" xfId="39666" xr:uid="{00000000-0005-0000-0000-00008C0A0000}"/>
    <cellStyle name="Input 7 2 13" xfId="41320" xr:uid="{00000000-0005-0000-0000-00008C0A0000}"/>
    <cellStyle name="Input 7 2 2" xfId="5583" xr:uid="{00000000-0005-0000-0000-0000E93B0000}"/>
    <cellStyle name="Input 7 2 2 2" xfId="24036" xr:uid="{00000000-0005-0000-0000-0000EA3B0000}"/>
    <cellStyle name="Input 7 2 2 3" xfId="19171" xr:uid="{00000000-0005-0000-0000-0000EB3B0000}"/>
    <cellStyle name="Input 7 2 3" xfId="5105" xr:uid="{00000000-0005-0000-0000-0000EC3B0000}"/>
    <cellStyle name="Input 7 2 3 2" xfId="23565" xr:uid="{00000000-0005-0000-0000-0000ED3B0000}"/>
    <cellStyle name="Input 7 2 3 3" xfId="18719" xr:uid="{00000000-0005-0000-0000-0000EE3B0000}"/>
    <cellStyle name="Input 7 2 4" xfId="6030" xr:uid="{00000000-0005-0000-0000-0000EF3B0000}"/>
    <cellStyle name="Input 7 2 4 2" xfId="24471" xr:uid="{00000000-0005-0000-0000-0000F03B0000}"/>
    <cellStyle name="Input 7 2 4 3" xfId="19580" xr:uid="{00000000-0005-0000-0000-0000F13B0000}"/>
    <cellStyle name="Input 7 2 5" xfId="7619" xr:uid="{00000000-0005-0000-0000-0000F23B0000}"/>
    <cellStyle name="Input 7 2 5 2" xfId="26049" xr:uid="{00000000-0005-0000-0000-0000F33B0000}"/>
    <cellStyle name="Input 7 2 5 3" xfId="20974" xr:uid="{00000000-0005-0000-0000-0000F43B0000}"/>
    <cellStyle name="Input 7 2 6" xfId="7992" xr:uid="{00000000-0005-0000-0000-0000F53B0000}"/>
    <cellStyle name="Input 7 2 6 2" xfId="26422" xr:uid="{00000000-0005-0000-0000-0000F63B0000}"/>
    <cellStyle name="Input 7 2 6 3" xfId="21346" xr:uid="{00000000-0005-0000-0000-0000F73B0000}"/>
    <cellStyle name="Input 7 2 7" xfId="8716" xr:uid="{00000000-0005-0000-0000-0000F83B0000}"/>
    <cellStyle name="Input 7 2 7 2" xfId="27136" xr:uid="{00000000-0005-0000-0000-0000F93B0000}"/>
    <cellStyle name="Input 7 2 7 3" xfId="22007" xr:uid="{00000000-0005-0000-0000-0000FA3B0000}"/>
    <cellStyle name="Input 7 2 8" xfId="4208" xr:uid="{00000000-0005-0000-0000-0000FB3B0000}"/>
    <cellStyle name="Input 7 2 8 2" xfId="22672" xr:uid="{00000000-0005-0000-0000-0000FC3B0000}"/>
    <cellStyle name="Input 7 2 8 3" xfId="17890" xr:uid="{00000000-0005-0000-0000-0000FD3B0000}"/>
    <cellStyle name="Input 7 2 9" xfId="15169" xr:uid="{00000000-0005-0000-0000-0000FE3B0000}"/>
    <cellStyle name="Input 7 2 9 2" xfId="36580" xr:uid="{00000000-0005-0000-0000-0000FF3B0000}"/>
    <cellStyle name="Input 7 2 9 3" xfId="17217" xr:uid="{00000000-0005-0000-0000-0000003C0000}"/>
    <cellStyle name="Input 7 3" xfId="4825" xr:uid="{00000000-0005-0000-0000-0000013C0000}"/>
    <cellStyle name="Input 7 3 2" xfId="23285" xr:uid="{00000000-0005-0000-0000-0000023C0000}"/>
    <cellStyle name="Input 7 3 3" xfId="18440" xr:uid="{00000000-0005-0000-0000-0000033C0000}"/>
    <cellStyle name="Input 7 4" xfId="4588" xr:uid="{00000000-0005-0000-0000-0000043C0000}"/>
    <cellStyle name="Input 7 4 2" xfId="23048" xr:uid="{00000000-0005-0000-0000-0000053C0000}"/>
    <cellStyle name="Input 7 4 3" xfId="18265" xr:uid="{00000000-0005-0000-0000-0000063C0000}"/>
    <cellStyle name="Input 7 5" xfId="6481" xr:uid="{00000000-0005-0000-0000-0000073C0000}"/>
    <cellStyle name="Input 7 5 2" xfId="24921" xr:uid="{00000000-0005-0000-0000-0000083C0000}"/>
    <cellStyle name="Input 7 5 3" xfId="20030" xr:uid="{00000000-0005-0000-0000-0000093C0000}"/>
    <cellStyle name="Input 7 6" xfId="7006" xr:uid="{00000000-0005-0000-0000-00000A3C0000}"/>
    <cellStyle name="Input 7 6 2" xfId="25444" xr:uid="{00000000-0005-0000-0000-00000B3C0000}"/>
    <cellStyle name="Input 7 6 3" xfId="20387" xr:uid="{00000000-0005-0000-0000-00000C3C0000}"/>
    <cellStyle name="Input 7 7" xfId="6445" xr:uid="{00000000-0005-0000-0000-00000D3C0000}"/>
    <cellStyle name="Input 7 7 2" xfId="24885" xr:uid="{00000000-0005-0000-0000-00000E3C0000}"/>
    <cellStyle name="Input 7 7 3" xfId="19994" xr:uid="{00000000-0005-0000-0000-00000F3C0000}"/>
    <cellStyle name="Input 7 8" xfId="8395" xr:uid="{00000000-0005-0000-0000-0000103C0000}"/>
    <cellStyle name="Input 7 8 2" xfId="26818" xr:uid="{00000000-0005-0000-0000-0000113C0000}"/>
    <cellStyle name="Input 7 8 3" xfId="21686" xr:uid="{00000000-0005-0000-0000-0000123C0000}"/>
    <cellStyle name="Input 7 9" xfId="3887" xr:uid="{00000000-0005-0000-0000-0000133C0000}"/>
    <cellStyle name="Input 7 9 2" xfId="22354" xr:uid="{00000000-0005-0000-0000-0000143C0000}"/>
    <cellStyle name="Input 7 9 3" xfId="17569" xr:uid="{00000000-0005-0000-0000-0000153C0000}"/>
    <cellStyle name="Input 8" xfId="2191" xr:uid="{00000000-0005-0000-0000-0000163C0000}"/>
    <cellStyle name="Input 8 10" xfId="14697" xr:uid="{00000000-0005-0000-0000-0000173C0000}"/>
    <cellStyle name="Input 8 10 2" xfId="36179" xr:uid="{00000000-0005-0000-0000-0000183C0000}"/>
    <cellStyle name="Input 8 10 3" xfId="16883" xr:uid="{00000000-0005-0000-0000-0000193C0000}"/>
    <cellStyle name="Input 8 11" xfId="15027" xr:uid="{00000000-0005-0000-0000-00001A3C0000}"/>
    <cellStyle name="Input 8 11 2" xfId="36452" xr:uid="{00000000-0005-0000-0000-00001B3C0000}"/>
    <cellStyle name="Input 8 12" xfId="31278" xr:uid="{00000000-0005-0000-0000-00001C3C0000}"/>
    <cellStyle name="Input 8 2" xfId="3448" xr:uid="{00000000-0005-0000-0000-00001D3C0000}"/>
    <cellStyle name="Input 8 2 10" xfId="15617" xr:uid="{00000000-0005-0000-0000-00001E3C0000}"/>
    <cellStyle name="Input 8 2 10 2" xfId="36992" xr:uid="{00000000-0005-0000-0000-00001F3C0000}"/>
    <cellStyle name="Input 8 2 11" xfId="31508" xr:uid="{00000000-0005-0000-0000-0000203C0000}"/>
    <cellStyle name="Input 8 2 12" xfId="39667" xr:uid="{00000000-0005-0000-0000-00008D0A0000}"/>
    <cellStyle name="Input 8 2 13" xfId="41321" xr:uid="{00000000-0005-0000-0000-00008D0A0000}"/>
    <cellStyle name="Input 8 2 2" xfId="5584" xr:uid="{00000000-0005-0000-0000-0000213C0000}"/>
    <cellStyle name="Input 8 2 2 2" xfId="24037" xr:uid="{00000000-0005-0000-0000-0000223C0000}"/>
    <cellStyle name="Input 8 2 2 3" xfId="19172" xr:uid="{00000000-0005-0000-0000-0000233C0000}"/>
    <cellStyle name="Input 8 2 3" xfId="5106" xr:uid="{00000000-0005-0000-0000-0000243C0000}"/>
    <cellStyle name="Input 8 2 3 2" xfId="23566" xr:uid="{00000000-0005-0000-0000-0000253C0000}"/>
    <cellStyle name="Input 8 2 3 3" xfId="18720" xr:uid="{00000000-0005-0000-0000-0000263C0000}"/>
    <cellStyle name="Input 8 2 4" xfId="6029" xr:uid="{00000000-0005-0000-0000-0000273C0000}"/>
    <cellStyle name="Input 8 2 4 2" xfId="24470" xr:uid="{00000000-0005-0000-0000-0000283C0000}"/>
    <cellStyle name="Input 8 2 4 3" xfId="19579" xr:uid="{00000000-0005-0000-0000-0000293C0000}"/>
    <cellStyle name="Input 8 2 5" xfId="7620" xr:uid="{00000000-0005-0000-0000-00002A3C0000}"/>
    <cellStyle name="Input 8 2 5 2" xfId="26050" xr:uid="{00000000-0005-0000-0000-00002B3C0000}"/>
    <cellStyle name="Input 8 2 5 3" xfId="20975" xr:uid="{00000000-0005-0000-0000-00002C3C0000}"/>
    <cellStyle name="Input 8 2 6" xfId="7993" xr:uid="{00000000-0005-0000-0000-00002D3C0000}"/>
    <cellStyle name="Input 8 2 6 2" xfId="26423" xr:uid="{00000000-0005-0000-0000-00002E3C0000}"/>
    <cellStyle name="Input 8 2 6 3" xfId="21347" xr:uid="{00000000-0005-0000-0000-00002F3C0000}"/>
    <cellStyle name="Input 8 2 7" xfId="8717" xr:uid="{00000000-0005-0000-0000-0000303C0000}"/>
    <cellStyle name="Input 8 2 7 2" xfId="27137" xr:uid="{00000000-0005-0000-0000-0000313C0000}"/>
    <cellStyle name="Input 8 2 7 3" xfId="22008" xr:uid="{00000000-0005-0000-0000-0000323C0000}"/>
    <cellStyle name="Input 8 2 8" xfId="4209" xr:uid="{00000000-0005-0000-0000-0000333C0000}"/>
    <cellStyle name="Input 8 2 8 2" xfId="22673" xr:uid="{00000000-0005-0000-0000-0000343C0000}"/>
    <cellStyle name="Input 8 2 8 3" xfId="17891" xr:uid="{00000000-0005-0000-0000-0000353C0000}"/>
    <cellStyle name="Input 8 2 9" xfId="14821" xr:uid="{00000000-0005-0000-0000-0000363C0000}"/>
    <cellStyle name="Input 8 2 9 2" xfId="36276" xr:uid="{00000000-0005-0000-0000-0000373C0000}"/>
    <cellStyle name="Input 8 2 9 3" xfId="17218" xr:uid="{00000000-0005-0000-0000-0000383C0000}"/>
    <cellStyle name="Input 8 3" xfId="4826" xr:uid="{00000000-0005-0000-0000-0000393C0000}"/>
    <cellStyle name="Input 8 3 2" xfId="23286" xr:uid="{00000000-0005-0000-0000-00003A3C0000}"/>
    <cellStyle name="Input 8 3 3" xfId="18441" xr:uid="{00000000-0005-0000-0000-00003B3C0000}"/>
    <cellStyle name="Input 8 4" xfId="4589" xr:uid="{00000000-0005-0000-0000-00003C3C0000}"/>
    <cellStyle name="Input 8 4 2" xfId="23049" xr:uid="{00000000-0005-0000-0000-00003D3C0000}"/>
    <cellStyle name="Input 8 4 3" xfId="18266" xr:uid="{00000000-0005-0000-0000-00003E3C0000}"/>
    <cellStyle name="Input 8 5" xfId="6480" xr:uid="{00000000-0005-0000-0000-00003F3C0000}"/>
    <cellStyle name="Input 8 5 2" xfId="24920" xr:uid="{00000000-0005-0000-0000-0000403C0000}"/>
    <cellStyle name="Input 8 5 3" xfId="20029" xr:uid="{00000000-0005-0000-0000-0000413C0000}"/>
    <cellStyle name="Input 8 6" xfId="7007" xr:uid="{00000000-0005-0000-0000-0000423C0000}"/>
    <cellStyle name="Input 8 6 2" xfId="25445" xr:uid="{00000000-0005-0000-0000-0000433C0000}"/>
    <cellStyle name="Input 8 6 3" xfId="20388" xr:uid="{00000000-0005-0000-0000-0000443C0000}"/>
    <cellStyle name="Input 8 7" xfId="6444" xr:uid="{00000000-0005-0000-0000-0000453C0000}"/>
    <cellStyle name="Input 8 7 2" xfId="24884" xr:uid="{00000000-0005-0000-0000-0000463C0000}"/>
    <cellStyle name="Input 8 7 3" xfId="19993" xr:uid="{00000000-0005-0000-0000-0000473C0000}"/>
    <cellStyle name="Input 8 8" xfId="8396" xr:uid="{00000000-0005-0000-0000-0000483C0000}"/>
    <cellStyle name="Input 8 8 2" xfId="26819" xr:uid="{00000000-0005-0000-0000-0000493C0000}"/>
    <cellStyle name="Input 8 8 3" xfId="21687" xr:uid="{00000000-0005-0000-0000-00004A3C0000}"/>
    <cellStyle name="Input 8 9" xfId="3888" xr:uid="{00000000-0005-0000-0000-00004B3C0000}"/>
    <cellStyle name="Input 8 9 2" xfId="22355" xr:uid="{00000000-0005-0000-0000-00004C3C0000}"/>
    <cellStyle name="Input 8 9 3" xfId="17570" xr:uid="{00000000-0005-0000-0000-00004D3C0000}"/>
    <cellStyle name="Input 9" xfId="2192" xr:uid="{00000000-0005-0000-0000-00004E3C0000}"/>
    <cellStyle name="Input 9 10" xfId="16402" xr:uid="{00000000-0005-0000-0000-00004F3C0000}"/>
    <cellStyle name="Input 9 10 2" xfId="37691" xr:uid="{00000000-0005-0000-0000-0000503C0000}"/>
    <cellStyle name="Input 9 10 3" xfId="16884" xr:uid="{00000000-0005-0000-0000-0000513C0000}"/>
    <cellStyle name="Input 9 11" xfId="15477" xr:uid="{00000000-0005-0000-0000-0000523C0000}"/>
    <cellStyle name="Input 9 11 2" xfId="36856" xr:uid="{00000000-0005-0000-0000-0000533C0000}"/>
    <cellStyle name="Input 9 12" xfId="31279" xr:uid="{00000000-0005-0000-0000-0000543C0000}"/>
    <cellStyle name="Input 9 2" xfId="3449" xr:uid="{00000000-0005-0000-0000-0000553C0000}"/>
    <cellStyle name="Input 9 2 10" xfId="15641" xr:uid="{00000000-0005-0000-0000-0000563C0000}"/>
    <cellStyle name="Input 9 2 10 2" xfId="37016" xr:uid="{00000000-0005-0000-0000-0000573C0000}"/>
    <cellStyle name="Input 9 2 11" xfId="31509" xr:uid="{00000000-0005-0000-0000-0000583C0000}"/>
    <cellStyle name="Input 9 2 12" xfId="39668" xr:uid="{00000000-0005-0000-0000-00008E0A0000}"/>
    <cellStyle name="Input 9 2 13" xfId="41322" xr:uid="{00000000-0005-0000-0000-00008E0A0000}"/>
    <cellStyle name="Input 9 2 2" xfId="5585" xr:uid="{00000000-0005-0000-0000-0000593C0000}"/>
    <cellStyle name="Input 9 2 2 2" xfId="24038" xr:uid="{00000000-0005-0000-0000-00005A3C0000}"/>
    <cellStyle name="Input 9 2 2 3" xfId="19173" xr:uid="{00000000-0005-0000-0000-00005B3C0000}"/>
    <cellStyle name="Input 9 2 3" xfId="5107" xr:uid="{00000000-0005-0000-0000-00005C3C0000}"/>
    <cellStyle name="Input 9 2 3 2" xfId="23567" xr:uid="{00000000-0005-0000-0000-00005D3C0000}"/>
    <cellStyle name="Input 9 2 3 3" xfId="18721" xr:uid="{00000000-0005-0000-0000-00005E3C0000}"/>
    <cellStyle name="Input 9 2 4" xfId="6028" xr:uid="{00000000-0005-0000-0000-00005F3C0000}"/>
    <cellStyle name="Input 9 2 4 2" xfId="24469" xr:uid="{00000000-0005-0000-0000-0000603C0000}"/>
    <cellStyle name="Input 9 2 4 3" xfId="19578" xr:uid="{00000000-0005-0000-0000-0000613C0000}"/>
    <cellStyle name="Input 9 2 5" xfId="7621" xr:uid="{00000000-0005-0000-0000-0000623C0000}"/>
    <cellStyle name="Input 9 2 5 2" xfId="26051" xr:uid="{00000000-0005-0000-0000-0000633C0000}"/>
    <cellStyle name="Input 9 2 5 3" xfId="20976" xr:uid="{00000000-0005-0000-0000-0000643C0000}"/>
    <cellStyle name="Input 9 2 6" xfId="7994" xr:uid="{00000000-0005-0000-0000-0000653C0000}"/>
    <cellStyle name="Input 9 2 6 2" xfId="26424" xr:uid="{00000000-0005-0000-0000-0000663C0000}"/>
    <cellStyle name="Input 9 2 6 3" xfId="21348" xr:uid="{00000000-0005-0000-0000-0000673C0000}"/>
    <cellStyle name="Input 9 2 7" xfId="8718" xr:uid="{00000000-0005-0000-0000-0000683C0000}"/>
    <cellStyle name="Input 9 2 7 2" xfId="27138" xr:uid="{00000000-0005-0000-0000-0000693C0000}"/>
    <cellStyle name="Input 9 2 7 3" xfId="22009" xr:uid="{00000000-0005-0000-0000-00006A3C0000}"/>
    <cellStyle name="Input 9 2 8" xfId="4210" xr:uid="{00000000-0005-0000-0000-00006B3C0000}"/>
    <cellStyle name="Input 9 2 8 2" xfId="22674" xr:uid="{00000000-0005-0000-0000-00006C3C0000}"/>
    <cellStyle name="Input 9 2 8 3" xfId="17892" xr:uid="{00000000-0005-0000-0000-00006D3C0000}"/>
    <cellStyle name="Input 9 2 9" xfId="16372" xr:uid="{00000000-0005-0000-0000-00006E3C0000}"/>
    <cellStyle name="Input 9 2 9 2" xfId="37674" xr:uid="{00000000-0005-0000-0000-00006F3C0000}"/>
    <cellStyle name="Input 9 2 9 3" xfId="17219" xr:uid="{00000000-0005-0000-0000-0000703C0000}"/>
    <cellStyle name="Input 9 3" xfId="4827" xr:uid="{00000000-0005-0000-0000-0000713C0000}"/>
    <cellStyle name="Input 9 3 2" xfId="23287" xr:uid="{00000000-0005-0000-0000-0000723C0000}"/>
    <cellStyle name="Input 9 3 3" xfId="18442" xr:uid="{00000000-0005-0000-0000-0000733C0000}"/>
    <cellStyle name="Input 9 4" xfId="4590" xr:uid="{00000000-0005-0000-0000-0000743C0000}"/>
    <cellStyle name="Input 9 4 2" xfId="23050" xr:uid="{00000000-0005-0000-0000-0000753C0000}"/>
    <cellStyle name="Input 9 4 3" xfId="18267" xr:uid="{00000000-0005-0000-0000-0000763C0000}"/>
    <cellStyle name="Input 9 5" xfId="6479" xr:uid="{00000000-0005-0000-0000-0000773C0000}"/>
    <cellStyle name="Input 9 5 2" xfId="24919" xr:uid="{00000000-0005-0000-0000-0000783C0000}"/>
    <cellStyle name="Input 9 5 3" xfId="20028" xr:uid="{00000000-0005-0000-0000-0000793C0000}"/>
    <cellStyle name="Input 9 6" xfId="7008" xr:uid="{00000000-0005-0000-0000-00007A3C0000}"/>
    <cellStyle name="Input 9 6 2" xfId="25446" xr:uid="{00000000-0005-0000-0000-00007B3C0000}"/>
    <cellStyle name="Input 9 6 3" xfId="20389" xr:uid="{00000000-0005-0000-0000-00007C3C0000}"/>
    <cellStyle name="Input 9 7" xfId="6443" xr:uid="{00000000-0005-0000-0000-00007D3C0000}"/>
    <cellStyle name="Input 9 7 2" xfId="24883" xr:uid="{00000000-0005-0000-0000-00007E3C0000}"/>
    <cellStyle name="Input 9 7 3" xfId="19992" xr:uid="{00000000-0005-0000-0000-00007F3C0000}"/>
    <cellStyle name="Input 9 8" xfId="8397" xr:uid="{00000000-0005-0000-0000-0000803C0000}"/>
    <cellStyle name="Input 9 8 2" xfId="26820" xr:uid="{00000000-0005-0000-0000-0000813C0000}"/>
    <cellStyle name="Input 9 8 3" xfId="21688" xr:uid="{00000000-0005-0000-0000-0000823C0000}"/>
    <cellStyle name="Input 9 9" xfId="3889" xr:uid="{00000000-0005-0000-0000-0000833C0000}"/>
    <cellStyle name="Input 9 9 2" xfId="22356" xr:uid="{00000000-0005-0000-0000-0000843C0000}"/>
    <cellStyle name="Input 9 9 3" xfId="17571" xr:uid="{00000000-0005-0000-0000-0000853C0000}"/>
    <cellStyle name="InputCells" xfId="2193" xr:uid="{00000000-0005-0000-0000-0000863C0000}"/>
    <cellStyle name="InputCells 2" xfId="11529" xr:uid="{00000000-0005-0000-0000-0000873C0000}"/>
    <cellStyle name="InputCells12" xfId="11517" xr:uid="{00000000-0005-0000-0000-0000883C0000}"/>
    <cellStyle name="InputCells12 2" xfId="10527" xr:uid="{00000000-0005-0000-0000-0000893C0000}"/>
    <cellStyle name="InputCells12 2 2" xfId="15401" xr:uid="{00000000-0005-0000-0000-00008A3C0000}"/>
    <cellStyle name="InputCells12 2 2 2" xfId="36785" xr:uid="{00000000-0005-0000-0000-00008B3C0000}"/>
    <cellStyle name="InputCells12 2 3" xfId="15988" xr:uid="{00000000-0005-0000-0000-00008C3C0000}"/>
    <cellStyle name="InputCells12 3" xfId="14652" xr:uid="{00000000-0005-0000-0000-00008D3C0000}"/>
    <cellStyle name="InputCells12 3 2" xfId="36136" xr:uid="{00000000-0005-0000-0000-00008E3C0000}"/>
    <cellStyle name="InputCells12 4" xfId="14807" xr:uid="{00000000-0005-0000-0000-00008F3C0000}"/>
    <cellStyle name="InputCells12 4 2" xfId="36263" xr:uid="{00000000-0005-0000-0000-0000903C0000}"/>
    <cellStyle name="InputCells12 5" xfId="34314" xr:uid="{00000000-0005-0000-0000-0000913C0000}"/>
    <cellStyle name="InputCells12 6" xfId="40762" xr:uid="{00000000-0005-0000-0000-0000900A0000}"/>
    <cellStyle name="InputCells12_BBorder_CRFReport-template" xfId="14256" xr:uid="{00000000-0005-0000-0000-0000923C0000}"/>
    <cellStyle name="Insatisfaisant" xfId="32" xr:uid="{00000000-0005-0000-0000-0000933C0000}"/>
    <cellStyle name="IntCells" xfId="11518" xr:uid="{00000000-0005-0000-0000-0000943C0000}"/>
    <cellStyle name="Jegyzet" xfId="90" xr:uid="{00000000-0005-0000-0000-0000953C0000}"/>
    <cellStyle name="Jegyzet 10" xfId="15308" xr:uid="{00000000-0005-0000-0000-0000963C0000}"/>
    <cellStyle name="Jegyzet 10 2" xfId="36701" xr:uid="{00000000-0005-0000-0000-0000973C0000}"/>
    <cellStyle name="Jegyzet 11" xfId="31158" xr:uid="{00000000-0005-0000-0000-0000983C0000}"/>
    <cellStyle name="Jegyzet 2" xfId="4438" xr:uid="{00000000-0005-0000-0000-0000993C0000}"/>
    <cellStyle name="Jegyzet 2 2" xfId="22898" xr:uid="{00000000-0005-0000-0000-00009A3C0000}"/>
    <cellStyle name="Jegyzet 2 3" xfId="31800" xr:uid="{00000000-0005-0000-0000-00009B3C0000}"/>
    <cellStyle name="Jegyzet 2 4" xfId="18117" xr:uid="{00000000-0005-0000-0000-00009C3C0000}"/>
    <cellStyle name="Jegyzet 3" xfId="5829" xr:uid="{00000000-0005-0000-0000-00009D3C0000}"/>
    <cellStyle name="Jegyzet 3 2" xfId="24276" xr:uid="{00000000-0005-0000-0000-00009E3C0000}"/>
    <cellStyle name="Jegyzet 3 3" xfId="32404" xr:uid="{00000000-0005-0000-0000-00009F3C0000}"/>
    <cellStyle name="Jegyzet 3 4" xfId="19385" xr:uid="{00000000-0005-0000-0000-0000A03C0000}"/>
    <cellStyle name="Jegyzet 4" xfId="7023" xr:uid="{00000000-0005-0000-0000-0000A13C0000}"/>
    <cellStyle name="Jegyzet 4 2" xfId="25461" xr:uid="{00000000-0005-0000-0000-0000A23C0000}"/>
    <cellStyle name="Jegyzet 4 3" xfId="32723" xr:uid="{00000000-0005-0000-0000-0000A33C0000}"/>
    <cellStyle name="Jegyzet 4 4" xfId="20398" xr:uid="{00000000-0005-0000-0000-0000A43C0000}"/>
    <cellStyle name="Jegyzet 5" xfId="6219" xr:uid="{00000000-0005-0000-0000-0000A53C0000}"/>
    <cellStyle name="Jegyzet 5 2" xfId="24659" xr:uid="{00000000-0005-0000-0000-0000A63C0000}"/>
    <cellStyle name="Jegyzet 5 3" xfId="32558" xr:uid="{00000000-0005-0000-0000-0000A73C0000}"/>
    <cellStyle name="Jegyzet 5 4" xfId="19768" xr:uid="{00000000-0005-0000-0000-0000A83C0000}"/>
    <cellStyle name="Jegyzet 6" xfId="7425" xr:uid="{00000000-0005-0000-0000-0000A93C0000}"/>
    <cellStyle name="Jegyzet 6 2" xfId="25856" xr:uid="{00000000-0005-0000-0000-0000AA3C0000}"/>
    <cellStyle name="Jegyzet 6 3" xfId="32850" xr:uid="{00000000-0005-0000-0000-0000AB3C0000}"/>
    <cellStyle name="Jegyzet 6 4" xfId="20781" xr:uid="{00000000-0005-0000-0000-0000AC3C0000}"/>
    <cellStyle name="Jegyzet 7" xfId="8214" xr:uid="{00000000-0005-0000-0000-0000AD3C0000}"/>
    <cellStyle name="Jegyzet 7 2" xfId="26639" xr:uid="{00000000-0005-0000-0000-0000AE3C0000}"/>
    <cellStyle name="Jegyzet 7 3" xfId="33027" xr:uid="{00000000-0005-0000-0000-0000AF3C0000}"/>
    <cellStyle name="Jegyzet 7 4" xfId="21565" xr:uid="{00000000-0005-0000-0000-0000B03C0000}"/>
    <cellStyle name="Jegyzet 8" xfId="3765" xr:uid="{00000000-0005-0000-0000-0000B13C0000}"/>
    <cellStyle name="Jegyzet 8 2" xfId="22234" xr:uid="{00000000-0005-0000-0000-0000B23C0000}"/>
    <cellStyle name="Jegyzet 8 3" xfId="31630" xr:uid="{00000000-0005-0000-0000-0000B33C0000}"/>
    <cellStyle name="Jegyzet 8 4" xfId="17448" xr:uid="{00000000-0005-0000-0000-0000B43C0000}"/>
    <cellStyle name="Jegyzet 9" xfId="16570" xr:uid="{00000000-0005-0000-0000-0000B53C0000}"/>
    <cellStyle name="Jegyzet 9 2" xfId="16640" xr:uid="{00000000-0005-0000-0000-0000B63C0000}"/>
    <cellStyle name="Jelölőszín (1)" xfId="91" xr:uid="{00000000-0005-0000-0000-0000B73C0000}"/>
    <cellStyle name="Jelölőszín (2)" xfId="92" xr:uid="{00000000-0005-0000-0000-0000B83C0000}"/>
    <cellStyle name="Jelölőszín (3)" xfId="93" xr:uid="{00000000-0005-0000-0000-0000B93C0000}"/>
    <cellStyle name="Jelölőszín (4)" xfId="94" xr:uid="{00000000-0005-0000-0000-0000BA3C0000}"/>
    <cellStyle name="Jelölőszín (5)" xfId="95" xr:uid="{00000000-0005-0000-0000-0000BB3C0000}"/>
    <cellStyle name="Jelölőszín (6)" xfId="96" xr:uid="{00000000-0005-0000-0000-0000BC3C0000}"/>
    <cellStyle name="Jó" xfId="97" xr:uid="{00000000-0005-0000-0000-0000BD3C0000}"/>
    <cellStyle name="Kimenet" xfId="98" xr:uid="{00000000-0005-0000-0000-0000BE3C0000}"/>
    <cellStyle name="Kimenet 10" xfId="15031" xr:uid="{00000000-0005-0000-0000-0000BF3C0000}"/>
    <cellStyle name="Kimenet 10 2" xfId="36456" xr:uid="{00000000-0005-0000-0000-0000C03C0000}"/>
    <cellStyle name="Kimenet 2" xfId="4439" xr:uid="{00000000-0005-0000-0000-0000C13C0000}"/>
    <cellStyle name="Kimenet 2 2" xfId="22899" xr:uid="{00000000-0005-0000-0000-0000C23C0000}"/>
    <cellStyle name="Kimenet 2 3" xfId="18118" xr:uid="{00000000-0005-0000-0000-0000C33C0000}"/>
    <cellStyle name="Kimenet 3" xfId="5885" xr:uid="{00000000-0005-0000-0000-0000C43C0000}"/>
    <cellStyle name="Kimenet 3 2" xfId="24331" xr:uid="{00000000-0005-0000-0000-0000C53C0000}"/>
    <cellStyle name="Kimenet 3 3" xfId="19440" xr:uid="{00000000-0005-0000-0000-0000C63C0000}"/>
    <cellStyle name="Kimenet 4" xfId="7019" xr:uid="{00000000-0005-0000-0000-0000C73C0000}"/>
    <cellStyle name="Kimenet 4 2" xfId="25457" xr:uid="{00000000-0005-0000-0000-0000C83C0000}"/>
    <cellStyle name="Kimenet 4 3" xfId="20394" xr:uid="{00000000-0005-0000-0000-0000C93C0000}"/>
    <cellStyle name="Kimenet 5" xfId="6220" xr:uid="{00000000-0005-0000-0000-0000CA3C0000}"/>
    <cellStyle name="Kimenet 5 2" xfId="24660" xr:uid="{00000000-0005-0000-0000-0000CB3C0000}"/>
    <cellStyle name="Kimenet 5 3" xfId="19769" xr:uid="{00000000-0005-0000-0000-0000CC3C0000}"/>
    <cellStyle name="Kimenet 6" xfId="7424" xr:uid="{00000000-0005-0000-0000-0000CD3C0000}"/>
    <cellStyle name="Kimenet 6 2" xfId="25855" xr:uid="{00000000-0005-0000-0000-0000CE3C0000}"/>
    <cellStyle name="Kimenet 6 3" xfId="20780" xr:uid="{00000000-0005-0000-0000-0000CF3C0000}"/>
    <cellStyle name="Kimenet 7" xfId="8215" xr:uid="{00000000-0005-0000-0000-0000D03C0000}"/>
    <cellStyle name="Kimenet 7 2" xfId="26640" xr:uid="{00000000-0005-0000-0000-0000D13C0000}"/>
    <cellStyle name="Kimenet 7 3" xfId="21566" xr:uid="{00000000-0005-0000-0000-0000D23C0000}"/>
    <cellStyle name="Kimenet 8" xfId="3766" xr:uid="{00000000-0005-0000-0000-0000D33C0000}"/>
    <cellStyle name="Kimenet 8 2" xfId="22235" xr:uid="{00000000-0005-0000-0000-0000D43C0000}"/>
    <cellStyle name="Kimenet 8 3" xfId="17449" xr:uid="{00000000-0005-0000-0000-0000D53C0000}"/>
    <cellStyle name="Kimenet 9" xfId="16522" xr:uid="{00000000-0005-0000-0000-0000D63C0000}"/>
    <cellStyle name="Kimenet 9 2" xfId="37748" xr:uid="{00000000-0005-0000-0000-0000D73C0000}"/>
    <cellStyle name="Kimenet 9 3" xfId="16641" xr:uid="{00000000-0005-0000-0000-0000D83C0000}"/>
    <cellStyle name="ligne_titre_0" xfId="3298" xr:uid="{00000000-0005-0000-0000-0000D93C0000}"/>
    <cellStyle name="Linked Cell 10" xfId="2194" xr:uid="{00000000-0005-0000-0000-0000DA3C0000}"/>
    <cellStyle name="Linked Cell 11" xfId="39669" xr:uid="{00000000-0005-0000-0000-0000940A0000}"/>
    <cellStyle name="Linked Cell 12" xfId="39670" xr:uid="{00000000-0005-0000-0000-0000950A0000}"/>
    <cellStyle name="Linked Cell 13" xfId="39671" xr:uid="{00000000-0005-0000-0000-0000960A0000}"/>
    <cellStyle name="Linked Cell 14" xfId="39672" xr:uid="{00000000-0005-0000-0000-0000970A0000}"/>
    <cellStyle name="Linked Cell 15" xfId="39673" xr:uid="{00000000-0005-0000-0000-0000980A0000}"/>
    <cellStyle name="Linked Cell 16" xfId="39674" xr:uid="{00000000-0005-0000-0000-0000990A0000}"/>
    <cellStyle name="Linked Cell 17" xfId="39675" xr:uid="{00000000-0005-0000-0000-00009A0A0000}"/>
    <cellStyle name="Linked Cell 18" xfId="39676" xr:uid="{00000000-0005-0000-0000-00009B0A0000}"/>
    <cellStyle name="Linked Cell 19" xfId="39677" xr:uid="{00000000-0005-0000-0000-00009C0A0000}"/>
    <cellStyle name="Linked Cell 2" xfId="2195" xr:uid="{00000000-0005-0000-0000-0000DB3C0000}"/>
    <cellStyle name="Linked Cell 2 10" xfId="2196" xr:uid="{00000000-0005-0000-0000-0000DC3C0000}"/>
    <cellStyle name="Linked Cell 2 10 2" xfId="12650" xr:uid="{00000000-0005-0000-0000-0000DD3C0000}"/>
    <cellStyle name="Linked Cell 2 11" xfId="2197" xr:uid="{00000000-0005-0000-0000-0000DE3C0000}"/>
    <cellStyle name="Linked Cell 2 2" xfId="2198" xr:uid="{00000000-0005-0000-0000-0000DF3C0000}"/>
    <cellStyle name="Linked Cell 2 2 2" xfId="12651" xr:uid="{00000000-0005-0000-0000-0000E03C0000}"/>
    <cellStyle name="Linked Cell 2 2 3" xfId="14257" xr:uid="{00000000-0005-0000-0000-0000E13C0000}"/>
    <cellStyle name="Linked Cell 2 3" xfId="2199" xr:uid="{00000000-0005-0000-0000-0000E23C0000}"/>
    <cellStyle name="Linked Cell 2 3 2" xfId="12652" xr:uid="{00000000-0005-0000-0000-0000E33C0000}"/>
    <cellStyle name="Linked Cell 2 4" xfId="2200" xr:uid="{00000000-0005-0000-0000-0000E43C0000}"/>
    <cellStyle name="Linked Cell 2 4 2" xfId="12653" xr:uid="{00000000-0005-0000-0000-0000E53C0000}"/>
    <cellStyle name="Linked Cell 2 5" xfId="2201" xr:uid="{00000000-0005-0000-0000-0000E63C0000}"/>
    <cellStyle name="Linked Cell 2 5 2" xfId="12654" xr:uid="{00000000-0005-0000-0000-0000E73C0000}"/>
    <cellStyle name="Linked Cell 2 6" xfId="2202" xr:uid="{00000000-0005-0000-0000-0000E83C0000}"/>
    <cellStyle name="Linked Cell 2 6 2" xfId="12655" xr:uid="{00000000-0005-0000-0000-0000E93C0000}"/>
    <cellStyle name="Linked Cell 2 7" xfId="2203" xr:uid="{00000000-0005-0000-0000-0000EA3C0000}"/>
    <cellStyle name="Linked Cell 2 7 2" xfId="12656" xr:uid="{00000000-0005-0000-0000-0000EB3C0000}"/>
    <cellStyle name="Linked Cell 2 8" xfId="2204" xr:uid="{00000000-0005-0000-0000-0000EC3C0000}"/>
    <cellStyle name="Linked Cell 2 8 2" xfId="12657" xr:uid="{00000000-0005-0000-0000-0000ED3C0000}"/>
    <cellStyle name="Linked Cell 2 9" xfId="2205" xr:uid="{00000000-0005-0000-0000-0000EE3C0000}"/>
    <cellStyle name="Linked Cell 2 9 2" xfId="12658" xr:uid="{00000000-0005-0000-0000-0000EF3C0000}"/>
    <cellStyle name="Linked Cell 20" xfId="39678" xr:uid="{00000000-0005-0000-0000-0000A80A0000}"/>
    <cellStyle name="Linked Cell 21" xfId="39679" xr:uid="{00000000-0005-0000-0000-0000A90A0000}"/>
    <cellStyle name="Linked Cell 22" xfId="39680" xr:uid="{00000000-0005-0000-0000-0000AA0A0000}"/>
    <cellStyle name="Linked Cell 23" xfId="39681" xr:uid="{00000000-0005-0000-0000-0000AB0A0000}"/>
    <cellStyle name="Linked Cell 24" xfId="39682" xr:uid="{00000000-0005-0000-0000-0000AC0A0000}"/>
    <cellStyle name="Linked Cell 25" xfId="39683" xr:uid="{00000000-0005-0000-0000-0000AD0A0000}"/>
    <cellStyle name="Linked Cell 26" xfId="39684" xr:uid="{00000000-0005-0000-0000-0000AE0A0000}"/>
    <cellStyle name="Linked Cell 27" xfId="39685" xr:uid="{00000000-0005-0000-0000-0000AF0A0000}"/>
    <cellStyle name="Linked Cell 28" xfId="39686" xr:uid="{00000000-0005-0000-0000-0000B00A0000}"/>
    <cellStyle name="Linked Cell 29" xfId="39687" xr:uid="{00000000-0005-0000-0000-0000B10A0000}"/>
    <cellStyle name="Linked Cell 3" xfId="2206" xr:uid="{00000000-0005-0000-0000-0000F03C0000}"/>
    <cellStyle name="Linked Cell 3 10" xfId="2207" xr:uid="{00000000-0005-0000-0000-0000F13C0000}"/>
    <cellStyle name="Linked Cell 3 11" xfId="2208" xr:uid="{00000000-0005-0000-0000-0000F23C0000}"/>
    <cellStyle name="Linked Cell 3 12" xfId="12659" xr:uid="{00000000-0005-0000-0000-0000F33C0000}"/>
    <cellStyle name="Linked Cell 3 2" xfId="2209" xr:uid="{00000000-0005-0000-0000-0000F43C0000}"/>
    <cellStyle name="Linked Cell 3 2 2" xfId="39688" xr:uid="{00000000-0005-0000-0000-0000B30A0000}"/>
    <cellStyle name="Linked Cell 3 3" xfId="2210" xr:uid="{00000000-0005-0000-0000-0000F53C0000}"/>
    <cellStyle name="Linked Cell 3 4" xfId="2211" xr:uid="{00000000-0005-0000-0000-0000F63C0000}"/>
    <cellStyle name="Linked Cell 3 5" xfId="2212" xr:uid="{00000000-0005-0000-0000-0000F73C0000}"/>
    <cellStyle name="Linked Cell 3 6" xfId="2213" xr:uid="{00000000-0005-0000-0000-0000F83C0000}"/>
    <cellStyle name="Linked Cell 3 7" xfId="2214" xr:uid="{00000000-0005-0000-0000-0000F93C0000}"/>
    <cellStyle name="Linked Cell 3 8" xfId="2215" xr:uid="{00000000-0005-0000-0000-0000FA3C0000}"/>
    <cellStyle name="Linked Cell 3 9" xfId="2216" xr:uid="{00000000-0005-0000-0000-0000FB3C0000}"/>
    <cellStyle name="Linked Cell 30" xfId="39689" xr:uid="{00000000-0005-0000-0000-0000B50A0000}"/>
    <cellStyle name="Linked Cell 31" xfId="39690" xr:uid="{00000000-0005-0000-0000-0000B60A0000}"/>
    <cellStyle name="Linked Cell 32" xfId="39691" xr:uid="{00000000-0005-0000-0000-0000B70A0000}"/>
    <cellStyle name="Linked Cell 33" xfId="39692" xr:uid="{00000000-0005-0000-0000-0000B80A0000}"/>
    <cellStyle name="Linked Cell 34" xfId="39693" xr:uid="{00000000-0005-0000-0000-0000B90A0000}"/>
    <cellStyle name="Linked Cell 35" xfId="39694" xr:uid="{00000000-0005-0000-0000-0000BA0A0000}"/>
    <cellStyle name="Linked Cell 36" xfId="39695" xr:uid="{00000000-0005-0000-0000-0000BB0A0000}"/>
    <cellStyle name="Linked Cell 37" xfId="39696" xr:uid="{00000000-0005-0000-0000-0000BC0A0000}"/>
    <cellStyle name="Linked Cell 38" xfId="39697" xr:uid="{00000000-0005-0000-0000-0000BD0A0000}"/>
    <cellStyle name="Linked Cell 39" xfId="39698" xr:uid="{00000000-0005-0000-0000-0000BE0A0000}"/>
    <cellStyle name="Linked Cell 4" xfId="2217" xr:uid="{00000000-0005-0000-0000-0000FC3C0000}"/>
    <cellStyle name="Linked Cell 4 10" xfId="2218" xr:uid="{00000000-0005-0000-0000-0000FD3C0000}"/>
    <cellStyle name="Linked Cell 4 11" xfId="2219" xr:uid="{00000000-0005-0000-0000-0000FE3C0000}"/>
    <cellStyle name="Linked Cell 4 2" xfId="2220" xr:uid="{00000000-0005-0000-0000-0000FF3C0000}"/>
    <cellStyle name="Linked Cell 4 3" xfId="2221" xr:uid="{00000000-0005-0000-0000-0000003D0000}"/>
    <cellStyle name="Linked Cell 4 4" xfId="2222" xr:uid="{00000000-0005-0000-0000-0000013D0000}"/>
    <cellStyle name="Linked Cell 4 5" xfId="2223" xr:uid="{00000000-0005-0000-0000-0000023D0000}"/>
    <cellStyle name="Linked Cell 4 6" xfId="2224" xr:uid="{00000000-0005-0000-0000-0000033D0000}"/>
    <cellStyle name="Linked Cell 4 7" xfId="2225" xr:uid="{00000000-0005-0000-0000-0000043D0000}"/>
    <cellStyle name="Linked Cell 4 8" xfId="2226" xr:uid="{00000000-0005-0000-0000-0000053D0000}"/>
    <cellStyle name="Linked Cell 4 9" xfId="2227" xr:uid="{00000000-0005-0000-0000-0000063D0000}"/>
    <cellStyle name="Linked Cell 40" xfId="39699" xr:uid="{00000000-0005-0000-0000-0000C10A0000}"/>
    <cellStyle name="Linked Cell 41" xfId="39700" xr:uid="{00000000-0005-0000-0000-0000C20A0000}"/>
    <cellStyle name="Linked Cell 5" xfId="2228" xr:uid="{00000000-0005-0000-0000-0000073D0000}"/>
    <cellStyle name="Linked Cell 5 10" xfId="2229" xr:uid="{00000000-0005-0000-0000-0000083D0000}"/>
    <cellStyle name="Linked Cell 5 11" xfId="2230" xr:uid="{00000000-0005-0000-0000-0000093D0000}"/>
    <cellStyle name="Linked Cell 5 2" xfId="2231" xr:uid="{00000000-0005-0000-0000-00000A3D0000}"/>
    <cellStyle name="Linked Cell 5 3" xfId="2232" xr:uid="{00000000-0005-0000-0000-00000B3D0000}"/>
    <cellStyle name="Linked Cell 5 4" xfId="2233" xr:uid="{00000000-0005-0000-0000-00000C3D0000}"/>
    <cellStyle name="Linked Cell 5 5" xfId="2234" xr:uid="{00000000-0005-0000-0000-00000D3D0000}"/>
    <cellStyle name="Linked Cell 5 6" xfId="2235" xr:uid="{00000000-0005-0000-0000-00000E3D0000}"/>
    <cellStyle name="Linked Cell 5 7" xfId="2236" xr:uid="{00000000-0005-0000-0000-00000F3D0000}"/>
    <cellStyle name="Linked Cell 5 8" xfId="2237" xr:uid="{00000000-0005-0000-0000-0000103D0000}"/>
    <cellStyle name="Linked Cell 5 9" xfId="2238" xr:uid="{00000000-0005-0000-0000-0000113D0000}"/>
    <cellStyle name="Linked Cell 6" xfId="2239" xr:uid="{00000000-0005-0000-0000-0000123D0000}"/>
    <cellStyle name="Linked Cell 6 10" xfId="2240" xr:uid="{00000000-0005-0000-0000-0000133D0000}"/>
    <cellStyle name="Linked Cell 6 11" xfId="2241" xr:uid="{00000000-0005-0000-0000-0000143D0000}"/>
    <cellStyle name="Linked Cell 6 2" xfId="2242" xr:uid="{00000000-0005-0000-0000-0000153D0000}"/>
    <cellStyle name="Linked Cell 6 3" xfId="2243" xr:uid="{00000000-0005-0000-0000-0000163D0000}"/>
    <cellStyle name="Linked Cell 6 4" xfId="2244" xr:uid="{00000000-0005-0000-0000-0000173D0000}"/>
    <cellStyle name="Linked Cell 6 5" xfId="2245" xr:uid="{00000000-0005-0000-0000-0000183D0000}"/>
    <cellStyle name="Linked Cell 6 6" xfId="2246" xr:uid="{00000000-0005-0000-0000-0000193D0000}"/>
    <cellStyle name="Linked Cell 6 7" xfId="2247" xr:uid="{00000000-0005-0000-0000-00001A3D0000}"/>
    <cellStyle name="Linked Cell 6 8" xfId="2248" xr:uid="{00000000-0005-0000-0000-00001B3D0000}"/>
    <cellStyle name="Linked Cell 6 9" xfId="2249" xr:uid="{00000000-0005-0000-0000-00001C3D0000}"/>
    <cellStyle name="Linked Cell 7" xfId="2250" xr:uid="{00000000-0005-0000-0000-00001D3D0000}"/>
    <cellStyle name="Linked Cell 8" xfId="2251" xr:uid="{00000000-0005-0000-0000-00001E3D0000}"/>
    <cellStyle name="Linked Cell 9" xfId="2252" xr:uid="{00000000-0005-0000-0000-00001F3D0000}"/>
    <cellStyle name="Magyarázó szöveg" xfId="99" xr:uid="{00000000-0005-0000-0000-0000203D0000}"/>
    <cellStyle name="Migliaia_IND_2005_ENEA" xfId="3721" xr:uid="{00000000-0005-0000-0000-0000213D0000}"/>
    <cellStyle name="Milliers [0]_03tabmat" xfId="14258" xr:uid="{00000000-0005-0000-0000-0000223D0000}"/>
    <cellStyle name="Milliers_03tabmat" xfId="14259" xr:uid="{00000000-0005-0000-0000-0000233D0000}"/>
    <cellStyle name="Monétaire [0]_03tabmat" xfId="14260" xr:uid="{00000000-0005-0000-0000-0000243D0000}"/>
    <cellStyle name="Monétaire_03tabmat" xfId="14261" xr:uid="{00000000-0005-0000-0000-0000253D0000}"/>
    <cellStyle name="Neutral 10" xfId="2253" xr:uid="{00000000-0005-0000-0000-0000263D0000}"/>
    <cellStyle name="Neutral 11" xfId="39701" xr:uid="{00000000-0005-0000-0000-0000CC0A0000}"/>
    <cellStyle name="Neutral 12" xfId="39702" xr:uid="{00000000-0005-0000-0000-0000CD0A0000}"/>
    <cellStyle name="Neutral 13" xfId="39703" xr:uid="{00000000-0005-0000-0000-0000CE0A0000}"/>
    <cellStyle name="Neutral 14" xfId="39704" xr:uid="{00000000-0005-0000-0000-0000CF0A0000}"/>
    <cellStyle name="Neutral 15" xfId="39705" xr:uid="{00000000-0005-0000-0000-0000D00A0000}"/>
    <cellStyle name="Neutral 16" xfId="39706" xr:uid="{00000000-0005-0000-0000-0000D10A0000}"/>
    <cellStyle name="Neutral 17" xfId="39707" xr:uid="{00000000-0005-0000-0000-0000D20A0000}"/>
    <cellStyle name="Neutral 18" xfId="39708" xr:uid="{00000000-0005-0000-0000-0000D30A0000}"/>
    <cellStyle name="Neutral 19" xfId="39709" xr:uid="{00000000-0005-0000-0000-0000D40A0000}"/>
    <cellStyle name="Neutral 2" xfId="2254" xr:uid="{00000000-0005-0000-0000-0000273D0000}"/>
    <cellStyle name="Neutral 2 10" xfId="2255" xr:uid="{00000000-0005-0000-0000-0000283D0000}"/>
    <cellStyle name="Neutral 2 10 2" xfId="12660" xr:uid="{00000000-0005-0000-0000-0000293D0000}"/>
    <cellStyle name="Neutral 2 11" xfId="2256" xr:uid="{00000000-0005-0000-0000-00002A3D0000}"/>
    <cellStyle name="Neutral 2 2" xfId="2257" xr:uid="{00000000-0005-0000-0000-00002B3D0000}"/>
    <cellStyle name="Neutral 2 2 2" xfId="12661" xr:uid="{00000000-0005-0000-0000-00002C3D0000}"/>
    <cellStyle name="Neutral 2 3" xfId="2258" xr:uid="{00000000-0005-0000-0000-00002D3D0000}"/>
    <cellStyle name="Neutral 2 3 2" xfId="12662" xr:uid="{00000000-0005-0000-0000-00002E3D0000}"/>
    <cellStyle name="Neutral 2 4" xfId="2259" xr:uid="{00000000-0005-0000-0000-00002F3D0000}"/>
    <cellStyle name="Neutral 2 4 2" xfId="12663" xr:uid="{00000000-0005-0000-0000-0000303D0000}"/>
    <cellStyle name="Neutral 2 5" xfId="2260" xr:uid="{00000000-0005-0000-0000-0000313D0000}"/>
    <cellStyle name="Neutral 2 5 2" xfId="12664" xr:uid="{00000000-0005-0000-0000-0000323D0000}"/>
    <cellStyle name="Neutral 2 6" xfId="2261" xr:uid="{00000000-0005-0000-0000-0000333D0000}"/>
    <cellStyle name="Neutral 2 6 2" xfId="12665" xr:uid="{00000000-0005-0000-0000-0000343D0000}"/>
    <cellStyle name="Neutral 2 7" xfId="2262" xr:uid="{00000000-0005-0000-0000-0000353D0000}"/>
    <cellStyle name="Neutral 2 7 2" xfId="12666" xr:uid="{00000000-0005-0000-0000-0000363D0000}"/>
    <cellStyle name="Neutral 2 8" xfId="2263" xr:uid="{00000000-0005-0000-0000-0000373D0000}"/>
    <cellStyle name="Neutral 2 8 2" xfId="12667" xr:uid="{00000000-0005-0000-0000-0000383D0000}"/>
    <cellStyle name="Neutral 2 9" xfId="2264" xr:uid="{00000000-0005-0000-0000-0000393D0000}"/>
    <cellStyle name="Neutral 2 9 2" xfId="12668" xr:uid="{00000000-0005-0000-0000-00003A3D0000}"/>
    <cellStyle name="Neutral 20" xfId="39710" xr:uid="{00000000-0005-0000-0000-0000E00A0000}"/>
    <cellStyle name="Neutral 21" xfId="39711" xr:uid="{00000000-0005-0000-0000-0000E10A0000}"/>
    <cellStyle name="Neutral 22" xfId="39712" xr:uid="{00000000-0005-0000-0000-0000E20A0000}"/>
    <cellStyle name="Neutral 23" xfId="39713" xr:uid="{00000000-0005-0000-0000-0000E30A0000}"/>
    <cellStyle name="Neutral 24" xfId="39714" xr:uid="{00000000-0005-0000-0000-0000E40A0000}"/>
    <cellStyle name="Neutral 25" xfId="39715" xr:uid="{00000000-0005-0000-0000-0000E50A0000}"/>
    <cellStyle name="Neutral 26" xfId="39716" xr:uid="{00000000-0005-0000-0000-0000E60A0000}"/>
    <cellStyle name="Neutral 27" xfId="39717" xr:uid="{00000000-0005-0000-0000-0000E70A0000}"/>
    <cellStyle name="Neutral 28" xfId="39718" xr:uid="{00000000-0005-0000-0000-0000E80A0000}"/>
    <cellStyle name="Neutral 29" xfId="39719" xr:uid="{00000000-0005-0000-0000-0000E90A0000}"/>
    <cellStyle name="Neutral 3" xfId="2265" xr:uid="{00000000-0005-0000-0000-00003B3D0000}"/>
    <cellStyle name="Neutral 3 10" xfId="2266" xr:uid="{00000000-0005-0000-0000-00003C3D0000}"/>
    <cellStyle name="Neutral 3 11" xfId="2267" xr:uid="{00000000-0005-0000-0000-00003D3D0000}"/>
    <cellStyle name="Neutral 3 12" xfId="9785" xr:uid="{00000000-0005-0000-0000-00003E3D0000}"/>
    <cellStyle name="Neutral 3 13" xfId="12669" xr:uid="{00000000-0005-0000-0000-00003F3D0000}"/>
    <cellStyle name="Neutral 3 2" xfId="2268" xr:uid="{00000000-0005-0000-0000-0000403D0000}"/>
    <cellStyle name="Neutral 3 2 2" xfId="39720" xr:uid="{00000000-0005-0000-0000-0000EB0A0000}"/>
    <cellStyle name="Neutral 3 3" xfId="2269" xr:uid="{00000000-0005-0000-0000-0000413D0000}"/>
    <cellStyle name="Neutral 3 3 2" xfId="39721" xr:uid="{00000000-0005-0000-0000-0000EC0A0000}"/>
    <cellStyle name="Neutral 3 4" xfId="2270" xr:uid="{00000000-0005-0000-0000-0000423D0000}"/>
    <cellStyle name="Neutral 3 5" xfId="2271" xr:uid="{00000000-0005-0000-0000-0000433D0000}"/>
    <cellStyle name="Neutral 3 6" xfId="2272" xr:uid="{00000000-0005-0000-0000-0000443D0000}"/>
    <cellStyle name="Neutral 3 7" xfId="2273" xr:uid="{00000000-0005-0000-0000-0000453D0000}"/>
    <cellStyle name="Neutral 3 8" xfId="2274" xr:uid="{00000000-0005-0000-0000-0000463D0000}"/>
    <cellStyle name="Neutral 3 9" xfId="2275" xr:uid="{00000000-0005-0000-0000-0000473D0000}"/>
    <cellStyle name="Neutral 30" xfId="39722" xr:uid="{00000000-0005-0000-0000-0000EE0A0000}"/>
    <cellStyle name="Neutral 31" xfId="39723" xr:uid="{00000000-0005-0000-0000-0000EF0A0000}"/>
    <cellStyle name="Neutral 32" xfId="39724" xr:uid="{00000000-0005-0000-0000-0000F00A0000}"/>
    <cellStyle name="Neutral 33" xfId="39725" xr:uid="{00000000-0005-0000-0000-0000F10A0000}"/>
    <cellStyle name="Neutral 34" xfId="39726" xr:uid="{00000000-0005-0000-0000-0000F20A0000}"/>
    <cellStyle name="Neutral 35" xfId="39727" xr:uid="{00000000-0005-0000-0000-0000F30A0000}"/>
    <cellStyle name="Neutral 36" xfId="39728" xr:uid="{00000000-0005-0000-0000-0000F40A0000}"/>
    <cellStyle name="Neutral 37" xfId="39729" xr:uid="{00000000-0005-0000-0000-0000F50A0000}"/>
    <cellStyle name="Neutral 38" xfId="39730" xr:uid="{00000000-0005-0000-0000-0000F60A0000}"/>
    <cellStyle name="Neutral 39" xfId="39731" xr:uid="{00000000-0005-0000-0000-0000F70A0000}"/>
    <cellStyle name="Neutral 4" xfId="2276" xr:uid="{00000000-0005-0000-0000-0000483D0000}"/>
    <cellStyle name="Neutral 4 10" xfId="2277" xr:uid="{00000000-0005-0000-0000-0000493D0000}"/>
    <cellStyle name="Neutral 4 11" xfId="2278" xr:uid="{00000000-0005-0000-0000-00004A3D0000}"/>
    <cellStyle name="Neutral 4 2" xfId="2279" xr:uid="{00000000-0005-0000-0000-00004B3D0000}"/>
    <cellStyle name="Neutral 4 3" xfId="2280" xr:uid="{00000000-0005-0000-0000-00004C3D0000}"/>
    <cellStyle name="Neutral 4 4" xfId="2281" xr:uid="{00000000-0005-0000-0000-00004D3D0000}"/>
    <cellStyle name="Neutral 4 5" xfId="2282" xr:uid="{00000000-0005-0000-0000-00004E3D0000}"/>
    <cellStyle name="Neutral 4 6" xfId="2283" xr:uid="{00000000-0005-0000-0000-00004F3D0000}"/>
    <cellStyle name="Neutral 4 7" xfId="2284" xr:uid="{00000000-0005-0000-0000-0000503D0000}"/>
    <cellStyle name="Neutral 4 8" xfId="2285" xr:uid="{00000000-0005-0000-0000-0000513D0000}"/>
    <cellStyle name="Neutral 4 9" xfId="2286" xr:uid="{00000000-0005-0000-0000-0000523D0000}"/>
    <cellStyle name="Neutral 40" xfId="39732" xr:uid="{00000000-0005-0000-0000-0000FA0A0000}"/>
    <cellStyle name="Neutral 41" xfId="39733" xr:uid="{00000000-0005-0000-0000-0000FB0A0000}"/>
    <cellStyle name="Neutral 42" xfId="39734" xr:uid="{00000000-0005-0000-0000-0000FC0A0000}"/>
    <cellStyle name="Neutral 43" xfId="39735" xr:uid="{00000000-0005-0000-0000-0000FD0A0000}"/>
    <cellStyle name="Neutral 5" xfId="2287" xr:uid="{00000000-0005-0000-0000-0000533D0000}"/>
    <cellStyle name="Neutral 5 10" xfId="2288" xr:uid="{00000000-0005-0000-0000-0000543D0000}"/>
    <cellStyle name="Neutral 5 11" xfId="2289" xr:uid="{00000000-0005-0000-0000-0000553D0000}"/>
    <cellStyle name="Neutral 5 12" xfId="14039" xr:uid="{00000000-0005-0000-0000-0000563D0000}"/>
    <cellStyle name="Neutral 5 2" xfId="2290" xr:uid="{00000000-0005-0000-0000-0000573D0000}"/>
    <cellStyle name="Neutral 5 3" xfId="2291" xr:uid="{00000000-0005-0000-0000-0000583D0000}"/>
    <cellStyle name="Neutral 5 4" xfId="2292" xr:uid="{00000000-0005-0000-0000-0000593D0000}"/>
    <cellStyle name="Neutral 5 5" xfId="2293" xr:uid="{00000000-0005-0000-0000-00005A3D0000}"/>
    <cellStyle name="Neutral 5 6" xfId="2294" xr:uid="{00000000-0005-0000-0000-00005B3D0000}"/>
    <cellStyle name="Neutral 5 7" xfId="2295" xr:uid="{00000000-0005-0000-0000-00005C3D0000}"/>
    <cellStyle name="Neutral 5 8" xfId="2296" xr:uid="{00000000-0005-0000-0000-00005D3D0000}"/>
    <cellStyle name="Neutral 5 9" xfId="2297" xr:uid="{00000000-0005-0000-0000-00005E3D0000}"/>
    <cellStyle name="Neutral 6" xfId="2298" xr:uid="{00000000-0005-0000-0000-00005F3D0000}"/>
    <cellStyle name="Neutral 6 10" xfId="2299" xr:uid="{00000000-0005-0000-0000-0000603D0000}"/>
    <cellStyle name="Neutral 6 11" xfId="2300" xr:uid="{00000000-0005-0000-0000-0000613D0000}"/>
    <cellStyle name="Neutral 6 2" xfId="2301" xr:uid="{00000000-0005-0000-0000-0000623D0000}"/>
    <cellStyle name="Neutral 6 3" xfId="2302" xr:uid="{00000000-0005-0000-0000-0000633D0000}"/>
    <cellStyle name="Neutral 6 4" xfId="2303" xr:uid="{00000000-0005-0000-0000-0000643D0000}"/>
    <cellStyle name="Neutral 6 5" xfId="2304" xr:uid="{00000000-0005-0000-0000-0000653D0000}"/>
    <cellStyle name="Neutral 6 6" xfId="2305" xr:uid="{00000000-0005-0000-0000-0000663D0000}"/>
    <cellStyle name="Neutral 6 7" xfId="2306" xr:uid="{00000000-0005-0000-0000-0000673D0000}"/>
    <cellStyle name="Neutral 6 8" xfId="2307" xr:uid="{00000000-0005-0000-0000-0000683D0000}"/>
    <cellStyle name="Neutral 6 9" xfId="2308" xr:uid="{00000000-0005-0000-0000-0000693D0000}"/>
    <cellStyle name="Neutral 7" xfId="2309" xr:uid="{00000000-0005-0000-0000-00006A3D0000}"/>
    <cellStyle name="Neutral 8" xfId="2310" xr:uid="{00000000-0005-0000-0000-00006B3D0000}"/>
    <cellStyle name="Neutral 9" xfId="2311" xr:uid="{00000000-0005-0000-0000-00006C3D0000}"/>
    <cellStyle name="Neutrale" xfId="3722" xr:uid="{00000000-0005-0000-0000-00006D3D0000}"/>
    <cellStyle name="Neutre" xfId="33" xr:uid="{00000000-0005-0000-0000-00006E3D0000}"/>
    <cellStyle name="NewStyle" xfId="3723" xr:uid="{00000000-0005-0000-0000-00006F3D0000}"/>
    <cellStyle name="Normal" xfId="0" builtinId="0"/>
    <cellStyle name="Normal 10" xfId="61" xr:uid="{00000000-0005-0000-0000-0000713D0000}"/>
    <cellStyle name="Normal 10 10" xfId="13537" xr:uid="{00000000-0005-0000-0000-0000723D0000}"/>
    <cellStyle name="Normal 10 10 2" xfId="30649" xr:uid="{00000000-0005-0000-0000-0000733D0000}"/>
    <cellStyle name="Normal 10 10 3" xfId="35311" xr:uid="{00000000-0005-0000-0000-0000743D0000}"/>
    <cellStyle name="Normal 10 11" xfId="13657" xr:uid="{00000000-0005-0000-0000-0000753D0000}"/>
    <cellStyle name="Normal 10 11 2" xfId="30769" xr:uid="{00000000-0005-0000-0000-0000763D0000}"/>
    <cellStyle name="Normal 10 11 3" xfId="35431" xr:uid="{00000000-0005-0000-0000-0000773D0000}"/>
    <cellStyle name="Normal 10 12" xfId="13778" xr:uid="{00000000-0005-0000-0000-0000783D0000}"/>
    <cellStyle name="Normal 10 12 2" xfId="30890" xr:uid="{00000000-0005-0000-0000-0000793D0000}"/>
    <cellStyle name="Normal 10 12 3" xfId="35552" xr:uid="{00000000-0005-0000-0000-00007A3D0000}"/>
    <cellStyle name="Normal 10 13" xfId="13897" xr:uid="{00000000-0005-0000-0000-00007B3D0000}"/>
    <cellStyle name="Normal 10 13 2" xfId="31009" xr:uid="{00000000-0005-0000-0000-00007C3D0000}"/>
    <cellStyle name="Normal 10 13 3" xfId="35671" xr:uid="{00000000-0005-0000-0000-00007D3D0000}"/>
    <cellStyle name="Normal 10 2" xfId="3685" xr:uid="{00000000-0005-0000-0000-00007E3D0000}"/>
    <cellStyle name="Normal 10 2 2" xfId="11104" xr:uid="{00000000-0005-0000-0000-00007F3D0000}"/>
    <cellStyle name="Normal 10 2 2 2" xfId="14263" xr:uid="{00000000-0005-0000-0000-0000803D0000}"/>
    <cellStyle name="Normal 10 2 2 2 2" xfId="35876" xr:uid="{00000000-0005-0000-0000-0000813D0000}"/>
    <cellStyle name="Normal 10 2 2 2 3" xfId="29220" xr:uid="{00000000-0005-0000-0000-0000823D0000}"/>
    <cellStyle name="Normal 10 2 2 3" xfId="14262" xr:uid="{00000000-0005-0000-0000-0000833D0000}"/>
    <cellStyle name="Normal 10 2 2 4" xfId="33921" xr:uid="{00000000-0005-0000-0000-0000843D0000}"/>
    <cellStyle name="Normal 10 2 3" xfId="11456" xr:uid="{00000000-0005-0000-0000-0000853D0000}"/>
    <cellStyle name="Normal 10 2 3 2" xfId="39736" xr:uid="{00000000-0005-0000-0000-0000090B0000}"/>
    <cellStyle name="Normal 10 2 4" xfId="9786" xr:uid="{00000000-0005-0000-0000-0000863D0000}"/>
    <cellStyle name="Normal 10 2 5" xfId="27381" xr:uid="{00000000-0005-0000-0000-0000873D0000}"/>
    <cellStyle name="Normal 10 3" xfId="9787" xr:uid="{00000000-0005-0000-0000-0000883D0000}"/>
    <cellStyle name="Normal 10 3 10" xfId="13898" xr:uid="{00000000-0005-0000-0000-0000893D0000}"/>
    <cellStyle name="Normal 10 3 10 2" xfId="31010" xr:uid="{00000000-0005-0000-0000-00008A3D0000}"/>
    <cellStyle name="Normal 10 3 10 3" xfId="35672" xr:uid="{00000000-0005-0000-0000-00008B3D0000}"/>
    <cellStyle name="Normal 10 3 11" xfId="14264" xr:uid="{00000000-0005-0000-0000-00008C3D0000}"/>
    <cellStyle name="Normal 10 3 2" xfId="11531" xr:uid="{00000000-0005-0000-0000-00008D3D0000}"/>
    <cellStyle name="Normal 10 3 2 2" xfId="29684" xr:uid="{00000000-0005-0000-0000-00008E3D0000}"/>
    <cellStyle name="Normal 10 3 2 3" xfId="34322" xr:uid="{00000000-0005-0000-0000-00008F3D0000}"/>
    <cellStyle name="Normal 10 3 3" xfId="11669" xr:uid="{00000000-0005-0000-0000-0000903D0000}"/>
    <cellStyle name="Normal 10 3 3 2" xfId="29799" xr:uid="{00000000-0005-0000-0000-0000913D0000}"/>
    <cellStyle name="Normal 10 3 3 3" xfId="34447" xr:uid="{00000000-0005-0000-0000-0000923D0000}"/>
    <cellStyle name="Normal 10 3 4" xfId="11788" xr:uid="{00000000-0005-0000-0000-0000933D0000}"/>
    <cellStyle name="Normal 10 3 4 2" xfId="29917" xr:uid="{00000000-0005-0000-0000-0000943D0000}"/>
    <cellStyle name="Normal 10 3 4 3" xfId="34566" xr:uid="{00000000-0005-0000-0000-0000953D0000}"/>
    <cellStyle name="Normal 10 3 5" xfId="11907" xr:uid="{00000000-0005-0000-0000-0000963D0000}"/>
    <cellStyle name="Normal 10 3 5 2" xfId="30034" xr:uid="{00000000-0005-0000-0000-0000973D0000}"/>
    <cellStyle name="Normal 10 3 5 3" xfId="34685" xr:uid="{00000000-0005-0000-0000-0000983D0000}"/>
    <cellStyle name="Normal 10 3 6" xfId="13416" xr:uid="{00000000-0005-0000-0000-0000993D0000}"/>
    <cellStyle name="Normal 10 3 6 2" xfId="30528" xr:uid="{00000000-0005-0000-0000-00009A3D0000}"/>
    <cellStyle name="Normal 10 3 6 3" xfId="35190" xr:uid="{00000000-0005-0000-0000-00009B3D0000}"/>
    <cellStyle name="Normal 10 3 7" xfId="13538" xr:uid="{00000000-0005-0000-0000-00009C3D0000}"/>
    <cellStyle name="Normal 10 3 7 2" xfId="30650" xr:uid="{00000000-0005-0000-0000-00009D3D0000}"/>
    <cellStyle name="Normal 10 3 7 3" xfId="35312" xr:uid="{00000000-0005-0000-0000-00009E3D0000}"/>
    <cellStyle name="Normal 10 3 8" xfId="13658" xr:uid="{00000000-0005-0000-0000-00009F3D0000}"/>
    <cellStyle name="Normal 10 3 8 2" xfId="30770" xr:uid="{00000000-0005-0000-0000-0000A03D0000}"/>
    <cellStyle name="Normal 10 3 8 3" xfId="35432" xr:uid="{00000000-0005-0000-0000-0000A13D0000}"/>
    <cellStyle name="Normal 10 3 9" xfId="13779" xr:uid="{00000000-0005-0000-0000-0000A23D0000}"/>
    <cellStyle name="Normal 10 3 9 2" xfId="30891" xr:uid="{00000000-0005-0000-0000-0000A33D0000}"/>
    <cellStyle name="Normal 10 3 9 3" xfId="35553" xr:uid="{00000000-0005-0000-0000-0000A43D0000}"/>
    <cellStyle name="Normal 10 4" xfId="11466" xr:uid="{00000000-0005-0000-0000-0000A53D0000}"/>
    <cellStyle name="Normal 10 4 10" xfId="13780" xr:uid="{00000000-0005-0000-0000-0000A63D0000}"/>
    <cellStyle name="Normal 10 4 10 2" xfId="30892" xr:uid="{00000000-0005-0000-0000-0000A73D0000}"/>
    <cellStyle name="Normal 10 4 10 3" xfId="35554" xr:uid="{00000000-0005-0000-0000-0000A83D0000}"/>
    <cellStyle name="Normal 10 4 11" xfId="13899" xr:uid="{00000000-0005-0000-0000-0000A93D0000}"/>
    <cellStyle name="Normal 10 4 11 2" xfId="31011" xr:uid="{00000000-0005-0000-0000-0000AA3D0000}"/>
    <cellStyle name="Normal 10 4 11 3" xfId="35673" xr:uid="{00000000-0005-0000-0000-0000AB3D0000}"/>
    <cellStyle name="Normal 10 4 12" xfId="29654" xr:uid="{00000000-0005-0000-0000-0000AC3D0000}"/>
    <cellStyle name="Normal 10 4 13" xfId="34277" xr:uid="{00000000-0005-0000-0000-0000AD3D0000}"/>
    <cellStyle name="Normal 10 4 2" xfId="11532" xr:uid="{00000000-0005-0000-0000-0000AE3D0000}"/>
    <cellStyle name="Normal 10 4 2 2" xfId="29685" xr:uid="{00000000-0005-0000-0000-0000AF3D0000}"/>
    <cellStyle name="Normal 10 4 2 3" xfId="34323" xr:uid="{00000000-0005-0000-0000-0000B03D0000}"/>
    <cellStyle name="Normal 10 4 3" xfId="11670" xr:uid="{00000000-0005-0000-0000-0000B13D0000}"/>
    <cellStyle name="Normal 10 4 3 2" xfId="29800" xr:uid="{00000000-0005-0000-0000-0000B23D0000}"/>
    <cellStyle name="Normal 10 4 3 3" xfId="34448" xr:uid="{00000000-0005-0000-0000-0000B33D0000}"/>
    <cellStyle name="Normal 10 4 4" xfId="11789" xr:uid="{00000000-0005-0000-0000-0000B43D0000}"/>
    <cellStyle name="Normal 10 4 4 2" xfId="29918" xr:uid="{00000000-0005-0000-0000-0000B53D0000}"/>
    <cellStyle name="Normal 10 4 4 3" xfId="34567" xr:uid="{00000000-0005-0000-0000-0000B63D0000}"/>
    <cellStyle name="Normal 10 4 5" xfId="11908" xr:uid="{00000000-0005-0000-0000-0000B73D0000}"/>
    <cellStyle name="Normal 10 4 5 2" xfId="30035" xr:uid="{00000000-0005-0000-0000-0000B83D0000}"/>
    <cellStyle name="Normal 10 4 5 3" xfId="34686" xr:uid="{00000000-0005-0000-0000-0000B93D0000}"/>
    <cellStyle name="Normal 10 4 6" xfId="12670" xr:uid="{00000000-0005-0000-0000-0000BA3D0000}"/>
    <cellStyle name="Normal 10 4 7" xfId="13417" xr:uid="{00000000-0005-0000-0000-0000BB3D0000}"/>
    <cellStyle name="Normal 10 4 7 2" xfId="30529" xr:uid="{00000000-0005-0000-0000-0000BC3D0000}"/>
    <cellStyle name="Normal 10 4 7 3" xfId="35191" xr:uid="{00000000-0005-0000-0000-0000BD3D0000}"/>
    <cellStyle name="Normal 10 4 8" xfId="13539" xr:uid="{00000000-0005-0000-0000-0000BE3D0000}"/>
    <cellStyle name="Normal 10 4 8 2" xfId="30651" xr:uid="{00000000-0005-0000-0000-0000BF3D0000}"/>
    <cellStyle name="Normal 10 4 8 3" xfId="35313" xr:uid="{00000000-0005-0000-0000-0000C03D0000}"/>
    <cellStyle name="Normal 10 4 9" xfId="13659" xr:uid="{00000000-0005-0000-0000-0000C13D0000}"/>
    <cellStyle name="Normal 10 4 9 2" xfId="30771" xr:uid="{00000000-0005-0000-0000-0000C23D0000}"/>
    <cellStyle name="Normal 10 4 9 3" xfId="35433" xr:uid="{00000000-0005-0000-0000-0000C33D0000}"/>
    <cellStyle name="Normal 10 5" xfId="11530" xr:uid="{00000000-0005-0000-0000-0000C43D0000}"/>
    <cellStyle name="Normal 10 5 2" xfId="12671" xr:uid="{00000000-0005-0000-0000-0000C53D0000}"/>
    <cellStyle name="Normal 10 5 3" xfId="14265" xr:uid="{00000000-0005-0000-0000-0000C63D0000}"/>
    <cellStyle name="Normal 10 5 3 2" xfId="35877" xr:uid="{00000000-0005-0000-0000-0000C73D0000}"/>
    <cellStyle name="Normal 10 5 3 3" xfId="29683" xr:uid="{00000000-0005-0000-0000-0000C83D0000}"/>
    <cellStyle name="Normal 10 5 4" xfId="34321" xr:uid="{00000000-0005-0000-0000-0000C93D0000}"/>
    <cellStyle name="Normal 10 6" xfId="11668" xr:uid="{00000000-0005-0000-0000-0000CA3D0000}"/>
    <cellStyle name="Normal 10 6 2" xfId="12672" xr:uid="{00000000-0005-0000-0000-0000CB3D0000}"/>
    <cellStyle name="Normal 10 6 3" xfId="14266" xr:uid="{00000000-0005-0000-0000-0000CC3D0000}"/>
    <cellStyle name="Normal 10 6 3 2" xfId="35878" xr:uid="{00000000-0005-0000-0000-0000CD3D0000}"/>
    <cellStyle name="Normal 10 6 3 3" xfId="29798" xr:uid="{00000000-0005-0000-0000-0000CE3D0000}"/>
    <cellStyle name="Normal 10 6 4" xfId="34446" xr:uid="{00000000-0005-0000-0000-0000CF3D0000}"/>
    <cellStyle name="Normal 10 7" xfId="11787" xr:uid="{00000000-0005-0000-0000-0000D03D0000}"/>
    <cellStyle name="Normal 10 7 2" xfId="12673" xr:uid="{00000000-0005-0000-0000-0000D13D0000}"/>
    <cellStyle name="Normal 10 7 3" xfId="14267" xr:uid="{00000000-0005-0000-0000-0000D23D0000}"/>
    <cellStyle name="Normal 10 7 3 2" xfId="35879" xr:uid="{00000000-0005-0000-0000-0000D33D0000}"/>
    <cellStyle name="Normal 10 7 3 3" xfId="29916" xr:uid="{00000000-0005-0000-0000-0000D43D0000}"/>
    <cellStyle name="Normal 10 7 4" xfId="34565" xr:uid="{00000000-0005-0000-0000-0000D53D0000}"/>
    <cellStyle name="Normal 10 8" xfId="11906" xr:uid="{00000000-0005-0000-0000-0000D63D0000}"/>
    <cellStyle name="Normal 10 8 2" xfId="12674" xr:uid="{00000000-0005-0000-0000-0000D73D0000}"/>
    <cellStyle name="Normal 10 8 3" xfId="14268" xr:uid="{00000000-0005-0000-0000-0000D83D0000}"/>
    <cellStyle name="Normal 10 8 3 2" xfId="35880" xr:uid="{00000000-0005-0000-0000-0000D93D0000}"/>
    <cellStyle name="Normal 10 8 4" xfId="34684" xr:uid="{00000000-0005-0000-0000-0000DA3D0000}"/>
    <cellStyle name="Normal 10 9" xfId="13415" xr:uid="{00000000-0005-0000-0000-0000DB3D0000}"/>
    <cellStyle name="Normal 10 9 2" xfId="30527" xr:uid="{00000000-0005-0000-0000-0000DC3D0000}"/>
    <cellStyle name="Normal 10 9 3" xfId="35189" xr:uid="{00000000-0005-0000-0000-0000DD3D0000}"/>
    <cellStyle name="Normal 11" xfId="2312" xr:uid="{00000000-0005-0000-0000-0000DE3D0000}"/>
    <cellStyle name="Normal 11 10" xfId="13418" xr:uid="{00000000-0005-0000-0000-0000DF3D0000}"/>
    <cellStyle name="Normal 11 10 2" xfId="30530" xr:uid="{00000000-0005-0000-0000-0000E03D0000}"/>
    <cellStyle name="Normal 11 10 3" xfId="35192" xr:uid="{00000000-0005-0000-0000-0000E13D0000}"/>
    <cellStyle name="Normal 11 11" xfId="13540" xr:uid="{00000000-0005-0000-0000-0000E23D0000}"/>
    <cellStyle name="Normal 11 11 2" xfId="30652" xr:uid="{00000000-0005-0000-0000-0000E33D0000}"/>
    <cellStyle name="Normal 11 11 3" xfId="35314" xr:uid="{00000000-0005-0000-0000-0000E43D0000}"/>
    <cellStyle name="Normal 11 12" xfId="13660" xr:uid="{00000000-0005-0000-0000-0000E53D0000}"/>
    <cellStyle name="Normal 11 12 2" xfId="30772" xr:uid="{00000000-0005-0000-0000-0000E63D0000}"/>
    <cellStyle name="Normal 11 12 3" xfId="35434" xr:uid="{00000000-0005-0000-0000-0000E73D0000}"/>
    <cellStyle name="Normal 11 13" xfId="13781" xr:uid="{00000000-0005-0000-0000-0000E83D0000}"/>
    <cellStyle name="Normal 11 13 2" xfId="30893" xr:uid="{00000000-0005-0000-0000-0000E93D0000}"/>
    <cellStyle name="Normal 11 13 3" xfId="35555" xr:uid="{00000000-0005-0000-0000-0000EA3D0000}"/>
    <cellStyle name="Normal 11 14" xfId="13900" xr:uid="{00000000-0005-0000-0000-0000EB3D0000}"/>
    <cellStyle name="Normal 11 14 2" xfId="31012" xr:uid="{00000000-0005-0000-0000-0000EC3D0000}"/>
    <cellStyle name="Normal 11 14 3" xfId="35674" xr:uid="{00000000-0005-0000-0000-0000ED3D0000}"/>
    <cellStyle name="Normal 11 15" xfId="14022" xr:uid="{00000000-0005-0000-0000-0000EE3D0000}"/>
    <cellStyle name="Normal 11 15 2" xfId="31133" xr:uid="{00000000-0005-0000-0000-0000EF3D0000}"/>
    <cellStyle name="Normal 11 15 3" xfId="35794" xr:uid="{00000000-0005-0000-0000-0000F03D0000}"/>
    <cellStyle name="Normal 11 16" xfId="9788" xr:uid="{00000000-0005-0000-0000-0000F13D0000}"/>
    <cellStyle name="Normal 11 16 2" xfId="33298" xr:uid="{00000000-0005-0000-0000-0000F23D0000}"/>
    <cellStyle name="Normal 11 17" xfId="14269" xr:uid="{00000000-0005-0000-0000-0000F33D0000}"/>
    <cellStyle name="Normal 11 18" xfId="31280" xr:uid="{00000000-0005-0000-0000-0000F43D0000}"/>
    <cellStyle name="Normal 11 2" xfId="3450" xr:uid="{00000000-0005-0000-0000-0000F53D0000}"/>
    <cellStyle name="Normal 11 2 10" xfId="13661" xr:uid="{00000000-0005-0000-0000-0000F63D0000}"/>
    <cellStyle name="Normal 11 2 10 2" xfId="30773" xr:uid="{00000000-0005-0000-0000-0000F73D0000}"/>
    <cellStyle name="Normal 11 2 10 3" xfId="35435" xr:uid="{00000000-0005-0000-0000-0000F83D0000}"/>
    <cellStyle name="Normal 11 2 11" xfId="13782" xr:uid="{00000000-0005-0000-0000-0000F93D0000}"/>
    <cellStyle name="Normal 11 2 11 2" xfId="30894" xr:uid="{00000000-0005-0000-0000-0000FA3D0000}"/>
    <cellStyle name="Normal 11 2 11 3" xfId="35556" xr:uid="{00000000-0005-0000-0000-0000FB3D0000}"/>
    <cellStyle name="Normal 11 2 12" xfId="13901" xr:uid="{00000000-0005-0000-0000-0000FC3D0000}"/>
    <cellStyle name="Normal 11 2 12 2" xfId="31013" xr:uid="{00000000-0005-0000-0000-0000FD3D0000}"/>
    <cellStyle name="Normal 11 2 12 3" xfId="35675" xr:uid="{00000000-0005-0000-0000-0000FE3D0000}"/>
    <cellStyle name="Normal 11 2 13" xfId="9789" xr:uid="{00000000-0005-0000-0000-0000FF3D0000}"/>
    <cellStyle name="Normal 11 2 13 2" xfId="33299" xr:uid="{00000000-0005-0000-0000-0000003E0000}"/>
    <cellStyle name="Normal 11 2 14" xfId="31510" xr:uid="{00000000-0005-0000-0000-0000013E0000}"/>
    <cellStyle name="Normal 11 2 2" xfId="9790" xr:uid="{00000000-0005-0000-0000-0000023E0000}"/>
    <cellStyle name="Normal 11 2 2 2" xfId="29221" xr:uid="{00000000-0005-0000-0000-0000033E0000}"/>
    <cellStyle name="Normal 11 2 2 3" xfId="28414" xr:uid="{00000000-0005-0000-0000-0000043E0000}"/>
    <cellStyle name="Normal 11 2 3" xfId="11105" xr:uid="{00000000-0005-0000-0000-0000053E0000}"/>
    <cellStyle name="Normal 11 2 3 2" xfId="29545" xr:uid="{00000000-0005-0000-0000-0000063E0000}"/>
    <cellStyle name="Normal 11 2 3 3" xfId="33922" xr:uid="{00000000-0005-0000-0000-0000073E0000}"/>
    <cellStyle name="Normal 11 2 3 4" xfId="39737" xr:uid="{00000000-0005-0000-0000-0000130B0000}"/>
    <cellStyle name="Normal 11 2 4" xfId="11534" xr:uid="{00000000-0005-0000-0000-0000083E0000}"/>
    <cellStyle name="Normal 11 2 4 2" xfId="29687" xr:uid="{00000000-0005-0000-0000-0000093E0000}"/>
    <cellStyle name="Normal 11 2 4 3" xfId="34325" xr:uid="{00000000-0005-0000-0000-00000A3E0000}"/>
    <cellStyle name="Normal 11 2 5" xfId="11672" xr:uid="{00000000-0005-0000-0000-00000B3E0000}"/>
    <cellStyle name="Normal 11 2 5 2" xfId="29802" xr:uid="{00000000-0005-0000-0000-00000C3E0000}"/>
    <cellStyle name="Normal 11 2 5 3" xfId="34450" xr:uid="{00000000-0005-0000-0000-00000D3E0000}"/>
    <cellStyle name="Normal 11 2 6" xfId="11791" xr:uid="{00000000-0005-0000-0000-00000E3E0000}"/>
    <cellStyle name="Normal 11 2 6 2" xfId="29920" xr:uid="{00000000-0005-0000-0000-00000F3E0000}"/>
    <cellStyle name="Normal 11 2 6 3" xfId="34569" xr:uid="{00000000-0005-0000-0000-0000103E0000}"/>
    <cellStyle name="Normal 11 2 7" xfId="11910" xr:uid="{00000000-0005-0000-0000-0000113E0000}"/>
    <cellStyle name="Normal 11 2 7 2" xfId="30037" xr:uid="{00000000-0005-0000-0000-0000123E0000}"/>
    <cellStyle name="Normal 11 2 7 3" xfId="34688" xr:uid="{00000000-0005-0000-0000-0000133E0000}"/>
    <cellStyle name="Normal 11 2 8" xfId="13419" xr:uid="{00000000-0005-0000-0000-0000143E0000}"/>
    <cellStyle name="Normal 11 2 8 2" xfId="30531" xr:uid="{00000000-0005-0000-0000-0000153E0000}"/>
    <cellStyle name="Normal 11 2 8 3" xfId="35193" xr:uid="{00000000-0005-0000-0000-0000163E0000}"/>
    <cellStyle name="Normal 11 2 9" xfId="13541" xr:uid="{00000000-0005-0000-0000-0000173E0000}"/>
    <cellStyle name="Normal 11 2 9 2" xfId="30653" xr:uid="{00000000-0005-0000-0000-0000183E0000}"/>
    <cellStyle name="Normal 11 2 9 3" xfId="35315" xr:uid="{00000000-0005-0000-0000-0000193E0000}"/>
    <cellStyle name="Normal 11 3" xfId="9791" xr:uid="{00000000-0005-0000-0000-00001A3E0000}"/>
    <cellStyle name="Normal 11 3 10" xfId="13902" xr:uid="{00000000-0005-0000-0000-00001B3E0000}"/>
    <cellStyle name="Normal 11 3 10 2" xfId="31014" xr:uid="{00000000-0005-0000-0000-00001C3E0000}"/>
    <cellStyle name="Normal 11 3 10 3" xfId="35676" xr:uid="{00000000-0005-0000-0000-00001D3E0000}"/>
    <cellStyle name="Normal 11 3 11" xfId="28379" xr:uid="{00000000-0005-0000-0000-00001E3E0000}"/>
    <cellStyle name="Normal 11 3 2" xfId="11535" xr:uid="{00000000-0005-0000-0000-00001F3E0000}"/>
    <cellStyle name="Normal 11 3 2 2" xfId="29688" xr:uid="{00000000-0005-0000-0000-0000203E0000}"/>
    <cellStyle name="Normal 11 3 2 3" xfId="29222" xr:uid="{00000000-0005-0000-0000-0000213E0000}"/>
    <cellStyle name="Normal 11 3 2 4" xfId="34326" xr:uid="{00000000-0005-0000-0000-0000223E0000}"/>
    <cellStyle name="Normal 11 3 3" xfId="11673" xr:uid="{00000000-0005-0000-0000-0000233E0000}"/>
    <cellStyle name="Normal 11 3 3 2" xfId="29803" xr:uid="{00000000-0005-0000-0000-0000243E0000}"/>
    <cellStyle name="Normal 11 3 3 3" xfId="34451" xr:uid="{00000000-0005-0000-0000-0000253E0000}"/>
    <cellStyle name="Normal 11 3 4" xfId="11792" xr:uid="{00000000-0005-0000-0000-0000263E0000}"/>
    <cellStyle name="Normal 11 3 4 2" xfId="29921" xr:uid="{00000000-0005-0000-0000-0000273E0000}"/>
    <cellStyle name="Normal 11 3 4 3" xfId="34570" xr:uid="{00000000-0005-0000-0000-0000283E0000}"/>
    <cellStyle name="Normal 11 3 5" xfId="11911" xr:uid="{00000000-0005-0000-0000-0000293E0000}"/>
    <cellStyle name="Normal 11 3 5 2" xfId="30038" xr:uid="{00000000-0005-0000-0000-00002A3E0000}"/>
    <cellStyle name="Normal 11 3 5 3" xfId="34689" xr:uid="{00000000-0005-0000-0000-00002B3E0000}"/>
    <cellStyle name="Normal 11 3 6" xfId="13420" xr:uid="{00000000-0005-0000-0000-00002C3E0000}"/>
    <cellStyle name="Normal 11 3 6 2" xfId="30532" xr:uid="{00000000-0005-0000-0000-00002D3E0000}"/>
    <cellStyle name="Normal 11 3 6 3" xfId="35194" xr:uid="{00000000-0005-0000-0000-00002E3E0000}"/>
    <cellStyle name="Normal 11 3 7" xfId="13542" xr:uid="{00000000-0005-0000-0000-00002F3E0000}"/>
    <cellStyle name="Normal 11 3 7 2" xfId="30654" xr:uid="{00000000-0005-0000-0000-0000303E0000}"/>
    <cellStyle name="Normal 11 3 7 3" xfId="35316" xr:uid="{00000000-0005-0000-0000-0000313E0000}"/>
    <cellStyle name="Normal 11 3 8" xfId="13662" xr:uid="{00000000-0005-0000-0000-0000323E0000}"/>
    <cellStyle name="Normal 11 3 8 2" xfId="30774" xr:uid="{00000000-0005-0000-0000-0000333E0000}"/>
    <cellStyle name="Normal 11 3 8 3" xfId="35436" xr:uid="{00000000-0005-0000-0000-0000343E0000}"/>
    <cellStyle name="Normal 11 3 9" xfId="13783" xr:uid="{00000000-0005-0000-0000-0000353E0000}"/>
    <cellStyle name="Normal 11 3 9 2" xfId="30895" xr:uid="{00000000-0005-0000-0000-0000363E0000}"/>
    <cellStyle name="Normal 11 3 9 3" xfId="35557" xr:uid="{00000000-0005-0000-0000-0000373E0000}"/>
    <cellStyle name="Normal 11 4" xfId="9792" xr:uid="{00000000-0005-0000-0000-0000383E0000}"/>
    <cellStyle name="Normal 11 5" xfId="10893" xr:uid="{00000000-0005-0000-0000-0000393E0000}"/>
    <cellStyle name="Normal 11 5 2" xfId="12675" xr:uid="{00000000-0005-0000-0000-00003A3E0000}"/>
    <cellStyle name="Normal 11 5 3" xfId="29544" xr:uid="{00000000-0005-0000-0000-00003B3E0000}"/>
    <cellStyle name="Normal 11 5 4" xfId="33844" xr:uid="{00000000-0005-0000-0000-00003C3E0000}"/>
    <cellStyle name="Normal 11 6" xfId="11533" xr:uid="{00000000-0005-0000-0000-00003D3E0000}"/>
    <cellStyle name="Normal 11 6 2" xfId="12676" xr:uid="{00000000-0005-0000-0000-00003E3E0000}"/>
    <cellStyle name="Normal 11 6 3" xfId="29686" xr:uid="{00000000-0005-0000-0000-00003F3E0000}"/>
    <cellStyle name="Normal 11 6 4" xfId="34324" xr:uid="{00000000-0005-0000-0000-0000403E0000}"/>
    <cellStyle name="Normal 11 7" xfId="11671" xr:uid="{00000000-0005-0000-0000-0000413E0000}"/>
    <cellStyle name="Normal 11 7 2" xfId="12677" xr:uid="{00000000-0005-0000-0000-0000423E0000}"/>
    <cellStyle name="Normal 11 7 3" xfId="29801" xr:uid="{00000000-0005-0000-0000-0000433E0000}"/>
    <cellStyle name="Normal 11 7 4" xfId="34449" xr:uid="{00000000-0005-0000-0000-0000443E0000}"/>
    <cellStyle name="Normal 11 8" xfId="11790" xr:uid="{00000000-0005-0000-0000-0000453E0000}"/>
    <cellStyle name="Normal 11 8 2" xfId="12678" xr:uid="{00000000-0005-0000-0000-0000463E0000}"/>
    <cellStyle name="Normal 11 8 3" xfId="29919" xr:uid="{00000000-0005-0000-0000-0000473E0000}"/>
    <cellStyle name="Normal 11 8 4" xfId="34568" xr:uid="{00000000-0005-0000-0000-0000483E0000}"/>
    <cellStyle name="Normal 11 9" xfId="11909" xr:uid="{00000000-0005-0000-0000-0000493E0000}"/>
    <cellStyle name="Normal 11 9 2" xfId="30036" xr:uid="{00000000-0005-0000-0000-00004A3E0000}"/>
    <cellStyle name="Normal 11 9 3" xfId="34687" xr:uid="{00000000-0005-0000-0000-00004B3E0000}"/>
    <cellStyle name="Normal 12" xfId="2313" xr:uid="{00000000-0005-0000-0000-00004C3E0000}"/>
    <cellStyle name="Normal 12 10" xfId="3451" xr:uid="{00000000-0005-0000-0000-00004D3E0000}"/>
    <cellStyle name="Normal 12 10 2" xfId="10894" xr:uid="{00000000-0005-0000-0000-00004E3E0000}"/>
    <cellStyle name="Normal 12 10 2 2" xfId="28415" xr:uid="{00000000-0005-0000-0000-00004F3E0000}"/>
    <cellStyle name="Normal 12 10 2 3" xfId="33845" xr:uid="{00000000-0005-0000-0000-0000503E0000}"/>
    <cellStyle name="Normal 12 10 3" xfId="9794" xr:uid="{00000000-0005-0000-0000-0000513E0000}"/>
    <cellStyle name="Normal 12 10 3 2" xfId="33301" xr:uid="{00000000-0005-0000-0000-0000523E0000}"/>
    <cellStyle name="Normal 12 10 4" xfId="31511" xr:uid="{00000000-0005-0000-0000-0000533E0000}"/>
    <cellStyle name="Normal 12 11" xfId="9795" xr:uid="{00000000-0005-0000-0000-0000543E0000}"/>
    <cellStyle name="Normal 12 11 2" xfId="28441" xr:uid="{00000000-0005-0000-0000-0000553E0000}"/>
    <cellStyle name="Normal 12 11 3" xfId="28440" xr:uid="{00000000-0005-0000-0000-0000563E0000}"/>
    <cellStyle name="Normal 12 11 4" xfId="28380" xr:uid="{00000000-0005-0000-0000-0000573E0000}"/>
    <cellStyle name="Normal 12 12" xfId="11103" xr:uid="{00000000-0005-0000-0000-0000583E0000}"/>
    <cellStyle name="Normal 12 12 2" xfId="29546" xr:uid="{00000000-0005-0000-0000-0000593E0000}"/>
    <cellStyle name="Normal 12 12 3" xfId="33920" xr:uid="{00000000-0005-0000-0000-00005A3E0000}"/>
    <cellStyle name="Normal 12 13" xfId="11536" xr:uid="{00000000-0005-0000-0000-00005B3E0000}"/>
    <cellStyle name="Normal 12 13 2" xfId="29689" xr:uid="{00000000-0005-0000-0000-00005C3E0000}"/>
    <cellStyle name="Normal 12 13 3" xfId="34327" xr:uid="{00000000-0005-0000-0000-00005D3E0000}"/>
    <cellStyle name="Normal 12 14" xfId="11674" xr:uid="{00000000-0005-0000-0000-00005E3E0000}"/>
    <cellStyle name="Normal 12 14 2" xfId="29804" xr:uid="{00000000-0005-0000-0000-00005F3E0000}"/>
    <cellStyle name="Normal 12 14 3" xfId="34452" xr:uid="{00000000-0005-0000-0000-0000603E0000}"/>
    <cellStyle name="Normal 12 15" xfId="11793" xr:uid="{00000000-0005-0000-0000-0000613E0000}"/>
    <cellStyle name="Normal 12 15 2" xfId="29922" xr:uid="{00000000-0005-0000-0000-0000623E0000}"/>
    <cellStyle name="Normal 12 15 3" xfId="34571" xr:uid="{00000000-0005-0000-0000-0000633E0000}"/>
    <cellStyle name="Normal 12 16" xfId="11912" xr:uid="{00000000-0005-0000-0000-0000643E0000}"/>
    <cellStyle name="Normal 12 16 2" xfId="30039" xr:uid="{00000000-0005-0000-0000-0000653E0000}"/>
    <cellStyle name="Normal 12 16 3" xfId="34690" xr:uid="{00000000-0005-0000-0000-0000663E0000}"/>
    <cellStyle name="Normal 12 17" xfId="13421" xr:uid="{00000000-0005-0000-0000-0000673E0000}"/>
    <cellStyle name="Normal 12 17 2" xfId="30533" xr:uid="{00000000-0005-0000-0000-0000683E0000}"/>
    <cellStyle name="Normal 12 17 3" xfId="35195" xr:uid="{00000000-0005-0000-0000-0000693E0000}"/>
    <cellStyle name="Normal 12 18" xfId="13543" xr:uid="{00000000-0005-0000-0000-00006A3E0000}"/>
    <cellStyle name="Normal 12 18 2" xfId="30655" xr:uid="{00000000-0005-0000-0000-00006B3E0000}"/>
    <cellStyle name="Normal 12 18 3" xfId="35317" xr:uid="{00000000-0005-0000-0000-00006C3E0000}"/>
    <cellStyle name="Normal 12 19" xfId="13663" xr:uid="{00000000-0005-0000-0000-00006D3E0000}"/>
    <cellStyle name="Normal 12 19 2" xfId="30775" xr:uid="{00000000-0005-0000-0000-00006E3E0000}"/>
    <cellStyle name="Normal 12 19 3" xfId="35437" xr:uid="{00000000-0005-0000-0000-00006F3E0000}"/>
    <cellStyle name="Normal 12 2" xfId="2314" xr:uid="{00000000-0005-0000-0000-0000703E0000}"/>
    <cellStyle name="Normal 12 2 10" xfId="11675" xr:uid="{00000000-0005-0000-0000-0000713E0000}"/>
    <cellStyle name="Normal 12 2 10 2" xfId="29805" xr:uid="{00000000-0005-0000-0000-0000723E0000}"/>
    <cellStyle name="Normal 12 2 10 3" xfId="34453" xr:uid="{00000000-0005-0000-0000-0000733E0000}"/>
    <cellStyle name="Normal 12 2 11" xfId="11794" xr:uid="{00000000-0005-0000-0000-0000743E0000}"/>
    <cellStyle name="Normal 12 2 11 2" xfId="29923" xr:uid="{00000000-0005-0000-0000-0000753E0000}"/>
    <cellStyle name="Normal 12 2 11 3" xfId="34572" xr:uid="{00000000-0005-0000-0000-0000763E0000}"/>
    <cellStyle name="Normal 12 2 12" xfId="11913" xr:uid="{00000000-0005-0000-0000-0000773E0000}"/>
    <cellStyle name="Normal 12 2 12 2" xfId="30040" xr:uid="{00000000-0005-0000-0000-0000783E0000}"/>
    <cellStyle name="Normal 12 2 12 3" xfId="34691" xr:uid="{00000000-0005-0000-0000-0000793E0000}"/>
    <cellStyle name="Normal 12 2 13" xfId="13422" xr:uid="{00000000-0005-0000-0000-00007A3E0000}"/>
    <cellStyle name="Normal 12 2 13 2" xfId="30534" xr:uid="{00000000-0005-0000-0000-00007B3E0000}"/>
    <cellStyle name="Normal 12 2 13 3" xfId="35196" xr:uid="{00000000-0005-0000-0000-00007C3E0000}"/>
    <cellStyle name="Normal 12 2 14" xfId="13544" xr:uid="{00000000-0005-0000-0000-00007D3E0000}"/>
    <cellStyle name="Normal 12 2 14 2" xfId="30656" xr:uid="{00000000-0005-0000-0000-00007E3E0000}"/>
    <cellStyle name="Normal 12 2 14 3" xfId="35318" xr:uid="{00000000-0005-0000-0000-00007F3E0000}"/>
    <cellStyle name="Normal 12 2 15" xfId="13664" xr:uid="{00000000-0005-0000-0000-0000803E0000}"/>
    <cellStyle name="Normal 12 2 15 2" xfId="30776" xr:uid="{00000000-0005-0000-0000-0000813E0000}"/>
    <cellStyle name="Normal 12 2 15 3" xfId="35438" xr:uid="{00000000-0005-0000-0000-0000823E0000}"/>
    <cellStyle name="Normal 12 2 16" xfId="13785" xr:uid="{00000000-0005-0000-0000-0000833E0000}"/>
    <cellStyle name="Normal 12 2 16 2" xfId="30897" xr:uid="{00000000-0005-0000-0000-0000843E0000}"/>
    <cellStyle name="Normal 12 2 16 3" xfId="35559" xr:uid="{00000000-0005-0000-0000-0000853E0000}"/>
    <cellStyle name="Normal 12 2 17" xfId="13904" xr:uid="{00000000-0005-0000-0000-0000863E0000}"/>
    <cellStyle name="Normal 12 2 17 2" xfId="31016" xr:uid="{00000000-0005-0000-0000-0000873E0000}"/>
    <cellStyle name="Normal 12 2 17 3" xfId="35678" xr:uid="{00000000-0005-0000-0000-0000883E0000}"/>
    <cellStyle name="Normal 12 2 18" xfId="14271" xr:uid="{00000000-0005-0000-0000-0000893E0000}"/>
    <cellStyle name="Normal 12 2 2" xfId="2315" xr:uid="{00000000-0005-0000-0000-00008A3E0000}"/>
    <cellStyle name="Normal 12 2 2 2" xfId="2316" xr:uid="{00000000-0005-0000-0000-00008B3E0000}"/>
    <cellStyle name="Normal 12 2 2 3" xfId="14272" xr:uid="{00000000-0005-0000-0000-00008C3E0000}"/>
    <cellStyle name="Normal 12 2 3" xfId="2317" xr:uid="{00000000-0005-0000-0000-00008D3E0000}"/>
    <cellStyle name="Normal 12 2 4" xfId="2318" xr:uid="{00000000-0005-0000-0000-00008E3E0000}"/>
    <cellStyle name="Normal 12 2 5" xfId="2319" xr:uid="{00000000-0005-0000-0000-00008F3E0000}"/>
    <cellStyle name="Normal 12 2 6" xfId="2320" xr:uid="{00000000-0005-0000-0000-0000903E0000}"/>
    <cellStyle name="Normal 12 2 7" xfId="9796" xr:uid="{00000000-0005-0000-0000-0000913E0000}"/>
    <cellStyle name="Normal 12 2 8" xfId="9797" xr:uid="{00000000-0005-0000-0000-0000923E0000}"/>
    <cellStyle name="Normal 12 2 8 2" xfId="28442" xr:uid="{00000000-0005-0000-0000-0000933E0000}"/>
    <cellStyle name="Normal 12 2 9" xfId="11537" xr:uid="{00000000-0005-0000-0000-0000943E0000}"/>
    <cellStyle name="Normal 12 2 9 2" xfId="29690" xr:uid="{00000000-0005-0000-0000-0000953E0000}"/>
    <cellStyle name="Normal 12 2 9 3" xfId="34328" xr:uid="{00000000-0005-0000-0000-0000963E0000}"/>
    <cellStyle name="Normal 12 20" xfId="13784" xr:uid="{00000000-0005-0000-0000-0000973E0000}"/>
    <cellStyle name="Normal 12 20 2" xfId="30896" xr:uid="{00000000-0005-0000-0000-0000983E0000}"/>
    <cellStyle name="Normal 12 20 3" xfId="35558" xr:uid="{00000000-0005-0000-0000-0000993E0000}"/>
    <cellStyle name="Normal 12 21" xfId="13903" xr:uid="{00000000-0005-0000-0000-00009A3E0000}"/>
    <cellStyle name="Normal 12 21 2" xfId="31015" xr:uid="{00000000-0005-0000-0000-00009B3E0000}"/>
    <cellStyle name="Normal 12 21 3" xfId="35677" xr:uid="{00000000-0005-0000-0000-00009C3E0000}"/>
    <cellStyle name="Normal 12 22" xfId="9793" xr:uid="{00000000-0005-0000-0000-00009D3E0000}"/>
    <cellStyle name="Normal 12 22 2" xfId="33300" xr:uid="{00000000-0005-0000-0000-00009E3E0000}"/>
    <cellStyle name="Normal 12 23" xfId="14270" xr:uid="{00000000-0005-0000-0000-00009F3E0000}"/>
    <cellStyle name="Normal 12 24" xfId="31281" xr:uid="{00000000-0005-0000-0000-0000A03E0000}"/>
    <cellStyle name="Normal 12 3" xfId="2321" xr:uid="{00000000-0005-0000-0000-0000A13E0000}"/>
    <cellStyle name="Normal 12 3 10" xfId="11676" xr:uid="{00000000-0005-0000-0000-0000A23E0000}"/>
    <cellStyle name="Normal 12 3 10 2" xfId="29806" xr:uid="{00000000-0005-0000-0000-0000A33E0000}"/>
    <cellStyle name="Normal 12 3 10 3" xfId="34454" xr:uid="{00000000-0005-0000-0000-0000A43E0000}"/>
    <cellStyle name="Normal 12 3 11" xfId="11795" xr:uid="{00000000-0005-0000-0000-0000A53E0000}"/>
    <cellStyle name="Normal 12 3 11 2" xfId="29924" xr:uid="{00000000-0005-0000-0000-0000A63E0000}"/>
    <cellStyle name="Normal 12 3 11 3" xfId="34573" xr:uid="{00000000-0005-0000-0000-0000A73E0000}"/>
    <cellStyle name="Normal 12 3 12" xfId="11914" xr:uid="{00000000-0005-0000-0000-0000A83E0000}"/>
    <cellStyle name="Normal 12 3 12 2" xfId="30041" xr:uid="{00000000-0005-0000-0000-0000A93E0000}"/>
    <cellStyle name="Normal 12 3 12 3" xfId="34692" xr:uid="{00000000-0005-0000-0000-0000AA3E0000}"/>
    <cellStyle name="Normal 12 3 13" xfId="13423" xr:uid="{00000000-0005-0000-0000-0000AB3E0000}"/>
    <cellStyle name="Normal 12 3 13 2" xfId="30535" xr:uid="{00000000-0005-0000-0000-0000AC3E0000}"/>
    <cellStyle name="Normal 12 3 13 3" xfId="35197" xr:uid="{00000000-0005-0000-0000-0000AD3E0000}"/>
    <cellStyle name="Normal 12 3 14" xfId="13545" xr:uid="{00000000-0005-0000-0000-0000AE3E0000}"/>
    <cellStyle name="Normal 12 3 14 2" xfId="30657" xr:uid="{00000000-0005-0000-0000-0000AF3E0000}"/>
    <cellStyle name="Normal 12 3 14 3" xfId="35319" xr:uid="{00000000-0005-0000-0000-0000B03E0000}"/>
    <cellStyle name="Normal 12 3 15" xfId="13665" xr:uid="{00000000-0005-0000-0000-0000B13E0000}"/>
    <cellStyle name="Normal 12 3 15 2" xfId="30777" xr:uid="{00000000-0005-0000-0000-0000B23E0000}"/>
    <cellStyle name="Normal 12 3 15 3" xfId="35439" xr:uid="{00000000-0005-0000-0000-0000B33E0000}"/>
    <cellStyle name="Normal 12 3 16" xfId="13786" xr:uid="{00000000-0005-0000-0000-0000B43E0000}"/>
    <cellStyle name="Normal 12 3 16 2" xfId="30898" xr:uid="{00000000-0005-0000-0000-0000B53E0000}"/>
    <cellStyle name="Normal 12 3 16 3" xfId="35560" xr:uid="{00000000-0005-0000-0000-0000B63E0000}"/>
    <cellStyle name="Normal 12 3 17" xfId="13905" xr:uid="{00000000-0005-0000-0000-0000B73E0000}"/>
    <cellStyle name="Normal 12 3 17 2" xfId="31017" xr:uid="{00000000-0005-0000-0000-0000B83E0000}"/>
    <cellStyle name="Normal 12 3 17 3" xfId="35679" xr:uid="{00000000-0005-0000-0000-0000B93E0000}"/>
    <cellStyle name="Normal 12 3 18" xfId="14273" xr:uid="{00000000-0005-0000-0000-0000BA3E0000}"/>
    <cellStyle name="Normal 12 3 2" xfId="2322" xr:uid="{00000000-0005-0000-0000-0000BB3E0000}"/>
    <cellStyle name="Normal 12 3 2 2" xfId="2323" xr:uid="{00000000-0005-0000-0000-0000BC3E0000}"/>
    <cellStyle name="Normal 12 3 3" xfId="2324" xr:uid="{00000000-0005-0000-0000-0000BD3E0000}"/>
    <cellStyle name="Normal 12 3 4" xfId="2325" xr:uid="{00000000-0005-0000-0000-0000BE3E0000}"/>
    <cellStyle name="Normal 12 3 5" xfId="2326" xr:uid="{00000000-0005-0000-0000-0000BF3E0000}"/>
    <cellStyle name="Normal 12 3 6" xfId="2327" xr:uid="{00000000-0005-0000-0000-0000C03E0000}"/>
    <cellStyle name="Normal 12 3 7" xfId="9798" xr:uid="{00000000-0005-0000-0000-0000C13E0000}"/>
    <cellStyle name="Normal 12 3 8" xfId="9799" xr:uid="{00000000-0005-0000-0000-0000C23E0000}"/>
    <cellStyle name="Normal 12 3 8 2" xfId="28443" xr:uid="{00000000-0005-0000-0000-0000C33E0000}"/>
    <cellStyle name="Normal 12 3 9" xfId="11538" xr:uid="{00000000-0005-0000-0000-0000C43E0000}"/>
    <cellStyle name="Normal 12 3 9 2" xfId="29691" xr:uid="{00000000-0005-0000-0000-0000C53E0000}"/>
    <cellStyle name="Normal 12 3 9 3" xfId="34329" xr:uid="{00000000-0005-0000-0000-0000C63E0000}"/>
    <cellStyle name="Normal 12 4" xfId="2328" xr:uid="{00000000-0005-0000-0000-0000C73E0000}"/>
    <cellStyle name="Normal 12 4 2" xfId="2329" xr:uid="{00000000-0005-0000-0000-0000C83E0000}"/>
    <cellStyle name="Normal 12 4 2 2" xfId="2330" xr:uid="{00000000-0005-0000-0000-0000C93E0000}"/>
    <cellStyle name="Normal 12 4 3" xfId="2331" xr:uid="{00000000-0005-0000-0000-0000CA3E0000}"/>
    <cellStyle name="Normal 12 4 4" xfId="2332" xr:uid="{00000000-0005-0000-0000-0000CB3E0000}"/>
    <cellStyle name="Normal 12 4 5" xfId="2333" xr:uid="{00000000-0005-0000-0000-0000CC3E0000}"/>
    <cellStyle name="Normal 12 4 6" xfId="2334" xr:uid="{00000000-0005-0000-0000-0000CD3E0000}"/>
    <cellStyle name="Normal 12 4 7" xfId="9800" xr:uid="{00000000-0005-0000-0000-0000CE3E0000}"/>
    <cellStyle name="Normal 12 4 8" xfId="9801" xr:uid="{00000000-0005-0000-0000-0000CF3E0000}"/>
    <cellStyle name="Normal 12 4 8 2" xfId="28444" xr:uid="{00000000-0005-0000-0000-0000D03E0000}"/>
    <cellStyle name="Normal 12 5" xfId="2335" xr:uid="{00000000-0005-0000-0000-0000D13E0000}"/>
    <cellStyle name="Normal 12 5 2" xfId="2336" xr:uid="{00000000-0005-0000-0000-0000D23E0000}"/>
    <cellStyle name="Normal 12 5 2 2" xfId="2337" xr:uid="{00000000-0005-0000-0000-0000D33E0000}"/>
    <cellStyle name="Normal 12 5 3" xfId="2338" xr:uid="{00000000-0005-0000-0000-0000D43E0000}"/>
    <cellStyle name="Normal 12 5 4" xfId="2339" xr:uid="{00000000-0005-0000-0000-0000D53E0000}"/>
    <cellStyle name="Normal 12 5 5" xfId="2340" xr:uid="{00000000-0005-0000-0000-0000D63E0000}"/>
    <cellStyle name="Normal 12 5 6" xfId="2341" xr:uid="{00000000-0005-0000-0000-0000D73E0000}"/>
    <cellStyle name="Normal 12 5 7" xfId="9802" xr:uid="{00000000-0005-0000-0000-0000D83E0000}"/>
    <cellStyle name="Normal 12 5 8" xfId="9803" xr:uid="{00000000-0005-0000-0000-0000D93E0000}"/>
    <cellStyle name="Normal 12 5 8 2" xfId="28445" xr:uid="{00000000-0005-0000-0000-0000DA3E0000}"/>
    <cellStyle name="Normal 12 6" xfId="2342" xr:uid="{00000000-0005-0000-0000-0000DB3E0000}"/>
    <cellStyle name="Normal 12 6 2" xfId="2343" xr:uid="{00000000-0005-0000-0000-0000DC3E0000}"/>
    <cellStyle name="Normal 12 6 2 2" xfId="2344" xr:uid="{00000000-0005-0000-0000-0000DD3E0000}"/>
    <cellStyle name="Normal 12 6 3" xfId="2345" xr:uid="{00000000-0005-0000-0000-0000DE3E0000}"/>
    <cellStyle name="Normal 12 6 4" xfId="2346" xr:uid="{00000000-0005-0000-0000-0000DF3E0000}"/>
    <cellStyle name="Normal 12 6 5" xfId="2347" xr:uid="{00000000-0005-0000-0000-0000E03E0000}"/>
    <cellStyle name="Normal 12 6 6" xfId="2348" xr:uid="{00000000-0005-0000-0000-0000E13E0000}"/>
    <cellStyle name="Normal 12 6 7" xfId="9804" xr:uid="{00000000-0005-0000-0000-0000E23E0000}"/>
    <cellStyle name="Normal 12 6 8" xfId="9805" xr:uid="{00000000-0005-0000-0000-0000E33E0000}"/>
    <cellStyle name="Normal 12 6 8 2" xfId="28446" xr:uid="{00000000-0005-0000-0000-0000E43E0000}"/>
    <cellStyle name="Normal 12 7" xfId="2349" xr:uid="{00000000-0005-0000-0000-0000E53E0000}"/>
    <cellStyle name="Normal 12 8" xfId="2350" xr:uid="{00000000-0005-0000-0000-0000E63E0000}"/>
    <cellStyle name="Normal 12 9" xfId="2351" xr:uid="{00000000-0005-0000-0000-0000E73E0000}"/>
    <cellStyle name="Normal 13" xfId="2352" xr:uid="{00000000-0005-0000-0000-0000E83E0000}"/>
    <cellStyle name="Normal 13 10" xfId="12679" xr:uid="{00000000-0005-0000-0000-0000E93E0000}"/>
    <cellStyle name="Normal 13 10 2" xfId="30390" xr:uid="{00000000-0005-0000-0000-0000EA3E0000}"/>
    <cellStyle name="Normal 13 10 3" xfId="35051" xr:uid="{00000000-0005-0000-0000-0000EB3E0000}"/>
    <cellStyle name="Normal 13 11" xfId="12680" xr:uid="{00000000-0005-0000-0000-0000EC3E0000}"/>
    <cellStyle name="Normal 13 11 2" xfId="30391" xr:uid="{00000000-0005-0000-0000-0000ED3E0000}"/>
    <cellStyle name="Normal 13 11 3" xfId="35052" xr:uid="{00000000-0005-0000-0000-0000EE3E0000}"/>
    <cellStyle name="Normal 13 12" xfId="12681" xr:uid="{00000000-0005-0000-0000-0000EF3E0000}"/>
    <cellStyle name="Normal 13 13" xfId="12682" xr:uid="{00000000-0005-0000-0000-0000F03E0000}"/>
    <cellStyle name="Normal 13 13 2" xfId="30392" xr:uid="{00000000-0005-0000-0000-0000F13E0000}"/>
    <cellStyle name="Normal 13 13 3" xfId="35053" xr:uid="{00000000-0005-0000-0000-0000F23E0000}"/>
    <cellStyle name="Normal 13 14" xfId="12683" xr:uid="{00000000-0005-0000-0000-0000F33E0000}"/>
    <cellStyle name="Normal 13 14 2" xfId="30393" xr:uid="{00000000-0005-0000-0000-0000F43E0000}"/>
    <cellStyle name="Normal 13 14 3" xfId="35054" xr:uid="{00000000-0005-0000-0000-0000F53E0000}"/>
    <cellStyle name="Normal 13 15" xfId="12684" xr:uid="{00000000-0005-0000-0000-0000F63E0000}"/>
    <cellStyle name="Normal 13 15 2" xfId="30394" xr:uid="{00000000-0005-0000-0000-0000F73E0000}"/>
    <cellStyle name="Normal 13 15 3" xfId="35055" xr:uid="{00000000-0005-0000-0000-0000F83E0000}"/>
    <cellStyle name="Normal 13 16" xfId="12685" xr:uid="{00000000-0005-0000-0000-0000F93E0000}"/>
    <cellStyle name="Normal 13 16 2" xfId="30395" xr:uid="{00000000-0005-0000-0000-0000FA3E0000}"/>
    <cellStyle name="Normal 13 16 3" xfId="35056" xr:uid="{00000000-0005-0000-0000-0000FB3E0000}"/>
    <cellStyle name="Normal 13 17" xfId="12686" xr:uid="{00000000-0005-0000-0000-0000FC3E0000}"/>
    <cellStyle name="Normal 13 18" xfId="12687" xr:uid="{00000000-0005-0000-0000-0000FD3E0000}"/>
    <cellStyle name="Normal 13 19" xfId="12688" xr:uid="{00000000-0005-0000-0000-0000FE3E0000}"/>
    <cellStyle name="Normal 13 2" xfId="2353" xr:uid="{00000000-0005-0000-0000-0000FF3E0000}"/>
    <cellStyle name="Normal 13 2 10" xfId="39738" xr:uid="{00000000-0005-0000-0000-00002E0B0000}"/>
    <cellStyle name="Normal 13 2 2" xfId="12690" xr:uid="{00000000-0005-0000-0000-0000003F0000}"/>
    <cellStyle name="Normal 13 2 2 2" xfId="30396" xr:uid="{00000000-0005-0000-0000-0000013F0000}"/>
    <cellStyle name="Normal 13 2 2 3" xfId="35057" xr:uid="{00000000-0005-0000-0000-0000023F0000}"/>
    <cellStyle name="Normal 13 2 3" xfId="12691" xr:uid="{00000000-0005-0000-0000-0000033F0000}"/>
    <cellStyle name="Normal 13 2 3 2" xfId="30397" xr:uid="{00000000-0005-0000-0000-0000043F0000}"/>
    <cellStyle name="Normal 13 2 3 3" xfId="35058" xr:uid="{00000000-0005-0000-0000-0000053F0000}"/>
    <cellStyle name="Normal 13 2 4" xfId="12692" xr:uid="{00000000-0005-0000-0000-0000063F0000}"/>
    <cellStyle name="Normal 13 2 4 2" xfId="30398" xr:uid="{00000000-0005-0000-0000-0000073F0000}"/>
    <cellStyle name="Normal 13 2 4 3" xfId="35059" xr:uid="{00000000-0005-0000-0000-0000083F0000}"/>
    <cellStyle name="Normal 13 2 5" xfId="12693" xr:uid="{00000000-0005-0000-0000-0000093F0000}"/>
    <cellStyle name="Normal 13 2 5 2" xfId="30399" xr:uid="{00000000-0005-0000-0000-00000A3F0000}"/>
    <cellStyle name="Normal 13 2 5 3" xfId="35060" xr:uid="{00000000-0005-0000-0000-00000B3F0000}"/>
    <cellStyle name="Normal 13 2 6" xfId="12694" xr:uid="{00000000-0005-0000-0000-00000C3F0000}"/>
    <cellStyle name="Normal 13 2 6 2" xfId="30400" xr:uid="{00000000-0005-0000-0000-00000D3F0000}"/>
    <cellStyle name="Normal 13 2 6 3" xfId="35061" xr:uid="{00000000-0005-0000-0000-00000E3F0000}"/>
    <cellStyle name="Normal 13 2 7" xfId="12695" xr:uid="{00000000-0005-0000-0000-00000F3F0000}"/>
    <cellStyle name="Normal 13 2 7 2" xfId="30401" xr:uid="{00000000-0005-0000-0000-0000103F0000}"/>
    <cellStyle name="Normal 13 2 7 3" xfId="35062" xr:uid="{00000000-0005-0000-0000-0000113F0000}"/>
    <cellStyle name="Normal 13 2 8" xfId="12696" xr:uid="{00000000-0005-0000-0000-0000123F0000}"/>
    <cellStyle name="Normal 13 2 8 2" xfId="30402" xr:uid="{00000000-0005-0000-0000-0000133F0000}"/>
    <cellStyle name="Normal 13 2 8 3" xfId="35063" xr:uid="{00000000-0005-0000-0000-0000143F0000}"/>
    <cellStyle name="Normal 13 2 9" xfId="12689" xr:uid="{00000000-0005-0000-0000-0000153F0000}"/>
    <cellStyle name="Normal 13 20" xfId="12697" xr:uid="{00000000-0005-0000-0000-0000163F0000}"/>
    <cellStyle name="Normal 13 21" xfId="12698" xr:uid="{00000000-0005-0000-0000-0000173F0000}"/>
    <cellStyle name="Normal 13 22" xfId="12699" xr:uid="{00000000-0005-0000-0000-0000183F0000}"/>
    <cellStyle name="Normal 13 23" xfId="12700" xr:uid="{00000000-0005-0000-0000-0000193F0000}"/>
    <cellStyle name="Normal 13 24" xfId="12701" xr:uid="{00000000-0005-0000-0000-00001A3F0000}"/>
    <cellStyle name="Normal 13 25" xfId="12702" xr:uid="{00000000-0005-0000-0000-00001B3F0000}"/>
    <cellStyle name="Normal 13 26" xfId="12703" xr:uid="{00000000-0005-0000-0000-00001C3F0000}"/>
    <cellStyle name="Normal 13 27" xfId="12704" xr:uid="{00000000-0005-0000-0000-00001D3F0000}"/>
    <cellStyle name="Normal 13 28" xfId="12705" xr:uid="{00000000-0005-0000-0000-00001E3F0000}"/>
    <cellStyle name="Normal 13 29" xfId="12706" xr:uid="{00000000-0005-0000-0000-00001F3F0000}"/>
    <cellStyle name="Normal 13 3" xfId="2354" xr:uid="{00000000-0005-0000-0000-0000203F0000}"/>
    <cellStyle name="Normal 13 3 2" xfId="12707" xr:uid="{00000000-0005-0000-0000-0000213F0000}"/>
    <cellStyle name="Normal 13 3 2 2" xfId="30403" xr:uid="{00000000-0005-0000-0000-0000223F0000}"/>
    <cellStyle name="Normal 13 3 2 3" xfId="35064" xr:uid="{00000000-0005-0000-0000-0000233F0000}"/>
    <cellStyle name="Normal 13 30" xfId="12708" xr:uid="{00000000-0005-0000-0000-0000243F0000}"/>
    <cellStyle name="Normal 13 31" xfId="12709" xr:uid="{00000000-0005-0000-0000-0000253F0000}"/>
    <cellStyle name="Normal 13 32" xfId="12710" xr:uid="{00000000-0005-0000-0000-0000263F0000}"/>
    <cellStyle name="Normal 13 33" xfId="12711" xr:uid="{00000000-0005-0000-0000-0000273F0000}"/>
    <cellStyle name="Normal 13 34" xfId="12712" xr:uid="{00000000-0005-0000-0000-0000283F0000}"/>
    <cellStyle name="Normal 13 35" xfId="12713" xr:uid="{00000000-0005-0000-0000-0000293F0000}"/>
    <cellStyle name="Normal 13 36" xfId="12714" xr:uid="{00000000-0005-0000-0000-00002A3F0000}"/>
    <cellStyle name="Normal 13 37" xfId="12715" xr:uid="{00000000-0005-0000-0000-00002B3F0000}"/>
    <cellStyle name="Normal 13 38" xfId="12716" xr:uid="{00000000-0005-0000-0000-00002C3F0000}"/>
    <cellStyle name="Normal 13 39" xfId="14274" xr:uid="{00000000-0005-0000-0000-00002D3F0000}"/>
    <cellStyle name="Normal 13 4" xfId="9806" xr:uid="{00000000-0005-0000-0000-00002E3F0000}"/>
    <cellStyle name="Normal 13 4 2" xfId="12717" xr:uid="{00000000-0005-0000-0000-00002F3F0000}"/>
    <cellStyle name="Normal 13 4 2 2" xfId="30404" xr:uid="{00000000-0005-0000-0000-0000303F0000}"/>
    <cellStyle name="Normal 13 4 2 3" xfId="35065" xr:uid="{00000000-0005-0000-0000-0000313F0000}"/>
    <cellStyle name="Normal 13 5" xfId="12718" xr:uid="{00000000-0005-0000-0000-0000323F0000}"/>
    <cellStyle name="Normal 13 6" xfId="12719" xr:uid="{00000000-0005-0000-0000-0000333F0000}"/>
    <cellStyle name="Normal 13 7" xfId="12720" xr:uid="{00000000-0005-0000-0000-0000343F0000}"/>
    <cellStyle name="Normal 13 8" xfId="12721" xr:uid="{00000000-0005-0000-0000-0000353F0000}"/>
    <cellStyle name="Normal 13 9" xfId="12722" xr:uid="{00000000-0005-0000-0000-0000363F0000}"/>
    <cellStyle name="Normal 13 9 2" xfId="30405" xr:uid="{00000000-0005-0000-0000-0000373F0000}"/>
    <cellStyle name="Normal 13 9 3" xfId="35066" xr:uid="{00000000-0005-0000-0000-0000383F0000}"/>
    <cellStyle name="Normal 14" xfId="2355" xr:uid="{00000000-0005-0000-0000-0000393F0000}"/>
    <cellStyle name="Normal 14 10" xfId="2356" xr:uid="{00000000-0005-0000-0000-00003A3F0000}"/>
    <cellStyle name="Normal 14 10 2" xfId="3453" xr:uid="{00000000-0005-0000-0000-00003B3F0000}"/>
    <cellStyle name="Normal 14 10 2 2" xfId="10895" xr:uid="{00000000-0005-0000-0000-00003C3F0000}"/>
    <cellStyle name="Normal 14 10 2 2 2" xfId="33846" xr:uid="{00000000-0005-0000-0000-00003D3F0000}"/>
    <cellStyle name="Normal 14 10 2 3" xfId="28201" xr:uid="{00000000-0005-0000-0000-00003E3F0000}"/>
    <cellStyle name="Normal 14 10 2 4" xfId="31513" xr:uid="{00000000-0005-0000-0000-00003F3F0000}"/>
    <cellStyle name="Normal 14 10 3" xfId="12724" xr:uid="{00000000-0005-0000-0000-0000403F0000}"/>
    <cellStyle name="Normal 14 10 3 2" xfId="28382" xr:uid="{00000000-0005-0000-0000-0000413F0000}"/>
    <cellStyle name="Normal 14 10 3 3" xfId="35067" xr:uid="{00000000-0005-0000-0000-0000423F0000}"/>
    <cellStyle name="Normal 14 10 4" xfId="9808" xr:uid="{00000000-0005-0000-0000-0000433F0000}"/>
    <cellStyle name="Normal 14 10 4 2" xfId="33303" xr:uid="{00000000-0005-0000-0000-0000443F0000}"/>
    <cellStyle name="Normal 14 10 5" xfId="31283" xr:uid="{00000000-0005-0000-0000-0000453F0000}"/>
    <cellStyle name="Normal 14 11" xfId="3452" xr:uid="{00000000-0005-0000-0000-0000463F0000}"/>
    <cellStyle name="Normal 14 11 2" xfId="11107" xr:uid="{00000000-0005-0000-0000-0000473F0000}"/>
    <cellStyle name="Normal 14 11 2 2" xfId="28416" xr:uid="{00000000-0005-0000-0000-0000483F0000}"/>
    <cellStyle name="Normal 14 11 2 3" xfId="33924" xr:uid="{00000000-0005-0000-0000-0000493F0000}"/>
    <cellStyle name="Normal 14 11 3" xfId="12725" xr:uid="{00000000-0005-0000-0000-00004A3F0000}"/>
    <cellStyle name="Normal 14 11 3 2" xfId="30406" xr:uid="{00000000-0005-0000-0000-00004B3F0000}"/>
    <cellStyle name="Normal 14 11 3 3" xfId="35068" xr:uid="{00000000-0005-0000-0000-00004C3F0000}"/>
    <cellStyle name="Normal 14 11 4" xfId="9809" xr:uid="{00000000-0005-0000-0000-00004D3F0000}"/>
    <cellStyle name="Normal 14 11 4 2" xfId="33304" xr:uid="{00000000-0005-0000-0000-00004E3F0000}"/>
    <cellStyle name="Normal 14 11 5" xfId="31512" xr:uid="{00000000-0005-0000-0000-00004F3F0000}"/>
    <cellStyle name="Normal 14 12" xfId="9810" xr:uid="{00000000-0005-0000-0000-0000503F0000}"/>
    <cellStyle name="Normal 14 12 2" xfId="12726" xr:uid="{00000000-0005-0000-0000-0000513F0000}"/>
    <cellStyle name="Normal 14 12 2 2" xfId="30407" xr:uid="{00000000-0005-0000-0000-0000523F0000}"/>
    <cellStyle name="Normal 14 12 2 3" xfId="28447" xr:uid="{00000000-0005-0000-0000-0000533F0000}"/>
    <cellStyle name="Normal 14 12 2 4" xfId="35069" xr:uid="{00000000-0005-0000-0000-0000543F0000}"/>
    <cellStyle name="Normal 14 12 3" xfId="28381" xr:uid="{00000000-0005-0000-0000-0000553F0000}"/>
    <cellStyle name="Normal 14 13" xfId="9811" xr:uid="{00000000-0005-0000-0000-0000563F0000}"/>
    <cellStyle name="Normal 14 13 2" xfId="12727" xr:uid="{00000000-0005-0000-0000-0000573F0000}"/>
    <cellStyle name="Normal 14 13 2 2" xfId="30408" xr:uid="{00000000-0005-0000-0000-0000583F0000}"/>
    <cellStyle name="Normal 14 13 2 3" xfId="28448" xr:uid="{00000000-0005-0000-0000-0000593F0000}"/>
    <cellStyle name="Normal 14 13 2 4" xfId="35070" xr:uid="{00000000-0005-0000-0000-00005A3F0000}"/>
    <cellStyle name="Normal 14 14" xfId="11106" xr:uid="{00000000-0005-0000-0000-00005B3F0000}"/>
    <cellStyle name="Normal 14 14 2" xfId="12728" xr:uid="{00000000-0005-0000-0000-00005C3F0000}"/>
    <cellStyle name="Normal 14 14 2 2" xfId="30409" xr:uid="{00000000-0005-0000-0000-00005D3F0000}"/>
    <cellStyle name="Normal 14 14 2 3" xfId="35071" xr:uid="{00000000-0005-0000-0000-00005E3F0000}"/>
    <cellStyle name="Normal 14 14 3" xfId="29547" xr:uid="{00000000-0005-0000-0000-00005F3F0000}"/>
    <cellStyle name="Normal 14 14 4" xfId="33923" xr:uid="{00000000-0005-0000-0000-0000603F0000}"/>
    <cellStyle name="Normal 14 15" xfId="11539" xr:uid="{00000000-0005-0000-0000-0000613F0000}"/>
    <cellStyle name="Normal 14 15 2" xfId="12729" xr:uid="{00000000-0005-0000-0000-0000623F0000}"/>
    <cellStyle name="Normal 14 15 2 2" xfId="30410" xr:uid="{00000000-0005-0000-0000-0000633F0000}"/>
    <cellStyle name="Normal 14 15 2 3" xfId="35072" xr:uid="{00000000-0005-0000-0000-0000643F0000}"/>
    <cellStyle name="Normal 14 15 3" xfId="29692" xr:uid="{00000000-0005-0000-0000-0000653F0000}"/>
    <cellStyle name="Normal 14 15 4" xfId="34330" xr:uid="{00000000-0005-0000-0000-0000663F0000}"/>
    <cellStyle name="Normal 14 16" xfId="11677" xr:uid="{00000000-0005-0000-0000-0000673F0000}"/>
    <cellStyle name="Normal 14 16 2" xfId="29807" xr:uid="{00000000-0005-0000-0000-0000683F0000}"/>
    <cellStyle name="Normal 14 16 3" xfId="34455" xr:uid="{00000000-0005-0000-0000-0000693F0000}"/>
    <cellStyle name="Normal 14 16 4" xfId="39739" xr:uid="{00000000-0005-0000-0000-0000580B0000}"/>
    <cellStyle name="Normal 14 17" xfId="11796" xr:uid="{00000000-0005-0000-0000-00006A3F0000}"/>
    <cellStyle name="Normal 14 17 2" xfId="29925" xr:uid="{00000000-0005-0000-0000-00006B3F0000}"/>
    <cellStyle name="Normal 14 17 3" xfId="34574" xr:uid="{00000000-0005-0000-0000-00006C3F0000}"/>
    <cellStyle name="Normal 14 18" xfId="11915" xr:uid="{00000000-0005-0000-0000-00006D3F0000}"/>
    <cellStyle name="Normal 14 18 2" xfId="30042" xr:uid="{00000000-0005-0000-0000-00006E3F0000}"/>
    <cellStyle name="Normal 14 18 3" xfId="34693" xr:uid="{00000000-0005-0000-0000-00006F3F0000}"/>
    <cellStyle name="Normal 14 19" xfId="12723" xr:uid="{00000000-0005-0000-0000-0000703F0000}"/>
    <cellStyle name="Normal 14 2" xfId="2357" xr:uid="{00000000-0005-0000-0000-0000713F0000}"/>
    <cellStyle name="Normal 14 2 10" xfId="11678" xr:uid="{00000000-0005-0000-0000-0000723F0000}"/>
    <cellStyle name="Normal 14 2 10 2" xfId="29808" xr:uid="{00000000-0005-0000-0000-0000733F0000}"/>
    <cellStyle name="Normal 14 2 10 3" xfId="34456" xr:uid="{00000000-0005-0000-0000-0000743F0000}"/>
    <cellStyle name="Normal 14 2 11" xfId="11797" xr:uid="{00000000-0005-0000-0000-0000753F0000}"/>
    <cellStyle name="Normal 14 2 11 2" xfId="29926" xr:uid="{00000000-0005-0000-0000-0000763F0000}"/>
    <cellStyle name="Normal 14 2 11 3" xfId="34575" xr:uid="{00000000-0005-0000-0000-0000773F0000}"/>
    <cellStyle name="Normal 14 2 12" xfId="11916" xr:uid="{00000000-0005-0000-0000-0000783F0000}"/>
    <cellStyle name="Normal 14 2 12 2" xfId="30043" xr:uid="{00000000-0005-0000-0000-0000793F0000}"/>
    <cellStyle name="Normal 14 2 12 3" xfId="34694" xr:uid="{00000000-0005-0000-0000-00007A3F0000}"/>
    <cellStyle name="Normal 14 2 13" xfId="12730" xr:uid="{00000000-0005-0000-0000-00007B3F0000}"/>
    <cellStyle name="Normal 14 2 13 2" xfId="30411" xr:uid="{00000000-0005-0000-0000-00007C3F0000}"/>
    <cellStyle name="Normal 14 2 13 3" xfId="35073" xr:uid="{00000000-0005-0000-0000-00007D3F0000}"/>
    <cellStyle name="Normal 14 2 14" xfId="13425" xr:uid="{00000000-0005-0000-0000-00007E3F0000}"/>
    <cellStyle name="Normal 14 2 14 2" xfId="30537" xr:uid="{00000000-0005-0000-0000-00007F3F0000}"/>
    <cellStyle name="Normal 14 2 14 3" xfId="35199" xr:uid="{00000000-0005-0000-0000-0000803F0000}"/>
    <cellStyle name="Normal 14 2 15" xfId="13547" xr:uid="{00000000-0005-0000-0000-0000813F0000}"/>
    <cellStyle name="Normal 14 2 15 2" xfId="30659" xr:uid="{00000000-0005-0000-0000-0000823F0000}"/>
    <cellStyle name="Normal 14 2 15 3" xfId="35321" xr:uid="{00000000-0005-0000-0000-0000833F0000}"/>
    <cellStyle name="Normal 14 2 16" xfId="13667" xr:uid="{00000000-0005-0000-0000-0000843F0000}"/>
    <cellStyle name="Normal 14 2 16 2" xfId="30779" xr:uid="{00000000-0005-0000-0000-0000853F0000}"/>
    <cellStyle name="Normal 14 2 16 3" xfId="35441" xr:uid="{00000000-0005-0000-0000-0000863F0000}"/>
    <cellStyle name="Normal 14 2 17" xfId="13788" xr:uid="{00000000-0005-0000-0000-0000873F0000}"/>
    <cellStyle name="Normal 14 2 17 2" xfId="30900" xr:uid="{00000000-0005-0000-0000-0000883F0000}"/>
    <cellStyle name="Normal 14 2 17 3" xfId="35562" xr:uid="{00000000-0005-0000-0000-0000893F0000}"/>
    <cellStyle name="Normal 14 2 18" xfId="13907" xr:uid="{00000000-0005-0000-0000-00008A3F0000}"/>
    <cellStyle name="Normal 14 2 18 2" xfId="31019" xr:uid="{00000000-0005-0000-0000-00008B3F0000}"/>
    <cellStyle name="Normal 14 2 18 3" xfId="35681" xr:uid="{00000000-0005-0000-0000-00008C3F0000}"/>
    <cellStyle name="Normal 14 2 2" xfId="2358" xr:uid="{00000000-0005-0000-0000-00008D3F0000}"/>
    <cellStyle name="Normal 14 2 2 2" xfId="2359" xr:uid="{00000000-0005-0000-0000-00008E3F0000}"/>
    <cellStyle name="Normal 14 2 3" xfId="2360" xr:uid="{00000000-0005-0000-0000-00008F3F0000}"/>
    <cellStyle name="Normal 14 2 4" xfId="2361" xr:uid="{00000000-0005-0000-0000-0000903F0000}"/>
    <cellStyle name="Normal 14 2 5" xfId="2362" xr:uid="{00000000-0005-0000-0000-0000913F0000}"/>
    <cellStyle name="Normal 14 2 6" xfId="2363" xr:uid="{00000000-0005-0000-0000-0000923F0000}"/>
    <cellStyle name="Normal 14 2 7" xfId="9812" xr:uid="{00000000-0005-0000-0000-0000933F0000}"/>
    <cellStyle name="Normal 14 2 8" xfId="9813" xr:uid="{00000000-0005-0000-0000-0000943F0000}"/>
    <cellStyle name="Normal 14 2 8 2" xfId="28449" xr:uid="{00000000-0005-0000-0000-0000953F0000}"/>
    <cellStyle name="Normal 14 2 8 3" xfId="39741" xr:uid="{00000000-0005-0000-0000-0000600B0000}"/>
    <cellStyle name="Normal 14 2 9" xfId="11540" xr:uid="{00000000-0005-0000-0000-0000963F0000}"/>
    <cellStyle name="Normal 14 2 9 2" xfId="29693" xr:uid="{00000000-0005-0000-0000-0000973F0000}"/>
    <cellStyle name="Normal 14 2 9 3" xfId="34331" xr:uid="{00000000-0005-0000-0000-0000983F0000}"/>
    <cellStyle name="Normal 14 2 9 4" xfId="39740" xr:uid="{00000000-0005-0000-0000-0000610B0000}"/>
    <cellStyle name="Normal 14 20" xfId="13424" xr:uid="{00000000-0005-0000-0000-0000993F0000}"/>
    <cellStyle name="Normal 14 20 2" xfId="30536" xr:uid="{00000000-0005-0000-0000-00009A3F0000}"/>
    <cellStyle name="Normal 14 20 3" xfId="35198" xr:uid="{00000000-0005-0000-0000-00009B3F0000}"/>
    <cellStyle name="Normal 14 21" xfId="13546" xr:uid="{00000000-0005-0000-0000-00009C3F0000}"/>
    <cellStyle name="Normal 14 21 2" xfId="30658" xr:uid="{00000000-0005-0000-0000-00009D3F0000}"/>
    <cellStyle name="Normal 14 21 3" xfId="35320" xr:uid="{00000000-0005-0000-0000-00009E3F0000}"/>
    <cellStyle name="Normal 14 22" xfId="13666" xr:uid="{00000000-0005-0000-0000-00009F3F0000}"/>
    <cellStyle name="Normal 14 22 2" xfId="30778" xr:uid="{00000000-0005-0000-0000-0000A03F0000}"/>
    <cellStyle name="Normal 14 22 3" xfId="35440" xr:uid="{00000000-0005-0000-0000-0000A13F0000}"/>
    <cellStyle name="Normal 14 23" xfId="13787" xr:uid="{00000000-0005-0000-0000-0000A23F0000}"/>
    <cellStyle name="Normal 14 23 2" xfId="30899" xr:uid="{00000000-0005-0000-0000-0000A33F0000}"/>
    <cellStyle name="Normal 14 23 3" xfId="35561" xr:uid="{00000000-0005-0000-0000-0000A43F0000}"/>
    <cellStyle name="Normal 14 24" xfId="13906" xr:uid="{00000000-0005-0000-0000-0000A53F0000}"/>
    <cellStyle name="Normal 14 24 2" xfId="31018" xr:uid="{00000000-0005-0000-0000-0000A63F0000}"/>
    <cellStyle name="Normal 14 24 3" xfId="35680" xr:uid="{00000000-0005-0000-0000-0000A73F0000}"/>
    <cellStyle name="Normal 14 25" xfId="9807" xr:uid="{00000000-0005-0000-0000-0000A83F0000}"/>
    <cellStyle name="Normal 14 25 2" xfId="33302" xr:uid="{00000000-0005-0000-0000-0000A93F0000}"/>
    <cellStyle name="Normal 14 26" xfId="14275" xr:uid="{00000000-0005-0000-0000-0000AA3F0000}"/>
    <cellStyle name="Normal 14 27" xfId="31282" xr:uid="{00000000-0005-0000-0000-0000AB3F0000}"/>
    <cellStyle name="Normal 14 3" xfId="2364" xr:uid="{00000000-0005-0000-0000-0000AC3F0000}"/>
    <cellStyle name="Normal 14 3 10" xfId="11679" xr:uid="{00000000-0005-0000-0000-0000AD3F0000}"/>
    <cellStyle name="Normal 14 3 10 2" xfId="29809" xr:uid="{00000000-0005-0000-0000-0000AE3F0000}"/>
    <cellStyle name="Normal 14 3 10 3" xfId="34457" xr:uid="{00000000-0005-0000-0000-0000AF3F0000}"/>
    <cellStyle name="Normal 14 3 11" xfId="11798" xr:uid="{00000000-0005-0000-0000-0000B03F0000}"/>
    <cellStyle name="Normal 14 3 11 2" xfId="29927" xr:uid="{00000000-0005-0000-0000-0000B13F0000}"/>
    <cellStyle name="Normal 14 3 11 3" xfId="34576" xr:uid="{00000000-0005-0000-0000-0000B23F0000}"/>
    <cellStyle name="Normal 14 3 12" xfId="11917" xr:uid="{00000000-0005-0000-0000-0000B33F0000}"/>
    <cellStyle name="Normal 14 3 12 2" xfId="30044" xr:uid="{00000000-0005-0000-0000-0000B43F0000}"/>
    <cellStyle name="Normal 14 3 12 3" xfId="34695" xr:uid="{00000000-0005-0000-0000-0000B53F0000}"/>
    <cellStyle name="Normal 14 3 13" xfId="13426" xr:uid="{00000000-0005-0000-0000-0000B63F0000}"/>
    <cellStyle name="Normal 14 3 13 2" xfId="30538" xr:uid="{00000000-0005-0000-0000-0000B73F0000}"/>
    <cellStyle name="Normal 14 3 13 3" xfId="35200" xr:uid="{00000000-0005-0000-0000-0000B83F0000}"/>
    <cellStyle name="Normal 14 3 14" xfId="13548" xr:uid="{00000000-0005-0000-0000-0000B93F0000}"/>
    <cellStyle name="Normal 14 3 14 2" xfId="30660" xr:uid="{00000000-0005-0000-0000-0000BA3F0000}"/>
    <cellStyle name="Normal 14 3 14 3" xfId="35322" xr:uid="{00000000-0005-0000-0000-0000BB3F0000}"/>
    <cellStyle name="Normal 14 3 15" xfId="13668" xr:uid="{00000000-0005-0000-0000-0000BC3F0000}"/>
    <cellStyle name="Normal 14 3 15 2" xfId="30780" xr:uid="{00000000-0005-0000-0000-0000BD3F0000}"/>
    <cellStyle name="Normal 14 3 15 3" xfId="35442" xr:uid="{00000000-0005-0000-0000-0000BE3F0000}"/>
    <cellStyle name="Normal 14 3 16" xfId="13789" xr:uid="{00000000-0005-0000-0000-0000BF3F0000}"/>
    <cellStyle name="Normal 14 3 16 2" xfId="30901" xr:uid="{00000000-0005-0000-0000-0000C03F0000}"/>
    <cellStyle name="Normal 14 3 16 3" xfId="35563" xr:uid="{00000000-0005-0000-0000-0000C13F0000}"/>
    <cellStyle name="Normal 14 3 17" xfId="13908" xr:uid="{00000000-0005-0000-0000-0000C23F0000}"/>
    <cellStyle name="Normal 14 3 17 2" xfId="31020" xr:uid="{00000000-0005-0000-0000-0000C33F0000}"/>
    <cellStyle name="Normal 14 3 17 3" xfId="35682" xr:uid="{00000000-0005-0000-0000-0000C43F0000}"/>
    <cellStyle name="Normal 14 3 2" xfId="2365" xr:uid="{00000000-0005-0000-0000-0000C53F0000}"/>
    <cellStyle name="Normal 14 3 2 2" xfId="2366" xr:uid="{00000000-0005-0000-0000-0000C63F0000}"/>
    <cellStyle name="Normal 14 3 3" xfId="2367" xr:uid="{00000000-0005-0000-0000-0000C73F0000}"/>
    <cellStyle name="Normal 14 3 4" xfId="2368" xr:uid="{00000000-0005-0000-0000-0000C83F0000}"/>
    <cellStyle name="Normal 14 3 5" xfId="2369" xr:uid="{00000000-0005-0000-0000-0000C93F0000}"/>
    <cellStyle name="Normal 14 3 6" xfId="2370" xr:uid="{00000000-0005-0000-0000-0000CA3F0000}"/>
    <cellStyle name="Normal 14 3 7" xfId="9814" xr:uid="{00000000-0005-0000-0000-0000CB3F0000}"/>
    <cellStyle name="Normal 14 3 8" xfId="9815" xr:uid="{00000000-0005-0000-0000-0000CC3F0000}"/>
    <cellStyle name="Normal 14 3 8 2" xfId="28450" xr:uid="{00000000-0005-0000-0000-0000CD3F0000}"/>
    <cellStyle name="Normal 14 3 9" xfId="11541" xr:uid="{00000000-0005-0000-0000-0000CE3F0000}"/>
    <cellStyle name="Normal 14 3 9 2" xfId="29694" xr:uid="{00000000-0005-0000-0000-0000CF3F0000}"/>
    <cellStyle name="Normal 14 3 9 3" xfId="34332" xr:uid="{00000000-0005-0000-0000-0000D03F0000}"/>
    <cellStyle name="Normal 14 4" xfId="2371" xr:uid="{00000000-0005-0000-0000-0000D13F0000}"/>
    <cellStyle name="Normal 14 4 2" xfId="2372" xr:uid="{00000000-0005-0000-0000-0000D23F0000}"/>
    <cellStyle name="Normal 14 4 2 2" xfId="2373" xr:uid="{00000000-0005-0000-0000-0000D33F0000}"/>
    <cellStyle name="Normal 14 4 3" xfId="2374" xr:uid="{00000000-0005-0000-0000-0000D43F0000}"/>
    <cellStyle name="Normal 14 4 4" xfId="2375" xr:uid="{00000000-0005-0000-0000-0000D53F0000}"/>
    <cellStyle name="Normal 14 4 5" xfId="2376" xr:uid="{00000000-0005-0000-0000-0000D63F0000}"/>
    <cellStyle name="Normal 14 4 6" xfId="2377" xr:uid="{00000000-0005-0000-0000-0000D73F0000}"/>
    <cellStyle name="Normal 14 4 7" xfId="9816" xr:uid="{00000000-0005-0000-0000-0000D83F0000}"/>
    <cellStyle name="Normal 14 4 8" xfId="9817" xr:uid="{00000000-0005-0000-0000-0000D93F0000}"/>
    <cellStyle name="Normal 14 4 8 2" xfId="28451" xr:uid="{00000000-0005-0000-0000-0000DA3F0000}"/>
    <cellStyle name="Normal 14 4 9" xfId="12731" xr:uid="{00000000-0005-0000-0000-0000DB3F0000}"/>
    <cellStyle name="Normal 14 4 9 2" xfId="30412" xr:uid="{00000000-0005-0000-0000-0000DC3F0000}"/>
    <cellStyle name="Normal 14 4 9 3" xfId="35074" xr:uid="{00000000-0005-0000-0000-0000DD3F0000}"/>
    <cellStyle name="Normal 14 5" xfId="2378" xr:uid="{00000000-0005-0000-0000-0000DE3F0000}"/>
    <cellStyle name="Normal 14 5 2" xfId="2379" xr:uid="{00000000-0005-0000-0000-0000DF3F0000}"/>
    <cellStyle name="Normal 14 5 2 2" xfId="2380" xr:uid="{00000000-0005-0000-0000-0000E03F0000}"/>
    <cellStyle name="Normal 14 5 3" xfId="2381" xr:uid="{00000000-0005-0000-0000-0000E13F0000}"/>
    <cellStyle name="Normal 14 5 4" xfId="2382" xr:uid="{00000000-0005-0000-0000-0000E23F0000}"/>
    <cellStyle name="Normal 14 5 5" xfId="2383" xr:uid="{00000000-0005-0000-0000-0000E33F0000}"/>
    <cellStyle name="Normal 14 5 6" xfId="2384" xr:uid="{00000000-0005-0000-0000-0000E43F0000}"/>
    <cellStyle name="Normal 14 5 7" xfId="9818" xr:uid="{00000000-0005-0000-0000-0000E53F0000}"/>
    <cellStyle name="Normal 14 5 8" xfId="9819" xr:uid="{00000000-0005-0000-0000-0000E63F0000}"/>
    <cellStyle name="Normal 14 5 8 2" xfId="28452" xr:uid="{00000000-0005-0000-0000-0000E73F0000}"/>
    <cellStyle name="Normal 14 5 9" xfId="12732" xr:uid="{00000000-0005-0000-0000-0000E83F0000}"/>
    <cellStyle name="Normal 14 5 9 2" xfId="30413" xr:uid="{00000000-0005-0000-0000-0000E93F0000}"/>
    <cellStyle name="Normal 14 5 9 3" xfId="35075" xr:uid="{00000000-0005-0000-0000-0000EA3F0000}"/>
    <cellStyle name="Normal 14 6" xfId="2385" xr:uid="{00000000-0005-0000-0000-0000EB3F0000}"/>
    <cellStyle name="Normal 14 6 2" xfId="2386" xr:uid="{00000000-0005-0000-0000-0000EC3F0000}"/>
    <cellStyle name="Normal 14 6 2 2" xfId="2387" xr:uid="{00000000-0005-0000-0000-0000ED3F0000}"/>
    <cellStyle name="Normal 14 6 3" xfId="2388" xr:uid="{00000000-0005-0000-0000-0000EE3F0000}"/>
    <cellStyle name="Normal 14 6 4" xfId="2389" xr:uid="{00000000-0005-0000-0000-0000EF3F0000}"/>
    <cellStyle name="Normal 14 6 5" xfId="2390" xr:uid="{00000000-0005-0000-0000-0000F03F0000}"/>
    <cellStyle name="Normal 14 6 6" xfId="2391" xr:uid="{00000000-0005-0000-0000-0000F13F0000}"/>
    <cellStyle name="Normal 14 6 7" xfId="9820" xr:uid="{00000000-0005-0000-0000-0000F23F0000}"/>
    <cellStyle name="Normal 14 6 8" xfId="9821" xr:uid="{00000000-0005-0000-0000-0000F33F0000}"/>
    <cellStyle name="Normal 14 6 8 2" xfId="28453" xr:uid="{00000000-0005-0000-0000-0000F43F0000}"/>
    <cellStyle name="Normal 14 7" xfId="2392" xr:uid="{00000000-0005-0000-0000-0000F53F0000}"/>
    <cellStyle name="Normal 14 8" xfId="2393" xr:uid="{00000000-0005-0000-0000-0000F63F0000}"/>
    <cellStyle name="Normal 14 8 2" xfId="3454" xr:uid="{00000000-0005-0000-0000-0000F73F0000}"/>
    <cellStyle name="Normal 14 8 2 2" xfId="10896" xr:uid="{00000000-0005-0000-0000-0000F83F0000}"/>
    <cellStyle name="Normal 14 8 2 2 2" xfId="33847" xr:uid="{00000000-0005-0000-0000-0000F93F0000}"/>
    <cellStyle name="Normal 14 8 2 3" xfId="28202" xr:uid="{00000000-0005-0000-0000-0000FA3F0000}"/>
    <cellStyle name="Normal 14 8 2 4" xfId="31514" xr:uid="{00000000-0005-0000-0000-0000FB3F0000}"/>
    <cellStyle name="Normal 14 8 3" xfId="12733" xr:uid="{00000000-0005-0000-0000-0000FC3F0000}"/>
    <cellStyle name="Normal 14 8 3 2" xfId="30414" xr:uid="{00000000-0005-0000-0000-0000FD3F0000}"/>
    <cellStyle name="Normal 14 8 3 3" xfId="28383" xr:uid="{00000000-0005-0000-0000-0000FE3F0000}"/>
    <cellStyle name="Normal 14 8 4" xfId="9822" xr:uid="{00000000-0005-0000-0000-0000FF3F0000}"/>
    <cellStyle name="Normal 14 8 4 2" xfId="33305" xr:uid="{00000000-0005-0000-0000-000000400000}"/>
    <cellStyle name="Normal 14 8 5" xfId="31284" xr:uid="{00000000-0005-0000-0000-000001400000}"/>
    <cellStyle name="Normal 14 9" xfId="2394" xr:uid="{00000000-0005-0000-0000-000002400000}"/>
    <cellStyle name="Normal 14 9 2" xfId="3455" xr:uid="{00000000-0005-0000-0000-000003400000}"/>
    <cellStyle name="Normal 14 9 2 2" xfId="11108" xr:uid="{00000000-0005-0000-0000-000004400000}"/>
    <cellStyle name="Normal 14 9 2 2 2" xfId="33925" xr:uid="{00000000-0005-0000-0000-000005400000}"/>
    <cellStyle name="Normal 14 9 2 3" xfId="28203" xr:uid="{00000000-0005-0000-0000-000006400000}"/>
    <cellStyle name="Normal 14 9 2 4" xfId="31515" xr:uid="{00000000-0005-0000-0000-000007400000}"/>
    <cellStyle name="Normal 14 9 3" xfId="12734" xr:uid="{00000000-0005-0000-0000-000008400000}"/>
    <cellStyle name="Normal 14 9 3 2" xfId="30415" xr:uid="{00000000-0005-0000-0000-000009400000}"/>
    <cellStyle name="Normal 14 9 3 3" xfId="28384" xr:uid="{00000000-0005-0000-0000-00000A400000}"/>
    <cellStyle name="Normal 14 9 4" xfId="9823" xr:uid="{00000000-0005-0000-0000-00000B400000}"/>
    <cellStyle name="Normal 14 9 4 2" xfId="33306" xr:uid="{00000000-0005-0000-0000-00000C400000}"/>
    <cellStyle name="Normal 14 9 5" xfId="31285" xr:uid="{00000000-0005-0000-0000-00000D400000}"/>
    <cellStyle name="Normal 15" xfId="2395" xr:uid="{00000000-0005-0000-0000-00000E400000}"/>
    <cellStyle name="Normal 15 10" xfId="2396" xr:uid="{00000000-0005-0000-0000-00000F400000}"/>
    <cellStyle name="Normal 15 11" xfId="2397" xr:uid="{00000000-0005-0000-0000-000010400000}"/>
    <cellStyle name="Normal 15 12" xfId="9824" xr:uid="{00000000-0005-0000-0000-000011400000}"/>
    <cellStyle name="Normal 15 13" xfId="9825" xr:uid="{00000000-0005-0000-0000-000012400000}"/>
    <cellStyle name="Normal 15 13 2" xfId="28454" xr:uid="{00000000-0005-0000-0000-000013400000}"/>
    <cellStyle name="Normal 15 14" xfId="11542" xr:uid="{00000000-0005-0000-0000-000014400000}"/>
    <cellStyle name="Normal 15 14 2" xfId="29695" xr:uid="{00000000-0005-0000-0000-000015400000}"/>
    <cellStyle name="Normal 15 14 3" xfId="34333" xr:uid="{00000000-0005-0000-0000-000016400000}"/>
    <cellStyle name="Normal 15 15" xfId="11680" xr:uid="{00000000-0005-0000-0000-000017400000}"/>
    <cellStyle name="Normal 15 15 2" xfId="29810" xr:uid="{00000000-0005-0000-0000-000018400000}"/>
    <cellStyle name="Normal 15 15 3" xfId="34458" xr:uid="{00000000-0005-0000-0000-000019400000}"/>
    <cellStyle name="Normal 15 16" xfId="11799" xr:uid="{00000000-0005-0000-0000-00001A400000}"/>
    <cellStyle name="Normal 15 16 2" xfId="29928" xr:uid="{00000000-0005-0000-0000-00001B400000}"/>
    <cellStyle name="Normal 15 16 3" xfId="34577" xr:uid="{00000000-0005-0000-0000-00001C400000}"/>
    <cellStyle name="Normal 15 17" xfId="11918" xr:uid="{00000000-0005-0000-0000-00001D400000}"/>
    <cellStyle name="Normal 15 17 2" xfId="30045" xr:uid="{00000000-0005-0000-0000-00001E400000}"/>
    <cellStyle name="Normal 15 17 3" xfId="34696" xr:uid="{00000000-0005-0000-0000-00001F400000}"/>
    <cellStyle name="Normal 15 18" xfId="12735" xr:uid="{00000000-0005-0000-0000-000020400000}"/>
    <cellStyle name="Normal 15 19" xfId="13427" xr:uid="{00000000-0005-0000-0000-000021400000}"/>
    <cellStyle name="Normal 15 19 2" xfId="30539" xr:uid="{00000000-0005-0000-0000-000022400000}"/>
    <cellStyle name="Normal 15 19 3" xfId="35201" xr:uid="{00000000-0005-0000-0000-000023400000}"/>
    <cellStyle name="Normal 15 2" xfId="2398" xr:uid="{00000000-0005-0000-0000-000024400000}"/>
    <cellStyle name="Normal 15 2 10" xfId="11681" xr:uid="{00000000-0005-0000-0000-000025400000}"/>
    <cellStyle name="Normal 15 2 10 2" xfId="29811" xr:uid="{00000000-0005-0000-0000-000026400000}"/>
    <cellStyle name="Normal 15 2 10 3" xfId="34459" xr:uid="{00000000-0005-0000-0000-000027400000}"/>
    <cellStyle name="Normal 15 2 11" xfId="11800" xr:uid="{00000000-0005-0000-0000-000028400000}"/>
    <cellStyle name="Normal 15 2 11 2" xfId="29929" xr:uid="{00000000-0005-0000-0000-000029400000}"/>
    <cellStyle name="Normal 15 2 11 3" xfId="34578" xr:uid="{00000000-0005-0000-0000-00002A400000}"/>
    <cellStyle name="Normal 15 2 12" xfId="11919" xr:uid="{00000000-0005-0000-0000-00002B400000}"/>
    <cellStyle name="Normal 15 2 12 2" xfId="30046" xr:uid="{00000000-0005-0000-0000-00002C400000}"/>
    <cellStyle name="Normal 15 2 12 3" xfId="34697" xr:uid="{00000000-0005-0000-0000-00002D400000}"/>
    <cellStyle name="Normal 15 2 13" xfId="13428" xr:uid="{00000000-0005-0000-0000-00002E400000}"/>
    <cellStyle name="Normal 15 2 13 2" xfId="30540" xr:uid="{00000000-0005-0000-0000-00002F400000}"/>
    <cellStyle name="Normal 15 2 13 3" xfId="35202" xr:uid="{00000000-0005-0000-0000-000030400000}"/>
    <cellStyle name="Normal 15 2 14" xfId="13550" xr:uid="{00000000-0005-0000-0000-000031400000}"/>
    <cellStyle name="Normal 15 2 14 2" xfId="30662" xr:uid="{00000000-0005-0000-0000-000032400000}"/>
    <cellStyle name="Normal 15 2 14 3" xfId="35324" xr:uid="{00000000-0005-0000-0000-000033400000}"/>
    <cellStyle name="Normal 15 2 15" xfId="13670" xr:uid="{00000000-0005-0000-0000-000034400000}"/>
    <cellStyle name="Normal 15 2 15 2" xfId="30782" xr:uid="{00000000-0005-0000-0000-000035400000}"/>
    <cellStyle name="Normal 15 2 15 3" xfId="35444" xr:uid="{00000000-0005-0000-0000-000036400000}"/>
    <cellStyle name="Normal 15 2 16" xfId="13791" xr:uid="{00000000-0005-0000-0000-000037400000}"/>
    <cellStyle name="Normal 15 2 16 2" xfId="30903" xr:uid="{00000000-0005-0000-0000-000038400000}"/>
    <cellStyle name="Normal 15 2 16 3" xfId="35565" xr:uid="{00000000-0005-0000-0000-000039400000}"/>
    <cellStyle name="Normal 15 2 17" xfId="13910" xr:uid="{00000000-0005-0000-0000-00003A400000}"/>
    <cellStyle name="Normal 15 2 17 2" xfId="31022" xr:uid="{00000000-0005-0000-0000-00003B400000}"/>
    <cellStyle name="Normal 15 2 17 3" xfId="35684" xr:uid="{00000000-0005-0000-0000-00003C400000}"/>
    <cellStyle name="Normal 15 2 2" xfId="2399" xr:uid="{00000000-0005-0000-0000-00003D400000}"/>
    <cellStyle name="Normal 15 2 2 2" xfId="2400" xr:uid="{00000000-0005-0000-0000-00003E400000}"/>
    <cellStyle name="Normal 15 2 3" xfId="2401" xr:uid="{00000000-0005-0000-0000-00003F400000}"/>
    <cellStyle name="Normal 15 2 3 2" xfId="39742" xr:uid="{00000000-0005-0000-0000-00006C0B0000}"/>
    <cellStyle name="Normal 15 2 4" xfId="2402" xr:uid="{00000000-0005-0000-0000-000040400000}"/>
    <cellStyle name="Normal 15 2 5" xfId="2403" xr:uid="{00000000-0005-0000-0000-000041400000}"/>
    <cellStyle name="Normal 15 2 6" xfId="2404" xr:uid="{00000000-0005-0000-0000-000042400000}"/>
    <cellStyle name="Normal 15 2 7" xfId="9826" xr:uid="{00000000-0005-0000-0000-000043400000}"/>
    <cellStyle name="Normal 15 2 8" xfId="9827" xr:uid="{00000000-0005-0000-0000-000044400000}"/>
    <cellStyle name="Normal 15 2 8 2" xfId="28455" xr:uid="{00000000-0005-0000-0000-000045400000}"/>
    <cellStyle name="Normal 15 2 9" xfId="11543" xr:uid="{00000000-0005-0000-0000-000046400000}"/>
    <cellStyle name="Normal 15 2 9 2" xfId="29696" xr:uid="{00000000-0005-0000-0000-000047400000}"/>
    <cellStyle name="Normal 15 2 9 3" xfId="34334" xr:uid="{00000000-0005-0000-0000-000048400000}"/>
    <cellStyle name="Normal 15 20" xfId="13549" xr:uid="{00000000-0005-0000-0000-000049400000}"/>
    <cellStyle name="Normal 15 20 2" xfId="30661" xr:uid="{00000000-0005-0000-0000-00004A400000}"/>
    <cellStyle name="Normal 15 20 3" xfId="35323" xr:uid="{00000000-0005-0000-0000-00004B400000}"/>
    <cellStyle name="Normal 15 21" xfId="13669" xr:uid="{00000000-0005-0000-0000-00004C400000}"/>
    <cellStyle name="Normal 15 21 2" xfId="30781" xr:uid="{00000000-0005-0000-0000-00004D400000}"/>
    <cellStyle name="Normal 15 21 3" xfId="35443" xr:uid="{00000000-0005-0000-0000-00004E400000}"/>
    <cellStyle name="Normal 15 22" xfId="13790" xr:uid="{00000000-0005-0000-0000-00004F400000}"/>
    <cellStyle name="Normal 15 22 2" xfId="30902" xr:uid="{00000000-0005-0000-0000-000050400000}"/>
    <cellStyle name="Normal 15 22 3" xfId="35564" xr:uid="{00000000-0005-0000-0000-000051400000}"/>
    <cellStyle name="Normal 15 23" xfId="13909" xr:uid="{00000000-0005-0000-0000-000052400000}"/>
    <cellStyle name="Normal 15 23 2" xfId="31021" xr:uid="{00000000-0005-0000-0000-000053400000}"/>
    <cellStyle name="Normal 15 23 3" xfId="35683" xr:uid="{00000000-0005-0000-0000-000054400000}"/>
    <cellStyle name="Normal 15 24" xfId="14041" xr:uid="{00000000-0005-0000-0000-000055400000}"/>
    <cellStyle name="Normal 15 25" xfId="14276" xr:uid="{00000000-0005-0000-0000-000056400000}"/>
    <cellStyle name="Normal 15 3" xfId="2405" xr:uid="{00000000-0005-0000-0000-000057400000}"/>
    <cellStyle name="Normal 15 3 10" xfId="11682" xr:uid="{00000000-0005-0000-0000-000058400000}"/>
    <cellStyle name="Normal 15 3 10 2" xfId="29812" xr:uid="{00000000-0005-0000-0000-000059400000}"/>
    <cellStyle name="Normal 15 3 10 3" xfId="34460" xr:uid="{00000000-0005-0000-0000-00005A400000}"/>
    <cellStyle name="Normal 15 3 11" xfId="11801" xr:uid="{00000000-0005-0000-0000-00005B400000}"/>
    <cellStyle name="Normal 15 3 11 2" xfId="29930" xr:uid="{00000000-0005-0000-0000-00005C400000}"/>
    <cellStyle name="Normal 15 3 11 3" xfId="34579" xr:uid="{00000000-0005-0000-0000-00005D400000}"/>
    <cellStyle name="Normal 15 3 12" xfId="11920" xr:uid="{00000000-0005-0000-0000-00005E400000}"/>
    <cellStyle name="Normal 15 3 12 2" xfId="30047" xr:uid="{00000000-0005-0000-0000-00005F400000}"/>
    <cellStyle name="Normal 15 3 12 3" xfId="34698" xr:uid="{00000000-0005-0000-0000-000060400000}"/>
    <cellStyle name="Normal 15 3 13" xfId="13429" xr:uid="{00000000-0005-0000-0000-000061400000}"/>
    <cellStyle name="Normal 15 3 13 2" xfId="30541" xr:uid="{00000000-0005-0000-0000-000062400000}"/>
    <cellStyle name="Normal 15 3 13 3" xfId="35203" xr:uid="{00000000-0005-0000-0000-000063400000}"/>
    <cellStyle name="Normal 15 3 14" xfId="13551" xr:uid="{00000000-0005-0000-0000-000064400000}"/>
    <cellStyle name="Normal 15 3 14 2" xfId="30663" xr:uid="{00000000-0005-0000-0000-000065400000}"/>
    <cellStyle name="Normal 15 3 14 3" xfId="35325" xr:uid="{00000000-0005-0000-0000-000066400000}"/>
    <cellStyle name="Normal 15 3 15" xfId="13671" xr:uid="{00000000-0005-0000-0000-000067400000}"/>
    <cellStyle name="Normal 15 3 15 2" xfId="30783" xr:uid="{00000000-0005-0000-0000-000068400000}"/>
    <cellStyle name="Normal 15 3 15 3" xfId="35445" xr:uid="{00000000-0005-0000-0000-000069400000}"/>
    <cellStyle name="Normal 15 3 16" xfId="13792" xr:uid="{00000000-0005-0000-0000-00006A400000}"/>
    <cellStyle name="Normal 15 3 16 2" xfId="30904" xr:uid="{00000000-0005-0000-0000-00006B400000}"/>
    <cellStyle name="Normal 15 3 16 3" xfId="35566" xr:uid="{00000000-0005-0000-0000-00006C400000}"/>
    <cellStyle name="Normal 15 3 17" xfId="13911" xr:uid="{00000000-0005-0000-0000-00006D400000}"/>
    <cellStyle name="Normal 15 3 17 2" xfId="31023" xr:uid="{00000000-0005-0000-0000-00006E400000}"/>
    <cellStyle name="Normal 15 3 17 3" xfId="35685" xr:uid="{00000000-0005-0000-0000-00006F400000}"/>
    <cellStyle name="Normal 15 3 2" xfId="2406" xr:uid="{00000000-0005-0000-0000-000070400000}"/>
    <cellStyle name="Normal 15 3 2 2" xfId="2407" xr:uid="{00000000-0005-0000-0000-000071400000}"/>
    <cellStyle name="Normal 15 3 3" xfId="2408" xr:uid="{00000000-0005-0000-0000-000072400000}"/>
    <cellStyle name="Normal 15 3 4" xfId="2409" xr:uid="{00000000-0005-0000-0000-000073400000}"/>
    <cellStyle name="Normal 15 3 5" xfId="2410" xr:uid="{00000000-0005-0000-0000-000074400000}"/>
    <cellStyle name="Normal 15 3 6" xfId="2411" xr:uid="{00000000-0005-0000-0000-000075400000}"/>
    <cellStyle name="Normal 15 3 7" xfId="9828" xr:uid="{00000000-0005-0000-0000-000076400000}"/>
    <cellStyle name="Normal 15 3 8" xfId="9829" xr:uid="{00000000-0005-0000-0000-000077400000}"/>
    <cellStyle name="Normal 15 3 8 2" xfId="28456" xr:uid="{00000000-0005-0000-0000-000078400000}"/>
    <cellStyle name="Normal 15 3 9" xfId="11544" xr:uid="{00000000-0005-0000-0000-000079400000}"/>
    <cellStyle name="Normal 15 3 9 2" xfId="29697" xr:uid="{00000000-0005-0000-0000-00007A400000}"/>
    <cellStyle name="Normal 15 3 9 3" xfId="34335" xr:uid="{00000000-0005-0000-0000-00007B400000}"/>
    <cellStyle name="Normal 15 4" xfId="2412" xr:uid="{00000000-0005-0000-0000-00007C400000}"/>
    <cellStyle name="Normal 15 4 2" xfId="2413" xr:uid="{00000000-0005-0000-0000-00007D400000}"/>
    <cellStyle name="Normal 15 4 2 2" xfId="2414" xr:uid="{00000000-0005-0000-0000-00007E400000}"/>
    <cellStyle name="Normal 15 4 3" xfId="2415" xr:uid="{00000000-0005-0000-0000-00007F400000}"/>
    <cellStyle name="Normal 15 4 4" xfId="2416" xr:uid="{00000000-0005-0000-0000-000080400000}"/>
    <cellStyle name="Normal 15 4 5" xfId="2417" xr:uid="{00000000-0005-0000-0000-000081400000}"/>
    <cellStyle name="Normal 15 4 6" xfId="2418" xr:uid="{00000000-0005-0000-0000-000082400000}"/>
    <cellStyle name="Normal 15 4 7" xfId="9830" xr:uid="{00000000-0005-0000-0000-000083400000}"/>
    <cellStyle name="Normal 15 4 8" xfId="9831" xr:uid="{00000000-0005-0000-0000-000084400000}"/>
    <cellStyle name="Normal 15 4 8 2" xfId="28457" xr:uid="{00000000-0005-0000-0000-000085400000}"/>
    <cellStyle name="Normal 15 5" xfId="2419" xr:uid="{00000000-0005-0000-0000-000086400000}"/>
    <cellStyle name="Normal 15 5 2" xfId="2420" xr:uid="{00000000-0005-0000-0000-000087400000}"/>
    <cellStyle name="Normal 15 5 2 2" xfId="2421" xr:uid="{00000000-0005-0000-0000-000088400000}"/>
    <cellStyle name="Normal 15 5 3" xfId="2422" xr:uid="{00000000-0005-0000-0000-000089400000}"/>
    <cellStyle name="Normal 15 5 4" xfId="2423" xr:uid="{00000000-0005-0000-0000-00008A400000}"/>
    <cellStyle name="Normal 15 5 5" xfId="2424" xr:uid="{00000000-0005-0000-0000-00008B400000}"/>
    <cellStyle name="Normal 15 5 6" xfId="2425" xr:uid="{00000000-0005-0000-0000-00008C400000}"/>
    <cellStyle name="Normal 15 5 7" xfId="9832" xr:uid="{00000000-0005-0000-0000-00008D400000}"/>
    <cellStyle name="Normal 15 5 8" xfId="9833" xr:uid="{00000000-0005-0000-0000-00008E400000}"/>
    <cellStyle name="Normal 15 5 8 2" xfId="28458" xr:uid="{00000000-0005-0000-0000-00008F400000}"/>
    <cellStyle name="Normal 15 6" xfId="2426" xr:uid="{00000000-0005-0000-0000-000090400000}"/>
    <cellStyle name="Normal 15 6 2" xfId="2427" xr:uid="{00000000-0005-0000-0000-000091400000}"/>
    <cellStyle name="Normal 15 6 2 2" xfId="2428" xr:uid="{00000000-0005-0000-0000-000092400000}"/>
    <cellStyle name="Normal 15 6 3" xfId="2429" xr:uid="{00000000-0005-0000-0000-000093400000}"/>
    <cellStyle name="Normal 15 6 4" xfId="2430" xr:uid="{00000000-0005-0000-0000-000094400000}"/>
    <cellStyle name="Normal 15 6 5" xfId="2431" xr:uid="{00000000-0005-0000-0000-000095400000}"/>
    <cellStyle name="Normal 15 6 6" xfId="2432" xr:uid="{00000000-0005-0000-0000-000096400000}"/>
    <cellStyle name="Normal 15 6 7" xfId="9834" xr:uid="{00000000-0005-0000-0000-000097400000}"/>
    <cellStyle name="Normal 15 6 8" xfId="9835" xr:uid="{00000000-0005-0000-0000-000098400000}"/>
    <cellStyle name="Normal 15 6 8 2" xfId="28459" xr:uid="{00000000-0005-0000-0000-000099400000}"/>
    <cellStyle name="Normal 15 7" xfId="2433" xr:uid="{00000000-0005-0000-0000-00009A400000}"/>
    <cellStyle name="Normal 15 7 2" xfId="2434" xr:uid="{00000000-0005-0000-0000-00009B400000}"/>
    <cellStyle name="Normal 15 7 3" xfId="39743" xr:uid="{00000000-0005-0000-0000-0000710B0000}"/>
    <cellStyle name="Normal 15 8" xfId="2435" xr:uid="{00000000-0005-0000-0000-00009C400000}"/>
    <cellStyle name="Normal 15 9" xfId="2436" xr:uid="{00000000-0005-0000-0000-00009D400000}"/>
    <cellStyle name="Normal 16" xfId="2437" xr:uid="{00000000-0005-0000-0000-00009E400000}"/>
    <cellStyle name="Normal 16 10" xfId="2438" xr:uid="{00000000-0005-0000-0000-00009F400000}"/>
    <cellStyle name="Normal 16 11" xfId="2439" xr:uid="{00000000-0005-0000-0000-0000A0400000}"/>
    <cellStyle name="Normal 16 12" xfId="9836" xr:uid="{00000000-0005-0000-0000-0000A1400000}"/>
    <cellStyle name="Normal 16 13" xfId="9837" xr:uid="{00000000-0005-0000-0000-0000A2400000}"/>
    <cellStyle name="Normal 16 13 2" xfId="28460" xr:uid="{00000000-0005-0000-0000-0000A3400000}"/>
    <cellStyle name="Normal 16 14" xfId="11545" xr:uid="{00000000-0005-0000-0000-0000A4400000}"/>
    <cellStyle name="Normal 16 14 2" xfId="29698" xr:uid="{00000000-0005-0000-0000-0000A5400000}"/>
    <cellStyle name="Normal 16 14 3" xfId="34336" xr:uid="{00000000-0005-0000-0000-0000A6400000}"/>
    <cellStyle name="Normal 16 15" xfId="11683" xr:uid="{00000000-0005-0000-0000-0000A7400000}"/>
    <cellStyle name="Normal 16 15 2" xfId="29813" xr:uid="{00000000-0005-0000-0000-0000A8400000}"/>
    <cellStyle name="Normal 16 15 3" xfId="34461" xr:uid="{00000000-0005-0000-0000-0000A9400000}"/>
    <cellStyle name="Normal 16 16" xfId="11802" xr:uid="{00000000-0005-0000-0000-0000AA400000}"/>
    <cellStyle name="Normal 16 16 2" xfId="29931" xr:uid="{00000000-0005-0000-0000-0000AB400000}"/>
    <cellStyle name="Normal 16 16 3" xfId="34580" xr:uid="{00000000-0005-0000-0000-0000AC400000}"/>
    <cellStyle name="Normal 16 17" xfId="11921" xr:uid="{00000000-0005-0000-0000-0000AD400000}"/>
    <cellStyle name="Normal 16 17 2" xfId="30048" xr:uid="{00000000-0005-0000-0000-0000AE400000}"/>
    <cellStyle name="Normal 16 17 3" xfId="34699" xr:uid="{00000000-0005-0000-0000-0000AF400000}"/>
    <cellStyle name="Normal 16 18" xfId="12736" xr:uid="{00000000-0005-0000-0000-0000B0400000}"/>
    <cellStyle name="Normal 16 18 2" xfId="30416" xr:uid="{00000000-0005-0000-0000-0000B1400000}"/>
    <cellStyle name="Normal 16 18 3" xfId="35076" xr:uid="{00000000-0005-0000-0000-0000B2400000}"/>
    <cellStyle name="Normal 16 19" xfId="13430" xr:uid="{00000000-0005-0000-0000-0000B3400000}"/>
    <cellStyle name="Normal 16 19 2" xfId="30542" xr:uid="{00000000-0005-0000-0000-0000B4400000}"/>
    <cellStyle name="Normal 16 19 3" xfId="35204" xr:uid="{00000000-0005-0000-0000-0000B5400000}"/>
    <cellStyle name="Normal 16 2" xfId="2440" xr:uid="{00000000-0005-0000-0000-0000B6400000}"/>
    <cellStyle name="Normal 16 2 10" xfId="11684" xr:uid="{00000000-0005-0000-0000-0000B7400000}"/>
    <cellStyle name="Normal 16 2 10 2" xfId="29814" xr:uid="{00000000-0005-0000-0000-0000B8400000}"/>
    <cellStyle name="Normal 16 2 10 3" xfId="34462" xr:uid="{00000000-0005-0000-0000-0000B9400000}"/>
    <cellStyle name="Normal 16 2 11" xfId="11803" xr:uid="{00000000-0005-0000-0000-0000BA400000}"/>
    <cellStyle name="Normal 16 2 11 2" xfId="29932" xr:uid="{00000000-0005-0000-0000-0000BB400000}"/>
    <cellStyle name="Normal 16 2 11 3" xfId="34581" xr:uid="{00000000-0005-0000-0000-0000BC400000}"/>
    <cellStyle name="Normal 16 2 12" xfId="11922" xr:uid="{00000000-0005-0000-0000-0000BD400000}"/>
    <cellStyle name="Normal 16 2 12 2" xfId="30049" xr:uid="{00000000-0005-0000-0000-0000BE400000}"/>
    <cellStyle name="Normal 16 2 12 3" xfId="34700" xr:uid="{00000000-0005-0000-0000-0000BF400000}"/>
    <cellStyle name="Normal 16 2 13" xfId="13431" xr:uid="{00000000-0005-0000-0000-0000C0400000}"/>
    <cellStyle name="Normal 16 2 13 2" xfId="30543" xr:uid="{00000000-0005-0000-0000-0000C1400000}"/>
    <cellStyle name="Normal 16 2 13 3" xfId="35205" xr:uid="{00000000-0005-0000-0000-0000C2400000}"/>
    <cellStyle name="Normal 16 2 14" xfId="13553" xr:uid="{00000000-0005-0000-0000-0000C3400000}"/>
    <cellStyle name="Normal 16 2 14 2" xfId="30665" xr:uid="{00000000-0005-0000-0000-0000C4400000}"/>
    <cellStyle name="Normal 16 2 14 3" xfId="35327" xr:uid="{00000000-0005-0000-0000-0000C5400000}"/>
    <cellStyle name="Normal 16 2 15" xfId="13673" xr:uid="{00000000-0005-0000-0000-0000C6400000}"/>
    <cellStyle name="Normal 16 2 15 2" xfId="30785" xr:uid="{00000000-0005-0000-0000-0000C7400000}"/>
    <cellStyle name="Normal 16 2 15 3" xfId="35447" xr:uid="{00000000-0005-0000-0000-0000C8400000}"/>
    <cellStyle name="Normal 16 2 16" xfId="13794" xr:uid="{00000000-0005-0000-0000-0000C9400000}"/>
    <cellStyle name="Normal 16 2 16 2" xfId="30906" xr:uid="{00000000-0005-0000-0000-0000CA400000}"/>
    <cellStyle name="Normal 16 2 16 3" xfId="35568" xr:uid="{00000000-0005-0000-0000-0000CB400000}"/>
    <cellStyle name="Normal 16 2 17" xfId="13913" xr:uid="{00000000-0005-0000-0000-0000CC400000}"/>
    <cellStyle name="Normal 16 2 17 2" xfId="31025" xr:uid="{00000000-0005-0000-0000-0000CD400000}"/>
    <cellStyle name="Normal 16 2 17 3" xfId="35687" xr:uid="{00000000-0005-0000-0000-0000CE400000}"/>
    <cellStyle name="Normal 16 2 2" xfId="2441" xr:uid="{00000000-0005-0000-0000-0000CF400000}"/>
    <cellStyle name="Normal 16 2 2 2" xfId="2442" xr:uid="{00000000-0005-0000-0000-0000D0400000}"/>
    <cellStyle name="Normal 16 2 3" xfId="2443" xr:uid="{00000000-0005-0000-0000-0000D1400000}"/>
    <cellStyle name="Normal 16 2 3 2" xfId="39744" xr:uid="{00000000-0005-0000-0000-0000750B0000}"/>
    <cellStyle name="Normal 16 2 4" xfId="2444" xr:uid="{00000000-0005-0000-0000-0000D2400000}"/>
    <cellStyle name="Normal 16 2 5" xfId="2445" xr:uid="{00000000-0005-0000-0000-0000D3400000}"/>
    <cellStyle name="Normal 16 2 6" xfId="2446" xr:uid="{00000000-0005-0000-0000-0000D4400000}"/>
    <cellStyle name="Normal 16 2 7" xfId="9838" xr:uid="{00000000-0005-0000-0000-0000D5400000}"/>
    <cellStyle name="Normal 16 2 8" xfId="9839" xr:uid="{00000000-0005-0000-0000-0000D6400000}"/>
    <cellStyle name="Normal 16 2 8 2" xfId="28461" xr:uid="{00000000-0005-0000-0000-0000D7400000}"/>
    <cellStyle name="Normal 16 2 9" xfId="11546" xr:uid="{00000000-0005-0000-0000-0000D8400000}"/>
    <cellStyle name="Normal 16 2 9 2" xfId="29699" xr:uid="{00000000-0005-0000-0000-0000D9400000}"/>
    <cellStyle name="Normal 16 2 9 3" xfId="34337" xr:uid="{00000000-0005-0000-0000-0000DA400000}"/>
    <cellStyle name="Normal 16 20" xfId="13552" xr:uid="{00000000-0005-0000-0000-0000DB400000}"/>
    <cellStyle name="Normal 16 20 2" xfId="30664" xr:uid="{00000000-0005-0000-0000-0000DC400000}"/>
    <cellStyle name="Normal 16 20 3" xfId="35326" xr:uid="{00000000-0005-0000-0000-0000DD400000}"/>
    <cellStyle name="Normal 16 21" xfId="13672" xr:uid="{00000000-0005-0000-0000-0000DE400000}"/>
    <cellStyle name="Normal 16 21 2" xfId="30784" xr:uid="{00000000-0005-0000-0000-0000DF400000}"/>
    <cellStyle name="Normal 16 21 3" xfId="35446" xr:uid="{00000000-0005-0000-0000-0000E0400000}"/>
    <cellStyle name="Normal 16 22" xfId="13793" xr:uid="{00000000-0005-0000-0000-0000E1400000}"/>
    <cellStyle name="Normal 16 22 2" xfId="30905" xr:uid="{00000000-0005-0000-0000-0000E2400000}"/>
    <cellStyle name="Normal 16 22 3" xfId="35567" xr:uid="{00000000-0005-0000-0000-0000E3400000}"/>
    <cellStyle name="Normal 16 23" xfId="13912" xr:uid="{00000000-0005-0000-0000-0000E4400000}"/>
    <cellStyle name="Normal 16 23 2" xfId="31024" xr:uid="{00000000-0005-0000-0000-0000E5400000}"/>
    <cellStyle name="Normal 16 23 3" xfId="35686" xr:uid="{00000000-0005-0000-0000-0000E6400000}"/>
    <cellStyle name="Normal 16 24" xfId="14040" xr:uid="{00000000-0005-0000-0000-0000E7400000}"/>
    <cellStyle name="Normal 16 25" xfId="14277" xr:uid="{00000000-0005-0000-0000-0000E8400000}"/>
    <cellStyle name="Normal 16 3" xfId="2447" xr:uid="{00000000-0005-0000-0000-0000E9400000}"/>
    <cellStyle name="Normal 16 3 10" xfId="11685" xr:uid="{00000000-0005-0000-0000-0000EA400000}"/>
    <cellStyle name="Normal 16 3 10 2" xfId="29815" xr:uid="{00000000-0005-0000-0000-0000EB400000}"/>
    <cellStyle name="Normal 16 3 10 3" xfId="34463" xr:uid="{00000000-0005-0000-0000-0000EC400000}"/>
    <cellStyle name="Normal 16 3 11" xfId="11804" xr:uid="{00000000-0005-0000-0000-0000ED400000}"/>
    <cellStyle name="Normal 16 3 11 2" xfId="29933" xr:uid="{00000000-0005-0000-0000-0000EE400000}"/>
    <cellStyle name="Normal 16 3 11 3" xfId="34582" xr:uid="{00000000-0005-0000-0000-0000EF400000}"/>
    <cellStyle name="Normal 16 3 12" xfId="11923" xr:uid="{00000000-0005-0000-0000-0000F0400000}"/>
    <cellStyle name="Normal 16 3 12 2" xfId="30050" xr:uid="{00000000-0005-0000-0000-0000F1400000}"/>
    <cellStyle name="Normal 16 3 12 3" xfId="34701" xr:uid="{00000000-0005-0000-0000-0000F2400000}"/>
    <cellStyle name="Normal 16 3 13" xfId="13432" xr:uid="{00000000-0005-0000-0000-0000F3400000}"/>
    <cellStyle name="Normal 16 3 13 2" xfId="30544" xr:uid="{00000000-0005-0000-0000-0000F4400000}"/>
    <cellStyle name="Normal 16 3 13 3" xfId="35206" xr:uid="{00000000-0005-0000-0000-0000F5400000}"/>
    <cellStyle name="Normal 16 3 14" xfId="13554" xr:uid="{00000000-0005-0000-0000-0000F6400000}"/>
    <cellStyle name="Normal 16 3 14 2" xfId="30666" xr:uid="{00000000-0005-0000-0000-0000F7400000}"/>
    <cellStyle name="Normal 16 3 14 3" xfId="35328" xr:uid="{00000000-0005-0000-0000-0000F8400000}"/>
    <cellStyle name="Normal 16 3 15" xfId="13674" xr:uid="{00000000-0005-0000-0000-0000F9400000}"/>
    <cellStyle name="Normal 16 3 15 2" xfId="30786" xr:uid="{00000000-0005-0000-0000-0000FA400000}"/>
    <cellStyle name="Normal 16 3 15 3" xfId="35448" xr:uid="{00000000-0005-0000-0000-0000FB400000}"/>
    <cellStyle name="Normal 16 3 16" xfId="13795" xr:uid="{00000000-0005-0000-0000-0000FC400000}"/>
    <cellStyle name="Normal 16 3 16 2" xfId="30907" xr:uid="{00000000-0005-0000-0000-0000FD400000}"/>
    <cellStyle name="Normal 16 3 16 3" xfId="35569" xr:uid="{00000000-0005-0000-0000-0000FE400000}"/>
    <cellStyle name="Normal 16 3 17" xfId="13914" xr:uid="{00000000-0005-0000-0000-0000FF400000}"/>
    <cellStyle name="Normal 16 3 17 2" xfId="31026" xr:uid="{00000000-0005-0000-0000-000000410000}"/>
    <cellStyle name="Normal 16 3 17 3" xfId="35688" xr:uid="{00000000-0005-0000-0000-000001410000}"/>
    <cellStyle name="Normal 16 3 2" xfId="2448" xr:uid="{00000000-0005-0000-0000-000002410000}"/>
    <cellStyle name="Normal 16 3 2 2" xfId="2449" xr:uid="{00000000-0005-0000-0000-000003410000}"/>
    <cellStyle name="Normal 16 3 3" xfId="2450" xr:uid="{00000000-0005-0000-0000-000004410000}"/>
    <cellStyle name="Normal 16 3 4" xfId="2451" xr:uid="{00000000-0005-0000-0000-000005410000}"/>
    <cellStyle name="Normal 16 3 5" xfId="2452" xr:uid="{00000000-0005-0000-0000-000006410000}"/>
    <cellStyle name="Normal 16 3 6" xfId="2453" xr:uid="{00000000-0005-0000-0000-000007410000}"/>
    <cellStyle name="Normal 16 3 7" xfId="9840" xr:uid="{00000000-0005-0000-0000-000008410000}"/>
    <cellStyle name="Normal 16 3 8" xfId="9841" xr:uid="{00000000-0005-0000-0000-000009410000}"/>
    <cellStyle name="Normal 16 3 8 2" xfId="28462" xr:uid="{00000000-0005-0000-0000-00000A410000}"/>
    <cellStyle name="Normal 16 3 9" xfId="11547" xr:uid="{00000000-0005-0000-0000-00000B410000}"/>
    <cellStyle name="Normal 16 3 9 2" xfId="29700" xr:uid="{00000000-0005-0000-0000-00000C410000}"/>
    <cellStyle name="Normal 16 3 9 3" xfId="34338" xr:uid="{00000000-0005-0000-0000-00000D410000}"/>
    <cellStyle name="Normal 16 4" xfId="2454" xr:uid="{00000000-0005-0000-0000-00000E410000}"/>
    <cellStyle name="Normal 16 4 2" xfId="2455" xr:uid="{00000000-0005-0000-0000-00000F410000}"/>
    <cellStyle name="Normal 16 4 2 2" xfId="2456" xr:uid="{00000000-0005-0000-0000-000010410000}"/>
    <cellStyle name="Normal 16 4 3" xfId="2457" xr:uid="{00000000-0005-0000-0000-000011410000}"/>
    <cellStyle name="Normal 16 4 4" xfId="2458" xr:uid="{00000000-0005-0000-0000-000012410000}"/>
    <cellStyle name="Normal 16 4 5" xfId="2459" xr:uid="{00000000-0005-0000-0000-000013410000}"/>
    <cellStyle name="Normal 16 4 6" xfId="2460" xr:uid="{00000000-0005-0000-0000-000014410000}"/>
    <cellStyle name="Normal 16 4 7" xfId="9842" xr:uid="{00000000-0005-0000-0000-000015410000}"/>
    <cellStyle name="Normal 16 4 8" xfId="9843" xr:uid="{00000000-0005-0000-0000-000016410000}"/>
    <cellStyle name="Normal 16 4 8 2" xfId="28463" xr:uid="{00000000-0005-0000-0000-000017410000}"/>
    <cellStyle name="Normal 16 5" xfId="2461" xr:uid="{00000000-0005-0000-0000-000018410000}"/>
    <cellStyle name="Normal 16 5 2" xfId="2462" xr:uid="{00000000-0005-0000-0000-000019410000}"/>
    <cellStyle name="Normal 16 5 2 2" xfId="2463" xr:uid="{00000000-0005-0000-0000-00001A410000}"/>
    <cellStyle name="Normal 16 5 3" xfId="2464" xr:uid="{00000000-0005-0000-0000-00001B410000}"/>
    <cellStyle name="Normal 16 5 4" xfId="2465" xr:uid="{00000000-0005-0000-0000-00001C410000}"/>
    <cellStyle name="Normal 16 5 5" xfId="2466" xr:uid="{00000000-0005-0000-0000-00001D410000}"/>
    <cellStyle name="Normal 16 5 6" xfId="2467" xr:uid="{00000000-0005-0000-0000-00001E410000}"/>
    <cellStyle name="Normal 16 5 7" xfId="9844" xr:uid="{00000000-0005-0000-0000-00001F410000}"/>
    <cellStyle name="Normal 16 5 8" xfId="9845" xr:uid="{00000000-0005-0000-0000-000020410000}"/>
    <cellStyle name="Normal 16 5 8 2" xfId="28464" xr:uid="{00000000-0005-0000-0000-000021410000}"/>
    <cellStyle name="Normal 16 6" xfId="2468" xr:uid="{00000000-0005-0000-0000-000022410000}"/>
    <cellStyle name="Normal 16 6 2" xfId="2469" xr:uid="{00000000-0005-0000-0000-000023410000}"/>
    <cellStyle name="Normal 16 6 2 2" xfId="2470" xr:uid="{00000000-0005-0000-0000-000024410000}"/>
    <cellStyle name="Normal 16 6 3" xfId="2471" xr:uid="{00000000-0005-0000-0000-000025410000}"/>
    <cellStyle name="Normal 16 6 4" xfId="2472" xr:uid="{00000000-0005-0000-0000-000026410000}"/>
    <cellStyle name="Normal 16 6 5" xfId="2473" xr:uid="{00000000-0005-0000-0000-000027410000}"/>
    <cellStyle name="Normal 16 6 6" xfId="2474" xr:uid="{00000000-0005-0000-0000-000028410000}"/>
    <cellStyle name="Normal 16 6 7" xfId="9846" xr:uid="{00000000-0005-0000-0000-000029410000}"/>
    <cellStyle name="Normal 16 6 8" xfId="9847" xr:uid="{00000000-0005-0000-0000-00002A410000}"/>
    <cellStyle name="Normal 16 6 8 2" xfId="28465" xr:uid="{00000000-0005-0000-0000-00002B410000}"/>
    <cellStyle name="Normal 16 7" xfId="2475" xr:uid="{00000000-0005-0000-0000-00002C410000}"/>
    <cellStyle name="Normal 16 7 2" xfId="2476" xr:uid="{00000000-0005-0000-0000-00002D410000}"/>
    <cellStyle name="Normal 16 7 3" xfId="39745" xr:uid="{00000000-0005-0000-0000-00007A0B0000}"/>
    <cellStyle name="Normal 16 8" xfId="2477" xr:uid="{00000000-0005-0000-0000-00002E410000}"/>
    <cellStyle name="Normal 16 9" xfId="2478" xr:uid="{00000000-0005-0000-0000-00002F410000}"/>
    <cellStyle name="Normal 17" xfId="2479" xr:uid="{00000000-0005-0000-0000-000030410000}"/>
    <cellStyle name="Normal 17 10" xfId="2480" xr:uid="{00000000-0005-0000-0000-000031410000}"/>
    <cellStyle name="Normal 17 11" xfId="2481" xr:uid="{00000000-0005-0000-0000-000032410000}"/>
    <cellStyle name="Normal 17 12" xfId="9848" xr:uid="{00000000-0005-0000-0000-000033410000}"/>
    <cellStyle name="Normal 17 13" xfId="9849" xr:uid="{00000000-0005-0000-0000-000034410000}"/>
    <cellStyle name="Normal 17 13 2" xfId="28466" xr:uid="{00000000-0005-0000-0000-000035410000}"/>
    <cellStyle name="Normal 17 14" xfId="11548" xr:uid="{00000000-0005-0000-0000-000036410000}"/>
    <cellStyle name="Normal 17 14 2" xfId="29701" xr:uid="{00000000-0005-0000-0000-000037410000}"/>
    <cellStyle name="Normal 17 14 3" xfId="34339" xr:uid="{00000000-0005-0000-0000-000038410000}"/>
    <cellStyle name="Normal 17 15" xfId="11686" xr:uid="{00000000-0005-0000-0000-000039410000}"/>
    <cellStyle name="Normal 17 15 2" xfId="29816" xr:uid="{00000000-0005-0000-0000-00003A410000}"/>
    <cellStyle name="Normal 17 15 3" xfId="34464" xr:uid="{00000000-0005-0000-0000-00003B410000}"/>
    <cellStyle name="Normal 17 16" xfId="11805" xr:uid="{00000000-0005-0000-0000-00003C410000}"/>
    <cellStyle name="Normal 17 16 2" xfId="29934" xr:uid="{00000000-0005-0000-0000-00003D410000}"/>
    <cellStyle name="Normal 17 16 3" xfId="34583" xr:uid="{00000000-0005-0000-0000-00003E410000}"/>
    <cellStyle name="Normal 17 17" xfId="11924" xr:uid="{00000000-0005-0000-0000-00003F410000}"/>
    <cellStyle name="Normal 17 17 2" xfId="30051" xr:uid="{00000000-0005-0000-0000-000040410000}"/>
    <cellStyle name="Normal 17 17 3" xfId="34702" xr:uid="{00000000-0005-0000-0000-000041410000}"/>
    <cellStyle name="Normal 17 18" xfId="12737" xr:uid="{00000000-0005-0000-0000-000042410000}"/>
    <cellStyle name="Normal 17 18 2" xfId="30417" xr:uid="{00000000-0005-0000-0000-000043410000}"/>
    <cellStyle name="Normal 17 18 3" xfId="35077" xr:uid="{00000000-0005-0000-0000-000044410000}"/>
    <cellStyle name="Normal 17 19" xfId="13433" xr:uid="{00000000-0005-0000-0000-000045410000}"/>
    <cellStyle name="Normal 17 19 2" xfId="30545" xr:uid="{00000000-0005-0000-0000-000046410000}"/>
    <cellStyle name="Normal 17 19 3" xfId="35207" xr:uid="{00000000-0005-0000-0000-000047410000}"/>
    <cellStyle name="Normal 17 2" xfId="2482" xr:uid="{00000000-0005-0000-0000-000048410000}"/>
    <cellStyle name="Normal 17 2 10" xfId="11687" xr:uid="{00000000-0005-0000-0000-000049410000}"/>
    <cellStyle name="Normal 17 2 10 2" xfId="29817" xr:uid="{00000000-0005-0000-0000-00004A410000}"/>
    <cellStyle name="Normal 17 2 10 3" xfId="34465" xr:uid="{00000000-0005-0000-0000-00004B410000}"/>
    <cellStyle name="Normal 17 2 11" xfId="11806" xr:uid="{00000000-0005-0000-0000-00004C410000}"/>
    <cellStyle name="Normal 17 2 11 2" xfId="29935" xr:uid="{00000000-0005-0000-0000-00004D410000}"/>
    <cellStyle name="Normal 17 2 11 3" xfId="34584" xr:uid="{00000000-0005-0000-0000-00004E410000}"/>
    <cellStyle name="Normal 17 2 12" xfId="11925" xr:uid="{00000000-0005-0000-0000-00004F410000}"/>
    <cellStyle name="Normal 17 2 12 2" xfId="30052" xr:uid="{00000000-0005-0000-0000-000050410000}"/>
    <cellStyle name="Normal 17 2 12 3" xfId="34703" xr:uid="{00000000-0005-0000-0000-000051410000}"/>
    <cellStyle name="Normal 17 2 13" xfId="13434" xr:uid="{00000000-0005-0000-0000-000052410000}"/>
    <cellStyle name="Normal 17 2 13 2" xfId="30546" xr:uid="{00000000-0005-0000-0000-000053410000}"/>
    <cellStyle name="Normal 17 2 13 3" xfId="35208" xr:uid="{00000000-0005-0000-0000-000054410000}"/>
    <cellStyle name="Normal 17 2 14" xfId="13556" xr:uid="{00000000-0005-0000-0000-000055410000}"/>
    <cellStyle name="Normal 17 2 14 2" xfId="30668" xr:uid="{00000000-0005-0000-0000-000056410000}"/>
    <cellStyle name="Normal 17 2 14 3" xfId="35330" xr:uid="{00000000-0005-0000-0000-000057410000}"/>
    <cellStyle name="Normal 17 2 15" xfId="13676" xr:uid="{00000000-0005-0000-0000-000058410000}"/>
    <cellStyle name="Normal 17 2 15 2" xfId="30788" xr:uid="{00000000-0005-0000-0000-000059410000}"/>
    <cellStyle name="Normal 17 2 15 3" xfId="35450" xr:uid="{00000000-0005-0000-0000-00005A410000}"/>
    <cellStyle name="Normal 17 2 16" xfId="13797" xr:uid="{00000000-0005-0000-0000-00005B410000}"/>
    <cellStyle name="Normal 17 2 16 2" xfId="30909" xr:uid="{00000000-0005-0000-0000-00005C410000}"/>
    <cellStyle name="Normal 17 2 16 3" xfId="35571" xr:uid="{00000000-0005-0000-0000-00005D410000}"/>
    <cellStyle name="Normal 17 2 17" xfId="13916" xr:uid="{00000000-0005-0000-0000-00005E410000}"/>
    <cellStyle name="Normal 17 2 17 2" xfId="31028" xr:uid="{00000000-0005-0000-0000-00005F410000}"/>
    <cellStyle name="Normal 17 2 17 3" xfId="35690" xr:uid="{00000000-0005-0000-0000-000060410000}"/>
    <cellStyle name="Normal 17 2 2" xfId="2483" xr:uid="{00000000-0005-0000-0000-000061410000}"/>
    <cellStyle name="Normal 17 2 2 2" xfId="2484" xr:uid="{00000000-0005-0000-0000-000062410000}"/>
    <cellStyle name="Normal 17 2 3" xfId="2485" xr:uid="{00000000-0005-0000-0000-000063410000}"/>
    <cellStyle name="Normal 17 2 3 2" xfId="39746" xr:uid="{00000000-0005-0000-0000-0000830B0000}"/>
    <cellStyle name="Normal 17 2 4" xfId="2486" xr:uid="{00000000-0005-0000-0000-000064410000}"/>
    <cellStyle name="Normal 17 2 5" xfId="2487" xr:uid="{00000000-0005-0000-0000-000065410000}"/>
    <cellStyle name="Normal 17 2 6" xfId="2488" xr:uid="{00000000-0005-0000-0000-000066410000}"/>
    <cellStyle name="Normal 17 2 7" xfId="9850" xr:uid="{00000000-0005-0000-0000-000067410000}"/>
    <cellStyle name="Normal 17 2 8" xfId="9851" xr:uid="{00000000-0005-0000-0000-000068410000}"/>
    <cellStyle name="Normal 17 2 8 2" xfId="28467" xr:uid="{00000000-0005-0000-0000-000069410000}"/>
    <cellStyle name="Normal 17 2 9" xfId="11549" xr:uid="{00000000-0005-0000-0000-00006A410000}"/>
    <cellStyle name="Normal 17 2 9 2" xfId="29702" xr:uid="{00000000-0005-0000-0000-00006B410000}"/>
    <cellStyle name="Normal 17 2 9 3" xfId="34340" xr:uid="{00000000-0005-0000-0000-00006C410000}"/>
    <cellStyle name="Normal 17 20" xfId="13555" xr:uid="{00000000-0005-0000-0000-00006D410000}"/>
    <cellStyle name="Normal 17 20 2" xfId="30667" xr:uid="{00000000-0005-0000-0000-00006E410000}"/>
    <cellStyle name="Normal 17 20 3" xfId="35329" xr:uid="{00000000-0005-0000-0000-00006F410000}"/>
    <cellStyle name="Normal 17 21" xfId="13675" xr:uid="{00000000-0005-0000-0000-000070410000}"/>
    <cellStyle name="Normal 17 21 2" xfId="30787" xr:uid="{00000000-0005-0000-0000-000071410000}"/>
    <cellStyle name="Normal 17 21 3" xfId="35449" xr:uid="{00000000-0005-0000-0000-000072410000}"/>
    <cellStyle name="Normal 17 22" xfId="13796" xr:uid="{00000000-0005-0000-0000-000073410000}"/>
    <cellStyle name="Normal 17 22 2" xfId="30908" xr:uid="{00000000-0005-0000-0000-000074410000}"/>
    <cellStyle name="Normal 17 22 3" xfId="35570" xr:uid="{00000000-0005-0000-0000-000075410000}"/>
    <cellStyle name="Normal 17 23" xfId="13915" xr:uid="{00000000-0005-0000-0000-000076410000}"/>
    <cellStyle name="Normal 17 23 2" xfId="31027" xr:uid="{00000000-0005-0000-0000-000077410000}"/>
    <cellStyle name="Normal 17 23 3" xfId="35689" xr:uid="{00000000-0005-0000-0000-000078410000}"/>
    <cellStyle name="Normal 17 24" xfId="14278" xr:uid="{00000000-0005-0000-0000-000079410000}"/>
    <cellStyle name="Normal 17 3" xfId="2489" xr:uid="{00000000-0005-0000-0000-00007A410000}"/>
    <cellStyle name="Normal 17 3 10" xfId="11688" xr:uid="{00000000-0005-0000-0000-00007B410000}"/>
    <cellStyle name="Normal 17 3 10 2" xfId="29818" xr:uid="{00000000-0005-0000-0000-00007C410000}"/>
    <cellStyle name="Normal 17 3 10 3" xfId="34466" xr:uid="{00000000-0005-0000-0000-00007D410000}"/>
    <cellStyle name="Normal 17 3 11" xfId="11807" xr:uid="{00000000-0005-0000-0000-00007E410000}"/>
    <cellStyle name="Normal 17 3 11 2" xfId="29936" xr:uid="{00000000-0005-0000-0000-00007F410000}"/>
    <cellStyle name="Normal 17 3 11 3" xfId="34585" xr:uid="{00000000-0005-0000-0000-000080410000}"/>
    <cellStyle name="Normal 17 3 12" xfId="11926" xr:uid="{00000000-0005-0000-0000-000081410000}"/>
    <cellStyle name="Normal 17 3 12 2" xfId="30053" xr:uid="{00000000-0005-0000-0000-000082410000}"/>
    <cellStyle name="Normal 17 3 12 3" xfId="34704" xr:uid="{00000000-0005-0000-0000-000083410000}"/>
    <cellStyle name="Normal 17 3 13" xfId="13435" xr:uid="{00000000-0005-0000-0000-000084410000}"/>
    <cellStyle name="Normal 17 3 13 2" xfId="30547" xr:uid="{00000000-0005-0000-0000-000085410000}"/>
    <cellStyle name="Normal 17 3 13 3" xfId="35209" xr:uid="{00000000-0005-0000-0000-000086410000}"/>
    <cellStyle name="Normal 17 3 14" xfId="13557" xr:uid="{00000000-0005-0000-0000-000087410000}"/>
    <cellStyle name="Normal 17 3 14 2" xfId="30669" xr:uid="{00000000-0005-0000-0000-000088410000}"/>
    <cellStyle name="Normal 17 3 14 3" xfId="35331" xr:uid="{00000000-0005-0000-0000-000089410000}"/>
    <cellStyle name="Normal 17 3 15" xfId="13677" xr:uid="{00000000-0005-0000-0000-00008A410000}"/>
    <cellStyle name="Normal 17 3 15 2" xfId="30789" xr:uid="{00000000-0005-0000-0000-00008B410000}"/>
    <cellStyle name="Normal 17 3 15 3" xfId="35451" xr:uid="{00000000-0005-0000-0000-00008C410000}"/>
    <cellStyle name="Normal 17 3 16" xfId="13798" xr:uid="{00000000-0005-0000-0000-00008D410000}"/>
    <cellStyle name="Normal 17 3 16 2" xfId="30910" xr:uid="{00000000-0005-0000-0000-00008E410000}"/>
    <cellStyle name="Normal 17 3 16 3" xfId="35572" xr:uid="{00000000-0005-0000-0000-00008F410000}"/>
    <cellStyle name="Normal 17 3 17" xfId="13917" xr:uid="{00000000-0005-0000-0000-000090410000}"/>
    <cellStyle name="Normal 17 3 17 2" xfId="31029" xr:uid="{00000000-0005-0000-0000-000091410000}"/>
    <cellStyle name="Normal 17 3 17 3" xfId="35691" xr:uid="{00000000-0005-0000-0000-000092410000}"/>
    <cellStyle name="Normal 17 3 2" xfId="2490" xr:uid="{00000000-0005-0000-0000-000093410000}"/>
    <cellStyle name="Normal 17 3 2 2" xfId="2491" xr:uid="{00000000-0005-0000-0000-000094410000}"/>
    <cellStyle name="Normal 17 3 3" xfId="2492" xr:uid="{00000000-0005-0000-0000-000095410000}"/>
    <cellStyle name="Normal 17 3 4" xfId="2493" xr:uid="{00000000-0005-0000-0000-000096410000}"/>
    <cellStyle name="Normal 17 3 5" xfId="2494" xr:uid="{00000000-0005-0000-0000-000097410000}"/>
    <cellStyle name="Normal 17 3 6" xfId="2495" xr:uid="{00000000-0005-0000-0000-000098410000}"/>
    <cellStyle name="Normal 17 3 7" xfId="9852" xr:uid="{00000000-0005-0000-0000-000099410000}"/>
    <cellStyle name="Normal 17 3 8" xfId="9853" xr:uid="{00000000-0005-0000-0000-00009A410000}"/>
    <cellStyle name="Normal 17 3 8 2" xfId="28468" xr:uid="{00000000-0005-0000-0000-00009B410000}"/>
    <cellStyle name="Normal 17 3 9" xfId="11550" xr:uid="{00000000-0005-0000-0000-00009C410000}"/>
    <cellStyle name="Normal 17 3 9 2" xfId="29703" xr:uid="{00000000-0005-0000-0000-00009D410000}"/>
    <cellStyle name="Normal 17 3 9 3" xfId="34341" xr:uid="{00000000-0005-0000-0000-00009E410000}"/>
    <cellStyle name="Normal 17 4" xfId="2496" xr:uid="{00000000-0005-0000-0000-00009F410000}"/>
    <cellStyle name="Normal 17 4 2" xfId="2497" xr:uid="{00000000-0005-0000-0000-0000A0410000}"/>
    <cellStyle name="Normal 17 4 2 2" xfId="2498" xr:uid="{00000000-0005-0000-0000-0000A1410000}"/>
    <cellStyle name="Normal 17 4 3" xfId="2499" xr:uid="{00000000-0005-0000-0000-0000A2410000}"/>
    <cellStyle name="Normal 17 4 4" xfId="2500" xr:uid="{00000000-0005-0000-0000-0000A3410000}"/>
    <cellStyle name="Normal 17 4 5" xfId="2501" xr:uid="{00000000-0005-0000-0000-0000A4410000}"/>
    <cellStyle name="Normal 17 4 6" xfId="2502" xr:uid="{00000000-0005-0000-0000-0000A5410000}"/>
    <cellStyle name="Normal 17 4 7" xfId="9854" xr:uid="{00000000-0005-0000-0000-0000A6410000}"/>
    <cellStyle name="Normal 17 4 8" xfId="9855" xr:uid="{00000000-0005-0000-0000-0000A7410000}"/>
    <cellStyle name="Normal 17 4 8 2" xfId="28469" xr:uid="{00000000-0005-0000-0000-0000A8410000}"/>
    <cellStyle name="Normal 17 5" xfId="2503" xr:uid="{00000000-0005-0000-0000-0000A9410000}"/>
    <cellStyle name="Normal 17 5 2" xfId="2504" xr:uid="{00000000-0005-0000-0000-0000AA410000}"/>
    <cellStyle name="Normal 17 5 2 2" xfId="2505" xr:uid="{00000000-0005-0000-0000-0000AB410000}"/>
    <cellStyle name="Normal 17 5 3" xfId="2506" xr:uid="{00000000-0005-0000-0000-0000AC410000}"/>
    <cellStyle name="Normal 17 5 4" xfId="2507" xr:uid="{00000000-0005-0000-0000-0000AD410000}"/>
    <cellStyle name="Normal 17 5 5" xfId="2508" xr:uid="{00000000-0005-0000-0000-0000AE410000}"/>
    <cellStyle name="Normal 17 5 6" xfId="2509" xr:uid="{00000000-0005-0000-0000-0000AF410000}"/>
    <cellStyle name="Normal 17 5 7" xfId="9856" xr:uid="{00000000-0005-0000-0000-0000B0410000}"/>
    <cellStyle name="Normal 17 5 8" xfId="9857" xr:uid="{00000000-0005-0000-0000-0000B1410000}"/>
    <cellStyle name="Normal 17 5 8 2" xfId="28470" xr:uid="{00000000-0005-0000-0000-0000B2410000}"/>
    <cellStyle name="Normal 17 6" xfId="2510" xr:uid="{00000000-0005-0000-0000-0000B3410000}"/>
    <cellStyle name="Normal 17 6 2" xfId="2511" xr:uid="{00000000-0005-0000-0000-0000B4410000}"/>
    <cellStyle name="Normal 17 6 2 2" xfId="2512" xr:uid="{00000000-0005-0000-0000-0000B5410000}"/>
    <cellStyle name="Normal 17 6 3" xfId="2513" xr:uid="{00000000-0005-0000-0000-0000B6410000}"/>
    <cellStyle name="Normal 17 6 4" xfId="2514" xr:uid="{00000000-0005-0000-0000-0000B7410000}"/>
    <cellStyle name="Normal 17 6 5" xfId="2515" xr:uid="{00000000-0005-0000-0000-0000B8410000}"/>
    <cellStyle name="Normal 17 6 6" xfId="2516" xr:uid="{00000000-0005-0000-0000-0000B9410000}"/>
    <cellStyle name="Normal 17 6 7" xfId="9858" xr:uid="{00000000-0005-0000-0000-0000BA410000}"/>
    <cellStyle name="Normal 17 6 8" xfId="9859" xr:uid="{00000000-0005-0000-0000-0000BB410000}"/>
    <cellStyle name="Normal 17 6 8 2" xfId="28471" xr:uid="{00000000-0005-0000-0000-0000BC410000}"/>
    <cellStyle name="Normal 17 7" xfId="2517" xr:uid="{00000000-0005-0000-0000-0000BD410000}"/>
    <cellStyle name="Normal 17 7 2" xfId="2518" xr:uid="{00000000-0005-0000-0000-0000BE410000}"/>
    <cellStyle name="Normal 17 8" xfId="2519" xr:uid="{00000000-0005-0000-0000-0000BF410000}"/>
    <cellStyle name="Normal 17 9" xfId="2520" xr:uid="{00000000-0005-0000-0000-0000C0410000}"/>
    <cellStyle name="Normal 18" xfId="2521" xr:uid="{00000000-0005-0000-0000-0000C1410000}"/>
    <cellStyle name="Normal 18 10" xfId="13558" xr:uid="{00000000-0005-0000-0000-0000C2410000}"/>
    <cellStyle name="Normal 18 10 2" xfId="30670" xr:uid="{00000000-0005-0000-0000-0000C3410000}"/>
    <cellStyle name="Normal 18 10 3" xfId="35332" xr:uid="{00000000-0005-0000-0000-0000C4410000}"/>
    <cellStyle name="Normal 18 11" xfId="13678" xr:uid="{00000000-0005-0000-0000-0000C5410000}"/>
    <cellStyle name="Normal 18 11 2" xfId="30790" xr:uid="{00000000-0005-0000-0000-0000C6410000}"/>
    <cellStyle name="Normal 18 11 3" xfId="35452" xr:uid="{00000000-0005-0000-0000-0000C7410000}"/>
    <cellStyle name="Normal 18 12" xfId="13799" xr:uid="{00000000-0005-0000-0000-0000C8410000}"/>
    <cellStyle name="Normal 18 12 2" xfId="30911" xr:uid="{00000000-0005-0000-0000-0000C9410000}"/>
    <cellStyle name="Normal 18 12 3" xfId="35573" xr:uid="{00000000-0005-0000-0000-0000CA410000}"/>
    <cellStyle name="Normal 18 13" xfId="13918" xr:uid="{00000000-0005-0000-0000-0000CB410000}"/>
    <cellStyle name="Normal 18 13 2" xfId="31030" xr:uid="{00000000-0005-0000-0000-0000CC410000}"/>
    <cellStyle name="Normal 18 13 3" xfId="35692" xr:uid="{00000000-0005-0000-0000-0000CD410000}"/>
    <cellStyle name="Normal 18 14" xfId="9860" xr:uid="{00000000-0005-0000-0000-0000CE410000}"/>
    <cellStyle name="Normal 18 14 2" xfId="33307" xr:uid="{00000000-0005-0000-0000-0000CF410000}"/>
    <cellStyle name="Normal 18 15" xfId="14279" xr:uid="{00000000-0005-0000-0000-0000D0410000}"/>
    <cellStyle name="Normal 18 16" xfId="31286" xr:uid="{00000000-0005-0000-0000-0000D1410000}"/>
    <cellStyle name="Normal 18 2" xfId="3456" xr:uid="{00000000-0005-0000-0000-0000D2410000}"/>
    <cellStyle name="Normal 18 2 10" xfId="13919" xr:uid="{00000000-0005-0000-0000-0000D3410000}"/>
    <cellStyle name="Normal 18 2 10 2" xfId="31031" xr:uid="{00000000-0005-0000-0000-0000D4410000}"/>
    <cellStyle name="Normal 18 2 10 3" xfId="35693" xr:uid="{00000000-0005-0000-0000-0000D5410000}"/>
    <cellStyle name="Normal 18 2 11" xfId="10897" xr:uid="{00000000-0005-0000-0000-0000D6410000}"/>
    <cellStyle name="Normal 18 2 11 2" xfId="33848" xr:uid="{00000000-0005-0000-0000-0000D7410000}"/>
    <cellStyle name="Normal 18 2 12" xfId="31516" xr:uid="{00000000-0005-0000-0000-0000D8410000}"/>
    <cellStyle name="Normal 18 2 13" xfId="39748" xr:uid="{00000000-0005-0000-0000-00008C0B0000}"/>
    <cellStyle name="Normal 18 2 2" xfId="11552" xr:uid="{00000000-0005-0000-0000-0000D9410000}"/>
    <cellStyle name="Normal 18 2 2 2" xfId="28417" xr:uid="{00000000-0005-0000-0000-0000DA410000}"/>
    <cellStyle name="Normal 18 2 2 3" xfId="34343" xr:uid="{00000000-0005-0000-0000-0000DB410000}"/>
    <cellStyle name="Normal 18 2 3" xfId="11690" xr:uid="{00000000-0005-0000-0000-0000DC410000}"/>
    <cellStyle name="Normal 18 2 3 2" xfId="29820" xr:uid="{00000000-0005-0000-0000-0000DD410000}"/>
    <cellStyle name="Normal 18 2 3 3" xfId="34468" xr:uid="{00000000-0005-0000-0000-0000DE410000}"/>
    <cellStyle name="Normal 18 2 4" xfId="11809" xr:uid="{00000000-0005-0000-0000-0000DF410000}"/>
    <cellStyle name="Normal 18 2 4 2" xfId="29938" xr:uid="{00000000-0005-0000-0000-0000E0410000}"/>
    <cellStyle name="Normal 18 2 4 3" xfId="34587" xr:uid="{00000000-0005-0000-0000-0000E1410000}"/>
    <cellStyle name="Normal 18 2 5" xfId="11928" xr:uid="{00000000-0005-0000-0000-0000E2410000}"/>
    <cellStyle name="Normal 18 2 5 2" xfId="30055" xr:uid="{00000000-0005-0000-0000-0000E3410000}"/>
    <cellStyle name="Normal 18 2 5 3" xfId="34706" xr:uid="{00000000-0005-0000-0000-0000E4410000}"/>
    <cellStyle name="Normal 18 2 6" xfId="13437" xr:uid="{00000000-0005-0000-0000-0000E5410000}"/>
    <cellStyle name="Normal 18 2 6 2" xfId="30549" xr:uid="{00000000-0005-0000-0000-0000E6410000}"/>
    <cellStyle name="Normal 18 2 6 3" xfId="35211" xr:uid="{00000000-0005-0000-0000-0000E7410000}"/>
    <cellStyle name="Normal 18 2 7" xfId="13559" xr:uid="{00000000-0005-0000-0000-0000E8410000}"/>
    <cellStyle name="Normal 18 2 7 2" xfId="30671" xr:uid="{00000000-0005-0000-0000-0000E9410000}"/>
    <cellStyle name="Normal 18 2 7 3" xfId="35333" xr:uid="{00000000-0005-0000-0000-0000EA410000}"/>
    <cellStyle name="Normal 18 2 8" xfId="13679" xr:uid="{00000000-0005-0000-0000-0000EB410000}"/>
    <cellStyle name="Normal 18 2 8 2" xfId="30791" xr:uid="{00000000-0005-0000-0000-0000EC410000}"/>
    <cellStyle name="Normal 18 2 8 3" xfId="35453" xr:uid="{00000000-0005-0000-0000-0000ED410000}"/>
    <cellStyle name="Normal 18 2 9" xfId="13800" xr:uid="{00000000-0005-0000-0000-0000EE410000}"/>
    <cellStyle name="Normal 18 2 9 2" xfId="30912" xr:uid="{00000000-0005-0000-0000-0000EF410000}"/>
    <cellStyle name="Normal 18 2 9 3" xfId="35574" xr:uid="{00000000-0005-0000-0000-0000F0410000}"/>
    <cellStyle name="Normal 18 3" xfId="11467" xr:uid="{00000000-0005-0000-0000-0000F1410000}"/>
    <cellStyle name="Normal 18 3 10" xfId="13920" xr:uid="{00000000-0005-0000-0000-0000F2410000}"/>
    <cellStyle name="Normal 18 3 10 2" xfId="31032" xr:uid="{00000000-0005-0000-0000-0000F3410000}"/>
    <cellStyle name="Normal 18 3 10 3" xfId="35694" xr:uid="{00000000-0005-0000-0000-0000F4410000}"/>
    <cellStyle name="Normal 18 3 11" xfId="28385" xr:uid="{00000000-0005-0000-0000-0000F5410000}"/>
    <cellStyle name="Normal 18 3 12" xfId="34278" xr:uid="{00000000-0005-0000-0000-0000F6410000}"/>
    <cellStyle name="Normal 18 3 2" xfId="11553" xr:uid="{00000000-0005-0000-0000-0000F7410000}"/>
    <cellStyle name="Normal 18 3 2 2" xfId="29705" xr:uid="{00000000-0005-0000-0000-0000F8410000}"/>
    <cellStyle name="Normal 18 3 2 3" xfId="34344" xr:uid="{00000000-0005-0000-0000-0000F9410000}"/>
    <cellStyle name="Normal 18 3 3" xfId="11691" xr:uid="{00000000-0005-0000-0000-0000FA410000}"/>
    <cellStyle name="Normal 18 3 3 2" xfId="29821" xr:uid="{00000000-0005-0000-0000-0000FB410000}"/>
    <cellStyle name="Normal 18 3 3 3" xfId="34469" xr:uid="{00000000-0005-0000-0000-0000FC410000}"/>
    <cellStyle name="Normal 18 3 4" xfId="11810" xr:uid="{00000000-0005-0000-0000-0000FD410000}"/>
    <cellStyle name="Normal 18 3 4 2" xfId="29939" xr:uid="{00000000-0005-0000-0000-0000FE410000}"/>
    <cellStyle name="Normal 18 3 4 3" xfId="34588" xr:uid="{00000000-0005-0000-0000-0000FF410000}"/>
    <cellStyle name="Normal 18 3 5" xfId="11929" xr:uid="{00000000-0005-0000-0000-000000420000}"/>
    <cellStyle name="Normal 18 3 5 2" xfId="30056" xr:uid="{00000000-0005-0000-0000-000001420000}"/>
    <cellStyle name="Normal 18 3 5 3" xfId="34707" xr:uid="{00000000-0005-0000-0000-000002420000}"/>
    <cellStyle name="Normal 18 3 6" xfId="13438" xr:uid="{00000000-0005-0000-0000-000003420000}"/>
    <cellStyle name="Normal 18 3 6 2" xfId="30550" xr:uid="{00000000-0005-0000-0000-000004420000}"/>
    <cellStyle name="Normal 18 3 6 3" xfId="35212" xr:uid="{00000000-0005-0000-0000-000005420000}"/>
    <cellStyle name="Normal 18 3 7" xfId="13560" xr:uid="{00000000-0005-0000-0000-000006420000}"/>
    <cellStyle name="Normal 18 3 7 2" xfId="30672" xr:uid="{00000000-0005-0000-0000-000007420000}"/>
    <cellStyle name="Normal 18 3 7 3" xfId="35334" xr:uid="{00000000-0005-0000-0000-000008420000}"/>
    <cellStyle name="Normal 18 3 8" xfId="13680" xr:uid="{00000000-0005-0000-0000-000009420000}"/>
    <cellStyle name="Normal 18 3 8 2" xfId="30792" xr:uid="{00000000-0005-0000-0000-00000A420000}"/>
    <cellStyle name="Normal 18 3 8 3" xfId="35454" xr:uid="{00000000-0005-0000-0000-00000B420000}"/>
    <cellStyle name="Normal 18 3 9" xfId="13801" xr:uid="{00000000-0005-0000-0000-00000C420000}"/>
    <cellStyle name="Normal 18 3 9 2" xfId="30913" xr:uid="{00000000-0005-0000-0000-00000D420000}"/>
    <cellStyle name="Normal 18 3 9 3" xfId="35575" xr:uid="{00000000-0005-0000-0000-00000E420000}"/>
    <cellStyle name="Normal 18 4" xfId="11551" xr:uid="{00000000-0005-0000-0000-00000F420000}"/>
    <cellStyle name="Normal 18 4 2" xfId="29704" xr:uid="{00000000-0005-0000-0000-000010420000}"/>
    <cellStyle name="Normal 18 4 3" xfId="34342" xr:uid="{00000000-0005-0000-0000-000011420000}"/>
    <cellStyle name="Normal 18 4 4" xfId="39747" xr:uid="{00000000-0005-0000-0000-00008E0B0000}"/>
    <cellStyle name="Normal 18 5" xfId="11689" xr:uid="{00000000-0005-0000-0000-000012420000}"/>
    <cellStyle name="Normal 18 5 2" xfId="29819" xr:uid="{00000000-0005-0000-0000-000013420000}"/>
    <cellStyle name="Normal 18 5 3" xfId="34467" xr:uid="{00000000-0005-0000-0000-000014420000}"/>
    <cellStyle name="Normal 18 6" xfId="11808" xr:uid="{00000000-0005-0000-0000-000015420000}"/>
    <cellStyle name="Normal 18 6 2" xfId="29937" xr:uid="{00000000-0005-0000-0000-000016420000}"/>
    <cellStyle name="Normal 18 6 3" xfId="34586" xr:uid="{00000000-0005-0000-0000-000017420000}"/>
    <cellStyle name="Normal 18 7" xfId="11927" xr:uid="{00000000-0005-0000-0000-000018420000}"/>
    <cellStyle name="Normal 18 7 2" xfId="30054" xr:uid="{00000000-0005-0000-0000-000019420000}"/>
    <cellStyle name="Normal 18 7 3" xfId="34705" xr:uid="{00000000-0005-0000-0000-00001A420000}"/>
    <cellStyle name="Normal 18 8" xfId="12738" xr:uid="{00000000-0005-0000-0000-00001B420000}"/>
    <cellStyle name="Normal 18 8 2" xfId="30418" xr:uid="{00000000-0005-0000-0000-00001C420000}"/>
    <cellStyle name="Normal 18 8 3" xfId="35078" xr:uid="{00000000-0005-0000-0000-00001D420000}"/>
    <cellStyle name="Normal 18 9" xfId="13436" xr:uid="{00000000-0005-0000-0000-00001E420000}"/>
    <cellStyle name="Normal 18 9 2" xfId="30548" xr:uid="{00000000-0005-0000-0000-00001F420000}"/>
    <cellStyle name="Normal 18 9 3" xfId="35210" xr:uid="{00000000-0005-0000-0000-000020420000}"/>
    <cellStyle name="Normal 19" xfId="2522" xr:uid="{00000000-0005-0000-0000-000021420000}"/>
    <cellStyle name="Normal 19 10" xfId="2523" xr:uid="{00000000-0005-0000-0000-000022420000}"/>
    <cellStyle name="Normal 19 11" xfId="2524" xr:uid="{00000000-0005-0000-0000-000023420000}"/>
    <cellStyle name="Normal 19 12" xfId="9861" xr:uid="{00000000-0005-0000-0000-000024420000}"/>
    <cellStyle name="Normal 19 13" xfId="9862" xr:uid="{00000000-0005-0000-0000-000025420000}"/>
    <cellStyle name="Normal 19 13 2" xfId="28472" xr:uid="{00000000-0005-0000-0000-000026420000}"/>
    <cellStyle name="Normal 19 14" xfId="11554" xr:uid="{00000000-0005-0000-0000-000027420000}"/>
    <cellStyle name="Normal 19 14 2" xfId="29706" xr:uid="{00000000-0005-0000-0000-000028420000}"/>
    <cellStyle name="Normal 19 14 3" xfId="34345" xr:uid="{00000000-0005-0000-0000-000029420000}"/>
    <cellStyle name="Normal 19 15" xfId="11692" xr:uid="{00000000-0005-0000-0000-00002A420000}"/>
    <cellStyle name="Normal 19 15 2" xfId="29822" xr:uid="{00000000-0005-0000-0000-00002B420000}"/>
    <cellStyle name="Normal 19 15 3" xfId="34470" xr:uid="{00000000-0005-0000-0000-00002C420000}"/>
    <cellStyle name="Normal 19 16" xfId="11811" xr:uid="{00000000-0005-0000-0000-00002D420000}"/>
    <cellStyle name="Normal 19 16 2" xfId="29940" xr:uid="{00000000-0005-0000-0000-00002E420000}"/>
    <cellStyle name="Normal 19 16 3" xfId="34589" xr:uid="{00000000-0005-0000-0000-00002F420000}"/>
    <cellStyle name="Normal 19 17" xfId="11930" xr:uid="{00000000-0005-0000-0000-000030420000}"/>
    <cellStyle name="Normal 19 17 2" xfId="30057" xr:uid="{00000000-0005-0000-0000-000031420000}"/>
    <cellStyle name="Normal 19 17 3" xfId="34708" xr:uid="{00000000-0005-0000-0000-000032420000}"/>
    <cellStyle name="Normal 19 18" xfId="13439" xr:uid="{00000000-0005-0000-0000-000033420000}"/>
    <cellStyle name="Normal 19 18 2" xfId="30551" xr:uid="{00000000-0005-0000-0000-000034420000}"/>
    <cellStyle name="Normal 19 18 3" xfId="35213" xr:uid="{00000000-0005-0000-0000-000035420000}"/>
    <cellStyle name="Normal 19 19" xfId="13561" xr:uid="{00000000-0005-0000-0000-000036420000}"/>
    <cellStyle name="Normal 19 19 2" xfId="30673" xr:uid="{00000000-0005-0000-0000-000037420000}"/>
    <cellStyle name="Normal 19 19 3" xfId="35335" xr:uid="{00000000-0005-0000-0000-000038420000}"/>
    <cellStyle name="Normal 19 2" xfId="2525" xr:uid="{00000000-0005-0000-0000-000039420000}"/>
    <cellStyle name="Normal 19 2 10" xfId="11693" xr:uid="{00000000-0005-0000-0000-00003A420000}"/>
    <cellStyle name="Normal 19 2 10 2" xfId="29823" xr:uid="{00000000-0005-0000-0000-00003B420000}"/>
    <cellStyle name="Normal 19 2 10 3" xfId="34471" xr:uid="{00000000-0005-0000-0000-00003C420000}"/>
    <cellStyle name="Normal 19 2 11" xfId="11812" xr:uid="{00000000-0005-0000-0000-00003D420000}"/>
    <cellStyle name="Normal 19 2 11 2" xfId="29941" xr:uid="{00000000-0005-0000-0000-00003E420000}"/>
    <cellStyle name="Normal 19 2 11 3" xfId="34590" xr:uid="{00000000-0005-0000-0000-00003F420000}"/>
    <cellStyle name="Normal 19 2 12" xfId="11931" xr:uid="{00000000-0005-0000-0000-000040420000}"/>
    <cellStyle name="Normal 19 2 12 2" xfId="30058" xr:uid="{00000000-0005-0000-0000-000041420000}"/>
    <cellStyle name="Normal 19 2 12 3" xfId="34709" xr:uid="{00000000-0005-0000-0000-000042420000}"/>
    <cellStyle name="Normal 19 2 13" xfId="13440" xr:uid="{00000000-0005-0000-0000-000043420000}"/>
    <cellStyle name="Normal 19 2 13 2" xfId="30552" xr:uid="{00000000-0005-0000-0000-000044420000}"/>
    <cellStyle name="Normal 19 2 13 3" xfId="35214" xr:uid="{00000000-0005-0000-0000-000045420000}"/>
    <cellStyle name="Normal 19 2 14" xfId="13562" xr:uid="{00000000-0005-0000-0000-000046420000}"/>
    <cellStyle name="Normal 19 2 14 2" xfId="30674" xr:uid="{00000000-0005-0000-0000-000047420000}"/>
    <cellStyle name="Normal 19 2 14 3" xfId="35336" xr:uid="{00000000-0005-0000-0000-000048420000}"/>
    <cellStyle name="Normal 19 2 15" xfId="13682" xr:uid="{00000000-0005-0000-0000-000049420000}"/>
    <cellStyle name="Normal 19 2 15 2" xfId="30794" xr:uid="{00000000-0005-0000-0000-00004A420000}"/>
    <cellStyle name="Normal 19 2 15 3" xfId="35456" xr:uid="{00000000-0005-0000-0000-00004B420000}"/>
    <cellStyle name="Normal 19 2 16" xfId="13803" xr:uid="{00000000-0005-0000-0000-00004C420000}"/>
    <cellStyle name="Normal 19 2 16 2" xfId="30915" xr:uid="{00000000-0005-0000-0000-00004D420000}"/>
    <cellStyle name="Normal 19 2 16 3" xfId="35577" xr:uid="{00000000-0005-0000-0000-00004E420000}"/>
    <cellStyle name="Normal 19 2 17" xfId="13922" xr:uid="{00000000-0005-0000-0000-00004F420000}"/>
    <cellStyle name="Normal 19 2 17 2" xfId="31034" xr:uid="{00000000-0005-0000-0000-000050420000}"/>
    <cellStyle name="Normal 19 2 17 3" xfId="35696" xr:uid="{00000000-0005-0000-0000-000051420000}"/>
    <cellStyle name="Normal 19 2 2" xfId="2526" xr:uid="{00000000-0005-0000-0000-000052420000}"/>
    <cellStyle name="Normal 19 2 2 2" xfId="2527" xr:uid="{00000000-0005-0000-0000-000053420000}"/>
    <cellStyle name="Normal 19 2 3" xfId="2528" xr:uid="{00000000-0005-0000-0000-000054420000}"/>
    <cellStyle name="Normal 19 2 4" xfId="2529" xr:uid="{00000000-0005-0000-0000-000055420000}"/>
    <cellStyle name="Normal 19 2 5" xfId="2530" xr:uid="{00000000-0005-0000-0000-000056420000}"/>
    <cellStyle name="Normal 19 2 6" xfId="2531" xr:uid="{00000000-0005-0000-0000-000057420000}"/>
    <cellStyle name="Normal 19 2 7" xfId="9863" xr:uid="{00000000-0005-0000-0000-000058420000}"/>
    <cellStyle name="Normal 19 2 8" xfId="9864" xr:uid="{00000000-0005-0000-0000-000059420000}"/>
    <cellStyle name="Normal 19 2 8 2" xfId="28473" xr:uid="{00000000-0005-0000-0000-00005A420000}"/>
    <cellStyle name="Normal 19 2 9" xfId="11555" xr:uid="{00000000-0005-0000-0000-00005B420000}"/>
    <cellStyle name="Normal 19 2 9 2" xfId="29707" xr:uid="{00000000-0005-0000-0000-00005C420000}"/>
    <cellStyle name="Normal 19 2 9 3" xfId="34346" xr:uid="{00000000-0005-0000-0000-00005D420000}"/>
    <cellStyle name="Normal 19 20" xfId="13681" xr:uid="{00000000-0005-0000-0000-00005E420000}"/>
    <cellStyle name="Normal 19 20 2" xfId="30793" xr:uid="{00000000-0005-0000-0000-00005F420000}"/>
    <cellStyle name="Normal 19 20 3" xfId="35455" xr:uid="{00000000-0005-0000-0000-000060420000}"/>
    <cellStyle name="Normal 19 21" xfId="13802" xr:uid="{00000000-0005-0000-0000-000061420000}"/>
    <cellStyle name="Normal 19 21 2" xfId="30914" xr:uid="{00000000-0005-0000-0000-000062420000}"/>
    <cellStyle name="Normal 19 21 3" xfId="35576" xr:uid="{00000000-0005-0000-0000-000063420000}"/>
    <cellStyle name="Normal 19 22" xfId="13921" xr:uid="{00000000-0005-0000-0000-000064420000}"/>
    <cellStyle name="Normal 19 22 2" xfId="31033" xr:uid="{00000000-0005-0000-0000-000065420000}"/>
    <cellStyle name="Normal 19 22 3" xfId="35695" xr:uid="{00000000-0005-0000-0000-000066420000}"/>
    <cellStyle name="Normal 19 23" xfId="14280" xr:uid="{00000000-0005-0000-0000-000067420000}"/>
    <cellStyle name="Normal 19 3" xfId="2532" xr:uid="{00000000-0005-0000-0000-000068420000}"/>
    <cellStyle name="Normal 19 3 10" xfId="11694" xr:uid="{00000000-0005-0000-0000-000069420000}"/>
    <cellStyle name="Normal 19 3 10 2" xfId="29824" xr:uid="{00000000-0005-0000-0000-00006A420000}"/>
    <cellStyle name="Normal 19 3 10 3" xfId="34472" xr:uid="{00000000-0005-0000-0000-00006B420000}"/>
    <cellStyle name="Normal 19 3 11" xfId="11813" xr:uid="{00000000-0005-0000-0000-00006C420000}"/>
    <cellStyle name="Normal 19 3 11 2" xfId="29942" xr:uid="{00000000-0005-0000-0000-00006D420000}"/>
    <cellStyle name="Normal 19 3 11 3" xfId="34591" xr:uid="{00000000-0005-0000-0000-00006E420000}"/>
    <cellStyle name="Normal 19 3 12" xfId="11932" xr:uid="{00000000-0005-0000-0000-00006F420000}"/>
    <cellStyle name="Normal 19 3 12 2" xfId="30059" xr:uid="{00000000-0005-0000-0000-000070420000}"/>
    <cellStyle name="Normal 19 3 12 3" xfId="34710" xr:uid="{00000000-0005-0000-0000-000071420000}"/>
    <cellStyle name="Normal 19 3 13" xfId="13441" xr:uid="{00000000-0005-0000-0000-000072420000}"/>
    <cellStyle name="Normal 19 3 13 2" xfId="30553" xr:uid="{00000000-0005-0000-0000-000073420000}"/>
    <cellStyle name="Normal 19 3 13 3" xfId="35215" xr:uid="{00000000-0005-0000-0000-000074420000}"/>
    <cellStyle name="Normal 19 3 14" xfId="13563" xr:uid="{00000000-0005-0000-0000-000075420000}"/>
    <cellStyle name="Normal 19 3 14 2" xfId="30675" xr:uid="{00000000-0005-0000-0000-000076420000}"/>
    <cellStyle name="Normal 19 3 14 3" xfId="35337" xr:uid="{00000000-0005-0000-0000-000077420000}"/>
    <cellStyle name="Normal 19 3 15" xfId="13683" xr:uid="{00000000-0005-0000-0000-000078420000}"/>
    <cellStyle name="Normal 19 3 15 2" xfId="30795" xr:uid="{00000000-0005-0000-0000-000079420000}"/>
    <cellStyle name="Normal 19 3 15 3" xfId="35457" xr:uid="{00000000-0005-0000-0000-00007A420000}"/>
    <cellStyle name="Normal 19 3 16" xfId="13804" xr:uid="{00000000-0005-0000-0000-00007B420000}"/>
    <cellStyle name="Normal 19 3 16 2" xfId="30916" xr:uid="{00000000-0005-0000-0000-00007C420000}"/>
    <cellStyle name="Normal 19 3 16 3" xfId="35578" xr:uid="{00000000-0005-0000-0000-00007D420000}"/>
    <cellStyle name="Normal 19 3 17" xfId="13923" xr:uid="{00000000-0005-0000-0000-00007E420000}"/>
    <cellStyle name="Normal 19 3 17 2" xfId="31035" xr:uid="{00000000-0005-0000-0000-00007F420000}"/>
    <cellStyle name="Normal 19 3 17 3" xfId="35697" xr:uid="{00000000-0005-0000-0000-000080420000}"/>
    <cellStyle name="Normal 19 3 2" xfId="2533" xr:uid="{00000000-0005-0000-0000-000081420000}"/>
    <cellStyle name="Normal 19 3 2 2" xfId="2534" xr:uid="{00000000-0005-0000-0000-000082420000}"/>
    <cellStyle name="Normal 19 3 3" xfId="2535" xr:uid="{00000000-0005-0000-0000-000083420000}"/>
    <cellStyle name="Normal 19 3 4" xfId="2536" xr:uid="{00000000-0005-0000-0000-000084420000}"/>
    <cellStyle name="Normal 19 3 5" xfId="2537" xr:uid="{00000000-0005-0000-0000-000085420000}"/>
    <cellStyle name="Normal 19 3 6" xfId="2538" xr:uid="{00000000-0005-0000-0000-000086420000}"/>
    <cellStyle name="Normal 19 3 7" xfId="9865" xr:uid="{00000000-0005-0000-0000-000087420000}"/>
    <cellStyle name="Normal 19 3 8" xfId="9866" xr:uid="{00000000-0005-0000-0000-000088420000}"/>
    <cellStyle name="Normal 19 3 8 2" xfId="28474" xr:uid="{00000000-0005-0000-0000-000089420000}"/>
    <cellStyle name="Normal 19 3 9" xfId="11556" xr:uid="{00000000-0005-0000-0000-00008A420000}"/>
    <cellStyle name="Normal 19 3 9 2" xfId="29708" xr:uid="{00000000-0005-0000-0000-00008B420000}"/>
    <cellStyle name="Normal 19 3 9 3" xfId="34347" xr:uid="{00000000-0005-0000-0000-00008C420000}"/>
    <cellStyle name="Normal 19 4" xfId="2539" xr:uid="{00000000-0005-0000-0000-00008D420000}"/>
    <cellStyle name="Normal 19 4 2" xfId="2540" xr:uid="{00000000-0005-0000-0000-00008E420000}"/>
    <cellStyle name="Normal 19 4 2 2" xfId="2541" xr:uid="{00000000-0005-0000-0000-00008F420000}"/>
    <cellStyle name="Normal 19 4 3" xfId="2542" xr:uid="{00000000-0005-0000-0000-000090420000}"/>
    <cellStyle name="Normal 19 4 4" xfId="2543" xr:uid="{00000000-0005-0000-0000-000091420000}"/>
    <cellStyle name="Normal 19 4 5" xfId="2544" xr:uid="{00000000-0005-0000-0000-000092420000}"/>
    <cellStyle name="Normal 19 4 6" xfId="2545" xr:uid="{00000000-0005-0000-0000-000093420000}"/>
    <cellStyle name="Normal 19 4 7" xfId="9867" xr:uid="{00000000-0005-0000-0000-000094420000}"/>
    <cellStyle name="Normal 19 4 8" xfId="9868" xr:uid="{00000000-0005-0000-0000-000095420000}"/>
    <cellStyle name="Normal 19 4 8 2" xfId="28475" xr:uid="{00000000-0005-0000-0000-000096420000}"/>
    <cellStyle name="Normal 19 5" xfId="2546" xr:uid="{00000000-0005-0000-0000-000097420000}"/>
    <cellStyle name="Normal 19 5 2" xfId="2547" xr:uid="{00000000-0005-0000-0000-000098420000}"/>
    <cellStyle name="Normal 19 5 2 2" xfId="2548" xr:uid="{00000000-0005-0000-0000-000099420000}"/>
    <cellStyle name="Normal 19 5 3" xfId="2549" xr:uid="{00000000-0005-0000-0000-00009A420000}"/>
    <cellStyle name="Normal 19 5 4" xfId="2550" xr:uid="{00000000-0005-0000-0000-00009B420000}"/>
    <cellStyle name="Normal 19 5 5" xfId="2551" xr:uid="{00000000-0005-0000-0000-00009C420000}"/>
    <cellStyle name="Normal 19 5 6" xfId="2552" xr:uid="{00000000-0005-0000-0000-00009D420000}"/>
    <cellStyle name="Normal 19 5 7" xfId="9869" xr:uid="{00000000-0005-0000-0000-00009E420000}"/>
    <cellStyle name="Normal 19 5 8" xfId="9870" xr:uid="{00000000-0005-0000-0000-00009F420000}"/>
    <cellStyle name="Normal 19 5 8 2" xfId="28476" xr:uid="{00000000-0005-0000-0000-0000A0420000}"/>
    <cellStyle name="Normal 19 6" xfId="2553" xr:uid="{00000000-0005-0000-0000-0000A1420000}"/>
    <cellStyle name="Normal 19 6 2" xfId="2554" xr:uid="{00000000-0005-0000-0000-0000A2420000}"/>
    <cellStyle name="Normal 19 6 2 2" xfId="2555" xr:uid="{00000000-0005-0000-0000-0000A3420000}"/>
    <cellStyle name="Normal 19 6 3" xfId="2556" xr:uid="{00000000-0005-0000-0000-0000A4420000}"/>
    <cellStyle name="Normal 19 6 4" xfId="2557" xr:uid="{00000000-0005-0000-0000-0000A5420000}"/>
    <cellStyle name="Normal 19 6 5" xfId="2558" xr:uid="{00000000-0005-0000-0000-0000A6420000}"/>
    <cellStyle name="Normal 19 6 6" xfId="2559" xr:uid="{00000000-0005-0000-0000-0000A7420000}"/>
    <cellStyle name="Normal 19 6 7" xfId="9871" xr:uid="{00000000-0005-0000-0000-0000A8420000}"/>
    <cellStyle name="Normal 19 6 8" xfId="9872" xr:uid="{00000000-0005-0000-0000-0000A9420000}"/>
    <cellStyle name="Normal 19 6 8 2" xfId="28477" xr:uid="{00000000-0005-0000-0000-0000AA420000}"/>
    <cellStyle name="Normal 19 7" xfId="2560" xr:uid="{00000000-0005-0000-0000-0000AB420000}"/>
    <cellStyle name="Normal 19 7 2" xfId="2561" xr:uid="{00000000-0005-0000-0000-0000AC420000}"/>
    <cellStyle name="Normal 19 8" xfId="2562" xr:uid="{00000000-0005-0000-0000-0000AD420000}"/>
    <cellStyle name="Normal 19 9" xfId="2563" xr:uid="{00000000-0005-0000-0000-0000AE420000}"/>
    <cellStyle name="Normal 2" xfId="3" xr:uid="{00000000-0005-0000-0000-0000AF420000}"/>
    <cellStyle name="Normál 2" xfId="100" xr:uid="{00000000-0005-0000-0000-0000B0420000}"/>
    <cellStyle name="Normal 2 10" xfId="2564" xr:uid="{00000000-0005-0000-0000-0000B1420000}"/>
    <cellStyle name="Normal 2 10 2" xfId="9874" xr:uid="{00000000-0005-0000-0000-0000B2420000}"/>
    <cellStyle name="Normal 2 10 2 2" xfId="11109" xr:uid="{00000000-0005-0000-0000-0000B3420000}"/>
    <cellStyle name="Normal 2 10 2 2 2" xfId="29548" xr:uid="{00000000-0005-0000-0000-0000B4420000}"/>
    <cellStyle name="Normal 2 10 2 2 3" xfId="33926" xr:uid="{00000000-0005-0000-0000-0000B5420000}"/>
    <cellStyle name="Normal 2 10 2 3" xfId="29223" xr:uid="{00000000-0005-0000-0000-0000B6420000}"/>
    <cellStyle name="Normal 2 10 2 4" xfId="33308" xr:uid="{00000000-0005-0000-0000-0000B7420000}"/>
    <cellStyle name="Normal 2 10 3" xfId="14281" xr:uid="{00000000-0005-0000-0000-0000B8420000}"/>
    <cellStyle name="Normal 2 11" xfId="2565" xr:uid="{00000000-0005-0000-0000-0000B9420000}"/>
    <cellStyle name="Normal 2 12" xfId="2566" xr:uid="{00000000-0005-0000-0000-0000BA420000}"/>
    <cellStyle name="Normal 2 13" xfId="2567" xr:uid="{00000000-0005-0000-0000-0000BB420000}"/>
    <cellStyle name="Normal 2 14" xfId="2568" xr:uid="{00000000-0005-0000-0000-0000BC420000}"/>
    <cellStyle name="Normal 2 15" xfId="2569" xr:uid="{00000000-0005-0000-0000-0000BD420000}"/>
    <cellStyle name="Normal 2 16" xfId="2570" xr:uid="{00000000-0005-0000-0000-0000BE420000}"/>
    <cellStyle name="Normal 2 17" xfId="2571" xr:uid="{00000000-0005-0000-0000-0000BF420000}"/>
    <cellStyle name="Normal 2 18" xfId="3317" xr:uid="{00000000-0005-0000-0000-0000C0420000}"/>
    <cellStyle name="Normal 2 18 2" xfId="12740" xr:uid="{00000000-0005-0000-0000-0000C1420000}"/>
    <cellStyle name="Normal 2 18 2 2" xfId="30419" xr:uid="{00000000-0005-0000-0000-0000C2420000}"/>
    <cellStyle name="Normal 2 18 2 3" xfId="28478" xr:uid="{00000000-0005-0000-0000-0000C3420000}"/>
    <cellStyle name="Normal 2 18 2 4" xfId="39749" xr:uid="{00000000-0005-0000-0000-00009B0B0000}"/>
    <cellStyle name="Normal 2 18 3" xfId="9875" xr:uid="{00000000-0005-0000-0000-0000C4420000}"/>
    <cellStyle name="Normal 2 18 3 2" xfId="33309" xr:uid="{00000000-0005-0000-0000-0000C5420000}"/>
    <cellStyle name="Normal 2 18 3 3" xfId="28204" xr:uid="{00000000-0005-0000-0000-0000C6420000}"/>
    <cellStyle name="Normal 2 18 3 4" xfId="39750" xr:uid="{00000000-0005-0000-0000-00009C0B0000}"/>
    <cellStyle name="Normal 2 18 4" xfId="27383" xr:uid="{00000000-0005-0000-0000-0000C7420000}"/>
    <cellStyle name="Normal 2 19" xfId="60" xr:uid="{00000000-0005-0000-0000-0000C8420000}"/>
    <cellStyle name="Normal 2 19 2" xfId="9876" xr:uid="{00000000-0005-0000-0000-0000C9420000}"/>
    <cellStyle name="Normal 2 19 2 2" xfId="39751" xr:uid="{00000000-0005-0000-0000-00009F0B0000}"/>
    <cellStyle name="Normal 2 19 3" xfId="28376" xr:uid="{00000000-0005-0000-0000-0000CA420000}"/>
    <cellStyle name="Normal 2 19 4" xfId="27384" xr:uid="{00000000-0005-0000-0000-0000CB420000}"/>
    <cellStyle name="Normal 2 2" xfId="34" xr:uid="{00000000-0005-0000-0000-0000CC420000}"/>
    <cellStyle name="Normal 2 2 10" xfId="2573" xr:uid="{00000000-0005-0000-0000-0000CD420000}"/>
    <cellStyle name="Normal 2 2 10 2" xfId="12741" xr:uid="{00000000-0005-0000-0000-0000CE420000}"/>
    <cellStyle name="Normal 2 2 10 2 2" xfId="30420" xr:uid="{00000000-0005-0000-0000-0000CF420000}"/>
    <cellStyle name="Normal 2 2 10 2 3" xfId="35079" xr:uid="{00000000-0005-0000-0000-0000D0420000}"/>
    <cellStyle name="Normal 2 2 11" xfId="2574" xr:uid="{00000000-0005-0000-0000-0000D1420000}"/>
    <cellStyle name="Normal 2 2 11 2" xfId="3457" xr:uid="{00000000-0005-0000-0000-0000D2420000}"/>
    <cellStyle name="Normal 2 2 11 2 2" xfId="11110" xr:uid="{00000000-0005-0000-0000-0000D3420000}"/>
    <cellStyle name="Normal 2 2 11 2 2 2" xfId="33927" xr:uid="{00000000-0005-0000-0000-0000D4420000}"/>
    <cellStyle name="Normal 2 2 11 2 3" xfId="28205" xr:uid="{00000000-0005-0000-0000-0000D5420000}"/>
    <cellStyle name="Normal 2 2 11 2 4" xfId="31517" xr:uid="{00000000-0005-0000-0000-0000D6420000}"/>
    <cellStyle name="Normal 2 2 11 3" xfId="12742" xr:uid="{00000000-0005-0000-0000-0000D7420000}"/>
    <cellStyle name="Normal 2 2 11 3 2" xfId="28386" xr:uid="{00000000-0005-0000-0000-0000D8420000}"/>
    <cellStyle name="Normal 2 2 11 3 3" xfId="35080" xr:uid="{00000000-0005-0000-0000-0000D9420000}"/>
    <cellStyle name="Normal 2 2 11 4" xfId="9878" xr:uid="{00000000-0005-0000-0000-0000DA420000}"/>
    <cellStyle name="Normal 2 2 11 4 2" xfId="33310" xr:uid="{00000000-0005-0000-0000-0000DB420000}"/>
    <cellStyle name="Normal 2 2 11 5" xfId="31288" xr:uid="{00000000-0005-0000-0000-0000DC420000}"/>
    <cellStyle name="Normal 2 2 12" xfId="2575" xr:uid="{00000000-0005-0000-0000-0000DD420000}"/>
    <cellStyle name="Normal 2 2 12 2" xfId="12743" xr:uid="{00000000-0005-0000-0000-0000DE420000}"/>
    <cellStyle name="Normal 2 2 12 2 2" xfId="30421" xr:uid="{00000000-0005-0000-0000-0000DF420000}"/>
    <cellStyle name="Normal 2 2 12 2 3" xfId="35081" xr:uid="{00000000-0005-0000-0000-0000E0420000}"/>
    <cellStyle name="Normal 2 2 13" xfId="3299" xr:uid="{00000000-0005-0000-0000-0000E1420000}"/>
    <cellStyle name="Normal 2 2 13 2" xfId="12744" xr:uid="{00000000-0005-0000-0000-0000E2420000}"/>
    <cellStyle name="Normal 2 2 13 2 2" xfId="28404" xr:uid="{00000000-0005-0000-0000-0000E3420000}"/>
    <cellStyle name="Normal 2 2 13 2 3" xfId="35082" xr:uid="{00000000-0005-0000-0000-0000E4420000}"/>
    <cellStyle name="Normal 2 2 13 3" xfId="10898" xr:uid="{00000000-0005-0000-0000-0000E5420000}"/>
    <cellStyle name="Normal 2 2 13 3 2" xfId="33849" xr:uid="{00000000-0005-0000-0000-0000E6420000}"/>
    <cellStyle name="Normal 2 2 13 4" xfId="31377" xr:uid="{00000000-0005-0000-0000-0000E7420000}"/>
    <cellStyle name="Normal 2 2 14" xfId="2572" xr:uid="{00000000-0005-0000-0000-0000E8420000}"/>
    <cellStyle name="Normal 2 2 14 2" xfId="11558" xr:uid="{00000000-0005-0000-0000-0000E9420000}"/>
    <cellStyle name="Normal 2 2 14 2 2" xfId="34349" xr:uid="{00000000-0005-0000-0000-0000EA420000}"/>
    <cellStyle name="Normal 2 2 14 3" xfId="31287" xr:uid="{00000000-0005-0000-0000-0000EB420000}"/>
    <cellStyle name="Normal 2 2 14 4" xfId="27875" xr:uid="{00000000-0005-0000-0000-0000EC420000}"/>
    <cellStyle name="Normal 2 2 15" xfId="11696" xr:uid="{00000000-0005-0000-0000-0000ED420000}"/>
    <cellStyle name="Normal 2 2 15 2" xfId="29826" xr:uid="{00000000-0005-0000-0000-0000EE420000}"/>
    <cellStyle name="Normal 2 2 15 3" xfId="34474" xr:uid="{00000000-0005-0000-0000-0000EF420000}"/>
    <cellStyle name="Normal 2 2 15 4" xfId="27886" xr:uid="{00000000-0005-0000-0000-0000F0420000}"/>
    <cellStyle name="Normal 2 2 15 5" xfId="16630" xr:uid="{00000000-0005-0000-0000-0000F1420000}"/>
    <cellStyle name="Normal 2 2 15 6" xfId="39752" xr:uid="{00000000-0005-0000-0000-0000A60B0000}"/>
    <cellStyle name="Normal 2 2 16" xfId="11815" xr:uid="{00000000-0005-0000-0000-0000F2420000}"/>
    <cellStyle name="Normal 2 2 16 2" xfId="29944" xr:uid="{00000000-0005-0000-0000-0000F3420000}"/>
    <cellStyle name="Normal 2 2 16 3" xfId="34593" xr:uid="{00000000-0005-0000-0000-0000F4420000}"/>
    <cellStyle name="Normal 2 2 17" xfId="11934" xr:uid="{00000000-0005-0000-0000-0000F5420000}"/>
    <cellStyle name="Normal 2 2 17 2" xfId="30061" xr:uid="{00000000-0005-0000-0000-0000F6420000}"/>
    <cellStyle name="Normal 2 2 17 3" xfId="34712" xr:uid="{00000000-0005-0000-0000-0000F7420000}"/>
    <cellStyle name="Normal 2 2 18" xfId="13443" xr:uid="{00000000-0005-0000-0000-0000F8420000}"/>
    <cellStyle name="Normal 2 2 18 2" xfId="30555" xr:uid="{00000000-0005-0000-0000-0000F9420000}"/>
    <cellStyle name="Normal 2 2 18 3" xfId="35217" xr:uid="{00000000-0005-0000-0000-0000FA420000}"/>
    <cellStyle name="Normal 2 2 19" xfId="13565" xr:uid="{00000000-0005-0000-0000-0000FB420000}"/>
    <cellStyle name="Normal 2 2 19 2" xfId="30677" xr:uid="{00000000-0005-0000-0000-0000FC420000}"/>
    <cellStyle name="Normal 2 2 19 3" xfId="35339" xr:uid="{00000000-0005-0000-0000-0000FD420000}"/>
    <cellStyle name="Normal 2 2 2" xfId="2576" xr:uid="{00000000-0005-0000-0000-0000FE420000}"/>
    <cellStyle name="Normal 2 2 2 2" xfId="2577" xr:uid="{00000000-0005-0000-0000-0000FF420000}"/>
    <cellStyle name="Normal 2 2 2 2 10" xfId="13764" xr:uid="{00000000-0005-0000-0000-000000430000}"/>
    <cellStyle name="Normal 2 2 2 2 10 2" xfId="30876" xr:uid="{00000000-0005-0000-0000-000001430000}"/>
    <cellStyle name="Normal 2 2 2 2 10 3" xfId="35538" xr:uid="{00000000-0005-0000-0000-000002430000}"/>
    <cellStyle name="Normal 2 2 2 2 11" xfId="13885" xr:uid="{00000000-0005-0000-0000-000003430000}"/>
    <cellStyle name="Normal 2 2 2 2 11 2" xfId="30997" xr:uid="{00000000-0005-0000-0000-000004430000}"/>
    <cellStyle name="Normal 2 2 2 2 11 3" xfId="35659" xr:uid="{00000000-0005-0000-0000-000005430000}"/>
    <cellStyle name="Normal 2 2 2 2 12" xfId="14004" xr:uid="{00000000-0005-0000-0000-000006430000}"/>
    <cellStyle name="Normal 2 2 2 2 12 2" xfId="31116" xr:uid="{00000000-0005-0000-0000-000007430000}"/>
    <cellStyle name="Normal 2 2 2 2 12 3" xfId="35778" xr:uid="{00000000-0005-0000-0000-000008430000}"/>
    <cellStyle name="Normal 2 2 2 2 13" xfId="9879" xr:uid="{00000000-0005-0000-0000-000009430000}"/>
    <cellStyle name="Normal 2 2 2 2 13 2" xfId="33311" xr:uid="{00000000-0005-0000-0000-00000A430000}"/>
    <cellStyle name="Normal 2 2 2 2 14" xfId="14282" xr:uid="{00000000-0005-0000-0000-00000B430000}"/>
    <cellStyle name="Normal 2 2 2 2 15" xfId="31289" xr:uid="{00000000-0005-0000-0000-00000C430000}"/>
    <cellStyle name="Normal 2 2 2 2 16" xfId="39754" xr:uid="{00000000-0005-0000-0000-0000A80B0000}"/>
    <cellStyle name="Normal 2 2 2 2 2" xfId="3458" xr:uid="{00000000-0005-0000-0000-00000D430000}"/>
    <cellStyle name="Normal 2 2 2 2 2 2" xfId="9880" xr:uid="{00000000-0005-0000-0000-00000E430000}"/>
    <cellStyle name="Normal 2 2 2 2 2 2 2" xfId="33312" xr:uid="{00000000-0005-0000-0000-00000F430000}"/>
    <cellStyle name="Normal 2 2 2 2 2 2 3" xfId="28418" xr:uid="{00000000-0005-0000-0000-000010430000}"/>
    <cellStyle name="Normal 2 2 2 2 2 3" xfId="29224" xr:uid="{00000000-0005-0000-0000-000011430000}"/>
    <cellStyle name="Normal 2 2 2 2 2 4" xfId="28206" xr:uid="{00000000-0005-0000-0000-000012430000}"/>
    <cellStyle name="Normal 2 2 2 2 2 5" xfId="31518" xr:uid="{00000000-0005-0000-0000-000013430000}"/>
    <cellStyle name="Normal 2 2 2 2 2 6" xfId="27385" xr:uid="{00000000-0005-0000-0000-000014430000}"/>
    <cellStyle name="Normal 2 2 2 2 3" xfId="10899" xr:uid="{00000000-0005-0000-0000-000015430000}"/>
    <cellStyle name="Normal 2 2 2 2 3 2" xfId="28387" xr:uid="{00000000-0005-0000-0000-000016430000}"/>
    <cellStyle name="Normal 2 2 2 2 3 3" xfId="33850" xr:uid="{00000000-0005-0000-0000-000017430000}"/>
    <cellStyle name="Normal 2 2 2 2 4" xfId="11642" xr:uid="{00000000-0005-0000-0000-000018430000}"/>
    <cellStyle name="Normal 2 2 2 2 4 2" xfId="29783" xr:uid="{00000000-0005-0000-0000-000019430000}"/>
    <cellStyle name="Normal 2 2 2 2 4 3" xfId="34427" xr:uid="{00000000-0005-0000-0000-00001A430000}"/>
    <cellStyle name="Normal 2 2 2 2 5" xfId="11775" xr:uid="{00000000-0005-0000-0000-00001B430000}"/>
    <cellStyle name="Normal 2 2 2 2 5 2" xfId="29904" xr:uid="{00000000-0005-0000-0000-00001C430000}"/>
    <cellStyle name="Normal 2 2 2 2 5 3" xfId="34553" xr:uid="{00000000-0005-0000-0000-00001D430000}"/>
    <cellStyle name="Normal 2 2 2 2 6" xfId="11894" xr:uid="{00000000-0005-0000-0000-00001E430000}"/>
    <cellStyle name="Normal 2 2 2 2 6 2" xfId="30022" xr:uid="{00000000-0005-0000-0000-00001F430000}"/>
    <cellStyle name="Normal 2 2 2 2 6 3" xfId="34672" xr:uid="{00000000-0005-0000-0000-000020430000}"/>
    <cellStyle name="Normal 2 2 2 2 7" xfId="12013" xr:uid="{00000000-0005-0000-0000-000021430000}"/>
    <cellStyle name="Normal 2 2 2 2 7 2" xfId="30139" xr:uid="{00000000-0005-0000-0000-000022430000}"/>
    <cellStyle name="Normal 2 2 2 2 7 3" xfId="34791" xr:uid="{00000000-0005-0000-0000-000023430000}"/>
    <cellStyle name="Normal 2 2 2 2 8" xfId="13522" xr:uid="{00000000-0005-0000-0000-000024430000}"/>
    <cellStyle name="Normal 2 2 2 2 8 2" xfId="30634" xr:uid="{00000000-0005-0000-0000-000025430000}"/>
    <cellStyle name="Normal 2 2 2 2 8 3" xfId="35296" xr:uid="{00000000-0005-0000-0000-000026430000}"/>
    <cellStyle name="Normal 2 2 2 2 9" xfId="13644" xr:uid="{00000000-0005-0000-0000-000027430000}"/>
    <cellStyle name="Normal 2 2 2 2 9 2" xfId="30756" xr:uid="{00000000-0005-0000-0000-000028430000}"/>
    <cellStyle name="Normal 2 2 2 2 9 3" xfId="35418" xr:uid="{00000000-0005-0000-0000-000029430000}"/>
    <cellStyle name="Normal 2 2 2 3" xfId="2578" xr:uid="{00000000-0005-0000-0000-00002A430000}"/>
    <cellStyle name="Normal 2 2 2 3 10" xfId="13886" xr:uid="{00000000-0005-0000-0000-00002B430000}"/>
    <cellStyle name="Normal 2 2 2 3 10 2" xfId="30998" xr:uid="{00000000-0005-0000-0000-00002C430000}"/>
    <cellStyle name="Normal 2 2 2 3 10 3" xfId="35660" xr:uid="{00000000-0005-0000-0000-00002D430000}"/>
    <cellStyle name="Normal 2 2 2 3 11" xfId="14005" xr:uid="{00000000-0005-0000-0000-00002E430000}"/>
    <cellStyle name="Normal 2 2 2 3 11 2" xfId="31117" xr:uid="{00000000-0005-0000-0000-00002F430000}"/>
    <cellStyle name="Normal 2 2 2 3 11 3" xfId="35779" xr:uid="{00000000-0005-0000-0000-000030430000}"/>
    <cellStyle name="Normal 2 2 2 3 12" xfId="9881" xr:uid="{00000000-0005-0000-0000-000031430000}"/>
    <cellStyle name="Normal 2 2 2 3 12 2" xfId="33313" xr:uid="{00000000-0005-0000-0000-000032430000}"/>
    <cellStyle name="Normal 2 2 2 3 13" xfId="14283" xr:uid="{00000000-0005-0000-0000-000033430000}"/>
    <cellStyle name="Normal 2 2 2 3 14" xfId="31290" xr:uid="{00000000-0005-0000-0000-000034430000}"/>
    <cellStyle name="Normal 2 2 2 3 2" xfId="3459" xr:uid="{00000000-0005-0000-0000-000035430000}"/>
    <cellStyle name="Normal 2 2 2 3 2 2" xfId="11111" xr:uid="{00000000-0005-0000-0000-000036430000}"/>
    <cellStyle name="Normal 2 2 2 3 2 2 2" xfId="33928" xr:uid="{00000000-0005-0000-0000-000037430000}"/>
    <cellStyle name="Normal 2 2 2 3 2 3" xfId="28207" xr:uid="{00000000-0005-0000-0000-000038430000}"/>
    <cellStyle name="Normal 2 2 2 3 2 4" xfId="31519" xr:uid="{00000000-0005-0000-0000-000039430000}"/>
    <cellStyle name="Normal 2 2 2 3 3" xfId="11643" xr:uid="{00000000-0005-0000-0000-00003A430000}"/>
    <cellStyle name="Normal 2 2 2 3 3 2" xfId="28388" xr:uid="{00000000-0005-0000-0000-00003B430000}"/>
    <cellStyle name="Normal 2 2 2 3 3 3" xfId="34428" xr:uid="{00000000-0005-0000-0000-00003C430000}"/>
    <cellStyle name="Normal 2 2 2 3 4" xfId="11776" xr:uid="{00000000-0005-0000-0000-00003D430000}"/>
    <cellStyle name="Normal 2 2 2 3 4 2" xfId="29905" xr:uid="{00000000-0005-0000-0000-00003E430000}"/>
    <cellStyle name="Normal 2 2 2 3 4 3" xfId="34554" xr:uid="{00000000-0005-0000-0000-00003F430000}"/>
    <cellStyle name="Normal 2 2 2 3 5" xfId="11895" xr:uid="{00000000-0005-0000-0000-000040430000}"/>
    <cellStyle name="Normal 2 2 2 3 5 2" xfId="30023" xr:uid="{00000000-0005-0000-0000-000041430000}"/>
    <cellStyle name="Normal 2 2 2 3 5 3" xfId="34673" xr:uid="{00000000-0005-0000-0000-000042430000}"/>
    <cellStyle name="Normal 2 2 2 3 6" xfId="12014" xr:uid="{00000000-0005-0000-0000-000043430000}"/>
    <cellStyle name="Normal 2 2 2 3 6 2" xfId="30140" xr:uid="{00000000-0005-0000-0000-000044430000}"/>
    <cellStyle name="Normal 2 2 2 3 6 3" xfId="34792" xr:uid="{00000000-0005-0000-0000-000045430000}"/>
    <cellStyle name="Normal 2 2 2 3 7" xfId="13523" xr:uid="{00000000-0005-0000-0000-000046430000}"/>
    <cellStyle name="Normal 2 2 2 3 7 2" xfId="30635" xr:uid="{00000000-0005-0000-0000-000047430000}"/>
    <cellStyle name="Normal 2 2 2 3 7 3" xfId="35297" xr:uid="{00000000-0005-0000-0000-000048430000}"/>
    <cellStyle name="Normal 2 2 2 3 8" xfId="13645" xr:uid="{00000000-0005-0000-0000-000049430000}"/>
    <cellStyle name="Normal 2 2 2 3 8 2" xfId="30757" xr:uid="{00000000-0005-0000-0000-00004A430000}"/>
    <cellStyle name="Normal 2 2 2 3 8 3" xfId="35419" xr:uid="{00000000-0005-0000-0000-00004B430000}"/>
    <cellStyle name="Normal 2 2 2 3 9" xfId="13765" xr:uid="{00000000-0005-0000-0000-00004C430000}"/>
    <cellStyle name="Normal 2 2 2 3 9 2" xfId="30877" xr:uid="{00000000-0005-0000-0000-00004D430000}"/>
    <cellStyle name="Normal 2 2 2 3 9 3" xfId="35539" xr:uid="{00000000-0005-0000-0000-00004E430000}"/>
    <cellStyle name="Normal 2 2 2 4" xfId="2579" xr:uid="{00000000-0005-0000-0000-00004F430000}"/>
    <cellStyle name="Normal 2 2 2 4 10" xfId="13887" xr:uid="{00000000-0005-0000-0000-000050430000}"/>
    <cellStyle name="Normal 2 2 2 4 10 2" xfId="30999" xr:uid="{00000000-0005-0000-0000-000051430000}"/>
    <cellStyle name="Normal 2 2 2 4 10 3" xfId="35661" xr:uid="{00000000-0005-0000-0000-000052430000}"/>
    <cellStyle name="Normal 2 2 2 4 11" xfId="14006" xr:uid="{00000000-0005-0000-0000-000053430000}"/>
    <cellStyle name="Normal 2 2 2 4 11 2" xfId="31118" xr:uid="{00000000-0005-0000-0000-000054430000}"/>
    <cellStyle name="Normal 2 2 2 4 11 3" xfId="35780" xr:uid="{00000000-0005-0000-0000-000055430000}"/>
    <cellStyle name="Normal 2 2 2 4 12" xfId="9882" xr:uid="{00000000-0005-0000-0000-000056430000}"/>
    <cellStyle name="Normal 2 2 2 4 12 2" xfId="33314" xr:uid="{00000000-0005-0000-0000-000057430000}"/>
    <cellStyle name="Normal 2 2 2 4 13" xfId="14284" xr:uid="{00000000-0005-0000-0000-000058430000}"/>
    <cellStyle name="Normal 2 2 2 4 14" xfId="31291" xr:uid="{00000000-0005-0000-0000-000059430000}"/>
    <cellStyle name="Normal 2 2 2 4 15" xfId="39753" xr:uid="{00000000-0005-0000-0000-0000AA0B0000}"/>
    <cellStyle name="Normal 2 2 2 4 2" xfId="3460" xr:uid="{00000000-0005-0000-0000-00005A430000}"/>
    <cellStyle name="Normal 2 2 2 4 2 2" xfId="10900" xr:uid="{00000000-0005-0000-0000-00005B430000}"/>
    <cellStyle name="Normal 2 2 2 4 2 2 2" xfId="33851" xr:uid="{00000000-0005-0000-0000-00005C430000}"/>
    <cellStyle name="Normal 2 2 2 4 2 3" xfId="28208" xr:uid="{00000000-0005-0000-0000-00005D430000}"/>
    <cellStyle name="Normal 2 2 2 4 2 4" xfId="31520" xr:uid="{00000000-0005-0000-0000-00005E430000}"/>
    <cellStyle name="Normal 2 2 2 4 3" xfId="11644" xr:uid="{00000000-0005-0000-0000-00005F430000}"/>
    <cellStyle name="Normal 2 2 2 4 3 2" xfId="28389" xr:uid="{00000000-0005-0000-0000-000060430000}"/>
    <cellStyle name="Normal 2 2 2 4 3 3" xfId="34429" xr:uid="{00000000-0005-0000-0000-000061430000}"/>
    <cellStyle name="Normal 2 2 2 4 4" xfId="11777" xr:uid="{00000000-0005-0000-0000-000062430000}"/>
    <cellStyle name="Normal 2 2 2 4 4 2" xfId="29906" xr:uid="{00000000-0005-0000-0000-000063430000}"/>
    <cellStyle name="Normal 2 2 2 4 4 3" xfId="34555" xr:uid="{00000000-0005-0000-0000-000064430000}"/>
    <cellStyle name="Normal 2 2 2 4 5" xfId="11896" xr:uid="{00000000-0005-0000-0000-000065430000}"/>
    <cellStyle name="Normal 2 2 2 4 5 2" xfId="30024" xr:uid="{00000000-0005-0000-0000-000066430000}"/>
    <cellStyle name="Normal 2 2 2 4 5 3" xfId="34674" xr:uid="{00000000-0005-0000-0000-000067430000}"/>
    <cellStyle name="Normal 2 2 2 4 6" xfId="12015" xr:uid="{00000000-0005-0000-0000-000068430000}"/>
    <cellStyle name="Normal 2 2 2 4 6 2" xfId="30141" xr:uid="{00000000-0005-0000-0000-000069430000}"/>
    <cellStyle name="Normal 2 2 2 4 6 3" xfId="34793" xr:uid="{00000000-0005-0000-0000-00006A430000}"/>
    <cellStyle name="Normal 2 2 2 4 7" xfId="13524" xr:uid="{00000000-0005-0000-0000-00006B430000}"/>
    <cellStyle name="Normal 2 2 2 4 7 2" xfId="30636" xr:uid="{00000000-0005-0000-0000-00006C430000}"/>
    <cellStyle name="Normal 2 2 2 4 7 3" xfId="35298" xr:uid="{00000000-0005-0000-0000-00006D430000}"/>
    <cellStyle name="Normal 2 2 2 4 8" xfId="13646" xr:uid="{00000000-0005-0000-0000-00006E430000}"/>
    <cellStyle name="Normal 2 2 2 4 8 2" xfId="30758" xr:uid="{00000000-0005-0000-0000-00006F430000}"/>
    <cellStyle name="Normal 2 2 2 4 8 3" xfId="35420" xr:uid="{00000000-0005-0000-0000-000070430000}"/>
    <cellStyle name="Normal 2 2 2 4 9" xfId="13766" xr:uid="{00000000-0005-0000-0000-000071430000}"/>
    <cellStyle name="Normal 2 2 2 4 9 2" xfId="30878" xr:uid="{00000000-0005-0000-0000-000072430000}"/>
    <cellStyle name="Normal 2 2 2 4 9 3" xfId="35540" xr:uid="{00000000-0005-0000-0000-000073430000}"/>
    <cellStyle name="Normal 2 2 2 5" xfId="2580" xr:uid="{00000000-0005-0000-0000-000074430000}"/>
    <cellStyle name="Normal 2 2 2 5 10" xfId="13888" xr:uid="{00000000-0005-0000-0000-000075430000}"/>
    <cellStyle name="Normal 2 2 2 5 10 2" xfId="31000" xr:uid="{00000000-0005-0000-0000-000076430000}"/>
    <cellStyle name="Normal 2 2 2 5 10 3" xfId="35662" xr:uid="{00000000-0005-0000-0000-000077430000}"/>
    <cellStyle name="Normal 2 2 2 5 11" xfId="14007" xr:uid="{00000000-0005-0000-0000-000078430000}"/>
    <cellStyle name="Normal 2 2 2 5 11 2" xfId="31119" xr:uid="{00000000-0005-0000-0000-000079430000}"/>
    <cellStyle name="Normal 2 2 2 5 11 3" xfId="35781" xr:uid="{00000000-0005-0000-0000-00007A430000}"/>
    <cellStyle name="Normal 2 2 2 5 12" xfId="9883" xr:uid="{00000000-0005-0000-0000-00007B430000}"/>
    <cellStyle name="Normal 2 2 2 5 12 2" xfId="33315" xr:uid="{00000000-0005-0000-0000-00007C430000}"/>
    <cellStyle name="Normal 2 2 2 5 13" xfId="14285" xr:uid="{00000000-0005-0000-0000-00007D430000}"/>
    <cellStyle name="Normal 2 2 2 5 14" xfId="31292" xr:uid="{00000000-0005-0000-0000-00007E430000}"/>
    <cellStyle name="Normal 2 2 2 5 2" xfId="3461" xr:uid="{00000000-0005-0000-0000-00007F430000}"/>
    <cellStyle name="Normal 2 2 2 5 2 2" xfId="11112" xr:uid="{00000000-0005-0000-0000-000080430000}"/>
    <cellStyle name="Normal 2 2 2 5 2 2 2" xfId="33929" xr:uid="{00000000-0005-0000-0000-000081430000}"/>
    <cellStyle name="Normal 2 2 2 5 2 3" xfId="28209" xr:uid="{00000000-0005-0000-0000-000082430000}"/>
    <cellStyle name="Normal 2 2 2 5 2 4" xfId="31521" xr:uid="{00000000-0005-0000-0000-000083430000}"/>
    <cellStyle name="Normal 2 2 2 5 3" xfId="11645" xr:uid="{00000000-0005-0000-0000-000084430000}"/>
    <cellStyle name="Normal 2 2 2 5 3 2" xfId="28390" xr:uid="{00000000-0005-0000-0000-000085430000}"/>
    <cellStyle name="Normal 2 2 2 5 3 3" xfId="34430" xr:uid="{00000000-0005-0000-0000-000086430000}"/>
    <cellStyle name="Normal 2 2 2 5 4" xfId="11778" xr:uid="{00000000-0005-0000-0000-000087430000}"/>
    <cellStyle name="Normal 2 2 2 5 4 2" xfId="29907" xr:uid="{00000000-0005-0000-0000-000088430000}"/>
    <cellStyle name="Normal 2 2 2 5 4 3" xfId="34556" xr:uid="{00000000-0005-0000-0000-000089430000}"/>
    <cellStyle name="Normal 2 2 2 5 5" xfId="11897" xr:uid="{00000000-0005-0000-0000-00008A430000}"/>
    <cellStyle name="Normal 2 2 2 5 5 2" xfId="30025" xr:uid="{00000000-0005-0000-0000-00008B430000}"/>
    <cellStyle name="Normal 2 2 2 5 5 3" xfId="34675" xr:uid="{00000000-0005-0000-0000-00008C430000}"/>
    <cellStyle name="Normal 2 2 2 5 6" xfId="12016" xr:uid="{00000000-0005-0000-0000-00008D430000}"/>
    <cellStyle name="Normal 2 2 2 5 6 2" xfId="30142" xr:uid="{00000000-0005-0000-0000-00008E430000}"/>
    <cellStyle name="Normal 2 2 2 5 6 3" xfId="34794" xr:uid="{00000000-0005-0000-0000-00008F430000}"/>
    <cellStyle name="Normal 2 2 2 5 7" xfId="13525" xr:uid="{00000000-0005-0000-0000-000090430000}"/>
    <cellStyle name="Normal 2 2 2 5 7 2" xfId="30637" xr:uid="{00000000-0005-0000-0000-000091430000}"/>
    <cellStyle name="Normal 2 2 2 5 7 3" xfId="35299" xr:uid="{00000000-0005-0000-0000-000092430000}"/>
    <cellStyle name="Normal 2 2 2 5 8" xfId="13647" xr:uid="{00000000-0005-0000-0000-000093430000}"/>
    <cellStyle name="Normal 2 2 2 5 8 2" xfId="30759" xr:uid="{00000000-0005-0000-0000-000094430000}"/>
    <cellStyle name="Normal 2 2 2 5 8 3" xfId="35421" xr:uid="{00000000-0005-0000-0000-000095430000}"/>
    <cellStyle name="Normal 2 2 2 5 9" xfId="13767" xr:uid="{00000000-0005-0000-0000-000096430000}"/>
    <cellStyle name="Normal 2 2 2 5 9 2" xfId="30879" xr:uid="{00000000-0005-0000-0000-000097430000}"/>
    <cellStyle name="Normal 2 2 2 5 9 3" xfId="35541" xr:uid="{00000000-0005-0000-0000-000098430000}"/>
    <cellStyle name="Normal 2 2 2 6" xfId="2581" xr:uid="{00000000-0005-0000-0000-000099430000}"/>
    <cellStyle name="Normal 2 2 2 6 10" xfId="13889" xr:uid="{00000000-0005-0000-0000-00009A430000}"/>
    <cellStyle name="Normal 2 2 2 6 10 2" xfId="31001" xr:uid="{00000000-0005-0000-0000-00009B430000}"/>
    <cellStyle name="Normal 2 2 2 6 10 3" xfId="35663" xr:uid="{00000000-0005-0000-0000-00009C430000}"/>
    <cellStyle name="Normal 2 2 2 6 11" xfId="14008" xr:uid="{00000000-0005-0000-0000-00009D430000}"/>
    <cellStyle name="Normal 2 2 2 6 11 2" xfId="31120" xr:uid="{00000000-0005-0000-0000-00009E430000}"/>
    <cellStyle name="Normal 2 2 2 6 11 3" xfId="35782" xr:uid="{00000000-0005-0000-0000-00009F430000}"/>
    <cellStyle name="Normal 2 2 2 6 12" xfId="9884" xr:uid="{00000000-0005-0000-0000-0000A0430000}"/>
    <cellStyle name="Normal 2 2 2 6 12 2" xfId="33316" xr:uid="{00000000-0005-0000-0000-0000A1430000}"/>
    <cellStyle name="Normal 2 2 2 6 13" xfId="14286" xr:uid="{00000000-0005-0000-0000-0000A2430000}"/>
    <cellStyle name="Normal 2 2 2 6 14" xfId="31293" xr:uid="{00000000-0005-0000-0000-0000A3430000}"/>
    <cellStyle name="Normal 2 2 2 6 2" xfId="3462" xr:uid="{00000000-0005-0000-0000-0000A4430000}"/>
    <cellStyle name="Normal 2 2 2 6 2 2" xfId="10901" xr:uid="{00000000-0005-0000-0000-0000A5430000}"/>
    <cellStyle name="Normal 2 2 2 6 2 2 2" xfId="33852" xr:uid="{00000000-0005-0000-0000-0000A6430000}"/>
    <cellStyle name="Normal 2 2 2 6 2 3" xfId="28210" xr:uid="{00000000-0005-0000-0000-0000A7430000}"/>
    <cellStyle name="Normal 2 2 2 6 2 4" xfId="31522" xr:uid="{00000000-0005-0000-0000-0000A8430000}"/>
    <cellStyle name="Normal 2 2 2 6 3" xfId="11646" xr:uid="{00000000-0005-0000-0000-0000A9430000}"/>
    <cellStyle name="Normal 2 2 2 6 3 2" xfId="28391" xr:uid="{00000000-0005-0000-0000-0000AA430000}"/>
    <cellStyle name="Normal 2 2 2 6 3 3" xfId="34431" xr:uid="{00000000-0005-0000-0000-0000AB430000}"/>
    <cellStyle name="Normal 2 2 2 6 4" xfId="11779" xr:uid="{00000000-0005-0000-0000-0000AC430000}"/>
    <cellStyle name="Normal 2 2 2 6 4 2" xfId="29908" xr:uid="{00000000-0005-0000-0000-0000AD430000}"/>
    <cellStyle name="Normal 2 2 2 6 4 3" xfId="34557" xr:uid="{00000000-0005-0000-0000-0000AE430000}"/>
    <cellStyle name="Normal 2 2 2 6 5" xfId="11898" xr:uid="{00000000-0005-0000-0000-0000AF430000}"/>
    <cellStyle name="Normal 2 2 2 6 5 2" xfId="30026" xr:uid="{00000000-0005-0000-0000-0000B0430000}"/>
    <cellStyle name="Normal 2 2 2 6 5 3" xfId="34676" xr:uid="{00000000-0005-0000-0000-0000B1430000}"/>
    <cellStyle name="Normal 2 2 2 6 6" xfId="12017" xr:uid="{00000000-0005-0000-0000-0000B2430000}"/>
    <cellStyle name="Normal 2 2 2 6 6 2" xfId="30143" xr:uid="{00000000-0005-0000-0000-0000B3430000}"/>
    <cellStyle name="Normal 2 2 2 6 6 3" xfId="34795" xr:uid="{00000000-0005-0000-0000-0000B4430000}"/>
    <cellStyle name="Normal 2 2 2 6 7" xfId="13526" xr:uid="{00000000-0005-0000-0000-0000B5430000}"/>
    <cellStyle name="Normal 2 2 2 6 7 2" xfId="30638" xr:uid="{00000000-0005-0000-0000-0000B6430000}"/>
    <cellStyle name="Normal 2 2 2 6 7 3" xfId="35300" xr:uid="{00000000-0005-0000-0000-0000B7430000}"/>
    <cellStyle name="Normal 2 2 2 6 8" xfId="13648" xr:uid="{00000000-0005-0000-0000-0000B8430000}"/>
    <cellStyle name="Normal 2 2 2 6 8 2" xfId="30760" xr:uid="{00000000-0005-0000-0000-0000B9430000}"/>
    <cellStyle name="Normal 2 2 2 6 8 3" xfId="35422" xr:uid="{00000000-0005-0000-0000-0000BA430000}"/>
    <cellStyle name="Normal 2 2 2 6 9" xfId="13768" xr:uid="{00000000-0005-0000-0000-0000BB430000}"/>
    <cellStyle name="Normal 2 2 2 6 9 2" xfId="30880" xr:uid="{00000000-0005-0000-0000-0000BC430000}"/>
    <cellStyle name="Normal 2 2 2 6 9 3" xfId="35542" xr:uid="{00000000-0005-0000-0000-0000BD430000}"/>
    <cellStyle name="Normal 2 2 2 7" xfId="2582" xr:uid="{00000000-0005-0000-0000-0000BE430000}"/>
    <cellStyle name="Normal 2 2 2 7 2" xfId="3463" xr:uid="{00000000-0005-0000-0000-0000BF430000}"/>
    <cellStyle name="Normal 2 2 2 7 2 2" xfId="11113" xr:uid="{00000000-0005-0000-0000-0000C0430000}"/>
    <cellStyle name="Normal 2 2 2 7 2 2 2" xfId="33930" xr:uid="{00000000-0005-0000-0000-0000C1430000}"/>
    <cellStyle name="Normal 2 2 2 7 2 3" xfId="14288" xr:uid="{00000000-0005-0000-0000-0000C2430000}"/>
    <cellStyle name="Normal 2 2 2 7 2 3 2" xfId="35882" xr:uid="{00000000-0005-0000-0000-0000C3430000}"/>
    <cellStyle name="Normal 2 2 2 7 2 3 3" xfId="28212" xr:uid="{00000000-0005-0000-0000-0000C4430000}"/>
    <cellStyle name="Normal 2 2 2 7 2 4" xfId="31523" xr:uid="{00000000-0005-0000-0000-0000C5430000}"/>
    <cellStyle name="Normal 2 2 2 7 3" xfId="9885" xr:uid="{00000000-0005-0000-0000-0000C6430000}"/>
    <cellStyle name="Normal 2 2 2 7 3 2" xfId="33317" xr:uid="{00000000-0005-0000-0000-0000C7430000}"/>
    <cellStyle name="Normal 2 2 2 7 4" xfId="14287" xr:uid="{00000000-0005-0000-0000-0000C8430000}"/>
    <cellStyle name="Normal 2 2 2 7 4 2" xfId="35881" xr:uid="{00000000-0005-0000-0000-0000C9430000}"/>
    <cellStyle name="Normal 2 2 2 7 4 3" xfId="28211" xr:uid="{00000000-0005-0000-0000-0000CA430000}"/>
    <cellStyle name="Normal 2 2 2 7 5" xfId="31294" xr:uid="{00000000-0005-0000-0000-0000CB430000}"/>
    <cellStyle name="Normal 2 2 2 8" xfId="2583" xr:uid="{00000000-0005-0000-0000-0000CC430000}"/>
    <cellStyle name="Normal 2 2 2 8 2" xfId="3464" xr:uid="{00000000-0005-0000-0000-0000CD430000}"/>
    <cellStyle name="Normal 2 2 2 8 2 2" xfId="10902" xr:uid="{00000000-0005-0000-0000-0000CE430000}"/>
    <cellStyle name="Normal 2 2 2 8 2 2 2" xfId="33853" xr:uid="{00000000-0005-0000-0000-0000CF430000}"/>
    <cellStyle name="Normal 2 2 2 8 2 3" xfId="28214" xr:uid="{00000000-0005-0000-0000-0000D0430000}"/>
    <cellStyle name="Normal 2 2 2 8 2 4" xfId="31524" xr:uid="{00000000-0005-0000-0000-0000D1430000}"/>
    <cellStyle name="Normal 2 2 2 8 3" xfId="9886" xr:uid="{00000000-0005-0000-0000-0000D2430000}"/>
    <cellStyle name="Normal 2 2 2 8 3 2" xfId="33318" xr:uid="{00000000-0005-0000-0000-0000D3430000}"/>
    <cellStyle name="Normal 2 2 2 8 4" xfId="28213" xr:uid="{00000000-0005-0000-0000-0000D4430000}"/>
    <cellStyle name="Normal 2 2 2 8 5" xfId="31295" xr:uid="{00000000-0005-0000-0000-0000D5430000}"/>
    <cellStyle name="Normal 2 2 2 9" xfId="3724" xr:uid="{00000000-0005-0000-0000-0000D6430000}"/>
    <cellStyle name="Normal 2 2 2 9 2" xfId="12745" xr:uid="{00000000-0005-0000-0000-0000D7430000}"/>
    <cellStyle name="Normal 2 2 2 9 2 2" xfId="35083" xr:uid="{00000000-0005-0000-0000-0000D8430000}"/>
    <cellStyle name="Normal 2 2 2 9 3" xfId="31617" xr:uid="{00000000-0005-0000-0000-0000D9430000}"/>
    <cellStyle name="Normal 2 2 2 9 4" xfId="28137" xr:uid="{00000000-0005-0000-0000-0000DA430000}"/>
    <cellStyle name="Normal 2 2 20" xfId="13685" xr:uid="{00000000-0005-0000-0000-0000DB430000}"/>
    <cellStyle name="Normal 2 2 20 2" xfId="30797" xr:uid="{00000000-0005-0000-0000-0000DC430000}"/>
    <cellStyle name="Normal 2 2 20 3" xfId="35459" xr:uid="{00000000-0005-0000-0000-0000DD430000}"/>
    <cellStyle name="Normal 2 2 21" xfId="13806" xr:uid="{00000000-0005-0000-0000-0000DE430000}"/>
    <cellStyle name="Normal 2 2 21 2" xfId="30918" xr:uid="{00000000-0005-0000-0000-0000DF430000}"/>
    <cellStyle name="Normal 2 2 21 3" xfId="35580" xr:uid="{00000000-0005-0000-0000-0000E0430000}"/>
    <cellStyle name="Normal 2 2 22" xfId="13925" xr:uid="{00000000-0005-0000-0000-0000E1430000}"/>
    <cellStyle name="Normal 2 2 22 2" xfId="31037" xr:uid="{00000000-0005-0000-0000-0000E2430000}"/>
    <cellStyle name="Normal 2 2 22 3" xfId="35699" xr:uid="{00000000-0005-0000-0000-0000E3430000}"/>
    <cellStyle name="Normal 2 2 23" xfId="14017" xr:uid="{00000000-0005-0000-0000-0000E4430000}"/>
    <cellStyle name="Normal 2 2 23 2" xfId="31129" xr:uid="{00000000-0005-0000-0000-0000E5430000}"/>
    <cellStyle name="Normal 2 2 23 3" xfId="35791" xr:uid="{00000000-0005-0000-0000-0000E6430000}"/>
    <cellStyle name="Normal 2 2 24" xfId="9877" xr:uid="{00000000-0005-0000-0000-0000E7430000}"/>
    <cellStyle name="Normal 2 2 25" xfId="31152" xr:uid="{00000000-0005-0000-0000-0000E8430000}"/>
    <cellStyle name="Normal 2 2 3" xfId="2584" xr:uid="{00000000-0005-0000-0000-0000E9430000}"/>
    <cellStyle name="Normal 2 2 3 2" xfId="9887" xr:uid="{00000000-0005-0000-0000-0000EA430000}"/>
    <cellStyle name="Normal 2 2 3 2 2" xfId="14290" xr:uid="{00000000-0005-0000-0000-0000EB430000}"/>
    <cellStyle name="Normal 2 2 3 2 3" xfId="14289" xr:uid="{00000000-0005-0000-0000-0000EC430000}"/>
    <cellStyle name="Normal 2 2 3 2 4" xfId="39756" xr:uid="{00000000-0005-0000-0000-0000AC0B0000}"/>
    <cellStyle name="Normal 2 2 3 3" xfId="12746" xr:uid="{00000000-0005-0000-0000-0000ED430000}"/>
    <cellStyle name="Normal 2 2 3 3 2" xfId="30422" xr:uid="{00000000-0005-0000-0000-0000EE430000}"/>
    <cellStyle name="Normal 2 2 3 3 3" xfId="35084" xr:uid="{00000000-0005-0000-0000-0000EF430000}"/>
    <cellStyle name="Normal 2 2 3 3 4" xfId="39755" xr:uid="{00000000-0005-0000-0000-0000AD0B0000}"/>
    <cellStyle name="Normal 2 2 4" xfId="2585" xr:uid="{00000000-0005-0000-0000-0000F0430000}"/>
    <cellStyle name="Normal 2 2 4 2" xfId="12747" xr:uid="{00000000-0005-0000-0000-0000F1430000}"/>
    <cellStyle name="Normal 2 2 4 2 2" xfId="14292" xr:uid="{00000000-0005-0000-0000-0000F2430000}"/>
    <cellStyle name="Normal 2 2 4 2 2 2" xfId="35883" xr:uid="{00000000-0005-0000-0000-0000F3430000}"/>
    <cellStyle name="Normal 2 2 4 2 2 3" xfId="30423" xr:uid="{00000000-0005-0000-0000-0000F4430000}"/>
    <cellStyle name="Normal 2 2 4 2 3" xfId="14291" xr:uid="{00000000-0005-0000-0000-0000F5430000}"/>
    <cellStyle name="Normal 2 2 4 2 4" xfId="35085" xr:uid="{00000000-0005-0000-0000-0000F6430000}"/>
    <cellStyle name="Normal 2 2 4 3" xfId="39757" xr:uid="{00000000-0005-0000-0000-0000B00B0000}"/>
    <cellStyle name="Normal 2 2 5" xfId="2586" xr:uid="{00000000-0005-0000-0000-0000F7430000}"/>
    <cellStyle name="Normal 2 2 5 2" xfId="12748" xr:uid="{00000000-0005-0000-0000-0000F8430000}"/>
    <cellStyle name="Normal 2 2 5 2 2" xfId="14294" xr:uid="{00000000-0005-0000-0000-0000F9430000}"/>
    <cellStyle name="Normal 2 2 5 2 2 2" xfId="35884" xr:uid="{00000000-0005-0000-0000-0000FA430000}"/>
    <cellStyle name="Normal 2 2 5 2 2 3" xfId="30424" xr:uid="{00000000-0005-0000-0000-0000FB430000}"/>
    <cellStyle name="Normal 2 2 5 2 3" xfId="14293" xr:uid="{00000000-0005-0000-0000-0000FC430000}"/>
    <cellStyle name="Normal 2 2 5 2 4" xfId="35086" xr:uid="{00000000-0005-0000-0000-0000FD430000}"/>
    <cellStyle name="Normal 2 2 6" xfId="2587" xr:uid="{00000000-0005-0000-0000-0000FE430000}"/>
    <cellStyle name="Normal 2 2 6 2" xfId="12749" xr:uid="{00000000-0005-0000-0000-0000FF430000}"/>
    <cellStyle name="Normal 2 2 6 2 2" xfId="14296" xr:uid="{00000000-0005-0000-0000-000000440000}"/>
    <cellStyle name="Normal 2 2 6 2 2 2" xfId="35885" xr:uid="{00000000-0005-0000-0000-000001440000}"/>
    <cellStyle name="Normal 2 2 6 2 2 3" xfId="30425" xr:uid="{00000000-0005-0000-0000-000002440000}"/>
    <cellStyle name="Normal 2 2 6 2 3" xfId="14295" xr:uid="{00000000-0005-0000-0000-000003440000}"/>
    <cellStyle name="Normal 2 2 6 2 4" xfId="35087" xr:uid="{00000000-0005-0000-0000-000004440000}"/>
    <cellStyle name="Normal 2 2 7" xfId="2588" xr:uid="{00000000-0005-0000-0000-000005440000}"/>
    <cellStyle name="Normal 2 2 7 2" xfId="12750" xr:uid="{00000000-0005-0000-0000-000006440000}"/>
    <cellStyle name="Normal 2 2 7 2 2" xfId="30426" xr:uid="{00000000-0005-0000-0000-000007440000}"/>
    <cellStyle name="Normal 2 2 7 2 3" xfId="35088" xr:uid="{00000000-0005-0000-0000-000008440000}"/>
    <cellStyle name="Normal 2 2 7 3" xfId="14297" xr:uid="{00000000-0005-0000-0000-000009440000}"/>
    <cellStyle name="Normal 2 2 8" xfId="2589" xr:uid="{00000000-0005-0000-0000-00000A440000}"/>
    <cellStyle name="Normal 2 2 8 2" xfId="12751" xr:uid="{00000000-0005-0000-0000-00000B440000}"/>
    <cellStyle name="Normal 2 2 8 2 2" xfId="30427" xr:uid="{00000000-0005-0000-0000-00000C440000}"/>
    <cellStyle name="Normal 2 2 8 2 3" xfId="35089" xr:uid="{00000000-0005-0000-0000-00000D440000}"/>
    <cellStyle name="Normal 2 2 9" xfId="2590" xr:uid="{00000000-0005-0000-0000-00000E440000}"/>
    <cellStyle name="Normal 2 2 9 2" xfId="12752" xr:uid="{00000000-0005-0000-0000-00000F440000}"/>
    <cellStyle name="Normal 2 2 9 2 2" xfId="30428" xr:uid="{00000000-0005-0000-0000-000010440000}"/>
    <cellStyle name="Normal 2 2 9 2 3" xfId="35090" xr:uid="{00000000-0005-0000-0000-000011440000}"/>
    <cellStyle name="Normal 2 2_Copy of Commissioning date correction" xfId="2591" xr:uid="{00000000-0005-0000-0000-000012440000}"/>
    <cellStyle name="Normal 2 20" xfId="11557" xr:uid="{00000000-0005-0000-0000-000013440000}"/>
    <cellStyle name="Normal 2 20 2" xfId="28373" xr:uid="{00000000-0005-0000-0000-000014440000}"/>
    <cellStyle name="Normal 2 20 3" xfId="34348" xr:uid="{00000000-0005-0000-0000-000015440000}"/>
    <cellStyle name="Normal 2 20 4" xfId="39758" xr:uid="{00000000-0005-0000-0000-0000B70B0000}"/>
    <cellStyle name="Normal 2 21" xfId="11695" xr:uid="{00000000-0005-0000-0000-000016440000}"/>
    <cellStyle name="Normal 2 21 2" xfId="29825" xr:uid="{00000000-0005-0000-0000-000017440000}"/>
    <cellStyle name="Normal 2 21 3" xfId="28402" xr:uid="{00000000-0005-0000-0000-000018440000}"/>
    <cellStyle name="Normal 2 21 4" xfId="34473" xr:uid="{00000000-0005-0000-0000-000019440000}"/>
    <cellStyle name="Normal 2 22" xfId="11814" xr:uid="{00000000-0005-0000-0000-00001A440000}"/>
    <cellStyle name="Normal 2 22 2" xfId="29943" xr:uid="{00000000-0005-0000-0000-00001B440000}"/>
    <cellStyle name="Normal 2 22 3" xfId="34592" xr:uid="{00000000-0005-0000-0000-00001C440000}"/>
    <cellStyle name="Normal 2 22 4" xfId="39759" xr:uid="{00000000-0005-0000-0000-0000B90B0000}"/>
    <cellStyle name="Normal 2 23" xfId="11933" xr:uid="{00000000-0005-0000-0000-00001D440000}"/>
    <cellStyle name="Normal 2 23 2" xfId="30060" xr:uid="{00000000-0005-0000-0000-00001E440000}"/>
    <cellStyle name="Normal 2 23 3" xfId="34711" xr:uid="{00000000-0005-0000-0000-00001F440000}"/>
    <cellStyle name="Normal 2 23 4" xfId="39760" xr:uid="{00000000-0005-0000-0000-0000BA0B0000}"/>
    <cellStyle name="Normal 2 24" xfId="12739" xr:uid="{00000000-0005-0000-0000-000020440000}"/>
    <cellStyle name="Normal 2 24 2" xfId="39761" xr:uid="{00000000-0005-0000-0000-0000BB0B0000}"/>
    <cellStyle name="Normal 2 25" xfId="13411" xr:uid="{00000000-0005-0000-0000-000021440000}"/>
    <cellStyle name="Normal 2 25 2" xfId="39762" xr:uid="{00000000-0005-0000-0000-0000BC0B0000}"/>
    <cellStyle name="Normal 2 26" xfId="13410" xr:uid="{00000000-0005-0000-0000-000022440000}"/>
    <cellStyle name="Normal 2 26 2" xfId="39763" xr:uid="{00000000-0005-0000-0000-0000BD0B0000}"/>
    <cellStyle name="Normal 2 27" xfId="13412" xr:uid="{00000000-0005-0000-0000-000023440000}"/>
    <cellStyle name="Normal 2 27 2" xfId="39764" xr:uid="{00000000-0005-0000-0000-0000BE0B0000}"/>
    <cellStyle name="Normal 2 28" xfId="13442" xr:uid="{00000000-0005-0000-0000-000024440000}"/>
    <cellStyle name="Normal 2 28 2" xfId="30554" xr:uid="{00000000-0005-0000-0000-000025440000}"/>
    <cellStyle name="Normal 2 28 3" xfId="35216" xr:uid="{00000000-0005-0000-0000-000026440000}"/>
    <cellStyle name="Normal 2 28 4" xfId="39765" xr:uid="{00000000-0005-0000-0000-0000BF0B0000}"/>
    <cellStyle name="Normal 2 29" xfId="13564" xr:uid="{00000000-0005-0000-0000-000027440000}"/>
    <cellStyle name="Normal 2 29 2" xfId="30676" xr:uid="{00000000-0005-0000-0000-000028440000}"/>
    <cellStyle name="Normal 2 29 3" xfId="35338" xr:uid="{00000000-0005-0000-0000-000029440000}"/>
    <cellStyle name="Normal 2 29 4" xfId="39766" xr:uid="{00000000-0005-0000-0000-0000C00B0000}"/>
    <cellStyle name="Normal 2 3" xfId="58" xr:uid="{00000000-0005-0000-0000-00002A440000}"/>
    <cellStyle name="Normal 2 3 10" xfId="12753" xr:uid="{00000000-0005-0000-0000-00002B440000}"/>
    <cellStyle name="Normal 2 3 10 2" xfId="30429" xr:uid="{00000000-0005-0000-0000-00002C440000}"/>
    <cellStyle name="Normal 2 3 10 3" xfId="35091" xr:uid="{00000000-0005-0000-0000-00002D440000}"/>
    <cellStyle name="Normal 2 3 11" xfId="12754" xr:uid="{00000000-0005-0000-0000-00002E440000}"/>
    <cellStyle name="Normal 2 3 11 2" xfId="30430" xr:uid="{00000000-0005-0000-0000-00002F440000}"/>
    <cellStyle name="Normal 2 3 11 3" xfId="35092" xr:uid="{00000000-0005-0000-0000-000030440000}"/>
    <cellStyle name="Normal 2 3 12" xfId="12755" xr:uid="{00000000-0005-0000-0000-000031440000}"/>
    <cellStyle name="Normal 2 3 12 2" xfId="30431" xr:uid="{00000000-0005-0000-0000-000032440000}"/>
    <cellStyle name="Normal 2 3 12 3" xfId="35093" xr:uid="{00000000-0005-0000-0000-000033440000}"/>
    <cellStyle name="Normal 2 3 13" xfId="12756" xr:uid="{00000000-0005-0000-0000-000034440000}"/>
    <cellStyle name="Normal 2 3 13 2" xfId="30432" xr:uid="{00000000-0005-0000-0000-000035440000}"/>
    <cellStyle name="Normal 2 3 13 3" xfId="35094" xr:uid="{00000000-0005-0000-0000-000036440000}"/>
    <cellStyle name="Normal 2 3 14" xfId="13444" xr:uid="{00000000-0005-0000-0000-000037440000}"/>
    <cellStyle name="Normal 2 3 14 2" xfId="30556" xr:uid="{00000000-0005-0000-0000-000038440000}"/>
    <cellStyle name="Normal 2 3 14 3" xfId="35218" xr:uid="{00000000-0005-0000-0000-000039440000}"/>
    <cellStyle name="Normal 2 3 15" xfId="13566" xr:uid="{00000000-0005-0000-0000-00003A440000}"/>
    <cellStyle name="Normal 2 3 15 2" xfId="30678" xr:uid="{00000000-0005-0000-0000-00003B440000}"/>
    <cellStyle name="Normal 2 3 15 3" xfId="35340" xr:uid="{00000000-0005-0000-0000-00003C440000}"/>
    <cellStyle name="Normal 2 3 16" xfId="13686" xr:uid="{00000000-0005-0000-0000-00003D440000}"/>
    <cellStyle name="Normal 2 3 16 2" xfId="30798" xr:uid="{00000000-0005-0000-0000-00003E440000}"/>
    <cellStyle name="Normal 2 3 16 3" xfId="35460" xr:uid="{00000000-0005-0000-0000-00003F440000}"/>
    <cellStyle name="Normal 2 3 17" xfId="13807" xr:uid="{00000000-0005-0000-0000-000040440000}"/>
    <cellStyle name="Normal 2 3 17 2" xfId="30919" xr:uid="{00000000-0005-0000-0000-000041440000}"/>
    <cellStyle name="Normal 2 3 17 3" xfId="35581" xr:uid="{00000000-0005-0000-0000-000042440000}"/>
    <cellStyle name="Normal 2 3 18" xfId="13926" xr:uid="{00000000-0005-0000-0000-000043440000}"/>
    <cellStyle name="Normal 2 3 18 2" xfId="31038" xr:uid="{00000000-0005-0000-0000-000044440000}"/>
    <cellStyle name="Normal 2 3 18 3" xfId="35700" xr:uid="{00000000-0005-0000-0000-000045440000}"/>
    <cellStyle name="Normal 2 3 19" xfId="14298" xr:uid="{00000000-0005-0000-0000-000046440000}"/>
    <cellStyle name="Normal 2 3 2" xfId="2593" xr:uid="{00000000-0005-0000-0000-000047440000}"/>
    <cellStyle name="Normal 2 3 2 2" xfId="3466" xr:uid="{00000000-0005-0000-0000-000048440000}"/>
    <cellStyle name="Normal 2 3 2 2 2" xfId="11114" xr:uid="{00000000-0005-0000-0000-000049440000}"/>
    <cellStyle name="Normal 2 3 2 2 2 2" xfId="33931" xr:uid="{00000000-0005-0000-0000-00004A440000}"/>
    <cellStyle name="Normal 2 3 2 2 3" xfId="14299" xr:uid="{00000000-0005-0000-0000-00004B440000}"/>
    <cellStyle name="Normal 2 3 2 2 3 2" xfId="35886" xr:uid="{00000000-0005-0000-0000-00004C440000}"/>
    <cellStyle name="Normal 2 3 2 2 3 3" xfId="28216" xr:uid="{00000000-0005-0000-0000-00004D440000}"/>
    <cellStyle name="Normal 2 3 2 2 4" xfId="31526" xr:uid="{00000000-0005-0000-0000-00004E440000}"/>
    <cellStyle name="Normal 2 3 2 3" xfId="12757" xr:uid="{00000000-0005-0000-0000-00004F440000}"/>
    <cellStyle name="Normal 2 3 2 3 2" xfId="28393" xr:uid="{00000000-0005-0000-0000-000050440000}"/>
    <cellStyle name="Normal 2 3 2 3 3" xfId="35095" xr:uid="{00000000-0005-0000-0000-000051440000}"/>
    <cellStyle name="Normal 2 3 2 4" xfId="14093" xr:uid="{00000000-0005-0000-0000-000052440000}"/>
    <cellStyle name="Normal 2 3 2 4 2" xfId="35816" xr:uid="{00000000-0005-0000-0000-000053440000}"/>
    <cellStyle name="Normal 2 3 2 4 3" xfId="28215" xr:uid="{00000000-0005-0000-0000-000054440000}"/>
    <cellStyle name="Normal 2 3 2 5" xfId="9888" xr:uid="{00000000-0005-0000-0000-000055440000}"/>
    <cellStyle name="Normal 2 3 2 6" xfId="31297" xr:uid="{00000000-0005-0000-0000-000056440000}"/>
    <cellStyle name="Normal 2 3 3" xfId="2594" xr:uid="{00000000-0005-0000-0000-000057440000}"/>
    <cellStyle name="Normal 2 3 3 2" xfId="12758" xr:uid="{00000000-0005-0000-0000-000058440000}"/>
    <cellStyle name="Normal 2 3 3 2 2" xfId="30433" xr:uid="{00000000-0005-0000-0000-000059440000}"/>
    <cellStyle name="Normal 2 3 3 2 3" xfId="35096" xr:uid="{00000000-0005-0000-0000-00005A440000}"/>
    <cellStyle name="Normal 2 3 3 3" xfId="14300" xr:uid="{00000000-0005-0000-0000-00005B440000}"/>
    <cellStyle name="Normal 2 3 4" xfId="3465" xr:uid="{00000000-0005-0000-0000-00005C440000}"/>
    <cellStyle name="Normal 2 3 4 2" xfId="10903" xr:uid="{00000000-0005-0000-0000-00005D440000}"/>
    <cellStyle name="Normal 2 3 4 2 2" xfId="28419" xr:uid="{00000000-0005-0000-0000-00005E440000}"/>
    <cellStyle name="Normal 2 3 4 2 3" xfId="33854" xr:uid="{00000000-0005-0000-0000-00005F440000}"/>
    <cellStyle name="Normal 2 3 4 3" xfId="12759" xr:uid="{00000000-0005-0000-0000-000060440000}"/>
    <cellStyle name="Normal 2 3 4 3 2" xfId="30434" xr:uid="{00000000-0005-0000-0000-000061440000}"/>
    <cellStyle name="Normal 2 3 4 3 3" xfId="35097" xr:uid="{00000000-0005-0000-0000-000062440000}"/>
    <cellStyle name="Normal 2 3 4 4" xfId="9889" xr:uid="{00000000-0005-0000-0000-000063440000}"/>
    <cellStyle name="Normal 2 3 4 4 2" xfId="33319" xr:uid="{00000000-0005-0000-0000-000064440000}"/>
    <cellStyle name="Normal 2 3 4 5" xfId="14301" xr:uid="{00000000-0005-0000-0000-000065440000}"/>
    <cellStyle name="Normal 2 3 4 6" xfId="31525" xr:uid="{00000000-0005-0000-0000-000066440000}"/>
    <cellStyle name="Normal 2 3 5" xfId="2592" xr:uid="{00000000-0005-0000-0000-000067440000}"/>
    <cellStyle name="Normal 2 3 5 2" xfId="12760" xr:uid="{00000000-0005-0000-0000-000068440000}"/>
    <cellStyle name="Normal 2 3 5 2 2" xfId="30435" xr:uid="{00000000-0005-0000-0000-000069440000}"/>
    <cellStyle name="Normal 2 3 5 2 3" xfId="35098" xr:uid="{00000000-0005-0000-0000-00006A440000}"/>
    <cellStyle name="Normal 2 3 5 3" xfId="14302" xr:uid="{00000000-0005-0000-0000-00006B440000}"/>
    <cellStyle name="Normal 2 3 5 3 2" xfId="35887" xr:uid="{00000000-0005-0000-0000-00006C440000}"/>
    <cellStyle name="Normal 2 3 5 3 3" xfId="28392" xr:uid="{00000000-0005-0000-0000-00006D440000}"/>
    <cellStyle name="Normal 2 3 5 4" xfId="31296" xr:uid="{00000000-0005-0000-0000-00006E440000}"/>
    <cellStyle name="Normal 2 3 6" xfId="11697" xr:uid="{00000000-0005-0000-0000-00006F440000}"/>
    <cellStyle name="Normal 2 3 6 2" xfId="12761" xr:uid="{00000000-0005-0000-0000-000070440000}"/>
    <cellStyle name="Normal 2 3 6 2 2" xfId="30436" xr:uid="{00000000-0005-0000-0000-000071440000}"/>
    <cellStyle name="Normal 2 3 6 2 3" xfId="35099" xr:uid="{00000000-0005-0000-0000-000072440000}"/>
    <cellStyle name="Normal 2 3 6 3" xfId="29827" xr:uid="{00000000-0005-0000-0000-000073440000}"/>
    <cellStyle name="Normal 2 3 6 4" xfId="34475" xr:uid="{00000000-0005-0000-0000-000074440000}"/>
    <cellStyle name="Normal 2 3 7" xfId="11816" xr:uid="{00000000-0005-0000-0000-000075440000}"/>
    <cellStyle name="Normal 2 3 7 2" xfId="12762" xr:uid="{00000000-0005-0000-0000-000076440000}"/>
    <cellStyle name="Normal 2 3 7 2 2" xfId="30437" xr:uid="{00000000-0005-0000-0000-000077440000}"/>
    <cellStyle name="Normal 2 3 7 2 3" xfId="35100" xr:uid="{00000000-0005-0000-0000-000078440000}"/>
    <cellStyle name="Normal 2 3 7 3" xfId="29945" xr:uid="{00000000-0005-0000-0000-000079440000}"/>
    <cellStyle name="Normal 2 3 7 4" xfId="34594" xr:uid="{00000000-0005-0000-0000-00007A440000}"/>
    <cellStyle name="Normal 2 3 8" xfId="11935" xr:uid="{00000000-0005-0000-0000-00007B440000}"/>
    <cellStyle name="Normal 2 3 8 2" xfId="12763" xr:uid="{00000000-0005-0000-0000-00007C440000}"/>
    <cellStyle name="Normal 2 3 8 2 2" xfId="30438" xr:uid="{00000000-0005-0000-0000-00007D440000}"/>
    <cellStyle name="Normal 2 3 8 2 3" xfId="35101" xr:uid="{00000000-0005-0000-0000-00007E440000}"/>
    <cellStyle name="Normal 2 3 8 3" xfId="30062" xr:uid="{00000000-0005-0000-0000-00007F440000}"/>
    <cellStyle name="Normal 2 3 8 4" xfId="34713" xr:uid="{00000000-0005-0000-0000-000080440000}"/>
    <cellStyle name="Normal 2 3 9" xfId="12764" xr:uid="{00000000-0005-0000-0000-000081440000}"/>
    <cellStyle name="Normal 2 3 9 2" xfId="30439" xr:uid="{00000000-0005-0000-0000-000082440000}"/>
    <cellStyle name="Normal 2 3 9 3" xfId="35102" xr:uid="{00000000-0005-0000-0000-000083440000}"/>
    <cellStyle name="Normal 2 30" xfId="13684" xr:uid="{00000000-0005-0000-0000-000084440000}"/>
    <cellStyle name="Normal 2 30 2" xfId="30796" xr:uid="{00000000-0005-0000-0000-000085440000}"/>
    <cellStyle name="Normal 2 30 3" xfId="35458" xr:uid="{00000000-0005-0000-0000-000086440000}"/>
    <cellStyle name="Normal 2 30 4" xfId="39767" xr:uid="{00000000-0005-0000-0000-0000CE0B0000}"/>
    <cellStyle name="Normal 2 31" xfId="13805" xr:uid="{00000000-0005-0000-0000-000087440000}"/>
    <cellStyle name="Normal 2 31 2" xfId="30917" xr:uid="{00000000-0005-0000-0000-000088440000}"/>
    <cellStyle name="Normal 2 31 3" xfId="35579" xr:uid="{00000000-0005-0000-0000-000089440000}"/>
    <cellStyle name="Normal 2 31 4" xfId="39768" xr:uid="{00000000-0005-0000-0000-0000CF0B0000}"/>
    <cellStyle name="Normal 2 32" xfId="13924" xr:uid="{00000000-0005-0000-0000-00008A440000}"/>
    <cellStyle name="Normal 2 32 2" xfId="31036" xr:uid="{00000000-0005-0000-0000-00008B440000}"/>
    <cellStyle name="Normal 2 32 3" xfId="35698" xr:uid="{00000000-0005-0000-0000-00008C440000}"/>
    <cellStyle name="Normal 2 32 4" xfId="39769" xr:uid="{00000000-0005-0000-0000-0000D00B0000}"/>
    <cellStyle name="Normal 2 33" xfId="9873" xr:uid="{00000000-0005-0000-0000-00008D440000}"/>
    <cellStyle name="Normal 2 33 2" xfId="39770" xr:uid="{00000000-0005-0000-0000-0000D10B0000}"/>
    <cellStyle name="Normal 2 34" xfId="8991" xr:uid="{00000000-0005-0000-0000-00008E440000}"/>
    <cellStyle name="Normal 2 34 2" xfId="33258" xr:uid="{00000000-0005-0000-0000-00008F440000}"/>
    <cellStyle name="Normal 2 34 3" xfId="29277" xr:uid="{00000000-0005-0000-0000-000090440000}"/>
    <cellStyle name="Normal 2 35" xfId="8926" xr:uid="{00000000-0005-0000-0000-000091440000}"/>
    <cellStyle name="Normal 2 36" xfId="14844" xr:uid="{00000000-0005-0000-0000-000092440000}"/>
    <cellStyle name="Normal 2 37" xfId="16059" xr:uid="{00000000-0005-0000-0000-000093440000}"/>
    <cellStyle name="Normal 2 38" xfId="15054" xr:uid="{00000000-0005-0000-0000-000094440000}"/>
    <cellStyle name="Normal 2 39" xfId="15252" xr:uid="{00000000-0005-0000-0000-000095440000}"/>
    <cellStyle name="Normal 2 4" xfId="2595" xr:uid="{00000000-0005-0000-0000-000096440000}"/>
    <cellStyle name="Normal 2 4 10" xfId="12765" xr:uid="{00000000-0005-0000-0000-000097440000}"/>
    <cellStyle name="Normal 2 4 10 2" xfId="30440" xr:uid="{00000000-0005-0000-0000-000098440000}"/>
    <cellStyle name="Normal 2 4 10 3" xfId="35103" xr:uid="{00000000-0005-0000-0000-000099440000}"/>
    <cellStyle name="Normal 2 4 11" xfId="12766" xr:uid="{00000000-0005-0000-0000-00009A440000}"/>
    <cellStyle name="Normal 2 4 11 2" xfId="30441" xr:uid="{00000000-0005-0000-0000-00009B440000}"/>
    <cellStyle name="Normal 2 4 11 3" xfId="35104" xr:uid="{00000000-0005-0000-0000-00009C440000}"/>
    <cellStyle name="Normal 2 4 12" xfId="12767" xr:uid="{00000000-0005-0000-0000-00009D440000}"/>
    <cellStyle name="Normal 2 4 12 2" xfId="30442" xr:uid="{00000000-0005-0000-0000-00009E440000}"/>
    <cellStyle name="Normal 2 4 12 3" xfId="35105" xr:uid="{00000000-0005-0000-0000-00009F440000}"/>
    <cellStyle name="Normal 2 4 13" xfId="12768" xr:uid="{00000000-0005-0000-0000-0000A0440000}"/>
    <cellStyle name="Normal 2 4 13 2" xfId="30443" xr:uid="{00000000-0005-0000-0000-0000A1440000}"/>
    <cellStyle name="Normal 2 4 13 3" xfId="35106" xr:uid="{00000000-0005-0000-0000-0000A2440000}"/>
    <cellStyle name="Normal 2 4 2" xfId="2596" xr:uid="{00000000-0005-0000-0000-0000A3440000}"/>
    <cellStyle name="Normal 2 4 2 2" xfId="9890" xr:uid="{00000000-0005-0000-0000-0000A4440000}"/>
    <cellStyle name="Normal 2 4 2 2 2" xfId="14303" xr:uid="{00000000-0005-0000-0000-0000A5440000}"/>
    <cellStyle name="Normal 2 4 2 3" xfId="12769" xr:uid="{00000000-0005-0000-0000-0000A6440000}"/>
    <cellStyle name="Normal 2 4 2 3 2" xfId="30444" xr:uid="{00000000-0005-0000-0000-0000A7440000}"/>
    <cellStyle name="Normal 2 4 2 3 3" xfId="35107" xr:uid="{00000000-0005-0000-0000-0000A8440000}"/>
    <cellStyle name="Normal 2 4 3" xfId="2597" xr:uid="{00000000-0005-0000-0000-0000A9440000}"/>
    <cellStyle name="Normal 2 4 3 2" xfId="12770" xr:uid="{00000000-0005-0000-0000-0000AA440000}"/>
    <cellStyle name="Normal 2 4 3 2 2" xfId="30445" xr:uid="{00000000-0005-0000-0000-0000AB440000}"/>
    <cellStyle name="Normal 2 4 3 2 3" xfId="35108" xr:uid="{00000000-0005-0000-0000-0000AC440000}"/>
    <cellStyle name="Normal 2 4 4" xfId="2598" xr:uid="{00000000-0005-0000-0000-0000AD440000}"/>
    <cellStyle name="Normal 2 4 4 2" xfId="12771" xr:uid="{00000000-0005-0000-0000-0000AE440000}"/>
    <cellStyle name="Normal 2 4 4 2 2" xfId="30446" xr:uid="{00000000-0005-0000-0000-0000AF440000}"/>
    <cellStyle name="Normal 2 4 4 2 3" xfId="28747" xr:uid="{00000000-0005-0000-0000-0000B0440000}"/>
    <cellStyle name="Normal 2 4 4 2 4" xfId="35109" xr:uid="{00000000-0005-0000-0000-0000B1440000}"/>
    <cellStyle name="Normal 2 4 5" xfId="2599" xr:uid="{00000000-0005-0000-0000-0000B2440000}"/>
    <cellStyle name="Normal 2 4 5 2" xfId="12772" xr:uid="{00000000-0005-0000-0000-0000B3440000}"/>
    <cellStyle name="Normal 2 4 5 2 2" xfId="30447" xr:uid="{00000000-0005-0000-0000-0000B4440000}"/>
    <cellStyle name="Normal 2 4 5 2 3" xfId="28748" xr:uid="{00000000-0005-0000-0000-0000B5440000}"/>
    <cellStyle name="Normal 2 4 5 2 4" xfId="35110" xr:uid="{00000000-0005-0000-0000-0000B6440000}"/>
    <cellStyle name="Normal 2 4 6" xfId="2600" xr:uid="{00000000-0005-0000-0000-0000B7440000}"/>
    <cellStyle name="Normal 2 4 6 2" xfId="12773" xr:uid="{00000000-0005-0000-0000-0000B8440000}"/>
    <cellStyle name="Normal 2 4 6 2 2" xfId="30448" xr:uid="{00000000-0005-0000-0000-0000B9440000}"/>
    <cellStyle name="Normal 2 4 6 2 3" xfId="28749" xr:uid="{00000000-0005-0000-0000-0000BA440000}"/>
    <cellStyle name="Normal 2 4 6 2 4" xfId="35111" xr:uid="{00000000-0005-0000-0000-0000BB440000}"/>
    <cellStyle name="Normal 2 4 7" xfId="9891" xr:uid="{00000000-0005-0000-0000-0000BC440000}"/>
    <cellStyle name="Normal 2 4 7 2" xfId="12774" xr:uid="{00000000-0005-0000-0000-0000BD440000}"/>
    <cellStyle name="Normal 2 4 7 2 2" xfId="30449" xr:uid="{00000000-0005-0000-0000-0000BE440000}"/>
    <cellStyle name="Normal 2 4 7 2 3" xfId="35112" xr:uid="{00000000-0005-0000-0000-0000BF440000}"/>
    <cellStyle name="Normal 2 4 8" xfId="9892" xr:uid="{00000000-0005-0000-0000-0000C0440000}"/>
    <cellStyle name="Normal 2 4 8 2" xfId="12775" xr:uid="{00000000-0005-0000-0000-0000C1440000}"/>
    <cellStyle name="Normal 2 4 8 2 2" xfId="30450" xr:uid="{00000000-0005-0000-0000-0000C2440000}"/>
    <cellStyle name="Normal 2 4 8 2 3" xfId="35113" xr:uid="{00000000-0005-0000-0000-0000C3440000}"/>
    <cellStyle name="Normal 2 4 9" xfId="12776" xr:uid="{00000000-0005-0000-0000-0000C4440000}"/>
    <cellStyle name="Normal 2 4 9 2" xfId="30451" xr:uid="{00000000-0005-0000-0000-0000C5440000}"/>
    <cellStyle name="Normal 2 4 9 3" xfId="35114" xr:uid="{00000000-0005-0000-0000-0000C6440000}"/>
    <cellStyle name="Normal 2 40" xfId="15309" xr:uid="{00000000-0005-0000-0000-0000C7440000}"/>
    <cellStyle name="Normal 2 41" xfId="31147" xr:uid="{00000000-0005-0000-0000-0000C8440000}"/>
    <cellStyle name="Normal 2 41 2" xfId="39771" xr:uid="{00000000-0005-0000-0000-0000E60B0000}"/>
    <cellStyle name="Normal 2 42" xfId="27382" xr:uid="{00000000-0005-0000-0000-0000C9440000}"/>
    <cellStyle name="Normal 2 42 2" xfId="39772" xr:uid="{00000000-0005-0000-0000-0000E70B0000}"/>
    <cellStyle name="Normal 2 43" xfId="16606" xr:uid="{00000000-0005-0000-0000-0000CA440000}"/>
    <cellStyle name="Normal 2 44" xfId="39773" xr:uid="{00000000-0005-0000-0000-0000E90B0000}"/>
    <cellStyle name="Normal 2 45" xfId="38049" xr:uid="{00000000-0005-0000-0000-0000910B0000}"/>
    <cellStyle name="Normal 2 46" xfId="37812" xr:uid="{00000000-0005-0000-0000-00000D000000}"/>
    <cellStyle name="Normal 2 47" xfId="40757" xr:uid="{00000000-0005-0000-0000-00000D000000}"/>
    <cellStyle name="Normal 2 48" xfId="40995" xr:uid="{00000000-0005-0000-0000-00000D000000}"/>
    <cellStyle name="Normal 2 5" xfId="2601" xr:uid="{00000000-0005-0000-0000-0000CB440000}"/>
    <cellStyle name="Normal 2 5 10" xfId="39775" xr:uid="{00000000-0005-0000-0000-0000EB0B0000}"/>
    <cellStyle name="Normal 2 5 11" xfId="39776" xr:uid="{00000000-0005-0000-0000-0000EC0B0000}"/>
    <cellStyle name="Normal 2 5 12" xfId="39777" xr:uid="{00000000-0005-0000-0000-0000ED0B0000}"/>
    <cellStyle name="Normal 2 5 13" xfId="39778" xr:uid="{00000000-0005-0000-0000-0000EE0B0000}"/>
    <cellStyle name="Normal 2 5 14" xfId="39779" xr:uid="{00000000-0005-0000-0000-0000EF0B0000}"/>
    <cellStyle name="Normal 2 5 15" xfId="39780" xr:uid="{00000000-0005-0000-0000-0000F00B0000}"/>
    <cellStyle name="Normal 2 5 16" xfId="39774" xr:uid="{00000000-0005-0000-0000-0000F10B0000}"/>
    <cellStyle name="Normal 2 5 2" xfId="2602" xr:uid="{00000000-0005-0000-0000-0000CC440000}"/>
    <cellStyle name="Normal 2 5 2 2" xfId="9893" xr:uid="{00000000-0005-0000-0000-0000CD440000}"/>
    <cellStyle name="Normal 2 5 2 2 2" xfId="11115" xr:uid="{00000000-0005-0000-0000-0000CE440000}"/>
    <cellStyle name="Normal 2 5 2 2 2 2" xfId="29549" xr:uid="{00000000-0005-0000-0000-0000CF440000}"/>
    <cellStyle name="Normal 2 5 2 2 2 3" xfId="33932" xr:uid="{00000000-0005-0000-0000-0000D0440000}"/>
    <cellStyle name="Normal 2 5 2 2 3" xfId="11559" xr:uid="{00000000-0005-0000-0000-0000D1440000}"/>
    <cellStyle name="Normal 2 5 2 2 4" xfId="29225" xr:uid="{00000000-0005-0000-0000-0000D2440000}"/>
    <cellStyle name="Normal 2 5 2 2 5" xfId="33320" xr:uid="{00000000-0005-0000-0000-0000D3440000}"/>
    <cellStyle name="Normal 2 5 2 3" xfId="11468" xr:uid="{00000000-0005-0000-0000-0000D4440000}"/>
    <cellStyle name="Normal 2 5 3" xfId="2603" xr:uid="{00000000-0005-0000-0000-0000D5440000}"/>
    <cellStyle name="Normal 2 5 4" xfId="2604" xr:uid="{00000000-0005-0000-0000-0000D6440000}"/>
    <cellStyle name="Normal 2 5 4 2" xfId="28750" xr:uid="{00000000-0005-0000-0000-0000D7440000}"/>
    <cellStyle name="Normal 2 5 5" xfId="2605" xr:uid="{00000000-0005-0000-0000-0000D8440000}"/>
    <cellStyle name="Normal 2 5 5 2" xfId="28751" xr:uid="{00000000-0005-0000-0000-0000D9440000}"/>
    <cellStyle name="Normal 2 5 6" xfId="2606" xr:uid="{00000000-0005-0000-0000-0000DA440000}"/>
    <cellStyle name="Normal 2 5 6 2" xfId="28752" xr:uid="{00000000-0005-0000-0000-0000DB440000}"/>
    <cellStyle name="Normal 2 5 7" xfId="9894" xr:uid="{00000000-0005-0000-0000-0000DC440000}"/>
    <cellStyle name="Normal 2 5 8" xfId="9895" xr:uid="{00000000-0005-0000-0000-0000DD440000}"/>
    <cellStyle name="Normal 2 5 8 2" xfId="39781" xr:uid="{00000000-0005-0000-0000-0000F80B0000}"/>
    <cellStyle name="Normal 2 5 9" xfId="39782" xr:uid="{00000000-0005-0000-0000-0000F90B0000}"/>
    <cellStyle name="Normal 2 6" xfId="2607" xr:uid="{00000000-0005-0000-0000-0000DE440000}"/>
    <cellStyle name="Normal 2 6 10" xfId="39784" xr:uid="{00000000-0005-0000-0000-0000FB0B0000}"/>
    <cellStyle name="Normal 2 6 11" xfId="39785" xr:uid="{00000000-0005-0000-0000-0000FC0B0000}"/>
    <cellStyle name="Normal 2 6 12" xfId="39786" xr:uid="{00000000-0005-0000-0000-0000FD0B0000}"/>
    <cellStyle name="Normal 2 6 13" xfId="39787" xr:uid="{00000000-0005-0000-0000-0000FE0B0000}"/>
    <cellStyle name="Normal 2 6 14" xfId="39788" xr:uid="{00000000-0005-0000-0000-0000FF0B0000}"/>
    <cellStyle name="Normal 2 6 15" xfId="39789" xr:uid="{00000000-0005-0000-0000-0000000C0000}"/>
    <cellStyle name="Normal 2 6 16" xfId="39783" xr:uid="{00000000-0005-0000-0000-0000010C0000}"/>
    <cellStyle name="Normal 2 6 2" xfId="2608" xr:uid="{00000000-0005-0000-0000-0000DF440000}"/>
    <cellStyle name="Normal 2 6 2 2" xfId="14304" xr:uid="{00000000-0005-0000-0000-0000E0440000}"/>
    <cellStyle name="Normal 2 6 3" xfId="2609" xr:uid="{00000000-0005-0000-0000-0000E1440000}"/>
    <cellStyle name="Normal 2 6 4" xfId="2610" xr:uid="{00000000-0005-0000-0000-0000E2440000}"/>
    <cellStyle name="Normal 2 6 4 2" xfId="28753" xr:uid="{00000000-0005-0000-0000-0000E3440000}"/>
    <cellStyle name="Normal 2 6 5" xfId="2611" xr:uid="{00000000-0005-0000-0000-0000E4440000}"/>
    <cellStyle name="Normal 2 6 5 2" xfId="28754" xr:uid="{00000000-0005-0000-0000-0000E5440000}"/>
    <cellStyle name="Normal 2 6 6" xfId="2612" xr:uid="{00000000-0005-0000-0000-0000E6440000}"/>
    <cellStyle name="Normal 2 6 6 2" xfId="28755" xr:uid="{00000000-0005-0000-0000-0000E7440000}"/>
    <cellStyle name="Normal 2 6 7" xfId="9896" xr:uid="{00000000-0005-0000-0000-0000E8440000}"/>
    <cellStyle name="Normal 2 6 8" xfId="9897" xr:uid="{00000000-0005-0000-0000-0000E9440000}"/>
    <cellStyle name="Normal 2 6 8 2" xfId="10904" xr:uid="{00000000-0005-0000-0000-0000EA440000}"/>
    <cellStyle name="Normal 2 6 8 2 2" xfId="29550" xr:uid="{00000000-0005-0000-0000-0000EB440000}"/>
    <cellStyle name="Normal 2 6 8 2 3" xfId="33855" xr:uid="{00000000-0005-0000-0000-0000EC440000}"/>
    <cellStyle name="Normal 2 6 8 3" xfId="29226" xr:uid="{00000000-0005-0000-0000-0000ED440000}"/>
    <cellStyle name="Normal 2 6 8 4" xfId="33321" xr:uid="{00000000-0005-0000-0000-0000EE440000}"/>
    <cellStyle name="Normal 2 6 8 5" xfId="39790" xr:uid="{00000000-0005-0000-0000-0000080C0000}"/>
    <cellStyle name="Normal 2 6 9" xfId="14092" xr:uid="{00000000-0005-0000-0000-0000EF440000}"/>
    <cellStyle name="Normal 2 6 9 2" xfId="39791" xr:uid="{00000000-0005-0000-0000-0000090C0000}"/>
    <cellStyle name="Normal 2 7" xfId="2613" xr:uid="{00000000-0005-0000-0000-0000F0440000}"/>
    <cellStyle name="Normal 2 7 2" xfId="2614" xr:uid="{00000000-0005-0000-0000-0000F1440000}"/>
    <cellStyle name="Normal 2 7 2 2" xfId="14305" xr:uid="{00000000-0005-0000-0000-0000F2440000}"/>
    <cellStyle name="Normal 2 7 3" xfId="2615" xr:uid="{00000000-0005-0000-0000-0000F3440000}"/>
    <cellStyle name="Normal 2 7 4" xfId="2616" xr:uid="{00000000-0005-0000-0000-0000F4440000}"/>
    <cellStyle name="Normal 2 7 4 2" xfId="28756" xr:uid="{00000000-0005-0000-0000-0000F5440000}"/>
    <cellStyle name="Normal 2 7 5" xfId="2617" xr:uid="{00000000-0005-0000-0000-0000F6440000}"/>
    <cellStyle name="Normal 2 7 5 2" xfId="28757" xr:uid="{00000000-0005-0000-0000-0000F7440000}"/>
    <cellStyle name="Normal 2 7 6" xfId="2618" xr:uid="{00000000-0005-0000-0000-0000F8440000}"/>
    <cellStyle name="Normal 2 7 6 2" xfId="28758" xr:uid="{00000000-0005-0000-0000-0000F9440000}"/>
    <cellStyle name="Normal 2 7 7" xfId="9898" xr:uid="{00000000-0005-0000-0000-0000FA440000}"/>
    <cellStyle name="Normal 2 8" xfId="2619" xr:uid="{00000000-0005-0000-0000-0000FB440000}"/>
    <cellStyle name="Normal 2 8 2" xfId="2620" xr:uid="{00000000-0005-0000-0000-0000FC440000}"/>
    <cellStyle name="Normal 2 8 2 2" xfId="14306" xr:uid="{00000000-0005-0000-0000-0000FD440000}"/>
    <cellStyle name="Normal 2 8 3" xfId="2621" xr:uid="{00000000-0005-0000-0000-0000FE440000}"/>
    <cellStyle name="Normal 2 8 4" xfId="2622" xr:uid="{00000000-0005-0000-0000-0000FF440000}"/>
    <cellStyle name="Normal 2 8 4 2" xfId="28759" xr:uid="{00000000-0005-0000-0000-000000450000}"/>
    <cellStyle name="Normal 2 8 5" xfId="2623" xr:uid="{00000000-0005-0000-0000-000001450000}"/>
    <cellStyle name="Normal 2 8 5 2" xfId="28760" xr:uid="{00000000-0005-0000-0000-000002450000}"/>
    <cellStyle name="Normal 2 8 6" xfId="2624" xr:uid="{00000000-0005-0000-0000-000003450000}"/>
    <cellStyle name="Normal 2 8 6 2" xfId="28761" xr:uid="{00000000-0005-0000-0000-000004450000}"/>
    <cellStyle name="Normal 2 8 7" xfId="9899" xr:uid="{00000000-0005-0000-0000-000005450000}"/>
    <cellStyle name="Normal 2 9" xfId="2625" xr:uid="{00000000-0005-0000-0000-000006450000}"/>
    <cellStyle name="Normal 2 9 2" xfId="9900" xr:uid="{00000000-0005-0000-0000-000007450000}"/>
    <cellStyle name="Normal 2 9 2 2" xfId="11116" xr:uid="{00000000-0005-0000-0000-000008450000}"/>
    <cellStyle name="Normal 2 9 2 2 2" xfId="14308" xr:uid="{00000000-0005-0000-0000-000009450000}"/>
    <cellStyle name="Normal 2 9 2 2 2 2" xfId="35889" xr:uid="{00000000-0005-0000-0000-00000A450000}"/>
    <cellStyle name="Normal 2 9 2 2 2 3" xfId="29551" xr:uid="{00000000-0005-0000-0000-00000B450000}"/>
    <cellStyle name="Normal 2 9 2 2 3" xfId="33933" xr:uid="{00000000-0005-0000-0000-00000C450000}"/>
    <cellStyle name="Normal 2 9 2 3" xfId="14307" xr:uid="{00000000-0005-0000-0000-00000D450000}"/>
    <cellStyle name="Normal 2 9 2 3 2" xfId="35888" xr:uid="{00000000-0005-0000-0000-00000E450000}"/>
    <cellStyle name="Normal 2 9 2 3 3" xfId="29227" xr:uid="{00000000-0005-0000-0000-00000F450000}"/>
    <cellStyle name="Normal 2 9 2 4" xfId="33322" xr:uid="{00000000-0005-0000-0000-000010450000}"/>
    <cellStyle name="Normal 2_Copy of Commissioning date correction" xfId="2626" xr:uid="{00000000-0005-0000-0000-000011450000}"/>
    <cellStyle name="Normal 20" xfId="2627" xr:uid="{00000000-0005-0000-0000-000012450000}"/>
    <cellStyle name="Normal 20 10" xfId="11698" xr:uid="{00000000-0005-0000-0000-000013450000}"/>
    <cellStyle name="Normal 20 10 2" xfId="29828" xr:uid="{00000000-0005-0000-0000-000014450000}"/>
    <cellStyle name="Normal 20 10 3" xfId="34476" xr:uid="{00000000-0005-0000-0000-000015450000}"/>
    <cellStyle name="Normal 20 11" xfId="11817" xr:uid="{00000000-0005-0000-0000-000016450000}"/>
    <cellStyle name="Normal 20 11 2" xfId="29946" xr:uid="{00000000-0005-0000-0000-000017450000}"/>
    <cellStyle name="Normal 20 11 3" xfId="34595" xr:uid="{00000000-0005-0000-0000-000018450000}"/>
    <cellStyle name="Normal 20 12" xfId="11936" xr:uid="{00000000-0005-0000-0000-000019450000}"/>
    <cellStyle name="Normal 20 12 2" xfId="30063" xr:uid="{00000000-0005-0000-0000-00001A450000}"/>
    <cellStyle name="Normal 20 12 3" xfId="34714" xr:uid="{00000000-0005-0000-0000-00001B450000}"/>
    <cellStyle name="Normal 20 13" xfId="12777" xr:uid="{00000000-0005-0000-0000-00001C450000}"/>
    <cellStyle name="Normal 20 14" xfId="13445" xr:uid="{00000000-0005-0000-0000-00001D450000}"/>
    <cellStyle name="Normal 20 14 2" xfId="30557" xr:uid="{00000000-0005-0000-0000-00001E450000}"/>
    <cellStyle name="Normal 20 14 3" xfId="35219" xr:uid="{00000000-0005-0000-0000-00001F450000}"/>
    <cellStyle name="Normal 20 15" xfId="13567" xr:uid="{00000000-0005-0000-0000-000020450000}"/>
    <cellStyle name="Normal 20 15 2" xfId="30679" xr:uid="{00000000-0005-0000-0000-000021450000}"/>
    <cellStyle name="Normal 20 15 3" xfId="35341" xr:uid="{00000000-0005-0000-0000-000022450000}"/>
    <cellStyle name="Normal 20 16" xfId="13687" xr:uid="{00000000-0005-0000-0000-000023450000}"/>
    <cellStyle name="Normal 20 16 2" xfId="30799" xr:uid="{00000000-0005-0000-0000-000024450000}"/>
    <cellStyle name="Normal 20 16 3" xfId="35461" xr:uid="{00000000-0005-0000-0000-000025450000}"/>
    <cellStyle name="Normal 20 17" xfId="13808" xr:uid="{00000000-0005-0000-0000-000026450000}"/>
    <cellStyle name="Normal 20 17 2" xfId="30920" xr:uid="{00000000-0005-0000-0000-000027450000}"/>
    <cellStyle name="Normal 20 17 3" xfId="35582" xr:uid="{00000000-0005-0000-0000-000028450000}"/>
    <cellStyle name="Normal 20 18" xfId="13927" xr:uid="{00000000-0005-0000-0000-000029450000}"/>
    <cellStyle name="Normal 20 18 2" xfId="31039" xr:uid="{00000000-0005-0000-0000-00002A450000}"/>
    <cellStyle name="Normal 20 18 3" xfId="35701" xr:uid="{00000000-0005-0000-0000-00002B450000}"/>
    <cellStyle name="Normal 20 19" xfId="14309" xr:uid="{00000000-0005-0000-0000-00002C450000}"/>
    <cellStyle name="Normal 20 2" xfId="2628" xr:uid="{00000000-0005-0000-0000-00002D450000}"/>
    <cellStyle name="Normal 20 2 10" xfId="11699" xr:uid="{00000000-0005-0000-0000-00002E450000}"/>
    <cellStyle name="Normal 20 2 10 2" xfId="29829" xr:uid="{00000000-0005-0000-0000-00002F450000}"/>
    <cellStyle name="Normal 20 2 10 3" xfId="34477" xr:uid="{00000000-0005-0000-0000-000030450000}"/>
    <cellStyle name="Normal 20 2 11" xfId="11818" xr:uid="{00000000-0005-0000-0000-000031450000}"/>
    <cellStyle name="Normal 20 2 11 2" xfId="29947" xr:uid="{00000000-0005-0000-0000-000032450000}"/>
    <cellStyle name="Normal 20 2 11 3" xfId="34596" xr:uid="{00000000-0005-0000-0000-000033450000}"/>
    <cellStyle name="Normal 20 2 12" xfId="11937" xr:uid="{00000000-0005-0000-0000-000034450000}"/>
    <cellStyle name="Normal 20 2 12 2" xfId="30064" xr:uid="{00000000-0005-0000-0000-000035450000}"/>
    <cellStyle name="Normal 20 2 12 3" xfId="34715" xr:uid="{00000000-0005-0000-0000-000036450000}"/>
    <cellStyle name="Normal 20 2 13" xfId="13446" xr:uid="{00000000-0005-0000-0000-000037450000}"/>
    <cellStyle name="Normal 20 2 13 2" xfId="30558" xr:uid="{00000000-0005-0000-0000-000038450000}"/>
    <cellStyle name="Normal 20 2 13 3" xfId="35220" xr:uid="{00000000-0005-0000-0000-000039450000}"/>
    <cellStyle name="Normal 20 2 14" xfId="13568" xr:uid="{00000000-0005-0000-0000-00003A450000}"/>
    <cellStyle name="Normal 20 2 14 2" xfId="30680" xr:uid="{00000000-0005-0000-0000-00003B450000}"/>
    <cellStyle name="Normal 20 2 14 3" xfId="35342" xr:uid="{00000000-0005-0000-0000-00003C450000}"/>
    <cellStyle name="Normal 20 2 15" xfId="13688" xr:uid="{00000000-0005-0000-0000-00003D450000}"/>
    <cellStyle name="Normal 20 2 15 2" xfId="30800" xr:uid="{00000000-0005-0000-0000-00003E450000}"/>
    <cellStyle name="Normal 20 2 15 3" xfId="35462" xr:uid="{00000000-0005-0000-0000-00003F450000}"/>
    <cellStyle name="Normal 20 2 16" xfId="13809" xr:uid="{00000000-0005-0000-0000-000040450000}"/>
    <cellStyle name="Normal 20 2 16 2" xfId="30921" xr:uid="{00000000-0005-0000-0000-000041450000}"/>
    <cellStyle name="Normal 20 2 16 3" xfId="35583" xr:uid="{00000000-0005-0000-0000-000042450000}"/>
    <cellStyle name="Normal 20 2 17" xfId="13928" xr:uid="{00000000-0005-0000-0000-000043450000}"/>
    <cellStyle name="Normal 20 2 17 2" xfId="31040" xr:uid="{00000000-0005-0000-0000-000044450000}"/>
    <cellStyle name="Normal 20 2 17 3" xfId="35702" xr:uid="{00000000-0005-0000-0000-000045450000}"/>
    <cellStyle name="Normal 20 2 18" xfId="39792" xr:uid="{00000000-0005-0000-0000-00000F0C0000}"/>
    <cellStyle name="Normal 20 2 2" xfId="2629" xr:uid="{00000000-0005-0000-0000-000046450000}"/>
    <cellStyle name="Normal 20 2 2 2" xfId="2630" xr:uid="{00000000-0005-0000-0000-000047450000}"/>
    <cellStyle name="Normal 20 2 3" xfId="2631" xr:uid="{00000000-0005-0000-0000-000048450000}"/>
    <cellStyle name="Normal 20 2 4" xfId="2632" xr:uid="{00000000-0005-0000-0000-000049450000}"/>
    <cellStyle name="Normal 20 2 5" xfId="2633" xr:uid="{00000000-0005-0000-0000-00004A450000}"/>
    <cellStyle name="Normal 20 2 6" xfId="2634" xr:uid="{00000000-0005-0000-0000-00004B450000}"/>
    <cellStyle name="Normal 20 2 7" xfId="9901" xr:uid="{00000000-0005-0000-0000-00004C450000}"/>
    <cellStyle name="Normal 20 2 8" xfId="9902" xr:uid="{00000000-0005-0000-0000-00004D450000}"/>
    <cellStyle name="Normal 20 2 8 2" xfId="28479" xr:uid="{00000000-0005-0000-0000-00004E450000}"/>
    <cellStyle name="Normal 20 2 9" xfId="11561" xr:uid="{00000000-0005-0000-0000-00004F450000}"/>
    <cellStyle name="Normal 20 2 9 2" xfId="29710" xr:uid="{00000000-0005-0000-0000-000050450000}"/>
    <cellStyle name="Normal 20 2 9 3" xfId="34351" xr:uid="{00000000-0005-0000-0000-000051450000}"/>
    <cellStyle name="Normal 20 3" xfId="2635" xr:uid="{00000000-0005-0000-0000-000052450000}"/>
    <cellStyle name="Normal 20 3 10" xfId="11700" xr:uid="{00000000-0005-0000-0000-000053450000}"/>
    <cellStyle name="Normal 20 3 10 2" xfId="29830" xr:uid="{00000000-0005-0000-0000-000054450000}"/>
    <cellStyle name="Normal 20 3 10 3" xfId="34478" xr:uid="{00000000-0005-0000-0000-000055450000}"/>
    <cellStyle name="Normal 20 3 11" xfId="11819" xr:uid="{00000000-0005-0000-0000-000056450000}"/>
    <cellStyle name="Normal 20 3 11 2" xfId="29948" xr:uid="{00000000-0005-0000-0000-000057450000}"/>
    <cellStyle name="Normal 20 3 11 3" xfId="34597" xr:uid="{00000000-0005-0000-0000-000058450000}"/>
    <cellStyle name="Normal 20 3 12" xfId="11938" xr:uid="{00000000-0005-0000-0000-000059450000}"/>
    <cellStyle name="Normal 20 3 12 2" xfId="30065" xr:uid="{00000000-0005-0000-0000-00005A450000}"/>
    <cellStyle name="Normal 20 3 12 3" xfId="34716" xr:uid="{00000000-0005-0000-0000-00005B450000}"/>
    <cellStyle name="Normal 20 3 13" xfId="13447" xr:uid="{00000000-0005-0000-0000-00005C450000}"/>
    <cellStyle name="Normal 20 3 13 2" xfId="30559" xr:uid="{00000000-0005-0000-0000-00005D450000}"/>
    <cellStyle name="Normal 20 3 13 3" xfId="35221" xr:uid="{00000000-0005-0000-0000-00005E450000}"/>
    <cellStyle name="Normal 20 3 14" xfId="13569" xr:uid="{00000000-0005-0000-0000-00005F450000}"/>
    <cellStyle name="Normal 20 3 14 2" xfId="30681" xr:uid="{00000000-0005-0000-0000-000060450000}"/>
    <cellStyle name="Normal 20 3 14 3" xfId="35343" xr:uid="{00000000-0005-0000-0000-000061450000}"/>
    <cellStyle name="Normal 20 3 15" xfId="13689" xr:uid="{00000000-0005-0000-0000-000062450000}"/>
    <cellStyle name="Normal 20 3 15 2" xfId="30801" xr:uid="{00000000-0005-0000-0000-000063450000}"/>
    <cellStyle name="Normal 20 3 15 3" xfId="35463" xr:uid="{00000000-0005-0000-0000-000064450000}"/>
    <cellStyle name="Normal 20 3 16" xfId="13810" xr:uid="{00000000-0005-0000-0000-000065450000}"/>
    <cellStyle name="Normal 20 3 16 2" xfId="30922" xr:uid="{00000000-0005-0000-0000-000066450000}"/>
    <cellStyle name="Normal 20 3 16 3" xfId="35584" xr:uid="{00000000-0005-0000-0000-000067450000}"/>
    <cellStyle name="Normal 20 3 17" xfId="13929" xr:uid="{00000000-0005-0000-0000-000068450000}"/>
    <cellStyle name="Normal 20 3 17 2" xfId="31041" xr:uid="{00000000-0005-0000-0000-000069450000}"/>
    <cellStyle name="Normal 20 3 17 3" xfId="35703" xr:uid="{00000000-0005-0000-0000-00006A450000}"/>
    <cellStyle name="Normal 20 3 18" xfId="39793" xr:uid="{00000000-0005-0000-0000-0000100C0000}"/>
    <cellStyle name="Normal 20 3 2" xfId="2636" xr:uid="{00000000-0005-0000-0000-00006B450000}"/>
    <cellStyle name="Normal 20 3 2 2" xfId="2637" xr:uid="{00000000-0005-0000-0000-00006C450000}"/>
    <cellStyle name="Normal 20 3 3" xfId="2638" xr:uid="{00000000-0005-0000-0000-00006D450000}"/>
    <cellStyle name="Normal 20 3 4" xfId="2639" xr:uid="{00000000-0005-0000-0000-00006E450000}"/>
    <cellStyle name="Normal 20 3 5" xfId="2640" xr:uid="{00000000-0005-0000-0000-00006F450000}"/>
    <cellStyle name="Normal 20 3 6" xfId="2641" xr:uid="{00000000-0005-0000-0000-000070450000}"/>
    <cellStyle name="Normal 20 3 7" xfId="9903" xr:uid="{00000000-0005-0000-0000-000071450000}"/>
    <cellStyle name="Normal 20 3 8" xfId="9904" xr:uid="{00000000-0005-0000-0000-000072450000}"/>
    <cellStyle name="Normal 20 3 8 2" xfId="28480" xr:uid="{00000000-0005-0000-0000-000073450000}"/>
    <cellStyle name="Normal 20 3 9" xfId="11562" xr:uid="{00000000-0005-0000-0000-000074450000}"/>
    <cellStyle name="Normal 20 3 9 2" xfId="29711" xr:uid="{00000000-0005-0000-0000-000075450000}"/>
    <cellStyle name="Normal 20 3 9 3" xfId="34352" xr:uid="{00000000-0005-0000-0000-000076450000}"/>
    <cellStyle name="Normal 20 4" xfId="2642" xr:uid="{00000000-0005-0000-0000-000077450000}"/>
    <cellStyle name="Normal 20 4 2" xfId="2643" xr:uid="{00000000-0005-0000-0000-000078450000}"/>
    <cellStyle name="Normal 20 4 2 2" xfId="2644" xr:uid="{00000000-0005-0000-0000-000079450000}"/>
    <cellStyle name="Normal 20 4 3" xfId="2645" xr:uid="{00000000-0005-0000-0000-00007A450000}"/>
    <cellStyle name="Normal 20 4 4" xfId="2646" xr:uid="{00000000-0005-0000-0000-00007B450000}"/>
    <cellStyle name="Normal 20 4 5" xfId="2647" xr:uid="{00000000-0005-0000-0000-00007C450000}"/>
    <cellStyle name="Normal 20 4 6" xfId="2648" xr:uid="{00000000-0005-0000-0000-00007D450000}"/>
    <cellStyle name="Normal 20 4 7" xfId="9905" xr:uid="{00000000-0005-0000-0000-00007E450000}"/>
    <cellStyle name="Normal 20 4 8" xfId="9906" xr:uid="{00000000-0005-0000-0000-00007F450000}"/>
    <cellStyle name="Normal 20 4 8 2" xfId="28481" xr:uid="{00000000-0005-0000-0000-000080450000}"/>
    <cellStyle name="Normal 20 5" xfId="2649" xr:uid="{00000000-0005-0000-0000-000081450000}"/>
    <cellStyle name="Normal 20 5 2" xfId="2650" xr:uid="{00000000-0005-0000-0000-000082450000}"/>
    <cellStyle name="Normal 20 5 2 2" xfId="2651" xr:uid="{00000000-0005-0000-0000-000083450000}"/>
    <cellStyle name="Normal 20 5 3" xfId="2652" xr:uid="{00000000-0005-0000-0000-000084450000}"/>
    <cellStyle name="Normal 20 5 4" xfId="2653" xr:uid="{00000000-0005-0000-0000-000085450000}"/>
    <cellStyle name="Normal 20 5 5" xfId="2654" xr:uid="{00000000-0005-0000-0000-000086450000}"/>
    <cellStyle name="Normal 20 5 6" xfId="2655" xr:uid="{00000000-0005-0000-0000-000087450000}"/>
    <cellStyle name="Normal 20 5 7" xfId="9907" xr:uid="{00000000-0005-0000-0000-000088450000}"/>
    <cellStyle name="Normal 20 5 8" xfId="9908" xr:uid="{00000000-0005-0000-0000-000089450000}"/>
    <cellStyle name="Normal 20 5 8 2" xfId="28482" xr:uid="{00000000-0005-0000-0000-00008A450000}"/>
    <cellStyle name="Normal 20 6" xfId="2656" xr:uid="{00000000-0005-0000-0000-00008B450000}"/>
    <cellStyle name="Normal 20 6 2" xfId="2657" xr:uid="{00000000-0005-0000-0000-00008C450000}"/>
    <cellStyle name="Normal 20 6 2 2" xfId="2658" xr:uid="{00000000-0005-0000-0000-00008D450000}"/>
    <cellStyle name="Normal 20 6 3" xfId="2659" xr:uid="{00000000-0005-0000-0000-00008E450000}"/>
    <cellStyle name="Normal 20 6 4" xfId="2660" xr:uid="{00000000-0005-0000-0000-00008F450000}"/>
    <cellStyle name="Normal 20 6 5" xfId="2661" xr:uid="{00000000-0005-0000-0000-000090450000}"/>
    <cellStyle name="Normal 20 6 6" xfId="2662" xr:uid="{00000000-0005-0000-0000-000091450000}"/>
    <cellStyle name="Normal 20 6 7" xfId="9909" xr:uid="{00000000-0005-0000-0000-000092450000}"/>
    <cellStyle name="Normal 20 6 8" xfId="9910" xr:uid="{00000000-0005-0000-0000-000093450000}"/>
    <cellStyle name="Normal 20 6 8 2" xfId="28483" xr:uid="{00000000-0005-0000-0000-000094450000}"/>
    <cellStyle name="Normal 20 7" xfId="9911" xr:uid="{00000000-0005-0000-0000-000095450000}"/>
    <cellStyle name="Normal 20 8" xfId="9912" xr:uid="{00000000-0005-0000-0000-000096450000}"/>
    <cellStyle name="Normal 20 8 2" xfId="28484" xr:uid="{00000000-0005-0000-0000-000097450000}"/>
    <cellStyle name="Normal 20 9" xfId="11560" xr:uid="{00000000-0005-0000-0000-000098450000}"/>
    <cellStyle name="Normal 20 9 2" xfId="29709" xr:uid="{00000000-0005-0000-0000-000099450000}"/>
    <cellStyle name="Normal 20 9 3" xfId="34350" xr:uid="{00000000-0005-0000-0000-00009A450000}"/>
    <cellStyle name="Normal 21" xfId="2663" xr:uid="{00000000-0005-0000-0000-00009B450000}"/>
    <cellStyle name="Normal 21 10" xfId="11701" xr:uid="{00000000-0005-0000-0000-00009C450000}"/>
    <cellStyle name="Normal 21 10 2" xfId="29831" xr:uid="{00000000-0005-0000-0000-00009D450000}"/>
    <cellStyle name="Normal 21 10 3" xfId="34479" xr:uid="{00000000-0005-0000-0000-00009E450000}"/>
    <cellStyle name="Normal 21 11" xfId="11820" xr:uid="{00000000-0005-0000-0000-00009F450000}"/>
    <cellStyle name="Normal 21 11 2" xfId="29949" xr:uid="{00000000-0005-0000-0000-0000A0450000}"/>
    <cellStyle name="Normal 21 11 3" xfId="34598" xr:uid="{00000000-0005-0000-0000-0000A1450000}"/>
    <cellStyle name="Normal 21 12" xfId="11939" xr:uid="{00000000-0005-0000-0000-0000A2450000}"/>
    <cellStyle name="Normal 21 12 2" xfId="30066" xr:uid="{00000000-0005-0000-0000-0000A3450000}"/>
    <cellStyle name="Normal 21 12 3" xfId="34717" xr:uid="{00000000-0005-0000-0000-0000A4450000}"/>
    <cellStyle name="Normal 21 13" xfId="13448" xr:uid="{00000000-0005-0000-0000-0000A5450000}"/>
    <cellStyle name="Normal 21 13 2" xfId="30560" xr:uid="{00000000-0005-0000-0000-0000A6450000}"/>
    <cellStyle name="Normal 21 13 3" xfId="35222" xr:uid="{00000000-0005-0000-0000-0000A7450000}"/>
    <cellStyle name="Normal 21 14" xfId="13570" xr:uid="{00000000-0005-0000-0000-0000A8450000}"/>
    <cellStyle name="Normal 21 14 2" xfId="30682" xr:uid="{00000000-0005-0000-0000-0000A9450000}"/>
    <cellStyle name="Normal 21 14 3" xfId="35344" xr:uid="{00000000-0005-0000-0000-0000AA450000}"/>
    <cellStyle name="Normal 21 15" xfId="13690" xr:uid="{00000000-0005-0000-0000-0000AB450000}"/>
    <cellStyle name="Normal 21 15 2" xfId="30802" xr:uid="{00000000-0005-0000-0000-0000AC450000}"/>
    <cellStyle name="Normal 21 15 3" xfId="35464" xr:uid="{00000000-0005-0000-0000-0000AD450000}"/>
    <cellStyle name="Normal 21 16" xfId="13811" xr:uid="{00000000-0005-0000-0000-0000AE450000}"/>
    <cellStyle name="Normal 21 16 2" xfId="30923" xr:uid="{00000000-0005-0000-0000-0000AF450000}"/>
    <cellStyle name="Normal 21 16 3" xfId="35585" xr:uid="{00000000-0005-0000-0000-0000B0450000}"/>
    <cellStyle name="Normal 21 17" xfId="13930" xr:uid="{00000000-0005-0000-0000-0000B1450000}"/>
    <cellStyle name="Normal 21 17 2" xfId="31042" xr:uid="{00000000-0005-0000-0000-0000B2450000}"/>
    <cellStyle name="Normal 21 17 3" xfId="35704" xr:uid="{00000000-0005-0000-0000-0000B3450000}"/>
    <cellStyle name="Normal 21 18" xfId="14310" xr:uid="{00000000-0005-0000-0000-0000B4450000}"/>
    <cellStyle name="Normal 21 2" xfId="2664" xr:uid="{00000000-0005-0000-0000-0000B5450000}"/>
    <cellStyle name="Normal 21 2 10" xfId="11702" xr:uid="{00000000-0005-0000-0000-0000B6450000}"/>
    <cellStyle name="Normal 21 2 10 2" xfId="29832" xr:uid="{00000000-0005-0000-0000-0000B7450000}"/>
    <cellStyle name="Normal 21 2 10 3" xfId="34480" xr:uid="{00000000-0005-0000-0000-0000B8450000}"/>
    <cellStyle name="Normal 21 2 11" xfId="11821" xr:uid="{00000000-0005-0000-0000-0000B9450000}"/>
    <cellStyle name="Normal 21 2 11 2" xfId="29950" xr:uid="{00000000-0005-0000-0000-0000BA450000}"/>
    <cellStyle name="Normal 21 2 11 3" xfId="34599" xr:uid="{00000000-0005-0000-0000-0000BB450000}"/>
    <cellStyle name="Normal 21 2 12" xfId="11940" xr:uid="{00000000-0005-0000-0000-0000BC450000}"/>
    <cellStyle name="Normal 21 2 12 2" xfId="30067" xr:uid="{00000000-0005-0000-0000-0000BD450000}"/>
    <cellStyle name="Normal 21 2 12 3" xfId="34718" xr:uid="{00000000-0005-0000-0000-0000BE450000}"/>
    <cellStyle name="Normal 21 2 13" xfId="13449" xr:uid="{00000000-0005-0000-0000-0000BF450000}"/>
    <cellStyle name="Normal 21 2 13 2" xfId="30561" xr:uid="{00000000-0005-0000-0000-0000C0450000}"/>
    <cellStyle name="Normal 21 2 13 3" xfId="35223" xr:uid="{00000000-0005-0000-0000-0000C1450000}"/>
    <cellStyle name="Normal 21 2 14" xfId="13571" xr:uid="{00000000-0005-0000-0000-0000C2450000}"/>
    <cellStyle name="Normal 21 2 14 2" xfId="30683" xr:uid="{00000000-0005-0000-0000-0000C3450000}"/>
    <cellStyle name="Normal 21 2 14 3" xfId="35345" xr:uid="{00000000-0005-0000-0000-0000C4450000}"/>
    <cellStyle name="Normal 21 2 15" xfId="13691" xr:uid="{00000000-0005-0000-0000-0000C5450000}"/>
    <cellStyle name="Normal 21 2 15 2" xfId="30803" xr:uid="{00000000-0005-0000-0000-0000C6450000}"/>
    <cellStyle name="Normal 21 2 15 3" xfId="35465" xr:uid="{00000000-0005-0000-0000-0000C7450000}"/>
    <cellStyle name="Normal 21 2 16" xfId="13812" xr:uid="{00000000-0005-0000-0000-0000C8450000}"/>
    <cellStyle name="Normal 21 2 16 2" xfId="30924" xr:uid="{00000000-0005-0000-0000-0000C9450000}"/>
    <cellStyle name="Normal 21 2 16 3" xfId="35586" xr:uid="{00000000-0005-0000-0000-0000CA450000}"/>
    <cellStyle name="Normal 21 2 17" xfId="13931" xr:uid="{00000000-0005-0000-0000-0000CB450000}"/>
    <cellStyle name="Normal 21 2 17 2" xfId="31043" xr:uid="{00000000-0005-0000-0000-0000CC450000}"/>
    <cellStyle name="Normal 21 2 17 3" xfId="35705" xr:uid="{00000000-0005-0000-0000-0000CD450000}"/>
    <cellStyle name="Normal 21 2 18" xfId="39795" xr:uid="{00000000-0005-0000-0000-0000130C0000}"/>
    <cellStyle name="Normal 21 2 2" xfId="2665" xr:uid="{00000000-0005-0000-0000-0000CE450000}"/>
    <cellStyle name="Normal 21 2 2 2" xfId="2666" xr:uid="{00000000-0005-0000-0000-0000CF450000}"/>
    <cellStyle name="Normal 21 2 3" xfId="2667" xr:uid="{00000000-0005-0000-0000-0000D0450000}"/>
    <cellStyle name="Normal 21 2 4" xfId="2668" xr:uid="{00000000-0005-0000-0000-0000D1450000}"/>
    <cellStyle name="Normal 21 2 5" xfId="2669" xr:uid="{00000000-0005-0000-0000-0000D2450000}"/>
    <cellStyle name="Normal 21 2 6" xfId="2670" xr:uid="{00000000-0005-0000-0000-0000D3450000}"/>
    <cellStyle name="Normal 21 2 7" xfId="9913" xr:uid="{00000000-0005-0000-0000-0000D4450000}"/>
    <cellStyle name="Normal 21 2 8" xfId="9914" xr:uid="{00000000-0005-0000-0000-0000D5450000}"/>
    <cellStyle name="Normal 21 2 8 2" xfId="28485" xr:uid="{00000000-0005-0000-0000-0000D6450000}"/>
    <cellStyle name="Normal 21 2 9" xfId="11564" xr:uid="{00000000-0005-0000-0000-0000D7450000}"/>
    <cellStyle name="Normal 21 2 9 2" xfId="29713" xr:uid="{00000000-0005-0000-0000-0000D8450000}"/>
    <cellStyle name="Normal 21 2 9 3" xfId="34354" xr:uid="{00000000-0005-0000-0000-0000D9450000}"/>
    <cellStyle name="Normal 21 3" xfId="2671" xr:uid="{00000000-0005-0000-0000-0000DA450000}"/>
    <cellStyle name="Normal 21 3 10" xfId="11703" xr:uid="{00000000-0005-0000-0000-0000DB450000}"/>
    <cellStyle name="Normal 21 3 10 2" xfId="29833" xr:uid="{00000000-0005-0000-0000-0000DC450000}"/>
    <cellStyle name="Normal 21 3 10 3" xfId="34481" xr:uid="{00000000-0005-0000-0000-0000DD450000}"/>
    <cellStyle name="Normal 21 3 11" xfId="11822" xr:uid="{00000000-0005-0000-0000-0000DE450000}"/>
    <cellStyle name="Normal 21 3 11 2" xfId="29951" xr:uid="{00000000-0005-0000-0000-0000DF450000}"/>
    <cellStyle name="Normal 21 3 11 3" xfId="34600" xr:uid="{00000000-0005-0000-0000-0000E0450000}"/>
    <cellStyle name="Normal 21 3 12" xfId="11941" xr:uid="{00000000-0005-0000-0000-0000E1450000}"/>
    <cellStyle name="Normal 21 3 12 2" xfId="30068" xr:uid="{00000000-0005-0000-0000-0000E2450000}"/>
    <cellStyle name="Normal 21 3 12 3" xfId="34719" xr:uid="{00000000-0005-0000-0000-0000E3450000}"/>
    <cellStyle name="Normal 21 3 13" xfId="13450" xr:uid="{00000000-0005-0000-0000-0000E4450000}"/>
    <cellStyle name="Normal 21 3 13 2" xfId="30562" xr:uid="{00000000-0005-0000-0000-0000E5450000}"/>
    <cellStyle name="Normal 21 3 13 3" xfId="35224" xr:uid="{00000000-0005-0000-0000-0000E6450000}"/>
    <cellStyle name="Normal 21 3 14" xfId="13572" xr:uid="{00000000-0005-0000-0000-0000E7450000}"/>
    <cellStyle name="Normal 21 3 14 2" xfId="30684" xr:uid="{00000000-0005-0000-0000-0000E8450000}"/>
    <cellStyle name="Normal 21 3 14 3" xfId="35346" xr:uid="{00000000-0005-0000-0000-0000E9450000}"/>
    <cellStyle name="Normal 21 3 15" xfId="13692" xr:uid="{00000000-0005-0000-0000-0000EA450000}"/>
    <cellStyle name="Normal 21 3 15 2" xfId="30804" xr:uid="{00000000-0005-0000-0000-0000EB450000}"/>
    <cellStyle name="Normal 21 3 15 3" xfId="35466" xr:uid="{00000000-0005-0000-0000-0000EC450000}"/>
    <cellStyle name="Normal 21 3 16" xfId="13813" xr:uid="{00000000-0005-0000-0000-0000ED450000}"/>
    <cellStyle name="Normal 21 3 16 2" xfId="30925" xr:uid="{00000000-0005-0000-0000-0000EE450000}"/>
    <cellStyle name="Normal 21 3 16 3" xfId="35587" xr:uid="{00000000-0005-0000-0000-0000EF450000}"/>
    <cellStyle name="Normal 21 3 17" xfId="13932" xr:uid="{00000000-0005-0000-0000-0000F0450000}"/>
    <cellStyle name="Normal 21 3 17 2" xfId="31044" xr:uid="{00000000-0005-0000-0000-0000F1450000}"/>
    <cellStyle name="Normal 21 3 17 3" xfId="35706" xr:uid="{00000000-0005-0000-0000-0000F2450000}"/>
    <cellStyle name="Normal 21 3 2" xfId="2672" xr:uid="{00000000-0005-0000-0000-0000F3450000}"/>
    <cellStyle name="Normal 21 3 2 2" xfId="2673" xr:uid="{00000000-0005-0000-0000-0000F4450000}"/>
    <cellStyle name="Normal 21 3 3" xfId="2674" xr:uid="{00000000-0005-0000-0000-0000F5450000}"/>
    <cellStyle name="Normal 21 3 4" xfId="2675" xr:uid="{00000000-0005-0000-0000-0000F6450000}"/>
    <cellStyle name="Normal 21 3 5" xfId="2676" xr:uid="{00000000-0005-0000-0000-0000F7450000}"/>
    <cellStyle name="Normal 21 3 6" xfId="2677" xr:uid="{00000000-0005-0000-0000-0000F8450000}"/>
    <cellStyle name="Normal 21 3 7" xfId="9915" xr:uid="{00000000-0005-0000-0000-0000F9450000}"/>
    <cellStyle name="Normal 21 3 8" xfId="9916" xr:uid="{00000000-0005-0000-0000-0000FA450000}"/>
    <cellStyle name="Normal 21 3 8 2" xfId="28486" xr:uid="{00000000-0005-0000-0000-0000FB450000}"/>
    <cellStyle name="Normal 21 3 9" xfId="11565" xr:uid="{00000000-0005-0000-0000-0000FC450000}"/>
    <cellStyle name="Normal 21 3 9 2" xfId="29714" xr:uid="{00000000-0005-0000-0000-0000FD450000}"/>
    <cellStyle name="Normal 21 3 9 3" xfId="34355" xr:uid="{00000000-0005-0000-0000-0000FE450000}"/>
    <cellStyle name="Normal 21 4" xfId="2678" xr:uid="{00000000-0005-0000-0000-0000FF450000}"/>
    <cellStyle name="Normal 21 4 2" xfId="2679" xr:uid="{00000000-0005-0000-0000-000000460000}"/>
    <cellStyle name="Normal 21 4 2 2" xfId="2680" xr:uid="{00000000-0005-0000-0000-000001460000}"/>
    <cellStyle name="Normal 21 4 3" xfId="2681" xr:uid="{00000000-0005-0000-0000-000002460000}"/>
    <cellStyle name="Normal 21 4 4" xfId="2682" xr:uid="{00000000-0005-0000-0000-000003460000}"/>
    <cellStyle name="Normal 21 4 5" xfId="2683" xr:uid="{00000000-0005-0000-0000-000004460000}"/>
    <cellStyle name="Normal 21 4 6" xfId="2684" xr:uid="{00000000-0005-0000-0000-000005460000}"/>
    <cellStyle name="Normal 21 4 7" xfId="9917" xr:uid="{00000000-0005-0000-0000-000006460000}"/>
    <cellStyle name="Normal 21 4 8" xfId="9918" xr:uid="{00000000-0005-0000-0000-000007460000}"/>
    <cellStyle name="Normal 21 4 8 2" xfId="28487" xr:uid="{00000000-0005-0000-0000-000008460000}"/>
    <cellStyle name="Normal 21 4 9" xfId="39794" xr:uid="{00000000-0005-0000-0000-0000160C0000}"/>
    <cellStyle name="Normal 21 5" xfId="2685" xr:uid="{00000000-0005-0000-0000-000009460000}"/>
    <cellStyle name="Normal 21 5 2" xfId="2686" xr:uid="{00000000-0005-0000-0000-00000A460000}"/>
    <cellStyle name="Normal 21 5 2 2" xfId="2687" xr:uid="{00000000-0005-0000-0000-00000B460000}"/>
    <cellStyle name="Normal 21 5 3" xfId="2688" xr:uid="{00000000-0005-0000-0000-00000C460000}"/>
    <cellStyle name="Normal 21 5 4" xfId="2689" xr:uid="{00000000-0005-0000-0000-00000D460000}"/>
    <cellStyle name="Normal 21 5 5" xfId="2690" xr:uid="{00000000-0005-0000-0000-00000E460000}"/>
    <cellStyle name="Normal 21 5 6" xfId="2691" xr:uid="{00000000-0005-0000-0000-00000F460000}"/>
    <cellStyle name="Normal 21 5 7" xfId="9919" xr:uid="{00000000-0005-0000-0000-000010460000}"/>
    <cellStyle name="Normal 21 5 8" xfId="9920" xr:uid="{00000000-0005-0000-0000-000011460000}"/>
    <cellStyle name="Normal 21 5 8 2" xfId="28488" xr:uid="{00000000-0005-0000-0000-000012460000}"/>
    <cellStyle name="Normal 21 6" xfId="2692" xr:uid="{00000000-0005-0000-0000-000013460000}"/>
    <cellStyle name="Normal 21 6 2" xfId="2693" xr:uid="{00000000-0005-0000-0000-000014460000}"/>
    <cellStyle name="Normal 21 6 2 2" xfId="2694" xr:uid="{00000000-0005-0000-0000-000015460000}"/>
    <cellStyle name="Normal 21 6 3" xfId="2695" xr:uid="{00000000-0005-0000-0000-000016460000}"/>
    <cellStyle name="Normal 21 6 4" xfId="2696" xr:uid="{00000000-0005-0000-0000-000017460000}"/>
    <cellStyle name="Normal 21 6 5" xfId="2697" xr:uid="{00000000-0005-0000-0000-000018460000}"/>
    <cellStyle name="Normal 21 6 6" xfId="2698" xr:uid="{00000000-0005-0000-0000-000019460000}"/>
    <cellStyle name="Normal 21 6 7" xfId="9921" xr:uid="{00000000-0005-0000-0000-00001A460000}"/>
    <cellStyle name="Normal 21 6 8" xfId="9922" xr:uid="{00000000-0005-0000-0000-00001B460000}"/>
    <cellStyle name="Normal 21 6 8 2" xfId="28489" xr:uid="{00000000-0005-0000-0000-00001C460000}"/>
    <cellStyle name="Normal 21 7" xfId="9923" xr:uid="{00000000-0005-0000-0000-00001D460000}"/>
    <cellStyle name="Normal 21 8" xfId="9924" xr:uid="{00000000-0005-0000-0000-00001E460000}"/>
    <cellStyle name="Normal 21 8 2" xfId="28490" xr:uid="{00000000-0005-0000-0000-00001F460000}"/>
    <cellStyle name="Normal 21 9" xfId="11563" xr:uid="{00000000-0005-0000-0000-000020460000}"/>
    <cellStyle name="Normal 21 9 2" xfId="29712" xr:uid="{00000000-0005-0000-0000-000021460000}"/>
    <cellStyle name="Normal 21 9 3" xfId="34353" xr:uid="{00000000-0005-0000-0000-000022460000}"/>
    <cellStyle name="Normal 21_Scen_XBase" xfId="39796" xr:uid="{00000000-0005-0000-0000-0000170C0000}"/>
    <cellStyle name="Normal 22" xfId="2699" xr:uid="{00000000-0005-0000-0000-000023460000}"/>
    <cellStyle name="Normal 22 10" xfId="2700" xr:uid="{00000000-0005-0000-0000-000024460000}"/>
    <cellStyle name="Normal 22 11" xfId="9925" xr:uid="{00000000-0005-0000-0000-000025460000}"/>
    <cellStyle name="Normal 22 12" xfId="9926" xr:uid="{00000000-0005-0000-0000-000026460000}"/>
    <cellStyle name="Normal 22 12 2" xfId="28491" xr:uid="{00000000-0005-0000-0000-000027460000}"/>
    <cellStyle name="Normal 22 13" xfId="11566" xr:uid="{00000000-0005-0000-0000-000028460000}"/>
    <cellStyle name="Normal 22 13 2" xfId="29715" xr:uid="{00000000-0005-0000-0000-000029460000}"/>
    <cellStyle name="Normal 22 13 3" xfId="34356" xr:uid="{00000000-0005-0000-0000-00002A460000}"/>
    <cellStyle name="Normal 22 14" xfId="11704" xr:uid="{00000000-0005-0000-0000-00002B460000}"/>
    <cellStyle name="Normal 22 14 2" xfId="29834" xr:uid="{00000000-0005-0000-0000-00002C460000}"/>
    <cellStyle name="Normal 22 14 3" xfId="34482" xr:uid="{00000000-0005-0000-0000-00002D460000}"/>
    <cellStyle name="Normal 22 15" xfId="11823" xr:uid="{00000000-0005-0000-0000-00002E460000}"/>
    <cellStyle name="Normal 22 15 2" xfId="29952" xr:uid="{00000000-0005-0000-0000-00002F460000}"/>
    <cellStyle name="Normal 22 15 3" xfId="34601" xr:uid="{00000000-0005-0000-0000-000030460000}"/>
    <cellStyle name="Normal 22 16" xfId="11942" xr:uid="{00000000-0005-0000-0000-000031460000}"/>
    <cellStyle name="Normal 22 16 2" xfId="30069" xr:uid="{00000000-0005-0000-0000-000032460000}"/>
    <cellStyle name="Normal 22 16 3" xfId="34720" xr:uid="{00000000-0005-0000-0000-000033460000}"/>
    <cellStyle name="Normal 22 17" xfId="13451" xr:uid="{00000000-0005-0000-0000-000034460000}"/>
    <cellStyle name="Normal 22 17 2" xfId="30563" xr:uid="{00000000-0005-0000-0000-000035460000}"/>
    <cellStyle name="Normal 22 17 3" xfId="35225" xr:uid="{00000000-0005-0000-0000-000036460000}"/>
    <cellStyle name="Normal 22 18" xfId="13573" xr:uid="{00000000-0005-0000-0000-000037460000}"/>
    <cellStyle name="Normal 22 18 2" xfId="30685" xr:uid="{00000000-0005-0000-0000-000038460000}"/>
    <cellStyle name="Normal 22 18 3" xfId="35347" xr:uid="{00000000-0005-0000-0000-000039460000}"/>
    <cellStyle name="Normal 22 19" xfId="13693" xr:uid="{00000000-0005-0000-0000-00003A460000}"/>
    <cellStyle name="Normal 22 19 2" xfId="30805" xr:uid="{00000000-0005-0000-0000-00003B460000}"/>
    <cellStyle name="Normal 22 19 3" xfId="35467" xr:uid="{00000000-0005-0000-0000-00003C460000}"/>
    <cellStyle name="Normal 22 2" xfId="2701" xr:uid="{00000000-0005-0000-0000-00003D460000}"/>
    <cellStyle name="Normal 22 2 10" xfId="11705" xr:uid="{00000000-0005-0000-0000-00003E460000}"/>
    <cellStyle name="Normal 22 2 10 2" xfId="29835" xr:uid="{00000000-0005-0000-0000-00003F460000}"/>
    <cellStyle name="Normal 22 2 10 3" xfId="34483" xr:uid="{00000000-0005-0000-0000-000040460000}"/>
    <cellStyle name="Normal 22 2 11" xfId="11824" xr:uid="{00000000-0005-0000-0000-000041460000}"/>
    <cellStyle name="Normal 22 2 11 2" xfId="29953" xr:uid="{00000000-0005-0000-0000-000042460000}"/>
    <cellStyle name="Normal 22 2 11 3" xfId="34602" xr:uid="{00000000-0005-0000-0000-000043460000}"/>
    <cellStyle name="Normal 22 2 12" xfId="11943" xr:uid="{00000000-0005-0000-0000-000044460000}"/>
    <cellStyle name="Normal 22 2 12 2" xfId="30070" xr:uid="{00000000-0005-0000-0000-000045460000}"/>
    <cellStyle name="Normal 22 2 12 3" xfId="34721" xr:uid="{00000000-0005-0000-0000-000046460000}"/>
    <cellStyle name="Normal 22 2 13" xfId="13452" xr:uid="{00000000-0005-0000-0000-000047460000}"/>
    <cellStyle name="Normal 22 2 13 2" xfId="30564" xr:uid="{00000000-0005-0000-0000-000048460000}"/>
    <cellStyle name="Normal 22 2 13 3" xfId="35226" xr:uid="{00000000-0005-0000-0000-000049460000}"/>
    <cellStyle name="Normal 22 2 14" xfId="13574" xr:uid="{00000000-0005-0000-0000-00004A460000}"/>
    <cellStyle name="Normal 22 2 14 2" xfId="30686" xr:uid="{00000000-0005-0000-0000-00004B460000}"/>
    <cellStyle name="Normal 22 2 14 3" xfId="35348" xr:uid="{00000000-0005-0000-0000-00004C460000}"/>
    <cellStyle name="Normal 22 2 15" xfId="13694" xr:uid="{00000000-0005-0000-0000-00004D460000}"/>
    <cellStyle name="Normal 22 2 15 2" xfId="30806" xr:uid="{00000000-0005-0000-0000-00004E460000}"/>
    <cellStyle name="Normal 22 2 15 3" xfId="35468" xr:uid="{00000000-0005-0000-0000-00004F460000}"/>
    <cellStyle name="Normal 22 2 16" xfId="13815" xr:uid="{00000000-0005-0000-0000-000050460000}"/>
    <cellStyle name="Normal 22 2 16 2" xfId="30927" xr:uid="{00000000-0005-0000-0000-000051460000}"/>
    <cellStyle name="Normal 22 2 16 3" xfId="35589" xr:uid="{00000000-0005-0000-0000-000052460000}"/>
    <cellStyle name="Normal 22 2 17" xfId="13934" xr:uid="{00000000-0005-0000-0000-000053460000}"/>
    <cellStyle name="Normal 22 2 17 2" xfId="31046" xr:uid="{00000000-0005-0000-0000-000054460000}"/>
    <cellStyle name="Normal 22 2 17 3" xfId="35708" xr:uid="{00000000-0005-0000-0000-000055460000}"/>
    <cellStyle name="Normal 22 2 2" xfId="2702" xr:uid="{00000000-0005-0000-0000-000056460000}"/>
    <cellStyle name="Normal 22 2 2 2" xfId="2703" xr:uid="{00000000-0005-0000-0000-000057460000}"/>
    <cellStyle name="Normal 22 2 3" xfId="2704" xr:uid="{00000000-0005-0000-0000-000058460000}"/>
    <cellStyle name="Normal 22 2 4" xfId="2705" xr:uid="{00000000-0005-0000-0000-000059460000}"/>
    <cellStyle name="Normal 22 2 5" xfId="2706" xr:uid="{00000000-0005-0000-0000-00005A460000}"/>
    <cellStyle name="Normal 22 2 6" xfId="2707" xr:uid="{00000000-0005-0000-0000-00005B460000}"/>
    <cellStyle name="Normal 22 2 7" xfId="9927" xr:uid="{00000000-0005-0000-0000-00005C460000}"/>
    <cellStyle name="Normal 22 2 8" xfId="9928" xr:uid="{00000000-0005-0000-0000-00005D460000}"/>
    <cellStyle name="Normal 22 2 8 2" xfId="28492" xr:uid="{00000000-0005-0000-0000-00005E460000}"/>
    <cellStyle name="Normal 22 2 9" xfId="11567" xr:uid="{00000000-0005-0000-0000-00005F460000}"/>
    <cellStyle name="Normal 22 2 9 2" xfId="29716" xr:uid="{00000000-0005-0000-0000-000060460000}"/>
    <cellStyle name="Normal 22 2 9 3" xfId="34357" xr:uid="{00000000-0005-0000-0000-000061460000}"/>
    <cellStyle name="Normal 22 20" xfId="13814" xr:uid="{00000000-0005-0000-0000-000062460000}"/>
    <cellStyle name="Normal 22 20 2" xfId="30926" xr:uid="{00000000-0005-0000-0000-000063460000}"/>
    <cellStyle name="Normal 22 20 3" xfId="35588" xr:uid="{00000000-0005-0000-0000-000064460000}"/>
    <cellStyle name="Normal 22 21" xfId="13933" xr:uid="{00000000-0005-0000-0000-000065460000}"/>
    <cellStyle name="Normal 22 21 2" xfId="31045" xr:uid="{00000000-0005-0000-0000-000066460000}"/>
    <cellStyle name="Normal 22 21 3" xfId="35707" xr:uid="{00000000-0005-0000-0000-000067460000}"/>
    <cellStyle name="Normal 22 22" xfId="14311" xr:uid="{00000000-0005-0000-0000-000068460000}"/>
    <cellStyle name="Normal 22 3" xfId="2708" xr:uid="{00000000-0005-0000-0000-000069460000}"/>
    <cellStyle name="Normal 22 3 10" xfId="11706" xr:uid="{00000000-0005-0000-0000-00006A460000}"/>
    <cellStyle name="Normal 22 3 10 2" xfId="29836" xr:uid="{00000000-0005-0000-0000-00006B460000}"/>
    <cellStyle name="Normal 22 3 10 3" xfId="34484" xr:uid="{00000000-0005-0000-0000-00006C460000}"/>
    <cellStyle name="Normal 22 3 11" xfId="11825" xr:uid="{00000000-0005-0000-0000-00006D460000}"/>
    <cellStyle name="Normal 22 3 11 2" xfId="29954" xr:uid="{00000000-0005-0000-0000-00006E460000}"/>
    <cellStyle name="Normal 22 3 11 3" xfId="34603" xr:uid="{00000000-0005-0000-0000-00006F460000}"/>
    <cellStyle name="Normal 22 3 12" xfId="11944" xr:uid="{00000000-0005-0000-0000-000070460000}"/>
    <cellStyle name="Normal 22 3 12 2" xfId="30071" xr:uid="{00000000-0005-0000-0000-000071460000}"/>
    <cellStyle name="Normal 22 3 12 3" xfId="34722" xr:uid="{00000000-0005-0000-0000-000072460000}"/>
    <cellStyle name="Normal 22 3 13" xfId="13453" xr:uid="{00000000-0005-0000-0000-000073460000}"/>
    <cellStyle name="Normal 22 3 13 2" xfId="30565" xr:uid="{00000000-0005-0000-0000-000074460000}"/>
    <cellStyle name="Normal 22 3 13 3" xfId="35227" xr:uid="{00000000-0005-0000-0000-000075460000}"/>
    <cellStyle name="Normal 22 3 14" xfId="13575" xr:uid="{00000000-0005-0000-0000-000076460000}"/>
    <cellStyle name="Normal 22 3 14 2" xfId="30687" xr:uid="{00000000-0005-0000-0000-000077460000}"/>
    <cellStyle name="Normal 22 3 14 3" xfId="35349" xr:uid="{00000000-0005-0000-0000-000078460000}"/>
    <cellStyle name="Normal 22 3 15" xfId="13695" xr:uid="{00000000-0005-0000-0000-000079460000}"/>
    <cellStyle name="Normal 22 3 15 2" xfId="30807" xr:uid="{00000000-0005-0000-0000-00007A460000}"/>
    <cellStyle name="Normal 22 3 15 3" xfId="35469" xr:uid="{00000000-0005-0000-0000-00007B460000}"/>
    <cellStyle name="Normal 22 3 16" xfId="13816" xr:uid="{00000000-0005-0000-0000-00007C460000}"/>
    <cellStyle name="Normal 22 3 16 2" xfId="30928" xr:uid="{00000000-0005-0000-0000-00007D460000}"/>
    <cellStyle name="Normal 22 3 16 3" xfId="35590" xr:uid="{00000000-0005-0000-0000-00007E460000}"/>
    <cellStyle name="Normal 22 3 17" xfId="13935" xr:uid="{00000000-0005-0000-0000-00007F460000}"/>
    <cellStyle name="Normal 22 3 17 2" xfId="31047" xr:uid="{00000000-0005-0000-0000-000080460000}"/>
    <cellStyle name="Normal 22 3 17 3" xfId="35709" xr:uid="{00000000-0005-0000-0000-000081460000}"/>
    <cellStyle name="Normal 22 3 2" xfId="2709" xr:uid="{00000000-0005-0000-0000-000082460000}"/>
    <cellStyle name="Normal 22 3 2 2" xfId="2710" xr:uid="{00000000-0005-0000-0000-000083460000}"/>
    <cellStyle name="Normal 22 3 3" xfId="2711" xr:uid="{00000000-0005-0000-0000-000084460000}"/>
    <cellStyle name="Normal 22 3 4" xfId="2712" xr:uid="{00000000-0005-0000-0000-000085460000}"/>
    <cellStyle name="Normal 22 3 5" xfId="2713" xr:uid="{00000000-0005-0000-0000-000086460000}"/>
    <cellStyle name="Normal 22 3 6" xfId="2714" xr:uid="{00000000-0005-0000-0000-000087460000}"/>
    <cellStyle name="Normal 22 3 7" xfId="9929" xr:uid="{00000000-0005-0000-0000-000088460000}"/>
    <cellStyle name="Normal 22 3 8" xfId="9930" xr:uid="{00000000-0005-0000-0000-000089460000}"/>
    <cellStyle name="Normal 22 3 8 2" xfId="28493" xr:uid="{00000000-0005-0000-0000-00008A460000}"/>
    <cellStyle name="Normal 22 3 9" xfId="11568" xr:uid="{00000000-0005-0000-0000-00008B460000}"/>
    <cellStyle name="Normal 22 3 9 2" xfId="29717" xr:uid="{00000000-0005-0000-0000-00008C460000}"/>
    <cellStyle name="Normal 22 3 9 3" xfId="34358" xr:uid="{00000000-0005-0000-0000-00008D460000}"/>
    <cellStyle name="Normal 22 4" xfId="2715" xr:uid="{00000000-0005-0000-0000-00008E460000}"/>
    <cellStyle name="Normal 22 4 2" xfId="2716" xr:uid="{00000000-0005-0000-0000-00008F460000}"/>
    <cellStyle name="Normal 22 4 2 2" xfId="2717" xr:uid="{00000000-0005-0000-0000-000090460000}"/>
    <cellStyle name="Normal 22 4 3" xfId="2718" xr:uid="{00000000-0005-0000-0000-000091460000}"/>
    <cellStyle name="Normal 22 4 4" xfId="2719" xr:uid="{00000000-0005-0000-0000-000092460000}"/>
    <cellStyle name="Normal 22 4 5" xfId="2720" xr:uid="{00000000-0005-0000-0000-000093460000}"/>
    <cellStyle name="Normal 22 4 6" xfId="2721" xr:uid="{00000000-0005-0000-0000-000094460000}"/>
    <cellStyle name="Normal 22 4 7" xfId="9931" xr:uid="{00000000-0005-0000-0000-000095460000}"/>
    <cellStyle name="Normal 22 4 8" xfId="9932" xr:uid="{00000000-0005-0000-0000-000096460000}"/>
    <cellStyle name="Normal 22 4 8 2" xfId="28494" xr:uid="{00000000-0005-0000-0000-000097460000}"/>
    <cellStyle name="Normal 22 5" xfId="2722" xr:uid="{00000000-0005-0000-0000-000098460000}"/>
    <cellStyle name="Normal 22 5 2" xfId="2723" xr:uid="{00000000-0005-0000-0000-000099460000}"/>
    <cellStyle name="Normal 22 5 2 2" xfId="2724" xr:uid="{00000000-0005-0000-0000-00009A460000}"/>
    <cellStyle name="Normal 22 5 3" xfId="2725" xr:uid="{00000000-0005-0000-0000-00009B460000}"/>
    <cellStyle name="Normal 22 5 4" xfId="2726" xr:uid="{00000000-0005-0000-0000-00009C460000}"/>
    <cellStyle name="Normal 22 5 5" xfId="2727" xr:uid="{00000000-0005-0000-0000-00009D460000}"/>
    <cellStyle name="Normal 22 5 6" xfId="2728" xr:uid="{00000000-0005-0000-0000-00009E460000}"/>
    <cellStyle name="Normal 22 5 7" xfId="9933" xr:uid="{00000000-0005-0000-0000-00009F460000}"/>
    <cellStyle name="Normal 22 5 8" xfId="9934" xr:uid="{00000000-0005-0000-0000-0000A0460000}"/>
    <cellStyle name="Normal 22 5 8 2" xfId="28495" xr:uid="{00000000-0005-0000-0000-0000A1460000}"/>
    <cellStyle name="Normal 22 6" xfId="2729" xr:uid="{00000000-0005-0000-0000-0000A2460000}"/>
    <cellStyle name="Normal 22 6 2" xfId="2730" xr:uid="{00000000-0005-0000-0000-0000A3460000}"/>
    <cellStyle name="Normal 22 6 2 2" xfId="2731" xr:uid="{00000000-0005-0000-0000-0000A4460000}"/>
    <cellStyle name="Normal 22 6 3" xfId="2732" xr:uid="{00000000-0005-0000-0000-0000A5460000}"/>
    <cellStyle name="Normal 22 6 4" xfId="2733" xr:uid="{00000000-0005-0000-0000-0000A6460000}"/>
    <cellStyle name="Normal 22 6 5" xfId="2734" xr:uid="{00000000-0005-0000-0000-0000A7460000}"/>
    <cellStyle name="Normal 22 6 6" xfId="2735" xr:uid="{00000000-0005-0000-0000-0000A8460000}"/>
    <cellStyle name="Normal 22 6 7" xfId="9935" xr:uid="{00000000-0005-0000-0000-0000A9460000}"/>
    <cellStyle name="Normal 22 6 8" xfId="9936" xr:uid="{00000000-0005-0000-0000-0000AA460000}"/>
    <cellStyle name="Normal 22 6 8 2" xfId="28496" xr:uid="{00000000-0005-0000-0000-0000AB460000}"/>
    <cellStyle name="Normal 22 7" xfId="2736" xr:uid="{00000000-0005-0000-0000-0000AC460000}"/>
    <cellStyle name="Normal 22 8" xfId="2737" xr:uid="{00000000-0005-0000-0000-0000AD460000}"/>
    <cellStyle name="Normal 22 9" xfId="2738" xr:uid="{00000000-0005-0000-0000-0000AE460000}"/>
    <cellStyle name="Normal 23" xfId="2739" xr:uid="{00000000-0005-0000-0000-0000AF460000}"/>
    <cellStyle name="Normal 23 10" xfId="11707" xr:uid="{00000000-0005-0000-0000-0000B0460000}"/>
    <cellStyle name="Normal 23 10 2" xfId="29837" xr:uid="{00000000-0005-0000-0000-0000B1460000}"/>
    <cellStyle name="Normal 23 10 3" xfId="34485" xr:uid="{00000000-0005-0000-0000-0000B2460000}"/>
    <cellStyle name="Normal 23 11" xfId="11826" xr:uid="{00000000-0005-0000-0000-0000B3460000}"/>
    <cellStyle name="Normal 23 11 2" xfId="29955" xr:uid="{00000000-0005-0000-0000-0000B4460000}"/>
    <cellStyle name="Normal 23 11 3" xfId="34604" xr:uid="{00000000-0005-0000-0000-0000B5460000}"/>
    <cellStyle name="Normal 23 12" xfId="11945" xr:uid="{00000000-0005-0000-0000-0000B6460000}"/>
    <cellStyle name="Normal 23 12 2" xfId="30072" xr:uid="{00000000-0005-0000-0000-0000B7460000}"/>
    <cellStyle name="Normal 23 12 3" xfId="34723" xr:uid="{00000000-0005-0000-0000-0000B8460000}"/>
    <cellStyle name="Normal 23 13" xfId="13454" xr:uid="{00000000-0005-0000-0000-0000B9460000}"/>
    <cellStyle name="Normal 23 13 2" xfId="30566" xr:uid="{00000000-0005-0000-0000-0000BA460000}"/>
    <cellStyle name="Normal 23 13 3" xfId="35228" xr:uid="{00000000-0005-0000-0000-0000BB460000}"/>
    <cellStyle name="Normal 23 14" xfId="13576" xr:uid="{00000000-0005-0000-0000-0000BC460000}"/>
    <cellStyle name="Normal 23 14 2" xfId="30688" xr:uid="{00000000-0005-0000-0000-0000BD460000}"/>
    <cellStyle name="Normal 23 14 3" xfId="35350" xr:uid="{00000000-0005-0000-0000-0000BE460000}"/>
    <cellStyle name="Normal 23 15" xfId="13696" xr:uid="{00000000-0005-0000-0000-0000BF460000}"/>
    <cellStyle name="Normal 23 15 2" xfId="30808" xr:uid="{00000000-0005-0000-0000-0000C0460000}"/>
    <cellStyle name="Normal 23 15 3" xfId="35470" xr:uid="{00000000-0005-0000-0000-0000C1460000}"/>
    <cellStyle name="Normal 23 16" xfId="13817" xr:uid="{00000000-0005-0000-0000-0000C2460000}"/>
    <cellStyle name="Normal 23 16 2" xfId="30929" xr:uid="{00000000-0005-0000-0000-0000C3460000}"/>
    <cellStyle name="Normal 23 16 3" xfId="35591" xr:uid="{00000000-0005-0000-0000-0000C4460000}"/>
    <cellStyle name="Normal 23 17" xfId="13936" xr:uid="{00000000-0005-0000-0000-0000C5460000}"/>
    <cellStyle name="Normal 23 17 2" xfId="31048" xr:uid="{00000000-0005-0000-0000-0000C6460000}"/>
    <cellStyle name="Normal 23 17 3" xfId="35710" xr:uid="{00000000-0005-0000-0000-0000C7460000}"/>
    <cellStyle name="Normal 23 18" xfId="14312" xr:uid="{00000000-0005-0000-0000-0000C8460000}"/>
    <cellStyle name="Normal 23 2" xfId="2740" xr:uid="{00000000-0005-0000-0000-0000C9460000}"/>
    <cellStyle name="Normal 23 2 10" xfId="11708" xr:uid="{00000000-0005-0000-0000-0000CA460000}"/>
    <cellStyle name="Normal 23 2 10 2" xfId="29838" xr:uid="{00000000-0005-0000-0000-0000CB460000}"/>
    <cellStyle name="Normal 23 2 10 3" xfId="34486" xr:uid="{00000000-0005-0000-0000-0000CC460000}"/>
    <cellStyle name="Normal 23 2 11" xfId="11827" xr:uid="{00000000-0005-0000-0000-0000CD460000}"/>
    <cellStyle name="Normal 23 2 11 2" xfId="29956" xr:uid="{00000000-0005-0000-0000-0000CE460000}"/>
    <cellStyle name="Normal 23 2 11 3" xfId="34605" xr:uid="{00000000-0005-0000-0000-0000CF460000}"/>
    <cellStyle name="Normal 23 2 12" xfId="11946" xr:uid="{00000000-0005-0000-0000-0000D0460000}"/>
    <cellStyle name="Normal 23 2 12 2" xfId="30073" xr:uid="{00000000-0005-0000-0000-0000D1460000}"/>
    <cellStyle name="Normal 23 2 12 3" xfId="34724" xr:uid="{00000000-0005-0000-0000-0000D2460000}"/>
    <cellStyle name="Normal 23 2 13" xfId="13455" xr:uid="{00000000-0005-0000-0000-0000D3460000}"/>
    <cellStyle name="Normal 23 2 13 2" xfId="30567" xr:uid="{00000000-0005-0000-0000-0000D4460000}"/>
    <cellStyle name="Normal 23 2 13 3" xfId="35229" xr:uid="{00000000-0005-0000-0000-0000D5460000}"/>
    <cellStyle name="Normal 23 2 14" xfId="13577" xr:uid="{00000000-0005-0000-0000-0000D6460000}"/>
    <cellStyle name="Normal 23 2 14 2" xfId="30689" xr:uid="{00000000-0005-0000-0000-0000D7460000}"/>
    <cellStyle name="Normal 23 2 14 3" xfId="35351" xr:uid="{00000000-0005-0000-0000-0000D8460000}"/>
    <cellStyle name="Normal 23 2 15" xfId="13697" xr:uid="{00000000-0005-0000-0000-0000D9460000}"/>
    <cellStyle name="Normal 23 2 15 2" xfId="30809" xr:uid="{00000000-0005-0000-0000-0000DA460000}"/>
    <cellStyle name="Normal 23 2 15 3" xfId="35471" xr:uid="{00000000-0005-0000-0000-0000DB460000}"/>
    <cellStyle name="Normal 23 2 16" xfId="13818" xr:uid="{00000000-0005-0000-0000-0000DC460000}"/>
    <cellStyle name="Normal 23 2 16 2" xfId="30930" xr:uid="{00000000-0005-0000-0000-0000DD460000}"/>
    <cellStyle name="Normal 23 2 16 3" xfId="35592" xr:uid="{00000000-0005-0000-0000-0000DE460000}"/>
    <cellStyle name="Normal 23 2 17" xfId="13937" xr:uid="{00000000-0005-0000-0000-0000DF460000}"/>
    <cellStyle name="Normal 23 2 17 2" xfId="31049" xr:uid="{00000000-0005-0000-0000-0000E0460000}"/>
    <cellStyle name="Normal 23 2 17 3" xfId="35711" xr:uid="{00000000-0005-0000-0000-0000E1460000}"/>
    <cellStyle name="Normal 23 2 2" xfId="2741" xr:uid="{00000000-0005-0000-0000-0000E2460000}"/>
    <cellStyle name="Normal 23 2 2 2" xfId="2742" xr:uid="{00000000-0005-0000-0000-0000E3460000}"/>
    <cellStyle name="Normal 23 2 3" xfId="2743" xr:uid="{00000000-0005-0000-0000-0000E4460000}"/>
    <cellStyle name="Normal 23 2 4" xfId="2744" xr:uid="{00000000-0005-0000-0000-0000E5460000}"/>
    <cellStyle name="Normal 23 2 5" xfId="2745" xr:uid="{00000000-0005-0000-0000-0000E6460000}"/>
    <cellStyle name="Normal 23 2 6" xfId="2746" xr:uid="{00000000-0005-0000-0000-0000E7460000}"/>
    <cellStyle name="Normal 23 2 7" xfId="9937" xr:uid="{00000000-0005-0000-0000-0000E8460000}"/>
    <cellStyle name="Normal 23 2 8" xfId="9938" xr:uid="{00000000-0005-0000-0000-0000E9460000}"/>
    <cellStyle name="Normal 23 2 8 2" xfId="28497" xr:uid="{00000000-0005-0000-0000-0000EA460000}"/>
    <cellStyle name="Normal 23 2 9" xfId="11570" xr:uid="{00000000-0005-0000-0000-0000EB460000}"/>
    <cellStyle name="Normal 23 2 9 2" xfId="29719" xr:uid="{00000000-0005-0000-0000-0000EC460000}"/>
    <cellStyle name="Normal 23 2 9 3" xfId="34360" xr:uid="{00000000-0005-0000-0000-0000ED460000}"/>
    <cellStyle name="Normal 23 3" xfId="2747" xr:uid="{00000000-0005-0000-0000-0000EE460000}"/>
    <cellStyle name="Normal 23 3 10" xfId="11709" xr:uid="{00000000-0005-0000-0000-0000EF460000}"/>
    <cellStyle name="Normal 23 3 10 2" xfId="29839" xr:uid="{00000000-0005-0000-0000-0000F0460000}"/>
    <cellStyle name="Normal 23 3 10 3" xfId="34487" xr:uid="{00000000-0005-0000-0000-0000F1460000}"/>
    <cellStyle name="Normal 23 3 11" xfId="11828" xr:uid="{00000000-0005-0000-0000-0000F2460000}"/>
    <cellStyle name="Normal 23 3 11 2" xfId="29957" xr:uid="{00000000-0005-0000-0000-0000F3460000}"/>
    <cellStyle name="Normal 23 3 11 3" xfId="34606" xr:uid="{00000000-0005-0000-0000-0000F4460000}"/>
    <cellStyle name="Normal 23 3 12" xfId="11947" xr:uid="{00000000-0005-0000-0000-0000F5460000}"/>
    <cellStyle name="Normal 23 3 12 2" xfId="30074" xr:uid="{00000000-0005-0000-0000-0000F6460000}"/>
    <cellStyle name="Normal 23 3 12 3" xfId="34725" xr:uid="{00000000-0005-0000-0000-0000F7460000}"/>
    <cellStyle name="Normal 23 3 13" xfId="13456" xr:uid="{00000000-0005-0000-0000-0000F8460000}"/>
    <cellStyle name="Normal 23 3 13 2" xfId="30568" xr:uid="{00000000-0005-0000-0000-0000F9460000}"/>
    <cellStyle name="Normal 23 3 13 3" xfId="35230" xr:uid="{00000000-0005-0000-0000-0000FA460000}"/>
    <cellStyle name="Normal 23 3 14" xfId="13578" xr:uid="{00000000-0005-0000-0000-0000FB460000}"/>
    <cellStyle name="Normal 23 3 14 2" xfId="30690" xr:uid="{00000000-0005-0000-0000-0000FC460000}"/>
    <cellStyle name="Normal 23 3 14 3" xfId="35352" xr:uid="{00000000-0005-0000-0000-0000FD460000}"/>
    <cellStyle name="Normal 23 3 15" xfId="13698" xr:uid="{00000000-0005-0000-0000-0000FE460000}"/>
    <cellStyle name="Normal 23 3 15 2" xfId="30810" xr:uid="{00000000-0005-0000-0000-0000FF460000}"/>
    <cellStyle name="Normal 23 3 15 3" xfId="35472" xr:uid="{00000000-0005-0000-0000-000000470000}"/>
    <cellStyle name="Normal 23 3 16" xfId="13819" xr:uid="{00000000-0005-0000-0000-000001470000}"/>
    <cellStyle name="Normal 23 3 16 2" xfId="30931" xr:uid="{00000000-0005-0000-0000-000002470000}"/>
    <cellStyle name="Normal 23 3 16 3" xfId="35593" xr:uid="{00000000-0005-0000-0000-000003470000}"/>
    <cellStyle name="Normal 23 3 17" xfId="13938" xr:uid="{00000000-0005-0000-0000-000004470000}"/>
    <cellStyle name="Normal 23 3 17 2" xfId="31050" xr:uid="{00000000-0005-0000-0000-000005470000}"/>
    <cellStyle name="Normal 23 3 17 3" xfId="35712" xr:uid="{00000000-0005-0000-0000-000006470000}"/>
    <cellStyle name="Normal 23 3 2" xfId="2748" xr:uid="{00000000-0005-0000-0000-000007470000}"/>
    <cellStyle name="Normal 23 3 2 2" xfId="2749" xr:uid="{00000000-0005-0000-0000-000008470000}"/>
    <cellStyle name="Normal 23 3 3" xfId="2750" xr:uid="{00000000-0005-0000-0000-000009470000}"/>
    <cellStyle name="Normal 23 3 4" xfId="2751" xr:uid="{00000000-0005-0000-0000-00000A470000}"/>
    <cellStyle name="Normal 23 3 5" xfId="2752" xr:uid="{00000000-0005-0000-0000-00000B470000}"/>
    <cellStyle name="Normal 23 3 6" xfId="2753" xr:uid="{00000000-0005-0000-0000-00000C470000}"/>
    <cellStyle name="Normal 23 3 7" xfId="9939" xr:uid="{00000000-0005-0000-0000-00000D470000}"/>
    <cellStyle name="Normal 23 3 8" xfId="9940" xr:uid="{00000000-0005-0000-0000-00000E470000}"/>
    <cellStyle name="Normal 23 3 8 2" xfId="28498" xr:uid="{00000000-0005-0000-0000-00000F470000}"/>
    <cellStyle name="Normal 23 3 9" xfId="11571" xr:uid="{00000000-0005-0000-0000-000010470000}"/>
    <cellStyle name="Normal 23 3 9 2" xfId="29720" xr:uid="{00000000-0005-0000-0000-000011470000}"/>
    <cellStyle name="Normal 23 3 9 3" xfId="34361" xr:uid="{00000000-0005-0000-0000-000012470000}"/>
    <cellStyle name="Normal 23 4" xfId="2754" xr:uid="{00000000-0005-0000-0000-000013470000}"/>
    <cellStyle name="Normal 23 4 2" xfId="2755" xr:uid="{00000000-0005-0000-0000-000014470000}"/>
    <cellStyle name="Normal 23 4 2 2" xfId="2756" xr:uid="{00000000-0005-0000-0000-000015470000}"/>
    <cellStyle name="Normal 23 4 3" xfId="2757" xr:uid="{00000000-0005-0000-0000-000016470000}"/>
    <cellStyle name="Normal 23 4 4" xfId="2758" xr:uid="{00000000-0005-0000-0000-000017470000}"/>
    <cellStyle name="Normal 23 4 5" xfId="2759" xr:uid="{00000000-0005-0000-0000-000018470000}"/>
    <cellStyle name="Normal 23 4 6" xfId="2760" xr:uid="{00000000-0005-0000-0000-000019470000}"/>
    <cellStyle name="Normal 23 4 7" xfId="9941" xr:uid="{00000000-0005-0000-0000-00001A470000}"/>
    <cellStyle name="Normal 23 4 8" xfId="9942" xr:uid="{00000000-0005-0000-0000-00001B470000}"/>
    <cellStyle name="Normal 23 4 8 2" xfId="28499" xr:uid="{00000000-0005-0000-0000-00001C470000}"/>
    <cellStyle name="Normal 23 5" xfId="2761" xr:uid="{00000000-0005-0000-0000-00001D470000}"/>
    <cellStyle name="Normal 23 5 2" xfId="2762" xr:uid="{00000000-0005-0000-0000-00001E470000}"/>
    <cellStyle name="Normal 23 5 2 2" xfId="2763" xr:uid="{00000000-0005-0000-0000-00001F470000}"/>
    <cellStyle name="Normal 23 5 3" xfId="2764" xr:uid="{00000000-0005-0000-0000-000020470000}"/>
    <cellStyle name="Normal 23 5 4" xfId="2765" xr:uid="{00000000-0005-0000-0000-000021470000}"/>
    <cellStyle name="Normal 23 5 5" xfId="2766" xr:uid="{00000000-0005-0000-0000-000022470000}"/>
    <cellStyle name="Normal 23 5 6" xfId="2767" xr:uid="{00000000-0005-0000-0000-000023470000}"/>
    <cellStyle name="Normal 23 5 7" xfId="9943" xr:uid="{00000000-0005-0000-0000-000024470000}"/>
    <cellStyle name="Normal 23 5 8" xfId="9944" xr:uid="{00000000-0005-0000-0000-000025470000}"/>
    <cellStyle name="Normal 23 5 8 2" xfId="28500" xr:uid="{00000000-0005-0000-0000-000026470000}"/>
    <cellStyle name="Normal 23 6" xfId="2768" xr:uid="{00000000-0005-0000-0000-000027470000}"/>
    <cellStyle name="Normal 23 6 2" xfId="2769" xr:uid="{00000000-0005-0000-0000-000028470000}"/>
    <cellStyle name="Normal 23 6 2 2" xfId="2770" xr:uid="{00000000-0005-0000-0000-000029470000}"/>
    <cellStyle name="Normal 23 6 3" xfId="2771" xr:uid="{00000000-0005-0000-0000-00002A470000}"/>
    <cellStyle name="Normal 23 6 4" xfId="2772" xr:uid="{00000000-0005-0000-0000-00002B470000}"/>
    <cellStyle name="Normal 23 6 5" xfId="2773" xr:uid="{00000000-0005-0000-0000-00002C470000}"/>
    <cellStyle name="Normal 23 6 6" xfId="2774" xr:uid="{00000000-0005-0000-0000-00002D470000}"/>
    <cellStyle name="Normal 23 6 7" xfId="9945" xr:uid="{00000000-0005-0000-0000-00002E470000}"/>
    <cellStyle name="Normal 23 6 8" xfId="9946" xr:uid="{00000000-0005-0000-0000-00002F470000}"/>
    <cellStyle name="Normal 23 6 8 2" xfId="28501" xr:uid="{00000000-0005-0000-0000-000030470000}"/>
    <cellStyle name="Normal 23 7" xfId="9947" xr:uid="{00000000-0005-0000-0000-000031470000}"/>
    <cellStyle name="Normal 23 8" xfId="9948" xr:uid="{00000000-0005-0000-0000-000032470000}"/>
    <cellStyle name="Normal 23 8 2" xfId="28502" xr:uid="{00000000-0005-0000-0000-000033470000}"/>
    <cellStyle name="Normal 23 9" xfId="11569" xr:uid="{00000000-0005-0000-0000-000034470000}"/>
    <cellStyle name="Normal 23 9 2" xfId="29718" xr:uid="{00000000-0005-0000-0000-000035470000}"/>
    <cellStyle name="Normal 23 9 3" xfId="34359" xr:uid="{00000000-0005-0000-0000-000036470000}"/>
    <cellStyle name="Normal 24" xfId="2775" xr:uid="{00000000-0005-0000-0000-000037470000}"/>
    <cellStyle name="Normal 24 10" xfId="2776" xr:uid="{00000000-0005-0000-0000-000038470000}"/>
    <cellStyle name="Normal 24 10 2" xfId="39797" xr:uid="{00000000-0005-0000-0000-0000200C0000}"/>
    <cellStyle name="Normal 24 11" xfId="2777" xr:uid="{00000000-0005-0000-0000-000039470000}"/>
    <cellStyle name="Normal 24 11 2" xfId="39798" xr:uid="{00000000-0005-0000-0000-0000210C0000}"/>
    <cellStyle name="Normal 24 12" xfId="9949" xr:uid="{00000000-0005-0000-0000-00003A470000}"/>
    <cellStyle name="Normal 24 12 2" xfId="39799" xr:uid="{00000000-0005-0000-0000-0000220C0000}"/>
    <cellStyle name="Normal 24 13" xfId="9950" xr:uid="{00000000-0005-0000-0000-00003B470000}"/>
    <cellStyle name="Normal 24 13 2" xfId="28503" xr:uid="{00000000-0005-0000-0000-00003C470000}"/>
    <cellStyle name="Normal 24 13 3" xfId="39800" xr:uid="{00000000-0005-0000-0000-0000230C0000}"/>
    <cellStyle name="Normal 24 14" xfId="11572" xr:uid="{00000000-0005-0000-0000-00003D470000}"/>
    <cellStyle name="Normal 24 14 2" xfId="29721" xr:uid="{00000000-0005-0000-0000-00003E470000}"/>
    <cellStyle name="Normal 24 14 3" xfId="34362" xr:uid="{00000000-0005-0000-0000-00003F470000}"/>
    <cellStyle name="Normal 24 14 4" xfId="39801" xr:uid="{00000000-0005-0000-0000-0000240C0000}"/>
    <cellStyle name="Normal 24 15" xfId="11710" xr:uid="{00000000-0005-0000-0000-000040470000}"/>
    <cellStyle name="Normal 24 15 2" xfId="29840" xr:uid="{00000000-0005-0000-0000-000041470000}"/>
    <cellStyle name="Normal 24 15 3" xfId="34488" xr:uid="{00000000-0005-0000-0000-000042470000}"/>
    <cellStyle name="Normal 24 15 4" xfId="39802" xr:uid="{00000000-0005-0000-0000-0000250C0000}"/>
    <cellStyle name="Normal 24 16" xfId="11829" xr:uid="{00000000-0005-0000-0000-000043470000}"/>
    <cellStyle name="Normal 24 16 2" xfId="29958" xr:uid="{00000000-0005-0000-0000-000044470000}"/>
    <cellStyle name="Normal 24 16 3" xfId="34607" xr:uid="{00000000-0005-0000-0000-000045470000}"/>
    <cellStyle name="Normal 24 16 4" xfId="39803" xr:uid="{00000000-0005-0000-0000-0000260C0000}"/>
    <cellStyle name="Normal 24 17" xfId="11948" xr:uid="{00000000-0005-0000-0000-000046470000}"/>
    <cellStyle name="Normal 24 17 2" xfId="30075" xr:uid="{00000000-0005-0000-0000-000047470000}"/>
    <cellStyle name="Normal 24 17 3" xfId="34726" xr:uid="{00000000-0005-0000-0000-000048470000}"/>
    <cellStyle name="Normal 24 17 4" xfId="39804" xr:uid="{00000000-0005-0000-0000-0000270C0000}"/>
    <cellStyle name="Normal 24 18" xfId="13457" xr:uid="{00000000-0005-0000-0000-000049470000}"/>
    <cellStyle name="Normal 24 18 2" xfId="30569" xr:uid="{00000000-0005-0000-0000-00004A470000}"/>
    <cellStyle name="Normal 24 18 3" xfId="35231" xr:uid="{00000000-0005-0000-0000-00004B470000}"/>
    <cellStyle name="Normal 24 18 4" xfId="39805" xr:uid="{00000000-0005-0000-0000-0000280C0000}"/>
    <cellStyle name="Normal 24 19" xfId="13579" xr:uid="{00000000-0005-0000-0000-00004C470000}"/>
    <cellStyle name="Normal 24 19 2" xfId="30691" xr:uid="{00000000-0005-0000-0000-00004D470000}"/>
    <cellStyle name="Normal 24 19 3" xfId="35353" xr:uid="{00000000-0005-0000-0000-00004E470000}"/>
    <cellStyle name="Normal 24 19 4" xfId="39806" xr:uid="{00000000-0005-0000-0000-0000290C0000}"/>
    <cellStyle name="Normal 24 2" xfId="2778" xr:uid="{00000000-0005-0000-0000-00004F470000}"/>
    <cellStyle name="Normal 24 2 10" xfId="11711" xr:uid="{00000000-0005-0000-0000-000050470000}"/>
    <cellStyle name="Normal 24 2 10 2" xfId="29841" xr:uid="{00000000-0005-0000-0000-000051470000}"/>
    <cellStyle name="Normal 24 2 10 3" xfId="34489" xr:uid="{00000000-0005-0000-0000-000052470000}"/>
    <cellStyle name="Normal 24 2 11" xfId="11830" xr:uid="{00000000-0005-0000-0000-000053470000}"/>
    <cellStyle name="Normal 24 2 11 2" xfId="29959" xr:uid="{00000000-0005-0000-0000-000054470000}"/>
    <cellStyle name="Normal 24 2 11 3" xfId="34608" xr:uid="{00000000-0005-0000-0000-000055470000}"/>
    <cellStyle name="Normal 24 2 12" xfId="11949" xr:uid="{00000000-0005-0000-0000-000056470000}"/>
    <cellStyle name="Normal 24 2 12 2" xfId="30076" xr:uid="{00000000-0005-0000-0000-000057470000}"/>
    <cellStyle name="Normal 24 2 12 3" xfId="34727" xr:uid="{00000000-0005-0000-0000-000058470000}"/>
    <cellStyle name="Normal 24 2 13" xfId="13458" xr:uid="{00000000-0005-0000-0000-000059470000}"/>
    <cellStyle name="Normal 24 2 13 2" xfId="30570" xr:uid="{00000000-0005-0000-0000-00005A470000}"/>
    <cellStyle name="Normal 24 2 13 3" xfId="35232" xr:uid="{00000000-0005-0000-0000-00005B470000}"/>
    <cellStyle name="Normal 24 2 14" xfId="13580" xr:uid="{00000000-0005-0000-0000-00005C470000}"/>
    <cellStyle name="Normal 24 2 14 2" xfId="30692" xr:uid="{00000000-0005-0000-0000-00005D470000}"/>
    <cellStyle name="Normal 24 2 14 3" xfId="35354" xr:uid="{00000000-0005-0000-0000-00005E470000}"/>
    <cellStyle name="Normal 24 2 15" xfId="13700" xr:uid="{00000000-0005-0000-0000-00005F470000}"/>
    <cellStyle name="Normal 24 2 15 2" xfId="30812" xr:uid="{00000000-0005-0000-0000-000060470000}"/>
    <cellStyle name="Normal 24 2 15 3" xfId="35474" xr:uid="{00000000-0005-0000-0000-000061470000}"/>
    <cellStyle name="Normal 24 2 16" xfId="13821" xr:uid="{00000000-0005-0000-0000-000062470000}"/>
    <cellStyle name="Normal 24 2 16 2" xfId="30933" xr:uid="{00000000-0005-0000-0000-000063470000}"/>
    <cellStyle name="Normal 24 2 16 3" xfId="35595" xr:uid="{00000000-0005-0000-0000-000064470000}"/>
    <cellStyle name="Normal 24 2 17" xfId="13940" xr:uid="{00000000-0005-0000-0000-000065470000}"/>
    <cellStyle name="Normal 24 2 17 2" xfId="31052" xr:uid="{00000000-0005-0000-0000-000066470000}"/>
    <cellStyle name="Normal 24 2 17 3" xfId="35714" xr:uid="{00000000-0005-0000-0000-000067470000}"/>
    <cellStyle name="Normal 24 2 18" xfId="39807" xr:uid="{00000000-0005-0000-0000-00002A0C0000}"/>
    <cellStyle name="Normal 24 2 2" xfId="2779" xr:uid="{00000000-0005-0000-0000-000068470000}"/>
    <cellStyle name="Normal 24 2 2 2" xfId="2780" xr:uid="{00000000-0005-0000-0000-000069470000}"/>
    <cellStyle name="Normal 24 2 3" xfId="2781" xr:uid="{00000000-0005-0000-0000-00006A470000}"/>
    <cellStyle name="Normal 24 2 4" xfId="2782" xr:uid="{00000000-0005-0000-0000-00006B470000}"/>
    <cellStyle name="Normal 24 2 5" xfId="2783" xr:uid="{00000000-0005-0000-0000-00006C470000}"/>
    <cellStyle name="Normal 24 2 6" xfId="2784" xr:uid="{00000000-0005-0000-0000-00006D470000}"/>
    <cellStyle name="Normal 24 2 7" xfId="9951" xr:uid="{00000000-0005-0000-0000-00006E470000}"/>
    <cellStyle name="Normal 24 2 8" xfId="9952" xr:uid="{00000000-0005-0000-0000-00006F470000}"/>
    <cellStyle name="Normal 24 2 8 2" xfId="28504" xr:uid="{00000000-0005-0000-0000-000070470000}"/>
    <cellStyle name="Normal 24 2 9" xfId="11573" xr:uid="{00000000-0005-0000-0000-000071470000}"/>
    <cellStyle name="Normal 24 2 9 2" xfId="29722" xr:uid="{00000000-0005-0000-0000-000072470000}"/>
    <cellStyle name="Normal 24 2 9 3" xfId="34363" xr:uid="{00000000-0005-0000-0000-000073470000}"/>
    <cellStyle name="Normal 24 20" xfId="13699" xr:uid="{00000000-0005-0000-0000-000074470000}"/>
    <cellStyle name="Normal 24 20 2" xfId="30811" xr:uid="{00000000-0005-0000-0000-000075470000}"/>
    <cellStyle name="Normal 24 20 3" xfId="35473" xr:uid="{00000000-0005-0000-0000-000076470000}"/>
    <cellStyle name="Normal 24 20 4" xfId="39808" xr:uid="{00000000-0005-0000-0000-00002B0C0000}"/>
    <cellStyle name="Normal 24 21" xfId="13820" xr:uid="{00000000-0005-0000-0000-000077470000}"/>
    <cellStyle name="Normal 24 21 2" xfId="30932" xr:uid="{00000000-0005-0000-0000-000078470000}"/>
    <cellStyle name="Normal 24 21 3" xfId="35594" xr:uid="{00000000-0005-0000-0000-000079470000}"/>
    <cellStyle name="Normal 24 22" xfId="13939" xr:uid="{00000000-0005-0000-0000-00007A470000}"/>
    <cellStyle name="Normal 24 22 2" xfId="31051" xr:uid="{00000000-0005-0000-0000-00007B470000}"/>
    <cellStyle name="Normal 24 22 3" xfId="35713" xr:uid="{00000000-0005-0000-0000-00007C470000}"/>
    <cellStyle name="Normal 24 23" xfId="14313" xr:uid="{00000000-0005-0000-0000-00007D470000}"/>
    <cellStyle name="Normal 24 3" xfId="2785" xr:uid="{00000000-0005-0000-0000-00007E470000}"/>
    <cellStyle name="Normal 24 3 10" xfId="11712" xr:uid="{00000000-0005-0000-0000-00007F470000}"/>
    <cellStyle name="Normal 24 3 10 2" xfId="29842" xr:uid="{00000000-0005-0000-0000-000080470000}"/>
    <cellStyle name="Normal 24 3 10 3" xfId="34490" xr:uid="{00000000-0005-0000-0000-000081470000}"/>
    <cellStyle name="Normal 24 3 11" xfId="11831" xr:uid="{00000000-0005-0000-0000-000082470000}"/>
    <cellStyle name="Normal 24 3 11 2" xfId="29960" xr:uid="{00000000-0005-0000-0000-000083470000}"/>
    <cellStyle name="Normal 24 3 11 3" xfId="34609" xr:uid="{00000000-0005-0000-0000-000084470000}"/>
    <cellStyle name="Normal 24 3 12" xfId="11950" xr:uid="{00000000-0005-0000-0000-000085470000}"/>
    <cellStyle name="Normal 24 3 12 2" xfId="30077" xr:uid="{00000000-0005-0000-0000-000086470000}"/>
    <cellStyle name="Normal 24 3 12 3" xfId="34728" xr:uid="{00000000-0005-0000-0000-000087470000}"/>
    <cellStyle name="Normal 24 3 13" xfId="13459" xr:uid="{00000000-0005-0000-0000-000088470000}"/>
    <cellStyle name="Normal 24 3 13 2" xfId="30571" xr:uid="{00000000-0005-0000-0000-000089470000}"/>
    <cellStyle name="Normal 24 3 13 3" xfId="35233" xr:uid="{00000000-0005-0000-0000-00008A470000}"/>
    <cellStyle name="Normal 24 3 14" xfId="13581" xr:uid="{00000000-0005-0000-0000-00008B470000}"/>
    <cellStyle name="Normal 24 3 14 2" xfId="30693" xr:uid="{00000000-0005-0000-0000-00008C470000}"/>
    <cellStyle name="Normal 24 3 14 3" xfId="35355" xr:uid="{00000000-0005-0000-0000-00008D470000}"/>
    <cellStyle name="Normal 24 3 15" xfId="13701" xr:uid="{00000000-0005-0000-0000-00008E470000}"/>
    <cellStyle name="Normal 24 3 15 2" xfId="30813" xr:uid="{00000000-0005-0000-0000-00008F470000}"/>
    <cellStyle name="Normal 24 3 15 3" xfId="35475" xr:uid="{00000000-0005-0000-0000-000090470000}"/>
    <cellStyle name="Normal 24 3 16" xfId="13822" xr:uid="{00000000-0005-0000-0000-000091470000}"/>
    <cellStyle name="Normal 24 3 16 2" xfId="30934" xr:uid="{00000000-0005-0000-0000-000092470000}"/>
    <cellStyle name="Normal 24 3 16 3" xfId="35596" xr:uid="{00000000-0005-0000-0000-000093470000}"/>
    <cellStyle name="Normal 24 3 17" xfId="13941" xr:uid="{00000000-0005-0000-0000-000094470000}"/>
    <cellStyle name="Normal 24 3 17 2" xfId="31053" xr:uid="{00000000-0005-0000-0000-000095470000}"/>
    <cellStyle name="Normal 24 3 17 3" xfId="35715" xr:uid="{00000000-0005-0000-0000-000096470000}"/>
    <cellStyle name="Normal 24 3 18" xfId="39809" xr:uid="{00000000-0005-0000-0000-00002C0C0000}"/>
    <cellStyle name="Normal 24 3 2" xfId="2786" xr:uid="{00000000-0005-0000-0000-000097470000}"/>
    <cellStyle name="Normal 24 3 2 2" xfId="2787" xr:uid="{00000000-0005-0000-0000-000098470000}"/>
    <cellStyle name="Normal 24 3 3" xfId="2788" xr:uid="{00000000-0005-0000-0000-000099470000}"/>
    <cellStyle name="Normal 24 3 4" xfId="2789" xr:uid="{00000000-0005-0000-0000-00009A470000}"/>
    <cellStyle name="Normal 24 3 5" xfId="2790" xr:uid="{00000000-0005-0000-0000-00009B470000}"/>
    <cellStyle name="Normal 24 3 6" xfId="2791" xr:uid="{00000000-0005-0000-0000-00009C470000}"/>
    <cellStyle name="Normal 24 3 7" xfId="9953" xr:uid="{00000000-0005-0000-0000-00009D470000}"/>
    <cellStyle name="Normal 24 3 8" xfId="9954" xr:uid="{00000000-0005-0000-0000-00009E470000}"/>
    <cellStyle name="Normal 24 3 8 2" xfId="28505" xr:uid="{00000000-0005-0000-0000-00009F470000}"/>
    <cellStyle name="Normal 24 3 9" xfId="11574" xr:uid="{00000000-0005-0000-0000-0000A0470000}"/>
    <cellStyle name="Normal 24 3 9 2" xfId="29723" xr:uid="{00000000-0005-0000-0000-0000A1470000}"/>
    <cellStyle name="Normal 24 3 9 3" xfId="34364" xr:uid="{00000000-0005-0000-0000-0000A2470000}"/>
    <cellStyle name="Normal 24 4" xfId="2792" xr:uid="{00000000-0005-0000-0000-0000A3470000}"/>
    <cellStyle name="Normal 24 4 2" xfId="2793" xr:uid="{00000000-0005-0000-0000-0000A4470000}"/>
    <cellStyle name="Normal 24 4 2 2" xfId="2794" xr:uid="{00000000-0005-0000-0000-0000A5470000}"/>
    <cellStyle name="Normal 24 4 3" xfId="2795" xr:uid="{00000000-0005-0000-0000-0000A6470000}"/>
    <cellStyle name="Normal 24 4 4" xfId="2796" xr:uid="{00000000-0005-0000-0000-0000A7470000}"/>
    <cellStyle name="Normal 24 4 5" xfId="2797" xr:uid="{00000000-0005-0000-0000-0000A8470000}"/>
    <cellStyle name="Normal 24 4 6" xfId="2798" xr:uid="{00000000-0005-0000-0000-0000A9470000}"/>
    <cellStyle name="Normal 24 4 7" xfId="9955" xr:uid="{00000000-0005-0000-0000-0000AA470000}"/>
    <cellStyle name="Normal 24 4 8" xfId="9956" xr:uid="{00000000-0005-0000-0000-0000AB470000}"/>
    <cellStyle name="Normal 24 4 8 2" xfId="28506" xr:uid="{00000000-0005-0000-0000-0000AC470000}"/>
    <cellStyle name="Normal 24 4 9" xfId="39810" xr:uid="{00000000-0005-0000-0000-00002D0C0000}"/>
    <cellStyle name="Normal 24 5" xfId="2799" xr:uid="{00000000-0005-0000-0000-0000AD470000}"/>
    <cellStyle name="Normal 24 5 2" xfId="2800" xr:uid="{00000000-0005-0000-0000-0000AE470000}"/>
    <cellStyle name="Normal 24 5 2 2" xfId="2801" xr:uid="{00000000-0005-0000-0000-0000AF470000}"/>
    <cellStyle name="Normal 24 5 3" xfId="2802" xr:uid="{00000000-0005-0000-0000-0000B0470000}"/>
    <cellStyle name="Normal 24 5 4" xfId="2803" xr:uid="{00000000-0005-0000-0000-0000B1470000}"/>
    <cellStyle name="Normal 24 5 5" xfId="2804" xr:uid="{00000000-0005-0000-0000-0000B2470000}"/>
    <cellStyle name="Normal 24 5 6" xfId="2805" xr:uid="{00000000-0005-0000-0000-0000B3470000}"/>
    <cellStyle name="Normal 24 5 7" xfId="9957" xr:uid="{00000000-0005-0000-0000-0000B4470000}"/>
    <cellStyle name="Normal 24 5 8" xfId="9958" xr:uid="{00000000-0005-0000-0000-0000B5470000}"/>
    <cellStyle name="Normal 24 5 8 2" xfId="28507" xr:uid="{00000000-0005-0000-0000-0000B6470000}"/>
    <cellStyle name="Normal 24 5 9" xfId="39811" xr:uid="{00000000-0005-0000-0000-00002E0C0000}"/>
    <cellStyle name="Normal 24 6" xfId="2806" xr:uid="{00000000-0005-0000-0000-0000B7470000}"/>
    <cellStyle name="Normal 24 6 2" xfId="2807" xr:uid="{00000000-0005-0000-0000-0000B8470000}"/>
    <cellStyle name="Normal 24 6 2 2" xfId="2808" xr:uid="{00000000-0005-0000-0000-0000B9470000}"/>
    <cellStyle name="Normal 24 6 3" xfId="2809" xr:uid="{00000000-0005-0000-0000-0000BA470000}"/>
    <cellStyle name="Normal 24 6 4" xfId="2810" xr:uid="{00000000-0005-0000-0000-0000BB470000}"/>
    <cellStyle name="Normal 24 6 5" xfId="2811" xr:uid="{00000000-0005-0000-0000-0000BC470000}"/>
    <cellStyle name="Normal 24 6 6" xfId="2812" xr:uid="{00000000-0005-0000-0000-0000BD470000}"/>
    <cellStyle name="Normal 24 6 7" xfId="9959" xr:uid="{00000000-0005-0000-0000-0000BE470000}"/>
    <cellStyle name="Normal 24 6 8" xfId="9960" xr:uid="{00000000-0005-0000-0000-0000BF470000}"/>
    <cellStyle name="Normal 24 6 8 2" xfId="28508" xr:uid="{00000000-0005-0000-0000-0000C0470000}"/>
    <cellStyle name="Normal 24 6 9" xfId="39812" xr:uid="{00000000-0005-0000-0000-00002F0C0000}"/>
    <cellStyle name="Normal 24 7" xfId="2813" xr:uid="{00000000-0005-0000-0000-0000C1470000}"/>
    <cellStyle name="Normal 24 7 2" xfId="2814" xr:uid="{00000000-0005-0000-0000-0000C2470000}"/>
    <cellStyle name="Normal 24 7 3" xfId="39813" xr:uid="{00000000-0005-0000-0000-0000300C0000}"/>
    <cellStyle name="Normal 24 8" xfId="2815" xr:uid="{00000000-0005-0000-0000-0000C3470000}"/>
    <cellStyle name="Normal 24 8 2" xfId="39814" xr:uid="{00000000-0005-0000-0000-0000310C0000}"/>
    <cellStyle name="Normal 24 9" xfId="2816" xr:uid="{00000000-0005-0000-0000-0000C4470000}"/>
    <cellStyle name="Normal 24 9 2" xfId="39815" xr:uid="{00000000-0005-0000-0000-0000320C0000}"/>
    <cellStyle name="Normal 25" xfId="2817" xr:uid="{00000000-0005-0000-0000-0000C5470000}"/>
    <cellStyle name="Normal 25 10" xfId="11951" xr:uid="{00000000-0005-0000-0000-0000C6470000}"/>
    <cellStyle name="Normal 25 10 2" xfId="30078" xr:uid="{00000000-0005-0000-0000-0000C7470000}"/>
    <cellStyle name="Normal 25 10 3" xfId="34729" xr:uid="{00000000-0005-0000-0000-0000C8470000}"/>
    <cellStyle name="Normal 25 11" xfId="13460" xr:uid="{00000000-0005-0000-0000-0000C9470000}"/>
    <cellStyle name="Normal 25 11 2" xfId="30572" xr:uid="{00000000-0005-0000-0000-0000CA470000}"/>
    <cellStyle name="Normal 25 11 3" xfId="35234" xr:uid="{00000000-0005-0000-0000-0000CB470000}"/>
    <cellStyle name="Normal 25 12" xfId="13582" xr:uid="{00000000-0005-0000-0000-0000CC470000}"/>
    <cellStyle name="Normal 25 12 2" xfId="30694" xr:uid="{00000000-0005-0000-0000-0000CD470000}"/>
    <cellStyle name="Normal 25 12 3" xfId="35356" xr:uid="{00000000-0005-0000-0000-0000CE470000}"/>
    <cellStyle name="Normal 25 13" xfId="13702" xr:uid="{00000000-0005-0000-0000-0000CF470000}"/>
    <cellStyle name="Normal 25 13 2" xfId="30814" xr:uid="{00000000-0005-0000-0000-0000D0470000}"/>
    <cellStyle name="Normal 25 13 3" xfId="35476" xr:uid="{00000000-0005-0000-0000-0000D1470000}"/>
    <cellStyle name="Normal 25 14" xfId="13823" xr:uid="{00000000-0005-0000-0000-0000D2470000}"/>
    <cellStyle name="Normal 25 14 2" xfId="30935" xr:uid="{00000000-0005-0000-0000-0000D3470000}"/>
    <cellStyle name="Normal 25 14 3" xfId="35597" xr:uid="{00000000-0005-0000-0000-0000D4470000}"/>
    <cellStyle name="Normal 25 15" xfId="13942" xr:uid="{00000000-0005-0000-0000-0000D5470000}"/>
    <cellStyle name="Normal 25 15 2" xfId="31054" xr:uid="{00000000-0005-0000-0000-0000D6470000}"/>
    <cellStyle name="Normal 25 15 3" xfId="35716" xr:uid="{00000000-0005-0000-0000-0000D7470000}"/>
    <cellStyle name="Normal 25 16" xfId="14314" xr:uid="{00000000-0005-0000-0000-0000D8470000}"/>
    <cellStyle name="Normal 25 16 2" xfId="35890" xr:uid="{00000000-0005-0000-0000-0000D9470000}"/>
    <cellStyle name="Normal 25 16 3" xfId="28217" xr:uid="{00000000-0005-0000-0000-0000DA470000}"/>
    <cellStyle name="Normal 25 2" xfId="2818" xr:uid="{00000000-0005-0000-0000-0000DB470000}"/>
    <cellStyle name="Normal 25 2 10" xfId="13824" xr:uid="{00000000-0005-0000-0000-0000DC470000}"/>
    <cellStyle name="Normal 25 2 10 2" xfId="30936" xr:uid="{00000000-0005-0000-0000-0000DD470000}"/>
    <cellStyle name="Normal 25 2 10 3" xfId="35598" xr:uid="{00000000-0005-0000-0000-0000DE470000}"/>
    <cellStyle name="Normal 25 2 11" xfId="13943" xr:uid="{00000000-0005-0000-0000-0000DF470000}"/>
    <cellStyle name="Normal 25 2 11 2" xfId="31055" xr:uid="{00000000-0005-0000-0000-0000E0470000}"/>
    <cellStyle name="Normal 25 2 11 3" xfId="35717" xr:uid="{00000000-0005-0000-0000-0000E1470000}"/>
    <cellStyle name="Normal 25 2 2" xfId="2819" xr:uid="{00000000-0005-0000-0000-0000E2470000}"/>
    <cellStyle name="Normal 25 2 3" xfId="11576" xr:uid="{00000000-0005-0000-0000-0000E3470000}"/>
    <cellStyle name="Normal 25 2 3 2" xfId="29725" xr:uid="{00000000-0005-0000-0000-0000E4470000}"/>
    <cellStyle name="Normal 25 2 3 3" xfId="34366" xr:uid="{00000000-0005-0000-0000-0000E5470000}"/>
    <cellStyle name="Normal 25 2 4" xfId="11714" xr:uid="{00000000-0005-0000-0000-0000E6470000}"/>
    <cellStyle name="Normal 25 2 4 2" xfId="29844" xr:uid="{00000000-0005-0000-0000-0000E7470000}"/>
    <cellStyle name="Normal 25 2 4 3" xfId="34492" xr:uid="{00000000-0005-0000-0000-0000E8470000}"/>
    <cellStyle name="Normal 25 2 5" xfId="11833" xr:uid="{00000000-0005-0000-0000-0000E9470000}"/>
    <cellStyle name="Normal 25 2 5 2" xfId="29962" xr:uid="{00000000-0005-0000-0000-0000EA470000}"/>
    <cellStyle name="Normal 25 2 5 3" xfId="34611" xr:uid="{00000000-0005-0000-0000-0000EB470000}"/>
    <cellStyle name="Normal 25 2 6" xfId="11952" xr:uid="{00000000-0005-0000-0000-0000EC470000}"/>
    <cellStyle name="Normal 25 2 6 2" xfId="30079" xr:uid="{00000000-0005-0000-0000-0000ED470000}"/>
    <cellStyle name="Normal 25 2 6 3" xfId="34730" xr:uid="{00000000-0005-0000-0000-0000EE470000}"/>
    <cellStyle name="Normal 25 2 7" xfId="13461" xr:uid="{00000000-0005-0000-0000-0000EF470000}"/>
    <cellStyle name="Normal 25 2 7 2" xfId="30573" xr:uid="{00000000-0005-0000-0000-0000F0470000}"/>
    <cellStyle name="Normal 25 2 7 3" xfId="35235" xr:uid="{00000000-0005-0000-0000-0000F1470000}"/>
    <cellStyle name="Normal 25 2 8" xfId="13583" xr:uid="{00000000-0005-0000-0000-0000F2470000}"/>
    <cellStyle name="Normal 25 2 8 2" xfId="30695" xr:uid="{00000000-0005-0000-0000-0000F3470000}"/>
    <cellStyle name="Normal 25 2 8 3" xfId="35357" xr:uid="{00000000-0005-0000-0000-0000F4470000}"/>
    <cellStyle name="Normal 25 2 9" xfId="13703" xr:uid="{00000000-0005-0000-0000-0000F5470000}"/>
    <cellStyle name="Normal 25 2 9 2" xfId="30815" xr:uid="{00000000-0005-0000-0000-0000F6470000}"/>
    <cellStyle name="Normal 25 2 9 3" xfId="35477" xr:uid="{00000000-0005-0000-0000-0000F7470000}"/>
    <cellStyle name="Normal 25 3" xfId="2820" xr:uid="{00000000-0005-0000-0000-0000F8470000}"/>
    <cellStyle name="Normal 25 3 10" xfId="13944" xr:uid="{00000000-0005-0000-0000-0000F9470000}"/>
    <cellStyle name="Normal 25 3 10 2" xfId="31056" xr:uid="{00000000-0005-0000-0000-0000FA470000}"/>
    <cellStyle name="Normal 25 3 10 3" xfId="35718" xr:uid="{00000000-0005-0000-0000-0000FB470000}"/>
    <cellStyle name="Normal 25 3 2" xfId="11577" xr:uid="{00000000-0005-0000-0000-0000FC470000}"/>
    <cellStyle name="Normal 25 3 2 2" xfId="29726" xr:uid="{00000000-0005-0000-0000-0000FD470000}"/>
    <cellStyle name="Normal 25 3 2 3" xfId="34367" xr:uid="{00000000-0005-0000-0000-0000FE470000}"/>
    <cellStyle name="Normal 25 3 3" xfId="11715" xr:uid="{00000000-0005-0000-0000-0000FF470000}"/>
    <cellStyle name="Normal 25 3 3 2" xfId="29845" xr:uid="{00000000-0005-0000-0000-000000480000}"/>
    <cellStyle name="Normal 25 3 3 3" xfId="34493" xr:uid="{00000000-0005-0000-0000-000001480000}"/>
    <cellStyle name="Normal 25 3 4" xfId="11834" xr:uid="{00000000-0005-0000-0000-000002480000}"/>
    <cellStyle name="Normal 25 3 4 2" xfId="29963" xr:uid="{00000000-0005-0000-0000-000003480000}"/>
    <cellStyle name="Normal 25 3 4 3" xfId="34612" xr:uid="{00000000-0005-0000-0000-000004480000}"/>
    <cellStyle name="Normal 25 3 5" xfId="11953" xr:uid="{00000000-0005-0000-0000-000005480000}"/>
    <cellStyle name="Normal 25 3 5 2" xfId="30080" xr:uid="{00000000-0005-0000-0000-000006480000}"/>
    <cellStyle name="Normal 25 3 5 3" xfId="34731" xr:uid="{00000000-0005-0000-0000-000007480000}"/>
    <cellStyle name="Normal 25 3 6" xfId="13462" xr:uid="{00000000-0005-0000-0000-000008480000}"/>
    <cellStyle name="Normal 25 3 6 2" xfId="30574" xr:uid="{00000000-0005-0000-0000-000009480000}"/>
    <cellStyle name="Normal 25 3 6 3" xfId="35236" xr:uid="{00000000-0005-0000-0000-00000A480000}"/>
    <cellStyle name="Normal 25 3 7" xfId="13584" xr:uid="{00000000-0005-0000-0000-00000B480000}"/>
    <cellStyle name="Normal 25 3 7 2" xfId="30696" xr:uid="{00000000-0005-0000-0000-00000C480000}"/>
    <cellStyle name="Normal 25 3 7 3" xfId="35358" xr:uid="{00000000-0005-0000-0000-00000D480000}"/>
    <cellStyle name="Normal 25 3 8" xfId="13704" xr:uid="{00000000-0005-0000-0000-00000E480000}"/>
    <cellStyle name="Normal 25 3 8 2" xfId="30816" xr:uid="{00000000-0005-0000-0000-00000F480000}"/>
    <cellStyle name="Normal 25 3 8 3" xfId="35478" xr:uid="{00000000-0005-0000-0000-000010480000}"/>
    <cellStyle name="Normal 25 3 9" xfId="13825" xr:uid="{00000000-0005-0000-0000-000011480000}"/>
    <cellStyle name="Normal 25 3 9 2" xfId="30937" xr:uid="{00000000-0005-0000-0000-000012480000}"/>
    <cellStyle name="Normal 25 3 9 3" xfId="35599" xr:uid="{00000000-0005-0000-0000-000013480000}"/>
    <cellStyle name="Normal 25 4" xfId="2821" xr:uid="{00000000-0005-0000-0000-000014480000}"/>
    <cellStyle name="Normal 25 5" xfId="2822" xr:uid="{00000000-0005-0000-0000-000015480000}"/>
    <cellStyle name="Normal 25 6" xfId="2823" xr:uid="{00000000-0005-0000-0000-000016480000}"/>
    <cellStyle name="Normal 25 7" xfId="11575" xr:uid="{00000000-0005-0000-0000-000017480000}"/>
    <cellStyle name="Normal 25 7 2" xfId="29724" xr:uid="{00000000-0005-0000-0000-000018480000}"/>
    <cellStyle name="Normal 25 7 3" xfId="34365" xr:uid="{00000000-0005-0000-0000-000019480000}"/>
    <cellStyle name="Normal 25 8" xfId="11713" xr:uid="{00000000-0005-0000-0000-00001A480000}"/>
    <cellStyle name="Normal 25 8 2" xfId="29843" xr:uid="{00000000-0005-0000-0000-00001B480000}"/>
    <cellStyle name="Normal 25 8 3" xfId="34491" xr:uid="{00000000-0005-0000-0000-00001C480000}"/>
    <cellStyle name="Normal 25 9" xfId="11832" xr:uid="{00000000-0005-0000-0000-00001D480000}"/>
    <cellStyle name="Normal 25 9 2" xfId="29961" xr:uid="{00000000-0005-0000-0000-00001E480000}"/>
    <cellStyle name="Normal 25 9 3" xfId="34610" xr:uid="{00000000-0005-0000-0000-00001F480000}"/>
    <cellStyle name="Normal 26" xfId="2824" xr:uid="{00000000-0005-0000-0000-000020480000}"/>
    <cellStyle name="Normal 26 10" xfId="13705" xr:uid="{00000000-0005-0000-0000-000021480000}"/>
    <cellStyle name="Normal 26 10 2" xfId="30817" xr:uid="{00000000-0005-0000-0000-000022480000}"/>
    <cellStyle name="Normal 26 10 3" xfId="35479" xr:uid="{00000000-0005-0000-0000-000023480000}"/>
    <cellStyle name="Normal 26 11" xfId="13826" xr:uid="{00000000-0005-0000-0000-000024480000}"/>
    <cellStyle name="Normal 26 11 2" xfId="30938" xr:uid="{00000000-0005-0000-0000-000025480000}"/>
    <cellStyle name="Normal 26 11 3" xfId="35600" xr:uid="{00000000-0005-0000-0000-000026480000}"/>
    <cellStyle name="Normal 26 12" xfId="13945" xr:uid="{00000000-0005-0000-0000-000027480000}"/>
    <cellStyle name="Normal 26 12 2" xfId="31057" xr:uid="{00000000-0005-0000-0000-000028480000}"/>
    <cellStyle name="Normal 26 12 3" xfId="35719" xr:uid="{00000000-0005-0000-0000-000029480000}"/>
    <cellStyle name="Normal 26 13" xfId="14315" xr:uid="{00000000-0005-0000-0000-00002A480000}"/>
    <cellStyle name="Normal 26 2" xfId="11469" xr:uid="{00000000-0005-0000-0000-00002B480000}"/>
    <cellStyle name="Normal 26 2 10" xfId="13946" xr:uid="{00000000-0005-0000-0000-00002C480000}"/>
    <cellStyle name="Normal 26 2 10 2" xfId="31058" xr:uid="{00000000-0005-0000-0000-00002D480000}"/>
    <cellStyle name="Normal 26 2 10 3" xfId="35720" xr:uid="{00000000-0005-0000-0000-00002E480000}"/>
    <cellStyle name="Normal 26 2 11" xfId="29655" xr:uid="{00000000-0005-0000-0000-00002F480000}"/>
    <cellStyle name="Normal 26 2 12" xfId="34279" xr:uid="{00000000-0005-0000-0000-000030480000}"/>
    <cellStyle name="Normal 26 2 13" xfId="39817" xr:uid="{00000000-0005-0000-0000-0000360C0000}"/>
    <cellStyle name="Normal 26 2 2" xfId="11579" xr:uid="{00000000-0005-0000-0000-000031480000}"/>
    <cellStyle name="Normal 26 2 2 2" xfId="29728" xr:uid="{00000000-0005-0000-0000-000032480000}"/>
    <cellStyle name="Normal 26 2 2 3" xfId="34369" xr:uid="{00000000-0005-0000-0000-000033480000}"/>
    <cellStyle name="Normal 26 2 3" xfId="11717" xr:uid="{00000000-0005-0000-0000-000034480000}"/>
    <cellStyle name="Normal 26 2 3 2" xfId="29847" xr:uid="{00000000-0005-0000-0000-000035480000}"/>
    <cellStyle name="Normal 26 2 3 3" xfId="34495" xr:uid="{00000000-0005-0000-0000-000036480000}"/>
    <cellStyle name="Normal 26 2 4" xfId="11836" xr:uid="{00000000-0005-0000-0000-000037480000}"/>
    <cellStyle name="Normal 26 2 4 2" xfId="29965" xr:uid="{00000000-0005-0000-0000-000038480000}"/>
    <cellStyle name="Normal 26 2 4 3" xfId="34614" xr:uid="{00000000-0005-0000-0000-000039480000}"/>
    <cellStyle name="Normal 26 2 5" xfId="11955" xr:uid="{00000000-0005-0000-0000-00003A480000}"/>
    <cellStyle name="Normal 26 2 5 2" xfId="30082" xr:uid="{00000000-0005-0000-0000-00003B480000}"/>
    <cellStyle name="Normal 26 2 5 3" xfId="34733" xr:uid="{00000000-0005-0000-0000-00003C480000}"/>
    <cellStyle name="Normal 26 2 6" xfId="13464" xr:uid="{00000000-0005-0000-0000-00003D480000}"/>
    <cellStyle name="Normal 26 2 6 2" xfId="30576" xr:uid="{00000000-0005-0000-0000-00003E480000}"/>
    <cellStyle name="Normal 26 2 6 3" xfId="35238" xr:uid="{00000000-0005-0000-0000-00003F480000}"/>
    <cellStyle name="Normal 26 2 7" xfId="13586" xr:uid="{00000000-0005-0000-0000-000040480000}"/>
    <cellStyle name="Normal 26 2 7 2" xfId="30698" xr:uid="{00000000-0005-0000-0000-000041480000}"/>
    <cellStyle name="Normal 26 2 7 3" xfId="35360" xr:uid="{00000000-0005-0000-0000-000042480000}"/>
    <cellStyle name="Normal 26 2 8" xfId="13706" xr:uid="{00000000-0005-0000-0000-000043480000}"/>
    <cellStyle name="Normal 26 2 8 2" xfId="30818" xr:uid="{00000000-0005-0000-0000-000044480000}"/>
    <cellStyle name="Normal 26 2 8 3" xfId="35480" xr:uid="{00000000-0005-0000-0000-000045480000}"/>
    <cellStyle name="Normal 26 2 9" xfId="13827" xr:uid="{00000000-0005-0000-0000-000046480000}"/>
    <cellStyle name="Normal 26 2 9 2" xfId="30939" xr:uid="{00000000-0005-0000-0000-000047480000}"/>
    <cellStyle name="Normal 26 2 9 3" xfId="35601" xr:uid="{00000000-0005-0000-0000-000048480000}"/>
    <cellStyle name="Normal 26 3" xfId="11470" xr:uid="{00000000-0005-0000-0000-000049480000}"/>
    <cellStyle name="Normal 26 3 10" xfId="13947" xr:uid="{00000000-0005-0000-0000-00004A480000}"/>
    <cellStyle name="Normal 26 3 10 2" xfId="31059" xr:uid="{00000000-0005-0000-0000-00004B480000}"/>
    <cellStyle name="Normal 26 3 10 3" xfId="35721" xr:uid="{00000000-0005-0000-0000-00004C480000}"/>
    <cellStyle name="Normal 26 3 11" xfId="29656" xr:uid="{00000000-0005-0000-0000-00004D480000}"/>
    <cellStyle name="Normal 26 3 12" xfId="34280" xr:uid="{00000000-0005-0000-0000-00004E480000}"/>
    <cellStyle name="Normal 26 3 13" xfId="39816" xr:uid="{00000000-0005-0000-0000-0000370C0000}"/>
    <cellStyle name="Normal 26 3 2" xfId="11580" xr:uid="{00000000-0005-0000-0000-00004F480000}"/>
    <cellStyle name="Normal 26 3 2 2" xfId="29729" xr:uid="{00000000-0005-0000-0000-000050480000}"/>
    <cellStyle name="Normal 26 3 2 3" xfId="34370" xr:uid="{00000000-0005-0000-0000-000051480000}"/>
    <cellStyle name="Normal 26 3 3" xfId="11718" xr:uid="{00000000-0005-0000-0000-000052480000}"/>
    <cellStyle name="Normal 26 3 3 2" xfId="29848" xr:uid="{00000000-0005-0000-0000-000053480000}"/>
    <cellStyle name="Normal 26 3 3 3" xfId="34496" xr:uid="{00000000-0005-0000-0000-000054480000}"/>
    <cellStyle name="Normal 26 3 4" xfId="11837" xr:uid="{00000000-0005-0000-0000-000055480000}"/>
    <cellStyle name="Normal 26 3 4 2" xfId="29966" xr:uid="{00000000-0005-0000-0000-000056480000}"/>
    <cellStyle name="Normal 26 3 4 3" xfId="34615" xr:uid="{00000000-0005-0000-0000-000057480000}"/>
    <cellStyle name="Normal 26 3 5" xfId="11956" xr:uid="{00000000-0005-0000-0000-000058480000}"/>
    <cellStyle name="Normal 26 3 5 2" xfId="30083" xr:uid="{00000000-0005-0000-0000-000059480000}"/>
    <cellStyle name="Normal 26 3 5 3" xfId="34734" xr:uid="{00000000-0005-0000-0000-00005A480000}"/>
    <cellStyle name="Normal 26 3 6" xfId="13465" xr:uid="{00000000-0005-0000-0000-00005B480000}"/>
    <cellStyle name="Normal 26 3 6 2" xfId="30577" xr:uid="{00000000-0005-0000-0000-00005C480000}"/>
    <cellStyle name="Normal 26 3 6 3" xfId="35239" xr:uid="{00000000-0005-0000-0000-00005D480000}"/>
    <cellStyle name="Normal 26 3 7" xfId="13587" xr:uid="{00000000-0005-0000-0000-00005E480000}"/>
    <cellStyle name="Normal 26 3 7 2" xfId="30699" xr:uid="{00000000-0005-0000-0000-00005F480000}"/>
    <cellStyle name="Normal 26 3 7 3" xfId="35361" xr:uid="{00000000-0005-0000-0000-000060480000}"/>
    <cellStyle name="Normal 26 3 8" xfId="13707" xr:uid="{00000000-0005-0000-0000-000061480000}"/>
    <cellStyle name="Normal 26 3 8 2" xfId="30819" xr:uid="{00000000-0005-0000-0000-000062480000}"/>
    <cellStyle name="Normal 26 3 8 3" xfId="35481" xr:uid="{00000000-0005-0000-0000-000063480000}"/>
    <cellStyle name="Normal 26 3 9" xfId="13828" xr:uid="{00000000-0005-0000-0000-000064480000}"/>
    <cellStyle name="Normal 26 3 9 2" xfId="30940" xr:uid="{00000000-0005-0000-0000-000065480000}"/>
    <cellStyle name="Normal 26 3 9 3" xfId="35602" xr:uid="{00000000-0005-0000-0000-000066480000}"/>
    <cellStyle name="Normal 26 4" xfId="11578" xr:uid="{00000000-0005-0000-0000-000067480000}"/>
    <cellStyle name="Normal 26 4 2" xfId="29727" xr:uid="{00000000-0005-0000-0000-000068480000}"/>
    <cellStyle name="Normal 26 4 3" xfId="34368" xr:uid="{00000000-0005-0000-0000-000069480000}"/>
    <cellStyle name="Normal 26 5" xfId="11716" xr:uid="{00000000-0005-0000-0000-00006A480000}"/>
    <cellStyle name="Normal 26 5 2" xfId="29846" xr:uid="{00000000-0005-0000-0000-00006B480000}"/>
    <cellStyle name="Normal 26 5 3" xfId="34494" xr:uid="{00000000-0005-0000-0000-00006C480000}"/>
    <cellStyle name="Normal 26 6" xfId="11835" xr:uid="{00000000-0005-0000-0000-00006D480000}"/>
    <cellStyle name="Normal 26 6 2" xfId="29964" xr:uid="{00000000-0005-0000-0000-00006E480000}"/>
    <cellStyle name="Normal 26 6 3" xfId="34613" xr:uid="{00000000-0005-0000-0000-00006F480000}"/>
    <cellStyle name="Normal 26 7" xfId="11954" xr:uid="{00000000-0005-0000-0000-000070480000}"/>
    <cellStyle name="Normal 26 7 2" xfId="30081" xr:uid="{00000000-0005-0000-0000-000071480000}"/>
    <cellStyle name="Normal 26 7 3" xfId="34732" xr:uid="{00000000-0005-0000-0000-000072480000}"/>
    <cellStyle name="Normal 26 8" xfId="13463" xr:uid="{00000000-0005-0000-0000-000073480000}"/>
    <cellStyle name="Normal 26 8 2" xfId="30575" xr:uid="{00000000-0005-0000-0000-000074480000}"/>
    <cellStyle name="Normal 26 8 3" xfId="35237" xr:uid="{00000000-0005-0000-0000-000075480000}"/>
    <cellStyle name="Normal 26 9" xfId="13585" xr:uid="{00000000-0005-0000-0000-000076480000}"/>
    <cellStyle name="Normal 26 9 2" xfId="30697" xr:uid="{00000000-0005-0000-0000-000077480000}"/>
    <cellStyle name="Normal 26 9 3" xfId="35359" xr:uid="{00000000-0005-0000-0000-000078480000}"/>
    <cellStyle name="Normal 27" xfId="2825" xr:uid="{00000000-0005-0000-0000-000079480000}"/>
    <cellStyle name="Normal 27 10" xfId="13708" xr:uid="{00000000-0005-0000-0000-00007A480000}"/>
    <cellStyle name="Normal 27 10 2" xfId="30820" xr:uid="{00000000-0005-0000-0000-00007B480000}"/>
    <cellStyle name="Normal 27 10 3" xfId="35482" xr:uid="{00000000-0005-0000-0000-00007C480000}"/>
    <cellStyle name="Normal 27 11" xfId="13829" xr:uid="{00000000-0005-0000-0000-00007D480000}"/>
    <cellStyle name="Normal 27 11 2" xfId="30941" xr:uid="{00000000-0005-0000-0000-00007E480000}"/>
    <cellStyle name="Normal 27 11 3" xfId="35603" xr:uid="{00000000-0005-0000-0000-00007F480000}"/>
    <cellStyle name="Normal 27 12" xfId="13948" xr:uid="{00000000-0005-0000-0000-000080480000}"/>
    <cellStyle name="Normal 27 12 2" xfId="31060" xr:uid="{00000000-0005-0000-0000-000081480000}"/>
    <cellStyle name="Normal 27 12 3" xfId="35722" xr:uid="{00000000-0005-0000-0000-000082480000}"/>
    <cellStyle name="Normal 27 13" xfId="14316" xr:uid="{00000000-0005-0000-0000-000083480000}"/>
    <cellStyle name="Normal 27 2" xfId="11471" xr:uid="{00000000-0005-0000-0000-000084480000}"/>
    <cellStyle name="Normal 27 2 10" xfId="13949" xr:uid="{00000000-0005-0000-0000-000085480000}"/>
    <cellStyle name="Normal 27 2 10 2" xfId="31061" xr:uid="{00000000-0005-0000-0000-000086480000}"/>
    <cellStyle name="Normal 27 2 10 3" xfId="35723" xr:uid="{00000000-0005-0000-0000-000087480000}"/>
    <cellStyle name="Normal 27 2 11" xfId="29657" xr:uid="{00000000-0005-0000-0000-000088480000}"/>
    <cellStyle name="Normal 27 2 12" xfId="34281" xr:uid="{00000000-0005-0000-0000-000089480000}"/>
    <cellStyle name="Normal 27 2 13" xfId="39818" xr:uid="{00000000-0005-0000-0000-0000390C0000}"/>
    <cellStyle name="Normal 27 2 2" xfId="11582" xr:uid="{00000000-0005-0000-0000-00008A480000}"/>
    <cellStyle name="Normal 27 2 2 2" xfId="29731" xr:uid="{00000000-0005-0000-0000-00008B480000}"/>
    <cellStyle name="Normal 27 2 2 3" xfId="34372" xr:uid="{00000000-0005-0000-0000-00008C480000}"/>
    <cellStyle name="Normal 27 2 3" xfId="11720" xr:uid="{00000000-0005-0000-0000-00008D480000}"/>
    <cellStyle name="Normal 27 2 3 2" xfId="29850" xr:uid="{00000000-0005-0000-0000-00008E480000}"/>
    <cellStyle name="Normal 27 2 3 3" xfId="34498" xr:uid="{00000000-0005-0000-0000-00008F480000}"/>
    <cellStyle name="Normal 27 2 4" xfId="11839" xr:uid="{00000000-0005-0000-0000-000090480000}"/>
    <cellStyle name="Normal 27 2 4 2" xfId="29968" xr:uid="{00000000-0005-0000-0000-000091480000}"/>
    <cellStyle name="Normal 27 2 4 3" xfId="34617" xr:uid="{00000000-0005-0000-0000-000092480000}"/>
    <cellStyle name="Normal 27 2 5" xfId="11958" xr:uid="{00000000-0005-0000-0000-000093480000}"/>
    <cellStyle name="Normal 27 2 5 2" xfId="30085" xr:uid="{00000000-0005-0000-0000-000094480000}"/>
    <cellStyle name="Normal 27 2 5 3" xfId="34736" xr:uid="{00000000-0005-0000-0000-000095480000}"/>
    <cellStyle name="Normal 27 2 6" xfId="13467" xr:uid="{00000000-0005-0000-0000-000096480000}"/>
    <cellStyle name="Normal 27 2 6 2" xfId="30579" xr:uid="{00000000-0005-0000-0000-000097480000}"/>
    <cellStyle name="Normal 27 2 6 3" xfId="35241" xr:uid="{00000000-0005-0000-0000-000098480000}"/>
    <cellStyle name="Normal 27 2 7" xfId="13589" xr:uid="{00000000-0005-0000-0000-000099480000}"/>
    <cellStyle name="Normal 27 2 7 2" xfId="30701" xr:uid="{00000000-0005-0000-0000-00009A480000}"/>
    <cellStyle name="Normal 27 2 7 3" xfId="35363" xr:uid="{00000000-0005-0000-0000-00009B480000}"/>
    <cellStyle name="Normal 27 2 8" xfId="13709" xr:uid="{00000000-0005-0000-0000-00009C480000}"/>
    <cellStyle name="Normal 27 2 8 2" xfId="30821" xr:uid="{00000000-0005-0000-0000-00009D480000}"/>
    <cellStyle name="Normal 27 2 8 3" xfId="35483" xr:uid="{00000000-0005-0000-0000-00009E480000}"/>
    <cellStyle name="Normal 27 2 9" xfId="13830" xr:uid="{00000000-0005-0000-0000-00009F480000}"/>
    <cellStyle name="Normal 27 2 9 2" xfId="30942" xr:uid="{00000000-0005-0000-0000-0000A0480000}"/>
    <cellStyle name="Normal 27 2 9 3" xfId="35604" xr:uid="{00000000-0005-0000-0000-0000A1480000}"/>
    <cellStyle name="Normal 27 3" xfId="11472" xr:uid="{00000000-0005-0000-0000-0000A2480000}"/>
    <cellStyle name="Normal 27 3 10" xfId="13950" xr:uid="{00000000-0005-0000-0000-0000A3480000}"/>
    <cellStyle name="Normal 27 3 10 2" xfId="31062" xr:uid="{00000000-0005-0000-0000-0000A4480000}"/>
    <cellStyle name="Normal 27 3 10 3" xfId="35724" xr:uid="{00000000-0005-0000-0000-0000A5480000}"/>
    <cellStyle name="Normal 27 3 11" xfId="29658" xr:uid="{00000000-0005-0000-0000-0000A6480000}"/>
    <cellStyle name="Normal 27 3 12" xfId="34282" xr:uid="{00000000-0005-0000-0000-0000A7480000}"/>
    <cellStyle name="Normal 27 3 2" xfId="11583" xr:uid="{00000000-0005-0000-0000-0000A8480000}"/>
    <cellStyle name="Normal 27 3 2 2" xfId="29732" xr:uid="{00000000-0005-0000-0000-0000A9480000}"/>
    <cellStyle name="Normal 27 3 2 3" xfId="34373" xr:uid="{00000000-0005-0000-0000-0000AA480000}"/>
    <cellStyle name="Normal 27 3 3" xfId="11721" xr:uid="{00000000-0005-0000-0000-0000AB480000}"/>
    <cellStyle name="Normal 27 3 3 2" xfId="29851" xr:uid="{00000000-0005-0000-0000-0000AC480000}"/>
    <cellStyle name="Normal 27 3 3 3" xfId="34499" xr:uid="{00000000-0005-0000-0000-0000AD480000}"/>
    <cellStyle name="Normal 27 3 4" xfId="11840" xr:uid="{00000000-0005-0000-0000-0000AE480000}"/>
    <cellStyle name="Normal 27 3 4 2" xfId="29969" xr:uid="{00000000-0005-0000-0000-0000AF480000}"/>
    <cellStyle name="Normal 27 3 4 3" xfId="34618" xr:uid="{00000000-0005-0000-0000-0000B0480000}"/>
    <cellStyle name="Normal 27 3 5" xfId="11959" xr:uid="{00000000-0005-0000-0000-0000B1480000}"/>
    <cellStyle name="Normal 27 3 5 2" xfId="30086" xr:uid="{00000000-0005-0000-0000-0000B2480000}"/>
    <cellStyle name="Normal 27 3 5 3" xfId="34737" xr:uid="{00000000-0005-0000-0000-0000B3480000}"/>
    <cellStyle name="Normal 27 3 6" xfId="13468" xr:uid="{00000000-0005-0000-0000-0000B4480000}"/>
    <cellStyle name="Normal 27 3 6 2" xfId="30580" xr:uid="{00000000-0005-0000-0000-0000B5480000}"/>
    <cellStyle name="Normal 27 3 6 3" xfId="35242" xr:uid="{00000000-0005-0000-0000-0000B6480000}"/>
    <cellStyle name="Normal 27 3 7" xfId="13590" xr:uid="{00000000-0005-0000-0000-0000B7480000}"/>
    <cellStyle name="Normal 27 3 7 2" xfId="30702" xr:uid="{00000000-0005-0000-0000-0000B8480000}"/>
    <cellStyle name="Normal 27 3 7 3" xfId="35364" xr:uid="{00000000-0005-0000-0000-0000B9480000}"/>
    <cellStyle name="Normal 27 3 8" xfId="13710" xr:uid="{00000000-0005-0000-0000-0000BA480000}"/>
    <cellStyle name="Normal 27 3 8 2" xfId="30822" xr:uid="{00000000-0005-0000-0000-0000BB480000}"/>
    <cellStyle name="Normal 27 3 8 3" xfId="35484" xr:uid="{00000000-0005-0000-0000-0000BC480000}"/>
    <cellStyle name="Normal 27 3 9" xfId="13831" xr:uid="{00000000-0005-0000-0000-0000BD480000}"/>
    <cellStyle name="Normal 27 3 9 2" xfId="30943" xr:uid="{00000000-0005-0000-0000-0000BE480000}"/>
    <cellStyle name="Normal 27 3 9 3" xfId="35605" xr:uid="{00000000-0005-0000-0000-0000BF480000}"/>
    <cellStyle name="Normal 27 4" xfId="11581" xr:uid="{00000000-0005-0000-0000-0000C0480000}"/>
    <cellStyle name="Normal 27 4 2" xfId="29730" xr:uid="{00000000-0005-0000-0000-0000C1480000}"/>
    <cellStyle name="Normal 27 4 3" xfId="34371" xr:uid="{00000000-0005-0000-0000-0000C2480000}"/>
    <cellStyle name="Normal 27 5" xfId="11719" xr:uid="{00000000-0005-0000-0000-0000C3480000}"/>
    <cellStyle name="Normal 27 5 2" xfId="29849" xr:uid="{00000000-0005-0000-0000-0000C4480000}"/>
    <cellStyle name="Normal 27 5 3" xfId="34497" xr:uid="{00000000-0005-0000-0000-0000C5480000}"/>
    <cellStyle name="Normal 27 6" xfId="11838" xr:uid="{00000000-0005-0000-0000-0000C6480000}"/>
    <cellStyle name="Normal 27 6 2" xfId="29967" xr:uid="{00000000-0005-0000-0000-0000C7480000}"/>
    <cellStyle name="Normal 27 6 3" xfId="34616" xr:uid="{00000000-0005-0000-0000-0000C8480000}"/>
    <cellStyle name="Normal 27 7" xfId="11957" xr:uid="{00000000-0005-0000-0000-0000C9480000}"/>
    <cellStyle name="Normal 27 7 2" xfId="30084" xr:uid="{00000000-0005-0000-0000-0000CA480000}"/>
    <cellStyle name="Normal 27 7 3" xfId="34735" xr:uid="{00000000-0005-0000-0000-0000CB480000}"/>
    <cellStyle name="Normal 27 8" xfId="13466" xr:uid="{00000000-0005-0000-0000-0000CC480000}"/>
    <cellStyle name="Normal 27 8 2" xfId="30578" xr:uid="{00000000-0005-0000-0000-0000CD480000}"/>
    <cellStyle name="Normal 27 8 3" xfId="35240" xr:uid="{00000000-0005-0000-0000-0000CE480000}"/>
    <cellStyle name="Normal 27 9" xfId="13588" xr:uid="{00000000-0005-0000-0000-0000CF480000}"/>
    <cellStyle name="Normal 27 9 2" xfId="30700" xr:uid="{00000000-0005-0000-0000-0000D0480000}"/>
    <cellStyle name="Normal 27 9 3" xfId="35362" xr:uid="{00000000-0005-0000-0000-0000D1480000}"/>
    <cellStyle name="Normal 28" xfId="3321" xr:uid="{00000000-0005-0000-0000-0000D2480000}"/>
    <cellStyle name="Normal 28 10" xfId="13711" xr:uid="{00000000-0005-0000-0000-0000D3480000}"/>
    <cellStyle name="Normal 28 10 2" xfId="30823" xr:uid="{00000000-0005-0000-0000-0000D4480000}"/>
    <cellStyle name="Normal 28 10 3" xfId="35485" xr:uid="{00000000-0005-0000-0000-0000D5480000}"/>
    <cellStyle name="Normal 28 11" xfId="13832" xr:uid="{00000000-0005-0000-0000-0000D6480000}"/>
    <cellStyle name="Normal 28 11 2" xfId="30944" xr:uid="{00000000-0005-0000-0000-0000D7480000}"/>
    <cellStyle name="Normal 28 11 3" xfId="35606" xr:uid="{00000000-0005-0000-0000-0000D8480000}"/>
    <cellStyle name="Normal 28 12" xfId="13951" xr:uid="{00000000-0005-0000-0000-0000D9480000}"/>
    <cellStyle name="Normal 28 12 2" xfId="31063" xr:uid="{00000000-0005-0000-0000-0000DA480000}"/>
    <cellStyle name="Normal 28 12 3" xfId="35725" xr:uid="{00000000-0005-0000-0000-0000DB480000}"/>
    <cellStyle name="Normal 28 13" xfId="9961" xr:uid="{00000000-0005-0000-0000-0000DC480000}"/>
    <cellStyle name="Normal 28 13 2" xfId="33323" xr:uid="{00000000-0005-0000-0000-0000DD480000}"/>
    <cellStyle name="Normal 28 13 3" xfId="28218" xr:uid="{00000000-0005-0000-0000-0000DE480000}"/>
    <cellStyle name="Normal 28 14" xfId="27386" xr:uid="{00000000-0005-0000-0000-0000DF480000}"/>
    <cellStyle name="Normal 28 2" xfId="11473" xr:uid="{00000000-0005-0000-0000-0000E0480000}"/>
    <cellStyle name="Normal 28 2 10" xfId="13952" xr:uid="{00000000-0005-0000-0000-0000E1480000}"/>
    <cellStyle name="Normal 28 2 10 2" xfId="31064" xr:uid="{00000000-0005-0000-0000-0000E2480000}"/>
    <cellStyle name="Normal 28 2 10 3" xfId="35726" xr:uid="{00000000-0005-0000-0000-0000E3480000}"/>
    <cellStyle name="Normal 28 2 11" xfId="14317" xr:uid="{00000000-0005-0000-0000-0000E4480000}"/>
    <cellStyle name="Normal 28 2 11 2" xfId="35891" xr:uid="{00000000-0005-0000-0000-0000E5480000}"/>
    <cellStyle name="Normal 28 2 11 3" xfId="29659" xr:uid="{00000000-0005-0000-0000-0000E6480000}"/>
    <cellStyle name="Normal 28 2 12" xfId="28510" xr:uid="{00000000-0005-0000-0000-0000E7480000}"/>
    <cellStyle name="Normal 28 2 13" xfId="34283" xr:uid="{00000000-0005-0000-0000-0000E8480000}"/>
    <cellStyle name="Normal 28 2 2" xfId="11585" xr:uid="{00000000-0005-0000-0000-0000E9480000}"/>
    <cellStyle name="Normal 28 2 2 2" xfId="29734" xr:uid="{00000000-0005-0000-0000-0000EA480000}"/>
    <cellStyle name="Normal 28 2 2 3" xfId="34375" xr:uid="{00000000-0005-0000-0000-0000EB480000}"/>
    <cellStyle name="Normal 28 2 3" xfId="11723" xr:uid="{00000000-0005-0000-0000-0000EC480000}"/>
    <cellStyle name="Normal 28 2 3 2" xfId="29853" xr:uid="{00000000-0005-0000-0000-0000ED480000}"/>
    <cellStyle name="Normal 28 2 3 3" xfId="34501" xr:uid="{00000000-0005-0000-0000-0000EE480000}"/>
    <cellStyle name="Normal 28 2 4" xfId="11842" xr:uid="{00000000-0005-0000-0000-0000EF480000}"/>
    <cellStyle name="Normal 28 2 4 2" xfId="29971" xr:uid="{00000000-0005-0000-0000-0000F0480000}"/>
    <cellStyle name="Normal 28 2 4 3" xfId="34620" xr:uid="{00000000-0005-0000-0000-0000F1480000}"/>
    <cellStyle name="Normal 28 2 5" xfId="11961" xr:uid="{00000000-0005-0000-0000-0000F2480000}"/>
    <cellStyle name="Normal 28 2 5 2" xfId="30088" xr:uid="{00000000-0005-0000-0000-0000F3480000}"/>
    <cellStyle name="Normal 28 2 5 3" xfId="34739" xr:uid="{00000000-0005-0000-0000-0000F4480000}"/>
    <cellStyle name="Normal 28 2 6" xfId="13470" xr:uid="{00000000-0005-0000-0000-0000F5480000}"/>
    <cellStyle name="Normal 28 2 6 2" xfId="30582" xr:uid="{00000000-0005-0000-0000-0000F6480000}"/>
    <cellStyle name="Normal 28 2 6 3" xfId="35244" xr:uid="{00000000-0005-0000-0000-0000F7480000}"/>
    <cellStyle name="Normal 28 2 7" xfId="13592" xr:uid="{00000000-0005-0000-0000-0000F8480000}"/>
    <cellStyle name="Normal 28 2 7 2" xfId="30704" xr:uid="{00000000-0005-0000-0000-0000F9480000}"/>
    <cellStyle name="Normal 28 2 7 3" xfId="35366" xr:uid="{00000000-0005-0000-0000-0000FA480000}"/>
    <cellStyle name="Normal 28 2 8" xfId="13712" xr:uid="{00000000-0005-0000-0000-0000FB480000}"/>
    <cellStyle name="Normal 28 2 8 2" xfId="30824" xr:uid="{00000000-0005-0000-0000-0000FC480000}"/>
    <cellStyle name="Normal 28 2 8 3" xfId="35486" xr:uid="{00000000-0005-0000-0000-0000FD480000}"/>
    <cellStyle name="Normal 28 2 9" xfId="13833" xr:uid="{00000000-0005-0000-0000-0000FE480000}"/>
    <cellStyle name="Normal 28 2 9 2" xfId="30945" xr:uid="{00000000-0005-0000-0000-0000FF480000}"/>
    <cellStyle name="Normal 28 2 9 3" xfId="35607" xr:uid="{00000000-0005-0000-0000-000000490000}"/>
    <cellStyle name="Normal 28 3" xfId="11474" xr:uid="{00000000-0005-0000-0000-000001490000}"/>
    <cellStyle name="Normal 28 3 10" xfId="13953" xr:uid="{00000000-0005-0000-0000-000002490000}"/>
    <cellStyle name="Normal 28 3 10 2" xfId="31065" xr:uid="{00000000-0005-0000-0000-000003490000}"/>
    <cellStyle name="Normal 28 3 10 3" xfId="35727" xr:uid="{00000000-0005-0000-0000-000004490000}"/>
    <cellStyle name="Normal 28 3 11" xfId="29660" xr:uid="{00000000-0005-0000-0000-000005490000}"/>
    <cellStyle name="Normal 28 3 12" xfId="28509" xr:uid="{00000000-0005-0000-0000-000006490000}"/>
    <cellStyle name="Normal 28 3 13" xfId="34284" xr:uid="{00000000-0005-0000-0000-000007490000}"/>
    <cellStyle name="Normal 28 3 2" xfId="11586" xr:uid="{00000000-0005-0000-0000-000008490000}"/>
    <cellStyle name="Normal 28 3 2 2" xfId="29735" xr:uid="{00000000-0005-0000-0000-000009490000}"/>
    <cellStyle name="Normal 28 3 2 3" xfId="34376" xr:uid="{00000000-0005-0000-0000-00000A490000}"/>
    <cellStyle name="Normal 28 3 3" xfId="11724" xr:uid="{00000000-0005-0000-0000-00000B490000}"/>
    <cellStyle name="Normal 28 3 3 2" xfId="29854" xr:uid="{00000000-0005-0000-0000-00000C490000}"/>
    <cellStyle name="Normal 28 3 3 3" xfId="34502" xr:uid="{00000000-0005-0000-0000-00000D490000}"/>
    <cellStyle name="Normal 28 3 4" xfId="11843" xr:uid="{00000000-0005-0000-0000-00000E490000}"/>
    <cellStyle name="Normal 28 3 4 2" xfId="29972" xr:uid="{00000000-0005-0000-0000-00000F490000}"/>
    <cellStyle name="Normal 28 3 4 3" xfId="34621" xr:uid="{00000000-0005-0000-0000-000010490000}"/>
    <cellStyle name="Normal 28 3 5" xfId="11962" xr:uid="{00000000-0005-0000-0000-000011490000}"/>
    <cellStyle name="Normal 28 3 5 2" xfId="30089" xr:uid="{00000000-0005-0000-0000-000012490000}"/>
    <cellStyle name="Normal 28 3 5 3" xfId="34740" xr:uid="{00000000-0005-0000-0000-000013490000}"/>
    <cellStyle name="Normal 28 3 6" xfId="13471" xr:uid="{00000000-0005-0000-0000-000014490000}"/>
    <cellStyle name="Normal 28 3 6 2" xfId="30583" xr:uid="{00000000-0005-0000-0000-000015490000}"/>
    <cellStyle name="Normal 28 3 6 3" xfId="35245" xr:uid="{00000000-0005-0000-0000-000016490000}"/>
    <cellStyle name="Normal 28 3 7" xfId="13593" xr:uid="{00000000-0005-0000-0000-000017490000}"/>
    <cellStyle name="Normal 28 3 7 2" xfId="30705" xr:uid="{00000000-0005-0000-0000-000018490000}"/>
    <cellStyle name="Normal 28 3 7 3" xfId="35367" xr:uid="{00000000-0005-0000-0000-000019490000}"/>
    <cellStyle name="Normal 28 3 8" xfId="13713" xr:uid="{00000000-0005-0000-0000-00001A490000}"/>
    <cellStyle name="Normal 28 3 8 2" xfId="30825" xr:uid="{00000000-0005-0000-0000-00001B490000}"/>
    <cellStyle name="Normal 28 3 8 3" xfId="35487" xr:uid="{00000000-0005-0000-0000-00001C490000}"/>
    <cellStyle name="Normal 28 3 9" xfId="13834" xr:uid="{00000000-0005-0000-0000-00001D490000}"/>
    <cellStyle name="Normal 28 3 9 2" xfId="30946" xr:uid="{00000000-0005-0000-0000-00001E490000}"/>
    <cellStyle name="Normal 28 3 9 3" xfId="35608" xr:uid="{00000000-0005-0000-0000-00001F490000}"/>
    <cellStyle name="Normal 28 4" xfId="11584" xr:uid="{00000000-0005-0000-0000-000020490000}"/>
    <cellStyle name="Normal 28 4 2" xfId="29733" xr:uid="{00000000-0005-0000-0000-000021490000}"/>
    <cellStyle name="Normal 28 4 3" xfId="34374" xr:uid="{00000000-0005-0000-0000-000022490000}"/>
    <cellStyle name="Normal 28 5" xfId="11722" xr:uid="{00000000-0005-0000-0000-000023490000}"/>
    <cellStyle name="Normal 28 5 2" xfId="29852" xr:uid="{00000000-0005-0000-0000-000024490000}"/>
    <cellStyle name="Normal 28 5 3" xfId="34500" xr:uid="{00000000-0005-0000-0000-000025490000}"/>
    <cellStyle name="Normal 28 6" xfId="11841" xr:uid="{00000000-0005-0000-0000-000026490000}"/>
    <cellStyle name="Normal 28 6 2" xfId="29970" xr:uid="{00000000-0005-0000-0000-000027490000}"/>
    <cellStyle name="Normal 28 6 3" xfId="34619" xr:uid="{00000000-0005-0000-0000-000028490000}"/>
    <cellStyle name="Normal 28 7" xfId="11960" xr:uid="{00000000-0005-0000-0000-000029490000}"/>
    <cellStyle name="Normal 28 7 2" xfId="30087" xr:uid="{00000000-0005-0000-0000-00002A490000}"/>
    <cellStyle name="Normal 28 7 3" xfId="34738" xr:uid="{00000000-0005-0000-0000-00002B490000}"/>
    <cellStyle name="Normal 28 8" xfId="13469" xr:uid="{00000000-0005-0000-0000-00002C490000}"/>
    <cellStyle name="Normal 28 8 2" xfId="30581" xr:uid="{00000000-0005-0000-0000-00002D490000}"/>
    <cellStyle name="Normal 28 8 3" xfId="35243" xr:uid="{00000000-0005-0000-0000-00002E490000}"/>
    <cellStyle name="Normal 28 9" xfId="13591" xr:uid="{00000000-0005-0000-0000-00002F490000}"/>
    <cellStyle name="Normal 28 9 2" xfId="30703" xr:uid="{00000000-0005-0000-0000-000030490000}"/>
    <cellStyle name="Normal 28 9 3" xfId="35365" xr:uid="{00000000-0005-0000-0000-000031490000}"/>
    <cellStyle name="Normal 29" xfId="3322" xr:uid="{00000000-0005-0000-0000-000032490000}"/>
    <cellStyle name="Normal 29 10" xfId="13714" xr:uid="{00000000-0005-0000-0000-000033490000}"/>
    <cellStyle name="Normal 29 10 2" xfId="30826" xr:uid="{00000000-0005-0000-0000-000034490000}"/>
    <cellStyle name="Normal 29 10 3" xfId="35488" xr:uid="{00000000-0005-0000-0000-000035490000}"/>
    <cellStyle name="Normal 29 11" xfId="13835" xr:uid="{00000000-0005-0000-0000-000036490000}"/>
    <cellStyle name="Normal 29 11 2" xfId="30947" xr:uid="{00000000-0005-0000-0000-000037490000}"/>
    <cellStyle name="Normal 29 11 3" xfId="35609" xr:uid="{00000000-0005-0000-0000-000038490000}"/>
    <cellStyle name="Normal 29 12" xfId="13954" xr:uid="{00000000-0005-0000-0000-000039490000}"/>
    <cellStyle name="Normal 29 12 2" xfId="31066" xr:uid="{00000000-0005-0000-0000-00003A490000}"/>
    <cellStyle name="Normal 29 12 3" xfId="35728" xr:uid="{00000000-0005-0000-0000-00003B490000}"/>
    <cellStyle name="Normal 29 13" xfId="9962" xr:uid="{00000000-0005-0000-0000-00003C490000}"/>
    <cellStyle name="Normal 29 13 2" xfId="33324" xr:uid="{00000000-0005-0000-0000-00003D490000}"/>
    <cellStyle name="Normal 29 13 3" xfId="28219" xr:uid="{00000000-0005-0000-0000-00003E490000}"/>
    <cellStyle name="Normal 29 14" xfId="27387" xr:uid="{00000000-0005-0000-0000-00003F490000}"/>
    <cellStyle name="Normal 29 2" xfId="11475" xr:uid="{00000000-0005-0000-0000-000040490000}"/>
    <cellStyle name="Normal 29 2 10" xfId="13955" xr:uid="{00000000-0005-0000-0000-000041490000}"/>
    <cellStyle name="Normal 29 2 10 2" xfId="31067" xr:uid="{00000000-0005-0000-0000-000042490000}"/>
    <cellStyle name="Normal 29 2 10 3" xfId="35729" xr:uid="{00000000-0005-0000-0000-000043490000}"/>
    <cellStyle name="Normal 29 2 11" xfId="29661" xr:uid="{00000000-0005-0000-0000-000044490000}"/>
    <cellStyle name="Normal 29 2 12" xfId="28512" xr:uid="{00000000-0005-0000-0000-000045490000}"/>
    <cellStyle name="Normal 29 2 13" xfId="34285" xr:uid="{00000000-0005-0000-0000-000046490000}"/>
    <cellStyle name="Normal 29 2 2" xfId="11588" xr:uid="{00000000-0005-0000-0000-000047490000}"/>
    <cellStyle name="Normal 29 2 2 2" xfId="29737" xr:uid="{00000000-0005-0000-0000-000048490000}"/>
    <cellStyle name="Normal 29 2 2 3" xfId="34378" xr:uid="{00000000-0005-0000-0000-000049490000}"/>
    <cellStyle name="Normal 29 2 3" xfId="11726" xr:uid="{00000000-0005-0000-0000-00004A490000}"/>
    <cellStyle name="Normal 29 2 3 2" xfId="29856" xr:uid="{00000000-0005-0000-0000-00004B490000}"/>
    <cellStyle name="Normal 29 2 3 3" xfId="34504" xr:uid="{00000000-0005-0000-0000-00004C490000}"/>
    <cellStyle name="Normal 29 2 4" xfId="11845" xr:uid="{00000000-0005-0000-0000-00004D490000}"/>
    <cellStyle name="Normal 29 2 4 2" xfId="29974" xr:uid="{00000000-0005-0000-0000-00004E490000}"/>
    <cellStyle name="Normal 29 2 4 3" xfId="34623" xr:uid="{00000000-0005-0000-0000-00004F490000}"/>
    <cellStyle name="Normal 29 2 5" xfId="11964" xr:uid="{00000000-0005-0000-0000-000050490000}"/>
    <cellStyle name="Normal 29 2 5 2" xfId="30091" xr:uid="{00000000-0005-0000-0000-000051490000}"/>
    <cellStyle name="Normal 29 2 5 3" xfId="34742" xr:uid="{00000000-0005-0000-0000-000052490000}"/>
    <cellStyle name="Normal 29 2 6" xfId="13473" xr:uid="{00000000-0005-0000-0000-000053490000}"/>
    <cellStyle name="Normal 29 2 6 2" xfId="30585" xr:uid="{00000000-0005-0000-0000-000054490000}"/>
    <cellStyle name="Normal 29 2 6 3" xfId="35247" xr:uid="{00000000-0005-0000-0000-000055490000}"/>
    <cellStyle name="Normal 29 2 7" xfId="13595" xr:uid="{00000000-0005-0000-0000-000056490000}"/>
    <cellStyle name="Normal 29 2 7 2" xfId="30707" xr:uid="{00000000-0005-0000-0000-000057490000}"/>
    <cellStyle name="Normal 29 2 7 3" xfId="35369" xr:uid="{00000000-0005-0000-0000-000058490000}"/>
    <cellStyle name="Normal 29 2 8" xfId="13715" xr:uid="{00000000-0005-0000-0000-000059490000}"/>
    <cellStyle name="Normal 29 2 8 2" xfId="30827" xr:uid="{00000000-0005-0000-0000-00005A490000}"/>
    <cellStyle name="Normal 29 2 8 3" xfId="35489" xr:uid="{00000000-0005-0000-0000-00005B490000}"/>
    <cellStyle name="Normal 29 2 9" xfId="13836" xr:uid="{00000000-0005-0000-0000-00005C490000}"/>
    <cellStyle name="Normal 29 2 9 2" xfId="30948" xr:uid="{00000000-0005-0000-0000-00005D490000}"/>
    <cellStyle name="Normal 29 2 9 3" xfId="35610" xr:uid="{00000000-0005-0000-0000-00005E490000}"/>
    <cellStyle name="Normal 29 3" xfId="11476" xr:uid="{00000000-0005-0000-0000-00005F490000}"/>
    <cellStyle name="Normal 29 3 10" xfId="13956" xr:uid="{00000000-0005-0000-0000-000060490000}"/>
    <cellStyle name="Normal 29 3 10 2" xfId="31068" xr:uid="{00000000-0005-0000-0000-000061490000}"/>
    <cellStyle name="Normal 29 3 10 3" xfId="35730" xr:uid="{00000000-0005-0000-0000-000062490000}"/>
    <cellStyle name="Normal 29 3 11" xfId="29662" xr:uid="{00000000-0005-0000-0000-000063490000}"/>
    <cellStyle name="Normal 29 3 12" xfId="28511" xr:uid="{00000000-0005-0000-0000-000064490000}"/>
    <cellStyle name="Normal 29 3 13" xfId="34286" xr:uid="{00000000-0005-0000-0000-000065490000}"/>
    <cellStyle name="Normal 29 3 2" xfId="11589" xr:uid="{00000000-0005-0000-0000-000066490000}"/>
    <cellStyle name="Normal 29 3 2 2" xfId="29738" xr:uid="{00000000-0005-0000-0000-000067490000}"/>
    <cellStyle name="Normal 29 3 2 3" xfId="34379" xr:uid="{00000000-0005-0000-0000-000068490000}"/>
    <cellStyle name="Normal 29 3 3" xfId="11727" xr:uid="{00000000-0005-0000-0000-000069490000}"/>
    <cellStyle name="Normal 29 3 3 2" xfId="29857" xr:uid="{00000000-0005-0000-0000-00006A490000}"/>
    <cellStyle name="Normal 29 3 3 3" xfId="34505" xr:uid="{00000000-0005-0000-0000-00006B490000}"/>
    <cellStyle name="Normal 29 3 4" xfId="11846" xr:uid="{00000000-0005-0000-0000-00006C490000}"/>
    <cellStyle name="Normal 29 3 4 2" xfId="29975" xr:uid="{00000000-0005-0000-0000-00006D490000}"/>
    <cellStyle name="Normal 29 3 4 3" xfId="34624" xr:uid="{00000000-0005-0000-0000-00006E490000}"/>
    <cellStyle name="Normal 29 3 5" xfId="11965" xr:uid="{00000000-0005-0000-0000-00006F490000}"/>
    <cellStyle name="Normal 29 3 5 2" xfId="30092" xr:uid="{00000000-0005-0000-0000-000070490000}"/>
    <cellStyle name="Normal 29 3 5 3" xfId="34743" xr:uid="{00000000-0005-0000-0000-000071490000}"/>
    <cellStyle name="Normal 29 3 6" xfId="13474" xr:uid="{00000000-0005-0000-0000-000072490000}"/>
    <cellStyle name="Normal 29 3 6 2" xfId="30586" xr:uid="{00000000-0005-0000-0000-000073490000}"/>
    <cellStyle name="Normal 29 3 6 3" xfId="35248" xr:uid="{00000000-0005-0000-0000-000074490000}"/>
    <cellStyle name="Normal 29 3 7" xfId="13596" xr:uid="{00000000-0005-0000-0000-000075490000}"/>
    <cellStyle name="Normal 29 3 7 2" xfId="30708" xr:uid="{00000000-0005-0000-0000-000076490000}"/>
    <cellStyle name="Normal 29 3 7 3" xfId="35370" xr:uid="{00000000-0005-0000-0000-000077490000}"/>
    <cellStyle name="Normal 29 3 8" xfId="13716" xr:uid="{00000000-0005-0000-0000-000078490000}"/>
    <cellStyle name="Normal 29 3 8 2" xfId="30828" xr:uid="{00000000-0005-0000-0000-000079490000}"/>
    <cellStyle name="Normal 29 3 8 3" xfId="35490" xr:uid="{00000000-0005-0000-0000-00007A490000}"/>
    <cellStyle name="Normal 29 3 9" xfId="13837" xr:uid="{00000000-0005-0000-0000-00007B490000}"/>
    <cellStyle name="Normal 29 3 9 2" xfId="30949" xr:uid="{00000000-0005-0000-0000-00007C490000}"/>
    <cellStyle name="Normal 29 3 9 3" xfId="35611" xr:uid="{00000000-0005-0000-0000-00007D490000}"/>
    <cellStyle name="Normal 29 4" xfId="11587" xr:uid="{00000000-0005-0000-0000-00007E490000}"/>
    <cellStyle name="Normal 29 4 2" xfId="29736" xr:uid="{00000000-0005-0000-0000-00007F490000}"/>
    <cellStyle name="Normal 29 4 3" xfId="34377" xr:uid="{00000000-0005-0000-0000-000080490000}"/>
    <cellStyle name="Normal 29 5" xfId="11725" xr:uid="{00000000-0005-0000-0000-000081490000}"/>
    <cellStyle name="Normal 29 5 2" xfId="29855" xr:uid="{00000000-0005-0000-0000-000082490000}"/>
    <cellStyle name="Normal 29 5 3" xfId="34503" xr:uid="{00000000-0005-0000-0000-000083490000}"/>
    <cellStyle name="Normal 29 6" xfId="11844" xr:uid="{00000000-0005-0000-0000-000084490000}"/>
    <cellStyle name="Normal 29 6 2" xfId="29973" xr:uid="{00000000-0005-0000-0000-000085490000}"/>
    <cellStyle name="Normal 29 6 3" xfId="34622" xr:uid="{00000000-0005-0000-0000-000086490000}"/>
    <cellStyle name="Normal 29 7" xfId="11963" xr:uid="{00000000-0005-0000-0000-000087490000}"/>
    <cellStyle name="Normal 29 7 2" xfId="30090" xr:uid="{00000000-0005-0000-0000-000088490000}"/>
    <cellStyle name="Normal 29 7 3" xfId="34741" xr:uid="{00000000-0005-0000-0000-000089490000}"/>
    <cellStyle name="Normal 29 8" xfId="13472" xr:uid="{00000000-0005-0000-0000-00008A490000}"/>
    <cellStyle name="Normal 29 8 2" xfId="30584" xr:uid="{00000000-0005-0000-0000-00008B490000}"/>
    <cellStyle name="Normal 29 8 3" xfId="35246" xr:uid="{00000000-0005-0000-0000-00008C490000}"/>
    <cellStyle name="Normal 29 9" xfId="13594" xr:uid="{00000000-0005-0000-0000-00008D490000}"/>
    <cellStyle name="Normal 29 9 2" xfId="30706" xr:uid="{00000000-0005-0000-0000-00008E490000}"/>
    <cellStyle name="Normal 29 9 3" xfId="35368" xr:uid="{00000000-0005-0000-0000-00008F490000}"/>
    <cellStyle name="Normal 3" xfId="46" xr:uid="{00000000-0005-0000-0000-000090490000}"/>
    <cellStyle name="Normal 3 10" xfId="3467" xr:uid="{00000000-0005-0000-0000-000091490000}"/>
    <cellStyle name="Normal 3 10 2" xfId="12778" xr:uid="{00000000-0005-0000-0000-000092490000}"/>
    <cellStyle name="Normal 3 10 2 2" xfId="30452" xr:uid="{00000000-0005-0000-0000-000093490000}"/>
    <cellStyle name="Normal 3 10 2 3" xfId="28420" xr:uid="{00000000-0005-0000-0000-000094490000}"/>
    <cellStyle name="Normal 3 10 3" xfId="11847" xr:uid="{00000000-0005-0000-0000-000095490000}"/>
    <cellStyle name="Normal 3 10 3 2" xfId="34625" xr:uid="{00000000-0005-0000-0000-000096490000}"/>
    <cellStyle name="Normal 3 10 4" xfId="31527" xr:uid="{00000000-0005-0000-0000-000097490000}"/>
    <cellStyle name="Normal 3 11" xfId="11966" xr:uid="{00000000-0005-0000-0000-000098490000}"/>
    <cellStyle name="Normal 3 11 2" xfId="12779" xr:uid="{00000000-0005-0000-0000-000099490000}"/>
    <cellStyle name="Normal 3 11 3" xfId="28374" xr:uid="{00000000-0005-0000-0000-00009A490000}"/>
    <cellStyle name="Normal 3 11 4" xfId="34744" xr:uid="{00000000-0005-0000-0000-00009B490000}"/>
    <cellStyle name="Normal 3 12" xfId="12780" xr:uid="{00000000-0005-0000-0000-00009C490000}"/>
    <cellStyle name="Normal 3 13" xfId="12781" xr:uid="{00000000-0005-0000-0000-00009D490000}"/>
    <cellStyle name="Normal 3 13 2" xfId="39820" xr:uid="{00000000-0005-0000-0000-0000410C0000}"/>
    <cellStyle name="Normal 3 14" xfId="13475" xr:uid="{00000000-0005-0000-0000-00009E490000}"/>
    <cellStyle name="Normal 3 14 2" xfId="30587" xr:uid="{00000000-0005-0000-0000-00009F490000}"/>
    <cellStyle name="Normal 3 14 3" xfId="35249" xr:uid="{00000000-0005-0000-0000-0000A0490000}"/>
    <cellStyle name="Normal 3 14 4" xfId="39821" xr:uid="{00000000-0005-0000-0000-0000420C0000}"/>
    <cellStyle name="Normal 3 15" xfId="13597" xr:uid="{00000000-0005-0000-0000-0000A1490000}"/>
    <cellStyle name="Normal 3 15 2" xfId="30709" xr:uid="{00000000-0005-0000-0000-0000A2490000}"/>
    <cellStyle name="Normal 3 15 3" xfId="35371" xr:uid="{00000000-0005-0000-0000-0000A3490000}"/>
    <cellStyle name="Normal 3 15 4" xfId="39822" xr:uid="{00000000-0005-0000-0000-0000430C0000}"/>
    <cellStyle name="Normal 3 16" xfId="13717" xr:uid="{00000000-0005-0000-0000-0000A4490000}"/>
    <cellStyle name="Normal 3 16 2" xfId="30829" xr:uid="{00000000-0005-0000-0000-0000A5490000}"/>
    <cellStyle name="Normal 3 16 3" xfId="35491" xr:uid="{00000000-0005-0000-0000-0000A6490000}"/>
    <cellStyle name="Normal 3 16 4" xfId="39823" xr:uid="{00000000-0005-0000-0000-0000440C0000}"/>
    <cellStyle name="Normal 3 17" xfId="13838" xr:uid="{00000000-0005-0000-0000-0000A7490000}"/>
    <cellStyle name="Normal 3 17 2" xfId="30950" xr:uid="{00000000-0005-0000-0000-0000A8490000}"/>
    <cellStyle name="Normal 3 17 3" xfId="35612" xr:uid="{00000000-0005-0000-0000-0000A9490000}"/>
    <cellStyle name="Normal 3 17 4" xfId="39824" xr:uid="{00000000-0005-0000-0000-0000450C0000}"/>
    <cellStyle name="Normal 3 18" xfId="13957" xr:uid="{00000000-0005-0000-0000-0000AA490000}"/>
    <cellStyle name="Normal 3 18 2" xfId="31069" xr:uid="{00000000-0005-0000-0000-0000AB490000}"/>
    <cellStyle name="Normal 3 18 3" xfId="35731" xr:uid="{00000000-0005-0000-0000-0000AC490000}"/>
    <cellStyle name="Normal 3 18 4" xfId="39825" xr:uid="{00000000-0005-0000-0000-0000460C0000}"/>
    <cellStyle name="Normal 3 19" xfId="31153" xr:uid="{00000000-0005-0000-0000-0000AD490000}"/>
    <cellStyle name="Normal 3 19 2" xfId="39826" xr:uid="{00000000-0005-0000-0000-0000470C0000}"/>
    <cellStyle name="Normal 3 2" xfId="2826" xr:uid="{00000000-0005-0000-0000-0000AE490000}"/>
    <cellStyle name="Normal 3 2 10" xfId="11967" xr:uid="{00000000-0005-0000-0000-0000AF490000}"/>
    <cellStyle name="Normal 3 2 10 2" xfId="30093" xr:uid="{00000000-0005-0000-0000-0000B0490000}"/>
    <cellStyle name="Normal 3 2 10 3" xfId="34745" xr:uid="{00000000-0005-0000-0000-0000B1490000}"/>
    <cellStyle name="Normal 3 2 10 4" xfId="39827" xr:uid="{00000000-0005-0000-0000-0000490C0000}"/>
    <cellStyle name="Normal 3 2 11" xfId="13476" xr:uid="{00000000-0005-0000-0000-0000B2490000}"/>
    <cellStyle name="Normal 3 2 11 2" xfId="30588" xr:uid="{00000000-0005-0000-0000-0000B3490000}"/>
    <cellStyle name="Normal 3 2 11 3" xfId="35250" xr:uid="{00000000-0005-0000-0000-0000B4490000}"/>
    <cellStyle name="Normal 3 2 12" xfId="13598" xr:uid="{00000000-0005-0000-0000-0000B5490000}"/>
    <cellStyle name="Normal 3 2 12 2" xfId="30710" xr:uid="{00000000-0005-0000-0000-0000B6490000}"/>
    <cellStyle name="Normal 3 2 12 3" xfId="35372" xr:uid="{00000000-0005-0000-0000-0000B7490000}"/>
    <cellStyle name="Normal 3 2 13" xfId="13718" xr:uid="{00000000-0005-0000-0000-0000B8490000}"/>
    <cellStyle name="Normal 3 2 13 2" xfId="30830" xr:uid="{00000000-0005-0000-0000-0000B9490000}"/>
    <cellStyle name="Normal 3 2 13 3" xfId="35492" xr:uid="{00000000-0005-0000-0000-0000BA490000}"/>
    <cellStyle name="Normal 3 2 14" xfId="13839" xr:uid="{00000000-0005-0000-0000-0000BB490000}"/>
    <cellStyle name="Normal 3 2 14 2" xfId="30951" xr:uid="{00000000-0005-0000-0000-0000BC490000}"/>
    <cellStyle name="Normal 3 2 14 3" xfId="35613" xr:uid="{00000000-0005-0000-0000-0000BD490000}"/>
    <cellStyle name="Normal 3 2 15" xfId="13958" xr:uid="{00000000-0005-0000-0000-0000BE490000}"/>
    <cellStyle name="Normal 3 2 15 2" xfId="31070" xr:uid="{00000000-0005-0000-0000-0000BF490000}"/>
    <cellStyle name="Normal 3 2 15 3" xfId="35732" xr:uid="{00000000-0005-0000-0000-0000C0490000}"/>
    <cellStyle name="Normal 3 2 16" xfId="14018" xr:uid="{00000000-0005-0000-0000-0000C1490000}"/>
    <cellStyle name="Normal 3 2 16 2" xfId="31130" xr:uid="{00000000-0005-0000-0000-0000C2490000}"/>
    <cellStyle name="Normal 3 2 16 3" xfId="35792" xr:uid="{00000000-0005-0000-0000-0000C3490000}"/>
    <cellStyle name="Normal 3 2 17" xfId="9963" xr:uid="{00000000-0005-0000-0000-0000C4490000}"/>
    <cellStyle name="Normal 3 2 17 2" xfId="33325" xr:uid="{00000000-0005-0000-0000-0000C5490000}"/>
    <cellStyle name="Normal 3 2 18" xfId="14318" xr:uid="{00000000-0005-0000-0000-0000C6490000}"/>
    <cellStyle name="Normal 3 2 19" xfId="31298" xr:uid="{00000000-0005-0000-0000-0000C7490000}"/>
    <cellStyle name="Normal 3 2 2" xfId="2827" xr:uid="{00000000-0005-0000-0000-0000C8490000}"/>
    <cellStyle name="Normal 3 2 2 2" xfId="14094" xr:uid="{00000000-0005-0000-0000-0000C9490000}"/>
    <cellStyle name="Normal 3 2 2 2 2" xfId="39829" xr:uid="{00000000-0005-0000-0000-00004B0C0000}"/>
    <cellStyle name="Normal 3 2 2 3" xfId="14319" xr:uid="{00000000-0005-0000-0000-0000CA490000}"/>
    <cellStyle name="Normal 3 2 2 3 2" xfId="39828" xr:uid="{00000000-0005-0000-0000-00004C0C0000}"/>
    <cellStyle name="Normal 3 2 3" xfId="2828" xr:uid="{00000000-0005-0000-0000-0000CB490000}"/>
    <cellStyle name="Normal 3 2 3 2" xfId="9964" xr:uid="{00000000-0005-0000-0000-0000CC490000}"/>
    <cellStyle name="Normal 3 2 3 2 2" xfId="11170" xr:uid="{00000000-0005-0000-0000-0000CD490000}"/>
    <cellStyle name="Normal 3 2 3 2 2 2" xfId="29552" xr:uid="{00000000-0005-0000-0000-0000CE490000}"/>
    <cellStyle name="Normal 3 2 3 2 2 3" xfId="33987" xr:uid="{00000000-0005-0000-0000-0000CF490000}"/>
    <cellStyle name="Normal 3 2 3 2 3" xfId="28513" xr:uid="{00000000-0005-0000-0000-0000D0490000}"/>
    <cellStyle name="Normal 3 2 3 2 4" xfId="33326" xr:uid="{00000000-0005-0000-0000-0000D1490000}"/>
    <cellStyle name="Normal 3 2 3 2 5" xfId="39830" xr:uid="{00000000-0005-0000-0000-00004E0C0000}"/>
    <cellStyle name="Normal 3 2 3 3" xfId="14320" xr:uid="{00000000-0005-0000-0000-0000D2490000}"/>
    <cellStyle name="Normal 3 2 4" xfId="2829" xr:uid="{00000000-0005-0000-0000-0000D3490000}"/>
    <cellStyle name="Normal 3 2 5" xfId="3468" xr:uid="{00000000-0005-0000-0000-0000D4490000}"/>
    <cellStyle name="Normal 3 2 5 2" xfId="12782" xr:uid="{00000000-0005-0000-0000-0000D5490000}"/>
    <cellStyle name="Normal 3 2 5 2 2" xfId="30453" xr:uid="{00000000-0005-0000-0000-0000D6490000}"/>
    <cellStyle name="Normal 3 2 5 2 3" xfId="28421" xr:uid="{00000000-0005-0000-0000-0000D7490000}"/>
    <cellStyle name="Normal 3 2 5 3" xfId="9965" xr:uid="{00000000-0005-0000-0000-0000D8490000}"/>
    <cellStyle name="Normal 3 2 5 4" xfId="14321" xr:uid="{00000000-0005-0000-0000-0000D9490000}"/>
    <cellStyle name="Normal 3 2 5 4 2" xfId="35892" xr:uid="{00000000-0005-0000-0000-0000DA490000}"/>
    <cellStyle name="Normal 3 2 5 5" xfId="31528" xr:uid="{00000000-0005-0000-0000-0000DB490000}"/>
    <cellStyle name="Normal 3 2 5 6" xfId="27388" xr:uid="{00000000-0005-0000-0000-0000DC490000}"/>
    <cellStyle name="Normal 3 2 6" xfId="11169" xr:uid="{00000000-0005-0000-0000-0000DD490000}"/>
    <cellStyle name="Normal 3 2 6 2" xfId="12783" xr:uid="{00000000-0005-0000-0000-0000DE490000}"/>
    <cellStyle name="Normal 3 2 6 3" xfId="28394" xr:uid="{00000000-0005-0000-0000-0000DF490000}"/>
    <cellStyle name="Normal 3 2 6 4" xfId="33986" xr:uid="{00000000-0005-0000-0000-0000E0490000}"/>
    <cellStyle name="Normal 3 2 7" xfId="11591" xr:uid="{00000000-0005-0000-0000-0000E1490000}"/>
    <cellStyle name="Normal 3 2 7 2" xfId="12784" xr:uid="{00000000-0005-0000-0000-0000E2490000}"/>
    <cellStyle name="Normal 3 2 7 3" xfId="29739" xr:uid="{00000000-0005-0000-0000-0000E3490000}"/>
    <cellStyle name="Normal 3 2 7 4" xfId="34381" xr:uid="{00000000-0005-0000-0000-0000E4490000}"/>
    <cellStyle name="Normal 3 2 8" xfId="11729" xr:uid="{00000000-0005-0000-0000-0000E5490000}"/>
    <cellStyle name="Normal 3 2 8 2" xfId="12785" xr:uid="{00000000-0005-0000-0000-0000E6490000}"/>
    <cellStyle name="Normal 3 2 8 3" xfId="29858" xr:uid="{00000000-0005-0000-0000-0000E7490000}"/>
    <cellStyle name="Normal 3 2 8 4" xfId="34507" xr:uid="{00000000-0005-0000-0000-0000E8490000}"/>
    <cellStyle name="Normal 3 2 9" xfId="11848" xr:uid="{00000000-0005-0000-0000-0000E9490000}"/>
    <cellStyle name="Normal 3 2 9 2" xfId="29976" xr:uid="{00000000-0005-0000-0000-0000EA490000}"/>
    <cellStyle name="Normal 3 2 9 3" xfId="34626" xr:uid="{00000000-0005-0000-0000-0000EB490000}"/>
    <cellStyle name="Normal 3 2 9 4" xfId="39831" xr:uid="{00000000-0005-0000-0000-0000550C0000}"/>
    <cellStyle name="Normal 3 2_ELC" xfId="39832" xr:uid="{00000000-0005-0000-0000-0000570C0000}"/>
    <cellStyle name="Normal 3 20" xfId="39833" xr:uid="{00000000-0005-0000-0000-0000580C0000}"/>
    <cellStyle name="Normal 3 21" xfId="39834" xr:uid="{00000000-0005-0000-0000-0000590C0000}"/>
    <cellStyle name="Normal 3 22" xfId="39835" xr:uid="{00000000-0005-0000-0000-00005A0C0000}"/>
    <cellStyle name="Normal 3 23" xfId="39836" xr:uid="{00000000-0005-0000-0000-00005B0C0000}"/>
    <cellStyle name="Normal 3 24" xfId="39837" xr:uid="{00000000-0005-0000-0000-00005C0C0000}"/>
    <cellStyle name="Normal 3 25" xfId="39838" xr:uid="{00000000-0005-0000-0000-00005D0C0000}"/>
    <cellStyle name="Normal 3 26" xfId="39839" xr:uid="{00000000-0005-0000-0000-00005E0C0000}"/>
    <cellStyle name="Normal 3 27" xfId="39819" xr:uid="{00000000-0005-0000-0000-00005F0C0000}"/>
    <cellStyle name="Normal 3 3" xfId="2830" xr:uid="{00000000-0005-0000-0000-0000EC490000}"/>
    <cellStyle name="Normal 3 3 10" xfId="13599" xr:uid="{00000000-0005-0000-0000-0000ED490000}"/>
    <cellStyle name="Normal 3 3 10 2" xfId="30711" xr:uid="{00000000-0005-0000-0000-0000EE490000}"/>
    <cellStyle name="Normal 3 3 10 3" xfId="35373" xr:uid="{00000000-0005-0000-0000-0000EF490000}"/>
    <cellStyle name="Normal 3 3 11" xfId="13719" xr:uid="{00000000-0005-0000-0000-0000F0490000}"/>
    <cellStyle name="Normal 3 3 11 2" xfId="30831" xr:uid="{00000000-0005-0000-0000-0000F1490000}"/>
    <cellStyle name="Normal 3 3 11 3" xfId="35493" xr:uid="{00000000-0005-0000-0000-0000F2490000}"/>
    <cellStyle name="Normal 3 3 12" xfId="13840" xr:uid="{00000000-0005-0000-0000-0000F3490000}"/>
    <cellStyle name="Normal 3 3 12 2" xfId="30952" xr:uid="{00000000-0005-0000-0000-0000F4490000}"/>
    <cellStyle name="Normal 3 3 12 3" xfId="35614" xr:uid="{00000000-0005-0000-0000-0000F5490000}"/>
    <cellStyle name="Normal 3 3 13" xfId="13959" xr:uid="{00000000-0005-0000-0000-0000F6490000}"/>
    <cellStyle name="Normal 3 3 13 2" xfId="31071" xr:uid="{00000000-0005-0000-0000-0000F7490000}"/>
    <cellStyle name="Normal 3 3 13 3" xfId="35733" xr:uid="{00000000-0005-0000-0000-0000F8490000}"/>
    <cellStyle name="Normal 3 3 2" xfId="9966" xr:uid="{00000000-0005-0000-0000-0000F9490000}"/>
    <cellStyle name="Normal 3 3 2 2" xfId="12786" xr:uid="{00000000-0005-0000-0000-0000FA490000}"/>
    <cellStyle name="Normal 3 3 3" xfId="11592" xr:uid="{00000000-0005-0000-0000-0000FB490000}"/>
    <cellStyle name="Normal 3 3 3 2" xfId="12787" xr:uid="{00000000-0005-0000-0000-0000FC490000}"/>
    <cellStyle name="Normal 3 3 3 3" xfId="29740" xr:uid="{00000000-0005-0000-0000-0000FD490000}"/>
    <cellStyle name="Normal 3 3 3 4" xfId="34382" xr:uid="{00000000-0005-0000-0000-0000FE490000}"/>
    <cellStyle name="Normal 3 3 4" xfId="11730" xr:uid="{00000000-0005-0000-0000-0000FF490000}"/>
    <cellStyle name="Normal 3 3 4 2" xfId="12788" xr:uid="{00000000-0005-0000-0000-0000004A0000}"/>
    <cellStyle name="Normal 3 3 4 3" xfId="29859" xr:uid="{00000000-0005-0000-0000-0000014A0000}"/>
    <cellStyle name="Normal 3 3 4 4" xfId="34508" xr:uid="{00000000-0005-0000-0000-0000024A0000}"/>
    <cellStyle name="Normal 3 3 5" xfId="11849" xr:uid="{00000000-0005-0000-0000-0000034A0000}"/>
    <cellStyle name="Normal 3 3 5 2" xfId="12789" xr:uid="{00000000-0005-0000-0000-0000044A0000}"/>
    <cellStyle name="Normal 3 3 5 3" xfId="29977" xr:uid="{00000000-0005-0000-0000-0000054A0000}"/>
    <cellStyle name="Normal 3 3 5 4" xfId="34627" xr:uid="{00000000-0005-0000-0000-0000064A0000}"/>
    <cellStyle name="Normal 3 3 6" xfId="11968" xr:uid="{00000000-0005-0000-0000-0000074A0000}"/>
    <cellStyle name="Normal 3 3 6 2" xfId="12790" xr:uid="{00000000-0005-0000-0000-0000084A0000}"/>
    <cellStyle name="Normal 3 3 6 3" xfId="30094" xr:uid="{00000000-0005-0000-0000-0000094A0000}"/>
    <cellStyle name="Normal 3 3 6 4" xfId="34746" xr:uid="{00000000-0005-0000-0000-00000A4A0000}"/>
    <cellStyle name="Normal 3 3 7" xfId="12791" xr:uid="{00000000-0005-0000-0000-00000B4A0000}"/>
    <cellStyle name="Normal 3 3 8" xfId="12792" xr:uid="{00000000-0005-0000-0000-00000C4A0000}"/>
    <cellStyle name="Normal 3 3 9" xfId="13477" xr:uid="{00000000-0005-0000-0000-00000D4A0000}"/>
    <cellStyle name="Normal 3 3 9 2" xfId="30589" xr:uid="{00000000-0005-0000-0000-00000E4A0000}"/>
    <cellStyle name="Normal 3 3 9 3" xfId="35251" xr:uid="{00000000-0005-0000-0000-00000F4A0000}"/>
    <cellStyle name="Normal 3 4" xfId="2831" xr:uid="{00000000-0005-0000-0000-0000104A0000}"/>
    <cellStyle name="Normal 3 4 2" xfId="9967" xr:uid="{00000000-0005-0000-0000-0000114A0000}"/>
    <cellStyle name="Normal 3 4 2 2" xfId="14322" xr:uid="{00000000-0005-0000-0000-0000124A0000}"/>
    <cellStyle name="Normal 3 4 3" xfId="9968" xr:uid="{00000000-0005-0000-0000-0000134A0000}"/>
    <cellStyle name="Normal 3 4 4" xfId="12793" xr:uid="{00000000-0005-0000-0000-0000144A0000}"/>
    <cellStyle name="Normal 3 4 5" xfId="12794" xr:uid="{00000000-0005-0000-0000-0000154A0000}"/>
    <cellStyle name="Normal 3 4 6" xfId="12795" xr:uid="{00000000-0005-0000-0000-0000164A0000}"/>
    <cellStyle name="Normal 3 4 7" xfId="12796" xr:uid="{00000000-0005-0000-0000-0000174A0000}"/>
    <cellStyle name="Normal 3 4 8" xfId="12797" xr:uid="{00000000-0005-0000-0000-0000184A0000}"/>
    <cellStyle name="Normal 3 4 9" xfId="14095" xr:uid="{00000000-0005-0000-0000-0000194A0000}"/>
    <cellStyle name="Normal 3 5" xfId="2832" xr:uid="{00000000-0005-0000-0000-00001A4A0000}"/>
    <cellStyle name="Normal 3 5 2" xfId="9969" xr:uid="{00000000-0005-0000-0000-00001B4A0000}"/>
    <cellStyle name="Normal 3 5 2 2" xfId="12798" xr:uid="{00000000-0005-0000-0000-00001C4A0000}"/>
    <cellStyle name="Normal 3 5 3" xfId="12799" xr:uid="{00000000-0005-0000-0000-00001D4A0000}"/>
    <cellStyle name="Normal 3 5 4" xfId="12800" xr:uid="{00000000-0005-0000-0000-00001E4A0000}"/>
    <cellStyle name="Normal 3 5 5" xfId="12801" xr:uid="{00000000-0005-0000-0000-00001F4A0000}"/>
    <cellStyle name="Normal 3 5 6" xfId="12802" xr:uid="{00000000-0005-0000-0000-0000204A0000}"/>
    <cellStyle name="Normal 3 5 7" xfId="12803" xr:uid="{00000000-0005-0000-0000-0000214A0000}"/>
    <cellStyle name="Normal 3 5 8" xfId="12804" xr:uid="{00000000-0005-0000-0000-0000224A0000}"/>
    <cellStyle name="Normal 3 6" xfId="2833" xr:uid="{00000000-0005-0000-0000-0000234A0000}"/>
    <cellStyle name="Normal 3 7" xfId="2834" xr:uid="{00000000-0005-0000-0000-0000244A0000}"/>
    <cellStyle name="Normal 3 7 2" xfId="12024" xr:uid="{00000000-0005-0000-0000-0000254A0000}"/>
    <cellStyle name="Normal 3 7 2 2" xfId="30150" xr:uid="{00000000-0005-0000-0000-0000264A0000}"/>
    <cellStyle name="Normal 3 7 2 3" xfId="34802" xr:uid="{00000000-0005-0000-0000-0000274A0000}"/>
    <cellStyle name="Normal 3 7 3" xfId="12805" xr:uid="{00000000-0005-0000-0000-0000284A0000}"/>
    <cellStyle name="Normal 3 7 4" xfId="11457" xr:uid="{00000000-0005-0000-0000-0000294A0000}"/>
    <cellStyle name="Normal 3 7 4 2" xfId="34273" xr:uid="{00000000-0005-0000-0000-00002A4A0000}"/>
    <cellStyle name="Normal 3 7 5" xfId="14323" xr:uid="{00000000-0005-0000-0000-00002B4A0000}"/>
    <cellStyle name="Normal 3 7 6" xfId="27856" xr:uid="{00000000-0005-0000-0000-00002C4A0000}"/>
    <cellStyle name="Normal 3 8" xfId="3300" xr:uid="{00000000-0005-0000-0000-00002D4A0000}"/>
    <cellStyle name="Normal 3 8 2" xfId="12806" xr:uid="{00000000-0005-0000-0000-00002E4A0000}"/>
    <cellStyle name="Normal 3 8 2 2" xfId="30454" xr:uid="{00000000-0005-0000-0000-00002F4A0000}"/>
    <cellStyle name="Normal 3 8 2 3" xfId="28405" xr:uid="{00000000-0005-0000-0000-0000304A0000}"/>
    <cellStyle name="Normal 3 8 3" xfId="11590" xr:uid="{00000000-0005-0000-0000-0000314A0000}"/>
    <cellStyle name="Normal 3 8 3 2" xfId="34380" xr:uid="{00000000-0005-0000-0000-0000324A0000}"/>
    <cellStyle name="Normal 3 8 4" xfId="31378" xr:uid="{00000000-0005-0000-0000-0000334A0000}"/>
    <cellStyle name="Normal 3 9" xfId="3318" xr:uid="{00000000-0005-0000-0000-0000344A0000}"/>
    <cellStyle name="Normal 3 9 2" xfId="12807" xr:uid="{00000000-0005-0000-0000-0000354A0000}"/>
    <cellStyle name="Normal 3 9 2 2" xfId="30455" xr:uid="{00000000-0005-0000-0000-0000364A0000}"/>
    <cellStyle name="Normal 3 9 2 3" xfId="28410" xr:uid="{00000000-0005-0000-0000-0000374A0000}"/>
    <cellStyle name="Normal 3 9 3" xfId="11728" xr:uid="{00000000-0005-0000-0000-0000384A0000}"/>
    <cellStyle name="Normal 3 9 3 2" xfId="34506" xr:uid="{00000000-0005-0000-0000-0000394A0000}"/>
    <cellStyle name="Normal 3 9 4" xfId="28220" xr:uid="{00000000-0005-0000-0000-00003A4A0000}"/>
    <cellStyle name="Normal 3 9 5" xfId="31388" xr:uid="{00000000-0005-0000-0000-00003B4A0000}"/>
    <cellStyle name="Normal 3 9 6" xfId="27887" xr:uid="{00000000-0005-0000-0000-00003C4A0000}"/>
    <cellStyle name="Normal 3_Copy of Commissioning date correction" xfId="2835" xr:uid="{00000000-0005-0000-0000-00003D4A0000}"/>
    <cellStyle name="Normal 30" xfId="3323" xr:uid="{00000000-0005-0000-0000-00003E4A0000}"/>
    <cellStyle name="Normal 30 10" xfId="13720" xr:uid="{00000000-0005-0000-0000-00003F4A0000}"/>
    <cellStyle name="Normal 30 10 2" xfId="30832" xr:uid="{00000000-0005-0000-0000-0000404A0000}"/>
    <cellStyle name="Normal 30 10 3" xfId="35494" xr:uid="{00000000-0005-0000-0000-0000414A0000}"/>
    <cellStyle name="Normal 30 11" xfId="13841" xr:uid="{00000000-0005-0000-0000-0000424A0000}"/>
    <cellStyle name="Normal 30 11 2" xfId="30953" xr:uid="{00000000-0005-0000-0000-0000434A0000}"/>
    <cellStyle name="Normal 30 11 3" xfId="35615" xr:uid="{00000000-0005-0000-0000-0000444A0000}"/>
    <cellStyle name="Normal 30 12" xfId="13960" xr:uid="{00000000-0005-0000-0000-0000454A0000}"/>
    <cellStyle name="Normal 30 12 2" xfId="31072" xr:uid="{00000000-0005-0000-0000-0000464A0000}"/>
    <cellStyle name="Normal 30 12 3" xfId="35734" xr:uid="{00000000-0005-0000-0000-0000474A0000}"/>
    <cellStyle name="Normal 30 13" xfId="9970" xr:uid="{00000000-0005-0000-0000-0000484A0000}"/>
    <cellStyle name="Normal 30 13 2" xfId="33327" xr:uid="{00000000-0005-0000-0000-0000494A0000}"/>
    <cellStyle name="Normal 30 13 3" xfId="28221" xr:uid="{00000000-0005-0000-0000-00004A4A0000}"/>
    <cellStyle name="Normal 30 14" xfId="27389" xr:uid="{00000000-0005-0000-0000-00004B4A0000}"/>
    <cellStyle name="Normal 30 2" xfId="11477" xr:uid="{00000000-0005-0000-0000-00004C4A0000}"/>
    <cellStyle name="Normal 30 2 10" xfId="13961" xr:uid="{00000000-0005-0000-0000-00004D4A0000}"/>
    <cellStyle name="Normal 30 2 10 2" xfId="31073" xr:uid="{00000000-0005-0000-0000-00004E4A0000}"/>
    <cellStyle name="Normal 30 2 10 3" xfId="35735" xr:uid="{00000000-0005-0000-0000-00004F4A0000}"/>
    <cellStyle name="Normal 30 2 11" xfId="29663" xr:uid="{00000000-0005-0000-0000-0000504A0000}"/>
    <cellStyle name="Normal 30 2 12" xfId="28515" xr:uid="{00000000-0005-0000-0000-0000514A0000}"/>
    <cellStyle name="Normal 30 2 13" xfId="34287" xr:uid="{00000000-0005-0000-0000-0000524A0000}"/>
    <cellStyle name="Normal 30 2 2" xfId="11594" xr:uid="{00000000-0005-0000-0000-0000534A0000}"/>
    <cellStyle name="Normal 30 2 2 2" xfId="29742" xr:uid="{00000000-0005-0000-0000-0000544A0000}"/>
    <cellStyle name="Normal 30 2 2 3" xfId="28892" xr:uid="{00000000-0005-0000-0000-0000554A0000}"/>
    <cellStyle name="Normal 30 2 2 4" xfId="34384" xr:uid="{00000000-0005-0000-0000-0000564A0000}"/>
    <cellStyle name="Normal 30 2 3" xfId="11732" xr:uid="{00000000-0005-0000-0000-0000574A0000}"/>
    <cellStyle name="Normal 30 2 3 2" xfId="29861" xr:uid="{00000000-0005-0000-0000-0000584A0000}"/>
    <cellStyle name="Normal 30 2 3 3" xfId="34510" xr:uid="{00000000-0005-0000-0000-0000594A0000}"/>
    <cellStyle name="Normal 30 2 4" xfId="11851" xr:uid="{00000000-0005-0000-0000-00005A4A0000}"/>
    <cellStyle name="Normal 30 2 4 2" xfId="29979" xr:uid="{00000000-0005-0000-0000-00005B4A0000}"/>
    <cellStyle name="Normal 30 2 4 3" xfId="34629" xr:uid="{00000000-0005-0000-0000-00005C4A0000}"/>
    <cellStyle name="Normal 30 2 5" xfId="11970" xr:uid="{00000000-0005-0000-0000-00005D4A0000}"/>
    <cellStyle name="Normal 30 2 5 2" xfId="30096" xr:uid="{00000000-0005-0000-0000-00005E4A0000}"/>
    <cellStyle name="Normal 30 2 5 3" xfId="34748" xr:uid="{00000000-0005-0000-0000-00005F4A0000}"/>
    <cellStyle name="Normal 30 2 6" xfId="13479" xr:uid="{00000000-0005-0000-0000-0000604A0000}"/>
    <cellStyle name="Normal 30 2 6 2" xfId="30591" xr:uid="{00000000-0005-0000-0000-0000614A0000}"/>
    <cellStyle name="Normal 30 2 6 3" xfId="35253" xr:uid="{00000000-0005-0000-0000-0000624A0000}"/>
    <cellStyle name="Normal 30 2 7" xfId="13601" xr:uid="{00000000-0005-0000-0000-0000634A0000}"/>
    <cellStyle name="Normal 30 2 7 2" xfId="30713" xr:uid="{00000000-0005-0000-0000-0000644A0000}"/>
    <cellStyle name="Normal 30 2 7 3" xfId="35375" xr:uid="{00000000-0005-0000-0000-0000654A0000}"/>
    <cellStyle name="Normal 30 2 8" xfId="13721" xr:uid="{00000000-0005-0000-0000-0000664A0000}"/>
    <cellStyle name="Normal 30 2 8 2" xfId="30833" xr:uid="{00000000-0005-0000-0000-0000674A0000}"/>
    <cellStyle name="Normal 30 2 8 3" xfId="35495" xr:uid="{00000000-0005-0000-0000-0000684A0000}"/>
    <cellStyle name="Normal 30 2 9" xfId="13842" xr:uid="{00000000-0005-0000-0000-0000694A0000}"/>
    <cellStyle name="Normal 30 2 9 2" xfId="30954" xr:uid="{00000000-0005-0000-0000-00006A4A0000}"/>
    <cellStyle name="Normal 30 2 9 3" xfId="35616" xr:uid="{00000000-0005-0000-0000-00006B4A0000}"/>
    <cellStyle name="Normal 30 3" xfId="11478" xr:uid="{00000000-0005-0000-0000-00006C4A0000}"/>
    <cellStyle name="Normal 30 3 10" xfId="13962" xr:uid="{00000000-0005-0000-0000-00006D4A0000}"/>
    <cellStyle name="Normal 30 3 10 2" xfId="31074" xr:uid="{00000000-0005-0000-0000-00006E4A0000}"/>
    <cellStyle name="Normal 30 3 10 3" xfId="35736" xr:uid="{00000000-0005-0000-0000-00006F4A0000}"/>
    <cellStyle name="Normal 30 3 11" xfId="29664" xr:uid="{00000000-0005-0000-0000-0000704A0000}"/>
    <cellStyle name="Normal 30 3 12" xfId="28891" xr:uid="{00000000-0005-0000-0000-0000714A0000}"/>
    <cellStyle name="Normal 30 3 13" xfId="34288" xr:uid="{00000000-0005-0000-0000-0000724A0000}"/>
    <cellStyle name="Normal 30 3 2" xfId="11595" xr:uid="{00000000-0005-0000-0000-0000734A0000}"/>
    <cellStyle name="Normal 30 3 2 2" xfId="29743" xr:uid="{00000000-0005-0000-0000-0000744A0000}"/>
    <cellStyle name="Normal 30 3 2 3" xfId="34385" xr:uid="{00000000-0005-0000-0000-0000754A0000}"/>
    <cellStyle name="Normal 30 3 3" xfId="11733" xr:uid="{00000000-0005-0000-0000-0000764A0000}"/>
    <cellStyle name="Normal 30 3 3 2" xfId="29862" xr:uid="{00000000-0005-0000-0000-0000774A0000}"/>
    <cellStyle name="Normal 30 3 3 3" xfId="34511" xr:uid="{00000000-0005-0000-0000-0000784A0000}"/>
    <cellStyle name="Normal 30 3 4" xfId="11852" xr:uid="{00000000-0005-0000-0000-0000794A0000}"/>
    <cellStyle name="Normal 30 3 4 2" xfId="29980" xr:uid="{00000000-0005-0000-0000-00007A4A0000}"/>
    <cellStyle name="Normal 30 3 4 3" xfId="34630" xr:uid="{00000000-0005-0000-0000-00007B4A0000}"/>
    <cellStyle name="Normal 30 3 5" xfId="11971" xr:uid="{00000000-0005-0000-0000-00007C4A0000}"/>
    <cellStyle name="Normal 30 3 5 2" xfId="30097" xr:uid="{00000000-0005-0000-0000-00007D4A0000}"/>
    <cellStyle name="Normal 30 3 5 3" xfId="34749" xr:uid="{00000000-0005-0000-0000-00007E4A0000}"/>
    <cellStyle name="Normal 30 3 6" xfId="13480" xr:uid="{00000000-0005-0000-0000-00007F4A0000}"/>
    <cellStyle name="Normal 30 3 6 2" xfId="30592" xr:uid="{00000000-0005-0000-0000-0000804A0000}"/>
    <cellStyle name="Normal 30 3 6 3" xfId="35254" xr:uid="{00000000-0005-0000-0000-0000814A0000}"/>
    <cellStyle name="Normal 30 3 7" xfId="13602" xr:uid="{00000000-0005-0000-0000-0000824A0000}"/>
    <cellStyle name="Normal 30 3 7 2" xfId="30714" xr:uid="{00000000-0005-0000-0000-0000834A0000}"/>
    <cellStyle name="Normal 30 3 7 3" xfId="35376" xr:uid="{00000000-0005-0000-0000-0000844A0000}"/>
    <cellStyle name="Normal 30 3 8" xfId="13722" xr:uid="{00000000-0005-0000-0000-0000854A0000}"/>
    <cellStyle name="Normal 30 3 8 2" xfId="30834" xr:uid="{00000000-0005-0000-0000-0000864A0000}"/>
    <cellStyle name="Normal 30 3 8 3" xfId="35496" xr:uid="{00000000-0005-0000-0000-0000874A0000}"/>
    <cellStyle name="Normal 30 3 9" xfId="13843" xr:uid="{00000000-0005-0000-0000-0000884A0000}"/>
    <cellStyle name="Normal 30 3 9 2" xfId="30955" xr:uid="{00000000-0005-0000-0000-0000894A0000}"/>
    <cellStyle name="Normal 30 3 9 3" xfId="35617" xr:uid="{00000000-0005-0000-0000-00008A4A0000}"/>
    <cellStyle name="Normal 30 4" xfId="11593" xr:uid="{00000000-0005-0000-0000-00008B4A0000}"/>
    <cellStyle name="Normal 30 4 2" xfId="29741" xr:uid="{00000000-0005-0000-0000-00008C4A0000}"/>
    <cellStyle name="Normal 30 4 3" xfId="28514" xr:uid="{00000000-0005-0000-0000-00008D4A0000}"/>
    <cellStyle name="Normal 30 4 4" xfId="34383" xr:uid="{00000000-0005-0000-0000-00008E4A0000}"/>
    <cellStyle name="Normal 30 5" xfId="11731" xr:uid="{00000000-0005-0000-0000-00008F4A0000}"/>
    <cellStyle name="Normal 30 5 2" xfId="29860" xr:uid="{00000000-0005-0000-0000-0000904A0000}"/>
    <cellStyle name="Normal 30 5 3" xfId="34509" xr:uid="{00000000-0005-0000-0000-0000914A0000}"/>
    <cellStyle name="Normal 30 6" xfId="11850" xr:uid="{00000000-0005-0000-0000-0000924A0000}"/>
    <cellStyle name="Normal 30 6 2" xfId="29978" xr:uid="{00000000-0005-0000-0000-0000934A0000}"/>
    <cellStyle name="Normal 30 6 3" xfId="34628" xr:uid="{00000000-0005-0000-0000-0000944A0000}"/>
    <cellStyle name="Normal 30 7" xfId="11969" xr:uid="{00000000-0005-0000-0000-0000954A0000}"/>
    <cellStyle name="Normal 30 7 2" xfId="30095" xr:uid="{00000000-0005-0000-0000-0000964A0000}"/>
    <cellStyle name="Normal 30 7 3" xfId="34747" xr:uid="{00000000-0005-0000-0000-0000974A0000}"/>
    <cellStyle name="Normal 30 8" xfId="13478" xr:uid="{00000000-0005-0000-0000-0000984A0000}"/>
    <cellStyle name="Normal 30 8 2" xfId="30590" xr:uid="{00000000-0005-0000-0000-0000994A0000}"/>
    <cellStyle name="Normal 30 8 3" xfId="35252" xr:uid="{00000000-0005-0000-0000-00009A4A0000}"/>
    <cellStyle name="Normal 30 9" xfId="13600" xr:uid="{00000000-0005-0000-0000-00009B4A0000}"/>
    <cellStyle name="Normal 30 9 2" xfId="30712" xr:uid="{00000000-0005-0000-0000-00009C4A0000}"/>
    <cellStyle name="Normal 30 9 3" xfId="35374" xr:uid="{00000000-0005-0000-0000-00009D4A0000}"/>
    <cellStyle name="Normal 31" xfId="3324" xr:uid="{00000000-0005-0000-0000-00009E4A0000}"/>
    <cellStyle name="Normal 31 10" xfId="13723" xr:uid="{00000000-0005-0000-0000-00009F4A0000}"/>
    <cellStyle name="Normal 31 10 2" xfId="30835" xr:uid="{00000000-0005-0000-0000-0000A04A0000}"/>
    <cellStyle name="Normal 31 10 3" xfId="35497" xr:uid="{00000000-0005-0000-0000-0000A14A0000}"/>
    <cellStyle name="Normal 31 11" xfId="13844" xr:uid="{00000000-0005-0000-0000-0000A24A0000}"/>
    <cellStyle name="Normal 31 11 2" xfId="30956" xr:uid="{00000000-0005-0000-0000-0000A34A0000}"/>
    <cellStyle name="Normal 31 11 3" xfId="35618" xr:uid="{00000000-0005-0000-0000-0000A44A0000}"/>
    <cellStyle name="Normal 31 12" xfId="13963" xr:uid="{00000000-0005-0000-0000-0000A54A0000}"/>
    <cellStyle name="Normal 31 12 2" xfId="31075" xr:uid="{00000000-0005-0000-0000-0000A64A0000}"/>
    <cellStyle name="Normal 31 12 3" xfId="35737" xr:uid="{00000000-0005-0000-0000-0000A74A0000}"/>
    <cellStyle name="Normal 31 13" xfId="10468" xr:uid="{00000000-0005-0000-0000-0000A84A0000}"/>
    <cellStyle name="Normal 31 13 2" xfId="28192" xr:uid="{00000000-0005-0000-0000-0000A94A0000}"/>
    <cellStyle name="Normal 31 13 3" xfId="33621" xr:uid="{00000000-0005-0000-0000-0000AA4A0000}"/>
    <cellStyle name="Normal 31 14" xfId="9971" xr:uid="{00000000-0005-0000-0000-0000AB4A0000}"/>
    <cellStyle name="Normal 31 14 2" xfId="33328" xr:uid="{00000000-0005-0000-0000-0000AC4A0000}"/>
    <cellStyle name="Normal 31 14 3" xfId="28222" xr:uid="{00000000-0005-0000-0000-0000AD4A0000}"/>
    <cellStyle name="Normal 31 15" xfId="14324" xr:uid="{00000000-0005-0000-0000-0000AE4A0000}"/>
    <cellStyle name="Normal 31 16" xfId="27390" xr:uid="{00000000-0005-0000-0000-0000AF4A0000}"/>
    <cellStyle name="Normal 31 2" xfId="11171" xr:uid="{00000000-0005-0000-0000-0000B04A0000}"/>
    <cellStyle name="Normal 31 2 10" xfId="13964" xr:uid="{00000000-0005-0000-0000-0000B14A0000}"/>
    <cellStyle name="Normal 31 2 10 2" xfId="31076" xr:uid="{00000000-0005-0000-0000-0000B24A0000}"/>
    <cellStyle name="Normal 31 2 10 3" xfId="35738" xr:uid="{00000000-0005-0000-0000-0000B34A0000}"/>
    <cellStyle name="Normal 31 2 11" xfId="29553" xr:uid="{00000000-0005-0000-0000-0000B44A0000}"/>
    <cellStyle name="Normal 31 2 12" xfId="28937" xr:uid="{00000000-0005-0000-0000-0000B54A0000}"/>
    <cellStyle name="Normal 31 2 13" xfId="33988" xr:uid="{00000000-0005-0000-0000-0000B64A0000}"/>
    <cellStyle name="Normal 31 2 14" xfId="39840" xr:uid="{00000000-0005-0000-0000-00007E0C0000}"/>
    <cellStyle name="Normal 31 2 2" xfId="11597" xr:uid="{00000000-0005-0000-0000-0000B74A0000}"/>
    <cellStyle name="Normal 31 2 2 2" xfId="29745" xr:uid="{00000000-0005-0000-0000-0000B84A0000}"/>
    <cellStyle name="Normal 31 2 2 3" xfId="34387" xr:uid="{00000000-0005-0000-0000-0000B94A0000}"/>
    <cellStyle name="Normal 31 2 3" xfId="11735" xr:uid="{00000000-0005-0000-0000-0000BA4A0000}"/>
    <cellStyle name="Normal 31 2 3 2" xfId="29864" xr:uid="{00000000-0005-0000-0000-0000BB4A0000}"/>
    <cellStyle name="Normal 31 2 3 3" xfId="34513" xr:uid="{00000000-0005-0000-0000-0000BC4A0000}"/>
    <cellStyle name="Normal 31 2 4" xfId="11854" xr:uid="{00000000-0005-0000-0000-0000BD4A0000}"/>
    <cellStyle name="Normal 31 2 4 2" xfId="29982" xr:uid="{00000000-0005-0000-0000-0000BE4A0000}"/>
    <cellStyle name="Normal 31 2 4 3" xfId="34632" xr:uid="{00000000-0005-0000-0000-0000BF4A0000}"/>
    <cellStyle name="Normal 31 2 5" xfId="11973" xr:uid="{00000000-0005-0000-0000-0000C04A0000}"/>
    <cellStyle name="Normal 31 2 5 2" xfId="30099" xr:uid="{00000000-0005-0000-0000-0000C14A0000}"/>
    <cellStyle name="Normal 31 2 5 3" xfId="34751" xr:uid="{00000000-0005-0000-0000-0000C24A0000}"/>
    <cellStyle name="Normal 31 2 6" xfId="13482" xr:uid="{00000000-0005-0000-0000-0000C34A0000}"/>
    <cellStyle name="Normal 31 2 6 2" xfId="30594" xr:uid="{00000000-0005-0000-0000-0000C44A0000}"/>
    <cellStyle name="Normal 31 2 6 3" xfId="35256" xr:uid="{00000000-0005-0000-0000-0000C54A0000}"/>
    <cellStyle name="Normal 31 2 7" xfId="13604" xr:uid="{00000000-0005-0000-0000-0000C64A0000}"/>
    <cellStyle name="Normal 31 2 7 2" xfId="30716" xr:uid="{00000000-0005-0000-0000-0000C74A0000}"/>
    <cellStyle name="Normal 31 2 7 3" xfId="35378" xr:uid="{00000000-0005-0000-0000-0000C84A0000}"/>
    <cellStyle name="Normal 31 2 8" xfId="13724" xr:uid="{00000000-0005-0000-0000-0000C94A0000}"/>
    <cellStyle name="Normal 31 2 8 2" xfId="30836" xr:uid="{00000000-0005-0000-0000-0000CA4A0000}"/>
    <cellStyle name="Normal 31 2 8 3" xfId="35498" xr:uid="{00000000-0005-0000-0000-0000CB4A0000}"/>
    <cellStyle name="Normal 31 2 9" xfId="13845" xr:uid="{00000000-0005-0000-0000-0000CC4A0000}"/>
    <cellStyle name="Normal 31 2 9 2" xfId="30957" xr:uid="{00000000-0005-0000-0000-0000CD4A0000}"/>
    <cellStyle name="Normal 31 2 9 3" xfId="35619" xr:uid="{00000000-0005-0000-0000-0000CE4A0000}"/>
    <cellStyle name="Normal 31 3" xfId="11479" xr:uid="{00000000-0005-0000-0000-0000CF4A0000}"/>
    <cellStyle name="Normal 31 3 10" xfId="13965" xr:uid="{00000000-0005-0000-0000-0000D04A0000}"/>
    <cellStyle name="Normal 31 3 10 2" xfId="31077" xr:uid="{00000000-0005-0000-0000-0000D14A0000}"/>
    <cellStyle name="Normal 31 3 10 3" xfId="35739" xr:uid="{00000000-0005-0000-0000-0000D24A0000}"/>
    <cellStyle name="Normal 31 3 11" xfId="28922" xr:uid="{00000000-0005-0000-0000-0000D34A0000}"/>
    <cellStyle name="Normal 31 3 12" xfId="34289" xr:uid="{00000000-0005-0000-0000-0000D44A0000}"/>
    <cellStyle name="Normal 31 3 2" xfId="11598" xr:uid="{00000000-0005-0000-0000-0000D54A0000}"/>
    <cellStyle name="Normal 31 3 2 2" xfId="29746" xr:uid="{00000000-0005-0000-0000-0000D64A0000}"/>
    <cellStyle name="Normal 31 3 2 3" xfId="34388" xr:uid="{00000000-0005-0000-0000-0000D74A0000}"/>
    <cellStyle name="Normal 31 3 3" xfId="11736" xr:uid="{00000000-0005-0000-0000-0000D84A0000}"/>
    <cellStyle name="Normal 31 3 3 2" xfId="29865" xr:uid="{00000000-0005-0000-0000-0000D94A0000}"/>
    <cellStyle name="Normal 31 3 3 3" xfId="34514" xr:uid="{00000000-0005-0000-0000-0000DA4A0000}"/>
    <cellStyle name="Normal 31 3 4" xfId="11855" xr:uid="{00000000-0005-0000-0000-0000DB4A0000}"/>
    <cellStyle name="Normal 31 3 4 2" xfId="29983" xr:uid="{00000000-0005-0000-0000-0000DC4A0000}"/>
    <cellStyle name="Normal 31 3 4 3" xfId="34633" xr:uid="{00000000-0005-0000-0000-0000DD4A0000}"/>
    <cellStyle name="Normal 31 3 5" xfId="11974" xr:uid="{00000000-0005-0000-0000-0000DE4A0000}"/>
    <cellStyle name="Normal 31 3 5 2" xfId="30100" xr:uid="{00000000-0005-0000-0000-0000DF4A0000}"/>
    <cellStyle name="Normal 31 3 5 3" xfId="34752" xr:uid="{00000000-0005-0000-0000-0000E04A0000}"/>
    <cellStyle name="Normal 31 3 6" xfId="13483" xr:uid="{00000000-0005-0000-0000-0000E14A0000}"/>
    <cellStyle name="Normal 31 3 6 2" xfId="30595" xr:uid="{00000000-0005-0000-0000-0000E24A0000}"/>
    <cellStyle name="Normal 31 3 6 3" xfId="35257" xr:uid="{00000000-0005-0000-0000-0000E34A0000}"/>
    <cellStyle name="Normal 31 3 7" xfId="13605" xr:uid="{00000000-0005-0000-0000-0000E44A0000}"/>
    <cellStyle name="Normal 31 3 7 2" xfId="30717" xr:uid="{00000000-0005-0000-0000-0000E54A0000}"/>
    <cellStyle name="Normal 31 3 7 3" xfId="35379" xr:uid="{00000000-0005-0000-0000-0000E64A0000}"/>
    <cellStyle name="Normal 31 3 8" xfId="13725" xr:uid="{00000000-0005-0000-0000-0000E74A0000}"/>
    <cellStyle name="Normal 31 3 8 2" xfId="30837" xr:uid="{00000000-0005-0000-0000-0000E84A0000}"/>
    <cellStyle name="Normal 31 3 8 3" xfId="35499" xr:uid="{00000000-0005-0000-0000-0000E94A0000}"/>
    <cellStyle name="Normal 31 3 9" xfId="13846" xr:uid="{00000000-0005-0000-0000-0000EA4A0000}"/>
    <cellStyle name="Normal 31 3 9 2" xfId="30958" xr:uid="{00000000-0005-0000-0000-0000EB4A0000}"/>
    <cellStyle name="Normal 31 3 9 3" xfId="35620" xr:uid="{00000000-0005-0000-0000-0000EC4A0000}"/>
    <cellStyle name="Normal 31 4" xfId="11596" xr:uid="{00000000-0005-0000-0000-0000ED4A0000}"/>
    <cellStyle name="Normal 31 4 2" xfId="29744" xr:uid="{00000000-0005-0000-0000-0000EE4A0000}"/>
    <cellStyle name="Normal 31 4 3" xfId="28744" xr:uid="{00000000-0005-0000-0000-0000EF4A0000}"/>
    <cellStyle name="Normal 31 4 4" xfId="34386" xr:uid="{00000000-0005-0000-0000-0000F04A0000}"/>
    <cellStyle name="Normal 31 5" xfId="11734" xr:uid="{00000000-0005-0000-0000-0000F14A0000}"/>
    <cellStyle name="Normal 31 5 2" xfId="29863" xr:uid="{00000000-0005-0000-0000-0000F24A0000}"/>
    <cellStyle name="Normal 31 5 3" xfId="34512" xr:uid="{00000000-0005-0000-0000-0000F34A0000}"/>
    <cellStyle name="Normal 31 6" xfId="11853" xr:uid="{00000000-0005-0000-0000-0000F44A0000}"/>
    <cellStyle name="Normal 31 6 2" xfId="29981" xr:uid="{00000000-0005-0000-0000-0000F54A0000}"/>
    <cellStyle name="Normal 31 6 3" xfId="34631" xr:uid="{00000000-0005-0000-0000-0000F64A0000}"/>
    <cellStyle name="Normal 31 7" xfId="11972" xr:uid="{00000000-0005-0000-0000-0000F74A0000}"/>
    <cellStyle name="Normal 31 7 2" xfId="30098" xr:uid="{00000000-0005-0000-0000-0000F84A0000}"/>
    <cellStyle name="Normal 31 7 3" xfId="34750" xr:uid="{00000000-0005-0000-0000-0000F94A0000}"/>
    <cellStyle name="Normal 31 8" xfId="13481" xr:uid="{00000000-0005-0000-0000-0000FA4A0000}"/>
    <cellStyle name="Normal 31 8 2" xfId="30593" xr:uid="{00000000-0005-0000-0000-0000FB4A0000}"/>
    <cellStyle name="Normal 31 8 3" xfId="35255" xr:uid="{00000000-0005-0000-0000-0000FC4A0000}"/>
    <cellStyle name="Normal 31 9" xfId="13603" xr:uid="{00000000-0005-0000-0000-0000FD4A0000}"/>
    <cellStyle name="Normal 31 9 2" xfId="30715" xr:uid="{00000000-0005-0000-0000-0000FE4A0000}"/>
    <cellStyle name="Normal 31 9 3" xfId="35377" xr:uid="{00000000-0005-0000-0000-0000FF4A0000}"/>
    <cellStyle name="Normal 32" xfId="3325" xr:uid="{00000000-0005-0000-0000-0000004B0000}"/>
    <cellStyle name="Normal 32 10" xfId="13726" xr:uid="{00000000-0005-0000-0000-0000014B0000}"/>
    <cellStyle name="Normal 32 10 2" xfId="30838" xr:uid="{00000000-0005-0000-0000-0000024B0000}"/>
    <cellStyle name="Normal 32 10 3" xfId="35500" xr:uid="{00000000-0005-0000-0000-0000034B0000}"/>
    <cellStyle name="Normal 32 11" xfId="13847" xr:uid="{00000000-0005-0000-0000-0000044B0000}"/>
    <cellStyle name="Normal 32 11 2" xfId="30959" xr:uid="{00000000-0005-0000-0000-0000054B0000}"/>
    <cellStyle name="Normal 32 11 3" xfId="35621" xr:uid="{00000000-0005-0000-0000-0000064B0000}"/>
    <cellStyle name="Normal 32 12" xfId="13966" xr:uid="{00000000-0005-0000-0000-0000074B0000}"/>
    <cellStyle name="Normal 32 12 2" xfId="31078" xr:uid="{00000000-0005-0000-0000-0000084B0000}"/>
    <cellStyle name="Normal 32 12 3" xfId="35740" xr:uid="{00000000-0005-0000-0000-0000094B0000}"/>
    <cellStyle name="Normal 32 13" xfId="10892" xr:uid="{00000000-0005-0000-0000-00000A4B0000}"/>
    <cellStyle name="Normal 32 13 2" xfId="33843" xr:uid="{00000000-0005-0000-0000-00000B4B0000}"/>
    <cellStyle name="Normal 32 14" xfId="14325" xr:uid="{00000000-0005-0000-0000-00000C4B0000}"/>
    <cellStyle name="Normal 32 14 2" xfId="35893" xr:uid="{00000000-0005-0000-0000-00000D4B0000}"/>
    <cellStyle name="Normal 32 14 3" xfId="28223" xr:uid="{00000000-0005-0000-0000-00000E4B0000}"/>
    <cellStyle name="Normal 32 15" xfId="27725" xr:uid="{00000000-0005-0000-0000-00000F4B0000}"/>
    <cellStyle name="Normal 32 2" xfId="11480" xr:uid="{00000000-0005-0000-0000-0000104B0000}"/>
    <cellStyle name="Normal 32 2 10" xfId="13967" xr:uid="{00000000-0005-0000-0000-0000114B0000}"/>
    <cellStyle name="Normal 32 2 10 2" xfId="31079" xr:uid="{00000000-0005-0000-0000-0000124B0000}"/>
    <cellStyle name="Normal 32 2 10 3" xfId="35741" xr:uid="{00000000-0005-0000-0000-0000134B0000}"/>
    <cellStyle name="Normal 32 2 11" xfId="29665" xr:uid="{00000000-0005-0000-0000-0000144B0000}"/>
    <cellStyle name="Normal 32 2 12" xfId="28940" xr:uid="{00000000-0005-0000-0000-0000154B0000}"/>
    <cellStyle name="Normal 32 2 13" xfId="34290" xr:uid="{00000000-0005-0000-0000-0000164B0000}"/>
    <cellStyle name="Normal 32 2 2" xfId="11600" xr:uid="{00000000-0005-0000-0000-0000174B0000}"/>
    <cellStyle name="Normal 32 2 2 2" xfId="29748" xr:uid="{00000000-0005-0000-0000-0000184B0000}"/>
    <cellStyle name="Normal 32 2 2 3" xfId="34390" xr:uid="{00000000-0005-0000-0000-0000194B0000}"/>
    <cellStyle name="Normal 32 2 3" xfId="11738" xr:uid="{00000000-0005-0000-0000-00001A4B0000}"/>
    <cellStyle name="Normal 32 2 3 2" xfId="29867" xr:uid="{00000000-0005-0000-0000-00001B4B0000}"/>
    <cellStyle name="Normal 32 2 3 3" xfId="34516" xr:uid="{00000000-0005-0000-0000-00001C4B0000}"/>
    <cellStyle name="Normal 32 2 4" xfId="11857" xr:uid="{00000000-0005-0000-0000-00001D4B0000}"/>
    <cellStyle name="Normal 32 2 4 2" xfId="29985" xr:uid="{00000000-0005-0000-0000-00001E4B0000}"/>
    <cellStyle name="Normal 32 2 4 3" xfId="34635" xr:uid="{00000000-0005-0000-0000-00001F4B0000}"/>
    <cellStyle name="Normal 32 2 5" xfId="11976" xr:uid="{00000000-0005-0000-0000-0000204B0000}"/>
    <cellStyle name="Normal 32 2 5 2" xfId="30102" xr:uid="{00000000-0005-0000-0000-0000214B0000}"/>
    <cellStyle name="Normal 32 2 5 3" xfId="34754" xr:uid="{00000000-0005-0000-0000-0000224B0000}"/>
    <cellStyle name="Normal 32 2 6" xfId="13485" xr:uid="{00000000-0005-0000-0000-0000234B0000}"/>
    <cellStyle name="Normal 32 2 6 2" xfId="30597" xr:uid="{00000000-0005-0000-0000-0000244B0000}"/>
    <cellStyle name="Normal 32 2 6 3" xfId="35259" xr:uid="{00000000-0005-0000-0000-0000254B0000}"/>
    <cellStyle name="Normal 32 2 7" xfId="13607" xr:uid="{00000000-0005-0000-0000-0000264B0000}"/>
    <cellStyle name="Normal 32 2 7 2" xfId="30719" xr:uid="{00000000-0005-0000-0000-0000274B0000}"/>
    <cellStyle name="Normal 32 2 7 3" xfId="35381" xr:uid="{00000000-0005-0000-0000-0000284B0000}"/>
    <cellStyle name="Normal 32 2 8" xfId="13727" xr:uid="{00000000-0005-0000-0000-0000294B0000}"/>
    <cellStyle name="Normal 32 2 8 2" xfId="30839" xr:uid="{00000000-0005-0000-0000-00002A4B0000}"/>
    <cellStyle name="Normal 32 2 8 3" xfId="35501" xr:uid="{00000000-0005-0000-0000-00002B4B0000}"/>
    <cellStyle name="Normal 32 2 9" xfId="13848" xr:uid="{00000000-0005-0000-0000-00002C4B0000}"/>
    <cellStyle name="Normal 32 2 9 2" xfId="30960" xr:uid="{00000000-0005-0000-0000-00002D4B0000}"/>
    <cellStyle name="Normal 32 2 9 3" xfId="35622" xr:uid="{00000000-0005-0000-0000-00002E4B0000}"/>
    <cellStyle name="Normal 32 3" xfId="11481" xr:uid="{00000000-0005-0000-0000-00002F4B0000}"/>
    <cellStyle name="Normal 32 3 10" xfId="13968" xr:uid="{00000000-0005-0000-0000-0000304B0000}"/>
    <cellStyle name="Normal 32 3 10 2" xfId="31080" xr:uid="{00000000-0005-0000-0000-0000314B0000}"/>
    <cellStyle name="Normal 32 3 10 3" xfId="35742" xr:uid="{00000000-0005-0000-0000-0000324B0000}"/>
    <cellStyle name="Normal 32 3 11" xfId="29666" xr:uid="{00000000-0005-0000-0000-0000334B0000}"/>
    <cellStyle name="Normal 32 3 12" xfId="28762" xr:uid="{00000000-0005-0000-0000-0000344B0000}"/>
    <cellStyle name="Normal 32 3 13" xfId="34291" xr:uid="{00000000-0005-0000-0000-0000354B0000}"/>
    <cellStyle name="Normal 32 3 2" xfId="11601" xr:uid="{00000000-0005-0000-0000-0000364B0000}"/>
    <cellStyle name="Normal 32 3 2 2" xfId="29749" xr:uid="{00000000-0005-0000-0000-0000374B0000}"/>
    <cellStyle name="Normal 32 3 2 3" xfId="34391" xr:uid="{00000000-0005-0000-0000-0000384B0000}"/>
    <cellStyle name="Normal 32 3 3" xfId="11739" xr:uid="{00000000-0005-0000-0000-0000394B0000}"/>
    <cellStyle name="Normal 32 3 3 2" xfId="29868" xr:uid="{00000000-0005-0000-0000-00003A4B0000}"/>
    <cellStyle name="Normal 32 3 3 3" xfId="34517" xr:uid="{00000000-0005-0000-0000-00003B4B0000}"/>
    <cellStyle name="Normal 32 3 4" xfId="11858" xr:uid="{00000000-0005-0000-0000-00003C4B0000}"/>
    <cellStyle name="Normal 32 3 4 2" xfId="29986" xr:uid="{00000000-0005-0000-0000-00003D4B0000}"/>
    <cellStyle name="Normal 32 3 4 3" xfId="34636" xr:uid="{00000000-0005-0000-0000-00003E4B0000}"/>
    <cellStyle name="Normal 32 3 5" xfId="11977" xr:uid="{00000000-0005-0000-0000-00003F4B0000}"/>
    <cellStyle name="Normal 32 3 5 2" xfId="30103" xr:uid="{00000000-0005-0000-0000-0000404B0000}"/>
    <cellStyle name="Normal 32 3 5 3" xfId="34755" xr:uid="{00000000-0005-0000-0000-0000414B0000}"/>
    <cellStyle name="Normal 32 3 6" xfId="13486" xr:uid="{00000000-0005-0000-0000-0000424B0000}"/>
    <cellStyle name="Normal 32 3 6 2" xfId="30598" xr:uid="{00000000-0005-0000-0000-0000434B0000}"/>
    <cellStyle name="Normal 32 3 6 3" xfId="35260" xr:uid="{00000000-0005-0000-0000-0000444B0000}"/>
    <cellStyle name="Normal 32 3 7" xfId="13608" xr:uid="{00000000-0005-0000-0000-0000454B0000}"/>
    <cellStyle name="Normal 32 3 7 2" xfId="30720" xr:uid="{00000000-0005-0000-0000-0000464B0000}"/>
    <cellStyle name="Normal 32 3 7 3" xfId="35382" xr:uid="{00000000-0005-0000-0000-0000474B0000}"/>
    <cellStyle name="Normal 32 3 8" xfId="13728" xr:uid="{00000000-0005-0000-0000-0000484B0000}"/>
    <cellStyle name="Normal 32 3 8 2" xfId="30840" xr:uid="{00000000-0005-0000-0000-0000494B0000}"/>
    <cellStyle name="Normal 32 3 8 3" xfId="35502" xr:uid="{00000000-0005-0000-0000-00004A4B0000}"/>
    <cellStyle name="Normal 32 3 9" xfId="13849" xr:uid="{00000000-0005-0000-0000-00004B4B0000}"/>
    <cellStyle name="Normal 32 3 9 2" xfId="30961" xr:uid="{00000000-0005-0000-0000-00004C4B0000}"/>
    <cellStyle name="Normal 32 3 9 3" xfId="35623" xr:uid="{00000000-0005-0000-0000-00004D4B0000}"/>
    <cellStyle name="Normal 32 4" xfId="11599" xr:uid="{00000000-0005-0000-0000-00004E4B0000}"/>
    <cellStyle name="Normal 32 4 2" xfId="29747" xr:uid="{00000000-0005-0000-0000-00004F4B0000}"/>
    <cellStyle name="Normal 32 4 3" xfId="34389" xr:uid="{00000000-0005-0000-0000-0000504B0000}"/>
    <cellStyle name="Normal 32 5" xfId="11737" xr:uid="{00000000-0005-0000-0000-0000514B0000}"/>
    <cellStyle name="Normal 32 5 2" xfId="29866" xr:uid="{00000000-0005-0000-0000-0000524B0000}"/>
    <cellStyle name="Normal 32 5 3" xfId="34515" xr:uid="{00000000-0005-0000-0000-0000534B0000}"/>
    <cellStyle name="Normal 32 6" xfId="11856" xr:uid="{00000000-0005-0000-0000-0000544B0000}"/>
    <cellStyle name="Normal 32 6 2" xfId="29984" xr:uid="{00000000-0005-0000-0000-0000554B0000}"/>
    <cellStyle name="Normal 32 6 3" xfId="34634" xr:uid="{00000000-0005-0000-0000-0000564B0000}"/>
    <cellStyle name="Normal 32 7" xfId="11975" xr:uid="{00000000-0005-0000-0000-0000574B0000}"/>
    <cellStyle name="Normal 32 7 2" xfId="30101" xr:uid="{00000000-0005-0000-0000-0000584B0000}"/>
    <cellStyle name="Normal 32 7 3" xfId="34753" xr:uid="{00000000-0005-0000-0000-0000594B0000}"/>
    <cellStyle name="Normal 32 8" xfId="13484" xr:uid="{00000000-0005-0000-0000-00005A4B0000}"/>
    <cellStyle name="Normal 32 8 2" xfId="30596" xr:uid="{00000000-0005-0000-0000-00005B4B0000}"/>
    <cellStyle name="Normal 32 8 3" xfId="35258" xr:uid="{00000000-0005-0000-0000-00005C4B0000}"/>
    <cellStyle name="Normal 32 9" xfId="13606" xr:uid="{00000000-0005-0000-0000-00005D4B0000}"/>
    <cellStyle name="Normal 32 9 2" xfId="30718" xr:uid="{00000000-0005-0000-0000-00005E4B0000}"/>
    <cellStyle name="Normal 32 9 3" xfId="35380" xr:uid="{00000000-0005-0000-0000-00005F4B0000}"/>
    <cellStyle name="Normal 33" xfId="3326" xr:uid="{00000000-0005-0000-0000-0000604B0000}"/>
    <cellStyle name="Normal 33 10" xfId="13969" xr:uid="{00000000-0005-0000-0000-0000614B0000}"/>
    <cellStyle name="Normal 33 10 2" xfId="31081" xr:uid="{00000000-0005-0000-0000-0000624B0000}"/>
    <cellStyle name="Normal 33 10 3" xfId="35743" xr:uid="{00000000-0005-0000-0000-0000634B0000}"/>
    <cellStyle name="Normal 33 10 4" xfId="39842" xr:uid="{00000000-0005-0000-0000-0000820C0000}"/>
    <cellStyle name="Normal 33 11" xfId="11482" xr:uid="{00000000-0005-0000-0000-0000644B0000}"/>
    <cellStyle name="Normal 33 11 2" xfId="34292" xr:uid="{00000000-0005-0000-0000-0000654B0000}"/>
    <cellStyle name="Normal 33 11 3" xfId="39843" xr:uid="{00000000-0005-0000-0000-0000830C0000}"/>
    <cellStyle name="Normal 33 12" xfId="14326" xr:uid="{00000000-0005-0000-0000-0000664B0000}"/>
    <cellStyle name="Normal 33 12 2" xfId="35894" xr:uid="{00000000-0005-0000-0000-0000674B0000}"/>
    <cellStyle name="Normal 33 12 3" xfId="28224" xr:uid="{00000000-0005-0000-0000-0000684B0000}"/>
    <cellStyle name="Normal 33 12 4" xfId="39844" xr:uid="{00000000-0005-0000-0000-0000840C0000}"/>
    <cellStyle name="Normal 33 13" xfId="27861" xr:uid="{00000000-0005-0000-0000-0000694B0000}"/>
    <cellStyle name="Normal 33 13 2" xfId="39845" xr:uid="{00000000-0005-0000-0000-0000850C0000}"/>
    <cellStyle name="Normal 33 14" xfId="39841" xr:uid="{00000000-0005-0000-0000-0000810C0000}"/>
    <cellStyle name="Normal 33 2" xfId="11602" xr:uid="{00000000-0005-0000-0000-00006A4B0000}"/>
    <cellStyle name="Normal 33 2 2" xfId="29750" xr:uid="{00000000-0005-0000-0000-00006B4B0000}"/>
    <cellStyle name="Normal 33 2 3" xfId="28941" xr:uid="{00000000-0005-0000-0000-00006C4B0000}"/>
    <cellStyle name="Normal 33 2 4" xfId="34392" xr:uid="{00000000-0005-0000-0000-00006D4B0000}"/>
    <cellStyle name="Normal 33 2 5" xfId="39846" xr:uid="{00000000-0005-0000-0000-0000860C0000}"/>
    <cellStyle name="Normal 33 3" xfId="11740" xr:uid="{00000000-0005-0000-0000-00006E4B0000}"/>
    <cellStyle name="Normal 33 3 2" xfId="29869" xr:uid="{00000000-0005-0000-0000-00006F4B0000}"/>
    <cellStyle name="Normal 33 3 3" xfId="28888" xr:uid="{00000000-0005-0000-0000-0000704B0000}"/>
    <cellStyle name="Normal 33 3 4" xfId="34518" xr:uid="{00000000-0005-0000-0000-0000714B0000}"/>
    <cellStyle name="Normal 33 3 5" xfId="39847" xr:uid="{00000000-0005-0000-0000-0000870C0000}"/>
    <cellStyle name="Normal 33 4" xfId="11859" xr:uid="{00000000-0005-0000-0000-0000724B0000}"/>
    <cellStyle name="Normal 33 4 2" xfId="29987" xr:uid="{00000000-0005-0000-0000-0000734B0000}"/>
    <cellStyle name="Normal 33 4 3" xfId="34637" xr:uid="{00000000-0005-0000-0000-0000744B0000}"/>
    <cellStyle name="Normal 33 4 4" xfId="39848" xr:uid="{00000000-0005-0000-0000-0000880C0000}"/>
    <cellStyle name="Normal 33 5" xfId="11978" xr:uid="{00000000-0005-0000-0000-0000754B0000}"/>
    <cellStyle name="Normal 33 5 2" xfId="30104" xr:uid="{00000000-0005-0000-0000-0000764B0000}"/>
    <cellStyle name="Normal 33 5 3" xfId="34756" xr:uid="{00000000-0005-0000-0000-0000774B0000}"/>
    <cellStyle name="Normal 33 5 4" xfId="39849" xr:uid="{00000000-0005-0000-0000-0000890C0000}"/>
    <cellStyle name="Normal 33 6" xfId="13487" xr:uid="{00000000-0005-0000-0000-0000784B0000}"/>
    <cellStyle name="Normal 33 6 2" xfId="30599" xr:uid="{00000000-0005-0000-0000-0000794B0000}"/>
    <cellStyle name="Normal 33 6 3" xfId="35261" xr:uid="{00000000-0005-0000-0000-00007A4B0000}"/>
    <cellStyle name="Normal 33 6 4" xfId="39850" xr:uid="{00000000-0005-0000-0000-00008A0C0000}"/>
    <cellStyle name="Normal 33 7" xfId="13609" xr:uid="{00000000-0005-0000-0000-00007B4B0000}"/>
    <cellStyle name="Normal 33 7 2" xfId="30721" xr:uid="{00000000-0005-0000-0000-00007C4B0000}"/>
    <cellStyle name="Normal 33 7 3" xfId="35383" xr:uid="{00000000-0005-0000-0000-00007D4B0000}"/>
    <cellStyle name="Normal 33 7 4" xfId="39851" xr:uid="{00000000-0005-0000-0000-00008B0C0000}"/>
    <cellStyle name="Normal 33 8" xfId="13729" xr:uid="{00000000-0005-0000-0000-00007E4B0000}"/>
    <cellStyle name="Normal 33 8 2" xfId="30841" xr:uid="{00000000-0005-0000-0000-00007F4B0000}"/>
    <cellStyle name="Normal 33 8 3" xfId="35503" xr:uid="{00000000-0005-0000-0000-0000804B0000}"/>
    <cellStyle name="Normal 33 8 4" xfId="39852" xr:uid="{00000000-0005-0000-0000-00008C0C0000}"/>
    <cellStyle name="Normal 33 9" xfId="13850" xr:uid="{00000000-0005-0000-0000-0000814B0000}"/>
    <cellStyle name="Normal 33 9 2" xfId="30962" xr:uid="{00000000-0005-0000-0000-0000824B0000}"/>
    <cellStyle name="Normal 33 9 3" xfId="35624" xr:uid="{00000000-0005-0000-0000-0000834B0000}"/>
    <cellStyle name="Normal 33 9 4" xfId="39853" xr:uid="{00000000-0005-0000-0000-00008D0C0000}"/>
    <cellStyle name="Normal 33_Scen_XBase" xfId="39854" xr:uid="{00000000-0005-0000-0000-00008E0C0000}"/>
    <cellStyle name="Normal 34" xfId="3327" xr:uid="{00000000-0005-0000-0000-0000844B0000}"/>
    <cellStyle name="Normal 34 10" xfId="13730" xr:uid="{00000000-0005-0000-0000-0000854B0000}"/>
    <cellStyle name="Normal 34 10 2" xfId="30842" xr:uid="{00000000-0005-0000-0000-0000864B0000}"/>
    <cellStyle name="Normal 34 10 3" xfId="35504" xr:uid="{00000000-0005-0000-0000-0000874B0000}"/>
    <cellStyle name="Normal 34 11" xfId="13851" xr:uid="{00000000-0005-0000-0000-0000884B0000}"/>
    <cellStyle name="Normal 34 11 2" xfId="30963" xr:uid="{00000000-0005-0000-0000-0000894B0000}"/>
    <cellStyle name="Normal 34 11 3" xfId="35625" xr:uid="{00000000-0005-0000-0000-00008A4B0000}"/>
    <cellStyle name="Normal 34 12" xfId="13970" xr:uid="{00000000-0005-0000-0000-00008B4B0000}"/>
    <cellStyle name="Normal 34 12 2" xfId="31082" xr:uid="{00000000-0005-0000-0000-00008C4B0000}"/>
    <cellStyle name="Normal 34 12 3" xfId="35744" xr:uid="{00000000-0005-0000-0000-00008D4B0000}"/>
    <cellStyle name="Normal 34 13" xfId="11483" xr:uid="{00000000-0005-0000-0000-00008E4B0000}"/>
    <cellStyle name="Normal 34 13 2" xfId="34293" xr:uid="{00000000-0005-0000-0000-00008F4B0000}"/>
    <cellStyle name="Normal 34 14" xfId="14327" xr:uid="{00000000-0005-0000-0000-0000904B0000}"/>
    <cellStyle name="Normal 34 14 2" xfId="35895" xr:uid="{00000000-0005-0000-0000-0000914B0000}"/>
    <cellStyle name="Normal 34 14 3" xfId="28225" xr:uid="{00000000-0005-0000-0000-0000924B0000}"/>
    <cellStyle name="Normal 34 15" xfId="27862" xr:uid="{00000000-0005-0000-0000-0000934B0000}"/>
    <cellStyle name="Normal 34 2" xfId="11484" xr:uid="{00000000-0005-0000-0000-0000944B0000}"/>
    <cellStyle name="Normal 34 2 10" xfId="13971" xr:uid="{00000000-0005-0000-0000-0000954B0000}"/>
    <cellStyle name="Normal 34 2 10 2" xfId="31083" xr:uid="{00000000-0005-0000-0000-0000964B0000}"/>
    <cellStyle name="Normal 34 2 10 3" xfId="35745" xr:uid="{00000000-0005-0000-0000-0000974B0000}"/>
    <cellStyle name="Normal 34 2 11" xfId="29667" xr:uid="{00000000-0005-0000-0000-0000984B0000}"/>
    <cellStyle name="Normal 34 2 12" xfId="28942" xr:uid="{00000000-0005-0000-0000-0000994B0000}"/>
    <cellStyle name="Normal 34 2 13" xfId="34294" xr:uid="{00000000-0005-0000-0000-00009A4B0000}"/>
    <cellStyle name="Normal 34 2 2" xfId="11604" xr:uid="{00000000-0005-0000-0000-00009B4B0000}"/>
    <cellStyle name="Normal 34 2 2 2" xfId="29752" xr:uid="{00000000-0005-0000-0000-00009C4B0000}"/>
    <cellStyle name="Normal 34 2 2 3" xfId="34394" xr:uid="{00000000-0005-0000-0000-00009D4B0000}"/>
    <cellStyle name="Normal 34 2 3" xfId="11742" xr:uid="{00000000-0005-0000-0000-00009E4B0000}"/>
    <cellStyle name="Normal 34 2 3 2" xfId="29871" xr:uid="{00000000-0005-0000-0000-00009F4B0000}"/>
    <cellStyle name="Normal 34 2 3 3" xfId="34520" xr:uid="{00000000-0005-0000-0000-0000A04B0000}"/>
    <cellStyle name="Normal 34 2 4" xfId="11861" xr:uid="{00000000-0005-0000-0000-0000A14B0000}"/>
    <cellStyle name="Normal 34 2 4 2" xfId="29989" xr:uid="{00000000-0005-0000-0000-0000A24B0000}"/>
    <cellStyle name="Normal 34 2 4 3" xfId="34639" xr:uid="{00000000-0005-0000-0000-0000A34B0000}"/>
    <cellStyle name="Normal 34 2 5" xfId="11980" xr:uid="{00000000-0005-0000-0000-0000A44B0000}"/>
    <cellStyle name="Normal 34 2 5 2" xfId="30106" xr:uid="{00000000-0005-0000-0000-0000A54B0000}"/>
    <cellStyle name="Normal 34 2 5 3" xfId="34758" xr:uid="{00000000-0005-0000-0000-0000A64B0000}"/>
    <cellStyle name="Normal 34 2 6" xfId="13489" xr:uid="{00000000-0005-0000-0000-0000A74B0000}"/>
    <cellStyle name="Normal 34 2 6 2" xfId="30601" xr:uid="{00000000-0005-0000-0000-0000A84B0000}"/>
    <cellStyle name="Normal 34 2 6 3" xfId="35263" xr:uid="{00000000-0005-0000-0000-0000A94B0000}"/>
    <cellStyle name="Normal 34 2 7" xfId="13611" xr:uid="{00000000-0005-0000-0000-0000AA4B0000}"/>
    <cellStyle name="Normal 34 2 7 2" xfId="30723" xr:uid="{00000000-0005-0000-0000-0000AB4B0000}"/>
    <cellStyle name="Normal 34 2 7 3" xfId="35385" xr:uid="{00000000-0005-0000-0000-0000AC4B0000}"/>
    <cellStyle name="Normal 34 2 8" xfId="13731" xr:uid="{00000000-0005-0000-0000-0000AD4B0000}"/>
    <cellStyle name="Normal 34 2 8 2" xfId="30843" xr:uid="{00000000-0005-0000-0000-0000AE4B0000}"/>
    <cellStyle name="Normal 34 2 8 3" xfId="35505" xr:uid="{00000000-0005-0000-0000-0000AF4B0000}"/>
    <cellStyle name="Normal 34 2 9" xfId="13852" xr:uid="{00000000-0005-0000-0000-0000B04B0000}"/>
    <cellStyle name="Normal 34 2 9 2" xfId="30964" xr:uid="{00000000-0005-0000-0000-0000B14B0000}"/>
    <cellStyle name="Normal 34 2 9 3" xfId="35626" xr:uid="{00000000-0005-0000-0000-0000B24B0000}"/>
    <cellStyle name="Normal 34 3" xfId="11485" xr:uid="{00000000-0005-0000-0000-0000B34B0000}"/>
    <cellStyle name="Normal 34 3 10" xfId="13972" xr:uid="{00000000-0005-0000-0000-0000B44B0000}"/>
    <cellStyle name="Normal 34 3 10 2" xfId="31084" xr:uid="{00000000-0005-0000-0000-0000B54B0000}"/>
    <cellStyle name="Normal 34 3 10 3" xfId="35746" xr:uid="{00000000-0005-0000-0000-0000B64B0000}"/>
    <cellStyle name="Normal 34 3 11" xfId="29668" xr:uid="{00000000-0005-0000-0000-0000B74B0000}"/>
    <cellStyle name="Normal 34 3 12" xfId="28889" xr:uid="{00000000-0005-0000-0000-0000B84B0000}"/>
    <cellStyle name="Normal 34 3 13" xfId="34295" xr:uid="{00000000-0005-0000-0000-0000B94B0000}"/>
    <cellStyle name="Normal 34 3 2" xfId="11605" xr:uid="{00000000-0005-0000-0000-0000BA4B0000}"/>
    <cellStyle name="Normal 34 3 2 2" xfId="29753" xr:uid="{00000000-0005-0000-0000-0000BB4B0000}"/>
    <cellStyle name="Normal 34 3 2 3" xfId="34395" xr:uid="{00000000-0005-0000-0000-0000BC4B0000}"/>
    <cellStyle name="Normal 34 3 3" xfId="11743" xr:uid="{00000000-0005-0000-0000-0000BD4B0000}"/>
    <cellStyle name="Normal 34 3 3 2" xfId="29872" xr:uid="{00000000-0005-0000-0000-0000BE4B0000}"/>
    <cellStyle name="Normal 34 3 3 3" xfId="34521" xr:uid="{00000000-0005-0000-0000-0000BF4B0000}"/>
    <cellStyle name="Normal 34 3 4" xfId="11862" xr:uid="{00000000-0005-0000-0000-0000C04B0000}"/>
    <cellStyle name="Normal 34 3 4 2" xfId="29990" xr:uid="{00000000-0005-0000-0000-0000C14B0000}"/>
    <cellStyle name="Normal 34 3 4 3" xfId="34640" xr:uid="{00000000-0005-0000-0000-0000C24B0000}"/>
    <cellStyle name="Normal 34 3 5" xfId="11981" xr:uid="{00000000-0005-0000-0000-0000C34B0000}"/>
    <cellStyle name="Normal 34 3 5 2" xfId="30107" xr:uid="{00000000-0005-0000-0000-0000C44B0000}"/>
    <cellStyle name="Normal 34 3 5 3" xfId="34759" xr:uid="{00000000-0005-0000-0000-0000C54B0000}"/>
    <cellStyle name="Normal 34 3 6" xfId="13490" xr:uid="{00000000-0005-0000-0000-0000C64B0000}"/>
    <cellStyle name="Normal 34 3 6 2" xfId="30602" xr:uid="{00000000-0005-0000-0000-0000C74B0000}"/>
    <cellStyle name="Normal 34 3 6 3" xfId="35264" xr:uid="{00000000-0005-0000-0000-0000C84B0000}"/>
    <cellStyle name="Normal 34 3 7" xfId="13612" xr:uid="{00000000-0005-0000-0000-0000C94B0000}"/>
    <cellStyle name="Normal 34 3 7 2" xfId="30724" xr:uid="{00000000-0005-0000-0000-0000CA4B0000}"/>
    <cellStyle name="Normal 34 3 7 3" xfId="35386" xr:uid="{00000000-0005-0000-0000-0000CB4B0000}"/>
    <cellStyle name="Normal 34 3 8" xfId="13732" xr:uid="{00000000-0005-0000-0000-0000CC4B0000}"/>
    <cellStyle name="Normal 34 3 8 2" xfId="30844" xr:uid="{00000000-0005-0000-0000-0000CD4B0000}"/>
    <cellStyle name="Normal 34 3 8 3" xfId="35506" xr:uid="{00000000-0005-0000-0000-0000CE4B0000}"/>
    <cellStyle name="Normal 34 3 9" xfId="13853" xr:uid="{00000000-0005-0000-0000-0000CF4B0000}"/>
    <cellStyle name="Normal 34 3 9 2" xfId="30965" xr:uid="{00000000-0005-0000-0000-0000D04B0000}"/>
    <cellStyle name="Normal 34 3 9 3" xfId="35627" xr:uid="{00000000-0005-0000-0000-0000D14B0000}"/>
    <cellStyle name="Normal 34 4" xfId="11603" xr:uid="{00000000-0005-0000-0000-0000D24B0000}"/>
    <cellStyle name="Normal 34 4 2" xfId="29751" xr:uid="{00000000-0005-0000-0000-0000D34B0000}"/>
    <cellStyle name="Normal 34 4 3" xfId="34393" xr:uid="{00000000-0005-0000-0000-0000D44B0000}"/>
    <cellStyle name="Normal 34 5" xfId="11741" xr:uid="{00000000-0005-0000-0000-0000D54B0000}"/>
    <cellStyle name="Normal 34 5 2" xfId="29870" xr:uid="{00000000-0005-0000-0000-0000D64B0000}"/>
    <cellStyle name="Normal 34 5 3" xfId="34519" xr:uid="{00000000-0005-0000-0000-0000D74B0000}"/>
    <cellStyle name="Normal 34 6" xfId="11860" xr:uid="{00000000-0005-0000-0000-0000D84B0000}"/>
    <cellStyle name="Normal 34 6 2" xfId="29988" xr:uid="{00000000-0005-0000-0000-0000D94B0000}"/>
    <cellStyle name="Normal 34 6 3" xfId="34638" xr:uid="{00000000-0005-0000-0000-0000DA4B0000}"/>
    <cellStyle name="Normal 34 7" xfId="11979" xr:uid="{00000000-0005-0000-0000-0000DB4B0000}"/>
    <cellStyle name="Normal 34 7 2" xfId="30105" xr:uid="{00000000-0005-0000-0000-0000DC4B0000}"/>
    <cellStyle name="Normal 34 7 3" xfId="34757" xr:uid="{00000000-0005-0000-0000-0000DD4B0000}"/>
    <cellStyle name="Normal 34 8" xfId="13488" xr:uid="{00000000-0005-0000-0000-0000DE4B0000}"/>
    <cellStyle name="Normal 34 8 2" xfId="30600" xr:uid="{00000000-0005-0000-0000-0000DF4B0000}"/>
    <cellStyle name="Normal 34 8 3" xfId="35262" xr:uid="{00000000-0005-0000-0000-0000E04B0000}"/>
    <cellStyle name="Normal 34 9" xfId="13610" xr:uid="{00000000-0005-0000-0000-0000E14B0000}"/>
    <cellStyle name="Normal 34 9 2" xfId="30722" xr:uid="{00000000-0005-0000-0000-0000E24B0000}"/>
    <cellStyle name="Normal 34 9 3" xfId="35384" xr:uid="{00000000-0005-0000-0000-0000E34B0000}"/>
    <cellStyle name="Normal 35" xfId="3328" xr:uid="{00000000-0005-0000-0000-0000E44B0000}"/>
    <cellStyle name="Normal 35 10" xfId="13733" xr:uid="{00000000-0005-0000-0000-0000E54B0000}"/>
    <cellStyle name="Normal 35 10 2" xfId="30845" xr:uid="{00000000-0005-0000-0000-0000E64B0000}"/>
    <cellStyle name="Normal 35 10 3" xfId="35507" xr:uid="{00000000-0005-0000-0000-0000E74B0000}"/>
    <cellStyle name="Normal 35 11" xfId="13854" xr:uid="{00000000-0005-0000-0000-0000E84B0000}"/>
    <cellStyle name="Normal 35 11 2" xfId="30966" xr:uid="{00000000-0005-0000-0000-0000E94B0000}"/>
    <cellStyle name="Normal 35 11 3" xfId="35628" xr:uid="{00000000-0005-0000-0000-0000EA4B0000}"/>
    <cellStyle name="Normal 35 12" xfId="13973" xr:uid="{00000000-0005-0000-0000-0000EB4B0000}"/>
    <cellStyle name="Normal 35 12 2" xfId="31085" xr:uid="{00000000-0005-0000-0000-0000EC4B0000}"/>
    <cellStyle name="Normal 35 12 3" xfId="35747" xr:uid="{00000000-0005-0000-0000-0000ED4B0000}"/>
    <cellStyle name="Normal 35 13" xfId="11486" xr:uid="{00000000-0005-0000-0000-0000EE4B0000}"/>
    <cellStyle name="Normal 35 13 2" xfId="34296" xr:uid="{00000000-0005-0000-0000-0000EF4B0000}"/>
    <cellStyle name="Normal 35 14" xfId="14328" xr:uid="{00000000-0005-0000-0000-0000F04B0000}"/>
    <cellStyle name="Normal 35 14 2" xfId="35896" xr:uid="{00000000-0005-0000-0000-0000F14B0000}"/>
    <cellStyle name="Normal 35 14 3" xfId="28226" xr:uid="{00000000-0005-0000-0000-0000F24B0000}"/>
    <cellStyle name="Normal 35 15" xfId="27863" xr:uid="{00000000-0005-0000-0000-0000F34B0000}"/>
    <cellStyle name="Normal 35 2" xfId="11487" xr:uid="{00000000-0005-0000-0000-0000F44B0000}"/>
    <cellStyle name="Normal 35 2 10" xfId="13974" xr:uid="{00000000-0005-0000-0000-0000F54B0000}"/>
    <cellStyle name="Normal 35 2 10 2" xfId="31086" xr:uid="{00000000-0005-0000-0000-0000F64B0000}"/>
    <cellStyle name="Normal 35 2 10 3" xfId="35748" xr:uid="{00000000-0005-0000-0000-0000F74B0000}"/>
    <cellStyle name="Normal 35 2 11" xfId="14329" xr:uid="{00000000-0005-0000-0000-0000F84B0000}"/>
    <cellStyle name="Normal 35 2 11 2" xfId="35897" xr:uid="{00000000-0005-0000-0000-0000F94B0000}"/>
    <cellStyle name="Normal 35 2 11 3" xfId="29669" xr:uid="{00000000-0005-0000-0000-0000FA4B0000}"/>
    <cellStyle name="Normal 35 2 12" xfId="28943" xr:uid="{00000000-0005-0000-0000-0000FB4B0000}"/>
    <cellStyle name="Normal 35 2 13" xfId="34297" xr:uid="{00000000-0005-0000-0000-0000FC4B0000}"/>
    <cellStyle name="Normal 35 2 2" xfId="11607" xr:uid="{00000000-0005-0000-0000-0000FD4B0000}"/>
    <cellStyle name="Normal 35 2 2 2" xfId="29755" xr:uid="{00000000-0005-0000-0000-0000FE4B0000}"/>
    <cellStyle name="Normal 35 2 2 3" xfId="34397" xr:uid="{00000000-0005-0000-0000-0000FF4B0000}"/>
    <cellStyle name="Normal 35 2 3" xfId="11745" xr:uid="{00000000-0005-0000-0000-0000004C0000}"/>
    <cellStyle name="Normal 35 2 3 2" xfId="29874" xr:uid="{00000000-0005-0000-0000-0000014C0000}"/>
    <cellStyle name="Normal 35 2 3 3" xfId="34523" xr:uid="{00000000-0005-0000-0000-0000024C0000}"/>
    <cellStyle name="Normal 35 2 4" xfId="11864" xr:uid="{00000000-0005-0000-0000-0000034C0000}"/>
    <cellStyle name="Normal 35 2 4 2" xfId="29992" xr:uid="{00000000-0005-0000-0000-0000044C0000}"/>
    <cellStyle name="Normal 35 2 4 3" xfId="34642" xr:uid="{00000000-0005-0000-0000-0000054C0000}"/>
    <cellStyle name="Normal 35 2 5" xfId="11983" xr:uid="{00000000-0005-0000-0000-0000064C0000}"/>
    <cellStyle name="Normal 35 2 5 2" xfId="30109" xr:uid="{00000000-0005-0000-0000-0000074C0000}"/>
    <cellStyle name="Normal 35 2 5 3" xfId="34761" xr:uid="{00000000-0005-0000-0000-0000084C0000}"/>
    <cellStyle name="Normal 35 2 6" xfId="13492" xr:uid="{00000000-0005-0000-0000-0000094C0000}"/>
    <cellStyle name="Normal 35 2 6 2" xfId="30604" xr:uid="{00000000-0005-0000-0000-00000A4C0000}"/>
    <cellStyle name="Normal 35 2 6 3" xfId="35266" xr:uid="{00000000-0005-0000-0000-00000B4C0000}"/>
    <cellStyle name="Normal 35 2 7" xfId="13614" xr:uid="{00000000-0005-0000-0000-00000C4C0000}"/>
    <cellStyle name="Normal 35 2 7 2" xfId="30726" xr:uid="{00000000-0005-0000-0000-00000D4C0000}"/>
    <cellStyle name="Normal 35 2 7 3" xfId="35388" xr:uid="{00000000-0005-0000-0000-00000E4C0000}"/>
    <cellStyle name="Normal 35 2 8" xfId="13734" xr:uid="{00000000-0005-0000-0000-00000F4C0000}"/>
    <cellStyle name="Normal 35 2 8 2" xfId="30846" xr:uid="{00000000-0005-0000-0000-0000104C0000}"/>
    <cellStyle name="Normal 35 2 8 3" xfId="35508" xr:uid="{00000000-0005-0000-0000-0000114C0000}"/>
    <cellStyle name="Normal 35 2 9" xfId="13855" xr:uid="{00000000-0005-0000-0000-0000124C0000}"/>
    <cellStyle name="Normal 35 2 9 2" xfId="30967" xr:uid="{00000000-0005-0000-0000-0000134C0000}"/>
    <cellStyle name="Normal 35 2 9 3" xfId="35629" xr:uid="{00000000-0005-0000-0000-0000144C0000}"/>
    <cellStyle name="Normal 35 3" xfId="11488" xr:uid="{00000000-0005-0000-0000-0000154C0000}"/>
    <cellStyle name="Normal 35 3 10" xfId="13975" xr:uid="{00000000-0005-0000-0000-0000164C0000}"/>
    <cellStyle name="Normal 35 3 10 2" xfId="31087" xr:uid="{00000000-0005-0000-0000-0000174C0000}"/>
    <cellStyle name="Normal 35 3 10 3" xfId="35749" xr:uid="{00000000-0005-0000-0000-0000184C0000}"/>
    <cellStyle name="Normal 35 3 11" xfId="29670" xr:uid="{00000000-0005-0000-0000-0000194C0000}"/>
    <cellStyle name="Normal 35 3 12" xfId="28890" xr:uid="{00000000-0005-0000-0000-00001A4C0000}"/>
    <cellStyle name="Normal 35 3 13" xfId="34298" xr:uid="{00000000-0005-0000-0000-00001B4C0000}"/>
    <cellStyle name="Normal 35 3 2" xfId="11608" xr:uid="{00000000-0005-0000-0000-00001C4C0000}"/>
    <cellStyle name="Normal 35 3 2 2" xfId="29756" xr:uid="{00000000-0005-0000-0000-00001D4C0000}"/>
    <cellStyle name="Normal 35 3 2 3" xfId="34398" xr:uid="{00000000-0005-0000-0000-00001E4C0000}"/>
    <cellStyle name="Normal 35 3 3" xfId="11746" xr:uid="{00000000-0005-0000-0000-00001F4C0000}"/>
    <cellStyle name="Normal 35 3 3 2" xfId="29875" xr:uid="{00000000-0005-0000-0000-0000204C0000}"/>
    <cellStyle name="Normal 35 3 3 3" xfId="34524" xr:uid="{00000000-0005-0000-0000-0000214C0000}"/>
    <cellStyle name="Normal 35 3 4" xfId="11865" xr:uid="{00000000-0005-0000-0000-0000224C0000}"/>
    <cellStyle name="Normal 35 3 4 2" xfId="29993" xr:uid="{00000000-0005-0000-0000-0000234C0000}"/>
    <cellStyle name="Normal 35 3 4 3" xfId="34643" xr:uid="{00000000-0005-0000-0000-0000244C0000}"/>
    <cellStyle name="Normal 35 3 5" xfId="11984" xr:uid="{00000000-0005-0000-0000-0000254C0000}"/>
    <cellStyle name="Normal 35 3 5 2" xfId="30110" xr:uid="{00000000-0005-0000-0000-0000264C0000}"/>
    <cellStyle name="Normal 35 3 5 3" xfId="34762" xr:uid="{00000000-0005-0000-0000-0000274C0000}"/>
    <cellStyle name="Normal 35 3 6" xfId="13493" xr:uid="{00000000-0005-0000-0000-0000284C0000}"/>
    <cellStyle name="Normal 35 3 6 2" xfId="30605" xr:uid="{00000000-0005-0000-0000-0000294C0000}"/>
    <cellStyle name="Normal 35 3 6 3" xfId="35267" xr:uid="{00000000-0005-0000-0000-00002A4C0000}"/>
    <cellStyle name="Normal 35 3 7" xfId="13615" xr:uid="{00000000-0005-0000-0000-00002B4C0000}"/>
    <cellStyle name="Normal 35 3 7 2" xfId="30727" xr:uid="{00000000-0005-0000-0000-00002C4C0000}"/>
    <cellStyle name="Normal 35 3 7 3" xfId="35389" xr:uid="{00000000-0005-0000-0000-00002D4C0000}"/>
    <cellStyle name="Normal 35 3 8" xfId="13735" xr:uid="{00000000-0005-0000-0000-00002E4C0000}"/>
    <cellStyle name="Normal 35 3 8 2" xfId="30847" xr:uid="{00000000-0005-0000-0000-00002F4C0000}"/>
    <cellStyle name="Normal 35 3 8 3" xfId="35509" xr:uid="{00000000-0005-0000-0000-0000304C0000}"/>
    <cellStyle name="Normal 35 3 9" xfId="13856" xr:uid="{00000000-0005-0000-0000-0000314C0000}"/>
    <cellStyle name="Normal 35 3 9 2" xfId="30968" xr:uid="{00000000-0005-0000-0000-0000324C0000}"/>
    <cellStyle name="Normal 35 3 9 3" xfId="35630" xr:uid="{00000000-0005-0000-0000-0000334C0000}"/>
    <cellStyle name="Normal 35 4" xfId="11606" xr:uid="{00000000-0005-0000-0000-0000344C0000}"/>
    <cellStyle name="Normal 35 4 2" xfId="29754" xr:uid="{00000000-0005-0000-0000-0000354C0000}"/>
    <cellStyle name="Normal 35 4 3" xfId="34396" xr:uid="{00000000-0005-0000-0000-0000364C0000}"/>
    <cellStyle name="Normal 35 5" xfId="11744" xr:uid="{00000000-0005-0000-0000-0000374C0000}"/>
    <cellStyle name="Normal 35 5 2" xfId="29873" xr:uid="{00000000-0005-0000-0000-0000384C0000}"/>
    <cellStyle name="Normal 35 5 3" xfId="34522" xr:uid="{00000000-0005-0000-0000-0000394C0000}"/>
    <cellStyle name="Normal 35 6" xfId="11863" xr:uid="{00000000-0005-0000-0000-00003A4C0000}"/>
    <cellStyle name="Normal 35 6 2" xfId="29991" xr:uid="{00000000-0005-0000-0000-00003B4C0000}"/>
    <cellStyle name="Normal 35 6 3" xfId="34641" xr:uid="{00000000-0005-0000-0000-00003C4C0000}"/>
    <cellStyle name="Normal 35 7" xfId="11982" xr:uid="{00000000-0005-0000-0000-00003D4C0000}"/>
    <cellStyle name="Normal 35 7 2" xfId="30108" xr:uid="{00000000-0005-0000-0000-00003E4C0000}"/>
    <cellStyle name="Normal 35 7 3" xfId="34760" xr:uid="{00000000-0005-0000-0000-00003F4C0000}"/>
    <cellStyle name="Normal 35 8" xfId="13491" xr:uid="{00000000-0005-0000-0000-0000404C0000}"/>
    <cellStyle name="Normal 35 8 2" xfId="30603" xr:uid="{00000000-0005-0000-0000-0000414C0000}"/>
    <cellStyle name="Normal 35 8 3" xfId="35265" xr:uid="{00000000-0005-0000-0000-0000424C0000}"/>
    <cellStyle name="Normal 35 9" xfId="13613" xr:uid="{00000000-0005-0000-0000-0000434C0000}"/>
    <cellStyle name="Normal 35 9 2" xfId="30725" xr:uid="{00000000-0005-0000-0000-0000444C0000}"/>
    <cellStyle name="Normal 35 9 3" xfId="35387" xr:uid="{00000000-0005-0000-0000-0000454C0000}"/>
    <cellStyle name="Normal 36" xfId="109" xr:uid="{00000000-0005-0000-0000-0000464C0000}"/>
    <cellStyle name="Normal 36 10" xfId="13890" xr:uid="{00000000-0005-0000-0000-0000474C0000}"/>
    <cellStyle name="Normal 36 10 2" xfId="31002" xr:uid="{00000000-0005-0000-0000-0000484C0000}"/>
    <cellStyle name="Normal 36 10 3" xfId="35664" xr:uid="{00000000-0005-0000-0000-0000494C0000}"/>
    <cellStyle name="Normal 36 11" xfId="14010" xr:uid="{00000000-0005-0000-0000-00004A4C0000}"/>
    <cellStyle name="Normal 36 11 2" xfId="31122" xr:uid="{00000000-0005-0000-0000-00004B4C0000}"/>
    <cellStyle name="Normal 36 11 3" xfId="35784" xr:uid="{00000000-0005-0000-0000-00004C4C0000}"/>
    <cellStyle name="Normal 36 12" xfId="14330" xr:uid="{00000000-0005-0000-0000-00004D4C0000}"/>
    <cellStyle name="Normal 36 12 2" xfId="35898" xr:uid="{00000000-0005-0000-0000-00004E4C0000}"/>
    <cellStyle name="Normal 36 13" xfId="14372" xr:uid="{00000000-0005-0000-0000-00004F4C0000}"/>
    <cellStyle name="Normal 36 13 2" xfId="35913" xr:uid="{00000000-0005-0000-0000-0000504C0000}"/>
    <cellStyle name="Normal 36 13 3" xfId="28227" xr:uid="{00000000-0005-0000-0000-0000514C0000}"/>
    <cellStyle name="Normal 36 14" xfId="11489" xr:uid="{00000000-0005-0000-0000-0000524C0000}"/>
    <cellStyle name="Normal 36 15" xfId="27864" xr:uid="{00000000-0005-0000-0000-0000534C0000}"/>
    <cellStyle name="Normal 36 2" xfId="11519" xr:uid="{00000000-0005-0000-0000-0000544C0000}"/>
    <cellStyle name="Normal 36 2 10" xfId="14013" xr:uid="{00000000-0005-0000-0000-0000554C0000}"/>
    <cellStyle name="Normal 36 2 10 2" xfId="31125" xr:uid="{00000000-0005-0000-0000-0000564C0000}"/>
    <cellStyle name="Normal 36 2 10 3" xfId="35787" xr:uid="{00000000-0005-0000-0000-0000574C0000}"/>
    <cellStyle name="Normal 36 2 11" xfId="29678" xr:uid="{00000000-0005-0000-0000-0000584C0000}"/>
    <cellStyle name="Normal 36 2 12" xfId="29088" xr:uid="{00000000-0005-0000-0000-0000594C0000}"/>
    <cellStyle name="Normal 36 2 13" xfId="34315" xr:uid="{00000000-0005-0000-0000-00005A4C0000}"/>
    <cellStyle name="Normal 36 2 14" xfId="27872" xr:uid="{00000000-0005-0000-0000-00005B4C0000}"/>
    <cellStyle name="Normal 36 2 15" xfId="16644" xr:uid="{00000000-0005-0000-0000-00005C4C0000}"/>
    <cellStyle name="Normal 36 2 2" xfId="11662" xr:uid="{00000000-0005-0000-0000-00005D4C0000}"/>
    <cellStyle name="Normal 36 2 2 2" xfId="29793" xr:uid="{00000000-0005-0000-0000-00005E4C0000}"/>
    <cellStyle name="Normal 36 2 2 3" xfId="34441" xr:uid="{00000000-0005-0000-0000-00005F4C0000}"/>
    <cellStyle name="Normal 36 2 3" xfId="11783" xr:uid="{00000000-0005-0000-0000-0000604C0000}"/>
    <cellStyle name="Normal 36 2 3 2" xfId="29912" xr:uid="{00000000-0005-0000-0000-0000614C0000}"/>
    <cellStyle name="Normal 36 2 3 3" xfId="34561" xr:uid="{00000000-0005-0000-0000-0000624C0000}"/>
    <cellStyle name="Normal 36 2 4" xfId="11902" xr:uid="{00000000-0005-0000-0000-0000634C0000}"/>
    <cellStyle name="Normal 36 2 4 2" xfId="30030" xr:uid="{00000000-0005-0000-0000-0000644C0000}"/>
    <cellStyle name="Normal 36 2 4 3" xfId="34680" xr:uid="{00000000-0005-0000-0000-0000654C0000}"/>
    <cellStyle name="Normal 36 2 5" xfId="12021" xr:uid="{00000000-0005-0000-0000-0000664C0000}"/>
    <cellStyle name="Normal 36 2 5 2" xfId="30147" xr:uid="{00000000-0005-0000-0000-0000674C0000}"/>
    <cellStyle name="Normal 36 2 5 3" xfId="34799" xr:uid="{00000000-0005-0000-0000-0000684C0000}"/>
    <cellStyle name="Normal 36 2 6" xfId="13531" xr:uid="{00000000-0005-0000-0000-0000694C0000}"/>
    <cellStyle name="Normal 36 2 6 2" xfId="30643" xr:uid="{00000000-0005-0000-0000-00006A4C0000}"/>
    <cellStyle name="Normal 36 2 6 3" xfId="35305" xr:uid="{00000000-0005-0000-0000-00006B4C0000}"/>
    <cellStyle name="Normal 36 2 7" xfId="13653" xr:uid="{00000000-0005-0000-0000-00006C4C0000}"/>
    <cellStyle name="Normal 36 2 7 2" xfId="30765" xr:uid="{00000000-0005-0000-0000-00006D4C0000}"/>
    <cellStyle name="Normal 36 2 7 3" xfId="35427" xr:uid="{00000000-0005-0000-0000-00006E4C0000}"/>
    <cellStyle name="Normal 36 2 8" xfId="13773" xr:uid="{00000000-0005-0000-0000-00006F4C0000}"/>
    <cellStyle name="Normal 36 2 8 2" xfId="30885" xr:uid="{00000000-0005-0000-0000-0000704C0000}"/>
    <cellStyle name="Normal 36 2 8 3" xfId="35547" xr:uid="{00000000-0005-0000-0000-0000714C0000}"/>
    <cellStyle name="Normal 36 2 9" xfId="13893" xr:uid="{00000000-0005-0000-0000-0000724C0000}"/>
    <cellStyle name="Normal 36 2 9 2" xfId="31005" xr:uid="{00000000-0005-0000-0000-0000734C0000}"/>
    <cellStyle name="Normal 36 2 9 3" xfId="35667" xr:uid="{00000000-0005-0000-0000-0000744C0000}"/>
    <cellStyle name="Normal 36 3" xfId="11659" xr:uid="{00000000-0005-0000-0000-0000754C0000}"/>
    <cellStyle name="Normal 36 3 2" xfId="29790" xr:uid="{00000000-0005-0000-0000-0000764C0000}"/>
    <cellStyle name="Normal 36 3 3" xfId="34438" xr:uid="{00000000-0005-0000-0000-0000774C0000}"/>
    <cellStyle name="Normal 36 4" xfId="11780" xr:uid="{00000000-0005-0000-0000-0000784C0000}"/>
    <cellStyle name="Normal 36 4 2" xfId="29909" xr:uid="{00000000-0005-0000-0000-0000794C0000}"/>
    <cellStyle name="Normal 36 4 3" xfId="34558" xr:uid="{00000000-0005-0000-0000-00007A4C0000}"/>
    <cellStyle name="Normal 36 5" xfId="11899" xr:uid="{00000000-0005-0000-0000-00007B4C0000}"/>
    <cellStyle name="Normal 36 5 2" xfId="30027" xr:uid="{00000000-0005-0000-0000-00007C4C0000}"/>
    <cellStyle name="Normal 36 5 3" xfId="34677" xr:uid="{00000000-0005-0000-0000-00007D4C0000}"/>
    <cellStyle name="Normal 36 6" xfId="12018" xr:uid="{00000000-0005-0000-0000-00007E4C0000}"/>
    <cellStyle name="Normal 36 6 2" xfId="30144" xr:uid="{00000000-0005-0000-0000-00007F4C0000}"/>
    <cellStyle name="Normal 36 6 3" xfId="34796" xr:uid="{00000000-0005-0000-0000-0000804C0000}"/>
    <cellStyle name="Normal 36 7" xfId="13528" xr:uid="{00000000-0005-0000-0000-0000814C0000}"/>
    <cellStyle name="Normal 36 7 2" xfId="30640" xr:uid="{00000000-0005-0000-0000-0000824C0000}"/>
    <cellStyle name="Normal 36 7 3" xfId="35302" xr:uid="{00000000-0005-0000-0000-0000834C0000}"/>
    <cellStyle name="Normal 36 8" xfId="13650" xr:uid="{00000000-0005-0000-0000-0000844C0000}"/>
    <cellStyle name="Normal 36 8 2" xfId="30762" xr:uid="{00000000-0005-0000-0000-0000854C0000}"/>
    <cellStyle name="Normal 36 8 3" xfId="35424" xr:uid="{00000000-0005-0000-0000-0000864C0000}"/>
    <cellStyle name="Normal 36 9" xfId="13770" xr:uid="{00000000-0005-0000-0000-0000874C0000}"/>
    <cellStyle name="Normal 36 9 2" xfId="30882" xr:uid="{00000000-0005-0000-0000-0000884C0000}"/>
    <cellStyle name="Normal 36 9 3" xfId="35544" xr:uid="{00000000-0005-0000-0000-0000894C0000}"/>
    <cellStyle name="Normal 37" xfId="3679" xr:uid="{00000000-0005-0000-0000-00008A4C0000}"/>
    <cellStyle name="Normal 37 10" xfId="13736" xr:uid="{00000000-0005-0000-0000-00008B4C0000}"/>
    <cellStyle name="Normal 37 10 2" xfId="30848" xr:uid="{00000000-0005-0000-0000-00008C4C0000}"/>
    <cellStyle name="Normal 37 10 3" xfId="35510" xr:uid="{00000000-0005-0000-0000-00008D4C0000}"/>
    <cellStyle name="Normal 37 11" xfId="13857" xr:uid="{00000000-0005-0000-0000-00008E4C0000}"/>
    <cellStyle name="Normal 37 11 2" xfId="30969" xr:uid="{00000000-0005-0000-0000-00008F4C0000}"/>
    <cellStyle name="Normal 37 11 3" xfId="35631" xr:uid="{00000000-0005-0000-0000-0000904C0000}"/>
    <cellStyle name="Normal 37 12" xfId="13976" xr:uid="{00000000-0005-0000-0000-0000914C0000}"/>
    <cellStyle name="Normal 37 12 2" xfId="31088" xr:uid="{00000000-0005-0000-0000-0000924C0000}"/>
    <cellStyle name="Normal 37 12 3" xfId="35750" xr:uid="{00000000-0005-0000-0000-0000934C0000}"/>
    <cellStyle name="Normal 37 13" xfId="11490" xr:uid="{00000000-0005-0000-0000-0000944C0000}"/>
    <cellStyle name="Normal 37 13 2" xfId="34299" xr:uid="{00000000-0005-0000-0000-0000954C0000}"/>
    <cellStyle name="Normal 37 14" xfId="28228" xr:uid="{00000000-0005-0000-0000-0000964C0000}"/>
    <cellStyle name="Normal 37 15" xfId="27865" xr:uid="{00000000-0005-0000-0000-0000974C0000}"/>
    <cellStyle name="Normal 37 2" xfId="11491" xr:uid="{00000000-0005-0000-0000-0000984C0000}"/>
    <cellStyle name="Normal 37 2 10" xfId="13977" xr:uid="{00000000-0005-0000-0000-0000994C0000}"/>
    <cellStyle name="Normal 37 2 10 2" xfId="31089" xr:uid="{00000000-0005-0000-0000-00009A4C0000}"/>
    <cellStyle name="Normal 37 2 10 3" xfId="35751" xr:uid="{00000000-0005-0000-0000-00009B4C0000}"/>
    <cellStyle name="Normal 37 2 11" xfId="29671" xr:uid="{00000000-0005-0000-0000-00009C4C0000}"/>
    <cellStyle name="Normal 37 2 12" xfId="29089" xr:uid="{00000000-0005-0000-0000-00009D4C0000}"/>
    <cellStyle name="Normal 37 2 13" xfId="34300" xr:uid="{00000000-0005-0000-0000-00009E4C0000}"/>
    <cellStyle name="Normal 37 2 14" xfId="27866" xr:uid="{00000000-0005-0000-0000-00009F4C0000}"/>
    <cellStyle name="Normal 37 2 15" xfId="17418" xr:uid="{00000000-0005-0000-0000-0000A04C0000}"/>
    <cellStyle name="Normal 37 2 2" xfId="11610" xr:uid="{00000000-0005-0000-0000-0000A14C0000}"/>
    <cellStyle name="Normal 37 2 2 2" xfId="29758" xr:uid="{00000000-0005-0000-0000-0000A24C0000}"/>
    <cellStyle name="Normal 37 2 2 3" xfId="34400" xr:uid="{00000000-0005-0000-0000-0000A34C0000}"/>
    <cellStyle name="Normal 37 2 3" xfId="11748" xr:uid="{00000000-0005-0000-0000-0000A44C0000}"/>
    <cellStyle name="Normal 37 2 3 2" xfId="29877" xr:uid="{00000000-0005-0000-0000-0000A54C0000}"/>
    <cellStyle name="Normal 37 2 3 3" xfId="34526" xr:uid="{00000000-0005-0000-0000-0000A64C0000}"/>
    <cellStyle name="Normal 37 2 4" xfId="11867" xr:uid="{00000000-0005-0000-0000-0000A74C0000}"/>
    <cellStyle name="Normal 37 2 4 2" xfId="29995" xr:uid="{00000000-0005-0000-0000-0000A84C0000}"/>
    <cellStyle name="Normal 37 2 4 3" xfId="34645" xr:uid="{00000000-0005-0000-0000-0000A94C0000}"/>
    <cellStyle name="Normal 37 2 5" xfId="11986" xr:uid="{00000000-0005-0000-0000-0000AA4C0000}"/>
    <cellStyle name="Normal 37 2 5 2" xfId="30112" xr:uid="{00000000-0005-0000-0000-0000AB4C0000}"/>
    <cellStyle name="Normal 37 2 5 3" xfId="34764" xr:uid="{00000000-0005-0000-0000-0000AC4C0000}"/>
    <cellStyle name="Normal 37 2 6" xfId="13495" xr:uid="{00000000-0005-0000-0000-0000AD4C0000}"/>
    <cellStyle name="Normal 37 2 6 2" xfId="30607" xr:uid="{00000000-0005-0000-0000-0000AE4C0000}"/>
    <cellStyle name="Normal 37 2 6 3" xfId="35269" xr:uid="{00000000-0005-0000-0000-0000AF4C0000}"/>
    <cellStyle name="Normal 37 2 7" xfId="13617" xr:uid="{00000000-0005-0000-0000-0000B04C0000}"/>
    <cellStyle name="Normal 37 2 7 2" xfId="30729" xr:uid="{00000000-0005-0000-0000-0000B14C0000}"/>
    <cellStyle name="Normal 37 2 7 3" xfId="35391" xr:uid="{00000000-0005-0000-0000-0000B24C0000}"/>
    <cellStyle name="Normal 37 2 8" xfId="13737" xr:uid="{00000000-0005-0000-0000-0000B34C0000}"/>
    <cellStyle name="Normal 37 2 8 2" xfId="30849" xr:uid="{00000000-0005-0000-0000-0000B44C0000}"/>
    <cellStyle name="Normal 37 2 8 3" xfId="35511" xr:uid="{00000000-0005-0000-0000-0000B54C0000}"/>
    <cellStyle name="Normal 37 2 9" xfId="13858" xr:uid="{00000000-0005-0000-0000-0000B64C0000}"/>
    <cellStyle name="Normal 37 2 9 2" xfId="30970" xr:uid="{00000000-0005-0000-0000-0000B74C0000}"/>
    <cellStyle name="Normal 37 2 9 3" xfId="35632" xr:uid="{00000000-0005-0000-0000-0000B84C0000}"/>
    <cellStyle name="Normal 37 3" xfId="11492" xr:uid="{00000000-0005-0000-0000-0000B94C0000}"/>
    <cellStyle name="Normal 37 3 10" xfId="13978" xr:uid="{00000000-0005-0000-0000-0000BA4C0000}"/>
    <cellStyle name="Normal 37 3 10 2" xfId="31090" xr:uid="{00000000-0005-0000-0000-0000BB4C0000}"/>
    <cellStyle name="Normal 37 3 10 3" xfId="35752" xr:uid="{00000000-0005-0000-0000-0000BC4C0000}"/>
    <cellStyle name="Normal 37 3 11" xfId="29672" xr:uid="{00000000-0005-0000-0000-0000BD4C0000}"/>
    <cellStyle name="Normal 37 3 12" xfId="34301" xr:uid="{00000000-0005-0000-0000-0000BE4C0000}"/>
    <cellStyle name="Normal 37 3 2" xfId="11611" xr:uid="{00000000-0005-0000-0000-0000BF4C0000}"/>
    <cellStyle name="Normal 37 3 2 2" xfId="29759" xr:uid="{00000000-0005-0000-0000-0000C04C0000}"/>
    <cellStyle name="Normal 37 3 2 3" xfId="34401" xr:uid="{00000000-0005-0000-0000-0000C14C0000}"/>
    <cellStyle name="Normal 37 3 3" xfId="11749" xr:uid="{00000000-0005-0000-0000-0000C24C0000}"/>
    <cellStyle name="Normal 37 3 3 2" xfId="29878" xr:uid="{00000000-0005-0000-0000-0000C34C0000}"/>
    <cellStyle name="Normal 37 3 3 3" xfId="34527" xr:uid="{00000000-0005-0000-0000-0000C44C0000}"/>
    <cellStyle name="Normal 37 3 4" xfId="11868" xr:uid="{00000000-0005-0000-0000-0000C54C0000}"/>
    <cellStyle name="Normal 37 3 4 2" xfId="29996" xr:uid="{00000000-0005-0000-0000-0000C64C0000}"/>
    <cellStyle name="Normal 37 3 4 3" xfId="34646" xr:uid="{00000000-0005-0000-0000-0000C74C0000}"/>
    <cellStyle name="Normal 37 3 5" xfId="11987" xr:uid="{00000000-0005-0000-0000-0000C84C0000}"/>
    <cellStyle name="Normal 37 3 5 2" xfId="30113" xr:uid="{00000000-0005-0000-0000-0000C94C0000}"/>
    <cellStyle name="Normal 37 3 5 3" xfId="34765" xr:uid="{00000000-0005-0000-0000-0000CA4C0000}"/>
    <cellStyle name="Normal 37 3 6" xfId="13496" xr:uid="{00000000-0005-0000-0000-0000CB4C0000}"/>
    <cellStyle name="Normal 37 3 6 2" xfId="30608" xr:uid="{00000000-0005-0000-0000-0000CC4C0000}"/>
    <cellStyle name="Normal 37 3 6 3" xfId="35270" xr:uid="{00000000-0005-0000-0000-0000CD4C0000}"/>
    <cellStyle name="Normal 37 3 7" xfId="13618" xr:uid="{00000000-0005-0000-0000-0000CE4C0000}"/>
    <cellStyle name="Normal 37 3 7 2" xfId="30730" xr:uid="{00000000-0005-0000-0000-0000CF4C0000}"/>
    <cellStyle name="Normal 37 3 7 3" xfId="35392" xr:uid="{00000000-0005-0000-0000-0000D04C0000}"/>
    <cellStyle name="Normal 37 3 8" xfId="13738" xr:uid="{00000000-0005-0000-0000-0000D14C0000}"/>
    <cellStyle name="Normal 37 3 8 2" xfId="30850" xr:uid="{00000000-0005-0000-0000-0000D24C0000}"/>
    <cellStyle name="Normal 37 3 8 3" xfId="35512" xr:uid="{00000000-0005-0000-0000-0000D34C0000}"/>
    <cellStyle name="Normal 37 3 9" xfId="13859" xr:uid="{00000000-0005-0000-0000-0000D44C0000}"/>
    <cellStyle name="Normal 37 3 9 2" xfId="30971" xr:uid="{00000000-0005-0000-0000-0000D54C0000}"/>
    <cellStyle name="Normal 37 3 9 3" xfId="35633" xr:uid="{00000000-0005-0000-0000-0000D64C0000}"/>
    <cellStyle name="Normal 37 4" xfId="11609" xr:uid="{00000000-0005-0000-0000-0000D74C0000}"/>
    <cellStyle name="Normal 37 4 2" xfId="29757" xr:uid="{00000000-0005-0000-0000-0000D84C0000}"/>
    <cellStyle name="Normal 37 4 3" xfId="34399" xr:uid="{00000000-0005-0000-0000-0000D94C0000}"/>
    <cellStyle name="Normal 37 5" xfId="11747" xr:uid="{00000000-0005-0000-0000-0000DA4C0000}"/>
    <cellStyle name="Normal 37 5 2" xfId="29876" xr:uid="{00000000-0005-0000-0000-0000DB4C0000}"/>
    <cellStyle name="Normal 37 5 3" xfId="34525" xr:uid="{00000000-0005-0000-0000-0000DC4C0000}"/>
    <cellStyle name="Normal 37 6" xfId="11866" xr:uid="{00000000-0005-0000-0000-0000DD4C0000}"/>
    <cellStyle name="Normal 37 6 2" xfId="29994" xr:uid="{00000000-0005-0000-0000-0000DE4C0000}"/>
    <cellStyle name="Normal 37 6 3" xfId="34644" xr:uid="{00000000-0005-0000-0000-0000DF4C0000}"/>
    <cellStyle name="Normal 37 7" xfId="11985" xr:uid="{00000000-0005-0000-0000-0000E04C0000}"/>
    <cellStyle name="Normal 37 7 2" xfId="30111" xr:uid="{00000000-0005-0000-0000-0000E14C0000}"/>
    <cellStyle name="Normal 37 7 3" xfId="34763" xr:uid="{00000000-0005-0000-0000-0000E24C0000}"/>
    <cellStyle name="Normal 37 8" xfId="13494" xr:uid="{00000000-0005-0000-0000-0000E34C0000}"/>
    <cellStyle name="Normal 37 8 2" xfId="30606" xr:uid="{00000000-0005-0000-0000-0000E44C0000}"/>
    <cellStyle name="Normal 37 8 3" xfId="35268" xr:uid="{00000000-0005-0000-0000-0000E54C0000}"/>
    <cellStyle name="Normal 37 9" xfId="13616" xr:uid="{00000000-0005-0000-0000-0000E64C0000}"/>
    <cellStyle name="Normal 37 9 2" xfId="30728" xr:uid="{00000000-0005-0000-0000-0000E74C0000}"/>
    <cellStyle name="Normal 37 9 3" xfId="35390" xr:uid="{00000000-0005-0000-0000-0000E84C0000}"/>
    <cellStyle name="Normal 38" xfId="3689" xr:uid="{00000000-0005-0000-0000-0000E94C0000}"/>
    <cellStyle name="Normal 38 10" xfId="13739" xr:uid="{00000000-0005-0000-0000-0000EA4C0000}"/>
    <cellStyle name="Normal 38 10 2" xfId="30851" xr:uid="{00000000-0005-0000-0000-0000EB4C0000}"/>
    <cellStyle name="Normal 38 10 3" xfId="35513" xr:uid="{00000000-0005-0000-0000-0000EC4C0000}"/>
    <cellStyle name="Normal 38 11" xfId="13860" xr:uid="{00000000-0005-0000-0000-0000ED4C0000}"/>
    <cellStyle name="Normal 38 11 2" xfId="30972" xr:uid="{00000000-0005-0000-0000-0000EE4C0000}"/>
    <cellStyle name="Normal 38 11 3" xfId="35634" xr:uid="{00000000-0005-0000-0000-0000EF4C0000}"/>
    <cellStyle name="Normal 38 12" xfId="13979" xr:uid="{00000000-0005-0000-0000-0000F04C0000}"/>
    <cellStyle name="Normal 38 12 2" xfId="31091" xr:uid="{00000000-0005-0000-0000-0000F14C0000}"/>
    <cellStyle name="Normal 38 12 3" xfId="35753" xr:uid="{00000000-0005-0000-0000-0000F24C0000}"/>
    <cellStyle name="Normal 38 13" xfId="11493" xr:uid="{00000000-0005-0000-0000-0000F34C0000}"/>
    <cellStyle name="Normal 38 13 2" xfId="34302" xr:uid="{00000000-0005-0000-0000-0000F44C0000}"/>
    <cellStyle name="Normal 38 14" xfId="27867" xr:uid="{00000000-0005-0000-0000-0000F54C0000}"/>
    <cellStyle name="Normal 38 2" xfId="11494" xr:uid="{00000000-0005-0000-0000-0000F64C0000}"/>
    <cellStyle name="Normal 38 2 10" xfId="13980" xr:uid="{00000000-0005-0000-0000-0000F74C0000}"/>
    <cellStyle name="Normal 38 2 10 2" xfId="31092" xr:uid="{00000000-0005-0000-0000-0000F84C0000}"/>
    <cellStyle name="Normal 38 2 10 3" xfId="35754" xr:uid="{00000000-0005-0000-0000-0000F94C0000}"/>
    <cellStyle name="Normal 38 2 11" xfId="29673" xr:uid="{00000000-0005-0000-0000-0000FA4C0000}"/>
    <cellStyle name="Normal 38 2 12" xfId="29090" xr:uid="{00000000-0005-0000-0000-0000FB4C0000}"/>
    <cellStyle name="Normal 38 2 13" xfId="34303" xr:uid="{00000000-0005-0000-0000-0000FC4C0000}"/>
    <cellStyle name="Normal 38 2 14" xfId="27868" xr:uid="{00000000-0005-0000-0000-0000FD4C0000}"/>
    <cellStyle name="Normal 38 2 15" xfId="17419" xr:uid="{00000000-0005-0000-0000-0000FE4C0000}"/>
    <cellStyle name="Normal 38 2 2" xfId="11613" xr:uid="{00000000-0005-0000-0000-0000FF4C0000}"/>
    <cellStyle name="Normal 38 2 2 2" xfId="29761" xr:uid="{00000000-0005-0000-0000-0000004D0000}"/>
    <cellStyle name="Normal 38 2 2 3" xfId="34403" xr:uid="{00000000-0005-0000-0000-0000014D0000}"/>
    <cellStyle name="Normal 38 2 3" xfId="11751" xr:uid="{00000000-0005-0000-0000-0000024D0000}"/>
    <cellStyle name="Normal 38 2 3 2" xfId="29880" xr:uid="{00000000-0005-0000-0000-0000034D0000}"/>
    <cellStyle name="Normal 38 2 3 3" xfId="34529" xr:uid="{00000000-0005-0000-0000-0000044D0000}"/>
    <cellStyle name="Normal 38 2 4" xfId="11870" xr:uid="{00000000-0005-0000-0000-0000054D0000}"/>
    <cellStyle name="Normal 38 2 4 2" xfId="29998" xr:uid="{00000000-0005-0000-0000-0000064D0000}"/>
    <cellStyle name="Normal 38 2 4 3" xfId="34648" xr:uid="{00000000-0005-0000-0000-0000074D0000}"/>
    <cellStyle name="Normal 38 2 5" xfId="11989" xr:uid="{00000000-0005-0000-0000-0000084D0000}"/>
    <cellStyle name="Normal 38 2 5 2" xfId="30115" xr:uid="{00000000-0005-0000-0000-0000094D0000}"/>
    <cellStyle name="Normal 38 2 5 3" xfId="34767" xr:uid="{00000000-0005-0000-0000-00000A4D0000}"/>
    <cellStyle name="Normal 38 2 6" xfId="13498" xr:uid="{00000000-0005-0000-0000-00000B4D0000}"/>
    <cellStyle name="Normal 38 2 6 2" xfId="30610" xr:uid="{00000000-0005-0000-0000-00000C4D0000}"/>
    <cellStyle name="Normal 38 2 6 3" xfId="35272" xr:uid="{00000000-0005-0000-0000-00000D4D0000}"/>
    <cellStyle name="Normal 38 2 7" xfId="13620" xr:uid="{00000000-0005-0000-0000-00000E4D0000}"/>
    <cellStyle name="Normal 38 2 7 2" xfId="30732" xr:uid="{00000000-0005-0000-0000-00000F4D0000}"/>
    <cellStyle name="Normal 38 2 7 3" xfId="35394" xr:uid="{00000000-0005-0000-0000-0000104D0000}"/>
    <cellStyle name="Normal 38 2 8" xfId="13740" xr:uid="{00000000-0005-0000-0000-0000114D0000}"/>
    <cellStyle name="Normal 38 2 8 2" xfId="30852" xr:uid="{00000000-0005-0000-0000-0000124D0000}"/>
    <cellStyle name="Normal 38 2 8 3" xfId="35514" xr:uid="{00000000-0005-0000-0000-0000134D0000}"/>
    <cellStyle name="Normal 38 2 9" xfId="13861" xr:uid="{00000000-0005-0000-0000-0000144D0000}"/>
    <cellStyle name="Normal 38 2 9 2" xfId="30973" xr:uid="{00000000-0005-0000-0000-0000154D0000}"/>
    <cellStyle name="Normal 38 2 9 3" xfId="35635" xr:uid="{00000000-0005-0000-0000-0000164D0000}"/>
    <cellStyle name="Normal 38 3" xfId="11495" xr:uid="{00000000-0005-0000-0000-0000174D0000}"/>
    <cellStyle name="Normal 38 3 10" xfId="13981" xr:uid="{00000000-0005-0000-0000-0000184D0000}"/>
    <cellStyle name="Normal 38 3 10 2" xfId="31093" xr:uid="{00000000-0005-0000-0000-0000194D0000}"/>
    <cellStyle name="Normal 38 3 10 3" xfId="35755" xr:uid="{00000000-0005-0000-0000-00001A4D0000}"/>
    <cellStyle name="Normal 38 3 11" xfId="29674" xr:uid="{00000000-0005-0000-0000-00001B4D0000}"/>
    <cellStyle name="Normal 38 3 12" xfId="28991" xr:uid="{00000000-0005-0000-0000-00001C4D0000}"/>
    <cellStyle name="Normal 38 3 13" xfId="34304" xr:uid="{00000000-0005-0000-0000-00001D4D0000}"/>
    <cellStyle name="Normal 38 3 2" xfId="11614" xr:uid="{00000000-0005-0000-0000-00001E4D0000}"/>
    <cellStyle name="Normal 38 3 2 2" xfId="29762" xr:uid="{00000000-0005-0000-0000-00001F4D0000}"/>
    <cellStyle name="Normal 38 3 2 3" xfId="34404" xr:uid="{00000000-0005-0000-0000-0000204D0000}"/>
    <cellStyle name="Normal 38 3 3" xfId="11752" xr:uid="{00000000-0005-0000-0000-0000214D0000}"/>
    <cellStyle name="Normal 38 3 3 2" xfId="29881" xr:uid="{00000000-0005-0000-0000-0000224D0000}"/>
    <cellStyle name="Normal 38 3 3 3" xfId="34530" xr:uid="{00000000-0005-0000-0000-0000234D0000}"/>
    <cellStyle name="Normal 38 3 4" xfId="11871" xr:uid="{00000000-0005-0000-0000-0000244D0000}"/>
    <cellStyle name="Normal 38 3 4 2" xfId="29999" xr:uid="{00000000-0005-0000-0000-0000254D0000}"/>
    <cellStyle name="Normal 38 3 4 3" xfId="34649" xr:uid="{00000000-0005-0000-0000-0000264D0000}"/>
    <cellStyle name="Normal 38 3 5" xfId="11990" xr:uid="{00000000-0005-0000-0000-0000274D0000}"/>
    <cellStyle name="Normal 38 3 5 2" xfId="30116" xr:uid="{00000000-0005-0000-0000-0000284D0000}"/>
    <cellStyle name="Normal 38 3 5 3" xfId="34768" xr:uid="{00000000-0005-0000-0000-0000294D0000}"/>
    <cellStyle name="Normal 38 3 6" xfId="13499" xr:uid="{00000000-0005-0000-0000-00002A4D0000}"/>
    <cellStyle name="Normal 38 3 6 2" xfId="30611" xr:uid="{00000000-0005-0000-0000-00002B4D0000}"/>
    <cellStyle name="Normal 38 3 6 3" xfId="35273" xr:uid="{00000000-0005-0000-0000-00002C4D0000}"/>
    <cellStyle name="Normal 38 3 7" xfId="13621" xr:uid="{00000000-0005-0000-0000-00002D4D0000}"/>
    <cellStyle name="Normal 38 3 7 2" xfId="30733" xr:uid="{00000000-0005-0000-0000-00002E4D0000}"/>
    <cellStyle name="Normal 38 3 7 3" xfId="35395" xr:uid="{00000000-0005-0000-0000-00002F4D0000}"/>
    <cellStyle name="Normal 38 3 8" xfId="13741" xr:uid="{00000000-0005-0000-0000-0000304D0000}"/>
    <cellStyle name="Normal 38 3 8 2" xfId="30853" xr:uid="{00000000-0005-0000-0000-0000314D0000}"/>
    <cellStyle name="Normal 38 3 8 3" xfId="35515" xr:uid="{00000000-0005-0000-0000-0000324D0000}"/>
    <cellStyle name="Normal 38 3 9" xfId="13862" xr:uid="{00000000-0005-0000-0000-0000334D0000}"/>
    <cellStyle name="Normal 38 3 9 2" xfId="30974" xr:uid="{00000000-0005-0000-0000-0000344D0000}"/>
    <cellStyle name="Normal 38 3 9 3" xfId="35636" xr:uid="{00000000-0005-0000-0000-0000354D0000}"/>
    <cellStyle name="Normal 38 4" xfId="11612" xr:uid="{00000000-0005-0000-0000-0000364D0000}"/>
    <cellStyle name="Normal 38 4 2" xfId="29760" xr:uid="{00000000-0005-0000-0000-0000374D0000}"/>
    <cellStyle name="Normal 38 4 3" xfId="34402" xr:uid="{00000000-0005-0000-0000-0000384D0000}"/>
    <cellStyle name="Normal 38 5" xfId="11750" xr:uid="{00000000-0005-0000-0000-0000394D0000}"/>
    <cellStyle name="Normal 38 5 2" xfId="29879" xr:uid="{00000000-0005-0000-0000-00003A4D0000}"/>
    <cellStyle name="Normal 38 5 3" xfId="34528" xr:uid="{00000000-0005-0000-0000-00003B4D0000}"/>
    <cellStyle name="Normal 38 6" xfId="11869" xr:uid="{00000000-0005-0000-0000-00003C4D0000}"/>
    <cellStyle name="Normal 38 6 2" xfId="29997" xr:uid="{00000000-0005-0000-0000-00003D4D0000}"/>
    <cellStyle name="Normal 38 6 3" xfId="34647" xr:uid="{00000000-0005-0000-0000-00003E4D0000}"/>
    <cellStyle name="Normal 38 7" xfId="11988" xr:uid="{00000000-0005-0000-0000-00003F4D0000}"/>
    <cellStyle name="Normal 38 7 2" xfId="30114" xr:uid="{00000000-0005-0000-0000-0000404D0000}"/>
    <cellStyle name="Normal 38 7 3" xfId="34766" xr:uid="{00000000-0005-0000-0000-0000414D0000}"/>
    <cellStyle name="Normal 38 8" xfId="13497" xr:uid="{00000000-0005-0000-0000-0000424D0000}"/>
    <cellStyle name="Normal 38 8 2" xfId="30609" xr:uid="{00000000-0005-0000-0000-0000434D0000}"/>
    <cellStyle name="Normal 38 8 3" xfId="35271" xr:uid="{00000000-0005-0000-0000-0000444D0000}"/>
    <cellStyle name="Normal 38 9" xfId="13619" xr:uid="{00000000-0005-0000-0000-0000454D0000}"/>
    <cellStyle name="Normal 38 9 2" xfId="30731" xr:uid="{00000000-0005-0000-0000-0000464D0000}"/>
    <cellStyle name="Normal 38 9 3" xfId="35393" xr:uid="{00000000-0005-0000-0000-0000474D0000}"/>
    <cellStyle name="Normal 39" xfId="3741" xr:uid="{00000000-0005-0000-0000-0000484D0000}"/>
    <cellStyle name="Normal 39 10" xfId="13742" xr:uid="{00000000-0005-0000-0000-0000494D0000}"/>
    <cellStyle name="Normal 39 10 2" xfId="30854" xr:uid="{00000000-0005-0000-0000-00004A4D0000}"/>
    <cellStyle name="Normal 39 10 3" xfId="35516" xr:uid="{00000000-0005-0000-0000-00004B4D0000}"/>
    <cellStyle name="Normal 39 11" xfId="13863" xr:uid="{00000000-0005-0000-0000-00004C4D0000}"/>
    <cellStyle name="Normal 39 11 2" xfId="30975" xr:uid="{00000000-0005-0000-0000-00004D4D0000}"/>
    <cellStyle name="Normal 39 11 3" xfId="35637" xr:uid="{00000000-0005-0000-0000-00004E4D0000}"/>
    <cellStyle name="Normal 39 12" xfId="13982" xr:uid="{00000000-0005-0000-0000-00004F4D0000}"/>
    <cellStyle name="Normal 39 12 2" xfId="31094" xr:uid="{00000000-0005-0000-0000-0000504D0000}"/>
    <cellStyle name="Normal 39 12 3" xfId="35756" xr:uid="{00000000-0005-0000-0000-0000514D0000}"/>
    <cellStyle name="Normal 39 13" xfId="11496" xr:uid="{00000000-0005-0000-0000-0000524D0000}"/>
    <cellStyle name="Normal 39 13 2" xfId="34305" xr:uid="{00000000-0005-0000-0000-0000534D0000}"/>
    <cellStyle name="Normal 39 14" xfId="28188" xr:uid="{00000000-0005-0000-0000-0000544D0000}"/>
    <cellStyle name="Normal 39 15" xfId="27869" xr:uid="{00000000-0005-0000-0000-0000554D0000}"/>
    <cellStyle name="Normal 39 2" xfId="11497" xr:uid="{00000000-0005-0000-0000-0000564D0000}"/>
    <cellStyle name="Normal 39 2 10" xfId="13983" xr:uid="{00000000-0005-0000-0000-0000574D0000}"/>
    <cellStyle name="Normal 39 2 10 2" xfId="31095" xr:uid="{00000000-0005-0000-0000-0000584D0000}"/>
    <cellStyle name="Normal 39 2 10 3" xfId="35757" xr:uid="{00000000-0005-0000-0000-0000594D0000}"/>
    <cellStyle name="Normal 39 2 11" xfId="29675" xr:uid="{00000000-0005-0000-0000-00005A4D0000}"/>
    <cellStyle name="Normal 39 2 12" xfId="34306" xr:uid="{00000000-0005-0000-0000-00005B4D0000}"/>
    <cellStyle name="Normal 39 2 13" xfId="27870" xr:uid="{00000000-0005-0000-0000-00005C4D0000}"/>
    <cellStyle name="Normal 39 2 14" xfId="17427" xr:uid="{00000000-0005-0000-0000-00005D4D0000}"/>
    <cellStyle name="Normal 39 2 2" xfId="11616" xr:uid="{00000000-0005-0000-0000-00005E4D0000}"/>
    <cellStyle name="Normal 39 2 2 2" xfId="29764" xr:uid="{00000000-0005-0000-0000-00005F4D0000}"/>
    <cellStyle name="Normal 39 2 2 3" xfId="34406" xr:uid="{00000000-0005-0000-0000-0000604D0000}"/>
    <cellStyle name="Normal 39 2 3" xfId="11754" xr:uid="{00000000-0005-0000-0000-0000614D0000}"/>
    <cellStyle name="Normal 39 2 3 2" xfId="29883" xr:uid="{00000000-0005-0000-0000-0000624D0000}"/>
    <cellStyle name="Normal 39 2 3 3" xfId="34532" xr:uid="{00000000-0005-0000-0000-0000634D0000}"/>
    <cellStyle name="Normal 39 2 4" xfId="11873" xr:uid="{00000000-0005-0000-0000-0000644D0000}"/>
    <cellStyle name="Normal 39 2 4 2" xfId="30001" xr:uid="{00000000-0005-0000-0000-0000654D0000}"/>
    <cellStyle name="Normal 39 2 4 3" xfId="34651" xr:uid="{00000000-0005-0000-0000-0000664D0000}"/>
    <cellStyle name="Normal 39 2 5" xfId="11992" xr:uid="{00000000-0005-0000-0000-0000674D0000}"/>
    <cellStyle name="Normal 39 2 5 2" xfId="30118" xr:uid="{00000000-0005-0000-0000-0000684D0000}"/>
    <cellStyle name="Normal 39 2 5 3" xfId="34770" xr:uid="{00000000-0005-0000-0000-0000694D0000}"/>
    <cellStyle name="Normal 39 2 6" xfId="13501" xr:uid="{00000000-0005-0000-0000-00006A4D0000}"/>
    <cellStyle name="Normal 39 2 6 2" xfId="30613" xr:uid="{00000000-0005-0000-0000-00006B4D0000}"/>
    <cellStyle name="Normal 39 2 6 3" xfId="35275" xr:uid="{00000000-0005-0000-0000-00006C4D0000}"/>
    <cellStyle name="Normal 39 2 7" xfId="13623" xr:uid="{00000000-0005-0000-0000-00006D4D0000}"/>
    <cellStyle name="Normal 39 2 7 2" xfId="30735" xr:uid="{00000000-0005-0000-0000-00006E4D0000}"/>
    <cellStyle name="Normal 39 2 7 3" xfId="35397" xr:uid="{00000000-0005-0000-0000-00006F4D0000}"/>
    <cellStyle name="Normal 39 2 8" xfId="13743" xr:uid="{00000000-0005-0000-0000-0000704D0000}"/>
    <cellStyle name="Normal 39 2 8 2" xfId="30855" xr:uid="{00000000-0005-0000-0000-0000714D0000}"/>
    <cellStyle name="Normal 39 2 8 3" xfId="35517" xr:uid="{00000000-0005-0000-0000-0000724D0000}"/>
    <cellStyle name="Normal 39 2 9" xfId="13864" xr:uid="{00000000-0005-0000-0000-0000734D0000}"/>
    <cellStyle name="Normal 39 2 9 2" xfId="30976" xr:uid="{00000000-0005-0000-0000-0000744D0000}"/>
    <cellStyle name="Normal 39 2 9 3" xfId="35638" xr:uid="{00000000-0005-0000-0000-0000754D0000}"/>
    <cellStyle name="Normal 39 3" xfId="11498" xr:uid="{00000000-0005-0000-0000-0000764D0000}"/>
    <cellStyle name="Normal 39 3 10" xfId="13984" xr:uid="{00000000-0005-0000-0000-0000774D0000}"/>
    <cellStyle name="Normal 39 3 10 2" xfId="31096" xr:uid="{00000000-0005-0000-0000-0000784D0000}"/>
    <cellStyle name="Normal 39 3 10 3" xfId="35758" xr:uid="{00000000-0005-0000-0000-0000794D0000}"/>
    <cellStyle name="Normal 39 3 11" xfId="29676" xr:uid="{00000000-0005-0000-0000-00007A4D0000}"/>
    <cellStyle name="Normal 39 3 12" xfId="34307" xr:uid="{00000000-0005-0000-0000-00007B4D0000}"/>
    <cellStyle name="Normal 39 3 2" xfId="11617" xr:uid="{00000000-0005-0000-0000-00007C4D0000}"/>
    <cellStyle name="Normal 39 3 2 2" xfId="29765" xr:uid="{00000000-0005-0000-0000-00007D4D0000}"/>
    <cellStyle name="Normal 39 3 2 3" xfId="34407" xr:uid="{00000000-0005-0000-0000-00007E4D0000}"/>
    <cellStyle name="Normal 39 3 3" xfId="11755" xr:uid="{00000000-0005-0000-0000-00007F4D0000}"/>
    <cellStyle name="Normal 39 3 3 2" xfId="29884" xr:uid="{00000000-0005-0000-0000-0000804D0000}"/>
    <cellStyle name="Normal 39 3 3 3" xfId="34533" xr:uid="{00000000-0005-0000-0000-0000814D0000}"/>
    <cellStyle name="Normal 39 3 4" xfId="11874" xr:uid="{00000000-0005-0000-0000-0000824D0000}"/>
    <cellStyle name="Normal 39 3 4 2" xfId="30002" xr:uid="{00000000-0005-0000-0000-0000834D0000}"/>
    <cellStyle name="Normal 39 3 4 3" xfId="34652" xr:uid="{00000000-0005-0000-0000-0000844D0000}"/>
    <cellStyle name="Normal 39 3 5" xfId="11993" xr:uid="{00000000-0005-0000-0000-0000854D0000}"/>
    <cellStyle name="Normal 39 3 5 2" xfId="30119" xr:uid="{00000000-0005-0000-0000-0000864D0000}"/>
    <cellStyle name="Normal 39 3 5 3" xfId="34771" xr:uid="{00000000-0005-0000-0000-0000874D0000}"/>
    <cellStyle name="Normal 39 3 6" xfId="13502" xr:uid="{00000000-0005-0000-0000-0000884D0000}"/>
    <cellStyle name="Normal 39 3 6 2" xfId="30614" xr:uid="{00000000-0005-0000-0000-0000894D0000}"/>
    <cellStyle name="Normal 39 3 6 3" xfId="35276" xr:uid="{00000000-0005-0000-0000-00008A4D0000}"/>
    <cellStyle name="Normal 39 3 7" xfId="13624" xr:uid="{00000000-0005-0000-0000-00008B4D0000}"/>
    <cellStyle name="Normal 39 3 7 2" xfId="30736" xr:uid="{00000000-0005-0000-0000-00008C4D0000}"/>
    <cellStyle name="Normal 39 3 7 3" xfId="35398" xr:uid="{00000000-0005-0000-0000-00008D4D0000}"/>
    <cellStyle name="Normal 39 3 8" xfId="13744" xr:uid="{00000000-0005-0000-0000-00008E4D0000}"/>
    <cellStyle name="Normal 39 3 8 2" xfId="30856" xr:uid="{00000000-0005-0000-0000-00008F4D0000}"/>
    <cellStyle name="Normal 39 3 8 3" xfId="35518" xr:uid="{00000000-0005-0000-0000-0000904D0000}"/>
    <cellStyle name="Normal 39 3 9" xfId="13865" xr:uid="{00000000-0005-0000-0000-0000914D0000}"/>
    <cellStyle name="Normal 39 3 9 2" xfId="30977" xr:uid="{00000000-0005-0000-0000-0000924D0000}"/>
    <cellStyle name="Normal 39 3 9 3" xfId="35639" xr:uid="{00000000-0005-0000-0000-0000934D0000}"/>
    <cellStyle name="Normal 39 4" xfId="11615" xr:uid="{00000000-0005-0000-0000-0000944D0000}"/>
    <cellStyle name="Normal 39 4 2" xfId="29763" xr:uid="{00000000-0005-0000-0000-0000954D0000}"/>
    <cellStyle name="Normal 39 4 3" xfId="34405" xr:uid="{00000000-0005-0000-0000-0000964D0000}"/>
    <cellStyle name="Normal 39 5" xfId="11753" xr:uid="{00000000-0005-0000-0000-0000974D0000}"/>
    <cellStyle name="Normal 39 5 2" xfId="29882" xr:uid="{00000000-0005-0000-0000-0000984D0000}"/>
    <cellStyle name="Normal 39 5 3" xfId="34531" xr:uid="{00000000-0005-0000-0000-0000994D0000}"/>
    <cellStyle name="Normal 39 6" xfId="11872" xr:uid="{00000000-0005-0000-0000-00009A4D0000}"/>
    <cellStyle name="Normal 39 6 2" xfId="30000" xr:uid="{00000000-0005-0000-0000-00009B4D0000}"/>
    <cellStyle name="Normal 39 6 3" xfId="34650" xr:uid="{00000000-0005-0000-0000-00009C4D0000}"/>
    <cellStyle name="Normal 39 7" xfId="11991" xr:uid="{00000000-0005-0000-0000-00009D4D0000}"/>
    <cellStyle name="Normal 39 7 2" xfId="30117" xr:uid="{00000000-0005-0000-0000-00009E4D0000}"/>
    <cellStyle name="Normal 39 7 3" xfId="34769" xr:uid="{00000000-0005-0000-0000-00009F4D0000}"/>
    <cellStyle name="Normal 39 8" xfId="13500" xr:uid="{00000000-0005-0000-0000-0000A04D0000}"/>
    <cellStyle name="Normal 39 8 2" xfId="30612" xr:uid="{00000000-0005-0000-0000-0000A14D0000}"/>
    <cellStyle name="Normal 39 8 3" xfId="35274" xr:uid="{00000000-0005-0000-0000-0000A24D0000}"/>
    <cellStyle name="Normal 39 9" xfId="13622" xr:uid="{00000000-0005-0000-0000-0000A34D0000}"/>
    <cellStyle name="Normal 39 9 2" xfId="30734" xr:uid="{00000000-0005-0000-0000-0000A44D0000}"/>
    <cellStyle name="Normal 39 9 3" xfId="35396" xr:uid="{00000000-0005-0000-0000-0000A54D0000}"/>
    <cellStyle name="Normal 4" xfId="4" xr:uid="{00000000-0005-0000-0000-0000A64D0000}"/>
    <cellStyle name="Normal 4 10" xfId="2836" xr:uid="{00000000-0005-0000-0000-0000A74D0000}"/>
    <cellStyle name="Normal 4 11" xfId="2837" xr:uid="{00000000-0005-0000-0000-0000A84D0000}"/>
    <cellStyle name="Normal 4 11 2" xfId="3469" xr:uid="{00000000-0005-0000-0000-0000A94D0000}"/>
    <cellStyle name="Normal 4 11 2 2" xfId="9973" xr:uid="{00000000-0005-0000-0000-0000AA4D0000}"/>
    <cellStyle name="Normal 4 11 2 2 2" xfId="28893" xr:uid="{00000000-0005-0000-0000-0000AB4D0000}"/>
    <cellStyle name="Normal 4 11 2 3" xfId="10317" xr:uid="{00000000-0005-0000-0000-0000AC4D0000}"/>
    <cellStyle name="Normal 4 11 2 3 2" xfId="10511" xr:uid="{00000000-0005-0000-0000-0000AD4D0000}"/>
    <cellStyle name="Normal 4 11 2 4" xfId="9972" xr:uid="{00000000-0005-0000-0000-0000AE4D0000}"/>
    <cellStyle name="Normal 4 11 2 5" xfId="14380" xr:uid="{00000000-0005-0000-0000-0000AF4D0000}"/>
    <cellStyle name="Normal 4 11 2 5 2" xfId="35921" xr:uid="{00000000-0005-0000-0000-0000B04D0000}"/>
    <cellStyle name="Normal 4 11 3" xfId="12808" xr:uid="{00000000-0005-0000-0000-0000B14D0000}"/>
    <cellStyle name="Normal 4 12" xfId="2838" xr:uid="{00000000-0005-0000-0000-0000B24D0000}"/>
    <cellStyle name="Normal 4 13" xfId="2839" xr:uid="{00000000-0005-0000-0000-0000B34D0000}"/>
    <cellStyle name="Normal 4 13 2" xfId="12809" xr:uid="{00000000-0005-0000-0000-0000B44D0000}"/>
    <cellStyle name="Normal 4 13 2 2" xfId="39856" xr:uid="{00000000-0005-0000-0000-0000940C0000}"/>
    <cellStyle name="Normal 4 13 3" xfId="39855" xr:uid="{00000000-0005-0000-0000-0000950C0000}"/>
    <cellStyle name="Normal 4 14" xfId="2840" xr:uid="{00000000-0005-0000-0000-0000B54D0000}"/>
    <cellStyle name="Normal 4 15" xfId="2841" xr:uid="{00000000-0005-0000-0000-0000B64D0000}"/>
    <cellStyle name="Normal 4 16" xfId="2842" xr:uid="{00000000-0005-0000-0000-0000B74D0000}"/>
    <cellStyle name="Normal 4 17" xfId="2843" xr:uid="{00000000-0005-0000-0000-0000B84D0000}"/>
    <cellStyle name="Normal 4 18" xfId="2844" xr:uid="{00000000-0005-0000-0000-0000B94D0000}"/>
    <cellStyle name="Normal 4 19" xfId="2845" xr:uid="{00000000-0005-0000-0000-0000BA4D0000}"/>
    <cellStyle name="Normal 4 19 2" xfId="2846" xr:uid="{00000000-0005-0000-0000-0000BB4D0000}"/>
    <cellStyle name="Normal 4 19 3" xfId="3470" xr:uid="{00000000-0005-0000-0000-0000BC4D0000}"/>
    <cellStyle name="Normal 4 19 3 2" xfId="9975" xr:uid="{00000000-0005-0000-0000-0000BD4D0000}"/>
    <cellStyle name="Normal 4 19 3 2 2" xfId="28894" xr:uid="{00000000-0005-0000-0000-0000BE4D0000}"/>
    <cellStyle name="Normal 4 19 3 3" xfId="10318" xr:uid="{00000000-0005-0000-0000-0000BF4D0000}"/>
    <cellStyle name="Normal 4 19 3 3 2" xfId="10512" xr:uid="{00000000-0005-0000-0000-0000C04D0000}"/>
    <cellStyle name="Normal 4 19 3 4" xfId="9974" xr:uid="{00000000-0005-0000-0000-0000C14D0000}"/>
    <cellStyle name="Normal 4 19 3 5" xfId="14381" xr:uid="{00000000-0005-0000-0000-0000C24D0000}"/>
    <cellStyle name="Normal 4 19 3 5 2" xfId="35922" xr:uid="{00000000-0005-0000-0000-0000C34D0000}"/>
    <cellStyle name="Normal 4 2" xfId="2847" xr:uid="{00000000-0005-0000-0000-0000C44D0000}"/>
    <cellStyle name="Normal 4 2 10" xfId="11876" xr:uid="{00000000-0005-0000-0000-0000C54D0000}"/>
    <cellStyle name="Normal 4 2 10 2" xfId="30004" xr:uid="{00000000-0005-0000-0000-0000C64D0000}"/>
    <cellStyle name="Normal 4 2 10 3" xfId="34654" xr:uid="{00000000-0005-0000-0000-0000C74D0000}"/>
    <cellStyle name="Normal 4 2 10 4" xfId="39857" xr:uid="{00000000-0005-0000-0000-0000970C0000}"/>
    <cellStyle name="Normal 4 2 11" xfId="11995" xr:uid="{00000000-0005-0000-0000-0000C84D0000}"/>
    <cellStyle name="Normal 4 2 11 2" xfId="30121" xr:uid="{00000000-0005-0000-0000-0000C94D0000}"/>
    <cellStyle name="Normal 4 2 11 3" xfId="34773" xr:uid="{00000000-0005-0000-0000-0000CA4D0000}"/>
    <cellStyle name="Normal 4 2 12" xfId="12810" xr:uid="{00000000-0005-0000-0000-0000CB4D0000}"/>
    <cellStyle name="Normal 4 2 13" xfId="13504" xr:uid="{00000000-0005-0000-0000-0000CC4D0000}"/>
    <cellStyle name="Normal 4 2 13 2" xfId="30616" xr:uid="{00000000-0005-0000-0000-0000CD4D0000}"/>
    <cellStyle name="Normal 4 2 13 3" xfId="35278" xr:uid="{00000000-0005-0000-0000-0000CE4D0000}"/>
    <cellStyle name="Normal 4 2 14" xfId="13626" xr:uid="{00000000-0005-0000-0000-0000CF4D0000}"/>
    <cellStyle name="Normal 4 2 14 2" xfId="30738" xr:uid="{00000000-0005-0000-0000-0000D04D0000}"/>
    <cellStyle name="Normal 4 2 14 3" xfId="35400" xr:uid="{00000000-0005-0000-0000-0000D14D0000}"/>
    <cellStyle name="Normal 4 2 15" xfId="13746" xr:uid="{00000000-0005-0000-0000-0000D24D0000}"/>
    <cellStyle name="Normal 4 2 15 2" xfId="30858" xr:uid="{00000000-0005-0000-0000-0000D34D0000}"/>
    <cellStyle name="Normal 4 2 15 3" xfId="35520" xr:uid="{00000000-0005-0000-0000-0000D44D0000}"/>
    <cellStyle name="Normal 4 2 16" xfId="13867" xr:uid="{00000000-0005-0000-0000-0000D54D0000}"/>
    <cellStyle name="Normal 4 2 16 2" xfId="30979" xr:uid="{00000000-0005-0000-0000-0000D64D0000}"/>
    <cellStyle name="Normal 4 2 16 3" xfId="35641" xr:uid="{00000000-0005-0000-0000-0000D74D0000}"/>
    <cellStyle name="Normal 4 2 17" xfId="13986" xr:uid="{00000000-0005-0000-0000-0000D84D0000}"/>
    <cellStyle name="Normal 4 2 17 2" xfId="31098" xr:uid="{00000000-0005-0000-0000-0000D94D0000}"/>
    <cellStyle name="Normal 4 2 17 3" xfId="35760" xr:uid="{00000000-0005-0000-0000-0000DA4D0000}"/>
    <cellStyle name="Normal 4 2 18" xfId="14019" xr:uid="{00000000-0005-0000-0000-0000DB4D0000}"/>
    <cellStyle name="Normal 4 2 18 2" xfId="31131" xr:uid="{00000000-0005-0000-0000-0000DC4D0000}"/>
    <cellStyle name="Normal 4 2 18 3" xfId="35793" xr:uid="{00000000-0005-0000-0000-0000DD4D0000}"/>
    <cellStyle name="Normal 4 2 19" xfId="9976" xr:uid="{00000000-0005-0000-0000-0000DE4D0000}"/>
    <cellStyle name="Normal 4 2 19 2" xfId="31137" xr:uid="{00000000-0005-0000-0000-0000DF4D0000}"/>
    <cellStyle name="Normal 4 2 19 3" xfId="33329" xr:uid="{00000000-0005-0000-0000-0000E04D0000}"/>
    <cellStyle name="Normal 4 2 2" xfId="2848" xr:uid="{00000000-0005-0000-0000-0000E14D0000}"/>
    <cellStyle name="Normal 4 2 2 10" xfId="12812" xr:uid="{00000000-0005-0000-0000-0000E24D0000}"/>
    <cellStyle name="Normal 4 2 2 10 2" xfId="30456" xr:uid="{00000000-0005-0000-0000-0000E34D0000}"/>
    <cellStyle name="Normal 4 2 2 10 3" xfId="35115" xr:uid="{00000000-0005-0000-0000-0000E44D0000}"/>
    <cellStyle name="Normal 4 2 2 11" xfId="12813" xr:uid="{00000000-0005-0000-0000-0000E54D0000}"/>
    <cellStyle name="Normal 4 2 2 11 2" xfId="30457" xr:uid="{00000000-0005-0000-0000-0000E64D0000}"/>
    <cellStyle name="Normal 4 2 2 11 3" xfId="35116" xr:uid="{00000000-0005-0000-0000-0000E74D0000}"/>
    <cellStyle name="Normal 4 2 2 12" xfId="12814" xr:uid="{00000000-0005-0000-0000-0000E84D0000}"/>
    <cellStyle name="Normal 4 2 2 12 2" xfId="30458" xr:uid="{00000000-0005-0000-0000-0000E94D0000}"/>
    <cellStyle name="Normal 4 2 2 12 3" xfId="35117" xr:uid="{00000000-0005-0000-0000-0000EA4D0000}"/>
    <cellStyle name="Normal 4 2 2 13" xfId="12815" xr:uid="{00000000-0005-0000-0000-0000EB4D0000}"/>
    <cellStyle name="Normal 4 2 2 13 2" xfId="30459" xr:uid="{00000000-0005-0000-0000-0000EC4D0000}"/>
    <cellStyle name="Normal 4 2 2 13 3" xfId="35118" xr:uid="{00000000-0005-0000-0000-0000ED4D0000}"/>
    <cellStyle name="Normal 4 2 2 14" xfId="12811" xr:uid="{00000000-0005-0000-0000-0000EE4D0000}"/>
    <cellStyle name="Normal 4 2 2 15" xfId="14096" xr:uid="{00000000-0005-0000-0000-0000EF4D0000}"/>
    <cellStyle name="Normal 4 2 2 16" xfId="14333" xr:uid="{00000000-0005-0000-0000-0000F04D0000}"/>
    <cellStyle name="Normal 4 2 2 2" xfId="3472" xr:uid="{00000000-0005-0000-0000-0000F14D0000}"/>
    <cellStyle name="Normal 4 2 2 2 10" xfId="12817" xr:uid="{00000000-0005-0000-0000-0000F24D0000}"/>
    <cellStyle name="Normal 4 2 2 2 11" xfId="12818" xr:uid="{00000000-0005-0000-0000-0000F34D0000}"/>
    <cellStyle name="Normal 4 2 2 2 12" xfId="12819" xr:uid="{00000000-0005-0000-0000-0000F44D0000}"/>
    <cellStyle name="Normal 4 2 2 2 13" xfId="12820" xr:uid="{00000000-0005-0000-0000-0000F54D0000}"/>
    <cellStyle name="Normal 4 2 2 2 14" xfId="12816" xr:uid="{00000000-0005-0000-0000-0000F64D0000}"/>
    <cellStyle name="Normal 4 2 2 2 14 2" xfId="30460" xr:uid="{00000000-0005-0000-0000-0000F74D0000}"/>
    <cellStyle name="Normal 4 2 2 2 14 3" xfId="35119" xr:uid="{00000000-0005-0000-0000-0000F84D0000}"/>
    <cellStyle name="Normal 4 2 2 2 15" xfId="9977" xr:uid="{00000000-0005-0000-0000-0000F94D0000}"/>
    <cellStyle name="Normal 4 2 2 2 16" xfId="14382" xr:uid="{00000000-0005-0000-0000-0000FA4D0000}"/>
    <cellStyle name="Normal 4 2 2 2 16 2" xfId="35923" xr:uid="{00000000-0005-0000-0000-0000FB4D0000}"/>
    <cellStyle name="Normal 4 2 2 2 2" xfId="9978" xr:uid="{00000000-0005-0000-0000-0000FC4D0000}"/>
    <cellStyle name="Normal 4 2 2 2 2 2" xfId="12821" xr:uid="{00000000-0005-0000-0000-0000FD4D0000}"/>
    <cellStyle name="Normal 4 2 2 2 2 2 2" xfId="30461" xr:uid="{00000000-0005-0000-0000-0000FE4D0000}"/>
    <cellStyle name="Normal 4 2 2 2 2 2 3" xfId="28895" xr:uid="{00000000-0005-0000-0000-0000FF4D0000}"/>
    <cellStyle name="Normal 4 2 2 2 3" xfId="10319" xr:uid="{00000000-0005-0000-0000-0000004E0000}"/>
    <cellStyle name="Normal 4 2 2 2 3 2" xfId="10513" xr:uid="{00000000-0005-0000-0000-0000014E0000}"/>
    <cellStyle name="Normal 4 2 2 2 3 2 2" xfId="12822" xr:uid="{00000000-0005-0000-0000-0000024E0000}"/>
    <cellStyle name="Normal 4 2 2 2 3 2 3" xfId="29273" xr:uid="{00000000-0005-0000-0000-0000034E0000}"/>
    <cellStyle name="Normal 4 2 2 2 4" xfId="12823" xr:uid="{00000000-0005-0000-0000-0000044E0000}"/>
    <cellStyle name="Normal 4 2 2 2 5" xfId="12824" xr:uid="{00000000-0005-0000-0000-0000054E0000}"/>
    <cellStyle name="Normal 4 2 2 2 6" xfId="12825" xr:uid="{00000000-0005-0000-0000-0000064E0000}"/>
    <cellStyle name="Normal 4 2 2 2 7" xfId="12826" xr:uid="{00000000-0005-0000-0000-0000074E0000}"/>
    <cellStyle name="Normal 4 2 2 2 8" xfId="12827" xr:uid="{00000000-0005-0000-0000-0000084E0000}"/>
    <cellStyle name="Normal 4 2 2 2 9" xfId="12828" xr:uid="{00000000-0005-0000-0000-0000094E0000}"/>
    <cellStyle name="Normal 4 2 2 3" xfId="12829" xr:uid="{00000000-0005-0000-0000-00000A4E0000}"/>
    <cellStyle name="Normal 4 2 2 3 2" xfId="30462" xr:uid="{00000000-0005-0000-0000-00000B4E0000}"/>
    <cellStyle name="Normal 4 2 2 3 3" xfId="35120" xr:uid="{00000000-0005-0000-0000-00000C4E0000}"/>
    <cellStyle name="Normal 4 2 2 4" xfId="12830" xr:uid="{00000000-0005-0000-0000-00000D4E0000}"/>
    <cellStyle name="Normal 4 2 2 4 2" xfId="30463" xr:uid="{00000000-0005-0000-0000-00000E4E0000}"/>
    <cellStyle name="Normal 4 2 2 4 3" xfId="35121" xr:uid="{00000000-0005-0000-0000-00000F4E0000}"/>
    <cellStyle name="Normal 4 2 2 5" xfId="12831" xr:uid="{00000000-0005-0000-0000-0000104E0000}"/>
    <cellStyle name="Normal 4 2 2 5 2" xfId="30464" xr:uid="{00000000-0005-0000-0000-0000114E0000}"/>
    <cellStyle name="Normal 4 2 2 5 3" xfId="35122" xr:uid="{00000000-0005-0000-0000-0000124E0000}"/>
    <cellStyle name="Normal 4 2 2 6" xfId="12832" xr:uid="{00000000-0005-0000-0000-0000134E0000}"/>
    <cellStyle name="Normal 4 2 2 6 2" xfId="30465" xr:uid="{00000000-0005-0000-0000-0000144E0000}"/>
    <cellStyle name="Normal 4 2 2 6 3" xfId="35123" xr:uid="{00000000-0005-0000-0000-0000154E0000}"/>
    <cellStyle name="Normal 4 2 2 7" xfId="12833" xr:uid="{00000000-0005-0000-0000-0000164E0000}"/>
    <cellStyle name="Normal 4 2 2 7 2" xfId="30466" xr:uid="{00000000-0005-0000-0000-0000174E0000}"/>
    <cellStyle name="Normal 4 2 2 7 3" xfId="35124" xr:uid="{00000000-0005-0000-0000-0000184E0000}"/>
    <cellStyle name="Normal 4 2 2 8" xfId="12834" xr:uid="{00000000-0005-0000-0000-0000194E0000}"/>
    <cellStyle name="Normal 4 2 2 8 2" xfId="30467" xr:uid="{00000000-0005-0000-0000-00001A4E0000}"/>
    <cellStyle name="Normal 4 2 2 8 3" xfId="35125" xr:uid="{00000000-0005-0000-0000-00001B4E0000}"/>
    <cellStyle name="Normal 4 2 2 9" xfId="12835" xr:uid="{00000000-0005-0000-0000-00001C4E0000}"/>
    <cellStyle name="Normal 4 2 2 9 2" xfId="30468" xr:uid="{00000000-0005-0000-0000-00001D4E0000}"/>
    <cellStyle name="Normal 4 2 2 9 3" xfId="35126" xr:uid="{00000000-0005-0000-0000-00001E4E0000}"/>
    <cellStyle name="Normal 4 2 20" xfId="14332" xr:uid="{00000000-0005-0000-0000-00001F4E0000}"/>
    <cellStyle name="Normal 4 2 20 2" xfId="35900" xr:uid="{00000000-0005-0000-0000-0000204E0000}"/>
    <cellStyle name="Normal 4 2 21" xfId="31299" xr:uid="{00000000-0005-0000-0000-0000214E0000}"/>
    <cellStyle name="Normal 4 2 3" xfId="2849" xr:uid="{00000000-0005-0000-0000-0000224E0000}"/>
    <cellStyle name="Normal 4 2 3 2" xfId="3473" xr:uid="{00000000-0005-0000-0000-0000234E0000}"/>
    <cellStyle name="Normal 4 2 3 2 2" xfId="9980" xr:uid="{00000000-0005-0000-0000-0000244E0000}"/>
    <cellStyle name="Normal 4 2 3 2 2 2" xfId="14334" xr:uid="{00000000-0005-0000-0000-0000254E0000}"/>
    <cellStyle name="Normal 4 2 3 2 2 2 2" xfId="35901" xr:uid="{00000000-0005-0000-0000-0000264E0000}"/>
    <cellStyle name="Normal 4 2 3 2 2 2 3" xfId="28896" xr:uid="{00000000-0005-0000-0000-0000274E0000}"/>
    <cellStyle name="Normal 4 2 3 2 3" xfId="10320" xr:uid="{00000000-0005-0000-0000-0000284E0000}"/>
    <cellStyle name="Normal 4 2 3 2 3 2" xfId="10514" xr:uid="{00000000-0005-0000-0000-0000294E0000}"/>
    <cellStyle name="Normal 4 2 3 2 4" xfId="14117" xr:uid="{00000000-0005-0000-0000-00002A4E0000}"/>
    <cellStyle name="Normal 4 2 3 2 5" xfId="9979" xr:uid="{00000000-0005-0000-0000-00002B4E0000}"/>
    <cellStyle name="Normal 4 2 3 2 6" xfId="14383" xr:uid="{00000000-0005-0000-0000-00002C4E0000}"/>
    <cellStyle name="Normal 4 2 3 2 6 2" xfId="35924" xr:uid="{00000000-0005-0000-0000-00002D4E0000}"/>
    <cellStyle name="Normal 4 2 3 3" xfId="12836" xr:uid="{00000000-0005-0000-0000-00002E4E0000}"/>
    <cellStyle name="Normal 4 2 3 3 2" xfId="39858" xr:uid="{00000000-0005-0000-0000-0000B30C0000}"/>
    <cellStyle name="Normal 4 2 4" xfId="2850" xr:uid="{00000000-0005-0000-0000-00002F4E0000}"/>
    <cellStyle name="Normal 4 2 4 2" xfId="3474" xr:uid="{00000000-0005-0000-0000-0000304E0000}"/>
    <cellStyle name="Normal 4 2 4 2 2" xfId="11173" xr:uid="{00000000-0005-0000-0000-0000314E0000}"/>
    <cellStyle name="Normal 4 2 4 2 2 2" xfId="28516" xr:uid="{00000000-0005-0000-0000-0000324E0000}"/>
    <cellStyle name="Normal 4 2 4 2 2 3" xfId="33990" xr:uid="{00000000-0005-0000-0000-0000334E0000}"/>
    <cellStyle name="Normal 4 2 4 2 2 4" xfId="27763" xr:uid="{00000000-0005-0000-0000-0000344E0000}"/>
    <cellStyle name="Normal 4 2 4 2 2 5" xfId="17220" xr:uid="{00000000-0005-0000-0000-0000354E0000}"/>
    <cellStyle name="Normal 4 2 4 2 3" xfId="9981" xr:uid="{00000000-0005-0000-0000-0000364E0000}"/>
    <cellStyle name="Normal 4 2 4 2 3 2" xfId="33330" xr:uid="{00000000-0005-0000-0000-0000374E0000}"/>
    <cellStyle name="Normal 4 2 4 2 3 3" xfId="28229" xr:uid="{00000000-0005-0000-0000-0000384E0000}"/>
    <cellStyle name="Normal 4 2 4 2 4" xfId="14384" xr:uid="{00000000-0005-0000-0000-0000394E0000}"/>
    <cellStyle name="Normal 4 2 4 2 4 2" xfId="35925" xr:uid="{00000000-0005-0000-0000-00003A4E0000}"/>
    <cellStyle name="Normal 4 2 4 2 5" xfId="27391" xr:uid="{00000000-0005-0000-0000-00003B4E0000}"/>
    <cellStyle name="Normal 4 2 4 3" xfId="12837" xr:uid="{00000000-0005-0000-0000-00003C4E0000}"/>
    <cellStyle name="Normal 4 2 5" xfId="3471" xr:uid="{00000000-0005-0000-0000-00003D4E0000}"/>
    <cellStyle name="Normal 4 2 5 2" xfId="9983" xr:uid="{00000000-0005-0000-0000-00003E4E0000}"/>
    <cellStyle name="Normal 4 2 5 2 2" xfId="28897" xr:uid="{00000000-0005-0000-0000-00003F4E0000}"/>
    <cellStyle name="Normal 4 2 5 2 3" xfId="28518" xr:uid="{00000000-0005-0000-0000-0000404E0000}"/>
    <cellStyle name="Normal 4 2 5 2 4" xfId="28422" xr:uid="{00000000-0005-0000-0000-0000414E0000}"/>
    <cellStyle name="Normal 4 2 5 3" xfId="10321" xr:uid="{00000000-0005-0000-0000-0000424E0000}"/>
    <cellStyle name="Normal 4 2 5 3 2" xfId="10515" xr:uid="{00000000-0005-0000-0000-0000434E0000}"/>
    <cellStyle name="Normal 4 2 5 4" xfId="12838" xr:uid="{00000000-0005-0000-0000-0000444E0000}"/>
    <cellStyle name="Normal 4 2 5 4 2" xfId="30469" xr:uid="{00000000-0005-0000-0000-0000454E0000}"/>
    <cellStyle name="Normal 4 2 5 4 3" xfId="28517" xr:uid="{00000000-0005-0000-0000-0000464E0000}"/>
    <cellStyle name="Normal 4 2 5 5" xfId="9982" xr:uid="{00000000-0005-0000-0000-0000474E0000}"/>
    <cellStyle name="Normal 4 2 5 5 2" xfId="33331" xr:uid="{00000000-0005-0000-0000-0000484E0000}"/>
    <cellStyle name="Normal 4 2 5 5 3" xfId="28230" xr:uid="{00000000-0005-0000-0000-0000494E0000}"/>
    <cellStyle name="Normal 4 2 5 6" xfId="31529" xr:uid="{00000000-0005-0000-0000-00004A4E0000}"/>
    <cellStyle name="Normal 4 2 5 7" xfId="27392" xr:uid="{00000000-0005-0000-0000-00004B4E0000}"/>
    <cellStyle name="Normal 4 2 6" xfId="9984" xr:uid="{00000000-0005-0000-0000-00004C4E0000}"/>
    <cellStyle name="Normal 4 2 6 2" xfId="12839" xr:uid="{00000000-0005-0000-0000-00004D4E0000}"/>
    <cellStyle name="Normal 4 2 6 2 2" xfId="30470" xr:uid="{00000000-0005-0000-0000-00004E4E0000}"/>
    <cellStyle name="Normal 4 2 6 2 3" xfId="29228" xr:uid="{00000000-0005-0000-0000-00004F4E0000}"/>
    <cellStyle name="Normal 4 2 6 3" xfId="28395" xr:uid="{00000000-0005-0000-0000-0000504E0000}"/>
    <cellStyle name="Normal 4 2 7" xfId="11172" xr:uid="{00000000-0005-0000-0000-0000514E0000}"/>
    <cellStyle name="Normal 4 2 7 2" xfId="12840" xr:uid="{00000000-0005-0000-0000-0000524E0000}"/>
    <cellStyle name="Normal 4 2 7 3" xfId="29554" xr:uid="{00000000-0005-0000-0000-0000534E0000}"/>
    <cellStyle name="Normal 4 2 7 4" xfId="33989" xr:uid="{00000000-0005-0000-0000-0000544E0000}"/>
    <cellStyle name="Normal 4 2 8" xfId="11619" xr:uid="{00000000-0005-0000-0000-0000554E0000}"/>
    <cellStyle name="Normal 4 2 8 2" xfId="12841" xr:uid="{00000000-0005-0000-0000-0000564E0000}"/>
    <cellStyle name="Normal 4 2 8 3" xfId="29767" xr:uid="{00000000-0005-0000-0000-0000574E0000}"/>
    <cellStyle name="Normal 4 2 8 4" xfId="34409" xr:uid="{00000000-0005-0000-0000-0000584E0000}"/>
    <cellStyle name="Normal 4 2 9" xfId="11757" xr:uid="{00000000-0005-0000-0000-0000594E0000}"/>
    <cellStyle name="Normal 4 2 9 2" xfId="29886" xr:uid="{00000000-0005-0000-0000-00005A4E0000}"/>
    <cellStyle name="Normal 4 2 9 3" xfId="34535" xr:uid="{00000000-0005-0000-0000-00005B4E0000}"/>
    <cellStyle name="Normal 4 2 9 4" xfId="39859" xr:uid="{00000000-0005-0000-0000-0000B90C0000}"/>
    <cellStyle name="Normal 4 2_Scen_XBase" xfId="39860" xr:uid="{00000000-0005-0000-0000-0000BA0C0000}"/>
    <cellStyle name="Normal 4 20" xfId="2851" xr:uid="{00000000-0005-0000-0000-00005C4E0000}"/>
    <cellStyle name="Normal 4 20 2" xfId="2852" xr:uid="{00000000-0005-0000-0000-00005D4E0000}"/>
    <cellStyle name="Normal 4 20 3" xfId="3475" xr:uid="{00000000-0005-0000-0000-00005E4E0000}"/>
    <cellStyle name="Normal 4 20 3 2" xfId="9986" xr:uid="{00000000-0005-0000-0000-00005F4E0000}"/>
    <cellStyle name="Normal 4 20 3 2 2" xfId="28898" xr:uid="{00000000-0005-0000-0000-0000604E0000}"/>
    <cellStyle name="Normal 4 20 3 3" xfId="10322" xr:uid="{00000000-0005-0000-0000-0000614E0000}"/>
    <cellStyle name="Normal 4 20 3 3 2" xfId="10516" xr:uid="{00000000-0005-0000-0000-0000624E0000}"/>
    <cellStyle name="Normal 4 20 3 4" xfId="9985" xr:uid="{00000000-0005-0000-0000-0000634E0000}"/>
    <cellStyle name="Normal 4 20 3 5" xfId="14385" xr:uid="{00000000-0005-0000-0000-0000644E0000}"/>
    <cellStyle name="Normal 4 20 3 5 2" xfId="35926" xr:uid="{00000000-0005-0000-0000-0000654E0000}"/>
    <cellStyle name="Normal 4 21" xfId="2853" xr:uid="{00000000-0005-0000-0000-0000664E0000}"/>
    <cellStyle name="Normal 4 22" xfId="2854" xr:uid="{00000000-0005-0000-0000-0000674E0000}"/>
    <cellStyle name="Normal 4 23" xfId="2855" xr:uid="{00000000-0005-0000-0000-0000684E0000}"/>
    <cellStyle name="Normal 4 24" xfId="2856" xr:uid="{00000000-0005-0000-0000-0000694E0000}"/>
    <cellStyle name="Normal 4 25" xfId="2857" xr:uid="{00000000-0005-0000-0000-00006A4E0000}"/>
    <cellStyle name="Normal 4 26" xfId="9987" xr:uid="{00000000-0005-0000-0000-00006B4E0000}"/>
    <cellStyle name="Normal 4 27" xfId="11455" xr:uid="{00000000-0005-0000-0000-00006C4E0000}"/>
    <cellStyle name="Normal 4 27 2" xfId="12023" xr:uid="{00000000-0005-0000-0000-00006D4E0000}"/>
    <cellStyle name="Normal 4 27 2 2" xfId="30149" xr:uid="{00000000-0005-0000-0000-00006E4E0000}"/>
    <cellStyle name="Normal 4 27 2 3" xfId="34801" xr:uid="{00000000-0005-0000-0000-00006F4E0000}"/>
    <cellStyle name="Normal 4 27 3" xfId="29651" xr:uid="{00000000-0005-0000-0000-0000704E0000}"/>
    <cellStyle name="Normal 4 27 4" xfId="34272" xr:uid="{00000000-0005-0000-0000-0000714E0000}"/>
    <cellStyle name="Normal 4 28" xfId="11618" xr:uid="{00000000-0005-0000-0000-0000724E0000}"/>
    <cellStyle name="Normal 4 28 2" xfId="29766" xr:uid="{00000000-0005-0000-0000-0000734E0000}"/>
    <cellStyle name="Normal 4 28 3" xfId="34408" xr:uid="{00000000-0005-0000-0000-0000744E0000}"/>
    <cellStyle name="Normal 4 29" xfId="11756" xr:uid="{00000000-0005-0000-0000-0000754E0000}"/>
    <cellStyle name="Normal 4 29 2" xfId="29885" xr:uid="{00000000-0005-0000-0000-0000764E0000}"/>
    <cellStyle name="Normal 4 29 3" xfId="34534" xr:uid="{00000000-0005-0000-0000-0000774E0000}"/>
    <cellStyle name="Normal 4 3" xfId="2858" xr:uid="{00000000-0005-0000-0000-0000784E0000}"/>
    <cellStyle name="Normal 4 3 10" xfId="13627" xr:uid="{00000000-0005-0000-0000-0000794E0000}"/>
    <cellStyle name="Normal 4 3 10 2" xfId="30739" xr:uid="{00000000-0005-0000-0000-00007A4E0000}"/>
    <cellStyle name="Normal 4 3 10 3" xfId="35401" xr:uid="{00000000-0005-0000-0000-00007B4E0000}"/>
    <cellStyle name="Normal 4 3 11" xfId="13747" xr:uid="{00000000-0005-0000-0000-00007C4E0000}"/>
    <cellStyle name="Normal 4 3 11 2" xfId="30859" xr:uid="{00000000-0005-0000-0000-00007D4E0000}"/>
    <cellStyle name="Normal 4 3 11 3" xfId="35521" xr:uid="{00000000-0005-0000-0000-00007E4E0000}"/>
    <cellStyle name="Normal 4 3 12" xfId="13868" xr:uid="{00000000-0005-0000-0000-00007F4E0000}"/>
    <cellStyle name="Normal 4 3 12 2" xfId="30980" xr:uid="{00000000-0005-0000-0000-0000804E0000}"/>
    <cellStyle name="Normal 4 3 12 3" xfId="35642" xr:uid="{00000000-0005-0000-0000-0000814E0000}"/>
    <cellStyle name="Normal 4 3 13" xfId="13987" xr:uid="{00000000-0005-0000-0000-0000824E0000}"/>
    <cellStyle name="Normal 4 3 13 2" xfId="31099" xr:uid="{00000000-0005-0000-0000-0000834E0000}"/>
    <cellStyle name="Normal 4 3 13 3" xfId="35761" xr:uid="{00000000-0005-0000-0000-0000844E0000}"/>
    <cellStyle name="Normal 4 3 2" xfId="9988" xr:uid="{00000000-0005-0000-0000-0000854E0000}"/>
    <cellStyle name="Normal 4 3 2 2" xfId="12842" xr:uid="{00000000-0005-0000-0000-0000864E0000}"/>
    <cellStyle name="Normal 4 3 3" xfId="9989" xr:uid="{00000000-0005-0000-0000-0000874E0000}"/>
    <cellStyle name="Normal 4 3 3 2" xfId="11174" xr:uid="{00000000-0005-0000-0000-0000884E0000}"/>
    <cellStyle name="Normal 4 3 3 2 2" xfId="29555" xr:uid="{00000000-0005-0000-0000-0000894E0000}"/>
    <cellStyle name="Normal 4 3 3 2 3" xfId="33991" xr:uid="{00000000-0005-0000-0000-00008A4E0000}"/>
    <cellStyle name="Normal 4 3 3 3" xfId="12843" xr:uid="{00000000-0005-0000-0000-00008B4E0000}"/>
    <cellStyle name="Normal 4 3 3 4" xfId="29229" xr:uid="{00000000-0005-0000-0000-00008C4E0000}"/>
    <cellStyle name="Normal 4 3 3 5" xfId="33332" xr:uid="{00000000-0005-0000-0000-00008D4E0000}"/>
    <cellStyle name="Normal 4 3 4" xfId="11620" xr:uid="{00000000-0005-0000-0000-00008E4E0000}"/>
    <cellStyle name="Normal 4 3 4 2" xfId="12844" xr:uid="{00000000-0005-0000-0000-00008F4E0000}"/>
    <cellStyle name="Normal 4 3 4 3" xfId="29768" xr:uid="{00000000-0005-0000-0000-0000904E0000}"/>
    <cellStyle name="Normal 4 3 4 4" xfId="34410" xr:uid="{00000000-0005-0000-0000-0000914E0000}"/>
    <cellStyle name="Normal 4 3 5" xfId="11758" xr:uid="{00000000-0005-0000-0000-0000924E0000}"/>
    <cellStyle name="Normal 4 3 5 2" xfId="12845" xr:uid="{00000000-0005-0000-0000-0000934E0000}"/>
    <cellStyle name="Normal 4 3 5 3" xfId="29887" xr:uid="{00000000-0005-0000-0000-0000944E0000}"/>
    <cellStyle name="Normal 4 3 5 4" xfId="34536" xr:uid="{00000000-0005-0000-0000-0000954E0000}"/>
    <cellStyle name="Normal 4 3 6" xfId="11877" xr:uid="{00000000-0005-0000-0000-0000964E0000}"/>
    <cellStyle name="Normal 4 3 6 2" xfId="12846" xr:uid="{00000000-0005-0000-0000-0000974E0000}"/>
    <cellStyle name="Normal 4 3 6 3" xfId="30005" xr:uid="{00000000-0005-0000-0000-0000984E0000}"/>
    <cellStyle name="Normal 4 3 6 4" xfId="34655" xr:uid="{00000000-0005-0000-0000-0000994E0000}"/>
    <cellStyle name="Normal 4 3 7" xfId="11996" xr:uid="{00000000-0005-0000-0000-00009A4E0000}"/>
    <cellStyle name="Normal 4 3 7 2" xfId="12847" xr:uid="{00000000-0005-0000-0000-00009B4E0000}"/>
    <cellStyle name="Normal 4 3 7 3" xfId="30122" xr:uid="{00000000-0005-0000-0000-00009C4E0000}"/>
    <cellStyle name="Normal 4 3 7 4" xfId="34774" xr:uid="{00000000-0005-0000-0000-00009D4E0000}"/>
    <cellStyle name="Normal 4 3 8" xfId="12848" xr:uid="{00000000-0005-0000-0000-00009E4E0000}"/>
    <cellStyle name="Normal 4 3 9" xfId="13505" xr:uid="{00000000-0005-0000-0000-00009F4E0000}"/>
    <cellStyle name="Normal 4 3 9 2" xfId="30617" xr:uid="{00000000-0005-0000-0000-0000A04E0000}"/>
    <cellStyle name="Normal 4 3 9 3" xfId="35279" xr:uid="{00000000-0005-0000-0000-0000A14E0000}"/>
    <cellStyle name="Normal 4 3 9 4" xfId="39861" xr:uid="{00000000-0005-0000-0000-0000C30C0000}"/>
    <cellStyle name="Normal 4 3_Scen_XBase" xfId="39862" xr:uid="{00000000-0005-0000-0000-0000C40C0000}"/>
    <cellStyle name="Normal 4 30" xfId="11875" xr:uid="{00000000-0005-0000-0000-0000A24E0000}"/>
    <cellStyle name="Normal 4 30 2" xfId="30003" xr:uid="{00000000-0005-0000-0000-0000A34E0000}"/>
    <cellStyle name="Normal 4 30 3" xfId="34653" xr:uid="{00000000-0005-0000-0000-0000A44E0000}"/>
    <cellStyle name="Normal 4 31" xfId="11994" xr:uid="{00000000-0005-0000-0000-0000A54E0000}"/>
    <cellStyle name="Normal 4 31 2" xfId="30120" xr:uid="{00000000-0005-0000-0000-0000A64E0000}"/>
    <cellStyle name="Normal 4 31 3" xfId="34772" xr:uid="{00000000-0005-0000-0000-0000A74E0000}"/>
    <cellStyle name="Normal 4 32" xfId="13503" xr:uid="{00000000-0005-0000-0000-0000A84E0000}"/>
    <cellStyle name="Normal 4 32 2" xfId="30615" xr:uid="{00000000-0005-0000-0000-0000A94E0000}"/>
    <cellStyle name="Normal 4 32 3" xfId="35277" xr:uid="{00000000-0005-0000-0000-0000AA4E0000}"/>
    <cellStyle name="Normal 4 33" xfId="13625" xr:uid="{00000000-0005-0000-0000-0000AB4E0000}"/>
    <cellStyle name="Normal 4 33 2" xfId="30737" xr:uid="{00000000-0005-0000-0000-0000AC4E0000}"/>
    <cellStyle name="Normal 4 33 3" xfId="35399" xr:uid="{00000000-0005-0000-0000-0000AD4E0000}"/>
    <cellStyle name="Normal 4 34" xfId="13745" xr:uid="{00000000-0005-0000-0000-0000AE4E0000}"/>
    <cellStyle name="Normal 4 34 2" xfId="30857" xr:uid="{00000000-0005-0000-0000-0000AF4E0000}"/>
    <cellStyle name="Normal 4 34 3" xfId="35519" xr:uid="{00000000-0005-0000-0000-0000B04E0000}"/>
    <cellStyle name="Normal 4 35" xfId="13866" xr:uid="{00000000-0005-0000-0000-0000B14E0000}"/>
    <cellStyle name="Normal 4 35 2" xfId="30978" xr:uid="{00000000-0005-0000-0000-0000B24E0000}"/>
    <cellStyle name="Normal 4 35 3" xfId="35640" xr:uid="{00000000-0005-0000-0000-0000B34E0000}"/>
    <cellStyle name="Normal 4 36" xfId="13985" xr:uid="{00000000-0005-0000-0000-0000B44E0000}"/>
    <cellStyle name="Normal 4 36 2" xfId="31097" xr:uid="{00000000-0005-0000-0000-0000B54E0000}"/>
    <cellStyle name="Normal 4 36 3" xfId="35759" xr:uid="{00000000-0005-0000-0000-0000B64E0000}"/>
    <cellStyle name="Normal 4 37" xfId="14331" xr:uid="{00000000-0005-0000-0000-0000B74E0000}"/>
    <cellStyle name="Normal 4 37 2" xfId="35899" xr:uid="{00000000-0005-0000-0000-0000B84E0000}"/>
    <cellStyle name="Normal 4 37 3" xfId="28189" xr:uid="{00000000-0005-0000-0000-0000B94E0000}"/>
    <cellStyle name="Normal 4 4" xfId="2859" xr:uid="{00000000-0005-0000-0000-0000BA4E0000}"/>
    <cellStyle name="Normal 4 4 2" xfId="9990" xr:uid="{00000000-0005-0000-0000-0000BB4E0000}"/>
    <cellStyle name="Normal 4 4 2 2" xfId="12849" xr:uid="{00000000-0005-0000-0000-0000BC4E0000}"/>
    <cellStyle name="Normal 4 4 3" xfId="12850" xr:uid="{00000000-0005-0000-0000-0000BD4E0000}"/>
    <cellStyle name="Normal 4 4 4" xfId="12851" xr:uid="{00000000-0005-0000-0000-0000BE4E0000}"/>
    <cellStyle name="Normal 4 4 5" xfId="12852" xr:uid="{00000000-0005-0000-0000-0000BF4E0000}"/>
    <cellStyle name="Normal 4 4 6" xfId="12853" xr:uid="{00000000-0005-0000-0000-0000C04E0000}"/>
    <cellStyle name="Normal 4 4 7" xfId="12854" xr:uid="{00000000-0005-0000-0000-0000C14E0000}"/>
    <cellStyle name="Normal 4 4 8" xfId="12855" xr:uid="{00000000-0005-0000-0000-0000C24E0000}"/>
    <cellStyle name="Normal 4 5" xfId="2860" xr:uid="{00000000-0005-0000-0000-0000C34E0000}"/>
    <cellStyle name="Normal 4 5 2" xfId="9991" xr:uid="{00000000-0005-0000-0000-0000C44E0000}"/>
    <cellStyle name="Normal 4 5 2 2" xfId="11175" xr:uid="{00000000-0005-0000-0000-0000C54E0000}"/>
    <cellStyle name="Normal 4 5 2 2 2" xfId="29556" xr:uid="{00000000-0005-0000-0000-0000C64E0000}"/>
    <cellStyle name="Normal 4 5 2 2 3" xfId="33992" xr:uid="{00000000-0005-0000-0000-0000C74E0000}"/>
    <cellStyle name="Normal 4 5 2 3" xfId="12856" xr:uid="{00000000-0005-0000-0000-0000C84E0000}"/>
    <cellStyle name="Normal 4 5 2 4" xfId="29230" xr:uid="{00000000-0005-0000-0000-0000C94E0000}"/>
    <cellStyle name="Normal 4 5 2 5" xfId="33333" xr:uid="{00000000-0005-0000-0000-0000CA4E0000}"/>
    <cellStyle name="Normal 4 5 3" xfId="12857" xr:uid="{00000000-0005-0000-0000-0000CB4E0000}"/>
    <cellStyle name="Normal 4 5 4" xfId="12858" xr:uid="{00000000-0005-0000-0000-0000CC4E0000}"/>
    <cellStyle name="Normal 4 5 5" xfId="12859" xr:uid="{00000000-0005-0000-0000-0000CD4E0000}"/>
    <cellStyle name="Normal 4 5 6" xfId="12860" xr:uid="{00000000-0005-0000-0000-0000CE4E0000}"/>
    <cellStyle name="Normal 4 5 7" xfId="12861" xr:uid="{00000000-0005-0000-0000-0000CF4E0000}"/>
    <cellStyle name="Normal 4 5 8" xfId="12862" xr:uid="{00000000-0005-0000-0000-0000D04E0000}"/>
    <cellStyle name="Normal 4 5 9" xfId="14335" xr:uid="{00000000-0005-0000-0000-0000D14E0000}"/>
    <cellStyle name="Normal 4 6" xfId="2861" xr:uid="{00000000-0005-0000-0000-0000D24E0000}"/>
    <cellStyle name="Normal 4 6 2" xfId="9992" xr:uid="{00000000-0005-0000-0000-0000D34E0000}"/>
    <cellStyle name="Normal 4 6 2 2" xfId="11176" xr:uid="{00000000-0005-0000-0000-0000D44E0000}"/>
    <cellStyle name="Normal 4 6 2 2 2" xfId="29557" xr:uid="{00000000-0005-0000-0000-0000D54E0000}"/>
    <cellStyle name="Normal 4 6 2 2 3" xfId="33993" xr:uid="{00000000-0005-0000-0000-0000D64E0000}"/>
    <cellStyle name="Normal 4 6 2 3" xfId="29231" xr:uid="{00000000-0005-0000-0000-0000D74E0000}"/>
    <cellStyle name="Normal 4 6 2 4" xfId="33334" xr:uid="{00000000-0005-0000-0000-0000D84E0000}"/>
    <cellStyle name="Normal 4 6 2 5" xfId="39863" xr:uid="{00000000-0005-0000-0000-0000D60C0000}"/>
    <cellStyle name="Normal 4 6 3" xfId="39864" xr:uid="{00000000-0005-0000-0000-0000D70C0000}"/>
    <cellStyle name="Normal 4 7" xfId="2862" xr:uid="{00000000-0005-0000-0000-0000D94E0000}"/>
    <cellStyle name="Normal 4 8" xfId="2863" xr:uid="{00000000-0005-0000-0000-0000DA4E0000}"/>
    <cellStyle name="Normal 4 8 2" xfId="14336" xr:uid="{00000000-0005-0000-0000-0000DB4E0000}"/>
    <cellStyle name="Normal 4 9" xfId="2864" xr:uid="{00000000-0005-0000-0000-0000DC4E0000}"/>
    <cellStyle name="Normal 4_ELC" xfId="39865" xr:uid="{00000000-0005-0000-0000-0000DB0C0000}"/>
    <cellStyle name="Normal 40" xfId="11520" xr:uid="{00000000-0005-0000-0000-0000DE4E0000}"/>
    <cellStyle name="Normal 40 10" xfId="14012" xr:uid="{00000000-0005-0000-0000-0000DF4E0000}"/>
    <cellStyle name="Normal 40 10 2" xfId="31124" xr:uid="{00000000-0005-0000-0000-0000E04E0000}"/>
    <cellStyle name="Normal 40 10 3" xfId="35786" xr:uid="{00000000-0005-0000-0000-0000E14E0000}"/>
    <cellStyle name="Normal 40 11" xfId="29679" xr:uid="{00000000-0005-0000-0000-0000E24E0000}"/>
    <cellStyle name="Normal 40 12" xfId="29265" xr:uid="{00000000-0005-0000-0000-0000E34E0000}"/>
    <cellStyle name="Normal 40 13" xfId="34316" xr:uid="{00000000-0005-0000-0000-0000E44E0000}"/>
    <cellStyle name="Normal 40 2" xfId="11661" xr:uid="{00000000-0005-0000-0000-0000E54E0000}"/>
    <cellStyle name="Normal 40 2 2" xfId="29792" xr:uid="{00000000-0005-0000-0000-0000E64E0000}"/>
    <cellStyle name="Normal 40 2 3" xfId="34440" xr:uid="{00000000-0005-0000-0000-0000E74E0000}"/>
    <cellStyle name="Normal 40 3" xfId="11782" xr:uid="{00000000-0005-0000-0000-0000E84E0000}"/>
    <cellStyle name="Normal 40 3 2" xfId="29911" xr:uid="{00000000-0005-0000-0000-0000E94E0000}"/>
    <cellStyle name="Normal 40 3 3" xfId="34560" xr:uid="{00000000-0005-0000-0000-0000EA4E0000}"/>
    <cellStyle name="Normal 40 4" xfId="11901" xr:uid="{00000000-0005-0000-0000-0000EB4E0000}"/>
    <cellStyle name="Normal 40 4 2" xfId="30029" xr:uid="{00000000-0005-0000-0000-0000EC4E0000}"/>
    <cellStyle name="Normal 40 4 3" xfId="34679" xr:uid="{00000000-0005-0000-0000-0000ED4E0000}"/>
    <cellStyle name="Normal 40 5" xfId="12020" xr:uid="{00000000-0005-0000-0000-0000EE4E0000}"/>
    <cellStyle name="Normal 40 5 2" xfId="30146" xr:uid="{00000000-0005-0000-0000-0000EF4E0000}"/>
    <cellStyle name="Normal 40 5 3" xfId="34798" xr:uid="{00000000-0005-0000-0000-0000F04E0000}"/>
    <cellStyle name="Normal 40 6" xfId="13530" xr:uid="{00000000-0005-0000-0000-0000F14E0000}"/>
    <cellStyle name="Normal 40 6 2" xfId="30642" xr:uid="{00000000-0005-0000-0000-0000F24E0000}"/>
    <cellStyle name="Normal 40 6 3" xfId="35304" xr:uid="{00000000-0005-0000-0000-0000F34E0000}"/>
    <cellStyle name="Normal 40 7" xfId="13652" xr:uid="{00000000-0005-0000-0000-0000F44E0000}"/>
    <cellStyle name="Normal 40 7 2" xfId="30764" xr:uid="{00000000-0005-0000-0000-0000F54E0000}"/>
    <cellStyle name="Normal 40 7 3" xfId="35426" xr:uid="{00000000-0005-0000-0000-0000F64E0000}"/>
    <cellStyle name="Normal 40 8" xfId="13772" xr:uid="{00000000-0005-0000-0000-0000F74E0000}"/>
    <cellStyle name="Normal 40 8 2" xfId="30884" xr:uid="{00000000-0005-0000-0000-0000F84E0000}"/>
    <cellStyle name="Normal 40 8 3" xfId="35546" xr:uid="{00000000-0005-0000-0000-0000F94E0000}"/>
    <cellStyle name="Normal 40 9" xfId="13892" xr:uid="{00000000-0005-0000-0000-0000FA4E0000}"/>
    <cellStyle name="Normal 40 9 2" xfId="31004" xr:uid="{00000000-0005-0000-0000-0000FB4E0000}"/>
    <cellStyle name="Normal 40 9 3" xfId="35666" xr:uid="{00000000-0005-0000-0000-0000FC4E0000}"/>
    <cellStyle name="Normal 41" xfId="12025" xr:uid="{00000000-0005-0000-0000-0000FD4E0000}"/>
    <cellStyle name="Normal 41 2" xfId="30151" xr:uid="{00000000-0005-0000-0000-0000FE4E0000}"/>
    <cellStyle name="Normal 41 3" xfId="29266" xr:uid="{00000000-0005-0000-0000-0000FF4E0000}"/>
    <cellStyle name="Normal 41 4" xfId="34803" xr:uid="{00000000-0005-0000-0000-0000004F0000}"/>
    <cellStyle name="Normal 42" xfId="10467" xr:uid="{00000000-0005-0000-0000-0000014F0000}"/>
    <cellStyle name="Normal 42 2" xfId="28191" xr:uid="{00000000-0005-0000-0000-0000024F0000}"/>
    <cellStyle name="Normal 42 3" xfId="33620" xr:uid="{00000000-0005-0000-0000-0000034F0000}"/>
    <cellStyle name="Normal 43" xfId="8992" xr:uid="{00000000-0005-0000-0000-0000044F0000}"/>
    <cellStyle name="Normal 43 2" xfId="31135" xr:uid="{00000000-0005-0000-0000-0000054F0000}"/>
    <cellStyle name="Normal 43 3" xfId="29268" xr:uid="{00000000-0005-0000-0000-0000064F0000}"/>
    <cellStyle name="Normal 43 4" xfId="33259" xr:uid="{00000000-0005-0000-0000-0000074F0000}"/>
    <cellStyle name="Normal 44" xfId="8924" xr:uid="{00000000-0005-0000-0000-0000084F0000}"/>
    <cellStyle name="Normal 44 2" xfId="31136" xr:uid="{00000000-0005-0000-0000-0000094F0000}"/>
    <cellStyle name="Normal 44 3" xfId="29269" xr:uid="{00000000-0005-0000-0000-00000A4F0000}"/>
    <cellStyle name="Normal 44 4" xfId="33193" xr:uid="{00000000-0005-0000-0000-00000B4F0000}"/>
    <cellStyle name="Normal 44 5" xfId="28186" xr:uid="{00000000-0005-0000-0000-00000C4F0000}"/>
    <cellStyle name="Normal 45" xfId="16603" xr:uid="{00000000-0005-0000-0000-00000D4F0000}"/>
    <cellStyle name="Normal 45 2" xfId="31138" xr:uid="{00000000-0005-0000-0000-00000E4F0000}"/>
    <cellStyle name="Normal 46" xfId="31142" xr:uid="{00000000-0005-0000-0000-00000F4F0000}"/>
    <cellStyle name="Normal 47" xfId="31143" xr:uid="{00000000-0005-0000-0000-0000104F0000}"/>
    <cellStyle name="Normal 48" xfId="28187" xr:uid="{00000000-0005-0000-0000-0000114F0000}"/>
    <cellStyle name="Normal 49" xfId="31144" xr:uid="{00000000-0005-0000-0000-0000124F0000}"/>
    <cellStyle name="Normal 5" xfId="2865" xr:uid="{00000000-0005-0000-0000-0000134F0000}"/>
    <cellStyle name="Normal 5 10" xfId="11621" xr:uid="{00000000-0005-0000-0000-0000144F0000}"/>
    <cellStyle name="Normal 5 10 2" xfId="12863" xr:uid="{00000000-0005-0000-0000-0000154F0000}"/>
    <cellStyle name="Normal 5 10 3" xfId="29769" xr:uid="{00000000-0005-0000-0000-0000164F0000}"/>
    <cellStyle name="Normal 5 10 3 2" xfId="39867" xr:uid="{00000000-0005-0000-0000-0000E00C0000}"/>
    <cellStyle name="Normal 5 10 4" xfId="34411" xr:uid="{00000000-0005-0000-0000-0000174F0000}"/>
    <cellStyle name="Normal 5 11" xfId="11759" xr:uid="{00000000-0005-0000-0000-0000184F0000}"/>
    <cellStyle name="Normal 5 11 2" xfId="12864" xr:uid="{00000000-0005-0000-0000-0000194F0000}"/>
    <cellStyle name="Normal 5 11 3" xfId="29888" xr:uid="{00000000-0005-0000-0000-00001A4F0000}"/>
    <cellStyle name="Normal 5 11 4" xfId="34537" xr:uid="{00000000-0005-0000-0000-00001B4F0000}"/>
    <cellStyle name="Normal 5 12" xfId="11878" xr:uid="{00000000-0005-0000-0000-00001C4F0000}"/>
    <cellStyle name="Normal 5 12 2" xfId="12865" xr:uid="{00000000-0005-0000-0000-00001D4F0000}"/>
    <cellStyle name="Normal 5 12 3" xfId="30006" xr:uid="{00000000-0005-0000-0000-00001E4F0000}"/>
    <cellStyle name="Normal 5 12 4" xfId="34656" xr:uid="{00000000-0005-0000-0000-00001F4F0000}"/>
    <cellStyle name="Normal 5 13" xfId="11997" xr:uid="{00000000-0005-0000-0000-0000204F0000}"/>
    <cellStyle name="Normal 5 13 2" xfId="30123" xr:uid="{00000000-0005-0000-0000-0000214F0000}"/>
    <cellStyle name="Normal 5 13 3" xfId="34775" xr:uid="{00000000-0005-0000-0000-0000224F0000}"/>
    <cellStyle name="Normal 5 13 4" xfId="39868" xr:uid="{00000000-0005-0000-0000-0000E30C0000}"/>
    <cellStyle name="Normal 5 14" xfId="13506" xr:uid="{00000000-0005-0000-0000-0000234F0000}"/>
    <cellStyle name="Normal 5 14 2" xfId="30618" xr:uid="{00000000-0005-0000-0000-0000244F0000}"/>
    <cellStyle name="Normal 5 14 3" xfId="35280" xr:uid="{00000000-0005-0000-0000-0000254F0000}"/>
    <cellStyle name="Normal 5 14 4" xfId="39869" xr:uid="{00000000-0005-0000-0000-0000E40C0000}"/>
    <cellStyle name="Normal 5 15" xfId="13628" xr:uid="{00000000-0005-0000-0000-0000264F0000}"/>
    <cellStyle name="Normal 5 15 2" xfId="30740" xr:uid="{00000000-0005-0000-0000-0000274F0000}"/>
    <cellStyle name="Normal 5 15 3" xfId="35402" xr:uid="{00000000-0005-0000-0000-0000284F0000}"/>
    <cellStyle name="Normal 5 16" xfId="13748" xr:uid="{00000000-0005-0000-0000-0000294F0000}"/>
    <cellStyle name="Normal 5 16 2" xfId="30860" xr:uid="{00000000-0005-0000-0000-00002A4F0000}"/>
    <cellStyle name="Normal 5 16 3" xfId="35522" xr:uid="{00000000-0005-0000-0000-00002B4F0000}"/>
    <cellStyle name="Normal 5 17" xfId="13869" xr:uid="{00000000-0005-0000-0000-00002C4F0000}"/>
    <cellStyle name="Normal 5 17 2" xfId="30981" xr:uid="{00000000-0005-0000-0000-00002D4F0000}"/>
    <cellStyle name="Normal 5 17 3" xfId="35643" xr:uid="{00000000-0005-0000-0000-00002E4F0000}"/>
    <cellStyle name="Normal 5 18" xfId="13988" xr:uid="{00000000-0005-0000-0000-00002F4F0000}"/>
    <cellStyle name="Normal 5 18 2" xfId="31100" xr:uid="{00000000-0005-0000-0000-0000304F0000}"/>
    <cellStyle name="Normal 5 18 3" xfId="35762" xr:uid="{00000000-0005-0000-0000-0000314F0000}"/>
    <cellStyle name="Normal 5 19" xfId="9993" xr:uid="{00000000-0005-0000-0000-0000324F0000}"/>
    <cellStyle name="Normal 5 19 2" xfId="33335" xr:uid="{00000000-0005-0000-0000-0000334F0000}"/>
    <cellStyle name="Normal 5 2" xfId="2866" xr:uid="{00000000-0005-0000-0000-0000344F0000}"/>
    <cellStyle name="Normal 5 2 10" xfId="13629" xr:uid="{00000000-0005-0000-0000-0000354F0000}"/>
    <cellStyle name="Normal 5 2 10 2" xfId="30741" xr:uid="{00000000-0005-0000-0000-0000364F0000}"/>
    <cellStyle name="Normal 5 2 10 3" xfId="35403" xr:uid="{00000000-0005-0000-0000-0000374F0000}"/>
    <cellStyle name="Normal 5 2 11" xfId="13749" xr:uid="{00000000-0005-0000-0000-0000384F0000}"/>
    <cellStyle name="Normal 5 2 11 2" xfId="30861" xr:uid="{00000000-0005-0000-0000-0000394F0000}"/>
    <cellStyle name="Normal 5 2 11 3" xfId="35523" xr:uid="{00000000-0005-0000-0000-00003A4F0000}"/>
    <cellStyle name="Normal 5 2 11 4" xfId="39870" xr:uid="{00000000-0005-0000-0000-0000E70C0000}"/>
    <cellStyle name="Normal 5 2 12" xfId="13870" xr:uid="{00000000-0005-0000-0000-00003B4F0000}"/>
    <cellStyle name="Normal 5 2 12 2" xfId="30982" xr:uid="{00000000-0005-0000-0000-00003C4F0000}"/>
    <cellStyle name="Normal 5 2 12 3" xfId="35644" xr:uid="{00000000-0005-0000-0000-00003D4F0000}"/>
    <cellStyle name="Normal 5 2 13" xfId="13989" xr:uid="{00000000-0005-0000-0000-00003E4F0000}"/>
    <cellStyle name="Normal 5 2 13 2" xfId="31101" xr:uid="{00000000-0005-0000-0000-00003F4F0000}"/>
    <cellStyle name="Normal 5 2 13 3" xfId="35763" xr:uid="{00000000-0005-0000-0000-0000404F0000}"/>
    <cellStyle name="Normal 5 2 14" xfId="14098" xr:uid="{00000000-0005-0000-0000-0000414F0000}"/>
    <cellStyle name="Normal 5 2 14 2" xfId="35818" xr:uid="{00000000-0005-0000-0000-0000424F0000}"/>
    <cellStyle name="Normal 5 2 14 3" xfId="28231" xr:uid="{00000000-0005-0000-0000-0000434F0000}"/>
    <cellStyle name="Normal 5 2 15" xfId="9994" xr:uid="{00000000-0005-0000-0000-0000444F0000}"/>
    <cellStyle name="Normal 5 2 16" xfId="31301" xr:uid="{00000000-0005-0000-0000-0000454F0000}"/>
    <cellStyle name="Normal 5 2 2" xfId="3302" xr:uid="{00000000-0005-0000-0000-0000464F0000}"/>
    <cellStyle name="Normal 5 2 2 10" xfId="12867" xr:uid="{00000000-0005-0000-0000-0000474F0000}"/>
    <cellStyle name="Normal 5 2 2 10 2" xfId="30471" xr:uid="{00000000-0005-0000-0000-0000484F0000}"/>
    <cellStyle name="Normal 5 2 2 10 3" xfId="35127" xr:uid="{00000000-0005-0000-0000-0000494F0000}"/>
    <cellStyle name="Normal 5 2 2 11" xfId="12868" xr:uid="{00000000-0005-0000-0000-00004A4F0000}"/>
    <cellStyle name="Normal 5 2 2 11 2" xfId="30472" xr:uid="{00000000-0005-0000-0000-00004B4F0000}"/>
    <cellStyle name="Normal 5 2 2 11 3" xfId="35128" xr:uid="{00000000-0005-0000-0000-00004C4F0000}"/>
    <cellStyle name="Normal 5 2 2 12" xfId="12869" xr:uid="{00000000-0005-0000-0000-00004D4F0000}"/>
    <cellStyle name="Normal 5 2 2 12 2" xfId="30473" xr:uid="{00000000-0005-0000-0000-00004E4F0000}"/>
    <cellStyle name="Normal 5 2 2 12 3" xfId="35129" xr:uid="{00000000-0005-0000-0000-00004F4F0000}"/>
    <cellStyle name="Normal 5 2 2 13" xfId="12870" xr:uid="{00000000-0005-0000-0000-0000504F0000}"/>
    <cellStyle name="Normal 5 2 2 13 2" xfId="30474" xr:uid="{00000000-0005-0000-0000-0000514F0000}"/>
    <cellStyle name="Normal 5 2 2 13 3" xfId="35130" xr:uid="{00000000-0005-0000-0000-0000524F0000}"/>
    <cellStyle name="Normal 5 2 2 14" xfId="12866" xr:uid="{00000000-0005-0000-0000-0000534F0000}"/>
    <cellStyle name="Normal 5 2 2 15" xfId="9995" xr:uid="{00000000-0005-0000-0000-0000544F0000}"/>
    <cellStyle name="Normal 5 2 2 15 2" xfId="33336" xr:uid="{00000000-0005-0000-0000-0000554F0000}"/>
    <cellStyle name="Normal 5 2 2 15 3" xfId="28232" xr:uid="{00000000-0005-0000-0000-0000564F0000}"/>
    <cellStyle name="Normal 5 2 2 16" xfId="31380" xr:uid="{00000000-0005-0000-0000-0000574F0000}"/>
    <cellStyle name="Normal 5 2 2 17" xfId="27393" xr:uid="{00000000-0005-0000-0000-0000584F0000}"/>
    <cellStyle name="Normal 5 2 2 2" xfId="12871" xr:uid="{00000000-0005-0000-0000-0000594F0000}"/>
    <cellStyle name="Normal 5 2 2 2 10" xfId="12872" xr:uid="{00000000-0005-0000-0000-00005A4F0000}"/>
    <cellStyle name="Normal 5 2 2 2 11" xfId="12873" xr:uid="{00000000-0005-0000-0000-00005B4F0000}"/>
    <cellStyle name="Normal 5 2 2 2 12" xfId="12874" xr:uid="{00000000-0005-0000-0000-00005C4F0000}"/>
    <cellStyle name="Normal 5 2 2 2 13" xfId="12875" xr:uid="{00000000-0005-0000-0000-00005D4F0000}"/>
    <cellStyle name="Normal 5 2 2 2 14" xfId="28407" xr:uid="{00000000-0005-0000-0000-00005E4F0000}"/>
    <cellStyle name="Normal 5 2 2 2 15" xfId="35131" xr:uid="{00000000-0005-0000-0000-00005F4F0000}"/>
    <cellStyle name="Normal 5 2 2 2 2" xfId="12876" xr:uid="{00000000-0005-0000-0000-0000604F0000}"/>
    <cellStyle name="Normal 5 2 2 2 3" xfId="12877" xr:uid="{00000000-0005-0000-0000-0000614F0000}"/>
    <cellStyle name="Normal 5 2 2 2 4" xfId="12878" xr:uid="{00000000-0005-0000-0000-0000624F0000}"/>
    <cellStyle name="Normal 5 2 2 2 5" xfId="12879" xr:uid="{00000000-0005-0000-0000-0000634F0000}"/>
    <cellStyle name="Normal 5 2 2 2 6" xfId="12880" xr:uid="{00000000-0005-0000-0000-0000644F0000}"/>
    <cellStyle name="Normal 5 2 2 2 7" xfId="12881" xr:uid="{00000000-0005-0000-0000-0000654F0000}"/>
    <cellStyle name="Normal 5 2 2 2 8" xfId="12882" xr:uid="{00000000-0005-0000-0000-0000664F0000}"/>
    <cellStyle name="Normal 5 2 2 2 9" xfId="12883" xr:uid="{00000000-0005-0000-0000-0000674F0000}"/>
    <cellStyle name="Normal 5 2 2 3" xfId="12884" xr:uid="{00000000-0005-0000-0000-0000684F0000}"/>
    <cellStyle name="Normal 5 2 2 3 2" xfId="30475" xr:uid="{00000000-0005-0000-0000-0000694F0000}"/>
    <cellStyle name="Normal 5 2 2 3 3" xfId="29232" xr:uid="{00000000-0005-0000-0000-00006A4F0000}"/>
    <cellStyle name="Normal 5 2 2 3 4" xfId="35132" xr:uid="{00000000-0005-0000-0000-00006B4F0000}"/>
    <cellStyle name="Normal 5 2 2 4" xfId="12885" xr:uid="{00000000-0005-0000-0000-00006C4F0000}"/>
    <cellStyle name="Normal 5 2 2 4 2" xfId="30476" xr:uid="{00000000-0005-0000-0000-00006D4F0000}"/>
    <cellStyle name="Normal 5 2 2 4 3" xfId="35133" xr:uid="{00000000-0005-0000-0000-00006E4F0000}"/>
    <cellStyle name="Normal 5 2 2 5" xfId="12886" xr:uid="{00000000-0005-0000-0000-00006F4F0000}"/>
    <cellStyle name="Normal 5 2 2 5 2" xfId="30477" xr:uid="{00000000-0005-0000-0000-0000704F0000}"/>
    <cellStyle name="Normal 5 2 2 5 3" xfId="35134" xr:uid="{00000000-0005-0000-0000-0000714F0000}"/>
    <cellStyle name="Normal 5 2 2 6" xfId="12887" xr:uid="{00000000-0005-0000-0000-0000724F0000}"/>
    <cellStyle name="Normal 5 2 2 6 2" xfId="30478" xr:uid="{00000000-0005-0000-0000-0000734F0000}"/>
    <cellStyle name="Normal 5 2 2 6 3" xfId="35135" xr:uid="{00000000-0005-0000-0000-0000744F0000}"/>
    <cellStyle name="Normal 5 2 2 7" xfId="12888" xr:uid="{00000000-0005-0000-0000-0000754F0000}"/>
    <cellStyle name="Normal 5 2 2 7 2" xfId="30479" xr:uid="{00000000-0005-0000-0000-0000764F0000}"/>
    <cellStyle name="Normal 5 2 2 7 3" xfId="35136" xr:uid="{00000000-0005-0000-0000-0000774F0000}"/>
    <cellStyle name="Normal 5 2 2 8" xfId="12889" xr:uid="{00000000-0005-0000-0000-0000784F0000}"/>
    <cellStyle name="Normal 5 2 2 8 2" xfId="30480" xr:uid="{00000000-0005-0000-0000-0000794F0000}"/>
    <cellStyle name="Normal 5 2 2 8 3" xfId="35137" xr:uid="{00000000-0005-0000-0000-00007A4F0000}"/>
    <cellStyle name="Normal 5 2 2 9" xfId="12890" xr:uid="{00000000-0005-0000-0000-00007B4F0000}"/>
    <cellStyle name="Normal 5 2 2 9 2" xfId="30481" xr:uid="{00000000-0005-0000-0000-00007C4F0000}"/>
    <cellStyle name="Normal 5 2 2 9 3" xfId="35138" xr:uid="{00000000-0005-0000-0000-00007D4F0000}"/>
    <cellStyle name="Normal 5 2 3" xfId="3477" xr:uid="{00000000-0005-0000-0000-00007E4F0000}"/>
    <cellStyle name="Normal 5 2 3 2" xfId="9996" xr:uid="{00000000-0005-0000-0000-00007F4F0000}"/>
    <cellStyle name="Normal 5 2 3 2 2" xfId="33337" xr:uid="{00000000-0005-0000-0000-0000804F0000}"/>
    <cellStyle name="Normal 5 2 3 2 3" xfId="28424" xr:uid="{00000000-0005-0000-0000-0000814F0000}"/>
    <cellStyle name="Normal 5 2 3 3" xfId="29233" xr:uid="{00000000-0005-0000-0000-0000824F0000}"/>
    <cellStyle name="Normal 5 2 3 4" xfId="28233" xr:uid="{00000000-0005-0000-0000-0000834F0000}"/>
    <cellStyle name="Normal 5 2 3 5" xfId="31531" xr:uid="{00000000-0005-0000-0000-0000844F0000}"/>
    <cellStyle name="Normal 5 2 3 6" xfId="27394" xr:uid="{00000000-0005-0000-0000-0000854F0000}"/>
    <cellStyle name="Normal 5 2 4" xfId="11178" xr:uid="{00000000-0005-0000-0000-0000864F0000}"/>
    <cellStyle name="Normal 5 2 4 2" xfId="12891" xr:uid="{00000000-0005-0000-0000-0000874F0000}"/>
    <cellStyle name="Normal 5 2 4 3" xfId="28397" xr:uid="{00000000-0005-0000-0000-0000884F0000}"/>
    <cellStyle name="Normal 5 2 4 4" xfId="33995" xr:uid="{00000000-0005-0000-0000-0000894F0000}"/>
    <cellStyle name="Normal 5 2 5" xfId="11622" xr:uid="{00000000-0005-0000-0000-00008A4F0000}"/>
    <cellStyle name="Normal 5 2 5 2" xfId="12892" xr:uid="{00000000-0005-0000-0000-00008B4F0000}"/>
    <cellStyle name="Normal 5 2 5 3" xfId="29770" xr:uid="{00000000-0005-0000-0000-00008C4F0000}"/>
    <cellStyle name="Normal 5 2 5 4" xfId="34412" xr:uid="{00000000-0005-0000-0000-00008D4F0000}"/>
    <cellStyle name="Normal 5 2 6" xfId="11760" xr:uid="{00000000-0005-0000-0000-00008E4F0000}"/>
    <cellStyle name="Normal 5 2 6 2" xfId="12893" xr:uid="{00000000-0005-0000-0000-00008F4F0000}"/>
    <cellStyle name="Normal 5 2 6 3" xfId="29889" xr:uid="{00000000-0005-0000-0000-0000904F0000}"/>
    <cellStyle name="Normal 5 2 6 4" xfId="34538" xr:uid="{00000000-0005-0000-0000-0000914F0000}"/>
    <cellStyle name="Normal 5 2 7" xfId="11879" xr:uid="{00000000-0005-0000-0000-0000924F0000}"/>
    <cellStyle name="Normal 5 2 7 2" xfId="12894" xr:uid="{00000000-0005-0000-0000-0000934F0000}"/>
    <cellStyle name="Normal 5 2 7 3" xfId="30007" xr:uid="{00000000-0005-0000-0000-0000944F0000}"/>
    <cellStyle name="Normal 5 2 7 4" xfId="34657" xr:uid="{00000000-0005-0000-0000-0000954F0000}"/>
    <cellStyle name="Normal 5 2 8" xfId="11998" xr:uid="{00000000-0005-0000-0000-0000964F0000}"/>
    <cellStyle name="Normal 5 2 8 2" xfId="12895" xr:uid="{00000000-0005-0000-0000-0000974F0000}"/>
    <cellStyle name="Normal 5 2 8 3" xfId="30124" xr:uid="{00000000-0005-0000-0000-0000984F0000}"/>
    <cellStyle name="Normal 5 2 8 4" xfId="34776" xr:uid="{00000000-0005-0000-0000-0000994F0000}"/>
    <cellStyle name="Normal 5 2 9" xfId="13507" xr:uid="{00000000-0005-0000-0000-00009A4F0000}"/>
    <cellStyle name="Normal 5 2 9 2" xfId="30619" xr:uid="{00000000-0005-0000-0000-00009B4F0000}"/>
    <cellStyle name="Normal 5 2 9 3" xfId="35281" xr:uid="{00000000-0005-0000-0000-00009C4F0000}"/>
    <cellStyle name="Normal 5 2 9 4" xfId="39871" xr:uid="{00000000-0005-0000-0000-0000090D0000}"/>
    <cellStyle name="Normal 5 20" xfId="31300" xr:uid="{00000000-0005-0000-0000-00009D4F0000}"/>
    <cellStyle name="Normal 5 3" xfId="3301" xr:uid="{00000000-0005-0000-0000-00009E4F0000}"/>
    <cellStyle name="Normal 5 3 10" xfId="13508" xr:uid="{00000000-0005-0000-0000-00009F4F0000}"/>
    <cellStyle name="Normal 5 3 10 2" xfId="30620" xr:uid="{00000000-0005-0000-0000-0000A04F0000}"/>
    <cellStyle name="Normal 5 3 10 3" xfId="35282" xr:uid="{00000000-0005-0000-0000-0000A14F0000}"/>
    <cellStyle name="Normal 5 3 11" xfId="13630" xr:uid="{00000000-0005-0000-0000-0000A24F0000}"/>
    <cellStyle name="Normal 5 3 11 2" xfId="30742" xr:uid="{00000000-0005-0000-0000-0000A34F0000}"/>
    <cellStyle name="Normal 5 3 11 3" xfId="35404" xr:uid="{00000000-0005-0000-0000-0000A44F0000}"/>
    <cellStyle name="Normal 5 3 11 4" xfId="39872" xr:uid="{00000000-0005-0000-0000-00000C0D0000}"/>
    <cellStyle name="Normal 5 3 12" xfId="13750" xr:uid="{00000000-0005-0000-0000-0000A54F0000}"/>
    <cellStyle name="Normal 5 3 12 2" xfId="30862" xr:uid="{00000000-0005-0000-0000-0000A64F0000}"/>
    <cellStyle name="Normal 5 3 12 3" xfId="35524" xr:uid="{00000000-0005-0000-0000-0000A74F0000}"/>
    <cellStyle name="Normal 5 3 13" xfId="13871" xr:uid="{00000000-0005-0000-0000-0000A84F0000}"/>
    <cellStyle name="Normal 5 3 13 2" xfId="30983" xr:uid="{00000000-0005-0000-0000-0000A94F0000}"/>
    <cellStyle name="Normal 5 3 13 3" xfId="35645" xr:uid="{00000000-0005-0000-0000-0000AA4F0000}"/>
    <cellStyle name="Normal 5 3 14" xfId="13990" xr:uid="{00000000-0005-0000-0000-0000AB4F0000}"/>
    <cellStyle name="Normal 5 3 14 2" xfId="31102" xr:uid="{00000000-0005-0000-0000-0000AC4F0000}"/>
    <cellStyle name="Normal 5 3 14 3" xfId="35764" xr:uid="{00000000-0005-0000-0000-0000AD4F0000}"/>
    <cellStyle name="Normal 5 3 15" xfId="14097" xr:uid="{00000000-0005-0000-0000-0000AE4F0000}"/>
    <cellStyle name="Normal 5 3 15 2" xfId="35817" xr:uid="{00000000-0005-0000-0000-0000AF4F0000}"/>
    <cellStyle name="Normal 5 3 15 3" xfId="28234" xr:uid="{00000000-0005-0000-0000-0000B04F0000}"/>
    <cellStyle name="Normal 5 3 16" xfId="9997" xr:uid="{00000000-0005-0000-0000-0000B14F0000}"/>
    <cellStyle name="Normal 5 3 17" xfId="14337" xr:uid="{00000000-0005-0000-0000-0000B24F0000}"/>
    <cellStyle name="Normal 5 3 18" xfId="31379" xr:uid="{00000000-0005-0000-0000-0000B34F0000}"/>
    <cellStyle name="Normal 5 3 19" xfId="27395" xr:uid="{00000000-0005-0000-0000-0000B44F0000}"/>
    <cellStyle name="Normal 5 3 2" xfId="11623" xr:uid="{00000000-0005-0000-0000-0000B54F0000}"/>
    <cellStyle name="Normal 5 3 2 2" xfId="12897" xr:uid="{00000000-0005-0000-0000-0000B64F0000}"/>
    <cellStyle name="Normal 5 3 2 3" xfId="28406" xr:uid="{00000000-0005-0000-0000-0000B74F0000}"/>
    <cellStyle name="Normal 5 3 2 3 2" xfId="39873" xr:uid="{00000000-0005-0000-0000-00000F0D0000}"/>
    <cellStyle name="Normal 5 3 2 4" xfId="34413" xr:uid="{00000000-0005-0000-0000-0000B84F0000}"/>
    <cellStyle name="Normal 5 3 3" xfId="11761" xr:uid="{00000000-0005-0000-0000-0000B94F0000}"/>
    <cellStyle name="Normal 5 3 3 2" xfId="12898" xr:uid="{00000000-0005-0000-0000-0000BA4F0000}"/>
    <cellStyle name="Normal 5 3 3 3" xfId="29890" xr:uid="{00000000-0005-0000-0000-0000BB4F0000}"/>
    <cellStyle name="Normal 5 3 3 4" xfId="29234" xr:uid="{00000000-0005-0000-0000-0000BC4F0000}"/>
    <cellStyle name="Normal 5 3 3 5" xfId="34539" xr:uid="{00000000-0005-0000-0000-0000BD4F0000}"/>
    <cellStyle name="Normal 5 3 4" xfId="11880" xr:uid="{00000000-0005-0000-0000-0000BE4F0000}"/>
    <cellStyle name="Normal 5 3 4 2" xfId="12899" xr:uid="{00000000-0005-0000-0000-0000BF4F0000}"/>
    <cellStyle name="Normal 5 3 4 3" xfId="30008" xr:uid="{00000000-0005-0000-0000-0000C04F0000}"/>
    <cellStyle name="Normal 5 3 4 4" xfId="34658" xr:uid="{00000000-0005-0000-0000-0000C14F0000}"/>
    <cellStyle name="Normal 5 3 5" xfId="11999" xr:uid="{00000000-0005-0000-0000-0000C24F0000}"/>
    <cellStyle name="Normal 5 3 5 2" xfId="12900" xr:uid="{00000000-0005-0000-0000-0000C34F0000}"/>
    <cellStyle name="Normal 5 3 5 3" xfId="30125" xr:uid="{00000000-0005-0000-0000-0000C44F0000}"/>
    <cellStyle name="Normal 5 3 5 4" xfId="34777" xr:uid="{00000000-0005-0000-0000-0000C54F0000}"/>
    <cellStyle name="Normal 5 3 6" xfId="12901" xr:uid="{00000000-0005-0000-0000-0000C64F0000}"/>
    <cellStyle name="Normal 5 3 7" xfId="12902" xr:uid="{00000000-0005-0000-0000-0000C74F0000}"/>
    <cellStyle name="Normal 5 3 8" xfId="12903" xr:uid="{00000000-0005-0000-0000-0000C84F0000}"/>
    <cellStyle name="Normal 5 3 9" xfId="12896" xr:uid="{00000000-0005-0000-0000-0000C94F0000}"/>
    <cellStyle name="Normal 5 4" xfId="3476" xr:uid="{00000000-0005-0000-0000-0000CA4F0000}"/>
    <cellStyle name="Normal 5 4 10" xfId="31530" xr:uid="{00000000-0005-0000-0000-0000CB4F0000}"/>
    <cellStyle name="Normal 5 4 11" xfId="27396" xr:uid="{00000000-0005-0000-0000-0000CC4F0000}"/>
    <cellStyle name="Normal 5 4 2" xfId="12904" xr:uid="{00000000-0005-0000-0000-0000CD4F0000}"/>
    <cellStyle name="Normal 5 4 2 2" xfId="30482" xr:uid="{00000000-0005-0000-0000-0000CE4F0000}"/>
    <cellStyle name="Normal 5 4 2 3" xfId="28423" xr:uid="{00000000-0005-0000-0000-0000CF4F0000}"/>
    <cellStyle name="Normal 5 4 3" xfId="12905" xr:uid="{00000000-0005-0000-0000-0000D04F0000}"/>
    <cellStyle name="Normal 5 4 4" xfId="12906" xr:uid="{00000000-0005-0000-0000-0000D14F0000}"/>
    <cellStyle name="Normal 5 4 5" xfId="12907" xr:uid="{00000000-0005-0000-0000-0000D24F0000}"/>
    <cellStyle name="Normal 5 4 6" xfId="12908" xr:uid="{00000000-0005-0000-0000-0000D34F0000}"/>
    <cellStyle name="Normal 5 4 7" xfId="12909" xr:uid="{00000000-0005-0000-0000-0000D44F0000}"/>
    <cellStyle name="Normal 5 4 8" xfId="12910" xr:uid="{00000000-0005-0000-0000-0000D54F0000}"/>
    <cellStyle name="Normal 5 4 9" xfId="9998" xr:uid="{00000000-0005-0000-0000-0000D64F0000}"/>
    <cellStyle name="Normal 5 4 9 2" xfId="33338" xr:uid="{00000000-0005-0000-0000-0000D74F0000}"/>
    <cellStyle name="Normal 5 4 9 3" xfId="28235" xr:uid="{00000000-0005-0000-0000-0000D84F0000}"/>
    <cellStyle name="Normal 5 5" xfId="9999" xr:uid="{00000000-0005-0000-0000-0000D94F0000}"/>
    <cellStyle name="Normal 5 5 10" xfId="28396" xr:uid="{00000000-0005-0000-0000-0000DA4F0000}"/>
    <cellStyle name="Normal 5 5 11" xfId="33339" xr:uid="{00000000-0005-0000-0000-0000DB4F0000}"/>
    <cellStyle name="Normal 5 5 2" xfId="11179" xr:uid="{00000000-0005-0000-0000-0000DC4F0000}"/>
    <cellStyle name="Normal 5 5 2 2" xfId="12912" xr:uid="{00000000-0005-0000-0000-0000DD4F0000}"/>
    <cellStyle name="Normal 5 5 2 3" xfId="29559" xr:uid="{00000000-0005-0000-0000-0000DE4F0000}"/>
    <cellStyle name="Normal 5 5 2 4" xfId="33996" xr:uid="{00000000-0005-0000-0000-0000DF4F0000}"/>
    <cellStyle name="Normal 5 5 3" xfId="12913" xr:uid="{00000000-0005-0000-0000-0000E04F0000}"/>
    <cellStyle name="Normal 5 5 4" xfId="12914" xr:uid="{00000000-0005-0000-0000-0000E14F0000}"/>
    <cellStyle name="Normal 5 5 5" xfId="12915" xr:uid="{00000000-0005-0000-0000-0000E24F0000}"/>
    <cellStyle name="Normal 5 5 6" xfId="12916" xr:uid="{00000000-0005-0000-0000-0000E34F0000}"/>
    <cellStyle name="Normal 5 5 7" xfId="12917" xr:uid="{00000000-0005-0000-0000-0000E44F0000}"/>
    <cellStyle name="Normal 5 5 8" xfId="12918" xr:uid="{00000000-0005-0000-0000-0000E54F0000}"/>
    <cellStyle name="Normal 5 5 9" xfId="12911" xr:uid="{00000000-0005-0000-0000-0000E64F0000}"/>
    <cellStyle name="Normal 5 6" xfId="10000" xr:uid="{00000000-0005-0000-0000-0000E74F0000}"/>
    <cellStyle name="Normal 5 6 2" xfId="12919" xr:uid="{00000000-0005-0000-0000-0000E84F0000}"/>
    <cellStyle name="Normal 5 7" xfId="10001" xr:uid="{00000000-0005-0000-0000-0000E94F0000}"/>
    <cellStyle name="Normal 5 8" xfId="10002" xr:uid="{00000000-0005-0000-0000-0000EA4F0000}"/>
    <cellStyle name="Normal 5 8 2" xfId="12920" xr:uid="{00000000-0005-0000-0000-0000EB4F0000}"/>
    <cellStyle name="Normal 5 9" xfId="11177" xr:uid="{00000000-0005-0000-0000-0000EC4F0000}"/>
    <cellStyle name="Normal 5 9 2" xfId="12921" xr:uid="{00000000-0005-0000-0000-0000ED4F0000}"/>
    <cellStyle name="Normal 5 9 3" xfId="29558" xr:uid="{00000000-0005-0000-0000-0000EE4F0000}"/>
    <cellStyle name="Normal 5 9 4" xfId="33994" xr:uid="{00000000-0005-0000-0000-0000EF4F0000}"/>
    <cellStyle name="Normal 5_ELC" xfId="39874" xr:uid="{00000000-0005-0000-0000-00002B0D0000}"/>
    <cellStyle name="Normal 50" xfId="27340" xr:uid="{00000000-0005-0000-0000-0000F04F0000}"/>
    <cellStyle name="Normal 50 2" xfId="39875" xr:uid="{00000000-0005-0000-0000-00002C0D0000}"/>
    <cellStyle name="Normal 50 3" xfId="37816" xr:uid="{D6BBA94A-498C-41EC-A470-44E8A9B4072C}"/>
    <cellStyle name="Normal 51" xfId="39876" xr:uid="{00000000-0005-0000-0000-00002D0D0000}"/>
    <cellStyle name="Normal 52" xfId="39877" xr:uid="{00000000-0005-0000-0000-00002E0D0000}"/>
    <cellStyle name="Normal 53" xfId="39878" xr:uid="{00000000-0005-0000-0000-00002F0D0000}"/>
    <cellStyle name="Normal 54" xfId="39879" xr:uid="{00000000-0005-0000-0000-0000300D0000}"/>
    <cellStyle name="Normal 55" xfId="39880" xr:uid="{00000000-0005-0000-0000-0000310D0000}"/>
    <cellStyle name="Normal 6" xfId="2867" xr:uid="{00000000-0005-0000-0000-0000F14F0000}"/>
    <cellStyle name="Normal 6 10" xfId="12000" xr:uid="{00000000-0005-0000-0000-0000F24F0000}"/>
    <cellStyle name="Normal 6 10 2" xfId="12922" xr:uid="{00000000-0005-0000-0000-0000F34F0000}"/>
    <cellStyle name="Normal 6 10 3" xfId="30126" xr:uid="{00000000-0005-0000-0000-0000F44F0000}"/>
    <cellStyle name="Normal 6 10 3 2" xfId="39881" xr:uid="{00000000-0005-0000-0000-0000350D0000}"/>
    <cellStyle name="Normal 6 10 4" xfId="34778" xr:uid="{00000000-0005-0000-0000-0000F54F0000}"/>
    <cellStyle name="Normal 6 11" xfId="12923" xr:uid="{00000000-0005-0000-0000-0000F64F0000}"/>
    <cellStyle name="Normal 6 12" xfId="12924" xr:uid="{00000000-0005-0000-0000-0000F74F0000}"/>
    <cellStyle name="Normal 6 13" xfId="13509" xr:uid="{00000000-0005-0000-0000-0000F84F0000}"/>
    <cellStyle name="Normal 6 13 2" xfId="30621" xr:uid="{00000000-0005-0000-0000-0000F94F0000}"/>
    <cellStyle name="Normal 6 13 3" xfId="35283" xr:uid="{00000000-0005-0000-0000-0000FA4F0000}"/>
    <cellStyle name="Normal 6 14" xfId="13631" xr:uid="{00000000-0005-0000-0000-0000FB4F0000}"/>
    <cellStyle name="Normal 6 14 2" xfId="30743" xr:uid="{00000000-0005-0000-0000-0000FC4F0000}"/>
    <cellStyle name="Normal 6 14 3" xfId="35405" xr:uid="{00000000-0005-0000-0000-0000FD4F0000}"/>
    <cellStyle name="Normal 6 15" xfId="13751" xr:uid="{00000000-0005-0000-0000-0000FE4F0000}"/>
    <cellStyle name="Normal 6 15 2" xfId="30863" xr:uid="{00000000-0005-0000-0000-0000FF4F0000}"/>
    <cellStyle name="Normal 6 15 3" xfId="35525" xr:uid="{00000000-0005-0000-0000-000000500000}"/>
    <cellStyle name="Normal 6 16" xfId="13872" xr:uid="{00000000-0005-0000-0000-000001500000}"/>
    <cellStyle name="Normal 6 16 2" xfId="30984" xr:uid="{00000000-0005-0000-0000-000002500000}"/>
    <cellStyle name="Normal 6 16 3" xfId="35646" xr:uid="{00000000-0005-0000-0000-000003500000}"/>
    <cellStyle name="Normal 6 17" xfId="13991" xr:uid="{00000000-0005-0000-0000-000004500000}"/>
    <cellStyle name="Normal 6 17 2" xfId="31103" xr:uid="{00000000-0005-0000-0000-000005500000}"/>
    <cellStyle name="Normal 6 17 3" xfId="35765" xr:uid="{00000000-0005-0000-0000-000006500000}"/>
    <cellStyle name="Normal 6 18" xfId="10003" xr:uid="{00000000-0005-0000-0000-000007500000}"/>
    <cellStyle name="Normal 6 2" xfId="2868" xr:uid="{00000000-0005-0000-0000-000008500000}"/>
    <cellStyle name="Normal 6 2 10" xfId="13632" xr:uid="{00000000-0005-0000-0000-000009500000}"/>
    <cellStyle name="Normal 6 2 10 2" xfId="30744" xr:uid="{00000000-0005-0000-0000-00000A500000}"/>
    <cellStyle name="Normal 6 2 10 3" xfId="35406" xr:uid="{00000000-0005-0000-0000-00000B500000}"/>
    <cellStyle name="Normal 6 2 10 4" xfId="39882" xr:uid="{00000000-0005-0000-0000-0000390D0000}"/>
    <cellStyle name="Normal 6 2 11" xfId="13752" xr:uid="{00000000-0005-0000-0000-00000C500000}"/>
    <cellStyle name="Normal 6 2 11 2" xfId="30864" xr:uid="{00000000-0005-0000-0000-00000D500000}"/>
    <cellStyle name="Normal 6 2 11 3" xfId="35526" xr:uid="{00000000-0005-0000-0000-00000E500000}"/>
    <cellStyle name="Normal 6 2 11 4" xfId="39883" xr:uid="{00000000-0005-0000-0000-00003A0D0000}"/>
    <cellStyle name="Normal 6 2 12" xfId="13873" xr:uid="{00000000-0005-0000-0000-00000F500000}"/>
    <cellStyle name="Normal 6 2 12 2" xfId="30985" xr:uid="{00000000-0005-0000-0000-000010500000}"/>
    <cellStyle name="Normal 6 2 12 3" xfId="35647" xr:uid="{00000000-0005-0000-0000-000011500000}"/>
    <cellStyle name="Normal 6 2 12 4" xfId="39884" xr:uid="{00000000-0005-0000-0000-00003B0D0000}"/>
    <cellStyle name="Normal 6 2 13" xfId="13992" xr:uid="{00000000-0005-0000-0000-000012500000}"/>
    <cellStyle name="Normal 6 2 13 2" xfId="31104" xr:uid="{00000000-0005-0000-0000-000013500000}"/>
    <cellStyle name="Normal 6 2 13 3" xfId="35766" xr:uid="{00000000-0005-0000-0000-000014500000}"/>
    <cellStyle name="Normal 6 2 13 4" xfId="39885" xr:uid="{00000000-0005-0000-0000-00003C0D0000}"/>
    <cellStyle name="Normal 6 2 14" xfId="14338" xr:uid="{00000000-0005-0000-0000-000015500000}"/>
    <cellStyle name="Normal 6 2 14 2" xfId="39886" xr:uid="{00000000-0005-0000-0000-00003D0D0000}"/>
    <cellStyle name="Normal 6 2 2" xfId="10004" xr:uid="{00000000-0005-0000-0000-000016500000}"/>
    <cellStyle name="Normal 6 2 2 10" xfId="12925" xr:uid="{00000000-0005-0000-0000-000017500000}"/>
    <cellStyle name="Normal 6 2 2 10 2" xfId="30483" xr:uid="{00000000-0005-0000-0000-000018500000}"/>
    <cellStyle name="Normal 6 2 2 10 3" xfId="35139" xr:uid="{00000000-0005-0000-0000-000019500000}"/>
    <cellStyle name="Normal 6 2 2 11" xfId="12926" xr:uid="{00000000-0005-0000-0000-00001A500000}"/>
    <cellStyle name="Normal 6 2 2 11 2" xfId="30484" xr:uid="{00000000-0005-0000-0000-00001B500000}"/>
    <cellStyle name="Normal 6 2 2 11 3" xfId="35140" xr:uid="{00000000-0005-0000-0000-00001C500000}"/>
    <cellStyle name="Normal 6 2 2 12" xfId="12927" xr:uid="{00000000-0005-0000-0000-00001D500000}"/>
    <cellStyle name="Normal 6 2 2 12 2" xfId="30485" xr:uid="{00000000-0005-0000-0000-00001E500000}"/>
    <cellStyle name="Normal 6 2 2 12 3" xfId="35141" xr:uid="{00000000-0005-0000-0000-00001F500000}"/>
    <cellStyle name="Normal 6 2 2 13" xfId="12928" xr:uid="{00000000-0005-0000-0000-000020500000}"/>
    <cellStyle name="Normal 6 2 2 13 2" xfId="30486" xr:uid="{00000000-0005-0000-0000-000021500000}"/>
    <cellStyle name="Normal 6 2 2 13 3" xfId="35142" xr:uid="{00000000-0005-0000-0000-000022500000}"/>
    <cellStyle name="Normal 6 2 2 2" xfId="12929" xr:uid="{00000000-0005-0000-0000-000023500000}"/>
    <cellStyle name="Normal 6 2 2 2 2" xfId="30487" xr:uid="{00000000-0005-0000-0000-000024500000}"/>
    <cellStyle name="Normal 6 2 2 2 3" xfId="35143" xr:uid="{00000000-0005-0000-0000-000025500000}"/>
    <cellStyle name="Normal 6 2 2 3" xfId="12930" xr:uid="{00000000-0005-0000-0000-000026500000}"/>
    <cellStyle name="Normal 6 2 2 3 2" xfId="30488" xr:uid="{00000000-0005-0000-0000-000027500000}"/>
    <cellStyle name="Normal 6 2 2 3 3" xfId="35144" xr:uid="{00000000-0005-0000-0000-000028500000}"/>
    <cellStyle name="Normal 6 2 2 4" xfId="12931" xr:uid="{00000000-0005-0000-0000-000029500000}"/>
    <cellStyle name="Normal 6 2 2 4 2" xfId="30489" xr:uid="{00000000-0005-0000-0000-00002A500000}"/>
    <cellStyle name="Normal 6 2 2 4 3" xfId="35145" xr:uid="{00000000-0005-0000-0000-00002B500000}"/>
    <cellStyle name="Normal 6 2 2 5" xfId="12932" xr:uid="{00000000-0005-0000-0000-00002C500000}"/>
    <cellStyle name="Normal 6 2 2 5 2" xfId="30490" xr:uid="{00000000-0005-0000-0000-00002D500000}"/>
    <cellStyle name="Normal 6 2 2 5 3" xfId="35146" xr:uid="{00000000-0005-0000-0000-00002E500000}"/>
    <cellStyle name="Normal 6 2 2 6" xfId="12933" xr:uid="{00000000-0005-0000-0000-00002F500000}"/>
    <cellStyle name="Normal 6 2 2 6 2" xfId="30491" xr:uid="{00000000-0005-0000-0000-000030500000}"/>
    <cellStyle name="Normal 6 2 2 6 3" xfId="35147" xr:uid="{00000000-0005-0000-0000-000031500000}"/>
    <cellStyle name="Normal 6 2 2 7" xfId="12934" xr:uid="{00000000-0005-0000-0000-000032500000}"/>
    <cellStyle name="Normal 6 2 2 7 2" xfId="30492" xr:uid="{00000000-0005-0000-0000-000033500000}"/>
    <cellStyle name="Normal 6 2 2 7 3" xfId="35148" xr:uid="{00000000-0005-0000-0000-000034500000}"/>
    <cellStyle name="Normal 6 2 2 8" xfId="12935" xr:uid="{00000000-0005-0000-0000-000035500000}"/>
    <cellStyle name="Normal 6 2 2 8 2" xfId="30493" xr:uid="{00000000-0005-0000-0000-000036500000}"/>
    <cellStyle name="Normal 6 2 2 8 3" xfId="35149" xr:uid="{00000000-0005-0000-0000-000037500000}"/>
    <cellStyle name="Normal 6 2 2 9" xfId="12936" xr:uid="{00000000-0005-0000-0000-000038500000}"/>
    <cellStyle name="Normal 6 2 2 9 2" xfId="30494" xr:uid="{00000000-0005-0000-0000-000039500000}"/>
    <cellStyle name="Normal 6 2 2 9 3" xfId="35150" xr:uid="{00000000-0005-0000-0000-00003A500000}"/>
    <cellStyle name="Normal 6 2 3" xfId="10005" xr:uid="{00000000-0005-0000-0000-00003B500000}"/>
    <cellStyle name="Normal 6 2 4" xfId="11625" xr:uid="{00000000-0005-0000-0000-00003C500000}"/>
    <cellStyle name="Normal 6 2 4 2" xfId="12937" xr:uid="{00000000-0005-0000-0000-00003D500000}"/>
    <cellStyle name="Normal 6 2 4 3" xfId="29772" xr:uid="{00000000-0005-0000-0000-00003E500000}"/>
    <cellStyle name="Normal 6 2 4 4" xfId="34415" xr:uid="{00000000-0005-0000-0000-00003F500000}"/>
    <cellStyle name="Normal 6 2 5" xfId="11763" xr:uid="{00000000-0005-0000-0000-000040500000}"/>
    <cellStyle name="Normal 6 2 5 2" xfId="12938" xr:uid="{00000000-0005-0000-0000-000041500000}"/>
    <cellStyle name="Normal 6 2 5 3" xfId="29892" xr:uid="{00000000-0005-0000-0000-000042500000}"/>
    <cellStyle name="Normal 6 2 5 4" xfId="34541" xr:uid="{00000000-0005-0000-0000-000043500000}"/>
    <cellStyle name="Normal 6 2 6" xfId="11882" xr:uid="{00000000-0005-0000-0000-000044500000}"/>
    <cellStyle name="Normal 6 2 6 2" xfId="12939" xr:uid="{00000000-0005-0000-0000-000045500000}"/>
    <cellStyle name="Normal 6 2 6 3" xfId="30010" xr:uid="{00000000-0005-0000-0000-000046500000}"/>
    <cellStyle name="Normal 6 2 6 4" xfId="34660" xr:uid="{00000000-0005-0000-0000-000047500000}"/>
    <cellStyle name="Normal 6 2 7" xfId="12001" xr:uid="{00000000-0005-0000-0000-000048500000}"/>
    <cellStyle name="Normal 6 2 7 2" xfId="12940" xr:uid="{00000000-0005-0000-0000-000049500000}"/>
    <cellStyle name="Normal 6 2 7 3" xfId="30127" xr:uid="{00000000-0005-0000-0000-00004A500000}"/>
    <cellStyle name="Normal 6 2 7 4" xfId="34779" xr:uid="{00000000-0005-0000-0000-00004B500000}"/>
    <cellStyle name="Normal 6 2 8" xfId="12941" xr:uid="{00000000-0005-0000-0000-00004C500000}"/>
    <cellStyle name="Normal 6 2 9" xfId="13510" xr:uid="{00000000-0005-0000-0000-00004D500000}"/>
    <cellStyle name="Normal 6 2 9 2" xfId="30622" xr:uid="{00000000-0005-0000-0000-00004E500000}"/>
    <cellStyle name="Normal 6 2 9 3" xfId="35284" xr:uid="{00000000-0005-0000-0000-00004F500000}"/>
    <cellStyle name="Normal 6 2 9 4" xfId="39887" xr:uid="{00000000-0005-0000-0000-0000510D0000}"/>
    <cellStyle name="Normal 6 3" xfId="2869" xr:uid="{00000000-0005-0000-0000-000050500000}"/>
    <cellStyle name="Normal 6 3 10" xfId="13633" xr:uid="{00000000-0005-0000-0000-000051500000}"/>
    <cellStyle name="Normal 6 3 10 2" xfId="30745" xr:uid="{00000000-0005-0000-0000-000052500000}"/>
    <cellStyle name="Normal 6 3 10 3" xfId="35407" xr:uid="{00000000-0005-0000-0000-000053500000}"/>
    <cellStyle name="Normal 6 3 10 4" xfId="39888" xr:uid="{00000000-0005-0000-0000-0000530D0000}"/>
    <cellStyle name="Normal 6 3 11" xfId="13753" xr:uid="{00000000-0005-0000-0000-000054500000}"/>
    <cellStyle name="Normal 6 3 11 2" xfId="30865" xr:uid="{00000000-0005-0000-0000-000055500000}"/>
    <cellStyle name="Normal 6 3 11 3" xfId="35527" xr:uid="{00000000-0005-0000-0000-000056500000}"/>
    <cellStyle name="Normal 6 3 11 4" xfId="39889" xr:uid="{00000000-0005-0000-0000-0000540D0000}"/>
    <cellStyle name="Normal 6 3 12" xfId="13874" xr:uid="{00000000-0005-0000-0000-000057500000}"/>
    <cellStyle name="Normal 6 3 12 2" xfId="30986" xr:uid="{00000000-0005-0000-0000-000058500000}"/>
    <cellStyle name="Normal 6 3 12 3" xfId="35648" xr:uid="{00000000-0005-0000-0000-000059500000}"/>
    <cellStyle name="Normal 6 3 12 4" xfId="39890" xr:uid="{00000000-0005-0000-0000-0000550D0000}"/>
    <cellStyle name="Normal 6 3 13" xfId="13993" xr:uid="{00000000-0005-0000-0000-00005A500000}"/>
    <cellStyle name="Normal 6 3 13 2" xfId="31105" xr:uid="{00000000-0005-0000-0000-00005B500000}"/>
    <cellStyle name="Normal 6 3 13 3" xfId="35767" xr:uid="{00000000-0005-0000-0000-00005C500000}"/>
    <cellStyle name="Normal 6 3 13 4" xfId="39891" xr:uid="{00000000-0005-0000-0000-0000560D0000}"/>
    <cellStyle name="Normal 6 3 14" xfId="39892" xr:uid="{00000000-0005-0000-0000-0000570D0000}"/>
    <cellStyle name="Normal 6 3 2" xfId="10006" xr:uid="{00000000-0005-0000-0000-00005D500000}"/>
    <cellStyle name="Normal 6 3 2 2" xfId="11181" xr:uid="{00000000-0005-0000-0000-00005E500000}"/>
    <cellStyle name="Normal 6 3 2 2 2" xfId="29561" xr:uid="{00000000-0005-0000-0000-00005F500000}"/>
    <cellStyle name="Normal 6 3 2 2 3" xfId="33998" xr:uid="{00000000-0005-0000-0000-000060500000}"/>
    <cellStyle name="Normal 6 3 2 3" xfId="12942" xr:uid="{00000000-0005-0000-0000-000061500000}"/>
    <cellStyle name="Normal 6 3 2 4" xfId="28519" xr:uid="{00000000-0005-0000-0000-000062500000}"/>
    <cellStyle name="Normal 6 3 2 5" xfId="33340" xr:uid="{00000000-0005-0000-0000-000063500000}"/>
    <cellStyle name="Normal 6 3 3" xfId="10007" xr:uid="{00000000-0005-0000-0000-000064500000}"/>
    <cellStyle name="Normal 6 3 3 2" xfId="12943" xr:uid="{00000000-0005-0000-0000-000065500000}"/>
    <cellStyle name="Normal 6 3 4" xfId="11626" xr:uid="{00000000-0005-0000-0000-000066500000}"/>
    <cellStyle name="Normal 6 3 4 2" xfId="12944" xr:uid="{00000000-0005-0000-0000-000067500000}"/>
    <cellStyle name="Normal 6 3 4 3" xfId="29773" xr:uid="{00000000-0005-0000-0000-000068500000}"/>
    <cellStyle name="Normal 6 3 4 4" xfId="34416" xr:uid="{00000000-0005-0000-0000-000069500000}"/>
    <cellStyle name="Normal 6 3 5" xfId="11764" xr:uid="{00000000-0005-0000-0000-00006A500000}"/>
    <cellStyle name="Normal 6 3 5 2" xfId="12945" xr:uid="{00000000-0005-0000-0000-00006B500000}"/>
    <cellStyle name="Normal 6 3 5 3" xfId="29893" xr:uid="{00000000-0005-0000-0000-00006C500000}"/>
    <cellStyle name="Normal 6 3 5 4" xfId="34542" xr:uid="{00000000-0005-0000-0000-00006D500000}"/>
    <cellStyle name="Normal 6 3 6" xfId="11883" xr:uid="{00000000-0005-0000-0000-00006E500000}"/>
    <cellStyle name="Normal 6 3 6 2" xfId="12946" xr:uid="{00000000-0005-0000-0000-00006F500000}"/>
    <cellStyle name="Normal 6 3 6 3" xfId="30011" xr:uid="{00000000-0005-0000-0000-000070500000}"/>
    <cellStyle name="Normal 6 3 6 4" xfId="34661" xr:uid="{00000000-0005-0000-0000-000071500000}"/>
    <cellStyle name="Normal 6 3 7" xfId="12002" xr:uid="{00000000-0005-0000-0000-000072500000}"/>
    <cellStyle name="Normal 6 3 7 2" xfId="12947" xr:uid="{00000000-0005-0000-0000-000073500000}"/>
    <cellStyle name="Normal 6 3 7 3" xfId="30128" xr:uid="{00000000-0005-0000-0000-000074500000}"/>
    <cellStyle name="Normal 6 3 7 4" xfId="34780" xr:uid="{00000000-0005-0000-0000-000075500000}"/>
    <cellStyle name="Normal 6 3 8" xfId="12948" xr:uid="{00000000-0005-0000-0000-000076500000}"/>
    <cellStyle name="Normal 6 3 9" xfId="13511" xr:uid="{00000000-0005-0000-0000-000077500000}"/>
    <cellStyle name="Normal 6 3 9 2" xfId="30623" xr:uid="{00000000-0005-0000-0000-000078500000}"/>
    <cellStyle name="Normal 6 3 9 3" xfId="35285" xr:uid="{00000000-0005-0000-0000-000079500000}"/>
    <cellStyle name="Normal 6 3 9 4" xfId="39893" xr:uid="{00000000-0005-0000-0000-00005F0D0000}"/>
    <cellStyle name="Normal 6 4" xfId="2870" xr:uid="{00000000-0005-0000-0000-00007A500000}"/>
    <cellStyle name="Normal 6 4 10" xfId="31302" xr:uid="{00000000-0005-0000-0000-00007B500000}"/>
    <cellStyle name="Normal 6 4 11" xfId="27397" xr:uid="{00000000-0005-0000-0000-00007C500000}"/>
    <cellStyle name="Normal 6 4 2" xfId="3478" xr:uid="{00000000-0005-0000-0000-00007D500000}"/>
    <cellStyle name="Normal 6 4 2 2" xfId="12949" xr:uid="{00000000-0005-0000-0000-00007E500000}"/>
    <cellStyle name="Normal 6 4 2 2 2" xfId="35151" xr:uid="{00000000-0005-0000-0000-00007F500000}"/>
    <cellStyle name="Normal 6 4 2 2 3" xfId="28425" xr:uid="{00000000-0005-0000-0000-000080500000}"/>
    <cellStyle name="Normal 6 4 2 3" xfId="30495" xr:uid="{00000000-0005-0000-0000-000081500000}"/>
    <cellStyle name="Normal 6 4 2 4" xfId="28237" xr:uid="{00000000-0005-0000-0000-000082500000}"/>
    <cellStyle name="Normal 6 4 2 5" xfId="31532" xr:uid="{00000000-0005-0000-0000-000083500000}"/>
    <cellStyle name="Normal 6 4 2 6" xfId="28138" xr:uid="{00000000-0005-0000-0000-000084500000}"/>
    <cellStyle name="Normal 6 4 3" xfId="12950" xr:uid="{00000000-0005-0000-0000-000085500000}"/>
    <cellStyle name="Normal 6 4 3 2" xfId="30496" xr:uid="{00000000-0005-0000-0000-000086500000}"/>
    <cellStyle name="Normal 6 4 3 3" xfId="28398" xr:uid="{00000000-0005-0000-0000-000087500000}"/>
    <cellStyle name="Normal 6 4 4" xfId="12951" xr:uid="{00000000-0005-0000-0000-000088500000}"/>
    <cellStyle name="Normal 6 4 5" xfId="12952" xr:uid="{00000000-0005-0000-0000-000089500000}"/>
    <cellStyle name="Normal 6 4 6" xfId="12953" xr:uid="{00000000-0005-0000-0000-00008A500000}"/>
    <cellStyle name="Normal 6 4 7" xfId="12954" xr:uid="{00000000-0005-0000-0000-00008B500000}"/>
    <cellStyle name="Normal 6 4 8" xfId="12955" xr:uid="{00000000-0005-0000-0000-00008C500000}"/>
    <cellStyle name="Normal 6 4 9" xfId="10008" xr:uid="{00000000-0005-0000-0000-00008D500000}"/>
    <cellStyle name="Normal 6 4 9 2" xfId="33341" xr:uid="{00000000-0005-0000-0000-00008E500000}"/>
    <cellStyle name="Normal 6 4 9 3" xfId="28236" xr:uid="{00000000-0005-0000-0000-00008F500000}"/>
    <cellStyle name="Normal 6 5" xfId="10009" xr:uid="{00000000-0005-0000-0000-000090500000}"/>
    <cellStyle name="Normal 6 5 2" xfId="12956" xr:uid="{00000000-0005-0000-0000-000091500000}"/>
    <cellStyle name="Normal 6 5 3" xfId="12957" xr:uid="{00000000-0005-0000-0000-000092500000}"/>
    <cellStyle name="Normal 6 5 4" xfId="12958" xr:uid="{00000000-0005-0000-0000-000093500000}"/>
    <cellStyle name="Normal 6 5 5" xfId="12959" xr:uid="{00000000-0005-0000-0000-000094500000}"/>
    <cellStyle name="Normal 6 5 6" xfId="12960" xr:uid="{00000000-0005-0000-0000-000095500000}"/>
    <cellStyle name="Normal 6 5 7" xfId="12961" xr:uid="{00000000-0005-0000-0000-000096500000}"/>
    <cellStyle name="Normal 6 5 8" xfId="12962" xr:uid="{00000000-0005-0000-0000-000097500000}"/>
    <cellStyle name="Normal 6 6" xfId="11180" xr:uid="{00000000-0005-0000-0000-000098500000}"/>
    <cellStyle name="Normal 6 6 2" xfId="12963" xr:uid="{00000000-0005-0000-0000-000099500000}"/>
    <cellStyle name="Normal 6 6 3" xfId="29560" xr:uid="{00000000-0005-0000-0000-00009A500000}"/>
    <cellStyle name="Normal 6 6 4" xfId="33997" xr:uid="{00000000-0005-0000-0000-00009B500000}"/>
    <cellStyle name="Normal 6 7" xfId="11624" xr:uid="{00000000-0005-0000-0000-00009C500000}"/>
    <cellStyle name="Normal 6 7 2" xfId="12964" xr:uid="{00000000-0005-0000-0000-00009D500000}"/>
    <cellStyle name="Normal 6 7 3" xfId="29771" xr:uid="{00000000-0005-0000-0000-00009E500000}"/>
    <cellStyle name="Normal 6 7 4" xfId="34414" xr:uid="{00000000-0005-0000-0000-00009F500000}"/>
    <cellStyle name="Normal 6 8" xfId="11762" xr:uid="{00000000-0005-0000-0000-0000A0500000}"/>
    <cellStyle name="Normal 6 8 2" xfId="12965" xr:uid="{00000000-0005-0000-0000-0000A1500000}"/>
    <cellStyle name="Normal 6 8 3" xfId="29891" xr:uid="{00000000-0005-0000-0000-0000A2500000}"/>
    <cellStyle name="Normal 6 8 4" xfId="34540" xr:uid="{00000000-0005-0000-0000-0000A3500000}"/>
    <cellStyle name="Normal 6 9" xfId="11881" xr:uid="{00000000-0005-0000-0000-0000A4500000}"/>
    <cellStyle name="Normal 6 9 2" xfId="12966" xr:uid="{00000000-0005-0000-0000-0000A5500000}"/>
    <cellStyle name="Normal 6 9 3" xfId="30009" xr:uid="{00000000-0005-0000-0000-0000A6500000}"/>
    <cellStyle name="Normal 6 9 4" xfId="34659" xr:uid="{00000000-0005-0000-0000-0000A7500000}"/>
    <cellStyle name="Normal 6_ELC" xfId="39894" xr:uid="{00000000-0005-0000-0000-0000740D0000}"/>
    <cellStyle name="Normal 7" xfId="2871" xr:uid="{00000000-0005-0000-0000-0000A8500000}"/>
    <cellStyle name="Normal 7 10" xfId="12967" xr:uid="{00000000-0005-0000-0000-0000A9500000}"/>
    <cellStyle name="Normal 7 11" xfId="12968" xr:uid="{00000000-0005-0000-0000-0000AA500000}"/>
    <cellStyle name="Normal 7 12" xfId="12969" xr:uid="{00000000-0005-0000-0000-0000AB500000}"/>
    <cellStyle name="Normal 7 13" xfId="12970" xr:uid="{00000000-0005-0000-0000-0000AC500000}"/>
    <cellStyle name="Normal 7 13 2" xfId="30497" xr:uid="{00000000-0005-0000-0000-0000AD500000}"/>
    <cellStyle name="Normal 7 13 3" xfId="35152" xr:uid="{00000000-0005-0000-0000-0000AE500000}"/>
    <cellStyle name="Normal 7 14" xfId="13512" xr:uid="{00000000-0005-0000-0000-0000AF500000}"/>
    <cellStyle name="Normal 7 14 2" xfId="30624" xr:uid="{00000000-0005-0000-0000-0000B0500000}"/>
    <cellStyle name="Normal 7 14 3" xfId="35286" xr:uid="{00000000-0005-0000-0000-0000B1500000}"/>
    <cellStyle name="Normal 7 15" xfId="13634" xr:uid="{00000000-0005-0000-0000-0000B2500000}"/>
    <cellStyle name="Normal 7 15 2" xfId="30746" xr:uid="{00000000-0005-0000-0000-0000B3500000}"/>
    <cellStyle name="Normal 7 15 3" xfId="35408" xr:uid="{00000000-0005-0000-0000-0000B4500000}"/>
    <cellStyle name="Normal 7 16" xfId="13754" xr:uid="{00000000-0005-0000-0000-0000B5500000}"/>
    <cellStyle name="Normal 7 16 2" xfId="30866" xr:uid="{00000000-0005-0000-0000-0000B6500000}"/>
    <cellStyle name="Normal 7 16 3" xfId="35528" xr:uid="{00000000-0005-0000-0000-0000B7500000}"/>
    <cellStyle name="Normal 7 17" xfId="13875" xr:uid="{00000000-0005-0000-0000-0000B8500000}"/>
    <cellStyle name="Normal 7 17 2" xfId="30987" xr:uid="{00000000-0005-0000-0000-0000B9500000}"/>
    <cellStyle name="Normal 7 17 3" xfId="35649" xr:uid="{00000000-0005-0000-0000-0000BA500000}"/>
    <cellStyle name="Normal 7 18" xfId="13994" xr:uid="{00000000-0005-0000-0000-0000BB500000}"/>
    <cellStyle name="Normal 7 18 2" xfId="31106" xr:uid="{00000000-0005-0000-0000-0000BC500000}"/>
    <cellStyle name="Normal 7 18 3" xfId="35768" xr:uid="{00000000-0005-0000-0000-0000BD500000}"/>
    <cellStyle name="Normal 7 19" xfId="14339" xr:uid="{00000000-0005-0000-0000-0000BE500000}"/>
    <cellStyle name="Normal 7 2" xfId="2872" xr:uid="{00000000-0005-0000-0000-0000BF500000}"/>
    <cellStyle name="Normal 7 2 10" xfId="13635" xr:uid="{00000000-0005-0000-0000-0000C0500000}"/>
    <cellStyle name="Normal 7 2 10 2" xfId="30747" xr:uid="{00000000-0005-0000-0000-0000C1500000}"/>
    <cellStyle name="Normal 7 2 10 3" xfId="35409" xr:uid="{00000000-0005-0000-0000-0000C2500000}"/>
    <cellStyle name="Normal 7 2 11" xfId="13755" xr:uid="{00000000-0005-0000-0000-0000C3500000}"/>
    <cellStyle name="Normal 7 2 11 2" xfId="30867" xr:uid="{00000000-0005-0000-0000-0000C4500000}"/>
    <cellStyle name="Normal 7 2 11 3" xfId="35529" xr:uid="{00000000-0005-0000-0000-0000C5500000}"/>
    <cellStyle name="Normal 7 2 12" xfId="13876" xr:uid="{00000000-0005-0000-0000-0000C6500000}"/>
    <cellStyle name="Normal 7 2 12 2" xfId="30988" xr:uid="{00000000-0005-0000-0000-0000C7500000}"/>
    <cellStyle name="Normal 7 2 12 3" xfId="35650" xr:uid="{00000000-0005-0000-0000-0000C8500000}"/>
    <cellStyle name="Normal 7 2 13" xfId="13995" xr:uid="{00000000-0005-0000-0000-0000C9500000}"/>
    <cellStyle name="Normal 7 2 13 2" xfId="31107" xr:uid="{00000000-0005-0000-0000-0000CA500000}"/>
    <cellStyle name="Normal 7 2 13 3" xfId="35769" xr:uid="{00000000-0005-0000-0000-0000CB500000}"/>
    <cellStyle name="Normal 7 2 2" xfId="11628" xr:uid="{00000000-0005-0000-0000-0000CC500000}"/>
    <cellStyle name="Normal 7 2 2 2" xfId="12971" xr:uid="{00000000-0005-0000-0000-0000CD500000}"/>
    <cellStyle name="Normal 7 2 2 3" xfId="29774" xr:uid="{00000000-0005-0000-0000-0000CE500000}"/>
    <cellStyle name="Normal 7 2 2 4" xfId="34418" xr:uid="{00000000-0005-0000-0000-0000CF500000}"/>
    <cellStyle name="Normal 7 2 3" xfId="11766" xr:uid="{00000000-0005-0000-0000-0000D0500000}"/>
    <cellStyle name="Normal 7 2 3 2" xfId="12972" xr:uid="{00000000-0005-0000-0000-0000D1500000}"/>
    <cellStyle name="Normal 7 2 3 3" xfId="29895" xr:uid="{00000000-0005-0000-0000-0000D2500000}"/>
    <cellStyle name="Normal 7 2 3 4" xfId="34544" xr:uid="{00000000-0005-0000-0000-0000D3500000}"/>
    <cellStyle name="Normal 7 2 4" xfId="11885" xr:uid="{00000000-0005-0000-0000-0000D4500000}"/>
    <cellStyle name="Normal 7 2 4 2" xfId="12973" xr:uid="{00000000-0005-0000-0000-0000D5500000}"/>
    <cellStyle name="Normal 7 2 4 3" xfId="30013" xr:uid="{00000000-0005-0000-0000-0000D6500000}"/>
    <cellStyle name="Normal 7 2 4 4" xfId="34663" xr:uid="{00000000-0005-0000-0000-0000D7500000}"/>
    <cellStyle name="Normal 7 2 5" xfId="12004" xr:uid="{00000000-0005-0000-0000-0000D8500000}"/>
    <cellStyle name="Normal 7 2 5 2" xfId="12974" xr:uid="{00000000-0005-0000-0000-0000D9500000}"/>
    <cellStyle name="Normal 7 2 5 3" xfId="30130" xr:uid="{00000000-0005-0000-0000-0000DA500000}"/>
    <cellStyle name="Normal 7 2 5 4" xfId="34782" xr:uid="{00000000-0005-0000-0000-0000DB500000}"/>
    <cellStyle name="Normal 7 2 6" xfId="12975" xr:uid="{00000000-0005-0000-0000-0000DC500000}"/>
    <cellStyle name="Normal 7 2 7" xfId="12976" xr:uid="{00000000-0005-0000-0000-0000DD500000}"/>
    <cellStyle name="Normal 7 2 8" xfId="12977" xr:uid="{00000000-0005-0000-0000-0000DE500000}"/>
    <cellStyle name="Normal 7 2 9" xfId="13513" xr:uid="{00000000-0005-0000-0000-0000DF500000}"/>
    <cellStyle name="Normal 7 2 9 2" xfId="30625" xr:uid="{00000000-0005-0000-0000-0000E0500000}"/>
    <cellStyle name="Normal 7 2 9 3" xfId="35287" xr:uid="{00000000-0005-0000-0000-0000E1500000}"/>
    <cellStyle name="Normal 7 2 9 4" xfId="39895" xr:uid="{00000000-0005-0000-0000-0000820D0000}"/>
    <cellStyle name="Normal 7 2_Scen_XBase" xfId="39896" xr:uid="{00000000-0005-0000-0000-0000830D0000}"/>
    <cellStyle name="Normal 7 3" xfId="11499" xr:uid="{00000000-0005-0000-0000-0000E2500000}"/>
    <cellStyle name="Normal 7 3 10" xfId="13514" xr:uid="{00000000-0005-0000-0000-0000E3500000}"/>
    <cellStyle name="Normal 7 3 10 2" xfId="30626" xr:uid="{00000000-0005-0000-0000-0000E4500000}"/>
    <cellStyle name="Normal 7 3 10 3" xfId="35288" xr:uid="{00000000-0005-0000-0000-0000E5500000}"/>
    <cellStyle name="Normal 7 3 11" xfId="13636" xr:uid="{00000000-0005-0000-0000-0000E6500000}"/>
    <cellStyle name="Normal 7 3 11 2" xfId="30748" xr:uid="{00000000-0005-0000-0000-0000E7500000}"/>
    <cellStyle name="Normal 7 3 11 3" xfId="35410" xr:uid="{00000000-0005-0000-0000-0000E8500000}"/>
    <cellStyle name="Normal 7 3 12" xfId="13756" xr:uid="{00000000-0005-0000-0000-0000E9500000}"/>
    <cellStyle name="Normal 7 3 12 2" xfId="30868" xr:uid="{00000000-0005-0000-0000-0000EA500000}"/>
    <cellStyle name="Normal 7 3 12 3" xfId="35530" xr:uid="{00000000-0005-0000-0000-0000EB500000}"/>
    <cellStyle name="Normal 7 3 13" xfId="13877" xr:uid="{00000000-0005-0000-0000-0000EC500000}"/>
    <cellStyle name="Normal 7 3 13 2" xfId="30989" xr:uid="{00000000-0005-0000-0000-0000ED500000}"/>
    <cellStyle name="Normal 7 3 13 3" xfId="35651" xr:uid="{00000000-0005-0000-0000-0000EE500000}"/>
    <cellStyle name="Normal 7 3 14" xfId="13996" xr:uid="{00000000-0005-0000-0000-0000EF500000}"/>
    <cellStyle name="Normal 7 3 14 2" xfId="31108" xr:uid="{00000000-0005-0000-0000-0000F0500000}"/>
    <cellStyle name="Normal 7 3 14 3" xfId="35770" xr:uid="{00000000-0005-0000-0000-0000F1500000}"/>
    <cellStyle name="Normal 7 3 15" xfId="29677" xr:uid="{00000000-0005-0000-0000-0000F2500000}"/>
    <cellStyle name="Normal 7 3 16" xfId="34308" xr:uid="{00000000-0005-0000-0000-0000F3500000}"/>
    <cellStyle name="Normal 7 3 2" xfId="11629" xr:uid="{00000000-0005-0000-0000-0000F4500000}"/>
    <cellStyle name="Normal 7 3 2 2" xfId="12979" xr:uid="{00000000-0005-0000-0000-0000F5500000}"/>
    <cellStyle name="Normal 7 3 2 3" xfId="29775" xr:uid="{00000000-0005-0000-0000-0000F6500000}"/>
    <cellStyle name="Normal 7 3 2 4" xfId="34419" xr:uid="{00000000-0005-0000-0000-0000F7500000}"/>
    <cellStyle name="Normal 7 3 3" xfId="11767" xr:uid="{00000000-0005-0000-0000-0000F8500000}"/>
    <cellStyle name="Normal 7 3 3 2" xfId="12980" xr:uid="{00000000-0005-0000-0000-0000F9500000}"/>
    <cellStyle name="Normal 7 3 3 3" xfId="29896" xr:uid="{00000000-0005-0000-0000-0000FA500000}"/>
    <cellStyle name="Normal 7 3 3 4" xfId="34545" xr:uid="{00000000-0005-0000-0000-0000FB500000}"/>
    <cellStyle name="Normal 7 3 4" xfId="11886" xr:uid="{00000000-0005-0000-0000-0000FC500000}"/>
    <cellStyle name="Normal 7 3 4 2" xfId="12981" xr:uid="{00000000-0005-0000-0000-0000FD500000}"/>
    <cellStyle name="Normal 7 3 4 3" xfId="30014" xr:uid="{00000000-0005-0000-0000-0000FE500000}"/>
    <cellStyle name="Normal 7 3 4 4" xfId="34664" xr:uid="{00000000-0005-0000-0000-0000FF500000}"/>
    <cellStyle name="Normal 7 3 5" xfId="12005" xr:uid="{00000000-0005-0000-0000-000000510000}"/>
    <cellStyle name="Normal 7 3 5 2" xfId="12982" xr:uid="{00000000-0005-0000-0000-000001510000}"/>
    <cellStyle name="Normal 7 3 5 3" xfId="30131" xr:uid="{00000000-0005-0000-0000-000002510000}"/>
    <cellStyle name="Normal 7 3 5 4" xfId="34783" xr:uid="{00000000-0005-0000-0000-000003510000}"/>
    <cellStyle name="Normal 7 3 6" xfId="12983" xr:uid="{00000000-0005-0000-0000-000004510000}"/>
    <cellStyle name="Normal 7 3 7" xfId="12984" xr:uid="{00000000-0005-0000-0000-000005510000}"/>
    <cellStyle name="Normal 7 3 8" xfId="12985" xr:uid="{00000000-0005-0000-0000-000006510000}"/>
    <cellStyle name="Normal 7 3 9" xfId="12978" xr:uid="{00000000-0005-0000-0000-000007510000}"/>
    <cellStyle name="Normal 7 4" xfId="11627" xr:uid="{00000000-0005-0000-0000-000008510000}"/>
    <cellStyle name="Normal 7 4 10" xfId="14340" xr:uid="{00000000-0005-0000-0000-000009510000}"/>
    <cellStyle name="Normal 7 4 10 2" xfId="35902" xr:uid="{00000000-0005-0000-0000-00000A510000}"/>
    <cellStyle name="Normal 7 4 11" xfId="34417" xr:uid="{00000000-0005-0000-0000-00000B510000}"/>
    <cellStyle name="Normal 7 4 2" xfId="12987" xr:uid="{00000000-0005-0000-0000-00000C510000}"/>
    <cellStyle name="Normal 7 4 3" xfId="12988" xr:uid="{00000000-0005-0000-0000-00000D510000}"/>
    <cellStyle name="Normal 7 4 4" xfId="12989" xr:uid="{00000000-0005-0000-0000-00000E510000}"/>
    <cellStyle name="Normal 7 4 5" xfId="12990" xr:uid="{00000000-0005-0000-0000-00000F510000}"/>
    <cellStyle name="Normal 7 4 6" xfId="12991" xr:uid="{00000000-0005-0000-0000-000010510000}"/>
    <cellStyle name="Normal 7 4 7" xfId="12992" xr:uid="{00000000-0005-0000-0000-000011510000}"/>
    <cellStyle name="Normal 7 4 8" xfId="12993" xr:uid="{00000000-0005-0000-0000-000012510000}"/>
    <cellStyle name="Normal 7 4 9" xfId="12986" xr:uid="{00000000-0005-0000-0000-000013510000}"/>
    <cellStyle name="Normal 7 5" xfId="11765" xr:uid="{00000000-0005-0000-0000-000014510000}"/>
    <cellStyle name="Normal 7 5 10" xfId="29894" xr:uid="{00000000-0005-0000-0000-000015510000}"/>
    <cellStyle name="Normal 7 5 11" xfId="34543" xr:uid="{00000000-0005-0000-0000-000016510000}"/>
    <cellStyle name="Normal 7 5 2" xfId="12995" xr:uid="{00000000-0005-0000-0000-000017510000}"/>
    <cellStyle name="Normal 7 5 3" xfId="12996" xr:uid="{00000000-0005-0000-0000-000018510000}"/>
    <cellStyle name="Normal 7 5 4" xfId="12997" xr:uid="{00000000-0005-0000-0000-000019510000}"/>
    <cellStyle name="Normal 7 5 5" xfId="12998" xr:uid="{00000000-0005-0000-0000-00001A510000}"/>
    <cellStyle name="Normal 7 5 6" xfId="12999" xr:uid="{00000000-0005-0000-0000-00001B510000}"/>
    <cellStyle name="Normal 7 5 7" xfId="13000" xr:uid="{00000000-0005-0000-0000-00001C510000}"/>
    <cellStyle name="Normal 7 5 8" xfId="13001" xr:uid="{00000000-0005-0000-0000-00001D510000}"/>
    <cellStyle name="Normal 7 5 9" xfId="12994" xr:uid="{00000000-0005-0000-0000-00001E510000}"/>
    <cellStyle name="Normal 7 6" xfId="11884" xr:uid="{00000000-0005-0000-0000-00001F510000}"/>
    <cellStyle name="Normal 7 6 2" xfId="13002" xr:uid="{00000000-0005-0000-0000-000020510000}"/>
    <cellStyle name="Normal 7 6 3" xfId="30012" xr:uid="{00000000-0005-0000-0000-000021510000}"/>
    <cellStyle name="Normal 7 6 4" xfId="34662" xr:uid="{00000000-0005-0000-0000-000022510000}"/>
    <cellStyle name="Normal 7 7" xfId="12003" xr:uid="{00000000-0005-0000-0000-000023510000}"/>
    <cellStyle name="Normal 7 7 2" xfId="13003" xr:uid="{00000000-0005-0000-0000-000024510000}"/>
    <cellStyle name="Normal 7 7 3" xfId="30129" xr:uid="{00000000-0005-0000-0000-000025510000}"/>
    <cellStyle name="Normal 7 7 4" xfId="34781" xr:uid="{00000000-0005-0000-0000-000026510000}"/>
    <cellStyle name="Normal 7 8" xfId="13004" xr:uid="{00000000-0005-0000-0000-000027510000}"/>
    <cellStyle name="Normal 7 9" xfId="13005" xr:uid="{00000000-0005-0000-0000-000028510000}"/>
    <cellStyle name="Normal 8" xfId="2873" xr:uid="{00000000-0005-0000-0000-000029510000}"/>
    <cellStyle name="Normal 8 10" xfId="2874" xr:uid="{00000000-0005-0000-0000-00002A510000}"/>
    <cellStyle name="Normal 8 10 2" xfId="39898" xr:uid="{00000000-0005-0000-0000-0000A20D0000}"/>
    <cellStyle name="Normal 8 10 3" xfId="39897" xr:uid="{00000000-0005-0000-0000-0000A30D0000}"/>
    <cellStyle name="Normal 8 11" xfId="2875" xr:uid="{00000000-0005-0000-0000-00002B510000}"/>
    <cellStyle name="Normal 8 12" xfId="10010" xr:uid="{00000000-0005-0000-0000-00002C510000}"/>
    <cellStyle name="Normal 8 13" xfId="10011" xr:uid="{00000000-0005-0000-0000-00002D510000}"/>
    <cellStyle name="Normal 8 13 2" xfId="28520" xr:uid="{00000000-0005-0000-0000-00002E510000}"/>
    <cellStyle name="Normal 8 14" xfId="11630" xr:uid="{00000000-0005-0000-0000-00002F510000}"/>
    <cellStyle name="Normal 8 14 2" xfId="29776" xr:uid="{00000000-0005-0000-0000-000030510000}"/>
    <cellStyle name="Normal 8 14 3" xfId="34420" xr:uid="{00000000-0005-0000-0000-000031510000}"/>
    <cellStyle name="Normal 8 15" xfId="11768" xr:uid="{00000000-0005-0000-0000-000032510000}"/>
    <cellStyle name="Normal 8 15 2" xfId="29897" xr:uid="{00000000-0005-0000-0000-000033510000}"/>
    <cellStyle name="Normal 8 15 3" xfId="34546" xr:uid="{00000000-0005-0000-0000-000034510000}"/>
    <cellStyle name="Normal 8 16" xfId="11887" xr:uid="{00000000-0005-0000-0000-000035510000}"/>
    <cellStyle name="Normal 8 16 2" xfId="30015" xr:uid="{00000000-0005-0000-0000-000036510000}"/>
    <cellStyle name="Normal 8 16 3" xfId="34665" xr:uid="{00000000-0005-0000-0000-000037510000}"/>
    <cellStyle name="Normal 8 17" xfId="12006" xr:uid="{00000000-0005-0000-0000-000038510000}"/>
    <cellStyle name="Normal 8 17 2" xfId="30132" xr:uid="{00000000-0005-0000-0000-000039510000}"/>
    <cellStyle name="Normal 8 17 3" xfId="34784" xr:uid="{00000000-0005-0000-0000-00003A510000}"/>
    <cellStyle name="Normal 8 18" xfId="13515" xr:uid="{00000000-0005-0000-0000-00003B510000}"/>
    <cellStyle name="Normal 8 18 2" xfId="30627" xr:uid="{00000000-0005-0000-0000-00003C510000}"/>
    <cellStyle name="Normal 8 18 3" xfId="35289" xr:uid="{00000000-0005-0000-0000-00003D510000}"/>
    <cellStyle name="Normal 8 19" xfId="13637" xr:uid="{00000000-0005-0000-0000-00003E510000}"/>
    <cellStyle name="Normal 8 19 2" xfId="30749" xr:uid="{00000000-0005-0000-0000-00003F510000}"/>
    <cellStyle name="Normal 8 19 3" xfId="35411" xr:uid="{00000000-0005-0000-0000-000040510000}"/>
    <cellStyle name="Normal 8 2" xfId="2876" xr:uid="{00000000-0005-0000-0000-000041510000}"/>
    <cellStyle name="Normal 8 2 10" xfId="11769" xr:uid="{00000000-0005-0000-0000-000042510000}"/>
    <cellStyle name="Normal 8 2 10 2" xfId="29898" xr:uid="{00000000-0005-0000-0000-000043510000}"/>
    <cellStyle name="Normal 8 2 10 3" xfId="34547" xr:uid="{00000000-0005-0000-0000-000044510000}"/>
    <cellStyle name="Normal 8 2 11" xfId="11888" xr:uid="{00000000-0005-0000-0000-000045510000}"/>
    <cellStyle name="Normal 8 2 11 2" xfId="30016" xr:uid="{00000000-0005-0000-0000-000046510000}"/>
    <cellStyle name="Normal 8 2 11 3" xfId="34666" xr:uid="{00000000-0005-0000-0000-000047510000}"/>
    <cellStyle name="Normal 8 2 12" xfId="12007" xr:uid="{00000000-0005-0000-0000-000048510000}"/>
    <cellStyle name="Normal 8 2 12 2" xfId="30133" xr:uid="{00000000-0005-0000-0000-000049510000}"/>
    <cellStyle name="Normal 8 2 12 3" xfId="34785" xr:uid="{00000000-0005-0000-0000-00004A510000}"/>
    <cellStyle name="Normal 8 2 13" xfId="13516" xr:uid="{00000000-0005-0000-0000-00004B510000}"/>
    <cellStyle name="Normal 8 2 13 2" xfId="30628" xr:uid="{00000000-0005-0000-0000-00004C510000}"/>
    <cellStyle name="Normal 8 2 13 3" xfId="35290" xr:uid="{00000000-0005-0000-0000-00004D510000}"/>
    <cellStyle name="Normal 8 2 14" xfId="13638" xr:uid="{00000000-0005-0000-0000-00004E510000}"/>
    <cellStyle name="Normal 8 2 14 2" xfId="30750" xr:uid="{00000000-0005-0000-0000-00004F510000}"/>
    <cellStyle name="Normal 8 2 14 3" xfId="35412" xr:uid="{00000000-0005-0000-0000-000050510000}"/>
    <cellStyle name="Normal 8 2 15" xfId="13758" xr:uid="{00000000-0005-0000-0000-000051510000}"/>
    <cellStyle name="Normal 8 2 15 2" xfId="30870" xr:uid="{00000000-0005-0000-0000-000052510000}"/>
    <cellStyle name="Normal 8 2 15 3" xfId="35532" xr:uid="{00000000-0005-0000-0000-000053510000}"/>
    <cellStyle name="Normal 8 2 16" xfId="13879" xr:uid="{00000000-0005-0000-0000-000054510000}"/>
    <cellStyle name="Normal 8 2 16 2" xfId="30991" xr:uid="{00000000-0005-0000-0000-000055510000}"/>
    <cellStyle name="Normal 8 2 16 3" xfId="35653" xr:uid="{00000000-0005-0000-0000-000056510000}"/>
    <cellStyle name="Normal 8 2 17" xfId="13998" xr:uid="{00000000-0005-0000-0000-000057510000}"/>
    <cellStyle name="Normal 8 2 17 2" xfId="31110" xr:uid="{00000000-0005-0000-0000-000058510000}"/>
    <cellStyle name="Normal 8 2 17 3" xfId="35772" xr:uid="{00000000-0005-0000-0000-000059510000}"/>
    <cellStyle name="Normal 8 2 2" xfId="2877" xr:uid="{00000000-0005-0000-0000-00005A510000}"/>
    <cellStyle name="Normal 8 2 2 2" xfId="2878" xr:uid="{00000000-0005-0000-0000-00005B510000}"/>
    <cellStyle name="Normal 8 2 3" xfId="2879" xr:uid="{00000000-0005-0000-0000-00005C510000}"/>
    <cellStyle name="Normal 8 2 4" xfId="2880" xr:uid="{00000000-0005-0000-0000-00005D510000}"/>
    <cellStyle name="Normal 8 2 5" xfId="2881" xr:uid="{00000000-0005-0000-0000-00005E510000}"/>
    <cellStyle name="Normal 8 2 6" xfId="2882" xr:uid="{00000000-0005-0000-0000-00005F510000}"/>
    <cellStyle name="Normal 8 2 7" xfId="10012" xr:uid="{00000000-0005-0000-0000-000060510000}"/>
    <cellStyle name="Normal 8 2 8" xfId="10013" xr:uid="{00000000-0005-0000-0000-000061510000}"/>
    <cellStyle name="Normal 8 2 8 2" xfId="28521" xr:uid="{00000000-0005-0000-0000-000062510000}"/>
    <cellStyle name="Normal 8 2 9" xfId="11631" xr:uid="{00000000-0005-0000-0000-000063510000}"/>
    <cellStyle name="Normal 8 2 9 2" xfId="29777" xr:uid="{00000000-0005-0000-0000-000064510000}"/>
    <cellStyle name="Normal 8 2 9 3" xfId="34421" xr:uid="{00000000-0005-0000-0000-000065510000}"/>
    <cellStyle name="Normal 8 20" xfId="13757" xr:uid="{00000000-0005-0000-0000-000066510000}"/>
    <cellStyle name="Normal 8 20 2" xfId="30869" xr:uid="{00000000-0005-0000-0000-000067510000}"/>
    <cellStyle name="Normal 8 20 3" xfId="35531" xr:uid="{00000000-0005-0000-0000-000068510000}"/>
    <cellStyle name="Normal 8 21" xfId="13878" xr:uid="{00000000-0005-0000-0000-000069510000}"/>
    <cellStyle name="Normal 8 21 2" xfId="30990" xr:uid="{00000000-0005-0000-0000-00006A510000}"/>
    <cellStyle name="Normal 8 21 3" xfId="35652" xr:uid="{00000000-0005-0000-0000-00006B510000}"/>
    <cellStyle name="Normal 8 22" xfId="13997" xr:uid="{00000000-0005-0000-0000-00006C510000}"/>
    <cellStyle name="Normal 8 22 2" xfId="31109" xr:uid="{00000000-0005-0000-0000-00006D510000}"/>
    <cellStyle name="Normal 8 22 3" xfId="35771" xr:uid="{00000000-0005-0000-0000-00006E510000}"/>
    <cellStyle name="Normal 8 23" xfId="14341" xr:uid="{00000000-0005-0000-0000-00006F510000}"/>
    <cellStyle name="Normal 8 3" xfId="2883" xr:uid="{00000000-0005-0000-0000-000070510000}"/>
    <cellStyle name="Normal 8 3 10" xfId="11770" xr:uid="{00000000-0005-0000-0000-000071510000}"/>
    <cellStyle name="Normal 8 3 10 2" xfId="29899" xr:uid="{00000000-0005-0000-0000-000072510000}"/>
    <cellStyle name="Normal 8 3 10 3" xfId="34548" xr:uid="{00000000-0005-0000-0000-000073510000}"/>
    <cellStyle name="Normal 8 3 11" xfId="11889" xr:uid="{00000000-0005-0000-0000-000074510000}"/>
    <cellStyle name="Normal 8 3 11 2" xfId="30017" xr:uid="{00000000-0005-0000-0000-000075510000}"/>
    <cellStyle name="Normal 8 3 11 3" xfId="34667" xr:uid="{00000000-0005-0000-0000-000076510000}"/>
    <cellStyle name="Normal 8 3 12" xfId="12008" xr:uid="{00000000-0005-0000-0000-000077510000}"/>
    <cellStyle name="Normal 8 3 12 2" xfId="30134" xr:uid="{00000000-0005-0000-0000-000078510000}"/>
    <cellStyle name="Normal 8 3 12 3" xfId="34786" xr:uid="{00000000-0005-0000-0000-000079510000}"/>
    <cellStyle name="Normal 8 3 13" xfId="13517" xr:uid="{00000000-0005-0000-0000-00007A510000}"/>
    <cellStyle name="Normal 8 3 13 2" xfId="30629" xr:uid="{00000000-0005-0000-0000-00007B510000}"/>
    <cellStyle name="Normal 8 3 13 3" xfId="35291" xr:uid="{00000000-0005-0000-0000-00007C510000}"/>
    <cellStyle name="Normal 8 3 14" xfId="13639" xr:uid="{00000000-0005-0000-0000-00007D510000}"/>
    <cellStyle name="Normal 8 3 14 2" xfId="30751" xr:uid="{00000000-0005-0000-0000-00007E510000}"/>
    <cellStyle name="Normal 8 3 14 3" xfId="35413" xr:uid="{00000000-0005-0000-0000-00007F510000}"/>
    <cellStyle name="Normal 8 3 15" xfId="13759" xr:uid="{00000000-0005-0000-0000-000080510000}"/>
    <cellStyle name="Normal 8 3 15 2" xfId="30871" xr:uid="{00000000-0005-0000-0000-000081510000}"/>
    <cellStyle name="Normal 8 3 15 3" xfId="35533" xr:uid="{00000000-0005-0000-0000-000082510000}"/>
    <cellStyle name="Normal 8 3 16" xfId="13880" xr:uid="{00000000-0005-0000-0000-000083510000}"/>
    <cellStyle name="Normal 8 3 16 2" xfId="30992" xr:uid="{00000000-0005-0000-0000-000084510000}"/>
    <cellStyle name="Normal 8 3 16 3" xfId="35654" xr:uid="{00000000-0005-0000-0000-000085510000}"/>
    <cellStyle name="Normal 8 3 17" xfId="13999" xr:uid="{00000000-0005-0000-0000-000086510000}"/>
    <cellStyle name="Normal 8 3 17 2" xfId="31111" xr:uid="{00000000-0005-0000-0000-000087510000}"/>
    <cellStyle name="Normal 8 3 17 3" xfId="35773" xr:uid="{00000000-0005-0000-0000-000088510000}"/>
    <cellStyle name="Normal 8 3 2" xfId="2884" xr:uid="{00000000-0005-0000-0000-000089510000}"/>
    <cellStyle name="Normal 8 3 2 2" xfId="2885" xr:uid="{00000000-0005-0000-0000-00008A510000}"/>
    <cellStyle name="Normal 8 3 3" xfId="2886" xr:uid="{00000000-0005-0000-0000-00008B510000}"/>
    <cellStyle name="Normal 8 3 4" xfId="2887" xr:uid="{00000000-0005-0000-0000-00008C510000}"/>
    <cellStyle name="Normal 8 3 5" xfId="2888" xr:uid="{00000000-0005-0000-0000-00008D510000}"/>
    <cellStyle name="Normal 8 3 6" xfId="2889" xr:uid="{00000000-0005-0000-0000-00008E510000}"/>
    <cellStyle name="Normal 8 3 7" xfId="10014" xr:uid="{00000000-0005-0000-0000-00008F510000}"/>
    <cellStyle name="Normal 8 3 8" xfId="10015" xr:uid="{00000000-0005-0000-0000-000090510000}"/>
    <cellStyle name="Normal 8 3 8 2" xfId="28522" xr:uid="{00000000-0005-0000-0000-000091510000}"/>
    <cellStyle name="Normal 8 3 9" xfId="11632" xr:uid="{00000000-0005-0000-0000-000092510000}"/>
    <cellStyle name="Normal 8 3 9 2" xfId="29778" xr:uid="{00000000-0005-0000-0000-000093510000}"/>
    <cellStyle name="Normal 8 3 9 3" xfId="34422" xr:uid="{00000000-0005-0000-0000-000094510000}"/>
    <cellStyle name="Normal 8 4" xfId="2890" xr:uid="{00000000-0005-0000-0000-000095510000}"/>
    <cellStyle name="Normal 8 4 2" xfId="2891" xr:uid="{00000000-0005-0000-0000-000096510000}"/>
    <cellStyle name="Normal 8 4 2 2" xfId="2892" xr:uid="{00000000-0005-0000-0000-000097510000}"/>
    <cellStyle name="Normal 8 4 3" xfId="2893" xr:uid="{00000000-0005-0000-0000-000098510000}"/>
    <cellStyle name="Normal 8 4 4" xfId="2894" xr:uid="{00000000-0005-0000-0000-000099510000}"/>
    <cellStyle name="Normal 8 4 5" xfId="2895" xr:uid="{00000000-0005-0000-0000-00009A510000}"/>
    <cellStyle name="Normal 8 4 6" xfId="2896" xr:uid="{00000000-0005-0000-0000-00009B510000}"/>
    <cellStyle name="Normal 8 4 7" xfId="10016" xr:uid="{00000000-0005-0000-0000-00009C510000}"/>
    <cellStyle name="Normal 8 4 8" xfId="10017" xr:uid="{00000000-0005-0000-0000-00009D510000}"/>
    <cellStyle name="Normal 8 4 8 2" xfId="28523" xr:uid="{00000000-0005-0000-0000-00009E510000}"/>
    <cellStyle name="Normal 8 4 9" xfId="14342" xr:uid="{00000000-0005-0000-0000-00009F510000}"/>
    <cellStyle name="Normal 8 5" xfId="2897" xr:uid="{00000000-0005-0000-0000-0000A0510000}"/>
    <cellStyle name="Normal 8 5 2" xfId="2898" xr:uid="{00000000-0005-0000-0000-0000A1510000}"/>
    <cellStyle name="Normal 8 5 2 2" xfId="2899" xr:uid="{00000000-0005-0000-0000-0000A2510000}"/>
    <cellStyle name="Normal 8 5 3" xfId="2900" xr:uid="{00000000-0005-0000-0000-0000A3510000}"/>
    <cellStyle name="Normal 8 5 4" xfId="2901" xr:uid="{00000000-0005-0000-0000-0000A4510000}"/>
    <cellStyle name="Normal 8 5 5" xfId="2902" xr:uid="{00000000-0005-0000-0000-0000A5510000}"/>
    <cellStyle name="Normal 8 5 6" xfId="2903" xr:uid="{00000000-0005-0000-0000-0000A6510000}"/>
    <cellStyle name="Normal 8 5 7" xfId="10018" xr:uid="{00000000-0005-0000-0000-0000A7510000}"/>
    <cellStyle name="Normal 8 5 8" xfId="10019" xr:uid="{00000000-0005-0000-0000-0000A8510000}"/>
    <cellStyle name="Normal 8 5 8 2" xfId="28524" xr:uid="{00000000-0005-0000-0000-0000A9510000}"/>
    <cellStyle name="Normal 8 6" xfId="2904" xr:uid="{00000000-0005-0000-0000-0000AA510000}"/>
    <cellStyle name="Normal 8 6 2" xfId="2905" xr:uid="{00000000-0005-0000-0000-0000AB510000}"/>
    <cellStyle name="Normal 8 6 2 2" xfId="2906" xr:uid="{00000000-0005-0000-0000-0000AC510000}"/>
    <cellStyle name="Normal 8 6 3" xfId="2907" xr:uid="{00000000-0005-0000-0000-0000AD510000}"/>
    <cellStyle name="Normal 8 6 4" xfId="2908" xr:uid="{00000000-0005-0000-0000-0000AE510000}"/>
    <cellStyle name="Normal 8 6 5" xfId="2909" xr:uid="{00000000-0005-0000-0000-0000AF510000}"/>
    <cellStyle name="Normal 8 6 6" xfId="2910" xr:uid="{00000000-0005-0000-0000-0000B0510000}"/>
    <cellStyle name="Normal 8 6 7" xfId="10020" xr:uid="{00000000-0005-0000-0000-0000B1510000}"/>
    <cellStyle name="Normal 8 6 8" xfId="10021" xr:uid="{00000000-0005-0000-0000-0000B2510000}"/>
    <cellStyle name="Normal 8 6 8 2" xfId="28525" xr:uid="{00000000-0005-0000-0000-0000B3510000}"/>
    <cellStyle name="Normal 8 7" xfId="2911" xr:uid="{00000000-0005-0000-0000-0000B4510000}"/>
    <cellStyle name="Normal 8 7 2" xfId="2912" xr:uid="{00000000-0005-0000-0000-0000B5510000}"/>
    <cellStyle name="Normal 8 8" xfId="2913" xr:uid="{00000000-0005-0000-0000-0000B6510000}"/>
    <cellStyle name="Normal 8 8 2" xfId="2914" xr:uid="{00000000-0005-0000-0000-0000B7510000}"/>
    <cellStyle name="Normal 8 9" xfId="2915" xr:uid="{00000000-0005-0000-0000-0000B8510000}"/>
    <cellStyle name="Normal 8 9 2" xfId="2916" xr:uid="{00000000-0005-0000-0000-0000B9510000}"/>
    <cellStyle name="Normal 9" xfId="2917" xr:uid="{00000000-0005-0000-0000-0000BA510000}"/>
    <cellStyle name="Normal 9 10" xfId="2918" xr:uid="{00000000-0005-0000-0000-0000BB510000}"/>
    <cellStyle name="Normal 9 11" xfId="2919" xr:uid="{00000000-0005-0000-0000-0000BC510000}"/>
    <cellStyle name="Normal 9 12" xfId="3479" xr:uid="{00000000-0005-0000-0000-0000BD510000}"/>
    <cellStyle name="Normal 9 12 2" xfId="11183" xr:uid="{00000000-0005-0000-0000-0000BE510000}"/>
    <cellStyle name="Normal 9 12 2 2" xfId="28426" xr:uid="{00000000-0005-0000-0000-0000BF510000}"/>
    <cellStyle name="Normal 9 12 2 3" xfId="34000" xr:uid="{00000000-0005-0000-0000-0000C0510000}"/>
    <cellStyle name="Normal 9 12 3" xfId="10023" xr:uid="{00000000-0005-0000-0000-0000C1510000}"/>
    <cellStyle name="Normal 9 12 3 2" xfId="33343" xr:uid="{00000000-0005-0000-0000-0000C2510000}"/>
    <cellStyle name="Normal 9 12 4" xfId="31533" xr:uid="{00000000-0005-0000-0000-0000C3510000}"/>
    <cellStyle name="Normal 9 13" xfId="10024" xr:uid="{00000000-0005-0000-0000-0000C4510000}"/>
    <cellStyle name="Normal 9 13 2" xfId="28527" xr:uid="{00000000-0005-0000-0000-0000C5510000}"/>
    <cellStyle name="Normal 9 13 3" xfId="28526" xr:uid="{00000000-0005-0000-0000-0000C6510000}"/>
    <cellStyle name="Normal 9 13 4" xfId="28399" xr:uid="{00000000-0005-0000-0000-0000C7510000}"/>
    <cellStyle name="Normal 9 14" xfId="11182" xr:uid="{00000000-0005-0000-0000-0000C8510000}"/>
    <cellStyle name="Normal 9 14 2" xfId="29562" xr:uid="{00000000-0005-0000-0000-0000C9510000}"/>
    <cellStyle name="Normal 9 14 3" xfId="33999" xr:uid="{00000000-0005-0000-0000-0000CA510000}"/>
    <cellStyle name="Normal 9 15" xfId="11633" xr:uid="{00000000-0005-0000-0000-0000CB510000}"/>
    <cellStyle name="Normal 9 15 2" xfId="29779" xr:uid="{00000000-0005-0000-0000-0000CC510000}"/>
    <cellStyle name="Normal 9 15 3" xfId="34423" xr:uid="{00000000-0005-0000-0000-0000CD510000}"/>
    <cellStyle name="Normal 9 16" xfId="11771" xr:uid="{00000000-0005-0000-0000-0000CE510000}"/>
    <cellStyle name="Normal 9 16 2" xfId="29900" xr:uid="{00000000-0005-0000-0000-0000CF510000}"/>
    <cellStyle name="Normal 9 16 3" xfId="34549" xr:uid="{00000000-0005-0000-0000-0000D0510000}"/>
    <cellStyle name="Normal 9 17" xfId="11890" xr:uid="{00000000-0005-0000-0000-0000D1510000}"/>
    <cellStyle name="Normal 9 17 2" xfId="30018" xr:uid="{00000000-0005-0000-0000-0000D2510000}"/>
    <cellStyle name="Normal 9 17 3" xfId="34668" xr:uid="{00000000-0005-0000-0000-0000D3510000}"/>
    <cellStyle name="Normal 9 18" xfId="12009" xr:uid="{00000000-0005-0000-0000-0000D4510000}"/>
    <cellStyle name="Normal 9 18 2" xfId="30135" xr:uid="{00000000-0005-0000-0000-0000D5510000}"/>
    <cellStyle name="Normal 9 18 3" xfId="34787" xr:uid="{00000000-0005-0000-0000-0000D6510000}"/>
    <cellStyle name="Normal 9 19" xfId="13518" xr:uid="{00000000-0005-0000-0000-0000D7510000}"/>
    <cellStyle name="Normal 9 19 2" xfId="30630" xr:uid="{00000000-0005-0000-0000-0000D8510000}"/>
    <cellStyle name="Normal 9 19 3" xfId="35292" xr:uid="{00000000-0005-0000-0000-0000D9510000}"/>
    <cellStyle name="Normal 9 2" xfId="2920" xr:uid="{00000000-0005-0000-0000-0000DA510000}"/>
    <cellStyle name="Normal 9 2 10" xfId="11634" xr:uid="{00000000-0005-0000-0000-0000DB510000}"/>
    <cellStyle name="Normal 9 2 10 2" xfId="29780" xr:uid="{00000000-0005-0000-0000-0000DC510000}"/>
    <cellStyle name="Normal 9 2 10 3" xfId="34424" xr:uid="{00000000-0005-0000-0000-0000DD510000}"/>
    <cellStyle name="Normal 9 2 11" xfId="11772" xr:uid="{00000000-0005-0000-0000-0000DE510000}"/>
    <cellStyle name="Normal 9 2 11 2" xfId="29901" xr:uid="{00000000-0005-0000-0000-0000DF510000}"/>
    <cellStyle name="Normal 9 2 11 3" xfId="34550" xr:uid="{00000000-0005-0000-0000-0000E0510000}"/>
    <cellStyle name="Normal 9 2 12" xfId="11891" xr:uid="{00000000-0005-0000-0000-0000E1510000}"/>
    <cellStyle name="Normal 9 2 12 2" xfId="30019" xr:uid="{00000000-0005-0000-0000-0000E2510000}"/>
    <cellStyle name="Normal 9 2 12 3" xfId="34669" xr:uid="{00000000-0005-0000-0000-0000E3510000}"/>
    <cellStyle name="Normal 9 2 13" xfId="12010" xr:uid="{00000000-0005-0000-0000-0000E4510000}"/>
    <cellStyle name="Normal 9 2 13 2" xfId="30136" xr:uid="{00000000-0005-0000-0000-0000E5510000}"/>
    <cellStyle name="Normal 9 2 13 3" xfId="34788" xr:uid="{00000000-0005-0000-0000-0000E6510000}"/>
    <cellStyle name="Normal 9 2 14" xfId="13519" xr:uid="{00000000-0005-0000-0000-0000E7510000}"/>
    <cellStyle name="Normal 9 2 14 2" xfId="30631" xr:uid="{00000000-0005-0000-0000-0000E8510000}"/>
    <cellStyle name="Normal 9 2 14 3" xfId="35293" xr:uid="{00000000-0005-0000-0000-0000E9510000}"/>
    <cellStyle name="Normal 9 2 15" xfId="13641" xr:uid="{00000000-0005-0000-0000-0000EA510000}"/>
    <cellStyle name="Normal 9 2 15 2" xfId="30753" xr:uid="{00000000-0005-0000-0000-0000EB510000}"/>
    <cellStyle name="Normal 9 2 15 3" xfId="35415" xr:uid="{00000000-0005-0000-0000-0000EC510000}"/>
    <cellStyle name="Normal 9 2 16" xfId="13761" xr:uid="{00000000-0005-0000-0000-0000ED510000}"/>
    <cellStyle name="Normal 9 2 16 2" xfId="30873" xr:uid="{00000000-0005-0000-0000-0000EE510000}"/>
    <cellStyle name="Normal 9 2 16 3" xfId="35535" xr:uid="{00000000-0005-0000-0000-0000EF510000}"/>
    <cellStyle name="Normal 9 2 17" xfId="13882" xr:uid="{00000000-0005-0000-0000-0000F0510000}"/>
    <cellStyle name="Normal 9 2 17 2" xfId="30994" xr:uid="{00000000-0005-0000-0000-0000F1510000}"/>
    <cellStyle name="Normal 9 2 17 3" xfId="35656" xr:uid="{00000000-0005-0000-0000-0000F2510000}"/>
    <cellStyle name="Normal 9 2 18" xfId="14001" xr:uid="{00000000-0005-0000-0000-0000F3510000}"/>
    <cellStyle name="Normal 9 2 18 2" xfId="31113" xr:uid="{00000000-0005-0000-0000-0000F4510000}"/>
    <cellStyle name="Normal 9 2 18 3" xfId="35775" xr:uid="{00000000-0005-0000-0000-0000F5510000}"/>
    <cellStyle name="Normal 9 2 19" xfId="14344" xr:uid="{00000000-0005-0000-0000-0000F6510000}"/>
    <cellStyle name="Normal 9 2 2" xfId="2921" xr:uid="{00000000-0005-0000-0000-0000F7510000}"/>
    <cellStyle name="Normal 9 2 2 2" xfId="2922" xr:uid="{00000000-0005-0000-0000-0000F8510000}"/>
    <cellStyle name="Normal 9 2 3" xfId="2923" xr:uid="{00000000-0005-0000-0000-0000F9510000}"/>
    <cellStyle name="Normal 9 2 4" xfId="2924" xr:uid="{00000000-0005-0000-0000-0000FA510000}"/>
    <cellStyle name="Normal 9 2 5" xfId="2925" xr:uid="{00000000-0005-0000-0000-0000FB510000}"/>
    <cellStyle name="Normal 9 2 6" xfId="2926" xr:uid="{00000000-0005-0000-0000-0000FC510000}"/>
    <cellStyle name="Normal 9 2 7" xfId="10025" xr:uid="{00000000-0005-0000-0000-0000FD510000}"/>
    <cellStyle name="Normal 9 2 8" xfId="10026" xr:uid="{00000000-0005-0000-0000-0000FE510000}"/>
    <cellStyle name="Normal 9 2 8 2" xfId="28528" xr:uid="{00000000-0005-0000-0000-0000FF510000}"/>
    <cellStyle name="Normal 9 2 9" xfId="10027" xr:uid="{00000000-0005-0000-0000-000000520000}"/>
    <cellStyle name="Normal 9 2 9 2" xfId="11184" xr:uid="{00000000-0005-0000-0000-000001520000}"/>
    <cellStyle name="Normal 9 2 9 2 2" xfId="29563" xr:uid="{00000000-0005-0000-0000-000002520000}"/>
    <cellStyle name="Normal 9 2 9 2 3" xfId="34001" xr:uid="{00000000-0005-0000-0000-000003520000}"/>
    <cellStyle name="Normal 9 2 9 3" xfId="29235" xr:uid="{00000000-0005-0000-0000-000004520000}"/>
    <cellStyle name="Normal 9 2 9 4" xfId="33344" xr:uid="{00000000-0005-0000-0000-000005520000}"/>
    <cellStyle name="Normal 9 20" xfId="13640" xr:uid="{00000000-0005-0000-0000-000006520000}"/>
    <cellStyle name="Normal 9 20 2" xfId="30752" xr:uid="{00000000-0005-0000-0000-000007520000}"/>
    <cellStyle name="Normal 9 20 3" xfId="35414" xr:uid="{00000000-0005-0000-0000-000008520000}"/>
    <cellStyle name="Normal 9 21" xfId="13760" xr:uid="{00000000-0005-0000-0000-000009520000}"/>
    <cellStyle name="Normal 9 21 2" xfId="30872" xr:uid="{00000000-0005-0000-0000-00000A520000}"/>
    <cellStyle name="Normal 9 21 3" xfId="35534" xr:uid="{00000000-0005-0000-0000-00000B520000}"/>
    <cellStyle name="Normal 9 22" xfId="13881" xr:uid="{00000000-0005-0000-0000-00000C520000}"/>
    <cellStyle name="Normal 9 22 2" xfId="30993" xr:uid="{00000000-0005-0000-0000-00000D520000}"/>
    <cellStyle name="Normal 9 22 3" xfId="35655" xr:uid="{00000000-0005-0000-0000-00000E520000}"/>
    <cellStyle name="Normal 9 23" xfId="14000" xr:uid="{00000000-0005-0000-0000-00000F520000}"/>
    <cellStyle name="Normal 9 23 2" xfId="31112" xr:uid="{00000000-0005-0000-0000-000010520000}"/>
    <cellStyle name="Normal 9 23 3" xfId="35774" xr:uid="{00000000-0005-0000-0000-000011520000}"/>
    <cellStyle name="Normal 9 24" xfId="10022" xr:uid="{00000000-0005-0000-0000-000012520000}"/>
    <cellStyle name="Normal 9 24 2" xfId="33342" xr:uid="{00000000-0005-0000-0000-000013520000}"/>
    <cellStyle name="Normal 9 25" xfId="14343" xr:uid="{00000000-0005-0000-0000-000014520000}"/>
    <cellStyle name="Normal 9 26" xfId="31303" xr:uid="{00000000-0005-0000-0000-000015520000}"/>
    <cellStyle name="Normal 9 3" xfId="2927" xr:uid="{00000000-0005-0000-0000-000016520000}"/>
    <cellStyle name="Normal 9 3 10" xfId="11773" xr:uid="{00000000-0005-0000-0000-000017520000}"/>
    <cellStyle name="Normal 9 3 10 2" xfId="29902" xr:uid="{00000000-0005-0000-0000-000018520000}"/>
    <cellStyle name="Normal 9 3 10 3" xfId="34551" xr:uid="{00000000-0005-0000-0000-000019520000}"/>
    <cellStyle name="Normal 9 3 11" xfId="11892" xr:uid="{00000000-0005-0000-0000-00001A520000}"/>
    <cellStyle name="Normal 9 3 11 2" xfId="30020" xr:uid="{00000000-0005-0000-0000-00001B520000}"/>
    <cellStyle name="Normal 9 3 11 3" xfId="34670" xr:uid="{00000000-0005-0000-0000-00001C520000}"/>
    <cellStyle name="Normal 9 3 12" xfId="12011" xr:uid="{00000000-0005-0000-0000-00001D520000}"/>
    <cellStyle name="Normal 9 3 12 2" xfId="30137" xr:uid="{00000000-0005-0000-0000-00001E520000}"/>
    <cellStyle name="Normal 9 3 12 3" xfId="34789" xr:uid="{00000000-0005-0000-0000-00001F520000}"/>
    <cellStyle name="Normal 9 3 13" xfId="13520" xr:uid="{00000000-0005-0000-0000-000020520000}"/>
    <cellStyle name="Normal 9 3 13 2" xfId="30632" xr:uid="{00000000-0005-0000-0000-000021520000}"/>
    <cellStyle name="Normal 9 3 13 3" xfId="35294" xr:uid="{00000000-0005-0000-0000-000022520000}"/>
    <cellStyle name="Normal 9 3 14" xfId="13642" xr:uid="{00000000-0005-0000-0000-000023520000}"/>
    <cellStyle name="Normal 9 3 14 2" xfId="30754" xr:uid="{00000000-0005-0000-0000-000024520000}"/>
    <cellStyle name="Normal 9 3 14 3" xfId="35416" xr:uid="{00000000-0005-0000-0000-000025520000}"/>
    <cellStyle name="Normal 9 3 15" xfId="13762" xr:uid="{00000000-0005-0000-0000-000026520000}"/>
    <cellStyle name="Normal 9 3 15 2" xfId="30874" xr:uid="{00000000-0005-0000-0000-000027520000}"/>
    <cellStyle name="Normal 9 3 15 3" xfId="35536" xr:uid="{00000000-0005-0000-0000-000028520000}"/>
    <cellStyle name="Normal 9 3 16" xfId="13883" xr:uid="{00000000-0005-0000-0000-000029520000}"/>
    <cellStyle name="Normal 9 3 16 2" xfId="30995" xr:uid="{00000000-0005-0000-0000-00002A520000}"/>
    <cellStyle name="Normal 9 3 16 3" xfId="35657" xr:uid="{00000000-0005-0000-0000-00002B520000}"/>
    <cellStyle name="Normal 9 3 17" xfId="14002" xr:uid="{00000000-0005-0000-0000-00002C520000}"/>
    <cellStyle name="Normal 9 3 17 2" xfId="31114" xr:uid="{00000000-0005-0000-0000-00002D520000}"/>
    <cellStyle name="Normal 9 3 17 3" xfId="35776" xr:uid="{00000000-0005-0000-0000-00002E520000}"/>
    <cellStyle name="Normal 9 3 2" xfId="2928" xr:uid="{00000000-0005-0000-0000-00002F520000}"/>
    <cellStyle name="Normal 9 3 2 2" xfId="2929" xr:uid="{00000000-0005-0000-0000-000030520000}"/>
    <cellStyle name="Normal 9 3 3" xfId="2930" xr:uid="{00000000-0005-0000-0000-000031520000}"/>
    <cellStyle name="Normal 9 3 4" xfId="2931" xr:uid="{00000000-0005-0000-0000-000032520000}"/>
    <cellStyle name="Normal 9 3 5" xfId="2932" xr:uid="{00000000-0005-0000-0000-000033520000}"/>
    <cellStyle name="Normal 9 3 6" xfId="2933" xr:uid="{00000000-0005-0000-0000-000034520000}"/>
    <cellStyle name="Normal 9 3 7" xfId="10028" xr:uid="{00000000-0005-0000-0000-000035520000}"/>
    <cellStyle name="Normal 9 3 8" xfId="10029" xr:uid="{00000000-0005-0000-0000-000036520000}"/>
    <cellStyle name="Normal 9 3 8 2" xfId="28529" xr:uid="{00000000-0005-0000-0000-000037520000}"/>
    <cellStyle name="Normal 9 3 9" xfId="11635" xr:uid="{00000000-0005-0000-0000-000038520000}"/>
    <cellStyle name="Normal 9 3 9 2" xfId="29781" xr:uid="{00000000-0005-0000-0000-000039520000}"/>
    <cellStyle name="Normal 9 3 9 3" xfId="34425" xr:uid="{00000000-0005-0000-0000-00003A520000}"/>
    <cellStyle name="Normal 9 4" xfId="2934" xr:uid="{00000000-0005-0000-0000-00003B520000}"/>
    <cellStyle name="Normal 9 4 2" xfId="2935" xr:uid="{00000000-0005-0000-0000-00003C520000}"/>
    <cellStyle name="Normal 9 4 2 2" xfId="2936" xr:uid="{00000000-0005-0000-0000-00003D520000}"/>
    <cellStyle name="Normal 9 4 3" xfId="2937" xr:uid="{00000000-0005-0000-0000-00003E520000}"/>
    <cellStyle name="Normal 9 4 4" xfId="2938" xr:uid="{00000000-0005-0000-0000-00003F520000}"/>
    <cellStyle name="Normal 9 4 5" xfId="2939" xr:uid="{00000000-0005-0000-0000-000040520000}"/>
    <cellStyle name="Normal 9 4 6" xfId="2940" xr:uid="{00000000-0005-0000-0000-000041520000}"/>
    <cellStyle name="Normal 9 4 7" xfId="10030" xr:uid="{00000000-0005-0000-0000-000042520000}"/>
    <cellStyle name="Normal 9 4 8" xfId="10031" xr:uid="{00000000-0005-0000-0000-000043520000}"/>
    <cellStyle name="Normal 9 4 8 2" xfId="28530" xr:uid="{00000000-0005-0000-0000-000044520000}"/>
    <cellStyle name="Normal 9 5" xfId="2941" xr:uid="{00000000-0005-0000-0000-000045520000}"/>
    <cellStyle name="Normal 9 5 2" xfId="2942" xr:uid="{00000000-0005-0000-0000-000046520000}"/>
    <cellStyle name="Normal 9 5 2 2" xfId="2943" xr:uid="{00000000-0005-0000-0000-000047520000}"/>
    <cellStyle name="Normal 9 5 3" xfId="2944" xr:uid="{00000000-0005-0000-0000-000048520000}"/>
    <cellStyle name="Normal 9 5 4" xfId="2945" xr:uid="{00000000-0005-0000-0000-000049520000}"/>
    <cellStyle name="Normal 9 5 5" xfId="2946" xr:uid="{00000000-0005-0000-0000-00004A520000}"/>
    <cellStyle name="Normal 9 5 6" xfId="2947" xr:uid="{00000000-0005-0000-0000-00004B520000}"/>
    <cellStyle name="Normal 9 5 7" xfId="10032" xr:uid="{00000000-0005-0000-0000-00004C520000}"/>
    <cellStyle name="Normal 9 5 8" xfId="10033" xr:uid="{00000000-0005-0000-0000-00004D520000}"/>
    <cellStyle name="Normal 9 5 8 2" xfId="28531" xr:uid="{00000000-0005-0000-0000-00004E520000}"/>
    <cellStyle name="Normal 9 6" xfId="2948" xr:uid="{00000000-0005-0000-0000-00004F520000}"/>
    <cellStyle name="Normal 9 6 2" xfId="2949" xr:uid="{00000000-0005-0000-0000-000050520000}"/>
    <cellStyle name="Normal 9 6 2 2" xfId="2950" xr:uid="{00000000-0005-0000-0000-000051520000}"/>
    <cellStyle name="Normal 9 6 3" xfId="2951" xr:uid="{00000000-0005-0000-0000-000052520000}"/>
    <cellStyle name="Normal 9 6 4" xfId="2952" xr:uid="{00000000-0005-0000-0000-000053520000}"/>
    <cellStyle name="Normal 9 6 5" xfId="2953" xr:uid="{00000000-0005-0000-0000-000054520000}"/>
    <cellStyle name="Normal 9 6 6" xfId="2954" xr:uid="{00000000-0005-0000-0000-000055520000}"/>
    <cellStyle name="Normal 9 6 7" xfId="10034" xr:uid="{00000000-0005-0000-0000-000056520000}"/>
    <cellStyle name="Normal 9 6 8" xfId="10035" xr:uid="{00000000-0005-0000-0000-000057520000}"/>
    <cellStyle name="Normal 9 6 8 2" xfId="28532" xr:uid="{00000000-0005-0000-0000-000058520000}"/>
    <cellStyle name="Normal 9 7" xfId="2955" xr:uid="{00000000-0005-0000-0000-000059520000}"/>
    <cellStyle name="Normal 9 7 2" xfId="2956" xr:uid="{00000000-0005-0000-0000-00005A520000}"/>
    <cellStyle name="Normal 9 8" xfId="2957" xr:uid="{00000000-0005-0000-0000-00005B520000}"/>
    <cellStyle name="Normal 9 8 2" xfId="2958" xr:uid="{00000000-0005-0000-0000-00005C520000}"/>
    <cellStyle name="Normal 9 9" xfId="2959" xr:uid="{00000000-0005-0000-0000-00005D520000}"/>
    <cellStyle name="Normal 9 9 2" xfId="2960" xr:uid="{00000000-0005-0000-0000-00005E520000}"/>
    <cellStyle name="Normal 9 9 3" xfId="39899" xr:uid="{00000000-0005-0000-0000-0000D20D0000}"/>
    <cellStyle name="Normal GHG Numbers (0.00)" xfId="2961" xr:uid="{00000000-0005-0000-0000-00005F520000}"/>
    <cellStyle name="Normal GHG Numbers (0.00) 10" xfId="3890" xr:uid="{00000000-0005-0000-0000-000060520000}"/>
    <cellStyle name="Normal GHG Numbers (0.00) 10 2" xfId="22357" xr:uid="{00000000-0005-0000-0000-000061520000}"/>
    <cellStyle name="Normal GHG Numbers (0.00) 10 3" xfId="31633" xr:uid="{00000000-0005-0000-0000-000062520000}"/>
    <cellStyle name="Normal GHG Numbers (0.00) 10 4" xfId="17572" xr:uid="{00000000-0005-0000-0000-000063520000}"/>
    <cellStyle name="Normal GHG Numbers (0.00) 11" xfId="14965" xr:uid="{00000000-0005-0000-0000-000064520000}"/>
    <cellStyle name="Normal GHG Numbers (0.00) 11 2" xfId="36398" xr:uid="{00000000-0005-0000-0000-000065520000}"/>
    <cellStyle name="Normal GHG Numbers (0.00) 11 3" xfId="16885" xr:uid="{00000000-0005-0000-0000-000066520000}"/>
    <cellStyle name="Normal GHG Numbers (0.00) 12" xfId="15582" xr:uid="{00000000-0005-0000-0000-000067520000}"/>
    <cellStyle name="Normal GHG Numbers (0.00) 12 2" xfId="36959" xr:uid="{00000000-0005-0000-0000-000068520000}"/>
    <cellStyle name="Normal GHG Numbers (0.00) 13" xfId="31304" xr:uid="{00000000-0005-0000-0000-000069520000}"/>
    <cellStyle name="Normal GHG Numbers (0.00) 14" xfId="27398" xr:uid="{00000000-0005-0000-0000-00006A520000}"/>
    <cellStyle name="Normal GHG Numbers (0.00) 15" xfId="40998" xr:uid="{00000000-0005-0000-0000-0000D30D0000}"/>
    <cellStyle name="Normal GHG Numbers (0.00) 2" xfId="3480" xr:uid="{00000000-0005-0000-0000-00006B520000}"/>
    <cellStyle name="Normal GHG Numbers (0.00) 2 10" xfId="16211" xr:uid="{00000000-0005-0000-0000-00006C520000}"/>
    <cellStyle name="Normal GHG Numbers (0.00) 2 10 2" xfId="37526" xr:uid="{00000000-0005-0000-0000-00006D520000}"/>
    <cellStyle name="Normal GHG Numbers (0.00) 2 11" xfId="31534" xr:uid="{00000000-0005-0000-0000-00006E520000}"/>
    <cellStyle name="Normal GHG Numbers (0.00) 2 12" xfId="27883" xr:uid="{00000000-0005-0000-0000-00006F520000}"/>
    <cellStyle name="Normal GHG Numbers (0.00) 2 2" xfId="5607" xr:uid="{00000000-0005-0000-0000-000070520000}"/>
    <cellStyle name="Normal GHG Numbers (0.00) 2 2 2" xfId="11665" xr:uid="{00000000-0005-0000-0000-000071520000}"/>
    <cellStyle name="Normal GHG Numbers (0.00) 2 2 2 2" xfId="34443" xr:uid="{00000000-0005-0000-0000-000072520000}"/>
    <cellStyle name="Normal GHG Numbers (0.00) 2 2 2 3" xfId="24060" xr:uid="{00000000-0005-0000-0000-000073520000}"/>
    <cellStyle name="Normal GHG Numbers (0.00) 2 2 3" xfId="32220" xr:uid="{00000000-0005-0000-0000-000074520000}"/>
    <cellStyle name="Normal GHG Numbers (0.00) 2 2 4" xfId="29795" xr:uid="{00000000-0005-0000-0000-000075520000}"/>
    <cellStyle name="Normal GHG Numbers (0.00) 2 2 5" xfId="19194" xr:uid="{00000000-0005-0000-0000-000076520000}"/>
    <cellStyle name="Normal GHG Numbers (0.00) 2 3" xfId="5877" xr:uid="{00000000-0005-0000-0000-000077520000}"/>
    <cellStyle name="Normal GHG Numbers (0.00) 2 3 2" xfId="24323" xr:uid="{00000000-0005-0000-0000-000078520000}"/>
    <cellStyle name="Normal GHG Numbers (0.00) 2 3 3" xfId="28238" xr:uid="{00000000-0005-0000-0000-000079520000}"/>
    <cellStyle name="Normal GHG Numbers (0.00) 2 3 4" xfId="19432" xr:uid="{00000000-0005-0000-0000-00007A520000}"/>
    <cellStyle name="Normal GHG Numbers (0.00) 2 4" xfId="7123" xr:uid="{00000000-0005-0000-0000-00007B520000}"/>
    <cellStyle name="Normal GHG Numbers (0.00) 2 4 2" xfId="25557" xr:uid="{00000000-0005-0000-0000-00007C520000}"/>
    <cellStyle name="Normal GHG Numbers (0.00) 2 4 3" xfId="32744" xr:uid="{00000000-0005-0000-0000-00007D520000}"/>
    <cellStyle name="Normal GHG Numbers (0.00) 2 4 4" xfId="20488" xr:uid="{00000000-0005-0000-0000-00007E520000}"/>
    <cellStyle name="Normal GHG Numbers (0.00) 2 5" xfId="6026" xr:uid="{00000000-0005-0000-0000-00007F520000}"/>
    <cellStyle name="Normal GHG Numbers (0.00) 2 5 2" xfId="24467" xr:uid="{00000000-0005-0000-0000-000080520000}"/>
    <cellStyle name="Normal GHG Numbers (0.00) 2 5 3" xfId="32503" xr:uid="{00000000-0005-0000-0000-000081520000}"/>
    <cellStyle name="Normal GHG Numbers (0.00) 2 5 4" xfId="19576" xr:uid="{00000000-0005-0000-0000-000082520000}"/>
    <cellStyle name="Normal GHG Numbers (0.00) 2 6" xfId="7995" xr:uid="{00000000-0005-0000-0000-000083520000}"/>
    <cellStyle name="Normal GHG Numbers (0.00) 2 6 2" xfId="26425" xr:uid="{00000000-0005-0000-0000-000084520000}"/>
    <cellStyle name="Normal GHG Numbers (0.00) 2 6 3" xfId="32938" xr:uid="{00000000-0005-0000-0000-000085520000}"/>
    <cellStyle name="Normal GHG Numbers (0.00) 2 6 4" xfId="21349" xr:uid="{00000000-0005-0000-0000-000086520000}"/>
    <cellStyle name="Normal GHG Numbers (0.00) 2 7" xfId="8719" xr:uid="{00000000-0005-0000-0000-000087520000}"/>
    <cellStyle name="Normal GHG Numbers (0.00) 2 7 2" xfId="27139" xr:uid="{00000000-0005-0000-0000-000088520000}"/>
    <cellStyle name="Normal GHG Numbers (0.00) 2 7 3" xfId="33110" xr:uid="{00000000-0005-0000-0000-000089520000}"/>
    <cellStyle name="Normal GHG Numbers (0.00) 2 7 4" xfId="22010" xr:uid="{00000000-0005-0000-0000-00008A520000}"/>
    <cellStyle name="Normal GHG Numbers (0.00) 2 8" xfId="4211" xr:uid="{00000000-0005-0000-0000-00008B520000}"/>
    <cellStyle name="Normal GHG Numbers (0.00) 2 8 2" xfId="22675" xr:uid="{00000000-0005-0000-0000-00008C520000}"/>
    <cellStyle name="Normal GHG Numbers (0.00) 2 8 3" xfId="31713" xr:uid="{00000000-0005-0000-0000-00008D520000}"/>
    <cellStyle name="Normal GHG Numbers (0.00) 2 8 4" xfId="17893" xr:uid="{00000000-0005-0000-0000-00008E520000}"/>
    <cellStyle name="Normal GHG Numbers (0.00) 2 9" xfId="14966" xr:uid="{00000000-0005-0000-0000-00008F520000}"/>
    <cellStyle name="Normal GHG Numbers (0.00) 2 9 2" xfId="36399" xr:uid="{00000000-0005-0000-0000-000090520000}"/>
    <cellStyle name="Normal GHG Numbers (0.00) 2 9 3" xfId="17221" xr:uid="{00000000-0005-0000-0000-000091520000}"/>
    <cellStyle name="Normal GHG Numbers (0.00) 3" xfId="3672" xr:uid="{00000000-0005-0000-0000-000092520000}"/>
    <cellStyle name="Normal GHG Numbers (0.00) 3 10" xfId="16178" xr:uid="{00000000-0005-0000-0000-000093520000}"/>
    <cellStyle name="Normal GHG Numbers (0.00) 3 10 2" xfId="37495" xr:uid="{00000000-0005-0000-0000-000094520000}"/>
    <cellStyle name="Normal GHG Numbers (0.00) 3 11" xfId="31607" xr:uid="{00000000-0005-0000-0000-000095520000}"/>
    <cellStyle name="Normal GHG Numbers (0.00) 3 12" xfId="28239" xr:uid="{00000000-0005-0000-0000-000096520000}"/>
    <cellStyle name="Normal GHG Numbers (0.00) 3 2" xfId="5799" xr:uid="{00000000-0005-0000-0000-000097520000}"/>
    <cellStyle name="Normal GHG Numbers (0.00) 3 2 2" xfId="24246" xr:uid="{00000000-0005-0000-0000-000098520000}"/>
    <cellStyle name="Normal GHG Numbers (0.00) 3 2 3" xfId="32387" xr:uid="{00000000-0005-0000-0000-000099520000}"/>
    <cellStyle name="Normal GHG Numbers (0.00) 3 2 4" xfId="19357" xr:uid="{00000000-0005-0000-0000-00009A520000}"/>
    <cellStyle name="Normal GHG Numbers (0.00) 3 3" xfId="5888" xr:uid="{00000000-0005-0000-0000-00009B520000}"/>
    <cellStyle name="Normal GHG Numbers (0.00) 3 3 2" xfId="24334" xr:uid="{00000000-0005-0000-0000-00009C520000}"/>
    <cellStyle name="Normal GHG Numbers (0.00) 3 3 3" xfId="32415" xr:uid="{00000000-0005-0000-0000-00009D520000}"/>
    <cellStyle name="Normal GHG Numbers (0.00) 3 3 4" xfId="19443" xr:uid="{00000000-0005-0000-0000-00009E520000}"/>
    <cellStyle name="Normal GHG Numbers (0.00) 3 4" xfId="7139" xr:uid="{00000000-0005-0000-0000-00009F520000}"/>
    <cellStyle name="Normal GHG Numbers (0.00) 3 4 2" xfId="25573" xr:uid="{00000000-0005-0000-0000-0000A0520000}"/>
    <cellStyle name="Normal GHG Numbers (0.00) 3 4 3" xfId="32752" xr:uid="{00000000-0005-0000-0000-0000A1520000}"/>
    <cellStyle name="Normal GHG Numbers (0.00) 3 4 4" xfId="20497" xr:uid="{00000000-0005-0000-0000-0000A2520000}"/>
    <cellStyle name="Normal GHG Numbers (0.00) 3 5" xfId="7274" xr:uid="{00000000-0005-0000-0000-0000A3520000}"/>
    <cellStyle name="Normal GHG Numbers (0.00) 3 5 2" xfId="25705" xr:uid="{00000000-0005-0000-0000-0000A4520000}"/>
    <cellStyle name="Normal GHG Numbers (0.00) 3 5 3" xfId="32775" xr:uid="{00000000-0005-0000-0000-0000A5520000}"/>
    <cellStyle name="Normal GHG Numbers (0.00) 3 5 4" xfId="20631" xr:uid="{00000000-0005-0000-0000-0000A6520000}"/>
    <cellStyle name="Normal GHG Numbers (0.00) 3 6" xfId="8184" xr:uid="{00000000-0005-0000-0000-0000A7520000}"/>
    <cellStyle name="Normal GHG Numbers (0.00) 3 6 2" xfId="26614" xr:uid="{00000000-0005-0000-0000-0000A8520000}"/>
    <cellStyle name="Normal GHG Numbers (0.00) 3 6 3" xfId="33009" xr:uid="{00000000-0005-0000-0000-0000A9520000}"/>
    <cellStyle name="Normal GHG Numbers (0.00) 3 6 4" xfId="21538" xr:uid="{00000000-0005-0000-0000-0000AA520000}"/>
    <cellStyle name="Normal GHG Numbers (0.00) 3 7" xfId="8908" xr:uid="{00000000-0005-0000-0000-0000AB520000}"/>
    <cellStyle name="Normal GHG Numbers (0.00) 3 7 2" xfId="27328" xr:uid="{00000000-0005-0000-0000-0000AC520000}"/>
    <cellStyle name="Normal GHG Numbers (0.00) 3 7 3" xfId="33181" xr:uid="{00000000-0005-0000-0000-0000AD520000}"/>
    <cellStyle name="Normal GHG Numbers (0.00) 3 7 4" xfId="22199" xr:uid="{00000000-0005-0000-0000-0000AE520000}"/>
    <cellStyle name="Normal GHG Numbers (0.00) 3 8" xfId="4400" xr:uid="{00000000-0005-0000-0000-0000AF520000}"/>
    <cellStyle name="Normal GHG Numbers (0.00) 3 8 2" xfId="22864" xr:uid="{00000000-0005-0000-0000-0000B0520000}"/>
    <cellStyle name="Normal GHG Numbers (0.00) 3 8 3" xfId="31784" xr:uid="{00000000-0005-0000-0000-0000B1520000}"/>
    <cellStyle name="Normal GHG Numbers (0.00) 3 8 4" xfId="18082" xr:uid="{00000000-0005-0000-0000-0000B2520000}"/>
    <cellStyle name="Normal GHG Numbers (0.00) 3 9" xfId="14967" xr:uid="{00000000-0005-0000-0000-0000B3520000}"/>
    <cellStyle name="Normal GHG Numbers (0.00) 3 9 2" xfId="36400" xr:uid="{00000000-0005-0000-0000-0000B4520000}"/>
    <cellStyle name="Normal GHG Numbers (0.00) 3 9 3" xfId="17411" xr:uid="{00000000-0005-0000-0000-0000B5520000}"/>
    <cellStyle name="Normal GHG Numbers (0.00) 4" xfId="5223" xr:uid="{00000000-0005-0000-0000-0000B6520000}"/>
    <cellStyle name="Normal GHG Numbers (0.00) 4 2" xfId="10036" xr:uid="{00000000-0005-0000-0000-0000B7520000}"/>
    <cellStyle name="Normal GHG Numbers (0.00) 4 2 2" xfId="33345" xr:uid="{00000000-0005-0000-0000-0000B8520000}"/>
    <cellStyle name="Normal GHG Numbers (0.00) 4 2 3" xfId="23683" xr:uid="{00000000-0005-0000-0000-0000B9520000}"/>
    <cellStyle name="Normal GHG Numbers (0.00) 4 3" xfId="16334" xr:uid="{00000000-0005-0000-0000-0000BA520000}"/>
    <cellStyle name="Normal GHG Numbers (0.00) 4 3 2" xfId="37638" xr:uid="{00000000-0005-0000-0000-0000BB520000}"/>
    <cellStyle name="Normal GHG Numbers (0.00) 4 4" xfId="15585" xr:uid="{00000000-0005-0000-0000-0000BC520000}"/>
    <cellStyle name="Normal GHG Numbers (0.00) 4 4 2" xfId="36962" xr:uid="{00000000-0005-0000-0000-0000BD520000}"/>
    <cellStyle name="Normal GHG Numbers (0.00) 4 5" xfId="32012" xr:uid="{00000000-0005-0000-0000-0000BE520000}"/>
    <cellStyle name="Normal GHG Numbers (0.00) 4 6" xfId="18837" xr:uid="{00000000-0005-0000-0000-0000BF520000}"/>
    <cellStyle name="Normal GHG Numbers (0.00) 5" xfId="4414" xr:uid="{00000000-0005-0000-0000-0000C0520000}"/>
    <cellStyle name="Normal GHG Numbers (0.00) 5 2" xfId="22875" xr:uid="{00000000-0005-0000-0000-0000C1520000}"/>
    <cellStyle name="Normal GHG Numbers (0.00) 5 3" xfId="31796" xr:uid="{00000000-0005-0000-0000-0000C2520000}"/>
    <cellStyle name="Normal GHG Numbers (0.00) 5 4" xfId="18096" xr:uid="{00000000-0005-0000-0000-0000C3520000}"/>
    <cellStyle name="Normal GHG Numbers (0.00) 6" xfId="7009" xr:uid="{00000000-0005-0000-0000-0000C4520000}"/>
    <cellStyle name="Normal GHG Numbers (0.00) 6 2" xfId="25447" xr:uid="{00000000-0005-0000-0000-0000C5520000}"/>
    <cellStyle name="Normal GHG Numbers (0.00) 6 3" xfId="32716" xr:uid="{00000000-0005-0000-0000-0000C6520000}"/>
    <cellStyle name="Normal GHG Numbers (0.00) 6 4" xfId="20390" xr:uid="{00000000-0005-0000-0000-0000C7520000}"/>
    <cellStyle name="Normal GHG Numbers (0.00) 7" xfId="6389" xr:uid="{00000000-0005-0000-0000-0000C8520000}"/>
    <cellStyle name="Normal GHG Numbers (0.00) 7 2" xfId="24829" xr:uid="{00000000-0005-0000-0000-0000C9520000}"/>
    <cellStyle name="Normal GHG Numbers (0.00) 7 3" xfId="32660" xr:uid="{00000000-0005-0000-0000-0000CA520000}"/>
    <cellStyle name="Normal GHG Numbers (0.00) 7 4" xfId="19938" xr:uid="{00000000-0005-0000-0000-0000CB520000}"/>
    <cellStyle name="Normal GHG Numbers (0.00) 8" xfId="6442" xr:uid="{00000000-0005-0000-0000-0000CC520000}"/>
    <cellStyle name="Normal GHG Numbers (0.00) 8 2" xfId="24882" xr:uid="{00000000-0005-0000-0000-0000CD520000}"/>
    <cellStyle name="Normal GHG Numbers (0.00) 8 3" xfId="32713" xr:uid="{00000000-0005-0000-0000-0000CE520000}"/>
    <cellStyle name="Normal GHG Numbers (0.00) 8 4" xfId="19991" xr:uid="{00000000-0005-0000-0000-0000CF520000}"/>
    <cellStyle name="Normal GHG Numbers (0.00) 9" xfId="8398" xr:uid="{00000000-0005-0000-0000-0000D0520000}"/>
    <cellStyle name="Normal GHG Numbers (0.00) 9 2" xfId="26821" xr:uid="{00000000-0005-0000-0000-0000D1520000}"/>
    <cellStyle name="Normal GHG Numbers (0.00) 9 3" xfId="33030" xr:uid="{00000000-0005-0000-0000-0000D2520000}"/>
    <cellStyle name="Normal GHG Numbers (0.00) 9 4" xfId="21689" xr:uid="{00000000-0005-0000-0000-0000D3520000}"/>
    <cellStyle name="Normal GHG Textfiels Bold" xfId="2962" xr:uid="{00000000-0005-0000-0000-0000D4520000}"/>
    <cellStyle name="Normal GHG whole table" xfId="11521" xr:uid="{00000000-0005-0000-0000-0000D5520000}"/>
    <cellStyle name="Normal GHG whole table 2" xfId="10528" xr:uid="{00000000-0005-0000-0000-0000D6520000}"/>
    <cellStyle name="Normal GHG whole table 2 2" xfId="15402" xr:uid="{00000000-0005-0000-0000-0000D7520000}"/>
    <cellStyle name="Normal GHG whole table 2 2 2" xfId="36786" xr:uid="{00000000-0005-0000-0000-0000D8520000}"/>
    <cellStyle name="Normal GHG whole table 2 3" xfId="14767" xr:uid="{00000000-0005-0000-0000-0000D9520000}"/>
    <cellStyle name="Normal GHG whole table 3" xfId="14650" xr:uid="{00000000-0005-0000-0000-0000DA520000}"/>
    <cellStyle name="Normal GHG whole table 3 2" xfId="36135" xr:uid="{00000000-0005-0000-0000-0000DB520000}"/>
    <cellStyle name="Normal GHG whole table 4" xfId="16579" xr:uid="{00000000-0005-0000-0000-0000DC520000}"/>
    <cellStyle name="Normal GHG whole table 4 2" xfId="37790" xr:uid="{00000000-0005-0000-0000-0000DD520000}"/>
    <cellStyle name="Normal GHG whole table 5" xfId="34317" xr:uid="{00000000-0005-0000-0000-0000DE520000}"/>
    <cellStyle name="Normal GHG whole table 6" xfId="40997" xr:uid="{00000000-0005-0000-0000-0000D50D0000}"/>
    <cellStyle name="Normal GHG-Shade" xfId="2963" xr:uid="{00000000-0005-0000-0000-0000DF520000}"/>
    <cellStyle name="Normal GHG-Shade 2" xfId="11500" xr:uid="{00000000-0005-0000-0000-0000E0520000}"/>
    <cellStyle name="Normal GHG-Shade 2 2" xfId="14346" xr:uid="{00000000-0005-0000-0000-0000E1520000}"/>
    <cellStyle name="Normal GHG-Shade 3" xfId="11501" xr:uid="{00000000-0005-0000-0000-0000E2520000}"/>
    <cellStyle name="Normal GHG-Shade 4" xfId="14345" xr:uid="{00000000-0005-0000-0000-0000E3520000}"/>
    <cellStyle name="Normal_1990 and 1998 CIP - Prices Quantity and CO2(MH)" xfId="16604" xr:uid="{00000000-0005-0000-0000-0000E4520000}"/>
    <cellStyle name="Normal_2000balx" xfId="3743" xr:uid="{00000000-0005-0000-0000-0000E5520000}"/>
    <cellStyle name="Normal_2008" xfId="57" xr:uid="{00000000-0005-0000-0000-0000E6520000}"/>
    <cellStyle name="Normal_AverageYearlyMilesByCC" xfId="56" xr:uid="{00000000-0005-0000-0000-0000E7520000}"/>
    <cellStyle name="Normál_C3EM_v2" xfId="101" xr:uid="{00000000-0005-0000-0000-0000E8520000}"/>
    <cellStyle name="Normal_iearpsts99" xfId="52" xr:uid="{00000000-0005-0000-0000-0000E9520000}"/>
    <cellStyle name="Normal_Sheet1" xfId="53" xr:uid="{00000000-0005-0000-0000-0000EA520000}"/>
    <cellStyle name="Normal_Table1" xfId="55" xr:uid="{00000000-0005-0000-0000-0000EB520000}"/>
    <cellStyle name="Normale 2" xfId="2964" xr:uid="{00000000-0005-0000-0000-0000EC520000}"/>
    <cellStyle name="Normale 2 2" xfId="2965" xr:uid="{00000000-0005-0000-0000-0000ED520000}"/>
    <cellStyle name="Normale 2 2 2" xfId="3481" xr:uid="{00000000-0005-0000-0000-0000EE520000}"/>
    <cellStyle name="Normale 2 2 2 2" xfId="14386" xr:uid="{00000000-0005-0000-0000-0000EF520000}"/>
    <cellStyle name="Normale 2 2 2 2 2" xfId="17222" xr:uid="{00000000-0005-0000-0000-0000F0520000}"/>
    <cellStyle name="Normale 3" xfId="2966" xr:uid="{00000000-0005-0000-0000-0000F1520000}"/>
    <cellStyle name="Normale 3 2" xfId="3482" xr:uid="{00000000-0005-0000-0000-0000F2520000}"/>
    <cellStyle name="Normale 3 2 2" xfId="11185" xr:uid="{00000000-0005-0000-0000-0000F3520000}"/>
    <cellStyle name="Normale 3 2 2 2" xfId="34002" xr:uid="{00000000-0005-0000-0000-0000F4520000}"/>
    <cellStyle name="Normale 3 2 3" xfId="28240" xr:uid="{00000000-0005-0000-0000-0000F5520000}"/>
    <cellStyle name="Normale 3 2 4" xfId="31535" xr:uid="{00000000-0005-0000-0000-0000F6520000}"/>
    <cellStyle name="Normale 3 3" xfId="13006" xr:uid="{00000000-0005-0000-0000-0000F7520000}"/>
    <cellStyle name="Normale 3 3 2" xfId="30498" xr:uid="{00000000-0005-0000-0000-0000F8520000}"/>
    <cellStyle name="Normale 3 3 3" xfId="28400" xr:uid="{00000000-0005-0000-0000-0000F9520000}"/>
    <cellStyle name="Normale 3 4" xfId="10037" xr:uid="{00000000-0005-0000-0000-0000FA520000}"/>
    <cellStyle name="Normale 3 4 2" xfId="33346" xr:uid="{00000000-0005-0000-0000-0000FB520000}"/>
    <cellStyle name="Normale 3 5" xfId="31305" xr:uid="{00000000-0005-0000-0000-0000FC520000}"/>
    <cellStyle name="Normale 4" xfId="2967" xr:uid="{00000000-0005-0000-0000-0000FD520000}"/>
    <cellStyle name="Normale 4 2" xfId="2968" xr:uid="{00000000-0005-0000-0000-0000FE520000}"/>
    <cellStyle name="Normale 4 3" xfId="2969" xr:uid="{00000000-0005-0000-0000-0000FF520000}"/>
    <cellStyle name="Normale 4 4" xfId="2970" xr:uid="{00000000-0005-0000-0000-000000530000}"/>
    <cellStyle name="Normale 4 5" xfId="2971" xr:uid="{00000000-0005-0000-0000-000001530000}"/>
    <cellStyle name="Normale 4 6" xfId="2972" xr:uid="{00000000-0005-0000-0000-000002530000}"/>
    <cellStyle name="Normale 5" xfId="3686" xr:uid="{00000000-0005-0000-0000-000003530000}"/>
    <cellStyle name="Normale 5 2" xfId="10038" xr:uid="{00000000-0005-0000-0000-000004530000}"/>
    <cellStyle name="Normale 5 3" xfId="28533" xr:uid="{00000000-0005-0000-0000-000005530000}"/>
    <cellStyle name="Normale 5 4" xfId="28241" xr:uid="{00000000-0005-0000-0000-000006530000}"/>
    <cellStyle name="Normale 5 5" xfId="27399" xr:uid="{00000000-0005-0000-0000-000007530000}"/>
    <cellStyle name="Normale 54" xfId="3725" xr:uid="{00000000-0005-0000-0000-000008530000}"/>
    <cellStyle name="Normale 6" xfId="10039" xr:uid="{00000000-0005-0000-0000-000009530000}"/>
    <cellStyle name="Normale 6 2" xfId="28534" xr:uid="{00000000-0005-0000-0000-00000A530000}"/>
    <cellStyle name="Normale 60" xfId="3726" xr:uid="{00000000-0005-0000-0000-00000B530000}"/>
    <cellStyle name="Normale 64" xfId="3727" xr:uid="{00000000-0005-0000-0000-00000C530000}"/>
    <cellStyle name="Normale 65" xfId="3728" xr:uid="{00000000-0005-0000-0000-00000D530000}"/>
    <cellStyle name="Normale_B2020" xfId="2973" xr:uid="{00000000-0005-0000-0000-00000E530000}"/>
    <cellStyle name="normální_List1" xfId="102" xr:uid="{00000000-0005-0000-0000-00000F530000}"/>
    <cellStyle name="Nota" xfId="3729" xr:uid="{00000000-0005-0000-0000-000010530000}"/>
    <cellStyle name="Nota 10" xfId="22218" xr:uid="{00000000-0005-0000-0000-000011530000}"/>
    <cellStyle name="Nota 11" xfId="16618" xr:uid="{00000000-0005-0000-0000-000012530000}"/>
    <cellStyle name="Nota 2" xfId="5817" xr:uid="{00000000-0005-0000-0000-000013530000}"/>
    <cellStyle name="Nota 2 2" xfId="24264" xr:uid="{00000000-0005-0000-0000-000014530000}"/>
    <cellStyle name="Nota 2 3" xfId="32397" xr:uid="{00000000-0005-0000-0000-000015530000}"/>
    <cellStyle name="Nota 2 4" xfId="19373" xr:uid="{00000000-0005-0000-0000-000016530000}"/>
    <cellStyle name="Nota 3" xfId="5906" xr:uid="{00000000-0005-0000-0000-000017530000}"/>
    <cellStyle name="Nota 3 2" xfId="24352" xr:uid="{00000000-0005-0000-0000-000018530000}"/>
    <cellStyle name="Nota 3 3" xfId="32417" xr:uid="{00000000-0005-0000-0000-000019530000}"/>
    <cellStyle name="Nota 3 4" xfId="19459" xr:uid="{00000000-0005-0000-0000-00001A530000}"/>
    <cellStyle name="Nota 4" xfId="7291" xr:uid="{00000000-0005-0000-0000-00001B530000}"/>
    <cellStyle name="Nota 4 2" xfId="25722" xr:uid="{00000000-0005-0000-0000-00001C530000}"/>
    <cellStyle name="Nota 4 3" xfId="32783" xr:uid="{00000000-0005-0000-0000-00001D530000}"/>
    <cellStyle name="Nota 4 4" xfId="20647" xr:uid="{00000000-0005-0000-0000-00001E530000}"/>
    <cellStyle name="Nota 5" xfId="7805" xr:uid="{00000000-0005-0000-0000-00001F530000}"/>
    <cellStyle name="Nota 5 2" xfId="26235" xr:uid="{00000000-0005-0000-0000-000020530000}"/>
    <cellStyle name="Nota 5 3" xfId="32931" xr:uid="{00000000-0005-0000-0000-000021530000}"/>
    <cellStyle name="Nota 5 4" xfId="21160" xr:uid="{00000000-0005-0000-0000-000022530000}"/>
    <cellStyle name="Nota 6" xfId="8194" xr:uid="{00000000-0005-0000-0000-000023530000}"/>
    <cellStyle name="Nota 6 2" xfId="26624" xr:uid="{00000000-0005-0000-0000-000024530000}"/>
    <cellStyle name="Nota 6 3" xfId="33017" xr:uid="{00000000-0005-0000-0000-000025530000}"/>
    <cellStyle name="Nota 6 4" xfId="21547" xr:uid="{00000000-0005-0000-0000-000026530000}"/>
    <cellStyle name="Nota 7" xfId="8920" xr:uid="{00000000-0005-0000-0000-000027530000}"/>
    <cellStyle name="Nota 7 2" xfId="27338" xr:uid="{00000000-0005-0000-0000-000028530000}"/>
    <cellStyle name="Nota 7 3" xfId="33191" xr:uid="{00000000-0005-0000-0000-000029530000}"/>
    <cellStyle name="Nota 7 4" xfId="22210" xr:uid="{00000000-0005-0000-0000-00002A530000}"/>
    <cellStyle name="Nota 8" xfId="4411" xr:uid="{00000000-0005-0000-0000-00002B530000}"/>
    <cellStyle name="Nota 8 2" xfId="22873" xr:uid="{00000000-0005-0000-0000-00002C530000}"/>
    <cellStyle name="Nota 8 3" xfId="31794" xr:uid="{00000000-0005-0000-0000-00002D530000}"/>
    <cellStyle name="Nota 8 4" xfId="18093" xr:uid="{00000000-0005-0000-0000-00002E530000}"/>
    <cellStyle name="Nota 9" xfId="17424" xr:uid="{00000000-0005-0000-0000-00002F530000}"/>
    <cellStyle name="Note 10" xfId="2974" xr:uid="{00000000-0005-0000-0000-000030530000}"/>
    <cellStyle name="Note 10 10" xfId="14590" xr:uid="{00000000-0005-0000-0000-000031530000}"/>
    <cellStyle name="Note 10 10 2" xfId="16886" xr:uid="{00000000-0005-0000-0000-000032530000}"/>
    <cellStyle name="Note 10 11" xfId="14436" xr:uid="{00000000-0005-0000-0000-000033530000}"/>
    <cellStyle name="Note 10 11 2" xfId="35964" xr:uid="{00000000-0005-0000-0000-000034530000}"/>
    <cellStyle name="Note 10 12" xfId="31306" xr:uid="{00000000-0005-0000-0000-000035530000}"/>
    <cellStyle name="Note 10 13" xfId="39900" xr:uid="{00000000-0005-0000-0000-0000DC0D0000}"/>
    <cellStyle name="Note 10 2" xfId="3483" xr:uid="{00000000-0005-0000-0000-000036530000}"/>
    <cellStyle name="Note 10 2 10" xfId="14708" xr:uid="{00000000-0005-0000-0000-000037530000}"/>
    <cellStyle name="Note 10 2 10 2" xfId="36188" xr:uid="{00000000-0005-0000-0000-000038530000}"/>
    <cellStyle name="Note 10 2 11" xfId="31536" xr:uid="{00000000-0005-0000-0000-000039530000}"/>
    <cellStyle name="Note 10 2 12" xfId="39901" xr:uid="{00000000-0005-0000-0000-0000DD0D0000}"/>
    <cellStyle name="Note 10 2 2" xfId="5610" xr:uid="{00000000-0005-0000-0000-00003A530000}"/>
    <cellStyle name="Note 10 2 2 2" xfId="24063" xr:uid="{00000000-0005-0000-0000-00003B530000}"/>
    <cellStyle name="Note 10 2 2 3" xfId="32221" xr:uid="{00000000-0005-0000-0000-00003C530000}"/>
    <cellStyle name="Note 10 2 2 4" xfId="19197" xr:uid="{00000000-0005-0000-0000-00003D530000}"/>
    <cellStyle name="Note 10 2 3" xfId="5108" xr:uid="{00000000-0005-0000-0000-00003E530000}"/>
    <cellStyle name="Note 10 2 3 2" xfId="23568" xr:uid="{00000000-0005-0000-0000-00003F530000}"/>
    <cellStyle name="Note 10 2 3 3" xfId="31949" xr:uid="{00000000-0005-0000-0000-000040530000}"/>
    <cellStyle name="Note 10 2 3 4" xfId="18722" xr:uid="{00000000-0005-0000-0000-000041530000}"/>
    <cellStyle name="Note 10 2 4" xfId="6024" xr:uid="{00000000-0005-0000-0000-000042530000}"/>
    <cellStyle name="Note 10 2 4 2" xfId="24465" xr:uid="{00000000-0005-0000-0000-000043530000}"/>
    <cellStyle name="Note 10 2 4 3" xfId="32502" xr:uid="{00000000-0005-0000-0000-000044530000}"/>
    <cellStyle name="Note 10 2 4 4" xfId="19574" xr:uid="{00000000-0005-0000-0000-000045530000}"/>
    <cellStyle name="Note 10 2 5" xfId="7622" xr:uid="{00000000-0005-0000-0000-000046530000}"/>
    <cellStyle name="Note 10 2 5 2" xfId="26052" xr:uid="{00000000-0005-0000-0000-000047530000}"/>
    <cellStyle name="Note 10 2 5 3" xfId="32867" xr:uid="{00000000-0005-0000-0000-000048530000}"/>
    <cellStyle name="Note 10 2 5 4" xfId="20977" xr:uid="{00000000-0005-0000-0000-000049530000}"/>
    <cellStyle name="Note 10 2 6" xfId="7996" xr:uid="{00000000-0005-0000-0000-00004A530000}"/>
    <cellStyle name="Note 10 2 6 2" xfId="26426" xr:uid="{00000000-0005-0000-0000-00004B530000}"/>
    <cellStyle name="Note 10 2 6 3" xfId="32939" xr:uid="{00000000-0005-0000-0000-00004C530000}"/>
    <cellStyle name="Note 10 2 6 4" xfId="21350" xr:uid="{00000000-0005-0000-0000-00004D530000}"/>
    <cellStyle name="Note 10 2 7" xfId="8720" xr:uid="{00000000-0005-0000-0000-00004E530000}"/>
    <cellStyle name="Note 10 2 7 2" xfId="27140" xr:uid="{00000000-0005-0000-0000-00004F530000}"/>
    <cellStyle name="Note 10 2 7 3" xfId="33111" xr:uid="{00000000-0005-0000-0000-000050530000}"/>
    <cellStyle name="Note 10 2 7 4" xfId="22011" xr:uid="{00000000-0005-0000-0000-000051530000}"/>
    <cellStyle name="Note 10 2 8" xfId="4212" xr:uid="{00000000-0005-0000-0000-000052530000}"/>
    <cellStyle name="Note 10 2 8 2" xfId="22676" xr:uid="{00000000-0005-0000-0000-000053530000}"/>
    <cellStyle name="Note 10 2 8 3" xfId="31714" xr:uid="{00000000-0005-0000-0000-000054530000}"/>
    <cellStyle name="Note 10 2 8 4" xfId="17894" xr:uid="{00000000-0005-0000-0000-000055530000}"/>
    <cellStyle name="Note 10 2 9" xfId="14608" xr:uid="{00000000-0005-0000-0000-000056530000}"/>
    <cellStyle name="Note 10 2 9 2" xfId="17223" xr:uid="{00000000-0005-0000-0000-000057530000}"/>
    <cellStyle name="Note 10 3" xfId="5236" xr:uid="{00000000-0005-0000-0000-000058530000}"/>
    <cellStyle name="Note 10 3 2" xfId="23696" xr:uid="{00000000-0005-0000-0000-000059530000}"/>
    <cellStyle name="Note 10 3 2 2" xfId="39903" xr:uid="{00000000-0005-0000-0000-0000DF0D0000}"/>
    <cellStyle name="Note 10 3 3" xfId="32013" xr:uid="{00000000-0005-0000-0000-00005A530000}"/>
    <cellStyle name="Note 10 3 4" xfId="18850" xr:uid="{00000000-0005-0000-0000-00005B530000}"/>
    <cellStyle name="Note 10 3 5" xfId="39902" xr:uid="{00000000-0005-0000-0000-0000DE0D0000}"/>
    <cellStyle name="Note 10 3_ELC_final" xfId="39904" xr:uid="{00000000-0005-0000-0000-0000E00D0000}"/>
    <cellStyle name="Note 10 4" xfId="4828" xr:uid="{00000000-0005-0000-0000-00005C530000}"/>
    <cellStyle name="Note 10 4 2" xfId="23288" xr:uid="{00000000-0005-0000-0000-00005D530000}"/>
    <cellStyle name="Note 10 4 3" xfId="31811" xr:uid="{00000000-0005-0000-0000-00005E530000}"/>
    <cellStyle name="Note 10 4 4" xfId="18443" xr:uid="{00000000-0005-0000-0000-00005F530000}"/>
    <cellStyle name="Note 10 5" xfId="6376" xr:uid="{00000000-0005-0000-0000-000060530000}"/>
    <cellStyle name="Note 10 5 2" xfId="24816" xr:uid="{00000000-0005-0000-0000-000061530000}"/>
    <cellStyle name="Note 10 5 3" xfId="32655" xr:uid="{00000000-0005-0000-0000-000062530000}"/>
    <cellStyle name="Note 10 5 4" xfId="19925" xr:uid="{00000000-0005-0000-0000-000063530000}"/>
    <cellStyle name="Note 10 6" xfId="7299" xr:uid="{00000000-0005-0000-0000-000064530000}"/>
    <cellStyle name="Note 10 6 2" xfId="25730" xr:uid="{00000000-0005-0000-0000-000065530000}"/>
    <cellStyle name="Note 10 6 3" xfId="32786" xr:uid="{00000000-0005-0000-0000-000066530000}"/>
    <cellStyle name="Note 10 6 4" xfId="20655" xr:uid="{00000000-0005-0000-0000-000067530000}"/>
    <cellStyle name="Note 10 7" xfId="6441" xr:uid="{00000000-0005-0000-0000-000068530000}"/>
    <cellStyle name="Note 10 7 2" xfId="24881" xr:uid="{00000000-0005-0000-0000-000069530000}"/>
    <cellStyle name="Note 10 7 3" xfId="32712" xr:uid="{00000000-0005-0000-0000-00006A530000}"/>
    <cellStyle name="Note 10 7 4" xfId="19990" xr:uid="{00000000-0005-0000-0000-00006B530000}"/>
    <cellStyle name="Note 10 8" xfId="8399" xr:uid="{00000000-0005-0000-0000-00006C530000}"/>
    <cellStyle name="Note 10 8 2" xfId="26822" xr:uid="{00000000-0005-0000-0000-00006D530000}"/>
    <cellStyle name="Note 10 8 3" xfId="33031" xr:uid="{00000000-0005-0000-0000-00006E530000}"/>
    <cellStyle name="Note 10 8 4" xfId="21690" xr:uid="{00000000-0005-0000-0000-00006F530000}"/>
    <cellStyle name="Note 10 9" xfId="3891" xr:uid="{00000000-0005-0000-0000-000070530000}"/>
    <cellStyle name="Note 10 9 2" xfId="22358" xr:uid="{00000000-0005-0000-0000-000071530000}"/>
    <cellStyle name="Note 10 9 3" xfId="31634" xr:uid="{00000000-0005-0000-0000-000072530000}"/>
    <cellStyle name="Note 10 9 4" xfId="17573" xr:uid="{00000000-0005-0000-0000-000073530000}"/>
    <cellStyle name="Note 10_ELC_final" xfId="39905" xr:uid="{00000000-0005-0000-0000-0000E10D0000}"/>
    <cellStyle name="Note 11" xfId="2975" xr:uid="{00000000-0005-0000-0000-000074530000}"/>
    <cellStyle name="Note 11 10" xfId="14637" xr:uid="{00000000-0005-0000-0000-000075530000}"/>
    <cellStyle name="Note 11 10 2" xfId="16887" xr:uid="{00000000-0005-0000-0000-000076530000}"/>
    <cellStyle name="Note 11 11" xfId="14674" xr:uid="{00000000-0005-0000-0000-000077530000}"/>
    <cellStyle name="Note 11 11 2" xfId="36157" xr:uid="{00000000-0005-0000-0000-000078530000}"/>
    <cellStyle name="Note 11 12" xfId="31307" xr:uid="{00000000-0005-0000-0000-000079530000}"/>
    <cellStyle name="Note 11 13" xfId="39906" xr:uid="{00000000-0005-0000-0000-0000E20D0000}"/>
    <cellStyle name="Note 11 2" xfId="3484" xr:uid="{00000000-0005-0000-0000-00007A530000}"/>
    <cellStyle name="Note 11 2 10" xfId="15998" xr:uid="{00000000-0005-0000-0000-00007B530000}"/>
    <cellStyle name="Note 11 2 10 2" xfId="37351" xr:uid="{00000000-0005-0000-0000-00007C530000}"/>
    <cellStyle name="Note 11 2 11" xfId="31537" xr:uid="{00000000-0005-0000-0000-00007D530000}"/>
    <cellStyle name="Note 11 2 12" xfId="39907" xr:uid="{00000000-0005-0000-0000-0000E30D0000}"/>
    <cellStyle name="Note 11 2 2" xfId="5611" xr:uid="{00000000-0005-0000-0000-00007E530000}"/>
    <cellStyle name="Note 11 2 2 2" xfId="24064" xr:uid="{00000000-0005-0000-0000-00007F530000}"/>
    <cellStyle name="Note 11 2 2 3" xfId="32222" xr:uid="{00000000-0005-0000-0000-000080530000}"/>
    <cellStyle name="Note 11 2 2 4" xfId="19198" xr:uid="{00000000-0005-0000-0000-000081530000}"/>
    <cellStyle name="Note 11 2 3" xfId="5109" xr:uid="{00000000-0005-0000-0000-000082530000}"/>
    <cellStyle name="Note 11 2 3 2" xfId="23569" xr:uid="{00000000-0005-0000-0000-000083530000}"/>
    <cellStyle name="Note 11 2 3 3" xfId="31950" xr:uid="{00000000-0005-0000-0000-000084530000}"/>
    <cellStyle name="Note 11 2 3 4" xfId="18723" xr:uid="{00000000-0005-0000-0000-000085530000}"/>
    <cellStyle name="Note 11 2 4" xfId="6023" xr:uid="{00000000-0005-0000-0000-000086530000}"/>
    <cellStyle name="Note 11 2 4 2" xfId="24464" xr:uid="{00000000-0005-0000-0000-000087530000}"/>
    <cellStyle name="Note 11 2 4 3" xfId="32501" xr:uid="{00000000-0005-0000-0000-000088530000}"/>
    <cellStyle name="Note 11 2 4 4" xfId="19573" xr:uid="{00000000-0005-0000-0000-000089530000}"/>
    <cellStyle name="Note 11 2 5" xfId="7623" xr:uid="{00000000-0005-0000-0000-00008A530000}"/>
    <cellStyle name="Note 11 2 5 2" xfId="26053" xr:uid="{00000000-0005-0000-0000-00008B530000}"/>
    <cellStyle name="Note 11 2 5 3" xfId="32868" xr:uid="{00000000-0005-0000-0000-00008C530000}"/>
    <cellStyle name="Note 11 2 5 4" xfId="20978" xr:uid="{00000000-0005-0000-0000-00008D530000}"/>
    <cellStyle name="Note 11 2 6" xfId="7997" xr:uid="{00000000-0005-0000-0000-00008E530000}"/>
    <cellStyle name="Note 11 2 6 2" xfId="26427" xr:uid="{00000000-0005-0000-0000-00008F530000}"/>
    <cellStyle name="Note 11 2 6 3" xfId="32940" xr:uid="{00000000-0005-0000-0000-000090530000}"/>
    <cellStyle name="Note 11 2 6 4" xfId="21351" xr:uid="{00000000-0005-0000-0000-000091530000}"/>
    <cellStyle name="Note 11 2 7" xfId="8721" xr:uid="{00000000-0005-0000-0000-000092530000}"/>
    <cellStyle name="Note 11 2 7 2" xfId="27141" xr:uid="{00000000-0005-0000-0000-000093530000}"/>
    <cellStyle name="Note 11 2 7 3" xfId="33112" xr:uid="{00000000-0005-0000-0000-000094530000}"/>
    <cellStyle name="Note 11 2 7 4" xfId="22012" xr:uid="{00000000-0005-0000-0000-000095530000}"/>
    <cellStyle name="Note 11 2 8" xfId="4213" xr:uid="{00000000-0005-0000-0000-000096530000}"/>
    <cellStyle name="Note 11 2 8 2" xfId="22677" xr:uid="{00000000-0005-0000-0000-000097530000}"/>
    <cellStyle name="Note 11 2 8 3" xfId="31715" xr:uid="{00000000-0005-0000-0000-000098530000}"/>
    <cellStyle name="Note 11 2 8 4" xfId="17895" xr:uid="{00000000-0005-0000-0000-000099530000}"/>
    <cellStyle name="Note 11 2 9" xfId="16400" xr:uid="{00000000-0005-0000-0000-00009A530000}"/>
    <cellStyle name="Note 11 2 9 2" xfId="17224" xr:uid="{00000000-0005-0000-0000-00009B530000}"/>
    <cellStyle name="Note 11 3" xfId="5237" xr:uid="{00000000-0005-0000-0000-00009C530000}"/>
    <cellStyle name="Note 11 3 2" xfId="23697" xr:uid="{00000000-0005-0000-0000-00009D530000}"/>
    <cellStyle name="Note 11 3 3" xfId="32014" xr:uid="{00000000-0005-0000-0000-00009E530000}"/>
    <cellStyle name="Note 11 3 4" xfId="18851" xr:uid="{00000000-0005-0000-0000-00009F530000}"/>
    <cellStyle name="Note 11 4" xfId="4829" xr:uid="{00000000-0005-0000-0000-0000A0530000}"/>
    <cellStyle name="Note 11 4 2" xfId="23289" xr:uid="{00000000-0005-0000-0000-0000A1530000}"/>
    <cellStyle name="Note 11 4 3" xfId="31812" xr:uid="{00000000-0005-0000-0000-0000A2530000}"/>
    <cellStyle name="Note 11 4 4" xfId="18444" xr:uid="{00000000-0005-0000-0000-0000A3530000}"/>
    <cellStyle name="Note 11 5" xfId="6375" xr:uid="{00000000-0005-0000-0000-0000A4530000}"/>
    <cellStyle name="Note 11 5 2" xfId="24815" xr:uid="{00000000-0005-0000-0000-0000A5530000}"/>
    <cellStyle name="Note 11 5 3" xfId="32654" xr:uid="{00000000-0005-0000-0000-0000A6530000}"/>
    <cellStyle name="Note 11 5 4" xfId="19924" xr:uid="{00000000-0005-0000-0000-0000A7530000}"/>
    <cellStyle name="Note 11 6" xfId="7300" xr:uid="{00000000-0005-0000-0000-0000A8530000}"/>
    <cellStyle name="Note 11 6 2" xfId="25731" xr:uid="{00000000-0005-0000-0000-0000A9530000}"/>
    <cellStyle name="Note 11 6 3" xfId="32787" xr:uid="{00000000-0005-0000-0000-0000AA530000}"/>
    <cellStyle name="Note 11 6 4" xfId="20656" xr:uid="{00000000-0005-0000-0000-0000AB530000}"/>
    <cellStyle name="Note 11 7" xfId="6440" xr:uid="{00000000-0005-0000-0000-0000AC530000}"/>
    <cellStyle name="Note 11 7 2" xfId="24880" xr:uid="{00000000-0005-0000-0000-0000AD530000}"/>
    <cellStyle name="Note 11 7 3" xfId="32711" xr:uid="{00000000-0005-0000-0000-0000AE530000}"/>
    <cellStyle name="Note 11 7 4" xfId="19989" xr:uid="{00000000-0005-0000-0000-0000AF530000}"/>
    <cellStyle name="Note 11 8" xfId="8400" xr:uid="{00000000-0005-0000-0000-0000B0530000}"/>
    <cellStyle name="Note 11 8 2" xfId="26823" xr:uid="{00000000-0005-0000-0000-0000B1530000}"/>
    <cellStyle name="Note 11 8 3" xfId="33032" xr:uid="{00000000-0005-0000-0000-0000B2530000}"/>
    <cellStyle name="Note 11 8 4" xfId="21691" xr:uid="{00000000-0005-0000-0000-0000B3530000}"/>
    <cellStyle name="Note 11 9" xfId="3892" xr:uid="{00000000-0005-0000-0000-0000B4530000}"/>
    <cellStyle name="Note 11 9 2" xfId="22359" xr:uid="{00000000-0005-0000-0000-0000B5530000}"/>
    <cellStyle name="Note 11 9 3" xfId="31635" xr:uid="{00000000-0005-0000-0000-0000B6530000}"/>
    <cellStyle name="Note 11 9 4" xfId="17574" xr:uid="{00000000-0005-0000-0000-0000B7530000}"/>
    <cellStyle name="Note 11_ELC_final" xfId="39908" xr:uid="{00000000-0005-0000-0000-0000E40D0000}"/>
    <cellStyle name="Note 12" xfId="39909" xr:uid="{00000000-0005-0000-0000-0000E50D0000}"/>
    <cellStyle name="Note 12 2" xfId="39910" xr:uid="{00000000-0005-0000-0000-0000E60D0000}"/>
    <cellStyle name="Note 12_ELC_final" xfId="39911" xr:uid="{00000000-0005-0000-0000-0000E70D0000}"/>
    <cellStyle name="Note 13" xfId="39912" xr:uid="{00000000-0005-0000-0000-0000E80D0000}"/>
    <cellStyle name="Note 13 2" xfId="39913" xr:uid="{00000000-0005-0000-0000-0000E90D0000}"/>
    <cellStyle name="Note 13_ELC_final" xfId="39914" xr:uid="{00000000-0005-0000-0000-0000EA0D0000}"/>
    <cellStyle name="Note 14" xfId="39915" xr:uid="{00000000-0005-0000-0000-0000EB0D0000}"/>
    <cellStyle name="Note 14 2" xfId="39916" xr:uid="{00000000-0005-0000-0000-0000EC0D0000}"/>
    <cellStyle name="Note 14_ELC_final" xfId="39917" xr:uid="{00000000-0005-0000-0000-0000ED0D0000}"/>
    <cellStyle name="Note 15" xfId="39918" xr:uid="{00000000-0005-0000-0000-0000EE0D0000}"/>
    <cellStyle name="Note 15 2" xfId="39919" xr:uid="{00000000-0005-0000-0000-0000EF0D0000}"/>
    <cellStyle name="Note 15_ELC_final" xfId="39920" xr:uid="{00000000-0005-0000-0000-0000F00D0000}"/>
    <cellStyle name="Note 16" xfId="39921" xr:uid="{00000000-0005-0000-0000-0000F10D0000}"/>
    <cellStyle name="Note 16 2" xfId="39922" xr:uid="{00000000-0005-0000-0000-0000F20D0000}"/>
    <cellStyle name="Note 16_ELC_final" xfId="39923" xr:uid="{00000000-0005-0000-0000-0000F30D0000}"/>
    <cellStyle name="Note 17" xfId="39924" xr:uid="{00000000-0005-0000-0000-0000F40D0000}"/>
    <cellStyle name="Note 17 2" xfId="39925" xr:uid="{00000000-0005-0000-0000-0000F50D0000}"/>
    <cellStyle name="Note 17_ELC_final" xfId="39926" xr:uid="{00000000-0005-0000-0000-0000F60D0000}"/>
    <cellStyle name="Note 18" xfId="39927" xr:uid="{00000000-0005-0000-0000-0000F70D0000}"/>
    <cellStyle name="Note 18 2" xfId="39928" xr:uid="{00000000-0005-0000-0000-0000F80D0000}"/>
    <cellStyle name="Note 18_ELC_final" xfId="39929" xr:uid="{00000000-0005-0000-0000-0000F90D0000}"/>
    <cellStyle name="Note 19" xfId="39930" xr:uid="{00000000-0005-0000-0000-0000FA0D0000}"/>
    <cellStyle name="Note 2" xfId="2976" xr:uid="{00000000-0005-0000-0000-0000B8530000}"/>
    <cellStyle name="Note 2 10" xfId="2977" xr:uid="{00000000-0005-0000-0000-0000B9530000}"/>
    <cellStyle name="Note 2 10 10" xfId="16495" xr:uid="{00000000-0005-0000-0000-0000BA530000}"/>
    <cellStyle name="Note 2 10 10 2" xfId="16889" xr:uid="{00000000-0005-0000-0000-0000BB530000}"/>
    <cellStyle name="Note 2 10 11" xfId="15704" xr:uid="{00000000-0005-0000-0000-0000BC530000}"/>
    <cellStyle name="Note 2 10 11 2" xfId="37069" xr:uid="{00000000-0005-0000-0000-0000BD530000}"/>
    <cellStyle name="Note 2 10 12" xfId="31309" xr:uid="{00000000-0005-0000-0000-0000BE530000}"/>
    <cellStyle name="Note 2 10 13" xfId="38050" xr:uid="{00000000-0005-0000-0000-0000FC0D0000}"/>
    <cellStyle name="Note 2 10 2" xfId="3486" xr:uid="{00000000-0005-0000-0000-0000BF530000}"/>
    <cellStyle name="Note 2 10 2 10" xfId="16219" xr:uid="{00000000-0005-0000-0000-0000C0530000}"/>
    <cellStyle name="Note 2 10 2 10 2" xfId="37532" xr:uid="{00000000-0005-0000-0000-0000C1530000}"/>
    <cellStyle name="Note 2 10 2 11" xfId="31539" xr:uid="{00000000-0005-0000-0000-0000C2530000}"/>
    <cellStyle name="Note 2 10 2 2" xfId="5613" xr:uid="{00000000-0005-0000-0000-0000C3530000}"/>
    <cellStyle name="Note 2 10 2 2 2" xfId="24066" xr:uid="{00000000-0005-0000-0000-0000C4530000}"/>
    <cellStyle name="Note 2 10 2 2 3" xfId="32224" xr:uid="{00000000-0005-0000-0000-0000C5530000}"/>
    <cellStyle name="Note 2 10 2 2 4" xfId="19199" xr:uid="{00000000-0005-0000-0000-0000C6530000}"/>
    <cellStyle name="Note 2 10 2 3" xfId="5111" xr:uid="{00000000-0005-0000-0000-0000C7530000}"/>
    <cellStyle name="Note 2 10 2 3 2" xfId="23571" xr:uid="{00000000-0005-0000-0000-0000C8530000}"/>
    <cellStyle name="Note 2 10 2 3 3" xfId="31952" xr:uid="{00000000-0005-0000-0000-0000C9530000}"/>
    <cellStyle name="Note 2 10 2 3 4" xfId="18725" xr:uid="{00000000-0005-0000-0000-0000CA530000}"/>
    <cellStyle name="Note 2 10 2 4" xfId="6021" xr:uid="{00000000-0005-0000-0000-0000CB530000}"/>
    <cellStyle name="Note 2 10 2 4 2" xfId="24462" xr:uid="{00000000-0005-0000-0000-0000CC530000}"/>
    <cellStyle name="Note 2 10 2 4 3" xfId="32499" xr:uid="{00000000-0005-0000-0000-0000CD530000}"/>
    <cellStyle name="Note 2 10 2 4 4" xfId="19571" xr:uid="{00000000-0005-0000-0000-0000CE530000}"/>
    <cellStyle name="Note 2 10 2 5" xfId="7625" xr:uid="{00000000-0005-0000-0000-0000CF530000}"/>
    <cellStyle name="Note 2 10 2 5 2" xfId="26055" xr:uid="{00000000-0005-0000-0000-0000D0530000}"/>
    <cellStyle name="Note 2 10 2 5 3" xfId="32870" xr:uid="{00000000-0005-0000-0000-0000D1530000}"/>
    <cellStyle name="Note 2 10 2 5 4" xfId="20980" xr:uid="{00000000-0005-0000-0000-0000D2530000}"/>
    <cellStyle name="Note 2 10 2 6" xfId="7999" xr:uid="{00000000-0005-0000-0000-0000D3530000}"/>
    <cellStyle name="Note 2 10 2 6 2" xfId="26429" xr:uid="{00000000-0005-0000-0000-0000D4530000}"/>
    <cellStyle name="Note 2 10 2 6 3" xfId="32942" xr:uid="{00000000-0005-0000-0000-0000D5530000}"/>
    <cellStyle name="Note 2 10 2 6 4" xfId="21353" xr:uid="{00000000-0005-0000-0000-0000D6530000}"/>
    <cellStyle name="Note 2 10 2 7" xfId="8723" xr:uid="{00000000-0005-0000-0000-0000D7530000}"/>
    <cellStyle name="Note 2 10 2 7 2" xfId="27143" xr:uid="{00000000-0005-0000-0000-0000D8530000}"/>
    <cellStyle name="Note 2 10 2 7 3" xfId="33114" xr:uid="{00000000-0005-0000-0000-0000D9530000}"/>
    <cellStyle name="Note 2 10 2 7 4" xfId="22014" xr:uid="{00000000-0005-0000-0000-0000DA530000}"/>
    <cellStyle name="Note 2 10 2 8" xfId="4215" xr:uid="{00000000-0005-0000-0000-0000DB530000}"/>
    <cellStyle name="Note 2 10 2 8 2" xfId="22679" xr:uid="{00000000-0005-0000-0000-0000DC530000}"/>
    <cellStyle name="Note 2 10 2 8 3" xfId="31717" xr:uid="{00000000-0005-0000-0000-0000DD530000}"/>
    <cellStyle name="Note 2 10 2 8 4" xfId="17897" xr:uid="{00000000-0005-0000-0000-0000DE530000}"/>
    <cellStyle name="Note 2 10 2 9" xfId="16399" xr:uid="{00000000-0005-0000-0000-0000DF530000}"/>
    <cellStyle name="Note 2 10 2 9 2" xfId="17226" xr:uid="{00000000-0005-0000-0000-0000E0530000}"/>
    <cellStyle name="Note 2 10 3" xfId="5239" xr:uid="{00000000-0005-0000-0000-0000E1530000}"/>
    <cellStyle name="Note 2 10 3 2" xfId="23699" xr:uid="{00000000-0005-0000-0000-0000E2530000}"/>
    <cellStyle name="Note 2 10 3 3" xfId="32016" xr:uid="{00000000-0005-0000-0000-0000E3530000}"/>
    <cellStyle name="Note 2 10 3 4" xfId="18852" xr:uid="{00000000-0005-0000-0000-0000E4530000}"/>
    <cellStyle name="Note 2 10 4" xfId="4831" xr:uid="{00000000-0005-0000-0000-0000E5530000}"/>
    <cellStyle name="Note 2 10 4 2" xfId="23291" xr:uid="{00000000-0005-0000-0000-0000E6530000}"/>
    <cellStyle name="Note 2 10 4 3" xfId="31814" xr:uid="{00000000-0005-0000-0000-0000E7530000}"/>
    <cellStyle name="Note 2 10 4 4" xfId="18445" xr:uid="{00000000-0005-0000-0000-0000E8530000}"/>
    <cellStyle name="Note 2 10 5" xfId="6373" xr:uid="{00000000-0005-0000-0000-0000E9530000}"/>
    <cellStyle name="Note 2 10 5 2" xfId="24813" xr:uid="{00000000-0005-0000-0000-0000EA530000}"/>
    <cellStyle name="Note 2 10 5 3" xfId="32652" xr:uid="{00000000-0005-0000-0000-0000EB530000}"/>
    <cellStyle name="Note 2 10 5 4" xfId="19922" xr:uid="{00000000-0005-0000-0000-0000EC530000}"/>
    <cellStyle name="Note 2 10 6" xfId="7302" xr:uid="{00000000-0005-0000-0000-0000ED530000}"/>
    <cellStyle name="Note 2 10 6 2" xfId="25733" xr:uid="{00000000-0005-0000-0000-0000EE530000}"/>
    <cellStyle name="Note 2 10 6 3" xfId="32789" xr:uid="{00000000-0005-0000-0000-0000EF530000}"/>
    <cellStyle name="Note 2 10 6 4" xfId="20658" xr:uid="{00000000-0005-0000-0000-0000F0530000}"/>
    <cellStyle name="Note 2 10 7" xfId="6438" xr:uid="{00000000-0005-0000-0000-0000F1530000}"/>
    <cellStyle name="Note 2 10 7 2" xfId="24878" xr:uid="{00000000-0005-0000-0000-0000F2530000}"/>
    <cellStyle name="Note 2 10 7 3" xfId="32709" xr:uid="{00000000-0005-0000-0000-0000F3530000}"/>
    <cellStyle name="Note 2 10 7 4" xfId="19987" xr:uid="{00000000-0005-0000-0000-0000F4530000}"/>
    <cellStyle name="Note 2 10 8" xfId="8402" xr:uid="{00000000-0005-0000-0000-0000F5530000}"/>
    <cellStyle name="Note 2 10 8 2" xfId="26825" xr:uid="{00000000-0005-0000-0000-0000F6530000}"/>
    <cellStyle name="Note 2 10 8 3" xfId="33034" xr:uid="{00000000-0005-0000-0000-0000F7530000}"/>
    <cellStyle name="Note 2 10 8 4" xfId="21693" xr:uid="{00000000-0005-0000-0000-0000F8530000}"/>
    <cellStyle name="Note 2 10 9" xfId="3894" xr:uid="{00000000-0005-0000-0000-0000F9530000}"/>
    <cellStyle name="Note 2 10 9 2" xfId="22361" xr:uid="{00000000-0005-0000-0000-0000FA530000}"/>
    <cellStyle name="Note 2 10 9 3" xfId="31637" xr:uid="{00000000-0005-0000-0000-0000FB530000}"/>
    <cellStyle name="Note 2 10 9 4" xfId="17576" xr:uid="{00000000-0005-0000-0000-0000FC530000}"/>
    <cellStyle name="Note 2 11" xfId="2978" xr:uid="{00000000-0005-0000-0000-0000FD530000}"/>
    <cellStyle name="Note 2 11 10" xfId="16296" xr:uid="{00000000-0005-0000-0000-0000FE530000}"/>
    <cellStyle name="Note 2 11 10 2" xfId="16890" xr:uid="{00000000-0005-0000-0000-0000FF530000}"/>
    <cellStyle name="Note 2 11 11" xfId="15077" xr:uid="{00000000-0005-0000-0000-000000540000}"/>
    <cellStyle name="Note 2 11 11 2" xfId="36488" xr:uid="{00000000-0005-0000-0000-000001540000}"/>
    <cellStyle name="Note 2 11 12" xfId="31310" xr:uid="{00000000-0005-0000-0000-000002540000}"/>
    <cellStyle name="Note 2 11 13" xfId="38051" xr:uid="{00000000-0005-0000-0000-0000FD0D0000}"/>
    <cellStyle name="Note 2 11 2" xfId="3487" xr:uid="{00000000-0005-0000-0000-000003540000}"/>
    <cellStyle name="Note 2 11 2 10" xfId="16333" xr:uid="{00000000-0005-0000-0000-000004540000}"/>
    <cellStyle name="Note 2 11 2 10 2" xfId="37637" xr:uid="{00000000-0005-0000-0000-000005540000}"/>
    <cellStyle name="Note 2 11 2 11" xfId="31540" xr:uid="{00000000-0005-0000-0000-000006540000}"/>
    <cellStyle name="Note 2 11 2 2" xfId="5614" xr:uid="{00000000-0005-0000-0000-000007540000}"/>
    <cellStyle name="Note 2 11 2 2 2" xfId="24067" xr:uid="{00000000-0005-0000-0000-000008540000}"/>
    <cellStyle name="Note 2 11 2 2 3" xfId="32225" xr:uid="{00000000-0005-0000-0000-000009540000}"/>
    <cellStyle name="Note 2 11 2 2 4" xfId="19200" xr:uid="{00000000-0005-0000-0000-00000A540000}"/>
    <cellStyle name="Note 2 11 2 3" xfId="5112" xr:uid="{00000000-0005-0000-0000-00000B540000}"/>
    <cellStyle name="Note 2 11 2 3 2" xfId="23572" xr:uid="{00000000-0005-0000-0000-00000C540000}"/>
    <cellStyle name="Note 2 11 2 3 3" xfId="31953" xr:uid="{00000000-0005-0000-0000-00000D540000}"/>
    <cellStyle name="Note 2 11 2 3 4" xfId="18726" xr:uid="{00000000-0005-0000-0000-00000E540000}"/>
    <cellStyle name="Note 2 11 2 4" xfId="6020" xr:uid="{00000000-0005-0000-0000-00000F540000}"/>
    <cellStyle name="Note 2 11 2 4 2" xfId="24461" xr:uid="{00000000-0005-0000-0000-000010540000}"/>
    <cellStyle name="Note 2 11 2 4 3" xfId="32498" xr:uid="{00000000-0005-0000-0000-000011540000}"/>
    <cellStyle name="Note 2 11 2 4 4" xfId="19570" xr:uid="{00000000-0005-0000-0000-000012540000}"/>
    <cellStyle name="Note 2 11 2 5" xfId="7626" xr:uid="{00000000-0005-0000-0000-000013540000}"/>
    <cellStyle name="Note 2 11 2 5 2" xfId="26056" xr:uid="{00000000-0005-0000-0000-000014540000}"/>
    <cellStyle name="Note 2 11 2 5 3" xfId="32871" xr:uid="{00000000-0005-0000-0000-000015540000}"/>
    <cellStyle name="Note 2 11 2 5 4" xfId="20981" xr:uid="{00000000-0005-0000-0000-000016540000}"/>
    <cellStyle name="Note 2 11 2 6" xfId="8000" xr:uid="{00000000-0005-0000-0000-000017540000}"/>
    <cellStyle name="Note 2 11 2 6 2" xfId="26430" xr:uid="{00000000-0005-0000-0000-000018540000}"/>
    <cellStyle name="Note 2 11 2 6 3" xfId="32943" xr:uid="{00000000-0005-0000-0000-000019540000}"/>
    <cellStyle name="Note 2 11 2 6 4" xfId="21354" xr:uid="{00000000-0005-0000-0000-00001A540000}"/>
    <cellStyle name="Note 2 11 2 7" xfId="8724" xr:uid="{00000000-0005-0000-0000-00001B540000}"/>
    <cellStyle name="Note 2 11 2 7 2" xfId="27144" xr:uid="{00000000-0005-0000-0000-00001C540000}"/>
    <cellStyle name="Note 2 11 2 7 3" xfId="33115" xr:uid="{00000000-0005-0000-0000-00001D540000}"/>
    <cellStyle name="Note 2 11 2 7 4" xfId="22015" xr:uid="{00000000-0005-0000-0000-00001E540000}"/>
    <cellStyle name="Note 2 11 2 8" xfId="4216" xr:uid="{00000000-0005-0000-0000-00001F540000}"/>
    <cellStyle name="Note 2 11 2 8 2" xfId="22680" xr:uid="{00000000-0005-0000-0000-000020540000}"/>
    <cellStyle name="Note 2 11 2 8 3" xfId="31718" xr:uid="{00000000-0005-0000-0000-000021540000}"/>
    <cellStyle name="Note 2 11 2 8 4" xfId="17898" xr:uid="{00000000-0005-0000-0000-000022540000}"/>
    <cellStyle name="Note 2 11 2 9" xfId="15694" xr:uid="{00000000-0005-0000-0000-000023540000}"/>
    <cellStyle name="Note 2 11 2 9 2" xfId="17227" xr:uid="{00000000-0005-0000-0000-000024540000}"/>
    <cellStyle name="Note 2 11 3" xfId="5240" xr:uid="{00000000-0005-0000-0000-000025540000}"/>
    <cellStyle name="Note 2 11 3 2" xfId="23700" xr:uid="{00000000-0005-0000-0000-000026540000}"/>
    <cellStyle name="Note 2 11 3 3" xfId="32017" xr:uid="{00000000-0005-0000-0000-000027540000}"/>
    <cellStyle name="Note 2 11 3 4" xfId="18853" xr:uid="{00000000-0005-0000-0000-000028540000}"/>
    <cellStyle name="Note 2 11 4" xfId="4832" xr:uid="{00000000-0005-0000-0000-000029540000}"/>
    <cellStyle name="Note 2 11 4 2" xfId="23292" xr:uid="{00000000-0005-0000-0000-00002A540000}"/>
    <cellStyle name="Note 2 11 4 3" xfId="31815" xr:uid="{00000000-0005-0000-0000-00002B540000}"/>
    <cellStyle name="Note 2 11 4 4" xfId="18446" xr:uid="{00000000-0005-0000-0000-00002C540000}"/>
    <cellStyle name="Note 2 11 5" xfId="6372" xr:uid="{00000000-0005-0000-0000-00002D540000}"/>
    <cellStyle name="Note 2 11 5 2" xfId="24812" xr:uid="{00000000-0005-0000-0000-00002E540000}"/>
    <cellStyle name="Note 2 11 5 3" xfId="32651" xr:uid="{00000000-0005-0000-0000-00002F540000}"/>
    <cellStyle name="Note 2 11 5 4" xfId="19921" xr:uid="{00000000-0005-0000-0000-000030540000}"/>
    <cellStyle name="Note 2 11 6" xfId="7303" xr:uid="{00000000-0005-0000-0000-000031540000}"/>
    <cellStyle name="Note 2 11 6 2" xfId="25734" xr:uid="{00000000-0005-0000-0000-000032540000}"/>
    <cellStyle name="Note 2 11 6 3" xfId="32790" xr:uid="{00000000-0005-0000-0000-000033540000}"/>
    <cellStyle name="Note 2 11 6 4" xfId="20659" xr:uid="{00000000-0005-0000-0000-000034540000}"/>
    <cellStyle name="Note 2 11 7" xfId="6437" xr:uid="{00000000-0005-0000-0000-000035540000}"/>
    <cellStyle name="Note 2 11 7 2" xfId="24877" xr:uid="{00000000-0005-0000-0000-000036540000}"/>
    <cellStyle name="Note 2 11 7 3" xfId="32708" xr:uid="{00000000-0005-0000-0000-000037540000}"/>
    <cellStyle name="Note 2 11 7 4" xfId="19986" xr:uid="{00000000-0005-0000-0000-000038540000}"/>
    <cellStyle name="Note 2 11 8" xfId="8403" xr:uid="{00000000-0005-0000-0000-000039540000}"/>
    <cellStyle name="Note 2 11 8 2" xfId="26826" xr:uid="{00000000-0005-0000-0000-00003A540000}"/>
    <cellStyle name="Note 2 11 8 3" xfId="33035" xr:uid="{00000000-0005-0000-0000-00003B540000}"/>
    <cellStyle name="Note 2 11 8 4" xfId="21694" xr:uid="{00000000-0005-0000-0000-00003C540000}"/>
    <cellStyle name="Note 2 11 9" xfId="3895" xr:uid="{00000000-0005-0000-0000-00003D540000}"/>
    <cellStyle name="Note 2 11 9 2" xfId="22362" xr:uid="{00000000-0005-0000-0000-00003E540000}"/>
    <cellStyle name="Note 2 11 9 3" xfId="31638" xr:uid="{00000000-0005-0000-0000-00003F540000}"/>
    <cellStyle name="Note 2 11 9 4" xfId="17577" xr:uid="{00000000-0005-0000-0000-000040540000}"/>
    <cellStyle name="Note 2 12" xfId="2979" xr:uid="{00000000-0005-0000-0000-000041540000}"/>
    <cellStyle name="Note 2 12 10" xfId="14938" xr:uid="{00000000-0005-0000-0000-000042540000}"/>
    <cellStyle name="Note 2 12 10 2" xfId="16891" xr:uid="{00000000-0005-0000-0000-000043540000}"/>
    <cellStyle name="Note 2 12 11" xfId="15012" xr:uid="{00000000-0005-0000-0000-000044540000}"/>
    <cellStyle name="Note 2 12 11 2" xfId="36437" xr:uid="{00000000-0005-0000-0000-000045540000}"/>
    <cellStyle name="Note 2 12 12" xfId="31311" xr:uid="{00000000-0005-0000-0000-000046540000}"/>
    <cellStyle name="Note 2 12 13" xfId="38052" xr:uid="{00000000-0005-0000-0000-0000FE0D0000}"/>
    <cellStyle name="Note 2 12 2" xfId="3488" xr:uid="{00000000-0005-0000-0000-000047540000}"/>
    <cellStyle name="Note 2 12 2 10" xfId="14710" xr:uid="{00000000-0005-0000-0000-000048540000}"/>
    <cellStyle name="Note 2 12 2 10 2" xfId="36190" xr:uid="{00000000-0005-0000-0000-000049540000}"/>
    <cellStyle name="Note 2 12 2 11" xfId="31541" xr:uid="{00000000-0005-0000-0000-00004A540000}"/>
    <cellStyle name="Note 2 12 2 12" xfId="27400" xr:uid="{00000000-0005-0000-0000-00004B540000}"/>
    <cellStyle name="Note 2 12 2 2" xfId="5615" xr:uid="{00000000-0005-0000-0000-00004C540000}"/>
    <cellStyle name="Note 2 12 2 2 2" xfId="10041" xr:uid="{00000000-0005-0000-0000-00004D540000}"/>
    <cellStyle name="Note 2 12 2 2 2 2" xfId="33348" xr:uid="{00000000-0005-0000-0000-00004E540000}"/>
    <cellStyle name="Note 2 12 2 2 2 3" xfId="24068" xr:uid="{00000000-0005-0000-0000-00004F540000}"/>
    <cellStyle name="Note 2 12 2 2 3" xfId="16095" xr:uid="{00000000-0005-0000-0000-000050540000}"/>
    <cellStyle name="Note 2 12 2 2 3 2" xfId="37417" xr:uid="{00000000-0005-0000-0000-000051540000}"/>
    <cellStyle name="Note 2 12 2 2 4" xfId="14969" xr:uid="{00000000-0005-0000-0000-000052540000}"/>
    <cellStyle name="Note 2 12 2 2 4 2" xfId="36402" xr:uid="{00000000-0005-0000-0000-000053540000}"/>
    <cellStyle name="Note 2 12 2 2 5" xfId="14588" xr:uid="{00000000-0005-0000-0000-000054540000}"/>
    <cellStyle name="Note 2 12 2 2 6" xfId="32226" xr:uid="{00000000-0005-0000-0000-000055540000}"/>
    <cellStyle name="Note 2 12 2 2 7" xfId="27401" xr:uid="{00000000-0005-0000-0000-000056540000}"/>
    <cellStyle name="Note 2 12 2 2 8" xfId="19201" xr:uid="{00000000-0005-0000-0000-000057540000}"/>
    <cellStyle name="Note 2 12 2 3" xfId="5113" xr:uid="{00000000-0005-0000-0000-000058540000}"/>
    <cellStyle name="Note 2 12 2 3 2" xfId="10040" xr:uid="{00000000-0005-0000-0000-000059540000}"/>
    <cellStyle name="Note 2 12 2 3 2 2" xfId="33347" xr:uid="{00000000-0005-0000-0000-00005A540000}"/>
    <cellStyle name="Note 2 12 2 3 2 3" xfId="23573" xr:uid="{00000000-0005-0000-0000-00005B540000}"/>
    <cellStyle name="Note 2 12 2 3 3" xfId="16126" xr:uid="{00000000-0005-0000-0000-00005C540000}"/>
    <cellStyle name="Note 2 12 2 3 3 2" xfId="37447" xr:uid="{00000000-0005-0000-0000-00005D540000}"/>
    <cellStyle name="Note 2 12 2 3 4" xfId="16351" xr:uid="{00000000-0005-0000-0000-00005E540000}"/>
    <cellStyle name="Note 2 12 2 3 4 2" xfId="37653" xr:uid="{00000000-0005-0000-0000-00005F540000}"/>
    <cellStyle name="Note 2 12 2 3 5" xfId="14817" xr:uid="{00000000-0005-0000-0000-000060540000}"/>
    <cellStyle name="Note 2 12 2 3 6" xfId="31954" xr:uid="{00000000-0005-0000-0000-000061540000}"/>
    <cellStyle name="Note 2 12 2 3 7" xfId="28535" xr:uid="{00000000-0005-0000-0000-000062540000}"/>
    <cellStyle name="Note 2 12 2 3 8" xfId="18727" xr:uid="{00000000-0005-0000-0000-000063540000}"/>
    <cellStyle name="Note 2 12 2 4" xfId="6019" xr:uid="{00000000-0005-0000-0000-000064540000}"/>
    <cellStyle name="Note 2 12 2 4 2" xfId="24460" xr:uid="{00000000-0005-0000-0000-000065540000}"/>
    <cellStyle name="Note 2 12 2 4 2 2" xfId="32497" xr:uid="{00000000-0005-0000-0000-000066540000}"/>
    <cellStyle name="Note 2 12 2 4 3" xfId="28242" xr:uid="{00000000-0005-0000-0000-000067540000}"/>
    <cellStyle name="Note 2 12 2 4 4" xfId="19569" xr:uid="{00000000-0005-0000-0000-000068540000}"/>
    <cellStyle name="Note 2 12 2 5" xfId="7627" xr:uid="{00000000-0005-0000-0000-000069540000}"/>
    <cellStyle name="Note 2 12 2 5 2" xfId="26057" xr:uid="{00000000-0005-0000-0000-00006A540000}"/>
    <cellStyle name="Note 2 12 2 5 3" xfId="32872" xr:uid="{00000000-0005-0000-0000-00006B540000}"/>
    <cellStyle name="Note 2 12 2 5 4" xfId="20982" xr:uid="{00000000-0005-0000-0000-00006C540000}"/>
    <cellStyle name="Note 2 12 2 6" xfId="8001" xr:uid="{00000000-0005-0000-0000-00006D540000}"/>
    <cellStyle name="Note 2 12 2 6 2" xfId="26431" xr:uid="{00000000-0005-0000-0000-00006E540000}"/>
    <cellStyle name="Note 2 12 2 6 3" xfId="32944" xr:uid="{00000000-0005-0000-0000-00006F540000}"/>
    <cellStyle name="Note 2 12 2 6 4" xfId="21355" xr:uid="{00000000-0005-0000-0000-000070540000}"/>
    <cellStyle name="Note 2 12 2 7" xfId="8725" xr:uid="{00000000-0005-0000-0000-000071540000}"/>
    <cellStyle name="Note 2 12 2 7 2" xfId="27145" xr:uid="{00000000-0005-0000-0000-000072540000}"/>
    <cellStyle name="Note 2 12 2 7 3" xfId="33116" xr:uid="{00000000-0005-0000-0000-000073540000}"/>
    <cellStyle name="Note 2 12 2 7 4" xfId="22016" xr:uid="{00000000-0005-0000-0000-000074540000}"/>
    <cellStyle name="Note 2 12 2 8" xfId="4217" xr:uid="{00000000-0005-0000-0000-000075540000}"/>
    <cellStyle name="Note 2 12 2 8 2" xfId="22681" xr:uid="{00000000-0005-0000-0000-000076540000}"/>
    <cellStyle name="Note 2 12 2 8 3" xfId="31719" xr:uid="{00000000-0005-0000-0000-000077540000}"/>
    <cellStyle name="Note 2 12 2 8 4" xfId="17899" xr:uid="{00000000-0005-0000-0000-000078540000}"/>
    <cellStyle name="Note 2 12 2 9" xfId="14593" xr:uid="{00000000-0005-0000-0000-000079540000}"/>
    <cellStyle name="Note 2 12 2 9 2" xfId="17228" xr:uid="{00000000-0005-0000-0000-00007A540000}"/>
    <cellStyle name="Note 2 12 3" xfId="5241" xr:uid="{00000000-0005-0000-0000-00007B540000}"/>
    <cellStyle name="Note 2 12 3 2" xfId="23701" xr:uid="{00000000-0005-0000-0000-00007C540000}"/>
    <cellStyle name="Note 2 12 3 3" xfId="32018" xr:uid="{00000000-0005-0000-0000-00007D540000}"/>
    <cellStyle name="Note 2 12 3 4" xfId="18854" xr:uid="{00000000-0005-0000-0000-00007E540000}"/>
    <cellStyle name="Note 2 12 4" xfId="4833" xr:uid="{00000000-0005-0000-0000-00007F540000}"/>
    <cellStyle name="Note 2 12 4 2" xfId="23293" xr:uid="{00000000-0005-0000-0000-000080540000}"/>
    <cellStyle name="Note 2 12 4 3" xfId="31816" xr:uid="{00000000-0005-0000-0000-000081540000}"/>
    <cellStyle name="Note 2 12 4 4" xfId="18447" xr:uid="{00000000-0005-0000-0000-000082540000}"/>
    <cellStyle name="Note 2 12 5" xfId="6371" xr:uid="{00000000-0005-0000-0000-000083540000}"/>
    <cellStyle name="Note 2 12 5 2" xfId="24811" xr:uid="{00000000-0005-0000-0000-000084540000}"/>
    <cellStyle name="Note 2 12 5 3" xfId="32650" xr:uid="{00000000-0005-0000-0000-000085540000}"/>
    <cellStyle name="Note 2 12 5 4" xfId="19920" xr:uid="{00000000-0005-0000-0000-000086540000}"/>
    <cellStyle name="Note 2 12 6" xfId="7304" xr:uid="{00000000-0005-0000-0000-000087540000}"/>
    <cellStyle name="Note 2 12 6 2" xfId="25735" xr:uid="{00000000-0005-0000-0000-000088540000}"/>
    <cellStyle name="Note 2 12 6 3" xfId="32791" xr:uid="{00000000-0005-0000-0000-000089540000}"/>
    <cellStyle name="Note 2 12 6 4" xfId="20660" xr:uid="{00000000-0005-0000-0000-00008A540000}"/>
    <cellStyle name="Note 2 12 7" xfId="6436" xr:uid="{00000000-0005-0000-0000-00008B540000}"/>
    <cellStyle name="Note 2 12 7 2" xfId="24876" xr:uid="{00000000-0005-0000-0000-00008C540000}"/>
    <cellStyle name="Note 2 12 7 3" xfId="32707" xr:uid="{00000000-0005-0000-0000-00008D540000}"/>
    <cellStyle name="Note 2 12 7 4" xfId="19985" xr:uid="{00000000-0005-0000-0000-00008E540000}"/>
    <cellStyle name="Note 2 12 8" xfId="8404" xr:uid="{00000000-0005-0000-0000-00008F540000}"/>
    <cellStyle name="Note 2 12 8 2" xfId="26827" xr:uid="{00000000-0005-0000-0000-000090540000}"/>
    <cellStyle name="Note 2 12 8 3" xfId="33036" xr:uid="{00000000-0005-0000-0000-000091540000}"/>
    <cellStyle name="Note 2 12 8 4" xfId="21695" xr:uid="{00000000-0005-0000-0000-000092540000}"/>
    <cellStyle name="Note 2 12 9" xfId="3896" xr:uid="{00000000-0005-0000-0000-000093540000}"/>
    <cellStyle name="Note 2 12 9 2" xfId="22363" xr:uid="{00000000-0005-0000-0000-000094540000}"/>
    <cellStyle name="Note 2 12 9 3" xfId="31639" xr:uid="{00000000-0005-0000-0000-000095540000}"/>
    <cellStyle name="Note 2 12 9 4" xfId="17578" xr:uid="{00000000-0005-0000-0000-000096540000}"/>
    <cellStyle name="Note 2 13" xfId="2980" xr:uid="{00000000-0005-0000-0000-000097540000}"/>
    <cellStyle name="Note 2 13 10" xfId="14611" xr:uid="{00000000-0005-0000-0000-000098540000}"/>
    <cellStyle name="Note 2 13 10 2" xfId="16892" xr:uid="{00000000-0005-0000-0000-000099540000}"/>
    <cellStyle name="Note 2 13 11" xfId="16390" xr:uid="{00000000-0005-0000-0000-00009A540000}"/>
    <cellStyle name="Note 2 13 11 2" xfId="37689" xr:uid="{00000000-0005-0000-0000-00009B540000}"/>
    <cellStyle name="Note 2 13 12" xfId="31312" xr:uid="{00000000-0005-0000-0000-00009C540000}"/>
    <cellStyle name="Note 2 13 13" xfId="38053" xr:uid="{00000000-0005-0000-0000-0000FF0D0000}"/>
    <cellStyle name="Note 2 13 2" xfId="3489" xr:uid="{00000000-0005-0000-0000-00009D540000}"/>
    <cellStyle name="Note 2 13 2 10" xfId="15337" xr:uid="{00000000-0005-0000-0000-00009E540000}"/>
    <cellStyle name="Note 2 13 2 10 2" xfId="36724" xr:uid="{00000000-0005-0000-0000-00009F540000}"/>
    <cellStyle name="Note 2 13 2 11" xfId="31542" xr:uid="{00000000-0005-0000-0000-0000A0540000}"/>
    <cellStyle name="Note 2 13 2 2" xfId="5616" xr:uid="{00000000-0005-0000-0000-0000A1540000}"/>
    <cellStyle name="Note 2 13 2 2 2" xfId="24069" xr:uid="{00000000-0005-0000-0000-0000A2540000}"/>
    <cellStyle name="Note 2 13 2 2 3" xfId="32227" xr:uid="{00000000-0005-0000-0000-0000A3540000}"/>
    <cellStyle name="Note 2 13 2 2 4" xfId="19202" xr:uid="{00000000-0005-0000-0000-0000A4540000}"/>
    <cellStyle name="Note 2 13 2 3" xfId="5114" xr:uid="{00000000-0005-0000-0000-0000A5540000}"/>
    <cellStyle name="Note 2 13 2 3 2" xfId="23574" xr:uid="{00000000-0005-0000-0000-0000A6540000}"/>
    <cellStyle name="Note 2 13 2 3 3" xfId="31955" xr:uid="{00000000-0005-0000-0000-0000A7540000}"/>
    <cellStyle name="Note 2 13 2 3 4" xfId="18728" xr:uid="{00000000-0005-0000-0000-0000A8540000}"/>
    <cellStyle name="Note 2 13 2 4" xfId="6018" xr:uid="{00000000-0005-0000-0000-0000A9540000}"/>
    <cellStyle name="Note 2 13 2 4 2" xfId="24459" xr:uid="{00000000-0005-0000-0000-0000AA540000}"/>
    <cellStyle name="Note 2 13 2 4 3" xfId="32496" xr:uid="{00000000-0005-0000-0000-0000AB540000}"/>
    <cellStyle name="Note 2 13 2 4 4" xfId="19568" xr:uid="{00000000-0005-0000-0000-0000AC540000}"/>
    <cellStyle name="Note 2 13 2 5" xfId="7628" xr:uid="{00000000-0005-0000-0000-0000AD540000}"/>
    <cellStyle name="Note 2 13 2 5 2" xfId="26058" xr:uid="{00000000-0005-0000-0000-0000AE540000}"/>
    <cellStyle name="Note 2 13 2 5 3" xfId="32873" xr:uid="{00000000-0005-0000-0000-0000AF540000}"/>
    <cellStyle name="Note 2 13 2 5 4" xfId="20983" xr:uid="{00000000-0005-0000-0000-0000B0540000}"/>
    <cellStyle name="Note 2 13 2 6" xfId="8002" xr:uid="{00000000-0005-0000-0000-0000B1540000}"/>
    <cellStyle name="Note 2 13 2 6 2" xfId="26432" xr:uid="{00000000-0005-0000-0000-0000B2540000}"/>
    <cellStyle name="Note 2 13 2 6 3" xfId="32945" xr:uid="{00000000-0005-0000-0000-0000B3540000}"/>
    <cellStyle name="Note 2 13 2 6 4" xfId="21356" xr:uid="{00000000-0005-0000-0000-0000B4540000}"/>
    <cellStyle name="Note 2 13 2 7" xfId="8726" xr:uid="{00000000-0005-0000-0000-0000B5540000}"/>
    <cellStyle name="Note 2 13 2 7 2" xfId="27146" xr:uid="{00000000-0005-0000-0000-0000B6540000}"/>
    <cellStyle name="Note 2 13 2 7 3" xfId="33117" xr:uid="{00000000-0005-0000-0000-0000B7540000}"/>
    <cellStyle name="Note 2 13 2 7 4" xfId="22017" xr:uid="{00000000-0005-0000-0000-0000B8540000}"/>
    <cellStyle name="Note 2 13 2 8" xfId="4218" xr:uid="{00000000-0005-0000-0000-0000B9540000}"/>
    <cellStyle name="Note 2 13 2 8 2" xfId="22682" xr:uid="{00000000-0005-0000-0000-0000BA540000}"/>
    <cellStyle name="Note 2 13 2 8 3" xfId="31720" xr:uid="{00000000-0005-0000-0000-0000BB540000}"/>
    <cellStyle name="Note 2 13 2 8 4" xfId="17900" xr:uid="{00000000-0005-0000-0000-0000BC540000}"/>
    <cellStyle name="Note 2 13 2 9" xfId="14640" xr:uid="{00000000-0005-0000-0000-0000BD540000}"/>
    <cellStyle name="Note 2 13 2 9 2" xfId="17229" xr:uid="{00000000-0005-0000-0000-0000BE540000}"/>
    <cellStyle name="Note 2 13 3" xfId="5242" xr:uid="{00000000-0005-0000-0000-0000BF540000}"/>
    <cellStyle name="Note 2 13 3 2" xfId="23702" xr:uid="{00000000-0005-0000-0000-0000C0540000}"/>
    <cellStyle name="Note 2 13 3 3" xfId="32019" xr:uid="{00000000-0005-0000-0000-0000C1540000}"/>
    <cellStyle name="Note 2 13 3 4" xfId="18855" xr:uid="{00000000-0005-0000-0000-0000C2540000}"/>
    <cellStyle name="Note 2 13 4" xfId="4834" xr:uid="{00000000-0005-0000-0000-0000C3540000}"/>
    <cellStyle name="Note 2 13 4 2" xfId="23294" xr:uid="{00000000-0005-0000-0000-0000C4540000}"/>
    <cellStyle name="Note 2 13 4 3" xfId="31817" xr:uid="{00000000-0005-0000-0000-0000C5540000}"/>
    <cellStyle name="Note 2 13 4 4" xfId="18448" xr:uid="{00000000-0005-0000-0000-0000C6540000}"/>
    <cellStyle name="Note 2 13 5" xfId="6370" xr:uid="{00000000-0005-0000-0000-0000C7540000}"/>
    <cellStyle name="Note 2 13 5 2" xfId="24810" xr:uid="{00000000-0005-0000-0000-0000C8540000}"/>
    <cellStyle name="Note 2 13 5 3" xfId="32649" xr:uid="{00000000-0005-0000-0000-0000C9540000}"/>
    <cellStyle name="Note 2 13 5 4" xfId="19919" xr:uid="{00000000-0005-0000-0000-0000CA540000}"/>
    <cellStyle name="Note 2 13 6" xfId="7305" xr:uid="{00000000-0005-0000-0000-0000CB540000}"/>
    <cellStyle name="Note 2 13 6 2" xfId="25736" xr:uid="{00000000-0005-0000-0000-0000CC540000}"/>
    <cellStyle name="Note 2 13 6 3" xfId="32792" xr:uid="{00000000-0005-0000-0000-0000CD540000}"/>
    <cellStyle name="Note 2 13 6 4" xfId="20661" xr:uid="{00000000-0005-0000-0000-0000CE540000}"/>
    <cellStyle name="Note 2 13 7" xfId="6435" xr:uid="{00000000-0005-0000-0000-0000CF540000}"/>
    <cellStyle name="Note 2 13 7 2" xfId="24875" xr:uid="{00000000-0005-0000-0000-0000D0540000}"/>
    <cellStyle name="Note 2 13 7 3" xfId="32706" xr:uid="{00000000-0005-0000-0000-0000D1540000}"/>
    <cellStyle name="Note 2 13 7 4" xfId="19984" xr:uid="{00000000-0005-0000-0000-0000D2540000}"/>
    <cellStyle name="Note 2 13 8" xfId="8405" xr:uid="{00000000-0005-0000-0000-0000D3540000}"/>
    <cellStyle name="Note 2 13 8 2" xfId="26828" xr:uid="{00000000-0005-0000-0000-0000D4540000}"/>
    <cellStyle name="Note 2 13 8 3" xfId="33037" xr:uid="{00000000-0005-0000-0000-0000D5540000}"/>
    <cellStyle name="Note 2 13 8 4" xfId="21696" xr:uid="{00000000-0005-0000-0000-0000D6540000}"/>
    <cellStyle name="Note 2 13 9" xfId="3897" xr:uid="{00000000-0005-0000-0000-0000D7540000}"/>
    <cellStyle name="Note 2 13 9 2" xfId="22364" xr:uid="{00000000-0005-0000-0000-0000D8540000}"/>
    <cellStyle name="Note 2 13 9 3" xfId="31640" xr:uid="{00000000-0005-0000-0000-0000D9540000}"/>
    <cellStyle name="Note 2 13 9 4" xfId="17579" xr:uid="{00000000-0005-0000-0000-0000DA540000}"/>
    <cellStyle name="Note 2 14" xfId="3485" xr:uid="{00000000-0005-0000-0000-0000DB540000}"/>
    <cellStyle name="Note 2 14 10" xfId="15757" xr:uid="{00000000-0005-0000-0000-0000DC540000}"/>
    <cellStyle name="Note 2 14 10 2" xfId="37119" xr:uid="{00000000-0005-0000-0000-0000DD540000}"/>
    <cellStyle name="Note 2 14 11" xfId="31538" xr:uid="{00000000-0005-0000-0000-0000DE540000}"/>
    <cellStyle name="Note 2 14 12" xfId="38054" xr:uid="{00000000-0005-0000-0000-0000000E0000}"/>
    <cellStyle name="Note 2 14 2" xfId="5612" xr:uid="{00000000-0005-0000-0000-0000DF540000}"/>
    <cellStyle name="Note 2 14 2 2" xfId="15667" xr:uid="{00000000-0005-0000-0000-0000E0540000}"/>
    <cellStyle name="Note 2 14 2 2 2" xfId="37041" xr:uid="{00000000-0005-0000-0000-0000E1540000}"/>
    <cellStyle name="Note 2 14 2 2 3" xfId="24065" xr:uid="{00000000-0005-0000-0000-0000E2540000}"/>
    <cellStyle name="Note 2 14 2 3" xfId="16350" xr:uid="{00000000-0005-0000-0000-0000E3540000}"/>
    <cellStyle name="Note 2 14 2 3 2" xfId="37652" xr:uid="{00000000-0005-0000-0000-0000E4540000}"/>
    <cellStyle name="Note 2 14 2 4" xfId="16580" xr:uid="{00000000-0005-0000-0000-0000E5540000}"/>
    <cellStyle name="Note 2 14 2 5" xfId="32223" xr:uid="{00000000-0005-0000-0000-0000E6540000}"/>
    <cellStyle name="Note 2 14 2 6" xfId="27402" xr:uid="{00000000-0005-0000-0000-0000E7540000}"/>
    <cellStyle name="Note 2 14 3" xfId="5110" xr:uid="{00000000-0005-0000-0000-0000E8540000}"/>
    <cellStyle name="Note 2 14 3 2" xfId="13007" xr:uid="{00000000-0005-0000-0000-0000E9540000}"/>
    <cellStyle name="Note 2 14 3 2 2" xfId="35153" xr:uid="{00000000-0005-0000-0000-0000EA540000}"/>
    <cellStyle name="Note 2 14 3 2 3" xfId="23570" xr:uid="{00000000-0005-0000-0000-0000EB540000}"/>
    <cellStyle name="Note 2 14 3 3" xfId="15728" xr:uid="{00000000-0005-0000-0000-0000EC540000}"/>
    <cellStyle name="Note 2 14 3 3 2" xfId="37093" xr:uid="{00000000-0005-0000-0000-0000ED540000}"/>
    <cellStyle name="Note 2 14 3 4" xfId="15662" xr:uid="{00000000-0005-0000-0000-0000EE540000}"/>
    <cellStyle name="Note 2 14 3 4 2" xfId="37036" xr:uid="{00000000-0005-0000-0000-0000EF540000}"/>
    <cellStyle name="Note 2 14 3 5" xfId="14523" xr:uid="{00000000-0005-0000-0000-0000F0540000}"/>
    <cellStyle name="Note 2 14 3 6" xfId="31951" xr:uid="{00000000-0005-0000-0000-0000F1540000}"/>
    <cellStyle name="Note 2 14 3 7" xfId="28139" xr:uid="{00000000-0005-0000-0000-0000F2540000}"/>
    <cellStyle name="Note 2 14 3 8" xfId="18724" xr:uid="{00000000-0005-0000-0000-0000F3540000}"/>
    <cellStyle name="Note 2 14 4" xfId="6022" xr:uid="{00000000-0005-0000-0000-0000F4540000}"/>
    <cellStyle name="Note 2 14 4 2" xfId="24463" xr:uid="{00000000-0005-0000-0000-0000F5540000}"/>
    <cellStyle name="Note 2 14 4 3" xfId="32500" xr:uid="{00000000-0005-0000-0000-0000F6540000}"/>
    <cellStyle name="Note 2 14 4 4" xfId="19572" xr:uid="{00000000-0005-0000-0000-0000F7540000}"/>
    <cellStyle name="Note 2 14 5" xfId="7624" xr:uid="{00000000-0005-0000-0000-0000F8540000}"/>
    <cellStyle name="Note 2 14 5 2" xfId="26054" xr:uid="{00000000-0005-0000-0000-0000F9540000}"/>
    <cellStyle name="Note 2 14 5 3" xfId="32869" xr:uid="{00000000-0005-0000-0000-0000FA540000}"/>
    <cellStyle name="Note 2 14 5 4" xfId="20979" xr:uid="{00000000-0005-0000-0000-0000FB540000}"/>
    <cellStyle name="Note 2 14 6" xfId="7998" xr:uid="{00000000-0005-0000-0000-0000FC540000}"/>
    <cellStyle name="Note 2 14 6 2" xfId="26428" xr:uid="{00000000-0005-0000-0000-0000FD540000}"/>
    <cellStyle name="Note 2 14 6 3" xfId="32941" xr:uid="{00000000-0005-0000-0000-0000FE540000}"/>
    <cellStyle name="Note 2 14 6 4" xfId="21352" xr:uid="{00000000-0005-0000-0000-0000FF540000}"/>
    <cellStyle name="Note 2 14 7" xfId="8722" xr:uid="{00000000-0005-0000-0000-000000550000}"/>
    <cellStyle name="Note 2 14 7 2" xfId="27142" xr:uid="{00000000-0005-0000-0000-000001550000}"/>
    <cellStyle name="Note 2 14 7 3" xfId="33113" xr:uid="{00000000-0005-0000-0000-000002550000}"/>
    <cellStyle name="Note 2 14 7 4" xfId="22013" xr:uid="{00000000-0005-0000-0000-000003550000}"/>
    <cellStyle name="Note 2 14 8" xfId="4214" xr:uid="{00000000-0005-0000-0000-000004550000}"/>
    <cellStyle name="Note 2 14 8 2" xfId="22678" xr:uid="{00000000-0005-0000-0000-000005550000}"/>
    <cellStyle name="Note 2 14 8 3" xfId="31716" xr:uid="{00000000-0005-0000-0000-000006550000}"/>
    <cellStyle name="Note 2 14 8 4" xfId="17896" xr:uid="{00000000-0005-0000-0000-000007550000}"/>
    <cellStyle name="Note 2 14 9" xfId="15285" xr:uid="{00000000-0005-0000-0000-000008550000}"/>
    <cellStyle name="Note 2 14 9 2" xfId="17225" xr:uid="{00000000-0005-0000-0000-000009550000}"/>
    <cellStyle name="Note 2 15" xfId="5238" xr:uid="{00000000-0005-0000-0000-00000A550000}"/>
    <cellStyle name="Note 2 15 2" xfId="13008" xr:uid="{00000000-0005-0000-0000-00000B550000}"/>
    <cellStyle name="Note 2 15 2 2" xfId="15141" xr:uid="{00000000-0005-0000-0000-00000C550000}"/>
    <cellStyle name="Note 2 15 2 2 2" xfId="36552" xr:uid="{00000000-0005-0000-0000-00000D550000}"/>
    <cellStyle name="Note 2 15 2 3" xfId="15028" xr:uid="{00000000-0005-0000-0000-00000E550000}"/>
    <cellStyle name="Note 2 15 2 3 2" xfId="36453" xr:uid="{00000000-0005-0000-0000-00000F550000}"/>
    <cellStyle name="Note 2 15 2 4" xfId="14538" xr:uid="{00000000-0005-0000-0000-000010550000}"/>
    <cellStyle name="Note 2 15 2 5" xfId="35154" xr:uid="{00000000-0005-0000-0000-000011550000}"/>
    <cellStyle name="Note 2 15 2 6" xfId="28140" xr:uid="{00000000-0005-0000-0000-000012550000}"/>
    <cellStyle name="Note 2 15 2 7" xfId="23698" xr:uid="{00000000-0005-0000-0000-000013550000}"/>
    <cellStyle name="Note 2 15 3" xfId="15640" xr:uid="{00000000-0005-0000-0000-000014550000}"/>
    <cellStyle name="Note 2 15 3 2" xfId="37015" xr:uid="{00000000-0005-0000-0000-000015550000}"/>
    <cellStyle name="Note 2 15 4" xfId="14970" xr:uid="{00000000-0005-0000-0000-000016550000}"/>
    <cellStyle name="Note 2 15 4 2" xfId="36403" xr:uid="{00000000-0005-0000-0000-000017550000}"/>
    <cellStyle name="Note 2 15 5" xfId="14600" xr:uid="{00000000-0005-0000-0000-000018550000}"/>
    <cellStyle name="Note 2 15 6" xfId="32015" xr:uid="{00000000-0005-0000-0000-000019550000}"/>
    <cellStyle name="Note 2 15 7" xfId="27403" xr:uid="{00000000-0005-0000-0000-00001A550000}"/>
    <cellStyle name="Note 2 15 8" xfId="38055" xr:uid="{00000000-0005-0000-0000-0000010E0000}"/>
    <cellStyle name="Note 2 16" xfId="4830" xr:uid="{00000000-0005-0000-0000-00001B550000}"/>
    <cellStyle name="Note 2 16 2" xfId="16498" xr:uid="{00000000-0005-0000-0000-00001C550000}"/>
    <cellStyle name="Note 2 16 2 2" xfId="37741" xr:uid="{00000000-0005-0000-0000-00001D550000}"/>
    <cellStyle name="Note 2 16 2 3" xfId="23290" xr:uid="{00000000-0005-0000-0000-00001E550000}"/>
    <cellStyle name="Note 2 16 3" xfId="16568" xr:uid="{00000000-0005-0000-0000-00001F550000}"/>
    <cellStyle name="Note 2 16 3 2" xfId="37783" xr:uid="{00000000-0005-0000-0000-000020550000}"/>
    <cellStyle name="Note 2 16 4" xfId="14977" xr:uid="{00000000-0005-0000-0000-000021550000}"/>
    <cellStyle name="Note 2 16 5" xfId="31813" xr:uid="{00000000-0005-0000-0000-000022550000}"/>
    <cellStyle name="Note 2 16 6" xfId="39932" xr:uid="{00000000-0005-0000-0000-0000020E0000}"/>
    <cellStyle name="Note 2 17" xfId="6374" xr:uid="{00000000-0005-0000-0000-000023550000}"/>
    <cellStyle name="Note 2 17 2" xfId="24814" xr:uid="{00000000-0005-0000-0000-000024550000}"/>
    <cellStyle name="Note 2 17 3" xfId="32653" xr:uid="{00000000-0005-0000-0000-000025550000}"/>
    <cellStyle name="Note 2 17 4" xfId="19923" xr:uid="{00000000-0005-0000-0000-000026550000}"/>
    <cellStyle name="Note 2 18" xfId="7301" xr:uid="{00000000-0005-0000-0000-000027550000}"/>
    <cellStyle name="Note 2 18 2" xfId="25732" xr:uid="{00000000-0005-0000-0000-000028550000}"/>
    <cellStyle name="Note 2 18 3" xfId="32788" xr:uid="{00000000-0005-0000-0000-000029550000}"/>
    <cellStyle name="Note 2 18 4" xfId="20657" xr:uid="{00000000-0005-0000-0000-00002A550000}"/>
    <cellStyle name="Note 2 19" xfId="6439" xr:uid="{00000000-0005-0000-0000-00002B550000}"/>
    <cellStyle name="Note 2 19 2" xfId="24879" xr:uid="{00000000-0005-0000-0000-00002C550000}"/>
    <cellStyle name="Note 2 19 3" xfId="32710" xr:uid="{00000000-0005-0000-0000-00002D550000}"/>
    <cellStyle name="Note 2 19 4" xfId="19988" xr:uid="{00000000-0005-0000-0000-00002E550000}"/>
    <cellStyle name="Note 2 2" xfId="2981" xr:uid="{00000000-0005-0000-0000-00002F550000}"/>
    <cellStyle name="Note 2 2 10" xfId="3898" xr:uid="{00000000-0005-0000-0000-000030550000}"/>
    <cellStyle name="Note 2 2 10 2" xfId="22365" xr:uid="{00000000-0005-0000-0000-000031550000}"/>
    <cellStyle name="Note 2 2 10 3" xfId="31641" xr:uid="{00000000-0005-0000-0000-000032550000}"/>
    <cellStyle name="Note 2 2 10 4" xfId="17580" xr:uid="{00000000-0005-0000-0000-000033550000}"/>
    <cellStyle name="Note 2 2 11" xfId="15327" xr:uid="{00000000-0005-0000-0000-000034550000}"/>
    <cellStyle name="Note 2 2 11 2" xfId="16893" xr:uid="{00000000-0005-0000-0000-000035550000}"/>
    <cellStyle name="Note 2 2 12" xfId="14744" xr:uid="{00000000-0005-0000-0000-000036550000}"/>
    <cellStyle name="Note 2 2 12 2" xfId="36221" xr:uid="{00000000-0005-0000-0000-000037550000}"/>
    <cellStyle name="Note 2 2 13" xfId="31313" xr:uid="{00000000-0005-0000-0000-000038550000}"/>
    <cellStyle name="Note 2 2 14" xfId="38056" xr:uid="{00000000-0005-0000-0000-0000030E0000}"/>
    <cellStyle name="Note 2 2 2" xfId="3303" xr:uid="{00000000-0005-0000-0000-000039550000}"/>
    <cellStyle name="Note 2 2 2 10" xfId="14433" xr:uid="{00000000-0005-0000-0000-00003A550000}"/>
    <cellStyle name="Note 2 2 2 10 2" xfId="35961" xr:uid="{00000000-0005-0000-0000-00003B550000}"/>
    <cellStyle name="Note 2 2 2 11" xfId="31381" xr:uid="{00000000-0005-0000-0000-00003C550000}"/>
    <cellStyle name="Note 2 2 2 12" xfId="39934" xr:uid="{00000000-0005-0000-0000-0000040E0000}"/>
    <cellStyle name="Note 2 2 2 2" xfId="5453" xr:uid="{00000000-0005-0000-0000-00003D550000}"/>
    <cellStyle name="Note 2 2 2 2 2" xfId="14348" xr:uid="{00000000-0005-0000-0000-00003E550000}"/>
    <cellStyle name="Note 2 2 2 2 2 2" xfId="35904" xr:uid="{00000000-0005-0000-0000-00003F550000}"/>
    <cellStyle name="Note 2 2 2 2 2 3" xfId="23906" xr:uid="{00000000-0005-0000-0000-000040550000}"/>
    <cellStyle name="Note 2 2 2 2 3" xfId="32174" xr:uid="{00000000-0005-0000-0000-000041550000}"/>
    <cellStyle name="Note 2 2 2 2 4" xfId="19048" xr:uid="{00000000-0005-0000-0000-000042550000}"/>
    <cellStyle name="Note 2 2 2 3" xfId="4998" xr:uid="{00000000-0005-0000-0000-000043550000}"/>
    <cellStyle name="Note 2 2 2 3 2" xfId="23458" xr:uid="{00000000-0005-0000-0000-000044550000}"/>
    <cellStyle name="Note 2 2 2 3 3" xfId="31948" xr:uid="{00000000-0005-0000-0000-000045550000}"/>
    <cellStyle name="Note 2 2 2 3 4" xfId="18612" xr:uid="{00000000-0005-0000-0000-000046550000}"/>
    <cellStyle name="Note 2 2 2 4" xfId="6160" xr:uid="{00000000-0005-0000-0000-000047550000}"/>
    <cellStyle name="Note 2 2 2 4 2" xfId="24601" xr:uid="{00000000-0005-0000-0000-000048550000}"/>
    <cellStyle name="Note 2 2 2 4 3" xfId="32510" xr:uid="{00000000-0005-0000-0000-000049550000}"/>
    <cellStyle name="Note 2 2 2 4 4" xfId="19710" xr:uid="{00000000-0005-0000-0000-00004A550000}"/>
    <cellStyle name="Note 2 2 2 5" xfId="7499" xr:uid="{00000000-0005-0000-0000-00004B550000}"/>
    <cellStyle name="Note 2 2 2 5 2" xfId="25929" xr:uid="{00000000-0005-0000-0000-00004C550000}"/>
    <cellStyle name="Note 2 2 2 5 3" xfId="32866" xr:uid="{00000000-0005-0000-0000-00004D550000}"/>
    <cellStyle name="Note 2 2 2 5 4" xfId="20854" xr:uid="{00000000-0005-0000-0000-00004E550000}"/>
    <cellStyle name="Note 2 2 2 6" xfId="7867" xr:uid="{00000000-0005-0000-0000-00004F550000}"/>
    <cellStyle name="Note 2 2 2 6 2" xfId="26297" xr:uid="{00000000-0005-0000-0000-000050550000}"/>
    <cellStyle name="Note 2 2 2 6 3" xfId="32932" xr:uid="{00000000-0005-0000-0000-000051550000}"/>
    <cellStyle name="Note 2 2 2 6 4" xfId="21221" xr:uid="{00000000-0005-0000-0000-000052550000}"/>
    <cellStyle name="Note 2 2 2 7" xfId="8588" xr:uid="{00000000-0005-0000-0000-000053550000}"/>
    <cellStyle name="Note 2 2 2 7 2" xfId="27011" xr:uid="{00000000-0005-0000-0000-000054550000}"/>
    <cellStyle name="Note 2 2 2 7 3" xfId="33101" xr:uid="{00000000-0005-0000-0000-000055550000}"/>
    <cellStyle name="Note 2 2 2 7 4" xfId="21879" xr:uid="{00000000-0005-0000-0000-000056550000}"/>
    <cellStyle name="Note 2 2 2 8" xfId="4080" xr:uid="{00000000-0005-0000-0000-000057550000}"/>
    <cellStyle name="Note 2 2 2 8 2" xfId="22547" xr:uid="{00000000-0005-0000-0000-000058550000}"/>
    <cellStyle name="Note 2 2 2 8 3" xfId="31704" xr:uid="{00000000-0005-0000-0000-000059550000}"/>
    <cellStyle name="Note 2 2 2 8 4" xfId="17762" xr:uid="{00000000-0005-0000-0000-00005A550000}"/>
    <cellStyle name="Note 2 2 2 9" xfId="15388" xr:uid="{00000000-0005-0000-0000-00005B550000}"/>
    <cellStyle name="Note 2 2 2 9 2" xfId="17089" xr:uid="{00000000-0005-0000-0000-00005C550000}"/>
    <cellStyle name="Note 2 2 3" xfId="3490" xr:uid="{00000000-0005-0000-0000-00005D550000}"/>
    <cellStyle name="Note 2 2 3 10" xfId="14645" xr:uid="{00000000-0005-0000-0000-00005E550000}"/>
    <cellStyle name="Note 2 2 3 10 2" xfId="36130" xr:uid="{00000000-0005-0000-0000-00005F550000}"/>
    <cellStyle name="Note 2 2 3 11" xfId="31543" xr:uid="{00000000-0005-0000-0000-000060550000}"/>
    <cellStyle name="Note 2 2 3 12" xfId="39933" xr:uid="{00000000-0005-0000-0000-0000050E0000}"/>
    <cellStyle name="Note 2 2 3 2" xfId="5617" xr:uid="{00000000-0005-0000-0000-000061550000}"/>
    <cellStyle name="Note 2 2 3 2 2" xfId="24070" xr:uid="{00000000-0005-0000-0000-000062550000}"/>
    <cellStyle name="Note 2 2 3 2 3" xfId="32228" xr:uid="{00000000-0005-0000-0000-000063550000}"/>
    <cellStyle name="Note 2 2 3 2 4" xfId="19203" xr:uid="{00000000-0005-0000-0000-000064550000}"/>
    <cellStyle name="Note 2 2 3 3" xfId="5115" xr:uid="{00000000-0005-0000-0000-000065550000}"/>
    <cellStyle name="Note 2 2 3 3 2" xfId="23575" xr:uid="{00000000-0005-0000-0000-000066550000}"/>
    <cellStyle name="Note 2 2 3 3 3" xfId="31956" xr:uid="{00000000-0005-0000-0000-000067550000}"/>
    <cellStyle name="Note 2 2 3 3 4" xfId="18729" xr:uid="{00000000-0005-0000-0000-000068550000}"/>
    <cellStyle name="Note 2 2 3 4" xfId="6017" xr:uid="{00000000-0005-0000-0000-000069550000}"/>
    <cellStyle name="Note 2 2 3 4 2" xfId="24458" xr:uid="{00000000-0005-0000-0000-00006A550000}"/>
    <cellStyle name="Note 2 2 3 4 3" xfId="32495" xr:uid="{00000000-0005-0000-0000-00006B550000}"/>
    <cellStyle name="Note 2 2 3 4 4" xfId="19567" xr:uid="{00000000-0005-0000-0000-00006C550000}"/>
    <cellStyle name="Note 2 2 3 5" xfId="7629" xr:uid="{00000000-0005-0000-0000-00006D550000}"/>
    <cellStyle name="Note 2 2 3 5 2" xfId="26059" xr:uid="{00000000-0005-0000-0000-00006E550000}"/>
    <cellStyle name="Note 2 2 3 5 3" xfId="32874" xr:uid="{00000000-0005-0000-0000-00006F550000}"/>
    <cellStyle name="Note 2 2 3 5 4" xfId="20984" xr:uid="{00000000-0005-0000-0000-000070550000}"/>
    <cellStyle name="Note 2 2 3 6" xfId="8003" xr:uid="{00000000-0005-0000-0000-000071550000}"/>
    <cellStyle name="Note 2 2 3 6 2" xfId="26433" xr:uid="{00000000-0005-0000-0000-000072550000}"/>
    <cellStyle name="Note 2 2 3 6 3" xfId="32946" xr:uid="{00000000-0005-0000-0000-000073550000}"/>
    <cellStyle name="Note 2 2 3 6 4" xfId="21357" xr:uid="{00000000-0005-0000-0000-000074550000}"/>
    <cellStyle name="Note 2 2 3 7" xfId="8727" xr:uid="{00000000-0005-0000-0000-000075550000}"/>
    <cellStyle name="Note 2 2 3 7 2" xfId="27147" xr:uid="{00000000-0005-0000-0000-000076550000}"/>
    <cellStyle name="Note 2 2 3 7 3" xfId="33118" xr:uid="{00000000-0005-0000-0000-000077550000}"/>
    <cellStyle name="Note 2 2 3 7 4" xfId="22018" xr:uid="{00000000-0005-0000-0000-000078550000}"/>
    <cellStyle name="Note 2 2 3 8" xfId="4219" xr:uid="{00000000-0005-0000-0000-000079550000}"/>
    <cellStyle name="Note 2 2 3 8 2" xfId="22683" xr:uid="{00000000-0005-0000-0000-00007A550000}"/>
    <cellStyle name="Note 2 2 3 8 3" xfId="31721" xr:uid="{00000000-0005-0000-0000-00007B550000}"/>
    <cellStyle name="Note 2 2 3 8 4" xfId="17901" xr:uid="{00000000-0005-0000-0000-00007C550000}"/>
    <cellStyle name="Note 2 2 3 9" xfId="14388" xr:uid="{00000000-0005-0000-0000-00007D550000}"/>
    <cellStyle name="Note 2 2 3 9 2" xfId="17230" xr:uid="{00000000-0005-0000-0000-00007E550000}"/>
    <cellStyle name="Note 2 2 4" xfId="5243" xr:uid="{00000000-0005-0000-0000-00007F550000}"/>
    <cellStyle name="Note 2 2 4 2" xfId="14347" xr:uid="{00000000-0005-0000-0000-000080550000}"/>
    <cellStyle name="Note 2 2 4 2 2" xfId="35903" xr:uid="{00000000-0005-0000-0000-000081550000}"/>
    <cellStyle name="Note 2 2 4 2 3" xfId="23703" xr:uid="{00000000-0005-0000-0000-000082550000}"/>
    <cellStyle name="Note 2 2 4 3" xfId="32020" xr:uid="{00000000-0005-0000-0000-000083550000}"/>
    <cellStyle name="Note 2 2 4 4" xfId="18856" xr:uid="{00000000-0005-0000-0000-000084550000}"/>
    <cellStyle name="Note 2 2 5" xfId="5586" xr:uid="{00000000-0005-0000-0000-000085550000}"/>
    <cellStyle name="Note 2 2 5 2" xfId="24039" xr:uid="{00000000-0005-0000-0000-000086550000}"/>
    <cellStyle name="Note 2 2 5 3" xfId="32200" xr:uid="{00000000-0005-0000-0000-000087550000}"/>
    <cellStyle name="Note 2 2 5 4" xfId="19174" xr:uid="{00000000-0005-0000-0000-000088550000}"/>
    <cellStyle name="Note 2 2 6" xfId="6369" xr:uid="{00000000-0005-0000-0000-000089550000}"/>
    <cellStyle name="Note 2 2 6 2" xfId="24809" xr:uid="{00000000-0005-0000-0000-00008A550000}"/>
    <cellStyle name="Note 2 2 6 3" xfId="32648" xr:uid="{00000000-0005-0000-0000-00008B550000}"/>
    <cellStyle name="Note 2 2 6 4" xfId="19918" xr:uid="{00000000-0005-0000-0000-00008C550000}"/>
    <cellStyle name="Note 2 2 7" xfId="7306" xr:uid="{00000000-0005-0000-0000-00008D550000}"/>
    <cellStyle name="Note 2 2 7 2" xfId="25737" xr:uid="{00000000-0005-0000-0000-00008E550000}"/>
    <cellStyle name="Note 2 2 7 3" xfId="32793" xr:uid="{00000000-0005-0000-0000-00008F550000}"/>
    <cellStyle name="Note 2 2 7 4" xfId="20662" xr:uid="{00000000-0005-0000-0000-000090550000}"/>
    <cellStyle name="Note 2 2 8" xfId="6434" xr:uid="{00000000-0005-0000-0000-000091550000}"/>
    <cellStyle name="Note 2 2 8 2" xfId="24874" xr:uid="{00000000-0005-0000-0000-000092550000}"/>
    <cellStyle name="Note 2 2 8 3" xfId="32705" xr:uid="{00000000-0005-0000-0000-000093550000}"/>
    <cellStyle name="Note 2 2 8 4" xfId="19983" xr:uid="{00000000-0005-0000-0000-000094550000}"/>
    <cellStyle name="Note 2 2 9" xfId="8406" xr:uid="{00000000-0005-0000-0000-000095550000}"/>
    <cellStyle name="Note 2 2 9 2" xfId="26829" xr:uid="{00000000-0005-0000-0000-000096550000}"/>
    <cellStyle name="Note 2 2 9 3" xfId="33038" xr:uid="{00000000-0005-0000-0000-000097550000}"/>
    <cellStyle name="Note 2 2 9 4" xfId="21697" xr:uid="{00000000-0005-0000-0000-000098550000}"/>
    <cellStyle name="Note 2 20" xfId="8401" xr:uid="{00000000-0005-0000-0000-000099550000}"/>
    <cellStyle name="Note 2 20 2" xfId="26824" xr:uid="{00000000-0005-0000-0000-00009A550000}"/>
    <cellStyle name="Note 2 20 3" xfId="33033" xr:uid="{00000000-0005-0000-0000-00009B550000}"/>
    <cellStyle name="Note 2 20 4" xfId="21692" xr:uid="{00000000-0005-0000-0000-00009C550000}"/>
    <cellStyle name="Note 2 21" xfId="3893" xr:uid="{00000000-0005-0000-0000-00009D550000}"/>
    <cellStyle name="Note 2 21 2" xfId="22360" xr:uid="{00000000-0005-0000-0000-00009E550000}"/>
    <cellStyle name="Note 2 21 3" xfId="31636" xr:uid="{00000000-0005-0000-0000-00009F550000}"/>
    <cellStyle name="Note 2 21 4" xfId="17575" xr:uid="{00000000-0005-0000-0000-0000A0550000}"/>
    <cellStyle name="Note 2 22" xfId="14663" xr:uid="{00000000-0005-0000-0000-0000A1550000}"/>
    <cellStyle name="Note 2 22 2" xfId="16888" xr:uid="{00000000-0005-0000-0000-0000A2550000}"/>
    <cellStyle name="Note 2 23" xfId="14683" xr:uid="{00000000-0005-0000-0000-0000A3550000}"/>
    <cellStyle name="Note 2 23 2" xfId="36165" xr:uid="{00000000-0005-0000-0000-0000A4550000}"/>
    <cellStyle name="Note 2 24" xfId="31308" xr:uid="{00000000-0005-0000-0000-0000A5550000}"/>
    <cellStyle name="Note 2 25" xfId="39931" xr:uid="{00000000-0005-0000-0000-0000FB0D0000}"/>
    <cellStyle name="Note 2 3" xfId="2982" xr:uid="{00000000-0005-0000-0000-0000A6550000}"/>
    <cellStyle name="Note 2 3 10" xfId="14397" xr:uid="{00000000-0005-0000-0000-0000A7550000}"/>
    <cellStyle name="Note 2 3 10 2" xfId="16894" xr:uid="{00000000-0005-0000-0000-0000A8550000}"/>
    <cellStyle name="Note 2 3 11" xfId="16550" xr:uid="{00000000-0005-0000-0000-0000A9550000}"/>
    <cellStyle name="Note 2 3 11 2" xfId="37767" xr:uid="{00000000-0005-0000-0000-0000AA550000}"/>
    <cellStyle name="Note 2 3 12" xfId="31314" xr:uid="{00000000-0005-0000-0000-0000AB550000}"/>
    <cellStyle name="Note 2 3 13" xfId="38057" xr:uid="{00000000-0005-0000-0000-0000060E0000}"/>
    <cellStyle name="Note 2 3 2" xfId="3491" xr:uid="{00000000-0005-0000-0000-0000AC550000}"/>
    <cellStyle name="Note 2 3 2 10" xfId="16596" xr:uid="{00000000-0005-0000-0000-0000AD550000}"/>
    <cellStyle name="Note 2 3 2 10 2" xfId="37806" xr:uid="{00000000-0005-0000-0000-0000AE550000}"/>
    <cellStyle name="Note 2 3 2 11" xfId="31544" xr:uid="{00000000-0005-0000-0000-0000AF550000}"/>
    <cellStyle name="Note 2 3 2 2" xfId="5618" xr:uid="{00000000-0005-0000-0000-0000B0550000}"/>
    <cellStyle name="Note 2 3 2 2 2" xfId="24071" xr:uid="{00000000-0005-0000-0000-0000B1550000}"/>
    <cellStyle name="Note 2 3 2 2 3" xfId="32229" xr:uid="{00000000-0005-0000-0000-0000B2550000}"/>
    <cellStyle name="Note 2 3 2 2 4" xfId="19204" xr:uid="{00000000-0005-0000-0000-0000B3550000}"/>
    <cellStyle name="Note 2 3 2 3" xfId="5597" xr:uid="{00000000-0005-0000-0000-0000B4550000}"/>
    <cellStyle name="Note 2 3 2 3 2" xfId="24050" xr:uid="{00000000-0005-0000-0000-0000B5550000}"/>
    <cellStyle name="Note 2 3 2 3 3" xfId="32211" xr:uid="{00000000-0005-0000-0000-0000B6550000}"/>
    <cellStyle name="Note 2 3 2 3 4" xfId="19184" xr:uid="{00000000-0005-0000-0000-0000B7550000}"/>
    <cellStyle name="Note 2 3 2 4" xfId="6016" xr:uid="{00000000-0005-0000-0000-0000B8550000}"/>
    <cellStyle name="Note 2 3 2 4 2" xfId="24457" xr:uid="{00000000-0005-0000-0000-0000B9550000}"/>
    <cellStyle name="Note 2 3 2 4 3" xfId="32494" xr:uid="{00000000-0005-0000-0000-0000BA550000}"/>
    <cellStyle name="Note 2 3 2 4 4" xfId="19566" xr:uid="{00000000-0005-0000-0000-0000BB550000}"/>
    <cellStyle name="Note 2 3 2 5" xfId="7630" xr:uid="{00000000-0005-0000-0000-0000BC550000}"/>
    <cellStyle name="Note 2 3 2 5 2" xfId="26060" xr:uid="{00000000-0005-0000-0000-0000BD550000}"/>
    <cellStyle name="Note 2 3 2 5 3" xfId="32875" xr:uid="{00000000-0005-0000-0000-0000BE550000}"/>
    <cellStyle name="Note 2 3 2 5 4" xfId="20985" xr:uid="{00000000-0005-0000-0000-0000BF550000}"/>
    <cellStyle name="Note 2 3 2 6" xfId="8004" xr:uid="{00000000-0005-0000-0000-0000C0550000}"/>
    <cellStyle name="Note 2 3 2 6 2" xfId="26434" xr:uid="{00000000-0005-0000-0000-0000C1550000}"/>
    <cellStyle name="Note 2 3 2 6 3" xfId="32947" xr:uid="{00000000-0005-0000-0000-0000C2550000}"/>
    <cellStyle name="Note 2 3 2 6 4" xfId="21358" xr:uid="{00000000-0005-0000-0000-0000C3550000}"/>
    <cellStyle name="Note 2 3 2 7" xfId="8728" xr:uid="{00000000-0005-0000-0000-0000C4550000}"/>
    <cellStyle name="Note 2 3 2 7 2" xfId="27148" xr:uid="{00000000-0005-0000-0000-0000C5550000}"/>
    <cellStyle name="Note 2 3 2 7 3" xfId="33119" xr:uid="{00000000-0005-0000-0000-0000C6550000}"/>
    <cellStyle name="Note 2 3 2 7 4" xfId="22019" xr:uid="{00000000-0005-0000-0000-0000C7550000}"/>
    <cellStyle name="Note 2 3 2 8" xfId="4220" xr:uid="{00000000-0005-0000-0000-0000C8550000}"/>
    <cellStyle name="Note 2 3 2 8 2" xfId="22684" xr:uid="{00000000-0005-0000-0000-0000C9550000}"/>
    <cellStyle name="Note 2 3 2 8 3" xfId="31722" xr:uid="{00000000-0005-0000-0000-0000CA550000}"/>
    <cellStyle name="Note 2 3 2 8 4" xfId="17902" xr:uid="{00000000-0005-0000-0000-0000CB550000}"/>
    <cellStyle name="Note 2 3 2 9" xfId="15045" xr:uid="{00000000-0005-0000-0000-0000CC550000}"/>
    <cellStyle name="Note 2 3 2 9 2" xfId="17231" xr:uid="{00000000-0005-0000-0000-0000CD550000}"/>
    <cellStyle name="Note 2 3 3" xfId="5244" xr:uid="{00000000-0005-0000-0000-0000CE550000}"/>
    <cellStyle name="Note 2 3 3 2" xfId="23704" xr:uid="{00000000-0005-0000-0000-0000CF550000}"/>
    <cellStyle name="Note 2 3 3 3" xfId="32021" xr:uid="{00000000-0005-0000-0000-0000D0550000}"/>
    <cellStyle name="Note 2 3 3 4" xfId="18857" xr:uid="{00000000-0005-0000-0000-0000D1550000}"/>
    <cellStyle name="Note 2 3 4" xfId="4835" xr:uid="{00000000-0005-0000-0000-0000D2550000}"/>
    <cellStyle name="Note 2 3 4 2" xfId="23295" xr:uid="{00000000-0005-0000-0000-0000D3550000}"/>
    <cellStyle name="Note 2 3 4 3" xfId="31818" xr:uid="{00000000-0005-0000-0000-0000D4550000}"/>
    <cellStyle name="Note 2 3 4 4" xfId="18449" xr:uid="{00000000-0005-0000-0000-0000D5550000}"/>
    <cellStyle name="Note 2 3 5" xfId="6368" xr:uid="{00000000-0005-0000-0000-0000D6550000}"/>
    <cellStyle name="Note 2 3 5 2" xfId="24808" xr:uid="{00000000-0005-0000-0000-0000D7550000}"/>
    <cellStyle name="Note 2 3 5 3" xfId="32647" xr:uid="{00000000-0005-0000-0000-0000D8550000}"/>
    <cellStyle name="Note 2 3 5 4" xfId="19917" xr:uid="{00000000-0005-0000-0000-0000D9550000}"/>
    <cellStyle name="Note 2 3 6" xfId="7307" xr:uid="{00000000-0005-0000-0000-0000DA550000}"/>
    <cellStyle name="Note 2 3 6 2" xfId="25738" xr:uid="{00000000-0005-0000-0000-0000DB550000}"/>
    <cellStyle name="Note 2 3 6 3" xfId="32794" xr:uid="{00000000-0005-0000-0000-0000DC550000}"/>
    <cellStyle name="Note 2 3 6 4" xfId="20663" xr:uid="{00000000-0005-0000-0000-0000DD550000}"/>
    <cellStyle name="Note 2 3 7" xfId="6433" xr:uid="{00000000-0005-0000-0000-0000DE550000}"/>
    <cellStyle name="Note 2 3 7 2" xfId="24873" xr:uid="{00000000-0005-0000-0000-0000DF550000}"/>
    <cellStyle name="Note 2 3 7 3" xfId="32704" xr:uid="{00000000-0005-0000-0000-0000E0550000}"/>
    <cellStyle name="Note 2 3 7 4" xfId="19982" xr:uid="{00000000-0005-0000-0000-0000E1550000}"/>
    <cellStyle name="Note 2 3 8" xfId="8407" xr:uid="{00000000-0005-0000-0000-0000E2550000}"/>
    <cellStyle name="Note 2 3 8 2" xfId="26830" xr:uid="{00000000-0005-0000-0000-0000E3550000}"/>
    <cellStyle name="Note 2 3 8 3" xfId="33039" xr:uid="{00000000-0005-0000-0000-0000E4550000}"/>
    <cellStyle name="Note 2 3 8 4" xfId="21698" xr:uid="{00000000-0005-0000-0000-0000E5550000}"/>
    <cellStyle name="Note 2 3 9" xfId="3899" xr:uid="{00000000-0005-0000-0000-0000E6550000}"/>
    <cellStyle name="Note 2 3 9 2" xfId="22366" xr:uid="{00000000-0005-0000-0000-0000E7550000}"/>
    <cellStyle name="Note 2 3 9 3" xfId="31642" xr:uid="{00000000-0005-0000-0000-0000E8550000}"/>
    <cellStyle name="Note 2 3 9 4" xfId="17581" xr:uid="{00000000-0005-0000-0000-0000E9550000}"/>
    <cellStyle name="Note 2 4" xfId="2983" xr:uid="{00000000-0005-0000-0000-0000EA550000}"/>
    <cellStyle name="Note 2 4 10" xfId="14409" xr:uid="{00000000-0005-0000-0000-0000EB550000}"/>
    <cellStyle name="Note 2 4 10 2" xfId="16895" xr:uid="{00000000-0005-0000-0000-0000EC550000}"/>
    <cellStyle name="Note 2 4 11" xfId="16592" xr:uid="{00000000-0005-0000-0000-0000ED550000}"/>
    <cellStyle name="Note 2 4 11 2" xfId="37802" xr:uid="{00000000-0005-0000-0000-0000EE550000}"/>
    <cellStyle name="Note 2 4 12" xfId="31315" xr:uid="{00000000-0005-0000-0000-0000EF550000}"/>
    <cellStyle name="Note 2 4 13" xfId="38058" xr:uid="{00000000-0005-0000-0000-0000070E0000}"/>
    <cellStyle name="Note 2 4 2" xfId="3492" xr:uid="{00000000-0005-0000-0000-0000F0550000}"/>
    <cellStyle name="Note 2 4 2 10" xfId="14723" xr:uid="{00000000-0005-0000-0000-0000F1550000}"/>
    <cellStyle name="Note 2 4 2 10 2" xfId="36203" xr:uid="{00000000-0005-0000-0000-0000F2550000}"/>
    <cellStyle name="Note 2 4 2 11" xfId="31545" xr:uid="{00000000-0005-0000-0000-0000F3550000}"/>
    <cellStyle name="Note 2 4 2 2" xfId="5619" xr:uid="{00000000-0005-0000-0000-0000F4550000}"/>
    <cellStyle name="Note 2 4 2 2 2" xfId="24072" xr:uid="{00000000-0005-0000-0000-0000F5550000}"/>
    <cellStyle name="Note 2 4 2 2 3" xfId="32230" xr:uid="{00000000-0005-0000-0000-0000F6550000}"/>
    <cellStyle name="Note 2 4 2 2 4" xfId="19205" xr:uid="{00000000-0005-0000-0000-0000F7550000}"/>
    <cellStyle name="Note 2 4 2 3" xfId="5116" xr:uid="{00000000-0005-0000-0000-0000F8550000}"/>
    <cellStyle name="Note 2 4 2 3 2" xfId="23576" xr:uid="{00000000-0005-0000-0000-0000F9550000}"/>
    <cellStyle name="Note 2 4 2 3 3" xfId="31957" xr:uid="{00000000-0005-0000-0000-0000FA550000}"/>
    <cellStyle name="Note 2 4 2 3 4" xfId="18730" xr:uid="{00000000-0005-0000-0000-0000FB550000}"/>
    <cellStyle name="Note 2 4 2 4" xfId="6015" xr:uid="{00000000-0005-0000-0000-0000FC550000}"/>
    <cellStyle name="Note 2 4 2 4 2" xfId="24456" xr:uid="{00000000-0005-0000-0000-0000FD550000}"/>
    <cellStyle name="Note 2 4 2 4 3" xfId="32493" xr:uid="{00000000-0005-0000-0000-0000FE550000}"/>
    <cellStyle name="Note 2 4 2 4 4" xfId="19565" xr:uid="{00000000-0005-0000-0000-0000FF550000}"/>
    <cellStyle name="Note 2 4 2 5" xfId="7631" xr:uid="{00000000-0005-0000-0000-000000560000}"/>
    <cellStyle name="Note 2 4 2 5 2" xfId="26061" xr:uid="{00000000-0005-0000-0000-000001560000}"/>
    <cellStyle name="Note 2 4 2 5 3" xfId="32876" xr:uid="{00000000-0005-0000-0000-000002560000}"/>
    <cellStyle name="Note 2 4 2 5 4" xfId="20986" xr:uid="{00000000-0005-0000-0000-000003560000}"/>
    <cellStyle name="Note 2 4 2 6" xfId="8005" xr:uid="{00000000-0005-0000-0000-000004560000}"/>
    <cellStyle name="Note 2 4 2 6 2" xfId="26435" xr:uid="{00000000-0005-0000-0000-000005560000}"/>
    <cellStyle name="Note 2 4 2 6 3" xfId="32948" xr:uid="{00000000-0005-0000-0000-000006560000}"/>
    <cellStyle name="Note 2 4 2 6 4" xfId="21359" xr:uid="{00000000-0005-0000-0000-000007560000}"/>
    <cellStyle name="Note 2 4 2 7" xfId="8729" xr:uid="{00000000-0005-0000-0000-000008560000}"/>
    <cellStyle name="Note 2 4 2 7 2" xfId="27149" xr:uid="{00000000-0005-0000-0000-000009560000}"/>
    <cellStyle name="Note 2 4 2 7 3" xfId="33120" xr:uid="{00000000-0005-0000-0000-00000A560000}"/>
    <cellStyle name="Note 2 4 2 7 4" xfId="22020" xr:uid="{00000000-0005-0000-0000-00000B560000}"/>
    <cellStyle name="Note 2 4 2 8" xfId="4221" xr:uid="{00000000-0005-0000-0000-00000C560000}"/>
    <cellStyle name="Note 2 4 2 8 2" xfId="22685" xr:uid="{00000000-0005-0000-0000-00000D560000}"/>
    <cellStyle name="Note 2 4 2 8 3" xfId="31723" xr:uid="{00000000-0005-0000-0000-00000E560000}"/>
    <cellStyle name="Note 2 4 2 8 4" xfId="17903" xr:uid="{00000000-0005-0000-0000-00000F560000}"/>
    <cellStyle name="Note 2 4 2 9" xfId="14575" xr:uid="{00000000-0005-0000-0000-000010560000}"/>
    <cellStyle name="Note 2 4 2 9 2" xfId="17232" xr:uid="{00000000-0005-0000-0000-000011560000}"/>
    <cellStyle name="Note 2 4 3" xfId="5245" xr:uid="{00000000-0005-0000-0000-000012560000}"/>
    <cellStyle name="Note 2 4 3 2" xfId="23705" xr:uid="{00000000-0005-0000-0000-000013560000}"/>
    <cellStyle name="Note 2 4 3 3" xfId="32022" xr:uid="{00000000-0005-0000-0000-000014560000}"/>
    <cellStyle name="Note 2 4 3 4" xfId="18858" xr:uid="{00000000-0005-0000-0000-000015560000}"/>
    <cellStyle name="Note 2 4 4" xfId="5587" xr:uid="{00000000-0005-0000-0000-000016560000}"/>
    <cellStyle name="Note 2 4 4 2" xfId="24040" xr:uid="{00000000-0005-0000-0000-000017560000}"/>
    <cellStyle name="Note 2 4 4 3" xfId="32201" xr:uid="{00000000-0005-0000-0000-000018560000}"/>
    <cellStyle name="Note 2 4 4 4" xfId="19175" xr:uid="{00000000-0005-0000-0000-000019560000}"/>
    <cellStyle name="Note 2 4 5" xfId="6367" xr:uid="{00000000-0005-0000-0000-00001A560000}"/>
    <cellStyle name="Note 2 4 5 2" xfId="24807" xr:uid="{00000000-0005-0000-0000-00001B560000}"/>
    <cellStyle name="Note 2 4 5 3" xfId="32646" xr:uid="{00000000-0005-0000-0000-00001C560000}"/>
    <cellStyle name="Note 2 4 5 4" xfId="19916" xr:uid="{00000000-0005-0000-0000-00001D560000}"/>
    <cellStyle name="Note 2 4 6" xfId="7308" xr:uid="{00000000-0005-0000-0000-00001E560000}"/>
    <cellStyle name="Note 2 4 6 2" xfId="25739" xr:uid="{00000000-0005-0000-0000-00001F560000}"/>
    <cellStyle name="Note 2 4 6 3" xfId="32795" xr:uid="{00000000-0005-0000-0000-000020560000}"/>
    <cellStyle name="Note 2 4 6 4" xfId="20664" xr:uid="{00000000-0005-0000-0000-000021560000}"/>
    <cellStyle name="Note 2 4 7" xfId="6432" xr:uid="{00000000-0005-0000-0000-000022560000}"/>
    <cellStyle name="Note 2 4 7 2" xfId="24872" xr:uid="{00000000-0005-0000-0000-000023560000}"/>
    <cellStyle name="Note 2 4 7 3" xfId="32703" xr:uid="{00000000-0005-0000-0000-000024560000}"/>
    <cellStyle name="Note 2 4 7 4" xfId="19981" xr:uid="{00000000-0005-0000-0000-000025560000}"/>
    <cellStyle name="Note 2 4 8" xfId="8408" xr:uid="{00000000-0005-0000-0000-000026560000}"/>
    <cellStyle name="Note 2 4 8 2" xfId="26831" xr:uid="{00000000-0005-0000-0000-000027560000}"/>
    <cellStyle name="Note 2 4 8 3" xfId="33040" xr:uid="{00000000-0005-0000-0000-000028560000}"/>
    <cellStyle name="Note 2 4 8 4" xfId="21699" xr:uid="{00000000-0005-0000-0000-000029560000}"/>
    <cellStyle name="Note 2 4 9" xfId="3900" xr:uid="{00000000-0005-0000-0000-00002A560000}"/>
    <cellStyle name="Note 2 4 9 2" xfId="22367" xr:uid="{00000000-0005-0000-0000-00002B560000}"/>
    <cellStyle name="Note 2 4 9 3" xfId="31643" xr:uid="{00000000-0005-0000-0000-00002C560000}"/>
    <cellStyle name="Note 2 4 9 4" xfId="17582" xr:uid="{00000000-0005-0000-0000-00002D560000}"/>
    <cellStyle name="Note 2 5" xfId="2984" xr:uid="{00000000-0005-0000-0000-00002E560000}"/>
    <cellStyle name="Note 2 5 10" xfId="14591" xr:uid="{00000000-0005-0000-0000-00002F560000}"/>
    <cellStyle name="Note 2 5 10 2" xfId="16896" xr:uid="{00000000-0005-0000-0000-000030560000}"/>
    <cellStyle name="Note 2 5 11" xfId="14802" xr:uid="{00000000-0005-0000-0000-000031560000}"/>
    <cellStyle name="Note 2 5 11 2" xfId="36258" xr:uid="{00000000-0005-0000-0000-000032560000}"/>
    <cellStyle name="Note 2 5 12" xfId="31316" xr:uid="{00000000-0005-0000-0000-000033560000}"/>
    <cellStyle name="Note 2 5 13" xfId="38059" xr:uid="{00000000-0005-0000-0000-0000080E0000}"/>
    <cellStyle name="Note 2 5 2" xfId="3493" xr:uid="{00000000-0005-0000-0000-000034560000}"/>
    <cellStyle name="Note 2 5 2 10" xfId="15079" xr:uid="{00000000-0005-0000-0000-000035560000}"/>
    <cellStyle name="Note 2 5 2 10 2" xfId="36490" xr:uid="{00000000-0005-0000-0000-000036560000}"/>
    <cellStyle name="Note 2 5 2 11" xfId="31546" xr:uid="{00000000-0005-0000-0000-000037560000}"/>
    <cellStyle name="Note 2 5 2 2" xfId="5620" xr:uid="{00000000-0005-0000-0000-000038560000}"/>
    <cellStyle name="Note 2 5 2 2 2" xfId="24073" xr:uid="{00000000-0005-0000-0000-000039560000}"/>
    <cellStyle name="Note 2 5 2 2 3" xfId="32231" xr:uid="{00000000-0005-0000-0000-00003A560000}"/>
    <cellStyle name="Note 2 5 2 2 4" xfId="19206" xr:uid="{00000000-0005-0000-0000-00003B560000}"/>
    <cellStyle name="Note 2 5 2 3" xfId="5117" xr:uid="{00000000-0005-0000-0000-00003C560000}"/>
    <cellStyle name="Note 2 5 2 3 2" xfId="23577" xr:uid="{00000000-0005-0000-0000-00003D560000}"/>
    <cellStyle name="Note 2 5 2 3 3" xfId="31958" xr:uid="{00000000-0005-0000-0000-00003E560000}"/>
    <cellStyle name="Note 2 5 2 3 4" xfId="18731" xr:uid="{00000000-0005-0000-0000-00003F560000}"/>
    <cellStyle name="Note 2 5 2 4" xfId="6014" xr:uid="{00000000-0005-0000-0000-000040560000}"/>
    <cellStyle name="Note 2 5 2 4 2" xfId="24455" xr:uid="{00000000-0005-0000-0000-000041560000}"/>
    <cellStyle name="Note 2 5 2 4 3" xfId="32492" xr:uid="{00000000-0005-0000-0000-000042560000}"/>
    <cellStyle name="Note 2 5 2 4 4" xfId="19564" xr:uid="{00000000-0005-0000-0000-000043560000}"/>
    <cellStyle name="Note 2 5 2 5" xfId="7632" xr:uid="{00000000-0005-0000-0000-000044560000}"/>
    <cellStyle name="Note 2 5 2 5 2" xfId="26062" xr:uid="{00000000-0005-0000-0000-000045560000}"/>
    <cellStyle name="Note 2 5 2 5 3" xfId="32877" xr:uid="{00000000-0005-0000-0000-000046560000}"/>
    <cellStyle name="Note 2 5 2 5 4" xfId="20987" xr:uid="{00000000-0005-0000-0000-000047560000}"/>
    <cellStyle name="Note 2 5 2 6" xfId="8006" xr:uid="{00000000-0005-0000-0000-000048560000}"/>
    <cellStyle name="Note 2 5 2 6 2" xfId="26436" xr:uid="{00000000-0005-0000-0000-000049560000}"/>
    <cellStyle name="Note 2 5 2 6 3" xfId="32949" xr:uid="{00000000-0005-0000-0000-00004A560000}"/>
    <cellStyle name="Note 2 5 2 6 4" xfId="21360" xr:uid="{00000000-0005-0000-0000-00004B560000}"/>
    <cellStyle name="Note 2 5 2 7" xfId="8730" xr:uid="{00000000-0005-0000-0000-00004C560000}"/>
    <cellStyle name="Note 2 5 2 7 2" xfId="27150" xr:uid="{00000000-0005-0000-0000-00004D560000}"/>
    <cellStyle name="Note 2 5 2 7 3" xfId="33121" xr:uid="{00000000-0005-0000-0000-00004E560000}"/>
    <cellStyle name="Note 2 5 2 7 4" xfId="22021" xr:uid="{00000000-0005-0000-0000-00004F560000}"/>
    <cellStyle name="Note 2 5 2 8" xfId="4222" xr:uid="{00000000-0005-0000-0000-000050560000}"/>
    <cellStyle name="Note 2 5 2 8 2" xfId="22686" xr:uid="{00000000-0005-0000-0000-000051560000}"/>
    <cellStyle name="Note 2 5 2 8 3" xfId="31724" xr:uid="{00000000-0005-0000-0000-000052560000}"/>
    <cellStyle name="Note 2 5 2 8 4" xfId="17904" xr:uid="{00000000-0005-0000-0000-000053560000}"/>
    <cellStyle name="Note 2 5 2 9" xfId="14609" xr:uid="{00000000-0005-0000-0000-000054560000}"/>
    <cellStyle name="Note 2 5 2 9 2" xfId="17233" xr:uid="{00000000-0005-0000-0000-000055560000}"/>
    <cellStyle name="Note 2 5 3" xfId="5246" xr:uid="{00000000-0005-0000-0000-000056560000}"/>
    <cellStyle name="Note 2 5 3 2" xfId="23706" xr:uid="{00000000-0005-0000-0000-000057560000}"/>
    <cellStyle name="Note 2 5 3 3" xfId="32023" xr:uid="{00000000-0005-0000-0000-000058560000}"/>
    <cellStyle name="Note 2 5 3 4" xfId="18859" xr:uid="{00000000-0005-0000-0000-000059560000}"/>
    <cellStyle name="Note 2 5 4" xfId="4836" xr:uid="{00000000-0005-0000-0000-00005A560000}"/>
    <cellStyle name="Note 2 5 4 2" xfId="23296" xr:uid="{00000000-0005-0000-0000-00005B560000}"/>
    <cellStyle name="Note 2 5 4 3" xfId="31819" xr:uid="{00000000-0005-0000-0000-00005C560000}"/>
    <cellStyle name="Note 2 5 4 4" xfId="18450" xr:uid="{00000000-0005-0000-0000-00005D560000}"/>
    <cellStyle name="Note 2 5 5" xfId="6366" xr:uid="{00000000-0005-0000-0000-00005E560000}"/>
    <cellStyle name="Note 2 5 5 2" xfId="24806" xr:uid="{00000000-0005-0000-0000-00005F560000}"/>
    <cellStyle name="Note 2 5 5 3" xfId="32645" xr:uid="{00000000-0005-0000-0000-000060560000}"/>
    <cellStyle name="Note 2 5 5 4" xfId="19915" xr:uid="{00000000-0005-0000-0000-000061560000}"/>
    <cellStyle name="Note 2 5 6" xfId="7309" xr:uid="{00000000-0005-0000-0000-000062560000}"/>
    <cellStyle name="Note 2 5 6 2" xfId="25740" xr:uid="{00000000-0005-0000-0000-000063560000}"/>
    <cellStyle name="Note 2 5 6 3" xfId="32796" xr:uid="{00000000-0005-0000-0000-000064560000}"/>
    <cellStyle name="Note 2 5 6 4" xfId="20665" xr:uid="{00000000-0005-0000-0000-000065560000}"/>
    <cellStyle name="Note 2 5 7" xfId="6431" xr:uid="{00000000-0005-0000-0000-000066560000}"/>
    <cellStyle name="Note 2 5 7 2" xfId="24871" xr:uid="{00000000-0005-0000-0000-000067560000}"/>
    <cellStyle name="Note 2 5 7 3" xfId="32702" xr:uid="{00000000-0005-0000-0000-000068560000}"/>
    <cellStyle name="Note 2 5 7 4" xfId="19980" xr:uid="{00000000-0005-0000-0000-000069560000}"/>
    <cellStyle name="Note 2 5 8" xfId="8409" xr:uid="{00000000-0005-0000-0000-00006A560000}"/>
    <cellStyle name="Note 2 5 8 2" xfId="26832" xr:uid="{00000000-0005-0000-0000-00006B560000}"/>
    <cellStyle name="Note 2 5 8 3" xfId="33041" xr:uid="{00000000-0005-0000-0000-00006C560000}"/>
    <cellStyle name="Note 2 5 8 4" xfId="21700" xr:uid="{00000000-0005-0000-0000-00006D560000}"/>
    <cellStyle name="Note 2 5 9" xfId="3901" xr:uid="{00000000-0005-0000-0000-00006E560000}"/>
    <cellStyle name="Note 2 5 9 2" xfId="22368" xr:uid="{00000000-0005-0000-0000-00006F560000}"/>
    <cellStyle name="Note 2 5 9 3" xfId="31644" xr:uid="{00000000-0005-0000-0000-000070560000}"/>
    <cellStyle name="Note 2 5 9 4" xfId="17583" xr:uid="{00000000-0005-0000-0000-000071560000}"/>
    <cellStyle name="Note 2 6" xfId="2985" xr:uid="{00000000-0005-0000-0000-000072560000}"/>
    <cellStyle name="Note 2 6 10" xfId="14638" xr:uid="{00000000-0005-0000-0000-000073560000}"/>
    <cellStyle name="Note 2 6 10 2" xfId="16897" xr:uid="{00000000-0005-0000-0000-000074560000}"/>
    <cellStyle name="Note 2 6 11" xfId="16060" xr:uid="{00000000-0005-0000-0000-000075560000}"/>
    <cellStyle name="Note 2 6 11 2" xfId="37386" xr:uid="{00000000-0005-0000-0000-000076560000}"/>
    <cellStyle name="Note 2 6 12" xfId="31317" xr:uid="{00000000-0005-0000-0000-000077560000}"/>
    <cellStyle name="Note 2 6 13" xfId="38060" xr:uid="{00000000-0005-0000-0000-0000090E0000}"/>
    <cellStyle name="Note 2 6 2" xfId="3494" xr:uid="{00000000-0005-0000-0000-000078560000}"/>
    <cellStyle name="Note 2 6 2 10" xfId="16064" xr:uid="{00000000-0005-0000-0000-000079560000}"/>
    <cellStyle name="Note 2 6 2 10 2" xfId="37390" xr:uid="{00000000-0005-0000-0000-00007A560000}"/>
    <cellStyle name="Note 2 6 2 11" xfId="31547" xr:uid="{00000000-0005-0000-0000-00007B560000}"/>
    <cellStyle name="Note 2 6 2 2" xfId="5621" xr:uid="{00000000-0005-0000-0000-00007C560000}"/>
    <cellStyle name="Note 2 6 2 2 2" xfId="24074" xr:uid="{00000000-0005-0000-0000-00007D560000}"/>
    <cellStyle name="Note 2 6 2 2 3" xfId="32232" xr:uid="{00000000-0005-0000-0000-00007E560000}"/>
    <cellStyle name="Note 2 6 2 2 4" xfId="19207" xr:uid="{00000000-0005-0000-0000-00007F560000}"/>
    <cellStyle name="Note 2 6 2 3" xfId="5599" xr:uid="{00000000-0005-0000-0000-000080560000}"/>
    <cellStyle name="Note 2 6 2 3 2" xfId="24052" xr:uid="{00000000-0005-0000-0000-000081560000}"/>
    <cellStyle name="Note 2 6 2 3 3" xfId="32213" xr:uid="{00000000-0005-0000-0000-000082560000}"/>
    <cellStyle name="Note 2 6 2 3 4" xfId="19186" xr:uid="{00000000-0005-0000-0000-000083560000}"/>
    <cellStyle name="Note 2 6 2 4" xfId="6013" xr:uid="{00000000-0005-0000-0000-000084560000}"/>
    <cellStyle name="Note 2 6 2 4 2" xfId="24454" xr:uid="{00000000-0005-0000-0000-000085560000}"/>
    <cellStyle name="Note 2 6 2 4 3" xfId="32491" xr:uid="{00000000-0005-0000-0000-000086560000}"/>
    <cellStyle name="Note 2 6 2 4 4" xfId="19563" xr:uid="{00000000-0005-0000-0000-000087560000}"/>
    <cellStyle name="Note 2 6 2 5" xfId="7633" xr:uid="{00000000-0005-0000-0000-000088560000}"/>
    <cellStyle name="Note 2 6 2 5 2" xfId="26063" xr:uid="{00000000-0005-0000-0000-000089560000}"/>
    <cellStyle name="Note 2 6 2 5 3" xfId="32878" xr:uid="{00000000-0005-0000-0000-00008A560000}"/>
    <cellStyle name="Note 2 6 2 5 4" xfId="20988" xr:uid="{00000000-0005-0000-0000-00008B560000}"/>
    <cellStyle name="Note 2 6 2 6" xfId="8007" xr:uid="{00000000-0005-0000-0000-00008C560000}"/>
    <cellStyle name="Note 2 6 2 6 2" xfId="26437" xr:uid="{00000000-0005-0000-0000-00008D560000}"/>
    <cellStyle name="Note 2 6 2 6 3" xfId="32950" xr:uid="{00000000-0005-0000-0000-00008E560000}"/>
    <cellStyle name="Note 2 6 2 6 4" xfId="21361" xr:uid="{00000000-0005-0000-0000-00008F560000}"/>
    <cellStyle name="Note 2 6 2 7" xfId="8731" xr:uid="{00000000-0005-0000-0000-000090560000}"/>
    <cellStyle name="Note 2 6 2 7 2" xfId="27151" xr:uid="{00000000-0005-0000-0000-000091560000}"/>
    <cellStyle name="Note 2 6 2 7 3" xfId="33122" xr:uid="{00000000-0005-0000-0000-000092560000}"/>
    <cellStyle name="Note 2 6 2 7 4" xfId="22022" xr:uid="{00000000-0005-0000-0000-000093560000}"/>
    <cellStyle name="Note 2 6 2 8" xfId="4223" xr:uid="{00000000-0005-0000-0000-000094560000}"/>
    <cellStyle name="Note 2 6 2 8 2" xfId="22687" xr:uid="{00000000-0005-0000-0000-000095560000}"/>
    <cellStyle name="Note 2 6 2 8 3" xfId="31725" xr:uid="{00000000-0005-0000-0000-000096560000}"/>
    <cellStyle name="Note 2 6 2 8 4" xfId="17905" xr:uid="{00000000-0005-0000-0000-000097560000}"/>
    <cellStyle name="Note 2 6 2 9" xfId="16398" xr:uid="{00000000-0005-0000-0000-000098560000}"/>
    <cellStyle name="Note 2 6 2 9 2" xfId="17234" xr:uid="{00000000-0005-0000-0000-000099560000}"/>
    <cellStyle name="Note 2 6 3" xfId="5247" xr:uid="{00000000-0005-0000-0000-00009A560000}"/>
    <cellStyle name="Note 2 6 3 2" xfId="23707" xr:uid="{00000000-0005-0000-0000-00009B560000}"/>
    <cellStyle name="Note 2 6 3 3" xfId="32024" xr:uid="{00000000-0005-0000-0000-00009C560000}"/>
    <cellStyle name="Note 2 6 3 4" xfId="18860" xr:uid="{00000000-0005-0000-0000-00009D560000}"/>
    <cellStyle name="Note 2 6 4" xfId="4837" xr:uid="{00000000-0005-0000-0000-00009E560000}"/>
    <cellStyle name="Note 2 6 4 2" xfId="23297" xr:uid="{00000000-0005-0000-0000-00009F560000}"/>
    <cellStyle name="Note 2 6 4 3" xfId="31820" xr:uid="{00000000-0005-0000-0000-0000A0560000}"/>
    <cellStyle name="Note 2 6 4 4" xfId="18451" xr:uid="{00000000-0005-0000-0000-0000A1560000}"/>
    <cellStyle name="Note 2 6 5" xfId="6365" xr:uid="{00000000-0005-0000-0000-0000A2560000}"/>
    <cellStyle name="Note 2 6 5 2" xfId="24805" xr:uid="{00000000-0005-0000-0000-0000A3560000}"/>
    <cellStyle name="Note 2 6 5 3" xfId="32644" xr:uid="{00000000-0005-0000-0000-0000A4560000}"/>
    <cellStyle name="Note 2 6 5 4" xfId="19914" xr:uid="{00000000-0005-0000-0000-0000A5560000}"/>
    <cellStyle name="Note 2 6 6" xfId="7310" xr:uid="{00000000-0005-0000-0000-0000A6560000}"/>
    <cellStyle name="Note 2 6 6 2" xfId="25741" xr:uid="{00000000-0005-0000-0000-0000A7560000}"/>
    <cellStyle name="Note 2 6 6 3" xfId="32797" xr:uid="{00000000-0005-0000-0000-0000A8560000}"/>
    <cellStyle name="Note 2 6 6 4" xfId="20666" xr:uid="{00000000-0005-0000-0000-0000A9560000}"/>
    <cellStyle name="Note 2 6 7" xfId="6027" xr:uid="{00000000-0005-0000-0000-0000AA560000}"/>
    <cellStyle name="Note 2 6 7 2" xfId="24468" xr:uid="{00000000-0005-0000-0000-0000AB560000}"/>
    <cellStyle name="Note 2 6 7 3" xfId="32504" xr:uid="{00000000-0005-0000-0000-0000AC560000}"/>
    <cellStyle name="Note 2 6 7 4" xfId="19577" xr:uid="{00000000-0005-0000-0000-0000AD560000}"/>
    <cellStyle name="Note 2 6 8" xfId="8410" xr:uid="{00000000-0005-0000-0000-0000AE560000}"/>
    <cellStyle name="Note 2 6 8 2" xfId="26833" xr:uid="{00000000-0005-0000-0000-0000AF560000}"/>
    <cellStyle name="Note 2 6 8 3" xfId="33042" xr:uid="{00000000-0005-0000-0000-0000B0560000}"/>
    <cellStyle name="Note 2 6 8 4" xfId="21701" xr:uid="{00000000-0005-0000-0000-0000B1560000}"/>
    <cellStyle name="Note 2 6 9" xfId="3902" xr:uid="{00000000-0005-0000-0000-0000B2560000}"/>
    <cellStyle name="Note 2 6 9 2" xfId="22369" xr:uid="{00000000-0005-0000-0000-0000B3560000}"/>
    <cellStyle name="Note 2 6 9 3" xfId="31645" xr:uid="{00000000-0005-0000-0000-0000B4560000}"/>
    <cellStyle name="Note 2 6 9 4" xfId="17584" xr:uid="{00000000-0005-0000-0000-0000B5560000}"/>
    <cellStyle name="Note 2 7" xfId="2986" xr:uid="{00000000-0005-0000-0000-0000B6560000}"/>
    <cellStyle name="Note 2 7 10" xfId="15284" xr:uid="{00000000-0005-0000-0000-0000B7560000}"/>
    <cellStyle name="Note 2 7 10 2" xfId="16898" xr:uid="{00000000-0005-0000-0000-0000B8560000}"/>
    <cellStyle name="Note 2 7 11" xfId="14797" xr:uid="{00000000-0005-0000-0000-0000B9560000}"/>
    <cellStyle name="Note 2 7 11 2" xfId="36253" xr:uid="{00000000-0005-0000-0000-0000BA560000}"/>
    <cellStyle name="Note 2 7 12" xfId="31318" xr:uid="{00000000-0005-0000-0000-0000BB560000}"/>
    <cellStyle name="Note 2 7 13" xfId="38061" xr:uid="{00000000-0005-0000-0000-00000A0E0000}"/>
    <cellStyle name="Note 2 7 2" xfId="3495" xr:uid="{00000000-0005-0000-0000-0000BC560000}"/>
    <cellStyle name="Note 2 7 2 10" xfId="16327" xr:uid="{00000000-0005-0000-0000-0000BD560000}"/>
    <cellStyle name="Note 2 7 2 10 2" xfId="37632" xr:uid="{00000000-0005-0000-0000-0000BE560000}"/>
    <cellStyle name="Note 2 7 2 11" xfId="31548" xr:uid="{00000000-0005-0000-0000-0000BF560000}"/>
    <cellStyle name="Note 2 7 2 2" xfId="5622" xr:uid="{00000000-0005-0000-0000-0000C0560000}"/>
    <cellStyle name="Note 2 7 2 2 2" xfId="24075" xr:uid="{00000000-0005-0000-0000-0000C1560000}"/>
    <cellStyle name="Note 2 7 2 2 3" xfId="32233" xr:uid="{00000000-0005-0000-0000-0000C2560000}"/>
    <cellStyle name="Note 2 7 2 2 4" xfId="19208" xr:uid="{00000000-0005-0000-0000-0000C3560000}"/>
    <cellStyle name="Note 2 7 2 3" xfId="5118" xr:uid="{00000000-0005-0000-0000-0000C4560000}"/>
    <cellStyle name="Note 2 7 2 3 2" xfId="23578" xr:uid="{00000000-0005-0000-0000-0000C5560000}"/>
    <cellStyle name="Note 2 7 2 3 3" xfId="31959" xr:uid="{00000000-0005-0000-0000-0000C6560000}"/>
    <cellStyle name="Note 2 7 2 3 4" xfId="18732" xr:uid="{00000000-0005-0000-0000-0000C7560000}"/>
    <cellStyle name="Note 2 7 2 4" xfId="6012" xr:uid="{00000000-0005-0000-0000-0000C8560000}"/>
    <cellStyle name="Note 2 7 2 4 2" xfId="24453" xr:uid="{00000000-0005-0000-0000-0000C9560000}"/>
    <cellStyle name="Note 2 7 2 4 3" xfId="32490" xr:uid="{00000000-0005-0000-0000-0000CA560000}"/>
    <cellStyle name="Note 2 7 2 4 4" xfId="19562" xr:uid="{00000000-0005-0000-0000-0000CB560000}"/>
    <cellStyle name="Note 2 7 2 5" xfId="7634" xr:uid="{00000000-0005-0000-0000-0000CC560000}"/>
    <cellStyle name="Note 2 7 2 5 2" xfId="26064" xr:uid="{00000000-0005-0000-0000-0000CD560000}"/>
    <cellStyle name="Note 2 7 2 5 3" xfId="32879" xr:uid="{00000000-0005-0000-0000-0000CE560000}"/>
    <cellStyle name="Note 2 7 2 5 4" xfId="20989" xr:uid="{00000000-0005-0000-0000-0000CF560000}"/>
    <cellStyle name="Note 2 7 2 6" xfId="8008" xr:uid="{00000000-0005-0000-0000-0000D0560000}"/>
    <cellStyle name="Note 2 7 2 6 2" xfId="26438" xr:uid="{00000000-0005-0000-0000-0000D1560000}"/>
    <cellStyle name="Note 2 7 2 6 3" xfId="32951" xr:uid="{00000000-0005-0000-0000-0000D2560000}"/>
    <cellStyle name="Note 2 7 2 6 4" xfId="21362" xr:uid="{00000000-0005-0000-0000-0000D3560000}"/>
    <cellStyle name="Note 2 7 2 7" xfId="8732" xr:uid="{00000000-0005-0000-0000-0000D4560000}"/>
    <cellStyle name="Note 2 7 2 7 2" xfId="27152" xr:uid="{00000000-0005-0000-0000-0000D5560000}"/>
    <cellStyle name="Note 2 7 2 7 3" xfId="33123" xr:uid="{00000000-0005-0000-0000-0000D6560000}"/>
    <cellStyle name="Note 2 7 2 7 4" xfId="22023" xr:uid="{00000000-0005-0000-0000-0000D7560000}"/>
    <cellStyle name="Note 2 7 2 8" xfId="4224" xr:uid="{00000000-0005-0000-0000-0000D8560000}"/>
    <cellStyle name="Note 2 7 2 8 2" xfId="22688" xr:uid="{00000000-0005-0000-0000-0000D9560000}"/>
    <cellStyle name="Note 2 7 2 8 3" xfId="31726" xr:uid="{00000000-0005-0000-0000-0000DA560000}"/>
    <cellStyle name="Note 2 7 2 8 4" xfId="17906" xr:uid="{00000000-0005-0000-0000-0000DB560000}"/>
    <cellStyle name="Note 2 7 2 9" xfId="15041" xr:uid="{00000000-0005-0000-0000-0000DC560000}"/>
    <cellStyle name="Note 2 7 2 9 2" xfId="17235" xr:uid="{00000000-0005-0000-0000-0000DD560000}"/>
    <cellStyle name="Note 2 7 3" xfId="5248" xr:uid="{00000000-0005-0000-0000-0000DE560000}"/>
    <cellStyle name="Note 2 7 3 2" xfId="23708" xr:uid="{00000000-0005-0000-0000-0000DF560000}"/>
    <cellStyle name="Note 2 7 3 3" xfId="32025" xr:uid="{00000000-0005-0000-0000-0000E0560000}"/>
    <cellStyle name="Note 2 7 3 4" xfId="18861" xr:uid="{00000000-0005-0000-0000-0000E1560000}"/>
    <cellStyle name="Note 2 7 4" xfId="4838" xr:uid="{00000000-0005-0000-0000-0000E2560000}"/>
    <cellStyle name="Note 2 7 4 2" xfId="23298" xr:uid="{00000000-0005-0000-0000-0000E3560000}"/>
    <cellStyle name="Note 2 7 4 3" xfId="31821" xr:uid="{00000000-0005-0000-0000-0000E4560000}"/>
    <cellStyle name="Note 2 7 4 4" xfId="18452" xr:uid="{00000000-0005-0000-0000-0000E5560000}"/>
    <cellStyle name="Note 2 7 5" xfId="6364" xr:uid="{00000000-0005-0000-0000-0000E6560000}"/>
    <cellStyle name="Note 2 7 5 2" xfId="24804" xr:uid="{00000000-0005-0000-0000-0000E7560000}"/>
    <cellStyle name="Note 2 7 5 3" xfId="32643" xr:uid="{00000000-0005-0000-0000-0000E8560000}"/>
    <cellStyle name="Note 2 7 5 4" xfId="19913" xr:uid="{00000000-0005-0000-0000-0000E9560000}"/>
    <cellStyle name="Note 2 7 6" xfId="7311" xr:uid="{00000000-0005-0000-0000-0000EA560000}"/>
    <cellStyle name="Note 2 7 6 2" xfId="25742" xr:uid="{00000000-0005-0000-0000-0000EB560000}"/>
    <cellStyle name="Note 2 7 6 3" xfId="32798" xr:uid="{00000000-0005-0000-0000-0000EC560000}"/>
    <cellStyle name="Note 2 7 6 4" xfId="20667" xr:uid="{00000000-0005-0000-0000-0000ED560000}"/>
    <cellStyle name="Note 2 7 7" xfId="6430" xr:uid="{00000000-0005-0000-0000-0000EE560000}"/>
    <cellStyle name="Note 2 7 7 2" xfId="24870" xr:uid="{00000000-0005-0000-0000-0000EF560000}"/>
    <cellStyle name="Note 2 7 7 3" xfId="32701" xr:uid="{00000000-0005-0000-0000-0000F0560000}"/>
    <cellStyle name="Note 2 7 7 4" xfId="19979" xr:uid="{00000000-0005-0000-0000-0000F1560000}"/>
    <cellStyle name="Note 2 7 8" xfId="8411" xr:uid="{00000000-0005-0000-0000-0000F2560000}"/>
    <cellStyle name="Note 2 7 8 2" xfId="26834" xr:uid="{00000000-0005-0000-0000-0000F3560000}"/>
    <cellStyle name="Note 2 7 8 3" xfId="33043" xr:uid="{00000000-0005-0000-0000-0000F4560000}"/>
    <cellStyle name="Note 2 7 8 4" xfId="21702" xr:uid="{00000000-0005-0000-0000-0000F5560000}"/>
    <cellStyle name="Note 2 7 9" xfId="3903" xr:uid="{00000000-0005-0000-0000-0000F6560000}"/>
    <cellStyle name="Note 2 7 9 2" xfId="22370" xr:uid="{00000000-0005-0000-0000-0000F7560000}"/>
    <cellStyle name="Note 2 7 9 3" xfId="31646" xr:uid="{00000000-0005-0000-0000-0000F8560000}"/>
    <cellStyle name="Note 2 7 9 4" xfId="17585" xr:uid="{00000000-0005-0000-0000-0000F9560000}"/>
    <cellStyle name="Note 2 8" xfId="2987" xr:uid="{00000000-0005-0000-0000-0000FA560000}"/>
    <cellStyle name="Note 2 8 10" xfId="15697" xr:uid="{00000000-0005-0000-0000-0000FB560000}"/>
    <cellStyle name="Note 2 8 10 2" xfId="16899" xr:uid="{00000000-0005-0000-0000-0000FC560000}"/>
    <cellStyle name="Note 2 8 11" xfId="14746" xr:uid="{00000000-0005-0000-0000-0000FD560000}"/>
    <cellStyle name="Note 2 8 11 2" xfId="36223" xr:uid="{00000000-0005-0000-0000-0000FE560000}"/>
    <cellStyle name="Note 2 8 12" xfId="31319" xr:uid="{00000000-0005-0000-0000-0000FF560000}"/>
    <cellStyle name="Note 2 8 13" xfId="38062" xr:uid="{00000000-0005-0000-0000-00000B0E0000}"/>
    <cellStyle name="Note 2 8 2" xfId="3496" xr:uid="{00000000-0005-0000-0000-000000570000}"/>
    <cellStyle name="Note 2 8 2 10" xfId="14749" xr:uid="{00000000-0005-0000-0000-000001570000}"/>
    <cellStyle name="Note 2 8 2 10 2" xfId="36226" xr:uid="{00000000-0005-0000-0000-000002570000}"/>
    <cellStyle name="Note 2 8 2 11" xfId="31549" xr:uid="{00000000-0005-0000-0000-000003570000}"/>
    <cellStyle name="Note 2 8 2 2" xfId="5623" xr:uid="{00000000-0005-0000-0000-000004570000}"/>
    <cellStyle name="Note 2 8 2 2 2" xfId="24076" xr:uid="{00000000-0005-0000-0000-000005570000}"/>
    <cellStyle name="Note 2 8 2 2 3" xfId="32234" xr:uid="{00000000-0005-0000-0000-000006570000}"/>
    <cellStyle name="Note 2 8 2 2 4" xfId="19209" xr:uid="{00000000-0005-0000-0000-000007570000}"/>
    <cellStyle name="Note 2 8 2 3" xfId="5600" xr:uid="{00000000-0005-0000-0000-000008570000}"/>
    <cellStyle name="Note 2 8 2 3 2" xfId="24053" xr:uid="{00000000-0005-0000-0000-000009570000}"/>
    <cellStyle name="Note 2 8 2 3 3" xfId="32214" xr:uid="{00000000-0005-0000-0000-00000A570000}"/>
    <cellStyle name="Note 2 8 2 3 4" xfId="19187" xr:uid="{00000000-0005-0000-0000-00000B570000}"/>
    <cellStyle name="Note 2 8 2 4" xfId="6011" xr:uid="{00000000-0005-0000-0000-00000C570000}"/>
    <cellStyle name="Note 2 8 2 4 2" xfId="24452" xr:uid="{00000000-0005-0000-0000-00000D570000}"/>
    <cellStyle name="Note 2 8 2 4 3" xfId="32489" xr:uid="{00000000-0005-0000-0000-00000E570000}"/>
    <cellStyle name="Note 2 8 2 4 4" xfId="19561" xr:uid="{00000000-0005-0000-0000-00000F570000}"/>
    <cellStyle name="Note 2 8 2 5" xfId="7635" xr:uid="{00000000-0005-0000-0000-000010570000}"/>
    <cellStyle name="Note 2 8 2 5 2" xfId="26065" xr:uid="{00000000-0005-0000-0000-000011570000}"/>
    <cellStyle name="Note 2 8 2 5 3" xfId="32880" xr:uid="{00000000-0005-0000-0000-000012570000}"/>
    <cellStyle name="Note 2 8 2 5 4" xfId="20990" xr:uid="{00000000-0005-0000-0000-000013570000}"/>
    <cellStyle name="Note 2 8 2 6" xfId="8009" xr:uid="{00000000-0005-0000-0000-000014570000}"/>
    <cellStyle name="Note 2 8 2 6 2" xfId="26439" xr:uid="{00000000-0005-0000-0000-000015570000}"/>
    <cellStyle name="Note 2 8 2 6 3" xfId="32952" xr:uid="{00000000-0005-0000-0000-000016570000}"/>
    <cellStyle name="Note 2 8 2 6 4" xfId="21363" xr:uid="{00000000-0005-0000-0000-000017570000}"/>
    <cellStyle name="Note 2 8 2 7" xfId="8733" xr:uid="{00000000-0005-0000-0000-000018570000}"/>
    <cellStyle name="Note 2 8 2 7 2" xfId="27153" xr:uid="{00000000-0005-0000-0000-000019570000}"/>
    <cellStyle name="Note 2 8 2 7 3" xfId="33124" xr:uid="{00000000-0005-0000-0000-00001A570000}"/>
    <cellStyle name="Note 2 8 2 7 4" xfId="22024" xr:uid="{00000000-0005-0000-0000-00001B570000}"/>
    <cellStyle name="Note 2 8 2 8" xfId="4225" xr:uid="{00000000-0005-0000-0000-00001C570000}"/>
    <cellStyle name="Note 2 8 2 8 2" xfId="22689" xr:uid="{00000000-0005-0000-0000-00001D570000}"/>
    <cellStyle name="Note 2 8 2 8 3" xfId="31727" xr:uid="{00000000-0005-0000-0000-00001E570000}"/>
    <cellStyle name="Note 2 8 2 8 4" xfId="17907" xr:uid="{00000000-0005-0000-0000-00001F570000}"/>
    <cellStyle name="Note 2 8 2 9" xfId="15056" xr:uid="{00000000-0005-0000-0000-000020570000}"/>
    <cellStyle name="Note 2 8 2 9 2" xfId="17236" xr:uid="{00000000-0005-0000-0000-000021570000}"/>
    <cellStyle name="Note 2 8 3" xfId="5249" xr:uid="{00000000-0005-0000-0000-000022570000}"/>
    <cellStyle name="Note 2 8 3 2" xfId="23709" xr:uid="{00000000-0005-0000-0000-000023570000}"/>
    <cellStyle name="Note 2 8 3 3" xfId="32026" xr:uid="{00000000-0005-0000-0000-000024570000}"/>
    <cellStyle name="Note 2 8 3 4" xfId="18862" xr:uid="{00000000-0005-0000-0000-000025570000}"/>
    <cellStyle name="Note 2 8 4" xfId="4839" xr:uid="{00000000-0005-0000-0000-000026570000}"/>
    <cellStyle name="Note 2 8 4 2" xfId="23299" xr:uid="{00000000-0005-0000-0000-000027570000}"/>
    <cellStyle name="Note 2 8 4 3" xfId="31822" xr:uid="{00000000-0005-0000-0000-000028570000}"/>
    <cellStyle name="Note 2 8 4 4" xfId="18453" xr:uid="{00000000-0005-0000-0000-000029570000}"/>
    <cellStyle name="Note 2 8 5" xfId="6363" xr:uid="{00000000-0005-0000-0000-00002A570000}"/>
    <cellStyle name="Note 2 8 5 2" xfId="24803" xr:uid="{00000000-0005-0000-0000-00002B570000}"/>
    <cellStyle name="Note 2 8 5 3" xfId="32642" xr:uid="{00000000-0005-0000-0000-00002C570000}"/>
    <cellStyle name="Note 2 8 5 4" xfId="19912" xr:uid="{00000000-0005-0000-0000-00002D570000}"/>
    <cellStyle name="Note 2 8 6" xfId="7312" xr:uid="{00000000-0005-0000-0000-00002E570000}"/>
    <cellStyle name="Note 2 8 6 2" xfId="25743" xr:uid="{00000000-0005-0000-0000-00002F570000}"/>
    <cellStyle name="Note 2 8 6 3" xfId="32799" xr:uid="{00000000-0005-0000-0000-000030570000}"/>
    <cellStyle name="Note 2 8 6 4" xfId="20668" xr:uid="{00000000-0005-0000-0000-000031570000}"/>
    <cellStyle name="Note 2 8 7" xfId="6429" xr:uid="{00000000-0005-0000-0000-000032570000}"/>
    <cellStyle name="Note 2 8 7 2" xfId="24869" xr:uid="{00000000-0005-0000-0000-000033570000}"/>
    <cellStyle name="Note 2 8 7 3" xfId="32700" xr:uid="{00000000-0005-0000-0000-000034570000}"/>
    <cellStyle name="Note 2 8 7 4" xfId="19978" xr:uid="{00000000-0005-0000-0000-000035570000}"/>
    <cellStyle name="Note 2 8 8" xfId="8412" xr:uid="{00000000-0005-0000-0000-000036570000}"/>
    <cellStyle name="Note 2 8 8 2" xfId="26835" xr:uid="{00000000-0005-0000-0000-000037570000}"/>
    <cellStyle name="Note 2 8 8 3" xfId="33044" xr:uid="{00000000-0005-0000-0000-000038570000}"/>
    <cellStyle name="Note 2 8 8 4" xfId="21703" xr:uid="{00000000-0005-0000-0000-000039570000}"/>
    <cellStyle name="Note 2 8 9" xfId="3904" xr:uid="{00000000-0005-0000-0000-00003A570000}"/>
    <cellStyle name="Note 2 8 9 2" xfId="22371" xr:uid="{00000000-0005-0000-0000-00003B570000}"/>
    <cellStyle name="Note 2 8 9 3" xfId="31647" xr:uid="{00000000-0005-0000-0000-00003C570000}"/>
    <cellStyle name="Note 2 8 9 4" xfId="17586" xr:uid="{00000000-0005-0000-0000-00003D570000}"/>
    <cellStyle name="Note 2 9" xfId="2988" xr:uid="{00000000-0005-0000-0000-00003E570000}"/>
    <cellStyle name="Note 2 9 10" xfId="15748" xr:uid="{00000000-0005-0000-0000-00003F570000}"/>
    <cellStyle name="Note 2 9 10 2" xfId="16900" xr:uid="{00000000-0005-0000-0000-000040570000}"/>
    <cellStyle name="Note 2 9 11" xfId="14670" xr:uid="{00000000-0005-0000-0000-000041570000}"/>
    <cellStyle name="Note 2 9 11 2" xfId="36153" xr:uid="{00000000-0005-0000-0000-000042570000}"/>
    <cellStyle name="Note 2 9 12" xfId="31320" xr:uid="{00000000-0005-0000-0000-000043570000}"/>
    <cellStyle name="Note 2 9 13" xfId="38063" xr:uid="{00000000-0005-0000-0000-00000C0E0000}"/>
    <cellStyle name="Note 2 9 2" xfId="3497" xr:uid="{00000000-0005-0000-0000-000044570000}"/>
    <cellStyle name="Note 2 9 2 10" xfId="14721" xr:uid="{00000000-0005-0000-0000-000045570000}"/>
    <cellStyle name="Note 2 9 2 10 2" xfId="36201" xr:uid="{00000000-0005-0000-0000-000046570000}"/>
    <cellStyle name="Note 2 9 2 11" xfId="31550" xr:uid="{00000000-0005-0000-0000-000047570000}"/>
    <cellStyle name="Note 2 9 2 2" xfId="5624" xr:uid="{00000000-0005-0000-0000-000048570000}"/>
    <cellStyle name="Note 2 9 2 2 2" xfId="24077" xr:uid="{00000000-0005-0000-0000-000049570000}"/>
    <cellStyle name="Note 2 9 2 2 3" xfId="32235" xr:uid="{00000000-0005-0000-0000-00004A570000}"/>
    <cellStyle name="Note 2 9 2 2 4" xfId="19210" xr:uid="{00000000-0005-0000-0000-00004B570000}"/>
    <cellStyle name="Note 2 9 2 3" xfId="5119" xr:uid="{00000000-0005-0000-0000-00004C570000}"/>
    <cellStyle name="Note 2 9 2 3 2" xfId="23579" xr:uid="{00000000-0005-0000-0000-00004D570000}"/>
    <cellStyle name="Note 2 9 2 3 3" xfId="31960" xr:uid="{00000000-0005-0000-0000-00004E570000}"/>
    <cellStyle name="Note 2 9 2 3 4" xfId="18733" xr:uid="{00000000-0005-0000-0000-00004F570000}"/>
    <cellStyle name="Note 2 9 2 4" xfId="6010" xr:uid="{00000000-0005-0000-0000-000050570000}"/>
    <cellStyle name="Note 2 9 2 4 2" xfId="24451" xr:uid="{00000000-0005-0000-0000-000051570000}"/>
    <cellStyle name="Note 2 9 2 4 3" xfId="32488" xr:uid="{00000000-0005-0000-0000-000052570000}"/>
    <cellStyle name="Note 2 9 2 4 4" xfId="19560" xr:uid="{00000000-0005-0000-0000-000053570000}"/>
    <cellStyle name="Note 2 9 2 5" xfId="7636" xr:uid="{00000000-0005-0000-0000-000054570000}"/>
    <cellStyle name="Note 2 9 2 5 2" xfId="26066" xr:uid="{00000000-0005-0000-0000-000055570000}"/>
    <cellStyle name="Note 2 9 2 5 3" xfId="32881" xr:uid="{00000000-0005-0000-0000-000056570000}"/>
    <cellStyle name="Note 2 9 2 5 4" xfId="20991" xr:uid="{00000000-0005-0000-0000-000057570000}"/>
    <cellStyle name="Note 2 9 2 6" xfId="8010" xr:uid="{00000000-0005-0000-0000-000058570000}"/>
    <cellStyle name="Note 2 9 2 6 2" xfId="26440" xr:uid="{00000000-0005-0000-0000-000059570000}"/>
    <cellStyle name="Note 2 9 2 6 3" xfId="32953" xr:uid="{00000000-0005-0000-0000-00005A570000}"/>
    <cellStyle name="Note 2 9 2 6 4" xfId="21364" xr:uid="{00000000-0005-0000-0000-00005B570000}"/>
    <cellStyle name="Note 2 9 2 7" xfId="8734" xr:uid="{00000000-0005-0000-0000-00005C570000}"/>
    <cellStyle name="Note 2 9 2 7 2" xfId="27154" xr:uid="{00000000-0005-0000-0000-00005D570000}"/>
    <cellStyle name="Note 2 9 2 7 3" xfId="33125" xr:uid="{00000000-0005-0000-0000-00005E570000}"/>
    <cellStyle name="Note 2 9 2 7 4" xfId="22025" xr:uid="{00000000-0005-0000-0000-00005F570000}"/>
    <cellStyle name="Note 2 9 2 8" xfId="4226" xr:uid="{00000000-0005-0000-0000-000060570000}"/>
    <cellStyle name="Note 2 9 2 8 2" xfId="22690" xr:uid="{00000000-0005-0000-0000-000061570000}"/>
    <cellStyle name="Note 2 9 2 8 3" xfId="31728" xr:uid="{00000000-0005-0000-0000-000062570000}"/>
    <cellStyle name="Note 2 9 2 8 4" xfId="17908" xr:uid="{00000000-0005-0000-0000-000063570000}"/>
    <cellStyle name="Note 2 9 2 9" xfId="14592" xr:uid="{00000000-0005-0000-0000-000064570000}"/>
    <cellStyle name="Note 2 9 2 9 2" xfId="17237" xr:uid="{00000000-0005-0000-0000-000065570000}"/>
    <cellStyle name="Note 2 9 3" xfId="5250" xr:uid="{00000000-0005-0000-0000-000066570000}"/>
    <cellStyle name="Note 2 9 3 2" xfId="23710" xr:uid="{00000000-0005-0000-0000-000067570000}"/>
    <cellStyle name="Note 2 9 3 3" xfId="32027" xr:uid="{00000000-0005-0000-0000-000068570000}"/>
    <cellStyle name="Note 2 9 3 4" xfId="18863" xr:uid="{00000000-0005-0000-0000-000069570000}"/>
    <cellStyle name="Note 2 9 4" xfId="4840" xr:uid="{00000000-0005-0000-0000-00006A570000}"/>
    <cellStyle name="Note 2 9 4 2" xfId="23300" xr:uid="{00000000-0005-0000-0000-00006B570000}"/>
    <cellStyle name="Note 2 9 4 3" xfId="31823" xr:uid="{00000000-0005-0000-0000-00006C570000}"/>
    <cellStyle name="Note 2 9 4 4" xfId="18454" xr:uid="{00000000-0005-0000-0000-00006D570000}"/>
    <cellStyle name="Note 2 9 5" xfId="6362" xr:uid="{00000000-0005-0000-0000-00006E570000}"/>
    <cellStyle name="Note 2 9 5 2" xfId="24802" xr:uid="{00000000-0005-0000-0000-00006F570000}"/>
    <cellStyle name="Note 2 9 5 3" xfId="32641" xr:uid="{00000000-0005-0000-0000-000070570000}"/>
    <cellStyle name="Note 2 9 5 4" xfId="19911" xr:uid="{00000000-0005-0000-0000-000071570000}"/>
    <cellStyle name="Note 2 9 6" xfId="7313" xr:uid="{00000000-0005-0000-0000-000072570000}"/>
    <cellStyle name="Note 2 9 6 2" xfId="25744" xr:uid="{00000000-0005-0000-0000-000073570000}"/>
    <cellStyle name="Note 2 9 6 3" xfId="32800" xr:uid="{00000000-0005-0000-0000-000074570000}"/>
    <cellStyle name="Note 2 9 6 4" xfId="20669" xr:uid="{00000000-0005-0000-0000-000075570000}"/>
    <cellStyle name="Note 2 9 7" xfId="6428" xr:uid="{00000000-0005-0000-0000-000076570000}"/>
    <cellStyle name="Note 2 9 7 2" xfId="24868" xr:uid="{00000000-0005-0000-0000-000077570000}"/>
    <cellStyle name="Note 2 9 7 3" xfId="32699" xr:uid="{00000000-0005-0000-0000-000078570000}"/>
    <cellStyle name="Note 2 9 7 4" xfId="19977" xr:uid="{00000000-0005-0000-0000-000079570000}"/>
    <cellStyle name="Note 2 9 8" xfId="8413" xr:uid="{00000000-0005-0000-0000-00007A570000}"/>
    <cellStyle name="Note 2 9 8 2" xfId="26836" xr:uid="{00000000-0005-0000-0000-00007B570000}"/>
    <cellStyle name="Note 2 9 8 3" xfId="33045" xr:uid="{00000000-0005-0000-0000-00007C570000}"/>
    <cellStyle name="Note 2 9 8 4" xfId="21704" xr:uid="{00000000-0005-0000-0000-00007D570000}"/>
    <cellStyle name="Note 2 9 9" xfId="3905" xr:uid="{00000000-0005-0000-0000-00007E570000}"/>
    <cellStyle name="Note 2 9 9 2" xfId="22372" xr:uid="{00000000-0005-0000-0000-00007F570000}"/>
    <cellStyle name="Note 2 9 9 3" xfId="31648" xr:uid="{00000000-0005-0000-0000-000080570000}"/>
    <cellStyle name="Note 2 9 9 4" xfId="17587" xr:uid="{00000000-0005-0000-0000-000081570000}"/>
    <cellStyle name="Note 2_PrimaryEnergyPrices_TIMES" xfId="39935" xr:uid="{00000000-0005-0000-0000-00000D0E0000}"/>
    <cellStyle name="Note 20" xfId="39936" xr:uid="{00000000-0005-0000-0000-00000E0E0000}"/>
    <cellStyle name="Note 21" xfId="39937" xr:uid="{00000000-0005-0000-0000-00000F0E0000}"/>
    <cellStyle name="Note 22" xfId="39938" xr:uid="{00000000-0005-0000-0000-0000100E0000}"/>
    <cellStyle name="Note 23" xfId="39939" xr:uid="{00000000-0005-0000-0000-0000110E0000}"/>
    <cellStyle name="Note 24" xfId="39940" xr:uid="{00000000-0005-0000-0000-0000120E0000}"/>
    <cellStyle name="Note 25" xfId="39941" xr:uid="{00000000-0005-0000-0000-0000130E0000}"/>
    <cellStyle name="Note 26" xfId="39942" xr:uid="{00000000-0005-0000-0000-0000140E0000}"/>
    <cellStyle name="Note 27" xfId="39943" xr:uid="{00000000-0005-0000-0000-0000150E0000}"/>
    <cellStyle name="Note 28" xfId="39944" xr:uid="{00000000-0005-0000-0000-0000160E0000}"/>
    <cellStyle name="Note 29" xfId="39945" xr:uid="{00000000-0005-0000-0000-0000170E0000}"/>
    <cellStyle name="Note 3" xfId="2989" xr:uid="{00000000-0005-0000-0000-000082570000}"/>
    <cellStyle name="Note 3 10" xfId="2990" xr:uid="{00000000-0005-0000-0000-000083570000}"/>
    <cellStyle name="Note 3 10 10" xfId="14639" xr:uid="{00000000-0005-0000-0000-000084570000}"/>
    <cellStyle name="Note 3 10 10 2" xfId="16902" xr:uid="{00000000-0005-0000-0000-000085570000}"/>
    <cellStyle name="Note 3 10 11" xfId="15199" xr:uid="{00000000-0005-0000-0000-000086570000}"/>
    <cellStyle name="Note 3 10 11 2" xfId="36607" xr:uid="{00000000-0005-0000-0000-000087570000}"/>
    <cellStyle name="Note 3 10 12" xfId="31322" xr:uid="{00000000-0005-0000-0000-000088570000}"/>
    <cellStyle name="Note 3 10 2" xfId="3499" xr:uid="{00000000-0005-0000-0000-000089570000}"/>
    <cellStyle name="Note 3 10 2 10" xfId="14684" xr:uid="{00000000-0005-0000-0000-00008A570000}"/>
    <cellStyle name="Note 3 10 2 10 2" xfId="36166" xr:uid="{00000000-0005-0000-0000-00008B570000}"/>
    <cellStyle name="Note 3 10 2 11" xfId="31552" xr:uid="{00000000-0005-0000-0000-00008C570000}"/>
    <cellStyle name="Note 3 10 2 2" xfId="5626" xr:uid="{00000000-0005-0000-0000-00008D570000}"/>
    <cellStyle name="Note 3 10 2 2 2" xfId="24079" xr:uid="{00000000-0005-0000-0000-00008E570000}"/>
    <cellStyle name="Note 3 10 2 2 3" xfId="32237" xr:uid="{00000000-0005-0000-0000-00008F570000}"/>
    <cellStyle name="Note 3 10 2 2 4" xfId="19212" xr:uid="{00000000-0005-0000-0000-000090570000}"/>
    <cellStyle name="Note 3 10 2 3" xfId="5598" xr:uid="{00000000-0005-0000-0000-000091570000}"/>
    <cellStyle name="Note 3 10 2 3 2" xfId="24051" xr:uid="{00000000-0005-0000-0000-000092570000}"/>
    <cellStyle name="Note 3 10 2 3 3" xfId="32212" xr:uid="{00000000-0005-0000-0000-000093570000}"/>
    <cellStyle name="Note 3 10 2 3 4" xfId="19185" xr:uid="{00000000-0005-0000-0000-000094570000}"/>
    <cellStyle name="Note 3 10 2 4" xfId="6008" xr:uid="{00000000-0005-0000-0000-000095570000}"/>
    <cellStyle name="Note 3 10 2 4 2" xfId="24449" xr:uid="{00000000-0005-0000-0000-000096570000}"/>
    <cellStyle name="Note 3 10 2 4 3" xfId="32486" xr:uid="{00000000-0005-0000-0000-000097570000}"/>
    <cellStyle name="Note 3 10 2 4 4" xfId="19558" xr:uid="{00000000-0005-0000-0000-000098570000}"/>
    <cellStyle name="Note 3 10 2 5" xfId="7638" xr:uid="{00000000-0005-0000-0000-000099570000}"/>
    <cellStyle name="Note 3 10 2 5 2" xfId="26068" xr:uid="{00000000-0005-0000-0000-00009A570000}"/>
    <cellStyle name="Note 3 10 2 5 3" xfId="32883" xr:uid="{00000000-0005-0000-0000-00009B570000}"/>
    <cellStyle name="Note 3 10 2 5 4" xfId="20993" xr:uid="{00000000-0005-0000-0000-00009C570000}"/>
    <cellStyle name="Note 3 10 2 6" xfId="8012" xr:uid="{00000000-0005-0000-0000-00009D570000}"/>
    <cellStyle name="Note 3 10 2 6 2" xfId="26442" xr:uid="{00000000-0005-0000-0000-00009E570000}"/>
    <cellStyle name="Note 3 10 2 6 3" xfId="32955" xr:uid="{00000000-0005-0000-0000-00009F570000}"/>
    <cellStyle name="Note 3 10 2 6 4" xfId="21366" xr:uid="{00000000-0005-0000-0000-0000A0570000}"/>
    <cellStyle name="Note 3 10 2 7" xfId="8736" xr:uid="{00000000-0005-0000-0000-0000A1570000}"/>
    <cellStyle name="Note 3 10 2 7 2" xfId="27156" xr:uid="{00000000-0005-0000-0000-0000A2570000}"/>
    <cellStyle name="Note 3 10 2 7 3" xfId="33127" xr:uid="{00000000-0005-0000-0000-0000A3570000}"/>
    <cellStyle name="Note 3 10 2 7 4" xfId="22027" xr:uid="{00000000-0005-0000-0000-0000A4570000}"/>
    <cellStyle name="Note 3 10 2 8" xfId="4228" xr:uid="{00000000-0005-0000-0000-0000A5570000}"/>
    <cellStyle name="Note 3 10 2 8 2" xfId="22692" xr:uid="{00000000-0005-0000-0000-0000A6570000}"/>
    <cellStyle name="Note 3 10 2 8 3" xfId="31730" xr:uid="{00000000-0005-0000-0000-0000A7570000}"/>
    <cellStyle name="Note 3 10 2 8 4" xfId="17910" xr:uid="{00000000-0005-0000-0000-0000A8570000}"/>
    <cellStyle name="Note 3 10 2 9" xfId="16381" xr:uid="{00000000-0005-0000-0000-0000A9570000}"/>
    <cellStyle name="Note 3 10 2 9 2" xfId="17239" xr:uid="{00000000-0005-0000-0000-0000AA570000}"/>
    <cellStyle name="Note 3 10 3" xfId="5252" xr:uid="{00000000-0005-0000-0000-0000AB570000}"/>
    <cellStyle name="Note 3 10 3 2" xfId="23712" xr:uid="{00000000-0005-0000-0000-0000AC570000}"/>
    <cellStyle name="Note 3 10 3 3" xfId="32029" xr:uid="{00000000-0005-0000-0000-0000AD570000}"/>
    <cellStyle name="Note 3 10 3 4" xfId="18865" xr:uid="{00000000-0005-0000-0000-0000AE570000}"/>
    <cellStyle name="Note 3 10 4" xfId="4842" xr:uid="{00000000-0005-0000-0000-0000AF570000}"/>
    <cellStyle name="Note 3 10 4 2" xfId="23302" xr:uid="{00000000-0005-0000-0000-0000B0570000}"/>
    <cellStyle name="Note 3 10 4 3" xfId="31825" xr:uid="{00000000-0005-0000-0000-0000B1570000}"/>
    <cellStyle name="Note 3 10 4 4" xfId="18456" xr:uid="{00000000-0005-0000-0000-0000B2570000}"/>
    <cellStyle name="Note 3 10 5" xfId="6360" xr:uid="{00000000-0005-0000-0000-0000B3570000}"/>
    <cellStyle name="Note 3 10 5 2" xfId="24800" xr:uid="{00000000-0005-0000-0000-0000B4570000}"/>
    <cellStyle name="Note 3 10 5 3" xfId="32639" xr:uid="{00000000-0005-0000-0000-0000B5570000}"/>
    <cellStyle name="Note 3 10 5 4" xfId="19909" xr:uid="{00000000-0005-0000-0000-0000B6570000}"/>
    <cellStyle name="Note 3 10 6" xfId="7315" xr:uid="{00000000-0005-0000-0000-0000B7570000}"/>
    <cellStyle name="Note 3 10 6 2" xfId="25746" xr:uid="{00000000-0005-0000-0000-0000B8570000}"/>
    <cellStyle name="Note 3 10 6 3" xfId="32802" xr:uid="{00000000-0005-0000-0000-0000B9570000}"/>
    <cellStyle name="Note 3 10 6 4" xfId="20671" xr:uid="{00000000-0005-0000-0000-0000BA570000}"/>
    <cellStyle name="Note 3 10 7" xfId="6426" xr:uid="{00000000-0005-0000-0000-0000BB570000}"/>
    <cellStyle name="Note 3 10 7 2" xfId="24866" xr:uid="{00000000-0005-0000-0000-0000BC570000}"/>
    <cellStyle name="Note 3 10 7 3" xfId="32697" xr:uid="{00000000-0005-0000-0000-0000BD570000}"/>
    <cellStyle name="Note 3 10 7 4" xfId="19975" xr:uid="{00000000-0005-0000-0000-0000BE570000}"/>
    <cellStyle name="Note 3 10 8" xfId="8415" xr:uid="{00000000-0005-0000-0000-0000BF570000}"/>
    <cellStyle name="Note 3 10 8 2" xfId="26838" xr:uid="{00000000-0005-0000-0000-0000C0570000}"/>
    <cellStyle name="Note 3 10 8 3" xfId="33047" xr:uid="{00000000-0005-0000-0000-0000C1570000}"/>
    <cellStyle name="Note 3 10 8 4" xfId="21706" xr:uid="{00000000-0005-0000-0000-0000C2570000}"/>
    <cellStyle name="Note 3 10 9" xfId="3907" xr:uid="{00000000-0005-0000-0000-0000C3570000}"/>
    <cellStyle name="Note 3 10 9 2" xfId="22374" xr:uid="{00000000-0005-0000-0000-0000C4570000}"/>
    <cellStyle name="Note 3 10 9 3" xfId="31650" xr:uid="{00000000-0005-0000-0000-0000C5570000}"/>
    <cellStyle name="Note 3 10 9 4" xfId="17589" xr:uid="{00000000-0005-0000-0000-0000C6570000}"/>
    <cellStyle name="Note 3 11" xfId="2991" xr:uid="{00000000-0005-0000-0000-0000C7570000}"/>
    <cellStyle name="Note 3 11 10" xfId="16397" xr:uid="{00000000-0005-0000-0000-0000C8570000}"/>
    <cellStyle name="Note 3 11 10 2" xfId="16903" xr:uid="{00000000-0005-0000-0000-0000C9570000}"/>
    <cellStyle name="Note 3 11 11" xfId="14685" xr:uid="{00000000-0005-0000-0000-0000CA570000}"/>
    <cellStyle name="Note 3 11 11 2" xfId="36167" xr:uid="{00000000-0005-0000-0000-0000CB570000}"/>
    <cellStyle name="Note 3 11 12" xfId="31323" xr:uid="{00000000-0005-0000-0000-0000CC570000}"/>
    <cellStyle name="Note 3 11 2" xfId="3500" xr:uid="{00000000-0005-0000-0000-0000CD570000}"/>
    <cellStyle name="Note 3 11 2 10" xfId="14745" xr:uid="{00000000-0005-0000-0000-0000CE570000}"/>
    <cellStyle name="Note 3 11 2 10 2" xfId="36222" xr:uid="{00000000-0005-0000-0000-0000CF570000}"/>
    <cellStyle name="Note 3 11 2 11" xfId="31553" xr:uid="{00000000-0005-0000-0000-0000D0570000}"/>
    <cellStyle name="Note 3 11 2 2" xfId="5627" xr:uid="{00000000-0005-0000-0000-0000D1570000}"/>
    <cellStyle name="Note 3 11 2 2 2" xfId="24080" xr:uid="{00000000-0005-0000-0000-0000D2570000}"/>
    <cellStyle name="Note 3 11 2 2 3" xfId="32238" xr:uid="{00000000-0005-0000-0000-0000D3570000}"/>
    <cellStyle name="Note 3 11 2 2 4" xfId="19213" xr:uid="{00000000-0005-0000-0000-0000D4570000}"/>
    <cellStyle name="Note 3 11 2 3" xfId="5120" xr:uid="{00000000-0005-0000-0000-0000D5570000}"/>
    <cellStyle name="Note 3 11 2 3 2" xfId="23580" xr:uid="{00000000-0005-0000-0000-0000D6570000}"/>
    <cellStyle name="Note 3 11 2 3 3" xfId="31961" xr:uid="{00000000-0005-0000-0000-0000D7570000}"/>
    <cellStyle name="Note 3 11 2 3 4" xfId="18734" xr:uid="{00000000-0005-0000-0000-0000D8570000}"/>
    <cellStyle name="Note 3 11 2 4" xfId="6007" xr:uid="{00000000-0005-0000-0000-0000D9570000}"/>
    <cellStyle name="Note 3 11 2 4 2" xfId="24448" xr:uid="{00000000-0005-0000-0000-0000DA570000}"/>
    <cellStyle name="Note 3 11 2 4 3" xfId="32485" xr:uid="{00000000-0005-0000-0000-0000DB570000}"/>
    <cellStyle name="Note 3 11 2 4 4" xfId="19557" xr:uid="{00000000-0005-0000-0000-0000DC570000}"/>
    <cellStyle name="Note 3 11 2 5" xfId="7639" xr:uid="{00000000-0005-0000-0000-0000DD570000}"/>
    <cellStyle name="Note 3 11 2 5 2" xfId="26069" xr:uid="{00000000-0005-0000-0000-0000DE570000}"/>
    <cellStyle name="Note 3 11 2 5 3" xfId="32884" xr:uid="{00000000-0005-0000-0000-0000DF570000}"/>
    <cellStyle name="Note 3 11 2 5 4" xfId="20994" xr:uid="{00000000-0005-0000-0000-0000E0570000}"/>
    <cellStyle name="Note 3 11 2 6" xfId="8013" xr:uid="{00000000-0005-0000-0000-0000E1570000}"/>
    <cellStyle name="Note 3 11 2 6 2" xfId="26443" xr:uid="{00000000-0005-0000-0000-0000E2570000}"/>
    <cellStyle name="Note 3 11 2 6 3" xfId="32956" xr:uid="{00000000-0005-0000-0000-0000E3570000}"/>
    <cellStyle name="Note 3 11 2 6 4" xfId="21367" xr:uid="{00000000-0005-0000-0000-0000E4570000}"/>
    <cellStyle name="Note 3 11 2 7" xfId="8737" xr:uid="{00000000-0005-0000-0000-0000E5570000}"/>
    <cellStyle name="Note 3 11 2 7 2" xfId="27157" xr:uid="{00000000-0005-0000-0000-0000E6570000}"/>
    <cellStyle name="Note 3 11 2 7 3" xfId="33128" xr:uid="{00000000-0005-0000-0000-0000E7570000}"/>
    <cellStyle name="Note 3 11 2 7 4" xfId="22028" xr:uid="{00000000-0005-0000-0000-0000E8570000}"/>
    <cellStyle name="Note 3 11 2 8" xfId="4229" xr:uid="{00000000-0005-0000-0000-0000E9570000}"/>
    <cellStyle name="Note 3 11 2 8 2" xfId="22693" xr:uid="{00000000-0005-0000-0000-0000EA570000}"/>
    <cellStyle name="Note 3 11 2 8 3" xfId="31731" xr:uid="{00000000-0005-0000-0000-0000EB570000}"/>
    <cellStyle name="Note 3 11 2 8 4" xfId="17911" xr:uid="{00000000-0005-0000-0000-0000EC570000}"/>
    <cellStyle name="Note 3 11 2 9" xfId="15033" xr:uid="{00000000-0005-0000-0000-0000ED570000}"/>
    <cellStyle name="Note 3 11 2 9 2" xfId="17240" xr:uid="{00000000-0005-0000-0000-0000EE570000}"/>
    <cellStyle name="Note 3 11 3" xfId="5253" xr:uid="{00000000-0005-0000-0000-0000EF570000}"/>
    <cellStyle name="Note 3 11 3 2" xfId="23713" xr:uid="{00000000-0005-0000-0000-0000F0570000}"/>
    <cellStyle name="Note 3 11 3 3" xfId="32030" xr:uid="{00000000-0005-0000-0000-0000F1570000}"/>
    <cellStyle name="Note 3 11 3 4" xfId="18866" xr:uid="{00000000-0005-0000-0000-0000F2570000}"/>
    <cellStyle name="Note 3 11 4" xfId="4843" xr:uid="{00000000-0005-0000-0000-0000F3570000}"/>
    <cellStyle name="Note 3 11 4 2" xfId="23303" xr:uid="{00000000-0005-0000-0000-0000F4570000}"/>
    <cellStyle name="Note 3 11 4 3" xfId="31826" xr:uid="{00000000-0005-0000-0000-0000F5570000}"/>
    <cellStyle name="Note 3 11 4 4" xfId="18457" xr:uid="{00000000-0005-0000-0000-0000F6570000}"/>
    <cellStyle name="Note 3 11 5" xfId="6359" xr:uid="{00000000-0005-0000-0000-0000F7570000}"/>
    <cellStyle name="Note 3 11 5 2" xfId="24799" xr:uid="{00000000-0005-0000-0000-0000F8570000}"/>
    <cellStyle name="Note 3 11 5 3" xfId="32638" xr:uid="{00000000-0005-0000-0000-0000F9570000}"/>
    <cellStyle name="Note 3 11 5 4" xfId="19908" xr:uid="{00000000-0005-0000-0000-0000FA570000}"/>
    <cellStyle name="Note 3 11 6" xfId="7316" xr:uid="{00000000-0005-0000-0000-0000FB570000}"/>
    <cellStyle name="Note 3 11 6 2" xfId="25747" xr:uid="{00000000-0005-0000-0000-0000FC570000}"/>
    <cellStyle name="Note 3 11 6 3" xfId="32803" xr:uid="{00000000-0005-0000-0000-0000FD570000}"/>
    <cellStyle name="Note 3 11 6 4" xfId="20672" xr:uid="{00000000-0005-0000-0000-0000FE570000}"/>
    <cellStyle name="Note 3 11 7" xfId="6425" xr:uid="{00000000-0005-0000-0000-0000FF570000}"/>
    <cellStyle name="Note 3 11 7 2" xfId="24865" xr:uid="{00000000-0005-0000-0000-000000580000}"/>
    <cellStyle name="Note 3 11 7 3" xfId="32696" xr:uid="{00000000-0005-0000-0000-000001580000}"/>
    <cellStyle name="Note 3 11 7 4" xfId="19974" xr:uid="{00000000-0005-0000-0000-000002580000}"/>
    <cellStyle name="Note 3 11 8" xfId="8416" xr:uid="{00000000-0005-0000-0000-000003580000}"/>
    <cellStyle name="Note 3 11 8 2" xfId="26839" xr:uid="{00000000-0005-0000-0000-000004580000}"/>
    <cellStyle name="Note 3 11 8 3" xfId="33048" xr:uid="{00000000-0005-0000-0000-000005580000}"/>
    <cellStyle name="Note 3 11 8 4" xfId="21707" xr:uid="{00000000-0005-0000-0000-000006580000}"/>
    <cellStyle name="Note 3 11 9" xfId="3908" xr:uid="{00000000-0005-0000-0000-000007580000}"/>
    <cellStyle name="Note 3 11 9 2" xfId="22375" xr:uid="{00000000-0005-0000-0000-000008580000}"/>
    <cellStyle name="Note 3 11 9 3" xfId="31651" xr:uid="{00000000-0005-0000-0000-000009580000}"/>
    <cellStyle name="Note 3 11 9 4" xfId="17590" xr:uid="{00000000-0005-0000-0000-00000A580000}"/>
    <cellStyle name="Note 3 12" xfId="2992" xr:uid="{00000000-0005-0000-0000-00000B580000}"/>
    <cellStyle name="Note 3 12 10" xfId="16039" xr:uid="{00000000-0005-0000-0000-00000C580000}"/>
    <cellStyle name="Note 3 12 10 2" xfId="16904" xr:uid="{00000000-0005-0000-0000-00000D580000}"/>
    <cellStyle name="Note 3 12 11" xfId="15592" xr:uid="{00000000-0005-0000-0000-00000E580000}"/>
    <cellStyle name="Note 3 12 11 2" xfId="36969" xr:uid="{00000000-0005-0000-0000-00000F580000}"/>
    <cellStyle name="Note 3 12 12" xfId="31324" xr:uid="{00000000-0005-0000-0000-000010580000}"/>
    <cellStyle name="Note 3 12 2" xfId="3501" xr:uid="{00000000-0005-0000-0000-000011580000}"/>
    <cellStyle name="Note 3 12 2 10" xfId="15196" xr:uid="{00000000-0005-0000-0000-000012580000}"/>
    <cellStyle name="Note 3 12 2 10 2" xfId="36604" xr:uid="{00000000-0005-0000-0000-000013580000}"/>
    <cellStyle name="Note 3 12 2 11" xfId="31554" xr:uid="{00000000-0005-0000-0000-000014580000}"/>
    <cellStyle name="Note 3 12 2 2" xfId="5628" xr:uid="{00000000-0005-0000-0000-000015580000}"/>
    <cellStyle name="Note 3 12 2 2 2" xfId="24081" xr:uid="{00000000-0005-0000-0000-000016580000}"/>
    <cellStyle name="Note 3 12 2 2 3" xfId="32239" xr:uid="{00000000-0005-0000-0000-000017580000}"/>
    <cellStyle name="Note 3 12 2 2 4" xfId="19214" xr:uid="{00000000-0005-0000-0000-000018580000}"/>
    <cellStyle name="Note 3 12 2 3" xfId="5121" xr:uid="{00000000-0005-0000-0000-000019580000}"/>
    <cellStyle name="Note 3 12 2 3 2" xfId="23581" xr:uid="{00000000-0005-0000-0000-00001A580000}"/>
    <cellStyle name="Note 3 12 2 3 3" xfId="31962" xr:uid="{00000000-0005-0000-0000-00001B580000}"/>
    <cellStyle name="Note 3 12 2 3 4" xfId="18735" xr:uid="{00000000-0005-0000-0000-00001C580000}"/>
    <cellStyle name="Note 3 12 2 4" xfId="6006" xr:uid="{00000000-0005-0000-0000-00001D580000}"/>
    <cellStyle name="Note 3 12 2 4 2" xfId="24447" xr:uid="{00000000-0005-0000-0000-00001E580000}"/>
    <cellStyle name="Note 3 12 2 4 3" xfId="32484" xr:uid="{00000000-0005-0000-0000-00001F580000}"/>
    <cellStyle name="Note 3 12 2 4 4" xfId="19556" xr:uid="{00000000-0005-0000-0000-000020580000}"/>
    <cellStyle name="Note 3 12 2 5" xfId="7640" xr:uid="{00000000-0005-0000-0000-000021580000}"/>
    <cellStyle name="Note 3 12 2 5 2" xfId="26070" xr:uid="{00000000-0005-0000-0000-000022580000}"/>
    <cellStyle name="Note 3 12 2 5 3" xfId="32885" xr:uid="{00000000-0005-0000-0000-000023580000}"/>
    <cellStyle name="Note 3 12 2 5 4" xfId="20995" xr:uid="{00000000-0005-0000-0000-000024580000}"/>
    <cellStyle name="Note 3 12 2 6" xfId="8014" xr:uid="{00000000-0005-0000-0000-000025580000}"/>
    <cellStyle name="Note 3 12 2 6 2" xfId="26444" xr:uid="{00000000-0005-0000-0000-000026580000}"/>
    <cellStyle name="Note 3 12 2 6 3" xfId="32957" xr:uid="{00000000-0005-0000-0000-000027580000}"/>
    <cellStyle name="Note 3 12 2 6 4" xfId="21368" xr:uid="{00000000-0005-0000-0000-000028580000}"/>
    <cellStyle name="Note 3 12 2 7" xfId="8738" xr:uid="{00000000-0005-0000-0000-000029580000}"/>
    <cellStyle name="Note 3 12 2 7 2" xfId="27158" xr:uid="{00000000-0005-0000-0000-00002A580000}"/>
    <cellStyle name="Note 3 12 2 7 3" xfId="33129" xr:uid="{00000000-0005-0000-0000-00002B580000}"/>
    <cellStyle name="Note 3 12 2 7 4" xfId="22029" xr:uid="{00000000-0005-0000-0000-00002C580000}"/>
    <cellStyle name="Note 3 12 2 8" xfId="4230" xr:uid="{00000000-0005-0000-0000-00002D580000}"/>
    <cellStyle name="Note 3 12 2 8 2" xfId="22694" xr:uid="{00000000-0005-0000-0000-00002E580000}"/>
    <cellStyle name="Note 3 12 2 8 3" xfId="31732" xr:uid="{00000000-0005-0000-0000-00002F580000}"/>
    <cellStyle name="Note 3 12 2 8 4" xfId="17912" xr:uid="{00000000-0005-0000-0000-000030580000}"/>
    <cellStyle name="Note 3 12 2 9" xfId="16494" xr:uid="{00000000-0005-0000-0000-000031580000}"/>
    <cellStyle name="Note 3 12 2 9 2" xfId="17241" xr:uid="{00000000-0005-0000-0000-000032580000}"/>
    <cellStyle name="Note 3 12 3" xfId="5254" xr:uid="{00000000-0005-0000-0000-000033580000}"/>
    <cellStyle name="Note 3 12 3 2" xfId="23714" xr:uid="{00000000-0005-0000-0000-000034580000}"/>
    <cellStyle name="Note 3 12 3 3" xfId="32031" xr:uid="{00000000-0005-0000-0000-000035580000}"/>
    <cellStyle name="Note 3 12 3 4" xfId="18867" xr:uid="{00000000-0005-0000-0000-000036580000}"/>
    <cellStyle name="Note 3 12 4" xfId="4844" xr:uid="{00000000-0005-0000-0000-000037580000}"/>
    <cellStyle name="Note 3 12 4 2" xfId="23304" xr:uid="{00000000-0005-0000-0000-000038580000}"/>
    <cellStyle name="Note 3 12 4 3" xfId="31827" xr:uid="{00000000-0005-0000-0000-000039580000}"/>
    <cellStyle name="Note 3 12 4 4" xfId="18458" xr:uid="{00000000-0005-0000-0000-00003A580000}"/>
    <cellStyle name="Note 3 12 5" xfId="6358" xr:uid="{00000000-0005-0000-0000-00003B580000}"/>
    <cellStyle name="Note 3 12 5 2" xfId="24798" xr:uid="{00000000-0005-0000-0000-00003C580000}"/>
    <cellStyle name="Note 3 12 5 3" xfId="32637" xr:uid="{00000000-0005-0000-0000-00003D580000}"/>
    <cellStyle name="Note 3 12 5 4" xfId="19907" xr:uid="{00000000-0005-0000-0000-00003E580000}"/>
    <cellStyle name="Note 3 12 6" xfId="7317" xr:uid="{00000000-0005-0000-0000-00003F580000}"/>
    <cellStyle name="Note 3 12 6 2" xfId="25748" xr:uid="{00000000-0005-0000-0000-000040580000}"/>
    <cellStyle name="Note 3 12 6 3" xfId="32804" xr:uid="{00000000-0005-0000-0000-000041580000}"/>
    <cellStyle name="Note 3 12 6 4" xfId="20673" xr:uid="{00000000-0005-0000-0000-000042580000}"/>
    <cellStyle name="Note 3 12 7" xfId="6424" xr:uid="{00000000-0005-0000-0000-000043580000}"/>
    <cellStyle name="Note 3 12 7 2" xfId="24864" xr:uid="{00000000-0005-0000-0000-000044580000}"/>
    <cellStyle name="Note 3 12 7 3" xfId="32695" xr:uid="{00000000-0005-0000-0000-000045580000}"/>
    <cellStyle name="Note 3 12 7 4" xfId="19973" xr:uid="{00000000-0005-0000-0000-000046580000}"/>
    <cellStyle name="Note 3 12 8" xfId="8417" xr:uid="{00000000-0005-0000-0000-000047580000}"/>
    <cellStyle name="Note 3 12 8 2" xfId="26840" xr:uid="{00000000-0005-0000-0000-000048580000}"/>
    <cellStyle name="Note 3 12 8 3" xfId="33049" xr:uid="{00000000-0005-0000-0000-000049580000}"/>
    <cellStyle name="Note 3 12 8 4" xfId="21708" xr:uid="{00000000-0005-0000-0000-00004A580000}"/>
    <cellStyle name="Note 3 12 9" xfId="3909" xr:uid="{00000000-0005-0000-0000-00004B580000}"/>
    <cellStyle name="Note 3 12 9 2" xfId="22376" xr:uid="{00000000-0005-0000-0000-00004C580000}"/>
    <cellStyle name="Note 3 12 9 3" xfId="31652" xr:uid="{00000000-0005-0000-0000-00004D580000}"/>
    <cellStyle name="Note 3 12 9 4" xfId="17591" xr:uid="{00000000-0005-0000-0000-00004E580000}"/>
    <cellStyle name="Note 3 13" xfId="2993" xr:uid="{00000000-0005-0000-0000-00004F580000}"/>
    <cellStyle name="Note 3 13 10" xfId="16396" xr:uid="{00000000-0005-0000-0000-000050580000}"/>
    <cellStyle name="Note 3 13 10 2" xfId="16905" xr:uid="{00000000-0005-0000-0000-000051580000}"/>
    <cellStyle name="Note 3 13 11" xfId="14437" xr:uid="{00000000-0005-0000-0000-000052580000}"/>
    <cellStyle name="Note 3 13 11 2" xfId="35965" xr:uid="{00000000-0005-0000-0000-000053580000}"/>
    <cellStyle name="Note 3 13 12" xfId="31325" xr:uid="{00000000-0005-0000-0000-000054580000}"/>
    <cellStyle name="Note 3 13 2" xfId="3502" xr:uid="{00000000-0005-0000-0000-000055580000}"/>
    <cellStyle name="Note 3 13 2 10" xfId="16182" xr:uid="{00000000-0005-0000-0000-000056580000}"/>
    <cellStyle name="Note 3 13 2 10 2" xfId="37498" xr:uid="{00000000-0005-0000-0000-000057580000}"/>
    <cellStyle name="Note 3 13 2 11" xfId="31555" xr:uid="{00000000-0005-0000-0000-000058580000}"/>
    <cellStyle name="Note 3 13 2 2" xfId="5629" xr:uid="{00000000-0005-0000-0000-000059580000}"/>
    <cellStyle name="Note 3 13 2 2 2" xfId="24082" xr:uid="{00000000-0005-0000-0000-00005A580000}"/>
    <cellStyle name="Note 3 13 2 2 3" xfId="32240" xr:uid="{00000000-0005-0000-0000-00005B580000}"/>
    <cellStyle name="Note 3 13 2 2 4" xfId="19215" xr:uid="{00000000-0005-0000-0000-00005C580000}"/>
    <cellStyle name="Note 3 13 2 3" xfId="5602" xr:uid="{00000000-0005-0000-0000-00005D580000}"/>
    <cellStyle name="Note 3 13 2 3 2" xfId="24055" xr:uid="{00000000-0005-0000-0000-00005E580000}"/>
    <cellStyle name="Note 3 13 2 3 3" xfId="32216" xr:uid="{00000000-0005-0000-0000-00005F580000}"/>
    <cellStyle name="Note 3 13 2 3 4" xfId="19189" xr:uid="{00000000-0005-0000-0000-000060580000}"/>
    <cellStyle name="Note 3 13 2 4" xfId="6005" xr:uid="{00000000-0005-0000-0000-000061580000}"/>
    <cellStyle name="Note 3 13 2 4 2" xfId="24446" xr:uid="{00000000-0005-0000-0000-000062580000}"/>
    <cellStyle name="Note 3 13 2 4 3" xfId="32483" xr:uid="{00000000-0005-0000-0000-000063580000}"/>
    <cellStyle name="Note 3 13 2 4 4" xfId="19555" xr:uid="{00000000-0005-0000-0000-000064580000}"/>
    <cellStyle name="Note 3 13 2 5" xfId="7641" xr:uid="{00000000-0005-0000-0000-000065580000}"/>
    <cellStyle name="Note 3 13 2 5 2" xfId="26071" xr:uid="{00000000-0005-0000-0000-000066580000}"/>
    <cellStyle name="Note 3 13 2 5 3" xfId="32886" xr:uid="{00000000-0005-0000-0000-000067580000}"/>
    <cellStyle name="Note 3 13 2 5 4" xfId="20996" xr:uid="{00000000-0005-0000-0000-000068580000}"/>
    <cellStyle name="Note 3 13 2 6" xfId="8015" xr:uid="{00000000-0005-0000-0000-000069580000}"/>
    <cellStyle name="Note 3 13 2 6 2" xfId="26445" xr:uid="{00000000-0005-0000-0000-00006A580000}"/>
    <cellStyle name="Note 3 13 2 6 3" xfId="32958" xr:uid="{00000000-0005-0000-0000-00006B580000}"/>
    <cellStyle name="Note 3 13 2 6 4" xfId="21369" xr:uid="{00000000-0005-0000-0000-00006C580000}"/>
    <cellStyle name="Note 3 13 2 7" xfId="8739" xr:uid="{00000000-0005-0000-0000-00006D580000}"/>
    <cellStyle name="Note 3 13 2 7 2" xfId="27159" xr:uid="{00000000-0005-0000-0000-00006E580000}"/>
    <cellStyle name="Note 3 13 2 7 3" xfId="33130" xr:uid="{00000000-0005-0000-0000-00006F580000}"/>
    <cellStyle name="Note 3 13 2 7 4" xfId="22030" xr:uid="{00000000-0005-0000-0000-000070580000}"/>
    <cellStyle name="Note 3 13 2 8" xfId="4231" xr:uid="{00000000-0005-0000-0000-000071580000}"/>
    <cellStyle name="Note 3 13 2 8 2" xfId="22695" xr:uid="{00000000-0005-0000-0000-000072580000}"/>
    <cellStyle name="Note 3 13 2 8 3" xfId="31733" xr:uid="{00000000-0005-0000-0000-000073580000}"/>
    <cellStyle name="Note 3 13 2 8 4" xfId="17913" xr:uid="{00000000-0005-0000-0000-000074580000}"/>
    <cellStyle name="Note 3 13 2 9" xfId="14389" xr:uid="{00000000-0005-0000-0000-000075580000}"/>
    <cellStyle name="Note 3 13 2 9 2" xfId="17242" xr:uid="{00000000-0005-0000-0000-000076580000}"/>
    <cellStyle name="Note 3 13 3" xfId="5255" xr:uid="{00000000-0005-0000-0000-000077580000}"/>
    <cellStyle name="Note 3 13 3 2" xfId="23715" xr:uid="{00000000-0005-0000-0000-000078580000}"/>
    <cellStyle name="Note 3 13 3 3" xfId="32032" xr:uid="{00000000-0005-0000-0000-000079580000}"/>
    <cellStyle name="Note 3 13 3 4" xfId="18868" xr:uid="{00000000-0005-0000-0000-00007A580000}"/>
    <cellStyle name="Note 3 13 4" xfId="4845" xr:uid="{00000000-0005-0000-0000-00007B580000}"/>
    <cellStyle name="Note 3 13 4 2" xfId="23305" xr:uid="{00000000-0005-0000-0000-00007C580000}"/>
    <cellStyle name="Note 3 13 4 3" xfId="31828" xr:uid="{00000000-0005-0000-0000-00007D580000}"/>
    <cellStyle name="Note 3 13 4 4" xfId="18459" xr:uid="{00000000-0005-0000-0000-00007E580000}"/>
    <cellStyle name="Note 3 13 5" xfId="6357" xr:uid="{00000000-0005-0000-0000-00007F580000}"/>
    <cellStyle name="Note 3 13 5 2" xfId="24797" xr:uid="{00000000-0005-0000-0000-000080580000}"/>
    <cellStyle name="Note 3 13 5 3" xfId="32636" xr:uid="{00000000-0005-0000-0000-000081580000}"/>
    <cellStyle name="Note 3 13 5 4" xfId="19906" xr:uid="{00000000-0005-0000-0000-000082580000}"/>
    <cellStyle name="Note 3 13 6" xfId="7318" xr:uid="{00000000-0005-0000-0000-000083580000}"/>
    <cellStyle name="Note 3 13 6 2" xfId="25749" xr:uid="{00000000-0005-0000-0000-000084580000}"/>
    <cellStyle name="Note 3 13 6 3" xfId="32805" xr:uid="{00000000-0005-0000-0000-000085580000}"/>
    <cellStyle name="Note 3 13 6 4" xfId="20674" xr:uid="{00000000-0005-0000-0000-000086580000}"/>
    <cellStyle name="Note 3 13 7" xfId="6423" xr:uid="{00000000-0005-0000-0000-000087580000}"/>
    <cellStyle name="Note 3 13 7 2" xfId="24863" xr:uid="{00000000-0005-0000-0000-000088580000}"/>
    <cellStyle name="Note 3 13 7 3" xfId="32694" xr:uid="{00000000-0005-0000-0000-000089580000}"/>
    <cellStyle name="Note 3 13 7 4" xfId="19972" xr:uid="{00000000-0005-0000-0000-00008A580000}"/>
    <cellStyle name="Note 3 13 8" xfId="8418" xr:uid="{00000000-0005-0000-0000-00008B580000}"/>
    <cellStyle name="Note 3 13 8 2" xfId="26841" xr:uid="{00000000-0005-0000-0000-00008C580000}"/>
    <cellStyle name="Note 3 13 8 3" xfId="33050" xr:uid="{00000000-0005-0000-0000-00008D580000}"/>
    <cellStyle name="Note 3 13 8 4" xfId="21709" xr:uid="{00000000-0005-0000-0000-00008E580000}"/>
    <cellStyle name="Note 3 13 9" xfId="3910" xr:uid="{00000000-0005-0000-0000-00008F580000}"/>
    <cellStyle name="Note 3 13 9 2" xfId="22377" xr:uid="{00000000-0005-0000-0000-000090580000}"/>
    <cellStyle name="Note 3 13 9 3" xfId="31653" xr:uid="{00000000-0005-0000-0000-000091580000}"/>
    <cellStyle name="Note 3 13 9 4" xfId="17592" xr:uid="{00000000-0005-0000-0000-000092580000}"/>
    <cellStyle name="Note 3 14" xfId="3498" xr:uid="{00000000-0005-0000-0000-000093580000}"/>
    <cellStyle name="Note 3 14 10" xfId="14782" xr:uid="{00000000-0005-0000-0000-000094580000}"/>
    <cellStyle name="Note 3 14 10 2" xfId="36239" xr:uid="{00000000-0005-0000-0000-000095580000}"/>
    <cellStyle name="Note 3 14 11" xfId="31551" xr:uid="{00000000-0005-0000-0000-000096580000}"/>
    <cellStyle name="Note 3 14 2" xfId="5625" xr:uid="{00000000-0005-0000-0000-000097580000}"/>
    <cellStyle name="Note 3 14 2 2" xfId="24078" xr:uid="{00000000-0005-0000-0000-000098580000}"/>
    <cellStyle name="Note 3 14 2 3" xfId="32236" xr:uid="{00000000-0005-0000-0000-000099580000}"/>
    <cellStyle name="Note 3 14 2 4" xfId="19211" xr:uid="{00000000-0005-0000-0000-00009A580000}"/>
    <cellStyle name="Note 3 14 3" xfId="5601" xr:uid="{00000000-0005-0000-0000-00009B580000}"/>
    <cellStyle name="Note 3 14 3 2" xfId="24054" xr:uid="{00000000-0005-0000-0000-00009C580000}"/>
    <cellStyle name="Note 3 14 3 3" xfId="32215" xr:uid="{00000000-0005-0000-0000-00009D580000}"/>
    <cellStyle name="Note 3 14 3 4" xfId="19188" xr:uid="{00000000-0005-0000-0000-00009E580000}"/>
    <cellStyle name="Note 3 14 4" xfId="6009" xr:uid="{00000000-0005-0000-0000-00009F580000}"/>
    <cellStyle name="Note 3 14 4 2" xfId="24450" xr:uid="{00000000-0005-0000-0000-0000A0580000}"/>
    <cellStyle name="Note 3 14 4 3" xfId="32487" xr:uid="{00000000-0005-0000-0000-0000A1580000}"/>
    <cellStyle name="Note 3 14 4 4" xfId="19559" xr:uid="{00000000-0005-0000-0000-0000A2580000}"/>
    <cellStyle name="Note 3 14 5" xfId="7637" xr:uid="{00000000-0005-0000-0000-0000A3580000}"/>
    <cellStyle name="Note 3 14 5 2" xfId="26067" xr:uid="{00000000-0005-0000-0000-0000A4580000}"/>
    <cellStyle name="Note 3 14 5 3" xfId="32882" xr:uid="{00000000-0005-0000-0000-0000A5580000}"/>
    <cellStyle name="Note 3 14 5 4" xfId="20992" xr:uid="{00000000-0005-0000-0000-0000A6580000}"/>
    <cellStyle name="Note 3 14 6" xfId="8011" xr:uid="{00000000-0005-0000-0000-0000A7580000}"/>
    <cellStyle name="Note 3 14 6 2" xfId="26441" xr:uid="{00000000-0005-0000-0000-0000A8580000}"/>
    <cellStyle name="Note 3 14 6 3" xfId="32954" xr:uid="{00000000-0005-0000-0000-0000A9580000}"/>
    <cellStyle name="Note 3 14 6 4" xfId="21365" xr:uid="{00000000-0005-0000-0000-0000AA580000}"/>
    <cellStyle name="Note 3 14 7" xfId="8735" xr:uid="{00000000-0005-0000-0000-0000AB580000}"/>
    <cellStyle name="Note 3 14 7 2" xfId="27155" xr:uid="{00000000-0005-0000-0000-0000AC580000}"/>
    <cellStyle name="Note 3 14 7 3" xfId="33126" xr:uid="{00000000-0005-0000-0000-0000AD580000}"/>
    <cellStyle name="Note 3 14 7 4" xfId="22026" xr:uid="{00000000-0005-0000-0000-0000AE580000}"/>
    <cellStyle name="Note 3 14 8" xfId="4227" xr:uid="{00000000-0005-0000-0000-0000AF580000}"/>
    <cellStyle name="Note 3 14 8 2" xfId="22691" xr:uid="{00000000-0005-0000-0000-0000B0580000}"/>
    <cellStyle name="Note 3 14 8 3" xfId="31729" xr:uid="{00000000-0005-0000-0000-0000B1580000}"/>
    <cellStyle name="Note 3 14 8 4" xfId="17909" xr:uid="{00000000-0005-0000-0000-0000B2580000}"/>
    <cellStyle name="Note 3 14 9" xfId="15695" xr:uid="{00000000-0005-0000-0000-0000B3580000}"/>
    <cellStyle name="Note 3 14 9 2" xfId="17238" xr:uid="{00000000-0005-0000-0000-0000B4580000}"/>
    <cellStyle name="Note 3 15" xfId="5251" xr:uid="{00000000-0005-0000-0000-0000B5580000}"/>
    <cellStyle name="Note 3 15 2" xfId="23711" xr:uid="{00000000-0005-0000-0000-0000B6580000}"/>
    <cellStyle name="Note 3 15 3" xfId="32028" xr:uid="{00000000-0005-0000-0000-0000B7580000}"/>
    <cellStyle name="Note 3 15 4" xfId="18864" xr:uid="{00000000-0005-0000-0000-0000B8580000}"/>
    <cellStyle name="Note 3 16" xfId="4841" xr:uid="{00000000-0005-0000-0000-0000B9580000}"/>
    <cellStyle name="Note 3 16 2" xfId="23301" xr:uid="{00000000-0005-0000-0000-0000BA580000}"/>
    <cellStyle name="Note 3 16 3" xfId="31824" xr:uid="{00000000-0005-0000-0000-0000BB580000}"/>
    <cellStyle name="Note 3 16 4" xfId="18455" xr:uid="{00000000-0005-0000-0000-0000BC580000}"/>
    <cellStyle name="Note 3 17" xfId="6361" xr:uid="{00000000-0005-0000-0000-0000BD580000}"/>
    <cellStyle name="Note 3 17 2" xfId="24801" xr:uid="{00000000-0005-0000-0000-0000BE580000}"/>
    <cellStyle name="Note 3 17 3" xfId="32640" xr:uid="{00000000-0005-0000-0000-0000BF580000}"/>
    <cellStyle name="Note 3 17 4" xfId="19910" xr:uid="{00000000-0005-0000-0000-0000C0580000}"/>
    <cellStyle name="Note 3 18" xfId="7314" xr:uid="{00000000-0005-0000-0000-0000C1580000}"/>
    <cellStyle name="Note 3 18 2" xfId="25745" xr:uid="{00000000-0005-0000-0000-0000C2580000}"/>
    <cellStyle name="Note 3 18 3" xfId="32801" xr:uid="{00000000-0005-0000-0000-0000C3580000}"/>
    <cellStyle name="Note 3 18 4" xfId="20670" xr:uid="{00000000-0005-0000-0000-0000C4580000}"/>
    <cellStyle name="Note 3 19" xfId="6427" xr:uid="{00000000-0005-0000-0000-0000C5580000}"/>
    <cellStyle name="Note 3 19 2" xfId="24867" xr:uid="{00000000-0005-0000-0000-0000C6580000}"/>
    <cellStyle name="Note 3 19 3" xfId="32698" xr:uid="{00000000-0005-0000-0000-0000C7580000}"/>
    <cellStyle name="Note 3 19 4" xfId="19976" xr:uid="{00000000-0005-0000-0000-0000C8580000}"/>
    <cellStyle name="Note 3 2" xfId="2994" xr:uid="{00000000-0005-0000-0000-0000C9580000}"/>
    <cellStyle name="Note 3 2 10" xfId="15046" xr:uid="{00000000-0005-0000-0000-0000CA580000}"/>
    <cellStyle name="Note 3 2 10 2" xfId="16906" xr:uid="{00000000-0005-0000-0000-0000CB580000}"/>
    <cellStyle name="Note 3 2 11" xfId="16373" xr:uid="{00000000-0005-0000-0000-0000CC580000}"/>
    <cellStyle name="Note 3 2 11 2" xfId="37675" xr:uid="{00000000-0005-0000-0000-0000CD580000}"/>
    <cellStyle name="Note 3 2 12" xfId="31326" xr:uid="{00000000-0005-0000-0000-0000CE580000}"/>
    <cellStyle name="Note 3 2 13" xfId="39947" xr:uid="{00000000-0005-0000-0000-0000190E0000}"/>
    <cellStyle name="Note 3 2 2" xfId="3503" xr:uid="{00000000-0005-0000-0000-0000CF580000}"/>
    <cellStyle name="Note 3 2 2 10" xfId="14729" xr:uid="{00000000-0005-0000-0000-0000D0580000}"/>
    <cellStyle name="Note 3 2 2 10 2" xfId="36209" xr:uid="{00000000-0005-0000-0000-0000D1580000}"/>
    <cellStyle name="Note 3 2 2 11" xfId="31556" xr:uid="{00000000-0005-0000-0000-0000D2580000}"/>
    <cellStyle name="Note 3 2 2 2" xfId="5630" xr:uid="{00000000-0005-0000-0000-0000D3580000}"/>
    <cellStyle name="Note 3 2 2 2 2" xfId="14099" xr:uid="{00000000-0005-0000-0000-0000D4580000}"/>
    <cellStyle name="Note 3 2 2 2 2 2" xfId="35819" xr:uid="{00000000-0005-0000-0000-0000D5580000}"/>
    <cellStyle name="Note 3 2 2 2 2 3" xfId="24083" xr:uid="{00000000-0005-0000-0000-0000D6580000}"/>
    <cellStyle name="Note 3 2 2 2 3" xfId="16453" xr:uid="{00000000-0005-0000-0000-0000D7580000}"/>
    <cellStyle name="Note 3 2 2 2 3 2" xfId="37722" xr:uid="{00000000-0005-0000-0000-0000D8580000}"/>
    <cellStyle name="Note 3 2 2 2 4" xfId="16556" xr:uid="{00000000-0005-0000-0000-0000D9580000}"/>
    <cellStyle name="Note 3 2 2 2 4 2" xfId="37772" xr:uid="{00000000-0005-0000-0000-0000DA580000}"/>
    <cellStyle name="Note 3 2 2 2 5" xfId="15320" xr:uid="{00000000-0005-0000-0000-0000DB580000}"/>
    <cellStyle name="Note 3 2 2 2 6" xfId="32241" xr:uid="{00000000-0005-0000-0000-0000DC580000}"/>
    <cellStyle name="Note 3 2 2 2 7" xfId="19216" xr:uid="{00000000-0005-0000-0000-0000DD580000}"/>
    <cellStyle name="Note 3 2 2 3" xfId="5122" xr:uid="{00000000-0005-0000-0000-0000DE580000}"/>
    <cellStyle name="Note 3 2 2 3 2" xfId="23582" xr:uid="{00000000-0005-0000-0000-0000DF580000}"/>
    <cellStyle name="Note 3 2 2 3 3" xfId="31963" xr:uid="{00000000-0005-0000-0000-0000E0580000}"/>
    <cellStyle name="Note 3 2 2 3 4" xfId="18736" xr:uid="{00000000-0005-0000-0000-0000E1580000}"/>
    <cellStyle name="Note 3 2 2 4" xfId="6004" xr:uid="{00000000-0005-0000-0000-0000E2580000}"/>
    <cellStyle name="Note 3 2 2 4 2" xfId="24445" xr:uid="{00000000-0005-0000-0000-0000E3580000}"/>
    <cellStyle name="Note 3 2 2 4 3" xfId="32482" xr:uid="{00000000-0005-0000-0000-0000E4580000}"/>
    <cellStyle name="Note 3 2 2 4 4" xfId="19554" xr:uid="{00000000-0005-0000-0000-0000E5580000}"/>
    <cellStyle name="Note 3 2 2 5" xfId="7642" xr:uid="{00000000-0005-0000-0000-0000E6580000}"/>
    <cellStyle name="Note 3 2 2 5 2" xfId="26072" xr:uid="{00000000-0005-0000-0000-0000E7580000}"/>
    <cellStyle name="Note 3 2 2 5 3" xfId="32887" xr:uid="{00000000-0005-0000-0000-0000E8580000}"/>
    <cellStyle name="Note 3 2 2 5 4" xfId="20997" xr:uid="{00000000-0005-0000-0000-0000E9580000}"/>
    <cellStyle name="Note 3 2 2 6" xfId="8016" xr:uid="{00000000-0005-0000-0000-0000EA580000}"/>
    <cellStyle name="Note 3 2 2 6 2" xfId="26446" xr:uid="{00000000-0005-0000-0000-0000EB580000}"/>
    <cellStyle name="Note 3 2 2 6 3" xfId="32959" xr:uid="{00000000-0005-0000-0000-0000EC580000}"/>
    <cellStyle name="Note 3 2 2 6 4" xfId="21370" xr:uid="{00000000-0005-0000-0000-0000ED580000}"/>
    <cellStyle name="Note 3 2 2 7" xfId="8740" xr:uid="{00000000-0005-0000-0000-0000EE580000}"/>
    <cellStyle name="Note 3 2 2 7 2" xfId="27160" xr:uid="{00000000-0005-0000-0000-0000EF580000}"/>
    <cellStyle name="Note 3 2 2 7 3" xfId="33131" xr:uid="{00000000-0005-0000-0000-0000F0580000}"/>
    <cellStyle name="Note 3 2 2 7 4" xfId="22031" xr:uid="{00000000-0005-0000-0000-0000F1580000}"/>
    <cellStyle name="Note 3 2 2 8" xfId="4232" xr:uid="{00000000-0005-0000-0000-0000F2580000}"/>
    <cellStyle name="Note 3 2 2 8 2" xfId="22696" xr:uid="{00000000-0005-0000-0000-0000F3580000}"/>
    <cellStyle name="Note 3 2 2 8 3" xfId="31734" xr:uid="{00000000-0005-0000-0000-0000F4580000}"/>
    <cellStyle name="Note 3 2 2 8 4" xfId="17914" xr:uid="{00000000-0005-0000-0000-0000F5580000}"/>
    <cellStyle name="Note 3 2 2 9" xfId="14410" xr:uid="{00000000-0005-0000-0000-0000F6580000}"/>
    <cellStyle name="Note 3 2 2 9 2" xfId="17243" xr:uid="{00000000-0005-0000-0000-0000F7580000}"/>
    <cellStyle name="Note 3 2 3" xfId="5256" xr:uid="{00000000-0005-0000-0000-0000F8580000}"/>
    <cellStyle name="Note 3 2 3 2" xfId="23716" xr:uid="{00000000-0005-0000-0000-0000F9580000}"/>
    <cellStyle name="Note 3 2 3 3" xfId="32033" xr:uid="{00000000-0005-0000-0000-0000FA580000}"/>
    <cellStyle name="Note 3 2 3 4" xfId="18869" xr:uid="{00000000-0005-0000-0000-0000FB580000}"/>
    <cellStyle name="Note 3 2 4" xfId="4846" xr:uid="{00000000-0005-0000-0000-0000FC580000}"/>
    <cellStyle name="Note 3 2 4 2" xfId="23306" xr:uid="{00000000-0005-0000-0000-0000FD580000}"/>
    <cellStyle name="Note 3 2 4 3" xfId="31829" xr:uid="{00000000-0005-0000-0000-0000FE580000}"/>
    <cellStyle name="Note 3 2 4 4" xfId="18460" xr:uid="{00000000-0005-0000-0000-0000FF580000}"/>
    <cellStyle name="Note 3 2 5" xfId="6356" xr:uid="{00000000-0005-0000-0000-000000590000}"/>
    <cellStyle name="Note 3 2 5 2" xfId="24796" xr:uid="{00000000-0005-0000-0000-000001590000}"/>
    <cellStyle name="Note 3 2 5 3" xfId="32635" xr:uid="{00000000-0005-0000-0000-000002590000}"/>
    <cellStyle name="Note 3 2 5 4" xfId="19905" xr:uid="{00000000-0005-0000-0000-000003590000}"/>
    <cellStyle name="Note 3 2 6" xfId="7319" xr:uid="{00000000-0005-0000-0000-000004590000}"/>
    <cellStyle name="Note 3 2 6 2" xfId="25750" xr:uid="{00000000-0005-0000-0000-000005590000}"/>
    <cellStyle name="Note 3 2 6 3" xfId="32806" xr:uid="{00000000-0005-0000-0000-000006590000}"/>
    <cellStyle name="Note 3 2 6 4" xfId="20675" xr:uid="{00000000-0005-0000-0000-000007590000}"/>
    <cellStyle name="Note 3 2 7" xfId="6422" xr:uid="{00000000-0005-0000-0000-000008590000}"/>
    <cellStyle name="Note 3 2 7 2" xfId="24862" xr:uid="{00000000-0005-0000-0000-000009590000}"/>
    <cellStyle name="Note 3 2 7 3" xfId="32693" xr:uid="{00000000-0005-0000-0000-00000A590000}"/>
    <cellStyle name="Note 3 2 7 4" xfId="19971" xr:uid="{00000000-0005-0000-0000-00000B590000}"/>
    <cellStyle name="Note 3 2 8" xfId="8419" xr:uid="{00000000-0005-0000-0000-00000C590000}"/>
    <cellStyle name="Note 3 2 8 2" xfId="26842" xr:uid="{00000000-0005-0000-0000-00000D590000}"/>
    <cellStyle name="Note 3 2 8 3" xfId="33051" xr:uid="{00000000-0005-0000-0000-00000E590000}"/>
    <cellStyle name="Note 3 2 8 4" xfId="21710" xr:uid="{00000000-0005-0000-0000-00000F590000}"/>
    <cellStyle name="Note 3 2 9" xfId="3911" xr:uid="{00000000-0005-0000-0000-000010590000}"/>
    <cellStyle name="Note 3 2 9 2" xfId="22378" xr:uid="{00000000-0005-0000-0000-000011590000}"/>
    <cellStyle name="Note 3 2 9 3" xfId="31654" xr:uid="{00000000-0005-0000-0000-000012590000}"/>
    <cellStyle name="Note 3 2 9 4" xfId="17593" xr:uid="{00000000-0005-0000-0000-000013590000}"/>
    <cellStyle name="Note 3 20" xfId="8414" xr:uid="{00000000-0005-0000-0000-000014590000}"/>
    <cellStyle name="Note 3 20 2" xfId="26837" xr:uid="{00000000-0005-0000-0000-000015590000}"/>
    <cellStyle name="Note 3 20 3" xfId="33046" xr:uid="{00000000-0005-0000-0000-000016590000}"/>
    <cellStyle name="Note 3 20 4" xfId="21705" xr:uid="{00000000-0005-0000-0000-000017590000}"/>
    <cellStyle name="Note 3 21" xfId="3906" xr:uid="{00000000-0005-0000-0000-000018590000}"/>
    <cellStyle name="Note 3 21 2" xfId="22373" xr:uid="{00000000-0005-0000-0000-000019590000}"/>
    <cellStyle name="Note 3 21 3" xfId="31649" xr:uid="{00000000-0005-0000-0000-00001A590000}"/>
    <cellStyle name="Note 3 21 4" xfId="17588" xr:uid="{00000000-0005-0000-0000-00001B590000}"/>
    <cellStyle name="Note 3 22" xfId="14610" xr:uid="{00000000-0005-0000-0000-00001C590000}"/>
    <cellStyle name="Note 3 22 2" xfId="16901" xr:uid="{00000000-0005-0000-0000-00001D590000}"/>
    <cellStyle name="Note 3 23" xfId="15013" xr:uid="{00000000-0005-0000-0000-00001E590000}"/>
    <cellStyle name="Note 3 23 2" xfId="36438" xr:uid="{00000000-0005-0000-0000-00001F590000}"/>
    <cellStyle name="Note 3 24" xfId="31321" xr:uid="{00000000-0005-0000-0000-000020590000}"/>
    <cellStyle name="Note 3 25" xfId="38064" xr:uid="{00000000-0005-0000-0000-0000180E0000}"/>
    <cellStyle name="Note 3 3" xfId="2995" xr:uid="{00000000-0005-0000-0000-000021590000}"/>
    <cellStyle name="Note 3 3 10" xfId="14576" xr:uid="{00000000-0005-0000-0000-000022590000}"/>
    <cellStyle name="Note 3 3 10 2" xfId="16907" xr:uid="{00000000-0005-0000-0000-000023590000}"/>
    <cellStyle name="Note 3 3 11" xfId="14740" xr:uid="{00000000-0005-0000-0000-000024590000}"/>
    <cellStyle name="Note 3 3 11 2" xfId="36217" xr:uid="{00000000-0005-0000-0000-000025590000}"/>
    <cellStyle name="Note 3 3 12" xfId="31327" xr:uid="{00000000-0005-0000-0000-000026590000}"/>
    <cellStyle name="Note 3 3 13" xfId="39948" xr:uid="{00000000-0005-0000-0000-00001A0E0000}"/>
    <cellStyle name="Note 3 3 2" xfId="3504" xr:uid="{00000000-0005-0000-0000-000027590000}"/>
    <cellStyle name="Note 3 3 2 10" xfId="15493" xr:uid="{00000000-0005-0000-0000-000028590000}"/>
    <cellStyle name="Note 3 3 2 10 2" xfId="36871" xr:uid="{00000000-0005-0000-0000-000029590000}"/>
    <cellStyle name="Note 3 3 2 11" xfId="31557" xr:uid="{00000000-0005-0000-0000-00002A590000}"/>
    <cellStyle name="Note 3 3 2 2" xfId="5631" xr:uid="{00000000-0005-0000-0000-00002B590000}"/>
    <cellStyle name="Note 3 3 2 2 2" xfId="24084" xr:uid="{00000000-0005-0000-0000-00002C590000}"/>
    <cellStyle name="Note 3 3 2 2 3" xfId="32242" xr:uid="{00000000-0005-0000-0000-00002D590000}"/>
    <cellStyle name="Note 3 3 2 2 4" xfId="19217" xr:uid="{00000000-0005-0000-0000-00002E590000}"/>
    <cellStyle name="Note 3 3 2 3" xfId="5123" xr:uid="{00000000-0005-0000-0000-00002F590000}"/>
    <cellStyle name="Note 3 3 2 3 2" xfId="23583" xr:uid="{00000000-0005-0000-0000-000030590000}"/>
    <cellStyle name="Note 3 3 2 3 3" xfId="31964" xr:uid="{00000000-0005-0000-0000-000031590000}"/>
    <cellStyle name="Note 3 3 2 3 4" xfId="18737" xr:uid="{00000000-0005-0000-0000-000032590000}"/>
    <cellStyle name="Note 3 3 2 4" xfId="6003" xr:uid="{00000000-0005-0000-0000-000033590000}"/>
    <cellStyle name="Note 3 3 2 4 2" xfId="24444" xr:uid="{00000000-0005-0000-0000-000034590000}"/>
    <cellStyle name="Note 3 3 2 4 3" xfId="32481" xr:uid="{00000000-0005-0000-0000-000035590000}"/>
    <cellStyle name="Note 3 3 2 4 4" xfId="19553" xr:uid="{00000000-0005-0000-0000-000036590000}"/>
    <cellStyle name="Note 3 3 2 5" xfId="7643" xr:uid="{00000000-0005-0000-0000-000037590000}"/>
    <cellStyle name="Note 3 3 2 5 2" xfId="26073" xr:uid="{00000000-0005-0000-0000-000038590000}"/>
    <cellStyle name="Note 3 3 2 5 3" xfId="32888" xr:uid="{00000000-0005-0000-0000-000039590000}"/>
    <cellStyle name="Note 3 3 2 5 4" xfId="20998" xr:uid="{00000000-0005-0000-0000-00003A590000}"/>
    <cellStyle name="Note 3 3 2 6" xfId="8017" xr:uid="{00000000-0005-0000-0000-00003B590000}"/>
    <cellStyle name="Note 3 3 2 6 2" xfId="26447" xr:uid="{00000000-0005-0000-0000-00003C590000}"/>
    <cellStyle name="Note 3 3 2 6 3" xfId="32960" xr:uid="{00000000-0005-0000-0000-00003D590000}"/>
    <cellStyle name="Note 3 3 2 6 4" xfId="21371" xr:uid="{00000000-0005-0000-0000-00003E590000}"/>
    <cellStyle name="Note 3 3 2 7" xfId="8741" xr:uid="{00000000-0005-0000-0000-00003F590000}"/>
    <cellStyle name="Note 3 3 2 7 2" xfId="27161" xr:uid="{00000000-0005-0000-0000-000040590000}"/>
    <cellStyle name="Note 3 3 2 7 3" xfId="33132" xr:uid="{00000000-0005-0000-0000-000041590000}"/>
    <cellStyle name="Note 3 3 2 7 4" xfId="22032" xr:uid="{00000000-0005-0000-0000-000042590000}"/>
    <cellStyle name="Note 3 3 2 8" xfId="4233" xr:uid="{00000000-0005-0000-0000-000043590000}"/>
    <cellStyle name="Note 3 3 2 8 2" xfId="22697" xr:uid="{00000000-0005-0000-0000-000044590000}"/>
    <cellStyle name="Note 3 3 2 8 3" xfId="31735" xr:uid="{00000000-0005-0000-0000-000045590000}"/>
    <cellStyle name="Note 3 3 2 8 4" xfId="17915" xr:uid="{00000000-0005-0000-0000-000046590000}"/>
    <cellStyle name="Note 3 3 2 9" xfId="14939" xr:uid="{00000000-0005-0000-0000-000047590000}"/>
    <cellStyle name="Note 3 3 2 9 2" xfId="17244" xr:uid="{00000000-0005-0000-0000-000048590000}"/>
    <cellStyle name="Note 3 3 3" xfId="5257" xr:uid="{00000000-0005-0000-0000-000049590000}"/>
    <cellStyle name="Note 3 3 3 2" xfId="23717" xr:uid="{00000000-0005-0000-0000-00004A590000}"/>
    <cellStyle name="Note 3 3 3 3" xfId="32034" xr:uid="{00000000-0005-0000-0000-00004B590000}"/>
    <cellStyle name="Note 3 3 3 4" xfId="18870" xr:uid="{00000000-0005-0000-0000-00004C590000}"/>
    <cellStyle name="Note 3 3 4" xfId="4847" xr:uid="{00000000-0005-0000-0000-00004D590000}"/>
    <cellStyle name="Note 3 3 4 2" xfId="23307" xr:uid="{00000000-0005-0000-0000-00004E590000}"/>
    <cellStyle name="Note 3 3 4 3" xfId="31830" xr:uid="{00000000-0005-0000-0000-00004F590000}"/>
    <cellStyle name="Note 3 3 4 4" xfId="18461" xr:uid="{00000000-0005-0000-0000-000050590000}"/>
    <cellStyle name="Note 3 3 5" xfId="6355" xr:uid="{00000000-0005-0000-0000-000051590000}"/>
    <cellStyle name="Note 3 3 5 2" xfId="24795" xr:uid="{00000000-0005-0000-0000-000052590000}"/>
    <cellStyle name="Note 3 3 5 3" xfId="32634" xr:uid="{00000000-0005-0000-0000-000053590000}"/>
    <cellStyle name="Note 3 3 5 4" xfId="19904" xr:uid="{00000000-0005-0000-0000-000054590000}"/>
    <cellStyle name="Note 3 3 6" xfId="7320" xr:uid="{00000000-0005-0000-0000-000055590000}"/>
    <cellStyle name="Note 3 3 6 2" xfId="25751" xr:uid="{00000000-0005-0000-0000-000056590000}"/>
    <cellStyle name="Note 3 3 6 3" xfId="32807" xr:uid="{00000000-0005-0000-0000-000057590000}"/>
    <cellStyle name="Note 3 3 6 4" xfId="20676" xr:uid="{00000000-0005-0000-0000-000058590000}"/>
    <cellStyle name="Note 3 3 7" xfId="6421" xr:uid="{00000000-0005-0000-0000-000059590000}"/>
    <cellStyle name="Note 3 3 7 2" xfId="24861" xr:uid="{00000000-0005-0000-0000-00005A590000}"/>
    <cellStyle name="Note 3 3 7 3" xfId="32692" xr:uid="{00000000-0005-0000-0000-00005B590000}"/>
    <cellStyle name="Note 3 3 7 4" xfId="19970" xr:uid="{00000000-0005-0000-0000-00005C590000}"/>
    <cellStyle name="Note 3 3 8" xfId="8420" xr:uid="{00000000-0005-0000-0000-00005D590000}"/>
    <cellStyle name="Note 3 3 8 2" xfId="26843" xr:uid="{00000000-0005-0000-0000-00005E590000}"/>
    <cellStyle name="Note 3 3 8 3" xfId="33052" xr:uid="{00000000-0005-0000-0000-00005F590000}"/>
    <cellStyle name="Note 3 3 8 4" xfId="21711" xr:uid="{00000000-0005-0000-0000-000060590000}"/>
    <cellStyle name="Note 3 3 9" xfId="3912" xr:uid="{00000000-0005-0000-0000-000061590000}"/>
    <cellStyle name="Note 3 3 9 2" xfId="22379" xr:uid="{00000000-0005-0000-0000-000062590000}"/>
    <cellStyle name="Note 3 3 9 3" xfId="31655" xr:uid="{00000000-0005-0000-0000-000063590000}"/>
    <cellStyle name="Note 3 3 9 4" xfId="17594" xr:uid="{00000000-0005-0000-0000-000064590000}"/>
    <cellStyle name="Note 3 4" xfId="2996" xr:uid="{00000000-0005-0000-0000-000065590000}"/>
    <cellStyle name="Note 3 4 10" xfId="14940" xr:uid="{00000000-0005-0000-0000-000066590000}"/>
    <cellStyle name="Note 3 4 10 2" xfId="16908" xr:uid="{00000000-0005-0000-0000-000067590000}"/>
    <cellStyle name="Note 3 4 11" xfId="14798" xr:uid="{00000000-0005-0000-0000-000068590000}"/>
    <cellStyle name="Note 3 4 11 2" xfId="36254" xr:uid="{00000000-0005-0000-0000-000069590000}"/>
    <cellStyle name="Note 3 4 12" xfId="31328" xr:uid="{00000000-0005-0000-0000-00006A590000}"/>
    <cellStyle name="Note 3 4 13" xfId="39946" xr:uid="{00000000-0005-0000-0000-00001B0E0000}"/>
    <cellStyle name="Note 3 4 2" xfId="3505" xr:uid="{00000000-0005-0000-0000-00006B590000}"/>
    <cellStyle name="Note 3 4 2 10" xfId="16448" xr:uid="{00000000-0005-0000-0000-00006C590000}"/>
    <cellStyle name="Note 3 4 2 10 2" xfId="37717" xr:uid="{00000000-0005-0000-0000-00006D590000}"/>
    <cellStyle name="Note 3 4 2 11" xfId="31558" xr:uid="{00000000-0005-0000-0000-00006E590000}"/>
    <cellStyle name="Note 3 4 2 2" xfId="5632" xr:uid="{00000000-0005-0000-0000-00006F590000}"/>
    <cellStyle name="Note 3 4 2 2 2" xfId="24085" xr:uid="{00000000-0005-0000-0000-000070590000}"/>
    <cellStyle name="Note 3 4 2 2 3" xfId="32243" xr:uid="{00000000-0005-0000-0000-000071590000}"/>
    <cellStyle name="Note 3 4 2 2 4" xfId="19218" xr:uid="{00000000-0005-0000-0000-000072590000}"/>
    <cellStyle name="Note 3 4 2 3" xfId="5124" xr:uid="{00000000-0005-0000-0000-000073590000}"/>
    <cellStyle name="Note 3 4 2 3 2" xfId="23584" xr:uid="{00000000-0005-0000-0000-000074590000}"/>
    <cellStyle name="Note 3 4 2 3 3" xfId="31965" xr:uid="{00000000-0005-0000-0000-000075590000}"/>
    <cellStyle name="Note 3 4 2 3 4" xfId="18738" xr:uid="{00000000-0005-0000-0000-000076590000}"/>
    <cellStyle name="Note 3 4 2 4" xfId="6002" xr:uid="{00000000-0005-0000-0000-000077590000}"/>
    <cellStyle name="Note 3 4 2 4 2" xfId="24443" xr:uid="{00000000-0005-0000-0000-000078590000}"/>
    <cellStyle name="Note 3 4 2 4 3" xfId="32480" xr:uid="{00000000-0005-0000-0000-000079590000}"/>
    <cellStyle name="Note 3 4 2 4 4" xfId="19552" xr:uid="{00000000-0005-0000-0000-00007A590000}"/>
    <cellStyle name="Note 3 4 2 5" xfId="7644" xr:uid="{00000000-0005-0000-0000-00007B590000}"/>
    <cellStyle name="Note 3 4 2 5 2" xfId="26074" xr:uid="{00000000-0005-0000-0000-00007C590000}"/>
    <cellStyle name="Note 3 4 2 5 3" xfId="32889" xr:uid="{00000000-0005-0000-0000-00007D590000}"/>
    <cellStyle name="Note 3 4 2 5 4" xfId="20999" xr:uid="{00000000-0005-0000-0000-00007E590000}"/>
    <cellStyle name="Note 3 4 2 6" xfId="8018" xr:uid="{00000000-0005-0000-0000-00007F590000}"/>
    <cellStyle name="Note 3 4 2 6 2" xfId="26448" xr:uid="{00000000-0005-0000-0000-000080590000}"/>
    <cellStyle name="Note 3 4 2 6 3" xfId="32961" xr:uid="{00000000-0005-0000-0000-000081590000}"/>
    <cellStyle name="Note 3 4 2 6 4" xfId="21372" xr:uid="{00000000-0005-0000-0000-000082590000}"/>
    <cellStyle name="Note 3 4 2 7" xfId="8742" xr:uid="{00000000-0005-0000-0000-000083590000}"/>
    <cellStyle name="Note 3 4 2 7 2" xfId="27162" xr:uid="{00000000-0005-0000-0000-000084590000}"/>
    <cellStyle name="Note 3 4 2 7 3" xfId="33133" xr:uid="{00000000-0005-0000-0000-000085590000}"/>
    <cellStyle name="Note 3 4 2 7 4" xfId="22033" xr:uid="{00000000-0005-0000-0000-000086590000}"/>
    <cellStyle name="Note 3 4 2 8" xfId="4234" xr:uid="{00000000-0005-0000-0000-000087590000}"/>
    <cellStyle name="Note 3 4 2 8 2" xfId="22698" xr:uid="{00000000-0005-0000-0000-000088590000}"/>
    <cellStyle name="Note 3 4 2 8 3" xfId="31736" xr:uid="{00000000-0005-0000-0000-000089590000}"/>
    <cellStyle name="Note 3 4 2 8 4" xfId="17916" xr:uid="{00000000-0005-0000-0000-00008A590000}"/>
    <cellStyle name="Note 3 4 2 9" xfId="16040" xr:uid="{00000000-0005-0000-0000-00008B590000}"/>
    <cellStyle name="Note 3 4 2 9 2" xfId="17245" xr:uid="{00000000-0005-0000-0000-00008C590000}"/>
    <cellStyle name="Note 3 4 3" xfId="5258" xr:uid="{00000000-0005-0000-0000-00008D590000}"/>
    <cellStyle name="Note 3 4 3 2" xfId="23718" xr:uid="{00000000-0005-0000-0000-00008E590000}"/>
    <cellStyle name="Note 3 4 3 3" xfId="32035" xr:uid="{00000000-0005-0000-0000-00008F590000}"/>
    <cellStyle name="Note 3 4 3 4" xfId="18871" xr:uid="{00000000-0005-0000-0000-000090590000}"/>
    <cellStyle name="Note 3 4 4" xfId="4848" xr:uid="{00000000-0005-0000-0000-000091590000}"/>
    <cellStyle name="Note 3 4 4 2" xfId="23308" xr:uid="{00000000-0005-0000-0000-000092590000}"/>
    <cellStyle name="Note 3 4 4 3" xfId="31831" xr:uid="{00000000-0005-0000-0000-000093590000}"/>
    <cellStyle name="Note 3 4 4 4" xfId="18462" xr:uid="{00000000-0005-0000-0000-000094590000}"/>
    <cellStyle name="Note 3 4 5" xfId="6354" xr:uid="{00000000-0005-0000-0000-000095590000}"/>
    <cellStyle name="Note 3 4 5 2" xfId="24794" xr:uid="{00000000-0005-0000-0000-000096590000}"/>
    <cellStyle name="Note 3 4 5 3" xfId="32633" xr:uid="{00000000-0005-0000-0000-000097590000}"/>
    <cellStyle name="Note 3 4 5 4" xfId="19903" xr:uid="{00000000-0005-0000-0000-000098590000}"/>
    <cellStyle name="Note 3 4 6" xfId="7321" xr:uid="{00000000-0005-0000-0000-000099590000}"/>
    <cellStyle name="Note 3 4 6 2" xfId="25752" xr:uid="{00000000-0005-0000-0000-00009A590000}"/>
    <cellStyle name="Note 3 4 6 3" xfId="32808" xr:uid="{00000000-0005-0000-0000-00009B590000}"/>
    <cellStyle name="Note 3 4 6 4" xfId="20677" xr:uid="{00000000-0005-0000-0000-00009C590000}"/>
    <cellStyle name="Note 3 4 7" xfId="6420" xr:uid="{00000000-0005-0000-0000-00009D590000}"/>
    <cellStyle name="Note 3 4 7 2" xfId="24860" xr:uid="{00000000-0005-0000-0000-00009E590000}"/>
    <cellStyle name="Note 3 4 7 3" xfId="32691" xr:uid="{00000000-0005-0000-0000-00009F590000}"/>
    <cellStyle name="Note 3 4 7 4" xfId="19969" xr:uid="{00000000-0005-0000-0000-0000A0590000}"/>
    <cellStyle name="Note 3 4 8" xfId="8421" xr:uid="{00000000-0005-0000-0000-0000A1590000}"/>
    <cellStyle name="Note 3 4 8 2" xfId="26844" xr:uid="{00000000-0005-0000-0000-0000A2590000}"/>
    <cellStyle name="Note 3 4 8 3" xfId="33053" xr:uid="{00000000-0005-0000-0000-0000A3590000}"/>
    <cellStyle name="Note 3 4 8 4" xfId="21712" xr:uid="{00000000-0005-0000-0000-0000A4590000}"/>
    <cellStyle name="Note 3 4 9" xfId="3913" xr:uid="{00000000-0005-0000-0000-0000A5590000}"/>
    <cellStyle name="Note 3 4 9 2" xfId="22380" xr:uid="{00000000-0005-0000-0000-0000A6590000}"/>
    <cellStyle name="Note 3 4 9 3" xfId="31656" xr:uid="{00000000-0005-0000-0000-0000A7590000}"/>
    <cellStyle name="Note 3 4 9 4" xfId="17595" xr:uid="{00000000-0005-0000-0000-0000A8590000}"/>
    <cellStyle name="Note 3 5" xfId="2997" xr:uid="{00000000-0005-0000-0000-0000A9590000}"/>
    <cellStyle name="Note 3 5 10" xfId="14941" xr:uid="{00000000-0005-0000-0000-0000AA590000}"/>
    <cellStyle name="Note 3 5 10 2" xfId="16909" xr:uid="{00000000-0005-0000-0000-0000AB590000}"/>
    <cellStyle name="Note 3 5 11" xfId="16591" xr:uid="{00000000-0005-0000-0000-0000AC590000}"/>
    <cellStyle name="Note 3 5 11 2" xfId="37801" xr:uid="{00000000-0005-0000-0000-0000AD590000}"/>
    <cellStyle name="Note 3 5 12" xfId="31329" xr:uid="{00000000-0005-0000-0000-0000AE590000}"/>
    <cellStyle name="Note 3 5 2" xfId="3506" xr:uid="{00000000-0005-0000-0000-0000AF590000}"/>
    <cellStyle name="Note 3 5 2 10" xfId="14667" xr:uid="{00000000-0005-0000-0000-0000B0590000}"/>
    <cellStyle name="Note 3 5 2 10 2" xfId="36150" xr:uid="{00000000-0005-0000-0000-0000B1590000}"/>
    <cellStyle name="Note 3 5 2 11" xfId="31559" xr:uid="{00000000-0005-0000-0000-0000B2590000}"/>
    <cellStyle name="Note 3 5 2 2" xfId="5633" xr:uid="{00000000-0005-0000-0000-0000B3590000}"/>
    <cellStyle name="Note 3 5 2 2 2" xfId="24086" xr:uid="{00000000-0005-0000-0000-0000B4590000}"/>
    <cellStyle name="Note 3 5 2 2 3" xfId="32244" xr:uid="{00000000-0005-0000-0000-0000B5590000}"/>
    <cellStyle name="Note 3 5 2 2 4" xfId="19219" xr:uid="{00000000-0005-0000-0000-0000B6590000}"/>
    <cellStyle name="Note 3 5 2 3" xfId="5125" xr:uid="{00000000-0005-0000-0000-0000B7590000}"/>
    <cellStyle name="Note 3 5 2 3 2" xfId="23585" xr:uid="{00000000-0005-0000-0000-0000B8590000}"/>
    <cellStyle name="Note 3 5 2 3 3" xfId="31966" xr:uid="{00000000-0005-0000-0000-0000B9590000}"/>
    <cellStyle name="Note 3 5 2 3 4" xfId="18739" xr:uid="{00000000-0005-0000-0000-0000BA590000}"/>
    <cellStyle name="Note 3 5 2 4" xfId="6001" xr:uid="{00000000-0005-0000-0000-0000BB590000}"/>
    <cellStyle name="Note 3 5 2 4 2" xfId="24442" xr:uid="{00000000-0005-0000-0000-0000BC590000}"/>
    <cellStyle name="Note 3 5 2 4 3" xfId="32479" xr:uid="{00000000-0005-0000-0000-0000BD590000}"/>
    <cellStyle name="Note 3 5 2 4 4" xfId="19551" xr:uid="{00000000-0005-0000-0000-0000BE590000}"/>
    <cellStyle name="Note 3 5 2 5" xfId="7645" xr:uid="{00000000-0005-0000-0000-0000BF590000}"/>
    <cellStyle name="Note 3 5 2 5 2" xfId="26075" xr:uid="{00000000-0005-0000-0000-0000C0590000}"/>
    <cellStyle name="Note 3 5 2 5 3" xfId="32890" xr:uid="{00000000-0005-0000-0000-0000C1590000}"/>
    <cellStyle name="Note 3 5 2 5 4" xfId="21000" xr:uid="{00000000-0005-0000-0000-0000C2590000}"/>
    <cellStyle name="Note 3 5 2 6" xfId="8019" xr:uid="{00000000-0005-0000-0000-0000C3590000}"/>
    <cellStyle name="Note 3 5 2 6 2" xfId="26449" xr:uid="{00000000-0005-0000-0000-0000C4590000}"/>
    <cellStyle name="Note 3 5 2 6 3" xfId="32962" xr:uid="{00000000-0005-0000-0000-0000C5590000}"/>
    <cellStyle name="Note 3 5 2 6 4" xfId="21373" xr:uid="{00000000-0005-0000-0000-0000C6590000}"/>
    <cellStyle name="Note 3 5 2 7" xfId="8743" xr:uid="{00000000-0005-0000-0000-0000C7590000}"/>
    <cellStyle name="Note 3 5 2 7 2" xfId="27163" xr:uid="{00000000-0005-0000-0000-0000C8590000}"/>
    <cellStyle name="Note 3 5 2 7 3" xfId="33134" xr:uid="{00000000-0005-0000-0000-0000C9590000}"/>
    <cellStyle name="Note 3 5 2 7 4" xfId="22034" xr:uid="{00000000-0005-0000-0000-0000CA590000}"/>
    <cellStyle name="Note 3 5 2 8" xfId="4235" xr:uid="{00000000-0005-0000-0000-0000CB590000}"/>
    <cellStyle name="Note 3 5 2 8 2" xfId="22699" xr:uid="{00000000-0005-0000-0000-0000CC590000}"/>
    <cellStyle name="Note 3 5 2 8 3" xfId="31737" xr:uid="{00000000-0005-0000-0000-0000CD590000}"/>
    <cellStyle name="Note 3 5 2 8 4" xfId="17917" xr:uid="{00000000-0005-0000-0000-0000CE590000}"/>
    <cellStyle name="Note 3 5 2 9" xfId="14942" xr:uid="{00000000-0005-0000-0000-0000CF590000}"/>
    <cellStyle name="Note 3 5 2 9 2" xfId="17246" xr:uid="{00000000-0005-0000-0000-0000D0590000}"/>
    <cellStyle name="Note 3 5 3" xfId="5259" xr:uid="{00000000-0005-0000-0000-0000D1590000}"/>
    <cellStyle name="Note 3 5 3 2" xfId="23719" xr:uid="{00000000-0005-0000-0000-0000D2590000}"/>
    <cellStyle name="Note 3 5 3 3" xfId="32036" xr:uid="{00000000-0005-0000-0000-0000D3590000}"/>
    <cellStyle name="Note 3 5 3 4" xfId="18872" xr:uid="{00000000-0005-0000-0000-0000D4590000}"/>
    <cellStyle name="Note 3 5 4" xfId="4849" xr:uid="{00000000-0005-0000-0000-0000D5590000}"/>
    <cellStyle name="Note 3 5 4 2" xfId="23309" xr:uid="{00000000-0005-0000-0000-0000D6590000}"/>
    <cellStyle name="Note 3 5 4 3" xfId="31832" xr:uid="{00000000-0005-0000-0000-0000D7590000}"/>
    <cellStyle name="Note 3 5 4 4" xfId="18463" xr:uid="{00000000-0005-0000-0000-0000D8590000}"/>
    <cellStyle name="Note 3 5 5" xfId="6353" xr:uid="{00000000-0005-0000-0000-0000D9590000}"/>
    <cellStyle name="Note 3 5 5 2" xfId="24793" xr:uid="{00000000-0005-0000-0000-0000DA590000}"/>
    <cellStyle name="Note 3 5 5 3" xfId="32632" xr:uid="{00000000-0005-0000-0000-0000DB590000}"/>
    <cellStyle name="Note 3 5 5 4" xfId="19902" xr:uid="{00000000-0005-0000-0000-0000DC590000}"/>
    <cellStyle name="Note 3 5 6" xfId="7322" xr:uid="{00000000-0005-0000-0000-0000DD590000}"/>
    <cellStyle name="Note 3 5 6 2" xfId="25753" xr:uid="{00000000-0005-0000-0000-0000DE590000}"/>
    <cellStyle name="Note 3 5 6 3" xfId="32809" xr:uid="{00000000-0005-0000-0000-0000DF590000}"/>
    <cellStyle name="Note 3 5 6 4" xfId="20678" xr:uid="{00000000-0005-0000-0000-0000E0590000}"/>
    <cellStyle name="Note 3 5 7" xfId="6419" xr:uid="{00000000-0005-0000-0000-0000E1590000}"/>
    <cellStyle name="Note 3 5 7 2" xfId="24859" xr:uid="{00000000-0005-0000-0000-0000E2590000}"/>
    <cellStyle name="Note 3 5 7 3" xfId="32690" xr:uid="{00000000-0005-0000-0000-0000E3590000}"/>
    <cellStyle name="Note 3 5 7 4" xfId="19968" xr:uid="{00000000-0005-0000-0000-0000E4590000}"/>
    <cellStyle name="Note 3 5 8" xfId="8422" xr:uid="{00000000-0005-0000-0000-0000E5590000}"/>
    <cellStyle name="Note 3 5 8 2" xfId="26845" xr:uid="{00000000-0005-0000-0000-0000E6590000}"/>
    <cellStyle name="Note 3 5 8 3" xfId="33054" xr:uid="{00000000-0005-0000-0000-0000E7590000}"/>
    <cellStyle name="Note 3 5 8 4" xfId="21713" xr:uid="{00000000-0005-0000-0000-0000E8590000}"/>
    <cellStyle name="Note 3 5 9" xfId="3914" xr:uid="{00000000-0005-0000-0000-0000E9590000}"/>
    <cellStyle name="Note 3 5 9 2" xfId="22381" xr:uid="{00000000-0005-0000-0000-0000EA590000}"/>
    <cellStyle name="Note 3 5 9 3" xfId="31657" xr:uid="{00000000-0005-0000-0000-0000EB590000}"/>
    <cellStyle name="Note 3 5 9 4" xfId="17596" xr:uid="{00000000-0005-0000-0000-0000EC590000}"/>
    <cellStyle name="Note 3 6" xfId="2998" xr:uid="{00000000-0005-0000-0000-0000ED590000}"/>
    <cellStyle name="Note 3 6 10" xfId="16004" xr:uid="{00000000-0005-0000-0000-0000EE590000}"/>
    <cellStyle name="Note 3 6 10 2" xfId="16910" xr:uid="{00000000-0005-0000-0000-0000EF590000}"/>
    <cellStyle name="Note 3 6 11" xfId="14438" xr:uid="{00000000-0005-0000-0000-0000F0590000}"/>
    <cellStyle name="Note 3 6 11 2" xfId="35966" xr:uid="{00000000-0005-0000-0000-0000F1590000}"/>
    <cellStyle name="Note 3 6 12" xfId="31330" xr:uid="{00000000-0005-0000-0000-0000F2590000}"/>
    <cellStyle name="Note 3 6 2" xfId="3507" xr:uid="{00000000-0005-0000-0000-0000F3590000}"/>
    <cellStyle name="Note 3 6 2 10" xfId="16590" xr:uid="{00000000-0005-0000-0000-0000F4590000}"/>
    <cellStyle name="Note 3 6 2 10 2" xfId="37800" xr:uid="{00000000-0005-0000-0000-0000F5590000}"/>
    <cellStyle name="Note 3 6 2 11" xfId="31560" xr:uid="{00000000-0005-0000-0000-0000F6590000}"/>
    <cellStyle name="Note 3 6 2 2" xfId="5634" xr:uid="{00000000-0005-0000-0000-0000F7590000}"/>
    <cellStyle name="Note 3 6 2 2 2" xfId="24087" xr:uid="{00000000-0005-0000-0000-0000F8590000}"/>
    <cellStyle name="Note 3 6 2 2 3" xfId="32245" xr:uid="{00000000-0005-0000-0000-0000F9590000}"/>
    <cellStyle name="Note 3 6 2 2 4" xfId="19220" xr:uid="{00000000-0005-0000-0000-0000FA590000}"/>
    <cellStyle name="Note 3 6 2 3" xfId="5126" xr:uid="{00000000-0005-0000-0000-0000FB590000}"/>
    <cellStyle name="Note 3 6 2 3 2" xfId="23586" xr:uid="{00000000-0005-0000-0000-0000FC590000}"/>
    <cellStyle name="Note 3 6 2 3 3" xfId="31967" xr:uid="{00000000-0005-0000-0000-0000FD590000}"/>
    <cellStyle name="Note 3 6 2 3 4" xfId="18740" xr:uid="{00000000-0005-0000-0000-0000FE590000}"/>
    <cellStyle name="Note 3 6 2 4" xfId="6000" xr:uid="{00000000-0005-0000-0000-0000FF590000}"/>
    <cellStyle name="Note 3 6 2 4 2" xfId="24441" xr:uid="{00000000-0005-0000-0000-0000005A0000}"/>
    <cellStyle name="Note 3 6 2 4 3" xfId="32478" xr:uid="{00000000-0005-0000-0000-0000015A0000}"/>
    <cellStyle name="Note 3 6 2 4 4" xfId="19550" xr:uid="{00000000-0005-0000-0000-0000025A0000}"/>
    <cellStyle name="Note 3 6 2 5" xfId="7646" xr:uid="{00000000-0005-0000-0000-0000035A0000}"/>
    <cellStyle name="Note 3 6 2 5 2" xfId="26076" xr:uid="{00000000-0005-0000-0000-0000045A0000}"/>
    <cellStyle name="Note 3 6 2 5 3" xfId="32891" xr:uid="{00000000-0005-0000-0000-0000055A0000}"/>
    <cellStyle name="Note 3 6 2 5 4" xfId="21001" xr:uid="{00000000-0005-0000-0000-0000065A0000}"/>
    <cellStyle name="Note 3 6 2 6" xfId="8020" xr:uid="{00000000-0005-0000-0000-0000075A0000}"/>
    <cellStyle name="Note 3 6 2 6 2" xfId="26450" xr:uid="{00000000-0005-0000-0000-0000085A0000}"/>
    <cellStyle name="Note 3 6 2 6 3" xfId="32963" xr:uid="{00000000-0005-0000-0000-0000095A0000}"/>
    <cellStyle name="Note 3 6 2 6 4" xfId="21374" xr:uid="{00000000-0005-0000-0000-00000A5A0000}"/>
    <cellStyle name="Note 3 6 2 7" xfId="8744" xr:uid="{00000000-0005-0000-0000-00000B5A0000}"/>
    <cellStyle name="Note 3 6 2 7 2" xfId="27164" xr:uid="{00000000-0005-0000-0000-00000C5A0000}"/>
    <cellStyle name="Note 3 6 2 7 3" xfId="33135" xr:uid="{00000000-0005-0000-0000-00000D5A0000}"/>
    <cellStyle name="Note 3 6 2 7 4" xfId="22035" xr:uid="{00000000-0005-0000-0000-00000E5A0000}"/>
    <cellStyle name="Note 3 6 2 8" xfId="4236" xr:uid="{00000000-0005-0000-0000-00000F5A0000}"/>
    <cellStyle name="Note 3 6 2 8 2" xfId="22700" xr:uid="{00000000-0005-0000-0000-0000105A0000}"/>
    <cellStyle name="Note 3 6 2 8 3" xfId="31738" xr:uid="{00000000-0005-0000-0000-0000115A0000}"/>
    <cellStyle name="Note 3 6 2 8 4" xfId="17918" xr:uid="{00000000-0005-0000-0000-0000125A0000}"/>
    <cellStyle name="Note 3 6 2 9" xfId="16005" xr:uid="{00000000-0005-0000-0000-0000135A0000}"/>
    <cellStyle name="Note 3 6 2 9 2" xfId="17247" xr:uid="{00000000-0005-0000-0000-0000145A0000}"/>
    <cellStyle name="Note 3 6 3" xfId="5260" xr:uid="{00000000-0005-0000-0000-0000155A0000}"/>
    <cellStyle name="Note 3 6 3 2" xfId="23720" xr:uid="{00000000-0005-0000-0000-0000165A0000}"/>
    <cellStyle name="Note 3 6 3 3" xfId="32037" xr:uid="{00000000-0005-0000-0000-0000175A0000}"/>
    <cellStyle name="Note 3 6 3 4" xfId="18873" xr:uid="{00000000-0005-0000-0000-0000185A0000}"/>
    <cellStyle name="Note 3 6 4" xfId="4850" xr:uid="{00000000-0005-0000-0000-0000195A0000}"/>
    <cellStyle name="Note 3 6 4 2" xfId="23310" xr:uid="{00000000-0005-0000-0000-00001A5A0000}"/>
    <cellStyle name="Note 3 6 4 3" xfId="31833" xr:uid="{00000000-0005-0000-0000-00001B5A0000}"/>
    <cellStyle name="Note 3 6 4 4" xfId="18464" xr:uid="{00000000-0005-0000-0000-00001C5A0000}"/>
    <cellStyle name="Note 3 6 5" xfId="6352" xr:uid="{00000000-0005-0000-0000-00001D5A0000}"/>
    <cellStyle name="Note 3 6 5 2" xfId="24792" xr:uid="{00000000-0005-0000-0000-00001E5A0000}"/>
    <cellStyle name="Note 3 6 5 3" xfId="32631" xr:uid="{00000000-0005-0000-0000-00001F5A0000}"/>
    <cellStyle name="Note 3 6 5 4" xfId="19901" xr:uid="{00000000-0005-0000-0000-0000205A0000}"/>
    <cellStyle name="Note 3 6 6" xfId="7323" xr:uid="{00000000-0005-0000-0000-0000215A0000}"/>
    <cellStyle name="Note 3 6 6 2" xfId="25754" xr:uid="{00000000-0005-0000-0000-0000225A0000}"/>
    <cellStyle name="Note 3 6 6 3" xfId="32810" xr:uid="{00000000-0005-0000-0000-0000235A0000}"/>
    <cellStyle name="Note 3 6 6 4" xfId="20679" xr:uid="{00000000-0005-0000-0000-0000245A0000}"/>
    <cellStyle name="Note 3 6 7" xfId="6418" xr:uid="{00000000-0005-0000-0000-0000255A0000}"/>
    <cellStyle name="Note 3 6 7 2" xfId="24858" xr:uid="{00000000-0005-0000-0000-0000265A0000}"/>
    <cellStyle name="Note 3 6 7 3" xfId="32689" xr:uid="{00000000-0005-0000-0000-0000275A0000}"/>
    <cellStyle name="Note 3 6 7 4" xfId="19967" xr:uid="{00000000-0005-0000-0000-0000285A0000}"/>
    <cellStyle name="Note 3 6 8" xfId="8423" xr:uid="{00000000-0005-0000-0000-0000295A0000}"/>
    <cellStyle name="Note 3 6 8 2" xfId="26846" xr:uid="{00000000-0005-0000-0000-00002A5A0000}"/>
    <cellStyle name="Note 3 6 8 3" xfId="33055" xr:uid="{00000000-0005-0000-0000-00002B5A0000}"/>
    <cellStyle name="Note 3 6 8 4" xfId="21714" xr:uid="{00000000-0005-0000-0000-00002C5A0000}"/>
    <cellStyle name="Note 3 6 9" xfId="3915" xr:uid="{00000000-0005-0000-0000-00002D5A0000}"/>
    <cellStyle name="Note 3 6 9 2" xfId="22382" xr:uid="{00000000-0005-0000-0000-00002E5A0000}"/>
    <cellStyle name="Note 3 6 9 3" xfId="31658" xr:uid="{00000000-0005-0000-0000-00002F5A0000}"/>
    <cellStyle name="Note 3 6 9 4" xfId="17597" xr:uid="{00000000-0005-0000-0000-0000305A0000}"/>
    <cellStyle name="Note 3 7" xfId="2999" xr:uid="{00000000-0005-0000-0000-0000315A0000}"/>
    <cellStyle name="Note 3 7 10" xfId="14943" xr:uid="{00000000-0005-0000-0000-0000325A0000}"/>
    <cellStyle name="Note 3 7 10 2" xfId="16911" xr:uid="{00000000-0005-0000-0000-0000335A0000}"/>
    <cellStyle name="Note 3 7 11" xfId="15080" xr:uid="{00000000-0005-0000-0000-0000345A0000}"/>
    <cellStyle name="Note 3 7 11 2" xfId="36491" xr:uid="{00000000-0005-0000-0000-0000355A0000}"/>
    <cellStyle name="Note 3 7 12" xfId="31331" xr:uid="{00000000-0005-0000-0000-0000365A0000}"/>
    <cellStyle name="Note 3 7 2" xfId="3508" xr:uid="{00000000-0005-0000-0000-0000375A0000}"/>
    <cellStyle name="Note 3 7 2 10" xfId="14528" xr:uid="{00000000-0005-0000-0000-0000385A0000}"/>
    <cellStyle name="Note 3 7 2 10 2" xfId="36054" xr:uid="{00000000-0005-0000-0000-0000395A0000}"/>
    <cellStyle name="Note 3 7 2 11" xfId="31561" xr:uid="{00000000-0005-0000-0000-00003A5A0000}"/>
    <cellStyle name="Note 3 7 2 2" xfId="5635" xr:uid="{00000000-0005-0000-0000-00003B5A0000}"/>
    <cellStyle name="Note 3 7 2 2 2" xfId="24088" xr:uid="{00000000-0005-0000-0000-00003C5A0000}"/>
    <cellStyle name="Note 3 7 2 2 3" xfId="32246" xr:uid="{00000000-0005-0000-0000-00003D5A0000}"/>
    <cellStyle name="Note 3 7 2 2 4" xfId="19221" xr:uid="{00000000-0005-0000-0000-00003E5A0000}"/>
    <cellStyle name="Note 3 7 2 3" xfId="5127" xr:uid="{00000000-0005-0000-0000-00003F5A0000}"/>
    <cellStyle name="Note 3 7 2 3 2" xfId="23587" xr:uid="{00000000-0005-0000-0000-0000405A0000}"/>
    <cellStyle name="Note 3 7 2 3 3" xfId="31968" xr:uid="{00000000-0005-0000-0000-0000415A0000}"/>
    <cellStyle name="Note 3 7 2 3 4" xfId="18741" xr:uid="{00000000-0005-0000-0000-0000425A0000}"/>
    <cellStyle name="Note 3 7 2 4" xfId="5999" xr:uid="{00000000-0005-0000-0000-0000435A0000}"/>
    <cellStyle name="Note 3 7 2 4 2" xfId="24440" xr:uid="{00000000-0005-0000-0000-0000445A0000}"/>
    <cellStyle name="Note 3 7 2 4 3" xfId="32477" xr:uid="{00000000-0005-0000-0000-0000455A0000}"/>
    <cellStyle name="Note 3 7 2 4 4" xfId="19549" xr:uid="{00000000-0005-0000-0000-0000465A0000}"/>
    <cellStyle name="Note 3 7 2 5" xfId="7647" xr:uid="{00000000-0005-0000-0000-0000475A0000}"/>
    <cellStyle name="Note 3 7 2 5 2" xfId="26077" xr:uid="{00000000-0005-0000-0000-0000485A0000}"/>
    <cellStyle name="Note 3 7 2 5 3" xfId="32892" xr:uid="{00000000-0005-0000-0000-0000495A0000}"/>
    <cellStyle name="Note 3 7 2 5 4" xfId="21002" xr:uid="{00000000-0005-0000-0000-00004A5A0000}"/>
    <cellStyle name="Note 3 7 2 6" xfId="8021" xr:uid="{00000000-0005-0000-0000-00004B5A0000}"/>
    <cellStyle name="Note 3 7 2 6 2" xfId="26451" xr:uid="{00000000-0005-0000-0000-00004C5A0000}"/>
    <cellStyle name="Note 3 7 2 6 3" xfId="32964" xr:uid="{00000000-0005-0000-0000-00004D5A0000}"/>
    <cellStyle name="Note 3 7 2 6 4" xfId="21375" xr:uid="{00000000-0005-0000-0000-00004E5A0000}"/>
    <cellStyle name="Note 3 7 2 7" xfId="8745" xr:uid="{00000000-0005-0000-0000-00004F5A0000}"/>
    <cellStyle name="Note 3 7 2 7 2" xfId="27165" xr:uid="{00000000-0005-0000-0000-0000505A0000}"/>
    <cellStyle name="Note 3 7 2 7 3" xfId="33136" xr:uid="{00000000-0005-0000-0000-0000515A0000}"/>
    <cellStyle name="Note 3 7 2 7 4" xfId="22036" xr:uid="{00000000-0005-0000-0000-0000525A0000}"/>
    <cellStyle name="Note 3 7 2 8" xfId="4237" xr:uid="{00000000-0005-0000-0000-0000535A0000}"/>
    <cellStyle name="Note 3 7 2 8 2" xfId="22701" xr:uid="{00000000-0005-0000-0000-0000545A0000}"/>
    <cellStyle name="Note 3 7 2 8 3" xfId="31739" xr:uid="{00000000-0005-0000-0000-0000555A0000}"/>
    <cellStyle name="Note 3 7 2 8 4" xfId="17919" xr:uid="{00000000-0005-0000-0000-0000565A0000}"/>
    <cellStyle name="Note 3 7 2 9" xfId="14944" xr:uid="{00000000-0005-0000-0000-0000575A0000}"/>
    <cellStyle name="Note 3 7 2 9 2" xfId="17248" xr:uid="{00000000-0005-0000-0000-0000585A0000}"/>
    <cellStyle name="Note 3 7 3" xfId="5261" xr:uid="{00000000-0005-0000-0000-0000595A0000}"/>
    <cellStyle name="Note 3 7 3 2" xfId="23721" xr:uid="{00000000-0005-0000-0000-00005A5A0000}"/>
    <cellStyle name="Note 3 7 3 3" xfId="32038" xr:uid="{00000000-0005-0000-0000-00005B5A0000}"/>
    <cellStyle name="Note 3 7 3 4" xfId="18874" xr:uid="{00000000-0005-0000-0000-00005C5A0000}"/>
    <cellStyle name="Note 3 7 4" xfId="4851" xr:uid="{00000000-0005-0000-0000-00005D5A0000}"/>
    <cellStyle name="Note 3 7 4 2" xfId="23311" xr:uid="{00000000-0005-0000-0000-00005E5A0000}"/>
    <cellStyle name="Note 3 7 4 3" xfId="31834" xr:uid="{00000000-0005-0000-0000-00005F5A0000}"/>
    <cellStyle name="Note 3 7 4 4" xfId="18465" xr:uid="{00000000-0005-0000-0000-0000605A0000}"/>
    <cellStyle name="Note 3 7 5" xfId="6351" xr:uid="{00000000-0005-0000-0000-0000615A0000}"/>
    <cellStyle name="Note 3 7 5 2" xfId="24791" xr:uid="{00000000-0005-0000-0000-0000625A0000}"/>
    <cellStyle name="Note 3 7 5 3" xfId="32630" xr:uid="{00000000-0005-0000-0000-0000635A0000}"/>
    <cellStyle name="Note 3 7 5 4" xfId="19900" xr:uid="{00000000-0005-0000-0000-0000645A0000}"/>
    <cellStyle name="Note 3 7 6" xfId="7324" xr:uid="{00000000-0005-0000-0000-0000655A0000}"/>
    <cellStyle name="Note 3 7 6 2" xfId="25755" xr:uid="{00000000-0005-0000-0000-0000665A0000}"/>
    <cellStyle name="Note 3 7 6 3" xfId="32811" xr:uid="{00000000-0005-0000-0000-0000675A0000}"/>
    <cellStyle name="Note 3 7 6 4" xfId="20680" xr:uid="{00000000-0005-0000-0000-0000685A0000}"/>
    <cellStyle name="Note 3 7 7" xfId="6417" xr:uid="{00000000-0005-0000-0000-0000695A0000}"/>
    <cellStyle name="Note 3 7 7 2" xfId="24857" xr:uid="{00000000-0005-0000-0000-00006A5A0000}"/>
    <cellStyle name="Note 3 7 7 3" xfId="32688" xr:uid="{00000000-0005-0000-0000-00006B5A0000}"/>
    <cellStyle name="Note 3 7 7 4" xfId="19966" xr:uid="{00000000-0005-0000-0000-00006C5A0000}"/>
    <cellStyle name="Note 3 7 8" xfId="8424" xr:uid="{00000000-0005-0000-0000-00006D5A0000}"/>
    <cellStyle name="Note 3 7 8 2" xfId="26847" xr:uid="{00000000-0005-0000-0000-00006E5A0000}"/>
    <cellStyle name="Note 3 7 8 3" xfId="33056" xr:uid="{00000000-0005-0000-0000-00006F5A0000}"/>
    <cellStyle name="Note 3 7 8 4" xfId="21715" xr:uid="{00000000-0005-0000-0000-0000705A0000}"/>
    <cellStyle name="Note 3 7 9" xfId="3916" xr:uid="{00000000-0005-0000-0000-0000715A0000}"/>
    <cellStyle name="Note 3 7 9 2" xfId="22383" xr:uid="{00000000-0005-0000-0000-0000725A0000}"/>
    <cellStyle name="Note 3 7 9 3" xfId="31659" xr:uid="{00000000-0005-0000-0000-0000735A0000}"/>
    <cellStyle name="Note 3 7 9 4" xfId="17598" xr:uid="{00000000-0005-0000-0000-0000745A0000}"/>
    <cellStyle name="Note 3 8" xfId="3000" xr:uid="{00000000-0005-0000-0000-0000755A0000}"/>
    <cellStyle name="Note 3 8 10" xfId="14945" xr:uid="{00000000-0005-0000-0000-0000765A0000}"/>
    <cellStyle name="Note 3 8 10 2" xfId="16912" xr:uid="{00000000-0005-0000-0000-0000775A0000}"/>
    <cellStyle name="Note 3 8 11" xfId="14724" xr:uid="{00000000-0005-0000-0000-0000785A0000}"/>
    <cellStyle name="Note 3 8 11 2" xfId="36204" xr:uid="{00000000-0005-0000-0000-0000795A0000}"/>
    <cellStyle name="Note 3 8 12" xfId="31332" xr:uid="{00000000-0005-0000-0000-00007A5A0000}"/>
    <cellStyle name="Note 3 8 2" xfId="3509" xr:uid="{00000000-0005-0000-0000-00007B5A0000}"/>
    <cellStyle name="Note 3 8 2 10" xfId="14529" xr:uid="{00000000-0005-0000-0000-00007C5A0000}"/>
    <cellStyle name="Note 3 8 2 10 2" xfId="36055" xr:uid="{00000000-0005-0000-0000-00007D5A0000}"/>
    <cellStyle name="Note 3 8 2 11" xfId="31562" xr:uid="{00000000-0005-0000-0000-00007E5A0000}"/>
    <cellStyle name="Note 3 8 2 2" xfId="5636" xr:uid="{00000000-0005-0000-0000-00007F5A0000}"/>
    <cellStyle name="Note 3 8 2 2 2" xfId="24089" xr:uid="{00000000-0005-0000-0000-0000805A0000}"/>
    <cellStyle name="Note 3 8 2 2 3" xfId="32247" xr:uid="{00000000-0005-0000-0000-0000815A0000}"/>
    <cellStyle name="Note 3 8 2 2 4" xfId="19222" xr:uid="{00000000-0005-0000-0000-0000825A0000}"/>
    <cellStyle name="Note 3 8 2 3" xfId="5128" xr:uid="{00000000-0005-0000-0000-0000835A0000}"/>
    <cellStyle name="Note 3 8 2 3 2" xfId="23588" xr:uid="{00000000-0005-0000-0000-0000845A0000}"/>
    <cellStyle name="Note 3 8 2 3 3" xfId="31969" xr:uid="{00000000-0005-0000-0000-0000855A0000}"/>
    <cellStyle name="Note 3 8 2 3 4" xfId="18742" xr:uid="{00000000-0005-0000-0000-0000865A0000}"/>
    <cellStyle name="Note 3 8 2 4" xfId="5998" xr:uid="{00000000-0005-0000-0000-0000875A0000}"/>
    <cellStyle name="Note 3 8 2 4 2" xfId="24439" xr:uid="{00000000-0005-0000-0000-0000885A0000}"/>
    <cellStyle name="Note 3 8 2 4 3" xfId="32476" xr:uid="{00000000-0005-0000-0000-0000895A0000}"/>
    <cellStyle name="Note 3 8 2 4 4" xfId="19548" xr:uid="{00000000-0005-0000-0000-00008A5A0000}"/>
    <cellStyle name="Note 3 8 2 5" xfId="7648" xr:uid="{00000000-0005-0000-0000-00008B5A0000}"/>
    <cellStyle name="Note 3 8 2 5 2" xfId="26078" xr:uid="{00000000-0005-0000-0000-00008C5A0000}"/>
    <cellStyle name="Note 3 8 2 5 3" xfId="32893" xr:uid="{00000000-0005-0000-0000-00008D5A0000}"/>
    <cellStyle name="Note 3 8 2 5 4" xfId="21003" xr:uid="{00000000-0005-0000-0000-00008E5A0000}"/>
    <cellStyle name="Note 3 8 2 6" xfId="8022" xr:uid="{00000000-0005-0000-0000-00008F5A0000}"/>
    <cellStyle name="Note 3 8 2 6 2" xfId="26452" xr:uid="{00000000-0005-0000-0000-0000905A0000}"/>
    <cellStyle name="Note 3 8 2 6 3" xfId="32965" xr:uid="{00000000-0005-0000-0000-0000915A0000}"/>
    <cellStyle name="Note 3 8 2 6 4" xfId="21376" xr:uid="{00000000-0005-0000-0000-0000925A0000}"/>
    <cellStyle name="Note 3 8 2 7" xfId="8746" xr:uid="{00000000-0005-0000-0000-0000935A0000}"/>
    <cellStyle name="Note 3 8 2 7 2" xfId="27166" xr:uid="{00000000-0005-0000-0000-0000945A0000}"/>
    <cellStyle name="Note 3 8 2 7 3" xfId="33137" xr:uid="{00000000-0005-0000-0000-0000955A0000}"/>
    <cellStyle name="Note 3 8 2 7 4" xfId="22037" xr:uid="{00000000-0005-0000-0000-0000965A0000}"/>
    <cellStyle name="Note 3 8 2 8" xfId="4238" xr:uid="{00000000-0005-0000-0000-0000975A0000}"/>
    <cellStyle name="Note 3 8 2 8 2" xfId="22702" xr:uid="{00000000-0005-0000-0000-0000985A0000}"/>
    <cellStyle name="Note 3 8 2 8 3" xfId="31740" xr:uid="{00000000-0005-0000-0000-0000995A0000}"/>
    <cellStyle name="Note 3 8 2 8 4" xfId="17920" xr:uid="{00000000-0005-0000-0000-00009A5A0000}"/>
    <cellStyle name="Note 3 8 2 9" xfId="14946" xr:uid="{00000000-0005-0000-0000-00009B5A0000}"/>
    <cellStyle name="Note 3 8 2 9 2" xfId="17249" xr:uid="{00000000-0005-0000-0000-00009C5A0000}"/>
    <cellStyle name="Note 3 8 3" xfId="5262" xr:uid="{00000000-0005-0000-0000-00009D5A0000}"/>
    <cellStyle name="Note 3 8 3 2" xfId="23722" xr:uid="{00000000-0005-0000-0000-00009E5A0000}"/>
    <cellStyle name="Note 3 8 3 3" xfId="32039" xr:uid="{00000000-0005-0000-0000-00009F5A0000}"/>
    <cellStyle name="Note 3 8 3 4" xfId="18875" xr:uid="{00000000-0005-0000-0000-0000A05A0000}"/>
    <cellStyle name="Note 3 8 4" xfId="4852" xr:uid="{00000000-0005-0000-0000-0000A15A0000}"/>
    <cellStyle name="Note 3 8 4 2" xfId="23312" xr:uid="{00000000-0005-0000-0000-0000A25A0000}"/>
    <cellStyle name="Note 3 8 4 3" xfId="31835" xr:uid="{00000000-0005-0000-0000-0000A35A0000}"/>
    <cellStyle name="Note 3 8 4 4" xfId="18466" xr:uid="{00000000-0005-0000-0000-0000A45A0000}"/>
    <cellStyle name="Note 3 8 5" xfId="6350" xr:uid="{00000000-0005-0000-0000-0000A55A0000}"/>
    <cellStyle name="Note 3 8 5 2" xfId="24790" xr:uid="{00000000-0005-0000-0000-0000A65A0000}"/>
    <cellStyle name="Note 3 8 5 3" xfId="32629" xr:uid="{00000000-0005-0000-0000-0000A75A0000}"/>
    <cellStyle name="Note 3 8 5 4" xfId="19899" xr:uid="{00000000-0005-0000-0000-0000A85A0000}"/>
    <cellStyle name="Note 3 8 6" xfId="7325" xr:uid="{00000000-0005-0000-0000-0000A95A0000}"/>
    <cellStyle name="Note 3 8 6 2" xfId="25756" xr:uid="{00000000-0005-0000-0000-0000AA5A0000}"/>
    <cellStyle name="Note 3 8 6 3" xfId="32812" xr:uid="{00000000-0005-0000-0000-0000AB5A0000}"/>
    <cellStyle name="Note 3 8 6 4" xfId="20681" xr:uid="{00000000-0005-0000-0000-0000AC5A0000}"/>
    <cellStyle name="Note 3 8 7" xfId="6416" xr:uid="{00000000-0005-0000-0000-0000AD5A0000}"/>
    <cellStyle name="Note 3 8 7 2" xfId="24856" xr:uid="{00000000-0005-0000-0000-0000AE5A0000}"/>
    <cellStyle name="Note 3 8 7 3" xfId="32687" xr:uid="{00000000-0005-0000-0000-0000AF5A0000}"/>
    <cellStyle name="Note 3 8 7 4" xfId="19965" xr:uid="{00000000-0005-0000-0000-0000B05A0000}"/>
    <cellStyle name="Note 3 8 8" xfId="8425" xr:uid="{00000000-0005-0000-0000-0000B15A0000}"/>
    <cellStyle name="Note 3 8 8 2" xfId="26848" xr:uid="{00000000-0005-0000-0000-0000B25A0000}"/>
    <cellStyle name="Note 3 8 8 3" xfId="33057" xr:uid="{00000000-0005-0000-0000-0000B35A0000}"/>
    <cellStyle name="Note 3 8 8 4" xfId="21716" xr:uid="{00000000-0005-0000-0000-0000B45A0000}"/>
    <cellStyle name="Note 3 8 9" xfId="3917" xr:uid="{00000000-0005-0000-0000-0000B55A0000}"/>
    <cellStyle name="Note 3 8 9 2" xfId="22384" xr:uid="{00000000-0005-0000-0000-0000B65A0000}"/>
    <cellStyle name="Note 3 8 9 3" xfId="31660" xr:uid="{00000000-0005-0000-0000-0000B75A0000}"/>
    <cellStyle name="Note 3 8 9 4" xfId="17599" xr:uid="{00000000-0005-0000-0000-0000B85A0000}"/>
    <cellStyle name="Note 3 9" xfId="3001" xr:uid="{00000000-0005-0000-0000-0000B95A0000}"/>
    <cellStyle name="Note 3 9 10" xfId="14947" xr:uid="{00000000-0005-0000-0000-0000BA5A0000}"/>
    <cellStyle name="Note 3 9 10 2" xfId="16913" xr:uid="{00000000-0005-0000-0000-0000BB5A0000}"/>
    <cellStyle name="Note 3 9 11" xfId="16077" xr:uid="{00000000-0005-0000-0000-0000BC5A0000}"/>
    <cellStyle name="Note 3 9 11 2" xfId="37399" xr:uid="{00000000-0005-0000-0000-0000BD5A0000}"/>
    <cellStyle name="Note 3 9 12" xfId="31333" xr:uid="{00000000-0005-0000-0000-0000BE5A0000}"/>
    <cellStyle name="Note 3 9 2" xfId="3510" xr:uid="{00000000-0005-0000-0000-0000BF5A0000}"/>
    <cellStyle name="Note 3 9 2 10" xfId="14954" xr:uid="{00000000-0005-0000-0000-0000C05A0000}"/>
    <cellStyle name="Note 3 9 2 10 2" xfId="36387" xr:uid="{00000000-0005-0000-0000-0000C15A0000}"/>
    <cellStyle name="Note 3 9 2 11" xfId="31563" xr:uid="{00000000-0005-0000-0000-0000C25A0000}"/>
    <cellStyle name="Note 3 9 2 2" xfId="5637" xr:uid="{00000000-0005-0000-0000-0000C35A0000}"/>
    <cellStyle name="Note 3 9 2 2 2" xfId="24090" xr:uid="{00000000-0005-0000-0000-0000C45A0000}"/>
    <cellStyle name="Note 3 9 2 2 3" xfId="32248" xr:uid="{00000000-0005-0000-0000-0000C55A0000}"/>
    <cellStyle name="Note 3 9 2 2 4" xfId="19223" xr:uid="{00000000-0005-0000-0000-0000C65A0000}"/>
    <cellStyle name="Note 3 9 2 3" xfId="5129" xr:uid="{00000000-0005-0000-0000-0000C75A0000}"/>
    <cellStyle name="Note 3 9 2 3 2" xfId="23589" xr:uid="{00000000-0005-0000-0000-0000C85A0000}"/>
    <cellStyle name="Note 3 9 2 3 3" xfId="31970" xr:uid="{00000000-0005-0000-0000-0000C95A0000}"/>
    <cellStyle name="Note 3 9 2 3 4" xfId="18743" xr:uid="{00000000-0005-0000-0000-0000CA5A0000}"/>
    <cellStyle name="Note 3 9 2 4" xfId="5997" xr:uid="{00000000-0005-0000-0000-0000CB5A0000}"/>
    <cellStyle name="Note 3 9 2 4 2" xfId="24438" xr:uid="{00000000-0005-0000-0000-0000CC5A0000}"/>
    <cellStyle name="Note 3 9 2 4 3" xfId="32475" xr:uid="{00000000-0005-0000-0000-0000CD5A0000}"/>
    <cellStyle name="Note 3 9 2 4 4" xfId="19547" xr:uid="{00000000-0005-0000-0000-0000CE5A0000}"/>
    <cellStyle name="Note 3 9 2 5" xfId="7649" xr:uid="{00000000-0005-0000-0000-0000CF5A0000}"/>
    <cellStyle name="Note 3 9 2 5 2" xfId="26079" xr:uid="{00000000-0005-0000-0000-0000D05A0000}"/>
    <cellStyle name="Note 3 9 2 5 3" xfId="32894" xr:uid="{00000000-0005-0000-0000-0000D15A0000}"/>
    <cellStyle name="Note 3 9 2 5 4" xfId="21004" xr:uid="{00000000-0005-0000-0000-0000D25A0000}"/>
    <cellStyle name="Note 3 9 2 6" xfId="8023" xr:uid="{00000000-0005-0000-0000-0000D35A0000}"/>
    <cellStyle name="Note 3 9 2 6 2" xfId="26453" xr:uid="{00000000-0005-0000-0000-0000D45A0000}"/>
    <cellStyle name="Note 3 9 2 6 3" xfId="32966" xr:uid="{00000000-0005-0000-0000-0000D55A0000}"/>
    <cellStyle name="Note 3 9 2 6 4" xfId="21377" xr:uid="{00000000-0005-0000-0000-0000D65A0000}"/>
    <cellStyle name="Note 3 9 2 7" xfId="8747" xr:uid="{00000000-0005-0000-0000-0000D75A0000}"/>
    <cellStyle name="Note 3 9 2 7 2" xfId="27167" xr:uid="{00000000-0005-0000-0000-0000D85A0000}"/>
    <cellStyle name="Note 3 9 2 7 3" xfId="33138" xr:uid="{00000000-0005-0000-0000-0000D95A0000}"/>
    <cellStyle name="Note 3 9 2 7 4" xfId="22038" xr:uid="{00000000-0005-0000-0000-0000DA5A0000}"/>
    <cellStyle name="Note 3 9 2 8" xfId="4239" xr:uid="{00000000-0005-0000-0000-0000DB5A0000}"/>
    <cellStyle name="Note 3 9 2 8 2" xfId="22703" xr:uid="{00000000-0005-0000-0000-0000DC5A0000}"/>
    <cellStyle name="Note 3 9 2 8 3" xfId="31741" xr:uid="{00000000-0005-0000-0000-0000DD5A0000}"/>
    <cellStyle name="Note 3 9 2 8 4" xfId="17921" xr:uid="{00000000-0005-0000-0000-0000DE5A0000}"/>
    <cellStyle name="Note 3 9 2 9" xfId="14948" xr:uid="{00000000-0005-0000-0000-0000DF5A0000}"/>
    <cellStyle name="Note 3 9 2 9 2" xfId="17250" xr:uid="{00000000-0005-0000-0000-0000E05A0000}"/>
    <cellStyle name="Note 3 9 3" xfId="5263" xr:uid="{00000000-0005-0000-0000-0000E15A0000}"/>
    <cellStyle name="Note 3 9 3 2" xfId="23723" xr:uid="{00000000-0005-0000-0000-0000E25A0000}"/>
    <cellStyle name="Note 3 9 3 3" xfId="32040" xr:uid="{00000000-0005-0000-0000-0000E35A0000}"/>
    <cellStyle name="Note 3 9 3 4" xfId="18876" xr:uid="{00000000-0005-0000-0000-0000E45A0000}"/>
    <cellStyle name="Note 3 9 4" xfId="4853" xr:uid="{00000000-0005-0000-0000-0000E55A0000}"/>
    <cellStyle name="Note 3 9 4 2" xfId="23313" xr:uid="{00000000-0005-0000-0000-0000E65A0000}"/>
    <cellStyle name="Note 3 9 4 3" xfId="31836" xr:uid="{00000000-0005-0000-0000-0000E75A0000}"/>
    <cellStyle name="Note 3 9 4 4" xfId="18467" xr:uid="{00000000-0005-0000-0000-0000E85A0000}"/>
    <cellStyle name="Note 3 9 5" xfId="6349" xr:uid="{00000000-0005-0000-0000-0000E95A0000}"/>
    <cellStyle name="Note 3 9 5 2" xfId="24789" xr:uid="{00000000-0005-0000-0000-0000EA5A0000}"/>
    <cellStyle name="Note 3 9 5 3" xfId="32628" xr:uid="{00000000-0005-0000-0000-0000EB5A0000}"/>
    <cellStyle name="Note 3 9 5 4" xfId="19898" xr:uid="{00000000-0005-0000-0000-0000EC5A0000}"/>
    <cellStyle name="Note 3 9 6" xfId="7326" xr:uid="{00000000-0005-0000-0000-0000ED5A0000}"/>
    <cellStyle name="Note 3 9 6 2" xfId="25757" xr:uid="{00000000-0005-0000-0000-0000EE5A0000}"/>
    <cellStyle name="Note 3 9 6 3" xfId="32813" xr:uid="{00000000-0005-0000-0000-0000EF5A0000}"/>
    <cellStyle name="Note 3 9 6 4" xfId="20682" xr:uid="{00000000-0005-0000-0000-0000F05A0000}"/>
    <cellStyle name="Note 3 9 7" xfId="6415" xr:uid="{00000000-0005-0000-0000-0000F15A0000}"/>
    <cellStyle name="Note 3 9 7 2" xfId="24855" xr:uid="{00000000-0005-0000-0000-0000F25A0000}"/>
    <cellStyle name="Note 3 9 7 3" xfId="32686" xr:uid="{00000000-0005-0000-0000-0000F35A0000}"/>
    <cellStyle name="Note 3 9 7 4" xfId="19964" xr:uid="{00000000-0005-0000-0000-0000F45A0000}"/>
    <cellStyle name="Note 3 9 8" xfId="8426" xr:uid="{00000000-0005-0000-0000-0000F55A0000}"/>
    <cellStyle name="Note 3 9 8 2" xfId="26849" xr:uid="{00000000-0005-0000-0000-0000F65A0000}"/>
    <cellStyle name="Note 3 9 8 3" xfId="33058" xr:uid="{00000000-0005-0000-0000-0000F75A0000}"/>
    <cellStyle name="Note 3 9 8 4" xfId="21717" xr:uid="{00000000-0005-0000-0000-0000F85A0000}"/>
    <cellStyle name="Note 3 9 9" xfId="3918" xr:uid="{00000000-0005-0000-0000-0000F95A0000}"/>
    <cellStyle name="Note 3 9 9 2" xfId="22385" xr:uid="{00000000-0005-0000-0000-0000FA5A0000}"/>
    <cellStyle name="Note 3 9 9 3" xfId="31661" xr:uid="{00000000-0005-0000-0000-0000FB5A0000}"/>
    <cellStyle name="Note 3 9 9 4" xfId="17600" xr:uid="{00000000-0005-0000-0000-0000FC5A0000}"/>
    <cellStyle name="Note 3_PrimaryEnergyPrices_TIMES" xfId="39949" xr:uid="{00000000-0005-0000-0000-00001C0E0000}"/>
    <cellStyle name="Note 30" xfId="39950" xr:uid="{00000000-0005-0000-0000-00001D0E0000}"/>
    <cellStyle name="Note 31" xfId="39951" xr:uid="{00000000-0005-0000-0000-00001E0E0000}"/>
    <cellStyle name="Note 32" xfId="39952" xr:uid="{00000000-0005-0000-0000-00001F0E0000}"/>
    <cellStyle name="Note 33" xfId="39953" xr:uid="{00000000-0005-0000-0000-0000200E0000}"/>
    <cellStyle name="Note 34" xfId="39954" xr:uid="{00000000-0005-0000-0000-0000210E0000}"/>
    <cellStyle name="Note 35" xfId="39955" xr:uid="{00000000-0005-0000-0000-0000220E0000}"/>
    <cellStyle name="Note 36" xfId="39956" xr:uid="{00000000-0005-0000-0000-0000230E0000}"/>
    <cellStyle name="Note 37" xfId="39957" xr:uid="{00000000-0005-0000-0000-0000240E0000}"/>
    <cellStyle name="Note 38" xfId="39958" xr:uid="{00000000-0005-0000-0000-0000250E0000}"/>
    <cellStyle name="Note 39" xfId="39959" xr:uid="{00000000-0005-0000-0000-0000260E0000}"/>
    <cellStyle name="Note 4" xfId="3002" xr:uid="{00000000-0005-0000-0000-0000FD5A0000}"/>
    <cellStyle name="Note 4 10" xfId="3003" xr:uid="{00000000-0005-0000-0000-0000FE5A0000}"/>
    <cellStyle name="Note 4 10 10" xfId="16006" xr:uid="{00000000-0005-0000-0000-0000FF5A0000}"/>
    <cellStyle name="Note 4 10 10 2" xfId="16915" xr:uid="{00000000-0005-0000-0000-0000005B0000}"/>
    <cellStyle name="Note 4 10 11" xfId="15066" xr:uid="{00000000-0005-0000-0000-0000015B0000}"/>
    <cellStyle name="Note 4 10 11 2" xfId="36477" xr:uid="{00000000-0005-0000-0000-0000025B0000}"/>
    <cellStyle name="Note 4 10 12" xfId="31335" xr:uid="{00000000-0005-0000-0000-0000035B0000}"/>
    <cellStyle name="Note 4 10 2" xfId="3512" xr:uid="{00000000-0005-0000-0000-0000045B0000}"/>
    <cellStyle name="Note 4 10 2 10" xfId="14431" xr:uid="{00000000-0005-0000-0000-0000055B0000}"/>
    <cellStyle name="Note 4 10 2 10 2" xfId="35959" xr:uid="{00000000-0005-0000-0000-0000065B0000}"/>
    <cellStyle name="Note 4 10 2 11" xfId="31565" xr:uid="{00000000-0005-0000-0000-0000075B0000}"/>
    <cellStyle name="Note 4 10 2 2" xfId="5639" xr:uid="{00000000-0005-0000-0000-0000085B0000}"/>
    <cellStyle name="Note 4 10 2 2 2" xfId="24092" xr:uid="{00000000-0005-0000-0000-0000095B0000}"/>
    <cellStyle name="Note 4 10 2 2 3" xfId="32250" xr:uid="{00000000-0005-0000-0000-00000A5B0000}"/>
    <cellStyle name="Note 4 10 2 2 4" xfId="19225" xr:uid="{00000000-0005-0000-0000-00000B5B0000}"/>
    <cellStyle name="Note 4 10 2 3" xfId="5131" xr:uid="{00000000-0005-0000-0000-00000C5B0000}"/>
    <cellStyle name="Note 4 10 2 3 2" xfId="23591" xr:uid="{00000000-0005-0000-0000-00000D5B0000}"/>
    <cellStyle name="Note 4 10 2 3 3" xfId="31972" xr:uid="{00000000-0005-0000-0000-00000E5B0000}"/>
    <cellStyle name="Note 4 10 2 3 4" xfId="18745" xr:uid="{00000000-0005-0000-0000-00000F5B0000}"/>
    <cellStyle name="Note 4 10 2 4" xfId="5995" xr:uid="{00000000-0005-0000-0000-0000105B0000}"/>
    <cellStyle name="Note 4 10 2 4 2" xfId="24436" xr:uid="{00000000-0005-0000-0000-0000115B0000}"/>
    <cellStyle name="Note 4 10 2 4 3" xfId="32473" xr:uid="{00000000-0005-0000-0000-0000125B0000}"/>
    <cellStyle name="Note 4 10 2 4 4" xfId="19545" xr:uid="{00000000-0005-0000-0000-0000135B0000}"/>
    <cellStyle name="Note 4 10 2 5" xfId="7651" xr:uid="{00000000-0005-0000-0000-0000145B0000}"/>
    <cellStyle name="Note 4 10 2 5 2" xfId="26081" xr:uid="{00000000-0005-0000-0000-0000155B0000}"/>
    <cellStyle name="Note 4 10 2 5 3" xfId="32896" xr:uid="{00000000-0005-0000-0000-0000165B0000}"/>
    <cellStyle name="Note 4 10 2 5 4" xfId="21006" xr:uid="{00000000-0005-0000-0000-0000175B0000}"/>
    <cellStyle name="Note 4 10 2 6" xfId="8025" xr:uid="{00000000-0005-0000-0000-0000185B0000}"/>
    <cellStyle name="Note 4 10 2 6 2" xfId="26455" xr:uid="{00000000-0005-0000-0000-0000195B0000}"/>
    <cellStyle name="Note 4 10 2 6 3" xfId="32968" xr:uid="{00000000-0005-0000-0000-00001A5B0000}"/>
    <cellStyle name="Note 4 10 2 6 4" xfId="21379" xr:uid="{00000000-0005-0000-0000-00001B5B0000}"/>
    <cellStyle name="Note 4 10 2 7" xfId="8749" xr:uid="{00000000-0005-0000-0000-00001C5B0000}"/>
    <cellStyle name="Note 4 10 2 7 2" xfId="27169" xr:uid="{00000000-0005-0000-0000-00001D5B0000}"/>
    <cellStyle name="Note 4 10 2 7 3" xfId="33140" xr:uid="{00000000-0005-0000-0000-00001E5B0000}"/>
    <cellStyle name="Note 4 10 2 7 4" xfId="22040" xr:uid="{00000000-0005-0000-0000-00001F5B0000}"/>
    <cellStyle name="Note 4 10 2 8" xfId="4241" xr:uid="{00000000-0005-0000-0000-0000205B0000}"/>
    <cellStyle name="Note 4 10 2 8 2" xfId="22705" xr:uid="{00000000-0005-0000-0000-0000215B0000}"/>
    <cellStyle name="Note 4 10 2 8 3" xfId="31743" xr:uid="{00000000-0005-0000-0000-0000225B0000}"/>
    <cellStyle name="Note 4 10 2 8 4" xfId="17923" xr:uid="{00000000-0005-0000-0000-0000235B0000}"/>
    <cellStyle name="Note 4 10 2 9" xfId="16007" xr:uid="{00000000-0005-0000-0000-0000245B0000}"/>
    <cellStyle name="Note 4 10 2 9 2" xfId="17252" xr:uid="{00000000-0005-0000-0000-0000255B0000}"/>
    <cellStyle name="Note 4 10 3" xfId="5265" xr:uid="{00000000-0005-0000-0000-0000265B0000}"/>
    <cellStyle name="Note 4 10 3 2" xfId="23725" xr:uid="{00000000-0005-0000-0000-0000275B0000}"/>
    <cellStyle name="Note 4 10 3 3" xfId="32042" xr:uid="{00000000-0005-0000-0000-0000285B0000}"/>
    <cellStyle name="Note 4 10 3 4" xfId="18878" xr:uid="{00000000-0005-0000-0000-0000295B0000}"/>
    <cellStyle name="Note 4 10 4" xfId="4855" xr:uid="{00000000-0005-0000-0000-00002A5B0000}"/>
    <cellStyle name="Note 4 10 4 2" xfId="23315" xr:uid="{00000000-0005-0000-0000-00002B5B0000}"/>
    <cellStyle name="Note 4 10 4 3" xfId="31838" xr:uid="{00000000-0005-0000-0000-00002C5B0000}"/>
    <cellStyle name="Note 4 10 4 4" xfId="18469" xr:uid="{00000000-0005-0000-0000-00002D5B0000}"/>
    <cellStyle name="Note 4 10 5" xfId="6347" xr:uid="{00000000-0005-0000-0000-00002E5B0000}"/>
    <cellStyle name="Note 4 10 5 2" xfId="24787" xr:uid="{00000000-0005-0000-0000-00002F5B0000}"/>
    <cellStyle name="Note 4 10 5 3" xfId="32626" xr:uid="{00000000-0005-0000-0000-0000305B0000}"/>
    <cellStyle name="Note 4 10 5 4" xfId="19896" xr:uid="{00000000-0005-0000-0000-0000315B0000}"/>
    <cellStyle name="Note 4 10 6" xfId="7328" xr:uid="{00000000-0005-0000-0000-0000325B0000}"/>
    <cellStyle name="Note 4 10 6 2" xfId="25759" xr:uid="{00000000-0005-0000-0000-0000335B0000}"/>
    <cellStyle name="Note 4 10 6 3" xfId="32815" xr:uid="{00000000-0005-0000-0000-0000345B0000}"/>
    <cellStyle name="Note 4 10 6 4" xfId="20684" xr:uid="{00000000-0005-0000-0000-0000355B0000}"/>
    <cellStyle name="Note 4 10 7" xfId="6413" xr:uid="{00000000-0005-0000-0000-0000365B0000}"/>
    <cellStyle name="Note 4 10 7 2" xfId="24853" xr:uid="{00000000-0005-0000-0000-0000375B0000}"/>
    <cellStyle name="Note 4 10 7 3" xfId="32684" xr:uid="{00000000-0005-0000-0000-0000385B0000}"/>
    <cellStyle name="Note 4 10 7 4" xfId="19962" xr:uid="{00000000-0005-0000-0000-0000395B0000}"/>
    <cellStyle name="Note 4 10 8" xfId="8428" xr:uid="{00000000-0005-0000-0000-00003A5B0000}"/>
    <cellStyle name="Note 4 10 8 2" xfId="26851" xr:uid="{00000000-0005-0000-0000-00003B5B0000}"/>
    <cellStyle name="Note 4 10 8 3" xfId="33060" xr:uid="{00000000-0005-0000-0000-00003C5B0000}"/>
    <cellStyle name="Note 4 10 8 4" xfId="21719" xr:uid="{00000000-0005-0000-0000-00003D5B0000}"/>
    <cellStyle name="Note 4 10 9" xfId="3920" xr:uid="{00000000-0005-0000-0000-00003E5B0000}"/>
    <cellStyle name="Note 4 10 9 2" xfId="22387" xr:uid="{00000000-0005-0000-0000-00003F5B0000}"/>
    <cellStyle name="Note 4 10 9 3" xfId="31663" xr:uid="{00000000-0005-0000-0000-0000405B0000}"/>
    <cellStyle name="Note 4 10 9 4" xfId="17602" xr:uid="{00000000-0005-0000-0000-0000415B0000}"/>
    <cellStyle name="Note 4 11" xfId="3004" xr:uid="{00000000-0005-0000-0000-0000425B0000}"/>
    <cellStyle name="Note 4 11 10" xfId="15328" xr:uid="{00000000-0005-0000-0000-0000435B0000}"/>
    <cellStyle name="Note 4 11 10 2" xfId="16916" xr:uid="{00000000-0005-0000-0000-0000445B0000}"/>
    <cellStyle name="Note 4 11 11" xfId="15314" xr:uid="{00000000-0005-0000-0000-0000455B0000}"/>
    <cellStyle name="Note 4 11 11 2" xfId="36705" xr:uid="{00000000-0005-0000-0000-0000465B0000}"/>
    <cellStyle name="Note 4 11 12" xfId="31336" xr:uid="{00000000-0005-0000-0000-0000475B0000}"/>
    <cellStyle name="Note 4 11 2" xfId="3513" xr:uid="{00000000-0005-0000-0000-0000485B0000}"/>
    <cellStyle name="Note 4 11 2 10" xfId="16446" xr:uid="{00000000-0005-0000-0000-0000495B0000}"/>
    <cellStyle name="Note 4 11 2 10 2" xfId="37715" xr:uid="{00000000-0005-0000-0000-00004A5B0000}"/>
    <cellStyle name="Note 4 11 2 11" xfId="31566" xr:uid="{00000000-0005-0000-0000-00004B5B0000}"/>
    <cellStyle name="Note 4 11 2 2" xfId="5640" xr:uid="{00000000-0005-0000-0000-00004C5B0000}"/>
    <cellStyle name="Note 4 11 2 2 2" xfId="24093" xr:uid="{00000000-0005-0000-0000-00004D5B0000}"/>
    <cellStyle name="Note 4 11 2 2 3" xfId="32251" xr:uid="{00000000-0005-0000-0000-00004E5B0000}"/>
    <cellStyle name="Note 4 11 2 2 4" xfId="19226" xr:uid="{00000000-0005-0000-0000-00004F5B0000}"/>
    <cellStyle name="Note 4 11 2 3" xfId="5132" xr:uid="{00000000-0005-0000-0000-0000505B0000}"/>
    <cellStyle name="Note 4 11 2 3 2" xfId="23592" xr:uid="{00000000-0005-0000-0000-0000515B0000}"/>
    <cellStyle name="Note 4 11 2 3 3" xfId="31973" xr:uid="{00000000-0005-0000-0000-0000525B0000}"/>
    <cellStyle name="Note 4 11 2 3 4" xfId="18746" xr:uid="{00000000-0005-0000-0000-0000535B0000}"/>
    <cellStyle name="Note 4 11 2 4" xfId="5994" xr:uid="{00000000-0005-0000-0000-0000545B0000}"/>
    <cellStyle name="Note 4 11 2 4 2" xfId="24435" xr:uid="{00000000-0005-0000-0000-0000555B0000}"/>
    <cellStyle name="Note 4 11 2 4 3" xfId="32472" xr:uid="{00000000-0005-0000-0000-0000565B0000}"/>
    <cellStyle name="Note 4 11 2 4 4" xfId="19544" xr:uid="{00000000-0005-0000-0000-0000575B0000}"/>
    <cellStyle name="Note 4 11 2 5" xfId="7652" xr:uid="{00000000-0005-0000-0000-0000585B0000}"/>
    <cellStyle name="Note 4 11 2 5 2" xfId="26082" xr:uid="{00000000-0005-0000-0000-0000595B0000}"/>
    <cellStyle name="Note 4 11 2 5 3" xfId="32897" xr:uid="{00000000-0005-0000-0000-00005A5B0000}"/>
    <cellStyle name="Note 4 11 2 5 4" xfId="21007" xr:uid="{00000000-0005-0000-0000-00005B5B0000}"/>
    <cellStyle name="Note 4 11 2 6" xfId="8026" xr:uid="{00000000-0005-0000-0000-00005C5B0000}"/>
    <cellStyle name="Note 4 11 2 6 2" xfId="26456" xr:uid="{00000000-0005-0000-0000-00005D5B0000}"/>
    <cellStyle name="Note 4 11 2 6 3" xfId="32969" xr:uid="{00000000-0005-0000-0000-00005E5B0000}"/>
    <cellStyle name="Note 4 11 2 6 4" xfId="21380" xr:uid="{00000000-0005-0000-0000-00005F5B0000}"/>
    <cellStyle name="Note 4 11 2 7" xfId="8750" xr:uid="{00000000-0005-0000-0000-0000605B0000}"/>
    <cellStyle name="Note 4 11 2 7 2" xfId="27170" xr:uid="{00000000-0005-0000-0000-0000615B0000}"/>
    <cellStyle name="Note 4 11 2 7 3" xfId="33141" xr:uid="{00000000-0005-0000-0000-0000625B0000}"/>
    <cellStyle name="Note 4 11 2 7 4" xfId="22041" xr:uid="{00000000-0005-0000-0000-0000635B0000}"/>
    <cellStyle name="Note 4 11 2 8" xfId="4242" xr:uid="{00000000-0005-0000-0000-0000645B0000}"/>
    <cellStyle name="Note 4 11 2 8 2" xfId="22706" xr:uid="{00000000-0005-0000-0000-0000655B0000}"/>
    <cellStyle name="Note 4 11 2 8 3" xfId="31744" xr:uid="{00000000-0005-0000-0000-0000665B0000}"/>
    <cellStyle name="Note 4 11 2 8 4" xfId="17924" xr:uid="{00000000-0005-0000-0000-0000675B0000}"/>
    <cellStyle name="Note 4 11 2 9" xfId="15389" xr:uid="{00000000-0005-0000-0000-0000685B0000}"/>
    <cellStyle name="Note 4 11 2 9 2" xfId="17253" xr:uid="{00000000-0005-0000-0000-0000695B0000}"/>
    <cellStyle name="Note 4 11 3" xfId="5266" xr:uid="{00000000-0005-0000-0000-00006A5B0000}"/>
    <cellStyle name="Note 4 11 3 2" xfId="23726" xr:uid="{00000000-0005-0000-0000-00006B5B0000}"/>
    <cellStyle name="Note 4 11 3 3" xfId="32043" xr:uid="{00000000-0005-0000-0000-00006C5B0000}"/>
    <cellStyle name="Note 4 11 3 4" xfId="18879" xr:uid="{00000000-0005-0000-0000-00006D5B0000}"/>
    <cellStyle name="Note 4 11 4" xfId="4856" xr:uid="{00000000-0005-0000-0000-00006E5B0000}"/>
    <cellStyle name="Note 4 11 4 2" xfId="23316" xr:uid="{00000000-0005-0000-0000-00006F5B0000}"/>
    <cellStyle name="Note 4 11 4 3" xfId="31839" xr:uid="{00000000-0005-0000-0000-0000705B0000}"/>
    <cellStyle name="Note 4 11 4 4" xfId="18470" xr:uid="{00000000-0005-0000-0000-0000715B0000}"/>
    <cellStyle name="Note 4 11 5" xfId="6346" xr:uid="{00000000-0005-0000-0000-0000725B0000}"/>
    <cellStyle name="Note 4 11 5 2" xfId="24786" xr:uid="{00000000-0005-0000-0000-0000735B0000}"/>
    <cellStyle name="Note 4 11 5 3" xfId="32625" xr:uid="{00000000-0005-0000-0000-0000745B0000}"/>
    <cellStyle name="Note 4 11 5 4" xfId="19895" xr:uid="{00000000-0005-0000-0000-0000755B0000}"/>
    <cellStyle name="Note 4 11 6" xfId="7329" xr:uid="{00000000-0005-0000-0000-0000765B0000}"/>
    <cellStyle name="Note 4 11 6 2" xfId="25760" xr:uid="{00000000-0005-0000-0000-0000775B0000}"/>
    <cellStyle name="Note 4 11 6 3" xfId="32816" xr:uid="{00000000-0005-0000-0000-0000785B0000}"/>
    <cellStyle name="Note 4 11 6 4" xfId="20685" xr:uid="{00000000-0005-0000-0000-0000795B0000}"/>
    <cellStyle name="Note 4 11 7" xfId="6412" xr:uid="{00000000-0005-0000-0000-00007A5B0000}"/>
    <cellStyle name="Note 4 11 7 2" xfId="24852" xr:uid="{00000000-0005-0000-0000-00007B5B0000}"/>
    <cellStyle name="Note 4 11 7 3" xfId="32683" xr:uid="{00000000-0005-0000-0000-00007C5B0000}"/>
    <cellStyle name="Note 4 11 7 4" xfId="19961" xr:uid="{00000000-0005-0000-0000-00007D5B0000}"/>
    <cellStyle name="Note 4 11 8" xfId="8429" xr:uid="{00000000-0005-0000-0000-00007E5B0000}"/>
    <cellStyle name="Note 4 11 8 2" xfId="26852" xr:uid="{00000000-0005-0000-0000-00007F5B0000}"/>
    <cellStyle name="Note 4 11 8 3" xfId="33061" xr:uid="{00000000-0005-0000-0000-0000805B0000}"/>
    <cellStyle name="Note 4 11 8 4" xfId="21720" xr:uid="{00000000-0005-0000-0000-0000815B0000}"/>
    <cellStyle name="Note 4 11 9" xfId="3921" xr:uid="{00000000-0005-0000-0000-0000825B0000}"/>
    <cellStyle name="Note 4 11 9 2" xfId="22388" xr:uid="{00000000-0005-0000-0000-0000835B0000}"/>
    <cellStyle name="Note 4 11 9 3" xfId="31664" xr:uid="{00000000-0005-0000-0000-0000845B0000}"/>
    <cellStyle name="Note 4 11 9 4" xfId="17603" xr:uid="{00000000-0005-0000-0000-0000855B0000}"/>
    <cellStyle name="Note 4 12" xfId="3511" xr:uid="{00000000-0005-0000-0000-0000865B0000}"/>
    <cellStyle name="Note 4 12 10" xfId="15038" xr:uid="{00000000-0005-0000-0000-0000875B0000}"/>
    <cellStyle name="Note 4 12 10 2" xfId="36460" xr:uid="{00000000-0005-0000-0000-0000885B0000}"/>
    <cellStyle name="Note 4 12 11" xfId="31564" xr:uid="{00000000-0005-0000-0000-0000895B0000}"/>
    <cellStyle name="Note 4 12 2" xfId="5638" xr:uid="{00000000-0005-0000-0000-00008A5B0000}"/>
    <cellStyle name="Note 4 12 2 2" xfId="24091" xr:uid="{00000000-0005-0000-0000-00008B5B0000}"/>
    <cellStyle name="Note 4 12 2 3" xfId="32249" xr:uid="{00000000-0005-0000-0000-00008C5B0000}"/>
    <cellStyle name="Note 4 12 2 4" xfId="19224" xr:uid="{00000000-0005-0000-0000-00008D5B0000}"/>
    <cellStyle name="Note 4 12 3" xfId="5130" xr:uid="{00000000-0005-0000-0000-00008E5B0000}"/>
    <cellStyle name="Note 4 12 3 2" xfId="23590" xr:uid="{00000000-0005-0000-0000-00008F5B0000}"/>
    <cellStyle name="Note 4 12 3 3" xfId="31971" xr:uid="{00000000-0005-0000-0000-0000905B0000}"/>
    <cellStyle name="Note 4 12 3 4" xfId="18744" xr:uid="{00000000-0005-0000-0000-0000915B0000}"/>
    <cellStyle name="Note 4 12 4" xfId="5996" xr:uid="{00000000-0005-0000-0000-0000925B0000}"/>
    <cellStyle name="Note 4 12 4 2" xfId="24437" xr:uid="{00000000-0005-0000-0000-0000935B0000}"/>
    <cellStyle name="Note 4 12 4 3" xfId="32474" xr:uid="{00000000-0005-0000-0000-0000945B0000}"/>
    <cellStyle name="Note 4 12 4 4" xfId="19546" xr:uid="{00000000-0005-0000-0000-0000955B0000}"/>
    <cellStyle name="Note 4 12 5" xfId="7650" xr:uid="{00000000-0005-0000-0000-0000965B0000}"/>
    <cellStyle name="Note 4 12 5 2" xfId="26080" xr:uid="{00000000-0005-0000-0000-0000975B0000}"/>
    <cellStyle name="Note 4 12 5 3" xfId="32895" xr:uid="{00000000-0005-0000-0000-0000985B0000}"/>
    <cellStyle name="Note 4 12 5 4" xfId="21005" xr:uid="{00000000-0005-0000-0000-0000995B0000}"/>
    <cellStyle name="Note 4 12 6" xfId="8024" xr:uid="{00000000-0005-0000-0000-00009A5B0000}"/>
    <cellStyle name="Note 4 12 6 2" xfId="26454" xr:uid="{00000000-0005-0000-0000-00009B5B0000}"/>
    <cellStyle name="Note 4 12 6 3" xfId="32967" xr:uid="{00000000-0005-0000-0000-00009C5B0000}"/>
    <cellStyle name="Note 4 12 6 4" xfId="21378" xr:uid="{00000000-0005-0000-0000-00009D5B0000}"/>
    <cellStyle name="Note 4 12 7" xfId="8748" xr:uid="{00000000-0005-0000-0000-00009E5B0000}"/>
    <cellStyle name="Note 4 12 7 2" xfId="27168" xr:uid="{00000000-0005-0000-0000-00009F5B0000}"/>
    <cellStyle name="Note 4 12 7 3" xfId="33139" xr:uid="{00000000-0005-0000-0000-0000A05B0000}"/>
    <cellStyle name="Note 4 12 7 4" xfId="22039" xr:uid="{00000000-0005-0000-0000-0000A15B0000}"/>
    <cellStyle name="Note 4 12 8" xfId="4240" xr:uid="{00000000-0005-0000-0000-0000A25B0000}"/>
    <cellStyle name="Note 4 12 8 2" xfId="22704" xr:uid="{00000000-0005-0000-0000-0000A35B0000}"/>
    <cellStyle name="Note 4 12 8 3" xfId="31742" xr:uid="{00000000-0005-0000-0000-0000A45B0000}"/>
    <cellStyle name="Note 4 12 8 4" xfId="17922" xr:uid="{00000000-0005-0000-0000-0000A55B0000}"/>
    <cellStyle name="Note 4 12 9" xfId="15286" xr:uid="{00000000-0005-0000-0000-0000A65B0000}"/>
    <cellStyle name="Note 4 12 9 2" xfId="17251" xr:uid="{00000000-0005-0000-0000-0000A75B0000}"/>
    <cellStyle name="Note 4 13" xfId="5264" xr:uid="{00000000-0005-0000-0000-0000A85B0000}"/>
    <cellStyle name="Note 4 13 2" xfId="23724" xr:uid="{00000000-0005-0000-0000-0000A95B0000}"/>
    <cellStyle name="Note 4 13 3" xfId="32041" xr:uid="{00000000-0005-0000-0000-0000AA5B0000}"/>
    <cellStyle name="Note 4 13 4" xfId="18877" xr:uid="{00000000-0005-0000-0000-0000AB5B0000}"/>
    <cellStyle name="Note 4 14" xfId="4854" xr:uid="{00000000-0005-0000-0000-0000AC5B0000}"/>
    <cellStyle name="Note 4 14 2" xfId="23314" xr:uid="{00000000-0005-0000-0000-0000AD5B0000}"/>
    <cellStyle name="Note 4 14 3" xfId="31837" xr:uid="{00000000-0005-0000-0000-0000AE5B0000}"/>
    <cellStyle name="Note 4 14 4" xfId="18468" xr:uid="{00000000-0005-0000-0000-0000AF5B0000}"/>
    <cellStyle name="Note 4 15" xfId="6348" xr:uid="{00000000-0005-0000-0000-0000B05B0000}"/>
    <cellStyle name="Note 4 15 2" xfId="24788" xr:uid="{00000000-0005-0000-0000-0000B15B0000}"/>
    <cellStyle name="Note 4 15 3" xfId="32627" xr:uid="{00000000-0005-0000-0000-0000B25B0000}"/>
    <cellStyle name="Note 4 15 4" xfId="19897" xr:uid="{00000000-0005-0000-0000-0000B35B0000}"/>
    <cellStyle name="Note 4 16" xfId="7327" xr:uid="{00000000-0005-0000-0000-0000B45B0000}"/>
    <cellStyle name="Note 4 16 2" xfId="25758" xr:uid="{00000000-0005-0000-0000-0000B55B0000}"/>
    <cellStyle name="Note 4 16 3" xfId="32814" xr:uid="{00000000-0005-0000-0000-0000B65B0000}"/>
    <cellStyle name="Note 4 16 4" xfId="20683" xr:uid="{00000000-0005-0000-0000-0000B75B0000}"/>
    <cellStyle name="Note 4 17" xfId="6414" xr:uid="{00000000-0005-0000-0000-0000B85B0000}"/>
    <cellStyle name="Note 4 17 2" xfId="24854" xr:uid="{00000000-0005-0000-0000-0000B95B0000}"/>
    <cellStyle name="Note 4 17 3" xfId="32685" xr:uid="{00000000-0005-0000-0000-0000BA5B0000}"/>
    <cellStyle name="Note 4 17 4" xfId="19963" xr:uid="{00000000-0005-0000-0000-0000BB5B0000}"/>
    <cellStyle name="Note 4 18" xfId="8427" xr:uid="{00000000-0005-0000-0000-0000BC5B0000}"/>
    <cellStyle name="Note 4 18 2" xfId="26850" xr:uid="{00000000-0005-0000-0000-0000BD5B0000}"/>
    <cellStyle name="Note 4 18 3" xfId="33059" xr:uid="{00000000-0005-0000-0000-0000BE5B0000}"/>
    <cellStyle name="Note 4 18 4" xfId="21718" xr:uid="{00000000-0005-0000-0000-0000BF5B0000}"/>
    <cellStyle name="Note 4 19" xfId="3919" xr:uid="{00000000-0005-0000-0000-0000C05B0000}"/>
    <cellStyle name="Note 4 19 2" xfId="22386" xr:uid="{00000000-0005-0000-0000-0000C15B0000}"/>
    <cellStyle name="Note 4 19 3" xfId="31662" xr:uid="{00000000-0005-0000-0000-0000C25B0000}"/>
    <cellStyle name="Note 4 19 4" xfId="17601" xr:uid="{00000000-0005-0000-0000-0000C35B0000}"/>
    <cellStyle name="Note 4 2" xfId="3005" xr:uid="{00000000-0005-0000-0000-0000C45B0000}"/>
    <cellStyle name="Note 4 2 10" xfId="16382" xr:uid="{00000000-0005-0000-0000-0000C55B0000}"/>
    <cellStyle name="Note 4 2 10 2" xfId="16917" xr:uid="{00000000-0005-0000-0000-0000C65B0000}"/>
    <cellStyle name="Note 4 2 11" xfId="15999" xr:uid="{00000000-0005-0000-0000-0000C75B0000}"/>
    <cellStyle name="Note 4 2 11 2" xfId="37352" xr:uid="{00000000-0005-0000-0000-0000C85B0000}"/>
    <cellStyle name="Note 4 2 12" xfId="31337" xr:uid="{00000000-0005-0000-0000-0000C95B0000}"/>
    <cellStyle name="Note 4 2 13" xfId="39960" xr:uid="{00000000-0005-0000-0000-0000280E0000}"/>
    <cellStyle name="Note 4 2 2" xfId="3514" xr:uid="{00000000-0005-0000-0000-0000CA5B0000}"/>
    <cellStyle name="Note 4 2 2 10" xfId="14550" xr:uid="{00000000-0005-0000-0000-0000CB5B0000}"/>
    <cellStyle name="Note 4 2 2 10 2" xfId="36073" xr:uid="{00000000-0005-0000-0000-0000CC5B0000}"/>
    <cellStyle name="Note 4 2 2 11" xfId="31567" xr:uid="{00000000-0005-0000-0000-0000CD5B0000}"/>
    <cellStyle name="Note 4 2 2 2" xfId="5641" xr:uid="{00000000-0005-0000-0000-0000CE5B0000}"/>
    <cellStyle name="Note 4 2 2 2 2" xfId="24094" xr:uid="{00000000-0005-0000-0000-0000CF5B0000}"/>
    <cellStyle name="Note 4 2 2 2 3" xfId="32252" xr:uid="{00000000-0005-0000-0000-0000D05B0000}"/>
    <cellStyle name="Note 4 2 2 2 4" xfId="19227" xr:uid="{00000000-0005-0000-0000-0000D15B0000}"/>
    <cellStyle name="Note 4 2 2 3" xfId="5133" xr:uid="{00000000-0005-0000-0000-0000D25B0000}"/>
    <cellStyle name="Note 4 2 2 3 2" xfId="23593" xr:uid="{00000000-0005-0000-0000-0000D35B0000}"/>
    <cellStyle name="Note 4 2 2 3 3" xfId="31974" xr:uid="{00000000-0005-0000-0000-0000D45B0000}"/>
    <cellStyle name="Note 4 2 2 3 4" xfId="18747" xr:uid="{00000000-0005-0000-0000-0000D55B0000}"/>
    <cellStyle name="Note 4 2 2 4" xfId="5993" xr:uid="{00000000-0005-0000-0000-0000D65B0000}"/>
    <cellStyle name="Note 4 2 2 4 2" xfId="24434" xr:uid="{00000000-0005-0000-0000-0000D75B0000}"/>
    <cellStyle name="Note 4 2 2 4 3" xfId="32471" xr:uid="{00000000-0005-0000-0000-0000D85B0000}"/>
    <cellStyle name="Note 4 2 2 4 4" xfId="19543" xr:uid="{00000000-0005-0000-0000-0000D95B0000}"/>
    <cellStyle name="Note 4 2 2 5" xfId="7653" xr:uid="{00000000-0005-0000-0000-0000DA5B0000}"/>
    <cellStyle name="Note 4 2 2 5 2" xfId="26083" xr:uid="{00000000-0005-0000-0000-0000DB5B0000}"/>
    <cellStyle name="Note 4 2 2 5 3" xfId="32898" xr:uid="{00000000-0005-0000-0000-0000DC5B0000}"/>
    <cellStyle name="Note 4 2 2 5 4" xfId="21008" xr:uid="{00000000-0005-0000-0000-0000DD5B0000}"/>
    <cellStyle name="Note 4 2 2 6" xfId="8027" xr:uid="{00000000-0005-0000-0000-0000DE5B0000}"/>
    <cellStyle name="Note 4 2 2 6 2" xfId="26457" xr:uid="{00000000-0005-0000-0000-0000DF5B0000}"/>
    <cellStyle name="Note 4 2 2 6 3" xfId="32970" xr:uid="{00000000-0005-0000-0000-0000E05B0000}"/>
    <cellStyle name="Note 4 2 2 6 4" xfId="21381" xr:uid="{00000000-0005-0000-0000-0000E15B0000}"/>
    <cellStyle name="Note 4 2 2 7" xfId="8751" xr:uid="{00000000-0005-0000-0000-0000E25B0000}"/>
    <cellStyle name="Note 4 2 2 7 2" xfId="27171" xr:uid="{00000000-0005-0000-0000-0000E35B0000}"/>
    <cellStyle name="Note 4 2 2 7 3" xfId="33142" xr:uid="{00000000-0005-0000-0000-0000E45B0000}"/>
    <cellStyle name="Note 4 2 2 7 4" xfId="22042" xr:uid="{00000000-0005-0000-0000-0000E55B0000}"/>
    <cellStyle name="Note 4 2 2 8" xfId="4243" xr:uid="{00000000-0005-0000-0000-0000E65B0000}"/>
    <cellStyle name="Note 4 2 2 8 2" xfId="22707" xr:uid="{00000000-0005-0000-0000-0000E75B0000}"/>
    <cellStyle name="Note 4 2 2 8 3" xfId="31745" xr:uid="{00000000-0005-0000-0000-0000E85B0000}"/>
    <cellStyle name="Note 4 2 2 8 4" xfId="17925" xr:uid="{00000000-0005-0000-0000-0000E95B0000}"/>
    <cellStyle name="Note 4 2 2 9" xfId="14949" xr:uid="{00000000-0005-0000-0000-0000EA5B0000}"/>
    <cellStyle name="Note 4 2 2 9 2" xfId="17254" xr:uid="{00000000-0005-0000-0000-0000EB5B0000}"/>
    <cellStyle name="Note 4 2 3" xfId="5267" xr:uid="{00000000-0005-0000-0000-0000EC5B0000}"/>
    <cellStyle name="Note 4 2 3 2" xfId="23727" xr:uid="{00000000-0005-0000-0000-0000ED5B0000}"/>
    <cellStyle name="Note 4 2 3 3" xfId="32044" xr:uid="{00000000-0005-0000-0000-0000EE5B0000}"/>
    <cellStyle name="Note 4 2 3 4" xfId="18880" xr:uid="{00000000-0005-0000-0000-0000EF5B0000}"/>
    <cellStyle name="Note 4 2 4" xfId="4857" xr:uid="{00000000-0005-0000-0000-0000F05B0000}"/>
    <cellStyle name="Note 4 2 4 2" xfId="23317" xr:uid="{00000000-0005-0000-0000-0000F15B0000}"/>
    <cellStyle name="Note 4 2 4 3" xfId="31840" xr:uid="{00000000-0005-0000-0000-0000F25B0000}"/>
    <cellStyle name="Note 4 2 4 4" xfId="18471" xr:uid="{00000000-0005-0000-0000-0000F35B0000}"/>
    <cellStyle name="Note 4 2 5" xfId="6345" xr:uid="{00000000-0005-0000-0000-0000F45B0000}"/>
    <cellStyle name="Note 4 2 5 2" xfId="24785" xr:uid="{00000000-0005-0000-0000-0000F55B0000}"/>
    <cellStyle name="Note 4 2 5 3" xfId="32624" xr:uid="{00000000-0005-0000-0000-0000F65B0000}"/>
    <cellStyle name="Note 4 2 5 4" xfId="19894" xr:uid="{00000000-0005-0000-0000-0000F75B0000}"/>
    <cellStyle name="Note 4 2 6" xfId="7330" xr:uid="{00000000-0005-0000-0000-0000F85B0000}"/>
    <cellStyle name="Note 4 2 6 2" xfId="25761" xr:uid="{00000000-0005-0000-0000-0000F95B0000}"/>
    <cellStyle name="Note 4 2 6 3" xfId="32817" xr:uid="{00000000-0005-0000-0000-0000FA5B0000}"/>
    <cellStyle name="Note 4 2 6 4" xfId="20686" xr:uid="{00000000-0005-0000-0000-0000FB5B0000}"/>
    <cellStyle name="Note 4 2 7" xfId="6411" xr:uid="{00000000-0005-0000-0000-0000FC5B0000}"/>
    <cellStyle name="Note 4 2 7 2" xfId="24851" xr:uid="{00000000-0005-0000-0000-0000FD5B0000}"/>
    <cellStyle name="Note 4 2 7 3" xfId="32682" xr:uid="{00000000-0005-0000-0000-0000FE5B0000}"/>
    <cellStyle name="Note 4 2 7 4" xfId="19960" xr:uid="{00000000-0005-0000-0000-0000FF5B0000}"/>
    <cellStyle name="Note 4 2 8" xfId="8430" xr:uid="{00000000-0005-0000-0000-0000005C0000}"/>
    <cellStyle name="Note 4 2 8 2" xfId="26853" xr:uid="{00000000-0005-0000-0000-0000015C0000}"/>
    <cellStyle name="Note 4 2 8 3" xfId="33062" xr:uid="{00000000-0005-0000-0000-0000025C0000}"/>
    <cellStyle name="Note 4 2 8 4" xfId="21721" xr:uid="{00000000-0005-0000-0000-0000035C0000}"/>
    <cellStyle name="Note 4 2 9" xfId="3922" xr:uid="{00000000-0005-0000-0000-0000045C0000}"/>
    <cellStyle name="Note 4 2 9 2" xfId="22389" xr:uid="{00000000-0005-0000-0000-0000055C0000}"/>
    <cellStyle name="Note 4 2 9 3" xfId="31665" xr:uid="{00000000-0005-0000-0000-0000065C0000}"/>
    <cellStyle name="Note 4 2 9 4" xfId="17604" xr:uid="{00000000-0005-0000-0000-0000075C0000}"/>
    <cellStyle name="Note 4 20" xfId="15287" xr:uid="{00000000-0005-0000-0000-0000085C0000}"/>
    <cellStyle name="Note 4 20 2" xfId="16914" xr:uid="{00000000-0005-0000-0000-0000095C0000}"/>
    <cellStyle name="Note 4 21" xfId="15890" xr:uid="{00000000-0005-0000-0000-00000A5C0000}"/>
    <cellStyle name="Note 4 21 2" xfId="37252" xr:uid="{00000000-0005-0000-0000-00000B5C0000}"/>
    <cellStyle name="Note 4 22" xfId="31334" xr:uid="{00000000-0005-0000-0000-00000C5C0000}"/>
    <cellStyle name="Note 4 23" xfId="38065" xr:uid="{00000000-0005-0000-0000-0000270E0000}"/>
    <cellStyle name="Note 4 3" xfId="3006" xr:uid="{00000000-0005-0000-0000-00000D5C0000}"/>
    <cellStyle name="Note 4 3 10" xfId="15658" xr:uid="{00000000-0005-0000-0000-00000E5C0000}"/>
    <cellStyle name="Note 4 3 10 2" xfId="16918" xr:uid="{00000000-0005-0000-0000-00000F5C0000}"/>
    <cellStyle name="Note 4 3 11" xfId="14676" xr:uid="{00000000-0005-0000-0000-0000105C0000}"/>
    <cellStyle name="Note 4 3 11 2" xfId="36159" xr:uid="{00000000-0005-0000-0000-0000115C0000}"/>
    <cellStyle name="Note 4 3 12" xfId="31338" xr:uid="{00000000-0005-0000-0000-0000125C0000}"/>
    <cellStyle name="Note 4 3 13" xfId="39961" xr:uid="{00000000-0005-0000-0000-0000290E0000}"/>
    <cellStyle name="Note 4 3 2" xfId="3515" xr:uid="{00000000-0005-0000-0000-0000135C0000}"/>
    <cellStyle name="Note 4 3 2 10" xfId="15665" xr:uid="{00000000-0005-0000-0000-0000145C0000}"/>
    <cellStyle name="Note 4 3 2 10 2" xfId="37039" xr:uid="{00000000-0005-0000-0000-0000155C0000}"/>
    <cellStyle name="Note 4 3 2 11" xfId="31568" xr:uid="{00000000-0005-0000-0000-0000165C0000}"/>
    <cellStyle name="Note 4 3 2 12" xfId="39962" xr:uid="{00000000-0005-0000-0000-00002A0E0000}"/>
    <cellStyle name="Note 4 3 2 2" xfId="5642" xr:uid="{00000000-0005-0000-0000-0000175C0000}"/>
    <cellStyle name="Note 4 3 2 2 2" xfId="24095" xr:uid="{00000000-0005-0000-0000-0000185C0000}"/>
    <cellStyle name="Note 4 3 2 2 3" xfId="32253" xr:uid="{00000000-0005-0000-0000-0000195C0000}"/>
    <cellStyle name="Note 4 3 2 2 4" xfId="19228" xr:uid="{00000000-0005-0000-0000-00001A5C0000}"/>
    <cellStyle name="Note 4 3 2 3" xfId="5134" xr:uid="{00000000-0005-0000-0000-00001B5C0000}"/>
    <cellStyle name="Note 4 3 2 3 2" xfId="23594" xr:uid="{00000000-0005-0000-0000-00001C5C0000}"/>
    <cellStyle name="Note 4 3 2 3 3" xfId="31975" xr:uid="{00000000-0005-0000-0000-00001D5C0000}"/>
    <cellStyle name="Note 4 3 2 3 4" xfId="18748" xr:uid="{00000000-0005-0000-0000-00001E5C0000}"/>
    <cellStyle name="Note 4 3 2 4" xfId="5992" xr:uid="{00000000-0005-0000-0000-00001F5C0000}"/>
    <cellStyle name="Note 4 3 2 4 2" xfId="24433" xr:uid="{00000000-0005-0000-0000-0000205C0000}"/>
    <cellStyle name="Note 4 3 2 4 3" xfId="32470" xr:uid="{00000000-0005-0000-0000-0000215C0000}"/>
    <cellStyle name="Note 4 3 2 4 4" xfId="19542" xr:uid="{00000000-0005-0000-0000-0000225C0000}"/>
    <cellStyle name="Note 4 3 2 5" xfId="7654" xr:uid="{00000000-0005-0000-0000-0000235C0000}"/>
    <cellStyle name="Note 4 3 2 5 2" xfId="26084" xr:uid="{00000000-0005-0000-0000-0000245C0000}"/>
    <cellStyle name="Note 4 3 2 5 3" xfId="32899" xr:uid="{00000000-0005-0000-0000-0000255C0000}"/>
    <cellStyle name="Note 4 3 2 5 4" xfId="21009" xr:uid="{00000000-0005-0000-0000-0000265C0000}"/>
    <cellStyle name="Note 4 3 2 6" xfId="8028" xr:uid="{00000000-0005-0000-0000-0000275C0000}"/>
    <cellStyle name="Note 4 3 2 6 2" xfId="26458" xr:uid="{00000000-0005-0000-0000-0000285C0000}"/>
    <cellStyle name="Note 4 3 2 6 3" xfId="32971" xr:uid="{00000000-0005-0000-0000-0000295C0000}"/>
    <cellStyle name="Note 4 3 2 6 4" xfId="21382" xr:uid="{00000000-0005-0000-0000-00002A5C0000}"/>
    <cellStyle name="Note 4 3 2 7" xfId="8752" xr:uid="{00000000-0005-0000-0000-00002B5C0000}"/>
    <cellStyle name="Note 4 3 2 7 2" xfId="27172" xr:uid="{00000000-0005-0000-0000-00002C5C0000}"/>
    <cellStyle name="Note 4 3 2 7 3" xfId="33143" xr:uid="{00000000-0005-0000-0000-00002D5C0000}"/>
    <cellStyle name="Note 4 3 2 7 4" xfId="22043" xr:uid="{00000000-0005-0000-0000-00002E5C0000}"/>
    <cellStyle name="Note 4 3 2 8" xfId="4244" xr:uid="{00000000-0005-0000-0000-00002F5C0000}"/>
    <cellStyle name="Note 4 3 2 8 2" xfId="22708" xr:uid="{00000000-0005-0000-0000-0000305C0000}"/>
    <cellStyle name="Note 4 3 2 8 3" xfId="31746" xr:uid="{00000000-0005-0000-0000-0000315C0000}"/>
    <cellStyle name="Note 4 3 2 8 4" xfId="17926" xr:uid="{00000000-0005-0000-0000-0000325C0000}"/>
    <cellStyle name="Note 4 3 2 9" xfId="15689" xr:uid="{00000000-0005-0000-0000-0000335C0000}"/>
    <cellStyle name="Note 4 3 2 9 2" xfId="17255" xr:uid="{00000000-0005-0000-0000-0000345C0000}"/>
    <cellStyle name="Note 4 3 3" xfId="5268" xr:uid="{00000000-0005-0000-0000-0000355C0000}"/>
    <cellStyle name="Note 4 3 3 2" xfId="23728" xr:uid="{00000000-0005-0000-0000-0000365C0000}"/>
    <cellStyle name="Note 4 3 3 3" xfId="32045" xr:uid="{00000000-0005-0000-0000-0000375C0000}"/>
    <cellStyle name="Note 4 3 3 4" xfId="18881" xr:uid="{00000000-0005-0000-0000-0000385C0000}"/>
    <cellStyle name="Note 4 3 4" xfId="4858" xr:uid="{00000000-0005-0000-0000-0000395C0000}"/>
    <cellStyle name="Note 4 3 4 2" xfId="23318" xr:uid="{00000000-0005-0000-0000-00003A5C0000}"/>
    <cellStyle name="Note 4 3 4 3" xfId="31841" xr:uid="{00000000-0005-0000-0000-00003B5C0000}"/>
    <cellStyle name="Note 4 3 4 4" xfId="18472" xr:uid="{00000000-0005-0000-0000-00003C5C0000}"/>
    <cellStyle name="Note 4 3 5" xfId="6344" xr:uid="{00000000-0005-0000-0000-00003D5C0000}"/>
    <cellStyle name="Note 4 3 5 2" xfId="24784" xr:uid="{00000000-0005-0000-0000-00003E5C0000}"/>
    <cellStyle name="Note 4 3 5 3" xfId="32623" xr:uid="{00000000-0005-0000-0000-00003F5C0000}"/>
    <cellStyle name="Note 4 3 5 4" xfId="19893" xr:uid="{00000000-0005-0000-0000-0000405C0000}"/>
    <cellStyle name="Note 4 3 6" xfId="7331" xr:uid="{00000000-0005-0000-0000-0000415C0000}"/>
    <cellStyle name="Note 4 3 6 2" xfId="25762" xr:uid="{00000000-0005-0000-0000-0000425C0000}"/>
    <cellStyle name="Note 4 3 6 3" xfId="32818" xr:uid="{00000000-0005-0000-0000-0000435C0000}"/>
    <cellStyle name="Note 4 3 6 4" xfId="20687" xr:uid="{00000000-0005-0000-0000-0000445C0000}"/>
    <cellStyle name="Note 4 3 7" xfId="6410" xr:uid="{00000000-0005-0000-0000-0000455C0000}"/>
    <cellStyle name="Note 4 3 7 2" xfId="24850" xr:uid="{00000000-0005-0000-0000-0000465C0000}"/>
    <cellStyle name="Note 4 3 7 3" xfId="32681" xr:uid="{00000000-0005-0000-0000-0000475C0000}"/>
    <cellStyle name="Note 4 3 7 4" xfId="19959" xr:uid="{00000000-0005-0000-0000-0000485C0000}"/>
    <cellStyle name="Note 4 3 8" xfId="8431" xr:uid="{00000000-0005-0000-0000-0000495C0000}"/>
    <cellStyle name="Note 4 3 8 2" xfId="26854" xr:uid="{00000000-0005-0000-0000-00004A5C0000}"/>
    <cellStyle name="Note 4 3 8 3" xfId="33063" xr:uid="{00000000-0005-0000-0000-00004B5C0000}"/>
    <cellStyle name="Note 4 3 8 4" xfId="21722" xr:uid="{00000000-0005-0000-0000-00004C5C0000}"/>
    <cellStyle name="Note 4 3 9" xfId="3923" xr:uid="{00000000-0005-0000-0000-00004D5C0000}"/>
    <cellStyle name="Note 4 3 9 2" xfId="22390" xr:uid="{00000000-0005-0000-0000-00004E5C0000}"/>
    <cellStyle name="Note 4 3 9 3" xfId="31666" xr:uid="{00000000-0005-0000-0000-00004F5C0000}"/>
    <cellStyle name="Note 4 3 9 4" xfId="17605" xr:uid="{00000000-0005-0000-0000-0000505C0000}"/>
    <cellStyle name="Note 4 3_ELC_final" xfId="39963" xr:uid="{00000000-0005-0000-0000-00002B0E0000}"/>
    <cellStyle name="Note 4 4" xfId="3007" xr:uid="{00000000-0005-0000-0000-0000515C0000}"/>
    <cellStyle name="Note 4 4 10" xfId="16335" xr:uid="{00000000-0005-0000-0000-0000525C0000}"/>
    <cellStyle name="Note 4 4 10 2" xfId="16919" xr:uid="{00000000-0005-0000-0000-0000535C0000}"/>
    <cellStyle name="Note 4 4 11" xfId="15202" xr:uid="{00000000-0005-0000-0000-0000545C0000}"/>
    <cellStyle name="Note 4 4 11 2" xfId="36610" xr:uid="{00000000-0005-0000-0000-0000555C0000}"/>
    <cellStyle name="Note 4 4 12" xfId="31339" xr:uid="{00000000-0005-0000-0000-0000565C0000}"/>
    <cellStyle name="Note 4 4 13" xfId="39964" xr:uid="{00000000-0005-0000-0000-00002C0E0000}"/>
    <cellStyle name="Note 4 4 2" xfId="3516" xr:uid="{00000000-0005-0000-0000-0000575C0000}"/>
    <cellStyle name="Note 4 4 2 10" xfId="14690" xr:uid="{00000000-0005-0000-0000-0000585C0000}"/>
    <cellStyle name="Note 4 4 2 10 2" xfId="36172" xr:uid="{00000000-0005-0000-0000-0000595C0000}"/>
    <cellStyle name="Note 4 4 2 11" xfId="31569" xr:uid="{00000000-0005-0000-0000-00005A5C0000}"/>
    <cellStyle name="Note 4 4 2 2" xfId="5643" xr:uid="{00000000-0005-0000-0000-00005B5C0000}"/>
    <cellStyle name="Note 4 4 2 2 2" xfId="24096" xr:uid="{00000000-0005-0000-0000-00005C5C0000}"/>
    <cellStyle name="Note 4 4 2 2 3" xfId="32254" xr:uid="{00000000-0005-0000-0000-00005D5C0000}"/>
    <cellStyle name="Note 4 4 2 2 4" xfId="19229" xr:uid="{00000000-0005-0000-0000-00005E5C0000}"/>
    <cellStyle name="Note 4 4 2 3" xfId="5135" xr:uid="{00000000-0005-0000-0000-00005F5C0000}"/>
    <cellStyle name="Note 4 4 2 3 2" xfId="23595" xr:uid="{00000000-0005-0000-0000-0000605C0000}"/>
    <cellStyle name="Note 4 4 2 3 3" xfId="31976" xr:uid="{00000000-0005-0000-0000-0000615C0000}"/>
    <cellStyle name="Note 4 4 2 3 4" xfId="18749" xr:uid="{00000000-0005-0000-0000-0000625C0000}"/>
    <cellStyle name="Note 4 4 2 4" xfId="5991" xr:uid="{00000000-0005-0000-0000-0000635C0000}"/>
    <cellStyle name="Note 4 4 2 4 2" xfId="24432" xr:uid="{00000000-0005-0000-0000-0000645C0000}"/>
    <cellStyle name="Note 4 4 2 4 3" xfId="32469" xr:uid="{00000000-0005-0000-0000-0000655C0000}"/>
    <cellStyle name="Note 4 4 2 4 4" xfId="19541" xr:uid="{00000000-0005-0000-0000-0000665C0000}"/>
    <cellStyle name="Note 4 4 2 5" xfId="7655" xr:uid="{00000000-0005-0000-0000-0000675C0000}"/>
    <cellStyle name="Note 4 4 2 5 2" xfId="26085" xr:uid="{00000000-0005-0000-0000-0000685C0000}"/>
    <cellStyle name="Note 4 4 2 5 3" xfId="32900" xr:uid="{00000000-0005-0000-0000-0000695C0000}"/>
    <cellStyle name="Note 4 4 2 5 4" xfId="21010" xr:uid="{00000000-0005-0000-0000-00006A5C0000}"/>
    <cellStyle name="Note 4 4 2 6" xfId="8029" xr:uid="{00000000-0005-0000-0000-00006B5C0000}"/>
    <cellStyle name="Note 4 4 2 6 2" xfId="26459" xr:uid="{00000000-0005-0000-0000-00006C5C0000}"/>
    <cellStyle name="Note 4 4 2 6 3" xfId="32972" xr:uid="{00000000-0005-0000-0000-00006D5C0000}"/>
    <cellStyle name="Note 4 4 2 6 4" xfId="21383" xr:uid="{00000000-0005-0000-0000-00006E5C0000}"/>
    <cellStyle name="Note 4 4 2 7" xfId="8753" xr:uid="{00000000-0005-0000-0000-00006F5C0000}"/>
    <cellStyle name="Note 4 4 2 7 2" xfId="27173" xr:uid="{00000000-0005-0000-0000-0000705C0000}"/>
    <cellStyle name="Note 4 4 2 7 3" xfId="33144" xr:uid="{00000000-0005-0000-0000-0000715C0000}"/>
    <cellStyle name="Note 4 4 2 7 4" xfId="22044" xr:uid="{00000000-0005-0000-0000-0000725C0000}"/>
    <cellStyle name="Note 4 4 2 8" xfId="4245" xr:uid="{00000000-0005-0000-0000-0000735C0000}"/>
    <cellStyle name="Note 4 4 2 8 2" xfId="22709" xr:uid="{00000000-0005-0000-0000-0000745C0000}"/>
    <cellStyle name="Note 4 4 2 8 3" xfId="31747" xr:uid="{00000000-0005-0000-0000-0000755C0000}"/>
    <cellStyle name="Note 4 4 2 8 4" xfId="17927" xr:uid="{00000000-0005-0000-0000-0000765C0000}"/>
    <cellStyle name="Note 4 4 2 9" xfId="15247" xr:uid="{00000000-0005-0000-0000-0000775C0000}"/>
    <cellStyle name="Note 4 4 2 9 2" xfId="17256" xr:uid="{00000000-0005-0000-0000-0000785C0000}"/>
    <cellStyle name="Note 4 4 3" xfId="5269" xr:uid="{00000000-0005-0000-0000-0000795C0000}"/>
    <cellStyle name="Note 4 4 3 2" xfId="23729" xr:uid="{00000000-0005-0000-0000-00007A5C0000}"/>
    <cellStyle name="Note 4 4 3 3" xfId="32046" xr:uid="{00000000-0005-0000-0000-00007B5C0000}"/>
    <cellStyle name="Note 4 4 3 4" xfId="18882" xr:uid="{00000000-0005-0000-0000-00007C5C0000}"/>
    <cellStyle name="Note 4 4 4" xfId="4859" xr:uid="{00000000-0005-0000-0000-00007D5C0000}"/>
    <cellStyle name="Note 4 4 4 2" xfId="23319" xr:uid="{00000000-0005-0000-0000-00007E5C0000}"/>
    <cellStyle name="Note 4 4 4 3" xfId="31842" xr:uid="{00000000-0005-0000-0000-00007F5C0000}"/>
    <cellStyle name="Note 4 4 4 4" xfId="18473" xr:uid="{00000000-0005-0000-0000-0000805C0000}"/>
    <cellStyle name="Note 4 4 5" xfId="6343" xr:uid="{00000000-0005-0000-0000-0000815C0000}"/>
    <cellStyle name="Note 4 4 5 2" xfId="24783" xr:uid="{00000000-0005-0000-0000-0000825C0000}"/>
    <cellStyle name="Note 4 4 5 3" xfId="32622" xr:uid="{00000000-0005-0000-0000-0000835C0000}"/>
    <cellStyle name="Note 4 4 5 4" xfId="19892" xr:uid="{00000000-0005-0000-0000-0000845C0000}"/>
    <cellStyle name="Note 4 4 6" xfId="7332" xr:uid="{00000000-0005-0000-0000-0000855C0000}"/>
    <cellStyle name="Note 4 4 6 2" xfId="25763" xr:uid="{00000000-0005-0000-0000-0000865C0000}"/>
    <cellStyle name="Note 4 4 6 3" xfId="32819" xr:uid="{00000000-0005-0000-0000-0000875C0000}"/>
    <cellStyle name="Note 4 4 6 4" xfId="20688" xr:uid="{00000000-0005-0000-0000-0000885C0000}"/>
    <cellStyle name="Note 4 4 7" xfId="6409" xr:uid="{00000000-0005-0000-0000-0000895C0000}"/>
    <cellStyle name="Note 4 4 7 2" xfId="24849" xr:uid="{00000000-0005-0000-0000-00008A5C0000}"/>
    <cellStyle name="Note 4 4 7 3" xfId="32680" xr:uid="{00000000-0005-0000-0000-00008B5C0000}"/>
    <cellStyle name="Note 4 4 7 4" xfId="19958" xr:uid="{00000000-0005-0000-0000-00008C5C0000}"/>
    <cellStyle name="Note 4 4 8" xfId="8432" xr:uid="{00000000-0005-0000-0000-00008D5C0000}"/>
    <cellStyle name="Note 4 4 8 2" xfId="26855" xr:uid="{00000000-0005-0000-0000-00008E5C0000}"/>
    <cellStyle name="Note 4 4 8 3" xfId="33064" xr:uid="{00000000-0005-0000-0000-00008F5C0000}"/>
    <cellStyle name="Note 4 4 8 4" xfId="21723" xr:uid="{00000000-0005-0000-0000-0000905C0000}"/>
    <cellStyle name="Note 4 4 9" xfId="3924" xr:uid="{00000000-0005-0000-0000-0000915C0000}"/>
    <cellStyle name="Note 4 4 9 2" xfId="22391" xr:uid="{00000000-0005-0000-0000-0000925C0000}"/>
    <cellStyle name="Note 4 4 9 3" xfId="31667" xr:uid="{00000000-0005-0000-0000-0000935C0000}"/>
    <cellStyle name="Note 4 4 9 4" xfId="17606" xr:uid="{00000000-0005-0000-0000-0000945C0000}"/>
    <cellStyle name="Note 4 5" xfId="3008" xr:uid="{00000000-0005-0000-0000-0000955C0000}"/>
    <cellStyle name="Note 4 5 10" xfId="16041" xr:uid="{00000000-0005-0000-0000-0000965C0000}"/>
    <cellStyle name="Note 4 5 10 2" xfId="16920" xr:uid="{00000000-0005-0000-0000-0000975C0000}"/>
    <cellStyle name="Note 4 5 11" xfId="16447" xr:uid="{00000000-0005-0000-0000-0000985C0000}"/>
    <cellStyle name="Note 4 5 11 2" xfId="37716" xr:uid="{00000000-0005-0000-0000-0000995C0000}"/>
    <cellStyle name="Note 4 5 12" xfId="31340" xr:uid="{00000000-0005-0000-0000-00009A5C0000}"/>
    <cellStyle name="Note 4 5 2" xfId="3517" xr:uid="{00000000-0005-0000-0000-00009B5C0000}"/>
    <cellStyle name="Note 4 5 2 10" xfId="14703" xr:uid="{00000000-0005-0000-0000-00009C5C0000}"/>
    <cellStyle name="Note 4 5 2 10 2" xfId="36183" xr:uid="{00000000-0005-0000-0000-00009D5C0000}"/>
    <cellStyle name="Note 4 5 2 11" xfId="31570" xr:uid="{00000000-0005-0000-0000-00009E5C0000}"/>
    <cellStyle name="Note 4 5 2 2" xfId="5644" xr:uid="{00000000-0005-0000-0000-00009F5C0000}"/>
    <cellStyle name="Note 4 5 2 2 2" xfId="24097" xr:uid="{00000000-0005-0000-0000-0000A05C0000}"/>
    <cellStyle name="Note 4 5 2 2 3" xfId="32255" xr:uid="{00000000-0005-0000-0000-0000A15C0000}"/>
    <cellStyle name="Note 4 5 2 2 4" xfId="19230" xr:uid="{00000000-0005-0000-0000-0000A25C0000}"/>
    <cellStyle name="Note 4 5 2 3" xfId="5452" xr:uid="{00000000-0005-0000-0000-0000A35C0000}"/>
    <cellStyle name="Note 4 5 2 3 2" xfId="23905" xr:uid="{00000000-0005-0000-0000-0000A45C0000}"/>
    <cellStyle name="Note 4 5 2 3 3" xfId="32173" xr:uid="{00000000-0005-0000-0000-0000A55C0000}"/>
    <cellStyle name="Note 4 5 2 3 4" xfId="19047" xr:uid="{00000000-0005-0000-0000-0000A65C0000}"/>
    <cellStyle name="Note 4 5 2 4" xfId="5990" xr:uid="{00000000-0005-0000-0000-0000A75C0000}"/>
    <cellStyle name="Note 4 5 2 4 2" xfId="24431" xr:uid="{00000000-0005-0000-0000-0000A85C0000}"/>
    <cellStyle name="Note 4 5 2 4 3" xfId="32468" xr:uid="{00000000-0005-0000-0000-0000A95C0000}"/>
    <cellStyle name="Note 4 5 2 4 4" xfId="19540" xr:uid="{00000000-0005-0000-0000-0000AA5C0000}"/>
    <cellStyle name="Note 4 5 2 5" xfId="7656" xr:uid="{00000000-0005-0000-0000-0000AB5C0000}"/>
    <cellStyle name="Note 4 5 2 5 2" xfId="26086" xr:uid="{00000000-0005-0000-0000-0000AC5C0000}"/>
    <cellStyle name="Note 4 5 2 5 3" xfId="32901" xr:uid="{00000000-0005-0000-0000-0000AD5C0000}"/>
    <cellStyle name="Note 4 5 2 5 4" xfId="21011" xr:uid="{00000000-0005-0000-0000-0000AE5C0000}"/>
    <cellStyle name="Note 4 5 2 6" xfId="8030" xr:uid="{00000000-0005-0000-0000-0000AF5C0000}"/>
    <cellStyle name="Note 4 5 2 6 2" xfId="26460" xr:uid="{00000000-0005-0000-0000-0000B05C0000}"/>
    <cellStyle name="Note 4 5 2 6 3" xfId="32973" xr:uid="{00000000-0005-0000-0000-0000B15C0000}"/>
    <cellStyle name="Note 4 5 2 6 4" xfId="21384" xr:uid="{00000000-0005-0000-0000-0000B25C0000}"/>
    <cellStyle name="Note 4 5 2 7" xfId="8754" xr:uid="{00000000-0005-0000-0000-0000B35C0000}"/>
    <cellStyle name="Note 4 5 2 7 2" xfId="27174" xr:uid="{00000000-0005-0000-0000-0000B45C0000}"/>
    <cellStyle name="Note 4 5 2 7 3" xfId="33145" xr:uid="{00000000-0005-0000-0000-0000B55C0000}"/>
    <cellStyle name="Note 4 5 2 7 4" xfId="22045" xr:uid="{00000000-0005-0000-0000-0000B65C0000}"/>
    <cellStyle name="Note 4 5 2 8" xfId="4246" xr:uid="{00000000-0005-0000-0000-0000B75C0000}"/>
    <cellStyle name="Note 4 5 2 8 2" xfId="22710" xr:uid="{00000000-0005-0000-0000-0000B85C0000}"/>
    <cellStyle name="Note 4 5 2 8 3" xfId="31748" xr:uid="{00000000-0005-0000-0000-0000B95C0000}"/>
    <cellStyle name="Note 4 5 2 8 4" xfId="17928" xr:uid="{00000000-0005-0000-0000-0000BA5C0000}"/>
    <cellStyle name="Note 4 5 2 9" xfId="16115" xr:uid="{00000000-0005-0000-0000-0000BB5C0000}"/>
    <cellStyle name="Note 4 5 2 9 2" xfId="17257" xr:uid="{00000000-0005-0000-0000-0000BC5C0000}"/>
    <cellStyle name="Note 4 5 3" xfId="5270" xr:uid="{00000000-0005-0000-0000-0000BD5C0000}"/>
    <cellStyle name="Note 4 5 3 2" xfId="23730" xr:uid="{00000000-0005-0000-0000-0000BE5C0000}"/>
    <cellStyle name="Note 4 5 3 3" xfId="32047" xr:uid="{00000000-0005-0000-0000-0000BF5C0000}"/>
    <cellStyle name="Note 4 5 3 4" xfId="18883" xr:uid="{00000000-0005-0000-0000-0000C05C0000}"/>
    <cellStyle name="Note 4 5 4" xfId="4860" xr:uid="{00000000-0005-0000-0000-0000C15C0000}"/>
    <cellStyle name="Note 4 5 4 2" xfId="23320" xr:uid="{00000000-0005-0000-0000-0000C25C0000}"/>
    <cellStyle name="Note 4 5 4 3" xfId="31843" xr:uid="{00000000-0005-0000-0000-0000C35C0000}"/>
    <cellStyle name="Note 4 5 4 4" xfId="18474" xr:uid="{00000000-0005-0000-0000-0000C45C0000}"/>
    <cellStyle name="Note 4 5 5" xfId="6342" xr:uid="{00000000-0005-0000-0000-0000C55C0000}"/>
    <cellStyle name="Note 4 5 5 2" xfId="24782" xr:uid="{00000000-0005-0000-0000-0000C65C0000}"/>
    <cellStyle name="Note 4 5 5 3" xfId="32621" xr:uid="{00000000-0005-0000-0000-0000C75C0000}"/>
    <cellStyle name="Note 4 5 5 4" xfId="19891" xr:uid="{00000000-0005-0000-0000-0000C85C0000}"/>
    <cellStyle name="Note 4 5 6" xfId="7333" xr:uid="{00000000-0005-0000-0000-0000C95C0000}"/>
    <cellStyle name="Note 4 5 6 2" xfId="25764" xr:uid="{00000000-0005-0000-0000-0000CA5C0000}"/>
    <cellStyle name="Note 4 5 6 3" xfId="32820" xr:uid="{00000000-0005-0000-0000-0000CB5C0000}"/>
    <cellStyle name="Note 4 5 6 4" xfId="20689" xr:uid="{00000000-0005-0000-0000-0000CC5C0000}"/>
    <cellStyle name="Note 4 5 7" xfId="6408" xr:uid="{00000000-0005-0000-0000-0000CD5C0000}"/>
    <cellStyle name="Note 4 5 7 2" xfId="24848" xr:uid="{00000000-0005-0000-0000-0000CE5C0000}"/>
    <cellStyle name="Note 4 5 7 3" xfId="32679" xr:uid="{00000000-0005-0000-0000-0000CF5C0000}"/>
    <cellStyle name="Note 4 5 7 4" xfId="19957" xr:uid="{00000000-0005-0000-0000-0000D05C0000}"/>
    <cellStyle name="Note 4 5 8" xfId="8433" xr:uid="{00000000-0005-0000-0000-0000D15C0000}"/>
    <cellStyle name="Note 4 5 8 2" xfId="26856" xr:uid="{00000000-0005-0000-0000-0000D25C0000}"/>
    <cellStyle name="Note 4 5 8 3" xfId="33065" xr:uid="{00000000-0005-0000-0000-0000D35C0000}"/>
    <cellStyle name="Note 4 5 8 4" xfId="21724" xr:uid="{00000000-0005-0000-0000-0000D45C0000}"/>
    <cellStyle name="Note 4 5 9" xfId="3925" xr:uid="{00000000-0005-0000-0000-0000D55C0000}"/>
    <cellStyle name="Note 4 5 9 2" xfId="22392" xr:uid="{00000000-0005-0000-0000-0000D65C0000}"/>
    <cellStyle name="Note 4 5 9 3" xfId="31668" xr:uid="{00000000-0005-0000-0000-0000D75C0000}"/>
    <cellStyle name="Note 4 5 9 4" xfId="17607" xr:uid="{00000000-0005-0000-0000-0000D85C0000}"/>
    <cellStyle name="Note 4 6" xfId="3009" xr:uid="{00000000-0005-0000-0000-0000D95C0000}"/>
    <cellStyle name="Note 4 6 10" xfId="16150" xr:uid="{00000000-0005-0000-0000-0000DA5C0000}"/>
    <cellStyle name="Note 4 6 10 2" xfId="16921" xr:uid="{00000000-0005-0000-0000-0000DB5C0000}"/>
    <cellStyle name="Note 4 6 11" xfId="14439" xr:uid="{00000000-0005-0000-0000-0000DC5C0000}"/>
    <cellStyle name="Note 4 6 11 2" xfId="35967" xr:uid="{00000000-0005-0000-0000-0000DD5C0000}"/>
    <cellStyle name="Note 4 6 12" xfId="31341" xr:uid="{00000000-0005-0000-0000-0000DE5C0000}"/>
    <cellStyle name="Note 4 6 2" xfId="3518" xr:uid="{00000000-0005-0000-0000-0000DF5C0000}"/>
    <cellStyle name="Note 4 6 2 10" xfId="14780" xr:uid="{00000000-0005-0000-0000-0000E05C0000}"/>
    <cellStyle name="Note 4 6 2 10 2" xfId="36237" xr:uid="{00000000-0005-0000-0000-0000E15C0000}"/>
    <cellStyle name="Note 4 6 2 11" xfId="31571" xr:uid="{00000000-0005-0000-0000-0000E25C0000}"/>
    <cellStyle name="Note 4 6 2 2" xfId="5645" xr:uid="{00000000-0005-0000-0000-0000E35C0000}"/>
    <cellStyle name="Note 4 6 2 2 2" xfId="24098" xr:uid="{00000000-0005-0000-0000-0000E45C0000}"/>
    <cellStyle name="Note 4 6 2 2 3" xfId="32256" xr:uid="{00000000-0005-0000-0000-0000E55C0000}"/>
    <cellStyle name="Note 4 6 2 2 4" xfId="19231" xr:uid="{00000000-0005-0000-0000-0000E65C0000}"/>
    <cellStyle name="Note 4 6 2 3" xfId="5604" xr:uid="{00000000-0005-0000-0000-0000E75C0000}"/>
    <cellStyle name="Note 4 6 2 3 2" xfId="24057" xr:uid="{00000000-0005-0000-0000-0000E85C0000}"/>
    <cellStyle name="Note 4 6 2 3 3" xfId="32218" xr:uid="{00000000-0005-0000-0000-0000E95C0000}"/>
    <cellStyle name="Note 4 6 2 3 4" xfId="19191" xr:uid="{00000000-0005-0000-0000-0000EA5C0000}"/>
    <cellStyle name="Note 4 6 2 4" xfId="5989" xr:uid="{00000000-0005-0000-0000-0000EB5C0000}"/>
    <cellStyle name="Note 4 6 2 4 2" xfId="24430" xr:uid="{00000000-0005-0000-0000-0000EC5C0000}"/>
    <cellStyle name="Note 4 6 2 4 3" xfId="32467" xr:uid="{00000000-0005-0000-0000-0000ED5C0000}"/>
    <cellStyle name="Note 4 6 2 4 4" xfId="19539" xr:uid="{00000000-0005-0000-0000-0000EE5C0000}"/>
    <cellStyle name="Note 4 6 2 5" xfId="7657" xr:uid="{00000000-0005-0000-0000-0000EF5C0000}"/>
    <cellStyle name="Note 4 6 2 5 2" xfId="26087" xr:uid="{00000000-0005-0000-0000-0000F05C0000}"/>
    <cellStyle name="Note 4 6 2 5 3" xfId="32902" xr:uid="{00000000-0005-0000-0000-0000F15C0000}"/>
    <cellStyle name="Note 4 6 2 5 4" xfId="21012" xr:uid="{00000000-0005-0000-0000-0000F25C0000}"/>
    <cellStyle name="Note 4 6 2 6" xfId="8031" xr:uid="{00000000-0005-0000-0000-0000F35C0000}"/>
    <cellStyle name="Note 4 6 2 6 2" xfId="26461" xr:uid="{00000000-0005-0000-0000-0000F45C0000}"/>
    <cellStyle name="Note 4 6 2 6 3" xfId="32974" xr:uid="{00000000-0005-0000-0000-0000F55C0000}"/>
    <cellStyle name="Note 4 6 2 6 4" xfId="21385" xr:uid="{00000000-0005-0000-0000-0000F65C0000}"/>
    <cellStyle name="Note 4 6 2 7" xfId="8755" xr:uid="{00000000-0005-0000-0000-0000F75C0000}"/>
    <cellStyle name="Note 4 6 2 7 2" xfId="27175" xr:uid="{00000000-0005-0000-0000-0000F85C0000}"/>
    <cellStyle name="Note 4 6 2 7 3" xfId="33146" xr:uid="{00000000-0005-0000-0000-0000F95C0000}"/>
    <cellStyle name="Note 4 6 2 7 4" xfId="22046" xr:uid="{00000000-0005-0000-0000-0000FA5C0000}"/>
    <cellStyle name="Note 4 6 2 8" xfId="4247" xr:uid="{00000000-0005-0000-0000-0000FB5C0000}"/>
    <cellStyle name="Note 4 6 2 8 2" xfId="22711" xr:uid="{00000000-0005-0000-0000-0000FC5C0000}"/>
    <cellStyle name="Note 4 6 2 8 3" xfId="31749" xr:uid="{00000000-0005-0000-0000-0000FD5C0000}"/>
    <cellStyle name="Note 4 6 2 8 4" xfId="17929" xr:uid="{00000000-0005-0000-0000-0000FE5C0000}"/>
    <cellStyle name="Note 4 6 2 9" xfId="16181" xr:uid="{00000000-0005-0000-0000-0000FF5C0000}"/>
    <cellStyle name="Note 4 6 2 9 2" xfId="17258" xr:uid="{00000000-0005-0000-0000-0000005D0000}"/>
    <cellStyle name="Note 4 6 3" xfId="5271" xr:uid="{00000000-0005-0000-0000-0000015D0000}"/>
    <cellStyle name="Note 4 6 3 2" xfId="23731" xr:uid="{00000000-0005-0000-0000-0000025D0000}"/>
    <cellStyle name="Note 4 6 3 3" xfId="32048" xr:uid="{00000000-0005-0000-0000-0000035D0000}"/>
    <cellStyle name="Note 4 6 3 4" xfId="18884" xr:uid="{00000000-0005-0000-0000-0000045D0000}"/>
    <cellStyle name="Note 4 6 4" xfId="4861" xr:uid="{00000000-0005-0000-0000-0000055D0000}"/>
    <cellStyle name="Note 4 6 4 2" xfId="23321" xr:uid="{00000000-0005-0000-0000-0000065D0000}"/>
    <cellStyle name="Note 4 6 4 3" xfId="31844" xr:uid="{00000000-0005-0000-0000-0000075D0000}"/>
    <cellStyle name="Note 4 6 4 4" xfId="18475" xr:uid="{00000000-0005-0000-0000-0000085D0000}"/>
    <cellStyle name="Note 4 6 5" xfId="6341" xr:uid="{00000000-0005-0000-0000-0000095D0000}"/>
    <cellStyle name="Note 4 6 5 2" xfId="24781" xr:uid="{00000000-0005-0000-0000-00000A5D0000}"/>
    <cellStyle name="Note 4 6 5 3" xfId="32620" xr:uid="{00000000-0005-0000-0000-00000B5D0000}"/>
    <cellStyle name="Note 4 6 5 4" xfId="19890" xr:uid="{00000000-0005-0000-0000-00000C5D0000}"/>
    <cellStyle name="Note 4 6 6" xfId="7334" xr:uid="{00000000-0005-0000-0000-00000D5D0000}"/>
    <cellStyle name="Note 4 6 6 2" xfId="25765" xr:uid="{00000000-0005-0000-0000-00000E5D0000}"/>
    <cellStyle name="Note 4 6 6 3" xfId="32821" xr:uid="{00000000-0005-0000-0000-00000F5D0000}"/>
    <cellStyle name="Note 4 6 6 4" xfId="20690" xr:uid="{00000000-0005-0000-0000-0000105D0000}"/>
    <cellStyle name="Note 4 6 7" xfId="6407" xr:uid="{00000000-0005-0000-0000-0000115D0000}"/>
    <cellStyle name="Note 4 6 7 2" xfId="24847" xr:uid="{00000000-0005-0000-0000-0000125D0000}"/>
    <cellStyle name="Note 4 6 7 3" xfId="32678" xr:uid="{00000000-0005-0000-0000-0000135D0000}"/>
    <cellStyle name="Note 4 6 7 4" xfId="19956" xr:uid="{00000000-0005-0000-0000-0000145D0000}"/>
    <cellStyle name="Note 4 6 8" xfId="8434" xr:uid="{00000000-0005-0000-0000-0000155D0000}"/>
    <cellStyle name="Note 4 6 8 2" xfId="26857" xr:uid="{00000000-0005-0000-0000-0000165D0000}"/>
    <cellStyle name="Note 4 6 8 3" xfId="33066" xr:uid="{00000000-0005-0000-0000-0000175D0000}"/>
    <cellStyle name="Note 4 6 8 4" xfId="21725" xr:uid="{00000000-0005-0000-0000-0000185D0000}"/>
    <cellStyle name="Note 4 6 9" xfId="3926" xr:uid="{00000000-0005-0000-0000-0000195D0000}"/>
    <cellStyle name="Note 4 6 9 2" xfId="22393" xr:uid="{00000000-0005-0000-0000-00001A5D0000}"/>
    <cellStyle name="Note 4 6 9 3" xfId="31669" xr:uid="{00000000-0005-0000-0000-00001B5D0000}"/>
    <cellStyle name="Note 4 6 9 4" xfId="17608" xr:uid="{00000000-0005-0000-0000-00001C5D0000}"/>
    <cellStyle name="Note 4 7" xfId="3010" xr:uid="{00000000-0005-0000-0000-00001D5D0000}"/>
    <cellStyle name="Note 4 7 10" xfId="16213" xr:uid="{00000000-0005-0000-0000-00001E5D0000}"/>
    <cellStyle name="Note 4 7 10 2" xfId="16922" xr:uid="{00000000-0005-0000-0000-00001F5D0000}"/>
    <cellStyle name="Note 4 7 11" xfId="15635" xr:uid="{00000000-0005-0000-0000-0000205D0000}"/>
    <cellStyle name="Note 4 7 11 2" xfId="37010" xr:uid="{00000000-0005-0000-0000-0000215D0000}"/>
    <cellStyle name="Note 4 7 12" xfId="31342" xr:uid="{00000000-0005-0000-0000-0000225D0000}"/>
    <cellStyle name="Note 4 7 2" xfId="3519" xr:uid="{00000000-0005-0000-0000-0000235D0000}"/>
    <cellStyle name="Note 4 7 2 10" xfId="14675" xr:uid="{00000000-0005-0000-0000-0000245D0000}"/>
    <cellStyle name="Note 4 7 2 10 2" xfId="36158" xr:uid="{00000000-0005-0000-0000-0000255D0000}"/>
    <cellStyle name="Note 4 7 2 11" xfId="31572" xr:uid="{00000000-0005-0000-0000-0000265D0000}"/>
    <cellStyle name="Note 4 7 2 2" xfId="5646" xr:uid="{00000000-0005-0000-0000-0000275D0000}"/>
    <cellStyle name="Note 4 7 2 2 2" xfId="24099" xr:uid="{00000000-0005-0000-0000-0000285D0000}"/>
    <cellStyle name="Note 4 7 2 2 3" xfId="32257" xr:uid="{00000000-0005-0000-0000-0000295D0000}"/>
    <cellStyle name="Note 4 7 2 2 4" xfId="19232" xr:uid="{00000000-0005-0000-0000-00002A5D0000}"/>
    <cellStyle name="Note 4 7 2 3" xfId="5451" xr:uid="{00000000-0005-0000-0000-00002B5D0000}"/>
    <cellStyle name="Note 4 7 2 3 2" xfId="23904" xr:uid="{00000000-0005-0000-0000-00002C5D0000}"/>
    <cellStyle name="Note 4 7 2 3 3" xfId="32172" xr:uid="{00000000-0005-0000-0000-00002D5D0000}"/>
    <cellStyle name="Note 4 7 2 3 4" xfId="19046" xr:uid="{00000000-0005-0000-0000-00002E5D0000}"/>
    <cellStyle name="Note 4 7 2 4" xfId="5988" xr:uid="{00000000-0005-0000-0000-00002F5D0000}"/>
    <cellStyle name="Note 4 7 2 4 2" xfId="24429" xr:uid="{00000000-0005-0000-0000-0000305D0000}"/>
    <cellStyle name="Note 4 7 2 4 3" xfId="32466" xr:uid="{00000000-0005-0000-0000-0000315D0000}"/>
    <cellStyle name="Note 4 7 2 4 4" xfId="19538" xr:uid="{00000000-0005-0000-0000-0000325D0000}"/>
    <cellStyle name="Note 4 7 2 5" xfId="7658" xr:uid="{00000000-0005-0000-0000-0000335D0000}"/>
    <cellStyle name="Note 4 7 2 5 2" xfId="26088" xr:uid="{00000000-0005-0000-0000-0000345D0000}"/>
    <cellStyle name="Note 4 7 2 5 3" xfId="32903" xr:uid="{00000000-0005-0000-0000-0000355D0000}"/>
    <cellStyle name="Note 4 7 2 5 4" xfId="21013" xr:uid="{00000000-0005-0000-0000-0000365D0000}"/>
    <cellStyle name="Note 4 7 2 6" xfId="8032" xr:uid="{00000000-0005-0000-0000-0000375D0000}"/>
    <cellStyle name="Note 4 7 2 6 2" xfId="26462" xr:uid="{00000000-0005-0000-0000-0000385D0000}"/>
    <cellStyle name="Note 4 7 2 6 3" xfId="32975" xr:uid="{00000000-0005-0000-0000-0000395D0000}"/>
    <cellStyle name="Note 4 7 2 6 4" xfId="21386" xr:uid="{00000000-0005-0000-0000-00003A5D0000}"/>
    <cellStyle name="Note 4 7 2 7" xfId="8756" xr:uid="{00000000-0005-0000-0000-00003B5D0000}"/>
    <cellStyle name="Note 4 7 2 7 2" xfId="27176" xr:uid="{00000000-0005-0000-0000-00003C5D0000}"/>
    <cellStyle name="Note 4 7 2 7 3" xfId="33147" xr:uid="{00000000-0005-0000-0000-00003D5D0000}"/>
    <cellStyle name="Note 4 7 2 7 4" xfId="22047" xr:uid="{00000000-0005-0000-0000-00003E5D0000}"/>
    <cellStyle name="Note 4 7 2 8" xfId="4248" xr:uid="{00000000-0005-0000-0000-00003F5D0000}"/>
    <cellStyle name="Note 4 7 2 8 2" xfId="22712" xr:uid="{00000000-0005-0000-0000-0000405D0000}"/>
    <cellStyle name="Note 4 7 2 8 3" xfId="31750" xr:uid="{00000000-0005-0000-0000-0000415D0000}"/>
    <cellStyle name="Note 4 7 2 8 4" xfId="17930" xr:uid="{00000000-0005-0000-0000-0000425D0000}"/>
    <cellStyle name="Note 4 7 2 9" xfId="16236" xr:uid="{00000000-0005-0000-0000-0000435D0000}"/>
    <cellStyle name="Note 4 7 2 9 2" xfId="17259" xr:uid="{00000000-0005-0000-0000-0000445D0000}"/>
    <cellStyle name="Note 4 7 3" xfId="5272" xr:uid="{00000000-0005-0000-0000-0000455D0000}"/>
    <cellStyle name="Note 4 7 3 2" xfId="23732" xr:uid="{00000000-0005-0000-0000-0000465D0000}"/>
    <cellStyle name="Note 4 7 3 3" xfId="32049" xr:uid="{00000000-0005-0000-0000-0000475D0000}"/>
    <cellStyle name="Note 4 7 3 4" xfId="18885" xr:uid="{00000000-0005-0000-0000-0000485D0000}"/>
    <cellStyle name="Note 4 7 4" xfId="4862" xr:uid="{00000000-0005-0000-0000-0000495D0000}"/>
    <cellStyle name="Note 4 7 4 2" xfId="23322" xr:uid="{00000000-0005-0000-0000-00004A5D0000}"/>
    <cellStyle name="Note 4 7 4 3" xfId="31845" xr:uid="{00000000-0005-0000-0000-00004B5D0000}"/>
    <cellStyle name="Note 4 7 4 4" xfId="18476" xr:uid="{00000000-0005-0000-0000-00004C5D0000}"/>
    <cellStyle name="Note 4 7 5" xfId="6340" xr:uid="{00000000-0005-0000-0000-00004D5D0000}"/>
    <cellStyle name="Note 4 7 5 2" xfId="24780" xr:uid="{00000000-0005-0000-0000-00004E5D0000}"/>
    <cellStyle name="Note 4 7 5 3" xfId="32619" xr:uid="{00000000-0005-0000-0000-00004F5D0000}"/>
    <cellStyle name="Note 4 7 5 4" xfId="19889" xr:uid="{00000000-0005-0000-0000-0000505D0000}"/>
    <cellStyle name="Note 4 7 6" xfId="7335" xr:uid="{00000000-0005-0000-0000-0000515D0000}"/>
    <cellStyle name="Note 4 7 6 2" xfId="25766" xr:uid="{00000000-0005-0000-0000-0000525D0000}"/>
    <cellStyle name="Note 4 7 6 3" xfId="32822" xr:uid="{00000000-0005-0000-0000-0000535D0000}"/>
    <cellStyle name="Note 4 7 6 4" xfId="20691" xr:uid="{00000000-0005-0000-0000-0000545D0000}"/>
    <cellStyle name="Note 4 7 7" xfId="6406" xr:uid="{00000000-0005-0000-0000-0000555D0000}"/>
    <cellStyle name="Note 4 7 7 2" xfId="24846" xr:uid="{00000000-0005-0000-0000-0000565D0000}"/>
    <cellStyle name="Note 4 7 7 3" xfId="32677" xr:uid="{00000000-0005-0000-0000-0000575D0000}"/>
    <cellStyle name="Note 4 7 7 4" xfId="19955" xr:uid="{00000000-0005-0000-0000-0000585D0000}"/>
    <cellStyle name="Note 4 7 8" xfId="8435" xr:uid="{00000000-0005-0000-0000-0000595D0000}"/>
    <cellStyle name="Note 4 7 8 2" xfId="26858" xr:uid="{00000000-0005-0000-0000-00005A5D0000}"/>
    <cellStyle name="Note 4 7 8 3" xfId="33067" xr:uid="{00000000-0005-0000-0000-00005B5D0000}"/>
    <cellStyle name="Note 4 7 8 4" xfId="21726" xr:uid="{00000000-0005-0000-0000-00005C5D0000}"/>
    <cellStyle name="Note 4 7 9" xfId="3927" xr:uid="{00000000-0005-0000-0000-00005D5D0000}"/>
    <cellStyle name="Note 4 7 9 2" xfId="22394" xr:uid="{00000000-0005-0000-0000-00005E5D0000}"/>
    <cellStyle name="Note 4 7 9 3" xfId="31670" xr:uid="{00000000-0005-0000-0000-00005F5D0000}"/>
    <cellStyle name="Note 4 7 9 4" xfId="17609" xr:uid="{00000000-0005-0000-0000-0000605D0000}"/>
    <cellStyle name="Note 4 8" xfId="3011" xr:uid="{00000000-0005-0000-0000-0000615D0000}"/>
    <cellStyle name="Note 4 8 10" xfId="16245" xr:uid="{00000000-0005-0000-0000-0000625D0000}"/>
    <cellStyle name="Note 4 8 10 2" xfId="16923" xr:uid="{00000000-0005-0000-0000-0000635D0000}"/>
    <cellStyle name="Note 4 8 11" xfId="15701" xr:uid="{00000000-0005-0000-0000-0000645D0000}"/>
    <cellStyle name="Note 4 8 11 2" xfId="37066" xr:uid="{00000000-0005-0000-0000-0000655D0000}"/>
    <cellStyle name="Note 4 8 12" xfId="31343" xr:uid="{00000000-0005-0000-0000-0000665D0000}"/>
    <cellStyle name="Note 4 8 2" xfId="3520" xr:uid="{00000000-0005-0000-0000-0000675D0000}"/>
    <cellStyle name="Note 4 8 2 10" xfId="14420" xr:uid="{00000000-0005-0000-0000-0000685D0000}"/>
    <cellStyle name="Note 4 8 2 10 2" xfId="35948" xr:uid="{00000000-0005-0000-0000-0000695D0000}"/>
    <cellStyle name="Note 4 8 2 11" xfId="31573" xr:uid="{00000000-0005-0000-0000-00006A5D0000}"/>
    <cellStyle name="Note 4 8 2 2" xfId="5647" xr:uid="{00000000-0005-0000-0000-00006B5D0000}"/>
    <cellStyle name="Note 4 8 2 2 2" xfId="24100" xr:uid="{00000000-0005-0000-0000-00006C5D0000}"/>
    <cellStyle name="Note 4 8 2 2 3" xfId="32258" xr:uid="{00000000-0005-0000-0000-00006D5D0000}"/>
    <cellStyle name="Note 4 8 2 2 4" xfId="19233" xr:uid="{00000000-0005-0000-0000-00006E5D0000}"/>
    <cellStyle name="Note 4 8 2 3" xfId="5603" xr:uid="{00000000-0005-0000-0000-00006F5D0000}"/>
    <cellStyle name="Note 4 8 2 3 2" xfId="24056" xr:uid="{00000000-0005-0000-0000-0000705D0000}"/>
    <cellStyle name="Note 4 8 2 3 3" xfId="32217" xr:uid="{00000000-0005-0000-0000-0000715D0000}"/>
    <cellStyle name="Note 4 8 2 3 4" xfId="19190" xr:uid="{00000000-0005-0000-0000-0000725D0000}"/>
    <cellStyle name="Note 4 8 2 4" xfId="5987" xr:uid="{00000000-0005-0000-0000-0000735D0000}"/>
    <cellStyle name="Note 4 8 2 4 2" xfId="24428" xr:uid="{00000000-0005-0000-0000-0000745D0000}"/>
    <cellStyle name="Note 4 8 2 4 3" xfId="32465" xr:uid="{00000000-0005-0000-0000-0000755D0000}"/>
    <cellStyle name="Note 4 8 2 4 4" xfId="19537" xr:uid="{00000000-0005-0000-0000-0000765D0000}"/>
    <cellStyle name="Note 4 8 2 5" xfId="7659" xr:uid="{00000000-0005-0000-0000-0000775D0000}"/>
    <cellStyle name="Note 4 8 2 5 2" xfId="26089" xr:uid="{00000000-0005-0000-0000-0000785D0000}"/>
    <cellStyle name="Note 4 8 2 5 3" xfId="32904" xr:uid="{00000000-0005-0000-0000-0000795D0000}"/>
    <cellStyle name="Note 4 8 2 5 4" xfId="21014" xr:uid="{00000000-0005-0000-0000-00007A5D0000}"/>
    <cellStyle name="Note 4 8 2 6" xfId="8033" xr:uid="{00000000-0005-0000-0000-00007B5D0000}"/>
    <cellStyle name="Note 4 8 2 6 2" xfId="26463" xr:uid="{00000000-0005-0000-0000-00007C5D0000}"/>
    <cellStyle name="Note 4 8 2 6 3" xfId="32976" xr:uid="{00000000-0005-0000-0000-00007D5D0000}"/>
    <cellStyle name="Note 4 8 2 6 4" xfId="21387" xr:uid="{00000000-0005-0000-0000-00007E5D0000}"/>
    <cellStyle name="Note 4 8 2 7" xfId="8757" xr:uid="{00000000-0005-0000-0000-00007F5D0000}"/>
    <cellStyle name="Note 4 8 2 7 2" xfId="27177" xr:uid="{00000000-0005-0000-0000-0000805D0000}"/>
    <cellStyle name="Note 4 8 2 7 3" xfId="33148" xr:uid="{00000000-0005-0000-0000-0000815D0000}"/>
    <cellStyle name="Note 4 8 2 7 4" xfId="22048" xr:uid="{00000000-0005-0000-0000-0000825D0000}"/>
    <cellStyle name="Note 4 8 2 8" xfId="4249" xr:uid="{00000000-0005-0000-0000-0000835D0000}"/>
    <cellStyle name="Note 4 8 2 8 2" xfId="22713" xr:uid="{00000000-0005-0000-0000-0000845D0000}"/>
    <cellStyle name="Note 4 8 2 8 3" xfId="31751" xr:uid="{00000000-0005-0000-0000-0000855D0000}"/>
    <cellStyle name="Note 4 8 2 8 4" xfId="17931" xr:uid="{00000000-0005-0000-0000-0000865D0000}"/>
    <cellStyle name="Note 4 8 2 9" xfId="14641" xr:uid="{00000000-0005-0000-0000-0000875D0000}"/>
    <cellStyle name="Note 4 8 2 9 2" xfId="17260" xr:uid="{00000000-0005-0000-0000-0000885D0000}"/>
    <cellStyle name="Note 4 8 3" xfId="5273" xr:uid="{00000000-0005-0000-0000-0000895D0000}"/>
    <cellStyle name="Note 4 8 3 2" xfId="23733" xr:uid="{00000000-0005-0000-0000-00008A5D0000}"/>
    <cellStyle name="Note 4 8 3 3" xfId="32050" xr:uid="{00000000-0005-0000-0000-00008B5D0000}"/>
    <cellStyle name="Note 4 8 3 4" xfId="18886" xr:uid="{00000000-0005-0000-0000-00008C5D0000}"/>
    <cellStyle name="Note 4 8 4" xfId="4863" xr:uid="{00000000-0005-0000-0000-00008D5D0000}"/>
    <cellStyle name="Note 4 8 4 2" xfId="23323" xr:uid="{00000000-0005-0000-0000-00008E5D0000}"/>
    <cellStyle name="Note 4 8 4 3" xfId="31846" xr:uid="{00000000-0005-0000-0000-00008F5D0000}"/>
    <cellStyle name="Note 4 8 4 4" xfId="18477" xr:uid="{00000000-0005-0000-0000-0000905D0000}"/>
    <cellStyle name="Note 4 8 5" xfId="6339" xr:uid="{00000000-0005-0000-0000-0000915D0000}"/>
    <cellStyle name="Note 4 8 5 2" xfId="24779" xr:uid="{00000000-0005-0000-0000-0000925D0000}"/>
    <cellStyle name="Note 4 8 5 3" xfId="32618" xr:uid="{00000000-0005-0000-0000-0000935D0000}"/>
    <cellStyle name="Note 4 8 5 4" xfId="19888" xr:uid="{00000000-0005-0000-0000-0000945D0000}"/>
    <cellStyle name="Note 4 8 6" xfId="7336" xr:uid="{00000000-0005-0000-0000-0000955D0000}"/>
    <cellStyle name="Note 4 8 6 2" xfId="25767" xr:uid="{00000000-0005-0000-0000-0000965D0000}"/>
    <cellStyle name="Note 4 8 6 3" xfId="32823" xr:uid="{00000000-0005-0000-0000-0000975D0000}"/>
    <cellStyle name="Note 4 8 6 4" xfId="20692" xr:uid="{00000000-0005-0000-0000-0000985D0000}"/>
    <cellStyle name="Note 4 8 7" xfId="6405" xr:uid="{00000000-0005-0000-0000-0000995D0000}"/>
    <cellStyle name="Note 4 8 7 2" xfId="24845" xr:uid="{00000000-0005-0000-0000-00009A5D0000}"/>
    <cellStyle name="Note 4 8 7 3" xfId="32676" xr:uid="{00000000-0005-0000-0000-00009B5D0000}"/>
    <cellStyle name="Note 4 8 7 4" xfId="19954" xr:uid="{00000000-0005-0000-0000-00009C5D0000}"/>
    <cellStyle name="Note 4 8 8" xfId="8436" xr:uid="{00000000-0005-0000-0000-00009D5D0000}"/>
    <cellStyle name="Note 4 8 8 2" xfId="26859" xr:uid="{00000000-0005-0000-0000-00009E5D0000}"/>
    <cellStyle name="Note 4 8 8 3" xfId="33068" xr:uid="{00000000-0005-0000-0000-00009F5D0000}"/>
    <cellStyle name="Note 4 8 8 4" xfId="21727" xr:uid="{00000000-0005-0000-0000-0000A05D0000}"/>
    <cellStyle name="Note 4 8 9" xfId="3928" xr:uid="{00000000-0005-0000-0000-0000A15D0000}"/>
    <cellStyle name="Note 4 8 9 2" xfId="22395" xr:uid="{00000000-0005-0000-0000-0000A25D0000}"/>
    <cellStyle name="Note 4 8 9 3" xfId="31671" xr:uid="{00000000-0005-0000-0000-0000A35D0000}"/>
    <cellStyle name="Note 4 8 9 4" xfId="17610" xr:uid="{00000000-0005-0000-0000-0000A45D0000}"/>
    <cellStyle name="Note 4 9" xfId="3012" xr:uid="{00000000-0005-0000-0000-0000A55D0000}"/>
    <cellStyle name="Note 4 9 10" xfId="16008" xr:uid="{00000000-0005-0000-0000-0000A65D0000}"/>
    <cellStyle name="Note 4 9 10 2" xfId="16924" xr:uid="{00000000-0005-0000-0000-0000A75D0000}"/>
    <cellStyle name="Note 4 9 11" xfId="16094" xr:uid="{00000000-0005-0000-0000-0000A85D0000}"/>
    <cellStyle name="Note 4 9 11 2" xfId="37416" xr:uid="{00000000-0005-0000-0000-0000A95D0000}"/>
    <cellStyle name="Note 4 9 12" xfId="31344" xr:uid="{00000000-0005-0000-0000-0000AA5D0000}"/>
    <cellStyle name="Note 4 9 2" xfId="3521" xr:uid="{00000000-0005-0000-0000-0000AB5D0000}"/>
    <cellStyle name="Note 4 9 2 10" xfId="15244" xr:uid="{00000000-0005-0000-0000-0000AC5D0000}"/>
    <cellStyle name="Note 4 9 2 10 2" xfId="36651" xr:uid="{00000000-0005-0000-0000-0000AD5D0000}"/>
    <cellStyle name="Note 4 9 2 11" xfId="31574" xr:uid="{00000000-0005-0000-0000-0000AE5D0000}"/>
    <cellStyle name="Note 4 9 2 2" xfId="5648" xr:uid="{00000000-0005-0000-0000-0000AF5D0000}"/>
    <cellStyle name="Note 4 9 2 2 2" xfId="24101" xr:uid="{00000000-0005-0000-0000-0000B05D0000}"/>
    <cellStyle name="Note 4 9 2 2 3" xfId="32259" xr:uid="{00000000-0005-0000-0000-0000B15D0000}"/>
    <cellStyle name="Note 4 9 2 2 4" xfId="19234" xr:uid="{00000000-0005-0000-0000-0000B25D0000}"/>
    <cellStyle name="Note 4 9 2 3" xfId="5136" xr:uid="{00000000-0005-0000-0000-0000B35D0000}"/>
    <cellStyle name="Note 4 9 2 3 2" xfId="23596" xr:uid="{00000000-0005-0000-0000-0000B45D0000}"/>
    <cellStyle name="Note 4 9 2 3 3" xfId="31977" xr:uid="{00000000-0005-0000-0000-0000B55D0000}"/>
    <cellStyle name="Note 4 9 2 3 4" xfId="18750" xr:uid="{00000000-0005-0000-0000-0000B65D0000}"/>
    <cellStyle name="Note 4 9 2 4" xfId="5986" xr:uid="{00000000-0005-0000-0000-0000B75D0000}"/>
    <cellStyle name="Note 4 9 2 4 2" xfId="24427" xr:uid="{00000000-0005-0000-0000-0000B85D0000}"/>
    <cellStyle name="Note 4 9 2 4 3" xfId="32464" xr:uid="{00000000-0005-0000-0000-0000B95D0000}"/>
    <cellStyle name="Note 4 9 2 4 4" xfId="19536" xr:uid="{00000000-0005-0000-0000-0000BA5D0000}"/>
    <cellStyle name="Note 4 9 2 5" xfId="7660" xr:uid="{00000000-0005-0000-0000-0000BB5D0000}"/>
    <cellStyle name="Note 4 9 2 5 2" xfId="26090" xr:uid="{00000000-0005-0000-0000-0000BC5D0000}"/>
    <cellStyle name="Note 4 9 2 5 3" xfId="32905" xr:uid="{00000000-0005-0000-0000-0000BD5D0000}"/>
    <cellStyle name="Note 4 9 2 5 4" xfId="21015" xr:uid="{00000000-0005-0000-0000-0000BE5D0000}"/>
    <cellStyle name="Note 4 9 2 6" xfId="8034" xr:uid="{00000000-0005-0000-0000-0000BF5D0000}"/>
    <cellStyle name="Note 4 9 2 6 2" xfId="26464" xr:uid="{00000000-0005-0000-0000-0000C05D0000}"/>
    <cellStyle name="Note 4 9 2 6 3" xfId="32977" xr:uid="{00000000-0005-0000-0000-0000C15D0000}"/>
    <cellStyle name="Note 4 9 2 6 4" xfId="21388" xr:uid="{00000000-0005-0000-0000-0000C25D0000}"/>
    <cellStyle name="Note 4 9 2 7" xfId="8758" xr:uid="{00000000-0005-0000-0000-0000C35D0000}"/>
    <cellStyle name="Note 4 9 2 7 2" xfId="27178" xr:uid="{00000000-0005-0000-0000-0000C45D0000}"/>
    <cellStyle name="Note 4 9 2 7 3" xfId="33149" xr:uid="{00000000-0005-0000-0000-0000C55D0000}"/>
    <cellStyle name="Note 4 9 2 7 4" xfId="22049" xr:uid="{00000000-0005-0000-0000-0000C65D0000}"/>
    <cellStyle name="Note 4 9 2 8" xfId="4250" xr:uid="{00000000-0005-0000-0000-0000C75D0000}"/>
    <cellStyle name="Note 4 9 2 8 2" xfId="22714" xr:uid="{00000000-0005-0000-0000-0000C85D0000}"/>
    <cellStyle name="Note 4 9 2 8 3" xfId="31752" xr:uid="{00000000-0005-0000-0000-0000C95D0000}"/>
    <cellStyle name="Note 4 9 2 8 4" xfId="17932" xr:uid="{00000000-0005-0000-0000-0000CA5D0000}"/>
    <cellStyle name="Note 4 9 2 9" xfId="16009" xr:uid="{00000000-0005-0000-0000-0000CB5D0000}"/>
    <cellStyle name="Note 4 9 2 9 2" xfId="17261" xr:uid="{00000000-0005-0000-0000-0000CC5D0000}"/>
    <cellStyle name="Note 4 9 3" xfId="5274" xr:uid="{00000000-0005-0000-0000-0000CD5D0000}"/>
    <cellStyle name="Note 4 9 3 2" xfId="23734" xr:uid="{00000000-0005-0000-0000-0000CE5D0000}"/>
    <cellStyle name="Note 4 9 3 3" xfId="32051" xr:uid="{00000000-0005-0000-0000-0000CF5D0000}"/>
    <cellStyle name="Note 4 9 3 4" xfId="18887" xr:uid="{00000000-0005-0000-0000-0000D05D0000}"/>
    <cellStyle name="Note 4 9 4" xfId="4864" xr:uid="{00000000-0005-0000-0000-0000D15D0000}"/>
    <cellStyle name="Note 4 9 4 2" xfId="23324" xr:uid="{00000000-0005-0000-0000-0000D25D0000}"/>
    <cellStyle name="Note 4 9 4 3" xfId="31847" xr:uid="{00000000-0005-0000-0000-0000D35D0000}"/>
    <cellStyle name="Note 4 9 4 4" xfId="18478" xr:uid="{00000000-0005-0000-0000-0000D45D0000}"/>
    <cellStyle name="Note 4 9 5" xfId="6338" xr:uid="{00000000-0005-0000-0000-0000D55D0000}"/>
    <cellStyle name="Note 4 9 5 2" xfId="24778" xr:uid="{00000000-0005-0000-0000-0000D65D0000}"/>
    <cellStyle name="Note 4 9 5 3" xfId="32617" xr:uid="{00000000-0005-0000-0000-0000D75D0000}"/>
    <cellStyle name="Note 4 9 5 4" xfId="19887" xr:uid="{00000000-0005-0000-0000-0000D85D0000}"/>
    <cellStyle name="Note 4 9 6" xfId="7337" xr:uid="{00000000-0005-0000-0000-0000D95D0000}"/>
    <cellStyle name="Note 4 9 6 2" xfId="25768" xr:uid="{00000000-0005-0000-0000-0000DA5D0000}"/>
    <cellStyle name="Note 4 9 6 3" xfId="32824" xr:uid="{00000000-0005-0000-0000-0000DB5D0000}"/>
    <cellStyle name="Note 4 9 6 4" xfId="20693" xr:uid="{00000000-0005-0000-0000-0000DC5D0000}"/>
    <cellStyle name="Note 4 9 7" xfId="6404" xr:uid="{00000000-0005-0000-0000-0000DD5D0000}"/>
    <cellStyle name="Note 4 9 7 2" xfId="24844" xr:uid="{00000000-0005-0000-0000-0000DE5D0000}"/>
    <cellStyle name="Note 4 9 7 3" xfId="32675" xr:uid="{00000000-0005-0000-0000-0000DF5D0000}"/>
    <cellStyle name="Note 4 9 7 4" xfId="19953" xr:uid="{00000000-0005-0000-0000-0000E05D0000}"/>
    <cellStyle name="Note 4 9 8" xfId="8437" xr:uid="{00000000-0005-0000-0000-0000E15D0000}"/>
    <cellStyle name="Note 4 9 8 2" xfId="26860" xr:uid="{00000000-0005-0000-0000-0000E25D0000}"/>
    <cellStyle name="Note 4 9 8 3" xfId="33069" xr:uid="{00000000-0005-0000-0000-0000E35D0000}"/>
    <cellStyle name="Note 4 9 8 4" xfId="21728" xr:uid="{00000000-0005-0000-0000-0000E45D0000}"/>
    <cellStyle name="Note 4 9 9" xfId="3929" xr:uid="{00000000-0005-0000-0000-0000E55D0000}"/>
    <cellStyle name="Note 4 9 9 2" xfId="22396" xr:uid="{00000000-0005-0000-0000-0000E65D0000}"/>
    <cellStyle name="Note 4 9 9 3" xfId="31672" xr:uid="{00000000-0005-0000-0000-0000E75D0000}"/>
    <cellStyle name="Note 4 9 9 4" xfId="17611" xr:uid="{00000000-0005-0000-0000-0000E85D0000}"/>
    <cellStyle name="Note 4_ELC_final" xfId="39965" xr:uid="{00000000-0005-0000-0000-00002D0E0000}"/>
    <cellStyle name="Note 40" xfId="39966" xr:uid="{00000000-0005-0000-0000-00002E0E0000}"/>
    <cellStyle name="Note 41" xfId="39967" xr:uid="{00000000-0005-0000-0000-00002F0E0000}"/>
    <cellStyle name="Note 5" xfId="3013" xr:uid="{00000000-0005-0000-0000-0000E95D0000}"/>
    <cellStyle name="Note 5 10" xfId="3014" xr:uid="{00000000-0005-0000-0000-0000EA5D0000}"/>
    <cellStyle name="Note 5 10 10" xfId="14950" xr:uid="{00000000-0005-0000-0000-0000EB5D0000}"/>
    <cellStyle name="Note 5 10 10 2" xfId="16926" xr:uid="{00000000-0005-0000-0000-0000EC5D0000}"/>
    <cellStyle name="Note 5 10 11" xfId="16054" xr:uid="{00000000-0005-0000-0000-0000ED5D0000}"/>
    <cellStyle name="Note 5 10 11 2" xfId="37381" xr:uid="{00000000-0005-0000-0000-0000EE5D0000}"/>
    <cellStyle name="Note 5 10 12" xfId="31346" xr:uid="{00000000-0005-0000-0000-0000EF5D0000}"/>
    <cellStyle name="Note 5 10 2" xfId="3523" xr:uid="{00000000-0005-0000-0000-0000F05D0000}"/>
    <cellStyle name="Note 5 10 2 10" xfId="15081" xr:uid="{00000000-0005-0000-0000-0000F15D0000}"/>
    <cellStyle name="Note 5 10 2 10 2" xfId="36492" xr:uid="{00000000-0005-0000-0000-0000F25D0000}"/>
    <cellStyle name="Note 5 10 2 11" xfId="31576" xr:uid="{00000000-0005-0000-0000-0000F35D0000}"/>
    <cellStyle name="Note 5 10 2 2" xfId="5650" xr:uid="{00000000-0005-0000-0000-0000F45D0000}"/>
    <cellStyle name="Note 5 10 2 2 2" xfId="24103" xr:uid="{00000000-0005-0000-0000-0000F55D0000}"/>
    <cellStyle name="Note 5 10 2 2 3" xfId="32261" xr:uid="{00000000-0005-0000-0000-0000F65D0000}"/>
    <cellStyle name="Note 5 10 2 2 4" xfId="19236" xr:uid="{00000000-0005-0000-0000-0000F75D0000}"/>
    <cellStyle name="Note 5 10 2 3" xfId="5138" xr:uid="{00000000-0005-0000-0000-0000F85D0000}"/>
    <cellStyle name="Note 5 10 2 3 2" xfId="23598" xr:uid="{00000000-0005-0000-0000-0000F95D0000}"/>
    <cellStyle name="Note 5 10 2 3 3" xfId="31979" xr:uid="{00000000-0005-0000-0000-0000FA5D0000}"/>
    <cellStyle name="Note 5 10 2 3 4" xfId="18752" xr:uid="{00000000-0005-0000-0000-0000FB5D0000}"/>
    <cellStyle name="Note 5 10 2 4" xfId="5984" xr:uid="{00000000-0005-0000-0000-0000FC5D0000}"/>
    <cellStyle name="Note 5 10 2 4 2" xfId="24425" xr:uid="{00000000-0005-0000-0000-0000FD5D0000}"/>
    <cellStyle name="Note 5 10 2 4 3" xfId="32462" xr:uid="{00000000-0005-0000-0000-0000FE5D0000}"/>
    <cellStyle name="Note 5 10 2 4 4" xfId="19534" xr:uid="{00000000-0005-0000-0000-0000FF5D0000}"/>
    <cellStyle name="Note 5 10 2 5" xfId="7662" xr:uid="{00000000-0005-0000-0000-0000005E0000}"/>
    <cellStyle name="Note 5 10 2 5 2" xfId="26092" xr:uid="{00000000-0005-0000-0000-0000015E0000}"/>
    <cellStyle name="Note 5 10 2 5 3" xfId="32907" xr:uid="{00000000-0005-0000-0000-0000025E0000}"/>
    <cellStyle name="Note 5 10 2 5 4" xfId="21017" xr:uid="{00000000-0005-0000-0000-0000035E0000}"/>
    <cellStyle name="Note 5 10 2 6" xfId="8036" xr:uid="{00000000-0005-0000-0000-0000045E0000}"/>
    <cellStyle name="Note 5 10 2 6 2" xfId="26466" xr:uid="{00000000-0005-0000-0000-0000055E0000}"/>
    <cellStyle name="Note 5 10 2 6 3" xfId="32979" xr:uid="{00000000-0005-0000-0000-0000065E0000}"/>
    <cellStyle name="Note 5 10 2 6 4" xfId="21390" xr:uid="{00000000-0005-0000-0000-0000075E0000}"/>
    <cellStyle name="Note 5 10 2 7" xfId="8760" xr:uid="{00000000-0005-0000-0000-0000085E0000}"/>
    <cellStyle name="Note 5 10 2 7 2" xfId="27180" xr:uid="{00000000-0005-0000-0000-0000095E0000}"/>
    <cellStyle name="Note 5 10 2 7 3" xfId="33151" xr:uid="{00000000-0005-0000-0000-00000A5E0000}"/>
    <cellStyle name="Note 5 10 2 7 4" xfId="22051" xr:uid="{00000000-0005-0000-0000-00000B5E0000}"/>
    <cellStyle name="Note 5 10 2 8" xfId="4252" xr:uid="{00000000-0005-0000-0000-00000C5E0000}"/>
    <cellStyle name="Note 5 10 2 8 2" xfId="22716" xr:uid="{00000000-0005-0000-0000-00000D5E0000}"/>
    <cellStyle name="Note 5 10 2 8 3" xfId="31754" xr:uid="{00000000-0005-0000-0000-00000E5E0000}"/>
    <cellStyle name="Note 5 10 2 8 4" xfId="17934" xr:uid="{00000000-0005-0000-0000-00000F5E0000}"/>
    <cellStyle name="Note 5 10 2 9" xfId="16043" xr:uid="{00000000-0005-0000-0000-0000105E0000}"/>
    <cellStyle name="Note 5 10 2 9 2" xfId="17263" xr:uid="{00000000-0005-0000-0000-0000115E0000}"/>
    <cellStyle name="Note 5 10 3" xfId="5276" xr:uid="{00000000-0005-0000-0000-0000125E0000}"/>
    <cellStyle name="Note 5 10 3 2" xfId="23736" xr:uid="{00000000-0005-0000-0000-0000135E0000}"/>
    <cellStyle name="Note 5 10 3 3" xfId="32053" xr:uid="{00000000-0005-0000-0000-0000145E0000}"/>
    <cellStyle name="Note 5 10 3 4" xfId="18889" xr:uid="{00000000-0005-0000-0000-0000155E0000}"/>
    <cellStyle name="Note 5 10 4" xfId="4866" xr:uid="{00000000-0005-0000-0000-0000165E0000}"/>
    <cellStyle name="Note 5 10 4 2" xfId="23326" xr:uid="{00000000-0005-0000-0000-0000175E0000}"/>
    <cellStyle name="Note 5 10 4 3" xfId="31849" xr:uid="{00000000-0005-0000-0000-0000185E0000}"/>
    <cellStyle name="Note 5 10 4 4" xfId="18480" xr:uid="{00000000-0005-0000-0000-0000195E0000}"/>
    <cellStyle name="Note 5 10 5" xfId="6336" xr:uid="{00000000-0005-0000-0000-00001A5E0000}"/>
    <cellStyle name="Note 5 10 5 2" xfId="24776" xr:uid="{00000000-0005-0000-0000-00001B5E0000}"/>
    <cellStyle name="Note 5 10 5 3" xfId="32615" xr:uid="{00000000-0005-0000-0000-00001C5E0000}"/>
    <cellStyle name="Note 5 10 5 4" xfId="19885" xr:uid="{00000000-0005-0000-0000-00001D5E0000}"/>
    <cellStyle name="Note 5 10 6" xfId="7339" xr:uid="{00000000-0005-0000-0000-00001E5E0000}"/>
    <cellStyle name="Note 5 10 6 2" xfId="25770" xr:uid="{00000000-0005-0000-0000-00001F5E0000}"/>
    <cellStyle name="Note 5 10 6 3" xfId="32826" xr:uid="{00000000-0005-0000-0000-0000205E0000}"/>
    <cellStyle name="Note 5 10 6 4" xfId="20695" xr:uid="{00000000-0005-0000-0000-0000215E0000}"/>
    <cellStyle name="Note 5 10 7" xfId="6402" xr:uid="{00000000-0005-0000-0000-0000225E0000}"/>
    <cellStyle name="Note 5 10 7 2" xfId="24842" xr:uid="{00000000-0005-0000-0000-0000235E0000}"/>
    <cellStyle name="Note 5 10 7 3" xfId="32673" xr:uid="{00000000-0005-0000-0000-0000245E0000}"/>
    <cellStyle name="Note 5 10 7 4" xfId="19951" xr:uid="{00000000-0005-0000-0000-0000255E0000}"/>
    <cellStyle name="Note 5 10 8" xfId="8439" xr:uid="{00000000-0005-0000-0000-0000265E0000}"/>
    <cellStyle name="Note 5 10 8 2" xfId="26862" xr:uid="{00000000-0005-0000-0000-0000275E0000}"/>
    <cellStyle name="Note 5 10 8 3" xfId="33071" xr:uid="{00000000-0005-0000-0000-0000285E0000}"/>
    <cellStyle name="Note 5 10 8 4" xfId="21730" xr:uid="{00000000-0005-0000-0000-0000295E0000}"/>
    <cellStyle name="Note 5 10 9" xfId="3931" xr:uid="{00000000-0005-0000-0000-00002A5E0000}"/>
    <cellStyle name="Note 5 10 9 2" xfId="22398" xr:uid="{00000000-0005-0000-0000-00002B5E0000}"/>
    <cellStyle name="Note 5 10 9 3" xfId="31674" xr:uid="{00000000-0005-0000-0000-00002C5E0000}"/>
    <cellStyle name="Note 5 10 9 4" xfId="17613" xr:uid="{00000000-0005-0000-0000-00002D5E0000}"/>
    <cellStyle name="Note 5 11" xfId="3015" xr:uid="{00000000-0005-0000-0000-00002E5E0000}"/>
    <cellStyle name="Note 5 11 10" xfId="16044" xr:uid="{00000000-0005-0000-0000-00002F5E0000}"/>
    <cellStyle name="Note 5 11 10 2" xfId="16927" xr:uid="{00000000-0005-0000-0000-0000305E0000}"/>
    <cellStyle name="Note 5 11 11" xfId="16589" xr:uid="{00000000-0005-0000-0000-0000315E0000}"/>
    <cellStyle name="Note 5 11 11 2" xfId="37799" xr:uid="{00000000-0005-0000-0000-0000325E0000}"/>
    <cellStyle name="Note 5 11 12" xfId="31347" xr:uid="{00000000-0005-0000-0000-0000335E0000}"/>
    <cellStyle name="Note 5 11 2" xfId="3524" xr:uid="{00000000-0005-0000-0000-0000345E0000}"/>
    <cellStyle name="Note 5 11 2 10" xfId="15082" xr:uid="{00000000-0005-0000-0000-0000355E0000}"/>
    <cellStyle name="Note 5 11 2 10 2" xfId="36493" xr:uid="{00000000-0005-0000-0000-0000365E0000}"/>
    <cellStyle name="Note 5 11 2 11" xfId="31577" xr:uid="{00000000-0005-0000-0000-0000375E0000}"/>
    <cellStyle name="Note 5 11 2 2" xfId="5651" xr:uid="{00000000-0005-0000-0000-0000385E0000}"/>
    <cellStyle name="Note 5 11 2 2 2" xfId="24104" xr:uid="{00000000-0005-0000-0000-0000395E0000}"/>
    <cellStyle name="Note 5 11 2 2 3" xfId="32262" xr:uid="{00000000-0005-0000-0000-00003A5E0000}"/>
    <cellStyle name="Note 5 11 2 2 4" xfId="19237" xr:uid="{00000000-0005-0000-0000-00003B5E0000}"/>
    <cellStyle name="Note 5 11 2 3" xfId="5139" xr:uid="{00000000-0005-0000-0000-00003C5E0000}"/>
    <cellStyle name="Note 5 11 2 3 2" xfId="23599" xr:uid="{00000000-0005-0000-0000-00003D5E0000}"/>
    <cellStyle name="Note 5 11 2 3 3" xfId="31980" xr:uid="{00000000-0005-0000-0000-00003E5E0000}"/>
    <cellStyle name="Note 5 11 2 3 4" xfId="18753" xr:uid="{00000000-0005-0000-0000-00003F5E0000}"/>
    <cellStyle name="Note 5 11 2 4" xfId="5983" xr:uid="{00000000-0005-0000-0000-0000405E0000}"/>
    <cellStyle name="Note 5 11 2 4 2" xfId="24424" xr:uid="{00000000-0005-0000-0000-0000415E0000}"/>
    <cellStyle name="Note 5 11 2 4 3" xfId="32461" xr:uid="{00000000-0005-0000-0000-0000425E0000}"/>
    <cellStyle name="Note 5 11 2 4 4" xfId="19533" xr:uid="{00000000-0005-0000-0000-0000435E0000}"/>
    <cellStyle name="Note 5 11 2 5" xfId="7663" xr:uid="{00000000-0005-0000-0000-0000445E0000}"/>
    <cellStyle name="Note 5 11 2 5 2" xfId="26093" xr:uid="{00000000-0005-0000-0000-0000455E0000}"/>
    <cellStyle name="Note 5 11 2 5 3" xfId="32908" xr:uid="{00000000-0005-0000-0000-0000465E0000}"/>
    <cellStyle name="Note 5 11 2 5 4" xfId="21018" xr:uid="{00000000-0005-0000-0000-0000475E0000}"/>
    <cellStyle name="Note 5 11 2 6" xfId="8037" xr:uid="{00000000-0005-0000-0000-0000485E0000}"/>
    <cellStyle name="Note 5 11 2 6 2" xfId="26467" xr:uid="{00000000-0005-0000-0000-0000495E0000}"/>
    <cellStyle name="Note 5 11 2 6 3" xfId="32980" xr:uid="{00000000-0005-0000-0000-00004A5E0000}"/>
    <cellStyle name="Note 5 11 2 6 4" xfId="21391" xr:uid="{00000000-0005-0000-0000-00004B5E0000}"/>
    <cellStyle name="Note 5 11 2 7" xfId="8761" xr:uid="{00000000-0005-0000-0000-00004C5E0000}"/>
    <cellStyle name="Note 5 11 2 7 2" xfId="27181" xr:uid="{00000000-0005-0000-0000-00004D5E0000}"/>
    <cellStyle name="Note 5 11 2 7 3" xfId="33152" xr:uid="{00000000-0005-0000-0000-00004E5E0000}"/>
    <cellStyle name="Note 5 11 2 7 4" xfId="22052" xr:uid="{00000000-0005-0000-0000-00004F5E0000}"/>
    <cellStyle name="Note 5 11 2 8" xfId="4253" xr:uid="{00000000-0005-0000-0000-0000505E0000}"/>
    <cellStyle name="Note 5 11 2 8 2" xfId="22717" xr:uid="{00000000-0005-0000-0000-0000515E0000}"/>
    <cellStyle name="Note 5 11 2 8 3" xfId="31755" xr:uid="{00000000-0005-0000-0000-0000525E0000}"/>
    <cellStyle name="Note 5 11 2 8 4" xfId="17935" xr:uid="{00000000-0005-0000-0000-0000535E0000}"/>
    <cellStyle name="Note 5 11 2 9" xfId="16045" xr:uid="{00000000-0005-0000-0000-0000545E0000}"/>
    <cellStyle name="Note 5 11 2 9 2" xfId="17264" xr:uid="{00000000-0005-0000-0000-0000555E0000}"/>
    <cellStyle name="Note 5 11 3" xfId="5277" xr:uid="{00000000-0005-0000-0000-0000565E0000}"/>
    <cellStyle name="Note 5 11 3 2" xfId="23737" xr:uid="{00000000-0005-0000-0000-0000575E0000}"/>
    <cellStyle name="Note 5 11 3 3" xfId="32054" xr:uid="{00000000-0005-0000-0000-0000585E0000}"/>
    <cellStyle name="Note 5 11 3 4" xfId="18890" xr:uid="{00000000-0005-0000-0000-0000595E0000}"/>
    <cellStyle name="Note 5 11 4" xfId="4867" xr:uid="{00000000-0005-0000-0000-00005A5E0000}"/>
    <cellStyle name="Note 5 11 4 2" xfId="23327" xr:uid="{00000000-0005-0000-0000-00005B5E0000}"/>
    <cellStyle name="Note 5 11 4 3" xfId="31850" xr:uid="{00000000-0005-0000-0000-00005C5E0000}"/>
    <cellStyle name="Note 5 11 4 4" xfId="18481" xr:uid="{00000000-0005-0000-0000-00005D5E0000}"/>
    <cellStyle name="Note 5 11 5" xfId="6335" xr:uid="{00000000-0005-0000-0000-00005E5E0000}"/>
    <cellStyle name="Note 5 11 5 2" xfId="24775" xr:uid="{00000000-0005-0000-0000-00005F5E0000}"/>
    <cellStyle name="Note 5 11 5 3" xfId="32614" xr:uid="{00000000-0005-0000-0000-0000605E0000}"/>
    <cellStyle name="Note 5 11 5 4" xfId="19884" xr:uid="{00000000-0005-0000-0000-0000615E0000}"/>
    <cellStyle name="Note 5 11 6" xfId="7340" xr:uid="{00000000-0005-0000-0000-0000625E0000}"/>
    <cellStyle name="Note 5 11 6 2" xfId="25771" xr:uid="{00000000-0005-0000-0000-0000635E0000}"/>
    <cellStyle name="Note 5 11 6 3" xfId="32827" xr:uid="{00000000-0005-0000-0000-0000645E0000}"/>
    <cellStyle name="Note 5 11 6 4" xfId="20696" xr:uid="{00000000-0005-0000-0000-0000655E0000}"/>
    <cellStyle name="Note 5 11 7" xfId="6401" xr:uid="{00000000-0005-0000-0000-0000665E0000}"/>
    <cellStyle name="Note 5 11 7 2" xfId="24841" xr:uid="{00000000-0005-0000-0000-0000675E0000}"/>
    <cellStyle name="Note 5 11 7 3" xfId="32672" xr:uid="{00000000-0005-0000-0000-0000685E0000}"/>
    <cellStyle name="Note 5 11 7 4" xfId="19950" xr:uid="{00000000-0005-0000-0000-0000695E0000}"/>
    <cellStyle name="Note 5 11 8" xfId="8440" xr:uid="{00000000-0005-0000-0000-00006A5E0000}"/>
    <cellStyle name="Note 5 11 8 2" xfId="26863" xr:uid="{00000000-0005-0000-0000-00006B5E0000}"/>
    <cellStyle name="Note 5 11 8 3" xfId="33072" xr:uid="{00000000-0005-0000-0000-00006C5E0000}"/>
    <cellStyle name="Note 5 11 8 4" xfId="21731" xr:uid="{00000000-0005-0000-0000-00006D5E0000}"/>
    <cellStyle name="Note 5 11 9" xfId="3932" xr:uid="{00000000-0005-0000-0000-00006E5E0000}"/>
    <cellStyle name="Note 5 11 9 2" xfId="22399" xr:uid="{00000000-0005-0000-0000-00006F5E0000}"/>
    <cellStyle name="Note 5 11 9 3" xfId="31675" xr:uid="{00000000-0005-0000-0000-0000705E0000}"/>
    <cellStyle name="Note 5 11 9 4" xfId="17614" xr:uid="{00000000-0005-0000-0000-0000715E0000}"/>
    <cellStyle name="Note 5 12" xfId="3522" xr:uid="{00000000-0005-0000-0000-0000725E0000}"/>
    <cellStyle name="Note 5 12 10" xfId="14778" xr:uid="{00000000-0005-0000-0000-0000735E0000}"/>
    <cellStyle name="Note 5 12 10 2" xfId="36235" xr:uid="{00000000-0005-0000-0000-0000745E0000}"/>
    <cellStyle name="Note 5 12 11" xfId="31575" xr:uid="{00000000-0005-0000-0000-0000755E0000}"/>
    <cellStyle name="Note 5 12 2" xfId="5649" xr:uid="{00000000-0005-0000-0000-0000765E0000}"/>
    <cellStyle name="Note 5 12 2 2" xfId="24102" xr:uid="{00000000-0005-0000-0000-0000775E0000}"/>
    <cellStyle name="Note 5 12 2 3" xfId="32260" xr:uid="{00000000-0005-0000-0000-0000785E0000}"/>
    <cellStyle name="Note 5 12 2 4" xfId="19235" xr:uid="{00000000-0005-0000-0000-0000795E0000}"/>
    <cellStyle name="Note 5 12 3" xfId="5137" xr:uid="{00000000-0005-0000-0000-00007A5E0000}"/>
    <cellStyle name="Note 5 12 3 2" xfId="23597" xr:uid="{00000000-0005-0000-0000-00007B5E0000}"/>
    <cellStyle name="Note 5 12 3 3" xfId="31978" xr:uid="{00000000-0005-0000-0000-00007C5E0000}"/>
    <cellStyle name="Note 5 12 3 4" xfId="18751" xr:uid="{00000000-0005-0000-0000-00007D5E0000}"/>
    <cellStyle name="Note 5 12 4" xfId="5985" xr:uid="{00000000-0005-0000-0000-00007E5E0000}"/>
    <cellStyle name="Note 5 12 4 2" xfId="24426" xr:uid="{00000000-0005-0000-0000-00007F5E0000}"/>
    <cellStyle name="Note 5 12 4 3" xfId="32463" xr:uid="{00000000-0005-0000-0000-0000805E0000}"/>
    <cellStyle name="Note 5 12 4 4" xfId="19535" xr:uid="{00000000-0005-0000-0000-0000815E0000}"/>
    <cellStyle name="Note 5 12 5" xfId="7661" xr:uid="{00000000-0005-0000-0000-0000825E0000}"/>
    <cellStyle name="Note 5 12 5 2" xfId="26091" xr:uid="{00000000-0005-0000-0000-0000835E0000}"/>
    <cellStyle name="Note 5 12 5 3" xfId="32906" xr:uid="{00000000-0005-0000-0000-0000845E0000}"/>
    <cellStyle name="Note 5 12 5 4" xfId="21016" xr:uid="{00000000-0005-0000-0000-0000855E0000}"/>
    <cellStyle name="Note 5 12 6" xfId="8035" xr:uid="{00000000-0005-0000-0000-0000865E0000}"/>
    <cellStyle name="Note 5 12 6 2" xfId="26465" xr:uid="{00000000-0005-0000-0000-0000875E0000}"/>
    <cellStyle name="Note 5 12 6 3" xfId="32978" xr:uid="{00000000-0005-0000-0000-0000885E0000}"/>
    <cellStyle name="Note 5 12 6 4" xfId="21389" xr:uid="{00000000-0005-0000-0000-0000895E0000}"/>
    <cellStyle name="Note 5 12 7" xfId="8759" xr:uid="{00000000-0005-0000-0000-00008A5E0000}"/>
    <cellStyle name="Note 5 12 7 2" xfId="27179" xr:uid="{00000000-0005-0000-0000-00008B5E0000}"/>
    <cellStyle name="Note 5 12 7 3" xfId="33150" xr:uid="{00000000-0005-0000-0000-00008C5E0000}"/>
    <cellStyle name="Note 5 12 7 4" xfId="22050" xr:uid="{00000000-0005-0000-0000-00008D5E0000}"/>
    <cellStyle name="Note 5 12 8" xfId="4251" xr:uid="{00000000-0005-0000-0000-00008E5E0000}"/>
    <cellStyle name="Note 5 12 8 2" xfId="22715" xr:uid="{00000000-0005-0000-0000-00008F5E0000}"/>
    <cellStyle name="Note 5 12 8 3" xfId="31753" xr:uid="{00000000-0005-0000-0000-0000905E0000}"/>
    <cellStyle name="Note 5 12 8 4" xfId="17933" xr:uid="{00000000-0005-0000-0000-0000915E0000}"/>
    <cellStyle name="Note 5 12 9" xfId="16046" xr:uid="{00000000-0005-0000-0000-0000925E0000}"/>
    <cellStyle name="Note 5 12 9 2" xfId="17262" xr:uid="{00000000-0005-0000-0000-0000935E0000}"/>
    <cellStyle name="Note 5 13" xfId="5275" xr:uid="{00000000-0005-0000-0000-0000945E0000}"/>
    <cellStyle name="Note 5 13 2" xfId="23735" xr:uid="{00000000-0005-0000-0000-0000955E0000}"/>
    <cellStyle name="Note 5 13 3" xfId="32052" xr:uid="{00000000-0005-0000-0000-0000965E0000}"/>
    <cellStyle name="Note 5 13 4" xfId="18888" xr:uid="{00000000-0005-0000-0000-0000975E0000}"/>
    <cellStyle name="Note 5 14" xfId="4865" xr:uid="{00000000-0005-0000-0000-0000985E0000}"/>
    <cellStyle name="Note 5 14 2" xfId="23325" xr:uid="{00000000-0005-0000-0000-0000995E0000}"/>
    <cellStyle name="Note 5 14 3" xfId="31848" xr:uid="{00000000-0005-0000-0000-00009A5E0000}"/>
    <cellStyle name="Note 5 14 4" xfId="18479" xr:uid="{00000000-0005-0000-0000-00009B5E0000}"/>
    <cellStyle name="Note 5 15" xfId="6337" xr:uid="{00000000-0005-0000-0000-00009C5E0000}"/>
    <cellStyle name="Note 5 15 2" xfId="24777" xr:uid="{00000000-0005-0000-0000-00009D5E0000}"/>
    <cellStyle name="Note 5 15 3" xfId="32616" xr:uid="{00000000-0005-0000-0000-00009E5E0000}"/>
    <cellStyle name="Note 5 15 4" xfId="19886" xr:uid="{00000000-0005-0000-0000-00009F5E0000}"/>
    <cellStyle name="Note 5 16" xfId="7338" xr:uid="{00000000-0005-0000-0000-0000A05E0000}"/>
    <cellStyle name="Note 5 16 2" xfId="25769" xr:uid="{00000000-0005-0000-0000-0000A15E0000}"/>
    <cellStyle name="Note 5 16 3" xfId="32825" xr:uid="{00000000-0005-0000-0000-0000A25E0000}"/>
    <cellStyle name="Note 5 16 4" xfId="20694" xr:uid="{00000000-0005-0000-0000-0000A35E0000}"/>
    <cellStyle name="Note 5 17" xfId="6403" xr:uid="{00000000-0005-0000-0000-0000A45E0000}"/>
    <cellStyle name="Note 5 17 2" xfId="24843" xr:uid="{00000000-0005-0000-0000-0000A55E0000}"/>
    <cellStyle name="Note 5 17 3" xfId="32674" xr:uid="{00000000-0005-0000-0000-0000A65E0000}"/>
    <cellStyle name="Note 5 17 4" xfId="19952" xr:uid="{00000000-0005-0000-0000-0000A75E0000}"/>
    <cellStyle name="Note 5 18" xfId="8438" xr:uid="{00000000-0005-0000-0000-0000A85E0000}"/>
    <cellStyle name="Note 5 18 2" xfId="26861" xr:uid="{00000000-0005-0000-0000-0000A95E0000}"/>
    <cellStyle name="Note 5 18 3" xfId="33070" xr:uid="{00000000-0005-0000-0000-0000AA5E0000}"/>
    <cellStyle name="Note 5 18 4" xfId="21729" xr:uid="{00000000-0005-0000-0000-0000AB5E0000}"/>
    <cellStyle name="Note 5 19" xfId="3930" xr:uid="{00000000-0005-0000-0000-0000AC5E0000}"/>
    <cellStyle name="Note 5 19 2" xfId="22397" xr:uid="{00000000-0005-0000-0000-0000AD5E0000}"/>
    <cellStyle name="Note 5 19 3" xfId="31673" xr:uid="{00000000-0005-0000-0000-0000AE5E0000}"/>
    <cellStyle name="Note 5 19 4" xfId="17612" xr:uid="{00000000-0005-0000-0000-0000AF5E0000}"/>
    <cellStyle name="Note 5 2" xfId="3016" xr:uid="{00000000-0005-0000-0000-0000B05E0000}"/>
    <cellStyle name="Note 5 2 10" xfId="16395" xr:uid="{00000000-0005-0000-0000-0000B15E0000}"/>
    <cellStyle name="Note 5 2 10 2" xfId="16928" xr:uid="{00000000-0005-0000-0000-0000B25E0000}"/>
    <cellStyle name="Note 5 2 11" xfId="15043" xr:uid="{00000000-0005-0000-0000-0000B35E0000}"/>
    <cellStyle name="Note 5 2 11 2" xfId="36463" xr:uid="{00000000-0005-0000-0000-0000B45E0000}"/>
    <cellStyle name="Note 5 2 12" xfId="31348" xr:uid="{00000000-0005-0000-0000-0000B55E0000}"/>
    <cellStyle name="Note 5 2 13" xfId="39968" xr:uid="{00000000-0005-0000-0000-0000310E0000}"/>
    <cellStyle name="Note 5 2 2" xfId="3525" xr:uid="{00000000-0005-0000-0000-0000B65E0000}"/>
    <cellStyle name="Note 5 2 2 10" xfId="14709" xr:uid="{00000000-0005-0000-0000-0000B75E0000}"/>
    <cellStyle name="Note 5 2 2 10 2" xfId="36189" xr:uid="{00000000-0005-0000-0000-0000B85E0000}"/>
    <cellStyle name="Note 5 2 2 11" xfId="31578" xr:uid="{00000000-0005-0000-0000-0000B95E0000}"/>
    <cellStyle name="Note 5 2 2 2" xfId="5652" xr:uid="{00000000-0005-0000-0000-0000BA5E0000}"/>
    <cellStyle name="Note 5 2 2 2 2" xfId="24105" xr:uid="{00000000-0005-0000-0000-0000BB5E0000}"/>
    <cellStyle name="Note 5 2 2 2 3" xfId="32263" xr:uid="{00000000-0005-0000-0000-0000BC5E0000}"/>
    <cellStyle name="Note 5 2 2 2 4" xfId="19238" xr:uid="{00000000-0005-0000-0000-0000BD5E0000}"/>
    <cellStyle name="Note 5 2 2 3" xfId="5605" xr:uid="{00000000-0005-0000-0000-0000BE5E0000}"/>
    <cellStyle name="Note 5 2 2 3 2" xfId="24058" xr:uid="{00000000-0005-0000-0000-0000BF5E0000}"/>
    <cellStyle name="Note 5 2 2 3 3" xfId="32219" xr:uid="{00000000-0005-0000-0000-0000C05E0000}"/>
    <cellStyle name="Note 5 2 2 3 4" xfId="19192" xr:uid="{00000000-0005-0000-0000-0000C15E0000}"/>
    <cellStyle name="Note 5 2 2 4" xfId="5982" xr:uid="{00000000-0005-0000-0000-0000C25E0000}"/>
    <cellStyle name="Note 5 2 2 4 2" xfId="24423" xr:uid="{00000000-0005-0000-0000-0000C35E0000}"/>
    <cellStyle name="Note 5 2 2 4 3" xfId="32460" xr:uid="{00000000-0005-0000-0000-0000C45E0000}"/>
    <cellStyle name="Note 5 2 2 4 4" xfId="19532" xr:uid="{00000000-0005-0000-0000-0000C55E0000}"/>
    <cellStyle name="Note 5 2 2 5" xfId="7664" xr:uid="{00000000-0005-0000-0000-0000C65E0000}"/>
    <cellStyle name="Note 5 2 2 5 2" xfId="26094" xr:uid="{00000000-0005-0000-0000-0000C75E0000}"/>
    <cellStyle name="Note 5 2 2 5 3" xfId="32909" xr:uid="{00000000-0005-0000-0000-0000C85E0000}"/>
    <cellStyle name="Note 5 2 2 5 4" xfId="21019" xr:uid="{00000000-0005-0000-0000-0000C95E0000}"/>
    <cellStyle name="Note 5 2 2 6" xfId="8038" xr:uid="{00000000-0005-0000-0000-0000CA5E0000}"/>
    <cellStyle name="Note 5 2 2 6 2" xfId="26468" xr:uid="{00000000-0005-0000-0000-0000CB5E0000}"/>
    <cellStyle name="Note 5 2 2 6 3" xfId="32981" xr:uid="{00000000-0005-0000-0000-0000CC5E0000}"/>
    <cellStyle name="Note 5 2 2 6 4" xfId="21392" xr:uid="{00000000-0005-0000-0000-0000CD5E0000}"/>
    <cellStyle name="Note 5 2 2 7" xfId="8762" xr:uid="{00000000-0005-0000-0000-0000CE5E0000}"/>
    <cellStyle name="Note 5 2 2 7 2" xfId="27182" xr:uid="{00000000-0005-0000-0000-0000CF5E0000}"/>
    <cellStyle name="Note 5 2 2 7 3" xfId="33153" xr:uid="{00000000-0005-0000-0000-0000D05E0000}"/>
    <cellStyle name="Note 5 2 2 7 4" xfId="22053" xr:uid="{00000000-0005-0000-0000-0000D15E0000}"/>
    <cellStyle name="Note 5 2 2 8" xfId="4254" xr:uid="{00000000-0005-0000-0000-0000D25E0000}"/>
    <cellStyle name="Note 5 2 2 8 2" xfId="22718" xr:uid="{00000000-0005-0000-0000-0000D35E0000}"/>
    <cellStyle name="Note 5 2 2 8 3" xfId="31756" xr:uid="{00000000-0005-0000-0000-0000D45E0000}"/>
    <cellStyle name="Note 5 2 2 8 4" xfId="17936" xr:uid="{00000000-0005-0000-0000-0000D55E0000}"/>
    <cellStyle name="Note 5 2 2 9" xfId="15034" xr:uid="{00000000-0005-0000-0000-0000D65E0000}"/>
    <cellStyle name="Note 5 2 2 9 2" xfId="17265" xr:uid="{00000000-0005-0000-0000-0000D75E0000}"/>
    <cellStyle name="Note 5 2 3" xfId="5278" xr:uid="{00000000-0005-0000-0000-0000D85E0000}"/>
    <cellStyle name="Note 5 2 3 2" xfId="23738" xr:uid="{00000000-0005-0000-0000-0000D95E0000}"/>
    <cellStyle name="Note 5 2 3 3" xfId="32055" xr:uid="{00000000-0005-0000-0000-0000DA5E0000}"/>
    <cellStyle name="Note 5 2 3 4" xfId="18891" xr:uid="{00000000-0005-0000-0000-0000DB5E0000}"/>
    <cellStyle name="Note 5 2 4" xfId="4868" xr:uid="{00000000-0005-0000-0000-0000DC5E0000}"/>
    <cellStyle name="Note 5 2 4 2" xfId="23328" xr:uid="{00000000-0005-0000-0000-0000DD5E0000}"/>
    <cellStyle name="Note 5 2 4 3" xfId="31851" xr:uid="{00000000-0005-0000-0000-0000DE5E0000}"/>
    <cellStyle name="Note 5 2 4 4" xfId="18482" xr:uid="{00000000-0005-0000-0000-0000DF5E0000}"/>
    <cellStyle name="Note 5 2 5" xfId="6334" xr:uid="{00000000-0005-0000-0000-0000E05E0000}"/>
    <cellStyle name="Note 5 2 5 2" xfId="24774" xr:uid="{00000000-0005-0000-0000-0000E15E0000}"/>
    <cellStyle name="Note 5 2 5 3" xfId="32613" xr:uid="{00000000-0005-0000-0000-0000E25E0000}"/>
    <cellStyle name="Note 5 2 5 4" xfId="19883" xr:uid="{00000000-0005-0000-0000-0000E35E0000}"/>
    <cellStyle name="Note 5 2 6" xfId="7341" xr:uid="{00000000-0005-0000-0000-0000E45E0000}"/>
    <cellStyle name="Note 5 2 6 2" xfId="25772" xr:uid="{00000000-0005-0000-0000-0000E55E0000}"/>
    <cellStyle name="Note 5 2 6 3" xfId="32828" xr:uid="{00000000-0005-0000-0000-0000E65E0000}"/>
    <cellStyle name="Note 5 2 6 4" xfId="20697" xr:uid="{00000000-0005-0000-0000-0000E75E0000}"/>
    <cellStyle name="Note 5 2 7" xfId="6400" xr:uid="{00000000-0005-0000-0000-0000E85E0000}"/>
    <cellStyle name="Note 5 2 7 2" xfId="24840" xr:uid="{00000000-0005-0000-0000-0000E95E0000}"/>
    <cellStyle name="Note 5 2 7 3" xfId="32671" xr:uid="{00000000-0005-0000-0000-0000EA5E0000}"/>
    <cellStyle name="Note 5 2 7 4" xfId="19949" xr:uid="{00000000-0005-0000-0000-0000EB5E0000}"/>
    <cellStyle name="Note 5 2 8" xfId="8441" xr:uid="{00000000-0005-0000-0000-0000EC5E0000}"/>
    <cellStyle name="Note 5 2 8 2" xfId="26864" xr:uid="{00000000-0005-0000-0000-0000ED5E0000}"/>
    <cellStyle name="Note 5 2 8 3" xfId="33073" xr:uid="{00000000-0005-0000-0000-0000EE5E0000}"/>
    <cellStyle name="Note 5 2 8 4" xfId="21732" xr:uid="{00000000-0005-0000-0000-0000EF5E0000}"/>
    <cellStyle name="Note 5 2 9" xfId="3933" xr:uid="{00000000-0005-0000-0000-0000F05E0000}"/>
    <cellStyle name="Note 5 2 9 2" xfId="22400" xr:uid="{00000000-0005-0000-0000-0000F15E0000}"/>
    <cellStyle name="Note 5 2 9 3" xfId="31676" xr:uid="{00000000-0005-0000-0000-0000F25E0000}"/>
    <cellStyle name="Note 5 2 9 4" xfId="17615" xr:uid="{00000000-0005-0000-0000-0000F35E0000}"/>
    <cellStyle name="Note 5 20" xfId="15288" xr:uid="{00000000-0005-0000-0000-0000F45E0000}"/>
    <cellStyle name="Note 5 20 2" xfId="16925" xr:uid="{00000000-0005-0000-0000-0000F55E0000}"/>
    <cellStyle name="Note 5 21" xfId="15078" xr:uid="{00000000-0005-0000-0000-0000F65E0000}"/>
    <cellStyle name="Note 5 21 2" xfId="36489" xr:uid="{00000000-0005-0000-0000-0000F75E0000}"/>
    <cellStyle name="Note 5 22" xfId="31345" xr:uid="{00000000-0005-0000-0000-0000F85E0000}"/>
    <cellStyle name="Note 5 23" xfId="38066" xr:uid="{00000000-0005-0000-0000-0000300E0000}"/>
    <cellStyle name="Note 5 3" xfId="3017" xr:uid="{00000000-0005-0000-0000-0000F95E0000}"/>
    <cellStyle name="Note 5 3 10" xfId="14398" xr:uid="{00000000-0005-0000-0000-0000FA5E0000}"/>
    <cellStyle name="Note 5 3 10 2" xfId="16929" xr:uid="{00000000-0005-0000-0000-0000FB5E0000}"/>
    <cellStyle name="Note 5 3 11" xfId="15574" xr:uid="{00000000-0005-0000-0000-0000FC5E0000}"/>
    <cellStyle name="Note 5 3 11 2" xfId="36951" xr:uid="{00000000-0005-0000-0000-0000FD5E0000}"/>
    <cellStyle name="Note 5 3 12" xfId="31349" xr:uid="{00000000-0005-0000-0000-0000FE5E0000}"/>
    <cellStyle name="Note 5 3 13" xfId="39969" xr:uid="{00000000-0005-0000-0000-0000320E0000}"/>
    <cellStyle name="Note 5 3 2" xfId="3526" xr:uid="{00000000-0005-0000-0000-0000FF5E0000}"/>
    <cellStyle name="Note 5 3 2 10" xfId="15669" xr:uid="{00000000-0005-0000-0000-0000005F0000}"/>
    <cellStyle name="Note 5 3 2 10 2" xfId="37043" xr:uid="{00000000-0005-0000-0000-0000015F0000}"/>
    <cellStyle name="Note 5 3 2 11" xfId="31579" xr:uid="{00000000-0005-0000-0000-0000025F0000}"/>
    <cellStyle name="Note 5 3 2 12" xfId="39970" xr:uid="{00000000-0005-0000-0000-0000330E0000}"/>
    <cellStyle name="Note 5 3 2 2" xfId="5653" xr:uid="{00000000-0005-0000-0000-0000035F0000}"/>
    <cellStyle name="Note 5 3 2 2 2" xfId="24106" xr:uid="{00000000-0005-0000-0000-0000045F0000}"/>
    <cellStyle name="Note 5 3 2 2 3" xfId="32264" xr:uid="{00000000-0005-0000-0000-0000055F0000}"/>
    <cellStyle name="Note 5 3 2 2 4" xfId="19239" xr:uid="{00000000-0005-0000-0000-0000065F0000}"/>
    <cellStyle name="Note 5 3 2 3" xfId="5140" xr:uid="{00000000-0005-0000-0000-0000075F0000}"/>
    <cellStyle name="Note 5 3 2 3 2" xfId="23600" xr:uid="{00000000-0005-0000-0000-0000085F0000}"/>
    <cellStyle name="Note 5 3 2 3 3" xfId="31981" xr:uid="{00000000-0005-0000-0000-0000095F0000}"/>
    <cellStyle name="Note 5 3 2 3 4" xfId="18754" xr:uid="{00000000-0005-0000-0000-00000A5F0000}"/>
    <cellStyle name="Note 5 3 2 4" xfId="5981" xr:uid="{00000000-0005-0000-0000-00000B5F0000}"/>
    <cellStyle name="Note 5 3 2 4 2" xfId="24422" xr:uid="{00000000-0005-0000-0000-00000C5F0000}"/>
    <cellStyle name="Note 5 3 2 4 3" xfId="32459" xr:uid="{00000000-0005-0000-0000-00000D5F0000}"/>
    <cellStyle name="Note 5 3 2 4 4" xfId="19531" xr:uid="{00000000-0005-0000-0000-00000E5F0000}"/>
    <cellStyle name="Note 5 3 2 5" xfId="7665" xr:uid="{00000000-0005-0000-0000-00000F5F0000}"/>
    <cellStyle name="Note 5 3 2 5 2" xfId="26095" xr:uid="{00000000-0005-0000-0000-0000105F0000}"/>
    <cellStyle name="Note 5 3 2 5 3" xfId="32910" xr:uid="{00000000-0005-0000-0000-0000115F0000}"/>
    <cellStyle name="Note 5 3 2 5 4" xfId="21020" xr:uid="{00000000-0005-0000-0000-0000125F0000}"/>
    <cellStyle name="Note 5 3 2 6" xfId="8039" xr:uid="{00000000-0005-0000-0000-0000135F0000}"/>
    <cellStyle name="Note 5 3 2 6 2" xfId="26469" xr:uid="{00000000-0005-0000-0000-0000145F0000}"/>
    <cellStyle name="Note 5 3 2 6 3" xfId="32982" xr:uid="{00000000-0005-0000-0000-0000155F0000}"/>
    <cellStyle name="Note 5 3 2 6 4" xfId="21393" xr:uid="{00000000-0005-0000-0000-0000165F0000}"/>
    <cellStyle name="Note 5 3 2 7" xfId="8763" xr:uid="{00000000-0005-0000-0000-0000175F0000}"/>
    <cellStyle name="Note 5 3 2 7 2" xfId="27183" xr:uid="{00000000-0005-0000-0000-0000185F0000}"/>
    <cellStyle name="Note 5 3 2 7 3" xfId="33154" xr:uid="{00000000-0005-0000-0000-0000195F0000}"/>
    <cellStyle name="Note 5 3 2 7 4" xfId="22054" xr:uid="{00000000-0005-0000-0000-00001A5F0000}"/>
    <cellStyle name="Note 5 3 2 8" xfId="4255" xr:uid="{00000000-0005-0000-0000-00001B5F0000}"/>
    <cellStyle name="Note 5 3 2 8 2" xfId="22719" xr:uid="{00000000-0005-0000-0000-00001C5F0000}"/>
    <cellStyle name="Note 5 3 2 8 3" xfId="31757" xr:uid="{00000000-0005-0000-0000-00001D5F0000}"/>
    <cellStyle name="Note 5 3 2 8 4" xfId="17937" xr:uid="{00000000-0005-0000-0000-00001E5F0000}"/>
    <cellStyle name="Note 5 3 2 9" xfId="15047" xr:uid="{00000000-0005-0000-0000-00001F5F0000}"/>
    <cellStyle name="Note 5 3 2 9 2" xfId="17266" xr:uid="{00000000-0005-0000-0000-0000205F0000}"/>
    <cellStyle name="Note 5 3 3" xfId="5279" xr:uid="{00000000-0005-0000-0000-0000215F0000}"/>
    <cellStyle name="Note 5 3 3 2" xfId="23739" xr:uid="{00000000-0005-0000-0000-0000225F0000}"/>
    <cellStyle name="Note 5 3 3 3" xfId="32056" xr:uid="{00000000-0005-0000-0000-0000235F0000}"/>
    <cellStyle name="Note 5 3 3 4" xfId="18892" xr:uid="{00000000-0005-0000-0000-0000245F0000}"/>
    <cellStyle name="Note 5 3 4" xfId="4869" xr:uid="{00000000-0005-0000-0000-0000255F0000}"/>
    <cellStyle name="Note 5 3 4 2" xfId="23329" xr:uid="{00000000-0005-0000-0000-0000265F0000}"/>
    <cellStyle name="Note 5 3 4 3" xfId="31852" xr:uid="{00000000-0005-0000-0000-0000275F0000}"/>
    <cellStyle name="Note 5 3 4 4" xfId="18483" xr:uid="{00000000-0005-0000-0000-0000285F0000}"/>
    <cellStyle name="Note 5 3 5" xfId="6333" xr:uid="{00000000-0005-0000-0000-0000295F0000}"/>
    <cellStyle name="Note 5 3 5 2" xfId="24773" xr:uid="{00000000-0005-0000-0000-00002A5F0000}"/>
    <cellStyle name="Note 5 3 5 3" xfId="32612" xr:uid="{00000000-0005-0000-0000-00002B5F0000}"/>
    <cellStyle name="Note 5 3 5 4" xfId="19882" xr:uid="{00000000-0005-0000-0000-00002C5F0000}"/>
    <cellStyle name="Note 5 3 6" xfId="7342" xr:uid="{00000000-0005-0000-0000-00002D5F0000}"/>
    <cellStyle name="Note 5 3 6 2" xfId="25773" xr:uid="{00000000-0005-0000-0000-00002E5F0000}"/>
    <cellStyle name="Note 5 3 6 3" xfId="32829" xr:uid="{00000000-0005-0000-0000-00002F5F0000}"/>
    <cellStyle name="Note 5 3 6 4" xfId="20698" xr:uid="{00000000-0005-0000-0000-0000305F0000}"/>
    <cellStyle name="Note 5 3 7" xfId="6399" xr:uid="{00000000-0005-0000-0000-0000315F0000}"/>
    <cellStyle name="Note 5 3 7 2" xfId="24839" xr:uid="{00000000-0005-0000-0000-0000325F0000}"/>
    <cellStyle name="Note 5 3 7 3" xfId="32670" xr:uid="{00000000-0005-0000-0000-0000335F0000}"/>
    <cellStyle name="Note 5 3 7 4" xfId="19948" xr:uid="{00000000-0005-0000-0000-0000345F0000}"/>
    <cellStyle name="Note 5 3 8" xfId="8442" xr:uid="{00000000-0005-0000-0000-0000355F0000}"/>
    <cellStyle name="Note 5 3 8 2" xfId="26865" xr:uid="{00000000-0005-0000-0000-0000365F0000}"/>
    <cellStyle name="Note 5 3 8 3" xfId="33074" xr:uid="{00000000-0005-0000-0000-0000375F0000}"/>
    <cellStyle name="Note 5 3 8 4" xfId="21733" xr:uid="{00000000-0005-0000-0000-0000385F0000}"/>
    <cellStyle name="Note 5 3 9" xfId="3934" xr:uid="{00000000-0005-0000-0000-0000395F0000}"/>
    <cellStyle name="Note 5 3 9 2" xfId="22401" xr:uid="{00000000-0005-0000-0000-00003A5F0000}"/>
    <cellStyle name="Note 5 3 9 3" xfId="31677" xr:uid="{00000000-0005-0000-0000-00003B5F0000}"/>
    <cellStyle name="Note 5 3 9 4" xfId="17616" xr:uid="{00000000-0005-0000-0000-00003C5F0000}"/>
    <cellStyle name="Note 5 3_ELC_final" xfId="39971" xr:uid="{00000000-0005-0000-0000-0000340E0000}"/>
    <cellStyle name="Note 5 4" xfId="3018" xr:uid="{00000000-0005-0000-0000-00003D5F0000}"/>
    <cellStyle name="Note 5 4 10" xfId="15057" xr:uid="{00000000-0005-0000-0000-00003E5F0000}"/>
    <cellStyle name="Note 5 4 10 2" xfId="16930" xr:uid="{00000000-0005-0000-0000-00003F5F0000}"/>
    <cellStyle name="Note 5 4 11" xfId="15175" xr:uid="{00000000-0005-0000-0000-0000405F0000}"/>
    <cellStyle name="Note 5 4 11 2" xfId="36585" xr:uid="{00000000-0005-0000-0000-0000415F0000}"/>
    <cellStyle name="Note 5 4 12" xfId="31350" xr:uid="{00000000-0005-0000-0000-0000425F0000}"/>
    <cellStyle name="Note 5 4 13" xfId="39972" xr:uid="{00000000-0005-0000-0000-0000350E0000}"/>
    <cellStyle name="Note 5 4 2" xfId="3527" xr:uid="{00000000-0005-0000-0000-0000435F0000}"/>
    <cellStyle name="Note 5 4 2 10" xfId="15334" xr:uid="{00000000-0005-0000-0000-0000445F0000}"/>
    <cellStyle name="Note 5 4 2 10 2" xfId="36722" xr:uid="{00000000-0005-0000-0000-0000455F0000}"/>
    <cellStyle name="Note 5 4 2 11" xfId="31580" xr:uid="{00000000-0005-0000-0000-0000465F0000}"/>
    <cellStyle name="Note 5 4 2 2" xfId="5654" xr:uid="{00000000-0005-0000-0000-0000475F0000}"/>
    <cellStyle name="Note 5 4 2 2 2" xfId="24107" xr:uid="{00000000-0005-0000-0000-0000485F0000}"/>
    <cellStyle name="Note 5 4 2 2 3" xfId="32265" xr:uid="{00000000-0005-0000-0000-0000495F0000}"/>
    <cellStyle name="Note 5 4 2 2 4" xfId="19240" xr:uid="{00000000-0005-0000-0000-00004A5F0000}"/>
    <cellStyle name="Note 5 4 2 3" xfId="5141" xr:uid="{00000000-0005-0000-0000-00004B5F0000}"/>
    <cellStyle name="Note 5 4 2 3 2" xfId="23601" xr:uid="{00000000-0005-0000-0000-00004C5F0000}"/>
    <cellStyle name="Note 5 4 2 3 3" xfId="31982" xr:uid="{00000000-0005-0000-0000-00004D5F0000}"/>
    <cellStyle name="Note 5 4 2 3 4" xfId="18755" xr:uid="{00000000-0005-0000-0000-00004E5F0000}"/>
    <cellStyle name="Note 5 4 2 4" xfId="5980" xr:uid="{00000000-0005-0000-0000-00004F5F0000}"/>
    <cellStyle name="Note 5 4 2 4 2" xfId="24421" xr:uid="{00000000-0005-0000-0000-0000505F0000}"/>
    <cellStyle name="Note 5 4 2 4 3" xfId="32458" xr:uid="{00000000-0005-0000-0000-0000515F0000}"/>
    <cellStyle name="Note 5 4 2 4 4" xfId="19530" xr:uid="{00000000-0005-0000-0000-0000525F0000}"/>
    <cellStyle name="Note 5 4 2 5" xfId="7666" xr:uid="{00000000-0005-0000-0000-0000535F0000}"/>
    <cellStyle name="Note 5 4 2 5 2" xfId="26096" xr:uid="{00000000-0005-0000-0000-0000545F0000}"/>
    <cellStyle name="Note 5 4 2 5 3" xfId="32911" xr:uid="{00000000-0005-0000-0000-0000555F0000}"/>
    <cellStyle name="Note 5 4 2 5 4" xfId="21021" xr:uid="{00000000-0005-0000-0000-0000565F0000}"/>
    <cellStyle name="Note 5 4 2 6" xfId="8040" xr:uid="{00000000-0005-0000-0000-0000575F0000}"/>
    <cellStyle name="Note 5 4 2 6 2" xfId="26470" xr:uid="{00000000-0005-0000-0000-0000585F0000}"/>
    <cellStyle name="Note 5 4 2 6 3" xfId="32983" xr:uid="{00000000-0005-0000-0000-0000595F0000}"/>
    <cellStyle name="Note 5 4 2 6 4" xfId="21394" xr:uid="{00000000-0005-0000-0000-00005A5F0000}"/>
    <cellStyle name="Note 5 4 2 7" xfId="8764" xr:uid="{00000000-0005-0000-0000-00005B5F0000}"/>
    <cellStyle name="Note 5 4 2 7 2" xfId="27184" xr:uid="{00000000-0005-0000-0000-00005C5F0000}"/>
    <cellStyle name="Note 5 4 2 7 3" xfId="33155" xr:uid="{00000000-0005-0000-0000-00005D5F0000}"/>
    <cellStyle name="Note 5 4 2 7 4" xfId="22055" xr:uid="{00000000-0005-0000-0000-00005E5F0000}"/>
    <cellStyle name="Note 5 4 2 8" xfId="4256" xr:uid="{00000000-0005-0000-0000-00005F5F0000}"/>
    <cellStyle name="Note 5 4 2 8 2" xfId="22720" xr:uid="{00000000-0005-0000-0000-0000605F0000}"/>
    <cellStyle name="Note 5 4 2 8 3" xfId="31758" xr:uid="{00000000-0005-0000-0000-0000615F0000}"/>
    <cellStyle name="Note 5 4 2 8 4" xfId="17938" xr:uid="{00000000-0005-0000-0000-0000625F0000}"/>
    <cellStyle name="Note 5 4 2 9" xfId="14577" xr:uid="{00000000-0005-0000-0000-0000635F0000}"/>
    <cellStyle name="Note 5 4 2 9 2" xfId="17267" xr:uid="{00000000-0005-0000-0000-0000645F0000}"/>
    <cellStyle name="Note 5 4 3" xfId="5280" xr:uid="{00000000-0005-0000-0000-0000655F0000}"/>
    <cellStyle name="Note 5 4 3 2" xfId="23740" xr:uid="{00000000-0005-0000-0000-0000665F0000}"/>
    <cellStyle name="Note 5 4 3 3" xfId="32057" xr:uid="{00000000-0005-0000-0000-0000675F0000}"/>
    <cellStyle name="Note 5 4 3 4" xfId="18893" xr:uid="{00000000-0005-0000-0000-0000685F0000}"/>
    <cellStyle name="Note 5 4 4" xfId="4870" xr:uid="{00000000-0005-0000-0000-0000695F0000}"/>
    <cellStyle name="Note 5 4 4 2" xfId="23330" xr:uid="{00000000-0005-0000-0000-00006A5F0000}"/>
    <cellStyle name="Note 5 4 4 3" xfId="31853" xr:uid="{00000000-0005-0000-0000-00006B5F0000}"/>
    <cellStyle name="Note 5 4 4 4" xfId="18484" xr:uid="{00000000-0005-0000-0000-00006C5F0000}"/>
    <cellStyle name="Note 5 4 5" xfId="6332" xr:uid="{00000000-0005-0000-0000-00006D5F0000}"/>
    <cellStyle name="Note 5 4 5 2" xfId="24772" xr:uid="{00000000-0005-0000-0000-00006E5F0000}"/>
    <cellStyle name="Note 5 4 5 3" xfId="32611" xr:uid="{00000000-0005-0000-0000-00006F5F0000}"/>
    <cellStyle name="Note 5 4 5 4" xfId="19881" xr:uid="{00000000-0005-0000-0000-0000705F0000}"/>
    <cellStyle name="Note 5 4 6" xfId="7343" xr:uid="{00000000-0005-0000-0000-0000715F0000}"/>
    <cellStyle name="Note 5 4 6 2" xfId="25774" xr:uid="{00000000-0005-0000-0000-0000725F0000}"/>
    <cellStyle name="Note 5 4 6 3" xfId="32830" xr:uid="{00000000-0005-0000-0000-0000735F0000}"/>
    <cellStyle name="Note 5 4 6 4" xfId="20699" xr:uid="{00000000-0005-0000-0000-0000745F0000}"/>
    <cellStyle name="Note 5 4 7" xfId="6398" xr:uid="{00000000-0005-0000-0000-0000755F0000}"/>
    <cellStyle name="Note 5 4 7 2" xfId="24838" xr:uid="{00000000-0005-0000-0000-0000765F0000}"/>
    <cellStyle name="Note 5 4 7 3" xfId="32669" xr:uid="{00000000-0005-0000-0000-0000775F0000}"/>
    <cellStyle name="Note 5 4 7 4" xfId="19947" xr:uid="{00000000-0005-0000-0000-0000785F0000}"/>
    <cellStyle name="Note 5 4 8" xfId="8443" xr:uid="{00000000-0005-0000-0000-0000795F0000}"/>
    <cellStyle name="Note 5 4 8 2" xfId="26866" xr:uid="{00000000-0005-0000-0000-00007A5F0000}"/>
    <cellStyle name="Note 5 4 8 3" xfId="33075" xr:uid="{00000000-0005-0000-0000-00007B5F0000}"/>
    <cellStyle name="Note 5 4 8 4" xfId="21734" xr:uid="{00000000-0005-0000-0000-00007C5F0000}"/>
    <cellStyle name="Note 5 4 9" xfId="3935" xr:uid="{00000000-0005-0000-0000-00007D5F0000}"/>
    <cellStyle name="Note 5 4 9 2" xfId="22402" xr:uid="{00000000-0005-0000-0000-00007E5F0000}"/>
    <cellStyle name="Note 5 4 9 3" xfId="31678" xr:uid="{00000000-0005-0000-0000-00007F5F0000}"/>
    <cellStyle name="Note 5 4 9 4" xfId="17617" xr:uid="{00000000-0005-0000-0000-0000805F0000}"/>
    <cellStyle name="Note 5 5" xfId="3019" xr:uid="{00000000-0005-0000-0000-0000815F0000}"/>
    <cellStyle name="Note 5 5 10" xfId="14594" xr:uid="{00000000-0005-0000-0000-0000825F0000}"/>
    <cellStyle name="Note 5 5 10 2" xfId="16931" xr:uid="{00000000-0005-0000-0000-0000835F0000}"/>
    <cellStyle name="Note 5 5 11" xfId="14530" xr:uid="{00000000-0005-0000-0000-0000845F0000}"/>
    <cellStyle name="Note 5 5 11 2" xfId="36056" xr:uid="{00000000-0005-0000-0000-0000855F0000}"/>
    <cellStyle name="Note 5 5 12" xfId="31351" xr:uid="{00000000-0005-0000-0000-0000865F0000}"/>
    <cellStyle name="Note 5 5 2" xfId="3528" xr:uid="{00000000-0005-0000-0000-0000875F0000}"/>
    <cellStyle name="Note 5 5 2 10" xfId="14421" xr:uid="{00000000-0005-0000-0000-0000885F0000}"/>
    <cellStyle name="Note 5 5 2 10 2" xfId="35949" xr:uid="{00000000-0005-0000-0000-0000895F0000}"/>
    <cellStyle name="Note 5 5 2 11" xfId="31581" xr:uid="{00000000-0005-0000-0000-00008A5F0000}"/>
    <cellStyle name="Note 5 5 2 2" xfId="5655" xr:uid="{00000000-0005-0000-0000-00008B5F0000}"/>
    <cellStyle name="Note 5 5 2 2 2" xfId="24108" xr:uid="{00000000-0005-0000-0000-00008C5F0000}"/>
    <cellStyle name="Note 5 5 2 2 3" xfId="32266" xr:uid="{00000000-0005-0000-0000-00008D5F0000}"/>
    <cellStyle name="Note 5 5 2 2 4" xfId="19241" xr:uid="{00000000-0005-0000-0000-00008E5F0000}"/>
    <cellStyle name="Note 5 5 2 3" xfId="5142" xr:uid="{00000000-0005-0000-0000-00008F5F0000}"/>
    <cellStyle name="Note 5 5 2 3 2" xfId="23602" xr:uid="{00000000-0005-0000-0000-0000905F0000}"/>
    <cellStyle name="Note 5 5 2 3 3" xfId="31983" xr:uid="{00000000-0005-0000-0000-0000915F0000}"/>
    <cellStyle name="Note 5 5 2 3 4" xfId="18756" xr:uid="{00000000-0005-0000-0000-0000925F0000}"/>
    <cellStyle name="Note 5 5 2 4" xfId="5979" xr:uid="{00000000-0005-0000-0000-0000935F0000}"/>
    <cellStyle name="Note 5 5 2 4 2" xfId="24420" xr:uid="{00000000-0005-0000-0000-0000945F0000}"/>
    <cellStyle name="Note 5 5 2 4 3" xfId="32457" xr:uid="{00000000-0005-0000-0000-0000955F0000}"/>
    <cellStyle name="Note 5 5 2 4 4" xfId="19529" xr:uid="{00000000-0005-0000-0000-0000965F0000}"/>
    <cellStyle name="Note 5 5 2 5" xfId="7667" xr:uid="{00000000-0005-0000-0000-0000975F0000}"/>
    <cellStyle name="Note 5 5 2 5 2" xfId="26097" xr:uid="{00000000-0005-0000-0000-0000985F0000}"/>
    <cellStyle name="Note 5 5 2 5 3" xfId="32912" xr:uid="{00000000-0005-0000-0000-0000995F0000}"/>
    <cellStyle name="Note 5 5 2 5 4" xfId="21022" xr:uid="{00000000-0005-0000-0000-00009A5F0000}"/>
    <cellStyle name="Note 5 5 2 6" xfId="8041" xr:uid="{00000000-0005-0000-0000-00009B5F0000}"/>
    <cellStyle name="Note 5 5 2 6 2" xfId="26471" xr:uid="{00000000-0005-0000-0000-00009C5F0000}"/>
    <cellStyle name="Note 5 5 2 6 3" xfId="32984" xr:uid="{00000000-0005-0000-0000-00009D5F0000}"/>
    <cellStyle name="Note 5 5 2 6 4" xfId="21395" xr:uid="{00000000-0005-0000-0000-00009E5F0000}"/>
    <cellStyle name="Note 5 5 2 7" xfId="8765" xr:uid="{00000000-0005-0000-0000-00009F5F0000}"/>
    <cellStyle name="Note 5 5 2 7 2" xfId="27185" xr:uid="{00000000-0005-0000-0000-0000A05F0000}"/>
    <cellStyle name="Note 5 5 2 7 3" xfId="33156" xr:uid="{00000000-0005-0000-0000-0000A15F0000}"/>
    <cellStyle name="Note 5 5 2 7 4" xfId="22056" xr:uid="{00000000-0005-0000-0000-0000A25F0000}"/>
    <cellStyle name="Note 5 5 2 8" xfId="4257" xr:uid="{00000000-0005-0000-0000-0000A35F0000}"/>
    <cellStyle name="Note 5 5 2 8 2" xfId="22721" xr:uid="{00000000-0005-0000-0000-0000A45F0000}"/>
    <cellStyle name="Note 5 5 2 8 3" xfId="31759" xr:uid="{00000000-0005-0000-0000-0000A55F0000}"/>
    <cellStyle name="Note 5 5 2 8 4" xfId="17939" xr:uid="{00000000-0005-0000-0000-0000A65F0000}"/>
    <cellStyle name="Note 5 5 2 9" xfId="14612" xr:uid="{00000000-0005-0000-0000-0000A75F0000}"/>
    <cellStyle name="Note 5 5 2 9 2" xfId="17268" xr:uid="{00000000-0005-0000-0000-0000A85F0000}"/>
    <cellStyle name="Note 5 5 3" xfId="5281" xr:uid="{00000000-0005-0000-0000-0000A95F0000}"/>
    <cellStyle name="Note 5 5 3 2" xfId="23741" xr:uid="{00000000-0005-0000-0000-0000AA5F0000}"/>
    <cellStyle name="Note 5 5 3 3" xfId="32058" xr:uid="{00000000-0005-0000-0000-0000AB5F0000}"/>
    <cellStyle name="Note 5 5 3 4" xfId="18894" xr:uid="{00000000-0005-0000-0000-0000AC5F0000}"/>
    <cellStyle name="Note 5 5 4" xfId="4871" xr:uid="{00000000-0005-0000-0000-0000AD5F0000}"/>
    <cellStyle name="Note 5 5 4 2" xfId="23331" xr:uid="{00000000-0005-0000-0000-0000AE5F0000}"/>
    <cellStyle name="Note 5 5 4 3" xfId="31854" xr:uid="{00000000-0005-0000-0000-0000AF5F0000}"/>
    <cellStyle name="Note 5 5 4 4" xfId="18485" xr:uid="{00000000-0005-0000-0000-0000B05F0000}"/>
    <cellStyle name="Note 5 5 5" xfId="6331" xr:uid="{00000000-0005-0000-0000-0000B15F0000}"/>
    <cellStyle name="Note 5 5 5 2" xfId="24771" xr:uid="{00000000-0005-0000-0000-0000B25F0000}"/>
    <cellStyle name="Note 5 5 5 3" xfId="32610" xr:uid="{00000000-0005-0000-0000-0000B35F0000}"/>
    <cellStyle name="Note 5 5 5 4" xfId="19880" xr:uid="{00000000-0005-0000-0000-0000B45F0000}"/>
    <cellStyle name="Note 5 5 6" xfId="7344" xr:uid="{00000000-0005-0000-0000-0000B55F0000}"/>
    <cellStyle name="Note 5 5 6 2" xfId="25775" xr:uid="{00000000-0005-0000-0000-0000B65F0000}"/>
    <cellStyle name="Note 5 5 6 3" xfId="32831" xr:uid="{00000000-0005-0000-0000-0000B75F0000}"/>
    <cellStyle name="Note 5 5 6 4" xfId="20700" xr:uid="{00000000-0005-0000-0000-0000B85F0000}"/>
    <cellStyle name="Note 5 5 7" xfId="6397" xr:uid="{00000000-0005-0000-0000-0000B95F0000}"/>
    <cellStyle name="Note 5 5 7 2" xfId="24837" xr:uid="{00000000-0005-0000-0000-0000BA5F0000}"/>
    <cellStyle name="Note 5 5 7 3" xfId="32668" xr:uid="{00000000-0005-0000-0000-0000BB5F0000}"/>
    <cellStyle name="Note 5 5 7 4" xfId="19946" xr:uid="{00000000-0005-0000-0000-0000BC5F0000}"/>
    <cellStyle name="Note 5 5 8" xfId="8444" xr:uid="{00000000-0005-0000-0000-0000BD5F0000}"/>
    <cellStyle name="Note 5 5 8 2" xfId="26867" xr:uid="{00000000-0005-0000-0000-0000BE5F0000}"/>
    <cellStyle name="Note 5 5 8 3" xfId="33076" xr:uid="{00000000-0005-0000-0000-0000BF5F0000}"/>
    <cellStyle name="Note 5 5 8 4" xfId="21735" xr:uid="{00000000-0005-0000-0000-0000C05F0000}"/>
    <cellStyle name="Note 5 5 9" xfId="3936" xr:uid="{00000000-0005-0000-0000-0000C15F0000}"/>
    <cellStyle name="Note 5 5 9 2" xfId="22403" xr:uid="{00000000-0005-0000-0000-0000C25F0000}"/>
    <cellStyle name="Note 5 5 9 3" xfId="31679" xr:uid="{00000000-0005-0000-0000-0000C35F0000}"/>
    <cellStyle name="Note 5 5 9 4" xfId="17618" xr:uid="{00000000-0005-0000-0000-0000C45F0000}"/>
    <cellStyle name="Note 5 6" xfId="3020" xr:uid="{00000000-0005-0000-0000-0000C55F0000}"/>
    <cellStyle name="Note 5 6 10" xfId="16042" xr:uid="{00000000-0005-0000-0000-0000C65F0000}"/>
    <cellStyle name="Note 5 6 10 2" xfId="16932" xr:uid="{00000000-0005-0000-0000-0000C75F0000}"/>
    <cellStyle name="Note 5 6 11" xfId="14427" xr:uid="{00000000-0005-0000-0000-0000C85F0000}"/>
    <cellStyle name="Note 5 6 11 2" xfId="35955" xr:uid="{00000000-0005-0000-0000-0000C95F0000}"/>
    <cellStyle name="Note 5 6 12" xfId="31352" xr:uid="{00000000-0005-0000-0000-0000CA5F0000}"/>
    <cellStyle name="Note 5 6 2" xfId="3529" xr:uid="{00000000-0005-0000-0000-0000CB5F0000}"/>
    <cellStyle name="Note 5 6 2 10" xfId="15243" xr:uid="{00000000-0005-0000-0000-0000CC5F0000}"/>
    <cellStyle name="Note 5 6 2 10 2" xfId="36650" xr:uid="{00000000-0005-0000-0000-0000CD5F0000}"/>
    <cellStyle name="Note 5 6 2 11" xfId="31582" xr:uid="{00000000-0005-0000-0000-0000CE5F0000}"/>
    <cellStyle name="Note 5 6 2 2" xfId="5656" xr:uid="{00000000-0005-0000-0000-0000CF5F0000}"/>
    <cellStyle name="Note 5 6 2 2 2" xfId="24109" xr:uid="{00000000-0005-0000-0000-0000D05F0000}"/>
    <cellStyle name="Note 5 6 2 2 3" xfId="32267" xr:uid="{00000000-0005-0000-0000-0000D15F0000}"/>
    <cellStyle name="Note 5 6 2 2 4" xfId="19242" xr:uid="{00000000-0005-0000-0000-0000D25F0000}"/>
    <cellStyle name="Note 5 6 2 3" xfId="5143" xr:uid="{00000000-0005-0000-0000-0000D35F0000}"/>
    <cellStyle name="Note 5 6 2 3 2" xfId="23603" xr:uid="{00000000-0005-0000-0000-0000D45F0000}"/>
    <cellStyle name="Note 5 6 2 3 3" xfId="31984" xr:uid="{00000000-0005-0000-0000-0000D55F0000}"/>
    <cellStyle name="Note 5 6 2 3 4" xfId="18757" xr:uid="{00000000-0005-0000-0000-0000D65F0000}"/>
    <cellStyle name="Note 5 6 2 4" xfId="5978" xr:uid="{00000000-0005-0000-0000-0000D75F0000}"/>
    <cellStyle name="Note 5 6 2 4 2" xfId="24419" xr:uid="{00000000-0005-0000-0000-0000D85F0000}"/>
    <cellStyle name="Note 5 6 2 4 3" xfId="32456" xr:uid="{00000000-0005-0000-0000-0000D95F0000}"/>
    <cellStyle name="Note 5 6 2 4 4" xfId="19528" xr:uid="{00000000-0005-0000-0000-0000DA5F0000}"/>
    <cellStyle name="Note 5 6 2 5" xfId="7668" xr:uid="{00000000-0005-0000-0000-0000DB5F0000}"/>
    <cellStyle name="Note 5 6 2 5 2" xfId="26098" xr:uid="{00000000-0005-0000-0000-0000DC5F0000}"/>
    <cellStyle name="Note 5 6 2 5 3" xfId="32913" xr:uid="{00000000-0005-0000-0000-0000DD5F0000}"/>
    <cellStyle name="Note 5 6 2 5 4" xfId="21023" xr:uid="{00000000-0005-0000-0000-0000DE5F0000}"/>
    <cellStyle name="Note 5 6 2 6" xfId="8042" xr:uid="{00000000-0005-0000-0000-0000DF5F0000}"/>
    <cellStyle name="Note 5 6 2 6 2" xfId="26472" xr:uid="{00000000-0005-0000-0000-0000E05F0000}"/>
    <cellStyle name="Note 5 6 2 6 3" xfId="32985" xr:uid="{00000000-0005-0000-0000-0000E15F0000}"/>
    <cellStyle name="Note 5 6 2 6 4" xfId="21396" xr:uid="{00000000-0005-0000-0000-0000E25F0000}"/>
    <cellStyle name="Note 5 6 2 7" xfId="8766" xr:uid="{00000000-0005-0000-0000-0000E35F0000}"/>
    <cellStyle name="Note 5 6 2 7 2" xfId="27186" xr:uid="{00000000-0005-0000-0000-0000E45F0000}"/>
    <cellStyle name="Note 5 6 2 7 3" xfId="33157" xr:uid="{00000000-0005-0000-0000-0000E55F0000}"/>
    <cellStyle name="Note 5 6 2 7 4" xfId="22057" xr:uid="{00000000-0005-0000-0000-0000E65F0000}"/>
    <cellStyle name="Note 5 6 2 8" xfId="4258" xr:uid="{00000000-0005-0000-0000-0000E75F0000}"/>
    <cellStyle name="Note 5 6 2 8 2" xfId="22722" xr:uid="{00000000-0005-0000-0000-0000E85F0000}"/>
    <cellStyle name="Note 5 6 2 8 3" xfId="31760" xr:uid="{00000000-0005-0000-0000-0000E95F0000}"/>
    <cellStyle name="Note 5 6 2 8 4" xfId="17940" xr:uid="{00000000-0005-0000-0000-0000EA5F0000}"/>
    <cellStyle name="Note 5 6 2 9" xfId="16493" xr:uid="{00000000-0005-0000-0000-0000EB5F0000}"/>
    <cellStyle name="Note 5 6 2 9 2" xfId="17269" xr:uid="{00000000-0005-0000-0000-0000EC5F0000}"/>
    <cellStyle name="Note 5 6 3" xfId="5282" xr:uid="{00000000-0005-0000-0000-0000ED5F0000}"/>
    <cellStyle name="Note 5 6 3 2" xfId="23742" xr:uid="{00000000-0005-0000-0000-0000EE5F0000}"/>
    <cellStyle name="Note 5 6 3 3" xfId="32059" xr:uid="{00000000-0005-0000-0000-0000EF5F0000}"/>
    <cellStyle name="Note 5 6 3 4" xfId="18895" xr:uid="{00000000-0005-0000-0000-0000F05F0000}"/>
    <cellStyle name="Note 5 6 4" xfId="4872" xr:uid="{00000000-0005-0000-0000-0000F15F0000}"/>
    <cellStyle name="Note 5 6 4 2" xfId="23332" xr:uid="{00000000-0005-0000-0000-0000F25F0000}"/>
    <cellStyle name="Note 5 6 4 3" xfId="31855" xr:uid="{00000000-0005-0000-0000-0000F35F0000}"/>
    <cellStyle name="Note 5 6 4 4" xfId="18486" xr:uid="{00000000-0005-0000-0000-0000F45F0000}"/>
    <cellStyle name="Note 5 6 5" xfId="6330" xr:uid="{00000000-0005-0000-0000-0000F55F0000}"/>
    <cellStyle name="Note 5 6 5 2" xfId="24770" xr:uid="{00000000-0005-0000-0000-0000F65F0000}"/>
    <cellStyle name="Note 5 6 5 3" xfId="32609" xr:uid="{00000000-0005-0000-0000-0000F75F0000}"/>
    <cellStyle name="Note 5 6 5 4" xfId="19879" xr:uid="{00000000-0005-0000-0000-0000F85F0000}"/>
    <cellStyle name="Note 5 6 6" xfId="7345" xr:uid="{00000000-0005-0000-0000-0000F95F0000}"/>
    <cellStyle name="Note 5 6 6 2" xfId="25776" xr:uid="{00000000-0005-0000-0000-0000FA5F0000}"/>
    <cellStyle name="Note 5 6 6 3" xfId="32832" xr:uid="{00000000-0005-0000-0000-0000FB5F0000}"/>
    <cellStyle name="Note 5 6 6 4" xfId="20701" xr:uid="{00000000-0005-0000-0000-0000FC5F0000}"/>
    <cellStyle name="Note 5 6 7" xfId="6396" xr:uid="{00000000-0005-0000-0000-0000FD5F0000}"/>
    <cellStyle name="Note 5 6 7 2" xfId="24836" xr:uid="{00000000-0005-0000-0000-0000FE5F0000}"/>
    <cellStyle name="Note 5 6 7 3" xfId="32667" xr:uid="{00000000-0005-0000-0000-0000FF5F0000}"/>
    <cellStyle name="Note 5 6 7 4" xfId="19945" xr:uid="{00000000-0005-0000-0000-000000600000}"/>
    <cellStyle name="Note 5 6 8" xfId="8445" xr:uid="{00000000-0005-0000-0000-000001600000}"/>
    <cellStyle name="Note 5 6 8 2" xfId="26868" xr:uid="{00000000-0005-0000-0000-000002600000}"/>
    <cellStyle name="Note 5 6 8 3" xfId="33077" xr:uid="{00000000-0005-0000-0000-000003600000}"/>
    <cellStyle name="Note 5 6 8 4" xfId="21736" xr:uid="{00000000-0005-0000-0000-000004600000}"/>
    <cellStyle name="Note 5 6 9" xfId="3937" xr:uid="{00000000-0005-0000-0000-000005600000}"/>
    <cellStyle name="Note 5 6 9 2" xfId="22404" xr:uid="{00000000-0005-0000-0000-000006600000}"/>
    <cellStyle name="Note 5 6 9 3" xfId="31680" xr:uid="{00000000-0005-0000-0000-000007600000}"/>
    <cellStyle name="Note 5 6 9 4" xfId="17619" xr:uid="{00000000-0005-0000-0000-000008600000}"/>
    <cellStyle name="Note 5 7" xfId="3021" xr:uid="{00000000-0005-0000-0000-000009600000}"/>
    <cellStyle name="Note 5 7 10" xfId="16393" xr:uid="{00000000-0005-0000-0000-00000A600000}"/>
    <cellStyle name="Note 5 7 10 2" xfId="16933" xr:uid="{00000000-0005-0000-0000-00000B600000}"/>
    <cellStyle name="Note 5 7 11" xfId="14694" xr:uid="{00000000-0005-0000-0000-00000C600000}"/>
    <cellStyle name="Note 5 7 11 2" xfId="36176" xr:uid="{00000000-0005-0000-0000-00000D600000}"/>
    <cellStyle name="Note 5 7 12" xfId="31353" xr:uid="{00000000-0005-0000-0000-00000E600000}"/>
    <cellStyle name="Note 5 7 2" xfId="3530" xr:uid="{00000000-0005-0000-0000-00000F600000}"/>
    <cellStyle name="Note 5 7 2 10" xfId="16588" xr:uid="{00000000-0005-0000-0000-000010600000}"/>
    <cellStyle name="Note 5 7 2 10 2" xfId="37798" xr:uid="{00000000-0005-0000-0000-000011600000}"/>
    <cellStyle name="Note 5 7 2 11" xfId="31583" xr:uid="{00000000-0005-0000-0000-000012600000}"/>
    <cellStyle name="Note 5 7 2 2" xfId="5657" xr:uid="{00000000-0005-0000-0000-000013600000}"/>
    <cellStyle name="Note 5 7 2 2 2" xfId="24110" xr:uid="{00000000-0005-0000-0000-000014600000}"/>
    <cellStyle name="Note 5 7 2 2 3" xfId="32268" xr:uid="{00000000-0005-0000-0000-000015600000}"/>
    <cellStyle name="Note 5 7 2 2 4" xfId="19243" xr:uid="{00000000-0005-0000-0000-000016600000}"/>
    <cellStyle name="Note 5 7 2 3" xfId="5144" xr:uid="{00000000-0005-0000-0000-000017600000}"/>
    <cellStyle name="Note 5 7 2 3 2" xfId="23604" xr:uid="{00000000-0005-0000-0000-000018600000}"/>
    <cellStyle name="Note 5 7 2 3 3" xfId="31985" xr:uid="{00000000-0005-0000-0000-000019600000}"/>
    <cellStyle name="Note 5 7 2 3 4" xfId="18758" xr:uid="{00000000-0005-0000-0000-00001A600000}"/>
    <cellStyle name="Note 5 7 2 4" xfId="5977" xr:uid="{00000000-0005-0000-0000-00001B600000}"/>
    <cellStyle name="Note 5 7 2 4 2" xfId="24418" xr:uid="{00000000-0005-0000-0000-00001C600000}"/>
    <cellStyle name="Note 5 7 2 4 3" xfId="32455" xr:uid="{00000000-0005-0000-0000-00001D600000}"/>
    <cellStyle name="Note 5 7 2 4 4" xfId="19527" xr:uid="{00000000-0005-0000-0000-00001E600000}"/>
    <cellStyle name="Note 5 7 2 5" xfId="7669" xr:uid="{00000000-0005-0000-0000-00001F600000}"/>
    <cellStyle name="Note 5 7 2 5 2" xfId="26099" xr:uid="{00000000-0005-0000-0000-000020600000}"/>
    <cellStyle name="Note 5 7 2 5 3" xfId="32914" xr:uid="{00000000-0005-0000-0000-000021600000}"/>
    <cellStyle name="Note 5 7 2 5 4" xfId="21024" xr:uid="{00000000-0005-0000-0000-000022600000}"/>
    <cellStyle name="Note 5 7 2 6" xfId="8043" xr:uid="{00000000-0005-0000-0000-000023600000}"/>
    <cellStyle name="Note 5 7 2 6 2" xfId="26473" xr:uid="{00000000-0005-0000-0000-000024600000}"/>
    <cellStyle name="Note 5 7 2 6 3" xfId="32986" xr:uid="{00000000-0005-0000-0000-000025600000}"/>
    <cellStyle name="Note 5 7 2 6 4" xfId="21397" xr:uid="{00000000-0005-0000-0000-000026600000}"/>
    <cellStyle name="Note 5 7 2 7" xfId="8767" xr:uid="{00000000-0005-0000-0000-000027600000}"/>
    <cellStyle name="Note 5 7 2 7 2" xfId="27187" xr:uid="{00000000-0005-0000-0000-000028600000}"/>
    <cellStyle name="Note 5 7 2 7 3" xfId="33158" xr:uid="{00000000-0005-0000-0000-000029600000}"/>
    <cellStyle name="Note 5 7 2 7 4" xfId="22058" xr:uid="{00000000-0005-0000-0000-00002A600000}"/>
    <cellStyle name="Note 5 7 2 8" xfId="4259" xr:uid="{00000000-0005-0000-0000-00002B600000}"/>
    <cellStyle name="Note 5 7 2 8 2" xfId="22723" xr:uid="{00000000-0005-0000-0000-00002C600000}"/>
    <cellStyle name="Note 5 7 2 8 3" xfId="31761" xr:uid="{00000000-0005-0000-0000-00002D600000}"/>
    <cellStyle name="Note 5 7 2 8 4" xfId="17941" xr:uid="{00000000-0005-0000-0000-00002E600000}"/>
    <cellStyle name="Note 5 7 2 9" xfId="15035" xr:uid="{00000000-0005-0000-0000-00002F600000}"/>
    <cellStyle name="Note 5 7 2 9 2" xfId="17270" xr:uid="{00000000-0005-0000-0000-000030600000}"/>
    <cellStyle name="Note 5 7 3" xfId="5283" xr:uid="{00000000-0005-0000-0000-000031600000}"/>
    <cellStyle name="Note 5 7 3 2" xfId="23743" xr:uid="{00000000-0005-0000-0000-000032600000}"/>
    <cellStyle name="Note 5 7 3 3" xfId="32060" xr:uid="{00000000-0005-0000-0000-000033600000}"/>
    <cellStyle name="Note 5 7 3 4" xfId="18896" xr:uid="{00000000-0005-0000-0000-000034600000}"/>
    <cellStyle name="Note 5 7 4" xfId="4873" xr:uid="{00000000-0005-0000-0000-000035600000}"/>
    <cellStyle name="Note 5 7 4 2" xfId="23333" xr:uid="{00000000-0005-0000-0000-000036600000}"/>
    <cellStyle name="Note 5 7 4 3" xfId="31856" xr:uid="{00000000-0005-0000-0000-000037600000}"/>
    <cellStyle name="Note 5 7 4 4" xfId="18487" xr:uid="{00000000-0005-0000-0000-000038600000}"/>
    <cellStyle name="Note 5 7 5" xfId="6329" xr:uid="{00000000-0005-0000-0000-000039600000}"/>
    <cellStyle name="Note 5 7 5 2" xfId="24769" xr:uid="{00000000-0005-0000-0000-00003A600000}"/>
    <cellStyle name="Note 5 7 5 3" xfId="32608" xr:uid="{00000000-0005-0000-0000-00003B600000}"/>
    <cellStyle name="Note 5 7 5 4" xfId="19878" xr:uid="{00000000-0005-0000-0000-00003C600000}"/>
    <cellStyle name="Note 5 7 6" xfId="7346" xr:uid="{00000000-0005-0000-0000-00003D600000}"/>
    <cellStyle name="Note 5 7 6 2" xfId="25777" xr:uid="{00000000-0005-0000-0000-00003E600000}"/>
    <cellStyle name="Note 5 7 6 3" xfId="32833" xr:uid="{00000000-0005-0000-0000-00003F600000}"/>
    <cellStyle name="Note 5 7 6 4" xfId="20702" xr:uid="{00000000-0005-0000-0000-000040600000}"/>
    <cellStyle name="Note 5 7 7" xfId="6395" xr:uid="{00000000-0005-0000-0000-000041600000}"/>
    <cellStyle name="Note 5 7 7 2" xfId="24835" xr:uid="{00000000-0005-0000-0000-000042600000}"/>
    <cellStyle name="Note 5 7 7 3" xfId="32666" xr:uid="{00000000-0005-0000-0000-000043600000}"/>
    <cellStyle name="Note 5 7 7 4" xfId="19944" xr:uid="{00000000-0005-0000-0000-000044600000}"/>
    <cellStyle name="Note 5 7 8" xfId="8446" xr:uid="{00000000-0005-0000-0000-000045600000}"/>
    <cellStyle name="Note 5 7 8 2" xfId="26869" xr:uid="{00000000-0005-0000-0000-000046600000}"/>
    <cellStyle name="Note 5 7 8 3" xfId="33078" xr:uid="{00000000-0005-0000-0000-000047600000}"/>
    <cellStyle name="Note 5 7 8 4" xfId="21737" xr:uid="{00000000-0005-0000-0000-000048600000}"/>
    <cellStyle name="Note 5 7 9" xfId="3938" xr:uid="{00000000-0005-0000-0000-000049600000}"/>
    <cellStyle name="Note 5 7 9 2" xfId="22405" xr:uid="{00000000-0005-0000-0000-00004A600000}"/>
    <cellStyle name="Note 5 7 9 3" xfId="31681" xr:uid="{00000000-0005-0000-0000-00004B600000}"/>
    <cellStyle name="Note 5 7 9 4" xfId="17620" xr:uid="{00000000-0005-0000-0000-00004C600000}"/>
    <cellStyle name="Note 5 8" xfId="3022" xr:uid="{00000000-0005-0000-0000-00004D600000}"/>
    <cellStyle name="Note 5 8 10" xfId="15696" xr:uid="{00000000-0005-0000-0000-00004E600000}"/>
    <cellStyle name="Note 5 8 10 2" xfId="16934" xr:uid="{00000000-0005-0000-0000-00004F600000}"/>
    <cellStyle name="Note 5 8 11" xfId="14440" xr:uid="{00000000-0005-0000-0000-000050600000}"/>
    <cellStyle name="Note 5 8 11 2" xfId="35968" xr:uid="{00000000-0005-0000-0000-000051600000}"/>
    <cellStyle name="Note 5 8 12" xfId="31354" xr:uid="{00000000-0005-0000-0000-000052600000}"/>
    <cellStyle name="Note 5 8 2" xfId="3531" xr:uid="{00000000-0005-0000-0000-000053600000}"/>
    <cellStyle name="Note 5 8 2 10" xfId="15174" xr:uid="{00000000-0005-0000-0000-000054600000}"/>
    <cellStyle name="Note 5 8 2 10 2" xfId="36584" xr:uid="{00000000-0005-0000-0000-000055600000}"/>
    <cellStyle name="Note 5 8 2 11" xfId="31584" xr:uid="{00000000-0005-0000-0000-000056600000}"/>
    <cellStyle name="Note 5 8 2 2" xfId="5658" xr:uid="{00000000-0005-0000-0000-000057600000}"/>
    <cellStyle name="Note 5 8 2 2 2" xfId="24111" xr:uid="{00000000-0005-0000-0000-000058600000}"/>
    <cellStyle name="Note 5 8 2 2 3" xfId="32269" xr:uid="{00000000-0005-0000-0000-000059600000}"/>
    <cellStyle name="Note 5 8 2 2 4" xfId="19244" xr:uid="{00000000-0005-0000-0000-00005A600000}"/>
    <cellStyle name="Note 5 8 2 3" xfId="5145" xr:uid="{00000000-0005-0000-0000-00005B600000}"/>
    <cellStyle name="Note 5 8 2 3 2" xfId="23605" xr:uid="{00000000-0005-0000-0000-00005C600000}"/>
    <cellStyle name="Note 5 8 2 3 3" xfId="31986" xr:uid="{00000000-0005-0000-0000-00005D600000}"/>
    <cellStyle name="Note 5 8 2 3 4" xfId="18759" xr:uid="{00000000-0005-0000-0000-00005E600000}"/>
    <cellStyle name="Note 5 8 2 4" xfId="5976" xr:uid="{00000000-0005-0000-0000-00005F600000}"/>
    <cellStyle name="Note 5 8 2 4 2" xfId="24417" xr:uid="{00000000-0005-0000-0000-000060600000}"/>
    <cellStyle name="Note 5 8 2 4 3" xfId="32454" xr:uid="{00000000-0005-0000-0000-000061600000}"/>
    <cellStyle name="Note 5 8 2 4 4" xfId="19526" xr:uid="{00000000-0005-0000-0000-000062600000}"/>
    <cellStyle name="Note 5 8 2 5" xfId="7670" xr:uid="{00000000-0005-0000-0000-000063600000}"/>
    <cellStyle name="Note 5 8 2 5 2" xfId="26100" xr:uid="{00000000-0005-0000-0000-000064600000}"/>
    <cellStyle name="Note 5 8 2 5 3" xfId="32915" xr:uid="{00000000-0005-0000-0000-000065600000}"/>
    <cellStyle name="Note 5 8 2 5 4" xfId="21025" xr:uid="{00000000-0005-0000-0000-000066600000}"/>
    <cellStyle name="Note 5 8 2 6" xfId="8044" xr:uid="{00000000-0005-0000-0000-000067600000}"/>
    <cellStyle name="Note 5 8 2 6 2" xfId="26474" xr:uid="{00000000-0005-0000-0000-000068600000}"/>
    <cellStyle name="Note 5 8 2 6 3" xfId="32987" xr:uid="{00000000-0005-0000-0000-000069600000}"/>
    <cellStyle name="Note 5 8 2 6 4" xfId="21398" xr:uid="{00000000-0005-0000-0000-00006A600000}"/>
    <cellStyle name="Note 5 8 2 7" xfId="8768" xr:uid="{00000000-0005-0000-0000-00006B600000}"/>
    <cellStyle name="Note 5 8 2 7 2" xfId="27188" xr:uid="{00000000-0005-0000-0000-00006C600000}"/>
    <cellStyle name="Note 5 8 2 7 3" xfId="33159" xr:uid="{00000000-0005-0000-0000-00006D600000}"/>
    <cellStyle name="Note 5 8 2 7 4" xfId="22059" xr:uid="{00000000-0005-0000-0000-00006E600000}"/>
    <cellStyle name="Note 5 8 2 8" xfId="4260" xr:uid="{00000000-0005-0000-0000-00006F600000}"/>
    <cellStyle name="Note 5 8 2 8 2" xfId="22724" xr:uid="{00000000-0005-0000-0000-000070600000}"/>
    <cellStyle name="Note 5 8 2 8 3" xfId="31762" xr:uid="{00000000-0005-0000-0000-000071600000}"/>
    <cellStyle name="Note 5 8 2 8 4" xfId="17942" xr:uid="{00000000-0005-0000-0000-000072600000}"/>
    <cellStyle name="Note 5 8 2 9" xfId="14642" xr:uid="{00000000-0005-0000-0000-000073600000}"/>
    <cellStyle name="Note 5 8 2 9 2" xfId="17271" xr:uid="{00000000-0005-0000-0000-000074600000}"/>
    <cellStyle name="Note 5 8 3" xfId="5284" xr:uid="{00000000-0005-0000-0000-000075600000}"/>
    <cellStyle name="Note 5 8 3 2" xfId="23744" xr:uid="{00000000-0005-0000-0000-000076600000}"/>
    <cellStyle name="Note 5 8 3 3" xfId="32061" xr:uid="{00000000-0005-0000-0000-000077600000}"/>
    <cellStyle name="Note 5 8 3 4" xfId="18897" xr:uid="{00000000-0005-0000-0000-000078600000}"/>
    <cellStyle name="Note 5 8 4" xfId="4874" xr:uid="{00000000-0005-0000-0000-000079600000}"/>
    <cellStyle name="Note 5 8 4 2" xfId="23334" xr:uid="{00000000-0005-0000-0000-00007A600000}"/>
    <cellStyle name="Note 5 8 4 3" xfId="31857" xr:uid="{00000000-0005-0000-0000-00007B600000}"/>
    <cellStyle name="Note 5 8 4 4" xfId="18488" xr:uid="{00000000-0005-0000-0000-00007C600000}"/>
    <cellStyle name="Note 5 8 5" xfId="6328" xr:uid="{00000000-0005-0000-0000-00007D600000}"/>
    <cellStyle name="Note 5 8 5 2" xfId="24768" xr:uid="{00000000-0005-0000-0000-00007E600000}"/>
    <cellStyle name="Note 5 8 5 3" xfId="32607" xr:uid="{00000000-0005-0000-0000-00007F600000}"/>
    <cellStyle name="Note 5 8 5 4" xfId="19877" xr:uid="{00000000-0005-0000-0000-000080600000}"/>
    <cellStyle name="Note 5 8 6" xfId="7347" xr:uid="{00000000-0005-0000-0000-000081600000}"/>
    <cellStyle name="Note 5 8 6 2" xfId="25778" xr:uid="{00000000-0005-0000-0000-000082600000}"/>
    <cellStyle name="Note 5 8 6 3" xfId="32834" xr:uid="{00000000-0005-0000-0000-000083600000}"/>
    <cellStyle name="Note 5 8 6 4" xfId="20703" xr:uid="{00000000-0005-0000-0000-000084600000}"/>
    <cellStyle name="Note 5 8 7" xfId="6394" xr:uid="{00000000-0005-0000-0000-000085600000}"/>
    <cellStyle name="Note 5 8 7 2" xfId="24834" xr:uid="{00000000-0005-0000-0000-000086600000}"/>
    <cellStyle name="Note 5 8 7 3" xfId="32665" xr:uid="{00000000-0005-0000-0000-000087600000}"/>
    <cellStyle name="Note 5 8 7 4" xfId="19943" xr:uid="{00000000-0005-0000-0000-000088600000}"/>
    <cellStyle name="Note 5 8 8" xfId="8447" xr:uid="{00000000-0005-0000-0000-000089600000}"/>
    <cellStyle name="Note 5 8 8 2" xfId="26870" xr:uid="{00000000-0005-0000-0000-00008A600000}"/>
    <cellStyle name="Note 5 8 8 3" xfId="33079" xr:uid="{00000000-0005-0000-0000-00008B600000}"/>
    <cellStyle name="Note 5 8 8 4" xfId="21738" xr:uid="{00000000-0005-0000-0000-00008C600000}"/>
    <cellStyle name="Note 5 8 9" xfId="3939" xr:uid="{00000000-0005-0000-0000-00008D600000}"/>
    <cellStyle name="Note 5 8 9 2" xfId="22406" xr:uid="{00000000-0005-0000-0000-00008E600000}"/>
    <cellStyle name="Note 5 8 9 3" xfId="31682" xr:uid="{00000000-0005-0000-0000-00008F600000}"/>
    <cellStyle name="Note 5 8 9 4" xfId="17621" xr:uid="{00000000-0005-0000-0000-000090600000}"/>
    <cellStyle name="Note 5 9" xfId="3023" xr:uid="{00000000-0005-0000-0000-000091600000}"/>
    <cellStyle name="Note 5 9 10" xfId="16010" xr:uid="{00000000-0005-0000-0000-000092600000}"/>
    <cellStyle name="Note 5 9 10 2" xfId="16935" xr:uid="{00000000-0005-0000-0000-000093600000}"/>
    <cellStyle name="Note 5 9 11" xfId="15561" xr:uid="{00000000-0005-0000-0000-000094600000}"/>
    <cellStyle name="Note 5 9 11 2" xfId="36939" xr:uid="{00000000-0005-0000-0000-000095600000}"/>
    <cellStyle name="Note 5 9 12" xfId="31355" xr:uid="{00000000-0005-0000-0000-000096600000}"/>
    <cellStyle name="Note 5 9 2" xfId="3532" xr:uid="{00000000-0005-0000-0000-000097600000}"/>
    <cellStyle name="Note 5 9 2 10" xfId="15197" xr:uid="{00000000-0005-0000-0000-000098600000}"/>
    <cellStyle name="Note 5 9 2 10 2" xfId="36605" xr:uid="{00000000-0005-0000-0000-000099600000}"/>
    <cellStyle name="Note 5 9 2 11" xfId="31585" xr:uid="{00000000-0005-0000-0000-00009A600000}"/>
    <cellStyle name="Note 5 9 2 2" xfId="5659" xr:uid="{00000000-0005-0000-0000-00009B600000}"/>
    <cellStyle name="Note 5 9 2 2 2" xfId="24112" xr:uid="{00000000-0005-0000-0000-00009C600000}"/>
    <cellStyle name="Note 5 9 2 2 3" xfId="32270" xr:uid="{00000000-0005-0000-0000-00009D600000}"/>
    <cellStyle name="Note 5 9 2 2 4" xfId="19245" xr:uid="{00000000-0005-0000-0000-00009E600000}"/>
    <cellStyle name="Note 5 9 2 3" xfId="5146" xr:uid="{00000000-0005-0000-0000-00009F600000}"/>
    <cellStyle name="Note 5 9 2 3 2" xfId="23606" xr:uid="{00000000-0005-0000-0000-0000A0600000}"/>
    <cellStyle name="Note 5 9 2 3 3" xfId="31987" xr:uid="{00000000-0005-0000-0000-0000A1600000}"/>
    <cellStyle name="Note 5 9 2 3 4" xfId="18760" xr:uid="{00000000-0005-0000-0000-0000A2600000}"/>
    <cellStyle name="Note 5 9 2 4" xfId="5975" xr:uid="{00000000-0005-0000-0000-0000A3600000}"/>
    <cellStyle name="Note 5 9 2 4 2" xfId="24416" xr:uid="{00000000-0005-0000-0000-0000A4600000}"/>
    <cellStyle name="Note 5 9 2 4 3" xfId="32453" xr:uid="{00000000-0005-0000-0000-0000A5600000}"/>
    <cellStyle name="Note 5 9 2 4 4" xfId="19525" xr:uid="{00000000-0005-0000-0000-0000A6600000}"/>
    <cellStyle name="Note 5 9 2 5" xfId="7671" xr:uid="{00000000-0005-0000-0000-0000A7600000}"/>
    <cellStyle name="Note 5 9 2 5 2" xfId="26101" xr:uid="{00000000-0005-0000-0000-0000A8600000}"/>
    <cellStyle name="Note 5 9 2 5 3" xfId="32916" xr:uid="{00000000-0005-0000-0000-0000A9600000}"/>
    <cellStyle name="Note 5 9 2 5 4" xfId="21026" xr:uid="{00000000-0005-0000-0000-0000AA600000}"/>
    <cellStyle name="Note 5 9 2 6" xfId="8045" xr:uid="{00000000-0005-0000-0000-0000AB600000}"/>
    <cellStyle name="Note 5 9 2 6 2" xfId="26475" xr:uid="{00000000-0005-0000-0000-0000AC600000}"/>
    <cellStyle name="Note 5 9 2 6 3" xfId="32988" xr:uid="{00000000-0005-0000-0000-0000AD600000}"/>
    <cellStyle name="Note 5 9 2 6 4" xfId="21399" xr:uid="{00000000-0005-0000-0000-0000AE600000}"/>
    <cellStyle name="Note 5 9 2 7" xfId="8769" xr:uid="{00000000-0005-0000-0000-0000AF600000}"/>
    <cellStyle name="Note 5 9 2 7 2" xfId="27189" xr:uid="{00000000-0005-0000-0000-0000B0600000}"/>
    <cellStyle name="Note 5 9 2 7 3" xfId="33160" xr:uid="{00000000-0005-0000-0000-0000B1600000}"/>
    <cellStyle name="Note 5 9 2 7 4" xfId="22060" xr:uid="{00000000-0005-0000-0000-0000B2600000}"/>
    <cellStyle name="Note 5 9 2 8" xfId="4261" xr:uid="{00000000-0005-0000-0000-0000B3600000}"/>
    <cellStyle name="Note 5 9 2 8 2" xfId="22725" xr:uid="{00000000-0005-0000-0000-0000B4600000}"/>
    <cellStyle name="Note 5 9 2 8 3" xfId="31763" xr:uid="{00000000-0005-0000-0000-0000B5600000}"/>
    <cellStyle name="Note 5 9 2 8 4" xfId="17943" xr:uid="{00000000-0005-0000-0000-0000B6600000}"/>
    <cellStyle name="Note 5 9 2 9" xfId="16011" xr:uid="{00000000-0005-0000-0000-0000B7600000}"/>
    <cellStyle name="Note 5 9 2 9 2" xfId="17272" xr:uid="{00000000-0005-0000-0000-0000B8600000}"/>
    <cellStyle name="Note 5 9 3" xfId="5285" xr:uid="{00000000-0005-0000-0000-0000B9600000}"/>
    <cellStyle name="Note 5 9 3 2" xfId="23745" xr:uid="{00000000-0005-0000-0000-0000BA600000}"/>
    <cellStyle name="Note 5 9 3 3" xfId="32062" xr:uid="{00000000-0005-0000-0000-0000BB600000}"/>
    <cellStyle name="Note 5 9 3 4" xfId="18898" xr:uid="{00000000-0005-0000-0000-0000BC600000}"/>
    <cellStyle name="Note 5 9 4" xfId="4875" xr:uid="{00000000-0005-0000-0000-0000BD600000}"/>
    <cellStyle name="Note 5 9 4 2" xfId="23335" xr:uid="{00000000-0005-0000-0000-0000BE600000}"/>
    <cellStyle name="Note 5 9 4 3" xfId="31858" xr:uid="{00000000-0005-0000-0000-0000BF600000}"/>
    <cellStyle name="Note 5 9 4 4" xfId="18489" xr:uid="{00000000-0005-0000-0000-0000C0600000}"/>
    <cellStyle name="Note 5 9 5" xfId="6327" xr:uid="{00000000-0005-0000-0000-0000C1600000}"/>
    <cellStyle name="Note 5 9 5 2" xfId="24767" xr:uid="{00000000-0005-0000-0000-0000C2600000}"/>
    <cellStyle name="Note 5 9 5 3" xfId="32606" xr:uid="{00000000-0005-0000-0000-0000C3600000}"/>
    <cellStyle name="Note 5 9 5 4" xfId="19876" xr:uid="{00000000-0005-0000-0000-0000C4600000}"/>
    <cellStyle name="Note 5 9 6" xfId="7348" xr:uid="{00000000-0005-0000-0000-0000C5600000}"/>
    <cellStyle name="Note 5 9 6 2" xfId="25779" xr:uid="{00000000-0005-0000-0000-0000C6600000}"/>
    <cellStyle name="Note 5 9 6 3" xfId="32835" xr:uid="{00000000-0005-0000-0000-0000C7600000}"/>
    <cellStyle name="Note 5 9 6 4" xfId="20704" xr:uid="{00000000-0005-0000-0000-0000C8600000}"/>
    <cellStyle name="Note 5 9 7" xfId="6393" xr:uid="{00000000-0005-0000-0000-0000C9600000}"/>
    <cellStyle name="Note 5 9 7 2" xfId="24833" xr:uid="{00000000-0005-0000-0000-0000CA600000}"/>
    <cellStyle name="Note 5 9 7 3" xfId="32664" xr:uid="{00000000-0005-0000-0000-0000CB600000}"/>
    <cellStyle name="Note 5 9 7 4" xfId="19942" xr:uid="{00000000-0005-0000-0000-0000CC600000}"/>
    <cellStyle name="Note 5 9 8" xfId="8448" xr:uid="{00000000-0005-0000-0000-0000CD600000}"/>
    <cellStyle name="Note 5 9 8 2" xfId="26871" xr:uid="{00000000-0005-0000-0000-0000CE600000}"/>
    <cellStyle name="Note 5 9 8 3" xfId="33080" xr:uid="{00000000-0005-0000-0000-0000CF600000}"/>
    <cellStyle name="Note 5 9 8 4" xfId="21739" xr:uid="{00000000-0005-0000-0000-0000D0600000}"/>
    <cellStyle name="Note 5 9 9" xfId="3940" xr:uid="{00000000-0005-0000-0000-0000D1600000}"/>
    <cellStyle name="Note 5 9 9 2" xfId="22407" xr:uid="{00000000-0005-0000-0000-0000D2600000}"/>
    <cellStyle name="Note 5 9 9 3" xfId="31683" xr:uid="{00000000-0005-0000-0000-0000D3600000}"/>
    <cellStyle name="Note 5 9 9 4" xfId="17622" xr:uid="{00000000-0005-0000-0000-0000D4600000}"/>
    <cellStyle name="Note 5_ELC_final" xfId="39973" xr:uid="{00000000-0005-0000-0000-0000360E0000}"/>
    <cellStyle name="Note 6" xfId="3024" xr:uid="{00000000-0005-0000-0000-0000D5600000}"/>
    <cellStyle name="Note 6 10" xfId="3025" xr:uid="{00000000-0005-0000-0000-0000D6600000}"/>
    <cellStyle name="Note 6 10 10" xfId="16349" xr:uid="{00000000-0005-0000-0000-0000D7600000}"/>
    <cellStyle name="Note 6 10 10 2" xfId="16937" xr:uid="{00000000-0005-0000-0000-0000D8600000}"/>
    <cellStyle name="Note 6 10 11" xfId="15068" xr:uid="{00000000-0005-0000-0000-0000D9600000}"/>
    <cellStyle name="Note 6 10 11 2" xfId="36479" xr:uid="{00000000-0005-0000-0000-0000DA600000}"/>
    <cellStyle name="Note 6 10 12" xfId="31357" xr:uid="{00000000-0005-0000-0000-0000DB600000}"/>
    <cellStyle name="Note 6 10 2" xfId="3534" xr:uid="{00000000-0005-0000-0000-0000DC600000}"/>
    <cellStyle name="Note 6 10 2 10" xfId="14428" xr:uid="{00000000-0005-0000-0000-0000DD600000}"/>
    <cellStyle name="Note 6 10 2 10 2" xfId="35956" xr:uid="{00000000-0005-0000-0000-0000DE600000}"/>
    <cellStyle name="Note 6 10 2 11" xfId="31587" xr:uid="{00000000-0005-0000-0000-0000DF600000}"/>
    <cellStyle name="Note 6 10 2 2" xfId="5661" xr:uid="{00000000-0005-0000-0000-0000E0600000}"/>
    <cellStyle name="Note 6 10 2 2 2" xfId="24114" xr:uid="{00000000-0005-0000-0000-0000E1600000}"/>
    <cellStyle name="Note 6 10 2 2 3" xfId="32272" xr:uid="{00000000-0005-0000-0000-0000E2600000}"/>
    <cellStyle name="Note 6 10 2 2 4" xfId="19247" xr:uid="{00000000-0005-0000-0000-0000E3600000}"/>
    <cellStyle name="Note 6 10 2 3" xfId="5148" xr:uid="{00000000-0005-0000-0000-0000E4600000}"/>
    <cellStyle name="Note 6 10 2 3 2" xfId="23608" xr:uid="{00000000-0005-0000-0000-0000E5600000}"/>
    <cellStyle name="Note 6 10 2 3 3" xfId="31989" xr:uid="{00000000-0005-0000-0000-0000E6600000}"/>
    <cellStyle name="Note 6 10 2 3 4" xfId="18762" xr:uid="{00000000-0005-0000-0000-0000E7600000}"/>
    <cellStyle name="Note 6 10 2 4" xfId="5973" xr:uid="{00000000-0005-0000-0000-0000E8600000}"/>
    <cellStyle name="Note 6 10 2 4 2" xfId="24414" xr:uid="{00000000-0005-0000-0000-0000E9600000}"/>
    <cellStyle name="Note 6 10 2 4 3" xfId="32451" xr:uid="{00000000-0005-0000-0000-0000EA600000}"/>
    <cellStyle name="Note 6 10 2 4 4" xfId="19523" xr:uid="{00000000-0005-0000-0000-0000EB600000}"/>
    <cellStyle name="Note 6 10 2 5" xfId="7673" xr:uid="{00000000-0005-0000-0000-0000EC600000}"/>
    <cellStyle name="Note 6 10 2 5 2" xfId="26103" xr:uid="{00000000-0005-0000-0000-0000ED600000}"/>
    <cellStyle name="Note 6 10 2 5 3" xfId="32918" xr:uid="{00000000-0005-0000-0000-0000EE600000}"/>
    <cellStyle name="Note 6 10 2 5 4" xfId="21028" xr:uid="{00000000-0005-0000-0000-0000EF600000}"/>
    <cellStyle name="Note 6 10 2 6" xfId="8047" xr:uid="{00000000-0005-0000-0000-0000F0600000}"/>
    <cellStyle name="Note 6 10 2 6 2" xfId="26477" xr:uid="{00000000-0005-0000-0000-0000F1600000}"/>
    <cellStyle name="Note 6 10 2 6 3" xfId="32990" xr:uid="{00000000-0005-0000-0000-0000F2600000}"/>
    <cellStyle name="Note 6 10 2 6 4" xfId="21401" xr:uid="{00000000-0005-0000-0000-0000F3600000}"/>
    <cellStyle name="Note 6 10 2 7" xfId="8771" xr:uid="{00000000-0005-0000-0000-0000F4600000}"/>
    <cellStyle name="Note 6 10 2 7 2" xfId="27191" xr:uid="{00000000-0005-0000-0000-0000F5600000}"/>
    <cellStyle name="Note 6 10 2 7 3" xfId="33162" xr:uid="{00000000-0005-0000-0000-0000F6600000}"/>
    <cellStyle name="Note 6 10 2 7 4" xfId="22062" xr:uid="{00000000-0005-0000-0000-0000F7600000}"/>
    <cellStyle name="Note 6 10 2 8" xfId="4263" xr:uid="{00000000-0005-0000-0000-0000F8600000}"/>
    <cellStyle name="Note 6 10 2 8 2" xfId="22727" xr:uid="{00000000-0005-0000-0000-0000F9600000}"/>
    <cellStyle name="Note 6 10 2 8 3" xfId="31765" xr:uid="{00000000-0005-0000-0000-0000FA600000}"/>
    <cellStyle name="Note 6 10 2 8 4" xfId="17945" xr:uid="{00000000-0005-0000-0000-0000FB600000}"/>
    <cellStyle name="Note 6 10 2 9" xfId="14951" xr:uid="{00000000-0005-0000-0000-0000FC600000}"/>
    <cellStyle name="Note 6 10 2 9 2" xfId="17274" xr:uid="{00000000-0005-0000-0000-0000FD600000}"/>
    <cellStyle name="Note 6 10 3" xfId="5287" xr:uid="{00000000-0005-0000-0000-0000FE600000}"/>
    <cellStyle name="Note 6 10 3 2" xfId="23747" xr:uid="{00000000-0005-0000-0000-0000FF600000}"/>
    <cellStyle name="Note 6 10 3 3" xfId="32064" xr:uid="{00000000-0005-0000-0000-000000610000}"/>
    <cellStyle name="Note 6 10 3 4" xfId="18900" xr:uid="{00000000-0005-0000-0000-000001610000}"/>
    <cellStyle name="Note 6 10 4" xfId="4877" xr:uid="{00000000-0005-0000-0000-000002610000}"/>
    <cellStyle name="Note 6 10 4 2" xfId="23337" xr:uid="{00000000-0005-0000-0000-000003610000}"/>
    <cellStyle name="Note 6 10 4 3" xfId="31860" xr:uid="{00000000-0005-0000-0000-000004610000}"/>
    <cellStyle name="Note 6 10 4 4" xfId="18491" xr:uid="{00000000-0005-0000-0000-000005610000}"/>
    <cellStyle name="Note 6 10 5" xfId="6325" xr:uid="{00000000-0005-0000-0000-000006610000}"/>
    <cellStyle name="Note 6 10 5 2" xfId="24765" xr:uid="{00000000-0005-0000-0000-000007610000}"/>
    <cellStyle name="Note 6 10 5 3" xfId="32604" xr:uid="{00000000-0005-0000-0000-000008610000}"/>
    <cellStyle name="Note 6 10 5 4" xfId="19874" xr:uid="{00000000-0005-0000-0000-000009610000}"/>
    <cellStyle name="Note 6 10 6" xfId="7350" xr:uid="{00000000-0005-0000-0000-00000A610000}"/>
    <cellStyle name="Note 6 10 6 2" xfId="25781" xr:uid="{00000000-0005-0000-0000-00000B610000}"/>
    <cellStyle name="Note 6 10 6 3" xfId="32837" xr:uid="{00000000-0005-0000-0000-00000C610000}"/>
    <cellStyle name="Note 6 10 6 4" xfId="20706" xr:uid="{00000000-0005-0000-0000-00000D610000}"/>
    <cellStyle name="Note 6 10 7" xfId="6391" xr:uid="{00000000-0005-0000-0000-00000E610000}"/>
    <cellStyle name="Note 6 10 7 2" xfId="24831" xr:uid="{00000000-0005-0000-0000-00000F610000}"/>
    <cellStyle name="Note 6 10 7 3" xfId="32662" xr:uid="{00000000-0005-0000-0000-000010610000}"/>
    <cellStyle name="Note 6 10 7 4" xfId="19940" xr:uid="{00000000-0005-0000-0000-000011610000}"/>
    <cellStyle name="Note 6 10 8" xfId="8450" xr:uid="{00000000-0005-0000-0000-000012610000}"/>
    <cellStyle name="Note 6 10 8 2" xfId="26873" xr:uid="{00000000-0005-0000-0000-000013610000}"/>
    <cellStyle name="Note 6 10 8 3" xfId="33082" xr:uid="{00000000-0005-0000-0000-000014610000}"/>
    <cellStyle name="Note 6 10 8 4" xfId="21741" xr:uid="{00000000-0005-0000-0000-000015610000}"/>
    <cellStyle name="Note 6 10 9" xfId="3942" xr:uid="{00000000-0005-0000-0000-000016610000}"/>
    <cellStyle name="Note 6 10 9 2" xfId="22409" xr:uid="{00000000-0005-0000-0000-000017610000}"/>
    <cellStyle name="Note 6 10 9 3" xfId="31685" xr:uid="{00000000-0005-0000-0000-000018610000}"/>
    <cellStyle name="Note 6 10 9 4" xfId="17624" xr:uid="{00000000-0005-0000-0000-000019610000}"/>
    <cellStyle name="Note 6 11" xfId="3026" xr:uid="{00000000-0005-0000-0000-00001A610000}"/>
    <cellStyle name="Note 6 11 10" xfId="16048" xr:uid="{00000000-0005-0000-0000-00001B610000}"/>
    <cellStyle name="Note 6 11 10 2" xfId="16938" xr:uid="{00000000-0005-0000-0000-00001C610000}"/>
    <cellStyle name="Note 6 11 11" xfId="16220" xr:uid="{00000000-0005-0000-0000-00001D610000}"/>
    <cellStyle name="Note 6 11 11 2" xfId="37533" xr:uid="{00000000-0005-0000-0000-00001E610000}"/>
    <cellStyle name="Note 6 11 12" xfId="31358" xr:uid="{00000000-0005-0000-0000-00001F610000}"/>
    <cellStyle name="Note 6 11 2" xfId="3535" xr:uid="{00000000-0005-0000-0000-000020610000}"/>
    <cellStyle name="Note 6 11 2 10" xfId="16444" xr:uid="{00000000-0005-0000-0000-000021610000}"/>
    <cellStyle name="Note 6 11 2 10 2" xfId="37713" xr:uid="{00000000-0005-0000-0000-000022610000}"/>
    <cellStyle name="Note 6 11 2 11" xfId="31588" xr:uid="{00000000-0005-0000-0000-000023610000}"/>
    <cellStyle name="Note 6 11 2 2" xfId="5662" xr:uid="{00000000-0005-0000-0000-000024610000}"/>
    <cellStyle name="Note 6 11 2 2 2" xfId="24115" xr:uid="{00000000-0005-0000-0000-000025610000}"/>
    <cellStyle name="Note 6 11 2 2 3" xfId="32273" xr:uid="{00000000-0005-0000-0000-000026610000}"/>
    <cellStyle name="Note 6 11 2 2 4" xfId="19248" xr:uid="{00000000-0005-0000-0000-000027610000}"/>
    <cellStyle name="Note 6 11 2 3" xfId="5149" xr:uid="{00000000-0005-0000-0000-000028610000}"/>
    <cellStyle name="Note 6 11 2 3 2" xfId="23609" xr:uid="{00000000-0005-0000-0000-000029610000}"/>
    <cellStyle name="Note 6 11 2 3 3" xfId="31990" xr:uid="{00000000-0005-0000-0000-00002A610000}"/>
    <cellStyle name="Note 6 11 2 3 4" xfId="18763" xr:uid="{00000000-0005-0000-0000-00002B610000}"/>
    <cellStyle name="Note 6 11 2 4" xfId="5972" xr:uid="{00000000-0005-0000-0000-00002C610000}"/>
    <cellStyle name="Note 6 11 2 4 2" xfId="24413" xr:uid="{00000000-0005-0000-0000-00002D610000}"/>
    <cellStyle name="Note 6 11 2 4 3" xfId="32450" xr:uid="{00000000-0005-0000-0000-00002E610000}"/>
    <cellStyle name="Note 6 11 2 4 4" xfId="19522" xr:uid="{00000000-0005-0000-0000-00002F610000}"/>
    <cellStyle name="Note 6 11 2 5" xfId="7674" xr:uid="{00000000-0005-0000-0000-000030610000}"/>
    <cellStyle name="Note 6 11 2 5 2" xfId="26104" xr:uid="{00000000-0005-0000-0000-000031610000}"/>
    <cellStyle name="Note 6 11 2 5 3" xfId="32919" xr:uid="{00000000-0005-0000-0000-000032610000}"/>
    <cellStyle name="Note 6 11 2 5 4" xfId="21029" xr:uid="{00000000-0005-0000-0000-000033610000}"/>
    <cellStyle name="Note 6 11 2 6" xfId="8048" xr:uid="{00000000-0005-0000-0000-000034610000}"/>
    <cellStyle name="Note 6 11 2 6 2" xfId="26478" xr:uid="{00000000-0005-0000-0000-000035610000}"/>
    <cellStyle name="Note 6 11 2 6 3" xfId="32991" xr:uid="{00000000-0005-0000-0000-000036610000}"/>
    <cellStyle name="Note 6 11 2 6 4" xfId="21402" xr:uid="{00000000-0005-0000-0000-000037610000}"/>
    <cellStyle name="Note 6 11 2 7" xfId="8772" xr:uid="{00000000-0005-0000-0000-000038610000}"/>
    <cellStyle name="Note 6 11 2 7 2" xfId="27192" xr:uid="{00000000-0005-0000-0000-000039610000}"/>
    <cellStyle name="Note 6 11 2 7 3" xfId="33163" xr:uid="{00000000-0005-0000-0000-00003A610000}"/>
    <cellStyle name="Note 6 11 2 7 4" xfId="22063" xr:uid="{00000000-0005-0000-0000-00003B610000}"/>
    <cellStyle name="Note 6 11 2 8" xfId="4264" xr:uid="{00000000-0005-0000-0000-00003C610000}"/>
    <cellStyle name="Note 6 11 2 8 2" xfId="22728" xr:uid="{00000000-0005-0000-0000-00003D610000}"/>
    <cellStyle name="Note 6 11 2 8 3" xfId="31766" xr:uid="{00000000-0005-0000-0000-00003E610000}"/>
    <cellStyle name="Note 6 11 2 8 4" xfId="17946" xr:uid="{00000000-0005-0000-0000-00003F610000}"/>
    <cellStyle name="Note 6 11 2 9" xfId="16049" xr:uid="{00000000-0005-0000-0000-000040610000}"/>
    <cellStyle name="Note 6 11 2 9 2" xfId="17275" xr:uid="{00000000-0005-0000-0000-000041610000}"/>
    <cellStyle name="Note 6 11 3" xfId="5288" xr:uid="{00000000-0005-0000-0000-000042610000}"/>
    <cellStyle name="Note 6 11 3 2" xfId="23748" xr:uid="{00000000-0005-0000-0000-000043610000}"/>
    <cellStyle name="Note 6 11 3 3" xfId="32065" xr:uid="{00000000-0005-0000-0000-000044610000}"/>
    <cellStyle name="Note 6 11 3 4" xfId="18901" xr:uid="{00000000-0005-0000-0000-000045610000}"/>
    <cellStyle name="Note 6 11 4" xfId="4878" xr:uid="{00000000-0005-0000-0000-000046610000}"/>
    <cellStyle name="Note 6 11 4 2" xfId="23338" xr:uid="{00000000-0005-0000-0000-000047610000}"/>
    <cellStyle name="Note 6 11 4 3" xfId="31861" xr:uid="{00000000-0005-0000-0000-000048610000}"/>
    <cellStyle name="Note 6 11 4 4" xfId="18492" xr:uid="{00000000-0005-0000-0000-000049610000}"/>
    <cellStyle name="Note 6 11 5" xfId="6324" xr:uid="{00000000-0005-0000-0000-00004A610000}"/>
    <cellStyle name="Note 6 11 5 2" xfId="24764" xr:uid="{00000000-0005-0000-0000-00004B610000}"/>
    <cellStyle name="Note 6 11 5 3" xfId="32603" xr:uid="{00000000-0005-0000-0000-00004C610000}"/>
    <cellStyle name="Note 6 11 5 4" xfId="19873" xr:uid="{00000000-0005-0000-0000-00004D610000}"/>
    <cellStyle name="Note 6 11 6" xfId="7351" xr:uid="{00000000-0005-0000-0000-00004E610000}"/>
    <cellStyle name="Note 6 11 6 2" xfId="25782" xr:uid="{00000000-0005-0000-0000-00004F610000}"/>
    <cellStyle name="Note 6 11 6 3" xfId="32838" xr:uid="{00000000-0005-0000-0000-000050610000}"/>
    <cellStyle name="Note 6 11 6 4" xfId="20707" xr:uid="{00000000-0005-0000-0000-000051610000}"/>
    <cellStyle name="Note 6 11 7" xfId="6390" xr:uid="{00000000-0005-0000-0000-000052610000}"/>
    <cellStyle name="Note 6 11 7 2" xfId="24830" xr:uid="{00000000-0005-0000-0000-000053610000}"/>
    <cellStyle name="Note 6 11 7 3" xfId="32661" xr:uid="{00000000-0005-0000-0000-000054610000}"/>
    <cellStyle name="Note 6 11 7 4" xfId="19939" xr:uid="{00000000-0005-0000-0000-000055610000}"/>
    <cellStyle name="Note 6 11 8" xfId="8451" xr:uid="{00000000-0005-0000-0000-000056610000}"/>
    <cellStyle name="Note 6 11 8 2" xfId="26874" xr:uid="{00000000-0005-0000-0000-000057610000}"/>
    <cellStyle name="Note 6 11 8 3" xfId="33083" xr:uid="{00000000-0005-0000-0000-000058610000}"/>
    <cellStyle name="Note 6 11 8 4" xfId="21742" xr:uid="{00000000-0005-0000-0000-000059610000}"/>
    <cellStyle name="Note 6 11 9" xfId="3943" xr:uid="{00000000-0005-0000-0000-00005A610000}"/>
    <cellStyle name="Note 6 11 9 2" xfId="22410" xr:uid="{00000000-0005-0000-0000-00005B610000}"/>
    <cellStyle name="Note 6 11 9 3" xfId="31686" xr:uid="{00000000-0005-0000-0000-00005C610000}"/>
    <cellStyle name="Note 6 11 9 4" xfId="17625" xr:uid="{00000000-0005-0000-0000-00005D610000}"/>
    <cellStyle name="Note 6 12" xfId="3533" xr:uid="{00000000-0005-0000-0000-00005E610000}"/>
    <cellStyle name="Note 6 12 10" xfId="14405" xr:uid="{00000000-0005-0000-0000-00005F610000}"/>
    <cellStyle name="Note 6 12 10 2" xfId="35936" xr:uid="{00000000-0005-0000-0000-000060610000}"/>
    <cellStyle name="Note 6 12 11" xfId="31586" xr:uid="{00000000-0005-0000-0000-000061610000}"/>
    <cellStyle name="Note 6 12 2" xfId="5660" xr:uid="{00000000-0005-0000-0000-000062610000}"/>
    <cellStyle name="Note 6 12 2 2" xfId="24113" xr:uid="{00000000-0005-0000-0000-000063610000}"/>
    <cellStyle name="Note 6 12 2 3" xfId="32271" xr:uid="{00000000-0005-0000-0000-000064610000}"/>
    <cellStyle name="Note 6 12 2 4" xfId="19246" xr:uid="{00000000-0005-0000-0000-000065610000}"/>
    <cellStyle name="Note 6 12 3" xfId="5147" xr:uid="{00000000-0005-0000-0000-000066610000}"/>
    <cellStyle name="Note 6 12 3 2" xfId="23607" xr:uid="{00000000-0005-0000-0000-000067610000}"/>
    <cellStyle name="Note 6 12 3 3" xfId="31988" xr:uid="{00000000-0005-0000-0000-000068610000}"/>
    <cellStyle name="Note 6 12 3 4" xfId="18761" xr:uid="{00000000-0005-0000-0000-000069610000}"/>
    <cellStyle name="Note 6 12 4" xfId="5974" xr:uid="{00000000-0005-0000-0000-00006A610000}"/>
    <cellStyle name="Note 6 12 4 2" xfId="24415" xr:uid="{00000000-0005-0000-0000-00006B610000}"/>
    <cellStyle name="Note 6 12 4 3" xfId="32452" xr:uid="{00000000-0005-0000-0000-00006C610000}"/>
    <cellStyle name="Note 6 12 4 4" xfId="19524" xr:uid="{00000000-0005-0000-0000-00006D610000}"/>
    <cellStyle name="Note 6 12 5" xfId="7672" xr:uid="{00000000-0005-0000-0000-00006E610000}"/>
    <cellStyle name="Note 6 12 5 2" xfId="26102" xr:uid="{00000000-0005-0000-0000-00006F610000}"/>
    <cellStyle name="Note 6 12 5 3" xfId="32917" xr:uid="{00000000-0005-0000-0000-000070610000}"/>
    <cellStyle name="Note 6 12 5 4" xfId="21027" xr:uid="{00000000-0005-0000-0000-000071610000}"/>
    <cellStyle name="Note 6 12 6" xfId="8046" xr:uid="{00000000-0005-0000-0000-000072610000}"/>
    <cellStyle name="Note 6 12 6 2" xfId="26476" xr:uid="{00000000-0005-0000-0000-000073610000}"/>
    <cellStyle name="Note 6 12 6 3" xfId="32989" xr:uid="{00000000-0005-0000-0000-000074610000}"/>
    <cellStyle name="Note 6 12 6 4" xfId="21400" xr:uid="{00000000-0005-0000-0000-000075610000}"/>
    <cellStyle name="Note 6 12 7" xfId="8770" xr:uid="{00000000-0005-0000-0000-000076610000}"/>
    <cellStyle name="Note 6 12 7 2" xfId="27190" xr:uid="{00000000-0005-0000-0000-000077610000}"/>
    <cellStyle name="Note 6 12 7 3" xfId="33161" xr:uid="{00000000-0005-0000-0000-000078610000}"/>
    <cellStyle name="Note 6 12 7 4" xfId="22061" xr:uid="{00000000-0005-0000-0000-000079610000}"/>
    <cellStyle name="Note 6 12 8" xfId="4262" xr:uid="{00000000-0005-0000-0000-00007A610000}"/>
    <cellStyle name="Note 6 12 8 2" xfId="22726" xr:uid="{00000000-0005-0000-0000-00007B610000}"/>
    <cellStyle name="Note 6 12 8 3" xfId="31764" xr:uid="{00000000-0005-0000-0000-00007C610000}"/>
    <cellStyle name="Note 6 12 8 4" xfId="17944" xr:uid="{00000000-0005-0000-0000-00007D610000}"/>
    <cellStyle name="Note 6 12 9" xfId="16050" xr:uid="{00000000-0005-0000-0000-00007E610000}"/>
    <cellStyle name="Note 6 12 9 2" xfId="17273" xr:uid="{00000000-0005-0000-0000-00007F610000}"/>
    <cellStyle name="Note 6 13" xfId="5286" xr:uid="{00000000-0005-0000-0000-000080610000}"/>
    <cellStyle name="Note 6 13 2" xfId="23746" xr:uid="{00000000-0005-0000-0000-000081610000}"/>
    <cellStyle name="Note 6 13 3" xfId="32063" xr:uid="{00000000-0005-0000-0000-000082610000}"/>
    <cellStyle name="Note 6 13 4" xfId="18899" xr:uid="{00000000-0005-0000-0000-000083610000}"/>
    <cellStyle name="Note 6 14" xfId="4876" xr:uid="{00000000-0005-0000-0000-000084610000}"/>
    <cellStyle name="Note 6 14 2" xfId="23336" xr:uid="{00000000-0005-0000-0000-000085610000}"/>
    <cellStyle name="Note 6 14 3" xfId="31859" xr:uid="{00000000-0005-0000-0000-000086610000}"/>
    <cellStyle name="Note 6 14 4" xfId="18490" xr:uid="{00000000-0005-0000-0000-000087610000}"/>
    <cellStyle name="Note 6 15" xfId="6326" xr:uid="{00000000-0005-0000-0000-000088610000}"/>
    <cellStyle name="Note 6 15 2" xfId="24766" xr:uid="{00000000-0005-0000-0000-000089610000}"/>
    <cellStyle name="Note 6 15 3" xfId="32605" xr:uid="{00000000-0005-0000-0000-00008A610000}"/>
    <cellStyle name="Note 6 15 4" xfId="19875" xr:uid="{00000000-0005-0000-0000-00008B610000}"/>
    <cellStyle name="Note 6 16" xfId="7349" xr:uid="{00000000-0005-0000-0000-00008C610000}"/>
    <cellStyle name="Note 6 16 2" xfId="25780" xr:uid="{00000000-0005-0000-0000-00008D610000}"/>
    <cellStyle name="Note 6 16 3" xfId="32836" xr:uid="{00000000-0005-0000-0000-00008E610000}"/>
    <cellStyle name="Note 6 16 4" xfId="20705" xr:uid="{00000000-0005-0000-0000-00008F610000}"/>
    <cellStyle name="Note 6 17" xfId="6392" xr:uid="{00000000-0005-0000-0000-000090610000}"/>
    <cellStyle name="Note 6 17 2" xfId="24832" xr:uid="{00000000-0005-0000-0000-000091610000}"/>
    <cellStyle name="Note 6 17 3" xfId="32663" xr:uid="{00000000-0005-0000-0000-000092610000}"/>
    <cellStyle name="Note 6 17 4" xfId="19941" xr:uid="{00000000-0005-0000-0000-000093610000}"/>
    <cellStyle name="Note 6 18" xfId="8449" xr:uid="{00000000-0005-0000-0000-000094610000}"/>
    <cellStyle name="Note 6 18 2" xfId="26872" xr:uid="{00000000-0005-0000-0000-000095610000}"/>
    <cellStyle name="Note 6 18 3" xfId="33081" xr:uid="{00000000-0005-0000-0000-000096610000}"/>
    <cellStyle name="Note 6 18 4" xfId="21740" xr:uid="{00000000-0005-0000-0000-000097610000}"/>
    <cellStyle name="Note 6 19" xfId="3941" xr:uid="{00000000-0005-0000-0000-000098610000}"/>
    <cellStyle name="Note 6 19 2" xfId="22408" xr:uid="{00000000-0005-0000-0000-000099610000}"/>
    <cellStyle name="Note 6 19 3" xfId="31684" xr:uid="{00000000-0005-0000-0000-00009A610000}"/>
    <cellStyle name="Note 6 19 4" xfId="17623" xr:uid="{00000000-0005-0000-0000-00009B610000}"/>
    <cellStyle name="Note 6 2" xfId="3027" xr:uid="{00000000-0005-0000-0000-00009C610000}"/>
    <cellStyle name="Note 6 2 10" xfId="16394" xr:uid="{00000000-0005-0000-0000-00009D610000}"/>
    <cellStyle name="Note 6 2 10 2" xfId="16939" xr:uid="{00000000-0005-0000-0000-00009E610000}"/>
    <cellStyle name="Note 6 2 11" xfId="14673" xr:uid="{00000000-0005-0000-0000-00009F610000}"/>
    <cellStyle name="Note 6 2 11 2" xfId="36156" xr:uid="{00000000-0005-0000-0000-0000A0610000}"/>
    <cellStyle name="Note 6 2 12" xfId="31359" xr:uid="{00000000-0005-0000-0000-0000A1610000}"/>
    <cellStyle name="Note 6 2 13" xfId="39974" xr:uid="{00000000-0005-0000-0000-0000380E0000}"/>
    <cellStyle name="Note 6 2 2" xfId="3536" xr:uid="{00000000-0005-0000-0000-0000A2610000}"/>
    <cellStyle name="Note 6 2 2 10" xfId="14728" xr:uid="{00000000-0005-0000-0000-0000A3610000}"/>
    <cellStyle name="Note 6 2 2 10 2" xfId="36208" xr:uid="{00000000-0005-0000-0000-0000A4610000}"/>
    <cellStyle name="Note 6 2 2 11" xfId="31589" xr:uid="{00000000-0005-0000-0000-0000A5610000}"/>
    <cellStyle name="Note 6 2 2 2" xfId="5663" xr:uid="{00000000-0005-0000-0000-0000A6610000}"/>
    <cellStyle name="Note 6 2 2 2 2" xfId="24116" xr:uid="{00000000-0005-0000-0000-0000A7610000}"/>
    <cellStyle name="Note 6 2 2 2 3" xfId="32274" xr:uid="{00000000-0005-0000-0000-0000A8610000}"/>
    <cellStyle name="Note 6 2 2 2 4" xfId="19249" xr:uid="{00000000-0005-0000-0000-0000A9610000}"/>
    <cellStyle name="Note 6 2 2 3" xfId="5150" xr:uid="{00000000-0005-0000-0000-0000AA610000}"/>
    <cellStyle name="Note 6 2 2 3 2" xfId="23610" xr:uid="{00000000-0005-0000-0000-0000AB610000}"/>
    <cellStyle name="Note 6 2 2 3 3" xfId="31991" xr:uid="{00000000-0005-0000-0000-0000AC610000}"/>
    <cellStyle name="Note 6 2 2 3 4" xfId="18764" xr:uid="{00000000-0005-0000-0000-0000AD610000}"/>
    <cellStyle name="Note 6 2 2 4" xfId="5971" xr:uid="{00000000-0005-0000-0000-0000AE610000}"/>
    <cellStyle name="Note 6 2 2 4 2" xfId="24412" xr:uid="{00000000-0005-0000-0000-0000AF610000}"/>
    <cellStyle name="Note 6 2 2 4 3" xfId="32449" xr:uid="{00000000-0005-0000-0000-0000B0610000}"/>
    <cellStyle name="Note 6 2 2 4 4" xfId="19521" xr:uid="{00000000-0005-0000-0000-0000B1610000}"/>
    <cellStyle name="Note 6 2 2 5" xfId="7675" xr:uid="{00000000-0005-0000-0000-0000B2610000}"/>
    <cellStyle name="Note 6 2 2 5 2" xfId="26105" xr:uid="{00000000-0005-0000-0000-0000B3610000}"/>
    <cellStyle name="Note 6 2 2 5 3" xfId="32920" xr:uid="{00000000-0005-0000-0000-0000B4610000}"/>
    <cellStyle name="Note 6 2 2 5 4" xfId="21030" xr:uid="{00000000-0005-0000-0000-0000B5610000}"/>
    <cellStyle name="Note 6 2 2 6" xfId="8049" xr:uid="{00000000-0005-0000-0000-0000B6610000}"/>
    <cellStyle name="Note 6 2 2 6 2" xfId="26479" xr:uid="{00000000-0005-0000-0000-0000B7610000}"/>
    <cellStyle name="Note 6 2 2 6 3" xfId="32992" xr:uid="{00000000-0005-0000-0000-0000B8610000}"/>
    <cellStyle name="Note 6 2 2 6 4" xfId="21403" xr:uid="{00000000-0005-0000-0000-0000B9610000}"/>
    <cellStyle name="Note 6 2 2 7" xfId="8773" xr:uid="{00000000-0005-0000-0000-0000BA610000}"/>
    <cellStyle name="Note 6 2 2 7 2" xfId="27193" xr:uid="{00000000-0005-0000-0000-0000BB610000}"/>
    <cellStyle name="Note 6 2 2 7 3" xfId="33164" xr:uid="{00000000-0005-0000-0000-0000BC610000}"/>
    <cellStyle name="Note 6 2 2 7 4" xfId="22064" xr:uid="{00000000-0005-0000-0000-0000BD610000}"/>
    <cellStyle name="Note 6 2 2 8" xfId="4265" xr:uid="{00000000-0005-0000-0000-0000BE610000}"/>
    <cellStyle name="Note 6 2 2 8 2" xfId="22729" xr:uid="{00000000-0005-0000-0000-0000BF610000}"/>
    <cellStyle name="Note 6 2 2 8 3" xfId="31767" xr:uid="{00000000-0005-0000-0000-0000C0610000}"/>
    <cellStyle name="Note 6 2 2 8 4" xfId="17947" xr:uid="{00000000-0005-0000-0000-0000C1610000}"/>
    <cellStyle name="Note 6 2 2 9" xfId="14390" xr:uid="{00000000-0005-0000-0000-0000C2610000}"/>
    <cellStyle name="Note 6 2 2 9 2" xfId="17276" xr:uid="{00000000-0005-0000-0000-0000C3610000}"/>
    <cellStyle name="Note 6 2 3" xfId="5289" xr:uid="{00000000-0005-0000-0000-0000C4610000}"/>
    <cellStyle name="Note 6 2 3 2" xfId="23749" xr:uid="{00000000-0005-0000-0000-0000C5610000}"/>
    <cellStyle name="Note 6 2 3 3" xfId="32066" xr:uid="{00000000-0005-0000-0000-0000C6610000}"/>
    <cellStyle name="Note 6 2 3 4" xfId="18902" xr:uid="{00000000-0005-0000-0000-0000C7610000}"/>
    <cellStyle name="Note 6 2 4" xfId="4879" xr:uid="{00000000-0005-0000-0000-0000C8610000}"/>
    <cellStyle name="Note 6 2 4 2" xfId="23339" xr:uid="{00000000-0005-0000-0000-0000C9610000}"/>
    <cellStyle name="Note 6 2 4 3" xfId="31862" xr:uid="{00000000-0005-0000-0000-0000CA610000}"/>
    <cellStyle name="Note 6 2 4 4" xfId="18493" xr:uid="{00000000-0005-0000-0000-0000CB610000}"/>
    <cellStyle name="Note 6 2 5" xfId="6323" xr:uid="{00000000-0005-0000-0000-0000CC610000}"/>
    <cellStyle name="Note 6 2 5 2" xfId="24763" xr:uid="{00000000-0005-0000-0000-0000CD610000}"/>
    <cellStyle name="Note 6 2 5 3" xfId="32602" xr:uid="{00000000-0005-0000-0000-0000CE610000}"/>
    <cellStyle name="Note 6 2 5 4" xfId="19872" xr:uid="{00000000-0005-0000-0000-0000CF610000}"/>
    <cellStyle name="Note 6 2 6" xfId="7352" xr:uid="{00000000-0005-0000-0000-0000D0610000}"/>
    <cellStyle name="Note 6 2 6 2" xfId="25783" xr:uid="{00000000-0005-0000-0000-0000D1610000}"/>
    <cellStyle name="Note 6 2 6 3" xfId="32839" xr:uid="{00000000-0005-0000-0000-0000D2610000}"/>
    <cellStyle name="Note 6 2 6 4" xfId="20708" xr:uid="{00000000-0005-0000-0000-0000D3610000}"/>
    <cellStyle name="Note 6 2 7" xfId="6388" xr:uid="{00000000-0005-0000-0000-0000D4610000}"/>
    <cellStyle name="Note 6 2 7 2" xfId="24828" xr:uid="{00000000-0005-0000-0000-0000D5610000}"/>
    <cellStyle name="Note 6 2 7 3" xfId="32659" xr:uid="{00000000-0005-0000-0000-0000D6610000}"/>
    <cellStyle name="Note 6 2 7 4" xfId="19937" xr:uid="{00000000-0005-0000-0000-0000D7610000}"/>
    <cellStyle name="Note 6 2 8" xfId="8452" xr:uid="{00000000-0005-0000-0000-0000D8610000}"/>
    <cellStyle name="Note 6 2 8 2" xfId="26875" xr:uid="{00000000-0005-0000-0000-0000D9610000}"/>
    <cellStyle name="Note 6 2 8 3" xfId="33084" xr:uid="{00000000-0005-0000-0000-0000DA610000}"/>
    <cellStyle name="Note 6 2 8 4" xfId="21743" xr:uid="{00000000-0005-0000-0000-0000DB610000}"/>
    <cellStyle name="Note 6 2 9" xfId="3944" xr:uid="{00000000-0005-0000-0000-0000DC610000}"/>
    <cellStyle name="Note 6 2 9 2" xfId="22411" xr:uid="{00000000-0005-0000-0000-0000DD610000}"/>
    <cellStyle name="Note 6 2 9 3" xfId="31687" xr:uid="{00000000-0005-0000-0000-0000DE610000}"/>
    <cellStyle name="Note 6 2 9 4" xfId="17626" xr:uid="{00000000-0005-0000-0000-0000DF610000}"/>
    <cellStyle name="Note 6 20" xfId="16262" xr:uid="{00000000-0005-0000-0000-0000E0610000}"/>
    <cellStyle name="Note 6 20 2" xfId="16936" xr:uid="{00000000-0005-0000-0000-0000E1610000}"/>
    <cellStyle name="Note 6 21" xfId="15619" xr:uid="{00000000-0005-0000-0000-0000E2610000}"/>
    <cellStyle name="Note 6 21 2" xfId="36994" xr:uid="{00000000-0005-0000-0000-0000E3610000}"/>
    <cellStyle name="Note 6 22" xfId="31356" xr:uid="{00000000-0005-0000-0000-0000E4610000}"/>
    <cellStyle name="Note 6 23" xfId="38067" xr:uid="{00000000-0005-0000-0000-0000370E0000}"/>
    <cellStyle name="Note 6 3" xfId="3028" xr:uid="{00000000-0005-0000-0000-0000E5610000}"/>
    <cellStyle name="Note 6 3 10" xfId="15042" xr:uid="{00000000-0005-0000-0000-0000E6610000}"/>
    <cellStyle name="Note 6 3 10 2" xfId="16940" xr:uid="{00000000-0005-0000-0000-0000E7610000}"/>
    <cellStyle name="Note 6 3 11" xfId="14783" xr:uid="{00000000-0005-0000-0000-0000E8610000}"/>
    <cellStyle name="Note 6 3 11 2" xfId="36240" xr:uid="{00000000-0005-0000-0000-0000E9610000}"/>
    <cellStyle name="Note 6 3 12" xfId="31360" xr:uid="{00000000-0005-0000-0000-0000EA610000}"/>
    <cellStyle name="Note 6 3 13" xfId="39975" xr:uid="{00000000-0005-0000-0000-0000390E0000}"/>
    <cellStyle name="Note 6 3 2" xfId="3537" xr:uid="{00000000-0005-0000-0000-0000EB610000}"/>
    <cellStyle name="Note 6 3 2 10" xfId="15067" xr:uid="{00000000-0005-0000-0000-0000EC610000}"/>
    <cellStyle name="Note 6 3 2 10 2" xfId="36478" xr:uid="{00000000-0005-0000-0000-0000ED610000}"/>
    <cellStyle name="Note 6 3 2 11" xfId="31590" xr:uid="{00000000-0005-0000-0000-0000EE610000}"/>
    <cellStyle name="Note 6 3 2 12" xfId="39976" xr:uid="{00000000-0005-0000-0000-00003A0E0000}"/>
    <cellStyle name="Note 6 3 2 2" xfId="5664" xr:uid="{00000000-0005-0000-0000-0000EF610000}"/>
    <cellStyle name="Note 6 3 2 2 2" xfId="24117" xr:uid="{00000000-0005-0000-0000-0000F0610000}"/>
    <cellStyle name="Note 6 3 2 2 3" xfId="32275" xr:uid="{00000000-0005-0000-0000-0000F1610000}"/>
    <cellStyle name="Note 6 3 2 2 4" xfId="19250" xr:uid="{00000000-0005-0000-0000-0000F2610000}"/>
    <cellStyle name="Note 6 3 2 3" xfId="5151" xr:uid="{00000000-0005-0000-0000-0000F3610000}"/>
    <cellStyle name="Note 6 3 2 3 2" xfId="23611" xr:uid="{00000000-0005-0000-0000-0000F4610000}"/>
    <cellStyle name="Note 6 3 2 3 3" xfId="31992" xr:uid="{00000000-0005-0000-0000-0000F5610000}"/>
    <cellStyle name="Note 6 3 2 3 4" xfId="18765" xr:uid="{00000000-0005-0000-0000-0000F6610000}"/>
    <cellStyle name="Note 6 3 2 4" xfId="5970" xr:uid="{00000000-0005-0000-0000-0000F7610000}"/>
    <cellStyle name="Note 6 3 2 4 2" xfId="24411" xr:uid="{00000000-0005-0000-0000-0000F8610000}"/>
    <cellStyle name="Note 6 3 2 4 3" xfId="32448" xr:uid="{00000000-0005-0000-0000-0000F9610000}"/>
    <cellStyle name="Note 6 3 2 4 4" xfId="19520" xr:uid="{00000000-0005-0000-0000-0000FA610000}"/>
    <cellStyle name="Note 6 3 2 5" xfId="7676" xr:uid="{00000000-0005-0000-0000-0000FB610000}"/>
    <cellStyle name="Note 6 3 2 5 2" xfId="26106" xr:uid="{00000000-0005-0000-0000-0000FC610000}"/>
    <cellStyle name="Note 6 3 2 5 3" xfId="32921" xr:uid="{00000000-0005-0000-0000-0000FD610000}"/>
    <cellStyle name="Note 6 3 2 5 4" xfId="21031" xr:uid="{00000000-0005-0000-0000-0000FE610000}"/>
    <cellStyle name="Note 6 3 2 6" xfId="8050" xr:uid="{00000000-0005-0000-0000-0000FF610000}"/>
    <cellStyle name="Note 6 3 2 6 2" xfId="26480" xr:uid="{00000000-0005-0000-0000-000000620000}"/>
    <cellStyle name="Note 6 3 2 6 3" xfId="32993" xr:uid="{00000000-0005-0000-0000-000001620000}"/>
    <cellStyle name="Note 6 3 2 6 4" xfId="21404" xr:uid="{00000000-0005-0000-0000-000002620000}"/>
    <cellStyle name="Note 6 3 2 7" xfId="8774" xr:uid="{00000000-0005-0000-0000-000003620000}"/>
    <cellStyle name="Note 6 3 2 7 2" xfId="27194" xr:uid="{00000000-0005-0000-0000-000004620000}"/>
    <cellStyle name="Note 6 3 2 7 3" xfId="33165" xr:uid="{00000000-0005-0000-0000-000005620000}"/>
    <cellStyle name="Note 6 3 2 7 4" xfId="22065" xr:uid="{00000000-0005-0000-0000-000006620000}"/>
    <cellStyle name="Note 6 3 2 8" xfId="4266" xr:uid="{00000000-0005-0000-0000-000007620000}"/>
    <cellStyle name="Note 6 3 2 8 2" xfId="22730" xr:uid="{00000000-0005-0000-0000-000008620000}"/>
    <cellStyle name="Note 6 3 2 8 3" xfId="31768" xr:uid="{00000000-0005-0000-0000-000009620000}"/>
    <cellStyle name="Note 6 3 2 8 4" xfId="17948" xr:uid="{00000000-0005-0000-0000-00000A620000}"/>
    <cellStyle name="Note 6 3 2 9" xfId="15698" xr:uid="{00000000-0005-0000-0000-00000B620000}"/>
    <cellStyle name="Note 6 3 2 9 2" xfId="17277" xr:uid="{00000000-0005-0000-0000-00000C620000}"/>
    <cellStyle name="Note 6 3 3" xfId="5290" xr:uid="{00000000-0005-0000-0000-00000D620000}"/>
    <cellStyle name="Note 6 3 3 2" xfId="23750" xr:uid="{00000000-0005-0000-0000-00000E620000}"/>
    <cellStyle name="Note 6 3 3 3" xfId="32067" xr:uid="{00000000-0005-0000-0000-00000F620000}"/>
    <cellStyle name="Note 6 3 3 4" xfId="18903" xr:uid="{00000000-0005-0000-0000-000010620000}"/>
    <cellStyle name="Note 6 3 4" xfId="4880" xr:uid="{00000000-0005-0000-0000-000011620000}"/>
    <cellStyle name="Note 6 3 4 2" xfId="23340" xr:uid="{00000000-0005-0000-0000-000012620000}"/>
    <cellStyle name="Note 6 3 4 3" xfId="31863" xr:uid="{00000000-0005-0000-0000-000013620000}"/>
    <cellStyle name="Note 6 3 4 4" xfId="18494" xr:uid="{00000000-0005-0000-0000-000014620000}"/>
    <cellStyle name="Note 6 3 5" xfId="6322" xr:uid="{00000000-0005-0000-0000-000015620000}"/>
    <cellStyle name="Note 6 3 5 2" xfId="24762" xr:uid="{00000000-0005-0000-0000-000016620000}"/>
    <cellStyle name="Note 6 3 5 3" xfId="32601" xr:uid="{00000000-0005-0000-0000-000017620000}"/>
    <cellStyle name="Note 6 3 5 4" xfId="19871" xr:uid="{00000000-0005-0000-0000-000018620000}"/>
    <cellStyle name="Note 6 3 6" xfId="7353" xr:uid="{00000000-0005-0000-0000-000019620000}"/>
    <cellStyle name="Note 6 3 6 2" xfId="25784" xr:uid="{00000000-0005-0000-0000-00001A620000}"/>
    <cellStyle name="Note 6 3 6 3" xfId="32840" xr:uid="{00000000-0005-0000-0000-00001B620000}"/>
    <cellStyle name="Note 6 3 6 4" xfId="20709" xr:uid="{00000000-0005-0000-0000-00001C620000}"/>
    <cellStyle name="Note 6 3 7" xfId="6387" xr:uid="{00000000-0005-0000-0000-00001D620000}"/>
    <cellStyle name="Note 6 3 7 2" xfId="24827" xr:uid="{00000000-0005-0000-0000-00001E620000}"/>
    <cellStyle name="Note 6 3 7 3" xfId="32658" xr:uid="{00000000-0005-0000-0000-00001F620000}"/>
    <cellStyle name="Note 6 3 7 4" xfId="19936" xr:uid="{00000000-0005-0000-0000-000020620000}"/>
    <cellStyle name="Note 6 3 8" xfId="8453" xr:uid="{00000000-0005-0000-0000-000021620000}"/>
    <cellStyle name="Note 6 3 8 2" xfId="26876" xr:uid="{00000000-0005-0000-0000-000022620000}"/>
    <cellStyle name="Note 6 3 8 3" xfId="33085" xr:uid="{00000000-0005-0000-0000-000023620000}"/>
    <cellStyle name="Note 6 3 8 4" xfId="21744" xr:uid="{00000000-0005-0000-0000-000024620000}"/>
    <cellStyle name="Note 6 3 9" xfId="3945" xr:uid="{00000000-0005-0000-0000-000025620000}"/>
    <cellStyle name="Note 6 3 9 2" xfId="22412" xr:uid="{00000000-0005-0000-0000-000026620000}"/>
    <cellStyle name="Note 6 3 9 3" xfId="31688" xr:uid="{00000000-0005-0000-0000-000027620000}"/>
    <cellStyle name="Note 6 3 9 4" xfId="17627" xr:uid="{00000000-0005-0000-0000-000028620000}"/>
    <cellStyle name="Note 6 3_ELC_final" xfId="39977" xr:uid="{00000000-0005-0000-0000-00003B0E0000}"/>
    <cellStyle name="Note 6 4" xfId="3029" xr:uid="{00000000-0005-0000-0000-000029620000}"/>
    <cellStyle name="Note 6 4 10" xfId="14411" xr:uid="{00000000-0005-0000-0000-00002A620000}"/>
    <cellStyle name="Note 6 4 10 2" xfId="16941" xr:uid="{00000000-0005-0000-0000-00002B620000}"/>
    <cellStyle name="Note 6 4 11" xfId="15313" xr:uid="{00000000-0005-0000-0000-00002C620000}"/>
    <cellStyle name="Note 6 4 11 2" xfId="36704" xr:uid="{00000000-0005-0000-0000-00002D620000}"/>
    <cellStyle name="Note 6 4 12" xfId="31361" xr:uid="{00000000-0005-0000-0000-00002E620000}"/>
    <cellStyle name="Note 6 4 13" xfId="39978" xr:uid="{00000000-0005-0000-0000-00003C0E0000}"/>
    <cellStyle name="Note 6 4 2" xfId="3538" xr:uid="{00000000-0005-0000-0000-00002F620000}"/>
    <cellStyle name="Note 6 4 2 10" xfId="14691" xr:uid="{00000000-0005-0000-0000-000030620000}"/>
    <cellStyle name="Note 6 4 2 10 2" xfId="36173" xr:uid="{00000000-0005-0000-0000-000031620000}"/>
    <cellStyle name="Note 6 4 2 11" xfId="31591" xr:uid="{00000000-0005-0000-0000-000032620000}"/>
    <cellStyle name="Note 6 4 2 2" xfId="5665" xr:uid="{00000000-0005-0000-0000-000033620000}"/>
    <cellStyle name="Note 6 4 2 2 2" xfId="24118" xr:uid="{00000000-0005-0000-0000-000034620000}"/>
    <cellStyle name="Note 6 4 2 2 3" xfId="32276" xr:uid="{00000000-0005-0000-0000-000035620000}"/>
    <cellStyle name="Note 6 4 2 2 4" xfId="19251" xr:uid="{00000000-0005-0000-0000-000036620000}"/>
    <cellStyle name="Note 6 4 2 3" xfId="5152" xr:uid="{00000000-0005-0000-0000-000037620000}"/>
    <cellStyle name="Note 6 4 2 3 2" xfId="23612" xr:uid="{00000000-0005-0000-0000-000038620000}"/>
    <cellStyle name="Note 6 4 2 3 3" xfId="31993" xr:uid="{00000000-0005-0000-0000-000039620000}"/>
    <cellStyle name="Note 6 4 2 3 4" xfId="18766" xr:uid="{00000000-0005-0000-0000-00003A620000}"/>
    <cellStyle name="Note 6 4 2 4" xfId="5969" xr:uid="{00000000-0005-0000-0000-00003B620000}"/>
    <cellStyle name="Note 6 4 2 4 2" xfId="24410" xr:uid="{00000000-0005-0000-0000-00003C620000}"/>
    <cellStyle name="Note 6 4 2 4 3" xfId="32447" xr:uid="{00000000-0005-0000-0000-00003D620000}"/>
    <cellStyle name="Note 6 4 2 4 4" xfId="19519" xr:uid="{00000000-0005-0000-0000-00003E620000}"/>
    <cellStyle name="Note 6 4 2 5" xfId="7677" xr:uid="{00000000-0005-0000-0000-00003F620000}"/>
    <cellStyle name="Note 6 4 2 5 2" xfId="26107" xr:uid="{00000000-0005-0000-0000-000040620000}"/>
    <cellStyle name="Note 6 4 2 5 3" xfId="32922" xr:uid="{00000000-0005-0000-0000-000041620000}"/>
    <cellStyle name="Note 6 4 2 5 4" xfId="21032" xr:uid="{00000000-0005-0000-0000-000042620000}"/>
    <cellStyle name="Note 6 4 2 6" xfId="8051" xr:uid="{00000000-0005-0000-0000-000043620000}"/>
    <cellStyle name="Note 6 4 2 6 2" xfId="26481" xr:uid="{00000000-0005-0000-0000-000044620000}"/>
    <cellStyle name="Note 6 4 2 6 3" xfId="32994" xr:uid="{00000000-0005-0000-0000-000045620000}"/>
    <cellStyle name="Note 6 4 2 6 4" xfId="21405" xr:uid="{00000000-0005-0000-0000-000046620000}"/>
    <cellStyle name="Note 6 4 2 7" xfId="8775" xr:uid="{00000000-0005-0000-0000-000047620000}"/>
    <cellStyle name="Note 6 4 2 7 2" xfId="27195" xr:uid="{00000000-0005-0000-0000-000048620000}"/>
    <cellStyle name="Note 6 4 2 7 3" xfId="33166" xr:uid="{00000000-0005-0000-0000-000049620000}"/>
    <cellStyle name="Note 6 4 2 7 4" xfId="22066" xr:uid="{00000000-0005-0000-0000-00004A620000}"/>
    <cellStyle name="Note 6 4 2 8" xfId="4267" xr:uid="{00000000-0005-0000-0000-00004B620000}"/>
    <cellStyle name="Note 6 4 2 8 2" xfId="22731" xr:uid="{00000000-0005-0000-0000-00004C620000}"/>
    <cellStyle name="Note 6 4 2 8 3" xfId="31769" xr:uid="{00000000-0005-0000-0000-00004D620000}"/>
    <cellStyle name="Note 6 4 2 8 4" xfId="17949" xr:uid="{00000000-0005-0000-0000-00004E620000}"/>
    <cellStyle name="Note 6 4 2 9" xfId="14578" xr:uid="{00000000-0005-0000-0000-00004F620000}"/>
    <cellStyle name="Note 6 4 2 9 2" xfId="17278" xr:uid="{00000000-0005-0000-0000-000050620000}"/>
    <cellStyle name="Note 6 4 3" xfId="5291" xr:uid="{00000000-0005-0000-0000-000051620000}"/>
    <cellStyle name="Note 6 4 3 2" xfId="23751" xr:uid="{00000000-0005-0000-0000-000052620000}"/>
    <cellStyle name="Note 6 4 3 3" xfId="32068" xr:uid="{00000000-0005-0000-0000-000053620000}"/>
    <cellStyle name="Note 6 4 3 4" xfId="18904" xr:uid="{00000000-0005-0000-0000-000054620000}"/>
    <cellStyle name="Note 6 4 4" xfId="4881" xr:uid="{00000000-0005-0000-0000-000055620000}"/>
    <cellStyle name="Note 6 4 4 2" xfId="23341" xr:uid="{00000000-0005-0000-0000-000056620000}"/>
    <cellStyle name="Note 6 4 4 3" xfId="31864" xr:uid="{00000000-0005-0000-0000-000057620000}"/>
    <cellStyle name="Note 6 4 4 4" xfId="18495" xr:uid="{00000000-0005-0000-0000-000058620000}"/>
    <cellStyle name="Note 6 4 5" xfId="6321" xr:uid="{00000000-0005-0000-0000-000059620000}"/>
    <cellStyle name="Note 6 4 5 2" xfId="24761" xr:uid="{00000000-0005-0000-0000-00005A620000}"/>
    <cellStyle name="Note 6 4 5 3" xfId="32600" xr:uid="{00000000-0005-0000-0000-00005B620000}"/>
    <cellStyle name="Note 6 4 5 4" xfId="19870" xr:uid="{00000000-0005-0000-0000-00005C620000}"/>
    <cellStyle name="Note 6 4 6" xfId="7354" xr:uid="{00000000-0005-0000-0000-00005D620000}"/>
    <cellStyle name="Note 6 4 6 2" xfId="25785" xr:uid="{00000000-0005-0000-0000-00005E620000}"/>
    <cellStyle name="Note 6 4 6 3" xfId="32841" xr:uid="{00000000-0005-0000-0000-00005F620000}"/>
    <cellStyle name="Note 6 4 6 4" xfId="20710" xr:uid="{00000000-0005-0000-0000-000060620000}"/>
    <cellStyle name="Note 6 4 7" xfId="7298" xr:uid="{00000000-0005-0000-0000-000061620000}"/>
    <cellStyle name="Note 6 4 7 2" xfId="25729" xr:uid="{00000000-0005-0000-0000-000062620000}"/>
    <cellStyle name="Note 6 4 7 3" xfId="32785" xr:uid="{00000000-0005-0000-0000-000063620000}"/>
    <cellStyle name="Note 6 4 7 4" xfId="20654" xr:uid="{00000000-0005-0000-0000-000064620000}"/>
    <cellStyle name="Note 6 4 8" xfId="8454" xr:uid="{00000000-0005-0000-0000-000065620000}"/>
    <cellStyle name="Note 6 4 8 2" xfId="26877" xr:uid="{00000000-0005-0000-0000-000066620000}"/>
    <cellStyle name="Note 6 4 8 3" xfId="33086" xr:uid="{00000000-0005-0000-0000-000067620000}"/>
    <cellStyle name="Note 6 4 8 4" xfId="21745" xr:uid="{00000000-0005-0000-0000-000068620000}"/>
    <cellStyle name="Note 6 4 9" xfId="3946" xr:uid="{00000000-0005-0000-0000-000069620000}"/>
    <cellStyle name="Note 6 4 9 2" xfId="22413" xr:uid="{00000000-0005-0000-0000-00006A620000}"/>
    <cellStyle name="Note 6 4 9 3" xfId="31689" xr:uid="{00000000-0005-0000-0000-00006B620000}"/>
    <cellStyle name="Note 6 4 9 4" xfId="17628" xr:uid="{00000000-0005-0000-0000-00006C620000}"/>
    <cellStyle name="Note 6 5" xfId="3030" xr:uid="{00000000-0005-0000-0000-00006D620000}"/>
    <cellStyle name="Note 6 5 10" xfId="15753" xr:uid="{00000000-0005-0000-0000-00006E620000}"/>
    <cellStyle name="Note 6 5 10 2" xfId="16942" xr:uid="{00000000-0005-0000-0000-00006F620000}"/>
    <cellStyle name="Note 6 5 11" xfId="16445" xr:uid="{00000000-0005-0000-0000-000070620000}"/>
    <cellStyle name="Note 6 5 11 2" xfId="37714" xr:uid="{00000000-0005-0000-0000-000071620000}"/>
    <cellStyle name="Note 6 5 12" xfId="31362" xr:uid="{00000000-0005-0000-0000-000072620000}"/>
    <cellStyle name="Note 6 5 2" xfId="3539" xr:uid="{00000000-0005-0000-0000-000073620000}"/>
    <cellStyle name="Note 6 5 2 10" xfId="15254" xr:uid="{00000000-0005-0000-0000-000074620000}"/>
    <cellStyle name="Note 6 5 2 10 2" xfId="36659" xr:uid="{00000000-0005-0000-0000-000075620000}"/>
    <cellStyle name="Note 6 5 2 11" xfId="31592" xr:uid="{00000000-0005-0000-0000-000076620000}"/>
    <cellStyle name="Note 6 5 2 2" xfId="5666" xr:uid="{00000000-0005-0000-0000-000077620000}"/>
    <cellStyle name="Note 6 5 2 2 2" xfId="24119" xr:uid="{00000000-0005-0000-0000-000078620000}"/>
    <cellStyle name="Note 6 5 2 2 3" xfId="32277" xr:uid="{00000000-0005-0000-0000-000079620000}"/>
    <cellStyle name="Note 6 5 2 2 4" xfId="19252" xr:uid="{00000000-0005-0000-0000-00007A620000}"/>
    <cellStyle name="Note 6 5 2 3" xfId="5153" xr:uid="{00000000-0005-0000-0000-00007B620000}"/>
    <cellStyle name="Note 6 5 2 3 2" xfId="23613" xr:uid="{00000000-0005-0000-0000-00007C620000}"/>
    <cellStyle name="Note 6 5 2 3 3" xfId="31994" xr:uid="{00000000-0005-0000-0000-00007D620000}"/>
    <cellStyle name="Note 6 5 2 3 4" xfId="18767" xr:uid="{00000000-0005-0000-0000-00007E620000}"/>
    <cellStyle name="Note 6 5 2 4" xfId="5968" xr:uid="{00000000-0005-0000-0000-00007F620000}"/>
    <cellStyle name="Note 6 5 2 4 2" xfId="24409" xr:uid="{00000000-0005-0000-0000-000080620000}"/>
    <cellStyle name="Note 6 5 2 4 3" xfId="32446" xr:uid="{00000000-0005-0000-0000-000081620000}"/>
    <cellStyle name="Note 6 5 2 4 4" xfId="19518" xr:uid="{00000000-0005-0000-0000-000082620000}"/>
    <cellStyle name="Note 6 5 2 5" xfId="7678" xr:uid="{00000000-0005-0000-0000-000083620000}"/>
    <cellStyle name="Note 6 5 2 5 2" xfId="26108" xr:uid="{00000000-0005-0000-0000-000084620000}"/>
    <cellStyle name="Note 6 5 2 5 3" xfId="32923" xr:uid="{00000000-0005-0000-0000-000085620000}"/>
    <cellStyle name="Note 6 5 2 5 4" xfId="21033" xr:uid="{00000000-0005-0000-0000-000086620000}"/>
    <cellStyle name="Note 6 5 2 6" xfId="8052" xr:uid="{00000000-0005-0000-0000-000087620000}"/>
    <cellStyle name="Note 6 5 2 6 2" xfId="26482" xr:uid="{00000000-0005-0000-0000-000088620000}"/>
    <cellStyle name="Note 6 5 2 6 3" xfId="32995" xr:uid="{00000000-0005-0000-0000-000089620000}"/>
    <cellStyle name="Note 6 5 2 6 4" xfId="21406" xr:uid="{00000000-0005-0000-0000-00008A620000}"/>
    <cellStyle name="Note 6 5 2 7" xfId="8776" xr:uid="{00000000-0005-0000-0000-00008B620000}"/>
    <cellStyle name="Note 6 5 2 7 2" xfId="27196" xr:uid="{00000000-0005-0000-0000-00008C620000}"/>
    <cellStyle name="Note 6 5 2 7 3" xfId="33167" xr:uid="{00000000-0005-0000-0000-00008D620000}"/>
    <cellStyle name="Note 6 5 2 7 4" xfId="22067" xr:uid="{00000000-0005-0000-0000-00008E620000}"/>
    <cellStyle name="Note 6 5 2 8" xfId="4268" xr:uid="{00000000-0005-0000-0000-00008F620000}"/>
    <cellStyle name="Note 6 5 2 8 2" xfId="22732" xr:uid="{00000000-0005-0000-0000-000090620000}"/>
    <cellStyle name="Note 6 5 2 8 3" xfId="31770" xr:uid="{00000000-0005-0000-0000-000091620000}"/>
    <cellStyle name="Note 6 5 2 8 4" xfId="17950" xr:uid="{00000000-0005-0000-0000-000092620000}"/>
    <cellStyle name="Note 6 5 2 9" xfId="14613" xr:uid="{00000000-0005-0000-0000-000093620000}"/>
    <cellStyle name="Note 6 5 2 9 2" xfId="17279" xr:uid="{00000000-0005-0000-0000-000094620000}"/>
    <cellStyle name="Note 6 5 3" xfId="5292" xr:uid="{00000000-0005-0000-0000-000095620000}"/>
    <cellStyle name="Note 6 5 3 2" xfId="23752" xr:uid="{00000000-0005-0000-0000-000096620000}"/>
    <cellStyle name="Note 6 5 3 3" xfId="32069" xr:uid="{00000000-0005-0000-0000-000097620000}"/>
    <cellStyle name="Note 6 5 3 4" xfId="18905" xr:uid="{00000000-0005-0000-0000-000098620000}"/>
    <cellStyle name="Note 6 5 4" xfId="4882" xr:uid="{00000000-0005-0000-0000-000099620000}"/>
    <cellStyle name="Note 6 5 4 2" xfId="23342" xr:uid="{00000000-0005-0000-0000-00009A620000}"/>
    <cellStyle name="Note 6 5 4 3" xfId="31865" xr:uid="{00000000-0005-0000-0000-00009B620000}"/>
    <cellStyle name="Note 6 5 4 4" xfId="18496" xr:uid="{00000000-0005-0000-0000-00009C620000}"/>
    <cellStyle name="Note 6 5 5" xfId="6320" xr:uid="{00000000-0005-0000-0000-00009D620000}"/>
    <cellStyle name="Note 6 5 5 2" xfId="24760" xr:uid="{00000000-0005-0000-0000-00009E620000}"/>
    <cellStyle name="Note 6 5 5 3" xfId="32599" xr:uid="{00000000-0005-0000-0000-00009F620000}"/>
    <cellStyle name="Note 6 5 5 4" xfId="19869" xr:uid="{00000000-0005-0000-0000-0000A0620000}"/>
    <cellStyle name="Note 6 5 6" xfId="7355" xr:uid="{00000000-0005-0000-0000-0000A1620000}"/>
    <cellStyle name="Note 6 5 6 2" xfId="25786" xr:uid="{00000000-0005-0000-0000-0000A2620000}"/>
    <cellStyle name="Note 6 5 6 3" xfId="32842" xr:uid="{00000000-0005-0000-0000-0000A3620000}"/>
    <cellStyle name="Note 6 5 6 4" xfId="20711" xr:uid="{00000000-0005-0000-0000-0000A4620000}"/>
    <cellStyle name="Note 6 5 7" xfId="7027" xr:uid="{00000000-0005-0000-0000-0000A5620000}"/>
    <cellStyle name="Note 6 5 7 2" xfId="25465" xr:uid="{00000000-0005-0000-0000-0000A6620000}"/>
    <cellStyle name="Note 6 5 7 3" xfId="32724" xr:uid="{00000000-0005-0000-0000-0000A7620000}"/>
    <cellStyle name="Note 6 5 7 4" xfId="20402" xr:uid="{00000000-0005-0000-0000-0000A8620000}"/>
    <cellStyle name="Note 6 5 8" xfId="8455" xr:uid="{00000000-0005-0000-0000-0000A9620000}"/>
    <cellStyle name="Note 6 5 8 2" xfId="26878" xr:uid="{00000000-0005-0000-0000-0000AA620000}"/>
    <cellStyle name="Note 6 5 8 3" xfId="33087" xr:uid="{00000000-0005-0000-0000-0000AB620000}"/>
    <cellStyle name="Note 6 5 8 4" xfId="21746" xr:uid="{00000000-0005-0000-0000-0000AC620000}"/>
    <cellStyle name="Note 6 5 9" xfId="3947" xr:uid="{00000000-0005-0000-0000-0000AD620000}"/>
    <cellStyle name="Note 6 5 9 2" xfId="22414" xr:uid="{00000000-0005-0000-0000-0000AE620000}"/>
    <cellStyle name="Note 6 5 9 3" xfId="31690" xr:uid="{00000000-0005-0000-0000-0000AF620000}"/>
    <cellStyle name="Note 6 5 9 4" xfId="17629" xr:uid="{00000000-0005-0000-0000-0000B0620000}"/>
    <cellStyle name="Note 6 6" xfId="3031" xr:uid="{00000000-0005-0000-0000-0000B1620000}"/>
    <cellStyle name="Note 6 6 10" xfId="16051" xr:uid="{00000000-0005-0000-0000-0000B2620000}"/>
    <cellStyle name="Note 6 6 10 2" xfId="16943" xr:uid="{00000000-0005-0000-0000-0000B3620000}"/>
    <cellStyle name="Note 6 6 11" xfId="15083" xr:uid="{00000000-0005-0000-0000-0000B4620000}"/>
    <cellStyle name="Note 6 6 11 2" xfId="36494" xr:uid="{00000000-0005-0000-0000-0000B5620000}"/>
    <cellStyle name="Note 6 6 12" xfId="31363" xr:uid="{00000000-0005-0000-0000-0000B6620000}"/>
    <cellStyle name="Note 6 6 2" xfId="3540" xr:uid="{00000000-0005-0000-0000-0000B7620000}"/>
    <cellStyle name="Note 6 6 2 10" xfId="14803" xr:uid="{00000000-0005-0000-0000-0000B8620000}"/>
    <cellStyle name="Note 6 6 2 10 2" xfId="36259" xr:uid="{00000000-0005-0000-0000-0000B9620000}"/>
    <cellStyle name="Note 6 6 2 11" xfId="31593" xr:uid="{00000000-0005-0000-0000-0000BA620000}"/>
    <cellStyle name="Note 6 6 2 2" xfId="5667" xr:uid="{00000000-0005-0000-0000-0000BB620000}"/>
    <cellStyle name="Note 6 6 2 2 2" xfId="24120" xr:uid="{00000000-0005-0000-0000-0000BC620000}"/>
    <cellStyle name="Note 6 6 2 2 3" xfId="32278" xr:uid="{00000000-0005-0000-0000-0000BD620000}"/>
    <cellStyle name="Note 6 6 2 2 4" xfId="19253" xr:uid="{00000000-0005-0000-0000-0000BE620000}"/>
    <cellStyle name="Note 6 6 2 3" xfId="5154" xr:uid="{00000000-0005-0000-0000-0000BF620000}"/>
    <cellStyle name="Note 6 6 2 3 2" xfId="23614" xr:uid="{00000000-0005-0000-0000-0000C0620000}"/>
    <cellStyle name="Note 6 6 2 3 3" xfId="31995" xr:uid="{00000000-0005-0000-0000-0000C1620000}"/>
    <cellStyle name="Note 6 6 2 3 4" xfId="18768" xr:uid="{00000000-0005-0000-0000-0000C2620000}"/>
    <cellStyle name="Note 6 6 2 4" xfId="5967" xr:uid="{00000000-0005-0000-0000-0000C3620000}"/>
    <cellStyle name="Note 6 6 2 4 2" xfId="24408" xr:uid="{00000000-0005-0000-0000-0000C4620000}"/>
    <cellStyle name="Note 6 6 2 4 3" xfId="32445" xr:uid="{00000000-0005-0000-0000-0000C5620000}"/>
    <cellStyle name="Note 6 6 2 4 4" xfId="19517" xr:uid="{00000000-0005-0000-0000-0000C6620000}"/>
    <cellStyle name="Note 6 6 2 5" xfId="7679" xr:uid="{00000000-0005-0000-0000-0000C7620000}"/>
    <cellStyle name="Note 6 6 2 5 2" xfId="26109" xr:uid="{00000000-0005-0000-0000-0000C8620000}"/>
    <cellStyle name="Note 6 6 2 5 3" xfId="32924" xr:uid="{00000000-0005-0000-0000-0000C9620000}"/>
    <cellStyle name="Note 6 6 2 5 4" xfId="21034" xr:uid="{00000000-0005-0000-0000-0000CA620000}"/>
    <cellStyle name="Note 6 6 2 6" xfId="8053" xr:uid="{00000000-0005-0000-0000-0000CB620000}"/>
    <cellStyle name="Note 6 6 2 6 2" xfId="26483" xr:uid="{00000000-0005-0000-0000-0000CC620000}"/>
    <cellStyle name="Note 6 6 2 6 3" xfId="32996" xr:uid="{00000000-0005-0000-0000-0000CD620000}"/>
    <cellStyle name="Note 6 6 2 6 4" xfId="21407" xr:uid="{00000000-0005-0000-0000-0000CE620000}"/>
    <cellStyle name="Note 6 6 2 7" xfId="8777" xr:uid="{00000000-0005-0000-0000-0000CF620000}"/>
    <cellStyle name="Note 6 6 2 7 2" xfId="27197" xr:uid="{00000000-0005-0000-0000-0000D0620000}"/>
    <cellStyle name="Note 6 6 2 7 3" xfId="33168" xr:uid="{00000000-0005-0000-0000-0000D1620000}"/>
    <cellStyle name="Note 6 6 2 7 4" xfId="22068" xr:uid="{00000000-0005-0000-0000-0000D2620000}"/>
    <cellStyle name="Note 6 6 2 8" xfId="4269" xr:uid="{00000000-0005-0000-0000-0000D3620000}"/>
    <cellStyle name="Note 6 6 2 8 2" xfId="22733" xr:uid="{00000000-0005-0000-0000-0000D4620000}"/>
    <cellStyle name="Note 6 6 2 8 3" xfId="31771" xr:uid="{00000000-0005-0000-0000-0000D5620000}"/>
    <cellStyle name="Note 6 6 2 8 4" xfId="17951" xr:uid="{00000000-0005-0000-0000-0000D6620000}"/>
    <cellStyle name="Note 6 6 2 9" xfId="15048" xr:uid="{00000000-0005-0000-0000-0000D7620000}"/>
    <cellStyle name="Note 6 6 2 9 2" xfId="17280" xr:uid="{00000000-0005-0000-0000-0000D8620000}"/>
    <cellStyle name="Note 6 6 3" xfId="5293" xr:uid="{00000000-0005-0000-0000-0000D9620000}"/>
    <cellStyle name="Note 6 6 3 2" xfId="23753" xr:uid="{00000000-0005-0000-0000-0000DA620000}"/>
    <cellStyle name="Note 6 6 3 3" xfId="32070" xr:uid="{00000000-0005-0000-0000-0000DB620000}"/>
    <cellStyle name="Note 6 6 3 4" xfId="18906" xr:uid="{00000000-0005-0000-0000-0000DC620000}"/>
    <cellStyle name="Note 6 6 4" xfId="4883" xr:uid="{00000000-0005-0000-0000-0000DD620000}"/>
    <cellStyle name="Note 6 6 4 2" xfId="23343" xr:uid="{00000000-0005-0000-0000-0000DE620000}"/>
    <cellStyle name="Note 6 6 4 3" xfId="31866" xr:uid="{00000000-0005-0000-0000-0000DF620000}"/>
    <cellStyle name="Note 6 6 4 4" xfId="18497" xr:uid="{00000000-0005-0000-0000-0000E0620000}"/>
    <cellStyle name="Note 6 6 5" xfId="6319" xr:uid="{00000000-0005-0000-0000-0000E1620000}"/>
    <cellStyle name="Note 6 6 5 2" xfId="24759" xr:uid="{00000000-0005-0000-0000-0000E2620000}"/>
    <cellStyle name="Note 6 6 5 3" xfId="32598" xr:uid="{00000000-0005-0000-0000-0000E3620000}"/>
    <cellStyle name="Note 6 6 5 4" xfId="19868" xr:uid="{00000000-0005-0000-0000-0000E4620000}"/>
    <cellStyle name="Note 6 6 6" xfId="7356" xr:uid="{00000000-0005-0000-0000-0000E5620000}"/>
    <cellStyle name="Note 6 6 6 2" xfId="25787" xr:uid="{00000000-0005-0000-0000-0000E6620000}"/>
    <cellStyle name="Note 6 6 6 3" xfId="32843" xr:uid="{00000000-0005-0000-0000-0000E7620000}"/>
    <cellStyle name="Note 6 6 6 4" xfId="20712" xr:uid="{00000000-0005-0000-0000-0000E8620000}"/>
    <cellStyle name="Note 6 6 7" xfId="7028" xr:uid="{00000000-0005-0000-0000-0000E9620000}"/>
    <cellStyle name="Note 6 6 7 2" xfId="25466" xr:uid="{00000000-0005-0000-0000-0000EA620000}"/>
    <cellStyle name="Note 6 6 7 3" xfId="32725" xr:uid="{00000000-0005-0000-0000-0000EB620000}"/>
    <cellStyle name="Note 6 6 7 4" xfId="20403" xr:uid="{00000000-0005-0000-0000-0000EC620000}"/>
    <cellStyle name="Note 6 6 8" xfId="8456" xr:uid="{00000000-0005-0000-0000-0000ED620000}"/>
    <cellStyle name="Note 6 6 8 2" xfId="26879" xr:uid="{00000000-0005-0000-0000-0000EE620000}"/>
    <cellStyle name="Note 6 6 8 3" xfId="33088" xr:uid="{00000000-0005-0000-0000-0000EF620000}"/>
    <cellStyle name="Note 6 6 8 4" xfId="21747" xr:uid="{00000000-0005-0000-0000-0000F0620000}"/>
    <cellStyle name="Note 6 6 9" xfId="3948" xr:uid="{00000000-0005-0000-0000-0000F1620000}"/>
    <cellStyle name="Note 6 6 9 2" xfId="22415" xr:uid="{00000000-0005-0000-0000-0000F2620000}"/>
    <cellStyle name="Note 6 6 9 3" xfId="31691" xr:uid="{00000000-0005-0000-0000-0000F3620000}"/>
    <cellStyle name="Note 6 6 9 4" xfId="17630" xr:uid="{00000000-0005-0000-0000-0000F4620000}"/>
    <cellStyle name="Note 6 7" xfId="3032" xr:uid="{00000000-0005-0000-0000-0000F5620000}"/>
    <cellStyle name="Note 6 7 10" xfId="15058" xr:uid="{00000000-0005-0000-0000-0000F6620000}"/>
    <cellStyle name="Note 6 7 10 2" xfId="16944" xr:uid="{00000000-0005-0000-0000-0000F7620000}"/>
    <cellStyle name="Note 6 7 11" xfId="16056" xr:uid="{00000000-0005-0000-0000-0000F8620000}"/>
    <cellStyle name="Note 6 7 11 2" xfId="37383" xr:uid="{00000000-0005-0000-0000-0000F9620000}"/>
    <cellStyle name="Note 6 7 12" xfId="31364" xr:uid="{00000000-0005-0000-0000-0000FA620000}"/>
    <cellStyle name="Note 6 7 2" xfId="3541" xr:uid="{00000000-0005-0000-0000-0000FB620000}"/>
    <cellStyle name="Note 6 7 2 10" xfId="15690" xr:uid="{00000000-0005-0000-0000-0000FC620000}"/>
    <cellStyle name="Note 6 7 2 10 2" xfId="37062" xr:uid="{00000000-0005-0000-0000-0000FD620000}"/>
    <cellStyle name="Note 6 7 2 11" xfId="31594" xr:uid="{00000000-0005-0000-0000-0000FE620000}"/>
    <cellStyle name="Note 6 7 2 2" xfId="5668" xr:uid="{00000000-0005-0000-0000-0000FF620000}"/>
    <cellStyle name="Note 6 7 2 2 2" xfId="24121" xr:uid="{00000000-0005-0000-0000-000000630000}"/>
    <cellStyle name="Note 6 7 2 2 3" xfId="32279" xr:uid="{00000000-0005-0000-0000-000001630000}"/>
    <cellStyle name="Note 6 7 2 2 4" xfId="19254" xr:uid="{00000000-0005-0000-0000-000002630000}"/>
    <cellStyle name="Note 6 7 2 3" xfId="5155" xr:uid="{00000000-0005-0000-0000-000003630000}"/>
    <cellStyle name="Note 6 7 2 3 2" xfId="23615" xr:uid="{00000000-0005-0000-0000-000004630000}"/>
    <cellStyle name="Note 6 7 2 3 3" xfId="31996" xr:uid="{00000000-0005-0000-0000-000005630000}"/>
    <cellStyle name="Note 6 7 2 3 4" xfId="18769" xr:uid="{00000000-0005-0000-0000-000006630000}"/>
    <cellStyle name="Note 6 7 2 4" xfId="5966" xr:uid="{00000000-0005-0000-0000-000007630000}"/>
    <cellStyle name="Note 6 7 2 4 2" xfId="24407" xr:uid="{00000000-0005-0000-0000-000008630000}"/>
    <cellStyle name="Note 6 7 2 4 3" xfId="32444" xr:uid="{00000000-0005-0000-0000-000009630000}"/>
    <cellStyle name="Note 6 7 2 4 4" xfId="19516" xr:uid="{00000000-0005-0000-0000-00000A630000}"/>
    <cellStyle name="Note 6 7 2 5" xfId="7680" xr:uid="{00000000-0005-0000-0000-00000B630000}"/>
    <cellStyle name="Note 6 7 2 5 2" xfId="26110" xr:uid="{00000000-0005-0000-0000-00000C630000}"/>
    <cellStyle name="Note 6 7 2 5 3" xfId="32925" xr:uid="{00000000-0005-0000-0000-00000D630000}"/>
    <cellStyle name="Note 6 7 2 5 4" xfId="21035" xr:uid="{00000000-0005-0000-0000-00000E630000}"/>
    <cellStyle name="Note 6 7 2 6" xfId="8054" xr:uid="{00000000-0005-0000-0000-00000F630000}"/>
    <cellStyle name="Note 6 7 2 6 2" xfId="26484" xr:uid="{00000000-0005-0000-0000-000010630000}"/>
    <cellStyle name="Note 6 7 2 6 3" xfId="32997" xr:uid="{00000000-0005-0000-0000-000011630000}"/>
    <cellStyle name="Note 6 7 2 6 4" xfId="21408" xr:uid="{00000000-0005-0000-0000-000012630000}"/>
    <cellStyle name="Note 6 7 2 7" xfId="8778" xr:uid="{00000000-0005-0000-0000-000013630000}"/>
    <cellStyle name="Note 6 7 2 7 2" xfId="27198" xr:uid="{00000000-0005-0000-0000-000014630000}"/>
    <cellStyle name="Note 6 7 2 7 3" xfId="33169" xr:uid="{00000000-0005-0000-0000-000015630000}"/>
    <cellStyle name="Note 6 7 2 7 4" xfId="22069" xr:uid="{00000000-0005-0000-0000-000016630000}"/>
    <cellStyle name="Note 6 7 2 8" xfId="4270" xr:uid="{00000000-0005-0000-0000-000017630000}"/>
    <cellStyle name="Note 6 7 2 8 2" xfId="22734" xr:uid="{00000000-0005-0000-0000-000018630000}"/>
    <cellStyle name="Note 6 7 2 8 3" xfId="31772" xr:uid="{00000000-0005-0000-0000-000019630000}"/>
    <cellStyle name="Note 6 7 2 8 4" xfId="17952" xr:uid="{00000000-0005-0000-0000-00001A630000}"/>
    <cellStyle name="Note 6 7 2 9" xfId="15749" xr:uid="{00000000-0005-0000-0000-00001B630000}"/>
    <cellStyle name="Note 6 7 2 9 2" xfId="17281" xr:uid="{00000000-0005-0000-0000-00001C630000}"/>
    <cellStyle name="Note 6 7 3" xfId="5294" xr:uid="{00000000-0005-0000-0000-00001D630000}"/>
    <cellStyle name="Note 6 7 3 2" xfId="23754" xr:uid="{00000000-0005-0000-0000-00001E630000}"/>
    <cellStyle name="Note 6 7 3 3" xfId="32071" xr:uid="{00000000-0005-0000-0000-00001F630000}"/>
    <cellStyle name="Note 6 7 3 4" xfId="18907" xr:uid="{00000000-0005-0000-0000-000020630000}"/>
    <cellStyle name="Note 6 7 4" xfId="4884" xr:uid="{00000000-0005-0000-0000-000021630000}"/>
    <cellStyle name="Note 6 7 4 2" xfId="23344" xr:uid="{00000000-0005-0000-0000-000022630000}"/>
    <cellStyle name="Note 6 7 4 3" xfId="31867" xr:uid="{00000000-0005-0000-0000-000023630000}"/>
    <cellStyle name="Note 6 7 4 4" xfId="18498" xr:uid="{00000000-0005-0000-0000-000024630000}"/>
    <cellStyle name="Note 6 7 5" xfId="6318" xr:uid="{00000000-0005-0000-0000-000025630000}"/>
    <cellStyle name="Note 6 7 5 2" xfId="24758" xr:uid="{00000000-0005-0000-0000-000026630000}"/>
    <cellStyle name="Note 6 7 5 3" xfId="32597" xr:uid="{00000000-0005-0000-0000-000027630000}"/>
    <cellStyle name="Note 6 7 5 4" xfId="19867" xr:uid="{00000000-0005-0000-0000-000028630000}"/>
    <cellStyle name="Note 6 7 6" xfId="7357" xr:uid="{00000000-0005-0000-0000-000029630000}"/>
    <cellStyle name="Note 6 7 6 2" xfId="25788" xr:uid="{00000000-0005-0000-0000-00002A630000}"/>
    <cellStyle name="Note 6 7 6 3" xfId="32844" xr:uid="{00000000-0005-0000-0000-00002B630000}"/>
    <cellStyle name="Note 6 7 6 4" xfId="20713" xr:uid="{00000000-0005-0000-0000-00002C630000}"/>
    <cellStyle name="Note 6 7 7" xfId="7133" xr:uid="{00000000-0005-0000-0000-00002D630000}"/>
    <cellStyle name="Note 6 7 7 2" xfId="25567" xr:uid="{00000000-0005-0000-0000-00002E630000}"/>
    <cellStyle name="Note 6 7 7 3" xfId="32751" xr:uid="{00000000-0005-0000-0000-00002F630000}"/>
    <cellStyle name="Note 6 7 7 4" xfId="20492" xr:uid="{00000000-0005-0000-0000-000030630000}"/>
    <cellStyle name="Note 6 7 8" xfId="8457" xr:uid="{00000000-0005-0000-0000-000031630000}"/>
    <cellStyle name="Note 6 7 8 2" xfId="26880" xr:uid="{00000000-0005-0000-0000-000032630000}"/>
    <cellStyle name="Note 6 7 8 3" xfId="33089" xr:uid="{00000000-0005-0000-0000-000033630000}"/>
    <cellStyle name="Note 6 7 8 4" xfId="21748" xr:uid="{00000000-0005-0000-0000-000034630000}"/>
    <cellStyle name="Note 6 7 9" xfId="3949" xr:uid="{00000000-0005-0000-0000-000035630000}"/>
    <cellStyle name="Note 6 7 9 2" xfId="22416" xr:uid="{00000000-0005-0000-0000-000036630000}"/>
    <cellStyle name="Note 6 7 9 3" xfId="31692" xr:uid="{00000000-0005-0000-0000-000037630000}"/>
    <cellStyle name="Note 6 7 9 4" xfId="17631" xr:uid="{00000000-0005-0000-0000-000038630000}"/>
    <cellStyle name="Note 6 8" xfId="3033" xr:uid="{00000000-0005-0000-0000-000039630000}"/>
    <cellStyle name="Note 6 8 10" xfId="14595" xr:uid="{00000000-0005-0000-0000-00003A630000}"/>
    <cellStyle name="Note 6 8 10 2" xfId="16945" xr:uid="{00000000-0005-0000-0000-00003B630000}"/>
    <cellStyle name="Note 6 8 11" xfId="14579" xr:uid="{00000000-0005-0000-0000-00003C630000}"/>
    <cellStyle name="Note 6 8 11 2" xfId="36094" xr:uid="{00000000-0005-0000-0000-00003D630000}"/>
    <cellStyle name="Note 6 8 12" xfId="31365" xr:uid="{00000000-0005-0000-0000-00003E630000}"/>
    <cellStyle name="Note 6 8 2" xfId="3542" xr:uid="{00000000-0005-0000-0000-00003F630000}"/>
    <cellStyle name="Note 6 8 2 10" xfId="14422" xr:uid="{00000000-0005-0000-0000-000040630000}"/>
    <cellStyle name="Note 6 8 2 10 2" xfId="35950" xr:uid="{00000000-0005-0000-0000-000041630000}"/>
    <cellStyle name="Note 6 8 2 11" xfId="31595" xr:uid="{00000000-0005-0000-0000-000042630000}"/>
    <cellStyle name="Note 6 8 2 2" xfId="5669" xr:uid="{00000000-0005-0000-0000-000043630000}"/>
    <cellStyle name="Note 6 8 2 2 2" xfId="24122" xr:uid="{00000000-0005-0000-0000-000044630000}"/>
    <cellStyle name="Note 6 8 2 2 3" xfId="32280" xr:uid="{00000000-0005-0000-0000-000045630000}"/>
    <cellStyle name="Note 6 8 2 2 4" xfId="19255" xr:uid="{00000000-0005-0000-0000-000046630000}"/>
    <cellStyle name="Note 6 8 2 3" xfId="5156" xr:uid="{00000000-0005-0000-0000-000047630000}"/>
    <cellStyle name="Note 6 8 2 3 2" xfId="23616" xr:uid="{00000000-0005-0000-0000-000048630000}"/>
    <cellStyle name="Note 6 8 2 3 3" xfId="31997" xr:uid="{00000000-0005-0000-0000-000049630000}"/>
    <cellStyle name="Note 6 8 2 3 4" xfId="18770" xr:uid="{00000000-0005-0000-0000-00004A630000}"/>
    <cellStyle name="Note 6 8 2 4" xfId="5965" xr:uid="{00000000-0005-0000-0000-00004B630000}"/>
    <cellStyle name="Note 6 8 2 4 2" xfId="24406" xr:uid="{00000000-0005-0000-0000-00004C630000}"/>
    <cellStyle name="Note 6 8 2 4 3" xfId="32443" xr:uid="{00000000-0005-0000-0000-00004D630000}"/>
    <cellStyle name="Note 6 8 2 4 4" xfId="19515" xr:uid="{00000000-0005-0000-0000-00004E630000}"/>
    <cellStyle name="Note 6 8 2 5" xfId="7681" xr:uid="{00000000-0005-0000-0000-00004F630000}"/>
    <cellStyle name="Note 6 8 2 5 2" xfId="26111" xr:uid="{00000000-0005-0000-0000-000050630000}"/>
    <cellStyle name="Note 6 8 2 5 3" xfId="32926" xr:uid="{00000000-0005-0000-0000-000051630000}"/>
    <cellStyle name="Note 6 8 2 5 4" xfId="21036" xr:uid="{00000000-0005-0000-0000-000052630000}"/>
    <cellStyle name="Note 6 8 2 6" xfId="8055" xr:uid="{00000000-0005-0000-0000-000053630000}"/>
    <cellStyle name="Note 6 8 2 6 2" xfId="26485" xr:uid="{00000000-0005-0000-0000-000054630000}"/>
    <cellStyle name="Note 6 8 2 6 3" xfId="32998" xr:uid="{00000000-0005-0000-0000-000055630000}"/>
    <cellStyle name="Note 6 8 2 6 4" xfId="21409" xr:uid="{00000000-0005-0000-0000-000056630000}"/>
    <cellStyle name="Note 6 8 2 7" xfId="8779" xr:uid="{00000000-0005-0000-0000-000057630000}"/>
    <cellStyle name="Note 6 8 2 7 2" xfId="27199" xr:uid="{00000000-0005-0000-0000-000058630000}"/>
    <cellStyle name="Note 6 8 2 7 3" xfId="33170" xr:uid="{00000000-0005-0000-0000-000059630000}"/>
    <cellStyle name="Note 6 8 2 7 4" xfId="22070" xr:uid="{00000000-0005-0000-0000-00005A630000}"/>
    <cellStyle name="Note 6 8 2 8" xfId="4271" xr:uid="{00000000-0005-0000-0000-00005B630000}"/>
    <cellStyle name="Note 6 8 2 8 2" xfId="22735" xr:uid="{00000000-0005-0000-0000-00005C630000}"/>
    <cellStyle name="Note 6 8 2 8 3" xfId="31773" xr:uid="{00000000-0005-0000-0000-00005D630000}"/>
    <cellStyle name="Note 6 8 2 8 4" xfId="17953" xr:uid="{00000000-0005-0000-0000-00005E630000}"/>
    <cellStyle name="Note 6 8 2 9" xfId="14614" xr:uid="{00000000-0005-0000-0000-00005F630000}"/>
    <cellStyle name="Note 6 8 2 9 2" xfId="17282" xr:uid="{00000000-0005-0000-0000-000060630000}"/>
    <cellStyle name="Note 6 8 3" xfId="5295" xr:uid="{00000000-0005-0000-0000-000061630000}"/>
    <cellStyle name="Note 6 8 3 2" xfId="23755" xr:uid="{00000000-0005-0000-0000-000062630000}"/>
    <cellStyle name="Note 6 8 3 3" xfId="32072" xr:uid="{00000000-0005-0000-0000-000063630000}"/>
    <cellStyle name="Note 6 8 3 4" xfId="18908" xr:uid="{00000000-0005-0000-0000-000064630000}"/>
    <cellStyle name="Note 6 8 4" xfId="4885" xr:uid="{00000000-0005-0000-0000-000065630000}"/>
    <cellStyle name="Note 6 8 4 2" xfId="23345" xr:uid="{00000000-0005-0000-0000-000066630000}"/>
    <cellStyle name="Note 6 8 4 3" xfId="31868" xr:uid="{00000000-0005-0000-0000-000067630000}"/>
    <cellStyle name="Note 6 8 4 4" xfId="18499" xr:uid="{00000000-0005-0000-0000-000068630000}"/>
    <cellStyle name="Note 6 8 5" xfId="6317" xr:uid="{00000000-0005-0000-0000-000069630000}"/>
    <cellStyle name="Note 6 8 5 2" xfId="24757" xr:uid="{00000000-0005-0000-0000-00006A630000}"/>
    <cellStyle name="Note 6 8 5 3" xfId="32596" xr:uid="{00000000-0005-0000-0000-00006B630000}"/>
    <cellStyle name="Note 6 8 5 4" xfId="19866" xr:uid="{00000000-0005-0000-0000-00006C630000}"/>
    <cellStyle name="Note 6 8 6" xfId="7358" xr:uid="{00000000-0005-0000-0000-00006D630000}"/>
    <cellStyle name="Note 6 8 6 2" xfId="25789" xr:uid="{00000000-0005-0000-0000-00006E630000}"/>
    <cellStyle name="Note 6 8 6 3" xfId="32845" xr:uid="{00000000-0005-0000-0000-00006F630000}"/>
    <cellStyle name="Note 6 8 6 4" xfId="20714" xr:uid="{00000000-0005-0000-0000-000070630000}"/>
    <cellStyle name="Note 6 8 7" xfId="7031" xr:uid="{00000000-0005-0000-0000-000071630000}"/>
    <cellStyle name="Note 6 8 7 2" xfId="25469" xr:uid="{00000000-0005-0000-0000-000072630000}"/>
    <cellStyle name="Note 6 8 7 3" xfId="32728" xr:uid="{00000000-0005-0000-0000-000073630000}"/>
    <cellStyle name="Note 6 8 7 4" xfId="20406" xr:uid="{00000000-0005-0000-0000-000074630000}"/>
    <cellStyle name="Note 6 8 8" xfId="8458" xr:uid="{00000000-0005-0000-0000-000075630000}"/>
    <cellStyle name="Note 6 8 8 2" xfId="26881" xr:uid="{00000000-0005-0000-0000-000076630000}"/>
    <cellStyle name="Note 6 8 8 3" xfId="33090" xr:uid="{00000000-0005-0000-0000-000077630000}"/>
    <cellStyle name="Note 6 8 8 4" xfId="21749" xr:uid="{00000000-0005-0000-0000-000078630000}"/>
    <cellStyle name="Note 6 8 9" xfId="3950" xr:uid="{00000000-0005-0000-0000-000079630000}"/>
    <cellStyle name="Note 6 8 9 2" xfId="22417" xr:uid="{00000000-0005-0000-0000-00007A630000}"/>
    <cellStyle name="Note 6 8 9 3" xfId="31693" xr:uid="{00000000-0005-0000-0000-00007B630000}"/>
    <cellStyle name="Note 6 8 9 4" xfId="17632" xr:uid="{00000000-0005-0000-0000-00007C630000}"/>
    <cellStyle name="Note 6 9" xfId="3034" xr:uid="{00000000-0005-0000-0000-00007D630000}"/>
    <cellStyle name="Note 6 9 10" xfId="14643" xr:uid="{00000000-0005-0000-0000-00007E630000}"/>
    <cellStyle name="Note 6 9 10 2" xfId="16946" xr:uid="{00000000-0005-0000-0000-00007F630000}"/>
    <cellStyle name="Note 6 9 11" xfId="15074" xr:uid="{00000000-0005-0000-0000-000080630000}"/>
    <cellStyle name="Note 6 9 11 2" xfId="36485" xr:uid="{00000000-0005-0000-0000-000081630000}"/>
    <cellStyle name="Note 6 9 12" xfId="31366" xr:uid="{00000000-0005-0000-0000-000082630000}"/>
    <cellStyle name="Note 6 9 2" xfId="3543" xr:uid="{00000000-0005-0000-0000-000083630000}"/>
    <cellStyle name="Note 6 9 2 10" xfId="15016" xr:uid="{00000000-0005-0000-0000-000084630000}"/>
    <cellStyle name="Note 6 9 2 10 2" xfId="36441" xr:uid="{00000000-0005-0000-0000-000085630000}"/>
    <cellStyle name="Note 6 9 2 11" xfId="31596" xr:uid="{00000000-0005-0000-0000-000086630000}"/>
    <cellStyle name="Note 6 9 2 2" xfId="5670" xr:uid="{00000000-0005-0000-0000-000087630000}"/>
    <cellStyle name="Note 6 9 2 2 2" xfId="24123" xr:uid="{00000000-0005-0000-0000-000088630000}"/>
    <cellStyle name="Note 6 9 2 2 3" xfId="32281" xr:uid="{00000000-0005-0000-0000-000089630000}"/>
    <cellStyle name="Note 6 9 2 2 4" xfId="19256" xr:uid="{00000000-0005-0000-0000-00008A630000}"/>
    <cellStyle name="Note 6 9 2 3" xfId="5157" xr:uid="{00000000-0005-0000-0000-00008B630000}"/>
    <cellStyle name="Note 6 9 2 3 2" xfId="23617" xr:uid="{00000000-0005-0000-0000-00008C630000}"/>
    <cellStyle name="Note 6 9 2 3 3" xfId="31998" xr:uid="{00000000-0005-0000-0000-00008D630000}"/>
    <cellStyle name="Note 6 9 2 3 4" xfId="18771" xr:uid="{00000000-0005-0000-0000-00008E630000}"/>
    <cellStyle name="Note 6 9 2 4" xfId="5964" xr:uid="{00000000-0005-0000-0000-00008F630000}"/>
    <cellStyle name="Note 6 9 2 4 2" xfId="24405" xr:uid="{00000000-0005-0000-0000-000090630000}"/>
    <cellStyle name="Note 6 9 2 4 3" xfId="32442" xr:uid="{00000000-0005-0000-0000-000091630000}"/>
    <cellStyle name="Note 6 9 2 4 4" xfId="19514" xr:uid="{00000000-0005-0000-0000-000092630000}"/>
    <cellStyle name="Note 6 9 2 5" xfId="7682" xr:uid="{00000000-0005-0000-0000-000093630000}"/>
    <cellStyle name="Note 6 9 2 5 2" xfId="26112" xr:uid="{00000000-0005-0000-0000-000094630000}"/>
    <cellStyle name="Note 6 9 2 5 3" xfId="32927" xr:uid="{00000000-0005-0000-0000-000095630000}"/>
    <cellStyle name="Note 6 9 2 5 4" xfId="21037" xr:uid="{00000000-0005-0000-0000-000096630000}"/>
    <cellStyle name="Note 6 9 2 6" xfId="8056" xr:uid="{00000000-0005-0000-0000-000097630000}"/>
    <cellStyle name="Note 6 9 2 6 2" xfId="26486" xr:uid="{00000000-0005-0000-0000-000098630000}"/>
    <cellStyle name="Note 6 9 2 6 3" xfId="32999" xr:uid="{00000000-0005-0000-0000-000099630000}"/>
    <cellStyle name="Note 6 9 2 6 4" xfId="21410" xr:uid="{00000000-0005-0000-0000-00009A630000}"/>
    <cellStyle name="Note 6 9 2 7" xfId="8780" xr:uid="{00000000-0005-0000-0000-00009B630000}"/>
    <cellStyle name="Note 6 9 2 7 2" xfId="27200" xr:uid="{00000000-0005-0000-0000-00009C630000}"/>
    <cellStyle name="Note 6 9 2 7 3" xfId="33171" xr:uid="{00000000-0005-0000-0000-00009D630000}"/>
    <cellStyle name="Note 6 9 2 7 4" xfId="22071" xr:uid="{00000000-0005-0000-0000-00009E630000}"/>
    <cellStyle name="Note 6 9 2 8" xfId="4272" xr:uid="{00000000-0005-0000-0000-00009F630000}"/>
    <cellStyle name="Note 6 9 2 8 2" xfId="22736" xr:uid="{00000000-0005-0000-0000-0000A0630000}"/>
    <cellStyle name="Note 6 9 2 8 3" xfId="31774" xr:uid="{00000000-0005-0000-0000-0000A1630000}"/>
    <cellStyle name="Note 6 9 2 8 4" xfId="17954" xr:uid="{00000000-0005-0000-0000-0000A2630000}"/>
    <cellStyle name="Note 6 9 2 9" xfId="16012" xr:uid="{00000000-0005-0000-0000-0000A3630000}"/>
    <cellStyle name="Note 6 9 2 9 2" xfId="17283" xr:uid="{00000000-0005-0000-0000-0000A4630000}"/>
    <cellStyle name="Note 6 9 3" xfId="5296" xr:uid="{00000000-0005-0000-0000-0000A5630000}"/>
    <cellStyle name="Note 6 9 3 2" xfId="23756" xr:uid="{00000000-0005-0000-0000-0000A6630000}"/>
    <cellStyle name="Note 6 9 3 3" xfId="32073" xr:uid="{00000000-0005-0000-0000-0000A7630000}"/>
    <cellStyle name="Note 6 9 3 4" xfId="18909" xr:uid="{00000000-0005-0000-0000-0000A8630000}"/>
    <cellStyle name="Note 6 9 4" xfId="4886" xr:uid="{00000000-0005-0000-0000-0000A9630000}"/>
    <cellStyle name="Note 6 9 4 2" xfId="23346" xr:uid="{00000000-0005-0000-0000-0000AA630000}"/>
    <cellStyle name="Note 6 9 4 3" xfId="31869" xr:uid="{00000000-0005-0000-0000-0000AB630000}"/>
    <cellStyle name="Note 6 9 4 4" xfId="18500" xr:uid="{00000000-0005-0000-0000-0000AC630000}"/>
    <cellStyle name="Note 6 9 5" xfId="6316" xr:uid="{00000000-0005-0000-0000-0000AD630000}"/>
    <cellStyle name="Note 6 9 5 2" xfId="24756" xr:uid="{00000000-0005-0000-0000-0000AE630000}"/>
    <cellStyle name="Note 6 9 5 3" xfId="32595" xr:uid="{00000000-0005-0000-0000-0000AF630000}"/>
    <cellStyle name="Note 6 9 5 4" xfId="19865" xr:uid="{00000000-0005-0000-0000-0000B0630000}"/>
    <cellStyle name="Note 6 9 6" xfId="7359" xr:uid="{00000000-0005-0000-0000-0000B1630000}"/>
    <cellStyle name="Note 6 9 6 2" xfId="25790" xr:uid="{00000000-0005-0000-0000-0000B2630000}"/>
    <cellStyle name="Note 6 9 6 3" xfId="32846" xr:uid="{00000000-0005-0000-0000-0000B3630000}"/>
    <cellStyle name="Note 6 9 6 4" xfId="20715" xr:uid="{00000000-0005-0000-0000-0000B4630000}"/>
    <cellStyle name="Note 6 9 7" xfId="7030" xr:uid="{00000000-0005-0000-0000-0000B5630000}"/>
    <cellStyle name="Note 6 9 7 2" xfId="25468" xr:uid="{00000000-0005-0000-0000-0000B6630000}"/>
    <cellStyle name="Note 6 9 7 3" xfId="32727" xr:uid="{00000000-0005-0000-0000-0000B7630000}"/>
    <cellStyle name="Note 6 9 7 4" xfId="20405" xr:uid="{00000000-0005-0000-0000-0000B8630000}"/>
    <cellStyle name="Note 6 9 8" xfId="8459" xr:uid="{00000000-0005-0000-0000-0000B9630000}"/>
    <cellStyle name="Note 6 9 8 2" xfId="26882" xr:uid="{00000000-0005-0000-0000-0000BA630000}"/>
    <cellStyle name="Note 6 9 8 3" xfId="33091" xr:uid="{00000000-0005-0000-0000-0000BB630000}"/>
    <cellStyle name="Note 6 9 8 4" xfId="21750" xr:uid="{00000000-0005-0000-0000-0000BC630000}"/>
    <cellStyle name="Note 6 9 9" xfId="3951" xr:uid="{00000000-0005-0000-0000-0000BD630000}"/>
    <cellStyle name="Note 6 9 9 2" xfId="22418" xr:uid="{00000000-0005-0000-0000-0000BE630000}"/>
    <cellStyle name="Note 6 9 9 3" xfId="31694" xr:uid="{00000000-0005-0000-0000-0000BF630000}"/>
    <cellStyle name="Note 6 9 9 4" xfId="17633" xr:uid="{00000000-0005-0000-0000-0000C0630000}"/>
    <cellStyle name="Note 6_ELC_final" xfId="39979" xr:uid="{00000000-0005-0000-0000-00003D0E0000}"/>
    <cellStyle name="Note 7" xfId="3035" xr:uid="{00000000-0005-0000-0000-0000C1630000}"/>
    <cellStyle name="Note 7 10" xfId="16013" xr:uid="{00000000-0005-0000-0000-0000C2630000}"/>
    <cellStyle name="Note 7 10 2" xfId="16947" xr:uid="{00000000-0005-0000-0000-0000C3630000}"/>
    <cellStyle name="Note 7 11" xfId="15979" xr:uid="{00000000-0005-0000-0000-0000C4630000}"/>
    <cellStyle name="Note 7 11 2" xfId="37341" xr:uid="{00000000-0005-0000-0000-0000C5630000}"/>
    <cellStyle name="Note 7 12" xfId="31367" xr:uid="{00000000-0005-0000-0000-0000C6630000}"/>
    <cellStyle name="Note 7 13" xfId="38068" xr:uid="{00000000-0005-0000-0000-00003E0E0000}"/>
    <cellStyle name="Note 7 2" xfId="3544" xr:uid="{00000000-0005-0000-0000-0000C7630000}"/>
    <cellStyle name="Note 7 2 10" xfId="16491" xr:uid="{00000000-0005-0000-0000-0000C8630000}"/>
    <cellStyle name="Note 7 2 10 2" xfId="37737" xr:uid="{00000000-0005-0000-0000-0000C9630000}"/>
    <cellStyle name="Note 7 2 11" xfId="31597" xr:uid="{00000000-0005-0000-0000-0000CA630000}"/>
    <cellStyle name="Note 7 2 12" xfId="39980" xr:uid="{00000000-0005-0000-0000-00003F0E0000}"/>
    <cellStyle name="Note 7 2 2" xfId="5671" xr:uid="{00000000-0005-0000-0000-0000CB630000}"/>
    <cellStyle name="Note 7 2 2 2" xfId="24124" xr:uid="{00000000-0005-0000-0000-0000CC630000}"/>
    <cellStyle name="Note 7 2 2 3" xfId="32282" xr:uid="{00000000-0005-0000-0000-0000CD630000}"/>
    <cellStyle name="Note 7 2 2 4" xfId="19257" xr:uid="{00000000-0005-0000-0000-0000CE630000}"/>
    <cellStyle name="Note 7 2 3" xfId="5158" xr:uid="{00000000-0005-0000-0000-0000CF630000}"/>
    <cellStyle name="Note 7 2 3 2" xfId="23618" xr:uid="{00000000-0005-0000-0000-0000D0630000}"/>
    <cellStyle name="Note 7 2 3 3" xfId="31999" xr:uid="{00000000-0005-0000-0000-0000D1630000}"/>
    <cellStyle name="Note 7 2 3 4" xfId="18772" xr:uid="{00000000-0005-0000-0000-0000D2630000}"/>
    <cellStyle name="Note 7 2 4" xfId="5963" xr:uid="{00000000-0005-0000-0000-0000D3630000}"/>
    <cellStyle name="Note 7 2 4 2" xfId="24404" xr:uid="{00000000-0005-0000-0000-0000D4630000}"/>
    <cellStyle name="Note 7 2 4 3" xfId="32441" xr:uid="{00000000-0005-0000-0000-0000D5630000}"/>
    <cellStyle name="Note 7 2 4 4" xfId="19513" xr:uid="{00000000-0005-0000-0000-0000D6630000}"/>
    <cellStyle name="Note 7 2 5" xfId="7683" xr:uid="{00000000-0005-0000-0000-0000D7630000}"/>
    <cellStyle name="Note 7 2 5 2" xfId="26113" xr:uid="{00000000-0005-0000-0000-0000D8630000}"/>
    <cellStyle name="Note 7 2 5 3" xfId="32928" xr:uid="{00000000-0005-0000-0000-0000D9630000}"/>
    <cellStyle name="Note 7 2 5 4" xfId="21038" xr:uid="{00000000-0005-0000-0000-0000DA630000}"/>
    <cellStyle name="Note 7 2 6" xfId="8057" xr:uid="{00000000-0005-0000-0000-0000DB630000}"/>
    <cellStyle name="Note 7 2 6 2" xfId="26487" xr:uid="{00000000-0005-0000-0000-0000DC630000}"/>
    <cellStyle name="Note 7 2 6 3" xfId="33000" xr:uid="{00000000-0005-0000-0000-0000DD630000}"/>
    <cellStyle name="Note 7 2 6 4" xfId="21411" xr:uid="{00000000-0005-0000-0000-0000DE630000}"/>
    <cellStyle name="Note 7 2 7" xfId="8781" xr:uid="{00000000-0005-0000-0000-0000DF630000}"/>
    <cellStyle name="Note 7 2 7 2" xfId="27201" xr:uid="{00000000-0005-0000-0000-0000E0630000}"/>
    <cellStyle name="Note 7 2 7 3" xfId="33172" xr:uid="{00000000-0005-0000-0000-0000E1630000}"/>
    <cellStyle name="Note 7 2 7 4" xfId="22072" xr:uid="{00000000-0005-0000-0000-0000E2630000}"/>
    <cellStyle name="Note 7 2 8" xfId="4273" xr:uid="{00000000-0005-0000-0000-0000E3630000}"/>
    <cellStyle name="Note 7 2 8 2" xfId="22737" xr:uid="{00000000-0005-0000-0000-0000E4630000}"/>
    <cellStyle name="Note 7 2 8 3" xfId="31775" xr:uid="{00000000-0005-0000-0000-0000E5630000}"/>
    <cellStyle name="Note 7 2 8 4" xfId="17955" xr:uid="{00000000-0005-0000-0000-0000E6630000}"/>
    <cellStyle name="Note 7 2 9" xfId="16047" xr:uid="{00000000-0005-0000-0000-0000E7630000}"/>
    <cellStyle name="Note 7 2 9 2" xfId="17284" xr:uid="{00000000-0005-0000-0000-0000E8630000}"/>
    <cellStyle name="Note 7 3" xfId="5297" xr:uid="{00000000-0005-0000-0000-0000E9630000}"/>
    <cellStyle name="Note 7 3 2" xfId="23757" xr:uid="{00000000-0005-0000-0000-0000EA630000}"/>
    <cellStyle name="Note 7 3 2 2" xfId="39982" xr:uid="{00000000-0005-0000-0000-0000410E0000}"/>
    <cellStyle name="Note 7 3 3" xfId="32074" xr:uid="{00000000-0005-0000-0000-0000EB630000}"/>
    <cellStyle name="Note 7 3 4" xfId="18910" xr:uid="{00000000-0005-0000-0000-0000EC630000}"/>
    <cellStyle name="Note 7 3 5" xfId="39981" xr:uid="{00000000-0005-0000-0000-0000400E0000}"/>
    <cellStyle name="Note 7 3_ELC_final" xfId="39983" xr:uid="{00000000-0005-0000-0000-0000420E0000}"/>
    <cellStyle name="Note 7 4" xfId="4887" xr:uid="{00000000-0005-0000-0000-0000ED630000}"/>
    <cellStyle name="Note 7 4 2" xfId="23347" xr:uid="{00000000-0005-0000-0000-0000EE630000}"/>
    <cellStyle name="Note 7 4 3" xfId="31870" xr:uid="{00000000-0005-0000-0000-0000EF630000}"/>
    <cellStyle name="Note 7 4 4" xfId="18501" xr:uid="{00000000-0005-0000-0000-0000F0630000}"/>
    <cellStyle name="Note 7 4 5" xfId="39984" xr:uid="{00000000-0005-0000-0000-0000430E0000}"/>
    <cellStyle name="Note 7 5" xfId="6315" xr:uid="{00000000-0005-0000-0000-0000F1630000}"/>
    <cellStyle name="Note 7 5 2" xfId="24755" xr:uid="{00000000-0005-0000-0000-0000F2630000}"/>
    <cellStyle name="Note 7 5 3" xfId="32594" xr:uid="{00000000-0005-0000-0000-0000F3630000}"/>
    <cellStyle name="Note 7 5 4" xfId="19864" xr:uid="{00000000-0005-0000-0000-0000F4630000}"/>
    <cellStyle name="Note 7 6" xfId="7360" xr:uid="{00000000-0005-0000-0000-0000F5630000}"/>
    <cellStyle name="Note 7 6 2" xfId="25791" xr:uid="{00000000-0005-0000-0000-0000F6630000}"/>
    <cellStyle name="Note 7 6 3" xfId="32847" xr:uid="{00000000-0005-0000-0000-0000F7630000}"/>
    <cellStyle name="Note 7 6 4" xfId="20716" xr:uid="{00000000-0005-0000-0000-0000F8630000}"/>
    <cellStyle name="Note 7 7" xfId="7029" xr:uid="{00000000-0005-0000-0000-0000F9630000}"/>
    <cellStyle name="Note 7 7 2" xfId="25467" xr:uid="{00000000-0005-0000-0000-0000FA630000}"/>
    <cellStyle name="Note 7 7 3" xfId="32726" xr:uid="{00000000-0005-0000-0000-0000FB630000}"/>
    <cellStyle name="Note 7 7 4" xfId="20404" xr:uid="{00000000-0005-0000-0000-0000FC630000}"/>
    <cellStyle name="Note 7 8" xfId="8460" xr:uid="{00000000-0005-0000-0000-0000FD630000}"/>
    <cellStyle name="Note 7 8 2" xfId="26883" xr:uid="{00000000-0005-0000-0000-0000FE630000}"/>
    <cellStyle name="Note 7 8 3" xfId="33092" xr:uid="{00000000-0005-0000-0000-0000FF630000}"/>
    <cellStyle name="Note 7 8 4" xfId="21751" xr:uid="{00000000-0005-0000-0000-000000640000}"/>
    <cellStyle name="Note 7 9" xfId="3952" xr:uid="{00000000-0005-0000-0000-000001640000}"/>
    <cellStyle name="Note 7 9 2" xfId="22419" xr:uid="{00000000-0005-0000-0000-000002640000}"/>
    <cellStyle name="Note 7 9 3" xfId="31695" xr:uid="{00000000-0005-0000-0000-000003640000}"/>
    <cellStyle name="Note 7 9 4" xfId="17634" xr:uid="{00000000-0005-0000-0000-000004640000}"/>
    <cellStyle name="Note 7_ELC_final" xfId="39985" xr:uid="{00000000-0005-0000-0000-0000440E0000}"/>
    <cellStyle name="Note 8" xfId="3036" xr:uid="{00000000-0005-0000-0000-000005640000}"/>
    <cellStyle name="Note 8 10" xfId="15289" xr:uid="{00000000-0005-0000-0000-000006640000}"/>
    <cellStyle name="Note 8 10 2" xfId="16948" xr:uid="{00000000-0005-0000-0000-000007640000}"/>
    <cellStyle name="Note 8 11" xfId="14441" xr:uid="{00000000-0005-0000-0000-000008640000}"/>
    <cellStyle name="Note 8 11 2" xfId="35969" xr:uid="{00000000-0005-0000-0000-000009640000}"/>
    <cellStyle name="Note 8 12" xfId="31368" xr:uid="{00000000-0005-0000-0000-00000A640000}"/>
    <cellStyle name="Note 8 13" xfId="38069" xr:uid="{00000000-0005-0000-0000-0000450E0000}"/>
    <cellStyle name="Note 8 2" xfId="3545" xr:uid="{00000000-0005-0000-0000-00000B640000}"/>
    <cellStyle name="Note 8 2 10" xfId="16587" xr:uid="{00000000-0005-0000-0000-00000C640000}"/>
    <cellStyle name="Note 8 2 10 2" xfId="37797" xr:uid="{00000000-0005-0000-0000-00000D640000}"/>
    <cellStyle name="Note 8 2 11" xfId="31598" xr:uid="{00000000-0005-0000-0000-00000E640000}"/>
    <cellStyle name="Note 8 2 12" xfId="39986" xr:uid="{00000000-0005-0000-0000-0000460E0000}"/>
    <cellStyle name="Note 8 2 2" xfId="5672" xr:uid="{00000000-0005-0000-0000-00000F640000}"/>
    <cellStyle name="Note 8 2 2 2" xfId="24125" xr:uid="{00000000-0005-0000-0000-000010640000}"/>
    <cellStyle name="Note 8 2 2 3" xfId="32283" xr:uid="{00000000-0005-0000-0000-000011640000}"/>
    <cellStyle name="Note 8 2 2 4" xfId="19258" xr:uid="{00000000-0005-0000-0000-000012640000}"/>
    <cellStyle name="Note 8 2 3" xfId="5159" xr:uid="{00000000-0005-0000-0000-000013640000}"/>
    <cellStyle name="Note 8 2 3 2" xfId="23619" xr:uid="{00000000-0005-0000-0000-000014640000}"/>
    <cellStyle name="Note 8 2 3 3" xfId="32000" xr:uid="{00000000-0005-0000-0000-000015640000}"/>
    <cellStyle name="Note 8 2 3 4" xfId="18773" xr:uid="{00000000-0005-0000-0000-000016640000}"/>
    <cellStyle name="Note 8 2 4" xfId="5942" xr:uid="{00000000-0005-0000-0000-000017640000}"/>
    <cellStyle name="Note 8 2 4 2" xfId="24383" xr:uid="{00000000-0005-0000-0000-000018640000}"/>
    <cellStyle name="Note 8 2 4 3" xfId="32434" xr:uid="{00000000-0005-0000-0000-000019640000}"/>
    <cellStyle name="Note 8 2 4 4" xfId="19495" xr:uid="{00000000-0005-0000-0000-00001A640000}"/>
    <cellStyle name="Note 8 2 5" xfId="7684" xr:uid="{00000000-0005-0000-0000-00001B640000}"/>
    <cellStyle name="Note 8 2 5 2" xfId="26114" xr:uid="{00000000-0005-0000-0000-00001C640000}"/>
    <cellStyle name="Note 8 2 5 3" xfId="32929" xr:uid="{00000000-0005-0000-0000-00001D640000}"/>
    <cellStyle name="Note 8 2 5 4" xfId="21039" xr:uid="{00000000-0005-0000-0000-00001E640000}"/>
    <cellStyle name="Note 8 2 6" xfId="8058" xr:uid="{00000000-0005-0000-0000-00001F640000}"/>
    <cellStyle name="Note 8 2 6 2" xfId="26488" xr:uid="{00000000-0005-0000-0000-000020640000}"/>
    <cellStyle name="Note 8 2 6 3" xfId="33001" xr:uid="{00000000-0005-0000-0000-000021640000}"/>
    <cellStyle name="Note 8 2 6 4" xfId="21412" xr:uid="{00000000-0005-0000-0000-000022640000}"/>
    <cellStyle name="Note 8 2 7" xfId="8782" xr:uid="{00000000-0005-0000-0000-000023640000}"/>
    <cellStyle name="Note 8 2 7 2" xfId="27202" xr:uid="{00000000-0005-0000-0000-000024640000}"/>
    <cellStyle name="Note 8 2 7 3" xfId="33173" xr:uid="{00000000-0005-0000-0000-000025640000}"/>
    <cellStyle name="Note 8 2 7 4" xfId="22073" xr:uid="{00000000-0005-0000-0000-000026640000}"/>
    <cellStyle name="Note 8 2 8" xfId="4274" xr:uid="{00000000-0005-0000-0000-000027640000}"/>
    <cellStyle name="Note 8 2 8 2" xfId="22738" xr:uid="{00000000-0005-0000-0000-000028640000}"/>
    <cellStyle name="Note 8 2 8 3" xfId="31776" xr:uid="{00000000-0005-0000-0000-000029640000}"/>
    <cellStyle name="Note 8 2 8 4" xfId="17956" xr:uid="{00000000-0005-0000-0000-00002A640000}"/>
    <cellStyle name="Note 8 2 9" xfId="16383" xr:uid="{00000000-0005-0000-0000-00002B640000}"/>
    <cellStyle name="Note 8 2 9 2" xfId="17285" xr:uid="{00000000-0005-0000-0000-00002C640000}"/>
    <cellStyle name="Note 8 3" xfId="5298" xr:uid="{00000000-0005-0000-0000-00002D640000}"/>
    <cellStyle name="Note 8 3 2" xfId="23758" xr:uid="{00000000-0005-0000-0000-00002E640000}"/>
    <cellStyle name="Note 8 3 2 2" xfId="39988" xr:uid="{00000000-0005-0000-0000-0000480E0000}"/>
    <cellStyle name="Note 8 3 3" xfId="32075" xr:uid="{00000000-0005-0000-0000-00002F640000}"/>
    <cellStyle name="Note 8 3 4" xfId="18911" xr:uid="{00000000-0005-0000-0000-000030640000}"/>
    <cellStyle name="Note 8 3 5" xfId="39987" xr:uid="{00000000-0005-0000-0000-0000470E0000}"/>
    <cellStyle name="Note 8 3_ELC_final" xfId="39989" xr:uid="{00000000-0005-0000-0000-0000490E0000}"/>
    <cellStyle name="Note 8 4" xfId="4888" xr:uid="{00000000-0005-0000-0000-000031640000}"/>
    <cellStyle name="Note 8 4 2" xfId="23348" xr:uid="{00000000-0005-0000-0000-000032640000}"/>
    <cellStyle name="Note 8 4 3" xfId="31871" xr:uid="{00000000-0005-0000-0000-000033640000}"/>
    <cellStyle name="Note 8 4 4" xfId="18502" xr:uid="{00000000-0005-0000-0000-000034640000}"/>
    <cellStyle name="Note 8 4 5" xfId="39990" xr:uid="{00000000-0005-0000-0000-00004A0E0000}"/>
    <cellStyle name="Note 8 5" xfId="6314" xr:uid="{00000000-0005-0000-0000-000035640000}"/>
    <cellStyle name="Note 8 5 2" xfId="24754" xr:uid="{00000000-0005-0000-0000-000036640000}"/>
    <cellStyle name="Note 8 5 3" xfId="32593" xr:uid="{00000000-0005-0000-0000-000037640000}"/>
    <cellStyle name="Note 8 5 4" xfId="19863" xr:uid="{00000000-0005-0000-0000-000038640000}"/>
    <cellStyle name="Note 8 6" xfId="7361" xr:uid="{00000000-0005-0000-0000-000039640000}"/>
    <cellStyle name="Note 8 6 2" xfId="25792" xr:uid="{00000000-0005-0000-0000-00003A640000}"/>
    <cellStyle name="Note 8 6 3" xfId="32848" xr:uid="{00000000-0005-0000-0000-00003B640000}"/>
    <cellStyle name="Note 8 6 4" xfId="20717" xr:uid="{00000000-0005-0000-0000-00003C640000}"/>
    <cellStyle name="Note 8 7" xfId="6386" xr:uid="{00000000-0005-0000-0000-00003D640000}"/>
    <cellStyle name="Note 8 7 2" xfId="24826" xr:uid="{00000000-0005-0000-0000-00003E640000}"/>
    <cellStyle name="Note 8 7 3" xfId="32657" xr:uid="{00000000-0005-0000-0000-00003F640000}"/>
    <cellStyle name="Note 8 7 4" xfId="19935" xr:uid="{00000000-0005-0000-0000-000040640000}"/>
    <cellStyle name="Note 8 8" xfId="8461" xr:uid="{00000000-0005-0000-0000-000041640000}"/>
    <cellStyle name="Note 8 8 2" xfId="26884" xr:uid="{00000000-0005-0000-0000-000042640000}"/>
    <cellStyle name="Note 8 8 3" xfId="33093" xr:uid="{00000000-0005-0000-0000-000043640000}"/>
    <cellStyle name="Note 8 8 4" xfId="21752" xr:uid="{00000000-0005-0000-0000-000044640000}"/>
    <cellStyle name="Note 8 9" xfId="3953" xr:uid="{00000000-0005-0000-0000-000045640000}"/>
    <cellStyle name="Note 8 9 2" xfId="22420" xr:uid="{00000000-0005-0000-0000-000046640000}"/>
    <cellStyle name="Note 8 9 3" xfId="31696" xr:uid="{00000000-0005-0000-0000-000047640000}"/>
    <cellStyle name="Note 8 9 4" xfId="17635" xr:uid="{00000000-0005-0000-0000-000048640000}"/>
    <cellStyle name="Note 8_ELC_final" xfId="39991" xr:uid="{00000000-0005-0000-0000-00004B0E0000}"/>
    <cellStyle name="Note 9" xfId="3037" xr:uid="{00000000-0005-0000-0000-000049640000}"/>
    <cellStyle name="Note 9 10" xfId="14644" xr:uid="{00000000-0005-0000-0000-00004A640000}"/>
    <cellStyle name="Note 9 10 2" xfId="16949" xr:uid="{00000000-0005-0000-0000-00004B640000}"/>
    <cellStyle name="Note 9 11" xfId="15473" xr:uid="{00000000-0005-0000-0000-00004C640000}"/>
    <cellStyle name="Note 9 11 2" xfId="36852" xr:uid="{00000000-0005-0000-0000-00004D640000}"/>
    <cellStyle name="Note 9 12" xfId="31369" xr:uid="{00000000-0005-0000-0000-00004E640000}"/>
    <cellStyle name="Note 9 13" xfId="39992" xr:uid="{00000000-0005-0000-0000-00004C0E0000}"/>
    <cellStyle name="Note 9 2" xfId="3546" xr:uid="{00000000-0005-0000-0000-00004F640000}"/>
    <cellStyle name="Note 9 2 10" xfId="14801" xr:uid="{00000000-0005-0000-0000-000050640000}"/>
    <cellStyle name="Note 9 2 10 2" xfId="36257" xr:uid="{00000000-0005-0000-0000-000051640000}"/>
    <cellStyle name="Note 9 2 11" xfId="31599" xr:uid="{00000000-0005-0000-0000-000052640000}"/>
    <cellStyle name="Note 9 2 12" xfId="39993" xr:uid="{00000000-0005-0000-0000-00004D0E0000}"/>
    <cellStyle name="Note 9 2 2" xfId="5673" xr:uid="{00000000-0005-0000-0000-000053640000}"/>
    <cellStyle name="Note 9 2 2 2" xfId="24126" xr:uid="{00000000-0005-0000-0000-000054640000}"/>
    <cellStyle name="Note 9 2 2 3" xfId="32284" xr:uid="{00000000-0005-0000-0000-000055640000}"/>
    <cellStyle name="Note 9 2 2 4" xfId="19259" xr:uid="{00000000-0005-0000-0000-000056640000}"/>
    <cellStyle name="Note 9 2 3" xfId="5160" xr:uid="{00000000-0005-0000-0000-000057640000}"/>
    <cellStyle name="Note 9 2 3 2" xfId="23620" xr:uid="{00000000-0005-0000-0000-000058640000}"/>
    <cellStyle name="Note 9 2 3 3" xfId="32001" xr:uid="{00000000-0005-0000-0000-000059640000}"/>
    <cellStyle name="Note 9 2 3 4" xfId="18774" xr:uid="{00000000-0005-0000-0000-00005A640000}"/>
    <cellStyle name="Note 9 2 4" xfId="5941" xr:uid="{00000000-0005-0000-0000-00005B640000}"/>
    <cellStyle name="Note 9 2 4 2" xfId="24382" xr:uid="{00000000-0005-0000-0000-00005C640000}"/>
    <cellStyle name="Note 9 2 4 3" xfId="32433" xr:uid="{00000000-0005-0000-0000-00005D640000}"/>
    <cellStyle name="Note 9 2 4 4" xfId="19494" xr:uid="{00000000-0005-0000-0000-00005E640000}"/>
    <cellStyle name="Note 9 2 5" xfId="7685" xr:uid="{00000000-0005-0000-0000-00005F640000}"/>
    <cellStyle name="Note 9 2 5 2" xfId="26115" xr:uid="{00000000-0005-0000-0000-000060640000}"/>
    <cellStyle name="Note 9 2 5 3" xfId="32930" xr:uid="{00000000-0005-0000-0000-000061640000}"/>
    <cellStyle name="Note 9 2 5 4" xfId="21040" xr:uid="{00000000-0005-0000-0000-000062640000}"/>
    <cellStyle name="Note 9 2 6" xfId="8059" xr:uid="{00000000-0005-0000-0000-000063640000}"/>
    <cellStyle name="Note 9 2 6 2" xfId="26489" xr:uid="{00000000-0005-0000-0000-000064640000}"/>
    <cellStyle name="Note 9 2 6 3" xfId="33002" xr:uid="{00000000-0005-0000-0000-000065640000}"/>
    <cellStyle name="Note 9 2 6 4" xfId="21413" xr:uid="{00000000-0005-0000-0000-000066640000}"/>
    <cellStyle name="Note 9 2 7" xfId="8783" xr:uid="{00000000-0005-0000-0000-000067640000}"/>
    <cellStyle name="Note 9 2 7 2" xfId="27203" xr:uid="{00000000-0005-0000-0000-000068640000}"/>
    <cellStyle name="Note 9 2 7 3" xfId="33174" xr:uid="{00000000-0005-0000-0000-000069640000}"/>
    <cellStyle name="Note 9 2 7 4" xfId="22074" xr:uid="{00000000-0005-0000-0000-00006A640000}"/>
    <cellStyle name="Note 9 2 8" xfId="4275" xr:uid="{00000000-0005-0000-0000-00006B640000}"/>
    <cellStyle name="Note 9 2 8 2" xfId="22739" xr:uid="{00000000-0005-0000-0000-00006C640000}"/>
    <cellStyle name="Note 9 2 8 3" xfId="31777" xr:uid="{00000000-0005-0000-0000-00006D640000}"/>
    <cellStyle name="Note 9 2 8 4" xfId="17957" xr:uid="{00000000-0005-0000-0000-00006E640000}"/>
    <cellStyle name="Note 9 2 9" xfId="14822" xr:uid="{00000000-0005-0000-0000-00006F640000}"/>
    <cellStyle name="Note 9 2 9 2" xfId="17286" xr:uid="{00000000-0005-0000-0000-000070640000}"/>
    <cellStyle name="Note 9 3" xfId="5299" xr:uid="{00000000-0005-0000-0000-000071640000}"/>
    <cellStyle name="Note 9 3 2" xfId="23759" xr:uid="{00000000-0005-0000-0000-000072640000}"/>
    <cellStyle name="Note 9 3 2 2" xfId="39995" xr:uid="{00000000-0005-0000-0000-00004F0E0000}"/>
    <cellStyle name="Note 9 3 3" xfId="32076" xr:uid="{00000000-0005-0000-0000-000073640000}"/>
    <cellStyle name="Note 9 3 4" xfId="18912" xr:uid="{00000000-0005-0000-0000-000074640000}"/>
    <cellStyle name="Note 9 3 5" xfId="39994" xr:uid="{00000000-0005-0000-0000-00004E0E0000}"/>
    <cellStyle name="Note 9 3_ELC_final" xfId="39996" xr:uid="{00000000-0005-0000-0000-0000500E0000}"/>
    <cellStyle name="Note 9 4" xfId="4889" xr:uid="{00000000-0005-0000-0000-000075640000}"/>
    <cellStyle name="Note 9 4 2" xfId="23349" xr:uid="{00000000-0005-0000-0000-000076640000}"/>
    <cellStyle name="Note 9 4 3" xfId="31872" xr:uid="{00000000-0005-0000-0000-000077640000}"/>
    <cellStyle name="Note 9 4 4" xfId="18503" xr:uid="{00000000-0005-0000-0000-000078640000}"/>
    <cellStyle name="Note 9 4 5" xfId="39997" xr:uid="{00000000-0005-0000-0000-0000510E0000}"/>
    <cellStyle name="Note 9 5" xfId="6313" xr:uid="{00000000-0005-0000-0000-000079640000}"/>
    <cellStyle name="Note 9 5 2" xfId="24753" xr:uid="{00000000-0005-0000-0000-00007A640000}"/>
    <cellStyle name="Note 9 5 3" xfId="32592" xr:uid="{00000000-0005-0000-0000-00007B640000}"/>
    <cellStyle name="Note 9 5 4" xfId="19862" xr:uid="{00000000-0005-0000-0000-00007C640000}"/>
    <cellStyle name="Note 9 6" xfId="7362" xr:uid="{00000000-0005-0000-0000-00007D640000}"/>
    <cellStyle name="Note 9 6 2" xfId="25793" xr:uid="{00000000-0005-0000-0000-00007E640000}"/>
    <cellStyle name="Note 9 6 3" xfId="32849" xr:uid="{00000000-0005-0000-0000-00007F640000}"/>
    <cellStyle name="Note 9 6 4" xfId="20718" xr:uid="{00000000-0005-0000-0000-000080640000}"/>
    <cellStyle name="Note 9 7" xfId="6385" xr:uid="{00000000-0005-0000-0000-000081640000}"/>
    <cellStyle name="Note 9 7 2" xfId="24825" xr:uid="{00000000-0005-0000-0000-000082640000}"/>
    <cellStyle name="Note 9 7 3" xfId="32656" xr:uid="{00000000-0005-0000-0000-000083640000}"/>
    <cellStyle name="Note 9 7 4" xfId="19934" xr:uid="{00000000-0005-0000-0000-000084640000}"/>
    <cellStyle name="Note 9 8" xfId="8462" xr:uid="{00000000-0005-0000-0000-000085640000}"/>
    <cellStyle name="Note 9 8 2" xfId="26885" xr:uid="{00000000-0005-0000-0000-000086640000}"/>
    <cellStyle name="Note 9 8 3" xfId="33094" xr:uid="{00000000-0005-0000-0000-000087640000}"/>
    <cellStyle name="Note 9 8 4" xfId="21753" xr:uid="{00000000-0005-0000-0000-000088640000}"/>
    <cellStyle name="Note 9 9" xfId="3954" xr:uid="{00000000-0005-0000-0000-000089640000}"/>
    <cellStyle name="Note 9 9 2" xfId="22421" xr:uid="{00000000-0005-0000-0000-00008A640000}"/>
    <cellStyle name="Note 9 9 3" xfId="31697" xr:uid="{00000000-0005-0000-0000-00008B640000}"/>
    <cellStyle name="Note 9 9 4" xfId="17636" xr:uid="{00000000-0005-0000-0000-00008C640000}"/>
    <cellStyle name="Note 9_ELC_final" xfId="39998" xr:uid="{00000000-0005-0000-0000-0000520E0000}"/>
    <cellStyle name="Notiz" xfId="14100" xr:uid="{00000000-0005-0000-0000-00008D640000}"/>
    <cellStyle name="Notiz 2" xfId="14101" xr:uid="{00000000-0005-0000-0000-00008E640000}"/>
    <cellStyle name="Notiz 2 2" xfId="16455" xr:uid="{00000000-0005-0000-0000-00008F640000}"/>
    <cellStyle name="Notiz 2 2 2" xfId="37724" xr:uid="{00000000-0005-0000-0000-000090640000}"/>
    <cellStyle name="Notiz 2 3" xfId="16558" xr:uid="{00000000-0005-0000-0000-000091640000}"/>
    <cellStyle name="Notiz 2 3 2" xfId="37774" xr:uid="{00000000-0005-0000-0000-000092640000}"/>
    <cellStyle name="Notiz 2 4" xfId="14557" xr:uid="{00000000-0005-0000-0000-000093640000}"/>
    <cellStyle name="Notiz 3" xfId="16454" xr:uid="{00000000-0005-0000-0000-000094640000}"/>
    <cellStyle name="Notiz 3 2" xfId="37723" xr:uid="{00000000-0005-0000-0000-000095640000}"/>
    <cellStyle name="Notiz 4" xfId="16557" xr:uid="{00000000-0005-0000-0000-000096640000}"/>
    <cellStyle name="Notiz 4 2" xfId="37773" xr:uid="{00000000-0005-0000-0000-000097640000}"/>
    <cellStyle name="Notiz 5" xfId="14776" xr:uid="{00000000-0005-0000-0000-000098640000}"/>
    <cellStyle name="Notiz 6" xfId="39999" xr:uid="{00000000-0005-0000-0000-0000530E0000}"/>
    <cellStyle name="num_note" xfId="3304" xr:uid="{00000000-0005-0000-0000-000099640000}"/>
    <cellStyle name="Number [0.0]" xfId="14349" xr:uid="{00000000-0005-0000-0000-00009A640000}"/>
    <cellStyle name="Number [0.0] 2" xfId="14350" xr:uid="{00000000-0005-0000-0000-00009B640000}"/>
    <cellStyle name="Nuovo" xfId="3038" xr:uid="{00000000-0005-0000-0000-00009C640000}"/>
    <cellStyle name="Nuovo 10" xfId="40000" xr:uid="{00000000-0005-0000-0000-0000560E0000}"/>
    <cellStyle name="Nuovo 11" xfId="40001" xr:uid="{00000000-0005-0000-0000-0000570E0000}"/>
    <cellStyle name="Nuovo 12" xfId="40002" xr:uid="{00000000-0005-0000-0000-0000580E0000}"/>
    <cellStyle name="Nuovo 13" xfId="40003" xr:uid="{00000000-0005-0000-0000-0000590E0000}"/>
    <cellStyle name="Nuovo 14" xfId="40004" xr:uid="{00000000-0005-0000-0000-00005A0E0000}"/>
    <cellStyle name="Nuovo 15" xfId="40005" xr:uid="{00000000-0005-0000-0000-00005B0E0000}"/>
    <cellStyle name="Nuovo 16" xfId="40006" xr:uid="{00000000-0005-0000-0000-00005C0E0000}"/>
    <cellStyle name="Nuovo 17" xfId="40007" xr:uid="{00000000-0005-0000-0000-00005D0E0000}"/>
    <cellStyle name="Nuovo 18" xfId="40008" xr:uid="{00000000-0005-0000-0000-00005E0E0000}"/>
    <cellStyle name="Nuovo 19" xfId="40009" xr:uid="{00000000-0005-0000-0000-00005F0E0000}"/>
    <cellStyle name="Nuovo 2" xfId="3730" xr:uid="{00000000-0005-0000-0000-00009D640000}"/>
    <cellStyle name="Nuovo 20" xfId="40010" xr:uid="{00000000-0005-0000-0000-0000610E0000}"/>
    <cellStyle name="Nuovo 21" xfId="40011" xr:uid="{00000000-0005-0000-0000-0000620E0000}"/>
    <cellStyle name="Nuovo 22" xfId="40012" xr:uid="{00000000-0005-0000-0000-0000630E0000}"/>
    <cellStyle name="Nuovo 23" xfId="40013" xr:uid="{00000000-0005-0000-0000-0000640E0000}"/>
    <cellStyle name="Nuovo 24" xfId="40014" xr:uid="{00000000-0005-0000-0000-0000650E0000}"/>
    <cellStyle name="Nuovo 25" xfId="40015" xr:uid="{00000000-0005-0000-0000-0000660E0000}"/>
    <cellStyle name="Nuovo 26" xfId="40016" xr:uid="{00000000-0005-0000-0000-0000670E0000}"/>
    <cellStyle name="Nuovo 27" xfId="40017" xr:uid="{00000000-0005-0000-0000-0000680E0000}"/>
    <cellStyle name="Nuovo 28" xfId="40018" xr:uid="{00000000-0005-0000-0000-0000690E0000}"/>
    <cellStyle name="Nuovo 29" xfId="40019" xr:uid="{00000000-0005-0000-0000-00006A0E0000}"/>
    <cellStyle name="Nuovo 3" xfId="10042" xr:uid="{00000000-0005-0000-0000-00009E640000}"/>
    <cellStyle name="Nuovo 3 2" xfId="28536" xr:uid="{00000000-0005-0000-0000-00009F640000}"/>
    <cellStyle name="Nuovo 30" xfId="40020" xr:uid="{00000000-0005-0000-0000-00006C0E0000}"/>
    <cellStyle name="Nuovo 31" xfId="40021" xr:uid="{00000000-0005-0000-0000-00006D0E0000}"/>
    <cellStyle name="Nuovo 32" xfId="40022" xr:uid="{00000000-0005-0000-0000-00006E0E0000}"/>
    <cellStyle name="Nuovo 33" xfId="40023" xr:uid="{00000000-0005-0000-0000-00006F0E0000}"/>
    <cellStyle name="Nuovo 34" xfId="40024" xr:uid="{00000000-0005-0000-0000-0000700E0000}"/>
    <cellStyle name="Nuovo 35" xfId="40025" xr:uid="{00000000-0005-0000-0000-0000710E0000}"/>
    <cellStyle name="Nuovo 36" xfId="40026" xr:uid="{00000000-0005-0000-0000-0000720E0000}"/>
    <cellStyle name="Nuovo 37" xfId="40027" xr:uid="{00000000-0005-0000-0000-0000730E0000}"/>
    <cellStyle name="Nuovo 38" xfId="40028" xr:uid="{00000000-0005-0000-0000-0000740E0000}"/>
    <cellStyle name="Nuovo 4" xfId="40029" xr:uid="{00000000-0005-0000-0000-0000750E0000}"/>
    <cellStyle name="Nuovo 5" xfId="40030" xr:uid="{00000000-0005-0000-0000-0000760E0000}"/>
    <cellStyle name="Nuovo 6" xfId="40031" xr:uid="{00000000-0005-0000-0000-0000770E0000}"/>
    <cellStyle name="Nuovo 7" xfId="40032" xr:uid="{00000000-0005-0000-0000-0000780E0000}"/>
    <cellStyle name="Nuovo 8" xfId="40033" xr:uid="{00000000-0005-0000-0000-0000790E0000}"/>
    <cellStyle name="Nuovo 9" xfId="40034" xr:uid="{00000000-0005-0000-0000-00007A0E0000}"/>
    <cellStyle name="Összesen" xfId="103" xr:uid="{00000000-0005-0000-0000-0000A0640000}"/>
    <cellStyle name="Összesen 10" xfId="16597" xr:uid="{00000000-0005-0000-0000-0000A1640000}"/>
    <cellStyle name="Összesen 10 2" xfId="37807" xr:uid="{00000000-0005-0000-0000-0000A2640000}"/>
    <cellStyle name="Összesen 2" xfId="4442" xr:uid="{00000000-0005-0000-0000-0000A3640000}"/>
    <cellStyle name="Összesen 2 2" xfId="22902" xr:uid="{00000000-0005-0000-0000-0000A4640000}"/>
    <cellStyle name="Összesen 2 3" xfId="18121" xr:uid="{00000000-0005-0000-0000-0000A5640000}"/>
    <cellStyle name="Összesen 3" xfId="5828" xr:uid="{00000000-0005-0000-0000-0000A6640000}"/>
    <cellStyle name="Összesen 3 2" xfId="24275" xr:uid="{00000000-0005-0000-0000-0000A7640000}"/>
    <cellStyle name="Összesen 3 3" xfId="19384" xr:uid="{00000000-0005-0000-0000-0000A8640000}"/>
    <cellStyle name="Összesen 4" xfId="7132" xr:uid="{00000000-0005-0000-0000-0000A9640000}"/>
    <cellStyle name="Összesen 4 2" xfId="25566" xr:uid="{00000000-0005-0000-0000-0000AA640000}"/>
    <cellStyle name="Összesen 4 3" xfId="20491" xr:uid="{00000000-0005-0000-0000-0000AB640000}"/>
    <cellStyle name="Összesen 5" xfId="6221" xr:uid="{00000000-0005-0000-0000-0000AC640000}"/>
    <cellStyle name="Összesen 5 2" xfId="24661" xr:uid="{00000000-0005-0000-0000-0000AD640000}"/>
    <cellStyle name="Összesen 5 3" xfId="19770" xr:uid="{00000000-0005-0000-0000-0000AE640000}"/>
    <cellStyle name="Összesen 6" xfId="7423" xr:uid="{00000000-0005-0000-0000-0000AF640000}"/>
    <cellStyle name="Összesen 6 2" xfId="25854" xr:uid="{00000000-0005-0000-0000-0000B0640000}"/>
    <cellStyle name="Összesen 6 3" xfId="20779" xr:uid="{00000000-0005-0000-0000-0000B1640000}"/>
    <cellStyle name="Összesen 7" xfId="8216" xr:uid="{00000000-0005-0000-0000-0000B2640000}"/>
    <cellStyle name="Összesen 7 2" xfId="26641" xr:uid="{00000000-0005-0000-0000-0000B3640000}"/>
    <cellStyle name="Összesen 7 3" xfId="21567" xr:uid="{00000000-0005-0000-0000-0000B4640000}"/>
    <cellStyle name="Összesen 8" xfId="3767" xr:uid="{00000000-0005-0000-0000-0000B5640000}"/>
    <cellStyle name="Összesen 8 2" xfId="22236" xr:uid="{00000000-0005-0000-0000-0000B6640000}"/>
    <cellStyle name="Összesen 8 3" xfId="17450" xr:uid="{00000000-0005-0000-0000-0000B7640000}"/>
    <cellStyle name="Összesen 9" xfId="16524" xr:uid="{00000000-0005-0000-0000-0000B8640000}"/>
    <cellStyle name="Összesen 9 2" xfId="37749" xr:uid="{00000000-0005-0000-0000-0000B9640000}"/>
    <cellStyle name="Összesen 9 3" xfId="16642" xr:uid="{00000000-0005-0000-0000-0000BA640000}"/>
    <cellStyle name="Output 10" xfId="3039" xr:uid="{00000000-0005-0000-0000-0000BB640000}"/>
    <cellStyle name="Output 10 10" xfId="16261" xr:uid="{00000000-0005-0000-0000-0000BC640000}"/>
    <cellStyle name="Output 10 10 2" xfId="37571" xr:uid="{00000000-0005-0000-0000-0000BD640000}"/>
    <cellStyle name="Output 10 10 3" xfId="16950" xr:uid="{00000000-0005-0000-0000-0000BE640000}"/>
    <cellStyle name="Output 10 11" xfId="15010" xr:uid="{00000000-0005-0000-0000-0000BF640000}"/>
    <cellStyle name="Output 10 11 2" xfId="36435" xr:uid="{00000000-0005-0000-0000-0000C0640000}"/>
    <cellStyle name="Output 10 12" xfId="40035" xr:uid="{00000000-0005-0000-0000-00007B0E0000}"/>
    <cellStyle name="Output 10 2" xfId="3547" xr:uid="{00000000-0005-0000-0000-0000C1640000}"/>
    <cellStyle name="Output 10 2 10" xfId="16061" xr:uid="{00000000-0005-0000-0000-0000C2640000}"/>
    <cellStyle name="Output 10 2 10 2" xfId="37387" xr:uid="{00000000-0005-0000-0000-0000C3640000}"/>
    <cellStyle name="Output 10 2 2" xfId="5674" xr:uid="{00000000-0005-0000-0000-0000C4640000}"/>
    <cellStyle name="Output 10 2 2 2" xfId="14773" xr:uid="{00000000-0005-0000-0000-0000C5640000}"/>
    <cellStyle name="Output 10 2 2 2 2" xfId="24127" xr:uid="{00000000-0005-0000-0000-0000C6640000}"/>
    <cellStyle name="Output 10 2 2 3" xfId="16527" xr:uid="{00000000-0005-0000-0000-0000C7640000}"/>
    <cellStyle name="Output 10 2 3" xfId="5161" xr:uid="{00000000-0005-0000-0000-0000C8640000}"/>
    <cellStyle name="Output 10 2 3 2" xfId="23621" xr:uid="{00000000-0005-0000-0000-0000C9640000}"/>
    <cellStyle name="Output 10 2 3 3" xfId="18775" xr:uid="{00000000-0005-0000-0000-0000CA640000}"/>
    <cellStyle name="Output 10 2 4" xfId="5940" xr:uid="{00000000-0005-0000-0000-0000CB640000}"/>
    <cellStyle name="Output 10 2 4 2" xfId="24381" xr:uid="{00000000-0005-0000-0000-0000CC640000}"/>
    <cellStyle name="Output 10 2 4 3" xfId="19493" xr:uid="{00000000-0005-0000-0000-0000CD640000}"/>
    <cellStyle name="Output 10 2 5" xfId="7686" xr:uid="{00000000-0005-0000-0000-0000CE640000}"/>
    <cellStyle name="Output 10 2 5 2" xfId="26116" xr:uid="{00000000-0005-0000-0000-0000CF640000}"/>
    <cellStyle name="Output 10 2 5 3" xfId="21041" xr:uid="{00000000-0005-0000-0000-0000D0640000}"/>
    <cellStyle name="Output 10 2 6" xfId="8060" xr:uid="{00000000-0005-0000-0000-0000D1640000}"/>
    <cellStyle name="Output 10 2 6 2" xfId="26490" xr:uid="{00000000-0005-0000-0000-0000D2640000}"/>
    <cellStyle name="Output 10 2 6 3" xfId="21414" xr:uid="{00000000-0005-0000-0000-0000D3640000}"/>
    <cellStyle name="Output 10 2 7" xfId="8784" xr:uid="{00000000-0005-0000-0000-0000D4640000}"/>
    <cellStyle name="Output 10 2 7 2" xfId="27204" xr:uid="{00000000-0005-0000-0000-0000D5640000}"/>
    <cellStyle name="Output 10 2 7 3" xfId="22075" xr:uid="{00000000-0005-0000-0000-0000D6640000}"/>
    <cellStyle name="Output 10 2 8" xfId="4276" xr:uid="{00000000-0005-0000-0000-0000D7640000}"/>
    <cellStyle name="Output 10 2 8 2" xfId="22740" xr:uid="{00000000-0005-0000-0000-0000D8640000}"/>
    <cellStyle name="Output 10 2 8 3" xfId="17958" xr:uid="{00000000-0005-0000-0000-0000D9640000}"/>
    <cellStyle name="Output 10 2 9" xfId="16034" xr:uid="{00000000-0005-0000-0000-0000DA640000}"/>
    <cellStyle name="Output 10 2 9 2" xfId="37375" xr:uid="{00000000-0005-0000-0000-0000DB640000}"/>
    <cellStyle name="Output 10 2 9 3" xfId="17287" xr:uid="{00000000-0005-0000-0000-0000DC640000}"/>
    <cellStyle name="Output 10 3" xfId="5301" xr:uid="{00000000-0005-0000-0000-0000DD640000}"/>
    <cellStyle name="Output 10 3 2" xfId="23761" xr:uid="{00000000-0005-0000-0000-0000DE640000}"/>
    <cellStyle name="Output 10 3 3" xfId="18914" xr:uid="{00000000-0005-0000-0000-0000DF640000}"/>
    <cellStyle name="Output 10 4" xfId="4890" xr:uid="{00000000-0005-0000-0000-0000E0640000}"/>
    <cellStyle name="Output 10 4 2" xfId="23350" xr:uid="{00000000-0005-0000-0000-0000E1640000}"/>
    <cellStyle name="Output 10 4 3" xfId="18504" xr:uid="{00000000-0005-0000-0000-0000E2640000}"/>
    <cellStyle name="Output 10 5" xfId="6311" xr:uid="{00000000-0005-0000-0000-0000E3640000}"/>
    <cellStyle name="Output 10 5 2" xfId="24751" xr:uid="{00000000-0005-0000-0000-0000E4640000}"/>
    <cellStyle name="Output 10 5 3" xfId="19860" xr:uid="{00000000-0005-0000-0000-0000E5640000}"/>
    <cellStyle name="Output 10 6" xfId="7363" xr:uid="{00000000-0005-0000-0000-0000E6640000}"/>
    <cellStyle name="Output 10 6 2" xfId="25794" xr:uid="{00000000-0005-0000-0000-0000E7640000}"/>
    <cellStyle name="Output 10 6 3" xfId="20719" xr:uid="{00000000-0005-0000-0000-0000E8640000}"/>
    <cellStyle name="Output 10 7" xfId="6384" xr:uid="{00000000-0005-0000-0000-0000E9640000}"/>
    <cellStyle name="Output 10 7 2" xfId="24824" xr:uid="{00000000-0005-0000-0000-0000EA640000}"/>
    <cellStyle name="Output 10 7 3" xfId="19933" xr:uid="{00000000-0005-0000-0000-0000EB640000}"/>
    <cellStyle name="Output 10 8" xfId="8463" xr:uid="{00000000-0005-0000-0000-0000EC640000}"/>
    <cellStyle name="Output 10 8 2" xfId="26886" xr:uid="{00000000-0005-0000-0000-0000ED640000}"/>
    <cellStyle name="Output 10 8 3" xfId="21754" xr:uid="{00000000-0005-0000-0000-0000EE640000}"/>
    <cellStyle name="Output 10 9" xfId="3955" xr:uid="{00000000-0005-0000-0000-0000EF640000}"/>
    <cellStyle name="Output 10 9 2" xfId="22422" xr:uid="{00000000-0005-0000-0000-0000F0640000}"/>
    <cellStyle name="Output 10 9 3" xfId="17637" xr:uid="{00000000-0005-0000-0000-0000F1640000}"/>
    <cellStyle name="Output 11" xfId="40036" xr:uid="{00000000-0005-0000-0000-00007C0E0000}"/>
    <cellStyle name="Output 12" xfId="40037" xr:uid="{00000000-0005-0000-0000-00007D0E0000}"/>
    <cellStyle name="Output 13" xfId="40038" xr:uid="{00000000-0005-0000-0000-00007E0E0000}"/>
    <cellStyle name="Output 14" xfId="40039" xr:uid="{00000000-0005-0000-0000-00007F0E0000}"/>
    <cellStyle name="Output 15" xfId="40040" xr:uid="{00000000-0005-0000-0000-0000800E0000}"/>
    <cellStyle name="Output 16" xfId="40041" xr:uid="{00000000-0005-0000-0000-0000810E0000}"/>
    <cellStyle name="Output 17" xfId="40042" xr:uid="{00000000-0005-0000-0000-0000820E0000}"/>
    <cellStyle name="Output 18" xfId="40043" xr:uid="{00000000-0005-0000-0000-0000830E0000}"/>
    <cellStyle name="Output 19" xfId="40044" xr:uid="{00000000-0005-0000-0000-0000840E0000}"/>
    <cellStyle name="Output 2" xfId="3040" xr:uid="{00000000-0005-0000-0000-0000F2640000}"/>
    <cellStyle name="Output 2 10" xfId="3041" xr:uid="{00000000-0005-0000-0000-0000F3640000}"/>
    <cellStyle name="Output 2 10 10" xfId="16032" xr:uid="{00000000-0005-0000-0000-0000F4640000}"/>
    <cellStyle name="Output 2 10 10 2" xfId="37373" xr:uid="{00000000-0005-0000-0000-0000F5640000}"/>
    <cellStyle name="Output 2 10 10 3" xfId="16952" xr:uid="{00000000-0005-0000-0000-0000F6640000}"/>
    <cellStyle name="Output 2 10 11" xfId="14426" xr:uid="{00000000-0005-0000-0000-0000F7640000}"/>
    <cellStyle name="Output 2 10 11 2" xfId="35954" xr:uid="{00000000-0005-0000-0000-0000F8640000}"/>
    <cellStyle name="Output 2 10 12" xfId="38071" xr:uid="{00000000-0005-0000-0000-0000860E0000}"/>
    <cellStyle name="Output 2 10 2" xfId="3549" xr:uid="{00000000-0005-0000-0000-0000F9640000}"/>
    <cellStyle name="Output 2 10 2 10" xfId="14430" xr:uid="{00000000-0005-0000-0000-0000FA640000}"/>
    <cellStyle name="Output 2 10 2 10 2" xfId="35958" xr:uid="{00000000-0005-0000-0000-0000FB640000}"/>
    <cellStyle name="Output 2 10 2 11" xfId="28141" xr:uid="{00000000-0005-0000-0000-0000FC640000}"/>
    <cellStyle name="Output 2 10 2 2" xfId="5676" xr:uid="{00000000-0005-0000-0000-0000FD640000}"/>
    <cellStyle name="Output 2 10 2 2 2" xfId="14024" xr:uid="{00000000-0005-0000-0000-0000FE640000}"/>
    <cellStyle name="Output 2 10 2 2 2 2" xfId="35796" xr:uid="{00000000-0005-0000-0000-0000FF640000}"/>
    <cellStyle name="Output 2 10 2 2 2 3" xfId="24129" xr:uid="{00000000-0005-0000-0000-000000650000}"/>
    <cellStyle name="Output 2 10 2 2 3" xfId="16413" xr:uid="{00000000-0005-0000-0000-000001650000}"/>
    <cellStyle name="Output 2 10 2 2 3 2" xfId="37701" xr:uid="{00000000-0005-0000-0000-000002650000}"/>
    <cellStyle name="Output 2 10 2 2 4" xfId="14682" xr:uid="{00000000-0005-0000-0000-000003650000}"/>
    <cellStyle name="Output 2 10 2 2 5" xfId="32285" xr:uid="{00000000-0005-0000-0000-000004650000}"/>
    <cellStyle name="Output 2 10 2 2 6" xfId="30499" xr:uid="{00000000-0005-0000-0000-000005650000}"/>
    <cellStyle name="Output 2 10 2 2 7" xfId="19260" xr:uid="{00000000-0005-0000-0000-000006650000}"/>
    <cellStyle name="Output 2 10 2 3" xfId="5163" xr:uid="{00000000-0005-0000-0000-000007650000}"/>
    <cellStyle name="Output 2 10 2 3 2" xfId="13009" xr:uid="{00000000-0005-0000-0000-000008650000}"/>
    <cellStyle name="Output 2 10 2 3 2 2" xfId="35155" xr:uid="{00000000-0005-0000-0000-000009650000}"/>
    <cellStyle name="Output 2 10 2 3 2 3" xfId="23623" xr:uid="{00000000-0005-0000-0000-00000A650000}"/>
    <cellStyle name="Output 2 10 2 3 3" xfId="14494" xr:uid="{00000000-0005-0000-0000-00000B650000}"/>
    <cellStyle name="Output 2 10 2 3 3 2" xfId="36022" xr:uid="{00000000-0005-0000-0000-00000C650000}"/>
    <cellStyle name="Output 2 10 2 3 4" xfId="16001" xr:uid="{00000000-0005-0000-0000-00000D650000}"/>
    <cellStyle name="Output 2 10 2 3 5" xfId="32002" xr:uid="{00000000-0005-0000-0000-00000E650000}"/>
    <cellStyle name="Output 2 10 2 3 6" xfId="18777" xr:uid="{00000000-0005-0000-0000-00000F650000}"/>
    <cellStyle name="Output 2 10 2 4" xfId="5938" xr:uid="{00000000-0005-0000-0000-000010650000}"/>
    <cellStyle name="Output 2 10 2 4 2" xfId="24379" xr:uid="{00000000-0005-0000-0000-000011650000}"/>
    <cellStyle name="Output 2 10 2 4 3" xfId="19491" xr:uid="{00000000-0005-0000-0000-000012650000}"/>
    <cellStyle name="Output 2 10 2 5" xfId="7688" xr:uid="{00000000-0005-0000-0000-000013650000}"/>
    <cellStyle name="Output 2 10 2 5 2" xfId="26118" xr:uid="{00000000-0005-0000-0000-000014650000}"/>
    <cellStyle name="Output 2 10 2 5 3" xfId="21043" xr:uid="{00000000-0005-0000-0000-000015650000}"/>
    <cellStyle name="Output 2 10 2 6" xfId="8062" xr:uid="{00000000-0005-0000-0000-000016650000}"/>
    <cellStyle name="Output 2 10 2 6 2" xfId="26492" xr:uid="{00000000-0005-0000-0000-000017650000}"/>
    <cellStyle name="Output 2 10 2 6 3" xfId="21416" xr:uid="{00000000-0005-0000-0000-000018650000}"/>
    <cellStyle name="Output 2 10 2 7" xfId="8786" xr:uid="{00000000-0005-0000-0000-000019650000}"/>
    <cellStyle name="Output 2 10 2 7 2" xfId="27206" xr:uid="{00000000-0005-0000-0000-00001A650000}"/>
    <cellStyle name="Output 2 10 2 7 3" xfId="22077" xr:uid="{00000000-0005-0000-0000-00001B650000}"/>
    <cellStyle name="Output 2 10 2 8" xfId="4278" xr:uid="{00000000-0005-0000-0000-00001C650000}"/>
    <cellStyle name="Output 2 10 2 8 2" xfId="22742" xr:uid="{00000000-0005-0000-0000-00001D650000}"/>
    <cellStyle name="Output 2 10 2 8 3" xfId="17960" xr:uid="{00000000-0005-0000-0000-00001E650000}"/>
    <cellStyle name="Output 2 10 2 9" xfId="16031" xr:uid="{00000000-0005-0000-0000-00001F650000}"/>
    <cellStyle name="Output 2 10 2 9 2" xfId="37372" xr:uid="{00000000-0005-0000-0000-000020650000}"/>
    <cellStyle name="Output 2 10 2 9 3" xfId="17289" xr:uid="{00000000-0005-0000-0000-000021650000}"/>
    <cellStyle name="Output 2 10 3" xfId="5303" xr:uid="{00000000-0005-0000-0000-000022650000}"/>
    <cellStyle name="Output 2 10 3 2" xfId="16418" xr:uid="{00000000-0005-0000-0000-000023650000}"/>
    <cellStyle name="Output 2 10 3 2 2" xfId="23763" xr:uid="{00000000-0005-0000-0000-000024650000}"/>
    <cellStyle name="Output 2 10 3 3" xfId="15460" xr:uid="{00000000-0005-0000-0000-000025650000}"/>
    <cellStyle name="Output 2 10 4" xfId="4892" xr:uid="{00000000-0005-0000-0000-000026650000}"/>
    <cellStyle name="Output 2 10 4 2" xfId="23352" xr:uid="{00000000-0005-0000-0000-000027650000}"/>
    <cellStyle name="Output 2 10 4 3" xfId="18506" xr:uid="{00000000-0005-0000-0000-000028650000}"/>
    <cellStyle name="Output 2 10 5" xfId="6309" xr:uid="{00000000-0005-0000-0000-000029650000}"/>
    <cellStyle name="Output 2 10 5 2" xfId="24749" xr:uid="{00000000-0005-0000-0000-00002A650000}"/>
    <cellStyle name="Output 2 10 5 3" xfId="19858" xr:uid="{00000000-0005-0000-0000-00002B650000}"/>
    <cellStyle name="Output 2 10 6" xfId="7365" xr:uid="{00000000-0005-0000-0000-00002C650000}"/>
    <cellStyle name="Output 2 10 6 2" xfId="25796" xr:uid="{00000000-0005-0000-0000-00002D650000}"/>
    <cellStyle name="Output 2 10 6 3" xfId="20721" xr:uid="{00000000-0005-0000-0000-00002E650000}"/>
    <cellStyle name="Output 2 10 7" xfId="6383" xr:uid="{00000000-0005-0000-0000-00002F650000}"/>
    <cellStyle name="Output 2 10 7 2" xfId="24823" xr:uid="{00000000-0005-0000-0000-000030650000}"/>
    <cellStyle name="Output 2 10 7 3" xfId="19932" xr:uid="{00000000-0005-0000-0000-000031650000}"/>
    <cellStyle name="Output 2 10 8" xfId="8465" xr:uid="{00000000-0005-0000-0000-000032650000}"/>
    <cellStyle name="Output 2 10 8 2" xfId="26888" xr:uid="{00000000-0005-0000-0000-000033650000}"/>
    <cellStyle name="Output 2 10 8 3" xfId="21756" xr:uid="{00000000-0005-0000-0000-000034650000}"/>
    <cellStyle name="Output 2 10 9" xfId="3957" xr:uid="{00000000-0005-0000-0000-000035650000}"/>
    <cellStyle name="Output 2 10 9 2" xfId="22424" xr:uid="{00000000-0005-0000-0000-000036650000}"/>
    <cellStyle name="Output 2 10 9 3" xfId="17639" xr:uid="{00000000-0005-0000-0000-000037650000}"/>
    <cellStyle name="Output 2 11" xfId="3042" xr:uid="{00000000-0005-0000-0000-000038650000}"/>
    <cellStyle name="Output 2 11 10" xfId="16030" xr:uid="{00000000-0005-0000-0000-000039650000}"/>
    <cellStyle name="Output 2 11 10 2" xfId="37371" xr:uid="{00000000-0005-0000-0000-00003A650000}"/>
    <cellStyle name="Output 2 11 10 3" xfId="16953" xr:uid="{00000000-0005-0000-0000-00003B650000}"/>
    <cellStyle name="Output 2 11 11" xfId="16521" xr:uid="{00000000-0005-0000-0000-00003C650000}"/>
    <cellStyle name="Output 2 11 11 2" xfId="37747" xr:uid="{00000000-0005-0000-0000-00003D650000}"/>
    <cellStyle name="Output 2 11 12" xfId="40045" xr:uid="{00000000-0005-0000-0000-0000870E0000}"/>
    <cellStyle name="Output 2 11 2" xfId="3550" xr:uid="{00000000-0005-0000-0000-00003E650000}"/>
    <cellStyle name="Output 2 11 2 10" xfId="15980" xr:uid="{00000000-0005-0000-0000-00003F650000}"/>
    <cellStyle name="Output 2 11 2 10 2" xfId="37342" xr:uid="{00000000-0005-0000-0000-000040650000}"/>
    <cellStyle name="Output 2 11 2 2" xfId="5677" xr:uid="{00000000-0005-0000-0000-000041650000}"/>
    <cellStyle name="Output 2 11 2 2 2" xfId="15994" xr:uid="{00000000-0005-0000-0000-000042650000}"/>
    <cellStyle name="Output 2 11 2 2 2 2" xfId="24130" xr:uid="{00000000-0005-0000-0000-000043650000}"/>
    <cellStyle name="Output 2 11 2 2 3" xfId="14582" xr:uid="{00000000-0005-0000-0000-000044650000}"/>
    <cellStyle name="Output 2 11 2 3" xfId="5164" xr:uid="{00000000-0005-0000-0000-000045650000}"/>
    <cellStyle name="Output 2 11 2 3 2" xfId="23624" xr:uid="{00000000-0005-0000-0000-000046650000}"/>
    <cellStyle name="Output 2 11 2 3 3" xfId="18778" xr:uid="{00000000-0005-0000-0000-000047650000}"/>
    <cellStyle name="Output 2 11 2 4" xfId="5937" xr:uid="{00000000-0005-0000-0000-000048650000}"/>
    <cellStyle name="Output 2 11 2 4 2" xfId="24378" xr:uid="{00000000-0005-0000-0000-000049650000}"/>
    <cellStyle name="Output 2 11 2 4 3" xfId="19490" xr:uid="{00000000-0005-0000-0000-00004A650000}"/>
    <cellStyle name="Output 2 11 2 5" xfId="7689" xr:uid="{00000000-0005-0000-0000-00004B650000}"/>
    <cellStyle name="Output 2 11 2 5 2" xfId="26119" xr:uid="{00000000-0005-0000-0000-00004C650000}"/>
    <cellStyle name="Output 2 11 2 5 3" xfId="21044" xr:uid="{00000000-0005-0000-0000-00004D650000}"/>
    <cellStyle name="Output 2 11 2 6" xfId="8063" xr:uid="{00000000-0005-0000-0000-00004E650000}"/>
    <cellStyle name="Output 2 11 2 6 2" xfId="26493" xr:uid="{00000000-0005-0000-0000-00004F650000}"/>
    <cellStyle name="Output 2 11 2 6 3" xfId="21417" xr:uid="{00000000-0005-0000-0000-000050650000}"/>
    <cellStyle name="Output 2 11 2 7" xfId="8787" xr:uid="{00000000-0005-0000-0000-000051650000}"/>
    <cellStyle name="Output 2 11 2 7 2" xfId="27207" xr:uid="{00000000-0005-0000-0000-000052650000}"/>
    <cellStyle name="Output 2 11 2 7 3" xfId="22078" xr:uid="{00000000-0005-0000-0000-000053650000}"/>
    <cellStyle name="Output 2 11 2 8" xfId="4279" xr:uid="{00000000-0005-0000-0000-000054650000}"/>
    <cellStyle name="Output 2 11 2 8 2" xfId="22743" xr:uid="{00000000-0005-0000-0000-000055650000}"/>
    <cellStyle name="Output 2 11 2 8 3" xfId="17961" xr:uid="{00000000-0005-0000-0000-000056650000}"/>
    <cellStyle name="Output 2 11 2 9" xfId="15283" xr:uid="{00000000-0005-0000-0000-000057650000}"/>
    <cellStyle name="Output 2 11 2 9 2" xfId="36688" xr:uid="{00000000-0005-0000-0000-000058650000}"/>
    <cellStyle name="Output 2 11 2 9 3" xfId="17290" xr:uid="{00000000-0005-0000-0000-000059650000}"/>
    <cellStyle name="Output 2 11 3" xfId="5304" xr:uid="{00000000-0005-0000-0000-00005A650000}"/>
    <cellStyle name="Output 2 11 3 2" xfId="23764" xr:uid="{00000000-0005-0000-0000-00005B650000}"/>
    <cellStyle name="Output 2 11 3 3" xfId="18916" xr:uid="{00000000-0005-0000-0000-00005C650000}"/>
    <cellStyle name="Output 2 11 4" xfId="4893" xr:uid="{00000000-0005-0000-0000-00005D650000}"/>
    <cellStyle name="Output 2 11 4 2" xfId="23353" xr:uid="{00000000-0005-0000-0000-00005E650000}"/>
    <cellStyle name="Output 2 11 4 3" xfId="18507" xr:uid="{00000000-0005-0000-0000-00005F650000}"/>
    <cellStyle name="Output 2 11 5" xfId="6308" xr:uid="{00000000-0005-0000-0000-000060650000}"/>
    <cellStyle name="Output 2 11 5 2" xfId="24748" xr:uid="{00000000-0005-0000-0000-000061650000}"/>
    <cellStyle name="Output 2 11 5 3" xfId="19857" xr:uid="{00000000-0005-0000-0000-000062650000}"/>
    <cellStyle name="Output 2 11 6" xfId="7366" xr:uid="{00000000-0005-0000-0000-000063650000}"/>
    <cellStyle name="Output 2 11 6 2" xfId="25797" xr:uid="{00000000-0005-0000-0000-000064650000}"/>
    <cellStyle name="Output 2 11 6 3" xfId="20722" xr:uid="{00000000-0005-0000-0000-000065650000}"/>
    <cellStyle name="Output 2 11 7" xfId="6382" xr:uid="{00000000-0005-0000-0000-000066650000}"/>
    <cellStyle name="Output 2 11 7 2" xfId="24822" xr:uid="{00000000-0005-0000-0000-000067650000}"/>
    <cellStyle name="Output 2 11 7 3" xfId="19931" xr:uid="{00000000-0005-0000-0000-000068650000}"/>
    <cellStyle name="Output 2 11 8" xfId="8466" xr:uid="{00000000-0005-0000-0000-000069650000}"/>
    <cellStyle name="Output 2 11 8 2" xfId="26889" xr:uid="{00000000-0005-0000-0000-00006A650000}"/>
    <cellStyle name="Output 2 11 8 3" xfId="21757" xr:uid="{00000000-0005-0000-0000-00006B650000}"/>
    <cellStyle name="Output 2 11 9" xfId="3958" xr:uid="{00000000-0005-0000-0000-00006C650000}"/>
    <cellStyle name="Output 2 11 9 2" xfId="22425" xr:uid="{00000000-0005-0000-0000-00006D650000}"/>
    <cellStyle name="Output 2 11 9 3" xfId="17640" xr:uid="{00000000-0005-0000-0000-00006E650000}"/>
    <cellStyle name="Output 2 12" xfId="3548" xr:uid="{00000000-0005-0000-0000-00006F650000}"/>
    <cellStyle name="Output 2 12 10" xfId="14725" xr:uid="{00000000-0005-0000-0000-000070650000}"/>
    <cellStyle name="Output 2 12 10 2" xfId="36205" xr:uid="{00000000-0005-0000-0000-000071650000}"/>
    <cellStyle name="Output 2 12 2" xfId="5675" xr:uid="{00000000-0005-0000-0000-000072650000}"/>
    <cellStyle name="Output 2 12 2 2" xfId="15991" xr:uid="{00000000-0005-0000-0000-000073650000}"/>
    <cellStyle name="Output 2 12 2 2 2" xfId="24128" xr:uid="{00000000-0005-0000-0000-000074650000}"/>
    <cellStyle name="Output 2 12 2 3" xfId="15242" xr:uid="{00000000-0005-0000-0000-000075650000}"/>
    <cellStyle name="Output 2 12 3" xfId="5162" xr:uid="{00000000-0005-0000-0000-000076650000}"/>
    <cellStyle name="Output 2 12 3 2" xfId="23622" xr:uid="{00000000-0005-0000-0000-000077650000}"/>
    <cellStyle name="Output 2 12 3 3" xfId="18776" xr:uid="{00000000-0005-0000-0000-000078650000}"/>
    <cellStyle name="Output 2 12 4" xfId="5939" xr:uid="{00000000-0005-0000-0000-000079650000}"/>
    <cellStyle name="Output 2 12 4 2" xfId="24380" xr:uid="{00000000-0005-0000-0000-00007A650000}"/>
    <cellStyle name="Output 2 12 4 3" xfId="19492" xr:uid="{00000000-0005-0000-0000-00007B650000}"/>
    <cellStyle name="Output 2 12 5" xfId="7687" xr:uid="{00000000-0005-0000-0000-00007C650000}"/>
    <cellStyle name="Output 2 12 5 2" xfId="26117" xr:uid="{00000000-0005-0000-0000-00007D650000}"/>
    <cellStyle name="Output 2 12 5 3" xfId="21042" xr:uid="{00000000-0005-0000-0000-00007E650000}"/>
    <cellStyle name="Output 2 12 6" xfId="8061" xr:uid="{00000000-0005-0000-0000-00007F650000}"/>
    <cellStyle name="Output 2 12 6 2" xfId="26491" xr:uid="{00000000-0005-0000-0000-000080650000}"/>
    <cellStyle name="Output 2 12 6 3" xfId="21415" xr:uid="{00000000-0005-0000-0000-000081650000}"/>
    <cellStyle name="Output 2 12 7" xfId="8785" xr:uid="{00000000-0005-0000-0000-000082650000}"/>
    <cellStyle name="Output 2 12 7 2" xfId="27205" xr:uid="{00000000-0005-0000-0000-000083650000}"/>
    <cellStyle name="Output 2 12 7 3" xfId="22076" xr:uid="{00000000-0005-0000-0000-000084650000}"/>
    <cellStyle name="Output 2 12 8" xfId="4277" xr:uid="{00000000-0005-0000-0000-000085650000}"/>
    <cellStyle name="Output 2 12 8 2" xfId="22741" xr:uid="{00000000-0005-0000-0000-000086650000}"/>
    <cellStyle name="Output 2 12 8 3" xfId="17959" xr:uid="{00000000-0005-0000-0000-000087650000}"/>
    <cellStyle name="Output 2 12 9" xfId="16346" xr:uid="{00000000-0005-0000-0000-000088650000}"/>
    <cellStyle name="Output 2 12 9 2" xfId="37649" xr:uid="{00000000-0005-0000-0000-000089650000}"/>
    <cellStyle name="Output 2 12 9 3" xfId="17288" xr:uid="{00000000-0005-0000-0000-00008A650000}"/>
    <cellStyle name="Output 2 13" xfId="5302" xr:uid="{00000000-0005-0000-0000-00008B650000}"/>
    <cellStyle name="Output 2 13 2" xfId="23762" xr:uid="{00000000-0005-0000-0000-00008C650000}"/>
    <cellStyle name="Output 2 13 3" xfId="18915" xr:uid="{00000000-0005-0000-0000-00008D650000}"/>
    <cellStyle name="Output 2 14" xfId="4891" xr:uid="{00000000-0005-0000-0000-00008E650000}"/>
    <cellStyle name="Output 2 14 2" xfId="23351" xr:uid="{00000000-0005-0000-0000-00008F650000}"/>
    <cellStyle name="Output 2 14 3" xfId="18505" xr:uid="{00000000-0005-0000-0000-000090650000}"/>
    <cellStyle name="Output 2 15" xfId="6310" xr:uid="{00000000-0005-0000-0000-000091650000}"/>
    <cellStyle name="Output 2 15 2" xfId="24750" xr:uid="{00000000-0005-0000-0000-000092650000}"/>
    <cellStyle name="Output 2 15 3" xfId="19859" xr:uid="{00000000-0005-0000-0000-000093650000}"/>
    <cellStyle name="Output 2 16" xfId="7364" xr:uid="{00000000-0005-0000-0000-000094650000}"/>
    <cellStyle name="Output 2 16 2" xfId="25795" xr:uid="{00000000-0005-0000-0000-000095650000}"/>
    <cellStyle name="Output 2 16 3" xfId="20720" xr:uid="{00000000-0005-0000-0000-000096650000}"/>
    <cellStyle name="Output 2 17" xfId="6025" xr:uid="{00000000-0005-0000-0000-000097650000}"/>
    <cellStyle name="Output 2 17 2" xfId="24466" xr:uid="{00000000-0005-0000-0000-000098650000}"/>
    <cellStyle name="Output 2 17 3" xfId="19575" xr:uid="{00000000-0005-0000-0000-000099650000}"/>
    <cellStyle name="Output 2 18" xfId="8464" xr:uid="{00000000-0005-0000-0000-00009A650000}"/>
    <cellStyle name="Output 2 18 2" xfId="26887" xr:uid="{00000000-0005-0000-0000-00009B650000}"/>
    <cellStyle name="Output 2 18 3" xfId="21755" xr:uid="{00000000-0005-0000-0000-00009C650000}"/>
    <cellStyle name="Output 2 19" xfId="3956" xr:uid="{00000000-0005-0000-0000-00009D650000}"/>
    <cellStyle name="Output 2 19 2" xfId="22423" xr:uid="{00000000-0005-0000-0000-00009E650000}"/>
    <cellStyle name="Output 2 19 3" xfId="17638" xr:uid="{00000000-0005-0000-0000-00009F650000}"/>
    <cellStyle name="Output 2 2" xfId="3043" xr:uid="{00000000-0005-0000-0000-0000A0650000}"/>
    <cellStyle name="Output 2 2 10" xfId="15282" xr:uid="{00000000-0005-0000-0000-0000A1650000}"/>
    <cellStyle name="Output 2 2 10 2" xfId="36687" xr:uid="{00000000-0005-0000-0000-0000A2650000}"/>
    <cellStyle name="Output 2 2 10 3" xfId="16954" xr:uid="{00000000-0005-0000-0000-0000A3650000}"/>
    <cellStyle name="Output 2 2 11" xfId="14826" xr:uid="{00000000-0005-0000-0000-0000A4650000}"/>
    <cellStyle name="Output 2 2 11 2" xfId="36279" xr:uid="{00000000-0005-0000-0000-0000A5650000}"/>
    <cellStyle name="Output 2 2 12" xfId="38072" xr:uid="{00000000-0005-0000-0000-0000880E0000}"/>
    <cellStyle name="Output 2 2 2" xfId="3551" xr:uid="{00000000-0005-0000-0000-0000A6650000}"/>
    <cellStyle name="Output 2 2 2 10" xfId="15997" xr:uid="{00000000-0005-0000-0000-0000A7650000}"/>
    <cellStyle name="Output 2 2 2 10 2" xfId="37350" xr:uid="{00000000-0005-0000-0000-0000A8650000}"/>
    <cellStyle name="Output 2 2 2 11" xfId="28142" xr:uid="{00000000-0005-0000-0000-0000A9650000}"/>
    <cellStyle name="Output 2 2 2 2" xfId="5678" xr:uid="{00000000-0005-0000-0000-0000AA650000}"/>
    <cellStyle name="Output 2 2 2 2 2" xfId="14030" xr:uid="{00000000-0005-0000-0000-0000AB650000}"/>
    <cellStyle name="Output 2 2 2 2 2 2" xfId="35802" xr:uid="{00000000-0005-0000-0000-0000AC650000}"/>
    <cellStyle name="Output 2 2 2 2 2 3" xfId="24131" xr:uid="{00000000-0005-0000-0000-0000AD650000}"/>
    <cellStyle name="Output 2 2 2 2 3" xfId="16428" xr:uid="{00000000-0005-0000-0000-0000AE650000}"/>
    <cellStyle name="Output 2 2 2 2 3 2" xfId="37707" xr:uid="{00000000-0005-0000-0000-0000AF650000}"/>
    <cellStyle name="Output 2 2 2 2 4" xfId="14568" xr:uid="{00000000-0005-0000-0000-0000B0650000}"/>
    <cellStyle name="Output 2 2 2 2 5" xfId="32286" xr:uid="{00000000-0005-0000-0000-0000B1650000}"/>
    <cellStyle name="Output 2 2 2 2 6" xfId="30500" xr:uid="{00000000-0005-0000-0000-0000B2650000}"/>
    <cellStyle name="Output 2 2 2 2 7" xfId="19261" xr:uid="{00000000-0005-0000-0000-0000B3650000}"/>
    <cellStyle name="Output 2 2 2 3" xfId="5165" xr:uid="{00000000-0005-0000-0000-0000B4650000}"/>
    <cellStyle name="Output 2 2 2 3 2" xfId="13010" xr:uid="{00000000-0005-0000-0000-0000B5650000}"/>
    <cellStyle name="Output 2 2 2 3 2 2" xfId="35156" xr:uid="{00000000-0005-0000-0000-0000B6650000}"/>
    <cellStyle name="Output 2 2 2 3 2 3" xfId="23625" xr:uid="{00000000-0005-0000-0000-0000B7650000}"/>
    <cellStyle name="Output 2 2 2 3 3" xfId="15727" xr:uid="{00000000-0005-0000-0000-0000B8650000}"/>
    <cellStyle name="Output 2 2 2 3 3 2" xfId="37092" xr:uid="{00000000-0005-0000-0000-0000B9650000}"/>
    <cellStyle name="Output 2 2 2 3 4" xfId="16074" xr:uid="{00000000-0005-0000-0000-0000BA650000}"/>
    <cellStyle name="Output 2 2 2 3 5" xfId="32003" xr:uid="{00000000-0005-0000-0000-0000BB650000}"/>
    <cellStyle name="Output 2 2 2 3 6" xfId="18779" xr:uid="{00000000-0005-0000-0000-0000BC650000}"/>
    <cellStyle name="Output 2 2 2 4" xfId="5915" xr:uid="{00000000-0005-0000-0000-0000BD650000}"/>
    <cellStyle name="Output 2 2 2 4 2" xfId="24360" xr:uid="{00000000-0005-0000-0000-0000BE650000}"/>
    <cellStyle name="Output 2 2 2 4 3" xfId="19468" xr:uid="{00000000-0005-0000-0000-0000BF650000}"/>
    <cellStyle name="Output 2 2 2 5" xfId="7690" xr:uid="{00000000-0005-0000-0000-0000C0650000}"/>
    <cellStyle name="Output 2 2 2 5 2" xfId="26120" xr:uid="{00000000-0005-0000-0000-0000C1650000}"/>
    <cellStyle name="Output 2 2 2 5 3" xfId="21045" xr:uid="{00000000-0005-0000-0000-0000C2650000}"/>
    <cellStyle name="Output 2 2 2 6" xfId="8064" xr:uid="{00000000-0005-0000-0000-0000C3650000}"/>
    <cellStyle name="Output 2 2 2 6 2" xfId="26494" xr:uid="{00000000-0005-0000-0000-0000C4650000}"/>
    <cellStyle name="Output 2 2 2 6 3" xfId="21418" xr:uid="{00000000-0005-0000-0000-0000C5650000}"/>
    <cellStyle name="Output 2 2 2 7" xfId="8788" xr:uid="{00000000-0005-0000-0000-0000C6650000}"/>
    <cellStyle name="Output 2 2 2 7 2" xfId="27208" xr:uid="{00000000-0005-0000-0000-0000C7650000}"/>
    <cellStyle name="Output 2 2 2 7 3" xfId="22079" xr:uid="{00000000-0005-0000-0000-0000C8650000}"/>
    <cellStyle name="Output 2 2 2 8" xfId="4280" xr:uid="{00000000-0005-0000-0000-0000C9650000}"/>
    <cellStyle name="Output 2 2 2 8 2" xfId="22744" xr:uid="{00000000-0005-0000-0000-0000CA650000}"/>
    <cellStyle name="Output 2 2 2 8 3" xfId="17962" xr:uid="{00000000-0005-0000-0000-0000CB650000}"/>
    <cellStyle name="Output 2 2 2 9" xfId="14934" xr:uid="{00000000-0005-0000-0000-0000CC650000}"/>
    <cellStyle name="Output 2 2 2 9 2" xfId="36382" xr:uid="{00000000-0005-0000-0000-0000CD650000}"/>
    <cellStyle name="Output 2 2 2 9 3" xfId="17291" xr:uid="{00000000-0005-0000-0000-0000CE650000}"/>
    <cellStyle name="Output 2 2 3" xfId="5305" xr:uid="{00000000-0005-0000-0000-0000CF650000}"/>
    <cellStyle name="Output 2 2 3 2" xfId="16419" xr:uid="{00000000-0005-0000-0000-0000D0650000}"/>
    <cellStyle name="Output 2 2 3 2 2" xfId="23765" xr:uid="{00000000-0005-0000-0000-0000D1650000}"/>
    <cellStyle name="Output 2 2 3 3" xfId="15471" xr:uid="{00000000-0005-0000-0000-0000D2650000}"/>
    <cellStyle name="Output 2 2 4" xfId="4894" xr:uid="{00000000-0005-0000-0000-0000D3650000}"/>
    <cellStyle name="Output 2 2 4 2" xfId="23354" xr:uid="{00000000-0005-0000-0000-0000D4650000}"/>
    <cellStyle name="Output 2 2 4 3" xfId="18508" xr:uid="{00000000-0005-0000-0000-0000D5650000}"/>
    <cellStyle name="Output 2 2 5" xfId="6307" xr:uid="{00000000-0005-0000-0000-0000D6650000}"/>
    <cellStyle name="Output 2 2 5 2" xfId="24747" xr:uid="{00000000-0005-0000-0000-0000D7650000}"/>
    <cellStyle name="Output 2 2 5 3" xfId="19856" xr:uid="{00000000-0005-0000-0000-0000D8650000}"/>
    <cellStyle name="Output 2 2 6" xfId="7367" xr:uid="{00000000-0005-0000-0000-0000D9650000}"/>
    <cellStyle name="Output 2 2 6 2" xfId="25798" xr:uid="{00000000-0005-0000-0000-0000DA650000}"/>
    <cellStyle name="Output 2 2 6 3" xfId="20723" xr:uid="{00000000-0005-0000-0000-0000DB650000}"/>
    <cellStyle name="Output 2 2 7" xfId="6381" xr:uid="{00000000-0005-0000-0000-0000DC650000}"/>
    <cellStyle name="Output 2 2 7 2" xfId="24821" xr:uid="{00000000-0005-0000-0000-0000DD650000}"/>
    <cellStyle name="Output 2 2 7 3" xfId="19930" xr:uid="{00000000-0005-0000-0000-0000DE650000}"/>
    <cellStyle name="Output 2 2 8" xfId="8467" xr:uid="{00000000-0005-0000-0000-0000DF650000}"/>
    <cellStyle name="Output 2 2 8 2" xfId="26890" xr:uid="{00000000-0005-0000-0000-0000E0650000}"/>
    <cellStyle name="Output 2 2 8 3" xfId="21758" xr:uid="{00000000-0005-0000-0000-0000E1650000}"/>
    <cellStyle name="Output 2 2 9" xfId="3959" xr:uid="{00000000-0005-0000-0000-0000E2650000}"/>
    <cellStyle name="Output 2 2 9 2" xfId="22426" xr:uid="{00000000-0005-0000-0000-0000E3650000}"/>
    <cellStyle name="Output 2 2 9 3" xfId="17641" xr:uid="{00000000-0005-0000-0000-0000E4650000}"/>
    <cellStyle name="Output 2 20" xfId="16033" xr:uid="{00000000-0005-0000-0000-0000E5650000}"/>
    <cellStyle name="Output 2 20 2" xfId="37374" xr:uid="{00000000-0005-0000-0000-0000E6650000}"/>
    <cellStyle name="Output 2 20 3" xfId="16951" xr:uid="{00000000-0005-0000-0000-0000E7650000}"/>
    <cellStyle name="Output 2 21" xfId="14617" xr:uid="{00000000-0005-0000-0000-0000E8650000}"/>
    <cellStyle name="Output 2 21 2" xfId="36112" xr:uid="{00000000-0005-0000-0000-0000E9650000}"/>
    <cellStyle name="Output 2 22" xfId="38070" xr:uid="{00000000-0005-0000-0000-0000850E0000}"/>
    <cellStyle name="Output 2 3" xfId="3044" xr:uid="{00000000-0005-0000-0000-0000EA650000}"/>
    <cellStyle name="Output 2 3 10" xfId="16111" xr:uid="{00000000-0005-0000-0000-0000EB650000}"/>
    <cellStyle name="Output 2 3 10 2" xfId="37433" xr:uid="{00000000-0005-0000-0000-0000EC650000}"/>
    <cellStyle name="Output 2 3 10 3" xfId="16955" xr:uid="{00000000-0005-0000-0000-0000ED650000}"/>
    <cellStyle name="Output 2 3 11" xfId="16299" xr:uid="{00000000-0005-0000-0000-0000EE650000}"/>
    <cellStyle name="Output 2 3 11 2" xfId="37605" xr:uid="{00000000-0005-0000-0000-0000EF650000}"/>
    <cellStyle name="Output 2 3 12" xfId="38073" xr:uid="{00000000-0005-0000-0000-0000890E0000}"/>
    <cellStyle name="Output 2 3 2" xfId="3552" xr:uid="{00000000-0005-0000-0000-0000F0650000}"/>
    <cellStyle name="Output 2 3 2 10" xfId="14423" xr:uid="{00000000-0005-0000-0000-0000F1650000}"/>
    <cellStyle name="Output 2 3 2 10 2" xfId="35951" xr:uid="{00000000-0005-0000-0000-0000F2650000}"/>
    <cellStyle name="Output 2 3 2 11" xfId="28143" xr:uid="{00000000-0005-0000-0000-0000F3650000}"/>
    <cellStyle name="Output 2 3 2 2" xfId="5679" xr:uid="{00000000-0005-0000-0000-0000F4650000}"/>
    <cellStyle name="Output 2 3 2 2 2" xfId="14027" xr:uid="{00000000-0005-0000-0000-0000F5650000}"/>
    <cellStyle name="Output 2 3 2 2 2 2" xfId="35799" xr:uid="{00000000-0005-0000-0000-0000F6650000}"/>
    <cellStyle name="Output 2 3 2 2 2 3" xfId="24132" xr:uid="{00000000-0005-0000-0000-0000F7650000}"/>
    <cellStyle name="Output 2 3 2 2 3" xfId="16416" xr:uid="{00000000-0005-0000-0000-0000F8650000}"/>
    <cellStyle name="Output 2 3 2 2 3 2" xfId="37704" xr:uid="{00000000-0005-0000-0000-0000F9650000}"/>
    <cellStyle name="Output 2 3 2 2 4" xfId="14737" xr:uid="{00000000-0005-0000-0000-0000FA650000}"/>
    <cellStyle name="Output 2 3 2 2 5" xfId="32287" xr:uid="{00000000-0005-0000-0000-0000FB650000}"/>
    <cellStyle name="Output 2 3 2 2 6" xfId="30501" xr:uid="{00000000-0005-0000-0000-0000FC650000}"/>
    <cellStyle name="Output 2 3 2 2 7" xfId="19262" xr:uid="{00000000-0005-0000-0000-0000FD650000}"/>
    <cellStyle name="Output 2 3 2 3" xfId="5166" xr:uid="{00000000-0005-0000-0000-0000FE650000}"/>
    <cellStyle name="Output 2 3 2 3 2" xfId="13011" xr:uid="{00000000-0005-0000-0000-0000FF650000}"/>
    <cellStyle name="Output 2 3 2 3 2 2" xfId="35157" xr:uid="{00000000-0005-0000-0000-000000660000}"/>
    <cellStyle name="Output 2 3 2 3 2 3" xfId="23626" xr:uid="{00000000-0005-0000-0000-000001660000}"/>
    <cellStyle name="Output 2 3 2 3 3" xfId="15726" xr:uid="{00000000-0005-0000-0000-000002660000}"/>
    <cellStyle name="Output 2 3 2 3 3 2" xfId="37091" xr:uid="{00000000-0005-0000-0000-000003660000}"/>
    <cellStyle name="Output 2 3 2 3 4" xfId="16523" xr:uid="{00000000-0005-0000-0000-000004660000}"/>
    <cellStyle name="Output 2 3 2 3 5" xfId="32004" xr:uid="{00000000-0005-0000-0000-000005660000}"/>
    <cellStyle name="Output 2 3 2 3 6" xfId="18780" xr:uid="{00000000-0005-0000-0000-000006660000}"/>
    <cellStyle name="Output 2 3 2 4" xfId="5914" xr:uid="{00000000-0005-0000-0000-000007660000}"/>
    <cellStyle name="Output 2 3 2 4 2" xfId="24359" xr:uid="{00000000-0005-0000-0000-000008660000}"/>
    <cellStyle name="Output 2 3 2 4 3" xfId="19467" xr:uid="{00000000-0005-0000-0000-000009660000}"/>
    <cellStyle name="Output 2 3 2 5" xfId="7691" xr:uid="{00000000-0005-0000-0000-00000A660000}"/>
    <cellStyle name="Output 2 3 2 5 2" xfId="26121" xr:uid="{00000000-0005-0000-0000-00000B660000}"/>
    <cellStyle name="Output 2 3 2 5 3" xfId="21046" xr:uid="{00000000-0005-0000-0000-00000C660000}"/>
    <cellStyle name="Output 2 3 2 6" xfId="8065" xr:uid="{00000000-0005-0000-0000-00000D660000}"/>
    <cellStyle name="Output 2 3 2 6 2" xfId="26495" xr:uid="{00000000-0005-0000-0000-00000E660000}"/>
    <cellStyle name="Output 2 3 2 6 3" xfId="21419" xr:uid="{00000000-0005-0000-0000-00000F660000}"/>
    <cellStyle name="Output 2 3 2 7" xfId="8789" xr:uid="{00000000-0005-0000-0000-000010660000}"/>
    <cellStyle name="Output 2 3 2 7 2" xfId="27209" xr:uid="{00000000-0005-0000-0000-000011660000}"/>
    <cellStyle name="Output 2 3 2 7 3" xfId="22080" xr:uid="{00000000-0005-0000-0000-000012660000}"/>
    <cellStyle name="Output 2 3 2 8" xfId="4281" xr:uid="{00000000-0005-0000-0000-000013660000}"/>
    <cellStyle name="Output 2 3 2 8 2" xfId="22745" xr:uid="{00000000-0005-0000-0000-000014660000}"/>
    <cellStyle name="Output 2 3 2 8 3" xfId="17963" xr:uid="{00000000-0005-0000-0000-000015660000}"/>
    <cellStyle name="Output 2 3 2 9" xfId="16029" xr:uid="{00000000-0005-0000-0000-000016660000}"/>
    <cellStyle name="Output 2 3 2 9 2" xfId="37370" xr:uid="{00000000-0005-0000-0000-000017660000}"/>
    <cellStyle name="Output 2 3 2 9 3" xfId="17292" xr:uid="{00000000-0005-0000-0000-000018660000}"/>
    <cellStyle name="Output 2 3 3" xfId="5306" xr:uid="{00000000-0005-0000-0000-000019660000}"/>
    <cellStyle name="Output 2 3 3 2" xfId="16421" xr:uid="{00000000-0005-0000-0000-00001A660000}"/>
    <cellStyle name="Output 2 3 3 2 2" xfId="23766" xr:uid="{00000000-0005-0000-0000-00001B660000}"/>
    <cellStyle name="Output 2 3 3 3" xfId="14833" xr:uid="{00000000-0005-0000-0000-00001C660000}"/>
    <cellStyle name="Output 2 3 4" xfId="4895" xr:uid="{00000000-0005-0000-0000-00001D660000}"/>
    <cellStyle name="Output 2 3 4 2" xfId="23355" xr:uid="{00000000-0005-0000-0000-00001E660000}"/>
    <cellStyle name="Output 2 3 4 3" xfId="18509" xr:uid="{00000000-0005-0000-0000-00001F660000}"/>
    <cellStyle name="Output 2 3 5" xfId="6306" xr:uid="{00000000-0005-0000-0000-000020660000}"/>
    <cellStyle name="Output 2 3 5 2" xfId="24746" xr:uid="{00000000-0005-0000-0000-000021660000}"/>
    <cellStyle name="Output 2 3 5 3" xfId="19855" xr:uid="{00000000-0005-0000-0000-000022660000}"/>
    <cellStyle name="Output 2 3 6" xfId="7368" xr:uid="{00000000-0005-0000-0000-000023660000}"/>
    <cellStyle name="Output 2 3 6 2" xfId="25799" xr:uid="{00000000-0005-0000-0000-000024660000}"/>
    <cellStyle name="Output 2 3 6 3" xfId="20724" xr:uid="{00000000-0005-0000-0000-000025660000}"/>
    <cellStyle name="Output 2 3 7" xfId="6380" xr:uid="{00000000-0005-0000-0000-000026660000}"/>
    <cellStyle name="Output 2 3 7 2" xfId="24820" xr:uid="{00000000-0005-0000-0000-000027660000}"/>
    <cellStyle name="Output 2 3 7 3" xfId="19929" xr:uid="{00000000-0005-0000-0000-000028660000}"/>
    <cellStyle name="Output 2 3 8" xfId="8468" xr:uid="{00000000-0005-0000-0000-000029660000}"/>
    <cellStyle name="Output 2 3 8 2" xfId="26891" xr:uid="{00000000-0005-0000-0000-00002A660000}"/>
    <cellStyle name="Output 2 3 8 3" xfId="21759" xr:uid="{00000000-0005-0000-0000-00002B660000}"/>
    <cellStyle name="Output 2 3 9" xfId="3960" xr:uid="{00000000-0005-0000-0000-00002C660000}"/>
    <cellStyle name="Output 2 3 9 2" xfId="22427" xr:uid="{00000000-0005-0000-0000-00002D660000}"/>
    <cellStyle name="Output 2 3 9 3" xfId="17642" xr:uid="{00000000-0005-0000-0000-00002E660000}"/>
    <cellStyle name="Output 2 4" xfId="3045" xr:uid="{00000000-0005-0000-0000-00002F660000}"/>
    <cellStyle name="Output 2 4 10" xfId="16028" xr:uid="{00000000-0005-0000-0000-000030660000}"/>
    <cellStyle name="Output 2 4 10 2" xfId="37369" xr:uid="{00000000-0005-0000-0000-000031660000}"/>
    <cellStyle name="Output 2 4 10 3" xfId="16956" xr:uid="{00000000-0005-0000-0000-000032660000}"/>
    <cellStyle name="Output 2 4 11" xfId="15075" xr:uid="{00000000-0005-0000-0000-000033660000}"/>
    <cellStyle name="Output 2 4 11 2" xfId="36486" xr:uid="{00000000-0005-0000-0000-000034660000}"/>
    <cellStyle name="Output 2 4 12" xfId="38074" xr:uid="{00000000-0005-0000-0000-00008A0E0000}"/>
    <cellStyle name="Output 2 4 2" xfId="3553" xr:uid="{00000000-0005-0000-0000-000035660000}"/>
    <cellStyle name="Output 2 4 2 10" xfId="15494" xr:uid="{00000000-0005-0000-0000-000036660000}"/>
    <cellStyle name="Output 2 4 2 10 2" xfId="36872" xr:uid="{00000000-0005-0000-0000-000037660000}"/>
    <cellStyle name="Output 2 4 2 11" xfId="28144" xr:uid="{00000000-0005-0000-0000-000038660000}"/>
    <cellStyle name="Output 2 4 2 2" xfId="5680" xr:uid="{00000000-0005-0000-0000-000039660000}"/>
    <cellStyle name="Output 2 4 2 2 2" xfId="14031" xr:uid="{00000000-0005-0000-0000-00003A660000}"/>
    <cellStyle name="Output 2 4 2 2 2 2" xfId="35803" xr:uid="{00000000-0005-0000-0000-00003B660000}"/>
    <cellStyle name="Output 2 4 2 2 2 3" xfId="24133" xr:uid="{00000000-0005-0000-0000-00003C660000}"/>
    <cellStyle name="Output 2 4 2 2 3" xfId="16429" xr:uid="{00000000-0005-0000-0000-00003D660000}"/>
    <cellStyle name="Output 2 4 2 2 3 2" xfId="37708" xr:uid="{00000000-0005-0000-0000-00003E660000}"/>
    <cellStyle name="Output 2 4 2 2 4" xfId="15470" xr:uid="{00000000-0005-0000-0000-00003F660000}"/>
    <cellStyle name="Output 2 4 2 2 5" xfId="32288" xr:uid="{00000000-0005-0000-0000-000040660000}"/>
    <cellStyle name="Output 2 4 2 2 6" xfId="30502" xr:uid="{00000000-0005-0000-0000-000041660000}"/>
    <cellStyle name="Output 2 4 2 2 7" xfId="19263" xr:uid="{00000000-0005-0000-0000-000042660000}"/>
    <cellStyle name="Output 2 4 2 3" xfId="5167" xr:uid="{00000000-0005-0000-0000-000043660000}"/>
    <cellStyle name="Output 2 4 2 3 2" xfId="13012" xr:uid="{00000000-0005-0000-0000-000044660000}"/>
    <cellStyle name="Output 2 4 2 3 2 2" xfId="35158" xr:uid="{00000000-0005-0000-0000-000045660000}"/>
    <cellStyle name="Output 2 4 2 3 2 3" xfId="23627" xr:uid="{00000000-0005-0000-0000-000046660000}"/>
    <cellStyle name="Output 2 4 2 3 3" xfId="15725" xr:uid="{00000000-0005-0000-0000-000047660000}"/>
    <cellStyle name="Output 2 4 2 3 3 2" xfId="37090" xr:uid="{00000000-0005-0000-0000-000048660000}"/>
    <cellStyle name="Output 2 4 2 3 4" xfId="15184" xr:uid="{00000000-0005-0000-0000-000049660000}"/>
    <cellStyle name="Output 2 4 2 3 5" xfId="32005" xr:uid="{00000000-0005-0000-0000-00004A660000}"/>
    <cellStyle name="Output 2 4 2 3 6" xfId="18781" xr:uid="{00000000-0005-0000-0000-00004B660000}"/>
    <cellStyle name="Output 2 4 2 4" xfId="5913" xr:uid="{00000000-0005-0000-0000-00004C660000}"/>
    <cellStyle name="Output 2 4 2 4 2" xfId="24358" xr:uid="{00000000-0005-0000-0000-00004D660000}"/>
    <cellStyle name="Output 2 4 2 4 3" xfId="19466" xr:uid="{00000000-0005-0000-0000-00004E660000}"/>
    <cellStyle name="Output 2 4 2 5" xfId="7692" xr:uid="{00000000-0005-0000-0000-00004F660000}"/>
    <cellStyle name="Output 2 4 2 5 2" xfId="26122" xr:uid="{00000000-0005-0000-0000-000050660000}"/>
    <cellStyle name="Output 2 4 2 5 3" xfId="21047" xr:uid="{00000000-0005-0000-0000-000051660000}"/>
    <cellStyle name="Output 2 4 2 6" xfId="8066" xr:uid="{00000000-0005-0000-0000-000052660000}"/>
    <cellStyle name="Output 2 4 2 6 2" xfId="26496" xr:uid="{00000000-0005-0000-0000-000053660000}"/>
    <cellStyle name="Output 2 4 2 6 3" xfId="21420" xr:uid="{00000000-0005-0000-0000-000054660000}"/>
    <cellStyle name="Output 2 4 2 7" xfId="8790" xr:uid="{00000000-0005-0000-0000-000055660000}"/>
    <cellStyle name="Output 2 4 2 7 2" xfId="27210" xr:uid="{00000000-0005-0000-0000-000056660000}"/>
    <cellStyle name="Output 2 4 2 7 3" xfId="22081" xr:uid="{00000000-0005-0000-0000-000057660000}"/>
    <cellStyle name="Output 2 4 2 8" xfId="4282" xr:uid="{00000000-0005-0000-0000-000058660000}"/>
    <cellStyle name="Output 2 4 2 8 2" xfId="22746" xr:uid="{00000000-0005-0000-0000-000059660000}"/>
    <cellStyle name="Output 2 4 2 8 3" xfId="17964" xr:uid="{00000000-0005-0000-0000-00005A660000}"/>
    <cellStyle name="Output 2 4 2 9" xfId="16027" xr:uid="{00000000-0005-0000-0000-00005B660000}"/>
    <cellStyle name="Output 2 4 2 9 2" xfId="37368" xr:uid="{00000000-0005-0000-0000-00005C660000}"/>
    <cellStyle name="Output 2 4 2 9 3" xfId="17293" xr:uid="{00000000-0005-0000-0000-00005D660000}"/>
    <cellStyle name="Output 2 4 3" xfId="5307" xr:uid="{00000000-0005-0000-0000-00005E660000}"/>
    <cellStyle name="Output 2 4 3 2" xfId="16423" xr:uid="{00000000-0005-0000-0000-00005F660000}"/>
    <cellStyle name="Output 2 4 3 2 2" xfId="23767" xr:uid="{00000000-0005-0000-0000-000060660000}"/>
    <cellStyle name="Output 2 4 3 3" xfId="16553" xr:uid="{00000000-0005-0000-0000-000061660000}"/>
    <cellStyle name="Output 2 4 4" xfId="4896" xr:uid="{00000000-0005-0000-0000-000062660000}"/>
    <cellStyle name="Output 2 4 4 2" xfId="23356" xr:uid="{00000000-0005-0000-0000-000063660000}"/>
    <cellStyle name="Output 2 4 4 3" xfId="18510" xr:uid="{00000000-0005-0000-0000-000064660000}"/>
    <cellStyle name="Output 2 4 5" xfId="6305" xr:uid="{00000000-0005-0000-0000-000065660000}"/>
    <cellStyle name="Output 2 4 5 2" xfId="24745" xr:uid="{00000000-0005-0000-0000-000066660000}"/>
    <cellStyle name="Output 2 4 5 3" xfId="19854" xr:uid="{00000000-0005-0000-0000-000067660000}"/>
    <cellStyle name="Output 2 4 6" xfId="7369" xr:uid="{00000000-0005-0000-0000-000068660000}"/>
    <cellStyle name="Output 2 4 6 2" xfId="25800" xr:uid="{00000000-0005-0000-0000-000069660000}"/>
    <cellStyle name="Output 2 4 6 3" xfId="20725" xr:uid="{00000000-0005-0000-0000-00006A660000}"/>
    <cellStyle name="Output 2 4 7" xfId="6379" xr:uid="{00000000-0005-0000-0000-00006B660000}"/>
    <cellStyle name="Output 2 4 7 2" xfId="24819" xr:uid="{00000000-0005-0000-0000-00006C660000}"/>
    <cellStyle name="Output 2 4 7 3" xfId="19928" xr:uid="{00000000-0005-0000-0000-00006D660000}"/>
    <cellStyle name="Output 2 4 8" xfId="8469" xr:uid="{00000000-0005-0000-0000-00006E660000}"/>
    <cellStyle name="Output 2 4 8 2" xfId="26892" xr:uid="{00000000-0005-0000-0000-00006F660000}"/>
    <cellStyle name="Output 2 4 8 3" xfId="21760" xr:uid="{00000000-0005-0000-0000-000070660000}"/>
    <cellStyle name="Output 2 4 9" xfId="3961" xr:uid="{00000000-0005-0000-0000-000071660000}"/>
    <cellStyle name="Output 2 4 9 2" xfId="22428" xr:uid="{00000000-0005-0000-0000-000072660000}"/>
    <cellStyle name="Output 2 4 9 3" xfId="17643" xr:uid="{00000000-0005-0000-0000-000073660000}"/>
    <cellStyle name="Output 2 5" xfId="3046" xr:uid="{00000000-0005-0000-0000-000074660000}"/>
    <cellStyle name="Output 2 5 10" xfId="15687" xr:uid="{00000000-0005-0000-0000-000075660000}"/>
    <cellStyle name="Output 2 5 10 2" xfId="37060" xr:uid="{00000000-0005-0000-0000-000076660000}"/>
    <cellStyle name="Output 2 5 10 3" xfId="16957" xr:uid="{00000000-0005-0000-0000-000077660000}"/>
    <cellStyle name="Output 2 5 11" xfId="15591" xr:uid="{00000000-0005-0000-0000-000078660000}"/>
    <cellStyle name="Output 2 5 11 2" xfId="36968" xr:uid="{00000000-0005-0000-0000-000079660000}"/>
    <cellStyle name="Output 2 5 12" xfId="38075" xr:uid="{00000000-0005-0000-0000-00008B0E0000}"/>
    <cellStyle name="Output 2 5 2" xfId="3554" xr:uid="{00000000-0005-0000-0000-00007A660000}"/>
    <cellStyle name="Output 2 5 2 10" xfId="16492" xr:uid="{00000000-0005-0000-0000-00007B660000}"/>
    <cellStyle name="Output 2 5 2 10 2" xfId="37738" xr:uid="{00000000-0005-0000-0000-00007C660000}"/>
    <cellStyle name="Output 2 5 2 11" xfId="28145" xr:uid="{00000000-0005-0000-0000-00007D660000}"/>
    <cellStyle name="Output 2 5 2 2" xfId="5681" xr:uid="{00000000-0005-0000-0000-00007E660000}"/>
    <cellStyle name="Output 2 5 2 2 2" xfId="14032" xr:uid="{00000000-0005-0000-0000-00007F660000}"/>
    <cellStyle name="Output 2 5 2 2 2 2" xfId="35804" xr:uid="{00000000-0005-0000-0000-000080660000}"/>
    <cellStyle name="Output 2 5 2 2 2 3" xfId="24134" xr:uid="{00000000-0005-0000-0000-000081660000}"/>
    <cellStyle name="Output 2 5 2 2 3" xfId="16430" xr:uid="{00000000-0005-0000-0000-000082660000}"/>
    <cellStyle name="Output 2 5 2 2 3 2" xfId="37709" xr:uid="{00000000-0005-0000-0000-000083660000}"/>
    <cellStyle name="Output 2 5 2 2 4" xfId="14583" xr:uid="{00000000-0005-0000-0000-000084660000}"/>
    <cellStyle name="Output 2 5 2 2 5" xfId="32289" xr:uid="{00000000-0005-0000-0000-000085660000}"/>
    <cellStyle name="Output 2 5 2 2 6" xfId="30503" xr:uid="{00000000-0005-0000-0000-000086660000}"/>
    <cellStyle name="Output 2 5 2 2 7" xfId="19264" xr:uid="{00000000-0005-0000-0000-000087660000}"/>
    <cellStyle name="Output 2 5 2 3" xfId="5168" xr:uid="{00000000-0005-0000-0000-000088660000}"/>
    <cellStyle name="Output 2 5 2 3 2" xfId="13013" xr:uid="{00000000-0005-0000-0000-000089660000}"/>
    <cellStyle name="Output 2 5 2 3 2 2" xfId="35159" xr:uid="{00000000-0005-0000-0000-00008A660000}"/>
    <cellStyle name="Output 2 5 2 3 2 3" xfId="23628" xr:uid="{00000000-0005-0000-0000-00008B660000}"/>
    <cellStyle name="Output 2 5 2 3 3" xfId="15140" xr:uid="{00000000-0005-0000-0000-00008C660000}"/>
    <cellStyle name="Output 2 5 2 3 3 2" xfId="36551" xr:uid="{00000000-0005-0000-0000-00008D660000}"/>
    <cellStyle name="Output 2 5 2 3 4" xfId="14736" xr:uid="{00000000-0005-0000-0000-00008E660000}"/>
    <cellStyle name="Output 2 5 2 3 5" xfId="32006" xr:uid="{00000000-0005-0000-0000-00008F660000}"/>
    <cellStyle name="Output 2 5 2 3 6" xfId="18782" xr:uid="{00000000-0005-0000-0000-000090660000}"/>
    <cellStyle name="Output 2 5 2 4" xfId="5912" xr:uid="{00000000-0005-0000-0000-000091660000}"/>
    <cellStyle name="Output 2 5 2 4 2" xfId="24357" xr:uid="{00000000-0005-0000-0000-000092660000}"/>
    <cellStyle name="Output 2 5 2 4 3" xfId="19465" xr:uid="{00000000-0005-0000-0000-000093660000}"/>
    <cellStyle name="Output 2 5 2 5" xfId="7693" xr:uid="{00000000-0005-0000-0000-000094660000}"/>
    <cellStyle name="Output 2 5 2 5 2" xfId="26123" xr:uid="{00000000-0005-0000-0000-000095660000}"/>
    <cellStyle name="Output 2 5 2 5 3" xfId="21048" xr:uid="{00000000-0005-0000-0000-000096660000}"/>
    <cellStyle name="Output 2 5 2 6" xfId="8067" xr:uid="{00000000-0005-0000-0000-000097660000}"/>
    <cellStyle name="Output 2 5 2 6 2" xfId="26497" xr:uid="{00000000-0005-0000-0000-000098660000}"/>
    <cellStyle name="Output 2 5 2 6 3" xfId="21421" xr:uid="{00000000-0005-0000-0000-000099660000}"/>
    <cellStyle name="Output 2 5 2 7" xfId="8791" xr:uid="{00000000-0005-0000-0000-00009A660000}"/>
    <cellStyle name="Output 2 5 2 7 2" xfId="27211" xr:uid="{00000000-0005-0000-0000-00009B660000}"/>
    <cellStyle name="Output 2 5 2 7 3" xfId="22082" xr:uid="{00000000-0005-0000-0000-00009C660000}"/>
    <cellStyle name="Output 2 5 2 8" xfId="4283" xr:uid="{00000000-0005-0000-0000-00009D660000}"/>
    <cellStyle name="Output 2 5 2 8 2" xfId="22747" xr:uid="{00000000-0005-0000-0000-00009E660000}"/>
    <cellStyle name="Output 2 5 2 8 3" xfId="17965" xr:uid="{00000000-0005-0000-0000-00009F660000}"/>
    <cellStyle name="Output 2 5 2 9" xfId="16026" xr:uid="{00000000-0005-0000-0000-0000A0660000}"/>
    <cellStyle name="Output 2 5 2 9 2" xfId="37367" xr:uid="{00000000-0005-0000-0000-0000A1660000}"/>
    <cellStyle name="Output 2 5 2 9 3" xfId="17294" xr:uid="{00000000-0005-0000-0000-0000A2660000}"/>
    <cellStyle name="Output 2 5 3" xfId="5308" xr:uid="{00000000-0005-0000-0000-0000A3660000}"/>
    <cellStyle name="Output 2 5 3 2" xfId="16432" xr:uid="{00000000-0005-0000-0000-0000A4660000}"/>
    <cellStyle name="Output 2 5 3 2 2" xfId="23768" xr:uid="{00000000-0005-0000-0000-0000A5660000}"/>
    <cellStyle name="Output 2 5 3 3" xfId="16157" xr:uid="{00000000-0005-0000-0000-0000A6660000}"/>
    <cellStyle name="Output 2 5 4" xfId="4897" xr:uid="{00000000-0005-0000-0000-0000A7660000}"/>
    <cellStyle name="Output 2 5 4 2" xfId="23357" xr:uid="{00000000-0005-0000-0000-0000A8660000}"/>
    <cellStyle name="Output 2 5 4 3" xfId="18511" xr:uid="{00000000-0005-0000-0000-0000A9660000}"/>
    <cellStyle name="Output 2 5 5" xfId="6304" xr:uid="{00000000-0005-0000-0000-0000AA660000}"/>
    <cellStyle name="Output 2 5 5 2" xfId="24744" xr:uid="{00000000-0005-0000-0000-0000AB660000}"/>
    <cellStyle name="Output 2 5 5 3" xfId="19853" xr:uid="{00000000-0005-0000-0000-0000AC660000}"/>
    <cellStyle name="Output 2 5 6" xfId="7370" xr:uid="{00000000-0005-0000-0000-0000AD660000}"/>
    <cellStyle name="Output 2 5 6 2" xfId="25801" xr:uid="{00000000-0005-0000-0000-0000AE660000}"/>
    <cellStyle name="Output 2 5 6 3" xfId="20726" xr:uid="{00000000-0005-0000-0000-0000AF660000}"/>
    <cellStyle name="Output 2 5 7" xfId="6378" xr:uid="{00000000-0005-0000-0000-0000B0660000}"/>
    <cellStyle name="Output 2 5 7 2" xfId="24818" xr:uid="{00000000-0005-0000-0000-0000B1660000}"/>
    <cellStyle name="Output 2 5 7 3" xfId="19927" xr:uid="{00000000-0005-0000-0000-0000B2660000}"/>
    <cellStyle name="Output 2 5 8" xfId="8470" xr:uid="{00000000-0005-0000-0000-0000B3660000}"/>
    <cellStyle name="Output 2 5 8 2" xfId="26893" xr:uid="{00000000-0005-0000-0000-0000B4660000}"/>
    <cellStyle name="Output 2 5 8 3" xfId="21761" xr:uid="{00000000-0005-0000-0000-0000B5660000}"/>
    <cellStyle name="Output 2 5 9" xfId="3962" xr:uid="{00000000-0005-0000-0000-0000B6660000}"/>
    <cellStyle name="Output 2 5 9 2" xfId="22429" xr:uid="{00000000-0005-0000-0000-0000B7660000}"/>
    <cellStyle name="Output 2 5 9 3" xfId="17644" xr:uid="{00000000-0005-0000-0000-0000B8660000}"/>
    <cellStyle name="Output 2 6" xfId="3047" xr:uid="{00000000-0005-0000-0000-0000B9660000}"/>
    <cellStyle name="Output 2 6 10" xfId="15656" xr:uid="{00000000-0005-0000-0000-0000BA660000}"/>
    <cellStyle name="Output 2 6 10 2" xfId="37031" xr:uid="{00000000-0005-0000-0000-0000BB660000}"/>
    <cellStyle name="Output 2 6 10 3" xfId="16958" xr:uid="{00000000-0005-0000-0000-0000BC660000}"/>
    <cellStyle name="Output 2 6 11" xfId="15084" xr:uid="{00000000-0005-0000-0000-0000BD660000}"/>
    <cellStyle name="Output 2 6 11 2" xfId="36495" xr:uid="{00000000-0005-0000-0000-0000BE660000}"/>
    <cellStyle name="Output 2 6 12" xfId="38076" xr:uid="{00000000-0005-0000-0000-00008C0E0000}"/>
    <cellStyle name="Output 2 6 2" xfId="3555" xr:uid="{00000000-0005-0000-0000-0000BF660000}"/>
    <cellStyle name="Output 2 6 2 10" xfId="15750" xr:uid="{00000000-0005-0000-0000-0000C0660000}"/>
    <cellStyle name="Output 2 6 2 10 2" xfId="37113" xr:uid="{00000000-0005-0000-0000-0000C1660000}"/>
    <cellStyle name="Output 2 6 2 11" xfId="28146" xr:uid="{00000000-0005-0000-0000-0000C2660000}"/>
    <cellStyle name="Output 2 6 2 2" xfId="5682" xr:uid="{00000000-0005-0000-0000-0000C3660000}"/>
    <cellStyle name="Output 2 6 2 2 2" xfId="14029" xr:uid="{00000000-0005-0000-0000-0000C4660000}"/>
    <cellStyle name="Output 2 6 2 2 2 2" xfId="35801" xr:uid="{00000000-0005-0000-0000-0000C5660000}"/>
    <cellStyle name="Output 2 6 2 2 2 3" xfId="24135" xr:uid="{00000000-0005-0000-0000-0000C6660000}"/>
    <cellStyle name="Output 2 6 2 2 3" xfId="16427" xr:uid="{00000000-0005-0000-0000-0000C7660000}"/>
    <cellStyle name="Output 2 6 2 2 3 2" xfId="37706" xr:uid="{00000000-0005-0000-0000-0000C8660000}"/>
    <cellStyle name="Output 2 6 2 2 4" xfId="16515" xr:uid="{00000000-0005-0000-0000-0000C9660000}"/>
    <cellStyle name="Output 2 6 2 2 5" xfId="32290" xr:uid="{00000000-0005-0000-0000-0000CA660000}"/>
    <cellStyle name="Output 2 6 2 2 6" xfId="30504" xr:uid="{00000000-0005-0000-0000-0000CB660000}"/>
    <cellStyle name="Output 2 6 2 2 7" xfId="19265" xr:uid="{00000000-0005-0000-0000-0000CC660000}"/>
    <cellStyle name="Output 2 6 2 3" xfId="5169" xr:uid="{00000000-0005-0000-0000-0000CD660000}"/>
    <cellStyle name="Output 2 6 2 3 2" xfId="13014" xr:uid="{00000000-0005-0000-0000-0000CE660000}"/>
    <cellStyle name="Output 2 6 2 3 2 2" xfId="35160" xr:uid="{00000000-0005-0000-0000-0000CF660000}"/>
    <cellStyle name="Output 2 6 2 3 2 3" xfId="23629" xr:uid="{00000000-0005-0000-0000-0000D0660000}"/>
    <cellStyle name="Output 2 6 2 3 3" xfId="15724" xr:uid="{00000000-0005-0000-0000-0000D1660000}"/>
    <cellStyle name="Output 2 6 2 3 3 2" xfId="37089" xr:uid="{00000000-0005-0000-0000-0000D2660000}"/>
    <cellStyle name="Output 2 6 2 3 4" xfId="16002" xr:uid="{00000000-0005-0000-0000-0000D3660000}"/>
    <cellStyle name="Output 2 6 2 3 5" xfId="32007" xr:uid="{00000000-0005-0000-0000-0000D4660000}"/>
    <cellStyle name="Output 2 6 2 3 6" xfId="18783" xr:uid="{00000000-0005-0000-0000-0000D5660000}"/>
    <cellStyle name="Output 2 6 2 4" xfId="5911" xr:uid="{00000000-0005-0000-0000-0000D6660000}"/>
    <cellStyle name="Output 2 6 2 4 2" xfId="24356" xr:uid="{00000000-0005-0000-0000-0000D7660000}"/>
    <cellStyle name="Output 2 6 2 4 3" xfId="19464" xr:uid="{00000000-0005-0000-0000-0000D8660000}"/>
    <cellStyle name="Output 2 6 2 5" xfId="7694" xr:uid="{00000000-0005-0000-0000-0000D9660000}"/>
    <cellStyle name="Output 2 6 2 5 2" xfId="26124" xr:uid="{00000000-0005-0000-0000-0000DA660000}"/>
    <cellStyle name="Output 2 6 2 5 3" xfId="21049" xr:uid="{00000000-0005-0000-0000-0000DB660000}"/>
    <cellStyle name="Output 2 6 2 6" xfId="8068" xr:uid="{00000000-0005-0000-0000-0000DC660000}"/>
    <cellStyle name="Output 2 6 2 6 2" xfId="26498" xr:uid="{00000000-0005-0000-0000-0000DD660000}"/>
    <cellStyle name="Output 2 6 2 6 3" xfId="21422" xr:uid="{00000000-0005-0000-0000-0000DE660000}"/>
    <cellStyle name="Output 2 6 2 7" xfId="8792" xr:uid="{00000000-0005-0000-0000-0000DF660000}"/>
    <cellStyle name="Output 2 6 2 7 2" xfId="27212" xr:uid="{00000000-0005-0000-0000-0000E0660000}"/>
    <cellStyle name="Output 2 6 2 7 3" xfId="22083" xr:uid="{00000000-0005-0000-0000-0000E1660000}"/>
    <cellStyle name="Output 2 6 2 8" xfId="4284" xr:uid="{00000000-0005-0000-0000-0000E2660000}"/>
    <cellStyle name="Output 2 6 2 8 2" xfId="22748" xr:uid="{00000000-0005-0000-0000-0000E3660000}"/>
    <cellStyle name="Output 2 6 2 8 3" xfId="17966" xr:uid="{00000000-0005-0000-0000-0000E4660000}"/>
    <cellStyle name="Output 2 6 2 9" xfId="16025" xr:uid="{00000000-0005-0000-0000-0000E5660000}"/>
    <cellStyle name="Output 2 6 2 9 2" xfId="37366" xr:uid="{00000000-0005-0000-0000-0000E6660000}"/>
    <cellStyle name="Output 2 6 2 9 3" xfId="17295" xr:uid="{00000000-0005-0000-0000-0000E7660000}"/>
    <cellStyle name="Output 2 6 3" xfId="5309" xr:uid="{00000000-0005-0000-0000-0000E8660000}"/>
    <cellStyle name="Output 2 6 3 2" xfId="16434" xr:uid="{00000000-0005-0000-0000-0000E9660000}"/>
    <cellStyle name="Output 2 6 3 2 2" xfId="23769" xr:uid="{00000000-0005-0000-0000-0000EA660000}"/>
    <cellStyle name="Output 2 6 3 3" xfId="14539" xr:uid="{00000000-0005-0000-0000-0000EB660000}"/>
    <cellStyle name="Output 2 6 4" xfId="4898" xr:uid="{00000000-0005-0000-0000-0000EC660000}"/>
    <cellStyle name="Output 2 6 4 2" xfId="23358" xr:uid="{00000000-0005-0000-0000-0000ED660000}"/>
    <cellStyle name="Output 2 6 4 3" xfId="18512" xr:uid="{00000000-0005-0000-0000-0000EE660000}"/>
    <cellStyle name="Output 2 6 5" xfId="6303" xr:uid="{00000000-0005-0000-0000-0000EF660000}"/>
    <cellStyle name="Output 2 6 5 2" xfId="24743" xr:uid="{00000000-0005-0000-0000-0000F0660000}"/>
    <cellStyle name="Output 2 6 5 3" xfId="19852" xr:uid="{00000000-0005-0000-0000-0000F1660000}"/>
    <cellStyle name="Output 2 6 6" xfId="7371" xr:uid="{00000000-0005-0000-0000-0000F2660000}"/>
    <cellStyle name="Output 2 6 6 2" xfId="25802" xr:uid="{00000000-0005-0000-0000-0000F3660000}"/>
    <cellStyle name="Output 2 6 6 3" xfId="20727" xr:uid="{00000000-0005-0000-0000-0000F4660000}"/>
    <cellStyle name="Output 2 6 7" xfId="7281" xr:uid="{00000000-0005-0000-0000-0000F5660000}"/>
    <cellStyle name="Output 2 6 7 2" xfId="25712" xr:uid="{00000000-0005-0000-0000-0000F6660000}"/>
    <cellStyle name="Output 2 6 7 3" xfId="20638" xr:uid="{00000000-0005-0000-0000-0000F7660000}"/>
    <cellStyle name="Output 2 6 8" xfId="8471" xr:uid="{00000000-0005-0000-0000-0000F8660000}"/>
    <cellStyle name="Output 2 6 8 2" xfId="26894" xr:uid="{00000000-0005-0000-0000-0000F9660000}"/>
    <cellStyle name="Output 2 6 8 3" xfId="21762" xr:uid="{00000000-0005-0000-0000-0000FA660000}"/>
    <cellStyle name="Output 2 6 9" xfId="3963" xr:uid="{00000000-0005-0000-0000-0000FB660000}"/>
    <cellStyle name="Output 2 6 9 2" xfId="22430" xr:uid="{00000000-0005-0000-0000-0000FC660000}"/>
    <cellStyle name="Output 2 6 9 3" xfId="17645" xr:uid="{00000000-0005-0000-0000-0000FD660000}"/>
    <cellStyle name="Output 2 7" xfId="3048" xr:uid="{00000000-0005-0000-0000-0000FE660000}"/>
    <cellStyle name="Output 2 7 10" xfId="15632" xr:uid="{00000000-0005-0000-0000-0000FF660000}"/>
    <cellStyle name="Output 2 7 10 2" xfId="37007" xr:uid="{00000000-0005-0000-0000-000000670000}"/>
    <cellStyle name="Output 2 7 10 3" xfId="16959" xr:uid="{00000000-0005-0000-0000-000001670000}"/>
    <cellStyle name="Output 2 7 11" xfId="15996" xr:uid="{00000000-0005-0000-0000-000002670000}"/>
    <cellStyle name="Output 2 7 11 2" xfId="37349" xr:uid="{00000000-0005-0000-0000-000003670000}"/>
    <cellStyle name="Output 2 7 12" xfId="38077" xr:uid="{00000000-0005-0000-0000-00008D0E0000}"/>
    <cellStyle name="Output 2 7 2" xfId="3556" xr:uid="{00000000-0005-0000-0000-000004670000}"/>
    <cellStyle name="Output 2 7 2 10" xfId="14861" xr:uid="{00000000-0005-0000-0000-000005670000}"/>
    <cellStyle name="Output 2 7 2 10 2" xfId="36309" xr:uid="{00000000-0005-0000-0000-000006670000}"/>
    <cellStyle name="Output 2 7 2 11" xfId="28147" xr:uid="{00000000-0005-0000-0000-000007670000}"/>
    <cellStyle name="Output 2 7 2 2" xfId="5683" xr:uid="{00000000-0005-0000-0000-000008670000}"/>
    <cellStyle name="Output 2 7 2 2 2" xfId="14025" xr:uid="{00000000-0005-0000-0000-000009670000}"/>
    <cellStyle name="Output 2 7 2 2 2 2" xfId="35797" xr:uid="{00000000-0005-0000-0000-00000A670000}"/>
    <cellStyle name="Output 2 7 2 2 2 3" xfId="24136" xr:uid="{00000000-0005-0000-0000-00000B670000}"/>
    <cellStyle name="Output 2 7 2 2 3" xfId="16414" xr:uid="{00000000-0005-0000-0000-00000C670000}"/>
    <cellStyle name="Output 2 7 2 2 3 2" xfId="37702" xr:uid="{00000000-0005-0000-0000-00000D670000}"/>
    <cellStyle name="Output 2 7 2 2 4" xfId="16215" xr:uid="{00000000-0005-0000-0000-00000E670000}"/>
    <cellStyle name="Output 2 7 2 2 5" xfId="32291" xr:uid="{00000000-0005-0000-0000-00000F670000}"/>
    <cellStyle name="Output 2 7 2 2 6" xfId="30505" xr:uid="{00000000-0005-0000-0000-000010670000}"/>
    <cellStyle name="Output 2 7 2 2 7" xfId="19266" xr:uid="{00000000-0005-0000-0000-000011670000}"/>
    <cellStyle name="Output 2 7 2 3" xfId="5170" xr:uid="{00000000-0005-0000-0000-000012670000}"/>
    <cellStyle name="Output 2 7 2 3 2" xfId="13015" xr:uid="{00000000-0005-0000-0000-000013670000}"/>
    <cellStyle name="Output 2 7 2 3 2 2" xfId="35161" xr:uid="{00000000-0005-0000-0000-000014670000}"/>
    <cellStyle name="Output 2 7 2 3 2 3" xfId="23630" xr:uid="{00000000-0005-0000-0000-000015670000}"/>
    <cellStyle name="Output 2 7 2 3 3" xfId="15139" xr:uid="{00000000-0005-0000-0000-000016670000}"/>
    <cellStyle name="Output 2 7 2 3 3 2" xfId="36550" xr:uid="{00000000-0005-0000-0000-000017670000}"/>
    <cellStyle name="Output 2 7 2 3 4" xfId="16487" xr:uid="{00000000-0005-0000-0000-000018670000}"/>
    <cellStyle name="Output 2 7 2 3 5" xfId="32008" xr:uid="{00000000-0005-0000-0000-000019670000}"/>
    <cellStyle name="Output 2 7 2 3 6" xfId="18784" xr:uid="{00000000-0005-0000-0000-00001A670000}"/>
    <cellStyle name="Output 2 7 2 4" xfId="5910" xr:uid="{00000000-0005-0000-0000-00001B670000}"/>
    <cellStyle name="Output 2 7 2 4 2" xfId="24355" xr:uid="{00000000-0005-0000-0000-00001C670000}"/>
    <cellStyle name="Output 2 7 2 4 3" xfId="19463" xr:uid="{00000000-0005-0000-0000-00001D670000}"/>
    <cellStyle name="Output 2 7 2 5" xfId="7695" xr:uid="{00000000-0005-0000-0000-00001E670000}"/>
    <cellStyle name="Output 2 7 2 5 2" xfId="26125" xr:uid="{00000000-0005-0000-0000-00001F670000}"/>
    <cellStyle name="Output 2 7 2 5 3" xfId="21050" xr:uid="{00000000-0005-0000-0000-000020670000}"/>
    <cellStyle name="Output 2 7 2 6" xfId="8069" xr:uid="{00000000-0005-0000-0000-000021670000}"/>
    <cellStyle name="Output 2 7 2 6 2" xfId="26499" xr:uid="{00000000-0005-0000-0000-000022670000}"/>
    <cellStyle name="Output 2 7 2 6 3" xfId="21423" xr:uid="{00000000-0005-0000-0000-000023670000}"/>
    <cellStyle name="Output 2 7 2 7" xfId="8793" xr:uid="{00000000-0005-0000-0000-000024670000}"/>
    <cellStyle name="Output 2 7 2 7 2" xfId="27213" xr:uid="{00000000-0005-0000-0000-000025670000}"/>
    <cellStyle name="Output 2 7 2 7 3" xfId="22084" xr:uid="{00000000-0005-0000-0000-000026670000}"/>
    <cellStyle name="Output 2 7 2 8" xfId="4285" xr:uid="{00000000-0005-0000-0000-000027670000}"/>
    <cellStyle name="Output 2 7 2 8 2" xfId="22749" xr:uid="{00000000-0005-0000-0000-000028670000}"/>
    <cellStyle name="Output 2 7 2 8 3" xfId="17967" xr:uid="{00000000-0005-0000-0000-000029670000}"/>
    <cellStyle name="Output 2 7 2 9" xfId="16024" xr:uid="{00000000-0005-0000-0000-00002A670000}"/>
    <cellStyle name="Output 2 7 2 9 2" xfId="37365" xr:uid="{00000000-0005-0000-0000-00002B670000}"/>
    <cellStyle name="Output 2 7 2 9 3" xfId="17296" xr:uid="{00000000-0005-0000-0000-00002C670000}"/>
    <cellStyle name="Output 2 7 3" xfId="5310" xr:uid="{00000000-0005-0000-0000-00002D670000}"/>
    <cellStyle name="Output 2 7 3 2" xfId="16436" xr:uid="{00000000-0005-0000-0000-00002E670000}"/>
    <cellStyle name="Output 2 7 3 2 2" xfId="23770" xr:uid="{00000000-0005-0000-0000-00002F670000}"/>
    <cellStyle name="Output 2 7 3 3" xfId="14620" xr:uid="{00000000-0005-0000-0000-000030670000}"/>
    <cellStyle name="Output 2 7 4" xfId="4899" xr:uid="{00000000-0005-0000-0000-000031670000}"/>
    <cellStyle name="Output 2 7 4 2" xfId="23359" xr:uid="{00000000-0005-0000-0000-000032670000}"/>
    <cellStyle name="Output 2 7 4 3" xfId="18513" xr:uid="{00000000-0005-0000-0000-000033670000}"/>
    <cellStyle name="Output 2 7 5" xfId="6302" xr:uid="{00000000-0005-0000-0000-000034670000}"/>
    <cellStyle name="Output 2 7 5 2" xfId="24742" xr:uid="{00000000-0005-0000-0000-000035670000}"/>
    <cellStyle name="Output 2 7 5 3" xfId="19851" xr:uid="{00000000-0005-0000-0000-000036670000}"/>
    <cellStyle name="Output 2 7 6" xfId="7372" xr:uid="{00000000-0005-0000-0000-000037670000}"/>
    <cellStyle name="Output 2 7 6 2" xfId="25803" xr:uid="{00000000-0005-0000-0000-000038670000}"/>
    <cellStyle name="Output 2 7 6 3" xfId="20728" xr:uid="{00000000-0005-0000-0000-000039670000}"/>
    <cellStyle name="Output 2 7 7" xfId="7287" xr:uid="{00000000-0005-0000-0000-00003A670000}"/>
    <cellStyle name="Output 2 7 7 2" xfId="25718" xr:uid="{00000000-0005-0000-0000-00003B670000}"/>
    <cellStyle name="Output 2 7 7 3" xfId="20643" xr:uid="{00000000-0005-0000-0000-00003C670000}"/>
    <cellStyle name="Output 2 7 8" xfId="8472" xr:uid="{00000000-0005-0000-0000-00003D670000}"/>
    <cellStyle name="Output 2 7 8 2" xfId="26895" xr:uid="{00000000-0005-0000-0000-00003E670000}"/>
    <cellStyle name="Output 2 7 8 3" xfId="21763" xr:uid="{00000000-0005-0000-0000-00003F670000}"/>
    <cellStyle name="Output 2 7 9" xfId="3964" xr:uid="{00000000-0005-0000-0000-000040670000}"/>
    <cellStyle name="Output 2 7 9 2" xfId="22431" xr:uid="{00000000-0005-0000-0000-000041670000}"/>
    <cellStyle name="Output 2 7 9 3" xfId="17646" xr:uid="{00000000-0005-0000-0000-000042670000}"/>
    <cellStyle name="Output 2 8" xfId="3049" xr:uid="{00000000-0005-0000-0000-000043670000}"/>
    <cellStyle name="Output 2 8 10" xfId="15609" xr:uid="{00000000-0005-0000-0000-000044670000}"/>
    <cellStyle name="Output 2 8 10 2" xfId="36985" xr:uid="{00000000-0005-0000-0000-000045670000}"/>
    <cellStyle name="Output 2 8 10 3" xfId="16960" xr:uid="{00000000-0005-0000-0000-000046670000}"/>
    <cellStyle name="Output 2 8 11" xfId="14810" xr:uid="{00000000-0005-0000-0000-000047670000}"/>
    <cellStyle name="Output 2 8 11 2" xfId="36266" xr:uid="{00000000-0005-0000-0000-000048670000}"/>
    <cellStyle name="Output 2 8 12" xfId="38078" xr:uid="{00000000-0005-0000-0000-00008E0E0000}"/>
    <cellStyle name="Output 2 8 2" xfId="3557" xr:uid="{00000000-0005-0000-0000-000049670000}"/>
    <cellStyle name="Output 2 8 2 10" xfId="14631" xr:uid="{00000000-0005-0000-0000-00004A670000}"/>
    <cellStyle name="Output 2 8 2 10 2" xfId="36124" xr:uid="{00000000-0005-0000-0000-00004B670000}"/>
    <cellStyle name="Output 2 8 2 11" xfId="28148" xr:uid="{00000000-0005-0000-0000-00004C670000}"/>
    <cellStyle name="Output 2 8 2 2" xfId="5684" xr:uid="{00000000-0005-0000-0000-00004D670000}"/>
    <cellStyle name="Output 2 8 2 2 2" xfId="14026" xr:uid="{00000000-0005-0000-0000-00004E670000}"/>
    <cellStyle name="Output 2 8 2 2 2 2" xfId="35798" xr:uid="{00000000-0005-0000-0000-00004F670000}"/>
    <cellStyle name="Output 2 8 2 2 2 3" xfId="24137" xr:uid="{00000000-0005-0000-0000-000050670000}"/>
    <cellStyle name="Output 2 8 2 2 3" xfId="16415" xr:uid="{00000000-0005-0000-0000-000051670000}"/>
    <cellStyle name="Output 2 8 2 2 3 2" xfId="37703" xr:uid="{00000000-0005-0000-0000-000052670000}"/>
    <cellStyle name="Output 2 8 2 2 4" xfId="14527" xr:uid="{00000000-0005-0000-0000-000053670000}"/>
    <cellStyle name="Output 2 8 2 2 5" xfId="32292" xr:uid="{00000000-0005-0000-0000-000054670000}"/>
    <cellStyle name="Output 2 8 2 2 6" xfId="30506" xr:uid="{00000000-0005-0000-0000-000055670000}"/>
    <cellStyle name="Output 2 8 2 2 7" xfId="19267" xr:uid="{00000000-0005-0000-0000-000056670000}"/>
    <cellStyle name="Output 2 8 2 3" xfId="5171" xr:uid="{00000000-0005-0000-0000-000057670000}"/>
    <cellStyle name="Output 2 8 2 3 2" xfId="13016" xr:uid="{00000000-0005-0000-0000-000058670000}"/>
    <cellStyle name="Output 2 8 2 3 2 2" xfId="35162" xr:uid="{00000000-0005-0000-0000-000059670000}"/>
    <cellStyle name="Output 2 8 2 3 2 3" xfId="23631" xr:uid="{00000000-0005-0000-0000-00005A670000}"/>
    <cellStyle name="Output 2 8 2 3 3" xfId="15138" xr:uid="{00000000-0005-0000-0000-00005B670000}"/>
    <cellStyle name="Output 2 8 2 3 3 2" xfId="36549" xr:uid="{00000000-0005-0000-0000-00005C670000}"/>
    <cellStyle name="Output 2 8 2 3 4" xfId="14972" xr:uid="{00000000-0005-0000-0000-00005D670000}"/>
    <cellStyle name="Output 2 8 2 3 5" xfId="32009" xr:uid="{00000000-0005-0000-0000-00005E670000}"/>
    <cellStyle name="Output 2 8 2 3 6" xfId="18785" xr:uid="{00000000-0005-0000-0000-00005F670000}"/>
    <cellStyle name="Output 2 8 2 4" xfId="7159" xr:uid="{00000000-0005-0000-0000-000060670000}"/>
    <cellStyle name="Output 2 8 2 4 2" xfId="25590" xr:uid="{00000000-0005-0000-0000-000061670000}"/>
    <cellStyle name="Output 2 8 2 4 3" xfId="20516" xr:uid="{00000000-0005-0000-0000-000062670000}"/>
    <cellStyle name="Output 2 8 2 5" xfId="7696" xr:uid="{00000000-0005-0000-0000-000063670000}"/>
    <cellStyle name="Output 2 8 2 5 2" xfId="26126" xr:uid="{00000000-0005-0000-0000-000064670000}"/>
    <cellStyle name="Output 2 8 2 5 3" xfId="21051" xr:uid="{00000000-0005-0000-0000-000065670000}"/>
    <cellStyle name="Output 2 8 2 6" xfId="8070" xr:uid="{00000000-0005-0000-0000-000066670000}"/>
    <cellStyle name="Output 2 8 2 6 2" xfId="26500" xr:uid="{00000000-0005-0000-0000-000067670000}"/>
    <cellStyle name="Output 2 8 2 6 3" xfId="21424" xr:uid="{00000000-0005-0000-0000-000068670000}"/>
    <cellStyle name="Output 2 8 2 7" xfId="8794" xr:uid="{00000000-0005-0000-0000-000069670000}"/>
    <cellStyle name="Output 2 8 2 7 2" xfId="27214" xr:uid="{00000000-0005-0000-0000-00006A670000}"/>
    <cellStyle name="Output 2 8 2 7 3" xfId="22085" xr:uid="{00000000-0005-0000-0000-00006B670000}"/>
    <cellStyle name="Output 2 8 2 8" xfId="4286" xr:uid="{00000000-0005-0000-0000-00006C670000}"/>
    <cellStyle name="Output 2 8 2 8 2" xfId="22750" xr:uid="{00000000-0005-0000-0000-00006D670000}"/>
    <cellStyle name="Output 2 8 2 8 3" xfId="17968" xr:uid="{00000000-0005-0000-0000-00006E670000}"/>
    <cellStyle name="Output 2 8 2 9" xfId="16023" xr:uid="{00000000-0005-0000-0000-00006F670000}"/>
    <cellStyle name="Output 2 8 2 9 2" xfId="37364" xr:uid="{00000000-0005-0000-0000-000070670000}"/>
    <cellStyle name="Output 2 8 2 9 3" xfId="17297" xr:uid="{00000000-0005-0000-0000-000071670000}"/>
    <cellStyle name="Output 2 8 3" xfId="5311" xr:uid="{00000000-0005-0000-0000-000072670000}"/>
    <cellStyle name="Output 2 8 3 2" xfId="16438" xr:uid="{00000000-0005-0000-0000-000073670000}"/>
    <cellStyle name="Output 2 8 3 2 2" xfId="23771" xr:uid="{00000000-0005-0000-0000-000074670000}"/>
    <cellStyle name="Output 2 8 3 3" xfId="15172" xr:uid="{00000000-0005-0000-0000-000075670000}"/>
    <cellStyle name="Output 2 8 4" xfId="4900" xr:uid="{00000000-0005-0000-0000-000076670000}"/>
    <cellStyle name="Output 2 8 4 2" xfId="23360" xr:uid="{00000000-0005-0000-0000-000077670000}"/>
    <cellStyle name="Output 2 8 4 3" xfId="18514" xr:uid="{00000000-0005-0000-0000-000078670000}"/>
    <cellStyle name="Output 2 8 5" xfId="6301" xr:uid="{00000000-0005-0000-0000-000079670000}"/>
    <cellStyle name="Output 2 8 5 2" xfId="24741" xr:uid="{00000000-0005-0000-0000-00007A670000}"/>
    <cellStyle name="Output 2 8 5 3" xfId="19850" xr:uid="{00000000-0005-0000-0000-00007B670000}"/>
    <cellStyle name="Output 2 8 6" xfId="7373" xr:uid="{00000000-0005-0000-0000-00007C670000}"/>
    <cellStyle name="Output 2 8 6 2" xfId="25804" xr:uid="{00000000-0005-0000-0000-00007D670000}"/>
    <cellStyle name="Output 2 8 6 3" xfId="20729" xr:uid="{00000000-0005-0000-0000-00007E670000}"/>
    <cellStyle name="Output 2 8 7" xfId="7288" xr:uid="{00000000-0005-0000-0000-00007F670000}"/>
    <cellStyle name="Output 2 8 7 2" xfId="25719" xr:uid="{00000000-0005-0000-0000-000080670000}"/>
    <cellStyle name="Output 2 8 7 3" xfId="20644" xr:uid="{00000000-0005-0000-0000-000081670000}"/>
    <cellStyle name="Output 2 8 8" xfId="8473" xr:uid="{00000000-0005-0000-0000-000082670000}"/>
    <cellStyle name="Output 2 8 8 2" xfId="26896" xr:uid="{00000000-0005-0000-0000-000083670000}"/>
    <cellStyle name="Output 2 8 8 3" xfId="21764" xr:uid="{00000000-0005-0000-0000-000084670000}"/>
    <cellStyle name="Output 2 8 9" xfId="3965" xr:uid="{00000000-0005-0000-0000-000085670000}"/>
    <cellStyle name="Output 2 8 9 2" xfId="22432" xr:uid="{00000000-0005-0000-0000-000086670000}"/>
    <cellStyle name="Output 2 8 9 3" xfId="17647" xr:uid="{00000000-0005-0000-0000-000087670000}"/>
    <cellStyle name="Output 2 9" xfId="3050" xr:uid="{00000000-0005-0000-0000-000088670000}"/>
    <cellStyle name="Output 2 9 10" xfId="15281" xr:uid="{00000000-0005-0000-0000-000089670000}"/>
    <cellStyle name="Output 2 9 10 2" xfId="36686" xr:uid="{00000000-0005-0000-0000-00008A670000}"/>
    <cellStyle name="Output 2 9 10 3" xfId="16961" xr:uid="{00000000-0005-0000-0000-00008B670000}"/>
    <cellStyle name="Output 2 9 11" xfId="14429" xr:uid="{00000000-0005-0000-0000-00008C670000}"/>
    <cellStyle name="Output 2 9 11 2" xfId="35957" xr:uid="{00000000-0005-0000-0000-00008D670000}"/>
    <cellStyle name="Output 2 9 12" xfId="38079" xr:uid="{00000000-0005-0000-0000-00008F0E0000}"/>
    <cellStyle name="Output 2 9 2" xfId="3558" xr:uid="{00000000-0005-0000-0000-00008E670000}"/>
    <cellStyle name="Output 2 9 2 10" xfId="14747" xr:uid="{00000000-0005-0000-0000-00008F670000}"/>
    <cellStyle name="Output 2 9 2 10 2" xfId="36224" xr:uid="{00000000-0005-0000-0000-000090670000}"/>
    <cellStyle name="Output 2 9 2 11" xfId="28149" xr:uid="{00000000-0005-0000-0000-000091670000}"/>
    <cellStyle name="Output 2 9 2 2" xfId="5685" xr:uid="{00000000-0005-0000-0000-000092670000}"/>
    <cellStyle name="Output 2 9 2 2 2" xfId="14028" xr:uid="{00000000-0005-0000-0000-000093670000}"/>
    <cellStyle name="Output 2 9 2 2 2 2" xfId="35800" xr:uid="{00000000-0005-0000-0000-000094670000}"/>
    <cellStyle name="Output 2 9 2 2 2 3" xfId="24138" xr:uid="{00000000-0005-0000-0000-000095670000}"/>
    <cellStyle name="Output 2 9 2 2 3" xfId="16417" xr:uid="{00000000-0005-0000-0000-000096670000}"/>
    <cellStyle name="Output 2 9 2 2 3 2" xfId="37705" xr:uid="{00000000-0005-0000-0000-000097670000}"/>
    <cellStyle name="Output 2 9 2 2 4" xfId="16239" xr:uid="{00000000-0005-0000-0000-000098670000}"/>
    <cellStyle name="Output 2 9 2 2 5" xfId="32293" xr:uid="{00000000-0005-0000-0000-000099670000}"/>
    <cellStyle name="Output 2 9 2 2 6" xfId="30507" xr:uid="{00000000-0005-0000-0000-00009A670000}"/>
    <cellStyle name="Output 2 9 2 2 7" xfId="19268" xr:uid="{00000000-0005-0000-0000-00009B670000}"/>
    <cellStyle name="Output 2 9 2 3" xfId="5172" xr:uid="{00000000-0005-0000-0000-00009C670000}"/>
    <cellStyle name="Output 2 9 2 3 2" xfId="13017" xr:uid="{00000000-0005-0000-0000-00009D670000}"/>
    <cellStyle name="Output 2 9 2 3 2 2" xfId="35163" xr:uid="{00000000-0005-0000-0000-00009E670000}"/>
    <cellStyle name="Output 2 9 2 3 2 3" xfId="23632" xr:uid="{00000000-0005-0000-0000-00009F670000}"/>
    <cellStyle name="Output 2 9 2 3 3" xfId="15723" xr:uid="{00000000-0005-0000-0000-0000A0670000}"/>
    <cellStyle name="Output 2 9 2 3 3 2" xfId="37088" xr:uid="{00000000-0005-0000-0000-0000A1670000}"/>
    <cellStyle name="Output 2 9 2 3 4" xfId="16488" xr:uid="{00000000-0005-0000-0000-0000A2670000}"/>
    <cellStyle name="Output 2 9 2 3 5" xfId="32010" xr:uid="{00000000-0005-0000-0000-0000A3670000}"/>
    <cellStyle name="Output 2 9 2 3 6" xfId="18786" xr:uid="{00000000-0005-0000-0000-0000A4670000}"/>
    <cellStyle name="Output 2 9 2 4" xfId="7160" xr:uid="{00000000-0005-0000-0000-0000A5670000}"/>
    <cellStyle name="Output 2 9 2 4 2" xfId="25591" xr:uid="{00000000-0005-0000-0000-0000A6670000}"/>
    <cellStyle name="Output 2 9 2 4 3" xfId="20517" xr:uid="{00000000-0005-0000-0000-0000A7670000}"/>
    <cellStyle name="Output 2 9 2 5" xfId="7697" xr:uid="{00000000-0005-0000-0000-0000A8670000}"/>
    <cellStyle name="Output 2 9 2 5 2" xfId="26127" xr:uid="{00000000-0005-0000-0000-0000A9670000}"/>
    <cellStyle name="Output 2 9 2 5 3" xfId="21052" xr:uid="{00000000-0005-0000-0000-0000AA670000}"/>
    <cellStyle name="Output 2 9 2 6" xfId="8071" xr:uid="{00000000-0005-0000-0000-0000AB670000}"/>
    <cellStyle name="Output 2 9 2 6 2" xfId="26501" xr:uid="{00000000-0005-0000-0000-0000AC670000}"/>
    <cellStyle name="Output 2 9 2 6 3" xfId="21425" xr:uid="{00000000-0005-0000-0000-0000AD670000}"/>
    <cellStyle name="Output 2 9 2 7" xfId="8795" xr:uid="{00000000-0005-0000-0000-0000AE670000}"/>
    <cellStyle name="Output 2 9 2 7 2" xfId="27215" xr:uid="{00000000-0005-0000-0000-0000AF670000}"/>
    <cellStyle name="Output 2 9 2 7 3" xfId="22086" xr:uid="{00000000-0005-0000-0000-0000B0670000}"/>
    <cellStyle name="Output 2 9 2 8" xfId="4287" xr:uid="{00000000-0005-0000-0000-0000B1670000}"/>
    <cellStyle name="Output 2 9 2 8 2" xfId="22751" xr:uid="{00000000-0005-0000-0000-0000B2670000}"/>
    <cellStyle name="Output 2 9 2 8 3" xfId="17969" xr:uid="{00000000-0005-0000-0000-0000B3670000}"/>
    <cellStyle name="Output 2 9 2 9" xfId="16235" xr:uid="{00000000-0005-0000-0000-0000B4670000}"/>
    <cellStyle name="Output 2 9 2 9 2" xfId="37548" xr:uid="{00000000-0005-0000-0000-0000B5670000}"/>
    <cellStyle name="Output 2 9 2 9 3" xfId="17298" xr:uid="{00000000-0005-0000-0000-0000B6670000}"/>
    <cellStyle name="Output 2 9 3" xfId="5312" xr:uid="{00000000-0005-0000-0000-0000B7670000}"/>
    <cellStyle name="Output 2 9 3 2" xfId="16440" xr:uid="{00000000-0005-0000-0000-0000B8670000}"/>
    <cellStyle name="Output 2 9 3 2 2" xfId="23772" xr:uid="{00000000-0005-0000-0000-0000B9670000}"/>
    <cellStyle name="Output 2 9 3 3" xfId="15295" xr:uid="{00000000-0005-0000-0000-0000BA670000}"/>
    <cellStyle name="Output 2 9 4" xfId="4901" xr:uid="{00000000-0005-0000-0000-0000BB670000}"/>
    <cellStyle name="Output 2 9 4 2" xfId="23361" xr:uid="{00000000-0005-0000-0000-0000BC670000}"/>
    <cellStyle name="Output 2 9 4 3" xfId="18515" xr:uid="{00000000-0005-0000-0000-0000BD670000}"/>
    <cellStyle name="Output 2 9 5" xfId="6300" xr:uid="{00000000-0005-0000-0000-0000BE670000}"/>
    <cellStyle name="Output 2 9 5 2" xfId="24740" xr:uid="{00000000-0005-0000-0000-0000BF670000}"/>
    <cellStyle name="Output 2 9 5 3" xfId="19849" xr:uid="{00000000-0005-0000-0000-0000C0670000}"/>
    <cellStyle name="Output 2 9 6" xfId="7374" xr:uid="{00000000-0005-0000-0000-0000C1670000}"/>
    <cellStyle name="Output 2 9 6 2" xfId="25805" xr:uid="{00000000-0005-0000-0000-0000C2670000}"/>
    <cellStyle name="Output 2 9 6 3" xfId="20730" xr:uid="{00000000-0005-0000-0000-0000C3670000}"/>
    <cellStyle name="Output 2 9 7" xfId="7289" xr:uid="{00000000-0005-0000-0000-0000C4670000}"/>
    <cellStyle name="Output 2 9 7 2" xfId="25720" xr:uid="{00000000-0005-0000-0000-0000C5670000}"/>
    <cellStyle name="Output 2 9 7 3" xfId="20645" xr:uid="{00000000-0005-0000-0000-0000C6670000}"/>
    <cellStyle name="Output 2 9 8" xfId="8474" xr:uid="{00000000-0005-0000-0000-0000C7670000}"/>
    <cellStyle name="Output 2 9 8 2" xfId="26897" xr:uid="{00000000-0005-0000-0000-0000C8670000}"/>
    <cellStyle name="Output 2 9 8 3" xfId="21765" xr:uid="{00000000-0005-0000-0000-0000C9670000}"/>
    <cellStyle name="Output 2 9 9" xfId="3966" xr:uid="{00000000-0005-0000-0000-0000CA670000}"/>
    <cellStyle name="Output 2 9 9 2" xfId="22433" xr:uid="{00000000-0005-0000-0000-0000CB670000}"/>
    <cellStyle name="Output 2 9 9 3" xfId="17648" xr:uid="{00000000-0005-0000-0000-0000CC670000}"/>
    <cellStyle name="Output 20" xfId="40046" xr:uid="{00000000-0005-0000-0000-0000900E0000}"/>
    <cellStyle name="Output 21" xfId="40047" xr:uid="{00000000-0005-0000-0000-0000910E0000}"/>
    <cellStyle name="Output 22" xfId="40048" xr:uid="{00000000-0005-0000-0000-0000920E0000}"/>
    <cellStyle name="Output 23" xfId="40049" xr:uid="{00000000-0005-0000-0000-0000930E0000}"/>
    <cellStyle name="Output 24" xfId="40050" xr:uid="{00000000-0005-0000-0000-0000940E0000}"/>
    <cellStyle name="Output 25" xfId="40051" xr:uid="{00000000-0005-0000-0000-0000950E0000}"/>
    <cellStyle name="Output 26" xfId="40052" xr:uid="{00000000-0005-0000-0000-0000960E0000}"/>
    <cellStyle name="Output 27" xfId="40053" xr:uid="{00000000-0005-0000-0000-0000970E0000}"/>
    <cellStyle name="Output 28" xfId="40054" xr:uid="{00000000-0005-0000-0000-0000980E0000}"/>
    <cellStyle name="Output 29" xfId="40055" xr:uid="{00000000-0005-0000-0000-0000990E0000}"/>
    <cellStyle name="Output 3" xfId="3051" xr:uid="{00000000-0005-0000-0000-0000CD670000}"/>
    <cellStyle name="Output 3 10" xfId="3052" xr:uid="{00000000-0005-0000-0000-0000CE670000}"/>
    <cellStyle name="Output 3 10 10" xfId="16177" xr:uid="{00000000-0005-0000-0000-0000CF670000}"/>
    <cellStyle name="Output 3 10 10 2" xfId="37494" xr:uid="{00000000-0005-0000-0000-0000D0670000}"/>
    <cellStyle name="Output 3 10 10 3" xfId="16963" xr:uid="{00000000-0005-0000-0000-0000D1670000}"/>
    <cellStyle name="Output 3 10 11" xfId="16330" xr:uid="{00000000-0005-0000-0000-0000D2670000}"/>
    <cellStyle name="Output 3 10 11 2" xfId="37635" xr:uid="{00000000-0005-0000-0000-0000D3670000}"/>
    <cellStyle name="Output 3 10 2" xfId="3560" xr:uid="{00000000-0005-0000-0000-0000D4670000}"/>
    <cellStyle name="Output 3 10 2 10" xfId="16070" xr:uid="{00000000-0005-0000-0000-0000D5670000}"/>
    <cellStyle name="Output 3 10 2 10 2" xfId="37396" xr:uid="{00000000-0005-0000-0000-0000D6670000}"/>
    <cellStyle name="Output 3 10 2 2" xfId="5687" xr:uid="{00000000-0005-0000-0000-0000D7670000}"/>
    <cellStyle name="Output 3 10 2 2 2" xfId="16420" xr:uid="{00000000-0005-0000-0000-0000D8670000}"/>
    <cellStyle name="Output 3 10 2 2 2 2" xfId="24140" xr:uid="{00000000-0005-0000-0000-0000D9670000}"/>
    <cellStyle name="Output 3 10 2 2 3" xfId="14699" xr:uid="{00000000-0005-0000-0000-0000DA670000}"/>
    <cellStyle name="Output 3 10 2 3" xfId="5174" xr:uid="{00000000-0005-0000-0000-0000DB670000}"/>
    <cellStyle name="Output 3 10 2 3 2" xfId="23634" xr:uid="{00000000-0005-0000-0000-0000DC670000}"/>
    <cellStyle name="Output 3 10 2 3 3" xfId="18788" xr:uid="{00000000-0005-0000-0000-0000DD670000}"/>
    <cellStyle name="Output 3 10 2 4" xfId="7162" xr:uid="{00000000-0005-0000-0000-0000DE670000}"/>
    <cellStyle name="Output 3 10 2 4 2" xfId="25593" xr:uid="{00000000-0005-0000-0000-0000DF670000}"/>
    <cellStyle name="Output 3 10 2 4 3" xfId="20519" xr:uid="{00000000-0005-0000-0000-0000E0670000}"/>
    <cellStyle name="Output 3 10 2 5" xfId="7699" xr:uid="{00000000-0005-0000-0000-0000E1670000}"/>
    <cellStyle name="Output 3 10 2 5 2" xfId="26129" xr:uid="{00000000-0005-0000-0000-0000E2670000}"/>
    <cellStyle name="Output 3 10 2 5 3" xfId="21054" xr:uid="{00000000-0005-0000-0000-0000E3670000}"/>
    <cellStyle name="Output 3 10 2 6" xfId="8073" xr:uid="{00000000-0005-0000-0000-0000E4670000}"/>
    <cellStyle name="Output 3 10 2 6 2" xfId="26503" xr:uid="{00000000-0005-0000-0000-0000E5670000}"/>
    <cellStyle name="Output 3 10 2 6 3" xfId="21427" xr:uid="{00000000-0005-0000-0000-0000E6670000}"/>
    <cellStyle name="Output 3 10 2 7" xfId="8797" xr:uid="{00000000-0005-0000-0000-0000E7670000}"/>
    <cellStyle name="Output 3 10 2 7 2" xfId="27217" xr:uid="{00000000-0005-0000-0000-0000E8670000}"/>
    <cellStyle name="Output 3 10 2 7 3" xfId="22088" xr:uid="{00000000-0005-0000-0000-0000E9670000}"/>
    <cellStyle name="Output 3 10 2 8" xfId="4289" xr:uid="{00000000-0005-0000-0000-0000EA670000}"/>
    <cellStyle name="Output 3 10 2 8 2" xfId="22753" xr:uid="{00000000-0005-0000-0000-0000EB670000}"/>
    <cellStyle name="Output 3 10 2 8 3" xfId="17971" xr:uid="{00000000-0005-0000-0000-0000EC670000}"/>
    <cellStyle name="Output 3 10 2 9" xfId="16146" xr:uid="{00000000-0005-0000-0000-0000ED670000}"/>
    <cellStyle name="Output 3 10 2 9 2" xfId="37467" xr:uid="{00000000-0005-0000-0000-0000EE670000}"/>
    <cellStyle name="Output 3 10 2 9 3" xfId="17300" xr:uid="{00000000-0005-0000-0000-0000EF670000}"/>
    <cellStyle name="Output 3 10 3" xfId="5314" xr:uid="{00000000-0005-0000-0000-0000F0670000}"/>
    <cellStyle name="Output 3 10 3 2" xfId="23774" xr:uid="{00000000-0005-0000-0000-0000F1670000}"/>
    <cellStyle name="Output 3 10 3 3" xfId="18917" xr:uid="{00000000-0005-0000-0000-0000F2670000}"/>
    <cellStyle name="Output 3 10 4" xfId="4903" xr:uid="{00000000-0005-0000-0000-0000F3670000}"/>
    <cellStyle name="Output 3 10 4 2" xfId="23363" xr:uid="{00000000-0005-0000-0000-0000F4670000}"/>
    <cellStyle name="Output 3 10 4 3" xfId="18517" xr:uid="{00000000-0005-0000-0000-0000F5670000}"/>
    <cellStyle name="Output 3 10 5" xfId="6298" xr:uid="{00000000-0005-0000-0000-0000F6670000}"/>
    <cellStyle name="Output 3 10 5 2" xfId="24738" xr:uid="{00000000-0005-0000-0000-0000F7670000}"/>
    <cellStyle name="Output 3 10 5 3" xfId="19847" xr:uid="{00000000-0005-0000-0000-0000F8670000}"/>
    <cellStyle name="Output 3 10 6" xfId="7376" xr:uid="{00000000-0005-0000-0000-0000F9670000}"/>
    <cellStyle name="Output 3 10 6 2" xfId="25807" xr:uid="{00000000-0005-0000-0000-0000FA670000}"/>
    <cellStyle name="Output 3 10 6 3" xfId="20732" xr:uid="{00000000-0005-0000-0000-0000FB670000}"/>
    <cellStyle name="Output 3 10 7" xfId="6377" xr:uid="{00000000-0005-0000-0000-0000FC670000}"/>
    <cellStyle name="Output 3 10 7 2" xfId="24817" xr:uid="{00000000-0005-0000-0000-0000FD670000}"/>
    <cellStyle name="Output 3 10 7 3" xfId="19926" xr:uid="{00000000-0005-0000-0000-0000FE670000}"/>
    <cellStyle name="Output 3 10 8" xfId="8476" xr:uid="{00000000-0005-0000-0000-0000FF670000}"/>
    <cellStyle name="Output 3 10 8 2" xfId="26899" xr:uid="{00000000-0005-0000-0000-000000680000}"/>
    <cellStyle name="Output 3 10 8 3" xfId="21767" xr:uid="{00000000-0005-0000-0000-000001680000}"/>
    <cellStyle name="Output 3 10 9" xfId="3968" xr:uid="{00000000-0005-0000-0000-000002680000}"/>
    <cellStyle name="Output 3 10 9 2" xfId="22435" xr:uid="{00000000-0005-0000-0000-000003680000}"/>
    <cellStyle name="Output 3 10 9 3" xfId="17650" xr:uid="{00000000-0005-0000-0000-000004680000}"/>
    <cellStyle name="Output 3 11" xfId="3053" xr:uid="{00000000-0005-0000-0000-000005680000}"/>
    <cellStyle name="Output 3 11 10" xfId="14933" xr:uid="{00000000-0005-0000-0000-000006680000}"/>
    <cellStyle name="Output 3 11 10 2" xfId="36381" xr:uid="{00000000-0005-0000-0000-000007680000}"/>
    <cellStyle name="Output 3 11 10 3" xfId="16964" xr:uid="{00000000-0005-0000-0000-000008680000}"/>
    <cellStyle name="Output 3 11 11" xfId="16586" xr:uid="{00000000-0005-0000-0000-000009680000}"/>
    <cellStyle name="Output 3 11 11 2" xfId="37796" xr:uid="{00000000-0005-0000-0000-00000A680000}"/>
    <cellStyle name="Output 3 11 2" xfId="3561" xr:uid="{00000000-0005-0000-0000-00000B680000}"/>
    <cellStyle name="Output 3 11 2 10" xfId="14403" xr:uid="{00000000-0005-0000-0000-00000C680000}"/>
    <cellStyle name="Output 3 11 2 10 2" xfId="35935" xr:uid="{00000000-0005-0000-0000-00000D680000}"/>
    <cellStyle name="Output 3 11 2 2" xfId="5688" xr:uid="{00000000-0005-0000-0000-00000E680000}"/>
    <cellStyle name="Output 3 11 2 2 2" xfId="16422" xr:uid="{00000000-0005-0000-0000-00000F680000}"/>
    <cellStyle name="Output 3 11 2 2 2 2" xfId="24141" xr:uid="{00000000-0005-0000-0000-000010680000}"/>
    <cellStyle name="Output 3 11 2 2 3" xfId="14789" xr:uid="{00000000-0005-0000-0000-000011680000}"/>
    <cellStyle name="Output 3 11 2 3" xfId="5175" xr:uid="{00000000-0005-0000-0000-000012680000}"/>
    <cellStyle name="Output 3 11 2 3 2" xfId="23635" xr:uid="{00000000-0005-0000-0000-000013680000}"/>
    <cellStyle name="Output 3 11 2 3 3" xfId="18789" xr:uid="{00000000-0005-0000-0000-000014680000}"/>
    <cellStyle name="Output 3 11 2 4" xfId="7163" xr:uid="{00000000-0005-0000-0000-000015680000}"/>
    <cellStyle name="Output 3 11 2 4 2" xfId="25594" xr:uid="{00000000-0005-0000-0000-000016680000}"/>
    <cellStyle name="Output 3 11 2 4 3" xfId="20520" xr:uid="{00000000-0005-0000-0000-000017680000}"/>
    <cellStyle name="Output 3 11 2 5" xfId="7700" xr:uid="{00000000-0005-0000-0000-000018680000}"/>
    <cellStyle name="Output 3 11 2 5 2" xfId="26130" xr:uid="{00000000-0005-0000-0000-000019680000}"/>
    <cellStyle name="Output 3 11 2 5 3" xfId="21055" xr:uid="{00000000-0005-0000-0000-00001A680000}"/>
    <cellStyle name="Output 3 11 2 6" xfId="8074" xr:uid="{00000000-0005-0000-0000-00001B680000}"/>
    <cellStyle name="Output 3 11 2 6 2" xfId="26504" xr:uid="{00000000-0005-0000-0000-00001C680000}"/>
    <cellStyle name="Output 3 11 2 6 3" xfId="21428" xr:uid="{00000000-0005-0000-0000-00001D680000}"/>
    <cellStyle name="Output 3 11 2 7" xfId="8798" xr:uid="{00000000-0005-0000-0000-00001E680000}"/>
    <cellStyle name="Output 3 11 2 7 2" xfId="27218" xr:uid="{00000000-0005-0000-0000-00001F680000}"/>
    <cellStyle name="Output 3 11 2 7 3" xfId="22089" xr:uid="{00000000-0005-0000-0000-000020680000}"/>
    <cellStyle name="Output 3 11 2 8" xfId="4290" xr:uid="{00000000-0005-0000-0000-000021680000}"/>
    <cellStyle name="Output 3 11 2 8 2" xfId="22754" xr:uid="{00000000-0005-0000-0000-000022680000}"/>
    <cellStyle name="Output 3 11 2 8 3" xfId="17972" xr:uid="{00000000-0005-0000-0000-000023680000}"/>
    <cellStyle name="Output 3 11 2 9" xfId="15655" xr:uid="{00000000-0005-0000-0000-000024680000}"/>
    <cellStyle name="Output 3 11 2 9 2" xfId="37030" xr:uid="{00000000-0005-0000-0000-000025680000}"/>
    <cellStyle name="Output 3 11 2 9 3" xfId="17301" xr:uid="{00000000-0005-0000-0000-000026680000}"/>
    <cellStyle name="Output 3 11 3" xfId="5315" xr:uid="{00000000-0005-0000-0000-000027680000}"/>
    <cellStyle name="Output 3 11 3 2" xfId="23775" xr:uid="{00000000-0005-0000-0000-000028680000}"/>
    <cellStyle name="Output 3 11 3 3" xfId="18918" xr:uid="{00000000-0005-0000-0000-000029680000}"/>
    <cellStyle name="Output 3 11 4" xfId="4904" xr:uid="{00000000-0005-0000-0000-00002A680000}"/>
    <cellStyle name="Output 3 11 4 2" xfId="23364" xr:uid="{00000000-0005-0000-0000-00002B680000}"/>
    <cellStyle name="Output 3 11 4 3" xfId="18518" xr:uid="{00000000-0005-0000-0000-00002C680000}"/>
    <cellStyle name="Output 3 11 5" xfId="6297" xr:uid="{00000000-0005-0000-0000-00002D680000}"/>
    <cellStyle name="Output 3 11 5 2" xfId="24737" xr:uid="{00000000-0005-0000-0000-00002E680000}"/>
    <cellStyle name="Output 3 11 5 3" xfId="19846" xr:uid="{00000000-0005-0000-0000-00002F680000}"/>
    <cellStyle name="Output 3 11 6" xfId="7377" xr:uid="{00000000-0005-0000-0000-000030680000}"/>
    <cellStyle name="Output 3 11 6 2" xfId="25808" xr:uid="{00000000-0005-0000-0000-000031680000}"/>
    <cellStyle name="Output 3 11 6 3" xfId="20733" xr:uid="{00000000-0005-0000-0000-000032680000}"/>
    <cellStyle name="Output 3 11 7" xfId="7018" xr:uid="{00000000-0005-0000-0000-000033680000}"/>
    <cellStyle name="Output 3 11 7 2" xfId="25456" xr:uid="{00000000-0005-0000-0000-000034680000}"/>
    <cellStyle name="Output 3 11 7 3" xfId="20393" xr:uid="{00000000-0005-0000-0000-000035680000}"/>
    <cellStyle name="Output 3 11 8" xfId="8477" xr:uid="{00000000-0005-0000-0000-000036680000}"/>
    <cellStyle name="Output 3 11 8 2" xfId="26900" xr:uid="{00000000-0005-0000-0000-000037680000}"/>
    <cellStyle name="Output 3 11 8 3" xfId="21768" xr:uid="{00000000-0005-0000-0000-000038680000}"/>
    <cellStyle name="Output 3 11 9" xfId="3969" xr:uid="{00000000-0005-0000-0000-000039680000}"/>
    <cellStyle name="Output 3 11 9 2" xfId="22436" xr:uid="{00000000-0005-0000-0000-00003A680000}"/>
    <cellStyle name="Output 3 11 9 3" xfId="17651" xr:uid="{00000000-0005-0000-0000-00003B680000}"/>
    <cellStyle name="Output 3 12" xfId="3559" xr:uid="{00000000-0005-0000-0000-00003C680000}"/>
    <cellStyle name="Output 3 12 10" xfId="14818" xr:uid="{00000000-0005-0000-0000-00003D680000}"/>
    <cellStyle name="Output 3 12 10 2" xfId="36273" xr:uid="{00000000-0005-0000-0000-00003E680000}"/>
    <cellStyle name="Output 3 12 11" xfId="28150" xr:uid="{00000000-0005-0000-0000-00003F680000}"/>
    <cellStyle name="Output 3 12 2" xfId="5686" xr:uid="{00000000-0005-0000-0000-000040680000}"/>
    <cellStyle name="Output 3 12 2 2" xfId="14033" xr:uid="{00000000-0005-0000-0000-000041680000}"/>
    <cellStyle name="Output 3 12 2 2 2" xfId="35805" xr:uid="{00000000-0005-0000-0000-000042680000}"/>
    <cellStyle name="Output 3 12 2 2 3" xfId="24139" xr:uid="{00000000-0005-0000-0000-000043680000}"/>
    <cellStyle name="Output 3 12 2 3" xfId="16431" xr:uid="{00000000-0005-0000-0000-000044680000}"/>
    <cellStyle name="Output 3 12 2 3 2" xfId="37710" xr:uid="{00000000-0005-0000-0000-000045680000}"/>
    <cellStyle name="Output 3 12 2 4" xfId="16562" xr:uid="{00000000-0005-0000-0000-000046680000}"/>
    <cellStyle name="Output 3 12 2 5" xfId="32294" xr:uid="{00000000-0005-0000-0000-000047680000}"/>
    <cellStyle name="Output 3 12 2 6" xfId="30508" xr:uid="{00000000-0005-0000-0000-000048680000}"/>
    <cellStyle name="Output 3 12 2 7" xfId="19269" xr:uid="{00000000-0005-0000-0000-000049680000}"/>
    <cellStyle name="Output 3 12 3" xfId="5173" xr:uid="{00000000-0005-0000-0000-00004A680000}"/>
    <cellStyle name="Output 3 12 3 2" xfId="13018" xr:uid="{00000000-0005-0000-0000-00004B680000}"/>
    <cellStyle name="Output 3 12 3 2 2" xfId="35164" xr:uid="{00000000-0005-0000-0000-00004C680000}"/>
    <cellStyle name="Output 3 12 3 2 3" xfId="23633" xr:uid="{00000000-0005-0000-0000-00004D680000}"/>
    <cellStyle name="Output 3 12 3 3" xfId="15137" xr:uid="{00000000-0005-0000-0000-00004E680000}"/>
    <cellStyle name="Output 3 12 3 3 2" xfId="36548" xr:uid="{00000000-0005-0000-0000-00004F680000}"/>
    <cellStyle name="Output 3 12 3 4" xfId="16192" xr:uid="{00000000-0005-0000-0000-000050680000}"/>
    <cellStyle name="Output 3 12 3 5" xfId="32011" xr:uid="{00000000-0005-0000-0000-000051680000}"/>
    <cellStyle name="Output 3 12 3 6" xfId="18787" xr:uid="{00000000-0005-0000-0000-000052680000}"/>
    <cellStyle name="Output 3 12 4" xfId="7161" xr:uid="{00000000-0005-0000-0000-000053680000}"/>
    <cellStyle name="Output 3 12 4 2" xfId="25592" xr:uid="{00000000-0005-0000-0000-000054680000}"/>
    <cellStyle name="Output 3 12 4 3" xfId="20518" xr:uid="{00000000-0005-0000-0000-000055680000}"/>
    <cellStyle name="Output 3 12 5" xfId="7698" xr:uid="{00000000-0005-0000-0000-000056680000}"/>
    <cellStyle name="Output 3 12 5 2" xfId="26128" xr:uid="{00000000-0005-0000-0000-000057680000}"/>
    <cellStyle name="Output 3 12 5 3" xfId="21053" xr:uid="{00000000-0005-0000-0000-000058680000}"/>
    <cellStyle name="Output 3 12 6" xfId="8072" xr:uid="{00000000-0005-0000-0000-000059680000}"/>
    <cellStyle name="Output 3 12 6 2" xfId="26502" xr:uid="{00000000-0005-0000-0000-00005A680000}"/>
    <cellStyle name="Output 3 12 6 3" xfId="21426" xr:uid="{00000000-0005-0000-0000-00005B680000}"/>
    <cellStyle name="Output 3 12 7" xfId="8796" xr:uid="{00000000-0005-0000-0000-00005C680000}"/>
    <cellStyle name="Output 3 12 7 2" xfId="27216" xr:uid="{00000000-0005-0000-0000-00005D680000}"/>
    <cellStyle name="Output 3 12 7 3" xfId="22087" xr:uid="{00000000-0005-0000-0000-00005E680000}"/>
    <cellStyle name="Output 3 12 8" xfId="4288" xr:uid="{00000000-0005-0000-0000-00005F680000}"/>
    <cellStyle name="Output 3 12 8 2" xfId="22752" xr:uid="{00000000-0005-0000-0000-000060680000}"/>
    <cellStyle name="Output 3 12 8 3" xfId="17970" xr:uid="{00000000-0005-0000-0000-000061680000}"/>
    <cellStyle name="Output 3 12 9" xfId="16022" xr:uid="{00000000-0005-0000-0000-000062680000}"/>
    <cellStyle name="Output 3 12 9 2" xfId="37363" xr:uid="{00000000-0005-0000-0000-000063680000}"/>
    <cellStyle name="Output 3 12 9 3" xfId="17299" xr:uid="{00000000-0005-0000-0000-000064680000}"/>
    <cellStyle name="Output 3 13" xfId="5313" xr:uid="{00000000-0005-0000-0000-000065680000}"/>
    <cellStyle name="Output 3 13 2" xfId="14771" xr:uid="{00000000-0005-0000-0000-000066680000}"/>
    <cellStyle name="Output 3 13 2 2" xfId="23773" xr:uid="{00000000-0005-0000-0000-000067680000}"/>
    <cellStyle name="Output 3 13 3" xfId="16525" xr:uid="{00000000-0005-0000-0000-000068680000}"/>
    <cellStyle name="Output 3 14" xfId="4902" xr:uid="{00000000-0005-0000-0000-000069680000}"/>
    <cellStyle name="Output 3 14 2" xfId="23362" xr:uid="{00000000-0005-0000-0000-00006A680000}"/>
    <cellStyle name="Output 3 14 3" xfId="18516" xr:uid="{00000000-0005-0000-0000-00006B680000}"/>
    <cellStyle name="Output 3 15" xfId="6299" xr:uid="{00000000-0005-0000-0000-00006C680000}"/>
    <cellStyle name="Output 3 15 2" xfId="24739" xr:uid="{00000000-0005-0000-0000-00006D680000}"/>
    <cellStyle name="Output 3 15 3" xfId="19848" xr:uid="{00000000-0005-0000-0000-00006E680000}"/>
    <cellStyle name="Output 3 16" xfId="7375" xr:uid="{00000000-0005-0000-0000-00006F680000}"/>
    <cellStyle name="Output 3 16 2" xfId="25806" xr:uid="{00000000-0005-0000-0000-000070680000}"/>
    <cellStyle name="Output 3 16 3" xfId="20731" xr:uid="{00000000-0005-0000-0000-000071680000}"/>
    <cellStyle name="Output 3 17" xfId="7290" xr:uid="{00000000-0005-0000-0000-000072680000}"/>
    <cellStyle name="Output 3 17 2" xfId="25721" xr:uid="{00000000-0005-0000-0000-000073680000}"/>
    <cellStyle name="Output 3 17 3" xfId="20646" xr:uid="{00000000-0005-0000-0000-000074680000}"/>
    <cellStyle name="Output 3 18" xfId="8475" xr:uid="{00000000-0005-0000-0000-000075680000}"/>
    <cellStyle name="Output 3 18 2" xfId="26898" xr:uid="{00000000-0005-0000-0000-000076680000}"/>
    <cellStyle name="Output 3 18 3" xfId="21766" xr:uid="{00000000-0005-0000-0000-000077680000}"/>
    <cellStyle name="Output 3 19" xfId="3967" xr:uid="{00000000-0005-0000-0000-000078680000}"/>
    <cellStyle name="Output 3 19 2" xfId="22434" xr:uid="{00000000-0005-0000-0000-000079680000}"/>
    <cellStyle name="Output 3 19 3" xfId="17649" xr:uid="{00000000-0005-0000-0000-00007A680000}"/>
    <cellStyle name="Output 3 2" xfId="3054" xr:uid="{00000000-0005-0000-0000-00007B680000}"/>
    <cellStyle name="Output 3 2 10" xfId="15631" xr:uid="{00000000-0005-0000-0000-00007C680000}"/>
    <cellStyle name="Output 3 2 10 2" xfId="37006" xr:uid="{00000000-0005-0000-0000-00007D680000}"/>
    <cellStyle name="Output 3 2 10 3" xfId="16965" xr:uid="{00000000-0005-0000-0000-00007E680000}"/>
    <cellStyle name="Output 3 2 11" xfId="14824" xr:uid="{00000000-0005-0000-0000-00007F680000}"/>
    <cellStyle name="Output 3 2 11 2" xfId="36277" xr:uid="{00000000-0005-0000-0000-000080680000}"/>
    <cellStyle name="Output 3 2 12" xfId="40057" xr:uid="{00000000-0005-0000-0000-00009B0E0000}"/>
    <cellStyle name="Output 3 2 2" xfId="3562" xr:uid="{00000000-0005-0000-0000-000081680000}"/>
    <cellStyle name="Output 3 2 2 10" xfId="14671" xr:uid="{00000000-0005-0000-0000-000082680000}"/>
    <cellStyle name="Output 3 2 2 10 2" xfId="36154" xr:uid="{00000000-0005-0000-0000-000083680000}"/>
    <cellStyle name="Output 3 2 2 2" xfId="5689" xr:uid="{00000000-0005-0000-0000-000084680000}"/>
    <cellStyle name="Output 3 2 2 2 2" xfId="16424" xr:uid="{00000000-0005-0000-0000-000085680000}"/>
    <cellStyle name="Output 3 2 2 2 2 2" xfId="24142" xr:uid="{00000000-0005-0000-0000-000086680000}"/>
    <cellStyle name="Output 3 2 2 2 3" xfId="16075" xr:uid="{00000000-0005-0000-0000-000087680000}"/>
    <cellStyle name="Output 3 2 2 3" xfId="5176" xr:uid="{00000000-0005-0000-0000-000088680000}"/>
    <cellStyle name="Output 3 2 2 3 2" xfId="23636" xr:uid="{00000000-0005-0000-0000-000089680000}"/>
    <cellStyle name="Output 3 2 2 3 3" xfId="18790" xr:uid="{00000000-0005-0000-0000-00008A680000}"/>
    <cellStyle name="Output 3 2 2 4" xfId="7164" xr:uid="{00000000-0005-0000-0000-00008B680000}"/>
    <cellStyle name="Output 3 2 2 4 2" xfId="25595" xr:uid="{00000000-0005-0000-0000-00008C680000}"/>
    <cellStyle name="Output 3 2 2 4 3" xfId="20521" xr:uid="{00000000-0005-0000-0000-00008D680000}"/>
    <cellStyle name="Output 3 2 2 5" xfId="7701" xr:uid="{00000000-0005-0000-0000-00008E680000}"/>
    <cellStyle name="Output 3 2 2 5 2" xfId="26131" xr:uid="{00000000-0005-0000-0000-00008F680000}"/>
    <cellStyle name="Output 3 2 2 5 3" xfId="21056" xr:uid="{00000000-0005-0000-0000-000090680000}"/>
    <cellStyle name="Output 3 2 2 6" xfId="8075" xr:uid="{00000000-0005-0000-0000-000091680000}"/>
    <cellStyle name="Output 3 2 2 6 2" xfId="26505" xr:uid="{00000000-0005-0000-0000-000092680000}"/>
    <cellStyle name="Output 3 2 2 6 3" xfId="21429" xr:uid="{00000000-0005-0000-0000-000093680000}"/>
    <cellStyle name="Output 3 2 2 7" xfId="8799" xr:uid="{00000000-0005-0000-0000-000094680000}"/>
    <cellStyle name="Output 3 2 2 7 2" xfId="27219" xr:uid="{00000000-0005-0000-0000-000095680000}"/>
    <cellStyle name="Output 3 2 2 7 3" xfId="22090" xr:uid="{00000000-0005-0000-0000-000096680000}"/>
    <cellStyle name="Output 3 2 2 8" xfId="4291" xr:uid="{00000000-0005-0000-0000-000097680000}"/>
    <cellStyle name="Output 3 2 2 8 2" xfId="22755" xr:uid="{00000000-0005-0000-0000-000098680000}"/>
    <cellStyle name="Output 3 2 2 8 3" xfId="17973" xr:uid="{00000000-0005-0000-0000-000099680000}"/>
    <cellStyle name="Output 3 2 2 9" xfId="16021" xr:uid="{00000000-0005-0000-0000-00009A680000}"/>
    <cellStyle name="Output 3 2 2 9 2" xfId="37362" xr:uid="{00000000-0005-0000-0000-00009B680000}"/>
    <cellStyle name="Output 3 2 2 9 3" xfId="17302" xr:uid="{00000000-0005-0000-0000-00009C680000}"/>
    <cellStyle name="Output 3 2 3" xfId="5316" xr:uid="{00000000-0005-0000-0000-00009D680000}"/>
    <cellStyle name="Output 3 2 3 2" xfId="23776" xr:uid="{00000000-0005-0000-0000-00009E680000}"/>
    <cellStyle name="Output 3 2 3 3" xfId="18919" xr:uid="{00000000-0005-0000-0000-00009F680000}"/>
    <cellStyle name="Output 3 2 4" xfId="4905" xr:uid="{00000000-0005-0000-0000-0000A0680000}"/>
    <cellStyle name="Output 3 2 4 2" xfId="23365" xr:uid="{00000000-0005-0000-0000-0000A1680000}"/>
    <cellStyle name="Output 3 2 4 3" xfId="18519" xr:uid="{00000000-0005-0000-0000-0000A2680000}"/>
    <cellStyle name="Output 3 2 5" xfId="6296" xr:uid="{00000000-0005-0000-0000-0000A3680000}"/>
    <cellStyle name="Output 3 2 5 2" xfId="24736" xr:uid="{00000000-0005-0000-0000-0000A4680000}"/>
    <cellStyle name="Output 3 2 5 3" xfId="19845" xr:uid="{00000000-0005-0000-0000-0000A5680000}"/>
    <cellStyle name="Output 3 2 6" xfId="7378" xr:uid="{00000000-0005-0000-0000-0000A6680000}"/>
    <cellStyle name="Output 3 2 6 2" xfId="25809" xr:uid="{00000000-0005-0000-0000-0000A7680000}"/>
    <cellStyle name="Output 3 2 6 3" xfId="20734" xr:uid="{00000000-0005-0000-0000-0000A8680000}"/>
    <cellStyle name="Output 3 2 7" xfId="6159" xr:uid="{00000000-0005-0000-0000-0000A9680000}"/>
    <cellStyle name="Output 3 2 7 2" xfId="24600" xr:uid="{00000000-0005-0000-0000-0000AA680000}"/>
    <cellStyle name="Output 3 2 7 3" xfId="19709" xr:uid="{00000000-0005-0000-0000-0000AB680000}"/>
    <cellStyle name="Output 3 2 8" xfId="8478" xr:uid="{00000000-0005-0000-0000-0000AC680000}"/>
    <cellStyle name="Output 3 2 8 2" xfId="26901" xr:uid="{00000000-0005-0000-0000-0000AD680000}"/>
    <cellStyle name="Output 3 2 8 3" xfId="21769" xr:uid="{00000000-0005-0000-0000-0000AE680000}"/>
    <cellStyle name="Output 3 2 9" xfId="3970" xr:uid="{00000000-0005-0000-0000-0000AF680000}"/>
    <cellStyle name="Output 3 2 9 2" xfId="22437" xr:uid="{00000000-0005-0000-0000-0000B0680000}"/>
    <cellStyle name="Output 3 2 9 3" xfId="17652" xr:uid="{00000000-0005-0000-0000-0000B1680000}"/>
    <cellStyle name="Output 3 20" xfId="16210" xr:uid="{00000000-0005-0000-0000-0000B2680000}"/>
    <cellStyle name="Output 3 20 2" xfId="37525" xr:uid="{00000000-0005-0000-0000-0000B3680000}"/>
    <cellStyle name="Output 3 20 3" xfId="16962" xr:uid="{00000000-0005-0000-0000-0000B4680000}"/>
    <cellStyle name="Output 3 21" xfId="16443" xr:uid="{00000000-0005-0000-0000-0000B5680000}"/>
    <cellStyle name="Output 3 21 2" xfId="37712" xr:uid="{00000000-0005-0000-0000-0000B6680000}"/>
    <cellStyle name="Output 3 22" xfId="38080" xr:uid="{00000000-0005-0000-0000-00009A0E0000}"/>
    <cellStyle name="Output 3 3" xfId="3055" xr:uid="{00000000-0005-0000-0000-0000B7680000}"/>
    <cellStyle name="Output 3 3 10" xfId="15608" xr:uid="{00000000-0005-0000-0000-0000B8680000}"/>
    <cellStyle name="Output 3 3 10 2" xfId="36984" xr:uid="{00000000-0005-0000-0000-0000B9680000}"/>
    <cellStyle name="Output 3 3 10 3" xfId="16966" xr:uid="{00000000-0005-0000-0000-0000BA680000}"/>
    <cellStyle name="Output 3 3 11" xfId="15739" xr:uid="{00000000-0005-0000-0000-0000BB680000}"/>
    <cellStyle name="Output 3 3 11 2" xfId="37104" xr:uid="{00000000-0005-0000-0000-0000BC680000}"/>
    <cellStyle name="Output 3 3 12" xfId="40056" xr:uid="{00000000-0005-0000-0000-00009C0E0000}"/>
    <cellStyle name="Output 3 3 2" xfId="3563" xr:uid="{00000000-0005-0000-0000-0000BD680000}"/>
    <cellStyle name="Output 3 3 2 10" xfId="15321" xr:uid="{00000000-0005-0000-0000-0000BE680000}"/>
    <cellStyle name="Output 3 3 2 10 2" xfId="36711" xr:uid="{00000000-0005-0000-0000-0000BF680000}"/>
    <cellStyle name="Output 3 3 2 2" xfId="5690" xr:uid="{00000000-0005-0000-0000-0000C0680000}"/>
    <cellStyle name="Output 3 3 2 2 2" xfId="16433" xr:uid="{00000000-0005-0000-0000-0000C1680000}"/>
    <cellStyle name="Output 3 3 2 2 2 2" xfId="24143" xr:uid="{00000000-0005-0000-0000-0000C2680000}"/>
    <cellStyle name="Output 3 3 2 2 3" xfId="14601" xr:uid="{00000000-0005-0000-0000-0000C3680000}"/>
    <cellStyle name="Output 3 3 2 3" xfId="5177" xr:uid="{00000000-0005-0000-0000-0000C4680000}"/>
    <cellStyle name="Output 3 3 2 3 2" xfId="23637" xr:uid="{00000000-0005-0000-0000-0000C5680000}"/>
    <cellStyle name="Output 3 3 2 3 3" xfId="18791" xr:uid="{00000000-0005-0000-0000-0000C6680000}"/>
    <cellStyle name="Output 3 3 2 4" xfId="7165" xr:uid="{00000000-0005-0000-0000-0000C7680000}"/>
    <cellStyle name="Output 3 3 2 4 2" xfId="25596" xr:uid="{00000000-0005-0000-0000-0000C8680000}"/>
    <cellStyle name="Output 3 3 2 4 3" xfId="20522" xr:uid="{00000000-0005-0000-0000-0000C9680000}"/>
    <cellStyle name="Output 3 3 2 5" xfId="7702" xr:uid="{00000000-0005-0000-0000-0000CA680000}"/>
    <cellStyle name="Output 3 3 2 5 2" xfId="26132" xr:uid="{00000000-0005-0000-0000-0000CB680000}"/>
    <cellStyle name="Output 3 3 2 5 3" xfId="21057" xr:uid="{00000000-0005-0000-0000-0000CC680000}"/>
    <cellStyle name="Output 3 3 2 6" xfId="8076" xr:uid="{00000000-0005-0000-0000-0000CD680000}"/>
    <cellStyle name="Output 3 3 2 6 2" xfId="26506" xr:uid="{00000000-0005-0000-0000-0000CE680000}"/>
    <cellStyle name="Output 3 3 2 6 3" xfId="21430" xr:uid="{00000000-0005-0000-0000-0000CF680000}"/>
    <cellStyle name="Output 3 3 2 7" xfId="8800" xr:uid="{00000000-0005-0000-0000-0000D0680000}"/>
    <cellStyle name="Output 3 3 2 7 2" xfId="27220" xr:uid="{00000000-0005-0000-0000-0000D1680000}"/>
    <cellStyle name="Output 3 3 2 7 3" xfId="22091" xr:uid="{00000000-0005-0000-0000-0000D2680000}"/>
    <cellStyle name="Output 3 3 2 8" xfId="4292" xr:uid="{00000000-0005-0000-0000-0000D3680000}"/>
    <cellStyle name="Output 3 3 2 8 2" xfId="22756" xr:uid="{00000000-0005-0000-0000-0000D4680000}"/>
    <cellStyle name="Output 3 3 2 8 3" xfId="17974" xr:uid="{00000000-0005-0000-0000-0000D5680000}"/>
    <cellStyle name="Output 3 3 2 9" xfId="16020" xr:uid="{00000000-0005-0000-0000-0000D6680000}"/>
    <cellStyle name="Output 3 3 2 9 2" xfId="37361" xr:uid="{00000000-0005-0000-0000-0000D7680000}"/>
    <cellStyle name="Output 3 3 2 9 3" xfId="17303" xr:uid="{00000000-0005-0000-0000-0000D8680000}"/>
    <cellStyle name="Output 3 3 3" xfId="5317" xr:uid="{00000000-0005-0000-0000-0000D9680000}"/>
    <cellStyle name="Output 3 3 3 2" xfId="23777" xr:uid="{00000000-0005-0000-0000-0000DA680000}"/>
    <cellStyle name="Output 3 3 3 3" xfId="18920" xr:uid="{00000000-0005-0000-0000-0000DB680000}"/>
    <cellStyle name="Output 3 3 4" xfId="4906" xr:uid="{00000000-0005-0000-0000-0000DC680000}"/>
    <cellStyle name="Output 3 3 4 2" xfId="23366" xr:uid="{00000000-0005-0000-0000-0000DD680000}"/>
    <cellStyle name="Output 3 3 4 3" xfId="18520" xr:uid="{00000000-0005-0000-0000-0000DE680000}"/>
    <cellStyle name="Output 3 3 5" xfId="6295" xr:uid="{00000000-0005-0000-0000-0000DF680000}"/>
    <cellStyle name="Output 3 3 5 2" xfId="24735" xr:uid="{00000000-0005-0000-0000-0000E0680000}"/>
    <cellStyle name="Output 3 3 5 3" xfId="19844" xr:uid="{00000000-0005-0000-0000-0000E1680000}"/>
    <cellStyle name="Output 3 3 6" xfId="7379" xr:uid="{00000000-0005-0000-0000-0000E2680000}"/>
    <cellStyle name="Output 3 3 6 2" xfId="25810" xr:uid="{00000000-0005-0000-0000-0000E3680000}"/>
    <cellStyle name="Output 3 3 6 3" xfId="20735" xr:uid="{00000000-0005-0000-0000-0000E4680000}"/>
    <cellStyle name="Output 3 3 7" xfId="6312" xr:uid="{00000000-0005-0000-0000-0000E5680000}"/>
    <cellStyle name="Output 3 3 7 2" xfId="24752" xr:uid="{00000000-0005-0000-0000-0000E6680000}"/>
    <cellStyle name="Output 3 3 7 3" xfId="19861" xr:uid="{00000000-0005-0000-0000-0000E7680000}"/>
    <cellStyle name="Output 3 3 8" xfId="8479" xr:uid="{00000000-0005-0000-0000-0000E8680000}"/>
    <cellStyle name="Output 3 3 8 2" xfId="26902" xr:uid="{00000000-0005-0000-0000-0000E9680000}"/>
    <cellStyle name="Output 3 3 8 3" xfId="21770" xr:uid="{00000000-0005-0000-0000-0000EA680000}"/>
    <cellStyle name="Output 3 3 9" xfId="3971" xr:uid="{00000000-0005-0000-0000-0000EB680000}"/>
    <cellStyle name="Output 3 3 9 2" xfId="22438" xr:uid="{00000000-0005-0000-0000-0000EC680000}"/>
    <cellStyle name="Output 3 3 9 3" xfId="17653" xr:uid="{00000000-0005-0000-0000-0000ED680000}"/>
    <cellStyle name="Output 3 4" xfId="3056" xr:uid="{00000000-0005-0000-0000-0000EE680000}"/>
    <cellStyle name="Output 3 4 10" xfId="15553" xr:uid="{00000000-0005-0000-0000-0000EF680000}"/>
    <cellStyle name="Output 3 4 10 2" xfId="36931" xr:uid="{00000000-0005-0000-0000-0000F0680000}"/>
    <cellStyle name="Output 3 4 10 3" xfId="16967" xr:uid="{00000000-0005-0000-0000-0000F1680000}"/>
    <cellStyle name="Output 3 4 11" xfId="16063" xr:uid="{00000000-0005-0000-0000-0000F2680000}"/>
    <cellStyle name="Output 3 4 11 2" xfId="37389" xr:uid="{00000000-0005-0000-0000-0000F3680000}"/>
    <cellStyle name="Output 3 4 2" xfId="3564" xr:uid="{00000000-0005-0000-0000-0000F4680000}"/>
    <cellStyle name="Output 3 4 2 10" xfId="15756" xr:uid="{00000000-0005-0000-0000-0000F5680000}"/>
    <cellStyle name="Output 3 4 2 10 2" xfId="37118" xr:uid="{00000000-0005-0000-0000-0000F6680000}"/>
    <cellStyle name="Output 3 4 2 2" xfId="5691" xr:uid="{00000000-0005-0000-0000-0000F7680000}"/>
    <cellStyle name="Output 3 4 2 2 2" xfId="16435" xr:uid="{00000000-0005-0000-0000-0000F8680000}"/>
    <cellStyle name="Output 3 4 2 2 2 2" xfId="24144" xr:uid="{00000000-0005-0000-0000-0000F9680000}"/>
    <cellStyle name="Output 3 4 2 2 3" xfId="15311" xr:uid="{00000000-0005-0000-0000-0000FA680000}"/>
    <cellStyle name="Output 3 4 2 3" xfId="5178" xr:uid="{00000000-0005-0000-0000-0000FB680000}"/>
    <cellStyle name="Output 3 4 2 3 2" xfId="23638" xr:uid="{00000000-0005-0000-0000-0000FC680000}"/>
    <cellStyle name="Output 3 4 2 3 3" xfId="18792" xr:uid="{00000000-0005-0000-0000-0000FD680000}"/>
    <cellStyle name="Output 3 4 2 4" xfId="7166" xr:uid="{00000000-0005-0000-0000-0000FE680000}"/>
    <cellStyle name="Output 3 4 2 4 2" xfId="25597" xr:uid="{00000000-0005-0000-0000-0000FF680000}"/>
    <cellStyle name="Output 3 4 2 4 3" xfId="20523" xr:uid="{00000000-0005-0000-0000-000000690000}"/>
    <cellStyle name="Output 3 4 2 5" xfId="7703" xr:uid="{00000000-0005-0000-0000-000001690000}"/>
    <cellStyle name="Output 3 4 2 5 2" xfId="26133" xr:uid="{00000000-0005-0000-0000-000002690000}"/>
    <cellStyle name="Output 3 4 2 5 3" xfId="21058" xr:uid="{00000000-0005-0000-0000-000003690000}"/>
    <cellStyle name="Output 3 4 2 6" xfId="8077" xr:uid="{00000000-0005-0000-0000-000004690000}"/>
    <cellStyle name="Output 3 4 2 6 2" xfId="26507" xr:uid="{00000000-0005-0000-0000-000005690000}"/>
    <cellStyle name="Output 3 4 2 6 3" xfId="21431" xr:uid="{00000000-0005-0000-0000-000006690000}"/>
    <cellStyle name="Output 3 4 2 7" xfId="8801" xr:uid="{00000000-0005-0000-0000-000007690000}"/>
    <cellStyle name="Output 3 4 2 7 2" xfId="27221" xr:uid="{00000000-0005-0000-0000-000008690000}"/>
    <cellStyle name="Output 3 4 2 7 3" xfId="22092" xr:uid="{00000000-0005-0000-0000-000009690000}"/>
    <cellStyle name="Output 3 4 2 8" xfId="4293" xr:uid="{00000000-0005-0000-0000-00000A690000}"/>
    <cellStyle name="Output 3 4 2 8 2" xfId="22757" xr:uid="{00000000-0005-0000-0000-00000B690000}"/>
    <cellStyle name="Output 3 4 2 8 3" xfId="17975" xr:uid="{00000000-0005-0000-0000-00000C690000}"/>
    <cellStyle name="Output 3 4 2 9" xfId="16345" xr:uid="{00000000-0005-0000-0000-00000D690000}"/>
    <cellStyle name="Output 3 4 2 9 2" xfId="37648" xr:uid="{00000000-0005-0000-0000-00000E690000}"/>
    <cellStyle name="Output 3 4 2 9 3" xfId="17304" xr:uid="{00000000-0005-0000-0000-00000F690000}"/>
    <cellStyle name="Output 3 4 3" xfId="5318" xr:uid="{00000000-0005-0000-0000-000010690000}"/>
    <cellStyle name="Output 3 4 3 2" xfId="23778" xr:uid="{00000000-0005-0000-0000-000011690000}"/>
    <cellStyle name="Output 3 4 3 3" xfId="18921" xr:uid="{00000000-0005-0000-0000-000012690000}"/>
    <cellStyle name="Output 3 4 4" xfId="4907" xr:uid="{00000000-0005-0000-0000-000013690000}"/>
    <cellStyle name="Output 3 4 4 2" xfId="23367" xr:uid="{00000000-0005-0000-0000-000014690000}"/>
    <cellStyle name="Output 3 4 4 3" xfId="18521" xr:uid="{00000000-0005-0000-0000-000015690000}"/>
    <cellStyle name="Output 3 4 5" xfId="6294" xr:uid="{00000000-0005-0000-0000-000016690000}"/>
    <cellStyle name="Output 3 4 5 2" xfId="24734" xr:uid="{00000000-0005-0000-0000-000017690000}"/>
    <cellStyle name="Output 3 4 5 3" xfId="19843" xr:uid="{00000000-0005-0000-0000-000018690000}"/>
    <cellStyle name="Output 3 4 6" xfId="7380" xr:uid="{00000000-0005-0000-0000-000019690000}"/>
    <cellStyle name="Output 3 4 6 2" xfId="25811" xr:uid="{00000000-0005-0000-0000-00001A690000}"/>
    <cellStyle name="Output 3 4 6 3" xfId="20736" xr:uid="{00000000-0005-0000-0000-00001B690000}"/>
    <cellStyle name="Output 3 4 7" xfId="7292" xr:uid="{00000000-0005-0000-0000-00001C690000}"/>
    <cellStyle name="Output 3 4 7 2" xfId="25723" xr:uid="{00000000-0005-0000-0000-00001D690000}"/>
    <cellStyle name="Output 3 4 7 3" xfId="20648" xr:uid="{00000000-0005-0000-0000-00001E690000}"/>
    <cellStyle name="Output 3 4 8" xfId="8480" xr:uid="{00000000-0005-0000-0000-00001F690000}"/>
    <cellStyle name="Output 3 4 8 2" xfId="26903" xr:uid="{00000000-0005-0000-0000-000020690000}"/>
    <cellStyle name="Output 3 4 8 3" xfId="21771" xr:uid="{00000000-0005-0000-0000-000021690000}"/>
    <cellStyle name="Output 3 4 9" xfId="3972" xr:uid="{00000000-0005-0000-0000-000022690000}"/>
    <cellStyle name="Output 3 4 9 2" xfId="22439" xr:uid="{00000000-0005-0000-0000-000023690000}"/>
    <cellStyle name="Output 3 4 9 3" xfId="17654" xr:uid="{00000000-0005-0000-0000-000024690000}"/>
    <cellStyle name="Output 3 5" xfId="3057" xr:uid="{00000000-0005-0000-0000-000025690000}"/>
    <cellStyle name="Output 3 5 10" xfId="15280" xr:uid="{00000000-0005-0000-0000-000026690000}"/>
    <cellStyle name="Output 3 5 10 2" xfId="36685" xr:uid="{00000000-0005-0000-0000-000027690000}"/>
    <cellStyle name="Output 3 5 10 3" xfId="16968" xr:uid="{00000000-0005-0000-0000-000028690000}"/>
    <cellStyle name="Output 3 5 11" xfId="15070" xr:uid="{00000000-0005-0000-0000-000029690000}"/>
    <cellStyle name="Output 3 5 11 2" xfId="36481" xr:uid="{00000000-0005-0000-0000-00002A690000}"/>
    <cellStyle name="Output 3 5 2" xfId="3565" xr:uid="{00000000-0005-0000-0000-00002B690000}"/>
    <cellStyle name="Output 3 5 2 10" xfId="14741" xr:uid="{00000000-0005-0000-0000-00002C690000}"/>
    <cellStyle name="Output 3 5 2 10 2" xfId="36218" xr:uid="{00000000-0005-0000-0000-00002D690000}"/>
    <cellStyle name="Output 3 5 2 2" xfId="5692" xr:uid="{00000000-0005-0000-0000-00002E690000}"/>
    <cellStyle name="Output 3 5 2 2 2" xfId="16437" xr:uid="{00000000-0005-0000-0000-00002F690000}"/>
    <cellStyle name="Output 3 5 2 2 2 2" xfId="24145" xr:uid="{00000000-0005-0000-0000-000030690000}"/>
    <cellStyle name="Output 3 5 2 2 3" xfId="14974" xr:uid="{00000000-0005-0000-0000-000031690000}"/>
    <cellStyle name="Output 3 5 2 3" xfId="5179" xr:uid="{00000000-0005-0000-0000-000032690000}"/>
    <cellStyle name="Output 3 5 2 3 2" xfId="23639" xr:uid="{00000000-0005-0000-0000-000033690000}"/>
    <cellStyle name="Output 3 5 2 3 3" xfId="18793" xr:uid="{00000000-0005-0000-0000-000034690000}"/>
    <cellStyle name="Output 3 5 2 4" xfId="7167" xr:uid="{00000000-0005-0000-0000-000035690000}"/>
    <cellStyle name="Output 3 5 2 4 2" xfId="25598" xr:uid="{00000000-0005-0000-0000-000036690000}"/>
    <cellStyle name="Output 3 5 2 4 3" xfId="20524" xr:uid="{00000000-0005-0000-0000-000037690000}"/>
    <cellStyle name="Output 3 5 2 5" xfId="7704" xr:uid="{00000000-0005-0000-0000-000038690000}"/>
    <cellStyle name="Output 3 5 2 5 2" xfId="26134" xr:uid="{00000000-0005-0000-0000-000039690000}"/>
    <cellStyle name="Output 3 5 2 5 3" xfId="21059" xr:uid="{00000000-0005-0000-0000-00003A690000}"/>
    <cellStyle name="Output 3 5 2 6" xfId="8078" xr:uid="{00000000-0005-0000-0000-00003B690000}"/>
    <cellStyle name="Output 3 5 2 6 2" xfId="26508" xr:uid="{00000000-0005-0000-0000-00003C690000}"/>
    <cellStyle name="Output 3 5 2 6 3" xfId="21432" xr:uid="{00000000-0005-0000-0000-00003D690000}"/>
    <cellStyle name="Output 3 5 2 7" xfId="8802" xr:uid="{00000000-0005-0000-0000-00003E690000}"/>
    <cellStyle name="Output 3 5 2 7 2" xfId="27222" xr:uid="{00000000-0005-0000-0000-00003F690000}"/>
    <cellStyle name="Output 3 5 2 7 3" xfId="22093" xr:uid="{00000000-0005-0000-0000-000040690000}"/>
    <cellStyle name="Output 3 5 2 8" xfId="4294" xr:uid="{00000000-0005-0000-0000-000041690000}"/>
    <cellStyle name="Output 3 5 2 8 2" xfId="22758" xr:uid="{00000000-0005-0000-0000-000042690000}"/>
    <cellStyle name="Output 3 5 2 8 3" xfId="17976" xr:uid="{00000000-0005-0000-0000-000043690000}"/>
    <cellStyle name="Output 3 5 2 9" xfId="16019" xr:uid="{00000000-0005-0000-0000-000044690000}"/>
    <cellStyle name="Output 3 5 2 9 2" xfId="37360" xr:uid="{00000000-0005-0000-0000-000045690000}"/>
    <cellStyle name="Output 3 5 2 9 3" xfId="17305" xr:uid="{00000000-0005-0000-0000-000046690000}"/>
    <cellStyle name="Output 3 5 3" xfId="5319" xr:uid="{00000000-0005-0000-0000-000047690000}"/>
    <cellStyle name="Output 3 5 3 2" xfId="23779" xr:uid="{00000000-0005-0000-0000-000048690000}"/>
    <cellStyle name="Output 3 5 3 3" xfId="18922" xr:uid="{00000000-0005-0000-0000-000049690000}"/>
    <cellStyle name="Output 3 5 4" xfId="4908" xr:uid="{00000000-0005-0000-0000-00004A690000}"/>
    <cellStyle name="Output 3 5 4 2" xfId="23368" xr:uid="{00000000-0005-0000-0000-00004B690000}"/>
    <cellStyle name="Output 3 5 4 3" xfId="18522" xr:uid="{00000000-0005-0000-0000-00004C690000}"/>
    <cellStyle name="Output 3 5 5" xfId="6293" xr:uid="{00000000-0005-0000-0000-00004D690000}"/>
    <cellStyle name="Output 3 5 5 2" xfId="24733" xr:uid="{00000000-0005-0000-0000-00004E690000}"/>
    <cellStyle name="Output 3 5 5 3" xfId="19842" xr:uid="{00000000-0005-0000-0000-00004F690000}"/>
    <cellStyle name="Output 3 5 6" xfId="7381" xr:uid="{00000000-0005-0000-0000-000050690000}"/>
    <cellStyle name="Output 3 5 6 2" xfId="25812" xr:uid="{00000000-0005-0000-0000-000051690000}"/>
    <cellStyle name="Output 3 5 6 3" xfId="20737" xr:uid="{00000000-0005-0000-0000-000052690000}"/>
    <cellStyle name="Output 3 5 7" xfId="7051" xr:uid="{00000000-0005-0000-0000-000053690000}"/>
    <cellStyle name="Output 3 5 7 2" xfId="25489" xr:uid="{00000000-0005-0000-0000-000054690000}"/>
    <cellStyle name="Output 3 5 7 3" xfId="20425" xr:uid="{00000000-0005-0000-0000-000055690000}"/>
    <cellStyle name="Output 3 5 8" xfId="8481" xr:uid="{00000000-0005-0000-0000-000056690000}"/>
    <cellStyle name="Output 3 5 8 2" xfId="26904" xr:uid="{00000000-0005-0000-0000-000057690000}"/>
    <cellStyle name="Output 3 5 8 3" xfId="21772" xr:uid="{00000000-0005-0000-0000-000058690000}"/>
    <cellStyle name="Output 3 5 9" xfId="3973" xr:uid="{00000000-0005-0000-0000-000059690000}"/>
    <cellStyle name="Output 3 5 9 2" xfId="22440" xr:uid="{00000000-0005-0000-0000-00005A690000}"/>
    <cellStyle name="Output 3 5 9 3" xfId="17655" xr:uid="{00000000-0005-0000-0000-00005B690000}"/>
    <cellStyle name="Output 3 6" xfId="3058" xr:uid="{00000000-0005-0000-0000-00005C690000}"/>
    <cellStyle name="Output 3 6 10" xfId="14932" xr:uid="{00000000-0005-0000-0000-00005D690000}"/>
    <cellStyle name="Output 3 6 10 2" xfId="36380" xr:uid="{00000000-0005-0000-0000-00005E690000}"/>
    <cellStyle name="Output 3 6 10 3" xfId="16969" xr:uid="{00000000-0005-0000-0000-00005F690000}"/>
    <cellStyle name="Output 3 6 11" xfId="15758" xr:uid="{00000000-0005-0000-0000-000060690000}"/>
    <cellStyle name="Output 3 6 11 2" xfId="37120" xr:uid="{00000000-0005-0000-0000-000061690000}"/>
    <cellStyle name="Output 3 6 2" xfId="3566" xr:uid="{00000000-0005-0000-0000-000062690000}"/>
    <cellStyle name="Output 3 6 2 10" xfId="16442" xr:uid="{00000000-0005-0000-0000-000063690000}"/>
    <cellStyle name="Output 3 6 2 10 2" xfId="37711" xr:uid="{00000000-0005-0000-0000-000064690000}"/>
    <cellStyle name="Output 3 6 2 2" xfId="5693" xr:uid="{00000000-0005-0000-0000-000065690000}"/>
    <cellStyle name="Output 3 6 2 2 2" xfId="16439" xr:uid="{00000000-0005-0000-0000-000066690000}"/>
    <cellStyle name="Output 3 6 2 2 2 2" xfId="24146" xr:uid="{00000000-0005-0000-0000-000067690000}"/>
    <cellStyle name="Output 3 6 2 2 3" xfId="16409" xr:uid="{00000000-0005-0000-0000-000068690000}"/>
    <cellStyle name="Output 3 6 2 3" xfId="5180" xr:uid="{00000000-0005-0000-0000-000069690000}"/>
    <cellStyle name="Output 3 6 2 3 2" xfId="23640" xr:uid="{00000000-0005-0000-0000-00006A690000}"/>
    <cellStyle name="Output 3 6 2 3 3" xfId="18794" xr:uid="{00000000-0005-0000-0000-00006B690000}"/>
    <cellStyle name="Output 3 6 2 4" xfId="7168" xr:uid="{00000000-0005-0000-0000-00006C690000}"/>
    <cellStyle name="Output 3 6 2 4 2" xfId="25599" xr:uid="{00000000-0005-0000-0000-00006D690000}"/>
    <cellStyle name="Output 3 6 2 4 3" xfId="20525" xr:uid="{00000000-0005-0000-0000-00006E690000}"/>
    <cellStyle name="Output 3 6 2 5" xfId="7705" xr:uid="{00000000-0005-0000-0000-00006F690000}"/>
    <cellStyle name="Output 3 6 2 5 2" xfId="26135" xr:uid="{00000000-0005-0000-0000-000070690000}"/>
    <cellStyle name="Output 3 6 2 5 3" xfId="21060" xr:uid="{00000000-0005-0000-0000-000071690000}"/>
    <cellStyle name="Output 3 6 2 6" xfId="8079" xr:uid="{00000000-0005-0000-0000-000072690000}"/>
    <cellStyle name="Output 3 6 2 6 2" xfId="26509" xr:uid="{00000000-0005-0000-0000-000073690000}"/>
    <cellStyle name="Output 3 6 2 6 3" xfId="21433" xr:uid="{00000000-0005-0000-0000-000074690000}"/>
    <cellStyle name="Output 3 6 2 7" xfId="8803" xr:uid="{00000000-0005-0000-0000-000075690000}"/>
    <cellStyle name="Output 3 6 2 7 2" xfId="27223" xr:uid="{00000000-0005-0000-0000-000076690000}"/>
    <cellStyle name="Output 3 6 2 7 3" xfId="22094" xr:uid="{00000000-0005-0000-0000-000077690000}"/>
    <cellStyle name="Output 3 6 2 8" xfId="4295" xr:uid="{00000000-0005-0000-0000-000078690000}"/>
    <cellStyle name="Output 3 6 2 8 2" xfId="22759" xr:uid="{00000000-0005-0000-0000-000079690000}"/>
    <cellStyle name="Output 3 6 2 8 3" xfId="17977" xr:uid="{00000000-0005-0000-0000-00007A690000}"/>
    <cellStyle name="Output 3 6 2 9" xfId="14931" xr:uid="{00000000-0005-0000-0000-00007B690000}"/>
    <cellStyle name="Output 3 6 2 9 2" xfId="36379" xr:uid="{00000000-0005-0000-0000-00007C690000}"/>
    <cellStyle name="Output 3 6 2 9 3" xfId="17306" xr:uid="{00000000-0005-0000-0000-00007D690000}"/>
    <cellStyle name="Output 3 6 3" xfId="5320" xr:uid="{00000000-0005-0000-0000-00007E690000}"/>
    <cellStyle name="Output 3 6 3 2" xfId="23780" xr:uid="{00000000-0005-0000-0000-00007F690000}"/>
    <cellStyle name="Output 3 6 3 3" xfId="18923" xr:uid="{00000000-0005-0000-0000-000080690000}"/>
    <cellStyle name="Output 3 6 4" xfId="4909" xr:uid="{00000000-0005-0000-0000-000081690000}"/>
    <cellStyle name="Output 3 6 4 2" xfId="23369" xr:uid="{00000000-0005-0000-0000-000082690000}"/>
    <cellStyle name="Output 3 6 4 3" xfId="18523" xr:uid="{00000000-0005-0000-0000-000083690000}"/>
    <cellStyle name="Output 3 6 5" xfId="6292" xr:uid="{00000000-0005-0000-0000-000084690000}"/>
    <cellStyle name="Output 3 6 5 2" xfId="24732" xr:uid="{00000000-0005-0000-0000-000085690000}"/>
    <cellStyle name="Output 3 6 5 3" xfId="19841" xr:uid="{00000000-0005-0000-0000-000086690000}"/>
    <cellStyle name="Output 3 6 6" xfId="7382" xr:uid="{00000000-0005-0000-0000-000087690000}"/>
    <cellStyle name="Output 3 6 6 2" xfId="25813" xr:uid="{00000000-0005-0000-0000-000088690000}"/>
    <cellStyle name="Output 3 6 6 3" xfId="20738" xr:uid="{00000000-0005-0000-0000-000089690000}"/>
    <cellStyle name="Output 3 6 7" xfId="7045" xr:uid="{00000000-0005-0000-0000-00008A690000}"/>
    <cellStyle name="Output 3 6 7 2" xfId="25483" xr:uid="{00000000-0005-0000-0000-00008B690000}"/>
    <cellStyle name="Output 3 6 7 3" xfId="20420" xr:uid="{00000000-0005-0000-0000-00008C690000}"/>
    <cellStyle name="Output 3 6 8" xfId="8482" xr:uid="{00000000-0005-0000-0000-00008D690000}"/>
    <cellStyle name="Output 3 6 8 2" xfId="26905" xr:uid="{00000000-0005-0000-0000-00008E690000}"/>
    <cellStyle name="Output 3 6 8 3" xfId="21773" xr:uid="{00000000-0005-0000-0000-00008F690000}"/>
    <cellStyle name="Output 3 6 9" xfId="3974" xr:uid="{00000000-0005-0000-0000-000090690000}"/>
    <cellStyle name="Output 3 6 9 2" xfId="22441" xr:uid="{00000000-0005-0000-0000-000091690000}"/>
    <cellStyle name="Output 3 6 9 3" xfId="17656" xr:uid="{00000000-0005-0000-0000-000092690000}"/>
    <cellStyle name="Output 3 7" xfId="3059" xr:uid="{00000000-0005-0000-0000-000093690000}"/>
    <cellStyle name="Output 3 7 10" xfId="16344" xr:uid="{00000000-0005-0000-0000-000094690000}"/>
    <cellStyle name="Output 3 7 10 2" xfId="37647" xr:uid="{00000000-0005-0000-0000-000095690000}"/>
    <cellStyle name="Output 3 7 10 3" xfId="16970" xr:uid="{00000000-0005-0000-0000-000096690000}"/>
    <cellStyle name="Output 3 7 11" xfId="14602" xr:uid="{00000000-0005-0000-0000-000097690000}"/>
    <cellStyle name="Output 3 7 11 2" xfId="36105" xr:uid="{00000000-0005-0000-0000-000098690000}"/>
    <cellStyle name="Output 3 7 2" xfId="3567" xr:uid="{00000000-0005-0000-0000-000099690000}"/>
    <cellStyle name="Output 3 7 2 10" xfId="15618" xr:uid="{00000000-0005-0000-0000-00009A690000}"/>
    <cellStyle name="Output 3 7 2 10 2" xfId="36993" xr:uid="{00000000-0005-0000-0000-00009B690000}"/>
    <cellStyle name="Output 3 7 2 2" xfId="5694" xr:uid="{00000000-0005-0000-0000-00009C690000}"/>
    <cellStyle name="Output 3 7 2 2 2" xfId="16441" xr:uid="{00000000-0005-0000-0000-00009D690000}"/>
    <cellStyle name="Output 3 7 2 2 2 2" xfId="24147" xr:uid="{00000000-0005-0000-0000-00009E690000}"/>
    <cellStyle name="Output 3 7 2 2 3" xfId="14651" xr:uid="{00000000-0005-0000-0000-00009F690000}"/>
    <cellStyle name="Output 3 7 2 3" xfId="5181" xr:uid="{00000000-0005-0000-0000-0000A0690000}"/>
    <cellStyle name="Output 3 7 2 3 2" xfId="23641" xr:uid="{00000000-0005-0000-0000-0000A1690000}"/>
    <cellStyle name="Output 3 7 2 3 3" xfId="18795" xr:uid="{00000000-0005-0000-0000-0000A2690000}"/>
    <cellStyle name="Output 3 7 2 4" xfId="7169" xr:uid="{00000000-0005-0000-0000-0000A3690000}"/>
    <cellStyle name="Output 3 7 2 4 2" xfId="25600" xr:uid="{00000000-0005-0000-0000-0000A4690000}"/>
    <cellStyle name="Output 3 7 2 4 3" xfId="20526" xr:uid="{00000000-0005-0000-0000-0000A5690000}"/>
    <cellStyle name="Output 3 7 2 5" xfId="7706" xr:uid="{00000000-0005-0000-0000-0000A6690000}"/>
    <cellStyle name="Output 3 7 2 5 2" xfId="26136" xr:uid="{00000000-0005-0000-0000-0000A7690000}"/>
    <cellStyle name="Output 3 7 2 5 3" xfId="21061" xr:uid="{00000000-0005-0000-0000-0000A8690000}"/>
    <cellStyle name="Output 3 7 2 6" xfId="8080" xr:uid="{00000000-0005-0000-0000-0000A9690000}"/>
    <cellStyle name="Output 3 7 2 6 2" xfId="26510" xr:uid="{00000000-0005-0000-0000-0000AA690000}"/>
    <cellStyle name="Output 3 7 2 6 3" xfId="21434" xr:uid="{00000000-0005-0000-0000-0000AB690000}"/>
    <cellStyle name="Output 3 7 2 7" xfId="8804" xr:uid="{00000000-0005-0000-0000-0000AC690000}"/>
    <cellStyle name="Output 3 7 2 7 2" xfId="27224" xr:uid="{00000000-0005-0000-0000-0000AD690000}"/>
    <cellStyle name="Output 3 7 2 7 3" xfId="22095" xr:uid="{00000000-0005-0000-0000-0000AE690000}"/>
    <cellStyle name="Output 3 7 2 8" xfId="4296" xr:uid="{00000000-0005-0000-0000-0000AF690000}"/>
    <cellStyle name="Output 3 7 2 8 2" xfId="22760" xr:uid="{00000000-0005-0000-0000-0000B0690000}"/>
    <cellStyle name="Output 3 7 2 8 3" xfId="17978" xr:uid="{00000000-0005-0000-0000-0000B1690000}"/>
    <cellStyle name="Output 3 7 2 9" xfId="15554" xr:uid="{00000000-0005-0000-0000-0000B2690000}"/>
    <cellStyle name="Output 3 7 2 9 2" xfId="36932" xr:uid="{00000000-0005-0000-0000-0000B3690000}"/>
    <cellStyle name="Output 3 7 2 9 3" xfId="17307" xr:uid="{00000000-0005-0000-0000-0000B4690000}"/>
    <cellStyle name="Output 3 7 3" xfId="5321" xr:uid="{00000000-0005-0000-0000-0000B5690000}"/>
    <cellStyle name="Output 3 7 3 2" xfId="23781" xr:uid="{00000000-0005-0000-0000-0000B6690000}"/>
    <cellStyle name="Output 3 7 3 3" xfId="18924" xr:uid="{00000000-0005-0000-0000-0000B7690000}"/>
    <cellStyle name="Output 3 7 4" xfId="4910" xr:uid="{00000000-0005-0000-0000-0000B8690000}"/>
    <cellStyle name="Output 3 7 4 2" xfId="23370" xr:uid="{00000000-0005-0000-0000-0000B9690000}"/>
    <cellStyle name="Output 3 7 4 3" xfId="18524" xr:uid="{00000000-0005-0000-0000-0000BA690000}"/>
    <cellStyle name="Output 3 7 5" xfId="6291" xr:uid="{00000000-0005-0000-0000-0000BB690000}"/>
    <cellStyle name="Output 3 7 5 2" xfId="24731" xr:uid="{00000000-0005-0000-0000-0000BC690000}"/>
    <cellStyle name="Output 3 7 5 3" xfId="19840" xr:uid="{00000000-0005-0000-0000-0000BD690000}"/>
    <cellStyle name="Output 3 7 6" xfId="7383" xr:uid="{00000000-0005-0000-0000-0000BE690000}"/>
    <cellStyle name="Output 3 7 6 2" xfId="25814" xr:uid="{00000000-0005-0000-0000-0000BF690000}"/>
    <cellStyle name="Output 3 7 6 3" xfId="20739" xr:uid="{00000000-0005-0000-0000-0000C0690000}"/>
    <cellStyle name="Output 3 7 7" xfId="6252" xr:uid="{00000000-0005-0000-0000-0000C1690000}"/>
    <cellStyle name="Output 3 7 7 2" xfId="24692" xr:uid="{00000000-0005-0000-0000-0000C2690000}"/>
    <cellStyle name="Output 3 7 7 3" xfId="19801" xr:uid="{00000000-0005-0000-0000-0000C3690000}"/>
    <cellStyle name="Output 3 7 8" xfId="8483" xr:uid="{00000000-0005-0000-0000-0000C4690000}"/>
    <cellStyle name="Output 3 7 8 2" xfId="26906" xr:uid="{00000000-0005-0000-0000-0000C5690000}"/>
    <cellStyle name="Output 3 7 8 3" xfId="21774" xr:uid="{00000000-0005-0000-0000-0000C6690000}"/>
    <cellStyle name="Output 3 7 9" xfId="3975" xr:uid="{00000000-0005-0000-0000-0000C7690000}"/>
    <cellStyle name="Output 3 7 9 2" xfId="22442" xr:uid="{00000000-0005-0000-0000-0000C8690000}"/>
    <cellStyle name="Output 3 7 9 3" xfId="17657" xr:uid="{00000000-0005-0000-0000-0000C9690000}"/>
    <cellStyle name="Output 3 8" xfId="3060" xr:uid="{00000000-0005-0000-0000-0000CA690000}"/>
    <cellStyle name="Output 3 8 10" xfId="15279" xr:uid="{00000000-0005-0000-0000-0000CB690000}"/>
    <cellStyle name="Output 3 8 10 2" xfId="36684" xr:uid="{00000000-0005-0000-0000-0000CC690000}"/>
    <cellStyle name="Output 3 8 10 3" xfId="16971" xr:uid="{00000000-0005-0000-0000-0000CD690000}"/>
    <cellStyle name="Output 3 8 11" xfId="14808" xr:uid="{00000000-0005-0000-0000-0000CE690000}"/>
    <cellStyle name="Output 3 8 11 2" xfId="36264" xr:uid="{00000000-0005-0000-0000-0000CF690000}"/>
    <cellStyle name="Output 3 8 2" xfId="3568" xr:uid="{00000000-0005-0000-0000-0000D0690000}"/>
    <cellStyle name="Output 3 8 2 10" xfId="15891" xr:uid="{00000000-0005-0000-0000-0000D1690000}"/>
    <cellStyle name="Output 3 8 2 10 2" xfId="37253" xr:uid="{00000000-0005-0000-0000-0000D2690000}"/>
    <cellStyle name="Output 3 8 2 2" xfId="5695" xr:uid="{00000000-0005-0000-0000-0000D3690000}"/>
    <cellStyle name="Output 3 8 2 2 2" xfId="14774" xr:uid="{00000000-0005-0000-0000-0000D4690000}"/>
    <cellStyle name="Output 3 8 2 2 2 2" xfId="24148" xr:uid="{00000000-0005-0000-0000-0000D5690000}"/>
    <cellStyle name="Output 3 8 2 2 3" xfId="16153" xr:uid="{00000000-0005-0000-0000-0000D6690000}"/>
    <cellStyle name="Output 3 8 2 3" xfId="5182" xr:uid="{00000000-0005-0000-0000-0000D7690000}"/>
    <cellStyle name="Output 3 8 2 3 2" xfId="23642" xr:uid="{00000000-0005-0000-0000-0000D8690000}"/>
    <cellStyle name="Output 3 8 2 3 3" xfId="18796" xr:uid="{00000000-0005-0000-0000-0000D9690000}"/>
    <cellStyle name="Output 3 8 2 4" xfId="7170" xr:uid="{00000000-0005-0000-0000-0000DA690000}"/>
    <cellStyle name="Output 3 8 2 4 2" xfId="25601" xr:uid="{00000000-0005-0000-0000-0000DB690000}"/>
    <cellStyle name="Output 3 8 2 4 3" xfId="20527" xr:uid="{00000000-0005-0000-0000-0000DC690000}"/>
    <cellStyle name="Output 3 8 2 5" xfId="7707" xr:uid="{00000000-0005-0000-0000-0000DD690000}"/>
    <cellStyle name="Output 3 8 2 5 2" xfId="26137" xr:uid="{00000000-0005-0000-0000-0000DE690000}"/>
    <cellStyle name="Output 3 8 2 5 3" xfId="21062" xr:uid="{00000000-0005-0000-0000-0000DF690000}"/>
    <cellStyle name="Output 3 8 2 6" xfId="8081" xr:uid="{00000000-0005-0000-0000-0000E0690000}"/>
    <cellStyle name="Output 3 8 2 6 2" xfId="26511" xr:uid="{00000000-0005-0000-0000-0000E1690000}"/>
    <cellStyle name="Output 3 8 2 6 3" xfId="21435" xr:uid="{00000000-0005-0000-0000-0000E2690000}"/>
    <cellStyle name="Output 3 8 2 7" xfId="8805" xr:uid="{00000000-0005-0000-0000-0000E3690000}"/>
    <cellStyle name="Output 3 8 2 7 2" xfId="27225" xr:uid="{00000000-0005-0000-0000-0000E4690000}"/>
    <cellStyle name="Output 3 8 2 7 3" xfId="22096" xr:uid="{00000000-0005-0000-0000-0000E5690000}"/>
    <cellStyle name="Output 3 8 2 8" xfId="4297" xr:uid="{00000000-0005-0000-0000-0000E6690000}"/>
    <cellStyle name="Output 3 8 2 8 2" xfId="22761" xr:uid="{00000000-0005-0000-0000-0000E7690000}"/>
    <cellStyle name="Output 3 8 2 8 3" xfId="17979" xr:uid="{00000000-0005-0000-0000-0000E8690000}"/>
    <cellStyle name="Output 3 8 2 9" xfId="14930" xr:uid="{00000000-0005-0000-0000-0000E9690000}"/>
    <cellStyle name="Output 3 8 2 9 2" xfId="36378" xr:uid="{00000000-0005-0000-0000-0000EA690000}"/>
    <cellStyle name="Output 3 8 2 9 3" xfId="17308" xr:uid="{00000000-0005-0000-0000-0000EB690000}"/>
    <cellStyle name="Output 3 8 3" xfId="5322" xr:uid="{00000000-0005-0000-0000-0000EC690000}"/>
    <cellStyle name="Output 3 8 3 2" xfId="23782" xr:uid="{00000000-0005-0000-0000-0000ED690000}"/>
    <cellStyle name="Output 3 8 3 3" xfId="18925" xr:uid="{00000000-0005-0000-0000-0000EE690000}"/>
    <cellStyle name="Output 3 8 4" xfId="4911" xr:uid="{00000000-0005-0000-0000-0000EF690000}"/>
    <cellStyle name="Output 3 8 4 2" xfId="23371" xr:uid="{00000000-0005-0000-0000-0000F0690000}"/>
    <cellStyle name="Output 3 8 4 3" xfId="18525" xr:uid="{00000000-0005-0000-0000-0000F1690000}"/>
    <cellStyle name="Output 3 8 5" xfId="6290" xr:uid="{00000000-0005-0000-0000-0000F2690000}"/>
    <cellStyle name="Output 3 8 5 2" xfId="24730" xr:uid="{00000000-0005-0000-0000-0000F3690000}"/>
    <cellStyle name="Output 3 8 5 3" xfId="19839" xr:uid="{00000000-0005-0000-0000-0000F4690000}"/>
    <cellStyle name="Output 3 8 6" xfId="7384" xr:uid="{00000000-0005-0000-0000-0000F5690000}"/>
    <cellStyle name="Output 3 8 6 2" xfId="25815" xr:uid="{00000000-0005-0000-0000-0000F6690000}"/>
    <cellStyle name="Output 3 8 6 3" xfId="20740" xr:uid="{00000000-0005-0000-0000-0000F7690000}"/>
    <cellStyle name="Output 3 8 7" xfId="6251" xr:uid="{00000000-0005-0000-0000-0000F8690000}"/>
    <cellStyle name="Output 3 8 7 2" xfId="24691" xr:uid="{00000000-0005-0000-0000-0000F9690000}"/>
    <cellStyle name="Output 3 8 7 3" xfId="19800" xr:uid="{00000000-0005-0000-0000-0000FA690000}"/>
    <cellStyle name="Output 3 8 8" xfId="8484" xr:uid="{00000000-0005-0000-0000-0000FB690000}"/>
    <cellStyle name="Output 3 8 8 2" xfId="26907" xr:uid="{00000000-0005-0000-0000-0000FC690000}"/>
    <cellStyle name="Output 3 8 8 3" xfId="21775" xr:uid="{00000000-0005-0000-0000-0000FD690000}"/>
    <cellStyle name="Output 3 8 9" xfId="3976" xr:uid="{00000000-0005-0000-0000-0000FE690000}"/>
    <cellStyle name="Output 3 8 9 2" xfId="22443" xr:uid="{00000000-0005-0000-0000-0000FF690000}"/>
    <cellStyle name="Output 3 8 9 3" xfId="17658" xr:uid="{00000000-0005-0000-0000-0000006A0000}"/>
    <cellStyle name="Output 3 9" xfId="3061" xr:uid="{00000000-0005-0000-0000-0000016A0000}"/>
    <cellStyle name="Output 3 9 10" xfId="16343" xr:uid="{00000000-0005-0000-0000-0000026A0000}"/>
    <cellStyle name="Output 3 9 10 2" xfId="37646" xr:uid="{00000000-0005-0000-0000-0000036A0000}"/>
    <cellStyle name="Output 3 9 10 3" xfId="16972" xr:uid="{00000000-0005-0000-0000-0000046A0000}"/>
    <cellStyle name="Output 3 9 11" xfId="15069" xr:uid="{00000000-0005-0000-0000-0000056A0000}"/>
    <cellStyle name="Output 3 9 11 2" xfId="36480" xr:uid="{00000000-0005-0000-0000-0000066A0000}"/>
    <cellStyle name="Output 3 9 2" xfId="3569" xr:uid="{00000000-0005-0000-0000-0000076A0000}"/>
    <cellStyle name="Output 3 9 2 10" xfId="15076" xr:uid="{00000000-0005-0000-0000-0000086A0000}"/>
    <cellStyle name="Output 3 9 2 10 2" xfId="36487" xr:uid="{00000000-0005-0000-0000-0000096A0000}"/>
    <cellStyle name="Output 3 9 2 2" xfId="5696" xr:uid="{00000000-0005-0000-0000-00000A6A0000}"/>
    <cellStyle name="Output 3 9 2 2 2" xfId="15992" xr:uid="{00000000-0005-0000-0000-00000B6A0000}"/>
    <cellStyle name="Output 3 9 2 2 2 2" xfId="24149" xr:uid="{00000000-0005-0000-0000-00000C6A0000}"/>
    <cellStyle name="Output 3 9 2 2 3" xfId="14823" xr:uid="{00000000-0005-0000-0000-00000D6A0000}"/>
    <cellStyle name="Output 3 9 2 3" xfId="5183" xr:uid="{00000000-0005-0000-0000-00000E6A0000}"/>
    <cellStyle name="Output 3 9 2 3 2" xfId="23643" xr:uid="{00000000-0005-0000-0000-00000F6A0000}"/>
    <cellStyle name="Output 3 9 2 3 3" xfId="18797" xr:uid="{00000000-0005-0000-0000-0000106A0000}"/>
    <cellStyle name="Output 3 9 2 4" xfId="7171" xr:uid="{00000000-0005-0000-0000-0000116A0000}"/>
    <cellStyle name="Output 3 9 2 4 2" xfId="25602" xr:uid="{00000000-0005-0000-0000-0000126A0000}"/>
    <cellStyle name="Output 3 9 2 4 3" xfId="20528" xr:uid="{00000000-0005-0000-0000-0000136A0000}"/>
    <cellStyle name="Output 3 9 2 5" xfId="7708" xr:uid="{00000000-0005-0000-0000-0000146A0000}"/>
    <cellStyle name="Output 3 9 2 5 2" xfId="26138" xr:uid="{00000000-0005-0000-0000-0000156A0000}"/>
    <cellStyle name="Output 3 9 2 5 3" xfId="21063" xr:uid="{00000000-0005-0000-0000-0000166A0000}"/>
    <cellStyle name="Output 3 9 2 6" xfId="8082" xr:uid="{00000000-0005-0000-0000-0000176A0000}"/>
    <cellStyle name="Output 3 9 2 6 2" xfId="26512" xr:uid="{00000000-0005-0000-0000-0000186A0000}"/>
    <cellStyle name="Output 3 9 2 6 3" xfId="21436" xr:uid="{00000000-0005-0000-0000-0000196A0000}"/>
    <cellStyle name="Output 3 9 2 7" xfId="8806" xr:uid="{00000000-0005-0000-0000-00001A6A0000}"/>
    <cellStyle name="Output 3 9 2 7 2" xfId="27226" xr:uid="{00000000-0005-0000-0000-00001B6A0000}"/>
    <cellStyle name="Output 3 9 2 7 3" xfId="22097" xr:uid="{00000000-0005-0000-0000-00001C6A0000}"/>
    <cellStyle name="Output 3 9 2 8" xfId="4298" xr:uid="{00000000-0005-0000-0000-00001D6A0000}"/>
    <cellStyle name="Output 3 9 2 8 2" xfId="22762" xr:uid="{00000000-0005-0000-0000-00001E6A0000}"/>
    <cellStyle name="Output 3 9 2 8 3" xfId="17980" xr:uid="{00000000-0005-0000-0000-00001F6A0000}"/>
    <cellStyle name="Output 3 9 2 9" xfId="16260" xr:uid="{00000000-0005-0000-0000-0000206A0000}"/>
    <cellStyle name="Output 3 9 2 9 2" xfId="37570" xr:uid="{00000000-0005-0000-0000-0000216A0000}"/>
    <cellStyle name="Output 3 9 2 9 3" xfId="17309" xr:uid="{00000000-0005-0000-0000-0000226A0000}"/>
    <cellStyle name="Output 3 9 3" xfId="5323" xr:uid="{00000000-0005-0000-0000-0000236A0000}"/>
    <cellStyle name="Output 3 9 3 2" xfId="23783" xr:uid="{00000000-0005-0000-0000-0000246A0000}"/>
    <cellStyle name="Output 3 9 3 3" xfId="18926" xr:uid="{00000000-0005-0000-0000-0000256A0000}"/>
    <cellStyle name="Output 3 9 4" xfId="4912" xr:uid="{00000000-0005-0000-0000-0000266A0000}"/>
    <cellStyle name="Output 3 9 4 2" xfId="23372" xr:uid="{00000000-0005-0000-0000-0000276A0000}"/>
    <cellStyle name="Output 3 9 4 3" xfId="18526" xr:uid="{00000000-0005-0000-0000-0000286A0000}"/>
    <cellStyle name="Output 3 9 5" xfId="6289" xr:uid="{00000000-0005-0000-0000-0000296A0000}"/>
    <cellStyle name="Output 3 9 5 2" xfId="24729" xr:uid="{00000000-0005-0000-0000-00002A6A0000}"/>
    <cellStyle name="Output 3 9 5 3" xfId="19838" xr:uid="{00000000-0005-0000-0000-00002B6A0000}"/>
    <cellStyle name="Output 3 9 6" xfId="7385" xr:uid="{00000000-0005-0000-0000-00002C6A0000}"/>
    <cellStyle name="Output 3 9 6 2" xfId="25816" xr:uid="{00000000-0005-0000-0000-00002D6A0000}"/>
    <cellStyle name="Output 3 9 6 3" xfId="20741" xr:uid="{00000000-0005-0000-0000-00002E6A0000}"/>
    <cellStyle name="Output 3 9 7" xfId="6250" xr:uid="{00000000-0005-0000-0000-00002F6A0000}"/>
    <cellStyle name="Output 3 9 7 2" xfId="24690" xr:uid="{00000000-0005-0000-0000-0000306A0000}"/>
    <cellStyle name="Output 3 9 7 3" xfId="19799" xr:uid="{00000000-0005-0000-0000-0000316A0000}"/>
    <cellStyle name="Output 3 9 8" xfId="8485" xr:uid="{00000000-0005-0000-0000-0000326A0000}"/>
    <cellStyle name="Output 3 9 8 2" xfId="26908" xr:uid="{00000000-0005-0000-0000-0000336A0000}"/>
    <cellStyle name="Output 3 9 8 3" xfId="21776" xr:uid="{00000000-0005-0000-0000-0000346A0000}"/>
    <cellStyle name="Output 3 9 9" xfId="3977" xr:uid="{00000000-0005-0000-0000-0000356A0000}"/>
    <cellStyle name="Output 3 9 9 2" xfId="22444" xr:uid="{00000000-0005-0000-0000-0000366A0000}"/>
    <cellStyle name="Output 3 9 9 3" xfId="17659" xr:uid="{00000000-0005-0000-0000-0000376A0000}"/>
    <cellStyle name="Output 30" xfId="40058" xr:uid="{00000000-0005-0000-0000-00009D0E0000}"/>
    <cellStyle name="Output 31" xfId="40059" xr:uid="{00000000-0005-0000-0000-00009E0E0000}"/>
    <cellStyle name="Output 32" xfId="40060" xr:uid="{00000000-0005-0000-0000-00009F0E0000}"/>
    <cellStyle name="Output 33" xfId="40061" xr:uid="{00000000-0005-0000-0000-0000A00E0000}"/>
    <cellStyle name="Output 34" xfId="40062" xr:uid="{00000000-0005-0000-0000-0000A10E0000}"/>
    <cellStyle name="Output 35" xfId="40063" xr:uid="{00000000-0005-0000-0000-0000A20E0000}"/>
    <cellStyle name="Output 36" xfId="40064" xr:uid="{00000000-0005-0000-0000-0000A30E0000}"/>
    <cellStyle name="Output 37" xfId="40065" xr:uid="{00000000-0005-0000-0000-0000A40E0000}"/>
    <cellStyle name="Output 38" xfId="40066" xr:uid="{00000000-0005-0000-0000-0000A50E0000}"/>
    <cellStyle name="Output 39" xfId="40067" xr:uid="{00000000-0005-0000-0000-0000A60E0000}"/>
    <cellStyle name="Output 4" xfId="3062" xr:uid="{00000000-0005-0000-0000-0000386A0000}"/>
    <cellStyle name="Output 4 10" xfId="3063" xr:uid="{00000000-0005-0000-0000-0000396A0000}"/>
    <cellStyle name="Output 4 10 10" xfId="16342" xr:uid="{00000000-0005-0000-0000-00003A6A0000}"/>
    <cellStyle name="Output 4 10 10 2" xfId="37645" xr:uid="{00000000-0005-0000-0000-00003B6A0000}"/>
    <cellStyle name="Output 4 10 10 3" xfId="16974" xr:uid="{00000000-0005-0000-0000-00003C6A0000}"/>
    <cellStyle name="Output 4 10 11" xfId="14693" xr:uid="{00000000-0005-0000-0000-00003D6A0000}"/>
    <cellStyle name="Output 4 10 11 2" xfId="36175" xr:uid="{00000000-0005-0000-0000-00003E6A0000}"/>
    <cellStyle name="Output 4 10 2" xfId="3571" xr:uid="{00000000-0005-0000-0000-00003F6A0000}"/>
    <cellStyle name="Output 4 10 2 10" xfId="14668" xr:uid="{00000000-0005-0000-0000-0000406A0000}"/>
    <cellStyle name="Output 4 10 2 10 2" xfId="36151" xr:uid="{00000000-0005-0000-0000-0000416A0000}"/>
    <cellStyle name="Output 4 10 2 2" xfId="5698" xr:uid="{00000000-0005-0000-0000-0000426A0000}"/>
    <cellStyle name="Output 4 10 2 2 2" xfId="14775" xr:uid="{00000000-0005-0000-0000-0000436A0000}"/>
    <cellStyle name="Output 4 10 2 2 2 2" xfId="24151" xr:uid="{00000000-0005-0000-0000-0000446A0000}"/>
    <cellStyle name="Output 4 10 2 2 3" xfId="16526" xr:uid="{00000000-0005-0000-0000-0000456A0000}"/>
    <cellStyle name="Output 4 10 2 3" xfId="5185" xr:uid="{00000000-0005-0000-0000-0000466A0000}"/>
    <cellStyle name="Output 4 10 2 3 2" xfId="23645" xr:uid="{00000000-0005-0000-0000-0000476A0000}"/>
    <cellStyle name="Output 4 10 2 3 3" xfId="18799" xr:uid="{00000000-0005-0000-0000-0000486A0000}"/>
    <cellStyle name="Output 4 10 2 4" xfId="7173" xr:uid="{00000000-0005-0000-0000-0000496A0000}"/>
    <cellStyle name="Output 4 10 2 4 2" xfId="25604" xr:uid="{00000000-0005-0000-0000-00004A6A0000}"/>
    <cellStyle name="Output 4 10 2 4 3" xfId="20530" xr:uid="{00000000-0005-0000-0000-00004B6A0000}"/>
    <cellStyle name="Output 4 10 2 5" xfId="7710" xr:uid="{00000000-0005-0000-0000-00004C6A0000}"/>
    <cellStyle name="Output 4 10 2 5 2" xfId="26140" xr:uid="{00000000-0005-0000-0000-00004D6A0000}"/>
    <cellStyle name="Output 4 10 2 5 3" xfId="21065" xr:uid="{00000000-0005-0000-0000-00004E6A0000}"/>
    <cellStyle name="Output 4 10 2 6" xfId="8084" xr:uid="{00000000-0005-0000-0000-00004F6A0000}"/>
    <cellStyle name="Output 4 10 2 6 2" xfId="26514" xr:uid="{00000000-0005-0000-0000-0000506A0000}"/>
    <cellStyle name="Output 4 10 2 6 3" xfId="21438" xr:uid="{00000000-0005-0000-0000-0000516A0000}"/>
    <cellStyle name="Output 4 10 2 7" xfId="8808" xr:uid="{00000000-0005-0000-0000-0000526A0000}"/>
    <cellStyle name="Output 4 10 2 7 2" xfId="27228" xr:uid="{00000000-0005-0000-0000-0000536A0000}"/>
    <cellStyle name="Output 4 10 2 7 3" xfId="22099" xr:uid="{00000000-0005-0000-0000-0000546A0000}"/>
    <cellStyle name="Output 4 10 2 8" xfId="4300" xr:uid="{00000000-0005-0000-0000-0000556A0000}"/>
    <cellStyle name="Output 4 10 2 8 2" xfId="22764" xr:uid="{00000000-0005-0000-0000-0000566A0000}"/>
    <cellStyle name="Output 4 10 2 8 3" xfId="17982" xr:uid="{00000000-0005-0000-0000-0000576A0000}"/>
    <cellStyle name="Output 4 10 2 9" xfId="15278" xr:uid="{00000000-0005-0000-0000-0000586A0000}"/>
    <cellStyle name="Output 4 10 2 9 2" xfId="36683" xr:uid="{00000000-0005-0000-0000-0000596A0000}"/>
    <cellStyle name="Output 4 10 2 9 3" xfId="17311" xr:uid="{00000000-0005-0000-0000-00005A6A0000}"/>
    <cellStyle name="Output 4 10 3" xfId="5325" xr:uid="{00000000-0005-0000-0000-00005B6A0000}"/>
    <cellStyle name="Output 4 10 3 2" xfId="23785" xr:uid="{00000000-0005-0000-0000-00005C6A0000}"/>
    <cellStyle name="Output 4 10 3 3" xfId="18928" xr:uid="{00000000-0005-0000-0000-00005D6A0000}"/>
    <cellStyle name="Output 4 10 4" xfId="4914" xr:uid="{00000000-0005-0000-0000-00005E6A0000}"/>
    <cellStyle name="Output 4 10 4 2" xfId="23374" xr:uid="{00000000-0005-0000-0000-00005F6A0000}"/>
    <cellStyle name="Output 4 10 4 3" xfId="18528" xr:uid="{00000000-0005-0000-0000-0000606A0000}"/>
    <cellStyle name="Output 4 10 5" xfId="6287" xr:uid="{00000000-0005-0000-0000-0000616A0000}"/>
    <cellStyle name="Output 4 10 5 2" xfId="24727" xr:uid="{00000000-0005-0000-0000-0000626A0000}"/>
    <cellStyle name="Output 4 10 5 3" xfId="19836" xr:uid="{00000000-0005-0000-0000-0000636A0000}"/>
    <cellStyle name="Output 4 10 6" xfId="7387" xr:uid="{00000000-0005-0000-0000-0000646A0000}"/>
    <cellStyle name="Output 4 10 6 2" xfId="25818" xr:uid="{00000000-0005-0000-0000-0000656A0000}"/>
    <cellStyle name="Output 4 10 6 3" xfId="20743" xr:uid="{00000000-0005-0000-0000-0000666A0000}"/>
    <cellStyle name="Output 4 10 7" xfId="6148" xr:uid="{00000000-0005-0000-0000-0000676A0000}"/>
    <cellStyle name="Output 4 10 7 2" xfId="24589" xr:uid="{00000000-0005-0000-0000-0000686A0000}"/>
    <cellStyle name="Output 4 10 7 3" xfId="19698" xr:uid="{00000000-0005-0000-0000-0000696A0000}"/>
    <cellStyle name="Output 4 10 8" xfId="8487" xr:uid="{00000000-0005-0000-0000-00006A6A0000}"/>
    <cellStyle name="Output 4 10 8 2" xfId="26910" xr:uid="{00000000-0005-0000-0000-00006B6A0000}"/>
    <cellStyle name="Output 4 10 8 3" xfId="21778" xr:uid="{00000000-0005-0000-0000-00006C6A0000}"/>
    <cellStyle name="Output 4 10 9" xfId="3979" xr:uid="{00000000-0005-0000-0000-00006D6A0000}"/>
    <cellStyle name="Output 4 10 9 2" xfId="22446" xr:uid="{00000000-0005-0000-0000-00006E6A0000}"/>
    <cellStyle name="Output 4 10 9 3" xfId="17661" xr:uid="{00000000-0005-0000-0000-00006F6A0000}"/>
    <cellStyle name="Output 4 11" xfId="3064" xr:uid="{00000000-0005-0000-0000-0000706A0000}"/>
    <cellStyle name="Output 4 11 10" xfId="16244" xr:uid="{00000000-0005-0000-0000-0000716A0000}"/>
    <cellStyle name="Output 4 11 10 2" xfId="37555" xr:uid="{00000000-0005-0000-0000-0000726A0000}"/>
    <cellStyle name="Output 4 11 10 3" xfId="16975" xr:uid="{00000000-0005-0000-0000-0000736A0000}"/>
    <cellStyle name="Output 4 11 11" xfId="14442" xr:uid="{00000000-0005-0000-0000-0000746A0000}"/>
    <cellStyle name="Output 4 11 11 2" xfId="35970" xr:uid="{00000000-0005-0000-0000-0000756A0000}"/>
    <cellStyle name="Output 4 11 2" xfId="3572" xr:uid="{00000000-0005-0000-0000-0000766A0000}"/>
    <cellStyle name="Output 4 11 2 10" xfId="14706" xr:uid="{00000000-0005-0000-0000-0000776A0000}"/>
    <cellStyle name="Output 4 11 2 10 2" xfId="36186" xr:uid="{00000000-0005-0000-0000-0000786A0000}"/>
    <cellStyle name="Output 4 11 2 2" xfId="5699" xr:uid="{00000000-0005-0000-0000-0000796A0000}"/>
    <cellStyle name="Output 4 11 2 2 2" xfId="15993" xr:uid="{00000000-0005-0000-0000-00007A6A0000}"/>
    <cellStyle name="Output 4 11 2 2 2 2" xfId="24152" xr:uid="{00000000-0005-0000-0000-00007B6A0000}"/>
    <cellStyle name="Output 4 11 2 2 3" xfId="16052" xr:uid="{00000000-0005-0000-0000-00007C6A0000}"/>
    <cellStyle name="Output 4 11 2 3" xfId="5186" xr:uid="{00000000-0005-0000-0000-00007D6A0000}"/>
    <cellStyle name="Output 4 11 2 3 2" xfId="23646" xr:uid="{00000000-0005-0000-0000-00007E6A0000}"/>
    <cellStyle name="Output 4 11 2 3 3" xfId="18800" xr:uid="{00000000-0005-0000-0000-00007F6A0000}"/>
    <cellStyle name="Output 4 11 2 4" xfId="7174" xr:uid="{00000000-0005-0000-0000-0000806A0000}"/>
    <cellStyle name="Output 4 11 2 4 2" xfId="25605" xr:uid="{00000000-0005-0000-0000-0000816A0000}"/>
    <cellStyle name="Output 4 11 2 4 3" xfId="20531" xr:uid="{00000000-0005-0000-0000-0000826A0000}"/>
    <cellStyle name="Output 4 11 2 5" xfId="7711" xr:uid="{00000000-0005-0000-0000-0000836A0000}"/>
    <cellStyle name="Output 4 11 2 5 2" xfId="26141" xr:uid="{00000000-0005-0000-0000-0000846A0000}"/>
    <cellStyle name="Output 4 11 2 5 3" xfId="21066" xr:uid="{00000000-0005-0000-0000-0000856A0000}"/>
    <cellStyle name="Output 4 11 2 6" xfId="8085" xr:uid="{00000000-0005-0000-0000-0000866A0000}"/>
    <cellStyle name="Output 4 11 2 6 2" xfId="26515" xr:uid="{00000000-0005-0000-0000-0000876A0000}"/>
    <cellStyle name="Output 4 11 2 6 3" xfId="21439" xr:uid="{00000000-0005-0000-0000-0000886A0000}"/>
    <cellStyle name="Output 4 11 2 7" xfId="8809" xr:uid="{00000000-0005-0000-0000-0000896A0000}"/>
    <cellStyle name="Output 4 11 2 7 2" xfId="27229" xr:uid="{00000000-0005-0000-0000-00008A6A0000}"/>
    <cellStyle name="Output 4 11 2 7 3" xfId="22100" xr:uid="{00000000-0005-0000-0000-00008B6A0000}"/>
    <cellStyle name="Output 4 11 2 8" xfId="4301" xr:uid="{00000000-0005-0000-0000-00008C6A0000}"/>
    <cellStyle name="Output 4 11 2 8 2" xfId="22765" xr:uid="{00000000-0005-0000-0000-00008D6A0000}"/>
    <cellStyle name="Output 4 11 2 8 3" xfId="17983" xr:uid="{00000000-0005-0000-0000-00008E6A0000}"/>
    <cellStyle name="Output 4 11 2 9" xfId="16234" xr:uid="{00000000-0005-0000-0000-00008F6A0000}"/>
    <cellStyle name="Output 4 11 2 9 2" xfId="37547" xr:uid="{00000000-0005-0000-0000-0000906A0000}"/>
    <cellStyle name="Output 4 11 2 9 3" xfId="17312" xr:uid="{00000000-0005-0000-0000-0000916A0000}"/>
    <cellStyle name="Output 4 11 3" xfId="5326" xr:uid="{00000000-0005-0000-0000-0000926A0000}"/>
    <cellStyle name="Output 4 11 3 2" xfId="23786" xr:uid="{00000000-0005-0000-0000-0000936A0000}"/>
    <cellStyle name="Output 4 11 3 3" xfId="18929" xr:uid="{00000000-0005-0000-0000-0000946A0000}"/>
    <cellStyle name="Output 4 11 4" xfId="4915" xr:uid="{00000000-0005-0000-0000-0000956A0000}"/>
    <cellStyle name="Output 4 11 4 2" xfId="23375" xr:uid="{00000000-0005-0000-0000-0000966A0000}"/>
    <cellStyle name="Output 4 11 4 3" xfId="18529" xr:uid="{00000000-0005-0000-0000-0000976A0000}"/>
    <cellStyle name="Output 4 11 5" xfId="6286" xr:uid="{00000000-0005-0000-0000-0000986A0000}"/>
    <cellStyle name="Output 4 11 5 2" xfId="24726" xr:uid="{00000000-0005-0000-0000-0000996A0000}"/>
    <cellStyle name="Output 4 11 5 3" xfId="19835" xr:uid="{00000000-0005-0000-0000-00009A6A0000}"/>
    <cellStyle name="Output 4 11 6" xfId="7388" xr:uid="{00000000-0005-0000-0000-00009B6A0000}"/>
    <cellStyle name="Output 4 11 6 2" xfId="25819" xr:uid="{00000000-0005-0000-0000-00009C6A0000}"/>
    <cellStyle name="Output 4 11 6 3" xfId="20744" xr:uid="{00000000-0005-0000-0000-00009D6A0000}"/>
    <cellStyle name="Output 4 11 7" xfId="6249" xr:uid="{00000000-0005-0000-0000-00009E6A0000}"/>
    <cellStyle name="Output 4 11 7 2" xfId="24689" xr:uid="{00000000-0005-0000-0000-00009F6A0000}"/>
    <cellStyle name="Output 4 11 7 3" xfId="19798" xr:uid="{00000000-0005-0000-0000-0000A06A0000}"/>
    <cellStyle name="Output 4 11 8" xfId="8488" xr:uid="{00000000-0005-0000-0000-0000A16A0000}"/>
    <cellStyle name="Output 4 11 8 2" xfId="26911" xr:uid="{00000000-0005-0000-0000-0000A26A0000}"/>
    <cellStyle name="Output 4 11 8 3" xfId="21779" xr:uid="{00000000-0005-0000-0000-0000A36A0000}"/>
    <cellStyle name="Output 4 11 9" xfId="3980" xr:uid="{00000000-0005-0000-0000-0000A46A0000}"/>
    <cellStyle name="Output 4 11 9 2" xfId="22447" xr:uid="{00000000-0005-0000-0000-0000A56A0000}"/>
    <cellStyle name="Output 4 11 9 3" xfId="17662" xr:uid="{00000000-0005-0000-0000-0000A66A0000}"/>
    <cellStyle name="Output 4 12" xfId="3570" xr:uid="{00000000-0005-0000-0000-0000A76A0000}"/>
    <cellStyle name="Output 4 12 10" xfId="14805" xr:uid="{00000000-0005-0000-0000-0000A86A0000}"/>
    <cellStyle name="Output 4 12 10 2" xfId="36261" xr:uid="{00000000-0005-0000-0000-0000A96A0000}"/>
    <cellStyle name="Output 4 12 2" xfId="5697" xr:uid="{00000000-0005-0000-0000-0000AA6A0000}"/>
    <cellStyle name="Output 4 12 2 2" xfId="14772" xr:uid="{00000000-0005-0000-0000-0000AB6A0000}"/>
    <cellStyle name="Output 4 12 2 2 2" xfId="24150" xr:uid="{00000000-0005-0000-0000-0000AC6A0000}"/>
    <cellStyle name="Output 4 12 2 3" xfId="15490" xr:uid="{00000000-0005-0000-0000-0000AD6A0000}"/>
    <cellStyle name="Output 4 12 3" xfId="5184" xr:uid="{00000000-0005-0000-0000-0000AE6A0000}"/>
    <cellStyle name="Output 4 12 3 2" xfId="23644" xr:uid="{00000000-0005-0000-0000-0000AF6A0000}"/>
    <cellStyle name="Output 4 12 3 3" xfId="18798" xr:uid="{00000000-0005-0000-0000-0000B06A0000}"/>
    <cellStyle name="Output 4 12 4" xfId="7172" xr:uid="{00000000-0005-0000-0000-0000B16A0000}"/>
    <cellStyle name="Output 4 12 4 2" xfId="25603" xr:uid="{00000000-0005-0000-0000-0000B26A0000}"/>
    <cellStyle name="Output 4 12 4 3" xfId="20529" xr:uid="{00000000-0005-0000-0000-0000B36A0000}"/>
    <cellStyle name="Output 4 12 5" xfId="7709" xr:uid="{00000000-0005-0000-0000-0000B46A0000}"/>
    <cellStyle name="Output 4 12 5 2" xfId="26139" xr:uid="{00000000-0005-0000-0000-0000B56A0000}"/>
    <cellStyle name="Output 4 12 5 3" xfId="21064" xr:uid="{00000000-0005-0000-0000-0000B66A0000}"/>
    <cellStyle name="Output 4 12 6" xfId="8083" xr:uid="{00000000-0005-0000-0000-0000B76A0000}"/>
    <cellStyle name="Output 4 12 6 2" xfId="26513" xr:uid="{00000000-0005-0000-0000-0000B86A0000}"/>
    <cellStyle name="Output 4 12 6 3" xfId="21437" xr:uid="{00000000-0005-0000-0000-0000B96A0000}"/>
    <cellStyle name="Output 4 12 7" xfId="8807" xr:uid="{00000000-0005-0000-0000-0000BA6A0000}"/>
    <cellStyle name="Output 4 12 7 2" xfId="27227" xr:uid="{00000000-0005-0000-0000-0000BB6A0000}"/>
    <cellStyle name="Output 4 12 7 3" xfId="22098" xr:uid="{00000000-0005-0000-0000-0000BC6A0000}"/>
    <cellStyle name="Output 4 12 8" xfId="4299" xr:uid="{00000000-0005-0000-0000-0000BD6A0000}"/>
    <cellStyle name="Output 4 12 8 2" xfId="22763" xr:uid="{00000000-0005-0000-0000-0000BE6A0000}"/>
    <cellStyle name="Output 4 12 8 3" xfId="17981" xr:uid="{00000000-0005-0000-0000-0000BF6A0000}"/>
    <cellStyle name="Output 4 12 9" xfId="16209" xr:uid="{00000000-0005-0000-0000-0000C06A0000}"/>
    <cellStyle name="Output 4 12 9 2" xfId="37524" xr:uid="{00000000-0005-0000-0000-0000C16A0000}"/>
    <cellStyle name="Output 4 12 9 3" xfId="17310" xr:uid="{00000000-0005-0000-0000-0000C26A0000}"/>
    <cellStyle name="Output 4 13" xfId="5324" xr:uid="{00000000-0005-0000-0000-0000C36A0000}"/>
    <cellStyle name="Output 4 13 2" xfId="23784" xr:uid="{00000000-0005-0000-0000-0000C46A0000}"/>
    <cellStyle name="Output 4 13 3" xfId="18927" xr:uid="{00000000-0005-0000-0000-0000C56A0000}"/>
    <cellStyle name="Output 4 14" xfId="4913" xr:uid="{00000000-0005-0000-0000-0000C66A0000}"/>
    <cellStyle name="Output 4 14 2" xfId="23373" xr:uid="{00000000-0005-0000-0000-0000C76A0000}"/>
    <cellStyle name="Output 4 14 3" xfId="18527" xr:uid="{00000000-0005-0000-0000-0000C86A0000}"/>
    <cellStyle name="Output 4 15" xfId="6288" xr:uid="{00000000-0005-0000-0000-0000C96A0000}"/>
    <cellStyle name="Output 4 15 2" xfId="24728" xr:uid="{00000000-0005-0000-0000-0000CA6A0000}"/>
    <cellStyle name="Output 4 15 3" xfId="19837" xr:uid="{00000000-0005-0000-0000-0000CB6A0000}"/>
    <cellStyle name="Output 4 16" xfId="7386" xr:uid="{00000000-0005-0000-0000-0000CC6A0000}"/>
    <cellStyle name="Output 4 16 2" xfId="25817" xr:uid="{00000000-0005-0000-0000-0000CD6A0000}"/>
    <cellStyle name="Output 4 16 3" xfId="20742" xr:uid="{00000000-0005-0000-0000-0000CE6A0000}"/>
    <cellStyle name="Output 4 17" xfId="7208" xr:uid="{00000000-0005-0000-0000-0000CF6A0000}"/>
    <cellStyle name="Output 4 17 2" xfId="25639" xr:uid="{00000000-0005-0000-0000-0000D06A0000}"/>
    <cellStyle name="Output 4 17 3" xfId="20565" xr:uid="{00000000-0005-0000-0000-0000D16A0000}"/>
    <cellStyle name="Output 4 18" xfId="8486" xr:uid="{00000000-0005-0000-0000-0000D26A0000}"/>
    <cellStyle name="Output 4 18 2" xfId="26909" xr:uid="{00000000-0005-0000-0000-0000D36A0000}"/>
    <cellStyle name="Output 4 18 3" xfId="21777" xr:uid="{00000000-0005-0000-0000-0000D46A0000}"/>
    <cellStyle name="Output 4 19" xfId="3978" xr:uid="{00000000-0005-0000-0000-0000D56A0000}"/>
    <cellStyle name="Output 4 19 2" xfId="22445" xr:uid="{00000000-0005-0000-0000-0000D66A0000}"/>
    <cellStyle name="Output 4 19 3" xfId="17660" xr:uid="{00000000-0005-0000-0000-0000D76A0000}"/>
    <cellStyle name="Output 4 2" xfId="3065" xr:uid="{00000000-0005-0000-0000-0000D86A0000}"/>
    <cellStyle name="Output 4 2 10" xfId="16176" xr:uid="{00000000-0005-0000-0000-0000D96A0000}"/>
    <cellStyle name="Output 4 2 10 2" xfId="37493" xr:uid="{00000000-0005-0000-0000-0000DA6A0000}"/>
    <cellStyle name="Output 4 2 10 3" xfId="16976" xr:uid="{00000000-0005-0000-0000-0000DB6A0000}"/>
    <cellStyle name="Output 4 2 11" xfId="16062" xr:uid="{00000000-0005-0000-0000-0000DC6A0000}"/>
    <cellStyle name="Output 4 2 11 2" xfId="37388" xr:uid="{00000000-0005-0000-0000-0000DD6A0000}"/>
    <cellStyle name="Output 4 2 12" xfId="27404" xr:uid="{00000000-0005-0000-0000-0000DE6A0000}"/>
    <cellStyle name="Output 4 2 13" xfId="40069" xr:uid="{00000000-0005-0000-0000-0000A80E0000}"/>
    <cellStyle name="Output 4 2 2" xfId="3573" xr:uid="{00000000-0005-0000-0000-0000DF6A0000}"/>
    <cellStyle name="Output 4 2 2 10" xfId="14647" xr:uid="{00000000-0005-0000-0000-0000E06A0000}"/>
    <cellStyle name="Output 4 2 2 10 2" xfId="36132" xr:uid="{00000000-0005-0000-0000-0000E16A0000}"/>
    <cellStyle name="Output 4 2 2 2" xfId="5700" xr:uid="{00000000-0005-0000-0000-0000E26A0000}"/>
    <cellStyle name="Output 4 2 2 2 2" xfId="14750" xr:uid="{00000000-0005-0000-0000-0000E36A0000}"/>
    <cellStyle name="Output 4 2 2 2 2 2" xfId="24153" xr:uid="{00000000-0005-0000-0000-0000E46A0000}"/>
    <cellStyle name="Output 4 2 2 2 3" xfId="14615" xr:uid="{00000000-0005-0000-0000-0000E56A0000}"/>
    <cellStyle name="Output 4 2 2 3" xfId="5187" xr:uid="{00000000-0005-0000-0000-0000E66A0000}"/>
    <cellStyle name="Output 4 2 2 3 2" xfId="23647" xr:uid="{00000000-0005-0000-0000-0000E76A0000}"/>
    <cellStyle name="Output 4 2 2 3 3" xfId="18801" xr:uid="{00000000-0005-0000-0000-0000E86A0000}"/>
    <cellStyle name="Output 4 2 2 4" xfId="7175" xr:uid="{00000000-0005-0000-0000-0000E96A0000}"/>
    <cellStyle name="Output 4 2 2 4 2" xfId="25606" xr:uid="{00000000-0005-0000-0000-0000EA6A0000}"/>
    <cellStyle name="Output 4 2 2 4 3" xfId="20532" xr:uid="{00000000-0005-0000-0000-0000EB6A0000}"/>
    <cellStyle name="Output 4 2 2 5" xfId="7712" xr:uid="{00000000-0005-0000-0000-0000EC6A0000}"/>
    <cellStyle name="Output 4 2 2 5 2" xfId="26142" xr:uid="{00000000-0005-0000-0000-0000ED6A0000}"/>
    <cellStyle name="Output 4 2 2 5 3" xfId="21067" xr:uid="{00000000-0005-0000-0000-0000EE6A0000}"/>
    <cellStyle name="Output 4 2 2 6" xfId="8086" xr:uid="{00000000-0005-0000-0000-0000EF6A0000}"/>
    <cellStyle name="Output 4 2 2 6 2" xfId="26516" xr:uid="{00000000-0005-0000-0000-0000F06A0000}"/>
    <cellStyle name="Output 4 2 2 6 3" xfId="21440" xr:uid="{00000000-0005-0000-0000-0000F16A0000}"/>
    <cellStyle name="Output 4 2 2 7" xfId="8810" xr:uid="{00000000-0005-0000-0000-0000F26A0000}"/>
    <cellStyle name="Output 4 2 2 7 2" xfId="27230" xr:uid="{00000000-0005-0000-0000-0000F36A0000}"/>
    <cellStyle name="Output 4 2 2 7 3" xfId="22101" xr:uid="{00000000-0005-0000-0000-0000F46A0000}"/>
    <cellStyle name="Output 4 2 2 8" xfId="4302" xr:uid="{00000000-0005-0000-0000-0000F56A0000}"/>
    <cellStyle name="Output 4 2 2 8 2" xfId="22766" xr:uid="{00000000-0005-0000-0000-0000F66A0000}"/>
    <cellStyle name="Output 4 2 2 8 3" xfId="17984" xr:uid="{00000000-0005-0000-0000-0000F76A0000}"/>
    <cellStyle name="Output 4 2 2 9" xfId="16145" xr:uid="{00000000-0005-0000-0000-0000F86A0000}"/>
    <cellStyle name="Output 4 2 2 9 2" xfId="37466" xr:uid="{00000000-0005-0000-0000-0000F96A0000}"/>
    <cellStyle name="Output 4 2 2 9 3" xfId="17313" xr:uid="{00000000-0005-0000-0000-0000FA6A0000}"/>
    <cellStyle name="Output 4 2 3" xfId="5327" xr:uid="{00000000-0005-0000-0000-0000FB6A0000}"/>
    <cellStyle name="Output 4 2 3 2" xfId="10584" xr:uid="{00000000-0005-0000-0000-0000FC6A0000}"/>
    <cellStyle name="Output 4 2 3 2 2" xfId="33718" xr:uid="{00000000-0005-0000-0000-0000FD6A0000}"/>
    <cellStyle name="Output 4 2 3 2 3" xfId="23787" xr:uid="{00000000-0005-0000-0000-0000FE6A0000}"/>
    <cellStyle name="Output 4 2 3 3" xfId="32077" xr:uid="{00000000-0005-0000-0000-0000FF6A0000}"/>
    <cellStyle name="Output 4 2 3 4" xfId="29315" xr:uid="{00000000-0005-0000-0000-0000006B0000}"/>
    <cellStyle name="Output 4 2 3 5" xfId="18930" xr:uid="{00000000-0005-0000-0000-0000016B0000}"/>
    <cellStyle name="Output 4 2 4" xfId="4916" xr:uid="{00000000-0005-0000-0000-0000026B0000}"/>
    <cellStyle name="Output 4 2 4 2" xfId="23376" xr:uid="{00000000-0005-0000-0000-0000036B0000}"/>
    <cellStyle name="Output 4 2 4 3" xfId="18530" xr:uid="{00000000-0005-0000-0000-0000046B0000}"/>
    <cellStyle name="Output 4 2 5" xfId="6285" xr:uid="{00000000-0005-0000-0000-0000056B0000}"/>
    <cellStyle name="Output 4 2 5 2" xfId="24725" xr:uid="{00000000-0005-0000-0000-0000066B0000}"/>
    <cellStyle name="Output 4 2 5 3" xfId="19834" xr:uid="{00000000-0005-0000-0000-0000076B0000}"/>
    <cellStyle name="Output 4 2 6" xfId="7389" xr:uid="{00000000-0005-0000-0000-0000086B0000}"/>
    <cellStyle name="Output 4 2 6 2" xfId="25820" xr:uid="{00000000-0005-0000-0000-0000096B0000}"/>
    <cellStyle name="Output 4 2 6 3" xfId="20745" xr:uid="{00000000-0005-0000-0000-00000A6B0000}"/>
    <cellStyle name="Output 4 2 7" xfId="6248" xr:uid="{00000000-0005-0000-0000-00000B6B0000}"/>
    <cellStyle name="Output 4 2 7 2" xfId="24688" xr:uid="{00000000-0005-0000-0000-00000C6B0000}"/>
    <cellStyle name="Output 4 2 7 3" xfId="19797" xr:uid="{00000000-0005-0000-0000-00000D6B0000}"/>
    <cellStyle name="Output 4 2 8" xfId="8489" xr:uid="{00000000-0005-0000-0000-00000E6B0000}"/>
    <cellStyle name="Output 4 2 8 2" xfId="26912" xr:uid="{00000000-0005-0000-0000-00000F6B0000}"/>
    <cellStyle name="Output 4 2 8 3" xfId="21780" xr:uid="{00000000-0005-0000-0000-0000106B0000}"/>
    <cellStyle name="Output 4 2 9" xfId="3981" xr:uid="{00000000-0005-0000-0000-0000116B0000}"/>
    <cellStyle name="Output 4 2 9 2" xfId="22448" xr:uid="{00000000-0005-0000-0000-0000126B0000}"/>
    <cellStyle name="Output 4 2 9 3" xfId="17663" xr:uid="{00000000-0005-0000-0000-0000136B0000}"/>
    <cellStyle name="Output 4 20" xfId="14929" xr:uid="{00000000-0005-0000-0000-0000146B0000}"/>
    <cellStyle name="Output 4 20 2" xfId="36377" xr:uid="{00000000-0005-0000-0000-0000156B0000}"/>
    <cellStyle name="Output 4 20 3" xfId="16973" xr:uid="{00000000-0005-0000-0000-0000166B0000}"/>
    <cellStyle name="Output 4 21" xfId="14630" xr:uid="{00000000-0005-0000-0000-0000176B0000}"/>
    <cellStyle name="Output 4 21 2" xfId="36123" xr:uid="{00000000-0005-0000-0000-0000186B0000}"/>
    <cellStyle name="Output 4 22" xfId="40068" xr:uid="{00000000-0005-0000-0000-0000A70E0000}"/>
    <cellStyle name="Output 4 3" xfId="3066" xr:uid="{00000000-0005-0000-0000-0000196B0000}"/>
    <cellStyle name="Output 4 3 10" xfId="16110" xr:uid="{00000000-0005-0000-0000-00001A6B0000}"/>
    <cellStyle name="Output 4 3 10 2" xfId="37432" xr:uid="{00000000-0005-0000-0000-00001B6B0000}"/>
    <cellStyle name="Output 4 3 10 3" xfId="16977" xr:uid="{00000000-0005-0000-0000-00001C6B0000}"/>
    <cellStyle name="Output 4 3 11" xfId="14424" xr:uid="{00000000-0005-0000-0000-00001D6B0000}"/>
    <cellStyle name="Output 4 3 11 2" xfId="35952" xr:uid="{00000000-0005-0000-0000-00001E6B0000}"/>
    <cellStyle name="Output 4 3 12" xfId="27405" xr:uid="{00000000-0005-0000-0000-00001F6B0000}"/>
    <cellStyle name="Output 4 3 2" xfId="3574" xr:uid="{00000000-0005-0000-0000-0000206B0000}"/>
    <cellStyle name="Output 4 3 2 10" xfId="14686" xr:uid="{00000000-0005-0000-0000-0000216B0000}"/>
    <cellStyle name="Output 4 3 2 10 2" xfId="36168" xr:uid="{00000000-0005-0000-0000-0000226B0000}"/>
    <cellStyle name="Output 4 3 2 2" xfId="5701" xr:uid="{00000000-0005-0000-0000-0000236B0000}"/>
    <cellStyle name="Output 4 3 2 2 2" xfId="16426" xr:uid="{00000000-0005-0000-0000-0000246B0000}"/>
    <cellStyle name="Output 4 3 2 2 2 2" xfId="24154" xr:uid="{00000000-0005-0000-0000-0000256B0000}"/>
    <cellStyle name="Output 4 3 2 2 3" xfId="15567" xr:uid="{00000000-0005-0000-0000-0000266B0000}"/>
    <cellStyle name="Output 4 3 2 3" xfId="5188" xr:uid="{00000000-0005-0000-0000-0000276B0000}"/>
    <cellStyle name="Output 4 3 2 3 2" xfId="23648" xr:uid="{00000000-0005-0000-0000-0000286B0000}"/>
    <cellStyle name="Output 4 3 2 3 3" xfId="18802" xr:uid="{00000000-0005-0000-0000-0000296B0000}"/>
    <cellStyle name="Output 4 3 2 4" xfId="7176" xr:uid="{00000000-0005-0000-0000-00002A6B0000}"/>
    <cellStyle name="Output 4 3 2 4 2" xfId="25607" xr:uid="{00000000-0005-0000-0000-00002B6B0000}"/>
    <cellStyle name="Output 4 3 2 4 3" xfId="20533" xr:uid="{00000000-0005-0000-0000-00002C6B0000}"/>
    <cellStyle name="Output 4 3 2 5" xfId="7713" xr:uid="{00000000-0005-0000-0000-00002D6B0000}"/>
    <cellStyle name="Output 4 3 2 5 2" xfId="26143" xr:uid="{00000000-0005-0000-0000-00002E6B0000}"/>
    <cellStyle name="Output 4 3 2 5 3" xfId="21068" xr:uid="{00000000-0005-0000-0000-00002F6B0000}"/>
    <cellStyle name="Output 4 3 2 6" xfId="8087" xr:uid="{00000000-0005-0000-0000-0000306B0000}"/>
    <cellStyle name="Output 4 3 2 6 2" xfId="26517" xr:uid="{00000000-0005-0000-0000-0000316B0000}"/>
    <cellStyle name="Output 4 3 2 6 3" xfId="21441" xr:uid="{00000000-0005-0000-0000-0000326B0000}"/>
    <cellStyle name="Output 4 3 2 7" xfId="8811" xr:uid="{00000000-0005-0000-0000-0000336B0000}"/>
    <cellStyle name="Output 4 3 2 7 2" xfId="27231" xr:uid="{00000000-0005-0000-0000-0000346B0000}"/>
    <cellStyle name="Output 4 3 2 7 3" xfId="22102" xr:uid="{00000000-0005-0000-0000-0000356B0000}"/>
    <cellStyle name="Output 4 3 2 8" xfId="4303" xr:uid="{00000000-0005-0000-0000-0000366B0000}"/>
    <cellStyle name="Output 4 3 2 8 2" xfId="22767" xr:uid="{00000000-0005-0000-0000-0000376B0000}"/>
    <cellStyle name="Output 4 3 2 8 3" xfId="17985" xr:uid="{00000000-0005-0000-0000-0000386B0000}"/>
    <cellStyle name="Output 4 3 2 9" xfId="15686" xr:uid="{00000000-0005-0000-0000-0000396B0000}"/>
    <cellStyle name="Output 4 3 2 9 2" xfId="37059" xr:uid="{00000000-0005-0000-0000-00003A6B0000}"/>
    <cellStyle name="Output 4 3 2 9 3" xfId="17314" xr:uid="{00000000-0005-0000-0000-00003B6B0000}"/>
    <cellStyle name="Output 4 3 3" xfId="5328" xr:uid="{00000000-0005-0000-0000-00003C6B0000}"/>
    <cellStyle name="Output 4 3 3 2" xfId="10585" xr:uid="{00000000-0005-0000-0000-00003D6B0000}"/>
    <cellStyle name="Output 4 3 3 2 2" xfId="33719" xr:uid="{00000000-0005-0000-0000-00003E6B0000}"/>
    <cellStyle name="Output 4 3 3 2 3" xfId="23788" xr:uid="{00000000-0005-0000-0000-00003F6B0000}"/>
    <cellStyle name="Output 4 3 3 3" xfId="32078" xr:uid="{00000000-0005-0000-0000-0000406B0000}"/>
    <cellStyle name="Output 4 3 3 4" xfId="29316" xr:uid="{00000000-0005-0000-0000-0000416B0000}"/>
    <cellStyle name="Output 4 3 3 5" xfId="18931" xr:uid="{00000000-0005-0000-0000-0000426B0000}"/>
    <cellStyle name="Output 4 3 4" xfId="4917" xr:uid="{00000000-0005-0000-0000-0000436B0000}"/>
    <cellStyle name="Output 4 3 4 2" xfId="23377" xr:uid="{00000000-0005-0000-0000-0000446B0000}"/>
    <cellStyle name="Output 4 3 4 3" xfId="18531" xr:uid="{00000000-0005-0000-0000-0000456B0000}"/>
    <cellStyle name="Output 4 3 5" xfId="6284" xr:uid="{00000000-0005-0000-0000-0000466B0000}"/>
    <cellStyle name="Output 4 3 5 2" xfId="24724" xr:uid="{00000000-0005-0000-0000-0000476B0000}"/>
    <cellStyle name="Output 4 3 5 3" xfId="19833" xr:uid="{00000000-0005-0000-0000-0000486B0000}"/>
    <cellStyle name="Output 4 3 6" xfId="7390" xr:uid="{00000000-0005-0000-0000-0000496B0000}"/>
    <cellStyle name="Output 4 3 6 2" xfId="25821" xr:uid="{00000000-0005-0000-0000-00004A6B0000}"/>
    <cellStyle name="Output 4 3 6 3" xfId="20746" xr:uid="{00000000-0005-0000-0000-00004B6B0000}"/>
    <cellStyle name="Output 4 3 7" xfId="6247" xr:uid="{00000000-0005-0000-0000-00004C6B0000}"/>
    <cellStyle name="Output 4 3 7 2" xfId="24687" xr:uid="{00000000-0005-0000-0000-00004D6B0000}"/>
    <cellStyle name="Output 4 3 7 3" xfId="19796" xr:uid="{00000000-0005-0000-0000-00004E6B0000}"/>
    <cellStyle name="Output 4 3 8" xfId="8490" xr:uid="{00000000-0005-0000-0000-00004F6B0000}"/>
    <cellStyle name="Output 4 3 8 2" xfId="26913" xr:uid="{00000000-0005-0000-0000-0000506B0000}"/>
    <cellStyle name="Output 4 3 8 3" xfId="21781" xr:uid="{00000000-0005-0000-0000-0000516B0000}"/>
    <cellStyle name="Output 4 3 9" xfId="3982" xr:uid="{00000000-0005-0000-0000-0000526B0000}"/>
    <cellStyle name="Output 4 3 9 2" xfId="22449" xr:uid="{00000000-0005-0000-0000-0000536B0000}"/>
    <cellStyle name="Output 4 3 9 3" xfId="17664" xr:uid="{00000000-0005-0000-0000-0000546B0000}"/>
    <cellStyle name="Output 4 4" xfId="3067" xr:uid="{00000000-0005-0000-0000-0000556B0000}"/>
    <cellStyle name="Output 4 4 10" xfId="14928" xr:uid="{00000000-0005-0000-0000-0000566B0000}"/>
    <cellStyle name="Output 4 4 10 2" xfId="36376" xr:uid="{00000000-0005-0000-0000-0000576B0000}"/>
    <cellStyle name="Output 4 4 10 3" xfId="16978" xr:uid="{00000000-0005-0000-0000-0000586B0000}"/>
    <cellStyle name="Output 4 4 11" xfId="16520" xr:uid="{00000000-0005-0000-0000-0000596B0000}"/>
    <cellStyle name="Output 4 4 11 2" xfId="37746" xr:uid="{00000000-0005-0000-0000-00005A6B0000}"/>
    <cellStyle name="Output 4 4 12" xfId="27406" xr:uid="{00000000-0005-0000-0000-00005B6B0000}"/>
    <cellStyle name="Output 4 4 2" xfId="3575" xr:uid="{00000000-0005-0000-0000-00005C6B0000}"/>
    <cellStyle name="Output 4 4 2 10" xfId="16328" xr:uid="{00000000-0005-0000-0000-00005D6B0000}"/>
    <cellStyle name="Output 4 4 2 10 2" xfId="37633" xr:uid="{00000000-0005-0000-0000-00005E6B0000}"/>
    <cellStyle name="Output 4 4 2 2" xfId="5702" xr:uid="{00000000-0005-0000-0000-00005F6B0000}"/>
    <cellStyle name="Output 4 4 2 2 2" xfId="14758" xr:uid="{00000000-0005-0000-0000-0000606B0000}"/>
    <cellStyle name="Output 4 4 2 2 2 2" xfId="24155" xr:uid="{00000000-0005-0000-0000-0000616B0000}"/>
    <cellStyle name="Output 4 4 2 2 3" xfId="16392" xr:uid="{00000000-0005-0000-0000-0000626B0000}"/>
    <cellStyle name="Output 4 4 2 3" xfId="5606" xr:uid="{00000000-0005-0000-0000-0000636B0000}"/>
    <cellStyle name="Output 4 4 2 3 2" xfId="24059" xr:uid="{00000000-0005-0000-0000-0000646B0000}"/>
    <cellStyle name="Output 4 4 2 3 3" xfId="19193" xr:uid="{00000000-0005-0000-0000-0000656B0000}"/>
    <cellStyle name="Output 4 4 2 4" xfId="7177" xr:uid="{00000000-0005-0000-0000-0000666B0000}"/>
    <cellStyle name="Output 4 4 2 4 2" xfId="25608" xr:uid="{00000000-0005-0000-0000-0000676B0000}"/>
    <cellStyle name="Output 4 4 2 4 3" xfId="20534" xr:uid="{00000000-0005-0000-0000-0000686B0000}"/>
    <cellStyle name="Output 4 4 2 5" xfId="7714" xr:uid="{00000000-0005-0000-0000-0000696B0000}"/>
    <cellStyle name="Output 4 4 2 5 2" xfId="26144" xr:uid="{00000000-0005-0000-0000-00006A6B0000}"/>
    <cellStyle name="Output 4 4 2 5 3" xfId="21069" xr:uid="{00000000-0005-0000-0000-00006B6B0000}"/>
    <cellStyle name="Output 4 4 2 6" xfId="8088" xr:uid="{00000000-0005-0000-0000-00006C6B0000}"/>
    <cellStyle name="Output 4 4 2 6 2" xfId="26518" xr:uid="{00000000-0005-0000-0000-00006D6B0000}"/>
    <cellStyle name="Output 4 4 2 6 3" xfId="21442" xr:uid="{00000000-0005-0000-0000-00006E6B0000}"/>
    <cellStyle name="Output 4 4 2 7" xfId="8812" xr:uid="{00000000-0005-0000-0000-00006F6B0000}"/>
    <cellStyle name="Output 4 4 2 7 2" xfId="27232" xr:uid="{00000000-0005-0000-0000-0000706B0000}"/>
    <cellStyle name="Output 4 4 2 7 3" xfId="22103" xr:uid="{00000000-0005-0000-0000-0000716B0000}"/>
    <cellStyle name="Output 4 4 2 8" xfId="4304" xr:uid="{00000000-0005-0000-0000-0000726B0000}"/>
    <cellStyle name="Output 4 4 2 8 2" xfId="22768" xr:uid="{00000000-0005-0000-0000-0000736B0000}"/>
    <cellStyle name="Output 4 4 2 8 3" xfId="17986" xr:uid="{00000000-0005-0000-0000-0000746B0000}"/>
    <cellStyle name="Output 4 4 2 9" xfId="16233" xr:uid="{00000000-0005-0000-0000-0000756B0000}"/>
    <cellStyle name="Output 4 4 2 9 2" xfId="37546" xr:uid="{00000000-0005-0000-0000-0000766B0000}"/>
    <cellStyle name="Output 4 4 2 9 3" xfId="17315" xr:uid="{00000000-0005-0000-0000-0000776B0000}"/>
    <cellStyle name="Output 4 4 3" xfId="5329" xr:uid="{00000000-0005-0000-0000-0000786B0000}"/>
    <cellStyle name="Output 4 4 3 2" xfId="10586" xr:uid="{00000000-0005-0000-0000-0000796B0000}"/>
    <cellStyle name="Output 4 4 3 2 2" xfId="33720" xr:uid="{00000000-0005-0000-0000-00007A6B0000}"/>
    <cellStyle name="Output 4 4 3 2 3" xfId="23789" xr:uid="{00000000-0005-0000-0000-00007B6B0000}"/>
    <cellStyle name="Output 4 4 3 3" xfId="32079" xr:uid="{00000000-0005-0000-0000-00007C6B0000}"/>
    <cellStyle name="Output 4 4 3 4" xfId="29317" xr:uid="{00000000-0005-0000-0000-00007D6B0000}"/>
    <cellStyle name="Output 4 4 3 5" xfId="18932" xr:uid="{00000000-0005-0000-0000-00007E6B0000}"/>
    <cellStyle name="Output 4 4 4" xfId="4918" xr:uid="{00000000-0005-0000-0000-00007F6B0000}"/>
    <cellStyle name="Output 4 4 4 2" xfId="23378" xr:uid="{00000000-0005-0000-0000-0000806B0000}"/>
    <cellStyle name="Output 4 4 4 3" xfId="18532" xr:uid="{00000000-0005-0000-0000-0000816B0000}"/>
    <cellStyle name="Output 4 4 5" xfId="6283" xr:uid="{00000000-0005-0000-0000-0000826B0000}"/>
    <cellStyle name="Output 4 4 5 2" xfId="24723" xr:uid="{00000000-0005-0000-0000-0000836B0000}"/>
    <cellStyle name="Output 4 4 5 3" xfId="19832" xr:uid="{00000000-0005-0000-0000-0000846B0000}"/>
    <cellStyle name="Output 4 4 6" xfId="7391" xr:uid="{00000000-0005-0000-0000-0000856B0000}"/>
    <cellStyle name="Output 4 4 6 2" xfId="25822" xr:uid="{00000000-0005-0000-0000-0000866B0000}"/>
    <cellStyle name="Output 4 4 6 3" xfId="20747" xr:uid="{00000000-0005-0000-0000-0000876B0000}"/>
    <cellStyle name="Output 4 4 7" xfId="6147" xr:uid="{00000000-0005-0000-0000-0000886B0000}"/>
    <cellStyle name="Output 4 4 7 2" xfId="24588" xr:uid="{00000000-0005-0000-0000-0000896B0000}"/>
    <cellStyle name="Output 4 4 7 3" xfId="19697" xr:uid="{00000000-0005-0000-0000-00008A6B0000}"/>
    <cellStyle name="Output 4 4 8" xfId="8491" xr:uid="{00000000-0005-0000-0000-00008B6B0000}"/>
    <cellStyle name="Output 4 4 8 2" xfId="26914" xr:uid="{00000000-0005-0000-0000-00008C6B0000}"/>
    <cellStyle name="Output 4 4 8 3" xfId="21782" xr:uid="{00000000-0005-0000-0000-00008D6B0000}"/>
    <cellStyle name="Output 4 4 9" xfId="3983" xr:uid="{00000000-0005-0000-0000-00008E6B0000}"/>
    <cellStyle name="Output 4 4 9 2" xfId="22450" xr:uid="{00000000-0005-0000-0000-00008F6B0000}"/>
    <cellStyle name="Output 4 4 9 3" xfId="17665" xr:uid="{00000000-0005-0000-0000-0000906B0000}"/>
    <cellStyle name="Output 4 5" xfId="3068" xr:uid="{00000000-0005-0000-0000-0000916B0000}"/>
    <cellStyle name="Output 4 5 10" xfId="16208" xr:uid="{00000000-0005-0000-0000-0000926B0000}"/>
    <cellStyle name="Output 4 5 10 2" xfId="37523" xr:uid="{00000000-0005-0000-0000-0000936B0000}"/>
    <cellStyle name="Output 4 5 10 3" xfId="16979" xr:uid="{00000000-0005-0000-0000-0000946B0000}"/>
    <cellStyle name="Output 4 5 11" xfId="15659" xr:uid="{00000000-0005-0000-0000-0000956B0000}"/>
    <cellStyle name="Output 4 5 11 2" xfId="37033" xr:uid="{00000000-0005-0000-0000-0000966B0000}"/>
    <cellStyle name="Output 4 5 12" xfId="27407" xr:uid="{00000000-0005-0000-0000-0000976B0000}"/>
    <cellStyle name="Output 4 5 2" xfId="3576" xr:uid="{00000000-0005-0000-0000-0000986B0000}"/>
    <cellStyle name="Output 4 5 2 10" xfId="15085" xr:uid="{00000000-0005-0000-0000-0000996B0000}"/>
    <cellStyle name="Output 4 5 2 10 2" xfId="36496" xr:uid="{00000000-0005-0000-0000-00009A6B0000}"/>
    <cellStyle name="Output 4 5 2 2" xfId="5703" xr:uid="{00000000-0005-0000-0000-00009B6B0000}"/>
    <cellStyle name="Output 4 5 2 2 2" xfId="16425" xr:uid="{00000000-0005-0000-0000-00009C6B0000}"/>
    <cellStyle name="Output 4 5 2 2 2 2" xfId="24156" xr:uid="{00000000-0005-0000-0000-00009D6B0000}"/>
    <cellStyle name="Output 4 5 2 2 3" xfId="15676" xr:uid="{00000000-0005-0000-0000-00009E6B0000}"/>
    <cellStyle name="Output 4 5 2 3" xfId="5189" xr:uid="{00000000-0005-0000-0000-00009F6B0000}"/>
    <cellStyle name="Output 4 5 2 3 2" xfId="23649" xr:uid="{00000000-0005-0000-0000-0000A06B0000}"/>
    <cellStyle name="Output 4 5 2 3 3" xfId="18803" xr:uid="{00000000-0005-0000-0000-0000A16B0000}"/>
    <cellStyle name="Output 4 5 2 4" xfId="7178" xr:uid="{00000000-0005-0000-0000-0000A26B0000}"/>
    <cellStyle name="Output 4 5 2 4 2" xfId="25609" xr:uid="{00000000-0005-0000-0000-0000A36B0000}"/>
    <cellStyle name="Output 4 5 2 4 3" xfId="20535" xr:uid="{00000000-0005-0000-0000-0000A46B0000}"/>
    <cellStyle name="Output 4 5 2 5" xfId="7715" xr:uid="{00000000-0005-0000-0000-0000A56B0000}"/>
    <cellStyle name="Output 4 5 2 5 2" xfId="26145" xr:uid="{00000000-0005-0000-0000-0000A66B0000}"/>
    <cellStyle name="Output 4 5 2 5 3" xfId="21070" xr:uid="{00000000-0005-0000-0000-0000A76B0000}"/>
    <cellStyle name="Output 4 5 2 6" xfId="8089" xr:uid="{00000000-0005-0000-0000-0000A86B0000}"/>
    <cellStyle name="Output 4 5 2 6 2" xfId="26519" xr:uid="{00000000-0005-0000-0000-0000A96B0000}"/>
    <cellStyle name="Output 4 5 2 6 3" xfId="21443" xr:uid="{00000000-0005-0000-0000-0000AA6B0000}"/>
    <cellStyle name="Output 4 5 2 7" xfId="8813" xr:uid="{00000000-0005-0000-0000-0000AB6B0000}"/>
    <cellStyle name="Output 4 5 2 7 2" xfId="27233" xr:uid="{00000000-0005-0000-0000-0000AC6B0000}"/>
    <cellStyle name="Output 4 5 2 7 3" xfId="22104" xr:uid="{00000000-0005-0000-0000-0000AD6B0000}"/>
    <cellStyle name="Output 4 5 2 8" xfId="4305" xr:uid="{00000000-0005-0000-0000-0000AE6B0000}"/>
    <cellStyle name="Output 4 5 2 8 2" xfId="22769" xr:uid="{00000000-0005-0000-0000-0000AF6B0000}"/>
    <cellStyle name="Output 4 5 2 8 3" xfId="17987" xr:uid="{00000000-0005-0000-0000-0000B06B0000}"/>
    <cellStyle name="Output 4 5 2 9" xfId="16175" xr:uid="{00000000-0005-0000-0000-0000B16B0000}"/>
    <cellStyle name="Output 4 5 2 9 2" xfId="37492" xr:uid="{00000000-0005-0000-0000-0000B26B0000}"/>
    <cellStyle name="Output 4 5 2 9 3" xfId="17316" xr:uid="{00000000-0005-0000-0000-0000B36B0000}"/>
    <cellStyle name="Output 4 5 3" xfId="5330" xr:uid="{00000000-0005-0000-0000-0000B46B0000}"/>
    <cellStyle name="Output 4 5 3 2" xfId="10587" xr:uid="{00000000-0005-0000-0000-0000B56B0000}"/>
    <cellStyle name="Output 4 5 3 2 2" xfId="33721" xr:uid="{00000000-0005-0000-0000-0000B66B0000}"/>
    <cellStyle name="Output 4 5 3 2 3" xfId="23790" xr:uid="{00000000-0005-0000-0000-0000B76B0000}"/>
    <cellStyle name="Output 4 5 3 3" xfId="32080" xr:uid="{00000000-0005-0000-0000-0000B86B0000}"/>
    <cellStyle name="Output 4 5 3 4" xfId="29318" xr:uid="{00000000-0005-0000-0000-0000B96B0000}"/>
    <cellStyle name="Output 4 5 3 5" xfId="18933" xr:uid="{00000000-0005-0000-0000-0000BA6B0000}"/>
    <cellStyle name="Output 4 5 4" xfId="4919" xr:uid="{00000000-0005-0000-0000-0000BB6B0000}"/>
    <cellStyle name="Output 4 5 4 2" xfId="23379" xr:uid="{00000000-0005-0000-0000-0000BC6B0000}"/>
    <cellStyle name="Output 4 5 4 3" xfId="18533" xr:uid="{00000000-0005-0000-0000-0000BD6B0000}"/>
    <cellStyle name="Output 4 5 5" xfId="6282" xr:uid="{00000000-0005-0000-0000-0000BE6B0000}"/>
    <cellStyle name="Output 4 5 5 2" xfId="24722" xr:uid="{00000000-0005-0000-0000-0000BF6B0000}"/>
    <cellStyle name="Output 4 5 5 3" xfId="19831" xr:uid="{00000000-0005-0000-0000-0000C06B0000}"/>
    <cellStyle name="Output 4 5 6" xfId="7392" xr:uid="{00000000-0005-0000-0000-0000C16B0000}"/>
    <cellStyle name="Output 4 5 6 2" xfId="25823" xr:uid="{00000000-0005-0000-0000-0000C26B0000}"/>
    <cellStyle name="Output 4 5 6 3" xfId="20748" xr:uid="{00000000-0005-0000-0000-0000C36B0000}"/>
    <cellStyle name="Output 4 5 7" xfId="6146" xr:uid="{00000000-0005-0000-0000-0000C46B0000}"/>
    <cellStyle name="Output 4 5 7 2" xfId="24587" xr:uid="{00000000-0005-0000-0000-0000C56B0000}"/>
    <cellStyle name="Output 4 5 7 3" xfId="19696" xr:uid="{00000000-0005-0000-0000-0000C66B0000}"/>
    <cellStyle name="Output 4 5 8" xfId="8492" xr:uid="{00000000-0005-0000-0000-0000C76B0000}"/>
    <cellStyle name="Output 4 5 8 2" xfId="26915" xr:uid="{00000000-0005-0000-0000-0000C86B0000}"/>
    <cellStyle name="Output 4 5 8 3" xfId="21783" xr:uid="{00000000-0005-0000-0000-0000C96B0000}"/>
    <cellStyle name="Output 4 5 9" xfId="3984" xr:uid="{00000000-0005-0000-0000-0000CA6B0000}"/>
    <cellStyle name="Output 4 5 9 2" xfId="22451" xr:uid="{00000000-0005-0000-0000-0000CB6B0000}"/>
    <cellStyle name="Output 4 5 9 3" xfId="17666" xr:uid="{00000000-0005-0000-0000-0000CC6B0000}"/>
    <cellStyle name="Output 4 6" xfId="3069" xr:uid="{00000000-0005-0000-0000-0000CD6B0000}"/>
    <cellStyle name="Output 4 6 10" xfId="16144" xr:uid="{00000000-0005-0000-0000-0000CE6B0000}"/>
    <cellStyle name="Output 4 6 10 2" xfId="37465" xr:uid="{00000000-0005-0000-0000-0000CF6B0000}"/>
    <cellStyle name="Output 4 6 10 3" xfId="16980" xr:uid="{00000000-0005-0000-0000-0000D06B0000}"/>
    <cellStyle name="Output 4 6 11" xfId="14408" xr:uid="{00000000-0005-0000-0000-0000D16B0000}"/>
    <cellStyle name="Output 4 6 11 2" xfId="35939" xr:uid="{00000000-0005-0000-0000-0000D26B0000}"/>
    <cellStyle name="Output 4 6 12" xfId="27408" xr:uid="{00000000-0005-0000-0000-0000D36B0000}"/>
    <cellStyle name="Output 4 6 2" xfId="3577" xr:uid="{00000000-0005-0000-0000-0000D46B0000}"/>
    <cellStyle name="Output 4 6 2 10" xfId="14704" xr:uid="{00000000-0005-0000-0000-0000D56B0000}"/>
    <cellStyle name="Output 4 6 2 10 2" xfId="36184" xr:uid="{00000000-0005-0000-0000-0000D66B0000}"/>
    <cellStyle name="Output 4 6 2 2" xfId="5704" xr:uid="{00000000-0005-0000-0000-0000D76B0000}"/>
    <cellStyle name="Output 4 6 2 2 2" xfId="14759" xr:uid="{00000000-0005-0000-0000-0000D86B0000}"/>
    <cellStyle name="Output 4 6 2 2 2 2" xfId="24157" xr:uid="{00000000-0005-0000-0000-0000D96B0000}"/>
    <cellStyle name="Output 4 6 2 2 3" xfId="15290" xr:uid="{00000000-0005-0000-0000-0000DA6B0000}"/>
    <cellStyle name="Output 4 6 2 3" xfId="5190" xr:uid="{00000000-0005-0000-0000-0000DB6B0000}"/>
    <cellStyle name="Output 4 6 2 3 2" xfId="23650" xr:uid="{00000000-0005-0000-0000-0000DC6B0000}"/>
    <cellStyle name="Output 4 6 2 3 3" xfId="18804" xr:uid="{00000000-0005-0000-0000-0000DD6B0000}"/>
    <cellStyle name="Output 4 6 2 4" xfId="7179" xr:uid="{00000000-0005-0000-0000-0000DE6B0000}"/>
    <cellStyle name="Output 4 6 2 4 2" xfId="25610" xr:uid="{00000000-0005-0000-0000-0000DF6B0000}"/>
    <cellStyle name="Output 4 6 2 4 3" xfId="20536" xr:uid="{00000000-0005-0000-0000-0000E06B0000}"/>
    <cellStyle name="Output 4 6 2 5" xfId="7716" xr:uid="{00000000-0005-0000-0000-0000E16B0000}"/>
    <cellStyle name="Output 4 6 2 5 2" xfId="26146" xr:uid="{00000000-0005-0000-0000-0000E26B0000}"/>
    <cellStyle name="Output 4 6 2 5 3" xfId="21071" xr:uid="{00000000-0005-0000-0000-0000E36B0000}"/>
    <cellStyle name="Output 4 6 2 6" xfId="8090" xr:uid="{00000000-0005-0000-0000-0000E46B0000}"/>
    <cellStyle name="Output 4 6 2 6 2" xfId="26520" xr:uid="{00000000-0005-0000-0000-0000E56B0000}"/>
    <cellStyle name="Output 4 6 2 6 3" xfId="21444" xr:uid="{00000000-0005-0000-0000-0000E66B0000}"/>
    <cellStyle name="Output 4 6 2 7" xfId="8814" xr:uid="{00000000-0005-0000-0000-0000E76B0000}"/>
    <cellStyle name="Output 4 6 2 7 2" xfId="27234" xr:uid="{00000000-0005-0000-0000-0000E86B0000}"/>
    <cellStyle name="Output 4 6 2 7 3" xfId="22105" xr:uid="{00000000-0005-0000-0000-0000E96B0000}"/>
    <cellStyle name="Output 4 6 2 8" xfId="4306" xr:uid="{00000000-0005-0000-0000-0000EA6B0000}"/>
    <cellStyle name="Output 4 6 2 8 2" xfId="22770" xr:uid="{00000000-0005-0000-0000-0000EB6B0000}"/>
    <cellStyle name="Output 4 6 2 8 3" xfId="17988" xr:uid="{00000000-0005-0000-0000-0000EC6B0000}"/>
    <cellStyle name="Output 4 6 2 9" xfId="16109" xr:uid="{00000000-0005-0000-0000-0000ED6B0000}"/>
    <cellStyle name="Output 4 6 2 9 2" xfId="37431" xr:uid="{00000000-0005-0000-0000-0000EE6B0000}"/>
    <cellStyle name="Output 4 6 2 9 3" xfId="17317" xr:uid="{00000000-0005-0000-0000-0000EF6B0000}"/>
    <cellStyle name="Output 4 6 3" xfId="5331" xr:uid="{00000000-0005-0000-0000-0000F06B0000}"/>
    <cellStyle name="Output 4 6 3 2" xfId="10588" xr:uid="{00000000-0005-0000-0000-0000F16B0000}"/>
    <cellStyle name="Output 4 6 3 2 2" xfId="33722" xr:uid="{00000000-0005-0000-0000-0000F26B0000}"/>
    <cellStyle name="Output 4 6 3 2 3" xfId="23791" xr:uid="{00000000-0005-0000-0000-0000F36B0000}"/>
    <cellStyle name="Output 4 6 3 3" xfId="32081" xr:uid="{00000000-0005-0000-0000-0000F46B0000}"/>
    <cellStyle name="Output 4 6 3 4" xfId="29319" xr:uid="{00000000-0005-0000-0000-0000F56B0000}"/>
    <cellStyle name="Output 4 6 3 5" xfId="18934" xr:uid="{00000000-0005-0000-0000-0000F66B0000}"/>
    <cellStyle name="Output 4 6 4" xfId="4920" xr:uid="{00000000-0005-0000-0000-0000F76B0000}"/>
    <cellStyle name="Output 4 6 4 2" xfId="23380" xr:uid="{00000000-0005-0000-0000-0000F86B0000}"/>
    <cellStyle name="Output 4 6 4 3" xfId="18534" xr:uid="{00000000-0005-0000-0000-0000F96B0000}"/>
    <cellStyle name="Output 4 6 5" xfId="6281" xr:uid="{00000000-0005-0000-0000-0000FA6B0000}"/>
    <cellStyle name="Output 4 6 5 2" xfId="24721" xr:uid="{00000000-0005-0000-0000-0000FB6B0000}"/>
    <cellStyle name="Output 4 6 5 3" xfId="19830" xr:uid="{00000000-0005-0000-0000-0000FC6B0000}"/>
    <cellStyle name="Output 4 6 6" xfId="7393" xr:uid="{00000000-0005-0000-0000-0000FD6B0000}"/>
    <cellStyle name="Output 4 6 6 2" xfId="25824" xr:uid="{00000000-0005-0000-0000-0000FE6B0000}"/>
    <cellStyle name="Output 4 6 6 3" xfId="20749" xr:uid="{00000000-0005-0000-0000-0000FF6B0000}"/>
    <cellStyle name="Output 4 6 7" xfId="6246" xr:uid="{00000000-0005-0000-0000-0000006C0000}"/>
    <cellStyle name="Output 4 6 7 2" xfId="24686" xr:uid="{00000000-0005-0000-0000-0000016C0000}"/>
    <cellStyle name="Output 4 6 7 3" xfId="19795" xr:uid="{00000000-0005-0000-0000-0000026C0000}"/>
    <cellStyle name="Output 4 6 8" xfId="8493" xr:uid="{00000000-0005-0000-0000-0000036C0000}"/>
    <cellStyle name="Output 4 6 8 2" xfId="26916" xr:uid="{00000000-0005-0000-0000-0000046C0000}"/>
    <cellStyle name="Output 4 6 8 3" xfId="21784" xr:uid="{00000000-0005-0000-0000-0000056C0000}"/>
    <cellStyle name="Output 4 6 9" xfId="3985" xr:uid="{00000000-0005-0000-0000-0000066C0000}"/>
    <cellStyle name="Output 4 6 9 2" xfId="22452" xr:uid="{00000000-0005-0000-0000-0000076C0000}"/>
    <cellStyle name="Output 4 6 9 3" xfId="17667" xr:uid="{00000000-0005-0000-0000-0000086C0000}"/>
    <cellStyle name="Output 4 7" xfId="3070" xr:uid="{00000000-0005-0000-0000-0000096C0000}"/>
    <cellStyle name="Output 4 7 10" xfId="16018" xr:uid="{00000000-0005-0000-0000-00000A6C0000}"/>
    <cellStyle name="Output 4 7 10 2" xfId="37359" xr:uid="{00000000-0005-0000-0000-00000B6C0000}"/>
    <cellStyle name="Output 4 7 10 3" xfId="16981" xr:uid="{00000000-0005-0000-0000-00000C6C0000}"/>
    <cellStyle name="Output 4 7 11" xfId="14629" xr:uid="{00000000-0005-0000-0000-00000D6C0000}"/>
    <cellStyle name="Output 4 7 11 2" xfId="36122" xr:uid="{00000000-0005-0000-0000-00000E6C0000}"/>
    <cellStyle name="Output 4 7 12" xfId="27409" xr:uid="{00000000-0005-0000-0000-00000F6C0000}"/>
    <cellStyle name="Output 4 7 2" xfId="3578" xr:uid="{00000000-0005-0000-0000-0000106C0000}"/>
    <cellStyle name="Output 4 7 2 10" xfId="14701" xr:uid="{00000000-0005-0000-0000-0000116C0000}"/>
    <cellStyle name="Output 4 7 2 10 2" xfId="36181" xr:uid="{00000000-0005-0000-0000-0000126C0000}"/>
    <cellStyle name="Output 4 7 2 2" xfId="5705" xr:uid="{00000000-0005-0000-0000-0000136C0000}"/>
    <cellStyle name="Output 4 7 2 2 2" xfId="14761" xr:uid="{00000000-0005-0000-0000-0000146C0000}"/>
    <cellStyle name="Output 4 7 2 2 2 2" xfId="24158" xr:uid="{00000000-0005-0000-0000-0000156C0000}"/>
    <cellStyle name="Output 4 7 2 2 3" xfId="16530" xr:uid="{00000000-0005-0000-0000-0000166C0000}"/>
    <cellStyle name="Output 4 7 2 3" xfId="5191" xr:uid="{00000000-0005-0000-0000-0000176C0000}"/>
    <cellStyle name="Output 4 7 2 3 2" xfId="23651" xr:uid="{00000000-0005-0000-0000-0000186C0000}"/>
    <cellStyle name="Output 4 7 2 3 3" xfId="18805" xr:uid="{00000000-0005-0000-0000-0000196C0000}"/>
    <cellStyle name="Output 4 7 2 4" xfId="7180" xr:uid="{00000000-0005-0000-0000-00001A6C0000}"/>
    <cellStyle name="Output 4 7 2 4 2" xfId="25611" xr:uid="{00000000-0005-0000-0000-00001B6C0000}"/>
    <cellStyle name="Output 4 7 2 4 3" xfId="20537" xr:uid="{00000000-0005-0000-0000-00001C6C0000}"/>
    <cellStyle name="Output 4 7 2 5" xfId="7717" xr:uid="{00000000-0005-0000-0000-00001D6C0000}"/>
    <cellStyle name="Output 4 7 2 5 2" xfId="26147" xr:uid="{00000000-0005-0000-0000-00001E6C0000}"/>
    <cellStyle name="Output 4 7 2 5 3" xfId="21072" xr:uid="{00000000-0005-0000-0000-00001F6C0000}"/>
    <cellStyle name="Output 4 7 2 6" xfId="8091" xr:uid="{00000000-0005-0000-0000-0000206C0000}"/>
    <cellStyle name="Output 4 7 2 6 2" xfId="26521" xr:uid="{00000000-0005-0000-0000-0000216C0000}"/>
    <cellStyle name="Output 4 7 2 6 3" xfId="21445" xr:uid="{00000000-0005-0000-0000-0000226C0000}"/>
    <cellStyle name="Output 4 7 2 7" xfId="8815" xr:uid="{00000000-0005-0000-0000-0000236C0000}"/>
    <cellStyle name="Output 4 7 2 7 2" xfId="27235" xr:uid="{00000000-0005-0000-0000-0000246C0000}"/>
    <cellStyle name="Output 4 7 2 7 3" xfId="22106" xr:uid="{00000000-0005-0000-0000-0000256C0000}"/>
    <cellStyle name="Output 4 7 2 8" xfId="4307" xr:uid="{00000000-0005-0000-0000-0000266C0000}"/>
    <cellStyle name="Output 4 7 2 8 2" xfId="22771" xr:uid="{00000000-0005-0000-0000-0000276C0000}"/>
    <cellStyle name="Output 4 7 2 8 3" xfId="17989" xr:uid="{00000000-0005-0000-0000-0000286C0000}"/>
    <cellStyle name="Output 4 7 2 9" xfId="16017" xr:uid="{00000000-0005-0000-0000-0000296C0000}"/>
    <cellStyle name="Output 4 7 2 9 2" xfId="37358" xr:uid="{00000000-0005-0000-0000-00002A6C0000}"/>
    <cellStyle name="Output 4 7 2 9 3" xfId="17318" xr:uid="{00000000-0005-0000-0000-00002B6C0000}"/>
    <cellStyle name="Output 4 7 3" xfId="5332" xr:uid="{00000000-0005-0000-0000-00002C6C0000}"/>
    <cellStyle name="Output 4 7 3 2" xfId="10589" xr:uid="{00000000-0005-0000-0000-00002D6C0000}"/>
    <cellStyle name="Output 4 7 3 2 2" xfId="33723" xr:uid="{00000000-0005-0000-0000-00002E6C0000}"/>
    <cellStyle name="Output 4 7 3 2 3" xfId="23792" xr:uid="{00000000-0005-0000-0000-00002F6C0000}"/>
    <cellStyle name="Output 4 7 3 3" xfId="32082" xr:uid="{00000000-0005-0000-0000-0000306C0000}"/>
    <cellStyle name="Output 4 7 3 4" xfId="29320" xr:uid="{00000000-0005-0000-0000-0000316C0000}"/>
    <cellStyle name="Output 4 7 3 5" xfId="18935" xr:uid="{00000000-0005-0000-0000-0000326C0000}"/>
    <cellStyle name="Output 4 7 4" xfId="4921" xr:uid="{00000000-0005-0000-0000-0000336C0000}"/>
    <cellStyle name="Output 4 7 4 2" xfId="23381" xr:uid="{00000000-0005-0000-0000-0000346C0000}"/>
    <cellStyle name="Output 4 7 4 3" xfId="18535" xr:uid="{00000000-0005-0000-0000-0000356C0000}"/>
    <cellStyle name="Output 4 7 5" xfId="6280" xr:uid="{00000000-0005-0000-0000-0000366C0000}"/>
    <cellStyle name="Output 4 7 5 2" xfId="24720" xr:uid="{00000000-0005-0000-0000-0000376C0000}"/>
    <cellStyle name="Output 4 7 5 3" xfId="19829" xr:uid="{00000000-0005-0000-0000-0000386C0000}"/>
    <cellStyle name="Output 4 7 6" xfId="7394" xr:uid="{00000000-0005-0000-0000-0000396C0000}"/>
    <cellStyle name="Output 4 7 6 2" xfId="25825" xr:uid="{00000000-0005-0000-0000-00003A6C0000}"/>
    <cellStyle name="Output 4 7 6 3" xfId="20750" xr:uid="{00000000-0005-0000-0000-00003B6C0000}"/>
    <cellStyle name="Output 4 7 7" xfId="6245" xr:uid="{00000000-0005-0000-0000-00003C6C0000}"/>
    <cellStyle name="Output 4 7 7 2" xfId="24685" xr:uid="{00000000-0005-0000-0000-00003D6C0000}"/>
    <cellStyle name="Output 4 7 7 3" xfId="19794" xr:uid="{00000000-0005-0000-0000-00003E6C0000}"/>
    <cellStyle name="Output 4 7 8" xfId="8494" xr:uid="{00000000-0005-0000-0000-00003F6C0000}"/>
    <cellStyle name="Output 4 7 8 2" xfId="26917" xr:uid="{00000000-0005-0000-0000-0000406C0000}"/>
    <cellStyle name="Output 4 7 8 3" xfId="21785" xr:uid="{00000000-0005-0000-0000-0000416C0000}"/>
    <cellStyle name="Output 4 7 9" xfId="3986" xr:uid="{00000000-0005-0000-0000-0000426C0000}"/>
    <cellStyle name="Output 4 7 9 2" xfId="22453" xr:uid="{00000000-0005-0000-0000-0000436C0000}"/>
    <cellStyle name="Output 4 7 9 3" xfId="17668" xr:uid="{00000000-0005-0000-0000-0000446C0000}"/>
    <cellStyle name="Output 4 8" xfId="3071" xr:uid="{00000000-0005-0000-0000-0000456C0000}"/>
    <cellStyle name="Output 4 8 10" xfId="16016" xr:uid="{00000000-0005-0000-0000-0000466C0000}"/>
    <cellStyle name="Output 4 8 10 2" xfId="37357" xr:uid="{00000000-0005-0000-0000-0000476C0000}"/>
    <cellStyle name="Output 4 8 10 3" xfId="16982" xr:uid="{00000000-0005-0000-0000-0000486C0000}"/>
    <cellStyle name="Output 4 8 11" xfId="14848" xr:uid="{00000000-0005-0000-0000-0000496C0000}"/>
    <cellStyle name="Output 4 8 11 2" xfId="36296" xr:uid="{00000000-0005-0000-0000-00004A6C0000}"/>
    <cellStyle name="Output 4 8 12" xfId="27410" xr:uid="{00000000-0005-0000-0000-00004B6C0000}"/>
    <cellStyle name="Output 4 8 2" xfId="3579" xr:uid="{00000000-0005-0000-0000-00004C6C0000}"/>
    <cellStyle name="Output 4 8 2 10" xfId="15500" xr:uid="{00000000-0005-0000-0000-00004D6C0000}"/>
    <cellStyle name="Output 4 8 2 10 2" xfId="36878" xr:uid="{00000000-0005-0000-0000-00004E6C0000}"/>
    <cellStyle name="Output 4 8 2 11" xfId="27411" xr:uid="{00000000-0005-0000-0000-00004F6C0000}"/>
    <cellStyle name="Output 4 8 2 2" xfId="5706" xr:uid="{00000000-0005-0000-0000-0000506C0000}"/>
    <cellStyle name="Output 4 8 2 2 2" xfId="10591" xr:uid="{00000000-0005-0000-0000-0000516C0000}"/>
    <cellStyle name="Output 4 8 2 2 2 2" xfId="33725" xr:uid="{00000000-0005-0000-0000-0000526C0000}"/>
    <cellStyle name="Output 4 8 2 2 2 3" xfId="24159" xr:uid="{00000000-0005-0000-0000-0000536C0000}"/>
    <cellStyle name="Output 4 8 2 2 3" xfId="32295" xr:uid="{00000000-0005-0000-0000-0000546C0000}"/>
    <cellStyle name="Output 4 8 2 2 4" xfId="29322" xr:uid="{00000000-0005-0000-0000-0000556C0000}"/>
    <cellStyle name="Output 4 8 2 2 5" xfId="19270" xr:uid="{00000000-0005-0000-0000-0000566C0000}"/>
    <cellStyle name="Output 4 8 2 3" xfId="5192" xr:uid="{00000000-0005-0000-0000-0000576C0000}"/>
    <cellStyle name="Output 4 8 2 3 2" xfId="23652" xr:uid="{00000000-0005-0000-0000-0000586C0000}"/>
    <cellStyle name="Output 4 8 2 3 3" xfId="18806" xr:uid="{00000000-0005-0000-0000-0000596C0000}"/>
    <cellStyle name="Output 4 8 2 4" xfId="7181" xr:uid="{00000000-0005-0000-0000-00005A6C0000}"/>
    <cellStyle name="Output 4 8 2 4 2" xfId="25612" xr:uid="{00000000-0005-0000-0000-00005B6C0000}"/>
    <cellStyle name="Output 4 8 2 4 3" xfId="20538" xr:uid="{00000000-0005-0000-0000-00005C6C0000}"/>
    <cellStyle name="Output 4 8 2 5" xfId="7718" xr:uid="{00000000-0005-0000-0000-00005D6C0000}"/>
    <cellStyle name="Output 4 8 2 5 2" xfId="26148" xr:uid="{00000000-0005-0000-0000-00005E6C0000}"/>
    <cellStyle name="Output 4 8 2 5 3" xfId="21073" xr:uid="{00000000-0005-0000-0000-00005F6C0000}"/>
    <cellStyle name="Output 4 8 2 6" xfId="8092" xr:uid="{00000000-0005-0000-0000-0000606C0000}"/>
    <cellStyle name="Output 4 8 2 6 2" xfId="26522" xr:uid="{00000000-0005-0000-0000-0000616C0000}"/>
    <cellStyle name="Output 4 8 2 6 3" xfId="21446" xr:uid="{00000000-0005-0000-0000-0000626C0000}"/>
    <cellStyle name="Output 4 8 2 7" xfId="8816" xr:uid="{00000000-0005-0000-0000-0000636C0000}"/>
    <cellStyle name="Output 4 8 2 7 2" xfId="27236" xr:uid="{00000000-0005-0000-0000-0000646C0000}"/>
    <cellStyle name="Output 4 8 2 7 3" xfId="22107" xr:uid="{00000000-0005-0000-0000-0000656C0000}"/>
    <cellStyle name="Output 4 8 2 8" xfId="4308" xr:uid="{00000000-0005-0000-0000-0000666C0000}"/>
    <cellStyle name="Output 4 8 2 8 2" xfId="22772" xr:uid="{00000000-0005-0000-0000-0000676C0000}"/>
    <cellStyle name="Output 4 8 2 8 3" xfId="17990" xr:uid="{00000000-0005-0000-0000-0000686C0000}"/>
    <cellStyle name="Output 4 8 2 9" xfId="15685" xr:uid="{00000000-0005-0000-0000-0000696C0000}"/>
    <cellStyle name="Output 4 8 2 9 2" xfId="37058" xr:uid="{00000000-0005-0000-0000-00006A6C0000}"/>
    <cellStyle name="Output 4 8 2 9 3" xfId="17319" xr:uid="{00000000-0005-0000-0000-00006B6C0000}"/>
    <cellStyle name="Output 4 8 3" xfId="5333" xr:uid="{00000000-0005-0000-0000-00006C6C0000}"/>
    <cellStyle name="Output 4 8 3 2" xfId="11186" xr:uid="{00000000-0005-0000-0000-00006D6C0000}"/>
    <cellStyle name="Output 4 8 3 2 2" xfId="34003" xr:uid="{00000000-0005-0000-0000-00006E6C0000}"/>
    <cellStyle name="Output 4 8 3 2 3" xfId="29564" xr:uid="{00000000-0005-0000-0000-00006F6C0000}"/>
    <cellStyle name="Output 4 8 3 2 4" xfId="23793" xr:uid="{00000000-0005-0000-0000-0000706C0000}"/>
    <cellStyle name="Output 4 8 3 3" xfId="32083" xr:uid="{00000000-0005-0000-0000-0000716C0000}"/>
    <cellStyle name="Output 4 8 3 4" xfId="27764" xr:uid="{00000000-0005-0000-0000-0000726C0000}"/>
    <cellStyle name="Output 4 8 3 5" xfId="18936" xr:uid="{00000000-0005-0000-0000-0000736C0000}"/>
    <cellStyle name="Output 4 8 4" xfId="4922" xr:uid="{00000000-0005-0000-0000-0000746C0000}"/>
    <cellStyle name="Output 4 8 4 2" xfId="10590" xr:uid="{00000000-0005-0000-0000-0000756C0000}"/>
    <cellStyle name="Output 4 8 4 2 2" xfId="33724" xr:uid="{00000000-0005-0000-0000-0000766C0000}"/>
    <cellStyle name="Output 4 8 4 2 3" xfId="23382" xr:uid="{00000000-0005-0000-0000-0000776C0000}"/>
    <cellStyle name="Output 4 8 4 3" xfId="31873" xr:uid="{00000000-0005-0000-0000-0000786C0000}"/>
    <cellStyle name="Output 4 8 4 4" xfId="29321" xr:uid="{00000000-0005-0000-0000-0000796C0000}"/>
    <cellStyle name="Output 4 8 4 5" xfId="18536" xr:uid="{00000000-0005-0000-0000-00007A6C0000}"/>
    <cellStyle name="Output 4 8 5" xfId="6279" xr:uid="{00000000-0005-0000-0000-00007B6C0000}"/>
    <cellStyle name="Output 4 8 5 2" xfId="10043" xr:uid="{00000000-0005-0000-0000-00007C6C0000}"/>
    <cellStyle name="Output 4 8 5 2 2" xfId="33349" xr:uid="{00000000-0005-0000-0000-00007D6C0000}"/>
    <cellStyle name="Output 4 8 5 2 3" xfId="24719" xr:uid="{00000000-0005-0000-0000-00007E6C0000}"/>
    <cellStyle name="Output 4 8 5 3" xfId="32591" xr:uid="{00000000-0005-0000-0000-00007F6C0000}"/>
    <cellStyle name="Output 4 8 5 4" xfId="19828" xr:uid="{00000000-0005-0000-0000-0000806C0000}"/>
    <cellStyle name="Output 4 8 6" xfId="7395" xr:uid="{00000000-0005-0000-0000-0000816C0000}"/>
    <cellStyle name="Output 4 8 6 2" xfId="25826" xr:uid="{00000000-0005-0000-0000-0000826C0000}"/>
    <cellStyle name="Output 4 8 6 3" xfId="20751" xr:uid="{00000000-0005-0000-0000-0000836C0000}"/>
    <cellStyle name="Output 4 8 7" xfId="6244" xr:uid="{00000000-0005-0000-0000-0000846C0000}"/>
    <cellStyle name="Output 4 8 7 2" xfId="24684" xr:uid="{00000000-0005-0000-0000-0000856C0000}"/>
    <cellStyle name="Output 4 8 7 3" xfId="19793" xr:uid="{00000000-0005-0000-0000-0000866C0000}"/>
    <cellStyle name="Output 4 8 8" xfId="8495" xr:uid="{00000000-0005-0000-0000-0000876C0000}"/>
    <cellStyle name="Output 4 8 8 2" xfId="26918" xr:uid="{00000000-0005-0000-0000-0000886C0000}"/>
    <cellStyle name="Output 4 8 8 3" xfId="21786" xr:uid="{00000000-0005-0000-0000-0000896C0000}"/>
    <cellStyle name="Output 4 8 9" xfId="3987" xr:uid="{00000000-0005-0000-0000-00008A6C0000}"/>
    <cellStyle name="Output 4 8 9 2" xfId="22454" xr:uid="{00000000-0005-0000-0000-00008B6C0000}"/>
    <cellStyle name="Output 4 8 9 3" xfId="17669" xr:uid="{00000000-0005-0000-0000-00008C6C0000}"/>
    <cellStyle name="Output 4 9" xfId="3072" xr:uid="{00000000-0005-0000-0000-00008D6C0000}"/>
    <cellStyle name="Output 4 9 10" xfId="15654" xr:uid="{00000000-0005-0000-0000-00008E6C0000}"/>
    <cellStyle name="Output 4 9 10 2" xfId="37029" xr:uid="{00000000-0005-0000-0000-00008F6C0000}"/>
    <cellStyle name="Output 4 9 10 3" xfId="16983" xr:uid="{00000000-0005-0000-0000-0000906C0000}"/>
    <cellStyle name="Output 4 9 11" xfId="16518" xr:uid="{00000000-0005-0000-0000-0000916C0000}"/>
    <cellStyle name="Output 4 9 11 2" xfId="37744" xr:uid="{00000000-0005-0000-0000-0000926C0000}"/>
    <cellStyle name="Output 4 9 12" xfId="27412" xr:uid="{00000000-0005-0000-0000-0000936C0000}"/>
    <cellStyle name="Output 4 9 2" xfId="3580" xr:uid="{00000000-0005-0000-0000-0000946C0000}"/>
    <cellStyle name="Output 4 9 2 10" xfId="14957" xr:uid="{00000000-0005-0000-0000-0000956C0000}"/>
    <cellStyle name="Output 4 9 2 10 2" xfId="36390" xr:uid="{00000000-0005-0000-0000-0000966C0000}"/>
    <cellStyle name="Output 4 9 2 11" xfId="27413" xr:uid="{00000000-0005-0000-0000-0000976C0000}"/>
    <cellStyle name="Output 4 9 2 2" xfId="5707" xr:uid="{00000000-0005-0000-0000-0000986C0000}"/>
    <cellStyle name="Output 4 9 2 2 2" xfId="10593" xr:uid="{00000000-0005-0000-0000-0000996C0000}"/>
    <cellStyle name="Output 4 9 2 2 2 2" xfId="33727" xr:uid="{00000000-0005-0000-0000-00009A6C0000}"/>
    <cellStyle name="Output 4 9 2 2 2 3" xfId="24160" xr:uid="{00000000-0005-0000-0000-00009B6C0000}"/>
    <cellStyle name="Output 4 9 2 2 3" xfId="32296" xr:uid="{00000000-0005-0000-0000-00009C6C0000}"/>
    <cellStyle name="Output 4 9 2 2 4" xfId="29324" xr:uid="{00000000-0005-0000-0000-00009D6C0000}"/>
    <cellStyle name="Output 4 9 2 2 5" xfId="19271" xr:uid="{00000000-0005-0000-0000-00009E6C0000}"/>
    <cellStyle name="Output 4 9 2 3" xfId="5193" xr:uid="{00000000-0005-0000-0000-00009F6C0000}"/>
    <cellStyle name="Output 4 9 2 3 2" xfId="23653" xr:uid="{00000000-0005-0000-0000-0000A06C0000}"/>
    <cellStyle name="Output 4 9 2 3 3" xfId="18807" xr:uid="{00000000-0005-0000-0000-0000A16C0000}"/>
    <cellStyle name="Output 4 9 2 4" xfId="7182" xr:uid="{00000000-0005-0000-0000-0000A26C0000}"/>
    <cellStyle name="Output 4 9 2 4 2" xfId="25613" xr:uid="{00000000-0005-0000-0000-0000A36C0000}"/>
    <cellStyle name="Output 4 9 2 4 3" xfId="20539" xr:uid="{00000000-0005-0000-0000-0000A46C0000}"/>
    <cellStyle name="Output 4 9 2 5" xfId="7719" xr:uid="{00000000-0005-0000-0000-0000A56C0000}"/>
    <cellStyle name="Output 4 9 2 5 2" xfId="26149" xr:uid="{00000000-0005-0000-0000-0000A66C0000}"/>
    <cellStyle name="Output 4 9 2 5 3" xfId="21074" xr:uid="{00000000-0005-0000-0000-0000A76C0000}"/>
    <cellStyle name="Output 4 9 2 6" xfId="8093" xr:uid="{00000000-0005-0000-0000-0000A86C0000}"/>
    <cellStyle name="Output 4 9 2 6 2" xfId="26523" xr:uid="{00000000-0005-0000-0000-0000A96C0000}"/>
    <cellStyle name="Output 4 9 2 6 3" xfId="21447" xr:uid="{00000000-0005-0000-0000-0000AA6C0000}"/>
    <cellStyle name="Output 4 9 2 7" xfId="8817" xr:uid="{00000000-0005-0000-0000-0000AB6C0000}"/>
    <cellStyle name="Output 4 9 2 7 2" xfId="27237" xr:uid="{00000000-0005-0000-0000-0000AC6C0000}"/>
    <cellStyle name="Output 4 9 2 7 3" xfId="22108" xr:uid="{00000000-0005-0000-0000-0000AD6C0000}"/>
    <cellStyle name="Output 4 9 2 8" xfId="4309" xr:uid="{00000000-0005-0000-0000-0000AE6C0000}"/>
    <cellStyle name="Output 4 9 2 8 2" xfId="22773" xr:uid="{00000000-0005-0000-0000-0000AF6C0000}"/>
    <cellStyle name="Output 4 9 2 8 3" xfId="17991" xr:uid="{00000000-0005-0000-0000-0000B06C0000}"/>
    <cellStyle name="Output 4 9 2 9" xfId="16015" xr:uid="{00000000-0005-0000-0000-0000B16C0000}"/>
    <cellStyle name="Output 4 9 2 9 2" xfId="37356" xr:uid="{00000000-0005-0000-0000-0000B26C0000}"/>
    <cellStyle name="Output 4 9 2 9 3" xfId="17320" xr:uid="{00000000-0005-0000-0000-0000B36C0000}"/>
    <cellStyle name="Output 4 9 3" xfId="5334" xr:uid="{00000000-0005-0000-0000-0000B46C0000}"/>
    <cellStyle name="Output 4 9 3 2" xfId="11187" xr:uid="{00000000-0005-0000-0000-0000B56C0000}"/>
    <cellStyle name="Output 4 9 3 2 2" xfId="34004" xr:uid="{00000000-0005-0000-0000-0000B66C0000}"/>
    <cellStyle name="Output 4 9 3 2 3" xfId="29565" xr:uid="{00000000-0005-0000-0000-0000B76C0000}"/>
    <cellStyle name="Output 4 9 3 2 4" xfId="23794" xr:uid="{00000000-0005-0000-0000-0000B86C0000}"/>
    <cellStyle name="Output 4 9 3 3" xfId="32084" xr:uid="{00000000-0005-0000-0000-0000B96C0000}"/>
    <cellStyle name="Output 4 9 3 4" xfId="27765" xr:uid="{00000000-0005-0000-0000-0000BA6C0000}"/>
    <cellStyle name="Output 4 9 3 5" xfId="18937" xr:uid="{00000000-0005-0000-0000-0000BB6C0000}"/>
    <cellStyle name="Output 4 9 4" xfId="4923" xr:uid="{00000000-0005-0000-0000-0000BC6C0000}"/>
    <cellStyle name="Output 4 9 4 2" xfId="10592" xr:uid="{00000000-0005-0000-0000-0000BD6C0000}"/>
    <cellStyle name="Output 4 9 4 2 2" xfId="33726" xr:uid="{00000000-0005-0000-0000-0000BE6C0000}"/>
    <cellStyle name="Output 4 9 4 2 3" xfId="23383" xr:uid="{00000000-0005-0000-0000-0000BF6C0000}"/>
    <cellStyle name="Output 4 9 4 3" xfId="31874" xr:uid="{00000000-0005-0000-0000-0000C06C0000}"/>
    <cellStyle name="Output 4 9 4 4" xfId="29323" xr:uid="{00000000-0005-0000-0000-0000C16C0000}"/>
    <cellStyle name="Output 4 9 4 5" xfId="18537" xr:uid="{00000000-0005-0000-0000-0000C26C0000}"/>
    <cellStyle name="Output 4 9 5" xfId="6278" xr:uid="{00000000-0005-0000-0000-0000C36C0000}"/>
    <cellStyle name="Output 4 9 5 2" xfId="10044" xr:uid="{00000000-0005-0000-0000-0000C46C0000}"/>
    <cellStyle name="Output 4 9 5 2 2" xfId="33350" xr:uid="{00000000-0005-0000-0000-0000C56C0000}"/>
    <cellStyle name="Output 4 9 5 2 3" xfId="24718" xr:uid="{00000000-0005-0000-0000-0000C66C0000}"/>
    <cellStyle name="Output 4 9 5 3" xfId="32590" xr:uid="{00000000-0005-0000-0000-0000C76C0000}"/>
    <cellStyle name="Output 4 9 5 4" xfId="19827" xr:uid="{00000000-0005-0000-0000-0000C86C0000}"/>
    <cellStyle name="Output 4 9 6" xfId="7396" xr:uid="{00000000-0005-0000-0000-0000C96C0000}"/>
    <cellStyle name="Output 4 9 6 2" xfId="25827" xr:uid="{00000000-0005-0000-0000-0000CA6C0000}"/>
    <cellStyle name="Output 4 9 6 3" xfId="20752" xr:uid="{00000000-0005-0000-0000-0000CB6C0000}"/>
    <cellStyle name="Output 4 9 7" xfId="7017" xr:uid="{00000000-0005-0000-0000-0000CC6C0000}"/>
    <cellStyle name="Output 4 9 7 2" xfId="25455" xr:uid="{00000000-0005-0000-0000-0000CD6C0000}"/>
    <cellStyle name="Output 4 9 7 3" xfId="20392" xr:uid="{00000000-0005-0000-0000-0000CE6C0000}"/>
    <cellStyle name="Output 4 9 8" xfId="8496" xr:uid="{00000000-0005-0000-0000-0000CF6C0000}"/>
    <cellStyle name="Output 4 9 8 2" xfId="26919" xr:uid="{00000000-0005-0000-0000-0000D06C0000}"/>
    <cellStyle name="Output 4 9 8 3" xfId="21787" xr:uid="{00000000-0005-0000-0000-0000D16C0000}"/>
    <cellStyle name="Output 4 9 9" xfId="3988" xr:uid="{00000000-0005-0000-0000-0000D26C0000}"/>
    <cellStyle name="Output 4 9 9 2" xfId="22455" xr:uid="{00000000-0005-0000-0000-0000D36C0000}"/>
    <cellStyle name="Output 4 9 9 3" xfId="17670" xr:uid="{00000000-0005-0000-0000-0000D46C0000}"/>
    <cellStyle name="Output 40" xfId="40070" xr:uid="{00000000-0005-0000-0000-0000A90E0000}"/>
    <cellStyle name="Output 41" xfId="40071" xr:uid="{00000000-0005-0000-0000-0000AA0E0000}"/>
    <cellStyle name="Output 42" xfId="40072" xr:uid="{00000000-0005-0000-0000-0000AB0E0000}"/>
    <cellStyle name="Output 43" xfId="40073" xr:uid="{00000000-0005-0000-0000-0000AC0E0000}"/>
    <cellStyle name="Output 5" xfId="3073" xr:uid="{00000000-0005-0000-0000-0000D56C0000}"/>
    <cellStyle name="Output 5 10" xfId="3074" xr:uid="{00000000-0005-0000-0000-0000D66C0000}"/>
    <cellStyle name="Output 5 10 10" xfId="14926" xr:uid="{00000000-0005-0000-0000-0000D76C0000}"/>
    <cellStyle name="Output 5 10 10 2" xfId="36374" xr:uid="{00000000-0005-0000-0000-0000D86C0000}"/>
    <cellStyle name="Output 5 10 10 3" xfId="16985" xr:uid="{00000000-0005-0000-0000-0000D96C0000}"/>
    <cellStyle name="Output 5 10 11" xfId="14748" xr:uid="{00000000-0005-0000-0000-0000DA6C0000}"/>
    <cellStyle name="Output 5 10 11 2" xfId="36225" xr:uid="{00000000-0005-0000-0000-0000DB6C0000}"/>
    <cellStyle name="Output 5 10 12" xfId="27415" xr:uid="{00000000-0005-0000-0000-0000DC6C0000}"/>
    <cellStyle name="Output 5 10 2" xfId="3582" xr:uid="{00000000-0005-0000-0000-0000DD6C0000}"/>
    <cellStyle name="Output 5 10 2 10" xfId="14958" xr:uid="{00000000-0005-0000-0000-0000DE6C0000}"/>
    <cellStyle name="Output 5 10 2 10 2" xfId="36391" xr:uid="{00000000-0005-0000-0000-0000DF6C0000}"/>
    <cellStyle name="Output 5 10 2 11" xfId="27416" xr:uid="{00000000-0005-0000-0000-0000E06C0000}"/>
    <cellStyle name="Output 5 10 2 2" xfId="5709" xr:uid="{00000000-0005-0000-0000-0000E16C0000}"/>
    <cellStyle name="Output 5 10 2 2 2" xfId="10596" xr:uid="{00000000-0005-0000-0000-0000E26C0000}"/>
    <cellStyle name="Output 5 10 2 2 2 2" xfId="33730" xr:uid="{00000000-0005-0000-0000-0000E36C0000}"/>
    <cellStyle name="Output 5 10 2 2 2 3" xfId="24162" xr:uid="{00000000-0005-0000-0000-0000E46C0000}"/>
    <cellStyle name="Output 5 10 2 2 3" xfId="32298" xr:uid="{00000000-0005-0000-0000-0000E56C0000}"/>
    <cellStyle name="Output 5 10 2 2 4" xfId="29327" xr:uid="{00000000-0005-0000-0000-0000E66C0000}"/>
    <cellStyle name="Output 5 10 2 2 5" xfId="19273" xr:uid="{00000000-0005-0000-0000-0000E76C0000}"/>
    <cellStyle name="Output 5 10 2 3" xfId="5195" xr:uid="{00000000-0005-0000-0000-0000E86C0000}"/>
    <cellStyle name="Output 5 10 2 3 2" xfId="23655" xr:uid="{00000000-0005-0000-0000-0000E96C0000}"/>
    <cellStyle name="Output 5 10 2 3 3" xfId="18809" xr:uid="{00000000-0005-0000-0000-0000EA6C0000}"/>
    <cellStyle name="Output 5 10 2 4" xfId="7184" xr:uid="{00000000-0005-0000-0000-0000EB6C0000}"/>
    <cellStyle name="Output 5 10 2 4 2" xfId="25615" xr:uid="{00000000-0005-0000-0000-0000EC6C0000}"/>
    <cellStyle name="Output 5 10 2 4 3" xfId="20541" xr:uid="{00000000-0005-0000-0000-0000ED6C0000}"/>
    <cellStyle name="Output 5 10 2 5" xfId="7721" xr:uid="{00000000-0005-0000-0000-0000EE6C0000}"/>
    <cellStyle name="Output 5 10 2 5 2" xfId="26151" xr:uid="{00000000-0005-0000-0000-0000EF6C0000}"/>
    <cellStyle name="Output 5 10 2 5 3" xfId="21076" xr:uid="{00000000-0005-0000-0000-0000F06C0000}"/>
    <cellStyle name="Output 5 10 2 6" xfId="8095" xr:uid="{00000000-0005-0000-0000-0000F16C0000}"/>
    <cellStyle name="Output 5 10 2 6 2" xfId="26525" xr:uid="{00000000-0005-0000-0000-0000F26C0000}"/>
    <cellStyle name="Output 5 10 2 6 3" xfId="21449" xr:uid="{00000000-0005-0000-0000-0000F36C0000}"/>
    <cellStyle name="Output 5 10 2 7" xfId="8819" xr:uid="{00000000-0005-0000-0000-0000F46C0000}"/>
    <cellStyle name="Output 5 10 2 7 2" xfId="27239" xr:uid="{00000000-0005-0000-0000-0000F56C0000}"/>
    <cellStyle name="Output 5 10 2 7 3" xfId="22110" xr:uid="{00000000-0005-0000-0000-0000F66C0000}"/>
    <cellStyle name="Output 5 10 2 8" xfId="4311" xr:uid="{00000000-0005-0000-0000-0000F76C0000}"/>
    <cellStyle name="Output 5 10 2 8 2" xfId="22775" xr:uid="{00000000-0005-0000-0000-0000F86C0000}"/>
    <cellStyle name="Output 5 10 2 8 3" xfId="17993" xr:uid="{00000000-0005-0000-0000-0000F96C0000}"/>
    <cellStyle name="Output 5 10 2 9" xfId="16141" xr:uid="{00000000-0005-0000-0000-0000FA6C0000}"/>
    <cellStyle name="Output 5 10 2 9 2" xfId="37462" xr:uid="{00000000-0005-0000-0000-0000FB6C0000}"/>
    <cellStyle name="Output 5 10 2 9 3" xfId="17322" xr:uid="{00000000-0005-0000-0000-0000FC6C0000}"/>
    <cellStyle name="Output 5 10 3" xfId="5336" xr:uid="{00000000-0005-0000-0000-0000FD6C0000}"/>
    <cellStyle name="Output 5 10 3 2" xfId="11189" xr:uid="{00000000-0005-0000-0000-0000FE6C0000}"/>
    <cellStyle name="Output 5 10 3 2 2" xfId="34006" xr:uid="{00000000-0005-0000-0000-0000FF6C0000}"/>
    <cellStyle name="Output 5 10 3 2 3" xfId="29567" xr:uid="{00000000-0005-0000-0000-0000006D0000}"/>
    <cellStyle name="Output 5 10 3 2 4" xfId="23796" xr:uid="{00000000-0005-0000-0000-0000016D0000}"/>
    <cellStyle name="Output 5 10 3 3" xfId="32086" xr:uid="{00000000-0005-0000-0000-0000026D0000}"/>
    <cellStyle name="Output 5 10 3 4" xfId="27767" xr:uid="{00000000-0005-0000-0000-0000036D0000}"/>
    <cellStyle name="Output 5 10 3 5" xfId="18939" xr:uid="{00000000-0005-0000-0000-0000046D0000}"/>
    <cellStyle name="Output 5 10 4" xfId="4925" xr:uid="{00000000-0005-0000-0000-0000056D0000}"/>
    <cellStyle name="Output 5 10 4 2" xfId="10595" xr:uid="{00000000-0005-0000-0000-0000066D0000}"/>
    <cellStyle name="Output 5 10 4 2 2" xfId="33729" xr:uid="{00000000-0005-0000-0000-0000076D0000}"/>
    <cellStyle name="Output 5 10 4 2 3" xfId="23385" xr:uid="{00000000-0005-0000-0000-0000086D0000}"/>
    <cellStyle name="Output 5 10 4 3" xfId="31876" xr:uid="{00000000-0005-0000-0000-0000096D0000}"/>
    <cellStyle name="Output 5 10 4 4" xfId="29326" xr:uid="{00000000-0005-0000-0000-00000A6D0000}"/>
    <cellStyle name="Output 5 10 4 5" xfId="18539" xr:uid="{00000000-0005-0000-0000-00000B6D0000}"/>
    <cellStyle name="Output 5 10 5" xfId="6276" xr:uid="{00000000-0005-0000-0000-00000C6D0000}"/>
    <cellStyle name="Output 5 10 5 2" xfId="10046" xr:uid="{00000000-0005-0000-0000-00000D6D0000}"/>
    <cellStyle name="Output 5 10 5 2 2" xfId="33352" xr:uid="{00000000-0005-0000-0000-00000E6D0000}"/>
    <cellStyle name="Output 5 10 5 2 3" xfId="24716" xr:uid="{00000000-0005-0000-0000-00000F6D0000}"/>
    <cellStyle name="Output 5 10 5 3" xfId="32588" xr:uid="{00000000-0005-0000-0000-0000106D0000}"/>
    <cellStyle name="Output 5 10 5 4" xfId="19825" xr:uid="{00000000-0005-0000-0000-0000116D0000}"/>
    <cellStyle name="Output 5 10 6" xfId="7398" xr:uid="{00000000-0005-0000-0000-0000126D0000}"/>
    <cellStyle name="Output 5 10 6 2" xfId="25829" xr:uid="{00000000-0005-0000-0000-0000136D0000}"/>
    <cellStyle name="Output 5 10 6 3" xfId="20754" xr:uid="{00000000-0005-0000-0000-0000146D0000}"/>
    <cellStyle name="Output 5 10 7" xfId="7131" xr:uid="{00000000-0005-0000-0000-0000156D0000}"/>
    <cellStyle name="Output 5 10 7 2" xfId="25565" xr:uid="{00000000-0005-0000-0000-0000166D0000}"/>
    <cellStyle name="Output 5 10 7 3" xfId="20490" xr:uid="{00000000-0005-0000-0000-0000176D0000}"/>
    <cellStyle name="Output 5 10 8" xfId="8498" xr:uid="{00000000-0005-0000-0000-0000186D0000}"/>
    <cellStyle name="Output 5 10 8 2" xfId="26921" xr:uid="{00000000-0005-0000-0000-0000196D0000}"/>
    <cellStyle name="Output 5 10 8 3" xfId="21789" xr:uid="{00000000-0005-0000-0000-00001A6D0000}"/>
    <cellStyle name="Output 5 10 9" xfId="3990" xr:uid="{00000000-0005-0000-0000-00001B6D0000}"/>
    <cellStyle name="Output 5 10 9 2" xfId="22457" xr:uid="{00000000-0005-0000-0000-00001C6D0000}"/>
    <cellStyle name="Output 5 10 9 3" xfId="17672" xr:uid="{00000000-0005-0000-0000-00001D6D0000}"/>
    <cellStyle name="Output 5 11" xfId="3075" xr:uid="{00000000-0005-0000-0000-00001E6D0000}"/>
    <cellStyle name="Output 5 11 10" xfId="16106" xr:uid="{00000000-0005-0000-0000-00001F6D0000}"/>
    <cellStyle name="Output 5 11 10 2" xfId="37428" xr:uid="{00000000-0005-0000-0000-0000206D0000}"/>
    <cellStyle name="Output 5 11 10 3" xfId="16986" xr:uid="{00000000-0005-0000-0000-0000216D0000}"/>
    <cellStyle name="Output 5 11 11" xfId="15461" xr:uid="{00000000-0005-0000-0000-0000226D0000}"/>
    <cellStyle name="Output 5 11 11 2" xfId="36842" xr:uid="{00000000-0005-0000-0000-0000236D0000}"/>
    <cellStyle name="Output 5 11 12" xfId="27417" xr:uid="{00000000-0005-0000-0000-0000246D0000}"/>
    <cellStyle name="Output 5 11 2" xfId="3583" xr:uid="{00000000-0005-0000-0000-0000256D0000}"/>
    <cellStyle name="Output 5 11 2 10" xfId="16585" xr:uid="{00000000-0005-0000-0000-0000266D0000}"/>
    <cellStyle name="Output 5 11 2 10 2" xfId="37795" xr:uid="{00000000-0005-0000-0000-0000276D0000}"/>
    <cellStyle name="Output 5 11 2 11" xfId="27418" xr:uid="{00000000-0005-0000-0000-0000286D0000}"/>
    <cellStyle name="Output 5 11 2 2" xfId="5710" xr:uid="{00000000-0005-0000-0000-0000296D0000}"/>
    <cellStyle name="Output 5 11 2 2 2" xfId="10598" xr:uid="{00000000-0005-0000-0000-00002A6D0000}"/>
    <cellStyle name="Output 5 11 2 2 2 2" xfId="33732" xr:uid="{00000000-0005-0000-0000-00002B6D0000}"/>
    <cellStyle name="Output 5 11 2 2 2 3" xfId="24163" xr:uid="{00000000-0005-0000-0000-00002C6D0000}"/>
    <cellStyle name="Output 5 11 2 2 3" xfId="32299" xr:uid="{00000000-0005-0000-0000-00002D6D0000}"/>
    <cellStyle name="Output 5 11 2 2 4" xfId="29329" xr:uid="{00000000-0005-0000-0000-00002E6D0000}"/>
    <cellStyle name="Output 5 11 2 2 5" xfId="19274" xr:uid="{00000000-0005-0000-0000-00002F6D0000}"/>
    <cellStyle name="Output 5 11 2 3" xfId="5196" xr:uid="{00000000-0005-0000-0000-0000306D0000}"/>
    <cellStyle name="Output 5 11 2 3 2" xfId="23656" xr:uid="{00000000-0005-0000-0000-0000316D0000}"/>
    <cellStyle name="Output 5 11 2 3 3" xfId="18810" xr:uid="{00000000-0005-0000-0000-0000326D0000}"/>
    <cellStyle name="Output 5 11 2 4" xfId="7185" xr:uid="{00000000-0005-0000-0000-0000336D0000}"/>
    <cellStyle name="Output 5 11 2 4 2" xfId="25616" xr:uid="{00000000-0005-0000-0000-0000346D0000}"/>
    <cellStyle name="Output 5 11 2 4 3" xfId="20542" xr:uid="{00000000-0005-0000-0000-0000356D0000}"/>
    <cellStyle name="Output 5 11 2 5" xfId="7722" xr:uid="{00000000-0005-0000-0000-0000366D0000}"/>
    <cellStyle name="Output 5 11 2 5 2" xfId="26152" xr:uid="{00000000-0005-0000-0000-0000376D0000}"/>
    <cellStyle name="Output 5 11 2 5 3" xfId="21077" xr:uid="{00000000-0005-0000-0000-0000386D0000}"/>
    <cellStyle name="Output 5 11 2 6" xfId="8096" xr:uid="{00000000-0005-0000-0000-0000396D0000}"/>
    <cellStyle name="Output 5 11 2 6 2" xfId="26526" xr:uid="{00000000-0005-0000-0000-00003A6D0000}"/>
    <cellStyle name="Output 5 11 2 6 3" xfId="21450" xr:uid="{00000000-0005-0000-0000-00003B6D0000}"/>
    <cellStyle name="Output 5 11 2 7" xfId="8820" xr:uid="{00000000-0005-0000-0000-00003C6D0000}"/>
    <cellStyle name="Output 5 11 2 7 2" xfId="27240" xr:uid="{00000000-0005-0000-0000-00003D6D0000}"/>
    <cellStyle name="Output 5 11 2 7 3" xfId="22111" xr:uid="{00000000-0005-0000-0000-00003E6D0000}"/>
    <cellStyle name="Output 5 11 2 8" xfId="4312" xr:uid="{00000000-0005-0000-0000-00003F6D0000}"/>
    <cellStyle name="Output 5 11 2 8 2" xfId="22776" xr:uid="{00000000-0005-0000-0000-0000406D0000}"/>
    <cellStyle name="Output 5 11 2 8 3" xfId="17994" xr:uid="{00000000-0005-0000-0000-0000416D0000}"/>
    <cellStyle name="Output 5 11 2 9" xfId="15682" xr:uid="{00000000-0005-0000-0000-0000426D0000}"/>
    <cellStyle name="Output 5 11 2 9 2" xfId="37055" xr:uid="{00000000-0005-0000-0000-0000436D0000}"/>
    <cellStyle name="Output 5 11 2 9 3" xfId="17323" xr:uid="{00000000-0005-0000-0000-0000446D0000}"/>
    <cellStyle name="Output 5 11 3" xfId="5337" xr:uid="{00000000-0005-0000-0000-0000456D0000}"/>
    <cellStyle name="Output 5 11 3 2" xfId="11190" xr:uid="{00000000-0005-0000-0000-0000466D0000}"/>
    <cellStyle name="Output 5 11 3 2 2" xfId="34007" xr:uid="{00000000-0005-0000-0000-0000476D0000}"/>
    <cellStyle name="Output 5 11 3 2 3" xfId="29568" xr:uid="{00000000-0005-0000-0000-0000486D0000}"/>
    <cellStyle name="Output 5 11 3 2 4" xfId="23797" xr:uid="{00000000-0005-0000-0000-0000496D0000}"/>
    <cellStyle name="Output 5 11 3 3" xfId="32087" xr:uid="{00000000-0005-0000-0000-00004A6D0000}"/>
    <cellStyle name="Output 5 11 3 4" xfId="27768" xr:uid="{00000000-0005-0000-0000-00004B6D0000}"/>
    <cellStyle name="Output 5 11 3 5" xfId="18940" xr:uid="{00000000-0005-0000-0000-00004C6D0000}"/>
    <cellStyle name="Output 5 11 4" xfId="4926" xr:uid="{00000000-0005-0000-0000-00004D6D0000}"/>
    <cellStyle name="Output 5 11 4 2" xfId="10597" xr:uid="{00000000-0005-0000-0000-00004E6D0000}"/>
    <cellStyle name="Output 5 11 4 2 2" xfId="33731" xr:uid="{00000000-0005-0000-0000-00004F6D0000}"/>
    <cellStyle name="Output 5 11 4 2 3" xfId="23386" xr:uid="{00000000-0005-0000-0000-0000506D0000}"/>
    <cellStyle name="Output 5 11 4 3" xfId="31877" xr:uid="{00000000-0005-0000-0000-0000516D0000}"/>
    <cellStyle name="Output 5 11 4 4" xfId="29328" xr:uid="{00000000-0005-0000-0000-0000526D0000}"/>
    <cellStyle name="Output 5 11 4 5" xfId="18540" xr:uid="{00000000-0005-0000-0000-0000536D0000}"/>
    <cellStyle name="Output 5 11 5" xfId="6275" xr:uid="{00000000-0005-0000-0000-0000546D0000}"/>
    <cellStyle name="Output 5 11 5 2" xfId="10047" xr:uid="{00000000-0005-0000-0000-0000556D0000}"/>
    <cellStyle name="Output 5 11 5 2 2" xfId="33353" xr:uid="{00000000-0005-0000-0000-0000566D0000}"/>
    <cellStyle name="Output 5 11 5 2 3" xfId="24715" xr:uid="{00000000-0005-0000-0000-0000576D0000}"/>
    <cellStyle name="Output 5 11 5 3" xfId="32587" xr:uid="{00000000-0005-0000-0000-0000586D0000}"/>
    <cellStyle name="Output 5 11 5 4" xfId="19824" xr:uid="{00000000-0005-0000-0000-0000596D0000}"/>
    <cellStyle name="Output 5 11 6" xfId="7399" xr:uid="{00000000-0005-0000-0000-00005A6D0000}"/>
    <cellStyle name="Output 5 11 6 2" xfId="25830" xr:uid="{00000000-0005-0000-0000-00005B6D0000}"/>
    <cellStyle name="Output 5 11 6 3" xfId="20755" xr:uid="{00000000-0005-0000-0000-00005C6D0000}"/>
    <cellStyle name="Output 5 11 7" xfId="7282" xr:uid="{00000000-0005-0000-0000-00005D6D0000}"/>
    <cellStyle name="Output 5 11 7 2" xfId="25713" xr:uid="{00000000-0005-0000-0000-00005E6D0000}"/>
    <cellStyle name="Output 5 11 7 3" xfId="20639" xr:uid="{00000000-0005-0000-0000-00005F6D0000}"/>
    <cellStyle name="Output 5 11 8" xfId="8499" xr:uid="{00000000-0005-0000-0000-0000606D0000}"/>
    <cellStyle name="Output 5 11 8 2" xfId="26922" xr:uid="{00000000-0005-0000-0000-0000616D0000}"/>
    <cellStyle name="Output 5 11 8 3" xfId="21790" xr:uid="{00000000-0005-0000-0000-0000626D0000}"/>
    <cellStyle name="Output 5 11 9" xfId="3991" xr:uid="{00000000-0005-0000-0000-0000636D0000}"/>
    <cellStyle name="Output 5 11 9 2" xfId="22458" xr:uid="{00000000-0005-0000-0000-0000646D0000}"/>
    <cellStyle name="Output 5 11 9 3" xfId="17673" xr:uid="{00000000-0005-0000-0000-0000656D0000}"/>
    <cellStyle name="Output 5 12" xfId="3581" xr:uid="{00000000-0005-0000-0000-0000666D0000}"/>
    <cellStyle name="Output 5 12 10" xfId="14444" xr:uid="{00000000-0005-0000-0000-0000676D0000}"/>
    <cellStyle name="Output 5 12 10 2" xfId="35972" xr:uid="{00000000-0005-0000-0000-0000686D0000}"/>
    <cellStyle name="Output 5 12 11" xfId="27419" xr:uid="{00000000-0005-0000-0000-0000696D0000}"/>
    <cellStyle name="Output 5 12 2" xfId="5708" xr:uid="{00000000-0005-0000-0000-00006A6D0000}"/>
    <cellStyle name="Output 5 12 2 2" xfId="10599" xr:uid="{00000000-0005-0000-0000-00006B6D0000}"/>
    <cellStyle name="Output 5 12 2 2 2" xfId="33733" xr:uid="{00000000-0005-0000-0000-00006C6D0000}"/>
    <cellStyle name="Output 5 12 2 2 3" xfId="24161" xr:uid="{00000000-0005-0000-0000-00006D6D0000}"/>
    <cellStyle name="Output 5 12 2 3" xfId="32297" xr:uid="{00000000-0005-0000-0000-00006E6D0000}"/>
    <cellStyle name="Output 5 12 2 4" xfId="29330" xr:uid="{00000000-0005-0000-0000-00006F6D0000}"/>
    <cellStyle name="Output 5 12 2 5" xfId="19272" xr:uid="{00000000-0005-0000-0000-0000706D0000}"/>
    <cellStyle name="Output 5 12 3" xfId="5194" xr:uid="{00000000-0005-0000-0000-0000716D0000}"/>
    <cellStyle name="Output 5 12 3 2" xfId="23654" xr:uid="{00000000-0005-0000-0000-0000726D0000}"/>
    <cellStyle name="Output 5 12 3 3" xfId="18808" xr:uid="{00000000-0005-0000-0000-0000736D0000}"/>
    <cellStyle name="Output 5 12 4" xfId="7183" xr:uid="{00000000-0005-0000-0000-0000746D0000}"/>
    <cellStyle name="Output 5 12 4 2" xfId="25614" xr:uid="{00000000-0005-0000-0000-0000756D0000}"/>
    <cellStyle name="Output 5 12 4 3" xfId="20540" xr:uid="{00000000-0005-0000-0000-0000766D0000}"/>
    <cellStyle name="Output 5 12 5" xfId="7720" xr:uid="{00000000-0005-0000-0000-0000776D0000}"/>
    <cellStyle name="Output 5 12 5 2" xfId="26150" xr:uid="{00000000-0005-0000-0000-0000786D0000}"/>
    <cellStyle name="Output 5 12 5 3" xfId="21075" xr:uid="{00000000-0005-0000-0000-0000796D0000}"/>
    <cellStyle name="Output 5 12 6" xfId="8094" xr:uid="{00000000-0005-0000-0000-00007A6D0000}"/>
    <cellStyle name="Output 5 12 6 2" xfId="26524" xr:uid="{00000000-0005-0000-0000-00007B6D0000}"/>
    <cellStyle name="Output 5 12 6 3" xfId="21448" xr:uid="{00000000-0005-0000-0000-00007C6D0000}"/>
    <cellStyle name="Output 5 12 7" xfId="8818" xr:uid="{00000000-0005-0000-0000-00007D6D0000}"/>
    <cellStyle name="Output 5 12 7 2" xfId="27238" xr:uid="{00000000-0005-0000-0000-00007E6D0000}"/>
    <cellStyle name="Output 5 12 7 3" xfId="22109" xr:uid="{00000000-0005-0000-0000-00007F6D0000}"/>
    <cellStyle name="Output 5 12 8" xfId="4310" xr:uid="{00000000-0005-0000-0000-0000806D0000}"/>
    <cellStyle name="Output 5 12 8 2" xfId="22774" xr:uid="{00000000-0005-0000-0000-0000816D0000}"/>
    <cellStyle name="Output 5 12 8 3" xfId="17992" xr:uid="{00000000-0005-0000-0000-0000826D0000}"/>
    <cellStyle name="Output 5 12 9" xfId="15651" xr:uid="{00000000-0005-0000-0000-0000836D0000}"/>
    <cellStyle name="Output 5 12 9 2" xfId="37026" xr:uid="{00000000-0005-0000-0000-0000846D0000}"/>
    <cellStyle name="Output 5 12 9 3" xfId="17321" xr:uid="{00000000-0005-0000-0000-0000856D0000}"/>
    <cellStyle name="Output 5 13" xfId="5335" xr:uid="{00000000-0005-0000-0000-0000866D0000}"/>
    <cellStyle name="Output 5 13 2" xfId="11188" xr:uid="{00000000-0005-0000-0000-0000876D0000}"/>
    <cellStyle name="Output 5 13 2 2" xfId="34005" xr:uid="{00000000-0005-0000-0000-0000886D0000}"/>
    <cellStyle name="Output 5 13 2 3" xfId="29566" xr:uid="{00000000-0005-0000-0000-0000896D0000}"/>
    <cellStyle name="Output 5 13 2 4" xfId="23795" xr:uid="{00000000-0005-0000-0000-00008A6D0000}"/>
    <cellStyle name="Output 5 13 3" xfId="32085" xr:uid="{00000000-0005-0000-0000-00008B6D0000}"/>
    <cellStyle name="Output 5 13 4" xfId="27766" xr:uid="{00000000-0005-0000-0000-00008C6D0000}"/>
    <cellStyle name="Output 5 13 5" xfId="18938" xr:uid="{00000000-0005-0000-0000-00008D6D0000}"/>
    <cellStyle name="Output 5 14" xfId="4924" xr:uid="{00000000-0005-0000-0000-00008E6D0000}"/>
    <cellStyle name="Output 5 14 2" xfId="10594" xr:uid="{00000000-0005-0000-0000-00008F6D0000}"/>
    <cellStyle name="Output 5 14 2 2" xfId="33728" xr:uid="{00000000-0005-0000-0000-0000906D0000}"/>
    <cellStyle name="Output 5 14 2 3" xfId="23384" xr:uid="{00000000-0005-0000-0000-0000916D0000}"/>
    <cellStyle name="Output 5 14 3" xfId="31875" xr:uid="{00000000-0005-0000-0000-0000926D0000}"/>
    <cellStyle name="Output 5 14 4" xfId="29325" xr:uid="{00000000-0005-0000-0000-0000936D0000}"/>
    <cellStyle name="Output 5 14 5" xfId="18538" xr:uid="{00000000-0005-0000-0000-0000946D0000}"/>
    <cellStyle name="Output 5 15" xfId="6277" xr:uid="{00000000-0005-0000-0000-0000956D0000}"/>
    <cellStyle name="Output 5 15 2" xfId="10045" xr:uid="{00000000-0005-0000-0000-0000966D0000}"/>
    <cellStyle name="Output 5 15 2 2" xfId="33351" xr:uid="{00000000-0005-0000-0000-0000976D0000}"/>
    <cellStyle name="Output 5 15 2 3" xfId="24717" xr:uid="{00000000-0005-0000-0000-0000986D0000}"/>
    <cellStyle name="Output 5 15 3" xfId="32589" xr:uid="{00000000-0005-0000-0000-0000996D0000}"/>
    <cellStyle name="Output 5 15 4" xfId="19826" xr:uid="{00000000-0005-0000-0000-00009A6D0000}"/>
    <cellStyle name="Output 5 16" xfId="7397" xr:uid="{00000000-0005-0000-0000-00009B6D0000}"/>
    <cellStyle name="Output 5 16 2" xfId="25828" xr:uid="{00000000-0005-0000-0000-00009C6D0000}"/>
    <cellStyle name="Output 5 16 3" xfId="20753" xr:uid="{00000000-0005-0000-0000-00009D6D0000}"/>
    <cellStyle name="Output 5 17" xfId="7044" xr:uid="{00000000-0005-0000-0000-00009E6D0000}"/>
    <cellStyle name="Output 5 17 2" xfId="25482" xr:uid="{00000000-0005-0000-0000-00009F6D0000}"/>
    <cellStyle name="Output 5 17 3" xfId="20419" xr:uid="{00000000-0005-0000-0000-0000A06D0000}"/>
    <cellStyle name="Output 5 18" xfId="8497" xr:uid="{00000000-0005-0000-0000-0000A16D0000}"/>
    <cellStyle name="Output 5 18 2" xfId="26920" xr:uid="{00000000-0005-0000-0000-0000A26D0000}"/>
    <cellStyle name="Output 5 18 3" xfId="21788" xr:uid="{00000000-0005-0000-0000-0000A36D0000}"/>
    <cellStyle name="Output 5 19" xfId="3989" xr:uid="{00000000-0005-0000-0000-0000A46D0000}"/>
    <cellStyle name="Output 5 19 2" xfId="22456" xr:uid="{00000000-0005-0000-0000-0000A56D0000}"/>
    <cellStyle name="Output 5 19 3" xfId="17671" xr:uid="{00000000-0005-0000-0000-0000A66D0000}"/>
    <cellStyle name="Output 5 2" xfId="3076" xr:uid="{00000000-0005-0000-0000-0000A76D0000}"/>
    <cellStyle name="Output 5 2 10" xfId="15628" xr:uid="{00000000-0005-0000-0000-0000A86D0000}"/>
    <cellStyle name="Output 5 2 10 2" xfId="37003" xr:uid="{00000000-0005-0000-0000-0000A96D0000}"/>
    <cellStyle name="Output 5 2 10 3" xfId="16987" xr:uid="{00000000-0005-0000-0000-0000AA6D0000}"/>
    <cellStyle name="Output 5 2 11" xfId="14551" xr:uid="{00000000-0005-0000-0000-0000AB6D0000}"/>
    <cellStyle name="Output 5 2 11 2" xfId="36074" xr:uid="{00000000-0005-0000-0000-0000AC6D0000}"/>
    <cellStyle name="Output 5 2 12" xfId="27420" xr:uid="{00000000-0005-0000-0000-0000AD6D0000}"/>
    <cellStyle name="Output 5 2 13" xfId="40075" xr:uid="{00000000-0005-0000-0000-0000AE0E0000}"/>
    <cellStyle name="Output 5 2 2" xfId="3584" xr:uid="{00000000-0005-0000-0000-0000AE6D0000}"/>
    <cellStyle name="Output 5 2 2 10" xfId="15015" xr:uid="{00000000-0005-0000-0000-0000AF6D0000}"/>
    <cellStyle name="Output 5 2 2 10 2" xfId="36440" xr:uid="{00000000-0005-0000-0000-0000B06D0000}"/>
    <cellStyle name="Output 5 2 2 11" xfId="27421" xr:uid="{00000000-0005-0000-0000-0000B16D0000}"/>
    <cellStyle name="Output 5 2 2 2" xfId="5711" xr:uid="{00000000-0005-0000-0000-0000B26D0000}"/>
    <cellStyle name="Output 5 2 2 2 2" xfId="10601" xr:uid="{00000000-0005-0000-0000-0000B36D0000}"/>
    <cellStyle name="Output 5 2 2 2 2 2" xfId="33735" xr:uid="{00000000-0005-0000-0000-0000B46D0000}"/>
    <cellStyle name="Output 5 2 2 2 2 3" xfId="24164" xr:uid="{00000000-0005-0000-0000-0000B56D0000}"/>
    <cellStyle name="Output 5 2 2 2 3" xfId="32300" xr:uid="{00000000-0005-0000-0000-0000B66D0000}"/>
    <cellStyle name="Output 5 2 2 2 4" xfId="29332" xr:uid="{00000000-0005-0000-0000-0000B76D0000}"/>
    <cellStyle name="Output 5 2 2 2 5" xfId="19275" xr:uid="{00000000-0005-0000-0000-0000B86D0000}"/>
    <cellStyle name="Output 5 2 2 3" xfId="5197" xr:uid="{00000000-0005-0000-0000-0000B96D0000}"/>
    <cellStyle name="Output 5 2 2 3 2" xfId="23657" xr:uid="{00000000-0005-0000-0000-0000BA6D0000}"/>
    <cellStyle name="Output 5 2 2 3 3" xfId="18811" xr:uid="{00000000-0005-0000-0000-0000BB6D0000}"/>
    <cellStyle name="Output 5 2 2 4" xfId="7186" xr:uid="{00000000-0005-0000-0000-0000BC6D0000}"/>
    <cellStyle name="Output 5 2 2 4 2" xfId="25617" xr:uid="{00000000-0005-0000-0000-0000BD6D0000}"/>
    <cellStyle name="Output 5 2 2 4 3" xfId="20543" xr:uid="{00000000-0005-0000-0000-0000BE6D0000}"/>
    <cellStyle name="Output 5 2 2 5" xfId="7723" xr:uid="{00000000-0005-0000-0000-0000BF6D0000}"/>
    <cellStyle name="Output 5 2 2 5 2" xfId="26153" xr:uid="{00000000-0005-0000-0000-0000C06D0000}"/>
    <cellStyle name="Output 5 2 2 5 3" xfId="21078" xr:uid="{00000000-0005-0000-0000-0000C16D0000}"/>
    <cellStyle name="Output 5 2 2 6" xfId="8097" xr:uid="{00000000-0005-0000-0000-0000C26D0000}"/>
    <cellStyle name="Output 5 2 2 6 2" xfId="26527" xr:uid="{00000000-0005-0000-0000-0000C36D0000}"/>
    <cellStyle name="Output 5 2 2 6 3" xfId="21451" xr:uid="{00000000-0005-0000-0000-0000C46D0000}"/>
    <cellStyle name="Output 5 2 2 7" xfId="8821" xr:uid="{00000000-0005-0000-0000-0000C56D0000}"/>
    <cellStyle name="Output 5 2 2 7 2" xfId="27241" xr:uid="{00000000-0005-0000-0000-0000C66D0000}"/>
    <cellStyle name="Output 5 2 2 7 3" xfId="22112" xr:uid="{00000000-0005-0000-0000-0000C76D0000}"/>
    <cellStyle name="Output 5 2 2 8" xfId="4313" xr:uid="{00000000-0005-0000-0000-0000C86D0000}"/>
    <cellStyle name="Output 5 2 2 8 2" xfId="22777" xr:uid="{00000000-0005-0000-0000-0000C96D0000}"/>
    <cellStyle name="Output 5 2 2 8 3" xfId="17995" xr:uid="{00000000-0005-0000-0000-0000CA6D0000}"/>
    <cellStyle name="Output 5 2 2 9" xfId="15605" xr:uid="{00000000-0005-0000-0000-0000CB6D0000}"/>
    <cellStyle name="Output 5 2 2 9 2" xfId="36981" xr:uid="{00000000-0005-0000-0000-0000CC6D0000}"/>
    <cellStyle name="Output 5 2 2 9 3" xfId="17324" xr:uid="{00000000-0005-0000-0000-0000CD6D0000}"/>
    <cellStyle name="Output 5 2 3" xfId="5338" xr:uid="{00000000-0005-0000-0000-0000CE6D0000}"/>
    <cellStyle name="Output 5 2 3 2" xfId="11191" xr:uid="{00000000-0005-0000-0000-0000CF6D0000}"/>
    <cellStyle name="Output 5 2 3 2 2" xfId="34008" xr:uid="{00000000-0005-0000-0000-0000D06D0000}"/>
    <cellStyle name="Output 5 2 3 2 3" xfId="29569" xr:uid="{00000000-0005-0000-0000-0000D16D0000}"/>
    <cellStyle name="Output 5 2 3 2 4" xfId="23798" xr:uid="{00000000-0005-0000-0000-0000D26D0000}"/>
    <cellStyle name="Output 5 2 3 3" xfId="32088" xr:uid="{00000000-0005-0000-0000-0000D36D0000}"/>
    <cellStyle name="Output 5 2 3 4" xfId="27769" xr:uid="{00000000-0005-0000-0000-0000D46D0000}"/>
    <cellStyle name="Output 5 2 3 5" xfId="18941" xr:uid="{00000000-0005-0000-0000-0000D56D0000}"/>
    <cellStyle name="Output 5 2 4" xfId="4927" xr:uid="{00000000-0005-0000-0000-0000D66D0000}"/>
    <cellStyle name="Output 5 2 4 2" xfId="10600" xr:uid="{00000000-0005-0000-0000-0000D76D0000}"/>
    <cellStyle name="Output 5 2 4 2 2" xfId="33734" xr:uid="{00000000-0005-0000-0000-0000D86D0000}"/>
    <cellStyle name="Output 5 2 4 2 3" xfId="23387" xr:uid="{00000000-0005-0000-0000-0000D96D0000}"/>
    <cellStyle name="Output 5 2 4 3" xfId="31878" xr:uid="{00000000-0005-0000-0000-0000DA6D0000}"/>
    <cellStyle name="Output 5 2 4 4" xfId="29331" xr:uid="{00000000-0005-0000-0000-0000DB6D0000}"/>
    <cellStyle name="Output 5 2 4 5" xfId="18541" xr:uid="{00000000-0005-0000-0000-0000DC6D0000}"/>
    <cellStyle name="Output 5 2 5" xfId="6274" xr:uid="{00000000-0005-0000-0000-0000DD6D0000}"/>
    <cellStyle name="Output 5 2 5 2" xfId="10048" xr:uid="{00000000-0005-0000-0000-0000DE6D0000}"/>
    <cellStyle name="Output 5 2 5 2 2" xfId="33354" xr:uid="{00000000-0005-0000-0000-0000DF6D0000}"/>
    <cellStyle name="Output 5 2 5 2 3" xfId="24714" xr:uid="{00000000-0005-0000-0000-0000E06D0000}"/>
    <cellStyle name="Output 5 2 5 3" xfId="32586" xr:uid="{00000000-0005-0000-0000-0000E16D0000}"/>
    <cellStyle name="Output 5 2 5 4" xfId="19823" xr:uid="{00000000-0005-0000-0000-0000E26D0000}"/>
    <cellStyle name="Output 5 2 6" xfId="7400" xr:uid="{00000000-0005-0000-0000-0000E36D0000}"/>
    <cellStyle name="Output 5 2 6 2" xfId="25831" xr:uid="{00000000-0005-0000-0000-0000E46D0000}"/>
    <cellStyle name="Output 5 2 6 3" xfId="20756" xr:uid="{00000000-0005-0000-0000-0000E56D0000}"/>
    <cellStyle name="Output 5 2 7" xfId="6158" xr:uid="{00000000-0005-0000-0000-0000E66D0000}"/>
    <cellStyle name="Output 5 2 7 2" xfId="24599" xr:uid="{00000000-0005-0000-0000-0000E76D0000}"/>
    <cellStyle name="Output 5 2 7 3" xfId="19708" xr:uid="{00000000-0005-0000-0000-0000E86D0000}"/>
    <cellStyle name="Output 5 2 8" xfId="8500" xr:uid="{00000000-0005-0000-0000-0000E96D0000}"/>
    <cellStyle name="Output 5 2 8 2" xfId="26923" xr:uid="{00000000-0005-0000-0000-0000EA6D0000}"/>
    <cellStyle name="Output 5 2 8 3" xfId="21791" xr:uid="{00000000-0005-0000-0000-0000EB6D0000}"/>
    <cellStyle name="Output 5 2 9" xfId="3992" xr:uid="{00000000-0005-0000-0000-0000EC6D0000}"/>
    <cellStyle name="Output 5 2 9 2" xfId="22459" xr:uid="{00000000-0005-0000-0000-0000ED6D0000}"/>
    <cellStyle name="Output 5 2 9 3" xfId="17674" xr:uid="{00000000-0005-0000-0000-0000EE6D0000}"/>
    <cellStyle name="Output 5 20" xfId="14927" xr:uid="{00000000-0005-0000-0000-0000EF6D0000}"/>
    <cellStyle name="Output 5 20 2" xfId="36375" xr:uid="{00000000-0005-0000-0000-0000F06D0000}"/>
    <cellStyle name="Output 5 20 3" xfId="16984" xr:uid="{00000000-0005-0000-0000-0000F16D0000}"/>
    <cellStyle name="Output 5 21" xfId="14563" xr:uid="{00000000-0005-0000-0000-0000F26D0000}"/>
    <cellStyle name="Output 5 21 2" xfId="36083" xr:uid="{00000000-0005-0000-0000-0000F36D0000}"/>
    <cellStyle name="Output 5 22" xfId="27414" xr:uid="{00000000-0005-0000-0000-0000F46D0000}"/>
    <cellStyle name="Output 5 23" xfId="40074" xr:uid="{00000000-0005-0000-0000-0000AD0E0000}"/>
    <cellStyle name="Output 5 3" xfId="3077" xr:uid="{00000000-0005-0000-0000-0000F56D0000}"/>
    <cellStyle name="Output 5 3 10" xfId="16207" xr:uid="{00000000-0005-0000-0000-0000F66D0000}"/>
    <cellStyle name="Output 5 3 10 2" xfId="37522" xr:uid="{00000000-0005-0000-0000-0000F76D0000}"/>
    <cellStyle name="Output 5 3 10 3" xfId="16988" xr:uid="{00000000-0005-0000-0000-0000F86D0000}"/>
    <cellStyle name="Output 5 3 11" xfId="16080" xr:uid="{00000000-0005-0000-0000-0000F96D0000}"/>
    <cellStyle name="Output 5 3 11 2" xfId="37402" xr:uid="{00000000-0005-0000-0000-0000FA6D0000}"/>
    <cellStyle name="Output 5 3 12" xfId="27422" xr:uid="{00000000-0005-0000-0000-0000FB6D0000}"/>
    <cellStyle name="Output 5 3 2" xfId="3585" xr:uid="{00000000-0005-0000-0000-0000FC6D0000}"/>
    <cellStyle name="Output 5 3 2 10" xfId="15330" xr:uid="{00000000-0005-0000-0000-0000FD6D0000}"/>
    <cellStyle name="Output 5 3 2 10 2" xfId="36718" xr:uid="{00000000-0005-0000-0000-0000FE6D0000}"/>
    <cellStyle name="Output 5 3 2 11" xfId="27423" xr:uid="{00000000-0005-0000-0000-0000FF6D0000}"/>
    <cellStyle name="Output 5 3 2 2" xfId="5712" xr:uid="{00000000-0005-0000-0000-0000006E0000}"/>
    <cellStyle name="Output 5 3 2 2 2" xfId="10603" xr:uid="{00000000-0005-0000-0000-0000016E0000}"/>
    <cellStyle name="Output 5 3 2 2 2 2" xfId="33737" xr:uid="{00000000-0005-0000-0000-0000026E0000}"/>
    <cellStyle name="Output 5 3 2 2 2 3" xfId="24165" xr:uid="{00000000-0005-0000-0000-0000036E0000}"/>
    <cellStyle name="Output 5 3 2 2 3" xfId="32301" xr:uid="{00000000-0005-0000-0000-0000046E0000}"/>
    <cellStyle name="Output 5 3 2 2 4" xfId="29334" xr:uid="{00000000-0005-0000-0000-0000056E0000}"/>
    <cellStyle name="Output 5 3 2 2 5" xfId="19276" xr:uid="{00000000-0005-0000-0000-0000066E0000}"/>
    <cellStyle name="Output 5 3 2 3" xfId="5198" xr:uid="{00000000-0005-0000-0000-0000076E0000}"/>
    <cellStyle name="Output 5 3 2 3 2" xfId="23658" xr:uid="{00000000-0005-0000-0000-0000086E0000}"/>
    <cellStyle name="Output 5 3 2 3 3" xfId="18812" xr:uid="{00000000-0005-0000-0000-0000096E0000}"/>
    <cellStyle name="Output 5 3 2 4" xfId="7187" xr:uid="{00000000-0005-0000-0000-00000A6E0000}"/>
    <cellStyle name="Output 5 3 2 4 2" xfId="25618" xr:uid="{00000000-0005-0000-0000-00000B6E0000}"/>
    <cellStyle name="Output 5 3 2 4 3" xfId="20544" xr:uid="{00000000-0005-0000-0000-00000C6E0000}"/>
    <cellStyle name="Output 5 3 2 5" xfId="7724" xr:uid="{00000000-0005-0000-0000-00000D6E0000}"/>
    <cellStyle name="Output 5 3 2 5 2" xfId="26154" xr:uid="{00000000-0005-0000-0000-00000E6E0000}"/>
    <cellStyle name="Output 5 3 2 5 3" xfId="21079" xr:uid="{00000000-0005-0000-0000-00000F6E0000}"/>
    <cellStyle name="Output 5 3 2 6" xfId="8098" xr:uid="{00000000-0005-0000-0000-0000106E0000}"/>
    <cellStyle name="Output 5 3 2 6 2" xfId="26528" xr:uid="{00000000-0005-0000-0000-0000116E0000}"/>
    <cellStyle name="Output 5 3 2 6 3" xfId="21452" xr:uid="{00000000-0005-0000-0000-0000126E0000}"/>
    <cellStyle name="Output 5 3 2 7" xfId="8822" xr:uid="{00000000-0005-0000-0000-0000136E0000}"/>
    <cellStyle name="Output 5 3 2 7 2" xfId="27242" xr:uid="{00000000-0005-0000-0000-0000146E0000}"/>
    <cellStyle name="Output 5 3 2 7 3" xfId="22113" xr:uid="{00000000-0005-0000-0000-0000156E0000}"/>
    <cellStyle name="Output 5 3 2 8" xfId="4314" xr:uid="{00000000-0005-0000-0000-0000166E0000}"/>
    <cellStyle name="Output 5 3 2 8 2" xfId="22778" xr:uid="{00000000-0005-0000-0000-0000176E0000}"/>
    <cellStyle name="Output 5 3 2 8 3" xfId="17996" xr:uid="{00000000-0005-0000-0000-0000186E0000}"/>
    <cellStyle name="Output 5 3 2 9" xfId="16174" xr:uid="{00000000-0005-0000-0000-0000196E0000}"/>
    <cellStyle name="Output 5 3 2 9 2" xfId="37491" xr:uid="{00000000-0005-0000-0000-00001A6E0000}"/>
    <cellStyle name="Output 5 3 2 9 3" xfId="17325" xr:uid="{00000000-0005-0000-0000-00001B6E0000}"/>
    <cellStyle name="Output 5 3 3" xfId="5339" xr:uid="{00000000-0005-0000-0000-00001C6E0000}"/>
    <cellStyle name="Output 5 3 3 2" xfId="11192" xr:uid="{00000000-0005-0000-0000-00001D6E0000}"/>
    <cellStyle name="Output 5 3 3 2 2" xfId="34009" xr:uid="{00000000-0005-0000-0000-00001E6E0000}"/>
    <cellStyle name="Output 5 3 3 2 3" xfId="29570" xr:uid="{00000000-0005-0000-0000-00001F6E0000}"/>
    <cellStyle name="Output 5 3 3 2 4" xfId="23799" xr:uid="{00000000-0005-0000-0000-0000206E0000}"/>
    <cellStyle name="Output 5 3 3 3" xfId="32089" xr:uid="{00000000-0005-0000-0000-0000216E0000}"/>
    <cellStyle name="Output 5 3 3 4" xfId="27770" xr:uid="{00000000-0005-0000-0000-0000226E0000}"/>
    <cellStyle name="Output 5 3 3 5" xfId="18942" xr:uid="{00000000-0005-0000-0000-0000236E0000}"/>
    <cellStyle name="Output 5 3 4" xfId="4928" xr:uid="{00000000-0005-0000-0000-0000246E0000}"/>
    <cellStyle name="Output 5 3 4 2" xfId="10602" xr:uid="{00000000-0005-0000-0000-0000256E0000}"/>
    <cellStyle name="Output 5 3 4 2 2" xfId="33736" xr:uid="{00000000-0005-0000-0000-0000266E0000}"/>
    <cellStyle name="Output 5 3 4 2 3" xfId="23388" xr:uid="{00000000-0005-0000-0000-0000276E0000}"/>
    <cellStyle name="Output 5 3 4 3" xfId="31879" xr:uid="{00000000-0005-0000-0000-0000286E0000}"/>
    <cellStyle name="Output 5 3 4 4" xfId="29333" xr:uid="{00000000-0005-0000-0000-0000296E0000}"/>
    <cellStyle name="Output 5 3 4 5" xfId="18542" xr:uid="{00000000-0005-0000-0000-00002A6E0000}"/>
    <cellStyle name="Output 5 3 5" xfId="6273" xr:uid="{00000000-0005-0000-0000-00002B6E0000}"/>
    <cellStyle name="Output 5 3 5 2" xfId="10049" xr:uid="{00000000-0005-0000-0000-00002C6E0000}"/>
    <cellStyle name="Output 5 3 5 2 2" xfId="33355" xr:uid="{00000000-0005-0000-0000-00002D6E0000}"/>
    <cellStyle name="Output 5 3 5 2 3" xfId="24713" xr:uid="{00000000-0005-0000-0000-00002E6E0000}"/>
    <cellStyle name="Output 5 3 5 3" xfId="32585" xr:uid="{00000000-0005-0000-0000-00002F6E0000}"/>
    <cellStyle name="Output 5 3 5 4" xfId="19822" xr:uid="{00000000-0005-0000-0000-0000306E0000}"/>
    <cellStyle name="Output 5 3 6" xfId="7401" xr:uid="{00000000-0005-0000-0000-0000316E0000}"/>
    <cellStyle name="Output 5 3 6 2" xfId="25832" xr:uid="{00000000-0005-0000-0000-0000326E0000}"/>
    <cellStyle name="Output 5 3 6 3" xfId="20757" xr:uid="{00000000-0005-0000-0000-0000336E0000}"/>
    <cellStyle name="Output 5 3 7" xfId="7042" xr:uid="{00000000-0005-0000-0000-0000346E0000}"/>
    <cellStyle name="Output 5 3 7 2" xfId="25480" xr:uid="{00000000-0005-0000-0000-0000356E0000}"/>
    <cellStyle name="Output 5 3 7 3" xfId="20417" xr:uid="{00000000-0005-0000-0000-0000366E0000}"/>
    <cellStyle name="Output 5 3 8" xfId="8501" xr:uid="{00000000-0005-0000-0000-0000376E0000}"/>
    <cellStyle name="Output 5 3 8 2" xfId="26924" xr:uid="{00000000-0005-0000-0000-0000386E0000}"/>
    <cellStyle name="Output 5 3 8 3" xfId="21792" xr:uid="{00000000-0005-0000-0000-0000396E0000}"/>
    <cellStyle name="Output 5 3 9" xfId="3993" xr:uid="{00000000-0005-0000-0000-00003A6E0000}"/>
    <cellStyle name="Output 5 3 9 2" xfId="22460" xr:uid="{00000000-0005-0000-0000-00003B6E0000}"/>
    <cellStyle name="Output 5 3 9 3" xfId="17675" xr:uid="{00000000-0005-0000-0000-00003C6E0000}"/>
    <cellStyle name="Output 5 4" xfId="3078" xr:uid="{00000000-0005-0000-0000-00003D6E0000}"/>
    <cellStyle name="Output 5 4 10" xfId="16143" xr:uid="{00000000-0005-0000-0000-00003E6E0000}"/>
    <cellStyle name="Output 5 4 10 2" xfId="37464" xr:uid="{00000000-0005-0000-0000-00003F6E0000}"/>
    <cellStyle name="Output 5 4 10 3" xfId="16989" xr:uid="{00000000-0005-0000-0000-0000406E0000}"/>
    <cellStyle name="Output 5 4 11" xfId="14959" xr:uid="{00000000-0005-0000-0000-0000416E0000}"/>
    <cellStyle name="Output 5 4 11 2" xfId="36392" xr:uid="{00000000-0005-0000-0000-0000426E0000}"/>
    <cellStyle name="Output 5 4 12" xfId="27424" xr:uid="{00000000-0005-0000-0000-0000436E0000}"/>
    <cellStyle name="Output 5 4 2" xfId="3586" xr:uid="{00000000-0005-0000-0000-0000446E0000}"/>
    <cellStyle name="Output 5 4 2 10" xfId="15566" xr:uid="{00000000-0005-0000-0000-0000456E0000}"/>
    <cellStyle name="Output 5 4 2 10 2" xfId="36944" xr:uid="{00000000-0005-0000-0000-0000466E0000}"/>
    <cellStyle name="Output 5 4 2 11" xfId="27425" xr:uid="{00000000-0005-0000-0000-0000476E0000}"/>
    <cellStyle name="Output 5 4 2 2" xfId="5713" xr:uid="{00000000-0005-0000-0000-0000486E0000}"/>
    <cellStyle name="Output 5 4 2 2 2" xfId="10605" xr:uid="{00000000-0005-0000-0000-0000496E0000}"/>
    <cellStyle name="Output 5 4 2 2 2 2" xfId="33739" xr:uid="{00000000-0005-0000-0000-00004A6E0000}"/>
    <cellStyle name="Output 5 4 2 2 2 3" xfId="24166" xr:uid="{00000000-0005-0000-0000-00004B6E0000}"/>
    <cellStyle name="Output 5 4 2 2 3" xfId="32302" xr:uid="{00000000-0005-0000-0000-00004C6E0000}"/>
    <cellStyle name="Output 5 4 2 2 4" xfId="29336" xr:uid="{00000000-0005-0000-0000-00004D6E0000}"/>
    <cellStyle name="Output 5 4 2 2 5" xfId="19277" xr:uid="{00000000-0005-0000-0000-00004E6E0000}"/>
    <cellStyle name="Output 5 4 2 3" xfId="5199" xr:uid="{00000000-0005-0000-0000-00004F6E0000}"/>
    <cellStyle name="Output 5 4 2 3 2" xfId="23659" xr:uid="{00000000-0005-0000-0000-0000506E0000}"/>
    <cellStyle name="Output 5 4 2 3 3" xfId="18813" xr:uid="{00000000-0005-0000-0000-0000516E0000}"/>
    <cellStyle name="Output 5 4 2 4" xfId="7188" xr:uid="{00000000-0005-0000-0000-0000526E0000}"/>
    <cellStyle name="Output 5 4 2 4 2" xfId="25619" xr:uid="{00000000-0005-0000-0000-0000536E0000}"/>
    <cellStyle name="Output 5 4 2 4 3" xfId="20545" xr:uid="{00000000-0005-0000-0000-0000546E0000}"/>
    <cellStyle name="Output 5 4 2 5" xfId="7725" xr:uid="{00000000-0005-0000-0000-0000556E0000}"/>
    <cellStyle name="Output 5 4 2 5 2" xfId="26155" xr:uid="{00000000-0005-0000-0000-0000566E0000}"/>
    <cellStyle name="Output 5 4 2 5 3" xfId="21080" xr:uid="{00000000-0005-0000-0000-0000576E0000}"/>
    <cellStyle name="Output 5 4 2 6" xfId="8099" xr:uid="{00000000-0005-0000-0000-0000586E0000}"/>
    <cellStyle name="Output 5 4 2 6 2" xfId="26529" xr:uid="{00000000-0005-0000-0000-0000596E0000}"/>
    <cellStyle name="Output 5 4 2 6 3" xfId="21453" xr:uid="{00000000-0005-0000-0000-00005A6E0000}"/>
    <cellStyle name="Output 5 4 2 7" xfId="8823" xr:uid="{00000000-0005-0000-0000-00005B6E0000}"/>
    <cellStyle name="Output 5 4 2 7 2" xfId="27243" xr:uid="{00000000-0005-0000-0000-00005C6E0000}"/>
    <cellStyle name="Output 5 4 2 7 3" xfId="22114" xr:uid="{00000000-0005-0000-0000-00005D6E0000}"/>
    <cellStyle name="Output 5 4 2 8" xfId="4315" xr:uid="{00000000-0005-0000-0000-00005E6E0000}"/>
    <cellStyle name="Output 5 4 2 8 2" xfId="22779" xr:uid="{00000000-0005-0000-0000-00005F6E0000}"/>
    <cellStyle name="Output 5 4 2 8 3" xfId="17997" xr:uid="{00000000-0005-0000-0000-0000606E0000}"/>
    <cellStyle name="Output 5 4 2 9" xfId="16108" xr:uid="{00000000-0005-0000-0000-0000616E0000}"/>
    <cellStyle name="Output 5 4 2 9 2" xfId="37430" xr:uid="{00000000-0005-0000-0000-0000626E0000}"/>
    <cellStyle name="Output 5 4 2 9 3" xfId="17326" xr:uid="{00000000-0005-0000-0000-0000636E0000}"/>
    <cellStyle name="Output 5 4 3" xfId="5340" xr:uid="{00000000-0005-0000-0000-0000646E0000}"/>
    <cellStyle name="Output 5 4 3 2" xfId="11193" xr:uid="{00000000-0005-0000-0000-0000656E0000}"/>
    <cellStyle name="Output 5 4 3 2 2" xfId="34010" xr:uid="{00000000-0005-0000-0000-0000666E0000}"/>
    <cellStyle name="Output 5 4 3 2 3" xfId="29571" xr:uid="{00000000-0005-0000-0000-0000676E0000}"/>
    <cellStyle name="Output 5 4 3 2 4" xfId="23800" xr:uid="{00000000-0005-0000-0000-0000686E0000}"/>
    <cellStyle name="Output 5 4 3 3" xfId="32090" xr:uid="{00000000-0005-0000-0000-0000696E0000}"/>
    <cellStyle name="Output 5 4 3 4" xfId="27771" xr:uid="{00000000-0005-0000-0000-00006A6E0000}"/>
    <cellStyle name="Output 5 4 3 5" xfId="18943" xr:uid="{00000000-0005-0000-0000-00006B6E0000}"/>
    <cellStyle name="Output 5 4 4" xfId="4929" xr:uid="{00000000-0005-0000-0000-00006C6E0000}"/>
    <cellStyle name="Output 5 4 4 2" xfId="10604" xr:uid="{00000000-0005-0000-0000-00006D6E0000}"/>
    <cellStyle name="Output 5 4 4 2 2" xfId="33738" xr:uid="{00000000-0005-0000-0000-00006E6E0000}"/>
    <cellStyle name="Output 5 4 4 2 3" xfId="23389" xr:uid="{00000000-0005-0000-0000-00006F6E0000}"/>
    <cellStyle name="Output 5 4 4 3" xfId="31880" xr:uid="{00000000-0005-0000-0000-0000706E0000}"/>
    <cellStyle name="Output 5 4 4 4" xfId="29335" xr:uid="{00000000-0005-0000-0000-0000716E0000}"/>
    <cellStyle name="Output 5 4 4 5" xfId="18543" xr:uid="{00000000-0005-0000-0000-0000726E0000}"/>
    <cellStyle name="Output 5 4 5" xfId="6272" xr:uid="{00000000-0005-0000-0000-0000736E0000}"/>
    <cellStyle name="Output 5 4 5 2" xfId="10050" xr:uid="{00000000-0005-0000-0000-0000746E0000}"/>
    <cellStyle name="Output 5 4 5 2 2" xfId="33356" xr:uid="{00000000-0005-0000-0000-0000756E0000}"/>
    <cellStyle name="Output 5 4 5 2 3" xfId="24712" xr:uid="{00000000-0005-0000-0000-0000766E0000}"/>
    <cellStyle name="Output 5 4 5 3" xfId="32584" xr:uid="{00000000-0005-0000-0000-0000776E0000}"/>
    <cellStyle name="Output 5 4 5 4" xfId="19821" xr:uid="{00000000-0005-0000-0000-0000786E0000}"/>
    <cellStyle name="Output 5 4 6" xfId="7402" xr:uid="{00000000-0005-0000-0000-0000796E0000}"/>
    <cellStyle name="Output 5 4 6 2" xfId="25833" xr:uid="{00000000-0005-0000-0000-00007A6E0000}"/>
    <cellStyle name="Output 5 4 6 3" xfId="20758" xr:uid="{00000000-0005-0000-0000-00007B6E0000}"/>
    <cellStyle name="Output 5 4 7" xfId="6240" xr:uid="{00000000-0005-0000-0000-00007C6E0000}"/>
    <cellStyle name="Output 5 4 7 2" xfId="24680" xr:uid="{00000000-0005-0000-0000-00007D6E0000}"/>
    <cellStyle name="Output 5 4 7 3" xfId="19789" xr:uid="{00000000-0005-0000-0000-00007E6E0000}"/>
    <cellStyle name="Output 5 4 8" xfId="8502" xr:uid="{00000000-0005-0000-0000-00007F6E0000}"/>
    <cellStyle name="Output 5 4 8 2" xfId="26925" xr:uid="{00000000-0005-0000-0000-0000806E0000}"/>
    <cellStyle name="Output 5 4 8 3" xfId="21793" xr:uid="{00000000-0005-0000-0000-0000816E0000}"/>
    <cellStyle name="Output 5 4 9" xfId="3994" xr:uid="{00000000-0005-0000-0000-0000826E0000}"/>
    <cellStyle name="Output 5 4 9 2" xfId="22461" xr:uid="{00000000-0005-0000-0000-0000836E0000}"/>
    <cellStyle name="Output 5 4 9 3" xfId="17676" xr:uid="{00000000-0005-0000-0000-0000846E0000}"/>
    <cellStyle name="Output 5 5" xfId="3079" xr:uid="{00000000-0005-0000-0000-0000856E0000}"/>
    <cellStyle name="Output 5 5 10" xfId="15684" xr:uid="{00000000-0005-0000-0000-0000866E0000}"/>
    <cellStyle name="Output 5 5 10 2" xfId="37057" xr:uid="{00000000-0005-0000-0000-0000876E0000}"/>
    <cellStyle name="Output 5 5 10 3" xfId="16990" xr:uid="{00000000-0005-0000-0000-0000886E0000}"/>
    <cellStyle name="Output 5 5 11" xfId="15200" xr:uid="{00000000-0005-0000-0000-0000896E0000}"/>
    <cellStyle name="Output 5 5 11 2" xfId="36608" xr:uid="{00000000-0005-0000-0000-00008A6E0000}"/>
    <cellStyle name="Output 5 5 12" xfId="27426" xr:uid="{00000000-0005-0000-0000-00008B6E0000}"/>
    <cellStyle name="Output 5 5 2" xfId="3587" xr:uid="{00000000-0005-0000-0000-00008C6E0000}"/>
    <cellStyle name="Output 5 5 2 10" xfId="15468" xr:uid="{00000000-0005-0000-0000-00008D6E0000}"/>
    <cellStyle name="Output 5 5 2 10 2" xfId="36849" xr:uid="{00000000-0005-0000-0000-00008E6E0000}"/>
    <cellStyle name="Output 5 5 2 11" xfId="27427" xr:uid="{00000000-0005-0000-0000-00008F6E0000}"/>
    <cellStyle name="Output 5 5 2 2" xfId="5714" xr:uid="{00000000-0005-0000-0000-0000906E0000}"/>
    <cellStyle name="Output 5 5 2 2 2" xfId="10607" xr:uid="{00000000-0005-0000-0000-0000916E0000}"/>
    <cellStyle name="Output 5 5 2 2 2 2" xfId="33741" xr:uid="{00000000-0005-0000-0000-0000926E0000}"/>
    <cellStyle name="Output 5 5 2 2 2 3" xfId="24167" xr:uid="{00000000-0005-0000-0000-0000936E0000}"/>
    <cellStyle name="Output 5 5 2 2 3" xfId="32303" xr:uid="{00000000-0005-0000-0000-0000946E0000}"/>
    <cellStyle name="Output 5 5 2 2 4" xfId="29338" xr:uid="{00000000-0005-0000-0000-0000956E0000}"/>
    <cellStyle name="Output 5 5 2 2 5" xfId="19278" xr:uid="{00000000-0005-0000-0000-0000966E0000}"/>
    <cellStyle name="Output 5 5 2 3" xfId="5200" xr:uid="{00000000-0005-0000-0000-0000976E0000}"/>
    <cellStyle name="Output 5 5 2 3 2" xfId="23660" xr:uid="{00000000-0005-0000-0000-0000986E0000}"/>
    <cellStyle name="Output 5 5 2 3 3" xfId="18814" xr:uid="{00000000-0005-0000-0000-0000996E0000}"/>
    <cellStyle name="Output 5 5 2 4" xfId="7189" xr:uid="{00000000-0005-0000-0000-00009A6E0000}"/>
    <cellStyle name="Output 5 5 2 4 2" xfId="25620" xr:uid="{00000000-0005-0000-0000-00009B6E0000}"/>
    <cellStyle name="Output 5 5 2 4 3" xfId="20546" xr:uid="{00000000-0005-0000-0000-00009C6E0000}"/>
    <cellStyle name="Output 5 5 2 5" xfId="7726" xr:uid="{00000000-0005-0000-0000-00009D6E0000}"/>
    <cellStyle name="Output 5 5 2 5 2" xfId="26156" xr:uid="{00000000-0005-0000-0000-00009E6E0000}"/>
    <cellStyle name="Output 5 5 2 5 3" xfId="21081" xr:uid="{00000000-0005-0000-0000-00009F6E0000}"/>
    <cellStyle name="Output 5 5 2 6" xfId="8100" xr:uid="{00000000-0005-0000-0000-0000A06E0000}"/>
    <cellStyle name="Output 5 5 2 6 2" xfId="26530" xr:uid="{00000000-0005-0000-0000-0000A16E0000}"/>
    <cellStyle name="Output 5 5 2 6 3" xfId="21454" xr:uid="{00000000-0005-0000-0000-0000A26E0000}"/>
    <cellStyle name="Output 5 5 2 7" xfId="8824" xr:uid="{00000000-0005-0000-0000-0000A36E0000}"/>
    <cellStyle name="Output 5 5 2 7 2" xfId="27244" xr:uid="{00000000-0005-0000-0000-0000A46E0000}"/>
    <cellStyle name="Output 5 5 2 7 3" xfId="22115" xr:uid="{00000000-0005-0000-0000-0000A56E0000}"/>
    <cellStyle name="Output 5 5 2 8" xfId="4316" xr:uid="{00000000-0005-0000-0000-0000A66E0000}"/>
    <cellStyle name="Output 5 5 2 8 2" xfId="22780" xr:uid="{00000000-0005-0000-0000-0000A76E0000}"/>
    <cellStyle name="Output 5 5 2 8 3" xfId="17998" xr:uid="{00000000-0005-0000-0000-0000A86E0000}"/>
    <cellStyle name="Output 5 5 2 9" xfId="15653" xr:uid="{00000000-0005-0000-0000-0000A96E0000}"/>
    <cellStyle name="Output 5 5 2 9 2" xfId="37028" xr:uid="{00000000-0005-0000-0000-0000AA6E0000}"/>
    <cellStyle name="Output 5 5 2 9 3" xfId="17327" xr:uid="{00000000-0005-0000-0000-0000AB6E0000}"/>
    <cellStyle name="Output 5 5 3" xfId="5341" xr:uid="{00000000-0005-0000-0000-0000AC6E0000}"/>
    <cellStyle name="Output 5 5 3 2" xfId="11194" xr:uid="{00000000-0005-0000-0000-0000AD6E0000}"/>
    <cellStyle name="Output 5 5 3 2 2" xfId="34011" xr:uid="{00000000-0005-0000-0000-0000AE6E0000}"/>
    <cellStyle name="Output 5 5 3 2 3" xfId="29572" xr:uid="{00000000-0005-0000-0000-0000AF6E0000}"/>
    <cellStyle name="Output 5 5 3 2 4" xfId="23801" xr:uid="{00000000-0005-0000-0000-0000B06E0000}"/>
    <cellStyle name="Output 5 5 3 3" xfId="32091" xr:uid="{00000000-0005-0000-0000-0000B16E0000}"/>
    <cellStyle name="Output 5 5 3 4" xfId="27772" xr:uid="{00000000-0005-0000-0000-0000B26E0000}"/>
    <cellStyle name="Output 5 5 3 5" xfId="18944" xr:uid="{00000000-0005-0000-0000-0000B36E0000}"/>
    <cellStyle name="Output 5 5 4" xfId="4930" xr:uid="{00000000-0005-0000-0000-0000B46E0000}"/>
    <cellStyle name="Output 5 5 4 2" xfId="10606" xr:uid="{00000000-0005-0000-0000-0000B56E0000}"/>
    <cellStyle name="Output 5 5 4 2 2" xfId="33740" xr:uid="{00000000-0005-0000-0000-0000B66E0000}"/>
    <cellStyle name="Output 5 5 4 2 3" xfId="23390" xr:uid="{00000000-0005-0000-0000-0000B76E0000}"/>
    <cellStyle name="Output 5 5 4 3" xfId="31881" xr:uid="{00000000-0005-0000-0000-0000B86E0000}"/>
    <cellStyle name="Output 5 5 4 4" xfId="29337" xr:uid="{00000000-0005-0000-0000-0000B96E0000}"/>
    <cellStyle name="Output 5 5 4 5" xfId="18544" xr:uid="{00000000-0005-0000-0000-0000BA6E0000}"/>
    <cellStyle name="Output 5 5 5" xfId="6271" xr:uid="{00000000-0005-0000-0000-0000BB6E0000}"/>
    <cellStyle name="Output 5 5 5 2" xfId="10051" xr:uid="{00000000-0005-0000-0000-0000BC6E0000}"/>
    <cellStyle name="Output 5 5 5 2 2" xfId="33357" xr:uid="{00000000-0005-0000-0000-0000BD6E0000}"/>
    <cellStyle name="Output 5 5 5 2 3" xfId="24711" xr:uid="{00000000-0005-0000-0000-0000BE6E0000}"/>
    <cellStyle name="Output 5 5 5 3" xfId="32583" xr:uid="{00000000-0005-0000-0000-0000BF6E0000}"/>
    <cellStyle name="Output 5 5 5 4" xfId="19820" xr:uid="{00000000-0005-0000-0000-0000C06E0000}"/>
    <cellStyle name="Output 5 5 6" xfId="7403" xr:uid="{00000000-0005-0000-0000-0000C16E0000}"/>
    <cellStyle name="Output 5 5 6 2" xfId="25834" xr:uid="{00000000-0005-0000-0000-0000C26E0000}"/>
    <cellStyle name="Output 5 5 6 3" xfId="20759" xr:uid="{00000000-0005-0000-0000-0000C36E0000}"/>
    <cellStyle name="Output 5 5 7" xfId="6236" xr:uid="{00000000-0005-0000-0000-0000C46E0000}"/>
    <cellStyle name="Output 5 5 7 2" xfId="24676" xr:uid="{00000000-0005-0000-0000-0000C56E0000}"/>
    <cellStyle name="Output 5 5 7 3" xfId="19785" xr:uid="{00000000-0005-0000-0000-0000C66E0000}"/>
    <cellStyle name="Output 5 5 8" xfId="8503" xr:uid="{00000000-0005-0000-0000-0000C76E0000}"/>
    <cellStyle name="Output 5 5 8 2" xfId="26926" xr:uid="{00000000-0005-0000-0000-0000C86E0000}"/>
    <cellStyle name="Output 5 5 8 3" xfId="21794" xr:uid="{00000000-0005-0000-0000-0000C96E0000}"/>
    <cellStyle name="Output 5 5 9" xfId="3995" xr:uid="{00000000-0005-0000-0000-0000CA6E0000}"/>
    <cellStyle name="Output 5 5 9 2" xfId="22462" xr:uid="{00000000-0005-0000-0000-0000CB6E0000}"/>
    <cellStyle name="Output 5 5 9 3" xfId="17677" xr:uid="{00000000-0005-0000-0000-0000CC6E0000}"/>
    <cellStyle name="Output 5 6" xfId="3080" xr:uid="{00000000-0005-0000-0000-0000CD6E0000}"/>
    <cellStyle name="Output 5 6 10" xfId="15630" xr:uid="{00000000-0005-0000-0000-0000CE6E0000}"/>
    <cellStyle name="Output 5 6 10 2" xfId="37005" xr:uid="{00000000-0005-0000-0000-0000CF6E0000}"/>
    <cellStyle name="Output 5 6 10 3" xfId="16991" xr:uid="{00000000-0005-0000-0000-0000D06E0000}"/>
    <cellStyle name="Output 5 6 11" xfId="14815" xr:uid="{00000000-0005-0000-0000-0000D16E0000}"/>
    <cellStyle name="Output 5 6 11 2" xfId="36271" xr:uid="{00000000-0005-0000-0000-0000D26E0000}"/>
    <cellStyle name="Output 5 6 12" xfId="27428" xr:uid="{00000000-0005-0000-0000-0000D36E0000}"/>
    <cellStyle name="Output 5 6 2" xfId="3588" xr:uid="{00000000-0005-0000-0000-0000D46E0000}"/>
    <cellStyle name="Output 5 6 2 10" xfId="15291" xr:uid="{00000000-0005-0000-0000-0000D56E0000}"/>
    <cellStyle name="Output 5 6 2 10 2" xfId="36689" xr:uid="{00000000-0005-0000-0000-0000D66E0000}"/>
    <cellStyle name="Output 5 6 2 11" xfId="27429" xr:uid="{00000000-0005-0000-0000-0000D76E0000}"/>
    <cellStyle name="Output 5 6 2 2" xfId="5715" xr:uid="{00000000-0005-0000-0000-0000D86E0000}"/>
    <cellStyle name="Output 5 6 2 2 2" xfId="10609" xr:uid="{00000000-0005-0000-0000-0000D96E0000}"/>
    <cellStyle name="Output 5 6 2 2 2 2" xfId="33743" xr:uid="{00000000-0005-0000-0000-0000DA6E0000}"/>
    <cellStyle name="Output 5 6 2 2 2 3" xfId="24168" xr:uid="{00000000-0005-0000-0000-0000DB6E0000}"/>
    <cellStyle name="Output 5 6 2 2 3" xfId="32304" xr:uid="{00000000-0005-0000-0000-0000DC6E0000}"/>
    <cellStyle name="Output 5 6 2 2 4" xfId="29340" xr:uid="{00000000-0005-0000-0000-0000DD6E0000}"/>
    <cellStyle name="Output 5 6 2 2 5" xfId="19279" xr:uid="{00000000-0005-0000-0000-0000DE6E0000}"/>
    <cellStyle name="Output 5 6 2 3" xfId="5201" xr:uid="{00000000-0005-0000-0000-0000DF6E0000}"/>
    <cellStyle name="Output 5 6 2 3 2" xfId="23661" xr:uid="{00000000-0005-0000-0000-0000E06E0000}"/>
    <cellStyle name="Output 5 6 2 3 3" xfId="18815" xr:uid="{00000000-0005-0000-0000-0000E16E0000}"/>
    <cellStyle name="Output 5 6 2 4" xfId="7190" xr:uid="{00000000-0005-0000-0000-0000E26E0000}"/>
    <cellStyle name="Output 5 6 2 4 2" xfId="25621" xr:uid="{00000000-0005-0000-0000-0000E36E0000}"/>
    <cellStyle name="Output 5 6 2 4 3" xfId="20547" xr:uid="{00000000-0005-0000-0000-0000E46E0000}"/>
    <cellStyle name="Output 5 6 2 5" xfId="7727" xr:uid="{00000000-0005-0000-0000-0000E56E0000}"/>
    <cellStyle name="Output 5 6 2 5 2" xfId="26157" xr:uid="{00000000-0005-0000-0000-0000E66E0000}"/>
    <cellStyle name="Output 5 6 2 5 3" xfId="21082" xr:uid="{00000000-0005-0000-0000-0000E76E0000}"/>
    <cellStyle name="Output 5 6 2 6" xfId="8101" xr:uid="{00000000-0005-0000-0000-0000E86E0000}"/>
    <cellStyle name="Output 5 6 2 6 2" xfId="26531" xr:uid="{00000000-0005-0000-0000-0000E96E0000}"/>
    <cellStyle name="Output 5 6 2 6 3" xfId="21455" xr:uid="{00000000-0005-0000-0000-0000EA6E0000}"/>
    <cellStyle name="Output 5 6 2 7" xfId="8825" xr:uid="{00000000-0005-0000-0000-0000EB6E0000}"/>
    <cellStyle name="Output 5 6 2 7 2" xfId="27245" xr:uid="{00000000-0005-0000-0000-0000EC6E0000}"/>
    <cellStyle name="Output 5 6 2 7 3" xfId="22116" xr:uid="{00000000-0005-0000-0000-0000ED6E0000}"/>
    <cellStyle name="Output 5 6 2 8" xfId="4317" xr:uid="{00000000-0005-0000-0000-0000EE6E0000}"/>
    <cellStyle name="Output 5 6 2 8 2" xfId="22781" xr:uid="{00000000-0005-0000-0000-0000EF6E0000}"/>
    <cellStyle name="Output 5 6 2 8 3" xfId="17999" xr:uid="{00000000-0005-0000-0000-0000F06E0000}"/>
    <cellStyle name="Output 5 6 2 9" xfId="15607" xr:uid="{00000000-0005-0000-0000-0000F16E0000}"/>
    <cellStyle name="Output 5 6 2 9 2" xfId="36983" xr:uid="{00000000-0005-0000-0000-0000F26E0000}"/>
    <cellStyle name="Output 5 6 2 9 3" xfId="17328" xr:uid="{00000000-0005-0000-0000-0000F36E0000}"/>
    <cellStyle name="Output 5 6 3" xfId="5342" xr:uid="{00000000-0005-0000-0000-0000F46E0000}"/>
    <cellStyle name="Output 5 6 3 2" xfId="11195" xr:uid="{00000000-0005-0000-0000-0000F56E0000}"/>
    <cellStyle name="Output 5 6 3 2 2" xfId="34012" xr:uid="{00000000-0005-0000-0000-0000F66E0000}"/>
    <cellStyle name="Output 5 6 3 2 3" xfId="29573" xr:uid="{00000000-0005-0000-0000-0000F76E0000}"/>
    <cellStyle name="Output 5 6 3 2 4" xfId="23802" xr:uid="{00000000-0005-0000-0000-0000F86E0000}"/>
    <cellStyle name="Output 5 6 3 3" xfId="32092" xr:uid="{00000000-0005-0000-0000-0000F96E0000}"/>
    <cellStyle name="Output 5 6 3 4" xfId="27773" xr:uid="{00000000-0005-0000-0000-0000FA6E0000}"/>
    <cellStyle name="Output 5 6 3 5" xfId="18945" xr:uid="{00000000-0005-0000-0000-0000FB6E0000}"/>
    <cellStyle name="Output 5 6 4" xfId="4931" xr:uid="{00000000-0005-0000-0000-0000FC6E0000}"/>
    <cellStyle name="Output 5 6 4 2" xfId="10608" xr:uid="{00000000-0005-0000-0000-0000FD6E0000}"/>
    <cellStyle name="Output 5 6 4 2 2" xfId="33742" xr:uid="{00000000-0005-0000-0000-0000FE6E0000}"/>
    <cellStyle name="Output 5 6 4 2 3" xfId="23391" xr:uid="{00000000-0005-0000-0000-0000FF6E0000}"/>
    <cellStyle name="Output 5 6 4 3" xfId="31882" xr:uid="{00000000-0005-0000-0000-0000006F0000}"/>
    <cellStyle name="Output 5 6 4 4" xfId="29339" xr:uid="{00000000-0005-0000-0000-0000016F0000}"/>
    <cellStyle name="Output 5 6 4 5" xfId="18545" xr:uid="{00000000-0005-0000-0000-0000026F0000}"/>
    <cellStyle name="Output 5 6 5" xfId="6270" xr:uid="{00000000-0005-0000-0000-0000036F0000}"/>
    <cellStyle name="Output 5 6 5 2" xfId="10052" xr:uid="{00000000-0005-0000-0000-0000046F0000}"/>
    <cellStyle name="Output 5 6 5 2 2" xfId="33358" xr:uid="{00000000-0005-0000-0000-0000056F0000}"/>
    <cellStyle name="Output 5 6 5 2 3" xfId="24710" xr:uid="{00000000-0005-0000-0000-0000066F0000}"/>
    <cellStyle name="Output 5 6 5 3" xfId="32582" xr:uid="{00000000-0005-0000-0000-0000076F0000}"/>
    <cellStyle name="Output 5 6 5 4" xfId="19819" xr:uid="{00000000-0005-0000-0000-0000086F0000}"/>
    <cellStyle name="Output 5 6 6" xfId="7404" xr:uid="{00000000-0005-0000-0000-0000096F0000}"/>
    <cellStyle name="Output 5 6 6 2" xfId="25835" xr:uid="{00000000-0005-0000-0000-00000A6F0000}"/>
    <cellStyle name="Output 5 6 6 3" xfId="20760" xr:uid="{00000000-0005-0000-0000-00000B6F0000}"/>
    <cellStyle name="Output 5 6 7" xfId="7283" xr:uid="{00000000-0005-0000-0000-00000C6F0000}"/>
    <cellStyle name="Output 5 6 7 2" xfId="25714" xr:uid="{00000000-0005-0000-0000-00000D6F0000}"/>
    <cellStyle name="Output 5 6 7 3" xfId="20640" xr:uid="{00000000-0005-0000-0000-00000E6F0000}"/>
    <cellStyle name="Output 5 6 8" xfId="8504" xr:uid="{00000000-0005-0000-0000-00000F6F0000}"/>
    <cellStyle name="Output 5 6 8 2" xfId="26927" xr:uid="{00000000-0005-0000-0000-0000106F0000}"/>
    <cellStyle name="Output 5 6 8 3" xfId="21795" xr:uid="{00000000-0005-0000-0000-0000116F0000}"/>
    <cellStyle name="Output 5 6 9" xfId="3996" xr:uid="{00000000-0005-0000-0000-0000126F0000}"/>
    <cellStyle name="Output 5 6 9 2" xfId="22463" xr:uid="{00000000-0005-0000-0000-0000136F0000}"/>
    <cellStyle name="Output 5 6 9 3" xfId="17678" xr:uid="{00000000-0005-0000-0000-0000146F0000}"/>
    <cellStyle name="Output 5 7" xfId="3081" xr:uid="{00000000-0005-0000-0000-0000156F0000}"/>
    <cellStyle name="Output 5 7 10" xfId="16232" xr:uid="{00000000-0005-0000-0000-0000166F0000}"/>
    <cellStyle name="Output 5 7 10 2" xfId="37545" xr:uid="{00000000-0005-0000-0000-0000176F0000}"/>
    <cellStyle name="Output 5 7 10 3" xfId="16992" xr:uid="{00000000-0005-0000-0000-0000186F0000}"/>
    <cellStyle name="Output 5 7 11" xfId="14552" xr:uid="{00000000-0005-0000-0000-0000196F0000}"/>
    <cellStyle name="Output 5 7 11 2" xfId="36075" xr:uid="{00000000-0005-0000-0000-00001A6F0000}"/>
    <cellStyle name="Output 5 7 12" xfId="27430" xr:uid="{00000000-0005-0000-0000-00001B6F0000}"/>
    <cellStyle name="Output 5 7 2" xfId="3589" xr:uid="{00000000-0005-0000-0000-00001C6F0000}"/>
    <cellStyle name="Output 5 7 2 10" xfId="14573" xr:uid="{00000000-0005-0000-0000-00001D6F0000}"/>
    <cellStyle name="Output 5 7 2 10 2" xfId="36092" xr:uid="{00000000-0005-0000-0000-00001E6F0000}"/>
    <cellStyle name="Output 5 7 2 11" xfId="27431" xr:uid="{00000000-0005-0000-0000-00001F6F0000}"/>
    <cellStyle name="Output 5 7 2 2" xfId="5716" xr:uid="{00000000-0005-0000-0000-0000206F0000}"/>
    <cellStyle name="Output 5 7 2 2 2" xfId="10611" xr:uid="{00000000-0005-0000-0000-0000216F0000}"/>
    <cellStyle name="Output 5 7 2 2 2 2" xfId="33745" xr:uid="{00000000-0005-0000-0000-0000226F0000}"/>
    <cellStyle name="Output 5 7 2 2 2 3" xfId="24169" xr:uid="{00000000-0005-0000-0000-0000236F0000}"/>
    <cellStyle name="Output 5 7 2 2 3" xfId="32305" xr:uid="{00000000-0005-0000-0000-0000246F0000}"/>
    <cellStyle name="Output 5 7 2 2 4" xfId="29342" xr:uid="{00000000-0005-0000-0000-0000256F0000}"/>
    <cellStyle name="Output 5 7 2 2 5" xfId="19280" xr:uid="{00000000-0005-0000-0000-0000266F0000}"/>
    <cellStyle name="Output 5 7 2 3" xfId="5202" xr:uid="{00000000-0005-0000-0000-0000276F0000}"/>
    <cellStyle name="Output 5 7 2 3 2" xfId="23662" xr:uid="{00000000-0005-0000-0000-0000286F0000}"/>
    <cellStyle name="Output 5 7 2 3 3" xfId="18816" xr:uid="{00000000-0005-0000-0000-0000296F0000}"/>
    <cellStyle name="Output 5 7 2 4" xfId="7191" xr:uid="{00000000-0005-0000-0000-00002A6F0000}"/>
    <cellStyle name="Output 5 7 2 4 2" xfId="25622" xr:uid="{00000000-0005-0000-0000-00002B6F0000}"/>
    <cellStyle name="Output 5 7 2 4 3" xfId="20548" xr:uid="{00000000-0005-0000-0000-00002C6F0000}"/>
    <cellStyle name="Output 5 7 2 5" xfId="7728" xr:uid="{00000000-0005-0000-0000-00002D6F0000}"/>
    <cellStyle name="Output 5 7 2 5 2" xfId="26158" xr:uid="{00000000-0005-0000-0000-00002E6F0000}"/>
    <cellStyle name="Output 5 7 2 5 3" xfId="21083" xr:uid="{00000000-0005-0000-0000-00002F6F0000}"/>
    <cellStyle name="Output 5 7 2 6" xfId="8102" xr:uid="{00000000-0005-0000-0000-0000306F0000}"/>
    <cellStyle name="Output 5 7 2 6 2" xfId="26532" xr:uid="{00000000-0005-0000-0000-0000316F0000}"/>
    <cellStyle name="Output 5 7 2 6 3" xfId="21456" xr:uid="{00000000-0005-0000-0000-0000326F0000}"/>
    <cellStyle name="Output 5 7 2 7" xfId="8826" xr:uid="{00000000-0005-0000-0000-0000336F0000}"/>
    <cellStyle name="Output 5 7 2 7 2" xfId="27246" xr:uid="{00000000-0005-0000-0000-0000346F0000}"/>
    <cellStyle name="Output 5 7 2 7 3" xfId="22117" xr:uid="{00000000-0005-0000-0000-0000356F0000}"/>
    <cellStyle name="Output 5 7 2 8" xfId="4318" xr:uid="{00000000-0005-0000-0000-0000366F0000}"/>
    <cellStyle name="Output 5 7 2 8 2" xfId="22782" xr:uid="{00000000-0005-0000-0000-0000376F0000}"/>
    <cellStyle name="Output 5 7 2 8 3" xfId="18000" xr:uid="{00000000-0005-0000-0000-0000386F0000}"/>
    <cellStyle name="Output 5 7 2 9" xfId="15581" xr:uid="{00000000-0005-0000-0000-0000396F0000}"/>
    <cellStyle name="Output 5 7 2 9 2" xfId="36958" xr:uid="{00000000-0005-0000-0000-00003A6F0000}"/>
    <cellStyle name="Output 5 7 2 9 3" xfId="17329" xr:uid="{00000000-0005-0000-0000-00003B6F0000}"/>
    <cellStyle name="Output 5 7 3" xfId="5343" xr:uid="{00000000-0005-0000-0000-00003C6F0000}"/>
    <cellStyle name="Output 5 7 3 2" xfId="11196" xr:uid="{00000000-0005-0000-0000-00003D6F0000}"/>
    <cellStyle name="Output 5 7 3 2 2" xfId="34013" xr:uid="{00000000-0005-0000-0000-00003E6F0000}"/>
    <cellStyle name="Output 5 7 3 2 3" xfId="29574" xr:uid="{00000000-0005-0000-0000-00003F6F0000}"/>
    <cellStyle name="Output 5 7 3 2 4" xfId="23803" xr:uid="{00000000-0005-0000-0000-0000406F0000}"/>
    <cellStyle name="Output 5 7 3 3" xfId="32093" xr:uid="{00000000-0005-0000-0000-0000416F0000}"/>
    <cellStyle name="Output 5 7 3 4" xfId="27774" xr:uid="{00000000-0005-0000-0000-0000426F0000}"/>
    <cellStyle name="Output 5 7 3 5" xfId="18946" xr:uid="{00000000-0005-0000-0000-0000436F0000}"/>
    <cellStyle name="Output 5 7 4" xfId="4932" xr:uid="{00000000-0005-0000-0000-0000446F0000}"/>
    <cellStyle name="Output 5 7 4 2" xfId="10610" xr:uid="{00000000-0005-0000-0000-0000456F0000}"/>
    <cellStyle name="Output 5 7 4 2 2" xfId="33744" xr:uid="{00000000-0005-0000-0000-0000466F0000}"/>
    <cellStyle name="Output 5 7 4 2 3" xfId="23392" xr:uid="{00000000-0005-0000-0000-0000476F0000}"/>
    <cellStyle name="Output 5 7 4 3" xfId="31883" xr:uid="{00000000-0005-0000-0000-0000486F0000}"/>
    <cellStyle name="Output 5 7 4 4" xfId="29341" xr:uid="{00000000-0005-0000-0000-0000496F0000}"/>
    <cellStyle name="Output 5 7 4 5" xfId="18546" xr:uid="{00000000-0005-0000-0000-00004A6F0000}"/>
    <cellStyle name="Output 5 7 5" xfId="6269" xr:uid="{00000000-0005-0000-0000-00004B6F0000}"/>
    <cellStyle name="Output 5 7 5 2" xfId="10053" xr:uid="{00000000-0005-0000-0000-00004C6F0000}"/>
    <cellStyle name="Output 5 7 5 2 2" xfId="33359" xr:uid="{00000000-0005-0000-0000-00004D6F0000}"/>
    <cellStyle name="Output 5 7 5 2 3" xfId="24709" xr:uid="{00000000-0005-0000-0000-00004E6F0000}"/>
    <cellStyle name="Output 5 7 5 3" xfId="32581" xr:uid="{00000000-0005-0000-0000-00004F6F0000}"/>
    <cellStyle name="Output 5 7 5 4" xfId="19818" xr:uid="{00000000-0005-0000-0000-0000506F0000}"/>
    <cellStyle name="Output 5 7 6" xfId="7405" xr:uid="{00000000-0005-0000-0000-0000516F0000}"/>
    <cellStyle name="Output 5 7 6 2" xfId="25836" xr:uid="{00000000-0005-0000-0000-0000526F0000}"/>
    <cellStyle name="Output 5 7 6 3" xfId="20761" xr:uid="{00000000-0005-0000-0000-0000536F0000}"/>
    <cellStyle name="Output 5 7 7" xfId="7130" xr:uid="{00000000-0005-0000-0000-0000546F0000}"/>
    <cellStyle name="Output 5 7 7 2" xfId="25564" xr:uid="{00000000-0005-0000-0000-0000556F0000}"/>
    <cellStyle name="Output 5 7 7 3" xfId="20489" xr:uid="{00000000-0005-0000-0000-0000566F0000}"/>
    <cellStyle name="Output 5 7 8" xfId="8505" xr:uid="{00000000-0005-0000-0000-0000576F0000}"/>
    <cellStyle name="Output 5 7 8 2" xfId="26928" xr:uid="{00000000-0005-0000-0000-0000586F0000}"/>
    <cellStyle name="Output 5 7 8 3" xfId="21796" xr:uid="{00000000-0005-0000-0000-0000596F0000}"/>
    <cellStyle name="Output 5 7 9" xfId="3997" xr:uid="{00000000-0005-0000-0000-00005A6F0000}"/>
    <cellStyle name="Output 5 7 9 2" xfId="22464" xr:uid="{00000000-0005-0000-0000-00005B6F0000}"/>
    <cellStyle name="Output 5 7 9 3" xfId="17679" xr:uid="{00000000-0005-0000-0000-00005C6F0000}"/>
    <cellStyle name="Output 5 8" xfId="3082" xr:uid="{00000000-0005-0000-0000-00005D6F0000}"/>
    <cellStyle name="Output 5 8 10" xfId="16206" xr:uid="{00000000-0005-0000-0000-00005E6F0000}"/>
    <cellStyle name="Output 5 8 10 2" xfId="37521" xr:uid="{00000000-0005-0000-0000-00005F6F0000}"/>
    <cellStyle name="Output 5 8 10 3" xfId="16993" xr:uid="{00000000-0005-0000-0000-0000606F0000}"/>
    <cellStyle name="Output 5 8 11" xfId="15465" xr:uid="{00000000-0005-0000-0000-0000616F0000}"/>
    <cellStyle name="Output 5 8 11 2" xfId="36846" xr:uid="{00000000-0005-0000-0000-0000626F0000}"/>
    <cellStyle name="Output 5 8 12" xfId="27432" xr:uid="{00000000-0005-0000-0000-0000636F0000}"/>
    <cellStyle name="Output 5 8 2" xfId="3590" xr:uid="{00000000-0005-0000-0000-0000646F0000}"/>
    <cellStyle name="Output 5 8 2 10" xfId="16575" xr:uid="{00000000-0005-0000-0000-0000656F0000}"/>
    <cellStyle name="Output 5 8 2 10 2" xfId="37786" xr:uid="{00000000-0005-0000-0000-0000666F0000}"/>
    <cellStyle name="Output 5 8 2 11" xfId="27433" xr:uid="{00000000-0005-0000-0000-0000676F0000}"/>
    <cellStyle name="Output 5 8 2 2" xfId="5717" xr:uid="{00000000-0005-0000-0000-0000686F0000}"/>
    <cellStyle name="Output 5 8 2 2 2" xfId="10613" xr:uid="{00000000-0005-0000-0000-0000696F0000}"/>
    <cellStyle name="Output 5 8 2 2 2 2" xfId="33747" xr:uid="{00000000-0005-0000-0000-00006A6F0000}"/>
    <cellStyle name="Output 5 8 2 2 2 3" xfId="24170" xr:uid="{00000000-0005-0000-0000-00006B6F0000}"/>
    <cellStyle name="Output 5 8 2 2 3" xfId="32306" xr:uid="{00000000-0005-0000-0000-00006C6F0000}"/>
    <cellStyle name="Output 5 8 2 2 4" xfId="29344" xr:uid="{00000000-0005-0000-0000-00006D6F0000}"/>
    <cellStyle name="Output 5 8 2 2 5" xfId="19281" xr:uid="{00000000-0005-0000-0000-00006E6F0000}"/>
    <cellStyle name="Output 5 8 2 3" xfId="5203" xr:uid="{00000000-0005-0000-0000-00006F6F0000}"/>
    <cellStyle name="Output 5 8 2 3 2" xfId="23663" xr:uid="{00000000-0005-0000-0000-0000706F0000}"/>
    <cellStyle name="Output 5 8 2 3 3" xfId="18817" xr:uid="{00000000-0005-0000-0000-0000716F0000}"/>
    <cellStyle name="Output 5 8 2 4" xfId="7192" xr:uid="{00000000-0005-0000-0000-0000726F0000}"/>
    <cellStyle name="Output 5 8 2 4 2" xfId="25623" xr:uid="{00000000-0005-0000-0000-0000736F0000}"/>
    <cellStyle name="Output 5 8 2 4 3" xfId="20549" xr:uid="{00000000-0005-0000-0000-0000746F0000}"/>
    <cellStyle name="Output 5 8 2 5" xfId="7729" xr:uid="{00000000-0005-0000-0000-0000756F0000}"/>
    <cellStyle name="Output 5 8 2 5 2" xfId="26159" xr:uid="{00000000-0005-0000-0000-0000766F0000}"/>
    <cellStyle name="Output 5 8 2 5 3" xfId="21084" xr:uid="{00000000-0005-0000-0000-0000776F0000}"/>
    <cellStyle name="Output 5 8 2 6" xfId="8103" xr:uid="{00000000-0005-0000-0000-0000786F0000}"/>
    <cellStyle name="Output 5 8 2 6 2" xfId="26533" xr:uid="{00000000-0005-0000-0000-0000796F0000}"/>
    <cellStyle name="Output 5 8 2 6 3" xfId="21457" xr:uid="{00000000-0005-0000-0000-00007A6F0000}"/>
    <cellStyle name="Output 5 8 2 7" xfId="8827" xr:uid="{00000000-0005-0000-0000-00007B6F0000}"/>
    <cellStyle name="Output 5 8 2 7 2" xfId="27247" xr:uid="{00000000-0005-0000-0000-00007C6F0000}"/>
    <cellStyle name="Output 5 8 2 7 3" xfId="22118" xr:uid="{00000000-0005-0000-0000-00007D6F0000}"/>
    <cellStyle name="Output 5 8 2 8" xfId="4319" xr:uid="{00000000-0005-0000-0000-00007E6F0000}"/>
    <cellStyle name="Output 5 8 2 8 2" xfId="22783" xr:uid="{00000000-0005-0000-0000-00007F6F0000}"/>
    <cellStyle name="Output 5 8 2 8 3" xfId="18001" xr:uid="{00000000-0005-0000-0000-0000806F0000}"/>
    <cellStyle name="Output 5 8 2 9" xfId="16173" xr:uid="{00000000-0005-0000-0000-0000816F0000}"/>
    <cellStyle name="Output 5 8 2 9 2" xfId="37490" xr:uid="{00000000-0005-0000-0000-0000826F0000}"/>
    <cellStyle name="Output 5 8 2 9 3" xfId="17330" xr:uid="{00000000-0005-0000-0000-0000836F0000}"/>
    <cellStyle name="Output 5 8 3" xfId="5344" xr:uid="{00000000-0005-0000-0000-0000846F0000}"/>
    <cellStyle name="Output 5 8 3 2" xfId="11197" xr:uid="{00000000-0005-0000-0000-0000856F0000}"/>
    <cellStyle name="Output 5 8 3 2 2" xfId="34014" xr:uid="{00000000-0005-0000-0000-0000866F0000}"/>
    <cellStyle name="Output 5 8 3 2 3" xfId="29575" xr:uid="{00000000-0005-0000-0000-0000876F0000}"/>
    <cellStyle name="Output 5 8 3 2 4" xfId="23804" xr:uid="{00000000-0005-0000-0000-0000886F0000}"/>
    <cellStyle name="Output 5 8 3 3" xfId="32094" xr:uid="{00000000-0005-0000-0000-0000896F0000}"/>
    <cellStyle name="Output 5 8 3 4" xfId="27775" xr:uid="{00000000-0005-0000-0000-00008A6F0000}"/>
    <cellStyle name="Output 5 8 3 5" xfId="18947" xr:uid="{00000000-0005-0000-0000-00008B6F0000}"/>
    <cellStyle name="Output 5 8 4" xfId="4933" xr:uid="{00000000-0005-0000-0000-00008C6F0000}"/>
    <cellStyle name="Output 5 8 4 2" xfId="10612" xr:uid="{00000000-0005-0000-0000-00008D6F0000}"/>
    <cellStyle name="Output 5 8 4 2 2" xfId="33746" xr:uid="{00000000-0005-0000-0000-00008E6F0000}"/>
    <cellStyle name="Output 5 8 4 2 3" xfId="23393" xr:uid="{00000000-0005-0000-0000-00008F6F0000}"/>
    <cellStyle name="Output 5 8 4 3" xfId="31884" xr:uid="{00000000-0005-0000-0000-0000906F0000}"/>
    <cellStyle name="Output 5 8 4 4" xfId="29343" xr:uid="{00000000-0005-0000-0000-0000916F0000}"/>
    <cellStyle name="Output 5 8 4 5" xfId="18547" xr:uid="{00000000-0005-0000-0000-0000926F0000}"/>
    <cellStyle name="Output 5 8 5" xfId="6268" xr:uid="{00000000-0005-0000-0000-0000936F0000}"/>
    <cellStyle name="Output 5 8 5 2" xfId="10054" xr:uid="{00000000-0005-0000-0000-0000946F0000}"/>
    <cellStyle name="Output 5 8 5 2 2" xfId="33360" xr:uid="{00000000-0005-0000-0000-0000956F0000}"/>
    <cellStyle name="Output 5 8 5 2 3" xfId="24708" xr:uid="{00000000-0005-0000-0000-0000966F0000}"/>
    <cellStyle name="Output 5 8 5 3" xfId="32580" xr:uid="{00000000-0005-0000-0000-0000976F0000}"/>
    <cellStyle name="Output 5 8 5 4" xfId="19817" xr:uid="{00000000-0005-0000-0000-0000986F0000}"/>
    <cellStyle name="Output 5 8 6" xfId="7406" xr:uid="{00000000-0005-0000-0000-0000996F0000}"/>
    <cellStyle name="Output 5 8 6 2" xfId="25837" xr:uid="{00000000-0005-0000-0000-00009A6F0000}"/>
    <cellStyle name="Output 5 8 6 3" xfId="20762" xr:uid="{00000000-0005-0000-0000-00009B6F0000}"/>
    <cellStyle name="Output 5 8 7" xfId="7293" xr:uid="{00000000-0005-0000-0000-00009C6F0000}"/>
    <cellStyle name="Output 5 8 7 2" xfId="25724" xr:uid="{00000000-0005-0000-0000-00009D6F0000}"/>
    <cellStyle name="Output 5 8 7 3" xfId="20649" xr:uid="{00000000-0005-0000-0000-00009E6F0000}"/>
    <cellStyle name="Output 5 8 8" xfId="8506" xr:uid="{00000000-0005-0000-0000-00009F6F0000}"/>
    <cellStyle name="Output 5 8 8 2" xfId="26929" xr:uid="{00000000-0005-0000-0000-0000A06F0000}"/>
    <cellStyle name="Output 5 8 8 3" xfId="21797" xr:uid="{00000000-0005-0000-0000-0000A16F0000}"/>
    <cellStyle name="Output 5 8 9" xfId="3998" xr:uid="{00000000-0005-0000-0000-0000A26F0000}"/>
    <cellStyle name="Output 5 8 9 2" xfId="22465" xr:uid="{00000000-0005-0000-0000-0000A36F0000}"/>
    <cellStyle name="Output 5 8 9 3" xfId="17680" xr:uid="{00000000-0005-0000-0000-0000A46F0000}"/>
    <cellStyle name="Output 5 9" xfId="3083" xr:uid="{00000000-0005-0000-0000-0000A56F0000}"/>
    <cellStyle name="Output 5 9 10" xfId="16142" xr:uid="{00000000-0005-0000-0000-0000A66F0000}"/>
    <cellStyle name="Output 5 9 10 2" xfId="37463" xr:uid="{00000000-0005-0000-0000-0000A76F0000}"/>
    <cellStyle name="Output 5 9 10 3" xfId="16994" xr:uid="{00000000-0005-0000-0000-0000A86F0000}"/>
    <cellStyle name="Output 5 9 11" xfId="14735" xr:uid="{00000000-0005-0000-0000-0000A96F0000}"/>
    <cellStyle name="Output 5 9 11 2" xfId="36215" xr:uid="{00000000-0005-0000-0000-0000AA6F0000}"/>
    <cellStyle name="Output 5 9 12" xfId="27434" xr:uid="{00000000-0005-0000-0000-0000AB6F0000}"/>
    <cellStyle name="Output 5 9 2" xfId="3591" xr:uid="{00000000-0005-0000-0000-0000AC6F0000}"/>
    <cellStyle name="Output 5 9 2 10" xfId="14531" xr:uid="{00000000-0005-0000-0000-0000AD6F0000}"/>
    <cellStyle name="Output 5 9 2 10 2" xfId="36057" xr:uid="{00000000-0005-0000-0000-0000AE6F0000}"/>
    <cellStyle name="Output 5 9 2 11" xfId="27435" xr:uid="{00000000-0005-0000-0000-0000AF6F0000}"/>
    <cellStyle name="Output 5 9 2 2" xfId="5718" xr:uid="{00000000-0005-0000-0000-0000B06F0000}"/>
    <cellStyle name="Output 5 9 2 2 2" xfId="10615" xr:uid="{00000000-0005-0000-0000-0000B16F0000}"/>
    <cellStyle name="Output 5 9 2 2 2 2" xfId="33749" xr:uid="{00000000-0005-0000-0000-0000B26F0000}"/>
    <cellStyle name="Output 5 9 2 2 2 3" xfId="24171" xr:uid="{00000000-0005-0000-0000-0000B36F0000}"/>
    <cellStyle name="Output 5 9 2 2 3" xfId="32307" xr:uid="{00000000-0005-0000-0000-0000B46F0000}"/>
    <cellStyle name="Output 5 9 2 2 4" xfId="29346" xr:uid="{00000000-0005-0000-0000-0000B56F0000}"/>
    <cellStyle name="Output 5 9 2 2 5" xfId="19282" xr:uid="{00000000-0005-0000-0000-0000B66F0000}"/>
    <cellStyle name="Output 5 9 2 3" xfId="5204" xr:uid="{00000000-0005-0000-0000-0000B76F0000}"/>
    <cellStyle name="Output 5 9 2 3 2" xfId="23664" xr:uid="{00000000-0005-0000-0000-0000B86F0000}"/>
    <cellStyle name="Output 5 9 2 3 3" xfId="18818" xr:uid="{00000000-0005-0000-0000-0000B96F0000}"/>
    <cellStyle name="Output 5 9 2 4" xfId="7193" xr:uid="{00000000-0005-0000-0000-0000BA6F0000}"/>
    <cellStyle name="Output 5 9 2 4 2" xfId="25624" xr:uid="{00000000-0005-0000-0000-0000BB6F0000}"/>
    <cellStyle name="Output 5 9 2 4 3" xfId="20550" xr:uid="{00000000-0005-0000-0000-0000BC6F0000}"/>
    <cellStyle name="Output 5 9 2 5" xfId="7730" xr:uid="{00000000-0005-0000-0000-0000BD6F0000}"/>
    <cellStyle name="Output 5 9 2 5 2" xfId="26160" xr:uid="{00000000-0005-0000-0000-0000BE6F0000}"/>
    <cellStyle name="Output 5 9 2 5 3" xfId="21085" xr:uid="{00000000-0005-0000-0000-0000BF6F0000}"/>
    <cellStyle name="Output 5 9 2 6" xfId="8104" xr:uid="{00000000-0005-0000-0000-0000C06F0000}"/>
    <cellStyle name="Output 5 9 2 6 2" xfId="26534" xr:uid="{00000000-0005-0000-0000-0000C16F0000}"/>
    <cellStyle name="Output 5 9 2 6 3" xfId="21458" xr:uid="{00000000-0005-0000-0000-0000C26F0000}"/>
    <cellStyle name="Output 5 9 2 7" xfId="8828" xr:uid="{00000000-0005-0000-0000-0000C36F0000}"/>
    <cellStyle name="Output 5 9 2 7 2" xfId="27248" xr:uid="{00000000-0005-0000-0000-0000C46F0000}"/>
    <cellStyle name="Output 5 9 2 7 3" xfId="22119" xr:uid="{00000000-0005-0000-0000-0000C56F0000}"/>
    <cellStyle name="Output 5 9 2 8" xfId="4320" xr:uid="{00000000-0005-0000-0000-0000C66F0000}"/>
    <cellStyle name="Output 5 9 2 8 2" xfId="22784" xr:uid="{00000000-0005-0000-0000-0000C76F0000}"/>
    <cellStyle name="Output 5 9 2 8 3" xfId="18002" xr:uid="{00000000-0005-0000-0000-0000C86F0000}"/>
    <cellStyle name="Output 5 9 2 9" xfId="16107" xr:uid="{00000000-0005-0000-0000-0000C96F0000}"/>
    <cellStyle name="Output 5 9 2 9 2" xfId="37429" xr:uid="{00000000-0005-0000-0000-0000CA6F0000}"/>
    <cellStyle name="Output 5 9 2 9 3" xfId="17331" xr:uid="{00000000-0005-0000-0000-0000CB6F0000}"/>
    <cellStyle name="Output 5 9 3" xfId="5345" xr:uid="{00000000-0005-0000-0000-0000CC6F0000}"/>
    <cellStyle name="Output 5 9 3 2" xfId="11198" xr:uid="{00000000-0005-0000-0000-0000CD6F0000}"/>
    <cellStyle name="Output 5 9 3 2 2" xfId="34015" xr:uid="{00000000-0005-0000-0000-0000CE6F0000}"/>
    <cellStyle name="Output 5 9 3 2 3" xfId="29576" xr:uid="{00000000-0005-0000-0000-0000CF6F0000}"/>
    <cellStyle name="Output 5 9 3 2 4" xfId="23805" xr:uid="{00000000-0005-0000-0000-0000D06F0000}"/>
    <cellStyle name="Output 5 9 3 3" xfId="32095" xr:uid="{00000000-0005-0000-0000-0000D16F0000}"/>
    <cellStyle name="Output 5 9 3 4" xfId="27776" xr:uid="{00000000-0005-0000-0000-0000D26F0000}"/>
    <cellStyle name="Output 5 9 3 5" xfId="18948" xr:uid="{00000000-0005-0000-0000-0000D36F0000}"/>
    <cellStyle name="Output 5 9 4" xfId="4934" xr:uid="{00000000-0005-0000-0000-0000D46F0000}"/>
    <cellStyle name="Output 5 9 4 2" xfId="10614" xr:uid="{00000000-0005-0000-0000-0000D56F0000}"/>
    <cellStyle name="Output 5 9 4 2 2" xfId="33748" xr:uid="{00000000-0005-0000-0000-0000D66F0000}"/>
    <cellStyle name="Output 5 9 4 2 3" xfId="23394" xr:uid="{00000000-0005-0000-0000-0000D76F0000}"/>
    <cellStyle name="Output 5 9 4 3" xfId="31885" xr:uid="{00000000-0005-0000-0000-0000D86F0000}"/>
    <cellStyle name="Output 5 9 4 4" xfId="29345" xr:uid="{00000000-0005-0000-0000-0000D96F0000}"/>
    <cellStyle name="Output 5 9 4 5" xfId="18548" xr:uid="{00000000-0005-0000-0000-0000DA6F0000}"/>
    <cellStyle name="Output 5 9 5" xfId="6267" xr:uid="{00000000-0005-0000-0000-0000DB6F0000}"/>
    <cellStyle name="Output 5 9 5 2" xfId="10055" xr:uid="{00000000-0005-0000-0000-0000DC6F0000}"/>
    <cellStyle name="Output 5 9 5 2 2" xfId="33361" xr:uid="{00000000-0005-0000-0000-0000DD6F0000}"/>
    <cellStyle name="Output 5 9 5 2 3" xfId="24707" xr:uid="{00000000-0005-0000-0000-0000DE6F0000}"/>
    <cellStyle name="Output 5 9 5 3" xfId="32579" xr:uid="{00000000-0005-0000-0000-0000DF6F0000}"/>
    <cellStyle name="Output 5 9 5 4" xfId="19816" xr:uid="{00000000-0005-0000-0000-0000E06F0000}"/>
    <cellStyle name="Output 5 9 6" xfId="7407" xr:uid="{00000000-0005-0000-0000-0000E16F0000}"/>
    <cellStyle name="Output 5 9 6 2" xfId="25838" xr:uid="{00000000-0005-0000-0000-0000E26F0000}"/>
    <cellStyle name="Output 5 9 6 3" xfId="20763" xr:uid="{00000000-0005-0000-0000-0000E36F0000}"/>
    <cellStyle name="Output 5 9 7" xfId="7294" xr:uid="{00000000-0005-0000-0000-0000E46F0000}"/>
    <cellStyle name="Output 5 9 7 2" xfId="25725" xr:uid="{00000000-0005-0000-0000-0000E56F0000}"/>
    <cellStyle name="Output 5 9 7 3" xfId="20650" xr:uid="{00000000-0005-0000-0000-0000E66F0000}"/>
    <cellStyle name="Output 5 9 8" xfId="8507" xr:uid="{00000000-0005-0000-0000-0000E76F0000}"/>
    <cellStyle name="Output 5 9 8 2" xfId="26930" xr:uid="{00000000-0005-0000-0000-0000E86F0000}"/>
    <cellStyle name="Output 5 9 8 3" xfId="21798" xr:uid="{00000000-0005-0000-0000-0000E96F0000}"/>
    <cellStyle name="Output 5 9 9" xfId="3999" xr:uid="{00000000-0005-0000-0000-0000EA6F0000}"/>
    <cellStyle name="Output 5 9 9 2" xfId="22466" xr:uid="{00000000-0005-0000-0000-0000EB6F0000}"/>
    <cellStyle name="Output 5 9 9 3" xfId="17681" xr:uid="{00000000-0005-0000-0000-0000EC6F0000}"/>
    <cellStyle name="Output 6" xfId="3084" xr:uid="{00000000-0005-0000-0000-0000ED6F0000}"/>
    <cellStyle name="Output 6 10" xfId="3085" xr:uid="{00000000-0005-0000-0000-0000EE6F0000}"/>
    <cellStyle name="Output 6 10 10" xfId="15652" xr:uid="{00000000-0005-0000-0000-0000EF6F0000}"/>
    <cellStyle name="Output 6 10 10 2" xfId="37027" xr:uid="{00000000-0005-0000-0000-0000F06F0000}"/>
    <cellStyle name="Output 6 10 10 3" xfId="16996" xr:uid="{00000000-0005-0000-0000-0000F16F0000}"/>
    <cellStyle name="Output 6 10 11" xfId="15584" xr:uid="{00000000-0005-0000-0000-0000F26F0000}"/>
    <cellStyle name="Output 6 10 11 2" xfId="36961" xr:uid="{00000000-0005-0000-0000-0000F36F0000}"/>
    <cellStyle name="Output 6 10 12" xfId="27437" xr:uid="{00000000-0005-0000-0000-0000F46F0000}"/>
    <cellStyle name="Output 6 10 2" xfId="3593" xr:uid="{00000000-0005-0000-0000-0000F56F0000}"/>
    <cellStyle name="Output 6 10 2 10" xfId="14829" xr:uid="{00000000-0005-0000-0000-0000F66F0000}"/>
    <cellStyle name="Output 6 10 2 10 2" xfId="36282" xr:uid="{00000000-0005-0000-0000-0000F76F0000}"/>
    <cellStyle name="Output 6 10 2 11" xfId="27438" xr:uid="{00000000-0005-0000-0000-0000F86F0000}"/>
    <cellStyle name="Output 6 10 2 2" xfId="5720" xr:uid="{00000000-0005-0000-0000-0000F96F0000}"/>
    <cellStyle name="Output 6 10 2 2 2" xfId="10618" xr:uid="{00000000-0005-0000-0000-0000FA6F0000}"/>
    <cellStyle name="Output 6 10 2 2 2 2" xfId="33752" xr:uid="{00000000-0005-0000-0000-0000FB6F0000}"/>
    <cellStyle name="Output 6 10 2 2 2 3" xfId="24173" xr:uid="{00000000-0005-0000-0000-0000FC6F0000}"/>
    <cellStyle name="Output 6 10 2 2 3" xfId="32309" xr:uid="{00000000-0005-0000-0000-0000FD6F0000}"/>
    <cellStyle name="Output 6 10 2 2 4" xfId="29349" xr:uid="{00000000-0005-0000-0000-0000FE6F0000}"/>
    <cellStyle name="Output 6 10 2 2 5" xfId="19284" xr:uid="{00000000-0005-0000-0000-0000FF6F0000}"/>
    <cellStyle name="Output 6 10 2 3" xfId="5206" xr:uid="{00000000-0005-0000-0000-000000700000}"/>
    <cellStyle name="Output 6 10 2 3 2" xfId="23666" xr:uid="{00000000-0005-0000-0000-000001700000}"/>
    <cellStyle name="Output 6 10 2 3 3" xfId="18820" xr:uid="{00000000-0005-0000-0000-000002700000}"/>
    <cellStyle name="Output 6 10 2 4" xfId="7195" xr:uid="{00000000-0005-0000-0000-000003700000}"/>
    <cellStyle name="Output 6 10 2 4 2" xfId="25626" xr:uid="{00000000-0005-0000-0000-000004700000}"/>
    <cellStyle name="Output 6 10 2 4 3" xfId="20552" xr:uid="{00000000-0005-0000-0000-000005700000}"/>
    <cellStyle name="Output 6 10 2 5" xfId="7732" xr:uid="{00000000-0005-0000-0000-000006700000}"/>
    <cellStyle name="Output 6 10 2 5 2" xfId="26162" xr:uid="{00000000-0005-0000-0000-000007700000}"/>
    <cellStyle name="Output 6 10 2 5 3" xfId="21087" xr:uid="{00000000-0005-0000-0000-000008700000}"/>
    <cellStyle name="Output 6 10 2 6" xfId="8106" xr:uid="{00000000-0005-0000-0000-000009700000}"/>
    <cellStyle name="Output 6 10 2 6 2" xfId="26536" xr:uid="{00000000-0005-0000-0000-00000A700000}"/>
    <cellStyle name="Output 6 10 2 6 3" xfId="21460" xr:uid="{00000000-0005-0000-0000-00000B700000}"/>
    <cellStyle name="Output 6 10 2 7" xfId="8830" xr:uid="{00000000-0005-0000-0000-00000C700000}"/>
    <cellStyle name="Output 6 10 2 7 2" xfId="27250" xr:uid="{00000000-0005-0000-0000-00000D700000}"/>
    <cellStyle name="Output 6 10 2 7 3" xfId="22121" xr:uid="{00000000-0005-0000-0000-00000E700000}"/>
    <cellStyle name="Output 6 10 2 8" xfId="4322" xr:uid="{00000000-0005-0000-0000-00000F700000}"/>
    <cellStyle name="Output 6 10 2 8 2" xfId="22786" xr:uid="{00000000-0005-0000-0000-000010700000}"/>
    <cellStyle name="Output 6 10 2 8 3" xfId="18004" xr:uid="{00000000-0005-0000-0000-000011700000}"/>
    <cellStyle name="Output 6 10 2 9" xfId="15629" xr:uid="{00000000-0005-0000-0000-000012700000}"/>
    <cellStyle name="Output 6 10 2 9 2" xfId="37004" xr:uid="{00000000-0005-0000-0000-000013700000}"/>
    <cellStyle name="Output 6 10 2 9 3" xfId="17333" xr:uid="{00000000-0005-0000-0000-000014700000}"/>
    <cellStyle name="Output 6 10 3" xfId="5347" xr:uid="{00000000-0005-0000-0000-000015700000}"/>
    <cellStyle name="Output 6 10 3 2" xfId="11200" xr:uid="{00000000-0005-0000-0000-000016700000}"/>
    <cellStyle name="Output 6 10 3 2 2" xfId="34017" xr:uid="{00000000-0005-0000-0000-000017700000}"/>
    <cellStyle name="Output 6 10 3 2 3" xfId="29578" xr:uid="{00000000-0005-0000-0000-000018700000}"/>
    <cellStyle name="Output 6 10 3 2 4" xfId="23807" xr:uid="{00000000-0005-0000-0000-000019700000}"/>
    <cellStyle name="Output 6 10 3 3" xfId="32097" xr:uid="{00000000-0005-0000-0000-00001A700000}"/>
    <cellStyle name="Output 6 10 3 4" xfId="27778" xr:uid="{00000000-0005-0000-0000-00001B700000}"/>
    <cellStyle name="Output 6 10 3 5" xfId="18950" xr:uid="{00000000-0005-0000-0000-00001C700000}"/>
    <cellStyle name="Output 6 10 4" xfId="4936" xr:uid="{00000000-0005-0000-0000-00001D700000}"/>
    <cellStyle name="Output 6 10 4 2" xfId="10617" xr:uid="{00000000-0005-0000-0000-00001E700000}"/>
    <cellStyle name="Output 6 10 4 2 2" xfId="33751" xr:uid="{00000000-0005-0000-0000-00001F700000}"/>
    <cellStyle name="Output 6 10 4 2 3" xfId="23396" xr:uid="{00000000-0005-0000-0000-000020700000}"/>
    <cellStyle name="Output 6 10 4 3" xfId="31887" xr:uid="{00000000-0005-0000-0000-000021700000}"/>
    <cellStyle name="Output 6 10 4 4" xfId="29348" xr:uid="{00000000-0005-0000-0000-000022700000}"/>
    <cellStyle name="Output 6 10 4 5" xfId="18550" xr:uid="{00000000-0005-0000-0000-000023700000}"/>
    <cellStyle name="Output 6 10 5" xfId="6265" xr:uid="{00000000-0005-0000-0000-000024700000}"/>
    <cellStyle name="Output 6 10 5 2" xfId="10057" xr:uid="{00000000-0005-0000-0000-000025700000}"/>
    <cellStyle name="Output 6 10 5 2 2" xfId="33363" xr:uid="{00000000-0005-0000-0000-000026700000}"/>
    <cellStyle name="Output 6 10 5 2 3" xfId="24705" xr:uid="{00000000-0005-0000-0000-000027700000}"/>
    <cellStyle name="Output 6 10 5 3" xfId="32577" xr:uid="{00000000-0005-0000-0000-000028700000}"/>
    <cellStyle name="Output 6 10 5 4" xfId="19814" xr:uid="{00000000-0005-0000-0000-000029700000}"/>
    <cellStyle name="Output 6 10 6" xfId="7409" xr:uid="{00000000-0005-0000-0000-00002A700000}"/>
    <cellStyle name="Output 6 10 6 2" xfId="25840" xr:uid="{00000000-0005-0000-0000-00002B700000}"/>
    <cellStyle name="Output 6 10 6 3" xfId="20765" xr:uid="{00000000-0005-0000-0000-00002C700000}"/>
    <cellStyle name="Output 6 10 7" xfId="6235" xr:uid="{00000000-0005-0000-0000-00002D700000}"/>
    <cellStyle name="Output 6 10 7 2" xfId="24675" xr:uid="{00000000-0005-0000-0000-00002E700000}"/>
    <cellStyle name="Output 6 10 7 3" xfId="19784" xr:uid="{00000000-0005-0000-0000-00002F700000}"/>
    <cellStyle name="Output 6 10 8" xfId="8509" xr:uid="{00000000-0005-0000-0000-000030700000}"/>
    <cellStyle name="Output 6 10 8 2" xfId="26932" xr:uid="{00000000-0005-0000-0000-000031700000}"/>
    <cellStyle name="Output 6 10 8 3" xfId="21800" xr:uid="{00000000-0005-0000-0000-000032700000}"/>
    <cellStyle name="Output 6 10 9" xfId="4001" xr:uid="{00000000-0005-0000-0000-000033700000}"/>
    <cellStyle name="Output 6 10 9 2" xfId="22468" xr:uid="{00000000-0005-0000-0000-000034700000}"/>
    <cellStyle name="Output 6 10 9 3" xfId="17683" xr:uid="{00000000-0005-0000-0000-000035700000}"/>
    <cellStyle name="Output 6 11" xfId="3086" xr:uid="{00000000-0005-0000-0000-000036700000}"/>
    <cellStyle name="Output 6 11 10" xfId="15606" xr:uid="{00000000-0005-0000-0000-000037700000}"/>
    <cellStyle name="Output 6 11 10 2" xfId="36982" xr:uid="{00000000-0005-0000-0000-000038700000}"/>
    <cellStyle name="Output 6 11 10 3" xfId="16997" xr:uid="{00000000-0005-0000-0000-000039700000}"/>
    <cellStyle name="Output 6 11 11" xfId="14522" xr:uid="{00000000-0005-0000-0000-00003A700000}"/>
    <cellStyle name="Output 6 11 11 2" xfId="36050" xr:uid="{00000000-0005-0000-0000-00003B700000}"/>
    <cellStyle name="Output 6 11 12" xfId="27439" xr:uid="{00000000-0005-0000-0000-00003C700000}"/>
    <cellStyle name="Output 6 11 2" xfId="3594" xr:uid="{00000000-0005-0000-0000-00003D700000}"/>
    <cellStyle name="Output 6 11 2 10" xfId="16584" xr:uid="{00000000-0005-0000-0000-00003E700000}"/>
    <cellStyle name="Output 6 11 2 10 2" xfId="37794" xr:uid="{00000000-0005-0000-0000-00003F700000}"/>
    <cellStyle name="Output 6 11 2 11" xfId="27440" xr:uid="{00000000-0005-0000-0000-000040700000}"/>
    <cellStyle name="Output 6 11 2 2" xfId="5721" xr:uid="{00000000-0005-0000-0000-000041700000}"/>
    <cellStyle name="Output 6 11 2 2 2" xfId="10620" xr:uid="{00000000-0005-0000-0000-000042700000}"/>
    <cellStyle name="Output 6 11 2 2 2 2" xfId="33754" xr:uid="{00000000-0005-0000-0000-000043700000}"/>
    <cellStyle name="Output 6 11 2 2 2 3" xfId="24174" xr:uid="{00000000-0005-0000-0000-000044700000}"/>
    <cellStyle name="Output 6 11 2 2 3" xfId="32310" xr:uid="{00000000-0005-0000-0000-000045700000}"/>
    <cellStyle name="Output 6 11 2 2 4" xfId="29351" xr:uid="{00000000-0005-0000-0000-000046700000}"/>
    <cellStyle name="Output 6 11 2 2 5" xfId="19285" xr:uid="{00000000-0005-0000-0000-000047700000}"/>
    <cellStyle name="Output 6 11 2 3" xfId="5207" xr:uid="{00000000-0005-0000-0000-000048700000}"/>
    <cellStyle name="Output 6 11 2 3 2" xfId="23667" xr:uid="{00000000-0005-0000-0000-000049700000}"/>
    <cellStyle name="Output 6 11 2 3 3" xfId="18821" xr:uid="{00000000-0005-0000-0000-00004A700000}"/>
    <cellStyle name="Output 6 11 2 4" xfId="7196" xr:uid="{00000000-0005-0000-0000-00004B700000}"/>
    <cellStyle name="Output 6 11 2 4 2" xfId="25627" xr:uid="{00000000-0005-0000-0000-00004C700000}"/>
    <cellStyle name="Output 6 11 2 4 3" xfId="20553" xr:uid="{00000000-0005-0000-0000-00004D700000}"/>
    <cellStyle name="Output 6 11 2 5" xfId="7733" xr:uid="{00000000-0005-0000-0000-00004E700000}"/>
    <cellStyle name="Output 6 11 2 5 2" xfId="26163" xr:uid="{00000000-0005-0000-0000-00004F700000}"/>
    <cellStyle name="Output 6 11 2 5 3" xfId="21088" xr:uid="{00000000-0005-0000-0000-000050700000}"/>
    <cellStyle name="Output 6 11 2 6" xfId="8107" xr:uid="{00000000-0005-0000-0000-000051700000}"/>
    <cellStyle name="Output 6 11 2 6 2" xfId="26537" xr:uid="{00000000-0005-0000-0000-000052700000}"/>
    <cellStyle name="Output 6 11 2 6 3" xfId="21461" xr:uid="{00000000-0005-0000-0000-000053700000}"/>
    <cellStyle name="Output 6 11 2 7" xfId="8831" xr:uid="{00000000-0005-0000-0000-000054700000}"/>
    <cellStyle name="Output 6 11 2 7 2" xfId="27251" xr:uid="{00000000-0005-0000-0000-000055700000}"/>
    <cellStyle name="Output 6 11 2 7 3" xfId="22122" xr:uid="{00000000-0005-0000-0000-000056700000}"/>
    <cellStyle name="Output 6 11 2 8" xfId="4323" xr:uid="{00000000-0005-0000-0000-000057700000}"/>
    <cellStyle name="Output 6 11 2 8 2" xfId="22787" xr:uid="{00000000-0005-0000-0000-000058700000}"/>
    <cellStyle name="Output 6 11 2 8 3" xfId="18005" xr:uid="{00000000-0005-0000-0000-000059700000}"/>
    <cellStyle name="Output 6 11 2 9" xfId="16231" xr:uid="{00000000-0005-0000-0000-00005A700000}"/>
    <cellStyle name="Output 6 11 2 9 2" xfId="37544" xr:uid="{00000000-0005-0000-0000-00005B700000}"/>
    <cellStyle name="Output 6 11 2 9 3" xfId="17334" xr:uid="{00000000-0005-0000-0000-00005C700000}"/>
    <cellStyle name="Output 6 11 3" xfId="5348" xr:uid="{00000000-0005-0000-0000-00005D700000}"/>
    <cellStyle name="Output 6 11 3 2" xfId="11201" xr:uid="{00000000-0005-0000-0000-00005E700000}"/>
    <cellStyle name="Output 6 11 3 2 2" xfId="34018" xr:uid="{00000000-0005-0000-0000-00005F700000}"/>
    <cellStyle name="Output 6 11 3 2 3" xfId="29579" xr:uid="{00000000-0005-0000-0000-000060700000}"/>
    <cellStyle name="Output 6 11 3 2 4" xfId="23808" xr:uid="{00000000-0005-0000-0000-000061700000}"/>
    <cellStyle name="Output 6 11 3 3" xfId="32098" xr:uid="{00000000-0005-0000-0000-000062700000}"/>
    <cellStyle name="Output 6 11 3 4" xfId="27779" xr:uid="{00000000-0005-0000-0000-000063700000}"/>
    <cellStyle name="Output 6 11 3 5" xfId="18951" xr:uid="{00000000-0005-0000-0000-000064700000}"/>
    <cellStyle name="Output 6 11 4" xfId="4937" xr:uid="{00000000-0005-0000-0000-000065700000}"/>
    <cellStyle name="Output 6 11 4 2" xfId="10619" xr:uid="{00000000-0005-0000-0000-000066700000}"/>
    <cellStyle name="Output 6 11 4 2 2" xfId="33753" xr:uid="{00000000-0005-0000-0000-000067700000}"/>
    <cellStyle name="Output 6 11 4 2 3" xfId="23397" xr:uid="{00000000-0005-0000-0000-000068700000}"/>
    <cellStyle name="Output 6 11 4 3" xfId="31888" xr:uid="{00000000-0005-0000-0000-000069700000}"/>
    <cellStyle name="Output 6 11 4 4" xfId="29350" xr:uid="{00000000-0005-0000-0000-00006A700000}"/>
    <cellStyle name="Output 6 11 4 5" xfId="18551" xr:uid="{00000000-0005-0000-0000-00006B700000}"/>
    <cellStyle name="Output 6 11 5" xfId="6264" xr:uid="{00000000-0005-0000-0000-00006C700000}"/>
    <cellStyle name="Output 6 11 5 2" xfId="10058" xr:uid="{00000000-0005-0000-0000-00006D700000}"/>
    <cellStyle name="Output 6 11 5 2 2" xfId="33364" xr:uid="{00000000-0005-0000-0000-00006E700000}"/>
    <cellStyle name="Output 6 11 5 2 3" xfId="24704" xr:uid="{00000000-0005-0000-0000-00006F700000}"/>
    <cellStyle name="Output 6 11 5 3" xfId="32576" xr:uid="{00000000-0005-0000-0000-000070700000}"/>
    <cellStyle name="Output 6 11 5 4" xfId="19813" xr:uid="{00000000-0005-0000-0000-000071700000}"/>
    <cellStyle name="Output 6 11 6" xfId="7410" xr:uid="{00000000-0005-0000-0000-000072700000}"/>
    <cellStyle name="Output 6 11 6 2" xfId="25841" xr:uid="{00000000-0005-0000-0000-000073700000}"/>
    <cellStyle name="Output 6 11 6 3" xfId="20766" xr:uid="{00000000-0005-0000-0000-000074700000}"/>
    <cellStyle name="Output 6 11 7" xfId="6234" xr:uid="{00000000-0005-0000-0000-000075700000}"/>
    <cellStyle name="Output 6 11 7 2" xfId="24674" xr:uid="{00000000-0005-0000-0000-000076700000}"/>
    <cellStyle name="Output 6 11 7 3" xfId="19783" xr:uid="{00000000-0005-0000-0000-000077700000}"/>
    <cellStyle name="Output 6 11 8" xfId="8510" xr:uid="{00000000-0005-0000-0000-000078700000}"/>
    <cellStyle name="Output 6 11 8 2" xfId="26933" xr:uid="{00000000-0005-0000-0000-000079700000}"/>
    <cellStyle name="Output 6 11 8 3" xfId="21801" xr:uid="{00000000-0005-0000-0000-00007A700000}"/>
    <cellStyle name="Output 6 11 9" xfId="4002" xr:uid="{00000000-0005-0000-0000-00007B700000}"/>
    <cellStyle name="Output 6 11 9 2" xfId="22469" xr:uid="{00000000-0005-0000-0000-00007C700000}"/>
    <cellStyle name="Output 6 11 9 3" xfId="17684" xr:uid="{00000000-0005-0000-0000-00007D700000}"/>
    <cellStyle name="Output 6 12" xfId="3592" xr:uid="{00000000-0005-0000-0000-00007E700000}"/>
    <cellStyle name="Output 6 12 10" xfId="14960" xr:uid="{00000000-0005-0000-0000-00007F700000}"/>
    <cellStyle name="Output 6 12 10 2" xfId="36393" xr:uid="{00000000-0005-0000-0000-000080700000}"/>
    <cellStyle name="Output 6 12 11" xfId="27441" xr:uid="{00000000-0005-0000-0000-000081700000}"/>
    <cellStyle name="Output 6 12 2" xfId="5719" xr:uid="{00000000-0005-0000-0000-000082700000}"/>
    <cellStyle name="Output 6 12 2 2" xfId="10621" xr:uid="{00000000-0005-0000-0000-000083700000}"/>
    <cellStyle name="Output 6 12 2 2 2" xfId="33755" xr:uid="{00000000-0005-0000-0000-000084700000}"/>
    <cellStyle name="Output 6 12 2 2 3" xfId="24172" xr:uid="{00000000-0005-0000-0000-000085700000}"/>
    <cellStyle name="Output 6 12 2 3" xfId="32308" xr:uid="{00000000-0005-0000-0000-000086700000}"/>
    <cellStyle name="Output 6 12 2 4" xfId="29352" xr:uid="{00000000-0005-0000-0000-000087700000}"/>
    <cellStyle name="Output 6 12 2 5" xfId="19283" xr:uid="{00000000-0005-0000-0000-000088700000}"/>
    <cellStyle name="Output 6 12 3" xfId="5205" xr:uid="{00000000-0005-0000-0000-000089700000}"/>
    <cellStyle name="Output 6 12 3 2" xfId="23665" xr:uid="{00000000-0005-0000-0000-00008A700000}"/>
    <cellStyle name="Output 6 12 3 3" xfId="18819" xr:uid="{00000000-0005-0000-0000-00008B700000}"/>
    <cellStyle name="Output 6 12 4" xfId="7194" xr:uid="{00000000-0005-0000-0000-00008C700000}"/>
    <cellStyle name="Output 6 12 4 2" xfId="25625" xr:uid="{00000000-0005-0000-0000-00008D700000}"/>
    <cellStyle name="Output 6 12 4 3" xfId="20551" xr:uid="{00000000-0005-0000-0000-00008E700000}"/>
    <cellStyle name="Output 6 12 5" xfId="7731" xr:uid="{00000000-0005-0000-0000-00008F700000}"/>
    <cellStyle name="Output 6 12 5 2" xfId="26161" xr:uid="{00000000-0005-0000-0000-000090700000}"/>
    <cellStyle name="Output 6 12 5 3" xfId="21086" xr:uid="{00000000-0005-0000-0000-000091700000}"/>
    <cellStyle name="Output 6 12 6" xfId="8105" xr:uid="{00000000-0005-0000-0000-000092700000}"/>
    <cellStyle name="Output 6 12 6 2" xfId="26535" xr:uid="{00000000-0005-0000-0000-000093700000}"/>
    <cellStyle name="Output 6 12 6 3" xfId="21459" xr:uid="{00000000-0005-0000-0000-000094700000}"/>
    <cellStyle name="Output 6 12 7" xfId="8829" xr:uid="{00000000-0005-0000-0000-000095700000}"/>
    <cellStyle name="Output 6 12 7 2" xfId="27249" xr:uid="{00000000-0005-0000-0000-000096700000}"/>
    <cellStyle name="Output 6 12 7 3" xfId="22120" xr:uid="{00000000-0005-0000-0000-000097700000}"/>
    <cellStyle name="Output 6 12 8" xfId="4321" xr:uid="{00000000-0005-0000-0000-000098700000}"/>
    <cellStyle name="Output 6 12 8 2" xfId="22785" xr:uid="{00000000-0005-0000-0000-000099700000}"/>
    <cellStyle name="Output 6 12 8 3" xfId="18003" xr:uid="{00000000-0005-0000-0000-00009A700000}"/>
    <cellStyle name="Output 6 12 9" xfId="15580" xr:uid="{00000000-0005-0000-0000-00009B700000}"/>
    <cellStyle name="Output 6 12 9 2" xfId="36957" xr:uid="{00000000-0005-0000-0000-00009C700000}"/>
    <cellStyle name="Output 6 12 9 3" xfId="17332" xr:uid="{00000000-0005-0000-0000-00009D700000}"/>
    <cellStyle name="Output 6 13" xfId="5346" xr:uid="{00000000-0005-0000-0000-00009E700000}"/>
    <cellStyle name="Output 6 13 2" xfId="11199" xr:uid="{00000000-0005-0000-0000-00009F700000}"/>
    <cellStyle name="Output 6 13 2 2" xfId="34016" xr:uid="{00000000-0005-0000-0000-0000A0700000}"/>
    <cellStyle name="Output 6 13 2 3" xfId="29577" xr:uid="{00000000-0005-0000-0000-0000A1700000}"/>
    <cellStyle name="Output 6 13 2 4" xfId="23806" xr:uid="{00000000-0005-0000-0000-0000A2700000}"/>
    <cellStyle name="Output 6 13 3" xfId="32096" xr:uid="{00000000-0005-0000-0000-0000A3700000}"/>
    <cellStyle name="Output 6 13 4" xfId="27777" xr:uid="{00000000-0005-0000-0000-0000A4700000}"/>
    <cellStyle name="Output 6 13 5" xfId="18949" xr:uid="{00000000-0005-0000-0000-0000A5700000}"/>
    <cellStyle name="Output 6 14" xfId="4935" xr:uid="{00000000-0005-0000-0000-0000A6700000}"/>
    <cellStyle name="Output 6 14 2" xfId="10616" xr:uid="{00000000-0005-0000-0000-0000A7700000}"/>
    <cellStyle name="Output 6 14 2 2" xfId="33750" xr:uid="{00000000-0005-0000-0000-0000A8700000}"/>
    <cellStyle name="Output 6 14 2 3" xfId="23395" xr:uid="{00000000-0005-0000-0000-0000A9700000}"/>
    <cellStyle name="Output 6 14 3" xfId="31886" xr:uid="{00000000-0005-0000-0000-0000AA700000}"/>
    <cellStyle name="Output 6 14 4" xfId="29347" xr:uid="{00000000-0005-0000-0000-0000AB700000}"/>
    <cellStyle name="Output 6 14 5" xfId="18549" xr:uid="{00000000-0005-0000-0000-0000AC700000}"/>
    <cellStyle name="Output 6 15" xfId="6266" xr:uid="{00000000-0005-0000-0000-0000AD700000}"/>
    <cellStyle name="Output 6 15 2" xfId="10056" xr:uid="{00000000-0005-0000-0000-0000AE700000}"/>
    <cellStyle name="Output 6 15 2 2" xfId="33362" xr:uid="{00000000-0005-0000-0000-0000AF700000}"/>
    <cellStyle name="Output 6 15 2 3" xfId="24706" xr:uid="{00000000-0005-0000-0000-0000B0700000}"/>
    <cellStyle name="Output 6 15 3" xfId="32578" xr:uid="{00000000-0005-0000-0000-0000B1700000}"/>
    <cellStyle name="Output 6 15 4" xfId="19815" xr:uid="{00000000-0005-0000-0000-0000B2700000}"/>
    <cellStyle name="Output 6 16" xfId="7408" xr:uid="{00000000-0005-0000-0000-0000B3700000}"/>
    <cellStyle name="Output 6 16 2" xfId="25839" xr:uid="{00000000-0005-0000-0000-0000B4700000}"/>
    <cellStyle name="Output 6 16 3" xfId="20764" xr:uid="{00000000-0005-0000-0000-0000B5700000}"/>
    <cellStyle name="Output 6 17" xfId="7041" xr:uid="{00000000-0005-0000-0000-0000B6700000}"/>
    <cellStyle name="Output 6 17 2" xfId="25479" xr:uid="{00000000-0005-0000-0000-0000B7700000}"/>
    <cellStyle name="Output 6 17 3" xfId="20416" xr:uid="{00000000-0005-0000-0000-0000B8700000}"/>
    <cellStyle name="Output 6 18" xfId="8508" xr:uid="{00000000-0005-0000-0000-0000B9700000}"/>
    <cellStyle name="Output 6 18 2" xfId="26931" xr:uid="{00000000-0005-0000-0000-0000BA700000}"/>
    <cellStyle name="Output 6 18 3" xfId="21799" xr:uid="{00000000-0005-0000-0000-0000BB700000}"/>
    <cellStyle name="Output 6 19" xfId="4000" xr:uid="{00000000-0005-0000-0000-0000BC700000}"/>
    <cellStyle name="Output 6 19 2" xfId="22467" xr:uid="{00000000-0005-0000-0000-0000BD700000}"/>
    <cellStyle name="Output 6 19 3" xfId="17682" xr:uid="{00000000-0005-0000-0000-0000BE700000}"/>
    <cellStyle name="Output 6 2" xfId="3087" xr:uid="{00000000-0005-0000-0000-0000BF700000}"/>
    <cellStyle name="Output 6 2 10" xfId="15277" xr:uid="{00000000-0005-0000-0000-0000C0700000}"/>
    <cellStyle name="Output 6 2 10 2" xfId="36682" xr:uid="{00000000-0005-0000-0000-0000C1700000}"/>
    <cellStyle name="Output 6 2 10 3" xfId="16998" xr:uid="{00000000-0005-0000-0000-0000C2700000}"/>
    <cellStyle name="Output 6 2 11" xfId="15498" xr:uid="{00000000-0005-0000-0000-0000C3700000}"/>
    <cellStyle name="Output 6 2 11 2" xfId="36876" xr:uid="{00000000-0005-0000-0000-0000C4700000}"/>
    <cellStyle name="Output 6 2 12" xfId="27442" xr:uid="{00000000-0005-0000-0000-0000C5700000}"/>
    <cellStyle name="Output 6 2 13" xfId="40077" xr:uid="{00000000-0005-0000-0000-0000B00E0000}"/>
    <cellStyle name="Output 6 2 2" xfId="3595" xr:uid="{00000000-0005-0000-0000-0000C6700000}"/>
    <cellStyle name="Output 6 2 2 10" xfId="15036" xr:uid="{00000000-0005-0000-0000-0000C7700000}"/>
    <cellStyle name="Output 6 2 2 10 2" xfId="36458" xr:uid="{00000000-0005-0000-0000-0000C8700000}"/>
    <cellStyle name="Output 6 2 2 11" xfId="27443" xr:uid="{00000000-0005-0000-0000-0000C9700000}"/>
    <cellStyle name="Output 6 2 2 2" xfId="5722" xr:uid="{00000000-0005-0000-0000-0000CA700000}"/>
    <cellStyle name="Output 6 2 2 2 2" xfId="10623" xr:uid="{00000000-0005-0000-0000-0000CB700000}"/>
    <cellStyle name="Output 6 2 2 2 2 2" xfId="33757" xr:uid="{00000000-0005-0000-0000-0000CC700000}"/>
    <cellStyle name="Output 6 2 2 2 2 3" xfId="24175" xr:uid="{00000000-0005-0000-0000-0000CD700000}"/>
    <cellStyle name="Output 6 2 2 2 3" xfId="32311" xr:uid="{00000000-0005-0000-0000-0000CE700000}"/>
    <cellStyle name="Output 6 2 2 2 4" xfId="29354" xr:uid="{00000000-0005-0000-0000-0000CF700000}"/>
    <cellStyle name="Output 6 2 2 2 5" xfId="19286" xr:uid="{00000000-0005-0000-0000-0000D0700000}"/>
    <cellStyle name="Output 6 2 2 3" xfId="5208" xr:uid="{00000000-0005-0000-0000-0000D1700000}"/>
    <cellStyle name="Output 6 2 2 3 2" xfId="23668" xr:uid="{00000000-0005-0000-0000-0000D2700000}"/>
    <cellStyle name="Output 6 2 2 3 3" xfId="18822" xr:uid="{00000000-0005-0000-0000-0000D3700000}"/>
    <cellStyle name="Output 6 2 2 4" xfId="7197" xr:uid="{00000000-0005-0000-0000-0000D4700000}"/>
    <cellStyle name="Output 6 2 2 4 2" xfId="25628" xr:uid="{00000000-0005-0000-0000-0000D5700000}"/>
    <cellStyle name="Output 6 2 2 4 3" xfId="20554" xr:uid="{00000000-0005-0000-0000-0000D6700000}"/>
    <cellStyle name="Output 6 2 2 5" xfId="7734" xr:uid="{00000000-0005-0000-0000-0000D7700000}"/>
    <cellStyle name="Output 6 2 2 5 2" xfId="26164" xr:uid="{00000000-0005-0000-0000-0000D8700000}"/>
    <cellStyle name="Output 6 2 2 5 3" xfId="21089" xr:uid="{00000000-0005-0000-0000-0000D9700000}"/>
    <cellStyle name="Output 6 2 2 6" xfId="8108" xr:uid="{00000000-0005-0000-0000-0000DA700000}"/>
    <cellStyle name="Output 6 2 2 6 2" xfId="26538" xr:uid="{00000000-0005-0000-0000-0000DB700000}"/>
    <cellStyle name="Output 6 2 2 6 3" xfId="21462" xr:uid="{00000000-0005-0000-0000-0000DC700000}"/>
    <cellStyle name="Output 6 2 2 7" xfId="8832" xr:uid="{00000000-0005-0000-0000-0000DD700000}"/>
    <cellStyle name="Output 6 2 2 7 2" xfId="27252" xr:uid="{00000000-0005-0000-0000-0000DE700000}"/>
    <cellStyle name="Output 6 2 2 7 3" xfId="22123" xr:uid="{00000000-0005-0000-0000-0000DF700000}"/>
    <cellStyle name="Output 6 2 2 8" xfId="4324" xr:uid="{00000000-0005-0000-0000-0000E0700000}"/>
    <cellStyle name="Output 6 2 2 8 2" xfId="22788" xr:uid="{00000000-0005-0000-0000-0000E1700000}"/>
    <cellStyle name="Output 6 2 2 8 3" xfId="18006" xr:uid="{00000000-0005-0000-0000-0000E2700000}"/>
    <cellStyle name="Output 6 2 2 9" xfId="16230" xr:uid="{00000000-0005-0000-0000-0000E3700000}"/>
    <cellStyle name="Output 6 2 2 9 2" xfId="37543" xr:uid="{00000000-0005-0000-0000-0000E4700000}"/>
    <cellStyle name="Output 6 2 2 9 3" xfId="17335" xr:uid="{00000000-0005-0000-0000-0000E5700000}"/>
    <cellStyle name="Output 6 2 3" xfId="5349" xr:uid="{00000000-0005-0000-0000-0000E6700000}"/>
    <cellStyle name="Output 6 2 3 2" xfId="11202" xr:uid="{00000000-0005-0000-0000-0000E7700000}"/>
    <cellStyle name="Output 6 2 3 2 2" xfId="34019" xr:uid="{00000000-0005-0000-0000-0000E8700000}"/>
    <cellStyle name="Output 6 2 3 2 3" xfId="29580" xr:uid="{00000000-0005-0000-0000-0000E9700000}"/>
    <cellStyle name="Output 6 2 3 2 4" xfId="23809" xr:uid="{00000000-0005-0000-0000-0000EA700000}"/>
    <cellStyle name="Output 6 2 3 3" xfId="32099" xr:uid="{00000000-0005-0000-0000-0000EB700000}"/>
    <cellStyle name="Output 6 2 3 4" xfId="27780" xr:uid="{00000000-0005-0000-0000-0000EC700000}"/>
    <cellStyle name="Output 6 2 3 5" xfId="18952" xr:uid="{00000000-0005-0000-0000-0000ED700000}"/>
    <cellStyle name="Output 6 2 4" xfId="4938" xr:uid="{00000000-0005-0000-0000-0000EE700000}"/>
    <cellStyle name="Output 6 2 4 2" xfId="10622" xr:uid="{00000000-0005-0000-0000-0000EF700000}"/>
    <cellStyle name="Output 6 2 4 2 2" xfId="33756" xr:uid="{00000000-0005-0000-0000-0000F0700000}"/>
    <cellStyle name="Output 6 2 4 2 3" xfId="23398" xr:uid="{00000000-0005-0000-0000-0000F1700000}"/>
    <cellStyle name="Output 6 2 4 3" xfId="31889" xr:uid="{00000000-0005-0000-0000-0000F2700000}"/>
    <cellStyle name="Output 6 2 4 4" xfId="29353" xr:uid="{00000000-0005-0000-0000-0000F3700000}"/>
    <cellStyle name="Output 6 2 4 5" xfId="18552" xr:uid="{00000000-0005-0000-0000-0000F4700000}"/>
    <cellStyle name="Output 6 2 5" xfId="6263" xr:uid="{00000000-0005-0000-0000-0000F5700000}"/>
    <cellStyle name="Output 6 2 5 2" xfId="10059" xr:uid="{00000000-0005-0000-0000-0000F6700000}"/>
    <cellStyle name="Output 6 2 5 2 2" xfId="33365" xr:uid="{00000000-0005-0000-0000-0000F7700000}"/>
    <cellStyle name="Output 6 2 5 2 3" xfId="24703" xr:uid="{00000000-0005-0000-0000-0000F8700000}"/>
    <cellStyle name="Output 6 2 5 3" xfId="32575" xr:uid="{00000000-0005-0000-0000-0000F9700000}"/>
    <cellStyle name="Output 6 2 5 4" xfId="19812" xr:uid="{00000000-0005-0000-0000-0000FA700000}"/>
    <cellStyle name="Output 6 2 6" xfId="7411" xr:uid="{00000000-0005-0000-0000-0000FB700000}"/>
    <cellStyle name="Output 6 2 6 2" xfId="25842" xr:uid="{00000000-0005-0000-0000-0000FC700000}"/>
    <cellStyle name="Output 6 2 6 3" xfId="20767" xr:uid="{00000000-0005-0000-0000-0000FD700000}"/>
    <cellStyle name="Output 6 2 7" xfId="6233" xr:uid="{00000000-0005-0000-0000-0000FE700000}"/>
    <cellStyle name="Output 6 2 7 2" xfId="24673" xr:uid="{00000000-0005-0000-0000-0000FF700000}"/>
    <cellStyle name="Output 6 2 7 3" xfId="19782" xr:uid="{00000000-0005-0000-0000-000000710000}"/>
    <cellStyle name="Output 6 2 8" xfId="8511" xr:uid="{00000000-0005-0000-0000-000001710000}"/>
    <cellStyle name="Output 6 2 8 2" xfId="26934" xr:uid="{00000000-0005-0000-0000-000002710000}"/>
    <cellStyle name="Output 6 2 8 3" xfId="21802" xr:uid="{00000000-0005-0000-0000-000003710000}"/>
    <cellStyle name="Output 6 2 9" xfId="4003" xr:uid="{00000000-0005-0000-0000-000004710000}"/>
    <cellStyle name="Output 6 2 9 2" xfId="22470" xr:uid="{00000000-0005-0000-0000-000005710000}"/>
    <cellStyle name="Output 6 2 9 3" xfId="17685" xr:uid="{00000000-0005-0000-0000-000006710000}"/>
    <cellStyle name="Output 6 20" xfId="15683" xr:uid="{00000000-0005-0000-0000-000007710000}"/>
    <cellStyle name="Output 6 20 2" xfId="37056" xr:uid="{00000000-0005-0000-0000-000008710000}"/>
    <cellStyle name="Output 6 20 3" xfId="16995" xr:uid="{00000000-0005-0000-0000-000009710000}"/>
    <cellStyle name="Output 6 21" xfId="15310" xr:uid="{00000000-0005-0000-0000-00000A710000}"/>
    <cellStyle name="Output 6 21 2" xfId="36702" xr:uid="{00000000-0005-0000-0000-00000B710000}"/>
    <cellStyle name="Output 6 22" xfId="27436" xr:uid="{00000000-0005-0000-0000-00000C710000}"/>
    <cellStyle name="Output 6 23" xfId="40076" xr:uid="{00000000-0005-0000-0000-0000AF0E0000}"/>
    <cellStyle name="Output 6 3" xfId="3088" xr:uid="{00000000-0005-0000-0000-00000D710000}"/>
    <cellStyle name="Output 6 3 10" xfId="16205" xr:uid="{00000000-0005-0000-0000-00000E710000}"/>
    <cellStyle name="Output 6 3 10 2" xfId="37520" xr:uid="{00000000-0005-0000-0000-00000F710000}"/>
    <cellStyle name="Output 6 3 10 3" xfId="16999" xr:uid="{00000000-0005-0000-0000-000010710000}"/>
    <cellStyle name="Output 6 3 11" xfId="15201" xr:uid="{00000000-0005-0000-0000-000011710000}"/>
    <cellStyle name="Output 6 3 11 2" xfId="36609" xr:uid="{00000000-0005-0000-0000-000012710000}"/>
    <cellStyle name="Output 6 3 12" xfId="27444" xr:uid="{00000000-0005-0000-0000-000013710000}"/>
    <cellStyle name="Output 6 3 2" xfId="3596" xr:uid="{00000000-0005-0000-0000-000014710000}"/>
    <cellStyle name="Output 6 3 2 10" xfId="15976" xr:uid="{00000000-0005-0000-0000-000015710000}"/>
    <cellStyle name="Output 6 3 2 10 2" xfId="37338" xr:uid="{00000000-0005-0000-0000-000016710000}"/>
    <cellStyle name="Output 6 3 2 11" xfId="27445" xr:uid="{00000000-0005-0000-0000-000017710000}"/>
    <cellStyle name="Output 6 3 2 2" xfId="5723" xr:uid="{00000000-0005-0000-0000-000018710000}"/>
    <cellStyle name="Output 6 3 2 2 2" xfId="10625" xr:uid="{00000000-0005-0000-0000-000019710000}"/>
    <cellStyle name="Output 6 3 2 2 2 2" xfId="33759" xr:uid="{00000000-0005-0000-0000-00001A710000}"/>
    <cellStyle name="Output 6 3 2 2 2 3" xfId="24176" xr:uid="{00000000-0005-0000-0000-00001B710000}"/>
    <cellStyle name="Output 6 3 2 2 3" xfId="32312" xr:uid="{00000000-0005-0000-0000-00001C710000}"/>
    <cellStyle name="Output 6 3 2 2 4" xfId="29356" xr:uid="{00000000-0005-0000-0000-00001D710000}"/>
    <cellStyle name="Output 6 3 2 2 5" xfId="19287" xr:uid="{00000000-0005-0000-0000-00001E710000}"/>
    <cellStyle name="Output 6 3 2 3" xfId="5209" xr:uid="{00000000-0005-0000-0000-00001F710000}"/>
    <cellStyle name="Output 6 3 2 3 2" xfId="23669" xr:uid="{00000000-0005-0000-0000-000020710000}"/>
    <cellStyle name="Output 6 3 2 3 3" xfId="18823" xr:uid="{00000000-0005-0000-0000-000021710000}"/>
    <cellStyle name="Output 6 3 2 4" xfId="7198" xr:uid="{00000000-0005-0000-0000-000022710000}"/>
    <cellStyle name="Output 6 3 2 4 2" xfId="25629" xr:uid="{00000000-0005-0000-0000-000023710000}"/>
    <cellStyle name="Output 6 3 2 4 3" xfId="20555" xr:uid="{00000000-0005-0000-0000-000024710000}"/>
    <cellStyle name="Output 6 3 2 5" xfId="7735" xr:uid="{00000000-0005-0000-0000-000025710000}"/>
    <cellStyle name="Output 6 3 2 5 2" xfId="26165" xr:uid="{00000000-0005-0000-0000-000026710000}"/>
    <cellStyle name="Output 6 3 2 5 3" xfId="21090" xr:uid="{00000000-0005-0000-0000-000027710000}"/>
    <cellStyle name="Output 6 3 2 6" xfId="8109" xr:uid="{00000000-0005-0000-0000-000028710000}"/>
    <cellStyle name="Output 6 3 2 6 2" xfId="26539" xr:uid="{00000000-0005-0000-0000-000029710000}"/>
    <cellStyle name="Output 6 3 2 6 3" xfId="21463" xr:uid="{00000000-0005-0000-0000-00002A710000}"/>
    <cellStyle name="Output 6 3 2 7" xfId="8833" xr:uid="{00000000-0005-0000-0000-00002B710000}"/>
    <cellStyle name="Output 6 3 2 7 2" xfId="27253" xr:uid="{00000000-0005-0000-0000-00002C710000}"/>
    <cellStyle name="Output 6 3 2 7 3" xfId="22124" xr:uid="{00000000-0005-0000-0000-00002D710000}"/>
    <cellStyle name="Output 6 3 2 8" xfId="4325" xr:uid="{00000000-0005-0000-0000-00002E710000}"/>
    <cellStyle name="Output 6 3 2 8 2" xfId="22789" xr:uid="{00000000-0005-0000-0000-00002F710000}"/>
    <cellStyle name="Output 6 3 2 8 3" xfId="18007" xr:uid="{00000000-0005-0000-0000-000030710000}"/>
    <cellStyle name="Output 6 3 2 9" xfId="16172" xr:uid="{00000000-0005-0000-0000-000031710000}"/>
    <cellStyle name="Output 6 3 2 9 2" xfId="37489" xr:uid="{00000000-0005-0000-0000-000032710000}"/>
    <cellStyle name="Output 6 3 2 9 3" xfId="17336" xr:uid="{00000000-0005-0000-0000-000033710000}"/>
    <cellStyle name="Output 6 3 3" xfId="5350" xr:uid="{00000000-0005-0000-0000-000034710000}"/>
    <cellStyle name="Output 6 3 3 2" xfId="11203" xr:uid="{00000000-0005-0000-0000-000035710000}"/>
    <cellStyle name="Output 6 3 3 2 2" xfId="34020" xr:uid="{00000000-0005-0000-0000-000036710000}"/>
    <cellStyle name="Output 6 3 3 2 3" xfId="29581" xr:uid="{00000000-0005-0000-0000-000037710000}"/>
    <cellStyle name="Output 6 3 3 2 4" xfId="23810" xr:uid="{00000000-0005-0000-0000-000038710000}"/>
    <cellStyle name="Output 6 3 3 3" xfId="32100" xr:uid="{00000000-0005-0000-0000-000039710000}"/>
    <cellStyle name="Output 6 3 3 4" xfId="27781" xr:uid="{00000000-0005-0000-0000-00003A710000}"/>
    <cellStyle name="Output 6 3 3 5" xfId="18953" xr:uid="{00000000-0005-0000-0000-00003B710000}"/>
    <cellStyle name="Output 6 3 4" xfId="4939" xr:uid="{00000000-0005-0000-0000-00003C710000}"/>
    <cellStyle name="Output 6 3 4 2" xfId="10624" xr:uid="{00000000-0005-0000-0000-00003D710000}"/>
    <cellStyle name="Output 6 3 4 2 2" xfId="33758" xr:uid="{00000000-0005-0000-0000-00003E710000}"/>
    <cellStyle name="Output 6 3 4 2 3" xfId="23399" xr:uid="{00000000-0005-0000-0000-00003F710000}"/>
    <cellStyle name="Output 6 3 4 3" xfId="31890" xr:uid="{00000000-0005-0000-0000-000040710000}"/>
    <cellStyle name="Output 6 3 4 4" xfId="29355" xr:uid="{00000000-0005-0000-0000-000041710000}"/>
    <cellStyle name="Output 6 3 4 5" xfId="18553" xr:uid="{00000000-0005-0000-0000-000042710000}"/>
    <cellStyle name="Output 6 3 5" xfId="6262" xr:uid="{00000000-0005-0000-0000-000043710000}"/>
    <cellStyle name="Output 6 3 5 2" xfId="10060" xr:uid="{00000000-0005-0000-0000-000044710000}"/>
    <cellStyle name="Output 6 3 5 2 2" xfId="33366" xr:uid="{00000000-0005-0000-0000-000045710000}"/>
    <cellStyle name="Output 6 3 5 2 3" xfId="24702" xr:uid="{00000000-0005-0000-0000-000046710000}"/>
    <cellStyle name="Output 6 3 5 3" xfId="32574" xr:uid="{00000000-0005-0000-0000-000047710000}"/>
    <cellStyle name="Output 6 3 5 4" xfId="19811" xr:uid="{00000000-0005-0000-0000-000048710000}"/>
    <cellStyle name="Output 6 3 6" xfId="7412" xr:uid="{00000000-0005-0000-0000-000049710000}"/>
    <cellStyle name="Output 6 3 6 2" xfId="25843" xr:uid="{00000000-0005-0000-0000-00004A710000}"/>
    <cellStyle name="Output 6 3 6 3" xfId="20768" xr:uid="{00000000-0005-0000-0000-00004B710000}"/>
    <cellStyle name="Output 6 3 7" xfId="6232" xr:uid="{00000000-0005-0000-0000-00004C710000}"/>
    <cellStyle name="Output 6 3 7 2" xfId="24672" xr:uid="{00000000-0005-0000-0000-00004D710000}"/>
    <cellStyle name="Output 6 3 7 3" xfId="19781" xr:uid="{00000000-0005-0000-0000-00004E710000}"/>
    <cellStyle name="Output 6 3 8" xfId="8512" xr:uid="{00000000-0005-0000-0000-00004F710000}"/>
    <cellStyle name="Output 6 3 8 2" xfId="26935" xr:uid="{00000000-0005-0000-0000-000050710000}"/>
    <cellStyle name="Output 6 3 8 3" xfId="21803" xr:uid="{00000000-0005-0000-0000-000051710000}"/>
    <cellStyle name="Output 6 3 9" xfId="4004" xr:uid="{00000000-0005-0000-0000-000052710000}"/>
    <cellStyle name="Output 6 3 9 2" xfId="22471" xr:uid="{00000000-0005-0000-0000-000053710000}"/>
    <cellStyle name="Output 6 3 9 3" xfId="17686" xr:uid="{00000000-0005-0000-0000-000054710000}"/>
    <cellStyle name="Output 6 4" xfId="3089" xr:uid="{00000000-0005-0000-0000-000055710000}"/>
    <cellStyle name="Output 6 4 10" xfId="14925" xr:uid="{00000000-0005-0000-0000-000056710000}"/>
    <cellStyle name="Output 6 4 10 2" xfId="36373" xr:uid="{00000000-0005-0000-0000-000057710000}"/>
    <cellStyle name="Output 6 4 10 3" xfId="17000" xr:uid="{00000000-0005-0000-0000-000058710000}"/>
    <cellStyle name="Output 6 4 11" xfId="14830" xr:uid="{00000000-0005-0000-0000-000059710000}"/>
    <cellStyle name="Output 6 4 11 2" xfId="36283" xr:uid="{00000000-0005-0000-0000-00005A710000}"/>
    <cellStyle name="Output 6 4 12" xfId="27446" xr:uid="{00000000-0005-0000-0000-00005B710000}"/>
    <cellStyle name="Output 6 4 2" xfId="3597" xr:uid="{00000000-0005-0000-0000-00005C710000}"/>
    <cellStyle name="Output 6 4 2 10" xfId="14425" xr:uid="{00000000-0005-0000-0000-00005D710000}"/>
    <cellStyle name="Output 6 4 2 10 2" xfId="35953" xr:uid="{00000000-0005-0000-0000-00005E710000}"/>
    <cellStyle name="Output 6 4 2 11" xfId="27447" xr:uid="{00000000-0005-0000-0000-00005F710000}"/>
    <cellStyle name="Output 6 4 2 2" xfId="5724" xr:uid="{00000000-0005-0000-0000-000060710000}"/>
    <cellStyle name="Output 6 4 2 2 2" xfId="10627" xr:uid="{00000000-0005-0000-0000-000061710000}"/>
    <cellStyle name="Output 6 4 2 2 2 2" xfId="33761" xr:uid="{00000000-0005-0000-0000-000062710000}"/>
    <cellStyle name="Output 6 4 2 2 2 3" xfId="24177" xr:uid="{00000000-0005-0000-0000-000063710000}"/>
    <cellStyle name="Output 6 4 2 2 3" xfId="32313" xr:uid="{00000000-0005-0000-0000-000064710000}"/>
    <cellStyle name="Output 6 4 2 2 4" xfId="29358" xr:uid="{00000000-0005-0000-0000-000065710000}"/>
    <cellStyle name="Output 6 4 2 2 5" xfId="19288" xr:uid="{00000000-0005-0000-0000-000066710000}"/>
    <cellStyle name="Output 6 4 2 3" xfId="5210" xr:uid="{00000000-0005-0000-0000-000067710000}"/>
    <cellStyle name="Output 6 4 2 3 2" xfId="23670" xr:uid="{00000000-0005-0000-0000-000068710000}"/>
    <cellStyle name="Output 6 4 2 3 3" xfId="18824" xr:uid="{00000000-0005-0000-0000-000069710000}"/>
    <cellStyle name="Output 6 4 2 4" xfId="7199" xr:uid="{00000000-0005-0000-0000-00006A710000}"/>
    <cellStyle name="Output 6 4 2 4 2" xfId="25630" xr:uid="{00000000-0005-0000-0000-00006B710000}"/>
    <cellStyle name="Output 6 4 2 4 3" xfId="20556" xr:uid="{00000000-0005-0000-0000-00006C710000}"/>
    <cellStyle name="Output 6 4 2 5" xfId="7736" xr:uid="{00000000-0005-0000-0000-00006D710000}"/>
    <cellStyle name="Output 6 4 2 5 2" xfId="26166" xr:uid="{00000000-0005-0000-0000-00006E710000}"/>
    <cellStyle name="Output 6 4 2 5 3" xfId="21091" xr:uid="{00000000-0005-0000-0000-00006F710000}"/>
    <cellStyle name="Output 6 4 2 6" xfId="8110" xr:uid="{00000000-0005-0000-0000-000070710000}"/>
    <cellStyle name="Output 6 4 2 6 2" xfId="26540" xr:uid="{00000000-0005-0000-0000-000071710000}"/>
    <cellStyle name="Output 6 4 2 6 3" xfId="21464" xr:uid="{00000000-0005-0000-0000-000072710000}"/>
    <cellStyle name="Output 6 4 2 7" xfId="8834" xr:uid="{00000000-0005-0000-0000-000073710000}"/>
    <cellStyle name="Output 6 4 2 7 2" xfId="27254" xr:uid="{00000000-0005-0000-0000-000074710000}"/>
    <cellStyle name="Output 6 4 2 7 3" xfId="22125" xr:uid="{00000000-0005-0000-0000-000075710000}"/>
    <cellStyle name="Output 6 4 2 8" xfId="4326" xr:uid="{00000000-0005-0000-0000-000076710000}"/>
    <cellStyle name="Output 6 4 2 8 2" xfId="22790" xr:uid="{00000000-0005-0000-0000-000077710000}"/>
    <cellStyle name="Output 6 4 2 8 3" xfId="18008" xr:uid="{00000000-0005-0000-0000-000078710000}"/>
    <cellStyle name="Output 6 4 2 9" xfId="16139" xr:uid="{00000000-0005-0000-0000-000079710000}"/>
    <cellStyle name="Output 6 4 2 9 2" xfId="37460" xr:uid="{00000000-0005-0000-0000-00007A710000}"/>
    <cellStyle name="Output 6 4 2 9 3" xfId="17337" xr:uid="{00000000-0005-0000-0000-00007B710000}"/>
    <cellStyle name="Output 6 4 3" xfId="5351" xr:uid="{00000000-0005-0000-0000-00007C710000}"/>
    <cellStyle name="Output 6 4 3 2" xfId="11204" xr:uid="{00000000-0005-0000-0000-00007D710000}"/>
    <cellStyle name="Output 6 4 3 2 2" xfId="34021" xr:uid="{00000000-0005-0000-0000-00007E710000}"/>
    <cellStyle name="Output 6 4 3 2 3" xfId="29582" xr:uid="{00000000-0005-0000-0000-00007F710000}"/>
    <cellStyle name="Output 6 4 3 2 4" xfId="23811" xr:uid="{00000000-0005-0000-0000-000080710000}"/>
    <cellStyle name="Output 6 4 3 3" xfId="32101" xr:uid="{00000000-0005-0000-0000-000081710000}"/>
    <cellStyle name="Output 6 4 3 4" xfId="27782" xr:uid="{00000000-0005-0000-0000-000082710000}"/>
    <cellStyle name="Output 6 4 3 5" xfId="18954" xr:uid="{00000000-0005-0000-0000-000083710000}"/>
    <cellStyle name="Output 6 4 4" xfId="4940" xr:uid="{00000000-0005-0000-0000-000084710000}"/>
    <cellStyle name="Output 6 4 4 2" xfId="10626" xr:uid="{00000000-0005-0000-0000-000085710000}"/>
    <cellStyle name="Output 6 4 4 2 2" xfId="33760" xr:uid="{00000000-0005-0000-0000-000086710000}"/>
    <cellStyle name="Output 6 4 4 2 3" xfId="23400" xr:uid="{00000000-0005-0000-0000-000087710000}"/>
    <cellStyle name="Output 6 4 4 3" xfId="31891" xr:uid="{00000000-0005-0000-0000-000088710000}"/>
    <cellStyle name="Output 6 4 4 4" xfId="29357" xr:uid="{00000000-0005-0000-0000-000089710000}"/>
    <cellStyle name="Output 6 4 4 5" xfId="18554" xr:uid="{00000000-0005-0000-0000-00008A710000}"/>
    <cellStyle name="Output 6 4 5" xfId="6261" xr:uid="{00000000-0005-0000-0000-00008B710000}"/>
    <cellStyle name="Output 6 4 5 2" xfId="10061" xr:uid="{00000000-0005-0000-0000-00008C710000}"/>
    <cellStyle name="Output 6 4 5 2 2" xfId="33367" xr:uid="{00000000-0005-0000-0000-00008D710000}"/>
    <cellStyle name="Output 6 4 5 2 3" xfId="24701" xr:uid="{00000000-0005-0000-0000-00008E710000}"/>
    <cellStyle name="Output 6 4 5 3" xfId="32573" xr:uid="{00000000-0005-0000-0000-00008F710000}"/>
    <cellStyle name="Output 6 4 5 4" xfId="19810" xr:uid="{00000000-0005-0000-0000-000090710000}"/>
    <cellStyle name="Output 6 4 6" xfId="7413" xr:uid="{00000000-0005-0000-0000-000091710000}"/>
    <cellStyle name="Output 6 4 6 2" xfId="25844" xr:uid="{00000000-0005-0000-0000-000092710000}"/>
    <cellStyle name="Output 6 4 6 3" xfId="20769" xr:uid="{00000000-0005-0000-0000-000093710000}"/>
    <cellStyle name="Output 6 4 7" xfId="6231" xr:uid="{00000000-0005-0000-0000-000094710000}"/>
    <cellStyle name="Output 6 4 7 2" xfId="24671" xr:uid="{00000000-0005-0000-0000-000095710000}"/>
    <cellStyle name="Output 6 4 7 3" xfId="19780" xr:uid="{00000000-0005-0000-0000-000096710000}"/>
    <cellStyle name="Output 6 4 8" xfId="8513" xr:uid="{00000000-0005-0000-0000-000097710000}"/>
    <cellStyle name="Output 6 4 8 2" xfId="26936" xr:uid="{00000000-0005-0000-0000-000098710000}"/>
    <cellStyle name="Output 6 4 8 3" xfId="21804" xr:uid="{00000000-0005-0000-0000-000099710000}"/>
    <cellStyle name="Output 6 4 9" xfId="4005" xr:uid="{00000000-0005-0000-0000-00009A710000}"/>
    <cellStyle name="Output 6 4 9 2" xfId="22472" xr:uid="{00000000-0005-0000-0000-00009B710000}"/>
    <cellStyle name="Output 6 4 9 3" xfId="17687" xr:uid="{00000000-0005-0000-0000-00009C710000}"/>
    <cellStyle name="Output 6 5" xfId="3090" xr:uid="{00000000-0005-0000-0000-00009D710000}"/>
    <cellStyle name="Output 6 5 10" xfId="16104" xr:uid="{00000000-0005-0000-0000-00009E710000}"/>
    <cellStyle name="Output 6 5 10 2" xfId="37426" xr:uid="{00000000-0005-0000-0000-00009F710000}"/>
    <cellStyle name="Output 6 5 10 3" xfId="17001" xr:uid="{00000000-0005-0000-0000-0000A0710000}"/>
    <cellStyle name="Output 6 5 11" xfId="15014" xr:uid="{00000000-0005-0000-0000-0000A1710000}"/>
    <cellStyle name="Output 6 5 11 2" xfId="36439" xr:uid="{00000000-0005-0000-0000-0000A2710000}"/>
    <cellStyle name="Output 6 5 12" xfId="27448" xr:uid="{00000000-0005-0000-0000-0000A3710000}"/>
    <cellStyle name="Output 6 5 2" xfId="3598" xr:uid="{00000000-0005-0000-0000-0000A4710000}"/>
    <cellStyle name="Output 6 5 2 10" xfId="16125" xr:uid="{00000000-0005-0000-0000-0000A5710000}"/>
    <cellStyle name="Output 6 5 2 10 2" xfId="37446" xr:uid="{00000000-0005-0000-0000-0000A6710000}"/>
    <cellStyle name="Output 6 5 2 11" xfId="27449" xr:uid="{00000000-0005-0000-0000-0000A7710000}"/>
    <cellStyle name="Output 6 5 2 2" xfId="5725" xr:uid="{00000000-0005-0000-0000-0000A8710000}"/>
    <cellStyle name="Output 6 5 2 2 2" xfId="10629" xr:uid="{00000000-0005-0000-0000-0000A9710000}"/>
    <cellStyle name="Output 6 5 2 2 2 2" xfId="33763" xr:uid="{00000000-0005-0000-0000-0000AA710000}"/>
    <cellStyle name="Output 6 5 2 2 2 3" xfId="24178" xr:uid="{00000000-0005-0000-0000-0000AB710000}"/>
    <cellStyle name="Output 6 5 2 2 3" xfId="32314" xr:uid="{00000000-0005-0000-0000-0000AC710000}"/>
    <cellStyle name="Output 6 5 2 2 4" xfId="29360" xr:uid="{00000000-0005-0000-0000-0000AD710000}"/>
    <cellStyle name="Output 6 5 2 2 5" xfId="19289" xr:uid="{00000000-0005-0000-0000-0000AE710000}"/>
    <cellStyle name="Output 6 5 2 3" xfId="5211" xr:uid="{00000000-0005-0000-0000-0000AF710000}"/>
    <cellStyle name="Output 6 5 2 3 2" xfId="23671" xr:uid="{00000000-0005-0000-0000-0000B0710000}"/>
    <cellStyle name="Output 6 5 2 3 3" xfId="18825" xr:uid="{00000000-0005-0000-0000-0000B1710000}"/>
    <cellStyle name="Output 6 5 2 4" xfId="7200" xr:uid="{00000000-0005-0000-0000-0000B2710000}"/>
    <cellStyle name="Output 6 5 2 4 2" xfId="25631" xr:uid="{00000000-0005-0000-0000-0000B3710000}"/>
    <cellStyle name="Output 6 5 2 4 3" xfId="20557" xr:uid="{00000000-0005-0000-0000-0000B4710000}"/>
    <cellStyle name="Output 6 5 2 5" xfId="7737" xr:uid="{00000000-0005-0000-0000-0000B5710000}"/>
    <cellStyle name="Output 6 5 2 5 2" xfId="26167" xr:uid="{00000000-0005-0000-0000-0000B6710000}"/>
    <cellStyle name="Output 6 5 2 5 3" xfId="21092" xr:uid="{00000000-0005-0000-0000-0000B7710000}"/>
    <cellStyle name="Output 6 5 2 6" xfId="8111" xr:uid="{00000000-0005-0000-0000-0000B8710000}"/>
    <cellStyle name="Output 6 5 2 6 2" xfId="26541" xr:uid="{00000000-0005-0000-0000-0000B9710000}"/>
    <cellStyle name="Output 6 5 2 6 3" xfId="21465" xr:uid="{00000000-0005-0000-0000-0000BA710000}"/>
    <cellStyle name="Output 6 5 2 7" xfId="8835" xr:uid="{00000000-0005-0000-0000-0000BB710000}"/>
    <cellStyle name="Output 6 5 2 7 2" xfId="27255" xr:uid="{00000000-0005-0000-0000-0000BC710000}"/>
    <cellStyle name="Output 6 5 2 7 3" xfId="22126" xr:uid="{00000000-0005-0000-0000-0000BD710000}"/>
    <cellStyle name="Output 6 5 2 8" xfId="4327" xr:uid="{00000000-0005-0000-0000-0000BE710000}"/>
    <cellStyle name="Output 6 5 2 8 2" xfId="22791" xr:uid="{00000000-0005-0000-0000-0000BF710000}"/>
    <cellStyle name="Output 6 5 2 8 3" xfId="18009" xr:uid="{00000000-0005-0000-0000-0000C0710000}"/>
    <cellStyle name="Output 6 5 2 9" xfId="15680" xr:uid="{00000000-0005-0000-0000-0000C1710000}"/>
    <cellStyle name="Output 6 5 2 9 2" xfId="37053" xr:uid="{00000000-0005-0000-0000-0000C2710000}"/>
    <cellStyle name="Output 6 5 2 9 3" xfId="17338" xr:uid="{00000000-0005-0000-0000-0000C3710000}"/>
    <cellStyle name="Output 6 5 3" xfId="5352" xr:uid="{00000000-0005-0000-0000-0000C4710000}"/>
    <cellStyle name="Output 6 5 3 2" xfId="11205" xr:uid="{00000000-0005-0000-0000-0000C5710000}"/>
    <cellStyle name="Output 6 5 3 2 2" xfId="34022" xr:uid="{00000000-0005-0000-0000-0000C6710000}"/>
    <cellStyle name="Output 6 5 3 2 3" xfId="29583" xr:uid="{00000000-0005-0000-0000-0000C7710000}"/>
    <cellStyle name="Output 6 5 3 2 4" xfId="23812" xr:uid="{00000000-0005-0000-0000-0000C8710000}"/>
    <cellStyle name="Output 6 5 3 3" xfId="32102" xr:uid="{00000000-0005-0000-0000-0000C9710000}"/>
    <cellStyle name="Output 6 5 3 4" xfId="27783" xr:uid="{00000000-0005-0000-0000-0000CA710000}"/>
    <cellStyle name="Output 6 5 3 5" xfId="18955" xr:uid="{00000000-0005-0000-0000-0000CB710000}"/>
    <cellStyle name="Output 6 5 4" xfId="4941" xr:uid="{00000000-0005-0000-0000-0000CC710000}"/>
    <cellStyle name="Output 6 5 4 2" xfId="10628" xr:uid="{00000000-0005-0000-0000-0000CD710000}"/>
    <cellStyle name="Output 6 5 4 2 2" xfId="33762" xr:uid="{00000000-0005-0000-0000-0000CE710000}"/>
    <cellStyle name="Output 6 5 4 2 3" xfId="23401" xr:uid="{00000000-0005-0000-0000-0000CF710000}"/>
    <cellStyle name="Output 6 5 4 3" xfId="31892" xr:uid="{00000000-0005-0000-0000-0000D0710000}"/>
    <cellStyle name="Output 6 5 4 4" xfId="29359" xr:uid="{00000000-0005-0000-0000-0000D1710000}"/>
    <cellStyle name="Output 6 5 4 5" xfId="18555" xr:uid="{00000000-0005-0000-0000-0000D2710000}"/>
    <cellStyle name="Output 6 5 5" xfId="6260" xr:uid="{00000000-0005-0000-0000-0000D3710000}"/>
    <cellStyle name="Output 6 5 5 2" xfId="10062" xr:uid="{00000000-0005-0000-0000-0000D4710000}"/>
    <cellStyle name="Output 6 5 5 2 2" xfId="33368" xr:uid="{00000000-0005-0000-0000-0000D5710000}"/>
    <cellStyle name="Output 6 5 5 2 3" xfId="24700" xr:uid="{00000000-0005-0000-0000-0000D6710000}"/>
    <cellStyle name="Output 6 5 5 3" xfId="32572" xr:uid="{00000000-0005-0000-0000-0000D7710000}"/>
    <cellStyle name="Output 6 5 5 4" xfId="19809" xr:uid="{00000000-0005-0000-0000-0000D8710000}"/>
    <cellStyle name="Output 6 5 6" xfId="7414" xr:uid="{00000000-0005-0000-0000-0000D9710000}"/>
    <cellStyle name="Output 6 5 6 2" xfId="25845" xr:uid="{00000000-0005-0000-0000-0000DA710000}"/>
    <cellStyle name="Output 6 5 6 3" xfId="20770" xr:uid="{00000000-0005-0000-0000-0000DB710000}"/>
    <cellStyle name="Output 6 5 7" xfId="6230" xr:uid="{00000000-0005-0000-0000-0000DC710000}"/>
    <cellStyle name="Output 6 5 7 2" xfId="24670" xr:uid="{00000000-0005-0000-0000-0000DD710000}"/>
    <cellStyle name="Output 6 5 7 3" xfId="19779" xr:uid="{00000000-0005-0000-0000-0000DE710000}"/>
    <cellStyle name="Output 6 5 8" xfId="8514" xr:uid="{00000000-0005-0000-0000-0000DF710000}"/>
    <cellStyle name="Output 6 5 8 2" xfId="26937" xr:uid="{00000000-0005-0000-0000-0000E0710000}"/>
    <cellStyle name="Output 6 5 8 3" xfId="21805" xr:uid="{00000000-0005-0000-0000-0000E1710000}"/>
    <cellStyle name="Output 6 5 9" xfId="4006" xr:uid="{00000000-0005-0000-0000-0000E2710000}"/>
    <cellStyle name="Output 6 5 9 2" xfId="22473" xr:uid="{00000000-0005-0000-0000-0000E3710000}"/>
    <cellStyle name="Output 6 5 9 3" xfId="17688" xr:uid="{00000000-0005-0000-0000-0000E4710000}"/>
    <cellStyle name="Output 6 6" xfId="3091" xr:uid="{00000000-0005-0000-0000-0000E5710000}"/>
    <cellStyle name="Output 6 6 10" xfId="15649" xr:uid="{00000000-0005-0000-0000-0000E6710000}"/>
    <cellStyle name="Output 6 6 10 2" xfId="37024" xr:uid="{00000000-0005-0000-0000-0000E7710000}"/>
    <cellStyle name="Output 6 6 10 3" xfId="17002" xr:uid="{00000000-0005-0000-0000-0000E8710000}"/>
    <cellStyle name="Output 6 6 11" xfId="14816" xr:uid="{00000000-0005-0000-0000-0000E9710000}"/>
    <cellStyle name="Output 6 6 11 2" xfId="36272" xr:uid="{00000000-0005-0000-0000-0000EA710000}"/>
    <cellStyle name="Output 6 6 12" xfId="27450" xr:uid="{00000000-0005-0000-0000-0000EB710000}"/>
    <cellStyle name="Output 6 6 2" xfId="3599" xr:uid="{00000000-0005-0000-0000-0000EC710000}"/>
    <cellStyle name="Output 6 6 2 10" xfId="16519" xr:uid="{00000000-0005-0000-0000-0000ED710000}"/>
    <cellStyle name="Output 6 6 2 10 2" xfId="37745" xr:uid="{00000000-0005-0000-0000-0000EE710000}"/>
    <cellStyle name="Output 6 6 2 11" xfId="27451" xr:uid="{00000000-0005-0000-0000-0000EF710000}"/>
    <cellStyle name="Output 6 6 2 2" xfId="5726" xr:uid="{00000000-0005-0000-0000-0000F0710000}"/>
    <cellStyle name="Output 6 6 2 2 2" xfId="10631" xr:uid="{00000000-0005-0000-0000-0000F1710000}"/>
    <cellStyle name="Output 6 6 2 2 2 2" xfId="33765" xr:uid="{00000000-0005-0000-0000-0000F2710000}"/>
    <cellStyle name="Output 6 6 2 2 2 3" xfId="24179" xr:uid="{00000000-0005-0000-0000-0000F3710000}"/>
    <cellStyle name="Output 6 6 2 2 3" xfId="32315" xr:uid="{00000000-0005-0000-0000-0000F4710000}"/>
    <cellStyle name="Output 6 6 2 2 4" xfId="29362" xr:uid="{00000000-0005-0000-0000-0000F5710000}"/>
    <cellStyle name="Output 6 6 2 2 5" xfId="19290" xr:uid="{00000000-0005-0000-0000-0000F6710000}"/>
    <cellStyle name="Output 6 6 2 3" xfId="5212" xr:uid="{00000000-0005-0000-0000-0000F7710000}"/>
    <cellStyle name="Output 6 6 2 3 2" xfId="23672" xr:uid="{00000000-0005-0000-0000-0000F8710000}"/>
    <cellStyle name="Output 6 6 2 3 3" xfId="18826" xr:uid="{00000000-0005-0000-0000-0000F9710000}"/>
    <cellStyle name="Output 6 6 2 4" xfId="7201" xr:uid="{00000000-0005-0000-0000-0000FA710000}"/>
    <cellStyle name="Output 6 6 2 4 2" xfId="25632" xr:uid="{00000000-0005-0000-0000-0000FB710000}"/>
    <cellStyle name="Output 6 6 2 4 3" xfId="20558" xr:uid="{00000000-0005-0000-0000-0000FC710000}"/>
    <cellStyle name="Output 6 6 2 5" xfId="7738" xr:uid="{00000000-0005-0000-0000-0000FD710000}"/>
    <cellStyle name="Output 6 6 2 5 2" xfId="26168" xr:uid="{00000000-0005-0000-0000-0000FE710000}"/>
    <cellStyle name="Output 6 6 2 5 3" xfId="21093" xr:uid="{00000000-0005-0000-0000-0000FF710000}"/>
    <cellStyle name="Output 6 6 2 6" xfId="8112" xr:uid="{00000000-0005-0000-0000-000000720000}"/>
    <cellStyle name="Output 6 6 2 6 2" xfId="26542" xr:uid="{00000000-0005-0000-0000-000001720000}"/>
    <cellStyle name="Output 6 6 2 6 3" xfId="21466" xr:uid="{00000000-0005-0000-0000-000002720000}"/>
    <cellStyle name="Output 6 6 2 7" xfId="8836" xr:uid="{00000000-0005-0000-0000-000003720000}"/>
    <cellStyle name="Output 6 6 2 7 2" xfId="27256" xr:uid="{00000000-0005-0000-0000-000004720000}"/>
    <cellStyle name="Output 6 6 2 7 3" xfId="22127" xr:uid="{00000000-0005-0000-0000-000005720000}"/>
    <cellStyle name="Output 6 6 2 8" xfId="4328" xr:uid="{00000000-0005-0000-0000-000006720000}"/>
    <cellStyle name="Output 6 6 2 8 2" xfId="22792" xr:uid="{00000000-0005-0000-0000-000007720000}"/>
    <cellStyle name="Output 6 6 2 8 3" xfId="18010" xr:uid="{00000000-0005-0000-0000-000008720000}"/>
    <cellStyle name="Output 6 6 2 9" xfId="15626" xr:uid="{00000000-0005-0000-0000-000009720000}"/>
    <cellStyle name="Output 6 6 2 9 2" xfId="37001" xr:uid="{00000000-0005-0000-0000-00000A720000}"/>
    <cellStyle name="Output 6 6 2 9 3" xfId="17339" xr:uid="{00000000-0005-0000-0000-00000B720000}"/>
    <cellStyle name="Output 6 6 3" xfId="5353" xr:uid="{00000000-0005-0000-0000-00000C720000}"/>
    <cellStyle name="Output 6 6 3 2" xfId="11206" xr:uid="{00000000-0005-0000-0000-00000D720000}"/>
    <cellStyle name="Output 6 6 3 2 2" xfId="34023" xr:uid="{00000000-0005-0000-0000-00000E720000}"/>
    <cellStyle name="Output 6 6 3 2 3" xfId="29584" xr:uid="{00000000-0005-0000-0000-00000F720000}"/>
    <cellStyle name="Output 6 6 3 2 4" xfId="23813" xr:uid="{00000000-0005-0000-0000-000010720000}"/>
    <cellStyle name="Output 6 6 3 3" xfId="32103" xr:uid="{00000000-0005-0000-0000-000011720000}"/>
    <cellStyle name="Output 6 6 3 4" xfId="27784" xr:uid="{00000000-0005-0000-0000-000012720000}"/>
    <cellStyle name="Output 6 6 3 5" xfId="18956" xr:uid="{00000000-0005-0000-0000-000013720000}"/>
    <cellStyle name="Output 6 6 4" xfId="4942" xr:uid="{00000000-0005-0000-0000-000014720000}"/>
    <cellStyle name="Output 6 6 4 2" xfId="10630" xr:uid="{00000000-0005-0000-0000-000015720000}"/>
    <cellStyle name="Output 6 6 4 2 2" xfId="33764" xr:uid="{00000000-0005-0000-0000-000016720000}"/>
    <cellStyle name="Output 6 6 4 2 3" xfId="23402" xr:uid="{00000000-0005-0000-0000-000017720000}"/>
    <cellStyle name="Output 6 6 4 3" xfId="31893" xr:uid="{00000000-0005-0000-0000-000018720000}"/>
    <cellStyle name="Output 6 6 4 4" xfId="29361" xr:uid="{00000000-0005-0000-0000-000019720000}"/>
    <cellStyle name="Output 6 6 4 5" xfId="18556" xr:uid="{00000000-0005-0000-0000-00001A720000}"/>
    <cellStyle name="Output 6 6 5" xfId="6259" xr:uid="{00000000-0005-0000-0000-00001B720000}"/>
    <cellStyle name="Output 6 6 5 2" xfId="10063" xr:uid="{00000000-0005-0000-0000-00001C720000}"/>
    <cellStyle name="Output 6 6 5 2 2" xfId="33369" xr:uid="{00000000-0005-0000-0000-00001D720000}"/>
    <cellStyle name="Output 6 6 5 2 3" xfId="24699" xr:uid="{00000000-0005-0000-0000-00001E720000}"/>
    <cellStyle name="Output 6 6 5 3" xfId="32571" xr:uid="{00000000-0005-0000-0000-00001F720000}"/>
    <cellStyle name="Output 6 6 5 4" xfId="19808" xr:uid="{00000000-0005-0000-0000-000020720000}"/>
    <cellStyle name="Output 6 6 6" xfId="7415" xr:uid="{00000000-0005-0000-0000-000021720000}"/>
    <cellStyle name="Output 6 6 6 2" xfId="25846" xr:uid="{00000000-0005-0000-0000-000022720000}"/>
    <cellStyle name="Output 6 6 6 3" xfId="20771" xr:uid="{00000000-0005-0000-0000-000023720000}"/>
    <cellStyle name="Output 6 6 7" xfId="6229" xr:uid="{00000000-0005-0000-0000-000024720000}"/>
    <cellStyle name="Output 6 6 7 2" xfId="24669" xr:uid="{00000000-0005-0000-0000-000025720000}"/>
    <cellStyle name="Output 6 6 7 3" xfId="19778" xr:uid="{00000000-0005-0000-0000-000026720000}"/>
    <cellStyle name="Output 6 6 8" xfId="8515" xr:uid="{00000000-0005-0000-0000-000027720000}"/>
    <cellStyle name="Output 6 6 8 2" xfId="26938" xr:uid="{00000000-0005-0000-0000-000028720000}"/>
    <cellStyle name="Output 6 6 8 3" xfId="21806" xr:uid="{00000000-0005-0000-0000-000029720000}"/>
    <cellStyle name="Output 6 6 9" xfId="4007" xr:uid="{00000000-0005-0000-0000-00002A720000}"/>
    <cellStyle name="Output 6 6 9 2" xfId="22474" xr:uid="{00000000-0005-0000-0000-00002B720000}"/>
    <cellStyle name="Output 6 6 9 3" xfId="17689" xr:uid="{00000000-0005-0000-0000-00002C720000}"/>
    <cellStyle name="Output 6 7" xfId="3092" xr:uid="{00000000-0005-0000-0000-00002D720000}"/>
    <cellStyle name="Output 6 7 10" xfId="15603" xr:uid="{00000000-0005-0000-0000-00002E720000}"/>
    <cellStyle name="Output 6 7 10 2" xfId="36979" xr:uid="{00000000-0005-0000-0000-00002F720000}"/>
    <cellStyle name="Output 6 7 10 3" xfId="17003" xr:uid="{00000000-0005-0000-0000-000030720000}"/>
    <cellStyle name="Output 6 7 11" xfId="15292" xr:uid="{00000000-0005-0000-0000-000031720000}"/>
    <cellStyle name="Output 6 7 11 2" xfId="36690" xr:uid="{00000000-0005-0000-0000-000032720000}"/>
    <cellStyle name="Output 6 7 12" xfId="27452" xr:uid="{00000000-0005-0000-0000-000033720000}"/>
    <cellStyle name="Output 6 7 2" xfId="3600" xr:uid="{00000000-0005-0000-0000-000034720000}"/>
    <cellStyle name="Output 6 7 2 10" xfId="15759" xr:uid="{00000000-0005-0000-0000-000035720000}"/>
    <cellStyle name="Output 6 7 2 10 2" xfId="37121" xr:uid="{00000000-0005-0000-0000-000036720000}"/>
    <cellStyle name="Output 6 7 2 11" xfId="27453" xr:uid="{00000000-0005-0000-0000-000037720000}"/>
    <cellStyle name="Output 6 7 2 2" xfId="5727" xr:uid="{00000000-0005-0000-0000-000038720000}"/>
    <cellStyle name="Output 6 7 2 2 2" xfId="10633" xr:uid="{00000000-0005-0000-0000-000039720000}"/>
    <cellStyle name="Output 6 7 2 2 2 2" xfId="33767" xr:uid="{00000000-0005-0000-0000-00003A720000}"/>
    <cellStyle name="Output 6 7 2 2 2 3" xfId="24180" xr:uid="{00000000-0005-0000-0000-00003B720000}"/>
    <cellStyle name="Output 6 7 2 2 3" xfId="32316" xr:uid="{00000000-0005-0000-0000-00003C720000}"/>
    <cellStyle name="Output 6 7 2 2 4" xfId="29364" xr:uid="{00000000-0005-0000-0000-00003D720000}"/>
    <cellStyle name="Output 6 7 2 2 5" xfId="19291" xr:uid="{00000000-0005-0000-0000-00003E720000}"/>
    <cellStyle name="Output 6 7 2 3" xfId="5213" xr:uid="{00000000-0005-0000-0000-00003F720000}"/>
    <cellStyle name="Output 6 7 2 3 2" xfId="23673" xr:uid="{00000000-0005-0000-0000-000040720000}"/>
    <cellStyle name="Output 6 7 2 3 3" xfId="18827" xr:uid="{00000000-0005-0000-0000-000041720000}"/>
    <cellStyle name="Output 6 7 2 4" xfId="7202" xr:uid="{00000000-0005-0000-0000-000042720000}"/>
    <cellStyle name="Output 6 7 2 4 2" xfId="25633" xr:uid="{00000000-0005-0000-0000-000043720000}"/>
    <cellStyle name="Output 6 7 2 4 3" xfId="20559" xr:uid="{00000000-0005-0000-0000-000044720000}"/>
    <cellStyle name="Output 6 7 2 5" xfId="7739" xr:uid="{00000000-0005-0000-0000-000045720000}"/>
    <cellStyle name="Output 6 7 2 5 2" xfId="26169" xr:uid="{00000000-0005-0000-0000-000046720000}"/>
    <cellStyle name="Output 6 7 2 5 3" xfId="21094" xr:uid="{00000000-0005-0000-0000-000047720000}"/>
    <cellStyle name="Output 6 7 2 6" xfId="8113" xr:uid="{00000000-0005-0000-0000-000048720000}"/>
    <cellStyle name="Output 6 7 2 6 2" xfId="26543" xr:uid="{00000000-0005-0000-0000-000049720000}"/>
    <cellStyle name="Output 6 7 2 6 3" xfId="21467" xr:uid="{00000000-0005-0000-0000-00004A720000}"/>
    <cellStyle name="Output 6 7 2 7" xfId="8837" xr:uid="{00000000-0005-0000-0000-00004B720000}"/>
    <cellStyle name="Output 6 7 2 7 2" xfId="27257" xr:uid="{00000000-0005-0000-0000-00004C720000}"/>
    <cellStyle name="Output 6 7 2 7 3" xfId="22128" xr:uid="{00000000-0005-0000-0000-00004D720000}"/>
    <cellStyle name="Output 6 7 2 8" xfId="4329" xr:uid="{00000000-0005-0000-0000-00004E720000}"/>
    <cellStyle name="Output 6 7 2 8 2" xfId="22793" xr:uid="{00000000-0005-0000-0000-00004F720000}"/>
    <cellStyle name="Output 6 7 2 8 3" xfId="18011" xr:uid="{00000000-0005-0000-0000-000050720000}"/>
    <cellStyle name="Output 6 7 2 9" xfId="16204" xr:uid="{00000000-0005-0000-0000-000051720000}"/>
    <cellStyle name="Output 6 7 2 9 2" xfId="37519" xr:uid="{00000000-0005-0000-0000-000052720000}"/>
    <cellStyle name="Output 6 7 2 9 3" xfId="17340" xr:uid="{00000000-0005-0000-0000-000053720000}"/>
    <cellStyle name="Output 6 7 3" xfId="5354" xr:uid="{00000000-0005-0000-0000-000054720000}"/>
    <cellStyle name="Output 6 7 3 2" xfId="11207" xr:uid="{00000000-0005-0000-0000-000055720000}"/>
    <cellStyle name="Output 6 7 3 2 2" xfId="34024" xr:uid="{00000000-0005-0000-0000-000056720000}"/>
    <cellStyle name="Output 6 7 3 2 3" xfId="29585" xr:uid="{00000000-0005-0000-0000-000057720000}"/>
    <cellStyle name="Output 6 7 3 2 4" xfId="23814" xr:uid="{00000000-0005-0000-0000-000058720000}"/>
    <cellStyle name="Output 6 7 3 3" xfId="32104" xr:uid="{00000000-0005-0000-0000-000059720000}"/>
    <cellStyle name="Output 6 7 3 4" xfId="27785" xr:uid="{00000000-0005-0000-0000-00005A720000}"/>
    <cellStyle name="Output 6 7 3 5" xfId="18957" xr:uid="{00000000-0005-0000-0000-00005B720000}"/>
    <cellStyle name="Output 6 7 4" xfId="4943" xr:uid="{00000000-0005-0000-0000-00005C720000}"/>
    <cellStyle name="Output 6 7 4 2" xfId="10632" xr:uid="{00000000-0005-0000-0000-00005D720000}"/>
    <cellStyle name="Output 6 7 4 2 2" xfId="33766" xr:uid="{00000000-0005-0000-0000-00005E720000}"/>
    <cellStyle name="Output 6 7 4 2 3" xfId="23403" xr:uid="{00000000-0005-0000-0000-00005F720000}"/>
    <cellStyle name="Output 6 7 4 3" xfId="31894" xr:uid="{00000000-0005-0000-0000-000060720000}"/>
    <cellStyle name="Output 6 7 4 4" xfId="29363" xr:uid="{00000000-0005-0000-0000-000061720000}"/>
    <cellStyle name="Output 6 7 4 5" xfId="18557" xr:uid="{00000000-0005-0000-0000-000062720000}"/>
    <cellStyle name="Output 6 7 5" xfId="6258" xr:uid="{00000000-0005-0000-0000-000063720000}"/>
    <cellStyle name="Output 6 7 5 2" xfId="10064" xr:uid="{00000000-0005-0000-0000-000064720000}"/>
    <cellStyle name="Output 6 7 5 2 2" xfId="33370" xr:uid="{00000000-0005-0000-0000-000065720000}"/>
    <cellStyle name="Output 6 7 5 2 3" xfId="24698" xr:uid="{00000000-0005-0000-0000-000066720000}"/>
    <cellStyle name="Output 6 7 5 3" xfId="32570" xr:uid="{00000000-0005-0000-0000-000067720000}"/>
    <cellStyle name="Output 6 7 5 4" xfId="19807" xr:uid="{00000000-0005-0000-0000-000068720000}"/>
    <cellStyle name="Output 6 7 6" xfId="7416" xr:uid="{00000000-0005-0000-0000-000069720000}"/>
    <cellStyle name="Output 6 7 6 2" xfId="25847" xr:uid="{00000000-0005-0000-0000-00006A720000}"/>
    <cellStyle name="Output 6 7 6 3" xfId="20772" xr:uid="{00000000-0005-0000-0000-00006B720000}"/>
    <cellStyle name="Output 6 7 7" xfId="6228" xr:uid="{00000000-0005-0000-0000-00006C720000}"/>
    <cellStyle name="Output 6 7 7 2" xfId="24668" xr:uid="{00000000-0005-0000-0000-00006D720000}"/>
    <cellStyle name="Output 6 7 7 3" xfId="19777" xr:uid="{00000000-0005-0000-0000-00006E720000}"/>
    <cellStyle name="Output 6 7 8" xfId="8516" xr:uid="{00000000-0005-0000-0000-00006F720000}"/>
    <cellStyle name="Output 6 7 8 2" xfId="26939" xr:uid="{00000000-0005-0000-0000-000070720000}"/>
    <cellStyle name="Output 6 7 8 3" xfId="21807" xr:uid="{00000000-0005-0000-0000-000071720000}"/>
    <cellStyle name="Output 6 7 9" xfId="4008" xr:uid="{00000000-0005-0000-0000-000072720000}"/>
    <cellStyle name="Output 6 7 9 2" xfId="22475" xr:uid="{00000000-0005-0000-0000-000073720000}"/>
    <cellStyle name="Output 6 7 9 3" xfId="17690" xr:uid="{00000000-0005-0000-0000-000074720000}"/>
    <cellStyle name="Output 6 8" xfId="3093" xr:uid="{00000000-0005-0000-0000-000075720000}"/>
    <cellStyle name="Output 6 8 10" xfId="16171" xr:uid="{00000000-0005-0000-0000-000076720000}"/>
    <cellStyle name="Output 6 8 10 2" xfId="37488" xr:uid="{00000000-0005-0000-0000-000077720000}"/>
    <cellStyle name="Output 6 8 10 3" xfId="17004" xr:uid="{00000000-0005-0000-0000-000078720000}"/>
    <cellStyle name="Output 6 8 11" xfId="15335" xr:uid="{00000000-0005-0000-0000-000079720000}"/>
    <cellStyle name="Output 6 8 11 2" xfId="36723" xr:uid="{00000000-0005-0000-0000-00007A720000}"/>
    <cellStyle name="Output 6 8 12" xfId="27454" xr:uid="{00000000-0005-0000-0000-00007B720000}"/>
    <cellStyle name="Output 6 8 2" xfId="3601" xr:uid="{00000000-0005-0000-0000-00007C720000}"/>
    <cellStyle name="Output 6 8 2 10" xfId="16489" xr:uid="{00000000-0005-0000-0000-00007D720000}"/>
    <cellStyle name="Output 6 8 2 10 2" xfId="37736" xr:uid="{00000000-0005-0000-0000-00007E720000}"/>
    <cellStyle name="Output 6 8 2 11" xfId="27455" xr:uid="{00000000-0005-0000-0000-00007F720000}"/>
    <cellStyle name="Output 6 8 2 2" xfId="5728" xr:uid="{00000000-0005-0000-0000-000080720000}"/>
    <cellStyle name="Output 6 8 2 2 2" xfId="10635" xr:uid="{00000000-0005-0000-0000-000081720000}"/>
    <cellStyle name="Output 6 8 2 2 2 2" xfId="33769" xr:uid="{00000000-0005-0000-0000-000082720000}"/>
    <cellStyle name="Output 6 8 2 2 2 3" xfId="24181" xr:uid="{00000000-0005-0000-0000-000083720000}"/>
    <cellStyle name="Output 6 8 2 2 3" xfId="32317" xr:uid="{00000000-0005-0000-0000-000084720000}"/>
    <cellStyle name="Output 6 8 2 2 4" xfId="29366" xr:uid="{00000000-0005-0000-0000-000085720000}"/>
    <cellStyle name="Output 6 8 2 2 5" xfId="19292" xr:uid="{00000000-0005-0000-0000-000086720000}"/>
    <cellStyle name="Output 6 8 2 3" xfId="5214" xr:uid="{00000000-0005-0000-0000-000087720000}"/>
    <cellStyle name="Output 6 8 2 3 2" xfId="23674" xr:uid="{00000000-0005-0000-0000-000088720000}"/>
    <cellStyle name="Output 6 8 2 3 3" xfId="18828" xr:uid="{00000000-0005-0000-0000-000089720000}"/>
    <cellStyle name="Output 6 8 2 4" xfId="7203" xr:uid="{00000000-0005-0000-0000-00008A720000}"/>
    <cellStyle name="Output 6 8 2 4 2" xfId="25634" xr:uid="{00000000-0005-0000-0000-00008B720000}"/>
    <cellStyle name="Output 6 8 2 4 3" xfId="20560" xr:uid="{00000000-0005-0000-0000-00008C720000}"/>
    <cellStyle name="Output 6 8 2 5" xfId="7740" xr:uid="{00000000-0005-0000-0000-00008D720000}"/>
    <cellStyle name="Output 6 8 2 5 2" xfId="26170" xr:uid="{00000000-0005-0000-0000-00008E720000}"/>
    <cellStyle name="Output 6 8 2 5 3" xfId="21095" xr:uid="{00000000-0005-0000-0000-00008F720000}"/>
    <cellStyle name="Output 6 8 2 6" xfId="8114" xr:uid="{00000000-0005-0000-0000-000090720000}"/>
    <cellStyle name="Output 6 8 2 6 2" xfId="26544" xr:uid="{00000000-0005-0000-0000-000091720000}"/>
    <cellStyle name="Output 6 8 2 6 3" xfId="21468" xr:uid="{00000000-0005-0000-0000-000092720000}"/>
    <cellStyle name="Output 6 8 2 7" xfId="8838" xr:uid="{00000000-0005-0000-0000-000093720000}"/>
    <cellStyle name="Output 6 8 2 7 2" xfId="27258" xr:uid="{00000000-0005-0000-0000-000094720000}"/>
    <cellStyle name="Output 6 8 2 7 3" xfId="22129" xr:uid="{00000000-0005-0000-0000-000095720000}"/>
    <cellStyle name="Output 6 8 2 8" xfId="4330" xr:uid="{00000000-0005-0000-0000-000096720000}"/>
    <cellStyle name="Output 6 8 2 8 2" xfId="22794" xr:uid="{00000000-0005-0000-0000-000097720000}"/>
    <cellStyle name="Output 6 8 2 8 3" xfId="18012" xr:uid="{00000000-0005-0000-0000-000098720000}"/>
    <cellStyle name="Output 6 8 2 9" xfId="16140" xr:uid="{00000000-0005-0000-0000-000099720000}"/>
    <cellStyle name="Output 6 8 2 9 2" xfId="37461" xr:uid="{00000000-0005-0000-0000-00009A720000}"/>
    <cellStyle name="Output 6 8 2 9 3" xfId="17341" xr:uid="{00000000-0005-0000-0000-00009B720000}"/>
    <cellStyle name="Output 6 8 3" xfId="5355" xr:uid="{00000000-0005-0000-0000-00009C720000}"/>
    <cellStyle name="Output 6 8 3 2" xfId="11208" xr:uid="{00000000-0005-0000-0000-00009D720000}"/>
    <cellStyle name="Output 6 8 3 2 2" xfId="34025" xr:uid="{00000000-0005-0000-0000-00009E720000}"/>
    <cellStyle name="Output 6 8 3 2 3" xfId="29586" xr:uid="{00000000-0005-0000-0000-00009F720000}"/>
    <cellStyle name="Output 6 8 3 2 4" xfId="23815" xr:uid="{00000000-0005-0000-0000-0000A0720000}"/>
    <cellStyle name="Output 6 8 3 3" xfId="32105" xr:uid="{00000000-0005-0000-0000-0000A1720000}"/>
    <cellStyle name="Output 6 8 3 4" xfId="27786" xr:uid="{00000000-0005-0000-0000-0000A2720000}"/>
    <cellStyle name="Output 6 8 3 5" xfId="18958" xr:uid="{00000000-0005-0000-0000-0000A3720000}"/>
    <cellStyle name="Output 6 8 4" xfId="4944" xr:uid="{00000000-0005-0000-0000-0000A4720000}"/>
    <cellStyle name="Output 6 8 4 2" xfId="10634" xr:uid="{00000000-0005-0000-0000-0000A5720000}"/>
    <cellStyle name="Output 6 8 4 2 2" xfId="33768" xr:uid="{00000000-0005-0000-0000-0000A6720000}"/>
    <cellStyle name="Output 6 8 4 2 3" xfId="23404" xr:uid="{00000000-0005-0000-0000-0000A7720000}"/>
    <cellStyle name="Output 6 8 4 3" xfId="31895" xr:uid="{00000000-0005-0000-0000-0000A8720000}"/>
    <cellStyle name="Output 6 8 4 4" xfId="29365" xr:uid="{00000000-0005-0000-0000-0000A9720000}"/>
    <cellStyle name="Output 6 8 4 5" xfId="18558" xr:uid="{00000000-0005-0000-0000-0000AA720000}"/>
    <cellStyle name="Output 6 8 5" xfId="6257" xr:uid="{00000000-0005-0000-0000-0000AB720000}"/>
    <cellStyle name="Output 6 8 5 2" xfId="10065" xr:uid="{00000000-0005-0000-0000-0000AC720000}"/>
    <cellStyle name="Output 6 8 5 2 2" xfId="33371" xr:uid="{00000000-0005-0000-0000-0000AD720000}"/>
    <cellStyle name="Output 6 8 5 2 3" xfId="24697" xr:uid="{00000000-0005-0000-0000-0000AE720000}"/>
    <cellStyle name="Output 6 8 5 3" xfId="32569" xr:uid="{00000000-0005-0000-0000-0000AF720000}"/>
    <cellStyle name="Output 6 8 5 4" xfId="19806" xr:uid="{00000000-0005-0000-0000-0000B0720000}"/>
    <cellStyle name="Output 6 8 6" xfId="7417" xr:uid="{00000000-0005-0000-0000-0000B1720000}"/>
    <cellStyle name="Output 6 8 6 2" xfId="25848" xr:uid="{00000000-0005-0000-0000-0000B2720000}"/>
    <cellStyle name="Output 6 8 6 3" xfId="20773" xr:uid="{00000000-0005-0000-0000-0000B3720000}"/>
    <cellStyle name="Output 6 8 7" xfId="6227" xr:uid="{00000000-0005-0000-0000-0000B4720000}"/>
    <cellStyle name="Output 6 8 7 2" xfId="24667" xr:uid="{00000000-0005-0000-0000-0000B5720000}"/>
    <cellStyle name="Output 6 8 7 3" xfId="19776" xr:uid="{00000000-0005-0000-0000-0000B6720000}"/>
    <cellStyle name="Output 6 8 8" xfId="8517" xr:uid="{00000000-0005-0000-0000-0000B7720000}"/>
    <cellStyle name="Output 6 8 8 2" xfId="26940" xr:uid="{00000000-0005-0000-0000-0000B8720000}"/>
    <cellStyle name="Output 6 8 8 3" xfId="21808" xr:uid="{00000000-0005-0000-0000-0000B9720000}"/>
    <cellStyle name="Output 6 8 9" xfId="4009" xr:uid="{00000000-0005-0000-0000-0000BA720000}"/>
    <cellStyle name="Output 6 8 9 2" xfId="22476" xr:uid="{00000000-0005-0000-0000-0000BB720000}"/>
    <cellStyle name="Output 6 8 9 3" xfId="17691" xr:uid="{00000000-0005-0000-0000-0000BC720000}"/>
    <cellStyle name="Output 6 9" xfId="3094" xr:uid="{00000000-0005-0000-0000-0000BD720000}"/>
    <cellStyle name="Output 6 9 10" xfId="16105" xr:uid="{00000000-0005-0000-0000-0000BE720000}"/>
    <cellStyle name="Output 6 9 10 2" xfId="37427" xr:uid="{00000000-0005-0000-0000-0000BF720000}"/>
    <cellStyle name="Output 6 9 10 3" xfId="17005" xr:uid="{00000000-0005-0000-0000-0000C0720000}"/>
    <cellStyle name="Output 6 9 11" xfId="14827" xr:uid="{00000000-0005-0000-0000-0000C1720000}"/>
    <cellStyle name="Output 6 9 11 2" xfId="36280" xr:uid="{00000000-0005-0000-0000-0000C2720000}"/>
    <cellStyle name="Output 6 9 12" xfId="27456" xr:uid="{00000000-0005-0000-0000-0000C3720000}"/>
    <cellStyle name="Output 6 9 2" xfId="3602" xr:uid="{00000000-0005-0000-0000-0000C4720000}"/>
    <cellStyle name="Output 6 9 2 10" xfId="14781" xr:uid="{00000000-0005-0000-0000-0000C5720000}"/>
    <cellStyle name="Output 6 9 2 10 2" xfId="36238" xr:uid="{00000000-0005-0000-0000-0000C6720000}"/>
    <cellStyle name="Output 6 9 2 11" xfId="27457" xr:uid="{00000000-0005-0000-0000-0000C7720000}"/>
    <cellStyle name="Output 6 9 2 2" xfId="5729" xr:uid="{00000000-0005-0000-0000-0000C8720000}"/>
    <cellStyle name="Output 6 9 2 2 2" xfId="10637" xr:uid="{00000000-0005-0000-0000-0000C9720000}"/>
    <cellStyle name="Output 6 9 2 2 2 2" xfId="33771" xr:uid="{00000000-0005-0000-0000-0000CA720000}"/>
    <cellStyle name="Output 6 9 2 2 2 3" xfId="24182" xr:uid="{00000000-0005-0000-0000-0000CB720000}"/>
    <cellStyle name="Output 6 9 2 2 3" xfId="32318" xr:uid="{00000000-0005-0000-0000-0000CC720000}"/>
    <cellStyle name="Output 6 9 2 2 4" xfId="29368" xr:uid="{00000000-0005-0000-0000-0000CD720000}"/>
    <cellStyle name="Output 6 9 2 2 5" xfId="19293" xr:uid="{00000000-0005-0000-0000-0000CE720000}"/>
    <cellStyle name="Output 6 9 2 3" xfId="5215" xr:uid="{00000000-0005-0000-0000-0000CF720000}"/>
    <cellStyle name="Output 6 9 2 3 2" xfId="23675" xr:uid="{00000000-0005-0000-0000-0000D0720000}"/>
    <cellStyle name="Output 6 9 2 3 3" xfId="18829" xr:uid="{00000000-0005-0000-0000-0000D1720000}"/>
    <cellStyle name="Output 6 9 2 4" xfId="7204" xr:uid="{00000000-0005-0000-0000-0000D2720000}"/>
    <cellStyle name="Output 6 9 2 4 2" xfId="25635" xr:uid="{00000000-0005-0000-0000-0000D3720000}"/>
    <cellStyle name="Output 6 9 2 4 3" xfId="20561" xr:uid="{00000000-0005-0000-0000-0000D4720000}"/>
    <cellStyle name="Output 6 9 2 5" xfId="7741" xr:uid="{00000000-0005-0000-0000-0000D5720000}"/>
    <cellStyle name="Output 6 9 2 5 2" xfId="26171" xr:uid="{00000000-0005-0000-0000-0000D6720000}"/>
    <cellStyle name="Output 6 9 2 5 3" xfId="21096" xr:uid="{00000000-0005-0000-0000-0000D7720000}"/>
    <cellStyle name="Output 6 9 2 6" xfId="8115" xr:uid="{00000000-0005-0000-0000-0000D8720000}"/>
    <cellStyle name="Output 6 9 2 6 2" xfId="26545" xr:uid="{00000000-0005-0000-0000-0000D9720000}"/>
    <cellStyle name="Output 6 9 2 6 3" xfId="21469" xr:uid="{00000000-0005-0000-0000-0000DA720000}"/>
    <cellStyle name="Output 6 9 2 7" xfId="8839" xr:uid="{00000000-0005-0000-0000-0000DB720000}"/>
    <cellStyle name="Output 6 9 2 7 2" xfId="27259" xr:uid="{00000000-0005-0000-0000-0000DC720000}"/>
    <cellStyle name="Output 6 9 2 7 3" xfId="22130" xr:uid="{00000000-0005-0000-0000-0000DD720000}"/>
    <cellStyle name="Output 6 9 2 8" xfId="4331" xr:uid="{00000000-0005-0000-0000-0000DE720000}"/>
    <cellStyle name="Output 6 9 2 8 2" xfId="22795" xr:uid="{00000000-0005-0000-0000-0000DF720000}"/>
    <cellStyle name="Output 6 9 2 8 3" xfId="18013" xr:uid="{00000000-0005-0000-0000-0000E0720000}"/>
    <cellStyle name="Output 6 9 2 9" xfId="15681" xr:uid="{00000000-0005-0000-0000-0000E1720000}"/>
    <cellStyle name="Output 6 9 2 9 2" xfId="37054" xr:uid="{00000000-0005-0000-0000-0000E2720000}"/>
    <cellStyle name="Output 6 9 2 9 3" xfId="17342" xr:uid="{00000000-0005-0000-0000-0000E3720000}"/>
    <cellStyle name="Output 6 9 3" xfId="5356" xr:uid="{00000000-0005-0000-0000-0000E4720000}"/>
    <cellStyle name="Output 6 9 3 2" xfId="11209" xr:uid="{00000000-0005-0000-0000-0000E5720000}"/>
    <cellStyle name="Output 6 9 3 2 2" xfId="34026" xr:uid="{00000000-0005-0000-0000-0000E6720000}"/>
    <cellStyle name="Output 6 9 3 2 3" xfId="29587" xr:uid="{00000000-0005-0000-0000-0000E7720000}"/>
    <cellStyle name="Output 6 9 3 2 4" xfId="23816" xr:uid="{00000000-0005-0000-0000-0000E8720000}"/>
    <cellStyle name="Output 6 9 3 3" xfId="32106" xr:uid="{00000000-0005-0000-0000-0000E9720000}"/>
    <cellStyle name="Output 6 9 3 4" xfId="27787" xr:uid="{00000000-0005-0000-0000-0000EA720000}"/>
    <cellStyle name="Output 6 9 3 5" xfId="18959" xr:uid="{00000000-0005-0000-0000-0000EB720000}"/>
    <cellStyle name="Output 6 9 4" xfId="4945" xr:uid="{00000000-0005-0000-0000-0000EC720000}"/>
    <cellStyle name="Output 6 9 4 2" xfId="10636" xr:uid="{00000000-0005-0000-0000-0000ED720000}"/>
    <cellStyle name="Output 6 9 4 2 2" xfId="33770" xr:uid="{00000000-0005-0000-0000-0000EE720000}"/>
    <cellStyle name="Output 6 9 4 2 3" xfId="23405" xr:uid="{00000000-0005-0000-0000-0000EF720000}"/>
    <cellStyle name="Output 6 9 4 3" xfId="31896" xr:uid="{00000000-0005-0000-0000-0000F0720000}"/>
    <cellStyle name="Output 6 9 4 4" xfId="29367" xr:uid="{00000000-0005-0000-0000-0000F1720000}"/>
    <cellStyle name="Output 6 9 4 5" xfId="18559" xr:uid="{00000000-0005-0000-0000-0000F2720000}"/>
    <cellStyle name="Output 6 9 5" xfId="6256" xr:uid="{00000000-0005-0000-0000-0000F3720000}"/>
    <cellStyle name="Output 6 9 5 2" xfId="10066" xr:uid="{00000000-0005-0000-0000-0000F4720000}"/>
    <cellStyle name="Output 6 9 5 2 2" xfId="33372" xr:uid="{00000000-0005-0000-0000-0000F5720000}"/>
    <cellStyle name="Output 6 9 5 2 3" xfId="24696" xr:uid="{00000000-0005-0000-0000-0000F6720000}"/>
    <cellStyle name="Output 6 9 5 3" xfId="32568" xr:uid="{00000000-0005-0000-0000-0000F7720000}"/>
    <cellStyle name="Output 6 9 5 4" xfId="19805" xr:uid="{00000000-0005-0000-0000-0000F8720000}"/>
    <cellStyle name="Output 6 9 6" xfId="7418" xr:uid="{00000000-0005-0000-0000-0000F9720000}"/>
    <cellStyle name="Output 6 9 6 2" xfId="25849" xr:uid="{00000000-0005-0000-0000-0000FA720000}"/>
    <cellStyle name="Output 6 9 6 3" xfId="20774" xr:uid="{00000000-0005-0000-0000-0000FB720000}"/>
    <cellStyle name="Output 6 9 7" xfId="6226" xr:uid="{00000000-0005-0000-0000-0000FC720000}"/>
    <cellStyle name="Output 6 9 7 2" xfId="24666" xr:uid="{00000000-0005-0000-0000-0000FD720000}"/>
    <cellStyle name="Output 6 9 7 3" xfId="19775" xr:uid="{00000000-0005-0000-0000-0000FE720000}"/>
    <cellStyle name="Output 6 9 8" xfId="8518" xr:uid="{00000000-0005-0000-0000-0000FF720000}"/>
    <cellStyle name="Output 6 9 8 2" xfId="26941" xr:uid="{00000000-0005-0000-0000-000000730000}"/>
    <cellStyle name="Output 6 9 8 3" xfId="21809" xr:uid="{00000000-0005-0000-0000-000001730000}"/>
    <cellStyle name="Output 6 9 9" xfId="4010" xr:uid="{00000000-0005-0000-0000-000002730000}"/>
    <cellStyle name="Output 6 9 9 2" xfId="22477" xr:uid="{00000000-0005-0000-0000-000003730000}"/>
    <cellStyle name="Output 6 9 9 3" xfId="17692" xr:uid="{00000000-0005-0000-0000-000004730000}"/>
    <cellStyle name="Output 7" xfId="3095" xr:uid="{00000000-0005-0000-0000-000005730000}"/>
    <cellStyle name="Output 7 10" xfId="15650" xr:uid="{00000000-0005-0000-0000-000006730000}"/>
    <cellStyle name="Output 7 10 2" xfId="37025" xr:uid="{00000000-0005-0000-0000-000007730000}"/>
    <cellStyle name="Output 7 10 3" xfId="17006" xr:uid="{00000000-0005-0000-0000-000008730000}"/>
    <cellStyle name="Output 7 11" xfId="14726" xr:uid="{00000000-0005-0000-0000-000009730000}"/>
    <cellStyle name="Output 7 11 2" xfId="36206" xr:uid="{00000000-0005-0000-0000-00000A730000}"/>
    <cellStyle name="Output 7 12" xfId="27458" xr:uid="{00000000-0005-0000-0000-00000B730000}"/>
    <cellStyle name="Output 7 13" xfId="40078" xr:uid="{00000000-0005-0000-0000-0000B10E0000}"/>
    <cellStyle name="Output 7 2" xfId="3603" xr:uid="{00000000-0005-0000-0000-00000C730000}"/>
    <cellStyle name="Output 7 2 10" xfId="15488" xr:uid="{00000000-0005-0000-0000-00000D730000}"/>
    <cellStyle name="Output 7 2 10 2" xfId="36867" xr:uid="{00000000-0005-0000-0000-00000E730000}"/>
    <cellStyle name="Output 7 2 11" xfId="27459" xr:uid="{00000000-0005-0000-0000-00000F730000}"/>
    <cellStyle name="Output 7 2 2" xfId="5730" xr:uid="{00000000-0005-0000-0000-000010730000}"/>
    <cellStyle name="Output 7 2 2 2" xfId="10639" xr:uid="{00000000-0005-0000-0000-000011730000}"/>
    <cellStyle name="Output 7 2 2 2 2" xfId="33773" xr:uid="{00000000-0005-0000-0000-000012730000}"/>
    <cellStyle name="Output 7 2 2 2 3" xfId="24183" xr:uid="{00000000-0005-0000-0000-000013730000}"/>
    <cellStyle name="Output 7 2 2 3" xfId="32319" xr:uid="{00000000-0005-0000-0000-000014730000}"/>
    <cellStyle name="Output 7 2 2 4" xfId="29370" xr:uid="{00000000-0005-0000-0000-000015730000}"/>
    <cellStyle name="Output 7 2 2 5" xfId="19294" xr:uid="{00000000-0005-0000-0000-000016730000}"/>
    <cellStyle name="Output 7 2 3" xfId="5216" xr:uid="{00000000-0005-0000-0000-000017730000}"/>
    <cellStyle name="Output 7 2 3 2" xfId="23676" xr:uid="{00000000-0005-0000-0000-000018730000}"/>
    <cellStyle name="Output 7 2 3 3" xfId="18830" xr:uid="{00000000-0005-0000-0000-000019730000}"/>
    <cellStyle name="Output 7 2 4" xfId="7205" xr:uid="{00000000-0005-0000-0000-00001A730000}"/>
    <cellStyle name="Output 7 2 4 2" xfId="25636" xr:uid="{00000000-0005-0000-0000-00001B730000}"/>
    <cellStyle name="Output 7 2 4 3" xfId="20562" xr:uid="{00000000-0005-0000-0000-00001C730000}"/>
    <cellStyle name="Output 7 2 5" xfId="7742" xr:uid="{00000000-0005-0000-0000-00001D730000}"/>
    <cellStyle name="Output 7 2 5 2" xfId="26172" xr:uid="{00000000-0005-0000-0000-00001E730000}"/>
    <cellStyle name="Output 7 2 5 3" xfId="21097" xr:uid="{00000000-0005-0000-0000-00001F730000}"/>
    <cellStyle name="Output 7 2 6" xfId="8116" xr:uid="{00000000-0005-0000-0000-000020730000}"/>
    <cellStyle name="Output 7 2 6 2" xfId="26546" xr:uid="{00000000-0005-0000-0000-000021730000}"/>
    <cellStyle name="Output 7 2 6 3" xfId="21470" xr:uid="{00000000-0005-0000-0000-000022730000}"/>
    <cellStyle name="Output 7 2 7" xfId="8840" xr:uid="{00000000-0005-0000-0000-000023730000}"/>
    <cellStyle name="Output 7 2 7 2" xfId="27260" xr:uid="{00000000-0005-0000-0000-000024730000}"/>
    <cellStyle name="Output 7 2 7 3" xfId="22131" xr:uid="{00000000-0005-0000-0000-000025730000}"/>
    <cellStyle name="Output 7 2 8" xfId="4332" xr:uid="{00000000-0005-0000-0000-000026730000}"/>
    <cellStyle name="Output 7 2 8 2" xfId="22796" xr:uid="{00000000-0005-0000-0000-000027730000}"/>
    <cellStyle name="Output 7 2 8 3" xfId="18014" xr:uid="{00000000-0005-0000-0000-000028730000}"/>
    <cellStyle name="Output 7 2 9" xfId="15627" xr:uid="{00000000-0005-0000-0000-000029730000}"/>
    <cellStyle name="Output 7 2 9 2" xfId="37002" xr:uid="{00000000-0005-0000-0000-00002A730000}"/>
    <cellStyle name="Output 7 2 9 3" xfId="17343" xr:uid="{00000000-0005-0000-0000-00002B730000}"/>
    <cellStyle name="Output 7 3" xfId="5357" xr:uid="{00000000-0005-0000-0000-00002C730000}"/>
    <cellStyle name="Output 7 3 2" xfId="11210" xr:uid="{00000000-0005-0000-0000-00002D730000}"/>
    <cellStyle name="Output 7 3 2 2" xfId="34027" xr:uid="{00000000-0005-0000-0000-00002E730000}"/>
    <cellStyle name="Output 7 3 2 3" xfId="29588" xr:uid="{00000000-0005-0000-0000-00002F730000}"/>
    <cellStyle name="Output 7 3 2 4" xfId="23817" xr:uid="{00000000-0005-0000-0000-000030730000}"/>
    <cellStyle name="Output 7 3 3" xfId="32107" xr:uid="{00000000-0005-0000-0000-000031730000}"/>
    <cellStyle name="Output 7 3 4" xfId="27788" xr:uid="{00000000-0005-0000-0000-000032730000}"/>
    <cellStyle name="Output 7 3 5" xfId="18960" xr:uid="{00000000-0005-0000-0000-000033730000}"/>
    <cellStyle name="Output 7 4" xfId="4946" xr:uid="{00000000-0005-0000-0000-000034730000}"/>
    <cellStyle name="Output 7 4 2" xfId="10638" xr:uid="{00000000-0005-0000-0000-000035730000}"/>
    <cellStyle name="Output 7 4 2 2" xfId="33772" xr:uid="{00000000-0005-0000-0000-000036730000}"/>
    <cellStyle name="Output 7 4 2 3" xfId="23406" xr:uid="{00000000-0005-0000-0000-000037730000}"/>
    <cellStyle name="Output 7 4 3" xfId="31897" xr:uid="{00000000-0005-0000-0000-000038730000}"/>
    <cellStyle name="Output 7 4 4" xfId="29369" xr:uid="{00000000-0005-0000-0000-000039730000}"/>
    <cellStyle name="Output 7 4 5" xfId="18560" xr:uid="{00000000-0005-0000-0000-00003A730000}"/>
    <cellStyle name="Output 7 5" xfId="6255" xr:uid="{00000000-0005-0000-0000-00003B730000}"/>
    <cellStyle name="Output 7 5 2" xfId="10067" xr:uid="{00000000-0005-0000-0000-00003C730000}"/>
    <cellStyle name="Output 7 5 2 2" xfId="33373" xr:uid="{00000000-0005-0000-0000-00003D730000}"/>
    <cellStyle name="Output 7 5 2 3" xfId="24695" xr:uid="{00000000-0005-0000-0000-00003E730000}"/>
    <cellStyle name="Output 7 5 3" xfId="32567" xr:uid="{00000000-0005-0000-0000-00003F730000}"/>
    <cellStyle name="Output 7 5 4" xfId="19804" xr:uid="{00000000-0005-0000-0000-000040730000}"/>
    <cellStyle name="Output 7 6" xfId="7419" xr:uid="{00000000-0005-0000-0000-000041730000}"/>
    <cellStyle name="Output 7 6 2" xfId="25850" xr:uid="{00000000-0005-0000-0000-000042730000}"/>
    <cellStyle name="Output 7 6 3" xfId="20775" xr:uid="{00000000-0005-0000-0000-000043730000}"/>
    <cellStyle name="Output 7 7" xfId="6225" xr:uid="{00000000-0005-0000-0000-000044730000}"/>
    <cellStyle name="Output 7 7 2" xfId="24665" xr:uid="{00000000-0005-0000-0000-000045730000}"/>
    <cellStyle name="Output 7 7 3" xfId="19774" xr:uid="{00000000-0005-0000-0000-000046730000}"/>
    <cellStyle name="Output 7 8" xfId="8519" xr:uid="{00000000-0005-0000-0000-000047730000}"/>
    <cellStyle name="Output 7 8 2" xfId="26942" xr:uid="{00000000-0005-0000-0000-000048730000}"/>
    <cellStyle name="Output 7 8 3" xfId="21810" xr:uid="{00000000-0005-0000-0000-000049730000}"/>
    <cellStyle name="Output 7 9" xfId="4011" xr:uid="{00000000-0005-0000-0000-00004A730000}"/>
    <cellStyle name="Output 7 9 2" xfId="22478" xr:uid="{00000000-0005-0000-0000-00004B730000}"/>
    <cellStyle name="Output 7 9 3" xfId="17693" xr:uid="{00000000-0005-0000-0000-00004C730000}"/>
    <cellStyle name="Output 8" xfId="3096" xr:uid="{00000000-0005-0000-0000-00004D730000}"/>
    <cellStyle name="Output 8 10" xfId="15604" xr:uid="{00000000-0005-0000-0000-00004E730000}"/>
    <cellStyle name="Output 8 10 2" xfId="36980" xr:uid="{00000000-0005-0000-0000-00004F730000}"/>
    <cellStyle name="Output 8 10 3" xfId="17007" xr:uid="{00000000-0005-0000-0000-000050730000}"/>
    <cellStyle name="Output 8 11" xfId="15030" xr:uid="{00000000-0005-0000-0000-000051730000}"/>
    <cellStyle name="Output 8 11 2" xfId="36455" xr:uid="{00000000-0005-0000-0000-000052730000}"/>
    <cellStyle name="Output 8 12" xfId="27460" xr:uid="{00000000-0005-0000-0000-000053730000}"/>
    <cellStyle name="Output 8 13" xfId="40079" xr:uid="{00000000-0005-0000-0000-0000B20E0000}"/>
    <cellStyle name="Output 8 2" xfId="3604" xr:uid="{00000000-0005-0000-0000-000054730000}"/>
    <cellStyle name="Output 8 2 10" xfId="16246" xr:uid="{00000000-0005-0000-0000-000055730000}"/>
    <cellStyle name="Output 8 2 10 2" xfId="37556" xr:uid="{00000000-0005-0000-0000-000056730000}"/>
    <cellStyle name="Output 8 2 11" xfId="27461" xr:uid="{00000000-0005-0000-0000-000057730000}"/>
    <cellStyle name="Output 8 2 2" xfId="5731" xr:uid="{00000000-0005-0000-0000-000058730000}"/>
    <cellStyle name="Output 8 2 2 2" xfId="10641" xr:uid="{00000000-0005-0000-0000-000059730000}"/>
    <cellStyle name="Output 8 2 2 2 2" xfId="33775" xr:uid="{00000000-0005-0000-0000-00005A730000}"/>
    <cellStyle name="Output 8 2 2 2 3" xfId="24184" xr:uid="{00000000-0005-0000-0000-00005B730000}"/>
    <cellStyle name="Output 8 2 2 3" xfId="32320" xr:uid="{00000000-0005-0000-0000-00005C730000}"/>
    <cellStyle name="Output 8 2 2 4" xfId="29372" xr:uid="{00000000-0005-0000-0000-00005D730000}"/>
    <cellStyle name="Output 8 2 2 5" xfId="19295" xr:uid="{00000000-0005-0000-0000-00005E730000}"/>
    <cellStyle name="Output 8 2 3" xfId="5217" xr:uid="{00000000-0005-0000-0000-00005F730000}"/>
    <cellStyle name="Output 8 2 3 2" xfId="23677" xr:uid="{00000000-0005-0000-0000-000060730000}"/>
    <cellStyle name="Output 8 2 3 3" xfId="18831" xr:uid="{00000000-0005-0000-0000-000061730000}"/>
    <cellStyle name="Output 8 2 4" xfId="7206" xr:uid="{00000000-0005-0000-0000-000062730000}"/>
    <cellStyle name="Output 8 2 4 2" xfId="25637" xr:uid="{00000000-0005-0000-0000-000063730000}"/>
    <cellStyle name="Output 8 2 4 3" xfId="20563" xr:uid="{00000000-0005-0000-0000-000064730000}"/>
    <cellStyle name="Output 8 2 5" xfId="7743" xr:uid="{00000000-0005-0000-0000-000065730000}"/>
    <cellStyle name="Output 8 2 5 2" xfId="26173" xr:uid="{00000000-0005-0000-0000-000066730000}"/>
    <cellStyle name="Output 8 2 5 3" xfId="21098" xr:uid="{00000000-0005-0000-0000-000067730000}"/>
    <cellStyle name="Output 8 2 6" xfId="8117" xr:uid="{00000000-0005-0000-0000-000068730000}"/>
    <cellStyle name="Output 8 2 6 2" xfId="26547" xr:uid="{00000000-0005-0000-0000-000069730000}"/>
    <cellStyle name="Output 8 2 6 3" xfId="21471" xr:uid="{00000000-0005-0000-0000-00006A730000}"/>
    <cellStyle name="Output 8 2 7" xfId="8841" xr:uid="{00000000-0005-0000-0000-00006B730000}"/>
    <cellStyle name="Output 8 2 7 2" xfId="27261" xr:uid="{00000000-0005-0000-0000-00006C730000}"/>
    <cellStyle name="Output 8 2 7 3" xfId="22132" xr:uid="{00000000-0005-0000-0000-00006D730000}"/>
    <cellStyle name="Output 8 2 8" xfId="4333" xr:uid="{00000000-0005-0000-0000-00006E730000}"/>
    <cellStyle name="Output 8 2 8 2" xfId="22797" xr:uid="{00000000-0005-0000-0000-00006F730000}"/>
    <cellStyle name="Output 8 2 8 3" xfId="18015" xr:uid="{00000000-0005-0000-0000-000070730000}"/>
    <cellStyle name="Output 8 2 9" xfId="16229" xr:uid="{00000000-0005-0000-0000-000071730000}"/>
    <cellStyle name="Output 8 2 9 2" xfId="37542" xr:uid="{00000000-0005-0000-0000-000072730000}"/>
    <cellStyle name="Output 8 2 9 3" xfId="17344" xr:uid="{00000000-0005-0000-0000-000073730000}"/>
    <cellStyle name="Output 8 3" xfId="5358" xr:uid="{00000000-0005-0000-0000-000074730000}"/>
    <cellStyle name="Output 8 3 2" xfId="11211" xr:uid="{00000000-0005-0000-0000-000075730000}"/>
    <cellStyle name="Output 8 3 2 2" xfId="34028" xr:uid="{00000000-0005-0000-0000-000076730000}"/>
    <cellStyle name="Output 8 3 2 3" xfId="29589" xr:uid="{00000000-0005-0000-0000-000077730000}"/>
    <cellStyle name="Output 8 3 2 4" xfId="23818" xr:uid="{00000000-0005-0000-0000-000078730000}"/>
    <cellStyle name="Output 8 3 3" xfId="32108" xr:uid="{00000000-0005-0000-0000-000079730000}"/>
    <cellStyle name="Output 8 3 4" xfId="27789" xr:uid="{00000000-0005-0000-0000-00007A730000}"/>
    <cellStyle name="Output 8 3 5" xfId="18961" xr:uid="{00000000-0005-0000-0000-00007B730000}"/>
    <cellStyle name="Output 8 4" xfId="4947" xr:uid="{00000000-0005-0000-0000-00007C730000}"/>
    <cellStyle name="Output 8 4 2" xfId="10640" xr:uid="{00000000-0005-0000-0000-00007D730000}"/>
    <cellStyle name="Output 8 4 2 2" xfId="33774" xr:uid="{00000000-0005-0000-0000-00007E730000}"/>
    <cellStyle name="Output 8 4 2 3" xfId="23407" xr:uid="{00000000-0005-0000-0000-00007F730000}"/>
    <cellStyle name="Output 8 4 3" xfId="31898" xr:uid="{00000000-0005-0000-0000-000080730000}"/>
    <cellStyle name="Output 8 4 4" xfId="29371" xr:uid="{00000000-0005-0000-0000-000081730000}"/>
    <cellStyle name="Output 8 4 5" xfId="18561" xr:uid="{00000000-0005-0000-0000-000082730000}"/>
    <cellStyle name="Output 8 5" xfId="6254" xr:uid="{00000000-0005-0000-0000-000083730000}"/>
    <cellStyle name="Output 8 5 2" xfId="10068" xr:uid="{00000000-0005-0000-0000-000084730000}"/>
    <cellStyle name="Output 8 5 2 2" xfId="33374" xr:uid="{00000000-0005-0000-0000-000085730000}"/>
    <cellStyle name="Output 8 5 2 3" xfId="24694" xr:uid="{00000000-0005-0000-0000-000086730000}"/>
    <cellStyle name="Output 8 5 3" xfId="32566" xr:uid="{00000000-0005-0000-0000-000087730000}"/>
    <cellStyle name="Output 8 5 4" xfId="19803" xr:uid="{00000000-0005-0000-0000-000088730000}"/>
    <cellStyle name="Output 8 6" xfId="7420" xr:uid="{00000000-0005-0000-0000-000089730000}"/>
    <cellStyle name="Output 8 6 2" xfId="25851" xr:uid="{00000000-0005-0000-0000-00008A730000}"/>
    <cellStyle name="Output 8 6 3" xfId="20776" xr:uid="{00000000-0005-0000-0000-00008B730000}"/>
    <cellStyle name="Output 8 7" xfId="6224" xr:uid="{00000000-0005-0000-0000-00008C730000}"/>
    <cellStyle name="Output 8 7 2" xfId="24664" xr:uid="{00000000-0005-0000-0000-00008D730000}"/>
    <cellStyle name="Output 8 7 3" xfId="19773" xr:uid="{00000000-0005-0000-0000-00008E730000}"/>
    <cellStyle name="Output 8 8" xfId="8520" xr:uid="{00000000-0005-0000-0000-00008F730000}"/>
    <cellStyle name="Output 8 8 2" xfId="26943" xr:uid="{00000000-0005-0000-0000-000090730000}"/>
    <cellStyle name="Output 8 8 3" xfId="21811" xr:uid="{00000000-0005-0000-0000-000091730000}"/>
    <cellStyle name="Output 8 9" xfId="4012" xr:uid="{00000000-0005-0000-0000-000092730000}"/>
    <cellStyle name="Output 8 9 2" xfId="22479" xr:uid="{00000000-0005-0000-0000-000093730000}"/>
    <cellStyle name="Output 8 9 3" xfId="17694" xr:uid="{00000000-0005-0000-0000-000094730000}"/>
    <cellStyle name="Output 9" xfId="3097" xr:uid="{00000000-0005-0000-0000-000095730000}"/>
    <cellStyle name="Output 9 10" xfId="15579" xr:uid="{00000000-0005-0000-0000-000096730000}"/>
    <cellStyle name="Output 9 10 2" xfId="36956" xr:uid="{00000000-0005-0000-0000-000097730000}"/>
    <cellStyle name="Output 9 10 3" xfId="17008" xr:uid="{00000000-0005-0000-0000-000098730000}"/>
    <cellStyle name="Output 9 11" xfId="15977" xr:uid="{00000000-0005-0000-0000-000099730000}"/>
    <cellStyle name="Output 9 11 2" xfId="37339" xr:uid="{00000000-0005-0000-0000-00009A730000}"/>
    <cellStyle name="Output 9 12" xfId="27462" xr:uid="{00000000-0005-0000-0000-00009B730000}"/>
    <cellStyle name="Output 9 13" xfId="40080" xr:uid="{00000000-0005-0000-0000-0000B30E0000}"/>
    <cellStyle name="Output 9 2" xfId="3605" xr:uid="{00000000-0005-0000-0000-00009C730000}"/>
    <cellStyle name="Output 9 2 10" xfId="15593" xr:uid="{00000000-0005-0000-0000-00009D730000}"/>
    <cellStyle name="Output 9 2 10 2" xfId="36970" xr:uid="{00000000-0005-0000-0000-00009E730000}"/>
    <cellStyle name="Output 9 2 11" xfId="27463" xr:uid="{00000000-0005-0000-0000-00009F730000}"/>
    <cellStyle name="Output 9 2 2" xfId="5732" xr:uid="{00000000-0005-0000-0000-0000A0730000}"/>
    <cellStyle name="Output 9 2 2 2" xfId="10643" xr:uid="{00000000-0005-0000-0000-0000A1730000}"/>
    <cellStyle name="Output 9 2 2 2 2" xfId="33777" xr:uid="{00000000-0005-0000-0000-0000A2730000}"/>
    <cellStyle name="Output 9 2 2 2 3" xfId="24185" xr:uid="{00000000-0005-0000-0000-0000A3730000}"/>
    <cellStyle name="Output 9 2 2 3" xfId="32321" xr:uid="{00000000-0005-0000-0000-0000A4730000}"/>
    <cellStyle name="Output 9 2 2 4" xfId="29374" xr:uid="{00000000-0005-0000-0000-0000A5730000}"/>
    <cellStyle name="Output 9 2 2 5" xfId="19296" xr:uid="{00000000-0005-0000-0000-0000A6730000}"/>
    <cellStyle name="Output 9 2 3" xfId="5218" xr:uid="{00000000-0005-0000-0000-0000A7730000}"/>
    <cellStyle name="Output 9 2 3 2" xfId="23678" xr:uid="{00000000-0005-0000-0000-0000A8730000}"/>
    <cellStyle name="Output 9 2 3 3" xfId="18832" xr:uid="{00000000-0005-0000-0000-0000A9730000}"/>
    <cellStyle name="Output 9 2 4" xfId="7207" xr:uid="{00000000-0005-0000-0000-0000AA730000}"/>
    <cellStyle name="Output 9 2 4 2" xfId="25638" xr:uid="{00000000-0005-0000-0000-0000AB730000}"/>
    <cellStyle name="Output 9 2 4 3" xfId="20564" xr:uid="{00000000-0005-0000-0000-0000AC730000}"/>
    <cellStyle name="Output 9 2 5" xfId="7744" xr:uid="{00000000-0005-0000-0000-0000AD730000}"/>
    <cellStyle name="Output 9 2 5 2" xfId="26174" xr:uid="{00000000-0005-0000-0000-0000AE730000}"/>
    <cellStyle name="Output 9 2 5 3" xfId="21099" xr:uid="{00000000-0005-0000-0000-0000AF730000}"/>
    <cellStyle name="Output 9 2 6" xfId="8118" xr:uid="{00000000-0005-0000-0000-0000B0730000}"/>
    <cellStyle name="Output 9 2 6 2" xfId="26548" xr:uid="{00000000-0005-0000-0000-0000B1730000}"/>
    <cellStyle name="Output 9 2 6 3" xfId="21472" xr:uid="{00000000-0005-0000-0000-0000B2730000}"/>
    <cellStyle name="Output 9 2 7" xfId="8842" xr:uid="{00000000-0005-0000-0000-0000B3730000}"/>
    <cellStyle name="Output 9 2 7 2" xfId="27262" xr:uid="{00000000-0005-0000-0000-0000B4730000}"/>
    <cellStyle name="Output 9 2 7 3" xfId="22133" xr:uid="{00000000-0005-0000-0000-0000B5730000}"/>
    <cellStyle name="Output 9 2 8" xfId="4334" xr:uid="{00000000-0005-0000-0000-0000B6730000}"/>
    <cellStyle name="Output 9 2 8 2" xfId="22798" xr:uid="{00000000-0005-0000-0000-0000B7730000}"/>
    <cellStyle name="Output 9 2 8 3" xfId="18016" xr:uid="{00000000-0005-0000-0000-0000B8730000}"/>
    <cellStyle name="Output 9 2 9" xfId="16203" xr:uid="{00000000-0005-0000-0000-0000B9730000}"/>
    <cellStyle name="Output 9 2 9 2" xfId="37518" xr:uid="{00000000-0005-0000-0000-0000BA730000}"/>
    <cellStyle name="Output 9 2 9 3" xfId="17345" xr:uid="{00000000-0005-0000-0000-0000BB730000}"/>
    <cellStyle name="Output 9 3" xfId="5359" xr:uid="{00000000-0005-0000-0000-0000BC730000}"/>
    <cellStyle name="Output 9 3 2" xfId="11212" xr:uid="{00000000-0005-0000-0000-0000BD730000}"/>
    <cellStyle name="Output 9 3 2 2" xfId="34029" xr:uid="{00000000-0005-0000-0000-0000BE730000}"/>
    <cellStyle name="Output 9 3 2 3" xfId="28537" xr:uid="{00000000-0005-0000-0000-0000BF730000}"/>
    <cellStyle name="Output 9 3 2 4" xfId="23819" xr:uid="{00000000-0005-0000-0000-0000C0730000}"/>
    <cellStyle name="Output 9 3 3" xfId="32109" xr:uid="{00000000-0005-0000-0000-0000C1730000}"/>
    <cellStyle name="Output 9 3 4" xfId="27790" xr:uid="{00000000-0005-0000-0000-0000C2730000}"/>
    <cellStyle name="Output 9 3 5" xfId="18962" xr:uid="{00000000-0005-0000-0000-0000C3730000}"/>
    <cellStyle name="Output 9 4" xfId="4948" xr:uid="{00000000-0005-0000-0000-0000C4730000}"/>
    <cellStyle name="Output 9 4 2" xfId="10642" xr:uid="{00000000-0005-0000-0000-0000C5730000}"/>
    <cellStyle name="Output 9 4 2 2" xfId="33776" xr:uid="{00000000-0005-0000-0000-0000C6730000}"/>
    <cellStyle name="Output 9 4 2 3" xfId="23408" xr:uid="{00000000-0005-0000-0000-0000C7730000}"/>
    <cellStyle name="Output 9 4 3" xfId="31899" xr:uid="{00000000-0005-0000-0000-0000C8730000}"/>
    <cellStyle name="Output 9 4 4" xfId="29373" xr:uid="{00000000-0005-0000-0000-0000C9730000}"/>
    <cellStyle name="Output 9 4 5" xfId="18562" xr:uid="{00000000-0005-0000-0000-0000CA730000}"/>
    <cellStyle name="Output 9 5" xfId="6253" xr:uid="{00000000-0005-0000-0000-0000CB730000}"/>
    <cellStyle name="Output 9 5 2" xfId="10069" xr:uid="{00000000-0005-0000-0000-0000CC730000}"/>
    <cellStyle name="Output 9 5 2 2" xfId="33375" xr:uid="{00000000-0005-0000-0000-0000CD730000}"/>
    <cellStyle name="Output 9 5 2 3" xfId="24693" xr:uid="{00000000-0005-0000-0000-0000CE730000}"/>
    <cellStyle name="Output 9 5 3" xfId="32565" xr:uid="{00000000-0005-0000-0000-0000CF730000}"/>
    <cellStyle name="Output 9 5 4" xfId="19802" xr:uid="{00000000-0005-0000-0000-0000D0730000}"/>
    <cellStyle name="Output 9 6" xfId="7421" xr:uid="{00000000-0005-0000-0000-0000D1730000}"/>
    <cellStyle name="Output 9 6 2" xfId="25852" xr:uid="{00000000-0005-0000-0000-0000D2730000}"/>
    <cellStyle name="Output 9 6 3" xfId="20777" xr:uid="{00000000-0005-0000-0000-0000D3730000}"/>
    <cellStyle name="Output 9 7" xfId="6223" xr:uid="{00000000-0005-0000-0000-0000D4730000}"/>
    <cellStyle name="Output 9 7 2" xfId="24663" xr:uid="{00000000-0005-0000-0000-0000D5730000}"/>
    <cellStyle name="Output 9 7 3" xfId="19772" xr:uid="{00000000-0005-0000-0000-0000D6730000}"/>
    <cellStyle name="Output 9 8" xfId="8521" xr:uid="{00000000-0005-0000-0000-0000D7730000}"/>
    <cellStyle name="Output 9 8 2" xfId="26944" xr:uid="{00000000-0005-0000-0000-0000D8730000}"/>
    <cellStyle name="Output 9 8 3" xfId="21812" xr:uid="{00000000-0005-0000-0000-0000D9730000}"/>
    <cellStyle name="Output 9 9" xfId="4013" xr:uid="{00000000-0005-0000-0000-0000DA730000}"/>
    <cellStyle name="Output 9 9 2" xfId="22480" xr:uid="{00000000-0005-0000-0000-0000DB730000}"/>
    <cellStyle name="Output 9 9 3" xfId="17695" xr:uid="{00000000-0005-0000-0000-0000DC730000}"/>
    <cellStyle name="Pattern" xfId="40081" xr:uid="{00000000-0005-0000-0000-0000B40E0000}"/>
    <cellStyle name="Pattern 2" xfId="40996" xr:uid="{00000000-0005-0000-0000-0000B40E0000}"/>
    <cellStyle name="Percent" xfId="2" builtinId="5"/>
    <cellStyle name="Percent 10" xfId="13019" xr:uid="{00000000-0005-0000-0000-0000DE730000}"/>
    <cellStyle name="Percent 10 10" xfId="40082" xr:uid="{00000000-0005-0000-0000-0000B60E0000}"/>
    <cellStyle name="Percent 10 11" xfId="40083" xr:uid="{00000000-0005-0000-0000-0000B70E0000}"/>
    <cellStyle name="Percent 10 12" xfId="40084" xr:uid="{00000000-0005-0000-0000-0000B80E0000}"/>
    <cellStyle name="Percent 10 13" xfId="40085" xr:uid="{00000000-0005-0000-0000-0000B90E0000}"/>
    <cellStyle name="Percent 10 14" xfId="40086" xr:uid="{00000000-0005-0000-0000-0000BA0E0000}"/>
    <cellStyle name="Percent 10 15" xfId="40087" xr:uid="{00000000-0005-0000-0000-0000BB0E0000}"/>
    <cellStyle name="Percent 10 16" xfId="40088" xr:uid="{00000000-0005-0000-0000-0000BC0E0000}"/>
    <cellStyle name="Percent 10 17" xfId="40089" xr:uid="{00000000-0005-0000-0000-0000BD0E0000}"/>
    <cellStyle name="Percent 10 18" xfId="40090" xr:uid="{00000000-0005-0000-0000-0000BE0E0000}"/>
    <cellStyle name="Percent 10 19" xfId="40091" xr:uid="{00000000-0005-0000-0000-0000BF0E0000}"/>
    <cellStyle name="Percent 10 2" xfId="13020" xr:uid="{00000000-0005-0000-0000-0000DF730000}"/>
    <cellStyle name="Percent 10 2 2" xfId="40093" xr:uid="{00000000-0005-0000-0000-0000C10E0000}"/>
    <cellStyle name="Percent 10 2 3" xfId="40092" xr:uid="{00000000-0005-0000-0000-0000C20E0000}"/>
    <cellStyle name="Percent 10 20" xfId="40094" xr:uid="{00000000-0005-0000-0000-0000C30E0000}"/>
    <cellStyle name="Percent 10 3" xfId="13021" xr:uid="{00000000-0005-0000-0000-0000E0730000}"/>
    <cellStyle name="Percent 10 3 2" xfId="40096" xr:uid="{00000000-0005-0000-0000-0000C50E0000}"/>
    <cellStyle name="Percent 10 3 3" xfId="40095" xr:uid="{00000000-0005-0000-0000-0000C60E0000}"/>
    <cellStyle name="Percent 10 4" xfId="13022" xr:uid="{00000000-0005-0000-0000-0000E1730000}"/>
    <cellStyle name="Percent 10 4 2" xfId="40098" xr:uid="{00000000-0005-0000-0000-0000C80E0000}"/>
    <cellStyle name="Percent 10 4 3" xfId="40097" xr:uid="{00000000-0005-0000-0000-0000C90E0000}"/>
    <cellStyle name="Percent 10 5" xfId="13023" xr:uid="{00000000-0005-0000-0000-0000E2730000}"/>
    <cellStyle name="Percent 10 5 2" xfId="40100" xr:uid="{00000000-0005-0000-0000-0000CB0E0000}"/>
    <cellStyle name="Percent 10 5 3" xfId="40099" xr:uid="{00000000-0005-0000-0000-0000CC0E0000}"/>
    <cellStyle name="Percent 10 6" xfId="13024" xr:uid="{00000000-0005-0000-0000-0000E3730000}"/>
    <cellStyle name="Percent 10 6 2" xfId="40102" xr:uid="{00000000-0005-0000-0000-0000CE0E0000}"/>
    <cellStyle name="Percent 10 6 3" xfId="40101" xr:uid="{00000000-0005-0000-0000-0000CF0E0000}"/>
    <cellStyle name="Percent 10 7" xfId="13025" xr:uid="{00000000-0005-0000-0000-0000E4730000}"/>
    <cellStyle name="Percent 10 7 2" xfId="40104" xr:uid="{00000000-0005-0000-0000-0000D10E0000}"/>
    <cellStyle name="Percent 10 7 3" xfId="40105" xr:uid="{00000000-0005-0000-0000-0000D20E0000}"/>
    <cellStyle name="Percent 10 7 4" xfId="40106" xr:uid="{00000000-0005-0000-0000-0000D30E0000}"/>
    <cellStyle name="Percent 10 7 5" xfId="40103" xr:uid="{00000000-0005-0000-0000-0000D40E0000}"/>
    <cellStyle name="Percent 10 8" xfId="13026" xr:uid="{00000000-0005-0000-0000-0000E5730000}"/>
    <cellStyle name="Percent 10 8 2" xfId="40108" xr:uid="{00000000-0005-0000-0000-0000D60E0000}"/>
    <cellStyle name="Percent 10 8 3" xfId="40107" xr:uid="{00000000-0005-0000-0000-0000D70E0000}"/>
    <cellStyle name="Percent 10 9" xfId="40109" xr:uid="{00000000-0005-0000-0000-0000D80E0000}"/>
    <cellStyle name="Percent 11" xfId="13027" xr:uid="{00000000-0005-0000-0000-0000E6730000}"/>
    <cellStyle name="Percent 11 10" xfId="40110" xr:uid="{00000000-0005-0000-0000-0000DA0E0000}"/>
    <cellStyle name="Percent 11 2" xfId="13028" xr:uid="{00000000-0005-0000-0000-0000E7730000}"/>
    <cellStyle name="Percent 11 2 2" xfId="40112" xr:uid="{00000000-0005-0000-0000-0000DC0E0000}"/>
    <cellStyle name="Percent 11 2 3" xfId="40111" xr:uid="{00000000-0005-0000-0000-0000DD0E0000}"/>
    <cellStyle name="Percent 11 3" xfId="13029" xr:uid="{00000000-0005-0000-0000-0000E8730000}"/>
    <cellStyle name="Percent 11 3 2" xfId="40114" xr:uid="{00000000-0005-0000-0000-0000DF0E0000}"/>
    <cellStyle name="Percent 11 3 3" xfId="40113" xr:uid="{00000000-0005-0000-0000-0000E00E0000}"/>
    <cellStyle name="Percent 11 4" xfId="13030" xr:uid="{00000000-0005-0000-0000-0000E9730000}"/>
    <cellStyle name="Percent 11 4 2" xfId="40116" xr:uid="{00000000-0005-0000-0000-0000E20E0000}"/>
    <cellStyle name="Percent 11 4 3" xfId="40115" xr:uid="{00000000-0005-0000-0000-0000E30E0000}"/>
    <cellStyle name="Percent 11 5" xfId="13031" xr:uid="{00000000-0005-0000-0000-0000EA730000}"/>
    <cellStyle name="Percent 11 5 2" xfId="40118" xr:uid="{00000000-0005-0000-0000-0000E50E0000}"/>
    <cellStyle name="Percent 11 5 3" xfId="40117" xr:uid="{00000000-0005-0000-0000-0000E60E0000}"/>
    <cellStyle name="Percent 11 6" xfId="13032" xr:uid="{00000000-0005-0000-0000-0000EB730000}"/>
    <cellStyle name="Percent 11 6 2" xfId="40120" xr:uid="{00000000-0005-0000-0000-0000E80E0000}"/>
    <cellStyle name="Percent 11 6 3" xfId="40119" xr:uid="{00000000-0005-0000-0000-0000E90E0000}"/>
    <cellStyle name="Percent 11 7" xfId="13033" xr:uid="{00000000-0005-0000-0000-0000EC730000}"/>
    <cellStyle name="Percent 11 7 2" xfId="40122" xr:uid="{00000000-0005-0000-0000-0000EB0E0000}"/>
    <cellStyle name="Percent 11 7 3" xfId="40123" xr:uid="{00000000-0005-0000-0000-0000EC0E0000}"/>
    <cellStyle name="Percent 11 7 4" xfId="40124" xr:uid="{00000000-0005-0000-0000-0000ED0E0000}"/>
    <cellStyle name="Percent 11 7 5" xfId="40121" xr:uid="{00000000-0005-0000-0000-0000EE0E0000}"/>
    <cellStyle name="Percent 11 8" xfId="13034" xr:uid="{00000000-0005-0000-0000-0000ED730000}"/>
    <cellStyle name="Percent 11 8 2" xfId="40126" xr:uid="{00000000-0005-0000-0000-0000F00E0000}"/>
    <cellStyle name="Percent 11 8 3" xfId="40125" xr:uid="{00000000-0005-0000-0000-0000F10E0000}"/>
    <cellStyle name="Percent 11 9" xfId="40127" xr:uid="{00000000-0005-0000-0000-0000F20E0000}"/>
    <cellStyle name="Percent 12" xfId="13035" xr:uid="{00000000-0005-0000-0000-0000EE730000}"/>
    <cellStyle name="Percent 12 10" xfId="40128" xr:uid="{00000000-0005-0000-0000-0000F40E0000}"/>
    <cellStyle name="Percent 12 2" xfId="13036" xr:uid="{00000000-0005-0000-0000-0000EF730000}"/>
    <cellStyle name="Percent 12 2 2" xfId="40130" xr:uid="{00000000-0005-0000-0000-0000F60E0000}"/>
    <cellStyle name="Percent 12 2 3" xfId="40129" xr:uid="{00000000-0005-0000-0000-0000F70E0000}"/>
    <cellStyle name="Percent 12 3" xfId="13037" xr:uid="{00000000-0005-0000-0000-0000F0730000}"/>
    <cellStyle name="Percent 12 3 2" xfId="40132" xr:uid="{00000000-0005-0000-0000-0000F90E0000}"/>
    <cellStyle name="Percent 12 3 3" xfId="40131" xr:uid="{00000000-0005-0000-0000-0000FA0E0000}"/>
    <cellStyle name="Percent 12 4" xfId="13038" xr:uid="{00000000-0005-0000-0000-0000F1730000}"/>
    <cellStyle name="Percent 12 4 2" xfId="40134" xr:uid="{00000000-0005-0000-0000-0000FC0E0000}"/>
    <cellStyle name="Percent 12 4 3" xfId="40133" xr:uid="{00000000-0005-0000-0000-0000FD0E0000}"/>
    <cellStyle name="Percent 12 5" xfId="13039" xr:uid="{00000000-0005-0000-0000-0000F2730000}"/>
    <cellStyle name="Percent 12 5 2" xfId="40136" xr:uid="{00000000-0005-0000-0000-0000FF0E0000}"/>
    <cellStyle name="Percent 12 5 3" xfId="40135" xr:uid="{00000000-0005-0000-0000-0000000F0000}"/>
    <cellStyle name="Percent 12 6" xfId="13040" xr:uid="{00000000-0005-0000-0000-0000F3730000}"/>
    <cellStyle name="Percent 12 6 2" xfId="40138" xr:uid="{00000000-0005-0000-0000-0000020F0000}"/>
    <cellStyle name="Percent 12 6 3" xfId="40137" xr:uid="{00000000-0005-0000-0000-0000030F0000}"/>
    <cellStyle name="Percent 12 7" xfId="13041" xr:uid="{00000000-0005-0000-0000-0000F4730000}"/>
    <cellStyle name="Percent 12 7 2" xfId="40140" xr:uid="{00000000-0005-0000-0000-0000050F0000}"/>
    <cellStyle name="Percent 12 7 3" xfId="40141" xr:uid="{00000000-0005-0000-0000-0000060F0000}"/>
    <cellStyle name="Percent 12 7 4" xfId="40142" xr:uid="{00000000-0005-0000-0000-0000070F0000}"/>
    <cellStyle name="Percent 12 7 5" xfId="40139" xr:uid="{00000000-0005-0000-0000-0000080F0000}"/>
    <cellStyle name="Percent 12 8" xfId="13042" xr:uid="{00000000-0005-0000-0000-0000F5730000}"/>
    <cellStyle name="Percent 12 8 2" xfId="40144" xr:uid="{00000000-0005-0000-0000-00000A0F0000}"/>
    <cellStyle name="Percent 12 8 3" xfId="40143" xr:uid="{00000000-0005-0000-0000-00000B0F0000}"/>
    <cellStyle name="Percent 12 9" xfId="40145" xr:uid="{00000000-0005-0000-0000-00000C0F0000}"/>
    <cellStyle name="Percent 13" xfId="13043" xr:uid="{00000000-0005-0000-0000-0000F6730000}"/>
    <cellStyle name="Percent 13 10" xfId="40146" xr:uid="{00000000-0005-0000-0000-00000E0F0000}"/>
    <cellStyle name="Percent 13 2" xfId="13044" xr:uid="{00000000-0005-0000-0000-0000F7730000}"/>
    <cellStyle name="Percent 13 2 2" xfId="40148" xr:uid="{00000000-0005-0000-0000-0000100F0000}"/>
    <cellStyle name="Percent 13 2 3" xfId="40147" xr:uid="{00000000-0005-0000-0000-0000110F0000}"/>
    <cellStyle name="Percent 13 3" xfId="13045" xr:uid="{00000000-0005-0000-0000-0000F8730000}"/>
    <cellStyle name="Percent 13 3 2" xfId="40150" xr:uid="{00000000-0005-0000-0000-0000130F0000}"/>
    <cellStyle name="Percent 13 3 3" xfId="40149" xr:uid="{00000000-0005-0000-0000-0000140F0000}"/>
    <cellStyle name="Percent 13 4" xfId="13046" xr:uid="{00000000-0005-0000-0000-0000F9730000}"/>
    <cellStyle name="Percent 13 4 2" xfId="40152" xr:uid="{00000000-0005-0000-0000-0000160F0000}"/>
    <cellStyle name="Percent 13 4 3" xfId="40151" xr:uid="{00000000-0005-0000-0000-0000170F0000}"/>
    <cellStyle name="Percent 13 5" xfId="13047" xr:uid="{00000000-0005-0000-0000-0000FA730000}"/>
    <cellStyle name="Percent 13 5 2" xfId="40154" xr:uid="{00000000-0005-0000-0000-0000190F0000}"/>
    <cellStyle name="Percent 13 5 3" xfId="40153" xr:uid="{00000000-0005-0000-0000-00001A0F0000}"/>
    <cellStyle name="Percent 13 6" xfId="13048" xr:uid="{00000000-0005-0000-0000-0000FB730000}"/>
    <cellStyle name="Percent 13 6 2" xfId="40156" xr:uid="{00000000-0005-0000-0000-00001C0F0000}"/>
    <cellStyle name="Percent 13 6 3" xfId="40155" xr:uid="{00000000-0005-0000-0000-00001D0F0000}"/>
    <cellStyle name="Percent 13 7" xfId="13049" xr:uid="{00000000-0005-0000-0000-0000FC730000}"/>
    <cellStyle name="Percent 13 7 2" xfId="40158" xr:uid="{00000000-0005-0000-0000-00001F0F0000}"/>
    <cellStyle name="Percent 13 7 3" xfId="40159" xr:uid="{00000000-0005-0000-0000-0000200F0000}"/>
    <cellStyle name="Percent 13 7 4" xfId="40160" xr:uid="{00000000-0005-0000-0000-0000210F0000}"/>
    <cellStyle name="Percent 13 7 5" xfId="40157" xr:uid="{00000000-0005-0000-0000-0000220F0000}"/>
    <cellStyle name="Percent 13 8" xfId="13050" xr:uid="{00000000-0005-0000-0000-0000FD730000}"/>
    <cellStyle name="Percent 13 8 2" xfId="40162" xr:uid="{00000000-0005-0000-0000-0000240F0000}"/>
    <cellStyle name="Percent 13 8 3" xfId="40161" xr:uid="{00000000-0005-0000-0000-0000250F0000}"/>
    <cellStyle name="Percent 13 9" xfId="40163" xr:uid="{00000000-0005-0000-0000-0000260F0000}"/>
    <cellStyle name="Percent 14" xfId="13051" xr:uid="{00000000-0005-0000-0000-0000FE730000}"/>
    <cellStyle name="Percent 14 10" xfId="40164" xr:uid="{00000000-0005-0000-0000-0000280F0000}"/>
    <cellStyle name="Percent 14 2" xfId="13052" xr:uid="{00000000-0005-0000-0000-0000FF730000}"/>
    <cellStyle name="Percent 14 2 2" xfId="40166" xr:uid="{00000000-0005-0000-0000-00002A0F0000}"/>
    <cellStyle name="Percent 14 2 3" xfId="40165" xr:uid="{00000000-0005-0000-0000-00002B0F0000}"/>
    <cellStyle name="Percent 14 3" xfId="13053" xr:uid="{00000000-0005-0000-0000-000000740000}"/>
    <cellStyle name="Percent 14 3 2" xfId="40168" xr:uid="{00000000-0005-0000-0000-00002D0F0000}"/>
    <cellStyle name="Percent 14 3 3" xfId="40167" xr:uid="{00000000-0005-0000-0000-00002E0F0000}"/>
    <cellStyle name="Percent 14 4" xfId="13054" xr:uid="{00000000-0005-0000-0000-000001740000}"/>
    <cellStyle name="Percent 14 4 2" xfId="40170" xr:uid="{00000000-0005-0000-0000-0000300F0000}"/>
    <cellStyle name="Percent 14 4 3" xfId="40169" xr:uid="{00000000-0005-0000-0000-0000310F0000}"/>
    <cellStyle name="Percent 14 5" xfId="13055" xr:uid="{00000000-0005-0000-0000-000002740000}"/>
    <cellStyle name="Percent 14 5 2" xfId="40172" xr:uid="{00000000-0005-0000-0000-0000330F0000}"/>
    <cellStyle name="Percent 14 5 3" xfId="40171" xr:uid="{00000000-0005-0000-0000-0000340F0000}"/>
    <cellStyle name="Percent 14 6" xfId="13056" xr:uid="{00000000-0005-0000-0000-000003740000}"/>
    <cellStyle name="Percent 14 6 2" xfId="40174" xr:uid="{00000000-0005-0000-0000-0000360F0000}"/>
    <cellStyle name="Percent 14 6 3" xfId="40173" xr:uid="{00000000-0005-0000-0000-0000370F0000}"/>
    <cellStyle name="Percent 14 7" xfId="13057" xr:uid="{00000000-0005-0000-0000-000004740000}"/>
    <cellStyle name="Percent 14 7 2" xfId="40176" xr:uid="{00000000-0005-0000-0000-0000390F0000}"/>
    <cellStyle name="Percent 14 7 3" xfId="40177" xr:uid="{00000000-0005-0000-0000-00003A0F0000}"/>
    <cellStyle name="Percent 14 7 4" xfId="40178" xr:uid="{00000000-0005-0000-0000-00003B0F0000}"/>
    <cellStyle name="Percent 14 7 5" xfId="40175" xr:uid="{00000000-0005-0000-0000-00003C0F0000}"/>
    <cellStyle name="Percent 14 8" xfId="13058" xr:uid="{00000000-0005-0000-0000-000005740000}"/>
    <cellStyle name="Percent 14 8 2" xfId="40180" xr:uid="{00000000-0005-0000-0000-00003E0F0000}"/>
    <cellStyle name="Percent 14 8 3" xfId="40179" xr:uid="{00000000-0005-0000-0000-00003F0F0000}"/>
    <cellStyle name="Percent 14 9" xfId="40181" xr:uid="{00000000-0005-0000-0000-0000400F0000}"/>
    <cellStyle name="Percent 15" xfId="13059" xr:uid="{00000000-0005-0000-0000-000006740000}"/>
    <cellStyle name="Percent 15 10" xfId="13060" xr:uid="{00000000-0005-0000-0000-000007740000}"/>
    <cellStyle name="Percent 15 11" xfId="13061" xr:uid="{00000000-0005-0000-0000-000008740000}"/>
    <cellStyle name="Percent 15 12" xfId="13062" xr:uid="{00000000-0005-0000-0000-000009740000}"/>
    <cellStyle name="Percent 15 13" xfId="13063" xr:uid="{00000000-0005-0000-0000-00000A740000}"/>
    <cellStyle name="Percent 15 14" xfId="13064" xr:uid="{00000000-0005-0000-0000-00000B740000}"/>
    <cellStyle name="Percent 15 15" xfId="40183" xr:uid="{00000000-0005-0000-0000-0000470F0000}"/>
    <cellStyle name="Percent 15 16" xfId="40182" xr:uid="{00000000-0005-0000-0000-0000480F0000}"/>
    <cellStyle name="Percent 15 2" xfId="13065" xr:uid="{00000000-0005-0000-0000-00000C740000}"/>
    <cellStyle name="Percent 15 2 2" xfId="13066" xr:uid="{00000000-0005-0000-0000-00000D740000}"/>
    <cellStyle name="Percent 15 2 2 2" xfId="30509" xr:uid="{00000000-0005-0000-0000-00000E740000}"/>
    <cellStyle name="Percent 15 2 2 2 2" xfId="40186" xr:uid="{00000000-0005-0000-0000-00004B0F0000}"/>
    <cellStyle name="Percent 15 2 2 3" xfId="35165" xr:uid="{00000000-0005-0000-0000-00000F740000}"/>
    <cellStyle name="Percent 15 2 2 3 2" xfId="40185" xr:uid="{00000000-0005-0000-0000-00004C0F0000}"/>
    <cellStyle name="Percent 15 2 3" xfId="13067" xr:uid="{00000000-0005-0000-0000-000010740000}"/>
    <cellStyle name="Percent 15 2 3 2" xfId="30510" xr:uid="{00000000-0005-0000-0000-000011740000}"/>
    <cellStyle name="Percent 15 2 3 2 2" xfId="40188" xr:uid="{00000000-0005-0000-0000-00004E0F0000}"/>
    <cellStyle name="Percent 15 2 3 3" xfId="35166" xr:uid="{00000000-0005-0000-0000-000012740000}"/>
    <cellStyle name="Percent 15 2 3 3 2" xfId="40187" xr:uid="{00000000-0005-0000-0000-00004F0F0000}"/>
    <cellStyle name="Percent 15 2 4" xfId="13068" xr:uid="{00000000-0005-0000-0000-000013740000}"/>
    <cellStyle name="Percent 15 2 4 2" xfId="30511" xr:uid="{00000000-0005-0000-0000-000014740000}"/>
    <cellStyle name="Percent 15 2 4 2 2" xfId="40190" xr:uid="{00000000-0005-0000-0000-0000510F0000}"/>
    <cellStyle name="Percent 15 2 4 3" xfId="35167" xr:uid="{00000000-0005-0000-0000-000015740000}"/>
    <cellStyle name="Percent 15 2 4 3 2" xfId="40189" xr:uid="{00000000-0005-0000-0000-0000520F0000}"/>
    <cellStyle name="Percent 15 2 5" xfId="13069" xr:uid="{00000000-0005-0000-0000-000016740000}"/>
    <cellStyle name="Percent 15 2 5 2" xfId="30512" xr:uid="{00000000-0005-0000-0000-000017740000}"/>
    <cellStyle name="Percent 15 2 5 2 2" xfId="40192" xr:uid="{00000000-0005-0000-0000-0000540F0000}"/>
    <cellStyle name="Percent 15 2 5 3" xfId="35168" xr:uid="{00000000-0005-0000-0000-000018740000}"/>
    <cellStyle name="Percent 15 2 5 3 2" xfId="40191" xr:uid="{00000000-0005-0000-0000-0000550F0000}"/>
    <cellStyle name="Percent 15 2 6" xfId="13070" xr:uid="{00000000-0005-0000-0000-000019740000}"/>
    <cellStyle name="Percent 15 2 6 2" xfId="30513" xr:uid="{00000000-0005-0000-0000-00001A740000}"/>
    <cellStyle name="Percent 15 2 6 2 2" xfId="40194" xr:uid="{00000000-0005-0000-0000-0000570F0000}"/>
    <cellStyle name="Percent 15 2 6 3" xfId="35169" xr:uid="{00000000-0005-0000-0000-00001B740000}"/>
    <cellStyle name="Percent 15 2 6 3 2" xfId="40193" xr:uid="{00000000-0005-0000-0000-0000580F0000}"/>
    <cellStyle name="Percent 15 2 7" xfId="13071" xr:uid="{00000000-0005-0000-0000-00001C740000}"/>
    <cellStyle name="Percent 15 2 7 2" xfId="30514" xr:uid="{00000000-0005-0000-0000-00001D740000}"/>
    <cellStyle name="Percent 15 2 7 2 2" xfId="40196" xr:uid="{00000000-0005-0000-0000-00005A0F0000}"/>
    <cellStyle name="Percent 15 2 7 3" xfId="35170" xr:uid="{00000000-0005-0000-0000-00001E740000}"/>
    <cellStyle name="Percent 15 2 7 3 2" xfId="40195" xr:uid="{00000000-0005-0000-0000-00005B0F0000}"/>
    <cellStyle name="Percent 15 2 8" xfId="40197" xr:uid="{00000000-0005-0000-0000-00005C0F0000}"/>
    <cellStyle name="Percent 15 2 9" xfId="40184" xr:uid="{00000000-0005-0000-0000-00005D0F0000}"/>
    <cellStyle name="Percent 15 3" xfId="13072" xr:uid="{00000000-0005-0000-0000-00001F740000}"/>
    <cellStyle name="Percent 15 3 2" xfId="30515" xr:uid="{00000000-0005-0000-0000-000020740000}"/>
    <cellStyle name="Percent 15 3 2 2" xfId="40199" xr:uid="{00000000-0005-0000-0000-00005F0F0000}"/>
    <cellStyle name="Percent 15 3 3" xfId="35171" xr:uid="{00000000-0005-0000-0000-000021740000}"/>
    <cellStyle name="Percent 15 3 3 2" xfId="40200" xr:uid="{00000000-0005-0000-0000-0000600F0000}"/>
    <cellStyle name="Percent 15 3 4" xfId="40198" xr:uid="{00000000-0005-0000-0000-0000610F0000}"/>
    <cellStyle name="Percent 15 4" xfId="13073" xr:uid="{00000000-0005-0000-0000-000022740000}"/>
    <cellStyle name="Percent 15 4 2" xfId="40202" xr:uid="{00000000-0005-0000-0000-0000630F0000}"/>
    <cellStyle name="Percent 15 4 3" xfId="40201" xr:uid="{00000000-0005-0000-0000-0000640F0000}"/>
    <cellStyle name="Percent 15 5" xfId="13074" xr:uid="{00000000-0005-0000-0000-000023740000}"/>
    <cellStyle name="Percent 15 5 2" xfId="30516" xr:uid="{00000000-0005-0000-0000-000024740000}"/>
    <cellStyle name="Percent 15 5 2 2" xfId="40204" xr:uid="{00000000-0005-0000-0000-0000660F0000}"/>
    <cellStyle name="Percent 15 5 3" xfId="35172" xr:uid="{00000000-0005-0000-0000-000025740000}"/>
    <cellStyle name="Percent 15 5 3 2" xfId="40205" xr:uid="{00000000-0005-0000-0000-0000670F0000}"/>
    <cellStyle name="Percent 15 5 4" xfId="40203" xr:uid="{00000000-0005-0000-0000-0000680F0000}"/>
    <cellStyle name="Percent 15 6" xfId="13075" xr:uid="{00000000-0005-0000-0000-000026740000}"/>
    <cellStyle name="Percent 15 6 2" xfId="30517" xr:uid="{00000000-0005-0000-0000-000027740000}"/>
    <cellStyle name="Percent 15 6 2 2" xfId="40207" xr:uid="{00000000-0005-0000-0000-00006A0F0000}"/>
    <cellStyle name="Percent 15 6 3" xfId="35173" xr:uid="{00000000-0005-0000-0000-000028740000}"/>
    <cellStyle name="Percent 15 6 3 2" xfId="40208" xr:uid="{00000000-0005-0000-0000-00006B0F0000}"/>
    <cellStyle name="Percent 15 6 4" xfId="40206" xr:uid="{00000000-0005-0000-0000-00006C0F0000}"/>
    <cellStyle name="Percent 15 7" xfId="13076" xr:uid="{00000000-0005-0000-0000-000029740000}"/>
    <cellStyle name="Percent 15 7 2" xfId="30518" xr:uid="{00000000-0005-0000-0000-00002A740000}"/>
    <cellStyle name="Percent 15 7 2 2" xfId="40210" xr:uid="{00000000-0005-0000-0000-00006E0F0000}"/>
    <cellStyle name="Percent 15 7 3" xfId="35174" xr:uid="{00000000-0005-0000-0000-00002B740000}"/>
    <cellStyle name="Percent 15 7 3 2" xfId="40211" xr:uid="{00000000-0005-0000-0000-00006F0F0000}"/>
    <cellStyle name="Percent 15 7 4" xfId="40212" xr:uid="{00000000-0005-0000-0000-0000700F0000}"/>
    <cellStyle name="Percent 15 7 5" xfId="40209" xr:uid="{00000000-0005-0000-0000-0000710F0000}"/>
    <cellStyle name="Percent 15 8" xfId="13077" xr:uid="{00000000-0005-0000-0000-00002C740000}"/>
    <cellStyle name="Percent 15 8 2" xfId="30519" xr:uid="{00000000-0005-0000-0000-00002D740000}"/>
    <cellStyle name="Percent 15 8 2 2" xfId="40214" xr:uid="{00000000-0005-0000-0000-0000730F0000}"/>
    <cellStyle name="Percent 15 8 3" xfId="35175" xr:uid="{00000000-0005-0000-0000-00002E740000}"/>
    <cellStyle name="Percent 15 8 3 2" xfId="40213" xr:uid="{00000000-0005-0000-0000-0000740F0000}"/>
    <cellStyle name="Percent 15 9" xfId="13078" xr:uid="{00000000-0005-0000-0000-00002F740000}"/>
    <cellStyle name="Percent 16" xfId="14020" xr:uid="{00000000-0005-0000-0000-000030740000}"/>
    <cellStyle name="Percent 16 10" xfId="40215" xr:uid="{00000000-0005-0000-0000-0000760F0000}"/>
    <cellStyle name="Percent 16 2" xfId="13079" xr:uid="{00000000-0005-0000-0000-000031740000}"/>
    <cellStyle name="Percent 16 2 2" xfId="40217" xr:uid="{00000000-0005-0000-0000-0000780F0000}"/>
    <cellStyle name="Percent 16 2 3" xfId="40216" xr:uid="{00000000-0005-0000-0000-0000790F0000}"/>
    <cellStyle name="Percent 16 3" xfId="13080" xr:uid="{00000000-0005-0000-0000-000032740000}"/>
    <cellStyle name="Percent 16 3 10" xfId="13081" xr:uid="{00000000-0005-0000-0000-000033740000}"/>
    <cellStyle name="Percent 16 3 11" xfId="13082" xr:uid="{00000000-0005-0000-0000-000034740000}"/>
    <cellStyle name="Percent 16 3 12" xfId="13083" xr:uid="{00000000-0005-0000-0000-000035740000}"/>
    <cellStyle name="Percent 16 3 13" xfId="13084" xr:uid="{00000000-0005-0000-0000-000036740000}"/>
    <cellStyle name="Percent 16 3 14" xfId="13085" xr:uid="{00000000-0005-0000-0000-000037740000}"/>
    <cellStyle name="Percent 16 3 15" xfId="13086" xr:uid="{00000000-0005-0000-0000-000038740000}"/>
    <cellStyle name="Percent 16 3 16" xfId="13087" xr:uid="{00000000-0005-0000-0000-000039740000}"/>
    <cellStyle name="Percent 16 3 17" xfId="13088" xr:uid="{00000000-0005-0000-0000-00003A740000}"/>
    <cellStyle name="Percent 16 3 18" xfId="40219" xr:uid="{00000000-0005-0000-0000-0000830F0000}"/>
    <cellStyle name="Percent 16 3 19" xfId="40218" xr:uid="{00000000-0005-0000-0000-0000840F0000}"/>
    <cellStyle name="Percent 16 3 2" xfId="13089" xr:uid="{00000000-0005-0000-0000-00003B740000}"/>
    <cellStyle name="Percent 16 3 3" xfId="13090" xr:uid="{00000000-0005-0000-0000-00003C740000}"/>
    <cellStyle name="Percent 16 3 4" xfId="13091" xr:uid="{00000000-0005-0000-0000-00003D740000}"/>
    <cellStyle name="Percent 16 3 5" xfId="13092" xr:uid="{00000000-0005-0000-0000-00003E740000}"/>
    <cellStyle name="Percent 16 3 6" xfId="13093" xr:uid="{00000000-0005-0000-0000-00003F740000}"/>
    <cellStyle name="Percent 16 3 7" xfId="13094" xr:uid="{00000000-0005-0000-0000-000040740000}"/>
    <cellStyle name="Percent 16 3 8" xfId="13095" xr:uid="{00000000-0005-0000-0000-000041740000}"/>
    <cellStyle name="Percent 16 3 9" xfId="13096" xr:uid="{00000000-0005-0000-0000-000042740000}"/>
    <cellStyle name="Percent 16 4" xfId="13097" xr:uid="{00000000-0005-0000-0000-000043740000}"/>
    <cellStyle name="Percent 16 4 10" xfId="13098" xr:uid="{00000000-0005-0000-0000-000044740000}"/>
    <cellStyle name="Percent 16 4 11" xfId="13099" xr:uid="{00000000-0005-0000-0000-000045740000}"/>
    <cellStyle name="Percent 16 4 12" xfId="13100" xr:uid="{00000000-0005-0000-0000-000046740000}"/>
    <cellStyle name="Percent 16 4 13" xfId="13101" xr:uid="{00000000-0005-0000-0000-000047740000}"/>
    <cellStyle name="Percent 16 4 14" xfId="13102" xr:uid="{00000000-0005-0000-0000-000048740000}"/>
    <cellStyle name="Percent 16 4 15" xfId="13103" xr:uid="{00000000-0005-0000-0000-000049740000}"/>
    <cellStyle name="Percent 16 4 16" xfId="13104" xr:uid="{00000000-0005-0000-0000-00004A740000}"/>
    <cellStyle name="Percent 16 4 17" xfId="13105" xr:uid="{00000000-0005-0000-0000-00004B740000}"/>
    <cellStyle name="Percent 16 4 18" xfId="40221" xr:uid="{00000000-0005-0000-0000-0000960F0000}"/>
    <cellStyle name="Percent 16 4 19" xfId="40220" xr:uid="{00000000-0005-0000-0000-0000970F0000}"/>
    <cellStyle name="Percent 16 4 2" xfId="13106" xr:uid="{00000000-0005-0000-0000-00004C740000}"/>
    <cellStyle name="Percent 16 4 3" xfId="13107" xr:uid="{00000000-0005-0000-0000-00004D740000}"/>
    <cellStyle name="Percent 16 4 4" xfId="13108" xr:uid="{00000000-0005-0000-0000-00004E740000}"/>
    <cellStyle name="Percent 16 4 5" xfId="13109" xr:uid="{00000000-0005-0000-0000-00004F740000}"/>
    <cellStyle name="Percent 16 4 6" xfId="13110" xr:uid="{00000000-0005-0000-0000-000050740000}"/>
    <cellStyle name="Percent 16 4 7" xfId="13111" xr:uid="{00000000-0005-0000-0000-000051740000}"/>
    <cellStyle name="Percent 16 4 8" xfId="13112" xr:uid="{00000000-0005-0000-0000-000052740000}"/>
    <cellStyle name="Percent 16 4 9" xfId="13113" xr:uid="{00000000-0005-0000-0000-000053740000}"/>
    <cellStyle name="Percent 16 5" xfId="13114" xr:uid="{00000000-0005-0000-0000-000054740000}"/>
    <cellStyle name="Percent 16 5 10" xfId="13115" xr:uid="{00000000-0005-0000-0000-000055740000}"/>
    <cellStyle name="Percent 16 5 11" xfId="13116" xr:uid="{00000000-0005-0000-0000-000056740000}"/>
    <cellStyle name="Percent 16 5 12" xfId="13117" xr:uid="{00000000-0005-0000-0000-000057740000}"/>
    <cellStyle name="Percent 16 5 13" xfId="13118" xr:uid="{00000000-0005-0000-0000-000058740000}"/>
    <cellStyle name="Percent 16 5 14" xfId="13119" xr:uid="{00000000-0005-0000-0000-000059740000}"/>
    <cellStyle name="Percent 16 5 15" xfId="13120" xr:uid="{00000000-0005-0000-0000-00005A740000}"/>
    <cellStyle name="Percent 16 5 16" xfId="13121" xr:uid="{00000000-0005-0000-0000-00005B740000}"/>
    <cellStyle name="Percent 16 5 17" xfId="13122" xr:uid="{00000000-0005-0000-0000-00005C740000}"/>
    <cellStyle name="Percent 16 5 18" xfId="40223" xr:uid="{00000000-0005-0000-0000-0000A90F0000}"/>
    <cellStyle name="Percent 16 5 19" xfId="40222" xr:uid="{00000000-0005-0000-0000-0000AA0F0000}"/>
    <cellStyle name="Percent 16 5 2" xfId="13123" xr:uid="{00000000-0005-0000-0000-00005D740000}"/>
    <cellStyle name="Percent 16 5 3" xfId="13124" xr:uid="{00000000-0005-0000-0000-00005E740000}"/>
    <cellStyle name="Percent 16 5 4" xfId="13125" xr:uid="{00000000-0005-0000-0000-00005F740000}"/>
    <cellStyle name="Percent 16 5 5" xfId="13126" xr:uid="{00000000-0005-0000-0000-000060740000}"/>
    <cellStyle name="Percent 16 5 6" xfId="13127" xr:uid="{00000000-0005-0000-0000-000061740000}"/>
    <cellStyle name="Percent 16 5 7" xfId="13128" xr:uid="{00000000-0005-0000-0000-000062740000}"/>
    <cellStyle name="Percent 16 5 8" xfId="13129" xr:uid="{00000000-0005-0000-0000-000063740000}"/>
    <cellStyle name="Percent 16 5 9" xfId="13130" xr:uid="{00000000-0005-0000-0000-000064740000}"/>
    <cellStyle name="Percent 16 6" xfId="13131" xr:uid="{00000000-0005-0000-0000-000065740000}"/>
    <cellStyle name="Percent 16 6 10" xfId="13132" xr:uid="{00000000-0005-0000-0000-000066740000}"/>
    <cellStyle name="Percent 16 6 11" xfId="13133" xr:uid="{00000000-0005-0000-0000-000067740000}"/>
    <cellStyle name="Percent 16 6 12" xfId="13134" xr:uid="{00000000-0005-0000-0000-000068740000}"/>
    <cellStyle name="Percent 16 6 13" xfId="13135" xr:uid="{00000000-0005-0000-0000-000069740000}"/>
    <cellStyle name="Percent 16 6 14" xfId="13136" xr:uid="{00000000-0005-0000-0000-00006A740000}"/>
    <cellStyle name="Percent 16 6 15" xfId="13137" xr:uid="{00000000-0005-0000-0000-00006B740000}"/>
    <cellStyle name="Percent 16 6 16" xfId="13138" xr:uid="{00000000-0005-0000-0000-00006C740000}"/>
    <cellStyle name="Percent 16 6 17" xfId="13139" xr:uid="{00000000-0005-0000-0000-00006D740000}"/>
    <cellStyle name="Percent 16 6 18" xfId="40225" xr:uid="{00000000-0005-0000-0000-0000BC0F0000}"/>
    <cellStyle name="Percent 16 6 19" xfId="40224" xr:uid="{00000000-0005-0000-0000-0000BD0F0000}"/>
    <cellStyle name="Percent 16 6 2" xfId="13140" xr:uid="{00000000-0005-0000-0000-00006E740000}"/>
    <cellStyle name="Percent 16 6 3" xfId="13141" xr:uid="{00000000-0005-0000-0000-00006F740000}"/>
    <cellStyle name="Percent 16 6 4" xfId="13142" xr:uid="{00000000-0005-0000-0000-000070740000}"/>
    <cellStyle name="Percent 16 6 5" xfId="13143" xr:uid="{00000000-0005-0000-0000-000071740000}"/>
    <cellStyle name="Percent 16 6 6" xfId="13144" xr:uid="{00000000-0005-0000-0000-000072740000}"/>
    <cellStyle name="Percent 16 6 7" xfId="13145" xr:uid="{00000000-0005-0000-0000-000073740000}"/>
    <cellStyle name="Percent 16 6 8" xfId="13146" xr:uid="{00000000-0005-0000-0000-000074740000}"/>
    <cellStyle name="Percent 16 6 9" xfId="13147" xr:uid="{00000000-0005-0000-0000-000075740000}"/>
    <cellStyle name="Percent 16 7" xfId="13148" xr:uid="{00000000-0005-0000-0000-000076740000}"/>
    <cellStyle name="Percent 16 7 10" xfId="13149" xr:uid="{00000000-0005-0000-0000-000077740000}"/>
    <cellStyle name="Percent 16 7 11" xfId="13150" xr:uid="{00000000-0005-0000-0000-000078740000}"/>
    <cellStyle name="Percent 16 7 12" xfId="13151" xr:uid="{00000000-0005-0000-0000-000079740000}"/>
    <cellStyle name="Percent 16 7 13" xfId="13152" xr:uid="{00000000-0005-0000-0000-00007A740000}"/>
    <cellStyle name="Percent 16 7 14" xfId="13153" xr:uid="{00000000-0005-0000-0000-00007B740000}"/>
    <cellStyle name="Percent 16 7 15" xfId="13154" xr:uid="{00000000-0005-0000-0000-00007C740000}"/>
    <cellStyle name="Percent 16 7 16" xfId="13155" xr:uid="{00000000-0005-0000-0000-00007D740000}"/>
    <cellStyle name="Percent 16 7 17" xfId="13156" xr:uid="{00000000-0005-0000-0000-00007E740000}"/>
    <cellStyle name="Percent 16 7 18" xfId="40227" xr:uid="{00000000-0005-0000-0000-0000CF0F0000}"/>
    <cellStyle name="Percent 16 7 19" xfId="40226" xr:uid="{00000000-0005-0000-0000-0000D00F0000}"/>
    <cellStyle name="Percent 16 7 2" xfId="13157" xr:uid="{00000000-0005-0000-0000-00007F740000}"/>
    <cellStyle name="Percent 16 7 2 2" xfId="40229" xr:uid="{00000000-0005-0000-0000-0000D20F0000}"/>
    <cellStyle name="Percent 16 7 2 3" xfId="40228" xr:uid="{00000000-0005-0000-0000-0000D30F0000}"/>
    <cellStyle name="Percent 16 7 3" xfId="13158" xr:uid="{00000000-0005-0000-0000-000080740000}"/>
    <cellStyle name="Percent 16 7 3 2" xfId="40231" xr:uid="{00000000-0005-0000-0000-0000D50F0000}"/>
    <cellStyle name="Percent 16 7 3 3" xfId="40230" xr:uid="{00000000-0005-0000-0000-0000D60F0000}"/>
    <cellStyle name="Percent 16 7 4" xfId="13159" xr:uid="{00000000-0005-0000-0000-000081740000}"/>
    <cellStyle name="Percent 16 7 5" xfId="13160" xr:uid="{00000000-0005-0000-0000-000082740000}"/>
    <cellStyle name="Percent 16 7 6" xfId="13161" xr:uid="{00000000-0005-0000-0000-000083740000}"/>
    <cellStyle name="Percent 16 7 7" xfId="13162" xr:uid="{00000000-0005-0000-0000-000084740000}"/>
    <cellStyle name="Percent 16 7 8" xfId="13163" xr:uid="{00000000-0005-0000-0000-000085740000}"/>
    <cellStyle name="Percent 16 7 9" xfId="13164" xr:uid="{00000000-0005-0000-0000-000086740000}"/>
    <cellStyle name="Percent 16 8" xfId="13165" xr:uid="{00000000-0005-0000-0000-000087740000}"/>
    <cellStyle name="Percent 16 8 10" xfId="13166" xr:uid="{00000000-0005-0000-0000-000088740000}"/>
    <cellStyle name="Percent 16 8 11" xfId="13167" xr:uid="{00000000-0005-0000-0000-000089740000}"/>
    <cellStyle name="Percent 16 8 12" xfId="13168" xr:uid="{00000000-0005-0000-0000-00008A740000}"/>
    <cellStyle name="Percent 16 8 13" xfId="13169" xr:uid="{00000000-0005-0000-0000-00008B740000}"/>
    <cellStyle name="Percent 16 8 14" xfId="13170" xr:uid="{00000000-0005-0000-0000-00008C740000}"/>
    <cellStyle name="Percent 16 8 15" xfId="13171" xr:uid="{00000000-0005-0000-0000-00008D740000}"/>
    <cellStyle name="Percent 16 8 16" xfId="13172" xr:uid="{00000000-0005-0000-0000-00008E740000}"/>
    <cellStyle name="Percent 16 8 17" xfId="13173" xr:uid="{00000000-0005-0000-0000-00008F740000}"/>
    <cellStyle name="Percent 16 8 2" xfId="13174" xr:uid="{00000000-0005-0000-0000-000090740000}"/>
    <cellStyle name="Percent 16 8 3" xfId="13175" xr:uid="{00000000-0005-0000-0000-000091740000}"/>
    <cellStyle name="Percent 16 8 4" xfId="13176" xr:uid="{00000000-0005-0000-0000-000092740000}"/>
    <cellStyle name="Percent 16 8 5" xfId="13177" xr:uid="{00000000-0005-0000-0000-000093740000}"/>
    <cellStyle name="Percent 16 8 6" xfId="13178" xr:uid="{00000000-0005-0000-0000-000094740000}"/>
    <cellStyle name="Percent 16 8 7" xfId="13179" xr:uid="{00000000-0005-0000-0000-000095740000}"/>
    <cellStyle name="Percent 16 8 8" xfId="13180" xr:uid="{00000000-0005-0000-0000-000096740000}"/>
    <cellStyle name="Percent 16 8 9" xfId="13181" xr:uid="{00000000-0005-0000-0000-000097740000}"/>
    <cellStyle name="Percent 16 9" xfId="13182" xr:uid="{00000000-0005-0000-0000-000098740000}"/>
    <cellStyle name="Percent 16 9 10" xfId="13183" xr:uid="{00000000-0005-0000-0000-000099740000}"/>
    <cellStyle name="Percent 16 9 11" xfId="13184" xr:uid="{00000000-0005-0000-0000-00009A740000}"/>
    <cellStyle name="Percent 16 9 12" xfId="13185" xr:uid="{00000000-0005-0000-0000-00009B740000}"/>
    <cellStyle name="Percent 16 9 13" xfId="13186" xr:uid="{00000000-0005-0000-0000-00009C740000}"/>
    <cellStyle name="Percent 16 9 14" xfId="13187" xr:uid="{00000000-0005-0000-0000-00009D740000}"/>
    <cellStyle name="Percent 16 9 15" xfId="13188" xr:uid="{00000000-0005-0000-0000-00009E740000}"/>
    <cellStyle name="Percent 16 9 16" xfId="13189" xr:uid="{00000000-0005-0000-0000-00009F740000}"/>
    <cellStyle name="Percent 16 9 17" xfId="13190" xr:uid="{00000000-0005-0000-0000-0000A0740000}"/>
    <cellStyle name="Percent 16 9 2" xfId="13191" xr:uid="{00000000-0005-0000-0000-0000A1740000}"/>
    <cellStyle name="Percent 16 9 3" xfId="13192" xr:uid="{00000000-0005-0000-0000-0000A2740000}"/>
    <cellStyle name="Percent 16 9 4" xfId="13193" xr:uid="{00000000-0005-0000-0000-0000A3740000}"/>
    <cellStyle name="Percent 16 9 5" xfId="13194" xr:uid="{00000000-0005-0000-0000-0000A4740000}"/>
    <cellStyle name="Percent 16 9 6" xfId="13195" xr:uid="{00000000-0005-0000-0000-0000A5740000}"/>
    <cellStyle name="Percent 16 9 7" xfId="13196" xr:uid="{00000000-0005-0000-0000-0000A6740000}"/>
    <cellStyle name="Percent 16 9 8" xfId="13197" xr:uid="{00000000-0005-0000-0000-0000A7740000}"/>
    <cellStyle name="Percent 16 9 9" xfId="13198" xr:uid="{00000000-0005-0000-0000-0000A8740000}"/>
    <cellStyle name="Percent 17" xfId="13199" xr:uid="{00000000-0005-0000-0000-0000A9740000}"/>
    <cellStyle name="Percent 17 10" xfId="40232" xr:uid="{00000000-0005-0000-0000-000000100000}"/>
    <cellStyle name="Percent 17 2" xfId="40233" xr:uid="{00000000-0005-0000-0000-000001100000}"/>
    <cellStyle name="Percent 17 2 2" xfId="40234" xr:uid="{00000000-0005-0000-0000-000002100000}"/>
    <cellStyle name="Percent 17 3" xfId="40235" xr:uid="{00000000-0005-0000-0000-000003100000}"/>
    <cellStyle name="Percent 17 4" xfId="40236" xr:uid="{00000000-0005-0000-0000-000004100000}"/>
    <cellStyle name="Percent 17 5" xfId="40237" xr:uid="{00000000-0005-0000-0000-000005100000}"/>
    <cellStyle name="Percent 17 6" xfId="40238" xr:uid="{00000000-0005-0000-0000-000006100000}"/>
    <cellStyle name="Percent 17 7" xfId="40239" xr:uid="{00000000-0005-0000-0000-000007100000}"/>
    <cellStyle name="Percent 17 7 2" xfId="40240" xr:uid="{00000000-0005-0000-0000-000008100000}"/>
    <cellStyle name="Percent 17 7 3" xfId="40241" xr:uid="{00000000-0005-0000-0000-000009100000}"/>
    <cellStyle name="Percent 17 8" xfId="40242" xr:uid="{00000000-0005-0000-0000-00000A100000}"/>
    <cellStyle name="Percent 17 8 2" xfId="40243" xr:uid="{00000000-0005-0000-0000-00000B100000}"/>
    <cellStyle name="Percent 17 9" xfId="40244" xr:uid="{00000000-0005-0000-0000-00000C100000}"/>
    <cellStyle name="Percent 18" xfId="14023" xr:uid="{00000000-0005-0000-0000-0000AA740000}"/>
    <cellStyle name="Percent 18 2" xfId="31134" xr:uid="{00000000-0005-0000-0000-0000AB740000}"/>
    <cellStyle name="Percent 18 3" xfId="35795" xr:uid="{00000000-0005-0000-0000-0000AC740000}"/>
    <cellStyle name="Percent 19" xfId="10311" xr:uid="{00000000-0005-0000-0000-0000AD740000}"/>
    <cellStyle name="Percent 19 2" xfId="33599" xr:uid="{00000000-0005-0000-0000-0000AE740000}"/>
    <cellStyle name="Percent 2" xfId="35" xr:uid="{00000000-0005-0000-0000-0000AF740000}"/>
    <cellStyle name="Percent 2 10" xfId="13200" xr:uid="{00000000-0005-0000-0000-0000B0740000}"/>
    <cellStyle name="Percent 2 10 2" xfId="13201" xr:uid="{00000000-0005-0000-0000-0000B1740000}"/>
    <cellStyle name="Percent 2 10 3" xfId="13202" xr:uid="{00000000-0005-0000-0000-0000B2740000}"/>
    <cellStyle name="Percent 2 10 4" xfId="13203" xr:uid="{00000000-0005-0000-0000-0000B3740000}"/>
    <cellStyle name="Percent 2 10 5" xfId="13204" xr:uid="{00000000-0005-0000-0000-0000B4740000}"/>
    <cellStyle name="Percent 2 10 6" xfId="13205" xr:uid="{00000000-0005-0000-0000-0000B5740000}"/>
    <cellStyle name="Percent 2 10 7" xfId="13206" xr:uid="{00000000-0005-0000-0000-0000B6740000}"/>
    <cellStyle name="Percent 2 10 8" xfId="13207" xr:uid="{00000000-0005-0000-0000-0000B7740000}"/>
    <cellStyle name="Percent 2 11" xfId="13208" xr:uid="{00000000-0005-0000-0000-0000B8740000}"/>
    <cellStyle name="Percent 2 11 2" xfId="13209" xr:uid="{00000000-0005-0000-0000-0000B9740000}"/>
    <cellStyle name="Percent 2 11 3" xfId="13210" xr:uid="{00000000-0005-0000-0000-0000BA740000}"/>
    <cellStyle name="Percent 2 11 4" xfId="13211" xr:uid="{00000000-0005-0000-0000-0000BB740000}"/>
    <cellStyle name="Percent 2 11 5" xfId="13212" xr:uid="{00000000-0005-0000-0000-0000BC740000}"/>
    <cellStyle name="Percent 2 11 6" xfId="13213" xr:uid="{00000000-0005-0000-0000-0000BD740000}"/>
    <cellStyle name="Percent 2 11 7" xfId="13214" xr:uid="{00000000-0005-0000-0000-0000BE740000}"/>
    <cellStyle name="Percent 2 11 8" xfId="13215" xr:uid="{00000000-0005-0000-0000-0000BF740000}"/>
    <cellStyle name="Percent 2 12" xfId="13216" xr:uid="{00000000-0005-0000-0000-0000C0740000}"/>
    <cellStyle name="Percent 2 13" xfId="13217" xr:uid="{00000000-0005-0000-0000-0000C1740000}"/>
    <cellStyle name="Percent 2 14" xfId="13218" xr:uid="{00000000-0005-0000-0000-0000C2740000}"/>
    <cellStyle name="Percent 2 15" xfId="13219" xr:uid="{00000000-0005-0000-0000-0000C3740000}"/>
    <cellStyle name="Percent 2 16" xfId="13220" xr:uid="{00000000-0005-0000-0000-0000C4740000}"/>
    <cellStyle name="Percent 2 17" xfId="13221" xr:uid="{00000000-0005-0000-0000-0000C5740000}"/>
    <cellStyle name="Percent 2 18" xfId="13222" xr:uid="{00000000-0005-0000-0000-0000C6740000}"/>
    <cellStyle name="Percent 2 19" xfId="13223" xr:uid="{00000000-0005-0000-0000-0000C7740000}"/>
    <cellStyle name="Percent 2 19 2" xfId="30520" xr:uid="{00000000-0005-0000-0000-0000C8740000}"/>
    <cellStyle name="Percent 2 19 2 2" xfId="40245" xr:uid="{00000000-0005-0000-0000-000026100000}"/>
    <cellStyle name="Percent 2 19 3" xfId="35176" xr:uid="{00000000-0005-0000-0000-0000C9740000}"/>
    <cellStyle name="Percent 2 2" xfId="3098" xr:uid="{00000000-0005-0000-0000-0000CA740000}"/>
    <cellStyle name="Percent 2 2 10" xfId="14102" xr:uid="{00000000-0005-0000-0000-0000CB740000}"/>
    <cellStyle name="Percent 2 2 11" xfId="10071" xr:uid="{00000000-0005-0000-0000-0000CC740000}"/>
    <cellStyle name="Percent 2 2 12" xfId="27465" xr:uid="{00000000-0005-0000-0000-0000CD740000}"/>
    <cellStyle name="Percent 2 2 2" xfId="10072" xr:uid="{00000000-0005-0000-0000-0000CE740000}"/>
    <cellStyle name="Percent 2 2 2 2" xfId="11215" xr:uid="{00000000-0005-0000-0000-0000CF740000}"/>
    <cellStyle name="Percent 2 2 2 2 2" xfId="14352" xr:uid="{00000000-0005-0000-0000-0000D0740000}"/>
    <cellStyle name="Percent 2 2 2 2 2 2" xfId="35905" xr:uid="{00000000-0005-0000-0000-0000D1740000}"/>
    <cellStyle name="Percent 2 2 2 2 2 3" xfId="29591" xr:uid="{00000000-0005-0000-0000-0000D2740000}"/>
    <cellStyle name="Percent 2 2 2 2 3" xfId="34032" xr:uid="{00000000-0005-0000-0000-0000D3740000}"/>
    <cellStyle name="Percent 2 2 2 3" xfId="13224" xr:uid="{00000000-0005-0000-0000-0000D4740000}"/>
    <cellStyle name="Percent 2 2 2 4" xfId="10646" xr:uid="{00000000-0005-0000-0000-0000D5740000}"/>
    <cellStyle name="Percent 2 2 2 5" xfId="33376" xr:uid="{00000000-0005-0000-0000-0000D6740000}"/>
    <cellStyle name="Percent 2 2 3" xfId="10073" xr:uid="{00000000-0005-0000-0000-0000D7740000}"/>
    <cellStyle name="Percent 2 2 3 2" xfId="10074" xr:uid="{00000000-0005-0000-0000-0000D8740000}"/>
    <cellStyle name="Percent 2 2 3 2 2" xfId="11217" xr:uid="{00000000-0005-0000-0000-0000D9740000}"/>
    <cellStyle name="Percent 2 2 3 2 2 2" xfId="29593" xr:uid="{00000000-0005-0000-0000-0000DA740000}"/>
    <cellStyle name="Percent 2 2 3 2 2 3" xfId="34034" xr:uid="{00000000-0005-0000-0000-0000DB740000}"/>
    <cellStyle name="Percent 2 2 3 2 3" xfId="10648" xr:uid="{00000000-0005-0000-0000-0000DC740000}"/>
    <cellStyle name="Percent 2 2 3 2 4" xfId="29236" xr:uid="{00000000-0005-0000-0000-0000DD740000}"/>
    <cellStyle name="Percent 2 2 3 2 5" xfId="33378" xr:uid="{00000000-0005-0000-0000-0000DE740000}"/>
    <cellStyle name="Percent 2 2 3 3" xfId="10075" xr:uid="{00000000-0005-0000-0000-0000DF740000}"/>
    <cellStyle name="Percent 2 2 3 3 2" xfId="11218" xr:uid="{00000000-0005-0000-0000-0000E0740000}"/>
    <cellStyle name="Percent 2 2 3 3 2 2" xfId="29594" xr:uid="{00000000-0005-0000-0000-0000E1740000}"/>
    <cellStyle name="Percent 2 2 3 3 2 3" xfId="34035" xr:uid="{00000000-0005-0000-0000-0000E2740000}"/>
    <cellStyle name="Percent 2 2 3 3 3" xfId="10649" xr:uid="{00000000-0005-0000-0000-0000E3740000}"/>
    <cellStyle name="Percent 2 2 3 3 4" xfId="29237" xr:uid="{00000000-0005-0000-0000-0000E4740000}"/>
    <cellStyle name="Percent 2 2 3 3 5" xfId="33379" xr:uid="{00000000-0005-0000-0000-0000E5740000}"/>
    <cellStyle name="Percent 2 2 3 4" xfId="11216" xr:uid="{00000000-0005-0000-0000-0000E6740000}"/>
    <cellStyle name="Percent 2 2 3 4 2" xfId="29592" xr:uid="{00000000-0005-0000-0000-0000E7740000}"/>
    <cellStyle name="Percent 2 2 3 4 3" xfId="34033" xr:uid="{00000000-0005-0000-0000-0000E8740000}"/>
    <cellStyle name="Percent 2 2 3 5" xfId="13225" xr:uid="{00000000-0005-0000-0000-0000E9740000}"/>
    <cellStyle name="Percent 2 2 3 6" xfId="10647" xr:uid="{00000000-0005-0000-0000-0000EA740000}"/>
    <cellStyle name="Percent 2 2 3 7" xfId="33377" xr:uid="{00000000-0005-0000-0000-0000EB740000}"/>
    <cellStyle name="Percent 2 2 4" xfId="10076" xr:uid="{00000000-0005-0000-0000-0000EC740000}"/>
    <cellStyle name="Percent 2 2 4 2" xfId="11219" xr:uid="{00000000-0005-0000-0000-0000ED740000}"/>
    <cellStyle name="Percent 2 2 4 2 2" xfId="29595" xr:uid="{00000000-0005-0000-0000-0000EE740000}"/>
    <cellStyle name="Percent 2 2 4 2 3" xfId="34036" xr:uid="{00000000-0005-0000-0000-0000EF740000}"/>
    <cellStyle name="Percent 2 2 4 3" xfId="13226" xr:uid="{00000000-0005-0000-0000-0000F0740000}"/>
    <cellStyle name="Percent 2 2 4 4" xfId="10650" xr:uid="{00000000-0005-0000-0000-0000F1740000}"/>
    <cellStyle name="Percent 2 2 4 5" xfId="29238" xr:uid="{00000000-0005-0000-0000-0000F2740000}"/>
    <cellStyle name="Percent 2 2 4 6" xfId="33380" xr:uid="{00000000-0005-0000-0000-0000F3740000}"/>
    <cellStyle name="Percent 2 2 5" xfId="10324" xr:uid="{00000000-0005-0000-0000-0000F4740000}"/>
    <cellStyle name="Percent 2 2 5 2" xfId="13227" xr:uid="{00000000-0005-0000-0000-0000F5740000}"/>
    <cellStyle name="Percent 2 2 5 3" xfId="10651" xr:uid="{00000000-0005-0000-0000-0000F6740000}"/>
    <cellStyle name="Percent 2 2 5 4" xfId="28539" xr:uid="{00000000-0005-0000-0000-0000F7740000}"/>
    <cellStyle name="Percent 2 2 6" xfId="11214" xr:uid="{00000000-0005-0000-0000-0000F8740000}"/>
    <cellStyle name="Percent 2 2 6 2" xfId="13228" xr:uid="{00000000-0005-0000-0000-0000F9740000}"/>
    <cellStyle name="Percent 2 2 6 3" xfId="29590" xr:uid="{00000000-0005-0000-0000-0000FA740000}"/>
    <cellStyle name="Percent 2 2 6 4" xfId="34031" xr:uid="{00000000-0005-0000-0000-0000FB740000}"/>
    <cellStyle name="Percent 2 2 7" xfId="11648" xr:uid="{00000000-0005-0000-0000-0000FC740000}"/>
    <cellStyle name="Percent 2 2 8" xfId="13229" xr:uid="{00000000-0005-0000-0000-0000FD740000}"/>
    <cellStyle name="Percent 2 2 9" xfId="10645" xr:uid="{00000000-0005-0000-0000-0000FE740000}"/>
    <cellStyle name="Percent 2 20" xfId="10644" xr:uid="{00000000-0005-0000-0000-0000FF740000}"/>
    <cellStyle name="Percent 2 20 2" xfId="40247" xr:uid="{00000000-0005-0000-0000-000030100000}"/>
    <cellStyle name="Percent 2 20 3" xfId="40246" xr:uid="{00000000-0005-0000-0000-00002F100000}"/>
    <cellStyle name="Percent 2 21" xfId="10070" xr:uid="{00000000-0005-0000-0000-000000750000}"/>
    <cellStyle name="Percent 2 21 2" xfId="40248" xr:uid="{00000000-0005-0000-0000-000031100000}"/>
    <cellStyle name="Percent 2 22" xfId="14351" xr:uid="{00000000-0005-0000-0000-000001750000}"/>
    <cellStyle name="Percent 2 22 2" xfId="40249" xr:uid="{00000000-0005-0000-0000-000032100000}"/>
    <cellStyle name="Percent 2 23" xfId="27464" xr:uid="{00000000-0005-0000-0000-000002750000}"/>
    <cellStyle name="Percent 2 23 2" xfId="40250" xr:uid="{00000000-0005-0000-0000-000033100000}"/>
    <cellStyle name="Percent 2 24" xfId="40251" xr:uid="{00000000-0005-0000-0000-000034100000}"/>
    <cellStyle name="Percent 2 25" xfId="40252" xr:uid="{00000000-0005-0000-0000-000035100000}"/>
    <cellStyle name="Percent 2 26" xfId="40253" xr:uid="{00000000-0005-0000-0000-000036100000}"/>
    <cellStyle name="Percent 2 27" xfId="40254" xr:uid="{00000000-0005-0000-0000-000037100000}"/>
    <cellStyle name="Percent 2 28" xfId="40255" xr:uid="{00000000-0005-0000-0000-000038100000}"/>
    <cellStyle name="Percent 2 29" xfId="40256" xr:uid="{00000000-0005-0000-0000-000039100000}"/>
    <cellStyle name="Percent 2 3" xfId="3099" xr:uid="{00000000-0005-0000-0000-000003750000}"/>
    <cellStyle name="Percent 2 3 10" xfId="10652" xr:uid="{00000000-0005-0000-0000-000004750000}"/>
    <cellStyle name="Percent 2 3 10 2" xfId="40257" xr:uid="{00000000-0005-0000-0000-00003B100000}"/>
    <cellStyle name="Percent 2 3 11" xfId="10077" xr:uid="{00000000-0005-0000-0000-000005750000}"/>
    <cellStyle name="Percent 2 3 11 2" xfId="33381" xr:uid="{00000000-0005-0000-0000-000006750000}"/>
    <cellStyle name="Percent 2 3 11 3" xfId="28243" xr:uid="{00000000-0005-0000-0000-000007750000}"/>
    <cellStyle name="Percent 2 3 11 4" xfId="40258" xr:uid="{00000000-0005-0000-0000-00003C100000}"/>
    <cellStyle name="Percent 2 3 12" xfId="27466" xr:uid="{00000000-0005-0000-0000-000008750000}"/>
    <cellStyle name="Percent 2 3 12 2" xfId="40259" xr:uid="{00000000-0005-0000-0000-00003D100000}"/>
    <cellStyle name="Percent 2 3 13" xfId="40260" xr:uid="{00000000-0005-0000-0000-00003E100000}"/>
    <cellStyle name="Percent 2 3 14" xfId="40261" xr:uid="{00000000-0005-0000-0000-00003F100000}"/>
    <cellStyle name="Percent 2 3 15" xfId="40262" xr:uid="{00000000-0005-0000-0000-000040100000}"/>
    <cellStyle name="Percent 2 3 2" xfId="10078" xr:uid="{00000000-0005-0000-0000-000009750000}"/>
    <cellStyle name="Percent 2 3 2 2" xfId="10079" xr:uid="{00000000-0005-0000-0000-00000A750000}"/>
    <cellStyle name="Percent 2 3 2 2 2" xfId="11222" xr:uid="{00000000-0005-0000-0000-00000B750000}"/>
    <cellStyle name="Percent 2 3 2 2 2 2" xfId="29598" xr:uid="{00000000-0005-0000-0000-00000C750000}"/>
    <cellStyle name="Percent 2 3 2 2 2 3" xfId="29239" xr:uid="{00000000-0005-0000-0000-00000D750000}"/>
    <cellStyle name="Percent 2 3 2 2 2 4" xfId="34039" xr:uid="{00000000-0005-0000-0000-00000E750000}"/>
    <cellStyle name="Percent 2 3 2 2 3" xfId="10654" xr:uid="{00000000-0005-0000-0000-00000F750000}"/>
    <cellStyle name="Percent 2 3 2 2 4" xfId="28542" xr:uid="{00000000-0005-0000-0000-000010750000}"/>
    <cellStyle name="Percent 2 3 2 2 5" xfId="33383" xr:uid="{00000000-0005-0000-0000-000011750000}"/>
    <cellStyle name="Percent 2 3 2 3" xfId="10080" xr:uid="{00000000-0005-0000-0000-000012750000}"/>
    <cellStyle name="Percent 2 3 2 3 2" xfId="11223" xr:uid="{00000000-0005-0000-0000-000013750000}"/>
    <cellStyle name="Percent 2 3 2 3 2 2" xfId="29599" xr:uid="{00000000-0005-0000-0000-000014750000}"/>
    <cellStyle name="Percent 2 3 2 3 2 3" xfId="34040" xr:uid="{00000000-0005-0000-0000-000015750000}"/>
    <cellStyle name="Percent 2 3 2 3 3" xfId="10655" xr:uid="{00000000-0005-0000-0000-000016750000}"/>
    <cellStyle name="Percent 2 3 2 3 4" xfId="28923" xr:uid="{00000000-0005-0000-0000-000017750000}"/>
    <cellStyle name="Percent 2 3 2 3 5" xfId="33384" xr:uid="{00000000-0005-0000-0000-000018750000}"/>
    <cellStyle name="Percent 2 3 2 4" xfId="10326" xr:uid="{00000000-0005-0000-0000-000019750000}"/>
    <cellStyle name="Percent 2 3 2 4 2" xfId="10911" xr:uid="{00000000-0005-0000-0000-00001A750000}"/>
    <cellStyle name="Percent 2 3 2 4 3" xfId="29274" xr:uid="{00000000-0005-0000-0000-00001B750000}"/>
    <cellStyle name="Percent 2 3 2 5" xfId="11221" xr:uid="{00000000-0005-0000-0000-00001C750000}"/>
    <cellStyle name="Percent 2 3 2 5 2" xfId="29597" xr:uid="{00000000-0005-0000-0000-00001D750000}"/>
    <cellStyle name="Percent 2 3 2 5 3" xfId="34038" xr:uid="{00000000-0005-0000-0000-00001E750000}"/>
    <cellStyle name="Percent 2 3 2 6" xfId="13231" xr:uid="{00000000-0005-0000-0000-00001F750000}"/>
    <cellStyle name="Percent 2 3 2 7" xfId="10653" xr:uid="{00000000-0005-0000-0000-000020750000}"/>
    <cellStyle name="Percent 2 3 2 8" xfId="28541" xr:uid="{00000000-0005-0000-0000-000021750000}"/>
    <cellStyle name="Percent 2 3 2 9" xfId="33382" xr:uid="{00000000-0005-0000-0000-000022750000}"/>
    <cellStyle name="Percent 2 3 3" xfId="10081" xr:uid="{00000000-0005-0000-0000-000023750000}"/>
    <cellStyle name="Percent 2 3 3 2" xfId="10082" xr:uid="{00000000-0005-0000-0000-000024750000}"/>
    <cellStyle name="Percent 2 3 3 2 2" xfId="11225" xr:uid="{00000000-0005-0000-0000-000025750000}"/>
    <cellStyle name="Percent 2 3 3 2 2 2" xfId="29601" xr:uid="{00000000-0005-0000-0000-000026750000}"/>
    <cellStyle name="Percent 2 3 3 2 2 3" xfId="34042" xr:uid="{00000000-0005-0000-0000-000027750000}"/>
    <cellStyle name="Percent 2 3 3 2 3" xfId="10912" xr:uid="{00000000-0005-0000-0000-000028750000}"/>
    <cellStyle name="Percent 2 3 3 2 4" xfId="28924" xr:uid="{00000000-0005-0000-0000-000029750000}"/>
    <cellStyle name="Percent 2 3 3 2 5" xfId="33386" xr:uid="{00000000-0005-0000-0000-00002A750000}"/>
    <cellStyle name="Percent 2 3 3 3" xfId="10083" xr:uid="{00000000-0005-0000-0000-00002B750000}"/>
    <cellStyle name="Percent 2 3 3 3 2" xfId="10084" xr:uid="{00000000-0005-0000-0000-00002C750000}"/>
    <cellStyle name="Percent 2 3 3 3 2 2" xfId="11227" xr:uid="{00000000-0005-0000-0000-00002D750000}"/>
    <cellStyle name="Percent 2 3 3 3 2 2 2" xfId="29603" xr:uid="{00000000-0005-0000-0000-00002E750000}"/>
    <cellStyle name="Percent 2 3 3 3 2 2 3" xfId="34044" xr:uid="{00000000-0005-0000-0000-00002F750000}"/>
    <cellStyle name="Percent 2 3 3 3 2 3" xfId="10658" xr:uid="{00000000-0005-0000-0000-000030750000}"/>
    <cellStyle name="Percent 2 3 3 3 2 4" xfId="29241" xr:uid="{00000000-0005-0000-0000-000031750000}"/>
    <cellStyle name="Percent 2 3 3 3 2 5" xfId="33388" xr:uid="{00000000-0005-0000-0000-000032750000}"/>
    <cellStyle name="Percent 2 3 3 3 3" xfId="10085" xr:uid="{00000000-0005-0000-0000-000033750000}"/>
    <cellStyle name="Percent 2 3 3 3 3 2" xfId="11228" xr:uid="{00000000-0005-0000-0000-000034750000}"/>
    <cellStyle name="Percent 2 3 3 3 3 2 2" xfId="29604" xr:uid="{00000000-0005-0000-0000-000035750000}"/>
    <cellStyle name="Percent 2 3 3 3 3 2 3" xfId="34045" xr:uid="{00000000-0005-0000-0000-000036750000}"/>
    <cellStyle name="Percent 2 3 3 3 3 3" xfId="10914" xr:uid="{00000000-0005-0000-0000-000037750000}"/>
    <cellStyle name="Percent 2 3 3 3 3 4" xfId="29242" xr:uid="{00000000-0005-0000-0000-000038750000}"/>
    <cellStyle name="Percent 2 3 3 3 3 5" xfId="33389" xr:uid="{00000000-0005-0000-0000-000039750000}"/>
    <cellStyle name="Percent 2 3 3 3 4" xfId="11226" xr:uid="{00000000-0005-0000-0000-00003A750000}"/>
    <cellStyle name="Percent 2 3 3 3 4 2" xfId="29602" xr:uid="{00000000-0005-0000-0000-00003B750000}"/>
    <cellStyle name="Percent 2 3 3 3 4 3" xfId="34043" xr:uid="{00000000-0005-0000-0000-00003C750000}"/>
    <cellStyle name="Percent 2 3 3 3 5" xfId="10657" xr:uid="{00000000-0005-0000-0000-00003D750000}"/>
    <cellStyle name="Percent 2 3 3 3 6" xfId="29240" xr:uid="{00000000-0005-0000-0000-00003E750000}"/>
    <cellStyle name="Percent 2 3 3 3 7" xfId="33387" xr:uid="{00000000-0005-0000-0000-00003F750000}"/>
    <cellStyle name="Percent 2 3 3 4" xfId="10327" xr:uid="{00000000-0005-0000-0000-000040750000}"/>
    <cellStyle name="Percent 2 3 3 4 2" xfId="10659" xr:uid="{00000000-0005-0000-0000-000041750000}"/>
    <cellStyle name="Percent 2 3 3 4 3" xfId="29275" xr:uid="{00000000-0005-0000-0000-000042750000}"/>
    <cellStyle name="Percent 2 3 3 5" xfId="11224" xr:uid="{00000000-0005-0000-0000-000043750000}"/>
    <cellStyle name="Percent 2 3 3 5 2" xfId="29600" xr:uid="{00000000-0005-0000-0000-000044750000}"/>
    <cellStyle name="Percent 2 3 3 5 3" xfId="34041" xr:uid="{00000000-0005-0000-0000-000045750000}"/>
    <cellStyle name="Percent 2 3 3 6" xfId="13232" xr:uid="{00000000-0005-0000-0000-000046750000}"/>
    <cellStyle name="Percent 2 3 3 7" xfId="10656" xr:uid="{00000000-0005-0000-0000-000047750000}"/>
    <cellStyle name="Percent 2 3 3 8" xfId="28543" xr:uid="{00000000-0005-0000-0000-000048750000}"/>
    <cellStyle name="Percent 2 3 3 9" xfId="33385" xr:uid="{00000000-0005-0000-0000-000049750000}"/>
    <cellStyle name="Percent 2 3 4" xfId="10086" xr:uid="{00000000-0005-0000-0000-00004A750000}"/>
    <cellStyle name="Percent 2 3 4 2" xfId="11229" xr:uid="{00000000-0005-0000-0000-00004B750000}"/>
    <cellStyle name="Percent 2 3 4 2 2" xfId="29605" xr:uid="{00000000-0005-0000-0000-00004C750000}"/>
    <cellStyle name="Percent 2 3 4 2 3" xfId="29243" xr:uid="{00000000-0005-0000-0000-00004D750000}"/>
    <cellStyle name="Percent 2 3 4 2 4" xfId="34046" xr:uid="{00000000-0005-0000-0000-00004E750000}"/>
    <cellStyle name="Percent 2 3 4 3" xfId="13233" xr:uid="{00000000-0005-0000-0000-00004F750000}"/>
    <cellStyle name="Percent 2 3 4 4" xfId="10915" xr:uid="{00000000-0005-0000-0000-000050750000}"/>
    <cellStyle name="Percent 2 3 4 5" xfId="28544" xr:uid="{00000000-0005-0000-0000-000051750000}"/>
    <cellStyle name="Percent 2 3 4 6" xfId="33390" xr:uid="{00000000-0005-0000-0000-000052750000}"/>
    <cellStyle name="Percent 2 3 5" xfId="10087" xr:uid="{00000000-0005-0000-0000-000053750000}"/>
    <cellStyle name="Percent 2 3 5 2" xfId="11230" xr:uid="{00000000-0005-0000-0000-000054750000}"/>
    <cellStyle name="Percent 2 3 5 2 2" xfId="29606" xr:uid="{00000000-0005-0000-0000-000055750000}"/>
    <cellStyle name="Percent 2 3 5 2 3" xfId="34047" xr:uid="{00000000-0005-0000-0000-000056750000}"/>
    <cellStyle name="Percent 2 3 5 3" xfId="13234" xr:uid="{00000000-0005-0000-0000-000057750000}"/>
    <cellStyle name="Percent 2 3 5 4" xfId="10913" xr:uid="{00000000-0005-0000-0000-000058750000}"/>
    <cellStyle name="Percent 2 3 5 5" xfId="28763" xr:uid="{00000000-0005-0000-0000-000059750000}"/>
    <cellStyle name="Percent 2 3 5 6" xfId="33391" xr:uid="{00000000-0005-0000-0000-00005A750000}"/>
    <cellStyle name="Percent 2 3 6" xfId="10325" xr:uid="{00000000-0005-0000-0000-00005B750000}"/>
    <cellStyle name="Percent 2 3 6 2" xfId="13235" xr:uid="{00000000-0005-0000-0000-00005C750000}"/>
    <cellStyle name="Percent 2 3 6 3" xfId="10660" xr:uid="{00000000-0005-0000-0000-00005D750000}"/>
    <cellStyle name="Percent 2 3 6 4" xfId="28540" xr:uid="{00000000-0005-0000-0000-00005E750000}"/>
    <cellStyle name="Percent 2 3 6 5" xfId="33605" xr:uid="{00000000-0005-0000-0000-00005F750000}"/>
    <cellStyle name="Percent 2 3 7" xfId="11220" xr:uid="{00000000-0005-0000-0000-000060750000}"/>
    <cellStyle name="Percent 2 3 7 2" xfId="13236" xr:uid="{00000000-0005-0000-0000-000061750000}"/>
    <cellStyle name="Percent 2 3 7 3" xfId="29596" xr:uid="{00000000-0005-0000-0000-000062750000}"/>
    <cellStyle name="Percent 2 3 7 4" xfId="34037" xr:uid="{00000000-0005-0000-0000-000063750000}"/>
    <cellStyle name="Percent 2 3 8" xfId="13237" xr:uid="{00000000-0005-0000-0000-000064750000}"/>
    <cellStyle name="Percent 2 3 9" xfId="13230" xr:uid="{00000000-0005-0000-0000-000065750000}"/>
    <cellStyle name="Percent 2 30" xfId="40263" xr:uid="{00000000-0005-0000-0000-000049100000}"/>
    <cellStyle name="Percent 2 31" xfId="40264" xr:uid="{00000000-0005-0000-0000-00004A100000}"/>
    <cellStyle name="Percent 2 32" xfId="40265" xr:uid="{00000000-0005-0000-0000-00004B100000}"/>
    <cellStyle name="Percent 2 33" xfId="40266" xr:uid="{00000000-0005-0000-0000-00004C100000}"/>
    <cellStyle name="Percent 2 34" xfId="40267" xr:uid="{00000000-0005-0000-0000-00004D100000}"/>
    <cellStyle name="Percent 2 35" xfId="40268" xr:uid="{00000000-0005-0000-0000-00004E100000}"/>
    <cellStyle name="Percent 2 36" xfId="40269" xr:uid="{00000000-0005-0000-0000-00004F100000}"/>
    <cellStyle name="Percent 2 37" xfId="40270" xr:uid="{00000000-0005-0000-0000-000050100000}"/>
    <cellStyle name="Percent 2 38" xfId="40271" xr:uid="{00000000-0005-0000-0000-000051100000}"/>
    <cellStyle name="Percent 2 39" xfId="40272" xr:uid="{00000000-0005-0000-0000-000052100000}"/>
    <cellStyle name="Percent 2 4" xfId="3100" xr:uid="{00000000-0005-0000-0000-000066750000}"/>
    <cellStyle name="Percent 2 4 10" xfId="10916" xr:uid="{00000000-0005-0000-0000-000067750000}"/>
    <cellStyle name="Percent 2 4 10 2" xfId="40273" xr:uid="{00000000-0005-0000-0000-000054100000}"/>
    <cellStyle name="Percent 2 4 11" xfId="10088" xr:uid="{00000000-0005-0000-0000-000068750000}"/>
    <cellStyle name="Percent 2 4 11 2" xfId="33392" xr:uid="{00000000-0005-0000-0000-000069750000}"/>
    <cellStyle name="Percent 2 4 11 3" xfId="28244" xr:uid="{00000000-0005-0000-0000-00006A750000}"/>
    <cellStyle name="Percent 2 4 11 4" xfId="40274" xr:uid="{00000000-0005-0000-0000-000055100000}"/>
    <cellStyle name="Percent 2 4 12" xfId="31370" xr:uid="{00000000-0005-0000-0000-00006B750000}"/>
    <cellStyle name="Percent 2 4 12 2" xfId="40275" xr:uid="{00000000-0005-0000-0000-000056100000}"/>
    <cellStyle name="Percent 2 4 13" xfId="27467" xr:uid="{00000000-0005-0000-0000-00006C750000}"/>
    <cellStyle name="Percent 2 4 13 2" xfId="40276" xr:uid="{00000000-0005-0000-0000-000057100000}"/>
    <cellStyle name="Percent 2 4 14" xfId="40277" xr:uid="{00000000-0005-0000-0000-000058100000}"/>
    <cellStyle name="Percent 2 4 15" xfId="40278" xr:uid="{00000000-0005-0000-0000-000059100000}"/>
    <cellStyle name="Percent 2 4 2" xfId="3606" xr:uid="{00000000-0005-0000-0000-00006D750000}"/>
    <cellStyle name="Percent 2 4 2 2" xfId="11232" xr:uid="{00000000-0005-0000-0000-00006E750000}"/>
    <cellStyle name="Percent 2 4 2 2 2" xfId="29607" xr:uid="{00000000-0005-0000-0000-00006F750000}"/>
    <cellStyle name="Percent 2 4 2 2 3" xfId="28427" xr:uid="{00000000-0005-0000-0000-000070750000}"/>
    <cellStyle name="Percent 2 4 2 2 4" xfId="34049" xr:uid="{00000000-0005-0000-0000-000071750000}"/>
    <cellStyle name="Percent 2 4 2 3" xfId="13239" xr:uid="{00000000-0005-0000-0000-000072750000}"/>
    <cellStyle name="Percent 2 4 2 3 2" xfId="30521" xr:uid="{00000000-0005-0000-0000-000073750000}"/>
    <cellStyle name="Percent 2 4 2 3 3" xfId="28546" xr:uid="{00000000-0005-0000-0000-000074750000}"/>
    <cellStyle name="Percent 2 4 2 4" xfId="10661" xr:uid="{00000000-0005-0000-0000-000075750000}"/>
    <cellStyle name="Percent 2 4 2 5" xfId="10089" xr:uid="{00000000-0005-0000-0000-000076750000}"/>
    <cellStyle name="Percent 2 4 2 5 2" xfId="33393" xr:uid="{00000000-0005-0000-0000-000077750000}"/>
    <cellStyle name="Percent 2 4 2 5 3" xfId="28245" xr:uid="{00000000-0005-0000-0000-000078750000}"/>
    <cellStyle name="Percent 2 4 2 6" xfId="31600" xr:uid="{00000000-0005-0000-0000-000079750000}"/>
    <cellStyle name="Percent 2 4 2 7" xfId="27468" xr:uid="{00000000-0005-0000-0000-00007A750000}"/>
    <cellStyle name="Percent 2 4 3" xfId="10328" xr:uid="{00000000-0005-0000-0000-00007B750000}"/>
    <cellStyle name="Percent 2 4 3 2" xfId="13240" xr:uid="{00000000-0005-0000-0000-00007C750000}"/>
    <cellStyle name="Percent 2 4 3 2 2" xfId="30522" xr:uid="{00000000-0005-0000-0000-00007D750000}"/>
    <cellStyle name="Percent 2 4 3 2 3" xfId="28764" xr:uid="{00000000-0005-0000-0000-00007E750000}"/>
    <cellStyle name="Percent 2 4 3 3" xfId="10917" xr:uid="{00000000-0005-0000-0000-00007F750000}"/>
    <cellStyle name="Percent 2 4 3 4" xfId="28401" xr:uid="{00000000-0005-0000-0000-000080750000}"/>
    <cellStyle name="Percent 2 4 4" xfId="11231" xr:uid="{00000000-0005-0000-0000-000081750000}"/>
    <cellStyle name="Percent 2 4 4 2" xfId="13241" xr:uid="{00000000-0005-0000-0000-000082750000}"/>
    <cellStyle name="Percent 2 4 4 3" xfId="28545" xr:uid="{00000000-0005-0000-0000-000083750000}"/>
    <cellStyle name="Percent 2 4 4 4" xfId="34048" xr:uid="{00000000-0005-0000-0000-000084750000}"/>
    <cellStyle name="Percent 2 4 5" xfId="13242" xr:uid="{00000000-0005-0000-0000-000085750000}"/>
    <cellStyle name="Percent 2 4 6" xfId="13243" xr:uid="{00000000-0005-0000-0000-000086750000}"/>
    <cellStyle name="Percent 2 4 7" xfId="13244" xr:uid="{00000000-0005-0000-0000-000087750000}"/>
    <cellStyle name="Percent 2 4 8" xfId="13245" xr:uid="{00000000-0005-0000-0000-000088750000}"/>
    <cellStyle name="Percent 2 4 9" xfId="13238" xr:uid="{00000000-0005-0000-0000-000089750000}"/>
    <cellStyle name="Percent 2 40" xfId="40279" xr:uid="{00000000-0005-0000-0000-000062100000}"/>
    <cellStyle name="Percent 2 41" xfId="40280" xr:uid="{00000000-0005-0000-0000-000063100000}"/>
    <cellStyle name="Percent 2 42" xfId="40281" xr:uid="{00000000-0005-0000-0000-000064100000}"/>
    <cellStyle name="Percent 2 43" xfId="40282" xr:uid="{00000000-0005-0000-0000-000065100000}"/>
    <cellStyle name="Percent 2 44" xfId="40283" xr:uid="{00000000-0005-0000-0000-000066100000}"/>
    <cellStyle name="Percent 2 45" xfId="40284" xr:uid="{00000000-0005-0000-0000-000067100000}"/>
    <cellStyle name="Percent 2 46" xfId="40285" xr:uid="{00000000-0005-0000-0000-000068100000}"/>
    <cellStyle name="Percent 2 47" xfId="40286" xr:uid="{00000000-0005-0000-0000-000069100000}"/>
    <cellStyle name="Percent 2 48" xfId="40287" xr:uid="{00000000-0005-0000-0000-00006A100000}"/>
    <cellStyle name="Percent 2 48 2" xfId="40288" xr:uid="{00000000-0005-0000-0000-00006B100000}"/>
    <cellStyle name="Percent 2 48 3" xfId="40289" xr:uid="{00000000-0005-0000-0000-00006C100000}"/>
    <cellStyle name="Percent 2 49" xfId="40290" xr:uid="{00000000-0005-0000-0000-00006D100000}"/>
    <cellStyle name="Percent 2 5" xfId="3315" xr:uid="{00000000-0005-0000-0000-00008A750000}"/>
    <cellStyle name="Percent 2 5 10" xfId="10662" xr:uid="{00000000-0005-0000-0000-00008B750000}"/>
    <cellStyle name="Percent 2 5 10 2" xfId="40291" xr:uid="{00000000-0005-0000-0000-00006F100000}"/>
    <cellStyle name="Percent 2 5 11" xfId="10090" xr:uid="{00000000-0005-0000-0000-00008C750000}"/>
    <cellStyle name="Percent 2 5 11 2" xfId="33394" xr:uid="{00000000-0005-0000-0000-00008D750000}"/>
    <cellStyle name="Percent 2 5 11 3" xfId="28246" xr:uid="{00000000-0005-0000-0000-00008E750000}"/>
    <cellStyle name="Percent 2 5 11 4" xfId="40292" xr:uid="{00000000-0005-0000-0000-000070100000}"/>
    <cellStyle name="Percent 2 5 12" xfId="14353" xr:uid="{00000000-0005-0000-0000-00008F750000}"/>
    <cellStyle name="Percent 2 5 12 2" xfId="40293" xr:uid="{00000000-0005-0000-0000-000071100000}"/>
    <cellStyle name="Percent 2 5 13" xfId="31386" xr:uid="{00000000-0005-0000-0000-000090750000}"/>
    <cellStyle name="Percent 2 5 13 2" xfId="40294" xr:uid="{00000000-0005-0000-0000-000072100000}"/>
    <cellStyle name="Percent 2 5 14" xfId="27469" xr:uid="{00000000-0005-0000-0000-000091750000}"/>
    <cellStyle name="Percent 2 5 14 2" xfId="40295" xr:uid="{00000000-0005-0000-0000-000073100000}"/>
    <cellStyle name="Percent 2 5 15" xfId="40296" xr:uid="{00000000-0005-0000-0000-000074100000}"/>
    <cellStyle name="Percent 2 5 2" xfId="10091" xr:uid="{00000000-0005-0000-0000-000092750000}"/>
    <cellStyle name="Percent 2 5 2 2" xfId="11234" xr:uid="{00000000-0005-0000-0000-000093750000}"/>
    <cellStyle name="Percent 2 5 2 2 2" xfId="29609" xr:uid="{00000000-0005-0000-0000-000094750000}"/>
    <cellStyle name="Percent 2 5 2 2 3" xfId="29244" xr:uid="{00000000-0005-0000-0000-000095750000}"/>
    <cellStyle name="Percent 2 5 2 2 4" xfId="34051" xr:uid="{00000000-0005-0000-0000-000096750000}"/>
    <cellStyle name="Percent 2 5 2 3" xfId="13247" xr:uid="{00000000-0005-0000-0000-000097750000}"/>
    <cellStyle name="Percent 2 5 2 3 2" xfId="30523" xr:uid="{00000000-0005-0000-0000-000098750000}"/>
    <cellStyle name="Percent 2 5 2 3 3" xfId="28548" xr:uid="{00000000-0005-0000-0000-000099750000}"/>
    <cellStyle name="Percent 2 5 2 4" xfId="10918" xr:uid="{00000000-0005-0000-0000-00009A750000}"/>
    <cellStyle name="Percent 2 5 2 5" xfId="28408" xr:uid="{00000000-0005-0000-0000-00009B750000}"/>
    <cellStyle name="Percent 2 5 2 6" xfId="33395" xr:uid="{00000000-0005-0000-0000-00009C750000}"/>
    <cellStyle name="Percent 2 5 3" xfId="10092" xr:uid="{00000000-0005-0000-0000-00009D750000}"/>
    <cellStyle name="Percent 2 5 3 2" xfId="11235" xr:uid="{00000000-0005-0000-0000-00009E750000}"/>
    <cellStyle name="Percent 2 5 3 2 2" xfId="29610" xr:uid="{00000000-0005-0000-0000-00009F750000}"/>
    <cellStyle name="Percent 2 5 3 2 3" xfId="34052" xr:uid="{00000000-0005-0000-0000-0000A0750000}"/>
    <cellStyle name="Percent 2 5 3 3" xfId="13248" xr:uid="{00000000-0005-0000-0000-0000A1750000}"/>
    <cellStyle name="Percent 2 5 3 4" xfId="10663" xr:uid="{00000000-0005-0000-0000-0000A2750000}"/>
    <cellStyle name="Percent 2 5 3 5" xfId="28925" xr:uid="{00000000-0005-0000-0000-0000A3750000}"/>
    <cellStyle name="Percent 2 5 3 6" xfId="33396" xr:uid="{00000000-0005-0000-0000-0000A4750000}"/>
    <cellStyle name="Percent 2 5 4" xfId="10329" xr:uid="{00000000-0005-0000-0000-0000A5750000}"/>
    <cellStyle name="Percent 2 5 4 2" xfId="13249" xr:uid="{00000000-0005-0000-0000-0000A6750000}"/>
    <cellStyle name="Percent 2 5 4 3" xfId="10919" xr:uid="{00000000-0005-0000-0000-0000A7750000}"/>
    <cellStyle name="Percent 2 5 4 4" xfId="28547" xr:uid="{00000000-0005-0000-0000-0000A8750000}"/>
    <cellStyle name="Percent 2 5 4 5" xfId="33606" xr:uid="{00000000-0005-0000-0000-0000A9750000}"/>
    <cellStyle name="Percent 2 5 5" xfId="11233" xr:uid="{00000000-0005-0000-0000-0000AA750000}"/>
    <cellStyle name="Percent 2 5 5 2" xfId="13250" xr:uid="{00000000-0005-0000-0000-0000AB750000}"/>
    <cellStyle name="Percent 2 5 5 3" xfId="29608" xr:uid="{00000000-0005-0000-0000-0000AC750000}"/>
    <cellStyle name="Percent 2 5 5 4" xfId="34050" xr:uid="{00000000-0005-0000-0000-0000AD750000}"/>
    <cellStyle name="Percent 2 5 6" xfId="13251" xr:uid="{00000000-0005-0000-0000-0000AE750000}"/>
    <cellStyle name="Percent 2 5 7" xfId="13252" xr:uid="{00000000-0005-0000-0000-0000AF750000}"/>
    <cellStyle name="Percent 2 5 8" xfId="13253" xr:uid="{00000000-0005-0000-0000-0000B0750000}"/>
    <cellStyle name="Percent 2 5 9" xfId="13246" xr:uid="{00000000-0005-0000-0000-0000B1750000}"/>
    <cellStyle name="Percent 2 6" xfId="10093" xr:uid="{00000000-0005-0000-0000-0000B2750000}"/>
    <cellStyle name="Percent 2 6 10" xfId="10664" xr:uid="{00000000-0005-0000-0000-0000B3750000}"/>
    <cellStyle name="Percent 2 6 10 2" xfId="40297" xr:uid="{00000000-0005-0000-0000-00007E100000}"/>
    <cellStyle name="Percent 2 6 11" xfId="28549" xr:uid="{00000000-0005-0000-0000-0000B4750000}"/>
    <cellStyle name="Percent 2 6 11 2" xfId="40298" xr:uid="{00000000-0005-0000-0000-00007F100000}"/>
    <cellStyle name="Percent 2 6 12" xfId="33397" xr:uid="{00000000-0005-0000-0000-0000B5750000}"/>
    <cellStyle name="Percent 2 6 12 2" xfId="40299" xr:uid="{00000000-0005-0000-0000-000080100000}"/>
    <cellStyle name="Percent 2 6 13" xfId="40300" xr:uid="{00000000-0005-0000-0000-000081100000}"/>
    <cellStyle name="Percent 2 6 14" xfId="40301" xr:uid="{00000000-0005-0000-0000-000082100000}"/>
    <cellStyle name="Percent 2 6 15" xfId="40302" xr:uid="{00000000-0005-0000-0000-000083100000}"/>
    <cellStyle name="Percent 2 6 2" xfId="10330" xr:uid="{00000000-0005-0000-0000-0000B6750000}"/>
    <cellStyle name="Percent 2 6 2 2" xfId="13255" xr:uid="{00000000-0005-0000-0000-0000B7750000}"/>
    <cellStyle name="Percent 2 6 2 3" xfId="10920" xr:uid="{00000000-0005-0000-0000-0000B8750000}"/>
    <cellStyle name="Percent 2 6 2 4" xfId="28926" xr:uid="{00000000-0005-0000-0000-0000B9750000}"/>
    <cellStyle name="Percent 2 6 2 5" xfId="33607" xr:uid="{00000000-0005-0000-0000-0000BA750000}"/>
    <cellStyle name="Percent 2 6 3" xfId="11236" xr:uid="{00000000-0005-0000-0000-0000BB750000}"/>
    <cellStyle name="Percent 2 6 3 2" xfId="13256" xr:uid="{00000000-0005-0000-0000-0000BC750000}"/>
    <cellStyle name="Percent 2 6 3 3" xfId="29611" xr:uid="{00000000-0005-0000-0000-0000BD750000}"/>
    <cellStyle name="Percent 2 6 3 4" xfId="29264" xr:uid="{00000000-0005-0000-0000-0000BE750000}"/>
    <cellStyle name="Percent 2 6 3 5" xfId="34053" xr:uid="{00000000-0005-0000-0000-0000BF750000}"/>
    <cellStyle name="Percent 2 6 4" xfId="13257" xr:uid="{00000000-0005-0000-0000-0000C0750000}"/>
    <cellStyle name="Percent 2 6 5" xfId="13258" xr:uid="{00000000-0005-0000-0000-0000C1750000}"/>
    <cellStyle name="Percent 2 6 6" xfId="13259" xr:uid="{00000000-0005-0000-0000-0000C2750000}"/>
    <cellStyle name="Percent 2 6 7" xfId="13260" xr:uid="{00000000-0005-0000-0000-0000C3750000}"/>
    <cellStyle name="Percent 2 6 8" xfId="13261" xr:uid="{00000000-0005-0000-0000-0000C4750000}"/>
    <cellStyle name="Percent 2 6 9" xfId="13254" xr:uid="{00000000-0005-0000-0000-0000C5750000}"/>
    <cellStyle name="Percent 2 7" xfId="10323" xr:uid="{00000000-0005-0000-0000-0000C6750000}"/>
    <cellStyle name="Percent 2 7 10" xfId="10665" xr:uid="{00000000-0005-0000-0000-0000C7750000}"/>
    <cellStyle name="Percent 2 7 2" xfId="13263" xr:uid="{00000000-0005-0000-0000-0000C8750000}"/>
    <cellStyle name="Percent 2 7 3" xfId="13264" xr:uid="{00000000-0005-0000-0000-0000C9750000}"/>
    <cellStyle name="Percent 2 7 4" xfId="13265" xr:uid="{00000000-0005-0000-0000-0000CA750000}"/>
    <cellStyle name="Percent 2 7 5" xfId="13266" xr:uid="{00000000-0005-0000-0000-0000CB750000}"/>
    <cellStyle name="Percent 2 7 6" xfId="13267" xr:uid="{00000000-0005-0000-0000-0000CC750000}"/>
    <cellStyle name="Percent 2 7 7" xfId="13268" xr:uid="{00000000-0005-0000-0000-0000CD750000}"/>
    <cellStyle name="Percent 2 7 8" xfId="13269" xr:uid="{00000000-0005-0000-0000-0000CE750000}"/>
    <cellStyle name="Percent 2 7 9" xfId="13262" xr:uid="{00000000-0005-0000-0000-0000CF750000}"/>
    <cellStyle name="Percent 2 8" xfId="11213" xr:uid="{00000000-0005-0000-0000-0000D0750000}"/>
    <cellStyle name="Percent 2 8 10" xfId="28538" xr:uid="{00000000-0005-0000-0000-0000D1750000}"/>
    <cellStyle name="Percent 2 8 11" xfId="34030" xr:uid="{00000000-0005-0000-0000-0000D2750000}"/>
    <cellStyle name="Percent 2 8 2" xfId="13271" xr:uid="{00000000-0005-0000-0000-0000D3750000}"/>
    <cellStyle name="Percent 2 8 3" xfId="13272" xr:uid="{00000000-0005-0000-0000-0000D4750000}"/>
    <cellStyle name="Percent 2 8 4" xfId="13273" xr:uid="{00000000-0005-0000-0000-0000D5750000}"/>
    <cellStyle name="Percent 2 8 5" xfId="13274" xr:uid="{00000000-0005-0000-0000-0000D6750000}"/>
    <cellStyle name="Percent 2 8 6" xfId="13275" xr:uid="{00000000-0005-0000-0000-0000D7750000}"/>
    <cellStyle name="Percent 2 8 7" xfId="13276" xr:uid="{00000000-0005-0000-0000-0000D8750000}"/>
    <cellStyle name="Percent 2 8 8" xfId="13277" xr:uid="{00000000-0005-0000-0000-0000D9750000}"/>
    <cellStyle name="Percent 2 8 9" xfId="13270" xr:uid="{00000000-0005-0000-0000-0000DA750000}"/>
    <cellStyle name="Percent 2 9" xfId="11647" xr:uid="{00000000-0005-0000-0000-0000DB750000}"/>
    <cellStyle name="Percent 2 9 2" xfId="13278" xr:uid="{00000000-0005-0000-0000-0000DC750000}"/>
    <cellStyle name="Percent 2 9 3" xfId="13279" xr:uid="{00000000-0005-0000-0000-0000DD750000}"/>
    <cellStyle name="Percent 2 9 4" xfId="13280" xr:uid="{00000000-0005-0000-0000-0000DE750000}"/>
    <cellStyle name="Percent 2 9 5" xfId="13281" xr:uid="{00000000-0005-0000-0000-0000DF750000}"/>
    <cellStyle name="Percent 2 9 6" xfId="13282" xr:uid="{00000000-0005-0000-0000-0000E0750000}"/>
    <cellStyle name="Percent 2 9 7" xfId="13283" xr:uid="{00000000-0005-0000-0000-0000E1750000}"/>
    <cellStyle name="Percent 2 9 8" xfId="13284" xr:uid="{00000000-0005-0000-0000-0000E2750000}"/>
    <cellStyle name="Percent 20" xfId="8925" xr:uid="{00000000-0005-0000-0000-0000E3750000}"/>
    <cellStyle name="Percent 20 2" xfId="40304" xr:uid="{00000000-0005-0000-0000-0000A5100000}"/>
    <cellStyle name="Percent 20 2 2" xfId="40305" xr:uid="{00000000-0005-0000-0000-0000A6100000}"/>
    <cellStyle name="Percent 20 3" xfId="40306" xr:uid="{00000000-0005-0000-0000-0000A7100000}"/>
    <cellStyle name="Percent 20 4" xfId="40307" xr:uid="{00000000-0005-0000-0000-0000A8100000}"/>
    <cellStyle name="Percent 20 5" xfId="40308" xr:uid="{00000000-0005-0000-0000-0000A9100000}"/>
    <cellStyle name="Percent 20 6" xfId="40309" xr:uid="{00000000-0005-0000-0000-0000AA100000}"/>
    <cellStyle name="Percent 20 7" xfId="40310" xr:uid="{00000000-0005-0000-0000-0000AB100000}"/>
    <cellStyle name="Percent 20 7 2" xfId="40311" xr:uid="{00000000-0005-0000-0000-0000AC100000}"/>
    <cellStyle name="Percent 20 7 3" xfId="40312" xr:uid="{00000000-0005-0000-0000-0000AD100000}"/>
    <cellStyle name="Percent 20 8" xfId="40313" xr:uid="{00000000-0005-0000-0000-0000AE100000}"/>
    <cellStyle name="Percent 20 9" xfId="40303" xr:uid="{00000000-0005-0000-0000-0000A4100000}"/>
    <cellStyle name="Percent 21" xfId="31146" xr:uid="{00000000-0005-0000-0000-0000E4750000}"/>
    <cellStyle name="Percent 21 2" xfId="40315" xr:uid="{00000000-0005-0000-0000-0000B0100000}"/>
    <cellStyle name="Percent 21 3" xfId="40316" xr:uid="{00000000-0005-0000-0000-0000B1100000}"/>
    <cellStyle name="Percent 21 4" xfId="40317" xr:uid="{00000000-0005-0000-0000-0000B2100000}"/>
    <cellStyle name="Percent 21 5" xfId="40318" xr:uid="{00000000-0005-0000-0000-0000B3100000}"/>
    <cellStyle name="Percent 21 6" xfId="40319" xr:uid="{00000000-0005-0000-0000-0000B4100000}"/>
    <cellStyle name="Percent 21 7" xfId="40320" xr:uid="{00000000-0005-0000-0000-0000B5100000}"/>
    <cellStyle name="Percent 21 7 2" xfId="40321" xr:uid="{00000000-0005-0000-0000-0000B6100000}"/>
    <cellStyle name="Percent 21 7 3" xfId="40322" xr:uid="{00000000-0005-0000-0000-0000B7100000}"/>
    <cellStyle name="Percent 21 8" xfId="40314" xr:uid="{00000000-0005-0000-0000-0000AF100000}"/>
    <cellStyle name="Percent 22" xfId="40323" xr:uid="{00000000-0005-0000-0000-0000B8100000}"/>
    <cellStyle name="Percent 22 2" xfId="40324" xr:uid="{00000000-0005-0000-0000-0000B9100000}"/>
    <cellStyle name="Percent 22 3" xfId="40325" xr:uid="{00000000-0005-0000-0000-0000BA100000}"/>
    <cellStyle name="Percent 22 4" xfId="40326" xr:uid="{00000000-0005-0000-0000-0000BB100000}"/>
    <cellStyle name="Percent 22 5" xfId="40327" xr:uid="{00000000-0005-0000-0000-0000BC100000}"/>
    <cellStyle name="Percent 22 6" xfId="40328" xr:uid="{00000000-0005-0000-0000-0000BD100000}"/>
    <cellStyle name="Percent 22 7" xfId="40329" xr:uid="{00000000-0005-0000-0000-0000BE100000}"/>
    <cellStyle name="Percent 22 7 2" xfId="40330" xr:uid="{00000000-0005-0000-0000-0000BF100000}"/>
    <cellStyle name="Percent 22 7 3" xfId="40331" xr:uid="{00000000-0005-0000-0000-0000C0100000}"/>
    <cellStyle name="Percent 23" xfId="40332" xr:uid="{00000000-0005-0000-0000-0000C1100000}"/>
    <cellStyle name="Percent 23 2" xfId="40333" xr:uid="{00000000-0005-0000-0000-0000C2100000}"/>
    <cellStyle name="Percent 23 3" xfId="40334" xr:uid="{00000000-0005-0000-0000-0000C3100000}"/>
    <cellStyle name="Percent 23 4" xfId="40335" xr:uid="{00000000-0005-0000-0000-0000C4100000}"/>
    <cellStyle name="Percent 23 5" xfId="40336" xr:uid="{00000000-0005-0000-0000-0000C5100000}"/>
    <cellStyle name="Percent 23 6" xfId="40337" xr:uid="{00000000-0005-0000-0000-0000C6100000}"/>
    <cellStyle name="Percent 23 7" xfId="40338" xr:uid="{00000000-0005-0000-0000-0000C7100000}"/>
    <cellStyle name="Percent 23 7 2" xfId="40339" xr:uid="{00000000-0005-0000-0000-0000C8100000}"/>
    <cellStyle name="Percent 23 7 3" xfId="40340" xr:uid="{00000000-0005-0000-0000-0000C9100000}"/>
    <cellStyle name="Percent 24 2" xfId="40341" xr:uid="{00000000-0005-0000-0000-0000CA100000}"/>
    <cellStyle name="Percent 24 3" xfId="40342" xr:uid="{00000000-0005-0000-0000-0000CB100000}"/>
    <cellStyle name="Percent 24 4" xfId="40343" xr:uid="{00000000-0005-0000-0000-0000CC100000}"/>
    <cellStyle name="Percent 24 5" xfId="40344" xr:uid="{00000000-0005-0000-0000-0000CD100000}"/>
    <cellStyle name="Percent 24 6" xfId="40345" xr:uid="{00000000-0005-0000-0000-0000CE100000}"/>
    <cellStyle name="Percent 24 7" xfId="40346" xr:uid="{00000000-0005-0000-0000-0000CF100000}"/>
    <cellStyle name="Percent 24 7 2" xfId="40347" xr:uid="{00000000-0005-0000-0000-0000D0100000}"/>
    <cellStyle name="Percent 24 7 3" xfId="40348" xr:uid="{00000000-0005-0000-0000-0000D1100000}"/>
    <cellStyle name="Percent 25" xfId="40349" xr:uid="{00000000-0005-0000-0000-0000D2100000}"/>
    <cellStyle name="Percent 25 2" xfId="40350" xr:uid="{00000000-0005-0000-0000-0000D3100000}"/>
    <cellStyle name="Percent 25 3" xfId="40351" xr:uid="{00000000-0005-0000-0000-0000D4100000}"/>
    <cellStyle name="Percent 25 4" xfId="40352" xr:uid="{00000000-0005-0000-0000-0000D5100000}"/>
    <cellStyle name="Percent 25 5" xfId="40353" xr:uid="{00000000-0005-0000-0000-0000D6100000}"/>
    <cellStyle name="Percent 25 6" xfId="40354" xr:uid="{00000000-0005-0000-0000-0000D7100000}"/>
    <cellStyle name="Percent 25 7" xfId="40355" xr:uid="{00000000-0005-0000-0000-0000D8100000}"/>
    <cellStyle name="Percent 25 7 2" xfId="40356" xr:uid="{00000000-0005-0000-0000-0000D9100000}"/>
    <cellStyle name="Percent 25 7 3" xfId="40357" xr:uid="{00000000-0005-0000-0000-0000DA100000}"/>
    <cellStyle name="Percent 26" xfId="40358" xr:uid="{00000000-0005-0000-0000-0000DB100000}"/>
    <cellStyle name="Percent 26 2" xfId="40359" xr:uid="{00000000-0005-0000-0000-0000DC100000}"/>
    <cellStyle name="Percent 26 3" xfId="40360" xr:uid="{00000000-0005-0000-0000-0000DD100000}"/>
    <cellStyle name="Percent 26 4" xfId="40361" xr:uid="{00000000-0005-0000-0000-0000DE100000}"/>
    <cellStyle name="Percent 26 5" xfId="40362" xr:uid="{00000000-0005-0000-0000-0000DF100000}"/>
    <cellStyle name="Percent 26 6" xfId="40363" xr:uid="{00000000-0005-0000-0000-0000E0100000}"/>
    <cellStyle name="Percent 26 7" xfId="40364" xr:uid="{00000000-0005-0000-0000-0000E1100000}"/>
    <cellStyle name="Percent 26 7 2" xfId="40365" xr:uid="{00000000-0005-0000-0000-0000E2100000}"/>
    <cellStyle name="Percent 26 7 3" xfId="40366" xr:uid="{00000000-0005-0000-0000-0000E3100000}"/>
    <cellStyle name="Percent 27" xfId="40367" xr:uid="{00000000-0005-0000-0000-0000E4100000}"/>
    <cellStyle name="Percent 3" xfId="3101" xr:uid="{00000000-0005-0000-0000-0000E5750000}"/>
    <cellStyle name="Percent 3 10" xfId="11660" xr:uid="{00000000-0005-0000-0000-0000E6750000}"/>
    <cellStyle name="Percent 3 10 10" xfId="40369" xr:uid="{00000000-0005-0000-0000-0000E7100000}"/>
    <cellStyle name="Percent 3 10 11" xfId="40370" xr:uid="{00000000-0005-0000-0000-0000E8100000}"/>
    <cellStyle name="Percent 3 10 12" xfId="40371" xr:uid="{00000000-0005-0000-0000-0000E9100000}"/>
    <cellStyle name="Percent 3 10 13" xfId="40372" xr:uid="{00000000-0005-0000-0000-0000EA100000}"/>
    <cellStyle name="Percent 3 10 14" xfId="40373" xr:uid="{00000000-0005-0000-0000-0000EB100000}"/>
    <cellStyle name="Percent 3 10 15" xfId="40374" xr:uid="{00000000-0005-0000-0000-0000EC100000}"/>
    <cellStyle name="Percent 3 10 16" xfId="40368" xr:uid="{00000000-0005-0000-0000-0000E6100000}"/>
    <cellStyle name="Percent 3 10 2" xfId="29791" xr:uid="{00000000-0005-0000-0000-0000E7750000}"/>
    <cellStyle name="Percent 3 10 2 2" xfId="40375" xr:uid="{00000000-0005-0000-0000-0000ED100000}"/>
    <cellStyle name="Percent 3 10 3" xfId="34439" xr:uid="{00000000-0005-0000-0000-0000E8750000}"/>
    <cellStyle name="Percent 3 10 3 2" xfId="40376" xr:uid="{00000000-0005-0000-0000-0000EE100000}"/>
    <cellStyle name="Percent 3 10 4" xfId="40377" xr:uid="{00000000-0005-0000-0000-0000EF100000}"/>
    <cellStyle name="Percent 3 10 5" xfId="40378" xr:uid="{00000000-0005-0000-0000-0000F0100000}"/>
    <cellStyle name="Percent 3 10 6" xfId="40379" xr:uid="{00000000-0005-0000-0000-0000F1100000}"/>
    <cellStyle name="Percent 3 10 7" xfId="40380" xr:uid="{00000000-0005-0000-0000-0000F2100000}"/>
    <cellStyle name="Percent 3 10 8" xfId="40381" xr:uid="{00000000-0005-0000-0000-0000F3100000}"/>
    <cellStyle name="Percent 3 10 9" xfId="40382" xr:uid="{00000000-0005-0000-0000-0000F4100000}"/>
    <cellStyle name="Percent 3 11" xfId="11781" xr:uid="{00000000-0005-0000-0000-0000E9750000}"/>
    <cellStyle name="Percent 3 11 2" xfId="29910" xr:uid="{00000000-0005-0000-0000-0000EA750000}"/>
    <cellStyle name="Percent 3 11 3" xfId="34559" xr:uid="{00000000-0005-0000-0000-0000EB750000}"/>
    <cellStyle name="Percent 3 11 4" xfId="40383" xr:uid="{00000000-0005-0000-0000-0000F5100000}"/>
    <cellStyle name="Percent 3 12" xfId="11900" xr:uid="{00000000-0005-0000-0000-0000EC750000}"/>
    <cellStyle name="Percent 3 12 2" xfId="30028" xr:uid="{00000000-0005-0000-0000-0000ED750000}"/>
    <cellStyle name="Percent 3 12 3" xfId="34678" xr:uid="{00000000-0005-0000-0000-0000EE750000}"/>
    <cellStyle name="Percent 3 12 4" xfId="40384" xr:uid="{00000000-0005-0000-0000-0000F6100000}"/>
    <cellStyle name="Percent 3 13" xfId="12019" xr:uid="{00000000-0005-0000-0000-0000EF750000}"/>
    <cellStyle name="Percent 3 13 2" xfId="30145" xr:uid="{00000000-0005-0000-0000-0000F0750000}"/>
    <cellStyle name="Percent 3 13 3" xfId="34797" xr:uid="{00000000-0005-0000-0000-0000F1750000}"/>
    <cellStyle name="Percent 3 13 4" xfId="40385" xr:uid="{00000000-0005-0000-0000-0000F7100000}"/>
    <cellStyle name="Percent 3 14" xfId="13529" xr:uid="{00000000-0005-0000-0000-0000F2750000}"/>
    <cellStyle name="Percent 3 14 2" xfId="30641" xr:uid="{00000000-0005-0000-0000-0000F3750000}"/>
    <cellStyle name="Percent 3 14 3" xfId="35303" xr:uid="{00000000-0005-0000-0000-0000F4750000}"/>
    <cellStyle name="Percent 3 14 4" xfId="40386" xr:uid="{00000000-0005-0000-0000-0000F8100000}"/>
    <cellStyle name="Percent 3 15" xfId="13651" xr:uid="{00000000-0005-0000-0000-0000F5750000}"/>
    <cellStyle name="Percent 3 15 2" xfId="30763" xr:uid="{00000000-0005-0000-0000-0000F6750000}"/>
    <cellStyle name="Percent 3 15 3" xfId="35425" xr:uid="{00000000-0005-0000-0000-0000F7750000}"/>
    <cellStyle name="Percent 3 15 4" xfId="40387" xr:uid="{00000000-0005-0000-0000-0000F9100000}"/>
    <cellStyle name="Percent 3 16" xfId="13771" xr:uid="{00000000-0005-0000-0000-0000F8750000}"/>
    <cellStyle name="Percent 3 16 2" xfId="30883" xr:uid="{00000000-0005-0000-0000-0000F9750000}"/>
    <cellStyle name="Percent 3 16 3" xfId="35545" xr:uid="{00000000-0005-0000-0000-0000FA750000}"/>
    <cellStyle name="Percent 3 16 4" xfId="40388" xr:uid="{00000000-0005-0000-0000-0000FA100000}"/>
    <cellStyle name="Percent 3 17" xfId="13891" xr:uid="{00000000-0005-0000-0000-0000FB750000}"/>
    <cellStyle name="Percent 3 17 2" xfId="31003" xr:uid="{00000000-0005-0000-0000-0000FC750000}"/>
    <cellStyle name="Percent 3 17 3" xfId="35665" xr:uid="{00000000-0005-0000-0000-0000FD750000}"/>
    <cellStyle name="Percent 3 17 4" xfId="40389" xr:uid="{00000000-0005-0000-0000-0000FB100000}"/>
    <cellStyle name="Percent 3 18" xfId="14011" xr:uid="{00000000-0005-0000-0000-0000FE750000}"/>
    <cellStyle name="Percent 3 18 2" xfId="31123" xr:uid="{00000000-0005-0000-0000-0000FF750000}"/>
    <cellStyle name="Percent 3 18 3" xfId="35785" xr:uid="{00000000-0005-0000-0000-000000760000}"/>
    <cellStyle name="Percent 3 18 4" xfId="40390" xr:uid="{00000000-0005-0000-0000-0000FC100000}"/>
    <cellStyle name="Percent 3 19" xfId="10921" xr:uid="{00000000-0005-0000-0000-000001760000}"/>
    <cellStyle name="Percent 3 19 2" xfId="40391" xr:uid="{00000000-0005-0000-0000-0000FD100000}"/>
    <cellStyle name="Percent 3 2" xfId="3102" xr:uid="{00000000-0005-0000-0000-000002760000}"/>
    <cellStyle name="Percent 3 2 10" xfId="10666" xr:uid="{00000000-0005-0000-0000-000003760000}"/>
    <cellStyle name="Percent 3 2 10 2" xfId="40392" xr:uid="{00000000-0005-0000-0000-0000FF100000}"/>
    <cellStyle name="Percent 3 2 11" xfId="10095" xr:uid="{00000000-0005-0000-0000-000004760000}"/>
    <cellStyle name="Percent 3 2 11 2" xfId="40393" xr:uid="{00000000-0005-0000-0000-000000110000}"/>
    <cellStyle name="Percent 3 2 12" xfId="27471" xr:uid="{00000000-0005-0000-0000-000005760000}"/>
    <cellStyle name="Percent 3 2 12 2" xfId="40394" xr:uid="{00000000-0005-0000-0000-000001110000}"/>
    <cellStyle name="Percent 3 2 13" xfId="40395" xr:uid="{00000000-0005-0000-0000-000002110000}"/>
    <cellStyle name="Percent 3 2 14" xfId="40396" xr:uid="{00000000-0005-0000-0000-000003110000}"/>
    <cellStyle name="Percent 3 2 15" xfId="40397" xr:uid="{00000000-0005-0000-0000-000004110000}"/>
    <cellStyle name="Percent 3 2 16" xfId="40398" xr:uid="{00000000-0005-0000-0000-000005110000}"/>
    <cellStyle name="Percent 3 2 2" xfId="10096" xr:uid="{00000000-0005-0000-0000-000006760000}"/>
    <cellStyle name="Percent 3 2 2 2" xfId="11239" xr:uid="{00000000-0005-0000-0000-000007760000}"/>
    <cellStyle name="Percent 3 2 2 2 2" xfId="14354" xr:uid="{00000000-0005-0000-0000-000008760000}"/>
    <cellStyle name="Percent 3 2 2 2 2 2" xfId="35906" xr:uid="{00000000-0005-0000-0000-000009760000}"/>
    <cellStyle name="Percent 3 2 2 2 2 3" xfId="29614" xr:uid="{00000000-0005-0000-0000-00000A760000}"/>
    <cellStyle name="Percent 3 2 2 2 3" xfId="28766" xr:uid="{00000000-0005-0000-0000-00000B760000}"/>
    <cellStyle name="Percent 3 2 2 2 4" xfId="34056" xr:uid="{00000000-0005-0000-0000-00000C760000}"/>
    <cellStyle name="Percent 3 2 2 3" xfId="11638" xr:uid="{00000000-0005-0000-0000-00000D760000}"/>
    <cellStyle name="Percent 3 2 2 4" xfId="10922" xr:uid="{00000000-0005-0000-0000-00000E760000}"/>
    <cellStyle name="Percent 3 2 2 5" xfId="14103" xr:uid="{00000000-0005-0000-0000-00000F760000}"/>
    <cellStyle name="Percent 3 2 2 5 2" xfId="35820" xr:uid="{00000000-0005-0000-0000-000010760000}"/>
    <cellStyle name="Percent 3 2 2 5 3" xfId="28552" xr:uid="{00000000-0005-0000-0000-000011760000}"/>
    <cellStyle name="Percent 3 2 2 6" xfId="33398" xr:uid="{00000000-0005-0000-0000-000012760000}"/>
    <cellStyle name="Percent 3 2 3" xfId="10097" xr:uid="{00000000-0005-0000-0000-000013760000}"/>
    <cellStyle name="Percent 3 2 3 2" xfId="11240" xr:uid="{00000000-0005-0000-0000-000014760000}"/>
    <cellStyle name="Percent 3 2 3 2 2" xfId="29615" xr:uid="{00000000-0005-0000-0000-000015760000}"/>
    <cellStyle name="Percent 3 2 3 2 3" xfId="34057" xr:uid="{00000000-0005-0000-0000-000016760000}"/>
    <cellStyle name="Percent 3 2 3 3" xfId="11639" xr:uid="{00000000-0005-0000-0000-000017760000}"/>
    <cellStyle name="Percent 3 2 3 4" xfId="10667" xr:uid="{00000000-0005-0000-0000-000018760000}"/>
    <cellStyle name="Percent 3 2 3 5" xfId="28765" xr:uid="{00000000-0005-0000-0000-000019760000}"/>
    <cellStyle name="Percent 3 2 3 6" xfId="33399" xr:uid="{00000000-0005-0000-0000-00001A760000}"/>
    <cellStyle name="Percent 3 2 4" xfId="10098" xr:uid="{00000000-0005-0000-0000-00001B760000}"/>
    <cellStyle name="Percent 3 2 4 2" xfId="11241" xr:uid="{00000000-0005-0000-0000-00001C760000}"/>
    <cellStyle name="Percent 3 2 4 2 2" xfId="29616" xr:uid="{00000000-0005-0000-0000-00001D760000}"/>
    <cellStyle name="Percent 3 2 4 2 3" xfId="34058" xr:uid="{00000000-0005-0000-0000-00001E760000}"/>
    <cellStyle name="Percent 3 2 4 3" xfId="10923" xr:uid="{00000000-0005-0000-0000-00001F760000}"/>
    <cellStyle name="Percent 3 2 4 4" xfId="29245" xr:uid="{00000000-0005-0000-0000-000020760000}"/>
    <cellStyle name="Percent 3 2 4 5" xfId="33400" xr:uid="{00000000-0005-0000-0000-000021760000}"/>
    <cellStyle name="Percent 3 2 5" xfId="10099" xr:uid="{00000000-0005-0000-0000-000022760000}"/>
    <cellStyle name="Percent 3 2 5 2" xfId="11242" xr:uid="{00000000-0005-0000-0000-000023760000}"/>
    <cellStyle name="Percent 3 2 5 2 2" xfId="29617" xr:uid="{00000000-0005-0000-0000-000024760000}"/>
    <cellStyle name="Percent 3 2 5 2 3" xfId="34059" xr:uid="{00000000-0005-0000-0000-000025760000}"/>
    <cellStyle name="Percent 3 2 5 3" xfId="10668" xr:uid="{00000000-0005-0000-0000-000026760000}"/>
    <cellStyle name="Percent 3 2 5 4" xfId="28551" xr:uid="{00000000-0005-0000-0000-000027760000}"/>
    <cellStyle name="Percent 3 2 5 5" xfId="33401" xr:uid="{00000000-0005-0000-0000-000028760000}"/>
    <cellStyle name="Percent 3 2 5 6" xfId="40399" xr:uid="{00000000-0005-0000-0000-00000A110000}"/>
    <cellStyle name="Percent 3 2 6" xfId="10332" xr:uid="{00000000-0005-0000-0000-000029760000}"/>
    <cellStyle name="Percent 3 2 6 2" xfId="10669" xr:uid="{00000000-0005-0000-0000-00002A760000}"/>
    <cellStyle name="Percent 3 2 6 3" xfId="29276" xr:uid="{00000000-0005-0000-0000-00002B760000}"/>
    <cellStyle name="Percent 3 2 6 4" xfId="40400" xr:uid="{00000000-0005-0000-0000-00000B110000}"/>
    <cellStyle name="Percent 3 2 7" xfId="11238" xr:uid="{00000000-0005-0000-0000-00002C760000}"/>
    <cellStyle name="Percent 3 2 7 2" xfId="29613" xr:uid="{00000000-0005-0000-0000-00002D760000}"/>
    <cellStyle name="Percent 3 2 7 3" xfId="34055" xr:uid="{00000000-0005-0000-0000-00002E760000}"/>
    <cellStyle name="Percent 3 2 7 4" xfId="40401" xr:uid="{00000000-0005-0000-0000-00000C110000}"/>
    <cellStyle name="Percent 3 2 8" xfId="11637" xr:uid="{00000000-0005-0000-0000-00002F760000}"/>
    <cellStyle name="Percent 3 2 9" xfId="14021" xr:uid="{00000000-0005-0000-0000-000030760000}"/>
    <cellStyle name="Percent 3 2 9 2" xfId="40402" xr:uid="{00000000-0005-0000-0000-00000E110000}"/>
    <cellStyle name="Percent 3 20" xfId="10094" xr:uid="{00000000-0005-0000-0000-000031760000}"/>
    <cellStyle name="Percent 3 20 2" xfId="40403" xr:uid="{00000000-0005-0000-0000-00000F110000}"/>
    <cellStyle name="Percent 3 21" xfId="27470" xr:uid="{00000000-0005-0000-0000-000032760000}"/>
    <cellStyle name="Percent 3 21 2" xfId="40404" xr:uid="{00000000-0005-0000-0000-000010110000}"/>
    <cellStyle name="Percent 3 22" xfId="40405" xr:uid="{00000000-0005-0000-0000-000011110000}"/>
    <cellStyle name="Percent 3 23" xfId="40406" xr:uid="{00000000-0005-0000-0000-000012110000}"/>
    <cellStyle name="Percent 3 24" xfId="40407" xr:uid="{00000000-0005-0000-0000-000013110000}"/>
    <cellStyle name="Percent 3 25" xfId="40408" xr:uid="{00000000-0005-0000-0000-000014110000}"/>
    <cellStyle name="Percent 3 26" xfId="40409" xr:uid="{00000000-0005-0000-0000-000015110000}"/>
    <cellStyle name="Percent 3 27" xfId="40410" xr:uid="{00000000-0005-0000-0000-000016110000}"/>
    <cellStyle name="Percent 3 28" xfId="40411" xr:uid="{00000000-0005-0000-0000-000017110000}"/>
    <cellStyle name="Percent 3 3" xfId="10100" xr:uid="{00000000-0005-0000-0000-000033760000}"/>
    <cellStyle name="Percent 3 3 10" xfId="33402" xr:uid="{00000000-0005-0000-0000-000034760000}"/>
    <cellStyle name="Percent 3 3 10 2" xfId="40412" xr:uid="{00000000-0005-0000-0000-000019110000}"/>
    <cellStyle name="Percent 3 3 11" xfId="40413" xr:uid="{00000000-0005-0000-0000-00001A110000}"/>
    <cellStyle name="Percent 3 3 12" xfId="40414" xr:uid="{00000000-0005-0000-0000-00001B110000}"/>
    <cellStyle name="Percent 3 3 13" xfId="40415" xr:uid="{00000000-0005-0000-0000-00001C110000}"/>
    <cellStyle name="Percent 3 3 14" xfId="40416" xr:uid="{00000000-0005-0000-0000-00001D110000}"/>
    <cellStyle name="Percent 3 3 15" xfId="40417" xr:uid="{00000000-0005-0000-0000-00001E110000}"/>
    <cellStyle name="Percent 3 3 2" xfId="10101" xr:uid="{00000000-0005-0000-0000-000035760000}"/>
    <cellStyle name="Percent 3 3 2 2" xfId="11244" xr:uid="{00000000-0005-0000-0000-000036760000}"/>
    <cellStyle name="Percent 3 3 2 2 2" xfId="29619" xr:uid="{00000000-0005-0000-0000-000037760000}"/>
    <cellStyle name="Percent 3 3 2 2 3" xfId="34061" xr:uid="{00000000-0005-0000-0000-000038760000}"/>
    <cellStyle name="Percent 3 3 2 3" xfId="10670" xr:uid="{00000000-0005-0000-0000-000039760000}"/>
    <cellStyle name="Percent 3 3 2 4" xfId="29246" xr:uid="{00000000-0005-0000-0000-00003A760000}"/>
    <cellStyle name="Percent 3 3 2 5" xfId="33403" xr:uid="{00000000-0005-0000-0000-00003B760000}"/>
    <cellStyle name="Percent 3 3 3" xfId="10102" xr:uid="{00000000-0005-0000-0000-00003C760000}"/>
    <cellStyle name="Percent 3 3 3 2" xfId="10103" xr:uid="{00000000-0005-0000-0000-00003D760000}"/>
    <cellStyle name="Percent 3 3 3 2 2" xfId="11246" xr:uid="{00000000-0005-0000-0000-00003E760000}"/>
    <cellStyle name="Percent 3 3 3 2 2 2" xfId="29621" xr:uid="{00000000-0005-0000-0000-00003F760000}"/>
    <cellStyle name="Percent 3 3 3 2 2 3" xfId="34063" xr:uid="{00000000-0005-0000-0000-000040760000}"/>
    <cellStyle name="Percent 3 3 3 2 3" xfId="10924" xr:uid="{00000000-0005-0000-0000-000041760000}"/>
    <cellStyle name="Percent 3 3 3 2 4" xfId="29248" xr:uid="{00000000-0005-0000-0000-000042760000}"/>
    <cellStyle name="Percent 3 3 3 2 5" xfId="33405" xr:uid="{00000000-0005-0000-0000-000043760000}"/>
    <cellStyle name="Percent 3 3 3 3" xfId="10104" xr:uid="{00000000-0005-0000-0000-000044760000}"/>
    <cellStyle name="Percent 3 3 3 3 2" xfId="10105" xr:uid="{00000000-0005-0000-0000-000045760000}"/>
    <cellStyle name="Percent 3 3 3 3 2 2" xfId="11248" xr:uid="{00000000-0005-0000-0000-000046760000}"/>
    <cellStyle name="Percent 3 3 3 3 2 2 2" xfId="29623" xr:uid="{00000000-0005-0000-0000-000047760000}"/>
    <cellStyle name="Percent 3 3 3 3 2 2 3" xfId="34065" xr:uid="{00000000-0005-0000-0000-000048760000}"/>
    <cellStyle name="Percent 3 3 3 3 2 3" xfId="10927" xr:uid="{00000000-0005-0000-0000-000049760000}"/>
    <cellStyle name="Percent 3 3 3 3 2 4" xfId="29250" xr:uid="{00000000-0005-0000-0000-00004A760000}"/>
    <cellStyle name="Percent 3 3 3 3 2 5" xfId="33407" xr:uid="{00000000-0005-0000-0000-00004B760000}"/>
    <cellStyle name="Percent 3 3 3 3 3" xfId="10106" xr:uid="{00000000-0005-0000-0000-00004C760000}"/>
    <cellStyle name="Percent 3 3 3 3 3 2" xfId="11249" xr:uid="{00000000-0005-0000-0000-00004D760000}"/>
    <cellStyle name="Percent 3 3 3 3 3 2 2" xfId="29624" xr:uid="{00000000-0005-0000-0000-00004E760000}"/>
    <cellStyle name="Percent 3 3 3 3 3 2 3" xfId="34066" xr:uid="{00000000-0005-0000-0000-00004F760000}"/>
    <cellStyle name="Percent 3 3 3 3 3 3" xfId="10672" xr:uid="{00000000-0005-0000-0000-000050760000}"/>
    <cellStyle name="Percent 3 3 3 3 3 4" xfId="29251" xr:uid="{00000000-0005-0000-0000-000051760000}"/>
    <cellStyle name="Percent 3 3 3 3 3 5" xfId="33408" xr:uid="{00000000-0005-0000-0000-000052760000}"/>
    <cellStyle name="Percent 3 3 3 3 4" xfId="11247" xr:uid="{00000000-0005-0000-0000-000053760000}"/>
    <cellStyle name="Percent 3 3 3 3 4 2" xfId="29622" xr:uid="{00000000-0005-0000-0000-000054760000}"/>
    <cellStyle name="Percent 3 3 3 3 4 3" xfId="34064" xr:uid="{00000000-0005-0000-0000-000055760000}"/>
    <cellStyle name="Percent 3 3 3 3 5" xfId="10671" xr:uid="{00000000-0005-0000-0000-000056760000}"/>
    <cellStyle name="Percent 3 3 3 3 6" xfId="29249" xr:uid="{00000000-0005-0000-0000-000057760000}"/>
    <cellStyle name="Percent 3 3 3 3 7" xfId="33406" xr:uid="{00000000-0005-0000-0000-000058760000}"/>
    <cellStyle name="Percent 3 3 3 4" xfId="11245" xr:uid="{00000000-0005-0000-0000-000059760000}"/>
    <cellStyle name="Percent 3 3 3 4 2" xfId="29620" xr:uid="{00000000-0005-0000-0000-00005A760000}"/>
    <cellStyle name="Percent 3 3 3 4 3" xfId="34062" xr:uid="{00000000-0005-0000-0000-00005B760000}"/>
    <cellStyle name="Percent 3 3 3 5" xfId="10926" xr:uid="{00000000-0005-0000-0000-00005C760000}"/>
    <cellStyle name="Percent 3 3 3 6" xfId="29247" xr:uid="{00000000-0005-0000-0000-00005D760000}"/>
    <cellStyle name="Percent 3 3 3 7" xfId="33404" xr:uid="{00000000-0005-0000-0000-00005E760000}"/>
    <cellStyle name="Percent 3 3 4" xfId="10107" xr:uid="{00000000-0005-0000-0000-00005F760000}"/>
    <cellStyle name="Percent 3 3 4 2" xfId="11250" xr:uid="{00000000-0005-0000-0000-000060760000}"/>
    <cellStyle name="Percent 3 3 4 2 2" xfId="29625" xr:uid="{00000000-0005-0000-0000-000061760000}"/>
    <cellStyle name="Percent 3 3 4 2 3" xfId="34067" xr:uid="{00000000-0005-0000-0000-000062760000}"/>
    <cellStyle name="Percent 3 3 4 3" xfId="10928" xr:uid="{00000000-0005-0000-0000-000063760000}"/>
    <cellStyle name="Percent 3 3 4 4" xfId="29252" xr:uid="{00000000-0005-0000-0000-000064760000}"/>
    <cellStyle name="Percent 3 3 4 5" xfId="33409" xr:uid="{00000000-0005-0000-0000-000065760000}"/>
    <cellStyle name="Percent 3 3 4 6" xfId="40418" xr:uid="{00000000-0005-0000-0000-000021110000}"/>
    <cellStyle name="Percent 3 3 5" xfId="10108" xr:uid="{00000000-0005-0000-0000-000066760000}"/>
    <cellStyle name="Percent 3 3 5 2" xfId="11251" xr:uid="{00000000-0005-0000-0000-000067760000}"/>
    <cellStyle name="Percent 3 3 5 2 2" xfId="29626" xr:uid="{00000000-0005-0000-0000-000068760000}"/>
    <cellStyle name="Percent 3 3 5 2 3" xfId="34068" xr:uid="{00000000-0005-0000-0000-000069760000}"/>
    <cellStyle name="Percent 3 3 5 3" xfId="10673" xr:uid="{00000000-0005-0000-0000-00006A760000}"/>
    <cellStyle name="Percent 3 3 5 4" xfId="29253" xr:uid="{00000000-0005-0000-0000-00006B760000}"/>
    <cellStyle name="Percent 3 3 5 5" xfId="33410" xr:uid="{00000000-0005-0000-0000-00006C760000}"/>
    <cellStyle name="Percent 3 3 6" xfId="11243" xr:uid="{00000000-0005-0000-0000-00006D760000}"/>
    <cellStyle name="Percent 3 3 6 2" xfId="29618" xr:uid="{00000000-0005-0000-0000-00006E760000}"/>
    <cellStyle name="Percent 3 3 6 3" xfId="34060" xr:uid="{00000000-0005-0000-0000-00006F760000}"/>
    <cellStyle name="Percent 3 3 6 4" xfId="40419" xr:uid="{00000000-0005-0000-0000-000023110000}"/>
    <cellStyle name="Percent 3 3 7" xfId="13285" xr:uid="{00000000-0005-0000-0000-000070760000}"/>
    <cellStyle name="Percent 3 3 8" xfId="10925" xr:uid="{00000000-0005-0000-0000-000071760000}"/>
    <cellStyle name="Percent 3 3 8 2" xfId="40420" xr:uid="{00000000-0005-0000-0000-000025110000}"/>
    <cellStyle name="Percent 3 3 9" xfId="14104" xr:uid="{00000000-0005-0000-0000-000072760000}"/>
    <cellStyle name="Percent 3 3 9 2" xfId="40421" xr:uid="{00000000-0005-0000-0000-000026110000}"/>
    <cellStyle name="Percent 3 4" xfId="10109" xr:uid="{00000000-0005-0000-0000-000073760000}"/>
    <cellStyle name="Percent 3 4 10" xfId="40422" xr:uid="{00000000-0005-0000-0000-000028110000}"/>
    <cellStyle name="Percent 3 4 11" xfId="40423" xr:uid="{00000000-0005-0000-0000-000029110000}"/>
    <cellStyle name="Percent 3 4 12" xfId="40424" xr:uid="{00000000-0005-0000-0000-00002A110000}"/>
    <cellStyle name="Percent 3 4 13" xfId="40425" xr:uid="{00000000-0005-0000-0000-00002B110000}"/>
    <cellStyle name="Percent 3 4 14" xfId="40426" xr:uid="{00000000-0005-0000-0000-00002C110000}"/>
    <cellStyle name="Percent 3 4 15" xfId="40427" xr:uid="{00000000-0005-0000-0000-00002D110000}"/>
    <cellStyle name="Percent 3 4 2" xfId="10110" xr:uid="{00000000-0005-0000-0000-000074760000}"/>
    <cellStyle name="Percent 3 4 2 2" xfId="11253" xr:uid="{00000000-0005-0000-0000-000075760000}"/>
    <cellStyle name="Percent 3 4 2 2 2" xfId="29628" xr:uid="{00000000-0005-0000-0000-000076760000}"/>
    <cellStyle name="Percent 3 4 2 2 3" xfId="34070" xr:uid="{00000000-0005-0000-0000-000077760000}"/>
    <cellStyle name="Percent 3 4 2 3" xfId="10674" xr:uid="{00000000-0005-0000-0000-000078760000}"/>
    <cellStyle name="Percent 3 4 2 4" xfId="14118" xr:uid="{00000000-0005-0000-0000-000079760000}"/>
    <cellStyle name="Percent 3 4 2 5" xfId="33412" xr:uid="{00000000-0005-0000-0000-00007A760000}"/>
    <cellStyle name="Percent 3 4 3" xfId="10111" xr:uid="{00000000-0005-0000-0000-00007B760000}"/>
    <cellStyle name="Percent 3 4 3 2" xfId="11254" xr:uid="{00000000-0005-0000-0000-00007C760000}"/>
    <cellStyle name="Percent 3 4 3 2 2" xfId="29629" xr:uid="{00000000-0005-0000-0000-00007D760000}"/>
    <cellStyle name="Percent 3 4 3 2 3" xfId="34071" xr:uid="{00000000-0005-0000-0000-00007E760000}"/>
    <cellStyle name="Percent 3 4 3 3" xfId="10930" xr:uid="{00000000-0005-0000-0000-00007F760000}"/>
    <cellStyle name="Percent 3 4 3 4" xfId="29254" xr:uid="{00000000-0005-0000-0000-000080760000}"/>
    <cellStyle name="Percent 3 4 3 5" xfId="33413" xr:uid="{00000000-0005-0000-0000-000081760000}"/>
    <cellStyle name="Percent 3 4 4" xfId="11252" xr:uid="{00000000-0005-0000-0000-000082760000}"/>
    <cellStyle name="Percent 3 4 4 2" xfId="29627" xr:uid="{00000000-0005-0000-0000-000083760000}"/>
    <cellStyle name="Percent 3 4 4 3" xfId="34069" xr:uid="{00000000-0005-0000-0000-000084760000}"/>
    <cellStyle name="Percent 3 4 4 4" xfId="40428" xr:uid="{00000000-0005-0000-0000-000030110000}"/>
    <cellStyle name="Percent 3 4 5" xfId="13286" xr:uid="{00000000-0005-0000-0000-000085760000}"/>
    <cellStyle name="Percent 3 4 5 2" xfId="40429" xr:uid="{00000000-0005-0000-0000-000031110000}"/>
    <cellStyle name="Percent 3 4 6" xfId="10929" xr:uid="{00000000-0005-0000-0000-000086760000}"/>
    <cellStyle name="Percent 3 4 7" xfId="33411" xr:uid="{00000000-0005-0000-0000-000087760000}"/>
    <cellStyle name="Percent 3 4 7 2" xfId="40430" xr:uid="{00000000-0005-0000-0000-000033110000}"/>
    <cellStyle name="Percent 3 4 8" xfId="40431" xr:uid="{00000000-0005-0000-0000-000034110000}"/>
    <cellStyle name="Percent 3 4 9" xfId="40432" xr:uid="{00000000-0005-0000-0000-000035110000}"/>
    <cellStyle name="Percent 3 5" xfId="10112" xr:uid="{00000000-0005-0000-0000-000088760000}"/>
    <cellStyle name="Percent 3 5 10" xfId="40434" xr:uid="{00000000-0005-0000-0000-000037110000}"/>
    <cellStyle name="Percent 3 5 11" xfId="40435" xr:uid="{00000000-0005-0000-0000-000038110000}"/>
    <cellStyle name="Percent 3 5 12" xfId="40436" xr:uid="{00000000-0005-0000-0000-000039110000}"/>
    <cellStyle name="Percent 3 5 13" xfId="40437" xr:uid="{00000000-0005-0000-0000-00003A110000}"/>
    <cellStyle name="Percent 3 5 14" xfId="40438" xr:uid="{00000000-0005-0000-0000-00003B110000}"/>
    <cellStyle name="Percent 3 5 15" xfId="40439" xr:uid="{00000000-0005-0000-0000-00003C110000}"/>
    <cellStyle name="Percent 3 5 16" xfId="40433" xr:uid="{00000000-0005-0000-0000-00003D110000}"/>
    <cellStyle name="Percent 3 5 2" xfId="11255" xr:uid="{00000000-0005-0000-0000-000089760000}"/>
    <cellStyle name="Percent 3 5 2 2" xfId="29630" xr:uid="{00000000-0005-0000-0000-00008A760000}"/>
    <cellStyle name="Percent 3 5 2 3" xfId="34072" xr:uid="{00000000-0005-0000-0000-00008B760000}"/>
    <cellStyle name="Percent 3 5 2 4" xfId="40440" xr:uid="{00000000-0005-0000-0000-00003E110000}"/>
    <cellStyle name="Percent 3 5 3" xfId="13287" xr:uid="{00000000-0005-0000-0000-00008C760000}"/>
    <cellStyle name="Percent 3 5 3 2" xfId="40441" xr:uid="{00000000-0005-0000-0000-00003F110000}"/>
    <cellStyle name="Percent 3 5 4" xfId="10675" xr:uid="{00000000-0005-0000-0000-00008D760000}"/>
    <cellStyle name="Percent 3 5 5" xfId="29255" xr:uid="{00000000-0005-0000-0000-00008E760000}"/>
    <cellStyle name="Percent 3 5 5 2" xfId="40442" xr:uid="{00000000-0005-0000-0000-000041110000}"/>
    <cellStyle name="Percent 3 5 6" xfId="33414" xr:uid="{00000000-0005-0000-0000-00008F760000}"/>
    <cellStyle name="Percent 3 5 6 2" xfId="40443" xr:uid="{00000000-0005-0000-0000-000042110000}"/>
    <cellStyle name="Percent 3 5 7" xfId="40444" xr:uid="{00000000-0005-0000-0000-000043110000}"/>
    <cellStyle name="Percent 3 5 8" xfId="40445" xr:uid="{00000000-0005-0000-0000-000044110000}"/>
    <cellStyle name="Percent 3 5 9" xfId="40446" xr:uid="{00000000-0005-0000-0000-000045110000}"/>
    <cellStyle name="Percent 3 6" xfId="10113" xr:uid="{00000000-0005-0000-0000-000090760000}"/>
    <cellStyle name="Percent 3 6 10" xfId="40448" xr:uid="{00000000-0005-0000-0000-000047110000}"/>
    <cellStyle name="Percent 3 6 11" xfId="40449" xr:uid="{00000000-0005-0000-0000-000048110000}"/>
    <cellStyle name="Percent 3 6 12" xfId="40450" xr:uid="{00000000-0005-0000-0000-000049110000}"/>
    <cellStyle name="Percent 3 6 13" xfId="40451" xr:uid="{00000000-0005-0000-0000-00004A110000}"/>
    <cellStyle name="Percent 3 6 14" xfId="40452" xr:uid="{00000000-0005-0000-0000-00004B110000}"/>
    <cellStyle name="Percent 3 6 15" xfId="40453" xr:uid="{00000000-0005-0000-0000-00004C110000}"/>
    <cellStyle name="Percent 3 6 16" xfId="40447" xr:uid="{00000000-0005-0000-0000-00004D110000}"/>
    <cellStyle name="Percent 3 6 2" xfId="11256" xr:uid="{00000000-0005-0000-0000-000091760000}"/>
    <cellStyle name="Percent 3 6 2 2" xfId="29631" xr:uid="{00000000-0005-0000-0000-000092760000}"/>
    <cellStyle name="Percent 3 6 2 3" xfId="34073" xr:uid="{00000000-0005-0000-0000-000093760000}"/>
    <cellStyle name="Percent 3 6 2 4" xfId="40454" xr:uid="{00000000-0005-0000-0000-00004E110000}"/>
    <cellStyle name="Percent 3 6 3" xfId="13288" xr:uid="{00000000-0005-0000-0000-000094760000}"/>
    <cellStyle name="Percent 3 6 3 2" xfId="40455" xr:uid="{00000000-0005-0000-0000-00004F110000}"/>
    <cellStyle name="Percent 3 6 4" xfId="10931" xr:uid="{00000000-0005-0000-0000-000095760000}"/>
    <cellStyle name="Percent 3 6 5" xfId="33415" xr:uid="{00000000-0005-0000-0000-000096760000}"/>
    <cellStyle name="Percent 3 6 5 2" xfId="40456" xr:uid="{00000000-0005-0000-0000-000051110000}"/>
    <cellStyle name="Percent 3 6 6" xfId="40457" xr:uid="{00000000-0005-0000-0000-000052110000}"/>
    <cellStyle name="Percent 3 6 7" xfId="40458" xr:uid="{00000000-0005-0000-0000-000053110000}"/>
    <cellStyle name="Percent 3 6 8" xfId="40459" xr:uid="{00000000-0005-0000-0000-000054110000}"/>
    <cellStyle name="Percent 3 6 9" xfId="40460" xr:uid="{00000000-0005-0000-0000-000055110000}"/>
    <cellStyle name="Percent 3 7" xfId="10114" xr:uid="{00000000-0005-0000-0000-000097760000}"/>
    <cellStyle name="Percent 3 7 10" xfId="40462" xr:uid="{00000000-0005-0000-0000-000057110000}"/>
    <cellStyle name="Percent 3 7 11" xfId="40463" xr:uid="{00000000-0005-0000-0000-000058110000}"/>
    <cellStyle name="Percent 3 7 12" xfId="40464" xr:uid="{00000000-0005-0000-0000-000059110000}"/>
    <cellStyle name="Percent 3 7 13" xfId="40465" xr:uid="{00000000-0005-0000-0000-00005A110000}"/>
    <cellStyle name="Percent 3 7 14" xfId="40466" xr:uid="{00000000-0005-0000-0000-00005B110000}"/>
    <cellStyle name="Percent 3 7 15" xfId="40467" xr:uid="{00000000-0005-0000-0000-00005C110000}"/>
    <cellStyle name="Percent 3 7 16" xfId="40461" xr:uid="{00000000-0005-0000-0000-00005D110000}"/>
    <cellStyle name="Percent 3 7 2" xfId="11257" xr:uid="{00000000-0005-0000-0000-000098760000}"/>
    <cellStyle name="Percent 3 7 2 2" xfId="29632" xr:uid="{00000000-0005-0000-0000-000099760000}"/>
    <cellStyle name="Percent 3 7 2 3" xfId="34074" xr:uid="{00000000-0005-0000-0000-00009A760000}"/>
    <cellStyle name="Percent 3 7 2 4" xfId="40468" xr:uid="{00000000-0005-0000-0000-00005E110000}"/>
    <cellStyle name="Percent 3 7 3" xfId="13289" xr:uid="{00000000-0005-0000-0000-00009B760000}"/>
    <cellStyle name="Percent 3 7 3 2" xfId="40469" xr:uid="{00000000-0005-0000-0000-00005F110000}"/>
    <cellStyle name="Percent 3 7 4" xfId="10676" xr:uid="{00000000-0005-0000-0000-00009C760000}"/>
    <cellStyle name="Percent 3 7 5" xfId="33416" xr:uid="{00000000-0005-0000-0000-00009D760000}"/>
    <cellStyle name="Percent 3 7 5 2" xfId="40470" xr:uid="{00000000-0005-0000-0000-000061110000}"/>
    <cellStyle name="Percent 3 7 6" xfId="40471" xr:uid="{00000000-0005-0000-0000-000062110000}"/>
    <cellStyle name="Percent 3 7 7" xfId="40472" xr:uid="{00000000-0005-0000-0000-000063110000}"/>
    <cellStyle name="Percent 3 7 8" xfId="40473" xr:uid="{00000000-0005-0000-0000-000064110000}"/>
    <cellStyle name="Percent 3 7 9" xfId="40474" xr:uid="{00000000-0005-0000-0000-000065110000}"/>
    <cellStyle name="Percent 3 8" xfId="10331" xr:uid="{00000000-0005-0000-0000-00009E760000}"/>
    <cellStyle name="Percent 3 8 10" xfId="40476" xr:uid="{00000000-0005-0000-0000-000067110000}"/>
    <cellStyle name="Percent 3 8 11" xfId="40477" xr:uid="{00000000-0005-0000-0000-000068110000}"/>
    <cellStyle name="Percent 3 8 12" xfId="40478" xr:uid="{00000000-0005-0000-0000-000069110000}"/>
    <cellStyle name="Percent 3 8 13" xfId="40479" xr:uid="{00000000-0005-0000-0000-00006A110000}"/>
    <cellStyle name="Percent 3 8 14" xfId="40480" xr:uid="{00000000-0005-0000-0000-00006B110000}"/>
    <cellStyle name="Percent 3 8 15" xfId="40481" xr:uid="{00000000-0005-0000-0000-00006C110000}"/>
    <cellStyle name="Percent 3 8 16" xfId="40475" xr:uid="{00000000-0005-0000-0000-00006D110000}"/>
    <cellStyle name="Percent 3 8 2" xfId="13290" xr:uid="{00000000-0005-0000-0000-00009F760000}"/>
    <cellStyle name="Percent 3 8 2 2" xfId="40482" xr:uid="{00000000-0005-0000-0000-00006E110000}"/>
    <cellStyle name="Percent 3 8 3" xfId="10932" xr:uid="{00000000-0005-0000-0000-0000A0760000}"/>
    <cellStyle name="Percent 3 8 4" xfId="28550" xr:uid="{00000000-0005-0000-0000-0000A1760000}"/>
    <cellStyle name="Percent 3 8 4 2" xfId="40483" xr:uid="{00000000-0005-0000-0000-000070110000}"/>
    <cellStyle name="Percent 3 8 5" xfId="40484" xr:uid="{00000000-0005-0000-0000-000071110000}"/>
    <cellStyle name="Percent 3 8 6" xfId="40485" xr:uid="{00000000-0005-0000-0000-000072110000}"/>
    <cellStyle name="Percent 3 8 7" xfId="40486" xr:uid="{00000000-0005-0000-0000-000073110000}"/>
    <cellStyle name="Percent 3 8 8" xfId="40487" xr:uid="{00000000-0005-0000-0000-000074110000}"/>
    <cellStyle name="Percent 3 8 9" xfId="40488" xr:uid="{00000000-0005-0000-0000-000075110000}"/>
    <cellStyle name="Percent 3 9" xfId="11237" xr:uid="{00000000-0005-0000-0000-0000A2760000}"/>
    <cellStyle name="Percent 3 9 10" xfId="40490" xr:uid="{00000000-0005-0000-0000-000077110000}"/>
    <cellStyle name="Percent 3 9 11" xfId="40491" xr:uid="{00000000-0005-0000-0000-000078110000}"/>
    <cellStyle name="Percent 3 9 12" xfId="40492" xr:uid="{00000000-0005-0000-0000-000079110000}"/>
    <cellStyle name="Percent 3 9 13" xfId="40493" xr:uid="{00000000-0005-0000-0000-00007A110000}"/>
    <cellStyle name="Percent 3 9 14" xfId="40494" xr:uid="{00000000-0005-0000-0000-00007B110000}"/>
    <cellStyle name="Percent 3 9 15" xfId="40495" xr:uid="{00000000-0005-0000-0000-00007C110000}"/>
    <cellStyle name="Percent 3 9 16" xfId="40489" xr:uid="{00000000-0005-0000-0000-000076110000}"/>
    <cellStyle name="Percent 3 9 2" xfId="29612" xr:uid="{00000000-0005-0000-0000-0000A3760000}"/>
    <cellStyle name="Percent 3 9 2 2" xfId="40496" xr:uid="{00000000-0005-0000-0000-00007D110000}"/>
    <cellStyle name="Percent 3 9 3" xfId="34054" xr:uid="{00000000-0005-0000-0000-0000A4760000}"/>
    <cellStyle name="Percent 3 9 3 2" xfId="40497" xr:uid="{00000000-0005-0000-0000-00007E110000}"/>
    <cellStyle name="Percent 3 9 4" xfId="40498" xr:uid="{00000000-0005-0000-0000-00007F110000}"/>
    <cellStyle name="Percent 3 9 5" xfId="40499" xr:uid="{00000000-0005-0000-0000-000080110000}"/>
    <cellStyle name="Percent 3 9 6" xfId="40500" xr:uid="{00000000-0005-0000-0000-000081110000}"/>
    <cellStyle name="Percent 3 9 7" xfId="40501" xr:uid="{00000000-0005-0000-0000-000082110000}"/>
    <cellStyle name="Percent 3 9 8" xfId="40502" xr:uid="{00000000-0005-0000-0000-000083110000}"/>
    <cellStyle name="Percent 3 9 9" xfId="40503" xr:uid="{00000000-0005-0000-0000-000084110000}"/>
    <cellStyle name="Percent 31" xfId="40504" xr:uid="{00000000-0005-0000-0000-000085110000}"/>
    <cellStyle name="Percent 4" xfId="3103" xr:uid="{00000000-0005-0000-0000-0000A5760000}"/>
    <cellStyle name="Percent 4 10" xfId="11903" xr:uid="{00000000-0005-0000-0000-0000A6760000}"/>
    <cellStyle name="Percent 4 10 2" xfId="13292" xr:uid="{00000000-0005-0000-0000-0000A7760000}"/>
    <cellStyle name="Percent 4 10 2 2" xfId="40506" xr:uid="{00000000-0005-0000-0000-000088110000}"/>
    <cellStyle name="Percent 4 10 3" xfId="30031" xr:uid="{00000000-0005-0000-0000-0000A8760000}"/>
    <cellStyle name="Percent 4 10 4" xfId="34681" xr:uid="{00000000-0005-0000-0000-0000A9760000}"/>
    <cellStyle name="Percent 4 11" xfId="12022" xr:uid="{00000000-0005-0000-0000-0000AA760000}"/>
    <cellStyle name="Percent 4 11 2" xfId="13293" xr:uid="{00000000-0005-0000-0000-0000AB760000}"/>
    <cellStyle name="Percent 4 11 2 2" xfId="40507" xr:uid="{00000000-0005-0000-0000-00008A110000}"/>
    <cellStyle name="Percent 4 11 3" xfId="30148" xr:uid="{00000000-0005-0000-0000-0000AC760000}"/>
    <cellStyle name="Percent 4 11 4" xfId="34800" xr:uid="{00000000-0005-0000-0000-0000AD760000}"/>
    <cellStyle name="Percent 4 12" xfId="13294" xr:uid="{00000000-0005-0000-0000-0000AE760000}"/>
    <cellStyle name="Percent 4 12 2" xfId="40508" xr:uid="{00000000-0005-0000-0000-00008C110000}"/>
    <cellStyle name="Percent 4 13" xfId="13295" xr:uid="{00000000-0005-0000-0000-0000AF760000}"/>
    <cellStyle name="Percent 4 13 2" xfId="40509" xr:uid="{00000000-0005-0000-0000-00008E110000}"/>
    <cellStyle name="Percent 4 14" xfId="13291" xr:uid="{00000000-0005-0000-0000-0000B0760000}"/>
    <cellStyle name="Percent 4 14 2" xfId="40511" xr:uid="{00000000-0005-0000-0000-000090110000}"/>
    <cellStyle name="Percent 4 14 3" xfId="40510" xr:uid="{00000000-0005-0000-0000-00008F110000}"/>
    <cellStyle name="Percent 4 15" xfId="13532" xr:uid="{00000000-0005-0000-0000-0000B1760000}"/>
    <cellStyle name="Percent 4 15 2" xfId="30644" xr:uid="{00000000-0005-0000-0000-0000B2760000}"/>
    <cellStyle name="Percent 4 15 3" xfId="35306" xr:uid="{00000000-0005-0000-0000-0000B3760000}"/>
    <cellStyle name="Percent 4 15 4" xfId="40512" xr:uid="{00000000-0005-0000-0000-000091110000}"/>
    <cellStyle name="Percent 4 16" xfId="13654" xr:uid="{00000000-0005-0000-0000-0000B4760000}"/>
    <cellStyle name="Percent 4 16 2" xfId="30766" xr:uid="{00000000-0005-0000-0000-0000B5760000}"/>
    <cellStyle name="Percent 4 16 3" xfId="35428" xr:uid="{00000000-0005-0000-0000-0000B6760000}"/>
    <cellStyle name="Percent 4 16 4" xfId="40513" xr:uid="{00000000-0005-0000-0000-000092110000}"/>
    <cellStyle name="Percent 4 17" xfId="13774" xr:uid="{00000000-0005-0000-0000-0000B7760000}"/>
    <cellStyle name="Percent 4 17 2" xfId="30886" xr:uid="{00000000-0005-0000-0000-0000B8760000}"/>
    <cellStyle name="Percent 4 17 3" xfId="35548" xr:uid="{00000000-0005-0000-0000-0000B9760000}"/>
    <cellStyle name="Percent 4 17 4" xfId="40514" xr:uid="{00000000-0005-0000-0000-000093110000}"/>
    <cellStyle name="Percent 4 18" xfId="13894" xr:uid="{00000000-0005-0000-0000-0000BA760000}"/>
    <cellStyle name="Percent 4 18 2" xfId="31006" xr:uid="{00000000-0005-0000-0000-0000BB760000}"/>
    <cellStyle name="Percent 4 18 3" xfId="35668" xr:uid="{00000000-0005-0000-0000-0000BC760000}"/>
    <cellStyle name="Percent 4 18 4" xfId="40515" xr:uid="{00000000-0005-0000-0000-000094110000}"/>
    <cellStyle name="Percent 4 19" xfId="14014" xr:uid="{00000000-0005-0000-0000-0000BD760000}"/>
    <cellStyle name="Percent 4 19 2" xfId="31126" xr:uid="{00000000-0005-0000-0000-0000BE760000}"/>
    <cellStyle name="Percent 4 19 3" xfId="35788" xr:uid="{00000000-0005-0000-0000-0000BF760000}"/>
    <cellStyle name="Percent 4 19 4" xfId="40516" xr:uid="{00000000-0005-0000-0000-000095110000}"/>
    <cellStyle name="Percent 4 2" xfId="10116" xr:uid="{00000000-0005-0000-0000-0000C0760000}"/>
    <cellStyle name="Percent 4 2 10" xfId="10933" xr:uid="{00000000-0005-0000-0000-0000C1760000}"/>
    <cellStyle name="Percent 4 2 11" xfId="28554" xr:uid="{00000000-0005-0000-0000-0000C2760000}"/>
    <cellStyle name="Percent 4 2 12" xfId="33418" xr:uid="{00000000-0005-0000-0000-0000C3760000}"/>
    <cellStyle name="Percent 4 2 2" xfId="10117" xr:uid="{00000000-0005-0000-0000-0000C4760000}"/>
    <cellStyle name="Percent 4 2 2 2" xfId="11260" xr:uid="{00000000-0005-0000-0000-0000C5760000}"/>
    <cellStyle name="Percent 4 2 2 2 2" xfId="29635" xr:uid="{00000000-0005-0000-0000-0000C6760000}"/>
    <cellStyle name="Percent 4 2 2 2 3" xfId="34077" xr:uid="{00000000-0005-0000-0000-0000C7760000}"/>
    <cellStyle name="Percent 4 2 2 2 4" xfId="40518" xr:uid="{00000000-0005-0000-0000-000098110000}"/>
    <cellStyle name="Percent 4 2 2 3" xfId="13297" xr:uid="{00000000-0005-0000-0000-0000C8760000}"/>
    <cellStyle name="Percent 4 2 2 4" xfId="10678" xr:uid="{00000000-0005-0000-0000-0000C9760000}"/>
    <cellStyle name="Percent 4 2 2 5" xfId="33419" xr:uid="{00000000-0005-0000-0000-0000CA760000}"/>
    <cellStyle name="Percent 4 2 3" xfId="10118" xr:uid="{00000000-0005-0000-0000-0000CB760000}"/>
    <cellStyle name="Percent 4 2 3 2" xfId="11261" xr:uid="{00000000-0005-0000-0000-0000CC760000}"/>
    <cellStyle name="Percent 4 2 3 2 2" xfId="29636" xr:uid="{00000000-0005-0000-0000-0000CD760000}"/>
    <cellStyle name="Percent 4 2 3 2 3" xfId="34078" xr:uid="{00000000-0005-0000-0000-0000CE760000}"/>
    <cellStyle name="Percent 4 2 3 2 4" xfId="40519" xr:uid="{00000000-0005-0000-0000-00009A110000}"/>
    <cellStyle name="Percent 4 2 3 3" xfId="13298" xr:uid="{00000000-0005-0000-0000-0000CF760000}"/>
    <cellStyle name="Percent 4 2 3 4" xfId="10934" xr:uid="{00000000-0005-0000-0000-0000D0760000}"/>
    <cellStyle name="Percent 4 2 3 5" xfId="33420" xr:uid="{00000000-0005-0000-0000-0000D1760000}"/>
    <cellStyle name="Percent 4 2 4" xfId="11259" xr:uid="{00000000-0005-0000-0000-0000D2760000}"/>
    <cellStyle name="Percent 4 2 4 2" xfId="13299" xr:uid="{00000000-0005-0000-0000-0000D3760000}"/>
    <cellStyle name="Percent 4 2 4 2 2" xfId="40520" xr:uid="{00000000-0005-0000-0000-00009C110000}"/>
    <cellStyle name="Percent 4 2 4 3" xfId="29634" xr:uid="{00000000-0005-0000-0000-0000D4760000}"/>
    <cellStyle name="Percent 4 2 4 4" xfId="34076" xr:uid="{00000000-0005-0000-0000-0000D5760000}"/>
    <cellStyle name="Percent 4 2 5" xfId="13300" xr:uid="{00000000-0005-0000-0000-0000D6760000}"/>
    <cellStyle name="Percent 4 2 5 2" xfId="40521" xr:uid="{00000000-0005-0000-0000-00009E110000}"/>
    <cellStyle name="Percent 4 2 6" xfId="13301" xr:uid="{00000000-0005-0000-0000-0000D7760000}"/>
    <cellStyle name="Percent 4 2 6 2" xfId="40522" xr:uid="{00000000-0005-0000-0000-0000A0110000}"/>
    <cellStyle name="Percent 4 2 7" xfId="13302" xr:uid="{00000000-0005-0000-0000-0000D8760000}"/>
    <cellStyle name="Percent 4 2 7 2" xfId="40523" xr:uid="{00000000-0005-0000-0000-0000A2110000}"/>
    <cellStyle name="Percent 4 2 8" xfId="13303" xr:uid="{00000000-0005-0000-0000-0000D9760000}"/>
    <cellStyle name="Percent 4 2 8 2" xfId="40524" xr:uid="{00000000-0005-0000-0000-0000A4110000}"/>
    <cellStyle name="Percent 4 2 9" xfId="13296" xr:uid="{00000000-0005-0000-0000-0000DA760000}"/>
    <cellStyle name="Percent 4 2 9 2" xfId="40517" xr:uid="{00000000-0005-0000-0000-0000A5110000}"/>
    <cellStyle name="Percent 4 20" xfId="10677" xr:uid="{00000000-0005-0000-0000-0000DB760000}"/>
    <cellStyle name="Percent 4 21" xfId="10115" xr:uid="{00000000-0005-0000-0000-0000DC760000}"/>
    <cellStyle name="Percent 4 21 2" xfId="33417" xr:uid="{00000000-0005-0000-0000-0000DD760000}"/>
    <cellStyle name="Percent 4 21 3" xfId="28247" xr:uid="{00000000-0005-0000-0000-0000DE760000}"/>
    <cellStyle name="Percent 4 21 4" xfId="40525" xr:uid="{00000000-0005-0000-0000-0000A7110000}"/>
    <cellStyle name="Percent 4 22" xfId="27472" xr:uid="{00000000-0005-0000-0000-0000DF760000}"/>
    <cellStyle name="Percent 4 23" xfId="40526" xr:uid="{00000000-0005-0000-0000-0000A9110000}"/>
    <cellStyle name="Percent 4 24" xfId="40527" xr:uid="{00000000-0005-0000-0000-0000AA110000}"/>
    <cellStyle name="Percent 4 25" xfId="40528" xr:uid="{00000000-0005-0000-0000-0000AB110000}"/>
    <cellStyle name="Percent 4 26" xfId="40529" xr:uid="{00000000-0005-0000-0000-0000AC110000}"/>
    <cellStyle name="Percent 4 27" xfId="40530" xr:uid="{00000000-0005-0000-0000-0000AD110000}"/>
    <cellStyle name="Percent 4 28" xfId="40531" xr:uid="{00000000-0005-0000-0000-0000AE110000}"/>
    <cellStyle name="Percent 4 29" xfId="40532" xr:uid="{00000000-0005-0000-0000-0000AF110000}"/>
    <cellStyle name="Percent 4 29 2" xfId="40533" xr:uid="{00000000-0005-0000-0000-0000B0110000}"/>
    <cellStyle name="Percent 4 3" xfId="10119" xr:uid="{00000000-0005-0000-0000-0000E0760000}"/>
    <cellStyle name="Percent 4 3 10" xfId="10679" xr:uid="{00000000-0005-0000-0000-0000E1760000}"/>
    <cellStyle name="Percent 4 3 11" xfId="33421" xr:uid="{00000000-0005-0000-0000-0000E2760000}"/>
    <cellStyle name="Percent 4 3 2" xfId="11262" xr:uid="{00000000-0005-0000-0000-0000E3760000}"/>
    <cellStyle name="Percent 4 3 2 2" xfId="13305" xr:uid="{00000000-0005-0000-0000-0000E4760000}"/>
    <cellStyle name="Percent 4 3 2 2 2" xfId="40535" xr:uid="{00000000-0005-0000-0000-0000B3110000}"/>
    <cellStyle name="Percent 4 3 2 3" xfId="29637" xr:uid="{00000000-0005-0000-0000-0000E5760000}"/>
    <cellStyle name="Percent 4 3 2 4" xfId="34079" xr:uid="{00000000-0005-0000-0000-0000E6760000}"/>
    <cellStyle name="Percent 4 3 3" xfId="13306" xr:uid="{00000000-0005-0000-0000-0000E7760000}"/>
    <cellStyle name="Percent 4 3 3 2" xfId="40536" xr:uid="{00000000-0005-0000-0000-0000B5110000}"/>
    <cellStyle name="Percent 4 3 4" xfId="13307" xr:uid="{00000000-0005-0000-0000-0000E8760000}"/>
    <cellStyle name="Percent 4 3 4 2" xfId="40537" xr:uid="{00000000-0005-0000-0000-0000B7110000}"/>
    <cellStyle name="Percent 4 3 5" xfId="13308" xr:uid="{00000000-0005-0000-0000-0000E9760000}"/>
    <cellStyle name="Percent 4 3 5 2" xfId="40538" xr:uid="{00000000-0005-0000-0000-0000B9110000}"/>
    <cellStyle name="Percent 4 3 6" xfId="13309" xr:uid="{00000000-0005-0000-0000-0000EA760000}"/>
    <cellStyle name="Percent 4 3 6 2" xfId="40539" xr:uid="{00000000-0005-0000-0000-0000BB110000}"/>
    <cellStyle name="Percent 4 3 7" xfId="13310" xr:uid="{00000000-0005-0000-0000-0000EB760000}"/>
    <cellStyle name="Percent 4 3 7 2" xfId="40540" xr:uid="{00000000-0005-0000-0000-0000BD110000}"/>
    <cellStyle name="Percent 4 3 8" xfId="13311" xr:uid="{00000000-0005-0000-0000-0000EC760000}"/>
    <cellStyle name="Percent 4 3 8 2" xfId="40541" xr:uid="{00000000-0005-0000-0000-0000BF110000}"/>
    <cellStyle name="Percent 4 3 9" xfId="13304" xr:uid="{00000000-0005-0000-0000-0000ED760000}"/>
    <cellStyle name="Percent 4 3 9 2" xfId="40534" xr:uid="{00000000-0005-0000-0000-0000C0110000}"/>
    <cellStyle name="Percent 4 30" xfId="40542" xr:uid="{00000000-0005-0000-0000-0000C1110000}"/>
    <cellStyle name="Percent 4 31" xfId="40505" xr:uid="{00000000-0005-0000-0000-0000C2110000}"/>
    <cellStyle name="Percent 4 4" xfId="10120" xr:uid="{00000000-0005-0000-0000-0000EE760000}"/>
    <cellStyle name="Percent 4 4 10" xfId="10935" xr:uid="{00000000-0005-0000-0000-0000EF760000}"/>
    <cellStyle name="Percent 4 4 11" xfId="29256" xr:uid="{00000000-0005-0000-0000-0000F0760000}"/>
    <cellStyle name="Percent 4 4 12" xfId="33422" xr:uid="{00000000-0005-0000-0000-0000F1760000}"/>
    <cellStyle name="Percent 4 4 2" xfId="11263" xr:uid="{00000000-0005-0000-0000-0000F2760000}"/>
    <cellStyle name="Percent 4 4 2 2" xfId="13313" xr:uid="{00000000-0005-0000-0000-0000F3760000}"/>
    <cellStyle name="Percent 4 4 2 2 2" xfId="40544" xr:uid="{00000000-0005-0000-0000-0000C5110000}"/>
    <cellStyle name="Percent 4 4 2 3" xfId="29638" xr:uid="{00000000-0005-0000-0000-0000F4760000}"/>
    <cellStyle name="Percent 4 4 2 4" xfId="34080" xr:uid="{00000000-0005-0000-0000-0000F5760000}"/>
    <cellStyle name="Percent 4 4 3" xfId="13314" xr:uid="{00000000-0005-0000-0000-0000F6760000}"/>
    <cellStyle name="Percent 4 4 3 2" xfId="40545" xr:uid="{00000000-0005-0000-0000-0000C7110000}"/>
    <cellStyle name="Percent 4 4 4" xfId="13315" xr:uid="{00000000-0005-0000-0000-0000F7760000}"/>
    <cellStyle name="Percent 4 4 4 2" xfId="40546" xr:uid="{00000000-0005-0000-0000-0000C9110000}"/>
    <cellStyle name="Percent 4 4 5" xfId="13316" xr:uid="{00000000-0005-0000-0000-0000F8760000}"/>
    <cellStyle name="Percent 4 4 5 2" xfId="40547" xr:uid="{00000000-0005-0000-0000-0000CB110000}"/>
    <cellStyle name="Percent 4 4 6" xfId="13317" xr:uid="{00000000-0005-0000-0000-0000F9760000}"/>
    <cellStyle name="Percent 4 4 6 2" xfId="40548" xr:uid="{00000000-0005-0000-0000-0000CD110000}"/>
    <cellStyle name="Percent 4 4 7" xfId="13318" xr:uid="{00000000-0005-0000-0000-0000FA760000}"/>
    <cellStyle name="Percent 4 4 7 2" xfId="40549" xr:uid="{00000000-0005-0000-0000-0000CF110000}"/>
    <cellStyle name="Percent 4 4 8" xfId="13319" xr:uid="{00000000-0005-0000-0000-0000FB760000}"/>
    <cellStyle name="Percent 4 4 8 2" xfId="40550" xr:uid="{00000000-0005-0000-0000-0000D1110000}"/>
    <cellStyle name="Percent 4 4 9" xfId="13312" xr:uid="{00000000-0005-0000-0000-0000FC760000}"/>
    <cellStyle name="Percent 4 4 9 2" xfId="40543" xr:uid="{00000000-0005-0000-0000-0000D2110000}"/>
    <cellStyle name="Percent 4 5" xfId="10121" xr:uid="{00000000-0005-0000-0000-0000FD760000}"/>
    <cellStyle name="Percent 4 5 10" xfId="10680" xr:uid="{00000000-0005-0000-0000-0000FE760000}"/>
    <cellStyle name="Percent 4 5 11" xfId="29257" xr:uid="{00000000-0005-0000-0000-0000FF760000}"/>
    <cellStyle name="Percent 4 5 12" xfId="33423" xr:uid="{00000000-0005-0000-0000-000000770000}"/>
    <cellStyle name="Percent 4 5 2" xfId="11264" xr:uid="{00000000-0005-0000-0000-000001770000}"/>
    <cellStyle name="Percent 4 5 2 2" xfId="13321" xr:uid="{00000000-0005-0000-0000-000002770000}"/>
    <cellStyle name="Percent 4 5 2 2 2" xfId="40552" xr:uid="{00000000-0005-0000-0000-0000D5110000}"/>
    <cellStyle name="Percent 4 5 2 3" xfId="29639" xr:uid="{00000000-0005-0000-0000-000003770000}"/>
    <cellStyle name="Percent 4 5 2 4" xfId="34081" xr:uid="{00000000-0005-0000-0000-000004770000}"/>
    <cellStyle name="Percent 4 5 3" xfId="13322" xr:uid="{00000000-0005-0000-0000-000005770000}"/>
    <cellStyle name="Percent 4 5 3 2" xfId="40553" xr:uid="{00000000-0005-0000-0000-0000D7110000}"/>
    <cellStyle name="Percent 4 5 4" xfId="13323" xr:uid="{00000000-0005-0000-0000-000006770000}"/>
    <cellStyle name="Percent 4 5 4 2" xfId="40554" xr:uid="{00000000-0005-0000-0000-0000D9110000}"/>
    <cellStyle name="Percent 4 5 5" xfId="13324" xr:uid="{00000000-0005-0000-0000-000007770000}"/>
    <cellStyle name="Percent 4 5 5 2" xfId="40555" xr:uid="{00000000-0005-0000-0000-0000DB110000}"/>
    <cellStyle name="Percent 4 5 6" xfId="13325" xr:uid="{00000000-0005-0000-0000-000008770000}"/>
    <cellStyle name="Percent 4 5 6 2" xfId="40556" xr:uid="{00000000-0005-0000-0000-0000DD110000}"/>
    <cellStyle name="Percent 4 5 7" xfId="13326" xr:uid="{00000000-0005-0000-0000-000009770000}"/>
    <cellStyle name="Percent 4 5 7 2" xfId="40557" xr:uid="{00000000-0005-0000-0000-0000DF110000}"/>
    <cellStyle name="Percent 4 5 8" xfId="13327" xr:uid="{00000000-0005-0000-0000-00000A770000}"/>
    <cellStyle name="Percent 4 5 8 2" xfId="40558" xr:uid="{00000000-0005-0000-0000-0000E1110000}"/>
    <cellStyle name="Percent 4 5 9" xfId="13320" xr:uid="{00000000-0005-0000-0000-00000B770000}"/>
    <cellStyle name="Percent 4 5 9 2" xfId="40551" xr:uid="{00000000-0005-0000-0000-0000E2110000}"/>
    <cellStyle name="Percent 4 6" xfId="10333" xr:uid="{00000000-0005-0000-0000-00000C770000}"/>
    <cellStyle name="Percent 4 6 10" xfId="10936" xr:uid="{00000000-0005-0000-0000-00000D770000}"/>
    <cellStyle name="Percent 4 6 11" xfId="28553" xr:uid="{00000000-0005-0000-0000-00000E770000}"/>
    <cellStyle name="Percent 4 6 2" xfId="13329" xr:uid="{00000000-0005-0000-0000-00000F770000}"/>
    <cellStyle name="Percent 4 6 2 2" xfId="40560" xr:uid="{00000000-0005-0000-0000-0000E5110000}"/>
    <cellStyle name="Percent 4 6 3" xfId="13330" xr:uid="{00000000-0005-0000-0000-000010770000}"/>
    <cellStyle name="Percent 4 6 3 2" xfId="40561" xr:uid="{00000000-0005-0000-0000-0000E7110000}"/>
    <cellStyle name="Percent 4 6 4" xfId="13331" xr:uid="{00000000-0005-0000-0000-000011770000}"/>
    <cellStyle name="Percent 4 6 4 2" xfId="40562" xr:uid="{00000000-0005-0000-0000-0000E9110000}"/>
    <cellStyle name="Percent 4 6 5" xfId="13332" xr:uid="{00000000-0005-0000-0000-000012770000}"/>
    <cellStyle name="Percent 4 6 5 2" xfId="40563" xr:uid="{00000000-0005-0000-0000-0000EB110000}"/>
    <cellStyle name="Percent 4 6 6" xfId="13333" xr:uid="{00000000-0005-0000-0000-000013770000}"/>
    <cellStyle name="Percent 4 6 6 2" xfId="40564" xr:uid="{00000000-0005-0000-0000-0000ED110000}"/>
    <cellStyle name="Percent 4 6 7" xfId="13334" xr:uid="{00000000-0005-0000-0000-000014770000}"/>
    <cellStyle name="Percent 4 6 7 2" xfId="40565" xr:uid="{00000000-0005-0000-0000-0000EF110000}"/>
    <cellStyle name="Percent 4 6 8" xfId="13335" xr:uid="{00000000-0005-0000-0000-000015770000}"/>
    <cellStyle name="Percent 4 6 8 2" xfId="40566" xr:uid="{00000000-0005-0000-0000-0000F1110000}"/>
    <cellStyle name="Percent 4 6 9" xfId="13328" xr:uid="{00000000-0005-0000-0000-000016770000}"/>
    <cellStyle name="Percent 4 6 9 2" xfId="40559" xr:uid="{00000000-0005-0000-0000-0000F2110000}"/>
    <cellStyle name="Percent 4 7" xfId="11258" xr:uid="{00000000-0005-0000-0000-000017770000}"/>
    <cellStyle name="Percent 4 7 2" xfId="13336" xr:uid="{00000000-0005-0000-0000-000018770000}"/>
    <cellStyle name="Percent 4 7 2 2" xfId="40567" xr:uid="{00000000-0005-0000-0000-0000F4110000}"/>
    <cellStyle name="Percent 4 7 3" xfId="29633" xr:uid="{00000000-0005-0000-0000-000019770000}"/>
    <cellStyle name="Percent 4 7 4" xfId="34075" xr:uid="{00000000-0005-0000-0000-00001A770000}"/>
    <cellStyle name="Percent 4 8" xfId="11663" xr:uid="{00000000-0005-0000-0000-00001B770000}"/>
    <cellStyle name="Percent 4 8 2" xfId="13337" xr:uid="{00000000-0005-0000-0000-00001C770000}"/>
    <cellStyle name="Percent 4 8 2 2" xfId="40568" xr:uid="{00000000-0005-0000-0000-0000F6110000}"/>
    <cellStyle name="Percent 4 8 3" xfId="29794" xr:uid="{00000000-0005-0000-0000-00001D770000}"/>
    <cellStyle name="Percent 4 8 4" xfId="34442" xr:uid="{00000000-0005-0000-0000-00001E770000}"/>
    <cellStyle name="Percent 4 9" xfId="11784" xr:uid="{00000000-0005-0000-0000-00001F770000}"/>
    <cellStyle name="Percent 4 9 2" xfId="13338" xr:uid="{00000000-0005-0000-0000-000020770000}"/>
    <cellStyle name="Percent 4 9 2 2" xfId="40569" xr:uid="{00000000-0005-0000-0000-0000F8110000}"/>
    <cellStyle name="Percent 4 9 3" xfId="29913" xr:uid="{00000000-0005-0000-0000-000021770000}"/>
    <cellStyle name="Percent 4 9 4" xfId="34562" xr:uid="{00000000-0005-0000-0000-000022770000}"/>
    <cellStyle name="Percent 5" xfId="3319" xr:uid="{00000000-0005-0000-0000-000023770000}"/>
    <cellStyle name="Percent 5 10" xfId="10681" xr:uid="{00000000-0005-0000-0000-000024770000}"/>
    <cellStyle name="Percent 5 11" xfId="10122" xr:uid="{00000000-0005-0000-0000-000025770000}"/>
    <cellStyle name="Percent 5 11 2" xfId="33424" xr:uid="{00000000-0005-0000-0000-000026770000}"/>
    <cellStyle name="Percent 5 11 3" xfId="28248" xr:uid="{00000000-0005-0000-0000-000027770000}"/>
    <cellStyle name="Percent 5 11 4" xfId="40570" xr:uid="{00000000-0005-0000-0000-0000FB110000}"/>
    <cellStyle name="Percent 5 12" xfId="31389" xr:uid="{00000000-0005-0000-0000-000028770000}"/>
    <cellStyle name="Percent 5 13" xfId="27473" xr:uid="{00000000-0005-0000-0000-000029770000}"/>
    <cellStyle name="Percent 5 2" xfId="10123" xr:uid="{00000000-0005-0000-0000-00002A770000}"/>
    <cellStyle name="Percent 5 2 2" xfId="11266" xr:uid="{00000000-0005-0000-0000-00002B770000}"/>
    <cellStyle name="Percent 5 2 2 2" xfId="29641" xr:uid="{00000000-0005-0000-0000-00002C770000}"/>
    <cellStyle name="Percent 5 2 2 3" xfId="29258" xr:uid="{00000000-0005-0000-0000-00002D770000}"/>
    <cellStyle name="Percent 5 2 2 4" xfId="34083" xr:uid="{00000000-0005-0000-0000-00002E770000}"/>
    <cellStyle name="Percent 5 2 2 5" xfId="40571" xr:uid="{00000000-0005-0000-0000-0000FD110000}"/>
    <cellStyle name="Percent 5 2 3" xfId="13340" xr:uid="{00000000-0005-0000-0000-00002F770000}"/>
    <cellStyle name="Percent 5 2 3 2" xfId="30524" xr:uid="{00000000-0005-0000-0000-000030770000}"/>
    <cellStyle name="Percent 5 2 3 3" xfId="28556" xr:uid="{00000000-0005-0000-0000-000031770000}"/>
    <cellStyle name="Percent 5 2 4" xfId="10937" xr:uid="{00000000-0005-0000-0000-000032770000}"/>
    <cellStyle name="Percent 5 2 5" xfId="28411" xr:uid="{00000000-0005-0000-0000-000033770000}"/>
    <cellStyle name="Percent 5 2 6" xfId="33425" xr:uid="{00000000-0005-0000-0000-000034770000}"/>
    <cellStyle name="Percent 5 3" xfId="10124" xr:uid="{00000000-0005-0000-0000-000035770000}"/>
    <cellStyle name="Percent 5 3 2" xfId="11267" xr:uid="{00000000-0005-0000-0000-000036770000}"/>
    <cellStyle name="Percent 5 3 2 2" xfId="29642" xr:uid="{00000000-0005-0000-0000-000037770000}"/>
    <cellStyle name="Percent 5 3 2 3" xfId="34084" xr:uid="{00000000-0005-0000-0000-000038770000}"/>
    <cellStyle name="Percent 5 3 2 4" xfId="40573" xr:uid="{00000000-0005-0000-0000-0000FF110000}"/>
    <cellStyle name="Percent 5 3 3" xfId="13341" xr:uid="{00000000-0005-0000-0000-000039770000}"/>
    <cellStyle name="Percent 5 3 3 2" xfId="40572" xr:uid="{00000000-0005-0000-0000-000000120000}"/>
    <cellStyle name="Percent 5 3 4" xfId="10905" xr:uid="{00000000-0005-0000-0000-00003A770000}"/>
    <cellStyle name="Percent 5 3 5" xfId="14115" xr:uid="{00000000-0005-0000-0000-00003B770000}"/>
    <cellStyle name="Percent 5 3 6" xfId="33426" xr:uid="{00000000-0005-0000-0000-00003C770000}"/>
    <cellStyle name="Percent 5 4" xfId="10334" xr:uid="{00000000-0005-0000-0000-00003D770000}"/>
    <cellStyle name="Percent 5 4 2" xfId="13342" xr:uid="{00000000-0005-0000-0000-00003E770000}"/>
    <cellStyle name="Percent 5 4 2 2" xfId="40574" xr:uid="{00000000-0005-0000-0000-000002120000}"/>
    <cellStyle name="Percent 5 4 3" xfId="10682" xr:uid="{00000000-0005-0000-0000-00003F770000}"/>
    <cellStyle name="Percent 5 4 4" xfId="28555" xr:uid="{00000000-0005-0000-0000-000040770000}"/>
    <cellStyle name="Percent 5 5" xfId="11265" xr:uid="{00000000-0005-0000-0000-000041770000}"/>
    <cellStyle name="Percent 5 5 2" xfId="13343" xr:uid="{00000000-0005-0000-0000-000042770000}"/>
    <cellStyle name="Percent 5 5 2 2" xfId="40575" xr:uid="{00000000-0005-0000-0000-000004120000}"/>
    <cellStyle name="Percent 5 5 3" xfId="29640" xr:uid="{00000000-0005-0000-0000-000043770000}"/>
    <cellStyle name="Percent 5 5 4" xfId="34082" xr:uid="{00000000-0005-0000-0000-000044770000}"/>
    <cellStyle name="Percent 5 6" xfId="13344" xr:uid="{00000000-0005-0000-0000-000045770000}"/>
    <cellStyle name="Percent 5 6 2" xfId="40576" xr:uid="{00000000-0005-0000-0000-000006120000}"/>
    <cellStyle name="Percent 5 7" xfId="13345" xr:uid="{00000000-0005-0000-0000-000046770000}"/>
    <cellStyle name="Percent 5 7 2" xfId="40577" xr:uid="{00000000-0005-0000-0000-000008120000}"/>
    <cellStyle name="Percent 5 8" xfId="13346" xr:uid="{00000000-0005-0000-0000-000047770000}"/>
    <cellStyle name="Percent 5 8 2" xfId="40578" xr:uid="{00000000-0005-0000-0000-00000A120000}"/>
    <cellStyle name="Percent 5 9" xfId="13339" xr:uid="{00000000-0005-0000-0000-000048770000}"/>
    <cellStyle name="Percent 5 9 2" xfId="40579" xr:uid="{00000000-0005-0000-0000-00000B120000}"/>
    <cellStyle name="Percent 6" xfId="3329" xr:uid="{00000000-0005-0000-0000-000049770000}"/>
    <cellStyle name="Percent 6 10" xfId="14387" xr:uid="{00000000-0005-0000-0000-00004A770000}"/>
    <cellStyle name="Percent 6 10 2" xfId="35927" xr:uid="{00000000-0005-0000-0000-00004B770000}"/>
    <cellStyle name="Percent 6 10 3" xfId="29375" xr:uid="{00000000-0005-0000-0000-00004C770000}"/>
    <cellStyle name="Percent 6 11" xfId="10683" xr:uid="{00000000-0005-0000-0000-00004D770000}"/>
    <cellStyle name="Percent 6 12" xfId="27474" xr:uid="{00000000-0005-0000-0000-00004E770000}"/>
    <cellStyle name="Percent 6 2" xfId="13348" xr:uid="{00000000-0005-0000-0000-00004F770000}"/>
    <cellStyle name="Percent 6 2 2" xfId="40580" xr:uid="{00000000-0005-0000-0000-000010120000}"/>
    <cellStyle name="Percent 6 3" xfId="13349" xr:uid="{00000000-0005-0000-0000-000050770000}"/>
    <cellStyle name="Percent 6 3 2" xfId="40581" xr:uid="{00000000-0005-0000-0000-000012120000}"/>
    <cellStyle name="Percent 6 4" xfId="13350" xr:uid="{00000000-0005-0000-0000-000051770000}"/>
    <cellStyle name="Percent 6 4 2" xfId="40582" xr:uid="{00000000-0005-0000-0000-000014120000}"/>
    <cellStyle name="Percent 6 5" xfId="13351" xr:uid="{00000000-0005-0000-0000-000052770000}"/>
    <cellStyle name="Percent 6 5 2" xfId="40583" xr:uid="{00000000-0005-0000-0000-000016120000}"/>
    <cellStyle name="Percent 6 6" xfId="13352" xr:uid="{00000000-0005-0000-0000-000053770000}"/>
    <cellStyle name="Percent 6 6 2" xfId="40584" xr:uid="{00000000-0005-0000-0000-000018120000}"/>
    <cellStyle name="Percent 6 7" xfId="13353" xr:uid="{00000000-0005-0000-0000-000054770000}"/>
    <cellStyle name="Percent 6 7 2" xfId="40585" xr:uid="{00000000-0005-0000-0000-00001A120000}"/>
    <cellStyle name="Percent 6 8" xfId="13354" xr:uid="{00000000-0005-0000-0000-000055770000}"/>
    <cellStyle name="Percent 6 8 2" xfId="40586" xr:uid="{00000000-0005-0000-0000-00001C120000}"/>
    <cellStyle name="Percent 6 9" xfId="13347" xr:uid="{00000000-0005-0000-0000-000056770000}"/>
    <cellStyle name="Percent 6 9 2" xfId="40587" xr:uid="{00000000-0005-0000-0000-00001D120000}"/>
    <cellStyle name="Percent 7" xfId="10684" xr:uid="{00000000-0005-0000-0000-000057770000}"/>
    <cellStyle name="Percent 7 10" xfId="29376" xr:uid="{00000000-0005-0000-0000-000058770000}"/>
    <cellStyle name="Percent 7 11" xfId="28372" xr:uid="{00000000-0005-0000-0000-000059770000}"/>
    <cellStyle name="Percent 7 2" xfId="13356" xr:uid="{00000000-0005-0000-0000-00005A770000}"/>
    <cellStyle name="Percent 7 2 2" xfId="40588" xr:uid="{00000000-0005-0000-0000-000021120000}"/>
    <cellStyle name="Percent 7 3" xfId="13357" xr:uid="{00000000-0005-0000-0000-00005B770000}"/>
    <cellStyle name="Percent 7 3 2" xfId="40589" xr:uid="{00000000-0005-0000-0000-000023120000}"/>
    <cellStyle name="Percent 7 4" xfId="13358" xr:uid="{00000000-0005-0000-0000-00005C770000}"/>
    <cellStyle name="Percent 7 4 2" xfId="40590" xr:uid="{00000000-0005-0000-0000-000025120000}"/>
    <cellStyle name="Percent 7 5" xfId="13359" xr:uid="{00000000-0005-0000-0000-00005D770000}"/>
    <cellStyle name="Percent 7 5 2" xfId="40591" xr:uid="{00000000-0005-0000-0000-000027120000}"/>
    <cellStyle name="Percent 7 6" xfId="13360" xr:uid="{00000000-0005-0000-0000-00005E770000}"/>
    <cellStyle name="Percent 7 6 2" xfId="40592" xr:uid="{00000000-0005-0000-0000-000029120000}"/>
    <cellStyle name="Percent 7 7" xfId="13361" xr:uid="{00000000-0005-0000-0000-00005F770000}"/>
    <cellStyle name="Percent 7 7 2" xfId="40593" xr:uid="{00000000-0005-0000-0000-00002B120000}"/>
    <cellStyle name="Percent 7 8" xfId="13362" xr:uid="{00000000-0005-0000-0000-000060770000}"/>
    <cellStyle name="Percent 7 8 2" xfId="40594" xr:uid="{00000000-0005-0000-0000-00002D120000}"/>
    <cellStyle name="Percent 7 9" xfId="13355" xr:uid="{00000000-0005-0000-0000-000061770000}"/>
    <cellStyle name="Percent 7 9 2" xfId="40595" xr:uid="{00000000-0005-0000-0000-00002E120000}"/>
    <cellStyle name="Percent 8" xfId="11454" xr:uid="{00000000-0005-0000-0000-000062770000}"/>
    <cellStyle name="Percent 8 10" xfId="29650" xr:uid="{00000000-0005-0000-0000-000063770000}"/>
    <cellStyle name="Percent 8 11" xfId="34271" xr:uid="{00000000-0005-0000-0000-000064770000}"/>
    <cellStyle name="Percent 8 2" xfId="13364" xr:uid="{00000000-0005-0000-0000-000065770000}"/>
    <cellStyle name="Percent 8 2 2" xfId="40597" xr:uid="{00000000-0005-0000-0000-000031120000}"/>
    <cellStyle name="Percent 8 3" xfId="13365" xr:uid="{00000000-0005-0000-0000-000066770000}"/>
    <cellStyle name="Percent 8 3 2" xfId="40598" xr:uid="{00000000-0005-0000-0000-000033120000}"/>
    <cellStyle name="Percent 8 4" xfId="13366" xr:uid="{00000000-0005-0000-0000-000067770000}"/>
    <cellStyle name="Percent 8 4 2" xfId="40599" xr:uid="{00000000-0005-0000-0000-000035120000}"/>
    <cellStyle name="Percent 8 5" xfId="13367" xr:uid="{00000000-0005-0000-0000-000068770000}"/>
    <cellStyle name="Percent 8 5 2" xfId="40600" xr:uid="{00000000-0005-0000-0000-000037120000}"/>
    <cellStyle name="Percent 8 6" xfId="13368" xr:uid="{00000000-0005-0000-0000-000069770000}"/>
    <cellStyle name="Percent 8 6 2" xfId="40601" xr:uid="{00000000-0005-0000-0000-000039120000}"/>
    <cellStyle name="Percent 8 7" xfId="13369" xr:uid="{00000000-0005-0000-0000-00006A770000}"/>
    <cellStyle name="Percent 8 7 2" xfId="40602" xr:uid="{00000000-0005-0000-0000-00003B120000}"/>
    <cellStyle name="Percent 8 8" xfId="13370" xr:uid="{00000000-0005-0000-0000-00006B770000}"/>
    <cellStyle name="Percent 8 8 2" xfId="40603" xr:uid="{00000000-0005-0000-0000-00003D120000}"/>
    <cellStyle name="Percent 8 9" xfId="13363" xr:uid="{00000000-0005-0000-0000-00006C770000}"/>
    <cellStyle name="Percent 8 9 2" xfId="40596" xr:uid="{00000000-0005-0000-0000-00003E120000}"/>
    <cellStyle name="Percent 9" xfId="11636" xr:uid="{00000000-0005-0000-0000-00006D770000}"/>
    <cellStyle name="Percent 9 10" xfId="40605" xr:uid="{00000000-0005-0000-0000-000040120000}"/>
    <cellStyle name="Percent 9 11" xfId="40606" xr:uid="{00000000-0005-0000-0000-000041120000}"/>
    <cellStyle name="Percent 9 12" xfId="40607" xr:uid="{00000000-0005-0000-0000-000042120000}"/>
    <cellStyle name="Percent 9 13" xfId="40608" xr:uid="{00000000-0005-0000-0000-000043120000}"/>
    <cellStyle name="Percent 9 14" xfId="40609" xr:uid="{00000000-0005-0000-0000-000044120000}"/>
    <cellStyle name="Percent 9 15" xfId="40610" xr:uid="{00000000-0005-0000-0000-000045120000}"/>
    <cellStyle name="Percent 9 16" xfId="40611" xr:uid="{00000000-0005-0000-0000-000046120000}"/>
    <cellStyle name="Percent 9 17" xfId="40612" xr:uid="{00000000-0005-0000-0000-000047120000}"/>
    <cellStyle name="Percent 9 18" xfId="40613" xr:uid="{00000000-0005-0000-0000-000048120000}"/>
    <cellStyle name="Percent 9 19" xfId="40614" xr:uid="{00000000-0005-0000-0000-000049120000}"/>
    <cellStyle name="Percent 9 2" xfId="13371" xr:uid="{00000000-0005-0000-0000-00006E770000}"/>
    <cellStyle name="Percent 9 2 2" xfId="40616" xr:uid="{00000000-0005-0000-0000-00004B120000}"/>
    <cellStyle name="Percent 9 2 3" xfId="40615" xr:uid="{00000000-0005-0000-0000-00004C120000}"/>
    <cellStyle name="Percent 9 20" xfId="40617" xr:uid="{00000000-0005-0000-0000-00004D120000}"/>
    <cellStyle name="Percent 9 21" xfId="40604" xr:uid="{00000000-0005-0000-0000-00004E120000}"/>
    <cellStyle name="Percent 9 3" xfId="13372" xr:uid="{00000000-0005-0000-0000-00006F770000}"/>
    <cellStyle name="Percent 9 3 2" xfId="40619" xr:uid="{00000000-0005-0000-0000-000050120000}"/>
    <cellStyle name="Percent 9 3 3" xfId="40618" xr:uid="{00000000-0005-0000-0000-000051120000}"/>
    <cellStyle name="Percent 9 4" xfId="13373" xr:uid="{00000000-0005-0000-0000-000070770000}"/>
    <cellStyle name="Percent 9 4 2" xfId="40621" xr:uid="{00000000-0005-0000-0000-000053120000}"/>
    <cellStyle name="Percent 9 4 3" xfId="40620" xr:uid="{00000000-0005-0000-0000-000054120000}"/>
    <cellStyle name="Percent 9 5" xfId="13374" xr:uid="{00000000-0005-0000-0000-000071770000}"/>
    <cellStyle name="Percent 9 5 2" xfId="40623" xr:uid="{00000000-0005-0000-0000-000056120000}"/>
    <cellStyle name="Percent 9 5 3" xfId="40622" xr:uid="{00000000-0005-0000-0000-000057120000}"/>
    <cellStyle name="Percent 9 6" xfId="13375" xr:uid="{00000000-0005-0000-0000-000072770000}"/>
    <cellStyle name="Percent 9 6 2" xfId="40625" xr:uid="{00000000-0005-0000-0000-000059120000}"/>
    <cellStyle name="Percent 9 6 3" xfId="40624" xr:uid="{00000000-0005-0000-0000-00005A120000}"/>
    <cellStyle name="Percent 9 7" xfId="13376" xr:uid="{00000000-0005-0000-0000-000073770000}"/>
    <cellStyle name="Percent 9 7 2" xfId="40627" xr:uid="{00000000-0005-0000-0000-00005C120000}"/>
    <cellStyle name="Percent 9 7 3" xfId="40628" xr:uid="{00000000-0005-0000-0000-00005D120000}"/>
    <cellStyle name="Percent 9 7 4" xfId="40629" xr:uid="{00000000-0005-0000-0000-00005E120000}"/>
    <cellStyle name="Percent 9 7 5" xfId="40626" xr:uid="{00000000-0005-0000-0000-00005F120000}"/>
    <cellStyle name="Percent 9 8" xfId="13377" xr:uid="{00000000-0005-0000-0000-000074770000}"/>
    <cellStyle name="Percent 9 8 2" xfId="40631" xr:uid="{00000000-0005-0000-0000-000061120000}"/>
    <cellStyle name="Percent 9 8 3" xfId="40630" xr:uid="{00000000-0005-0000-0000-000062120000}"/>
    <cellStyle name="Percent 9 9" xfId="40632" xr:uid="{00000000-0005-0000-0000-000063120000}"/>
    <cellStyle name="Percentagem 2 2" xfId="40633" xr:uid="{00000000-0005-0000-0000-000064120000}"/>
    <cellStyle name="Percentagem 2 3" xfId="40634" xr:uid="{00000000-0005-0000-0000-000065120000}"/>
    <cellStyle name="Percentuale 2" xfId="10125" xr:uid="{00000000-0005-0000-0000-000075770000}"/>
    <cellStyle name="Percentuale 2 2" xfId="10335" xr:uid="{00000000-0005-0000-0000-000076770000}"/>
    <cellStyle name="Percentuale 2 2 2" xfId="10686" xr:uid="{00000000-0005-0000-0000-000077770000}"/>
    <cellStyle name="Percentuale 2 2 3" xfId="28558" xr:uid="{00000000-0005-0000-0000-000078770000}"/>
    <cellStyle name="Percentuale 2 2 4" xfId="33608" xr:uid="{00000000-0005-0000-0000-000079770000}"/>
    <cellStyle name="Percentuale 2 3" xfId="11268" xr:uid="{00000000-0005-0000-0000-00007A770000}"/>
    <cellStyle name="Percentuale 2 3 2" xfId="29643" xr:uid="{00000000-0005-0000-0000-00007B770000}"/>
    <cellStyle name="Percentuale 2 3 3" xfId="28767" xr:uid="{00000000-0005-0000-0000-00007C770000}"/>
    <cellStyle name="Percentuale 2 3 4" xfId="34085" xr:uid="{00000000-0005-0000-0000-00007D770000}"/>
    <cellStyle name="Percentuale 2 4" xfId="13378" xr:uid="{00000000-0005-0000-0000-00007E770000}"/>
    <cellStyle name="Percentuale 2 5" xfId="10685" xr:uid="{00000000-0005-0000-0000-00007F770000}"/>
    <cellStyle name="Percentuale 2 6" xfId="28557" xr:uid="{00000000-0005-0000-0000-000080770000}"/>
    <cellStyle name="Percentuale 2 7" xfId="33427" xr:uid="{00000000-0005-0000-0000-000081770000}"/>
    <cellStyle name="Percentuale 3" xfId="13379" xr:uid="{00000000-0005-0000-0000-000082770000}"/>
    <cellStyle name="Pilkku_Layo9704" xfId="3104" xr:uid="{00000000-0005-0000-0000-000083770000}"/>
    <cellStyle name="Publication_style" xfId="14355" xr:uid="{00000000-0005-0000-0000-000084770000}"/>
    <cellStyle name="Pyör. luku_Layo9704" xfId="3105" xr:uid="{00000000-0005-0000-0000-000085770000}"/>
    <cellStyle name="Pyör. valuutta_Layo9704" xfId="3106" xr:uid="{00000000-0005-0000-0000-000086770000}"/>
    <cellStyle name="Refdb standard" xfId="14356" xr:uid="{00000000-0005-0000-0000-000087770000}"/>
    <cellStyle name="Refdb standard 2" xfId="14357" xr:uid="{00000000-0005-0000-0000-000088770000}"/>
    <cellStyle name="Rossz" xfId="104" xr:uid="{00000000-0005-0000-0000-000089770000}"/>
    <cellStyle name="Satisfaisant" xfId="36" xr:uid="{00000000-0005-0000-0000-00008A770000}"/>
    <cellStyle name="Schlecht" xfId="14105" xr:uid="{00000000-0005-0000-0000-00008B770000}"/>
    <cellStyle name="Schlecht 2" xfId="40635" xr:uid="{00000000-0005-0000-0000-00006B120000}"/>
    <cellStyle name="Semleges" xfId="105" xr:uid="{00000000-0005-0000-0000-00008C770000}"/>
    <cellStyle name="Shade" xfId="11522" xr:uid="{00000000-0005-0000-0000-00008D770000}"/>
    <cellStyle name="Shade 2" xfId="10529" xr:uid="{00000000-0005-0000-0000-00008E770000}"/>
    <cellStyle name="Shade 2 2" xfId="15403" xr:uid="{00000000-0005-0000-0000-00008F770000}"/>
    <cellStyle name="Shade 2 2 2" xfId="36787" xr:uid="{00000000-0005-0000-0000-000090770000}"/>
    <cellStyle name="Shade 2 3" xfId="15987" xr:uid="{00000000-0005-0000-0000-000091770000}"/>
    <cellStyle name="Shade 3" xfId="14358" xr:uid="{00000000-0005-0000-0000-000092770000}"/>
    <cellStyle name="Shade 3 2" xfId="16352" xr:uid="{00000000-0005-0000-0000-000093770000}"/>
    <cellStyle name="Shade 3 2 2" xfId="37654" xr:uid="{00000000-0005-0000-0000-000094770000}"/>
    <cellStyle name="Shade 3 3" xfId="16500" xr:uid="{00000000-0005-0000-0000-000095770000}"/>
    <cellStyle name="Shade 4" xfId="14649" xr:uid="{00000000-0005-0000-0000-000096770000}"/>
    <cellStyle name="Shade 4 2" xfId="36134" xr:uid="{00000000-0005-0000-0000-000097770000}"/>
    <cellStyle name="Shade 5" xfId="15755" xr:uid="{00000000-0005-0000-0000-000098770000}"/>
    <cellStyle name="Shade 5 2" xfId="37117" xr:uid="{00000000-0005-0000-0000-000099770000}"/>
    <cellStyle name="Shade 6" xfId="34318" xr:uid="{00000000-0005-0000-0000-00009A770000}"/>
    <cellStyle name="Shade 7" xfId="40636" xr:uid="{00000000-0005-0000-0000-00006C120000}"/>
    <cellStyle name="Sheet Title" xfId="3687" xr:uid="{00000000-0005-0000-0000-00009B770000}"/>
    <cellStyle name="Sortie" xfId="37" xr:uid="{00000000-0005-0000-0000-00009C770000}"/>
    <cellStyle name="Sortie 10" xfId="3755" xr:uid="{00000000-0005-0000-0000-00009D770000}"/>
    <cellStyle name="Sortie 10 2" xfId="22225" xr:uid="{00000000-0005-0000-0000-00009E770000}"/>
    <cellStyle name="Sortie 10 3" xfId="17439" xr:uid="{00000000-0005-0000-0000-00009F770000}"/>
    <cellStyle name="Sortie 11" xfId="17082" xr:uid="{00000000-0005-0000-0000-0000A0770000}"/>
    <cellStyle name="Sortie 12" xfId="16631" xr:uid="{00000000-0005-0000-0000-0000A1770000}"/>
    <cellStyle name="Sortie 2" xfId="51" xr:uid="{00000000-0005-0000-0000-0000A2770000}"/>
    <cellStyle name="Sortie 2 10" xfId="17076" xr:uid="{00000000-0005-0000-0000-0000A3770000}"/>
    <cellStyle name="Sortie 2 11" xfId="16637" xr:uid="{00000000-0005-0000-0000-0000A4770000}"/>
    <cellStyle name="Sortie 2 2" xfId="4428" xr:uid="{00000000-0005-0000-0000-0000A5770000}"/>
    <cellStyle name="Sortie 2 2 2" xfId="22888" xr:uid="{00000000-0005-0000-0000-0000A6770000}"/>
    <cellStyle name="Sortie 2 2 3" xfId="18108" xr:uid="{00000000-0005-0000-0000-0000A7770000}"/>
    <cellStyle name="Sortie 2 3" xfId="5830" xr:uid="{00000000-0005-0000-0000-0000A8770000}"/>
    <cellStyle name="Sortie 2 3 2" xfId="24277" xr:uid="{00000000-0005-0000-0000-0000A9770000}"/>
    <cellStyle name="Sortie 2 3 3" xfId="19386" xr:uid="{00000000-0005-0000-0000-0000AA770000}"/>
    <cellStyle name="Sortie 2 4" xfId="5935" xr:uid="{00000000-0005-0000-0000-0000AB770000}"/>
    <cellStyle name="Sortie 2 4 2" xfId="24377" xr:uid="{00000000-0005-0000-0000-0000AC770000}"/>
    <cellStyle name="Sortie 2 4 3" xfId="19488" xr:uid="{00000000-0005-0000-0000-0000AD770000}"/>
    <cellStyle name="Sortie 2 5" xfId="7032" xr:uid="{00000000-0005-0000-0000-0000AE770000}"/>
    <cellStyle name="Sortie 2 5 2" xfId="25470" xr:uid="{00000000-0005-0000-0000-0000AF770000}"/>
    <cellStyle name="Sortie 2 5 3" xfId="20407" xr:uid="{00000000-0005-0000-0000-0000B0770000}"/>
    <cellStyle name="Sortie 2 6" xfId="6175" xr:uid="{00000000-0005-0000-0000-0000B1770000}"/>
    <cellStyle name="Sortie 2 6 2" xfId="24615" xr:uid="{00000000-0005-0000-0000-0000B2770000}"/>
    <cellStyle name="Sortie 2 6 3" xfId="19724" xr:uid="{00000000-0005-0000-0000-0000B3770000}"/>
    <cellStyle name="Sortie 2 7" xfId="7487" xr:uid="{00000000-0005-0000-0000-0000B4770000}"/>
    <cellStyle name="Sortie 2 7 2" xfId="25918" xr:uid="{00000000-0005-0000-0000-0000B5770000}"/>
    <cellStyle name="Sortie 2 7 3" xfId="20842" xr:uid="{00000000-0005-0000-0000-0000B6770000}"/>
    <cellStyle name="Sortie 2 8" xfId="8210" xr:uid="{00000000-0005-0000-0000-0000B7770000}"/>
    <cellStyle name="Sortie 2 8 2" xfId="26636" xr:uid="{00000000-0005-0000-0000-0000B8770000}"/>
    <cellStyle name="Sortie 2 8 3" xfId="21562" xr:uid="{00000000-0005-0000-0000-0000B9770000}"/>
    <cellStyle name="Sortie 2 9" xfId="3761" xr:uid="{00000000-0005-0000-0000-0000BA770000}"/>
    <cellStyle name="Sortie 2 9 2" xfId="22231" xr:uid="{00000000-0005-0000-0000-0000BB770000}"/>
    <cellStyle name="Sortie 2 9 3" xfId="17444" xr:uid="{00000000-0005-0000-0000-0000BC770000}"/>
    <cellStyle name="Sortie 3" xfId="4421" xr:uid="{00000000-0005-0000-0000-0000BD770000}"/>
    <cellStyle name="Sortie 3 2" xfId="22881" xr:uid="{00000000-0005-0000-0000-0000BE770000}"/>
    <cellStyle name="Sortie 3 3" xfId="18102" xr:uid="{00000000-0005-0000-0000-0000BF770000}"/>
    <cellStyle name="Sortie 4" xfId="5837" xr:uid="{00000000-0005-0000-0000-0000C0770000}"/>
    <cellStyle name="Sortie 4 2" xfId="24284" xr:uid="{00000000-0005-0000-0000-0000C1770000}"/>
    <cellStyle name="Sortie 4 3" xfId="19392" xr:uid="{00000000-0005-0000-0000-0000C2770000}"/>
    <cellStyle name="Sortie 5" xfId="5930" xr:uid="{00000000-0005-0000-0000-0000C3770000}"/>
    <cellStyle name="Sortie 5 2" xfId="24372" xr:uid="{00000000-0005-0000-0000-0000C4770000}"/>
    <cellStyle name="Sortie 5 3" xfId="19483" xr:uid="{00000000-0005-0000-0000-0000C5770000}"/>
    <cellStyle name="Sortie 6" xfId="7043" xr:uid="{00000000-0005-0000-0000-0000C6770000}"/>
    <cellStyle name="Sortie 6 2" xfId="25481" xr:uid="{00000000-0005-0000-0000-0000C7770000}"/>
    <cellStyle name="Sortie 6 3" xfId="20418" xr:uid="{00000000-0005-0000-0000-0000C8770000}"/>
    <cellStyle name="Sortie 7" xfId="6170" xr:uid="{00000000-0005-0000-0000-0000C9770000}"/>
    <cellStyle name="Sortie 7 2" xfId="24610" xr:uid="{00000000-0005-0000-0000-0000CA770000}"/>
    <cellStyle name="Sortie 7 3" xfId="19720" xr:uid="{00000000-0005-0000-0000-0000CB770000}"/>
    <cellStyle name="Sortie 8" xfId="7492" xr:uid="{00000000-0005-0000-0000-0000CC770000}"/>
    <cellStyle name="Sortie 8 2" xfId="25923" xr:uid="{00000000-0005-0000-0000-0000CD770000}"/>
    <cellStyle name="Sortie 8 3" xfId="20847" xr:uid="{00000000-0005-0000-0000-0000CE770000}"/>
    <cellStyle name="Sortie 9" xfId="8204" xr:uid="{00000000-0005-0000-0000-0000CF770000}"/>
    <cellStyle name="Sortie 9 2" xfId="26630" xr:uid="{00000000-0005-0000-0000-0000D0770000}"/>
    <cellStyle name="Sortie 9 3" xfId="21557" xr:uid="{00000000-0005-0000-0000-0000D1770000}"/>
    <cellStyle name="source" xfId="3305" xr:uid="{00000000-0005-0000-0000-0000D2770000}"/>
    <cellStyle name="Source 2" xfId="14359" xr:uid="{00000000-0005-0000-0000-0000D3770000}"/>
    <cellStyle name="source 3" xfId="40637" xr:uid="{00000000-0005-0000-0000-00006D120000}"/>
    <cellStyle name="source 4" xfId="41323" xr:uid="{00000000-0005-0000-0000-00006D120000}"/>
    <cellStyle name="source 5" xfId="41327" xr:uid="{00000000-0005-0000-0000-00006D120000}"/>
    <cellStyle name="Standaard_Blad1" xfId="40638" xr:uid="{00000000-0005-0000-0000-00006E120000}"/>
    <cellStyle name="Standard 2" xfId="40639" xr:uid="{00000000-0005-0000-0000-00006F120000}"/>
    <cellStyle name="Standard 3" xfId="40640" xr:uid="{00000000-0005-0000-0000-000070120000}"/>
    <cellStyle name="Standard_ENR_REF" xfId="38" xr:uid="{00000000-0005-0000-0000-0000D4770000}"/>
    <cellStyle name="Style 1" xfId="14360" xr:uid="{00000000-0005-0000-0000-0000D5770000}"/>
    <cellStyle name="Style 1 2" xfId="40641" xr:uid="{00000000-0005-0000-0000-000072120000}"/>
    <cellStyle name="Style 21" xfId="3107" xr:uid="{00000000-0005-0000-0000-0000D6770000}"/>
    <cellStyle name="Style 21 10" xfId="8522" xr:uid="{00000000-0005-0000-0000-0000D7770000}"/>
    <cellStyle name="Style 21 10 2" xfId="26945" xr:uid="{00000000-0005-0000-0000-0000D8770000}"/>
    <cellStyle name="Style 21 10 3" xfId="33095" xr:uid="{00000000-0005-0000-0000-0000D9770000}"/>
    <cellStyle name="Style 21 10 4" xfId="21813" xr:uid="{00000000-0005-0000-0000-0000DA770000}"/>
    <cellStyle name="Style 21 11" xfId="4014" xr:uid="{00000000-0005-0000-0000-0000DB770000}"/>
    <cellStyle name="Style 21 11 2" xfId="22481" xr:uid="{00000000-0005-0000-0000-0000DC770000}"/>
    <cellStyle name="Style 21 11 3" xfId="31698" xr:uid="{00000000-0005-0000-0000-0000DD770000}"/>
    <cellStyle name="Style 21 11 4" xfId="17696" xr:uid="{00000000-0005-0000-0000-0000DE770000}"/>
    <cellStyle name="Style 21 12" xfId="14984" xr:uid="{00000000-0005-0000-0000-0000DF770000}"/>
    <cellStyle name="Style 21 12 2" xfId="36409" xr:uid="{00000000-0005-0000-0000-0000E0770000}"/>
    <cellStyle name="Style 21 12 3" xfId="17009" xr:uid="{00000000-0005-0000-0000-0000E1770000}"/>
    <cellStyle name="Style 21 13" xfId="16136" xr:uid="{00000000-0005-0000-0000-0000E2770000}"/>
    <cellStyle name="Style 21 13 2" xfId="37457" xr:uid="{00000000-0005-0000-0000-0000E3770000}"/>
    <cellStyle name="Style 21 14" xfId="31371" xr:uid="{00000000-0005-0000-0000-0000E4770000}"/>
    <cellStyle name="Style 21 15" xfId="27475" xr:uid="{00000000-0005-0000-0000-0000E5770000}"/>
    <cellStyle name="Style 21 2" xfId="3108" xr:uid="{00000000-0005-0000-0000-0000E6770000}"/>
    <cellStyle name="Style 21 2 10" xfId="4015" xr:uid="{00000000-0005-0000-0000-0000E7770000}"/>
    <cellStyle name="Style 21 2 10 2" xfId="22482" xr:uid="{00000000-0005-0000-0000-0000E8770000}"/>
    <cellStyle name="Style 21 2 10 3" xfId="31699" xr:uid="{00000000-0005-0000-0000-0000E9770000}"/>
    <cellStyle name="Style 21 2 10 4" xfId="17697" xr:uid="{00000000-0005-0000-0000-0000EA770000}"/>
    <cellStyle name="Style 21 2 11" xfId="14985" xr:uid="{00000000-0005-0000-0000-0000EB770000}"/>
    <cellStyle name="Style 21 2 11 2" xfId="36410" xr:uid="{00000000-0005-0000-0000-0000EC770000}"/>
    <cellStyle name="Style 21 2 11 3" xfId="17010" xr:uid="{00000000-0005-0000-0000-0000ED770000}"/>
    <cellStyle name="Style 21 2 12" xfId="16103" xr:uid="{00000000-0005-0000-0000-0000EE770000}"/>
    <cellStyle name="Style 21 2 12 2" xfId="37425" xr:uid="{00000000-0005-0000-0000-0000EF770000}"/>
    <cellStyle name="Style 21 2 13" xfId="31372" xr:uid="{00000000-0005-0000-0000-0000F0770000}"/>
    <cellStyle name="Style 21 2 14" xfId="27476" xr:uid="{00000000-0005-0000-0000-0000F1770000}"/>
    <cellStyle name="Style 21 2 2" xfId="3608" xr:uid="{00000000-0005-0000-0000-0000F2770000}"/>
    <cellStyle name="Style 21 2 2 10" xfId="15677" xr:uid="{00000000-0005-0000-0000-0000F3770000}"/>
    <cellStyle name="Style 21 2 2 10 2" xfId="37050" xr:uid="{00000000-0005-0000-0000-0000F4770000}"/>
    <cellStyle name="Style 21 2 2 11" xfId="31602" xr:uid="{00000000-0005-0000-0000-0000F5770000}"/>
    <cellStyle name="Style 21 2 2 12" xfId="27477" xr:uid="{00000000-0005-0000-0000-0000F6770000}"/>
    <cellStyle name="Style 21 2 2 2" xfId="5735" xr:uid="{00000000-0005-0000-0000-0000F7770000}"/>
    <cellStyle name="Style 21 2 2 2 2" xfId="14361" xr:uid="{00000000-0005-0000-0000-0000F8770000}"/>
    <cellStyle name="Style 21 2 2 2 2 2" xfId="16354" xr:uid="{00000000-0005-0000-0000-0000F9770000}"/>
    <cellStyle name="Style 21 2 2 2 2 2 2" xfId="37656" xr:uid="{00000000-0005-0000-0000-0000FA770000}"/>
    <cellStyle name="Style 21 2 2 2 2 3" xfId="16502" xr:uid="{00000000-0005-0000-0000-0000FB770000}"/>
    <cellStyle name="Style 21 2 2 2 2 4" xfId="35907" xr:uid="{00000000-0005-0000-0000-0000FC770000}"/>
    <cellStyle name="Style 21 2 2 2 3" xfId="10689" xr:uid="{00000000-0005-0000-0000-0000FD770000}"/>
    <cellStyle name="Style 21 2 2 2 4" xfId="32323" xr:uid="{00000000-0005-0000-0000-0000FE770000}"/>
    <cellStyle name="Style 21 2 2 2 5" xfId="29379" xr:uid="{00000000-0005-0000-0000-0000FF770000}"/>
    <cellStyle name="Style 21 2 2 3" xfId="5879" xr:uid="{00000000-0005-0000-0000-000000780000}"/>
    <cellStyle name="Style 21 2 2 3 2" xfId="10337" xr:uid="{00000000-0005-0000-0000-000001780000}"/>
    <cellStyle name="Style 21 2 2 3 2 2" xfId="33610" xr:uid="{00000000-0005-0000-0000-000002780000}"/>
    <cellStyle name="Style 21 2 2 3 2 3" xfId="24325" xr:uid="{00000000-0005-0000-0000-000003780000}"/>
    <cellStyle name="Style 21 2 2 3 3" xfId="14795" xr:uid="{00000000-0005-0000-0000-000004780000}"/>
    <cellStyle name="Style 21 2 2 3 3 2" xfId="36251" xr:uid="{00000000-0005-0000-0000-000005780000}"/>
    <cellStyle name="Style 21 2 2 3 4" xfId="15305" xr:uid="{00000000-0005-0000-0000-000006780000}"/>
    <cellStyle name="Style 21 2 2 3 4 2" xfId="36698" xr:uid="{00000000-0005-0000-0000-000007780000}"/>
    <cellStyle name="Style 21 2 2 3 5" xfId="28249" xr:uid="{00000000-0005-0000-0000-000008780000}"/>
    <cellStyle name="Style 21 2 2 3 6" xfId="19434" xr:uid="{00000000-0005-0000-0000-000009780000}"/>
    <cellStyle name="Style 21 2 2 4" xfId="7125" xr:uid="{00000000-0005-0000-0000-00000A780000}"/>
    <cellStyle name="Style 21 2 2 4 2" xfId="16353" xr:uid="{00000000-0005-0000-0000-00000B780000}"/>
    <cellStyle name="Style 21 2 2 4 2 2" xfId="37655" xr:uid="{00000000-0005-0000-0000-00000C780000}"/>
    <cellStyle name="Style 21 2 2 4 2 3" xfId="25559" xr:uid="{00000000-0005-0000-0000-00000D780000}"/>
    <cellStyle name="Style 21 2 2 4 3" xfId="16501" xr:uid="{00000000-0005-0000-0000-00000E780000}"/>
    <cellStyle name="Style 21 2 2 4 4" xfId="32746" xr:uid="{00000000-0005-0000-0000-00000F780000}"/>
    <cellStyle name="Style 21 2 2 5" xfId="7210" xr:uid="{00000000-0005-0000-0000-000010780000}"/>
    <cellStyle name="Style 21 2 2 5 2" xfId="25641" xr:uid="{00000000-0005-0000-0000-000011780000}"/>
    <cellStyle name="Style 21 2 2 5 3" xfId="32770" xr:uid="{00000000-0005-0000-0000-000012780000}"/>
    <cellStyle name="Style 21 2 2 5 4" xfId="20567" xr:uid="{00000000-0005-0000-0000-000013780000}"/>
    <cellStyle name="Style 21 2 2 6" xfId="8120" xr:uid="{00000000-0005-0000-0000-000014780000}"/>
    <cellStyle name="Style 21 2 2 6 2" xfId="26550" xr:uid="{00000000-0005-0000-0000-000015780000}"/>
    <cellStyle name="Style 21 2 2 6 3" xfId="33004" xr:uid="{00000000-0005-0000-0000-000016780000}"/>
    <cellStyle name="Style 21 2 2 6 4" xfId="21474" xr:uid="{00000000-0005-0000-0000-000017780000}"/>
    <cellStyle name="Style 21 2 2 7" xfId="8844" xr:uid="{00000000-0005-0000-0000-000018780000}"/>
    <cellStyle name="Style 21 2 2 7 2" xfId="27264" xr:uid="{00000000-0005-0000-0000-000019780000}"/>
    <cellStyle name="Style 21 2 2 7 3" xfId="33176" xr:uid="{00000000-0005-0000-0000-00001A780000}"/>
    <cellStyle name="Style 21 2 2 7 4" xfId="22135" xr:uid="{00000000-0005-0000-0000-00001B780000}"/>
    <cellStyle name="Style 21 2 2 8" xfId="4336" xr:uid="{00000000-0005-0000-0000-00001C780000}"/>
    <cellStyle name="Style 21 2 2 8 2" xfId="22800" xr:uid="{00000000-0005-0000-0000-00001D780000}"/>
    <cellStyle name="Style 21 2 2 8 3" xfId="31779" xr:uid="{00000000-0005-0000-0000-00001E780000}"/>
    <cellStyle name="Style 21 2 2 8 4" xfId="18018" xr:uid="{00000000-0005-0000-0000-00001F780000}"/>
    <cellStyle name="Style 21 2 2 9" xfId="14986" xr:uid="{00000000-0005-0000-0000-000020780000}"/>
    <cellStyle name="Style 21 2 2 9 2" xfId="36411" xr:uid="{00000000-0005-0000-0000-000021780000}"/>
    <cellStyle name="Style 21 2 2 9 3" xfId="17347" xr:uid="{00000000-0005-0000-0000-000022780000}"/>
    <cellStyle name="Style 21 2 3" xfId="3674" xr:uid="{00000000-0005-0000-0000-000023780000}"/>
    <cellStyle name="Style 21 2 3 10" xfId="15646" xr:uid="{00000000-0005-0000-0000-000024780000}"/>
    <cellStyle name="Style 21 2 3 10 2" xfId="37021" xr:uid="{00000000-0005-0000-0000-000025780000}"/>
    <cellStyle name="Style 21 2 3 11" xfId="31609" xr:uid="{00000000-0005-0000-0000-000026780000}"/>
    <cellStyle name="Style 21 2 3 12" xfId="27792" xr:uid="{00000000-0005-0000-0000-000027780000}"/>
    <cellStyle name="Style 21 2 3 2" xfId="5801" xr:uid="{00000000-0005-0000-0000-000028780000}"/>
    <cellStyle name="Style 21 2 3 2 2" xfId="11270" xr:uid="{00000000-0005-0000-0000-000029780000}"/>
    <cellStyle name="Style 21 2 3 2 2 2" xfId="34087" xr:uid="{00000000-0005-0000-0000-00002A780000}"/>
    <cellStyle name="Style 21 2 3 2 2 3" xfId="24248" xr:uid="{00000000-0005-0000-0000-00002B780000}"/>
    <cellStyle name="Style 21 2 3 2 3" xfId="32389" xr:uid="{00000000-0005-0000-0000-00002C780000}"/>
    <cellStyle name="Style 21 2 3 2 4" xfId="29645" xr:uid="{00000000-0005-0000-0000-00002D780000}"/>
    <cellStyle name="Style 21 2 3 2 5" xfId="19359" xr:uid="{00000000-0005-0000-0000-00002E780000}"/>
    <cellStyle name="Style 21 2 3 3" xfId="5890" xr:uid="{00000000-0005-0000-0000-00002F780000}"/>
    <cellStyle name="Style 21 2 3 3 2" xfId="24336" xr:uid="{00000000-0005-0000-0000-000030780000}"/>
    <cellStyle name="Style 21 2 3 3 3" xfId="28250" xr:uid="{00000000-0005-0000-0000-000031780000}"/>
    <cellStyle name="Style 21 2 3 3 4" xfId="19445" xr:uid="{00000000-0005-0000-0000-000032780000}"/>
    <cellStyle name="Style 21 2 3 4" xfId="7141" xr:uid="{00000000-0005-0000-0000-000033780000}"/>
    <cellStyle name="Style 21 2 3 4 2" xfId="25575" xr:uid="{00000000-0005-0000-0000-000034780000}"/>
    <cellStyle name="Style 21 2 3 4 3" xfId="32754" xr:uid="{00000000-0005-0000-0000-000035780000}"/>
    <cellStyle name="Style 21 2 3 4 4" xfId="20499" xr:uid="{00000000-0005-0000-0000-000036780000}"/>
    <cellStyle name="Style 21 2 3 5" xfId="7276" xr:uid="{00000000-0005-0000-0000-000037780000}"/>
    <cellStyle name="Style 21 2 3 5 2" xfId="25707" xr:uid="{00000000-0005-0000-0000-000038780000}"/>
    <cellStyle name="Style 21 2 3 5 3" xfId="32777" xr:uid="{00000000-0005-0000-0000-000039780000}"/>
    <cellStyle name="Style 21 2 3 5 4" xfId="20633" xr:uid="{00000000-0005-0000-0000-00003A780000}"/>
    <cellStyle name="Style 21 2 3 6" xfId="8186" xr:uid="{00000000-0005-0000-0000-00003B780000}"/>
    <cellStyle name="Style 21 2 3 6 2" xfId="26616" xr:uid="{00000000-0005-0000-0000-00003C780000}"/>
    <cellStyle name="Style 21 2 3 6 3" xfId="33011" xr:uid="{00000000-0005-0000-0000-00003D780000}"/>
    <cellStyle name="Style 21 2 3 6 4" xfId="21540" xr:uid="{00000000-0005-0000-0000-00003E780000}"/>
    <cellStyle name="Style 21 2 3 7" xfId="8910" xr:uid="{00000000-0005-0000-0000-00003F780000}"/>
    <cellStyle name="Style 21 2 3 7 2" xfId="27330" xr:uid="{00000000-0005-0000-0000-000040780000}"/>
    <cellStyle name="Style 21 2 3 7 3" xfId="33183" xr:uid="{00000000-0005-0000-0000-000041780000}"/>
    <cellStyle name="Style 21 2 3 7 4" xfId="22201" xr:uid="{00000000-0005-0000-0000-000042780000}"/>
    <cellStyle name="Style 21 2 3 8" xfId="4402" xr:uid="{00000000-0005-0000-0000-000043780000}"/>
    <cellStyle name="Style 21 2 3 8 2" xfId="22866" xr:uid="{00000000-0005-0000-0000-000044780000}"/>
    <cellStyle name="Style 21 2 3 8 3" xfId="31786" xr:uid="{00000000-0005-0000-0000-000045780000}"/>
    <cellStyle name="Style 21 2 3 8 4" xfId="18084" xr:uid="{00000000-0005-0000-0000-000046780000}"/>
    <cellStyle name="Style 21 2 3 9" xfId="14987" xr:uid="{00000000-0005-0000-0000-000047780000}"/>
    <cellStyle name="Style 21 2 3 9 2" xfId="36412" xr:uid="{00000000-0005-0000-0000-000048780000}"/>
    <cellStyle name="Style 21 2 3 9 3" xfId="17413" xr:uid="{00000000-0005-0000-0000-000049780000}"/>
    <cellStyle name="Style 21 2 4" xfId="5370" xr:uid="{00000000-0005-0000-0000-00004A780000}"/>
    <cellStyle name="Style 21 2 4 2" xfId="10531" xr:uid="{00000000-0005-0000-0000-00004B780000}"/>
    <cellStyle name="Style 21 2 4 2 2" xfId="15405" xr:uid="{00000000-0005-0000-0000-00004C780000}"/>
    <cellStyle name="Style 21 2 4 2 2 2" xfId="36789" xr:uid="{00000000-0005-0000-0000-00004D780000}"/>
    <cellStyle name="Style 21 2 4 2 3" xfId="14765" xr:uid="{00000000-0005-0000-0000-00004E780000}"/>
    <cellStyle name="Style 21 2 4 2 4" xfId="29785" xr:uid="{00000000-0005-0000-0000-00004F780000}"/>
    <cellStyle name="Style 21 2 4 3" xfId="11650" xr:uid="{00000000-0005-0000-0000-000050780000}"/>
    <cellStyle name="Style 21 2 4 3 2" xfId="34433" xr:uid="{00000000-0005-0000-0000-000051780000}"/>
    <cellStyle name="Style 21 2 4 3 3" xfId="28560" xr:uid="{00000000-0005-0000-0000-000052780000}"/>
    <cellStyle name="Style 21 2 4 4" xfId="14627" xr:uid="{00000000-0005-0000-0000-000053780000}"/>
    <cellStyle name="Style 21 2 4 4 2" xfId="36120" xr:uid="{00000000-0005-0000-0000-000054780000}"/>
    <cellStyle name="Style 21 2 4 5" xfId="15469" xr:uid="{00000000-0005-0000-0000-000055780000}"/>
    <cellStyle name="Style 21 2 4 5 2" xfId="36850" xr:uid="{00000000-0005-0000-0000-000056780000}"/>
    <cellStyle name="Style 21 2 4 6" xfId="27878" xr:uid="{00000000-0005-0000-0000-000057780000}"/>
    <cellStyle name="Style 21 2 5" xfId="5823" xr:uid="{00000000-0005-0000-0000-000058780000}"/>
    <cellStyle name="Style 21 2 5 2" xfId="10688" xr:uid="{00000000-0005-0000-0000-000059780000}"/>
    <cellStyle name="Style 21 2 5 2 2" xfId="33779" xr:uid="{00000000-0005-0000-0000-00005A780000}"/>
    <cellStyle name="Style 21 2 5 2 3" xfId="24270" xr:uid="{00000000-0005-0000-0000-00005B780000}"/>
    <cellStyle name="Style 21 2 5 3" xfId="32399" xr:uid="{00000000-0005-0000-0000-00005C780000}"/>
    <cellStyle name="Style 21 2 5 4" xfId="29378" xr:uid="{00000000-0005-0000-0000-00005D780000}"/>
    <cellStyle name="Style 21 2 5 5" xfId="19379" xr:uid="{00000000-0005-0000-0000-00005E780000}"/>
    <cellStyle name="Style 21 2 6" xfId="7011" xr:uid="{00000000-0005-0000-0000-00005F780000}"/>
    <cellStyle name="Style 21 2 6 2" xfId="16266" xr:uid="{00000000-0005-0000-0000-000060780000}"/>
    <cellStyle name="Style 21 2 6 2 2" xfId="37575" xr:uid="{00000000-0005-0000-0000-000061780000}"/>
    <cellStyle name="Style 21 2 6 2 3" xfId="25449" xr:uid="{00000000-0005-0000-0000-000062780000}"/>
    <cellStyle name="Style 21 2 6 3" xfId="16458" xr:uid="{00000000-0005-0000-0000-000063780000}"/>
    <cellStyle name="Style 21 2 6 4" xfId="32718" xr:uid="{00000000-0005-0000-0000-000064780000}"/>
    <cellStyle name="Style 21 2 7" xfId="6242" xr:uid="{00000000-0005-0000-0000-000065780000}"/>
    <cellStyle name="Style 21 2 7 2" xfId="10127" xr:uid="{00000000-0005-0000-0000-000066780000}"/>
    <cellStyle name="Style 21 2 7 2 2" xfId="33429" xr:uid="{00000000-0005-0000-0000-000067780000}"/>
    <cellStyle name="Style 21 2 7 2 3" xfId="24682" xr:uid="{00000000-0005-0000-0000-000068780000}"/>
    <cellStyle name="Style 21 2 7 3" xfId="32563" xr:uid="{00000000-0005-0000-0000-000069780000}"/>
    <cellStyle name="Style 21 2 7 4" xfId="19791" xr:uid="{00000000-0005-0000-0000-00006A780000}"/>
    <cellStyle name="Style 21 2 8" xfId="7039" xr:uid="{00000000-0005-0000-0000-00006B780000}"/>
    <cellStyle name="Style 21 2 8 2" xfId="25477" xr:uid="{00000000-0005-0000-0000-00006C780000}"/>
    <cellStyle name="Style 21 2 8 3" xfId="32732" xr:uid="{00000000-0005-0000-0000-00006D780000}"/>
    <cellStyle name="Style 21 2 8 4" xfId="20414" xr:uid="{00000000-0005-0000-0000-00006E780000}"/>
    <cellStyle name="Style 21 2 9" xfId="8523" xr:uid="{00000000-0005-0000-0000-00006F780000}"/>
    <cellStyle name="Style 21 2 9 2" xfId="26946" xr:uid="{00000000-0005-0000-0000-000070780000}"/>
    <cellStyle name="Style 21 2 9 3" xfId="33096" xr:uid="{00000000-0005-0000-0000-000071780000}"/>
    <cellStyle name="Style 21 2 9 4" xfId="21814" xr:uid="{00000000-0005-0000-0000-000072780000}"/>
    <cellStyle name="Style 21 3" xfId="3607" xr:uid="{00000000-0005-0000-0000-000073780000}"/>
    <cellStyle name="Style 21 3 10" xfId="15623" xr:uid="{00000000-0005-0000-0000-000074780000}"/>
    <cellStyle name="Style 21 3 10 2" xfId="36998" xr:uid="{00000000-0005-0000-0000-000075780000}"/>
    <cellStyle name="Style 21 3 11" xfId="31601" xr:uid="{00000000-0005-0000-0000-000076780000}"/>
    <cellStyle name="Style 21 3 12" xfId="27478" xr:uid="{00000000-0005-0000-0000-000077780000}"/>
    <cellStyle name="Style 21 3 2" xfId="5734" xr:uid="{00000000-0005-0000-0000-000078780000}"/>
    <cellStyle name="Style 21 3 2 2" xfId="14362" xr:uid="{00000000-0005-0000-0000-000079780000}"/>
    <cellStyle name="Style 21 3 2 2 2" xfId="16356" xr:uid="{00000000-0005-0000-0000-00007A780000}"/>
    <cellStyle name="Style 21 3 2 2 2 2" xfId="37658" xr:uid="{00000000-0005-0000-0000-00007B780000}"/>
    <cellStyle name="Style 21 3 2 2 3" xfId="16504" xr:uid="{00000000-0005-0000-0000-00007C780000}"/>
    <cellStyle name="Style 21 3 2 2 4" xfId="35908" xr:uid="{00000000-0005-0000-0000-00007D780000}"/>
    <cellStyle name="Style 21 3 2 3" xfId="10940" xr:uid="{00000000-0005-0000-0000-00007E780000}"/>
    <cellStyle name="Style 21 3 2 4" xfId="32322" xr:uid="{00000000-0005-0000-0000-00007F780000}"/>
    <cellStyle name="Style 21 3 2 5" xfId="29380" xr:uid="{00000000-0005-0000-0000-000080780000}"/>
    <cellStyle name="Style 21 3 3" xfId="5878" xr:uid="{00000000-0005-0000-0000-000081780000}"/>
    <cellStyle name="Style 21 3 3 2" xfId="10336" xr:uid="{00000000-0005-0000-0000-000082780000}"/>
    <cellStyle name="Style 21 3 3 2 2" xfId="33609" xr:uid="{00000000-0005-0000-0000-000083780000}"/>
    <cellStyle name="Style 21 3 3 2 3" xfId="24324" xr:uid="{00000000-0005-0000-0000-000084780000}"/>
    <cellStyle name="Style 21 3 3 3" xfId="14796" xr:uid="{00000000-0005-0000-0000-000085780000}"/>
    <cellStyle name="Style 21 3 3 3 2" xfId="36252" xr:uid="{00000000-0005-0000-0000-000086780000}"/>
    <cellStyle name="Style 21 3 3 4" xfId="15304" xr:uid="{00000000-0005-0000-0000-000087780000}"/>
    <cellStyle name="Style 21 3 3 4 2" xfId="36697" xr:uid="{00000000-0005-0000-0000-000088780000}"/>
    <cellStyle name="Style 21 3 3 5" xfId="28251" xr:uid="{00000000-0005-0000-0000-000089780000}"/>
    <cellStyle name="Style 21 3 3 6" xfId="19433" xr:uid="{00000000-0005-0000-0000-00008A780000}"/>
    <cellStyle name="Style 21 3 4" xfId="7124" xr:uid="{00000000-0005-0000-0000-00008B780000}"/>
    <cellStyle name="Style 21 3 4 2" xfId="16355" xr:uid="{00000000-0005-0000-0000-00008C780000}"/>
    <cellStyle name="Style 21 3 4 2 2" xfId="37657" xr:uid="{00000000-0005-0000-0000-00008D780000}"/>
    <cellStyle name="Style 21 3 4 2 3" xfId="25558" xr:uid="{00000000-0005-0000-0000-00008E780000}"/>
    <cellStyle name="Style 21 3 4 3" xfId="16503" xr:uid="{00000000-0005-0000-0000-00008F780000}"/>
    <cellStyle name="Style 21 3 4 4" xfId="32745" xr:uid="{00000000-0005-0000-0000-000090780000}"/>
    <cellStyle name="Style 21 3 5" xfId="7209" xr:uid="{00000000-0005-0000-0000-000091780000}"/>
    <cellStyle name="Style 21 3 5 2" xfId="25640" xr:uid="{00000000-0005-0000-0000-000092780000}"/>
    <cellStyle name="Style 21 3 5 3" xfId="32769" xr:uid="{00000000-0005-0000-0000-000093780000}"/>
    <cellStyle name="Style 21 3 5 4" xfId="20566" xr:uid="{00000000-0005-0000-0000-000094780000}"/>
    <cellStyle name="Style 21 3 6" xfId="8119" xr:uid="{00000000-0005-0000-0000-000095780000}"/>
    <cellStyle name="Style 21 3 6 2" xfId="26549" xr:uid="{00000000-0005-0000-0000-000096780000}"/>
    <cellStyle name="Style 21 3 6 3" xfId="33003" xr:uid="{00000000-0005-0000-0000-000097780000}"/>
    <cellStyle name="Style 21 3 6 4" xfId="21473" xr:uid="{00000000-0005-0000-0000-000098780000}"/>
    <cellStyle name="Style 21 3 7" xfId="8843" xr:uid="{00000000-0005-0000-0000-000099780000}"/>
    <cellStyle name="Style 21 3 7 2" xfId="27263" xr:uid="{00000000-0005-0000-0000-00009A780000}"/>
    <cellStyle name="Style 21 3 7 3" xfId="33175" xr:uid="{00000000-0005-0000-0000-00009B780000}"/>
    <cellStyle name="Style 21 3 7 4" xfId="22134" xr:uid="{00000000-0005-0000-0000-00009C780000}"/>
    <cellStyle name="Style 21 3 8" xfId="4335" xr:uid="{00000000-0005-0000-0000-00009D780000}"/>
    <cellStyle name="Style 21 3 8 2" xfId="22799" xr:uid="{00000000-0005-0000-0000-00009E780000}"/>
    <cellStyle name="Style 21 3 8 3" xfId="31778" xr:uid="{00000000-0005-0000-0000-00009F780000}"/>
    <cellStyle name="Style 21 3 8 4" xfId="18017" xr:uid="{00000000-0005-0000-0000-0000A0780000}"/>
    <cellStyle name="Style 21 3 9" xfId="14988" xr:uid="{00000000-0005-0000-0000-0000A1780000}"/>
    <cellStyle name="Style 21 3 9 2" xfId="36413" xr:uid="{00000000-0005-0000-0000-0000A2780000}"/>
    <cellStyle name="Style 21 3 9 3" xfId="17346" xr:uid="{00000000-0005-0000-0000-0000A3780000}"/>
    <cellStyle name="Style 21 4" xfId="3673" xr:uid="{00000000-0005-0000-0000-0000A4780000}"/>
    <cellStyle name="Style 21 4 10" xfId="15601" xr:uid="{00000000-0005-0000-0000-0000A5780000}"/>
    <cellStyle name="Style 21 4 10 2" xfId="36977" xr:uid="{00000000-0005-0000-0000-0000A6780000}"/>
    <cellStyle name="Style 21 4 11" xfId="31608" xr:uid="{00000000-0005-0000-0000-0000A7780000}"/>
    <cellStyle name="Style 21 4 12" xfId="27791" xr:uid="{00000000-0005-0000-0000-0000A8780000}"/>
    <cellStyle name="Style 21 4 2" xfId="5800" xr:uid="{00000000-0005-0000-0000-0000A9780000}"/>
    <cellStyle name="Style 21 4 2 2" xfId="11269" xr:uid="{00000000-0005-0000-0000-0000AA780000}"/>
    <cellStyle name="Style 21 4 2 2 2" xfId="34086" xr:uid="{00000000-0005-0000-0000-0000AB780000}"/>
    <cellStyle name="Style 21 4 2 2 3" xfId="24247" xr:uid="{00000000-0005-0000-0000-0000AC780000}"/>
    <cellStyle name="Style 21 4 2 3" xfId="32388" xr:uid="{00000000-0005-0000-0000-0000AD780000}"/>
    <cellStyle name="Style 21 4 2 4" xfId="29644" xr:uid="{00000000-0005-0000-0000-0000AE780000}"/>
    <cellStyle name="Style 21 4 2 5" xfId="19358" xr:uid="{00000000-0005-0000-0000-0000AF780000}"/>
    <cellStyle name="Style 21 4 3" xfId="5889" xr:uid="{00000000-0005-0000-0000-0000B0780000}"/>
    <cellStyle name="Style 21 4 3 2" xfId="24335" xr:uid="{00000000-0005-0000-0000-0000B1780000}"/>
    <cellStyle name="Style 21 4 3 3" xfId="28252" xr:uid="{00000000-0005-0000-0000-0000B2780000}"/>
    <cellStyle name="Style 21 4 3 4" xfId="19444" xr:uid="{00000000-0005-0000-0000-0000B3780000}"/>
    <cellStyle name="Style 21 4 4" xfId="7140" xr:uid="{00000000-0005-0000-0000-0000B4780000}"/>
    <cellStyle name="Style 21 4 4 2" xfId="25574" xr:uid="{00000000-0005-0000-0000-0000B5780000}"/>
    <cellStyle name="Style 21 4 4 3" xfId="32753" xr:uid="{00000000-0005-0000-0000-0000B6780000}"/>
    <cellStyle name="Style 21 4 4 4" xfId="20498" xr:uid="{00000000-0005-0000-0000-0000B7780000}"/>
    <cellStyle name="Style 21 4 5" xfId="7275" xr:uid="{00000000-0005-0000-0000-0000B8780000}"/>
    <cellStyle name="Style 21 4 5 2" xfId="25706" xr:uid="{00000000-0005-0000-0000-0000B9780000}"/>
    <cellStyle name="Style 21 4 5 3" xfId="32776" xr:uid="{00000000-0005-0000-0000-0000BA780000}"/>
    <cellStyle name="Style 21 4 5 4" xfId="20632" xr:uid="{00000000-0005-0000-0000-0000BB780000}"/>
    <cellStyle name="Style 21 4 6" xfId="8185" xr:uid="{00000000-0005-0000-0000-0000BC780000}"/>
    <cellStyle name="Style 21 4 6 2" xfId="26615" xr:uid="{00000000-0005-0000-0000-0000BD780000}"/>
    <cellStyle name="Style 21 4 6 3" xfId="33010" xr:uid="{00000000-0005-0000-0000-0000BE780000}"/>
    <cellStyle name="Style 21 4 6 4" xfId="21539" xr:uid="{00000000-0005-0000-0000-0000BF780000}"/>
    <cellStyle name="Style 21 4 7" xfId="8909" xr:uid="{00000000-0005-0000-0000-0000C0780000}"/>
    <cellStyle name="Style 21 4 7 2" xfId="27329" xr:uid="{00000000-0005-0000-0000-0000C1780000}"/>
    <cellStyle name="Style 21 4 7 3" xfId="33182" xr:uid="{00000000-0005-0000-0000-0000C2780000}"/>
    <cellStyle name="Style 21 4 7 4" xfId="22200" xr:uid="{00000000-0005-0000-0000-0000C3780000}"/>
    <cellStyle name="Style 21 4 8" xfId="4401" xr:uid="{00000000-0005-0000-0000-0000C4780000}"/>
    <cellStyle name="Style 21 4 8 2" xfId="22865" xr:uid="{00000000-0005-0000-0000-0000C5780000}"/>
    <cellStyle name="Style 21 4 8 3" xfId="31785" xr:uid="{00000000-0005-0000-0000-0000C6780000}"/>
    <cellStyle name="Style 21 4 8 4" xfId="18083" xr:uid="{00000000-0005-0000-0000-0000C7780000}"/>
    <cellStyle name="Style 21 4 9" xfId="14989" xr:uid="{00000000-0005-0000-0000-0000C8780000}"/>
    <cellStyle name="Style 21 4 9 2" xfId="36414" xr:uid="{00000000-0005-0000-0000-0000C9780000}"/>
    <cellStyle name="Style 21 4 9 3" xfId="17412" xr:uid="{00000000-0005-0000-0000-0000CA780000}"/>
    <cellStyle name="Style 21 5" xfId="5369" xr:uid="{00000000-0005-0000-0000-0000CB780000}"/>
    <cellStyle name="Style 21 5 2" xfId="10530" xr:uid="{00000000-0005-0000-0000-0000CC780000}"/>
    <cellStyle name="Style 21 5 2 2" xfId="15404" xr:uid="{00000000-0005-0000-0000-0000CD780000}"/>
    <cellStyle name="Style 21 5 2 2 2" xfId="36788" xr:uid="{00000000-0005-0000-0000-0000CE780000}"/>
    <cellStyle name="Style 21 5 2 3" xfId="14766" xr:uid="{00000000-0005-0000-0000-0000CF780000}"/>
    <cellStyle name="Style 21 5 2 4" xfId="29784" xr:uid="{00000000-0005-0000-0000-0000D0780000}"/>
    <cellStyle name="Style 21 5 3" xfId="11649" xr:uid="{00000000-0005-0000-0000-0000D1780000}"/>
    <cellStyle name="Style 21 5 3 2" xfId="34432" xr:uid="{00000000-0005-0000-0000-0000D2780000}"/>
    <cellStyle name="Style 21 5 3 3" xfId="28559" xr:uid="{00000000-0005-0000-0000-0000D3780000}"/>
    <cellStyle name="Style 21 5 4" xfId="14628" xr:uid="{00000000-0005-0000-0000-0000D4780000}"/>
    <cellStyle name="Style 21 5 4 2" xfId="36121" xr:uid="{00000000-0005-0000-0000-0000D5780000}"/>
    <cellStyle name="Style 21 5 5" xfId="16259" xr:uid="{00000000-0005-0000-0000-0000D6780000}"/>
    <cellStyle name="Style 21 5 5 2" xfId="37569" xr:uid="{00000000-0005-0000-0000-0000D7780000}"/>
    <cellStyle name="Style 21 5 6" xfId="27877" xr:uid="{00000000-0005-0000-0000-0000D8780000}"/>
    <cellStyle name="Style 21 6" xfId="5822" xr:uid="{00000000-0005-0000-0000-0000D9780000}"/>
    <cellStyle name="Style 21 6 2" xfId="10687" xr:uid="{00000000-0005-0000-0000-0000DA780000}"/>
    <cellStyle name="Style 21 6 2 2" xfId="33778" xr:uid="{00000000-0005-0000-0000-0000DB780000}"/>
    <cellStyle name="Style 21 6 2 3" xfId="24269" xr:uid="{00000000-0005-0000-0000-0000DC780000}"/>
    <cellStyle name="Style 21 6 3" xfId="32398" xr:uid="{00000000-0005-0000-0000-0000DD780000}"/>
    <cellStyle name="Style 21 6 4" xfId="29377" xr:uid="{00000000-0005-0000-0000-0000DE780000}"/>
    <cellStyle name="Style 21 6 5" xfId="19378" xr:uid="{00000000-0005-0000-0000-0000DF780000}"/>
    <cellStyle name="Style 21 7" xfId="7010" xr:uid="{00000000-0005-0000-0000-0000E0780000}"/>
    <cellStyle name="Style 21 7 2" xfId="16265" xr:uid="{00000000-0005-0000-0000-0000E1780000}"/>
    <cellStyle name="Style 21 7 2 2" xfId="37574" xr:uid="{00000000-0005-0000-0000-0000E2780000}"/>
    <cellStyle name="Style 21 7 2 3" xfId="25448" xr:uid="{00000000-0005-0000-0000-0000E3780000}"/>
    <cellStyle name="Style 21 7 3" xfId="16457" xr:uid="{00000000-0005-0000-0000-0000E4780000}"/>
    <cellStyle name="Style 21 7 4" xfId="32717" xr:uid="{00000000-0005-0000-0000-0000E5780000}"/>
    <cellStyle name="Style 21 8" xfId="6243" xr:uid="{00000000-0005-0000-0000-0000E6780000}"/>
    <cellStyle name="Style 21 8 2" xfId="10126" xr:uid="{00000000-0005-0000-0000-0000E7780000}"/>
    <cellStyle name="Style 21 8 2 2" xfId="33428" xr:uid="{00000000-0005-0000-0000-0000E8780000}"/>
    <cellStyle name="Style 21 8 2 3" xfId="24683" xr:uid="{00000000-0005-0000-0000-0000E9780000}"/>
    <cellStyle name="Style 21 8 3" xfId="32564" xr:uid="{00000000-0005-0000-0000-0000EA780000}"/>
    <cellStyle name="Style 21 8 4" xfId="19792" xr:uid="{00000000-0005-0000-0000-0000EB780000}"/>
    <cellStyle name="Style 21 9" xfId="7040" xr:uid="{00000000-0005-0000-0000-0000EC780000}"/>
    <cellStyle name="Style 21 9 2" xfId="25478" xr:uid="{00000000-0005-0000-0000-0000ED780000}"/>
    <cellStyle name="Style 21 9 3" xfId="32733" xr:uid="{00000000-0005-0000-0000-0000EE780000}"/>
    <cellStyle name="Style 21 9 4" xfId="20415" xr:uid="{00000000-0005-0000-0000-0000EF780000}"/>
    <cellStyle name="Style 22" xfId="3109" xr:uid="{00000000-0005-0000-0000-0000F0780000}"/>
    <cellStyle name="Style 22 10" xfId="4016" xr:uid="{00000000-0005-0000-0000-0000F1780000}"/>
    <cellStyle name="Style 22 10 2" xfId="22483" xr:uid="{00000000-0005-0000-0000-0000F2780000}"/>
    <cellStyle name="Style 22 10 3" xfId="31700" xr:uid="{00000000-0005-0000-0000-0000F3780000}"/>
    <cellStyle name="Style 22 10 4" xfId="17698" xr:uid="{00000000-0005-0000-0000-0000F4780000}"/>
    <cellStyle name="Style 22 11" xfId="14990" xr:uid="{00000000-0005-0000-0000-0000F5780000}"/>
    <cellStyle name="Style 22 11 2" xfId="36415" xr:uid="{00000000-0005-0000-0000-0000F6780000}"/>
    <cellStyle name="Style 22 11 3" xfId="17011" xr:uid="{00000000-0005-0000-0000-0000F7780000}"/>
    <cellStyle name="Style 22 12" xfId="16202" xr:uid="{00000000-0005-0000-0000-0000F8780000}"/>
    <cellStyle name="Style 22 12 2" xfId="37517" xr:uid="{00000000-0005-0000-0000-0000F9780000}"/>
    <cellStyle name="Style 22 13" xfId="31373" xr:uid="{00000000-0005-0000-0000-0000FA780000}"/>
    <cellStyle name="Style 22 14" xfId="27479" xr:uid="{00000000-0005-0000-0000-0000FB780000}"/>
    <cellStyle name="Style 22 2" xfId="3609" xr:uid="{00000000-0005-0000-0000-0000FC780000}"/>
    <cellStyle name="Style 22 2 10" xfId="16169" xr:uid="{00000000-0005-0000-0000-0000FD780000}"/>
    <cellStyle name="Style 22 2 10 2" xfId="37486" xr:uid="{00000000-0005-0000-0000-0000FE780000}"/>
    <cellStyle name="Style 22 2 11" xfId="31603" xr:uid="{00000000-0005-0000-0000-0000FF780000}"/>
    <cellStyle name="Style 22 2 12" xfId="27480" xr:uid="{00000000-0005-0000-0000-000000790000}"/>
    <cellStyle name="Style 22 2 2" xfId="5736" xr:uid="{00000000-0005-0000-0000-000001790000}"/>
    <cellStyle name="Style 22 2 2 2" xfId="14363" xr:uid="{00000000-0005-0000-0000-000002790000}"/>
    <cellStyle name="Style 22 2 2 2 2" xfId="16358" xr:uid="{00000000-0005-0000-0000-000003790000}"/>
    <cellStyle name="Style 22 2 2 2 2 2" xfId="37660" xr:uid="{00000000-0005-0000-0000-000004790000}"/>
    <cellStyle name="Style 22 2 2 2 3" xfId="16506" xr:uid="{00000000-0005-0000-0000-000005790000}"/>
    <cellStyle name="Style 22 2 2 2 4" xfId="35909" xr:uid="{00000000-0005-0000-0000-000006790000}"/>
    <cellStyle name="Style 22 2 2 3" xfId="10691" xr:uid="{00000000-0005-0000-0000-000007790000}"/>
    <cellStyle name="Style 22 2 2 4" xfId="32324" xr:uid="{00000000-0005-0000-0000-000008790000}"/>
    <cellStyle name="Style 22 2 2 5" xfId="29382" xr:uid="{00000000-0005-0000-0000-000009790000}"/>
    <cellStyle name="Style 22 2 3" xfId="5880" xr:uid="{00000000-0005-0000-0000-00000A790000}"/>
    <cellStyle name="Style 22 2 3 2" xfId="10338" xr:uid="{00000000-0005-0000-0000-00000B790000}"/>
    <cellStyle name="Style 22 2 3 2 2" xfId="33611" xr:uid="{00000000-0005-0000-0000-00000C790000}"/>
    <cellStyle name="Style 22 2 3 2 3" xfId="24326" xr:uid="{00000000-0005-0000-0000-00000D790000}"/>
    <cellStyle name="Style 22 2 3 3" xfId="14794" xr:uid="{00000000-0005-0000-0000-00000E790000}"/>
    <cellStyle name="Style 22 2 3 3 2" xfId="36250" xr:uid="{00000000-0005-0000-0000-00000F790000}"/>
    <cellStyle name="Style 22 2 3 4" xfId="15192" xr:uid="{00000000-0005-0000-0000-000010790000}"/>
    <cellStyle name="Style 22 2 3 4 2" xfId="36600" xr:uid="{00000000-0005-0000-0000-000011790000}"/>
    <cellStyle name="Style 22 2 3 5" xfId="28253" xr:uid="{00000000-0005-0000-0000-000012790000}"/>
    <cellStyle name="Style 22 2 3 6" xfId="19435" xr:uid="{00000000-0005-0000-0000-000013790000}"/>
    <cellStyle name="Style 22 2 4" xfId="7126" xr:uid="{00000000-0005-0000-0000-000014790000}"/>
    <cellStyle name="Style 22 2 4 2" xfId="16357" xr:uid="{00000000-0005-0000-0000-000015790000}"/>
    <cellStyle name="Style 22 2 4 2 2" xfId="37659" xr:uid="{00000000-0005-0000-0000-000016790000}"/>
    <cellStyle name="Style 22 2 4 2 3" xfId="25560" xr:uid="{00000000-0005-0000-0000-000017790000}"/>
    <cellStyle name="Style 22 2 4 3" xfId="16505" xr:uid="{00000000-0005-0000-0000-000018790000}"/>
    <cellStyle name="Style 22 2 4 4" xfId="32747" xr:uid="{00000000-0005-0000-0000-000019790000}"/>
    <cellStyle name="Style 22 2 5" xfId="7211" xr:uid="{00000000-0005-0000-0000-00001A790000}"/>
    <cellStyle name="Style 22 2 5 2" xfId="25642" xr:uid="{00000000-0005-0000-0000-00001B790000}"/>
    <cellStyle name="Style 22 2 5 3" xfId="32771" xr:uid="{00000000-0005-0000-0000-00001C790000}"/>
    <cellStyle name="Style 22 2 5 4" xfId="20568" xr:uid="{00000000-0005-0000-0000-00001D790000}"/>
    <cellStyle name="Style 22 2 6" xfId="8121" xr:uid="{00000000-0005-0000-0000-00001E790000}"/>
    <cellStyle name="Style 22 2 6 2" xfId="26551" xr:uid="{00000000-0005-0000-0000-00001F790000}"/>
    <cellStyle name="Style 22 2 6 3" xfId="33005" xr:uid="{00000000-0005-0000-0000-000020790000}"/>
    <cellStyle name="Style 22 2 6 4" xfId="21475" xr:uid="{00000000-0005-0000-0000-000021790000}"/>
    <cellStyle name="Style 22 2 7" xfId="8845" xr:uid="{00000000-0005-0000-0000-000022790000}"/>
    <cellStyle name="Style 22 2 7 2" xfId="27265" xr:uid="{00000000-0005-0000-0000-000023790000}"/>
    <cellStyle name="Style 22 2 7 3" xfId="33177" xr:uid="{00000000-0005-0000-0000-000024790000}"/>
    <cellStyle name="Style 22 2 7 4" xfId="22136" xr:uid="{00000000-0005-0000-0000-000025790000}"/>
    <cellStyle name="Style 22 2 8" xfId="4337" xr:uid="{00000000-0005-0000-0000-000026790000}"/>
    <cellStyle name="Style 22 2 8 2" xfId="22801" xr:uid="{00000000-0005-0000-0000-000027790000}"/>
    <cellStyle name="Style 22 2 8 3" xfId="31780" xr:uid="{00000000-0005-0000-0000-000028790000}"/>
    <cellStyle name="Style 22 2 8 4" xfId="18019" xr:uid="{00000000-0005-0000-0000-000029790000}"/>
    <cellStyle name="Style 22 2 9" xfId="14991" xr:uid="{00000000-0005-0000-0000-00002A790000}"/>
    <cellStyle name="Style 22 2 9 2" xfId="36416" xr:uid="{00000000-0005-0000-0000-00002B790000}"/>
    <cellStyle name="Style 22 2 9 3" xfId="17348" xr:uid="{00000000-0005-0000-0000-00002C790000}"/>
    <cellStyle name="Style 22 3" xfId="3675" xr:uid="{00000000-0005-0000-0000-00002D790000}"/>
    <cellStyle name="Style 22 3 10" xfId="16138" xr:uid="{00000000-0005-0000-0000-00002E790000}"/>
    <cellStyle name="Style 22 3 10 2" xfId="37459" xr:uid="{00000000-0005-0000-0000-00002F790000}"/>
    <cellStyle name="Style 22 3 11" xfId="31610" xr:uid="{00000000-0005-0000-0000-000030790000}"/>
    <cellStyle name="Style 22 3 12" xfId="27793" xr:uid="{00000000-0005-0000-0000-000031790000}"/>
    <cellStyle name="Style 22 3 2" xfId="5802" xr:uid="{00000000-0005-0000-0000-000032790000}"/>
    <cellStyle name="Style 22 3 2 2" xfId="11271" xr:uid="{00000000-0005-0000-0000-000033790000}"/>
    <cellStyle name="Style 22 3 2 2 2" xfId="34088" xr:uid="{00000000-0005-0000-0000-000034790000}"/>
    <cellStyle name="Style 22 3 2 2 3" xfId="24249" xr:uid="{00000000-0005-0000-0000-000035790000}"/>
    <cellStyle name="Style 22 3 2 3" xfId="32390" xr:uid="{00000000-0005-0000-0000-000036790000}"/>
    <cellStyle name="Style 22 3 2 4" xfId="29646" xr:uid="{00000000-0005-0000-0000-000037790000}"/>
    <cellStyle name="Style 22 3 2 5" xfId="19360" xr:uid="{00000000-0005-0000-0000-000038790000}"/>
    <cellStyle name="Style 22 3 3" xfId="5891" xr:uid="{00000000-0005-0000-0000-000039790000}"/>
    <cellStyle name="Style 22 3 3 2" xfId="16359" xr:uid="{00000000-0005-0000-0000-00003A790000}"/>
    <cellStyle name="Style 22 3 3 2 2" xfId="37661" xr:uid="{00000000-0005-0000-0000-00003B790000}"/>
    <cellStyle name="Style 22 3 3 2 3" xfId="24337" xr:uid="{00000000-0005-0000-0000-00003C790000}"/>
    <cellStyle name="Style 22 3 3 3" xfId="16507" xr:uid="{00000000-0005-0000-0000-00003D790000}"/>
    <cellStyle name="Style 22 3 3 4" xfId="28254" xr:uid="{00000000-0005-0000-0000-00003E790000}"/>
    <cellStyle name="Style 22 3 4" xfId="7142" xr:uid="{00000000-0005-0000-0000-00003F790000}"/>
    <cellStyle name="Style 22 3 4 2" xfId="25576" xr:uid="{00000000-0005-0000-0000-000040790000}"/>
    <cellStyle name="Style 22 3 4 3" xfId="32755" xr:uid="{00000000-0005-0000-0000-000041790000}"/>
    <cellStyle name="Style 22 3 4 4" xfId="20500" xr:uid="{00000000-0005-0000-0000-000042790000}"/>
    <cellStyle name="Style 22 3 5" xfId="7277" xr:uid="{00000000-0005-0000-0000-000043790000}"/>
    <cellStyle name="Style 22 3 5 2" xfId="25708" xr:uid="{00000000-0005-0000-0000-000044790000}"/>
    <cellStyle name="Style 22 3 5 3" xfId="32778" xr:uid="{00000000-0005-0000-0000-000045790000}"/>
    <cellStyle name="Style 22 3 5 4" xfId="20634" xr:uid="{00000000-0005-0000-0000-000046790000}"/>
    <cellStyle name="Style 22 3 6" xfId="8187" xr:uid="{00000000-0005-0000-0000-000047790000}"/>
    <cellStyle name="Style 22 3 6 2" xfId="26617" xr:uid="{00000000-0005-0000-0000-000048790000}"/>
    <cellStyle name="Style 22 3 6 3" xfId="33012" xr:uid="{00000000-0005-0000-0000-000049790000}"/>
    <cellStyle name="Style 22 3 6 4" xfId="21541" xr:uid="{00000000-0005-0000-0000-00004A790000}"/>
    <cellStyle name="Style 22 3 7" xfId="8911" xr:uid="{00000000-0005-0000-0000-00004B790000}"/>
    <cellStyle name="Style 22 3 7 2" xfId="27331" xr:uid="{00000000-0005-0000-0000-00004C790000}"/>
    <cellStyle name="Style 22 3 7 3" xfId="33184" xr:uid="{00000000-0005-0000-0000-00004D790000}"/>
    <cellStyle name="Style 22 3 7 4" xfId="22202" xr:uid="{00000000-0005-0000-0000-00004E790000}"/>
    <cellStyle name="Style 22 3 8" xfId="4403" xr:uid="{00000000-0005-0000-0000-00004F790000}"/>
    <cellStyle name="Style 22 3 8 2" xfId="22867" xr:uid="{00000000-0005-0000-0000-000050790000}"/>
    <cellStyle name="Style 22 3 8 3" xfId="31787" xr:uid="{00000000-0005-0000-0000-000051790000}"/>
    <cellStyle name="Style 22 3 8 4" xfId="18085" xr:uid="{00000000-0005-0000-0000-000052790000}"/>
    <cellStyle name="Style 22 3 9" xfId="14992" xr:uid="{00000000-0005-0000-0000-000053790000}"/>
    <cellStyle name="Style 22 3 9 2" xfId="36417" xr:uid="{00000000-0005-0000-0000-000054790000}"/>
    <cellStyle name="Style 22 3 9 3" xfId="17414" xr:uid="{00000000-0005-0000-0000-000055790000}"/>
    <cellStyle name="Style 22 4" xfId="5371" xr:uid="{00000000-0005-0000-0000-000056790000}"/>
    <cellStyle name="Style 22 4 2" xfId="10532" xr:uid="{00000000-0005-0000-0000-000057790000}"/>
    <cellStyle name="Style 22 4 2 2" xfId="15406" xr:uid="{00000000-0005-0000-0000-000058790000}"/>
    <cellStyle name="Style 22 4 2 2 2" xfId="36790" xr:uid="{00000000-0005-0000-0000-000059790000}"/>
    <cellStyle name="Style 22 4 2 3" xfId="15986" xr:uid="{00000000-0005-0000-0000-00005A790000}"/>
    <cellStyle name="Style 22 4 2 4" xfId="29786" xr:uid="{00000000-0005-0000-0000-00005B790000}"/>
    <cellStyle name="Style 22 4 3" xfId="11651" xr:uid="{00000000-0005-0000-0000-00005C790000}"/>
    <cellStyle name="Style 22 4 3 2" xfId="34434" xr:uid="{00000000-0005-0000-0000-00005D790000}"/>
    <cellStyle name="Style 22 4 3 3" xfId="28561" xr:uid="{00000000-0005-0000-0000-00005E790000}"/>
    <cellStyle name="Style 22 4 4" xfId="14626" xr:uid="{00000000-0005-0000-0000-00005F790000}"/>
    <cellStyle name="Style 22 4 4 2" xfId="36119" xr:uid="{00000000-0005-0000-0000-000060790000}"/>
    <cellStyle name="Style 22 4 5" xfId="14788" xr:uid="{00000000-0005-0000-0000-000061790000}"/>
    <cellStyle name="Style 22 4 5 2" xfId="36245" xr:uid="{00000000-0005-0000-0000-000062790000}"/>
    <cellStyle name="Style 22 4 6" xfId="27879" xr:uid="{00000000-0005-0000-0000-000063790000}"/>
    <cellStyle name="Style 22 5" xfId="5824" xr:uid="{00000000-0005-0000-0000-000064790000}"/>
    <cellStyle name="Style 22 5 2" xfId="10690" xr:uid="{00000000-0005-0000-0000-000065790000}"/>
    <cellStyle name="Style 22 5 2 2" xfId="33780" xr:uid="{00000000-0005-0000-0000-000066790000}"/>
    <cellStyle name="Style 22 5 2 3" xfId="24271" xr:uid="{00000000-0005-0000-0000-000067790000}"/>
    <cellStyle name="Style 22 5 3" xfId="32400" xr:uid="{00000000-0005-0000-0000-000068790000}"/>
    <cellStyle name="Style 22 5 4" xfId="29381" xr:uid="{00000000-0005-0000-0000-000069790000}"/>
    <cellStyle name="Style 22 5 5" xfId="19380" xr:uid="{00000000-0005-0000-0000-00006A790000}"/>
    <cellStyle name="Style 22 6" xfId="7012" xr:uid="{00000000-0005-0000-0000-00006B790000}"/>
    <cellStyle name="Style 22 6 2" xfId="16267" xr:uid="{00000000-0005-0000-0000-00006C790000}"/>
    <cellStyle name="Style 22 6 2 2" xfId="37576" xr:uid="{00000000-0005-0000-0000-00006D790000}"/>
    <cellStyle name="Style 22 6 2 3" xfId="25450" xr:uid="{00000000-0005-0000-0000-00006E790000}"/>
    <cellStyle name="Style 22 6 3" xfId="16459" xr:uid="{00000000-0005-0000-0000-00006F790000}"/>
    <cellStyle name="Style 22 6 4" xfId="32719" xr:uid="{00000000-0005-0000-0000-000070790000}"/>
    <cellStyle name="Style 22 7" xfId="6241" xr:uid="{00000000-0005-0000-0000-000071790000}"/>
    <cellStyle name="Style 22 7 2" xfId="10128" xr:uid="{00000000-0005-0000-0000-000072790000}"/>
    <cellStyle name="Style 22 7 2 2" xfId="33430" xr:uid="{00000000-0005-0000-0000-000073790000}"/>
    <cellStyle name="Style 22 7 2 3" xfId="24681" xr:uid="{00000000-0005-0000-0000-000074790000}"/>
    <cellStyle name="Style 22 7 3" xfId="32562" xr:uid="{00000000-0005-0000-0000-000075790000}"/>
    <cellStyle name="Style 22 7 4" xfId="19790" xr:uid="{00000000-0005-0000-0000-000076790000}"/>
    <cellStyle name="Style 22 8" xfId="7037" xr:uid="{00000000-0005-0000-0000-000077790000}"/>
    <cellStyle name="Style 22 8 2" xfId="25475" xr:uid="{00000000-0005-0000-0000-000078790000}"/>
    <cellStyle name="Style 22 8 3" xfId="32731" xr:uid="{00000000-0005-0000-0000-000079790000}"/>
    <cellStyle name="Style 22 8 4" xfId="20412" xr:uid="{00000000-0005-0000-0000-00007A790000}"/>
    <cellStyle name="Style 22 9" xfId="8524" xr:uid="{00000000-0005-0000-0000-00007B790000}"/>
    <cellStyle name="Style 22 9 2" xfId="26947" xr:uid="{00000000-0005-0000-0000-00007C790000}"/>
    <cellStyle name="Style 22 9 3" xfId="33097" xr:uid="{00000000-0005-0000-0000-00007D790000}"/>
    <cellStyle name="Style 22 9 4" xfId="21815" xr:uid="{00000000-0005-0000-0000-00007E790000}"/>
    <cellStyle name="Style 23" xfId="3110" xr:uid="{00000000-0005-0000-0000-00007F790000}"/>
    <cellStyle name="Style 23 2" xfId="10339" xr:uid="{00000000-0005-0000-0000-000080790000}"/>
    <cellStyle name="Style 23 2 2" xfId="10693" xr:uid="{00000000-0005-0000-0000-000081790000}"/>
    <cellStyle name="Style 23 2 3" xfId="28768" xr:uid="{00000000-0005-0000-0000-000082790000}"/>
    <cellStyle name="Style 23 3" xfId="11272" xr:uid="{00000000-0005-0000-0000-000083790000}"/>
    <cellStyle name="Style 23 3 2" xfId="28562" xr:uid="{00000000-0005-0000-0000-000084790000}"/>
    <cellStyle name="Style 23 3 3" xfId="34089" xr:uid="{00000000-0005-0000-0000-000085790000}"/>
    <cellStyle name="Style 23 4" xfId="11652" xr:uid="{00000000-0005-0000-0000-000086790000}"/>
    <cellStyle name="Style 23 5" xfId="10692" xr:uid="{00000000-0005-0000-0000-000087790000}"/>
    <cellStyle name="Style 23 6" xfId="10129" xr:uid="{00000000-0005-0000-0000-000088790000}"/>
    <cellStyle name="Style 23 7" xfId="27481" xr:uid="{00000000-0005-0000-0000-000089790000}"/>
    <cellStyle name="Style 24" xfId="3111" xr:uid="{00000000-0005-0000-0000-00008A790000}"/>
    <cellStyle name="Style 24 10" xfId="4017" xr:uid="{00000000-0005-0000-0000-00008B790000}"/>
    <cellStyle name="Style 24 10 2" xfId="22484" xr:uid="{00000000-0005-0000-0000-00008C790000}"/>
    <cellStyle name="Style 24 10 3" xfId="31701" xr:uid="{00000000-0005-0000-0000-00008D790000}"/>
    <cellStyle name="Style 24 10 4" xfId="17699" xr:uid="{00000000-0005-0000-0000-00008E790000}"/>
    <cellStyle name="Style 24 11" xfId="14993" xr:uid="{00000000-0005-0000-0000-00008F790000}"/>
    <cellStyle name="Style 24 11 2" xfId="36418" xr:uid="{00000000-0005-0000-0000-000090790000}"/>
    <cellStyle name="Style 24 11 3" xfId="17012" xr:uid="{00000000-0005-0000-0000-000091790000}"/>
    <cellStyle name="Style 24 12" xfId="15679" xr:uid="{00000000-0005-0000-0000-000092790000}"/>
    <cellStyle name="Style 24 12 2" xfId="37052" xr:uid="{00000000-0005-0000-0000-000093790000}"/>
    <cellStyle name="Style 24 13" xfId="31374" xr:uid="{00000000-0005-0000-0000-000094790000}"/>
    <cellStyle name="Style 24 14" xfId="27482" xr:uid="{00000000-0005-0000-0000-000095790000}"/>
    <cellStyle name="Style 24 2" xfId="3610" xr:uid="{00000000-0005-0000-0000-000096790000}"/>
    <cellStyle name="Style 24 2 10" xfId="15648" xr:uid="{00000000-0005-0000-0000-000097790000}"/>
    <cellStyle name="Style 24 2 10 2" xfId="37023" xr:uid="{00000000-0005-0000-0000-000098790000}"/>
    <cellStyle name="Style 24 2 11" xfId="31604" xr:uid="{00000000-0005-0000-0000-000099790000}"/>
    <cellStyle name="Style 24 2 12" xfId="27483" xr:uid="{00000000-0005-0000-0000-00009A790000}"/>
    <cellStyle name="Style 24 2 2" xfId="5737" xr:uid="{00000000-0005-0000-0000-00009B790000}"/>
    <cellStyle name="Style 24 2 2 2" xfId="14364" xr:uid="{00000000-0005-0000-0000-00009C790000}"/>
    <cellStyle name="Style 24 2 2 2 2" xfId="16361" xr:uid="{00000000-0005-0000-0000-00009D790000}"/>
    <cellStyle name="Style 24 2 2 2 2 2" xfId="37663" xr:uid="{00000000-0005-0000-0000-00009E790000}"/>
    <cellStyle name="Style 24 2 2 2 3" xfId="16509" xr:uid="{00000000-0005-0000-0000-00009F790000}"/>
    <cellStyle name="Style 24 2 2 2 4" xfId="35910" xr:uid="{00000000-0005-0000-0000-0000A0790000}"/>
    <cellStyle name="Style 24 2 2 3" xfId="10941" xr:uid="{00000000-0005-0000-0000-0000A1790000}"/>
    <cellStyle name="Style 24 2 2 4" xfId="32325" xr:uid="{00000000-0005-0000-0000-0000A2790000}"/>
    <cellStyle name="Style 24 2 2 5" xfId="29384" xr:uid="{00000000-0005-0000-0000-0000A3790000}"/>
    <cellStyle name="Style 24 2 3" xfId="5881" xr:uid="{00000000-0005-0000-0000-0000A4790000}"/>
    <cellStyle name="Style 24 2 3 2" xfId="10340" xr:uid="{00000000-0005-0000-0000-0000A5790000}"/>
    <cellStyle name="Style 24 2 3 2 2" xfId="33612" xr:uid="{00000000-0005-0000-0000-0000A6790000}"/>
    <cellStyle name="Style 24 2 3 2 3" xfId="24327" xr:uid="{00000000-0005-0000-0000-0000A7790000}"/>
    <cellStyle name="Style 24 2 3 3" xfId="14793" xr:uid="{00000000-0005-0000-0000-0000A8790000}"/>
    <cellStyle name="Style 24 2 3 3 2" xfId="36249" xr:uid="{00000000-0005-0000-0000-0000A9790000}"/>
    <cellStyle name="Style 24 2 3 4" xfId="16162" xr:uid="{00000000-0005-0000-0000-0000AA790000}"/>
    <cellStyle name="Style 24 2 3 4 2" xfId="37479" xr:uid="{00000000-0005-0000-0000-0000AB790000}"/>
    <cellStyle name="Style 24 2 3 5" xfId="28255" xr:uid="{00000000-0005-0000-0000-0000AC790000}"/>
    <cellStyle name="Style 24 2 3 6" xfId="19436" xr:uid="{00000000-0005-0000-0000-0000AD790000}"/>
    <cellStyle name="Style 24 2 4" xfId="7127" xr:uid="{00000000-0005-0000-0000-0000AE790000}"/>
    <cellStyle name="Style 24 2 4 2" xfId="16360" xr:uid="{00000000-0005-0000-0000-0000AF790000}"/>
    <cellStyle name="Style 24 2 4 2 2" xfId="37662" xr:uid="{00000000-0005-0000-0000-0000B0790000}"/>
    <cellStyle name="Style 24 2 4 2 3" xfId="25561" xr:uid="{00000000-0005-0000-0000-0000B1790000}"/>
    <cellStyle name="Style 24 2 4 3" xfId="16508" xr:uid="{00000000-0005-0000-0000-0000B2790000}"/>
    <cellStyle name="Style 24 2 4 4" xfId="32748" xr:uid="{00000000-0005-0000-0000-0000B3790000}"/>
    <cellStyle name="Style 24 2 5" xfId="7212" xr:uid="{00000000-0005-0000-0000-0000B4790000}"/>
    <cellStyle name="Style 24 2 5 2" xfId="25643" xr:uid="{00000000-0005-0000-0000-0000B5790000}"/>
    <cellStyle name="Style 24 2 5 3" xfId="32772" xr:uid="{00000000-0005-0000-0000-0000B6790000}"/>
    <cellStyle name="Style 24 2 5 4" xfId="20569" xr:uid="{00000000-0005-0000-0000-0000B7790000}"/>
    <cellStyle name="Style 24 2 6" xfId="8122" xr:uid="{00000000-0005-0000-0000-0000B8790000}"/>
    <cellStyle name="Style 24 2 6 2" xfId="26552" xr:uid="{00000000-0005-0000-0000-0000B9790000}"/>
    <cellStyle name="Style 24 2 6 3" xfId="33006" xr:uid="{00000000-0005-0000-0000-0000BA790000}"/>
    <cellStyle name="Style 24 2 6 4" xfId="21476" xr:uid="{00000000-0005-0000-0000-0000BB790000}"/>
    <cellStyle name="Style 24 2 7" xfId="8846" xr:uid="{00000000-0005-0000-0000-0000BC790000}"/>
    <cellStyle name="Style 24 2 7 2" xfId="27266" xr:uid="{00000000-0005-0000-0000-0000BD790000}"/>
    <cellStyle name="Style 24 2 7 3" xfId="33178" xr:uid="{00000000-0005-0000-0000-0000BE790000}"/>
    <cellStyle name="Style 24 2 7 4" xfId="22137" xr:uid="{00000000-0005-0000-0000-0000BF790000}"/>
    <cellStyle name="Style 24 2 8" xfId="4338" xr:uid="{00000000-0005-0000-0000-0000C0790000}"/>
    <cellStyle name="Style 24 2 8 2" xfId="22802" xr:uid="{00000000-0005-0000-0000-0000C1790000}"/>
    <cellStyle name="Style 24 2 8 3" xfId="31781" xr:uid="{00000000-0005-0000-0000-0000C2790000}"/>
    <cellStyle name="Style 24 2 8 4" xfId="18020" xr:uid="{00000000-0005-0000-0000-0000C3790000}"/>
    <cellStyle name="Style 24 2 9" xfId="14994" xr:uid="{00000000-0005-0000-0000-0000C4790000}"/>
    <cellStyle name="Style 24 2 9 2" xfId="36419" xr:uid="{00000000-0005-0000-0000-0000C5790000}"/>
    <cellStyle name="Style 24 2 9 3" xfId="17349" xr:uid="{00000000-0005-0000-0000-0000C6790000}"/>
    <cellStyle name="Style 24 3" xfId="3676" xr:uid="{00000000-0005-0000-0000-0000C7790000}"/>
    <cellStyle name="Style 24 3 10" xfId="15625" xr:uid="{00000000-0005-0000-0000-0000C8790000}"/>
    <cellStyle name="Style 24 3 10 2" xfId="37000" xr:uid="{00000000-0005-0000-0000-0000C9790000}"/>
    <cellStyle name="Style 24 3 11" xfId="31611" xr:uid="{00000000-0005-0000-0000-0000CA790000}"/>
    <cellStyle name="Style 24 3 12" xfId="27794" xr:uid="{00000000-0005-0000-0000-0000CB790000}"/>
    <cellStyle name="Style 24 3 2" xfId="5803" xr:uid="{00000000-0005-0000-0000-0000CC790000}"/>
    <cellStyle name="Style 24 3 2 2" xfId="11273" xr:uid="{00000000-0005-0000-0000-0000CD790000}"/>
    <cellStyle name="Style 24 3 2 2 2" xfId="34090" xr:uid="{00000000-0005-0000-0000-0000CE790000}"/>
    <cellStyle name="Style 24 3 2 2 3" xfId="24250" xr:uid="{00000000-0005-0000-0000-0000CF790000}"/>
    <cellStyle name="Style 24 3 2 3" xfId="32391" xr:uid="{00000000-0005-0000-0000-0000D0790000}"/>
    <cellStyle name="Style 24 3 2 4" xfId="29647" xr:uid="{00000000-0005-0000-0000-0000D1790000}"/>
    <cellStyle name="Style 24 3 2 5" xfId="19361" xr:uid="{00000000-0005-0000-0000-0000D2790000}"/>
    <cellStyle name="Style 24 3 3" xfId="5892" xr:uid="{00000000-0005-0000-0000-0000D3790000}"/>
    <cellStyle name="Style 24 3 3 2" xfId="16362" xr:uid="{00000000-0005-0000-0000-0000D4790000}"/>
    <cellStyle name="Style 24 3 3 2 2" xfId="37664" xr:uid="{00000000-0005-0000-0000-0000D5790000}"/>
    <cellStyle name="Style 24 3 3 2 3" xfId="24338" xr:uid="{00000000-0005-0000-0000-0000D6790000}"/>
    <cellStyle name="Style 24 3 3 3" xfId="16510" xr:uid="{00000000-0005-0000-0000-0000D7790000}"/>
    <cellStyle name="Style 24 3 3 4" xfId="28256" xr:uid="{00000000-0005-0000-0000-0000D8790000}"/>
    <cellStyle name="Style 24 3 4" xfId="7143" xr:uid="{00000000-0005-0000-0000-0000D9790000}"/>
    <cellStyle name="Style 24 3 4 2" xfId="25577" xr:uid="{00000000-0005-0000-0000-0000DA790000}"/>
    <cellStyle name="Style 24 3 4 3" xfId="32756" xr:uid="{00000000-0005-0000-0000-0000DB790000}"/>
    <cellStyle name="Style 24 3 4 4" xfId="20501" xr:uid="{00000000-0005-0000-0000-0000DC790000}"/>
    <cellStyle name="Style 24 3 5" xfId="7278" xr:uid="{00000000-0005-0000-0000-0000DD790000}"/>
    <cellStyle name="Style 24 3 5 2" xfId="25709" xr:uid="{00000000-0005-0000-0000-0000DE790000}"/>
    <cellStyle name="Style 24 3 5 3" xfId="32779" xr:uid="{00000000-0005-0000-0000-0000DF790000}"/>
    <cellStyle name="Style 24 3 5 4" xfId="20635" xr:uid="{00000000-0005-0000-0000-0000E0790000}"/>
    <cellStyle name="Style 24 3 6" xfId="8188" xr:uid="{00000000-0005-0000-0000-0000E1790000}"/>
    <cellStyle name="Style 24 3 6 2" xfId="26618" xr:uid="{00000000-0005-0000-0000-0000E2790000}"/>
    <cellStyle name="Style 24 3 6 3" xfId="33013" xr:uid="{00000000-0005-0000-0000-0000E3790000}"/>
    <cellStyle name="Style 24 3 6 4" xfId="21542" xr:uid="{00000000-0005-0000-0000-0000E4790000}"/>
    <cellStyle name="Style 24 3 7" xfId="8912" xr:uid="{00000000-0005-0000-0000-0000E5790000}"/>
    <cellStyle name="Style 24 3 7 2" xfId="27332" xr:uid="{00000000-0005-0000-0000-0000E6790000}"/>
    <cellStyle name="Style 24 3 7 3" xfId="33185" xr:uid="{00000000-0005-0000-0000-0000E7790000}"/>
    <cellStyle name="Style 24 3 7 4" xfId="22203" xr:uid="{00000000-0005-0000-0000-0000E8790000}"/>
    <cellStyle name="Style 24 3 8" xfId="4404" xr:uid="{00000000-0005-0000-0000-0000E9790000}"/>
    <cellStyle name="Style 24 3 8 2" xfId="22868" xr:uid="{00000000-0005-0000-0000-0000EA790000}"/>
    <cellStyle name="Style 24 3 8 3" xfId="31788" xr:uid="{00000000-0005-0000-0000-0000EB790000}"/>
    <cellStyle name="Style 24 3 8 4" xfId="18086" xr:uid="{00000000-0005-0000-0000-0000EC790000}"/>
    <cellStyle name="Style 24 3 9" xfId="14995" xr:uid="{00000000-0005-0000-0000-0000ED790000}"/>
    <cellStyle name="Style 24 3 9 2" xfId="36420" xr:uid="{00000000-0005-0000-0000-0000EE790000}"/>
    <cellStyle name="Style 24 3 9 3" xfId="17415" xr:uid="{00000000-0005-0000-0000-0000EF790000}"/>
    <cellStyle name="Style 24 4" xfId="5373" xr:uid="{00000000-0005-0000-0000-0000F0790000}"/>
    <cellStyle name="Style 24 4 2" xfId="10533" xr:uid="{00000000-0005-0000-0000-0000F1790000}"/>
    <cellStyle name="Style 24 4 2 2" xfId="15407" xr:uid="{00000000-0005-0000-0000-0000F2790000}"/>
    <cellStyle name="Style 24 4 2 2 2" xfId="36791" xr:uid="{00000000-0005-0000-0000-0000F3790000}"/>
    <cellStyle name="Style 24 4 2 3" xfId="14764" xr:uid="{00000000-0005-0000-0000-0000F4790000}"/>
    <cellStyle name="Style 24 4 2 4" xfId="29787" xr:uid="{00000000-0005-0000-0000-0000F5790000}"/>
    <cellStyle name="Style 24 4 3" xfId="11653" xr:uid="{00000000-0005-0000-0000-0000F6790000}"/>
    <cellStyle name="Style 24 4 3 2" xfId="34435" xr:uid="{00000000-0005-0000-0000-0000F7790000}"/>
    <cellStyle name="Style 24 4 3 3" xfId="28563" xr:uid="{00000000-0005-0000-0000-0000F8790000}"/>
    <cellStyle name="Style 24 4 4" xfId="14625" xr:uid="{00000000-0005-0000-0000-0000F9790000}"/>
    <cellStyle name="Style 24 4 4 2" xfId="36118" xr:uid="{00000000-0005-0000-0000-0000FA790000}"/>
    <cellStyle name="Style 24 4 5" xfId="14555" xr:uid="{00000000-0005-0000-0000-0000FB790000}"/>
    <cellStyle name="Style 24 4 5 2" xfId="36077" xr:uid="{00000000-0005-0000-0000-0000FC790000}"/>
    <cellStyle name="Style 24 4 6" xfId="27880" xr:uid="{00000000-0005-0000-0000-0000FD790000}"/>
    <cellStyle name="Style 24 5" xfId="5825" xr:uid="{00000000-0005-0000-0000-0000FE790000}"/>
    <cellStyle name="Style 24 5 2" xfId="10694" xr:uid="{00000000-0005-0000-0000-0000FF790000}"/>
    <cellStyle name="Style 24 5 2 2" xfId="33781" xr:uid="{00000000-0005-0000-0000-0000007A0000}"/>
    <cellStyle name="Style 24 5 2 3" xfId="24272" xr:uid="{00000000-0005-0000-0000-0000017A0000}"/>
    <cellStyle name="Style 24 5 3" xfId="32401" xr:uid="{00000000-0005-0000-0000-0000027A0000}"/>
    <cellStyle name="Style 24 5 4" xfId="29383" xr:uid="{00000000-0005-0000-0000-0000037A0000}"/>
    <cellStyle name="Style 24 5 5" xfId="19381" xr:uid="{00000000-0005-0000-0000-0000047A0000}"/>
    <cellStyle name="Style 24 6" xfId="7013" xr:uid="{00000000-0005-0000-0000-0000057A0000}"/>
    <cellStyle name="Style 24 6 2" xfId="16268" xr:uid="{00000000-0005-0000-0000-0000067A0000}"/>
    <cellStyle name="Style 24 6 2 2" xfId="37577" xr:uid="{00000000-0005-0000-0000-0000077A0000}"/>
    <cellStyle name="Style 24 6 2 3" xfId="25451" xr:uid="{00000000-0005-0000-0000-0000087A0000}"/>
    <cellStyle name="Style 24 6 3" xfId="16460" xr:uid="{00000000-0005-0000-0000-0000097A0000}"/>
    <cellStyle name="Style 24 6 4" xfId="32720" xr:uid="{00000000-0005-0000-0000-00000A7A0000}"/>
    <cellStyle name="Style 24 7" xfId="6239" xr:uid="{00000000-0005-0000-0000-00000B7A0000}"/>
    <cellStyle name="Style 24 7 2" xfId="10130" xr:uid="{00000000-0005-0000-0000-00000C7A0000}"/>
    <cellStyle name="Style 24 7 2 2" xfId="33431" xr:uid="{00000000-0005-0000-0000-00000D7A0000}"/>
    <cellStyle name="Style 24 7 2 3" xfId="24679" xr:uid="{00000000-0005-0000-0000-00000E7A0000}"/>
    <cellStyle name="Style 24 7 3" xfId="32561" xr:uid="{00000000-0005-0000-0000-00000F7A0000}"/>
    <cellStyle name="Style 24 7 4" xfId="19788" xr:uid="{00000000-0005-0000-0000-0000107A0000}"/>
    <cellStyle name="Style 24 8" xfId="7297" xr:uid="{00000000-0005-0000-0000-0000117A0000}"/>
    <cellStyle name="Style 24 8 2" xfId="25728" xr:uid="{00000000-0005-0000-0000-0000127A0000}"/>
    <cellStyle name="Style 24 8 3" xfId="32784" xr:uid="{00000000-0005-0000-0000-0000137A0000}"/>
    <cellStyle name="Style 24 8 4" xfId="20653" xr:uid="{00000000-0005-0000-0000-0000147A0000}"/>
    <cellStyle name="Style 24 9" xfId="8525" xr:uid="{00000000-0005-0000-0000-0000157A0000}"/>
    <cellStyle name="Style 24 9 2" xfId="26948" xr:uid="{00000000-0005-0000-0000-0000167A0000}"/>
    <cellStyle name="Style 24 9 3" xfId="33098" xr:uid="{00000000-0005-0000-0000-0000177A0000}"/>
    <cellStyle name="Style 24 9 4" xfId="21816" xr:uid="{00000000-0005-0000-0000-0000187A0000}"/>
    <cellStyle name="Style 25" xfId="3112" xr:uid="{00000000-0005-0000-0000-0000197A0000}"/>
    <cellStyle name="Style 25 10" xfId="8526" xr:uid="{00000000-0005-0000-0000-00001A7A0000}"/>
    <cellStyle name="Style 25 10 2" xfId="26949" xr:uid="{00000000-0005-0000-0000-00001B7A0000}"/>
    <cellStyle name="Style 25 10 3" xfId="33099" xr:uid="{00000000-0005-0000-0000-00001C7A0000}"/>
    <cellStyle name="Style 25 10 4" xfId="21817" xr:uid="{00000000-0005-0000-0000-00001D7A0000}"/>
    <cellStyle name="Style 25 11" xfId="4018" xr:uid="{00000000-0005-0000-0000-00001E7A0000}"/>
    <cellStyle name="Style 25 11 2" xfId="22485" xr:uid="{00000000-0005-0000-0000-00001F7A0000}"/>
    <cellStyle name="Style 25 11 3" xfId="31702" xr:uid="{00000000-0005-0000-0000-0000207A0000}"/>
    <cellStyle name="Style 25 11 4" xfId="17700" xr:uid="{00000000-0005-0000-0000-0000217A0000}"/>
    <cellStyle name="Style 25 12" xfId="14996" xr:uid="{00000000-0005-0000-0000-0000227A0000}"/>
    <cellStyle name="Style 25 12 2" xfId="36421" xr:uid="{00000000-0005-0000-0000-0000237A0000}"/>
    <cellStyle name="Style 25 12 3" xfId="17013" xr:uid="{00000000-0005-0000-0000-0000247A0000}"/>
    <cellStyle name="Style 25 13" xfId="15602" xr:uid="{00000000-0005-0000-0000-0000257A0000}"/>
    <cellStyle name="Style 25 13 2" xfId="36978" xr:uid="{00000000-0005-0000-0000-0000267A0000}"/>
    <cellStyle name="Style 25 14" xfId="31375" xr:uid="{00000000-0005-0000-0000-0000277A0000}"/>
    <cellStyle name="Style 25 15" xfId="27484" xr:uid="{00000000-0005-0000-0000-0000287A0000}"/>
    <cellStyle name="Style 25 2" xfId="3113" xr:uid="{00000000-0005-0000-0000-0000297A0000}"/>
    <cellStyle name="Style 25 2 10" xfId="4019" xr:uid="{00000000-0005-0000-0000-00002A7A0000}"/>
    <cellStyle name="Style 25 2 10 2" xfId="22486" xr:uid="{00000000-0005-0000-0000-00002B7A0000}"/>
    <cellStyle name="Style 25 2 10 3" xfId="31703" xr:uid="{00000000-0005-0000-0000-00002C7A0000}"/>
    <cellStyle name="Style 25 2 10 4" xfId="17701" xr:uid="{00000000-0005-0000-0000-00002D7A0000}"/>
    <cellStyle name="Style 25 2 11" xfId="14997" xr:uid="{00000000-0005-0000-0000-00002E7A0000}"/>
    <cellStyle name="Style 25 2 11 2" xfId="36422" xr:uid="{00000000-0005-0000-0000-00002F7A0000}"/>
    <cellStyle name="Style 25 2 11 3" xfId="17014" xr:uid="{00000000-0005-0000-0000-0000307A0000}"/>
    <cellStyle name="Style 25 2 12" xfId="16228" xr:uid="{00000000-0005-0000-0000-0000317A0000}"/>
    <cellStyle name="Style 25 2 12 2" xfId="37541" xr:uid="{00000000-0005-0000-0000-0000327A0000}"/>
    <cellStyle name="Style 25 2 13" xfId="31376" xr:uid="{00000000-0005-0000-0000-0000337A0000}"/>
    <cellStyle name="Style 25 2 14" xfId="27485" xr:uid="{00000000-0005-0000-0000-0000347A0000}"/>
    <cellStyle name="Style 25 2 2" xfId="3612" xr:uid="{00000000-0005-0000-0000-0000357A0000}"/>
    <cellStyle name="Style 25 2 2 10" xfId="15578" xr:uid="{00000000-0005-0000-0000-0000367A0000}"/>
    <cellStyle name="Style 25 2 2 10 2" xfId="36955" xr:uid="{00000000-0005-0000-0000-0000377A0000}"/>
    <cellStyle name="Style 25 2 2 11" xfId="31606" xr:uid="{00000000-0005-0000-0000-0000387A0000}"/>
    <cellStyle name="Style 25 2 2 12" xfId="27486" xr:uid="{00000000-0005-0000-0000-0000397A0000}"/>
    <cellStyle name="Style 25 2 2 2" xfId="5739" xr:uid="{00000000-0005-0000-0000-00003A7A0000}"/>
    <cellStyle name="Style 25 2 2 2 2" xfId="14365" xr:uid="{00000000-0005-0000-0000-00003B7A0000}"/>
    <cellStyle name="Style 25 2 2 2 2 2" xfId="16364" xr:uid="{00000000-0005-0000-0000-00003C7A0000}"/>
    <cellStyle name="Style 25 2 2 2 2 2 2" xfId="37666" xr:uid="{00000000-0005-0000-0000-00003D7A0000}"/>
    <cellStyle name="Style 25 2 2 2 2 3" xfId="16512" xr:uid="{00000000-0005-0000-0000-00003E7A0000}"/>
    <cellStyle name="Style 25 2 2 2 2 4" xfId="35911" xr:uid="{00000000-0005-0000-0000-00003F7A0000}"/>
    <cellStyle name="Style 25 2 2 2 3" xfId="10939" xr:uid="{00000000-0005-0000-0000-0000407A0000}"/>
    <cellStyle name="Style 25 2 2 2 4" xfId="32327" xr:uid="{00000000-0005-0000-0000-0000417A0000}"/>
    <cellStyle name="Style 25 2 2 2 5" xfId="29387" xr:uid="{00000000-0005-0000-0000-0000427A0000}"/>
    <cellStyle name="Style 25 2 2 3" xfId="5883" xr:uid="{00000000-0005-0000-0000-0000437A0000}"/>
    <cellStyle name="Style 25 2 2 3 2" xfId="10342" xr:uid="{00000000-0005-0000-0000-0000447A0000}"/>
    <cellStyle name="Style 25 2 2 3 2 2" xfId="33614" xr:uid="{00000000-0005-0000-0000-0000457A0000}"/>
    <cellStyle name="Style 25 2 2 3 2 3" xfId="24329" xr:uid="{00000000-0005-0000-0000-0000467A0000}"/>
    <cellStyle name="Style 25 2 2 3 3" xfId="14791" xr:uid="{00000000-0005-0000-0000-0000477A0000}"/>
    <cellStyle name="Style 25 2 2 3 3 2" xfId="36247" xr:uid="{00000000-0005-0000-0000-0000487A0000}"/>
    <cellStyle name="Style 25 2 2 3 4" xfId="15557" xr:uid="{00000000-0005-0000-0000-0000497A0000}"/>
    <cellStyle name="Style 25 2 2 3 4 2" xfId="36935" xr:uid="{00000000-0005-0000-0000-00004A7A0000}"/>
    <cellStyle name="Style 25 2 2 3 5" xfId="28257" xr:uid="{00000000-0005-0000-0000-00004B7A0000}"/>
    <cellStyle name="Style 25 2 2 3 6" xfId="19438" xr:uid="{00000000-0005-0000-0000-00004C7A0000}"/>
    <cellStyle name="Style 25 2 2 4" xfId="7129" xr:uid="{00000000-0005-0000-0000-00004D7A0000}"/>
    <cellStyle name="Style 25 2 2 4 2" xfId="16363" xr:uid="{00000000-0005-0000-0000-00004E7A0000}"/>
    <cellStyle name="Style 25 2 2 4 2 2" xfId="37665" xr:uid="{00000000-0005-0000-0000-00004F7A0000}"/>
    <cellStyle name="Style 25 2 2 4 2 3" xfId="25563" xr:uid="{00000000-0005-0000-0000-0000507A0000}"/>
    <cellStyle name="Style 25 2 2 4 3" xfId="16511" xr:uid="{00000000-0005-0000-0000-0000517A0000}"/>
    <cellStyle name="Style 25 2 2 4 4" xfId="32750" xr:uid="{00000000-0005-0000-0000-0000527A0000}"/>
    <cellStyle name="Style 25 2 2 5" xfId="7214" xr:uid="{00000000-0005-0000-0000-0000537A0000}"/>
    <cellStyle name="Style 25 2 2 5 2" xfId="25645" xr:uid="{00000000-0005-0000-0000-0000547A0000}"/>
    <cellStyle name="Style 25 2 2 5 3" xfId="32774" xr:uid="{00000000-0005-0000-0000-0000557A0000}"/>
    <cellStyle name="Style 25 2 2 5 4" xfId="20571" xr:uid="{00000000-0005-0000-0000-0000567A0000}"/>
    <cellStyle name="Style 25 2 2 6" xfId="8124" xr:uid="{00000000-0005-0000-0000-0000577A0000}"/>
    <cellStyle name="Style 25 2 2 6 2" xfId="26554" xr:uid="{00000000-0005-0000-0000-0000587A0000}"/>
    <cellStyle name="Style 25 2 2 6 3" xfId="33008" xr:uid="{00000000-0005-0000-0000-0000597A0000}"/>
    <cellStyle name="Style 25 2 2 6 4" xfId="21478" xr:uid="{00000000-0005-0000-0000-00005A7A0000}"/>
    <cellStyle name="Style 25 2 2 7" xfId="8848" xr:uid="{00000000-0005-0000-0000-00005B7A0000}"/>
    <cellStyle name="Style 25 2 2 7 2" xfId="27268" xr:uid="{00000000-0005-0000-0000-00005C7A0000}"/>
    <cellStyle name="Style 25 2 2 7 3" xfId="33180" xr:uid="{00000000-0005-0000-0000-00005D7A0000}"/>
    <cellStyle name="Style 25 2 2 7 4" xfId="22139" xr:uid="{00000000-0005-0000-0000-00005E7A0000}"/>
    <cellStyle name="Style 25 2 2 8" xfId="4340" xr:uid="{00000000-0005-0000-0000-00005F7A0000}"/>
    <cellStyle name="Style 25 2 2 8 2" xfId="22804" xr:uid="{00000000-0005-0000-0000-0000607A0000}"/>
    <cellStyle name="Style 25 2 2 8 3" xfId="31783" xr:uid="{00000000-0005-0000-0000-0000617A0000}"/>
    <cellStyle name="Style 25 2 2 8 4" xfId="18022" xr:uid="{00000000-0005-0000-0000-0000627A0000}"/>
    <cellStyle name="Style 25 2 2 9" xfId="14998" xr:uid="{00000000-0005-0000-0000-0000637A0000}"/>
    <cellStyle name="Style 25 2 2 9 2" xfId="36423" xr:uid="{00000000-0005-0000-0000-0000647A0000}"/>
    <cellStyle name="Style 25 2 2 9 3" xfId="17351" xr:uid="{00000000-0005-0000-0000-0000657A0000}"/>
    <cellStyle name="Style 25 2 3" xfId="3678" xr:uid="{00000000-0005-0000-0000-0000667A0000}"/>
    <cellStyle name="Style 25 2 3 10" xfId="16201" xr:uid="{00000000-0005-0000-0000-0000677A0000}"/>
    <cellStyle name="Style 25 2 3 10 2" xfId="37516" xr:uid="{00000000-0005-0000-0000-0000687A0000}"/>
    <cellStyle name="Style 25 2 3 11" xfId="31613" xr:uid="{00000000-0005-0000-0000-0000697A0000}"/>
    <cellStyle name="Style 25 2 3 12" xfId="27796" xr:uid="{00000000-0005-0000-0000-00006A7A0000}"/>
    <cellStyle name="Style 25 2 3 2" xfId="5805" xr:uid="{00000000-0005-0000-0000-00006B7A0000}"/>
    <cellStyle name="Style 25 2 3 2 2" xfId="11275" xr:uid="{00000000-0005-0000-0000-00006C7A0000}"/>
    <cellStyle name="Style 25 2 3 2 2 2" xfId="34092" xr:uid="{00000000-0005-0000-0000-00006D7A0000}"/>
    <cellStyle name="Style 25 2 3 2 2 3" xfId="24252" xr:uid="{00000000-0005-0000-0000-00006E7A0000}"/>
    <cellStyle name="Style 25 2 3 2 3" xfId="32393" xr:uid="{00000000-0005-0000-0000-00006F7A0000}"/>
    <cellStyle name="Style 25 2 3 2 4" xfId="29649" xr:uid="{00000000-0005-0000-0000-0000707A0000}"/>
    <cellStyle name="Style 25 2 3 2 5" xfId="19363" xr:uid="{00000000-0005-0000-0000-0000717A0000}"/>
    <cellStyle name="Style 25 2 3 3" xfId="5894" xr:uid="{00000000-0005-0000-0000-0000727A0000}"/>
    <cellStyle name="Style 25 2 3 3 2" xfId="24340" xr:uid="{00000000-0005-0000-0000-0000737A0000}"/>
    <cellStyle name="Style 25 2 3 3 3" xfId="28258" xr:uid="{00000000-0005-0000-0000-0000747A0000}"/>
    <cellStyle name="Style 25 2 3 3 4" xfId="19447" xr:uid="{00000000-0005-0000-0000-0000757A0000}"/>
    <cellStyle name="Style 25 2 3 4" xfId="7145" xr:uid="{00000000-0005-0000-0000-0000767A0000}"/>
    <cellStyle name="Style 25 2 3 4 2" xfId="25579" xr:uid="{00000000-0005-0000-0000-0000777A0000}"/>
    <cellStyle name="Style 25 2 3 4 3" xfId="32758" xr:uid="{00000000-0005-0000-0000-0000787A0000}"/>
    <cellStyle name="Style 25 2 3 4 4" xfId="20503" xr:uid="{00000000-0005-0000-0000-0000797A0000}"/>
    <cellStyle name="Style 25 2 3 5" xfId="7280" xr:uid="{00000000-0005-0000-0000-00007A7A0000}"/>
    <cellStyle name="Style 25 2 3 5 2" xfId="25711" xr:uid="{00000000-0005-0000-0000-00007B7A0000}"/>
    <cellStyle name="Style 25 2 3 5 3" xfId="32781" xr:uid="{00000000-0005-0000-0000-00007C7A0000}"/>
    <cellStyle name="Style 25 2 3 5 4" xfId="20637" xr:uid="{00000000-0005-0000-0000-00007D7A0000}"/>
    <cellStyle name="Style 25 2 3 6" xfId="8190" xr:uid="{00000000-0005-0000-0000-00007E7A0000}"/>
    <cellStyle name="Style 25 2 3 6 2" xfId="26620" xr:uid="{00000000-0005-0000-0000-00007F7A0000}"/>
    <cellStyle name="Style 25 2 3 6 3" xfId="33015" xr:uid="{00000000-0005-0000-0000-0000807A0000}"/>
    <cellStyle name="Style 25 2 3 6 4" xfId="21544" xr:uid="{00000000-0005-0000-0000-0000817A0000}"/>
    <cellStyle name="Style 25 2 3 7" xfId="8914" xr:uid="{00000000-0005-0000-0000-0000827A0000}"/>
    <cellStyle name="Style 25 2 3 7 2" xfId="27334" xr:uid="{00000000-0005-0000-0000-0000837A0000}"/>
    <cellStyle name="Style 25 2 3 7 3" xfId="33187" xr:uid="{00000000-0005-0000-0000-0000847A0000}"/>
    <cellStyle name="Style 25 2 3 7 4" xfId="22205" xr:uid="{00000000-0005-0000-0000-0000857A0000}"/>
    <cellStyle name="Style 25 2 3 8" xfId="4406" xr:uid="{00000000-0005-0000-0000-0000867A0000}"/>
    <cellStyle name="Style 25 2 3 8 2" xfId="22870" xr:uid="{00000000-0005-0000-0000-0000877A0000}"/>
    <cellStyle name="Style 25 2 3 8 3" xfId="31790" xr:uid="{00000000-0005-0000-0000-0000887A0000}"/>
    <cellStyle name="Style 25 2 3 8 4" xfId="18088" xr:uid="{00000000-0005-0000-0000-0000897A0000}"/>
    <cellStyle name="Style 25 2 3 9" xfId="14999" xr:uid="{00000000-0005-0000-0000-00008A7A0000}"/>
    <cellStyle name="Style 25 2 3 9 2" xfId="36424" xr:uid="{00000000-0005-0000-0000-00008B7A0000}"/>
    <cellStyle name="Style 25 2 3 9 3" xfId="17417" xr:uid="{00000000-0005-0000-0000-00008C7A0000}"/>
    <cellStyle name="Style 25 2 4" xfId="5375" xr:uid="{00000000-0005-0000-0000-00008D7A0000}"/>
    <cellStyle name="Style 25 2 4 2" xfId="10535" xr:uid="{00000000-0005-0000-0000-00008E7A0000}"/>
    <cellStyle name="Style 25 2 4 2 2" xfId="15409" xr:uid="{00000000-0005-0000-0000-00008F7A0000}"/>
    <cellStyle name="Style 25 2 4 2 2 2" xfId="36793" xr:uid="{00000000-0005-0000-0000-0000907A0000}"/>
    <cellStyle name="Style 25 2 4 2 3" xfId="14762" xr:uid="{00000000-0005-0000-0000-0000917A0000}"/>
    <cellStyle name="Style 25 2 4 2 4" xfId="29789" xr:uid="{00000000-0005-0000-0000-0000927A0000}"/>
    <cellStyle name="Style 25 2 4 3" xfId="11655" xr:uid="{00000000-0005-0000-0000-0000937A0000}"/>
    <cellStyle name="Style 25 2 4 3 2" xfId="34437" xr:uid="{00000000-0005-0000-0000-0000947A0000}"/>
    <cellStyle name="Style 25 2 4 3 3" xfId="28565" xr:uid="{00000000-0005-0000-0000-0000957A0000}"/>
    <cellStyle name="Style 25 2 4 4" xfId="14623" xr:uid="{00000000-0005-0000-0000-0000967A0000}"/>
    <cellStyle name="Style 25 2 4 4 2" xfId="36116" xr:uid="{00000000-0005-0000-0000-0000977A0000}"/>
    <cellStyle name="Style 25 2 4 5" xfId="16599" xr:uid="{00000000-0005-0000-0000-0000987A0000}"/>
    <cellStyle name="Style 25 2 4 5 2" xfId="37808" xr:uid="{00000000-0005-0000-0000-0000997A0000}"/>
    <cellStyle name="Style 25 2 4 6" xfId="27882" xr:uid="{00000000-0005-0000-0000-00009A7A0000}"/>
    <cellStyle name="Style 25 2 5" xfId="5827" xr:uid="{00000000-0005-0000-0000-00009B7A0000}"/>
    <cellStyle name="Style 25 2 5 2" xfId="10696" xr:uid="{00000000-0005-0000-0000-00009C7A0000}"/>
    <cellStyle name="Style 25 2 5 2 2" xfId="33783" xr:uid="{00000000-0005-0000-0000-00009D7A0000}"/>
    <cellStyle name="Style 25 2 5 2 3" xfId="24274" xr:uid="{00000000-0005-0000-0000-00009E7A0000}"/>
    <cellStyle name="Style 25 2 5 3" xfId="32403" xr:uid="{00000000-0005-0000-0000-00009F7A0000}"/>
    <cellStyle name="Style 25 2 5 4" xfId="29386" xr:uid="{00000000-0005-0000-0000-0000A07A0000}"/>
    <cellStyle name="Style 25 2 5 5" xfId="19383" xr:uid="{00000000-0005-0000-0000-0000A17A0000}"/>
    <cellStyle name="Style 25 2 6" xfId="7015" xr:uid="{00000000-0005-0000-0000-0000A27A0000}"/>
    <cellStyle name="Style 25 2 6 2" xfId="16270" xr:uid="{00000000-0005-0000-0000-0000A37A0000}"/>
    <cellStyle name="Style 25 2 6 2 2" xfId="37579" xr:uid="{00000000-0005-0000-0000-0000A47A0000}"/>
    <cellStyle name="Style 25 2 6 2 3" xfId="25453" xr:uid="{00000000-0005-0000-0000-0000A57A0000}"/>
    <cellStyle name="Style 25 2 6 3" xfId="16462" xr:uid="{00000000-0005-0000-0000-0000A67A0000}"/>
    <cellStyle name="Style 25 2 6 4" xfId="32722" xr:uid="{00000000-0005-0000-0000-0000A77A0000}"/>
    <cellStyle name="Style 25 2 7" xfId="6237" xr:uid="{00000000-0005-0000-0000-0000A87A0000}"/>
    <cellStyle name="Style 25 2 7 2" xfId="10132" xr:uid="{00000000-0005-0000-0000-0000A97A0000}"/>
    <cellStyle name="Style 25 2 7 2 2" xfId="33433" xr:uid="{00000000-0005-0000-0000-0000AA7A0000}"/>
    <cellStyle name="Style 25 2 7 2 3" xfId="24677" xr:uid="{00000000-0005-0000-0000-0000AB7A0000}"/>
    <cellStyle name="Style 25 2 7 3" xfId="32559" xr:uid="{00000000-0005-0000-0000-0000AC7A0000}"/>
    <cellStyle name="Style 25 2 7 4" xfId="19786" xr:uid="{00000000-0005-0000-0000-0000AD7A0000}"/>
    <cellStyle name="Style 25 2 8" xfId="6164" xr:uid="{00000000-0005-0000-0000-0000AE7A0000}"/>
    <cellStyle name="Style 25 2 8 2" xfId="24604" xr:uid="{00000000-0005-0000-0000-0000AF7A0000}"/>
    <cellStyle name="Style 25 2 8 3" xfId="32512" xr:uid="{00000000-0005-0000-0000-0000B07A0000}"/>
    <cellStyle name="Style 25 2 8 4" xfId="19714" xr:uid="{00000000-0005-0000-0000-0000B17A0000}"/>
    <cellStyle name="Style 25 2 9" xfId="8527" xr:uid="{00000000-0005-0000-0000-0000B27A0000}"/>
    <cellStyle name="Style 25 2 9 2" xfId="26950" xr:uid="{00000000-0005-0000-0000-0000B37A0000}"/>
    <cellStyle name="Style 25 2 9 3" xfId="33100" xr:uid="{00000000-0005-0000-0000-0000B47A0000}"/>
    <cellStyle name="Style 25 2 9 4" xfId="21818" xr:uid="{00000000-0005-0000-0000-0000B57A0000}"/>
    <cellStyle name="Style 25 3" xfId="3611" xr:uid="{00000000-0005-0000-0000-0000B67A0000}"/>
    <cellStyle name="Style 25 3 10" xfId="16168" xr:uid="{00000000-0005-0000-0000-0000B77A0000}"/>
    <cellStyle name="Style 25 3 10 2" xfId="37485" xr:uid="{00000000-0005-0000-0000-0000B87A0000}"/>
    <cellStyle name="Style 25 3 11" xfId="31605" xr:uid="{00000000-0005-0000-0000-0000B97A0000}"/>
    <cellStyle name="Style 25 3 12" xfId="27487" xr:uid="{00000000-0005-0000-0000-0000BA7A0000}"/>
    <cellStyle name="Style 25 3 2" xfId="5738" xr:uid="{00000000-0005-0000-0000-0000BB7A0000}"/>
    <cellStyle name="Style 25 3 2 2" xfId="14366" xr:uid="{00000000-0005-0000-0000-0000BC7A0000}"/>
    <cellStyle name="Style 25 3 2 2 2" xfId="16366" xr:uid="{00000000-0005-0000-0000-0000BD7A0000}"/>
    <cellStyle name="Style 25 3 2 2 2 2" xfId="37668" xr:uid="{00000000-0005-0000-0000-0000BE7A0000}"/>
    <cellStyle name="Style 25 3 2 2 3" xfId="16514" xr:uid="{00000000-0005-0000-0000-0000BF7A0000}"/>
    <cellStyle name="Style 25 3 2 2 4" xfId="35912" xr:uid="{00000000-0005-0000-0000-0000C07A0000}"/>
    <cellStyle name="Style 25 3 2 3" xfId="10697" xr:uid="{00000000-0005-0000-0000-0000C17A0000}"/>
    <cellStyle name="Style 25 3 2 4" xfId="32326" xr:uid="{00000000-0005-0000-0000-0000C27A0000}"/>
    <cellStyle name="Style 25 3 2 5" xfId="29388" xr:uid="{00000000-0005-0000-0000-0000C37A0000}"/>
    <cellStyle name="Style 25 3 3" xfId="5882" xr:uid="{00000000-0005-0000-0000-0000C47A0000}"/>
    <cellStyle name="Style 25 3 3 2" xfId="10341" xr:uid="{00000000-0005-0000-0000-0000C57A0000}"/>
    <cellStyle name="Style 25 3 3 2 2" xfId="33613" xr:uid="{00000000-0005-0000-0000-0000C67A0000}"/>
    <cellStyle name="Style 25 3 3 2 3" xfId="24328" xr:uid="{00000000-0005-0000-0000-0000C77A0000}"/>
    <cellStyle name="Style 25 3 3 3" xfId="14792" xr:uid="{00000000-0005-0000-0000-0000C87A0000}"/>
    <cellStyle name="Style 25 3 3 3 2" xfId="36248" xr:uid="{00000000-0005-0000-0000-0000C97A0000}"/>
    <cellStyle name="Style 25 3 3 4" xfId="16003" xr:uid="{00000000-0005-0000-0000-0000CA7A0000}"/>
    <cellStyle name="Style 25 3 3 4 2" xfId="37354" xr:uid="{00000000-0005-0000-0000-0000CB7A0000}"/>
    <cellStyle name="Style 25 3 3 5" xfId="28259" xr:uid="{00000000-0005-0000-0000-0000CC7A0000}"/>
    <cellStyle name="Style 25 3 3 6" xfId="19437" xr:uid="{00000000-0005-0000-0000-0000CD7A0000}"/>
    <cellStyle name="Style 25 3 4" xfId="7128" xr:uid="{00000000-0005-0000-0000-0000CE7A0000}"/>
    <cellStyle name="Style 25 3 4 2" xfId="16365" xr:uid="{00000000-0005-0000-0000-0000CF7A0000}"/>
    <cellStyle name="Style 25 3 4 2 2" xfId="37667" xr:uid="{00000000-0005-0000-0000-0000D07A0000}"/>
    <cellStyle name="Style 25 3 4 2 3" xfId="25562" xr:uid="{00000000-0005-0000-0000-0000D17A0000}"/>
    <cellStyle name="Style 25 3 4 3" xfId="16513" xr:uid="{00000000-0005-0000-0000-0000D27A0000}"/>
    <cellStyle name="Style 25 3 4 4" xfId="32749" xr:uid="{00000000-0005-0000-0000-0000D37A0000}"/>
    <cellStyle name="Style 25 3 5" xfId="7213" xr:uid="{00000000-0005-0000-0000-0000D47A0000}"/>
    <cellStyle name="Style 25 3 5 2" xfId="25644" xr:uid="{00000000-0005-0000-0000-0000D57A0000}"/>
    <cellStyle name="Style 25 3 5 3" xfId="32773" xr:uid="{00000000-0005-0000-0000-0000D67A0000}"/>
    <cellStyle name="Style 25 3 5 4" xfId="20570" xr:uid="{00000000-0005-0000-0000-0000D77A0000}"/>
    <cellStyle name="Style 25 3 6" xfId="8123" xr:uid="{00000000-0005-0000-0000-0000D87A0000}"/>
    <cellStyle name="Style 25 3 6 2" xfId="26553" xr:uid="{00000000-0005-0000-0000-0000D97A0000}"/>
    <cellStyle name="Style 25 3 6 3" xfId="33007" xr:uid="{00000000-0005-0000-0000-0000DA7A0000}"/>
    <cellStyle name="Style 25 3 6 4" xfId="21477" xr:uid="{00000000-0005-0000-0000-0000DB7A0000}"/>
    <cellStyle name="Style 25 3 7" xfId="8847" xr:uid="{00000000-0005-0000-0000-0000DC7A0000}"/>
    <cellStyle name="Style 25 3 7 2" xfId="27267" xr:uid="{00000000-0005-0000-0000-0000DD7A0000}"/>
    <cellStyle name="Style 25 3 7 3" xfId="33179" xr:uid="{00000000-0005-0000-0000-0000DE7A0000}"/>
    <cellStyle name="Style 25 3 7 4" xfId="22138" xr:uid="{00000000-0005-0000-0000-0000DF7A0000}"/>
    <cellStyle name="Style 25 3 8" xfId="4339" xr:uid="{00000000-0005-0000-0000-0000E07A0000}"/>
    <cellStyle name="Style 25 3 8 2" xfId="22803" xr:uid="{00000000-0005-0000-0000-0000E17A0000}"/>
    <cellStyle name="Style 25 3 8 3" xfId="31782" xr:uid="{00000000-0005-0000-0000-0000E27A0000}"/>
    <cellStyle name="Style 25 3 8 4" xfId="18021" xr:uid="{00000000-0005-0000-0000-0000E37A0000}"/>
    <cellStyle name="Style 25 3 9" xfId="15000" xr:uid="{00000000-0005-0000-0000-0000E47A0000}"/>
    <cellStyle name="Style 25 3 9 2" xfId="36425" xr:uid="{00000000-0005-0000-0000-0000E57A0000}"/>
    <cellStyle name="Style 25 3 9 3" xfId="17350" xr:uid="{00000000-0005-0000-0000-0000E67A0000}"/>
    <cellStyle name="Style 25 4" xfId="3677" xr:uid="{00000000-0005-0000-0000-0000E77A0000}"/>
    <cellStyle name="Style 25 4 10" xfId="16137" xr:uid="{00000000-0005-0000-0000-0000E87A0000}"/>
    <cellStyle name="Style 25 4 10 2" xfId="37458" xr:uid="{00000000-0005-0000-0000-0000E97A0000}"/>
    <cellStyle name="Style 25 4 11" xfId="31612" xr:uid="{00000000-0005-0000-0000-0000EA7A0000}"/>
    <cellStyle name="Style 25 4 12" xfId="27795" xr:uid="{00000000-0005-0000-0000-0000EB7A0000}"/>
    <cellStyle name="Style 25 4 2" xfId="5804" xr:uid="{00000000-0005-0000-0000-0000EC7A0000}"/>
    <cellStyle name="Style 25 4 2 2" xfId="11274" xr:uid="{00000000-0005-0000-0000-0000ED7A0000}"/>
    <cellStyle name="Style 25 4 2 2 2" xfId="34091" xr:uid="{00000000-0005-0000-0000-0000EE7A0000}"/>
    <cellStyle name="Style 25 4 2 2 3" xfId="24251" xr:uid="{00000000-0005-0000-0000-0000EF7A0000}"/>
    <cellStyle name="Style 25 4 2 3" xfId="32392" xr:uid="{00000000-0005-0000-0000-0000F07A0000}"/>
    <cellStyle name="Style 25 4 2 4" xfId="29648" xr:uid="{00000000-0005-0000-0000-0000F17A0000}"/>
    <cellStyle name="Style 25 4 2 5" xfId="19362" xr:uid="{00000000-0005-0000-0000-0000F27A0000}"/>
    <cellStyle name="Style 25 4 3" xfId="5893" xr:uid="{00000000-0005-0000-0000-0000F37A0000}"/>
    <cellStyle name="Style 25 4 3 2" xfId="24339" xr:uid="{00000000-0005-0000-0000-0000F47A0000}"/>
    <cellStyle name="Style 25 4 3 3" xfId="28260" xr:uid="{00000000-0005-0000-0000-0000F57A0000}"/>
    <cellStyle name="Style 25 4 3 4" xfId="19446" xr:uid="{00000000-0005-0000-0000-0000F67A0000}"/>
    <cellStyle name="Style 25 4 4" xfId="7144" xr:uid="{00000000-0005-0000-0000-0000F77A0000}"/>
    <cellStyle name="Style 25 4 4 2" xfId="25578" xr:uid="{00000000-0005-0000-0000-0000F87A0000}"/>
    <cellStyle name="Style 25 4 4 3" xfId="32757" xr:uid="{00000000-0005-0000-0000-0000F97A0000}"/>
    <cellStyle name="Style 25 4 4 4" xfId="20502" xr:uid="{00000000-0005-0000-0000-0000FA7A0000}"/>
    <cellStyle name="Style 25 4 5" xfId="7279" xr:uid="{00000000-0005-0000-0000-0000FB7A0000}"/>
    <cellStyle name="Style 25 4 5 2" xfId="25710" xr:uid="{00000000-0005-0000-0000-0000FC7A0000}"/>
    <cellStyle name="Style 25 4 5 3" xfId="32780" xr:uid="{00000000-0005-0000-0000-0000FD7A0000}"/>
    <cellStyle name="Style 25 4 5 4" xfId="20636" xr:uid="{00000000-0005-0000-0000-0000FE7A0000}"/>
    <cellStyle name="Style 25 4 6" xfId="8189" xr:uid="{00000000-0005-0000-0000-0000FF7A0000}"/>
    <cellStyle name="Style 25 4 6 2" xfId="26619" xr:uid="{00000000-0005-0000-0000-0000007B0000}"/>
    <cellStyle name="Style 25 4 6 3" xfId="33014" xr:uid="{00000000-0005-0000-0000-0000017B0000}"/>
    <cellStyle name="Style 25 4 6 4" xfId="21543" xr:uid="{00000000-0005-0000-0000-0000027B0000}"/>
    <cellStyle name="Style 25 4 7" xfId="8913" xr:uid="{00000000-0005-0000-0000-0000037B0000}"/>
    <cellStyle name="Style 25 4 7 2" xfId="27333" xr:uid="{00000000-0005-0000-0000-0000047B0000}"/>
    <cellStyle name="Style 25 4 7 3" xfId="33186" xr:uid="{00000000-0005-0000-0000-0000057B0000}"/>
    <cellStyle name="Style 25 4 7 4" xfId="22204" xr:uid="{00000000-0005-0000-0000-0000067B0000}"/>
    <cellStyle name="Style 25 4 8" xfId="4405" xr:uid="{00000000-0005-0000-0000-0000077B0000}"/>
    <cellStyle name="Style 25 4 8 2" xfId="22869" xr:uid="{00000000-0005-0000-0000-0000087B0000}"/>
    <cellStyle name="Style 25 4 8 3" xfId="31789" xr:uid="{00000000-0005-0000-0000-0000097B0000}"/>
    <cellStyle name="Style 25 4 8 4" xfId="18087" xr:uid="{00000000-0005-0000-0000-00000A7B0000}"/>
    <cellStyle name="Style 25 4 9" xfId="15001" xr:uid="{00000000-0005-0000-0000-00000B7B0000}"/>
    <cellStyle name="Style 25 4 9 2" xfId="36426" xr:uid="{00000000-0005-0000-0000-00000C7B0000}"/>
    <cellStyle name="Style 25 4 9 3" xfId="17416" xr:uid="{00000000-0005-0000-0000-00000D7B0000}"/>
    <cellStyle name="Style 25 5" xfId="5374" xr:uid="{00000000-0005-0000-0000-00000E7B0000}"/>
    <cellStyle name="Style 25 5 2" xfId="10534" xr:uid="{00000000-0005-0000-0000-00000F7B0000}"/>
    <cellStyle name="Style 25 5 2 2" xfId="15408" xr:uid="{00000000-0005-0000-0000-0000107B0000}"/>
    <cellStyle name="Style 25 5 2 2 2" xfId="36792" xr:uid="{00000000-0005-0000-0000-0000117B0000}"/>
    <cellStyle name="Style 25 5 2 3" xfId="14763" xr:uid="{00000000-0005-0000-0000-0000127B0000}"/>
    <cellStyle name="Style 25 5 2 4" xfId="29788" xr:uid="{00000000-0005-0000-0000-0000137B0000}"/>
    <cellStyle name="Style 25 5 3" xfId="11654" xr:uid="{00000000-0005-0000-0000-0000147B0000}"/>
    <cellStyle name="Style 25 5 3 2" xfId="34436" xr:uid="{00000000-0005-0000-0000-0000157B0000}"/>
    <cellStyle name="Style 25 5 3 3" xfId="28564" xr:uid="{00000000-0005-0000-0000-0000167B0000}"/>
    <cellStyle name="Style 25 5 4" xfId="14624" xr:uid="{00000000-0005-0000-0000-0000177B0000}"/>
    <cellStyle name="Style 25 5 4 2" xfId="36117" xr:uid="{00000000-0005-0000-0000-0000187B0000}"/>
    <cellStyle name="Style 25 5 5" xfId="16600" xr:uid="{00000000-0005-0000-0000-0000197B0000}"/>
    <cellStyle name="Style 25 5 5 2" xfId="37809" xr:uid="{00000000-0005-0000-0000-00001A7B0000}"/>
    <cellStyle name="Style 25 5 6" xfId="27881" xr:uid="{00000000-0005-0000-0000-00001B7B0000}"/>
    <cellStyle name="Style 25 6" xfId="5826" xr:uid="{00000000-0005-0000-0000-00001C7B0000}"/>
    <cellStyle name="Style 25 6 2" xfId="10695" xr:uid="{00000000-0005-0000-0000-00001D7B0000}"/>
    <cellStyle name="Style 25 6 2 2" xfId="33782" xr:uid="{00000000-0005-0000-0000-00001E7B0000}"/>
    <cellStyle name="Style 25 6 2 3" xfId="24273" xr:uid="{00000000-0005-0000-0000-00001F7B0000}"/>
    <cellStyle name="Style 25 6 3" xfId="32402" xr:uid="{00000000-0005-0000-0000-0000207B0000}"/>
    <cellStyle name="Style 25 6 4" xfId="29385" xr:uid="{00000000-0005-0000-0000-0000217B0000}"/>
    <cellStyle name="Style 25 6 5" xfId="19382" xr:uid="{00000000-0005-0000-0000-0000227B0000}"/>
    <cellStyle name="Style 25 7" xfId="7014" xr:uid="{00000000-0005-0000-0000-0000237B0000}"/>
    <cellStyle name="Style 25 7 2" xfId="16269" xr:uid="{00000000-0005-0000-0000-0000247B0000}"/>
    <cellStyle name="Style 25 7 2 2" xfId="37578" xr:uid="{00000000-0005-0000-0000-0000257B0000}"/>
    <cellStyle name="Style 25 7 2 3" xfId="25452" xr:uid="{00000000-0005-0000-0000-0000267B0000}"/>
    <cellStyle name="Style 25 7 3" xfId="16461" xr:uid="{00000000-0005-0000-0000-0000277B0000}"/>
    <cellStyle name="Style 25 7 4" xfId="32721" xr:uid="{00000000-0005-0000-0000-0000287B0000}"/>
    <cellStyle name="Style 25 8" xfId="6238" xr:uid="{00000000-0005-0000-0000-0000297B0000}"/>
    <cellStyle name="Style 25 8 2" xfId="10131" xr:uid="{00000000-0005-0000-0000-00002A7B0000}"/>
    <cellStyle name="Style 25 8 2 2" xfId="33432" xr:uid="{00000000-0005-0000-0000-00002B7B0000}"/>
    <cellStyle name="Style 25 8 2 3" xfId="24678" xr:uid="{00000000-0005-0000-0000-00002C7B0000}"/>
    <cellStyle name="Style 25 8 3" xfId="32560" xr:uid="{00000000-0005-0000-0000-00002D7B0000}"/>
    <cellStyle name="Style 25 8 4" xfId="19787" xr:uid="{00000000-0005-0000-0000-00002E7B0000}"/>
    <cellStyle name="Style 25 9" xfId="6176" xr:uid="{00000000-0005-0000-0000-00002F7B0000}"/>
    <cellStyle name="Style 25 9 2" xfId="24616" xr:uid="{00000000-0005-0000-0000-0000307B0000}"/>
    <cellStyle name="Style 25 9 3" xfId="32516" xr:uid="{00000000-0005-0000-0000-0000317B0000}"/>
    <cellStyle name="Style 25 9 4" xfId="19725" xr:uid="{00000000-0005-0000-0000-0000327B0000}"/>
    <cellStyle name="Style 26" xfId="3114" xr:uid="{00000000-0005-0000-0000-0000337B0000}"/>
    <cellStyle name="Style 26 2" xfId="10343" xr:uid="{00000000-0005-0000-0000-0000347B0000}"/>
    <cellStyle name="Style 26 2 2" xfId="10942" xr:uid="{00000000-0005-0000-0000-0000357B0000}"/>
    <cellStyle name="Style 26 2 3" xfId="28769" xr:uid="{00000000-0005-0000-0000-0000367B0000}"/>
    <cellStyle name="Style 26 3" xfId="11276" xr:uid="{00000000-0005-0000-0000-0000377B0000}"/>
    <cellStyle name="Style 26 3 2" xfId="28566" xr:uid="{00000000-0005-0000-0000-0000387B0000}"/>
    <cellStyle name="Style 26 3 3" xfId="34093" xr:uid="{00000000-0005-0000-0000-0000397B0000}"/>
    <cellStyle name="Style 26 4" xfId="11656" xr:uid="{00000000-0005-0000-0000-00003A7B0000}"/>
    <cellStyle name="Style 26 5" xfId="10698" xr:uid="{00000000-0005-0000-0000-00003B7B0000}"/>
    <cellStyle name="Style 26 6" xfId="10133" xr:uid="{00000000-0005-0000-0000-00003C7B0000}"/>
    <cellStyle name="Style 26 7" xfId="27488" xr:uid="{00000000-0005-0000-0000-00003D7B0000}"/>
    <cellStyle name="Sub heading - 1" xfId="3688" xr:uid="{00000000-0005-0000-0000-00003E7B0000}"/>
    <cellStyle name="Számítás" xfId="106" xr:uid="{00000000-0005-0000-0000-00003F7B0000}"/>
    <cellStyle name="Számítás 10" xfId="16602" xr:uid="{00000000-0005-0000-0000-0000407B0000}"/>
    <cellStyle name="Számítás 10 2" xfId="37811" xr:uid="{00000000-0005-0000-0000-0000417B0000}"/>
    <cellStyle name="Számítás 11" xfId="31159" xr:uid="{00000000-0005-0000-0000-0000427B0000}"/>
    <cellStyle name="Számítás 2" xfId="4445" xr:uid="{00000000-0005-0000-0000-0000437B0000}"/>
    <cellStyle name="Számítás 2 2" xfId="22905" xr:uid="{00000000-0005-0000-0000-0000447B0000}"/>
    <cellStyle name="Számítás 2 3" xfId="18124" xr:uid="{00000000-0005-0000-0000-0000457B0000}"/>
    <cellStyle name="Számítás 3" xfId="5884" xr:uid="{00000000-0005-0000-0000-0000467B0000}"/>
    <cellStyle name="Számítás 3 2" xfId="24330" xr:uid="{00000000-0005-0000-0000-0000477B0000}"/>
    <cellStyle name="Számítás 3 3" xfId="19439" xr:uid="{00000000-0005-0000-0000-0000487B0000}"/>
    <cellStyle name="Számítás 4" xfId="7016" xr:uid="{00000000-0005-0000-0000-0000497B0000}"/>
    <cellStyle name="Számítás 4 2" xfId="25454" xr:uid="{00000000-0005-0000-0000-00004A7B0000}"/>
    <cellStyle name="Számítás 4 3" xfId="20391" xr:uid="{00000000-0005-0000-0000-00004B7B0000}"/>
    <cellStyle name="Számítás 5" xfId="6222" xr:uid="{00000000-0005-0000-0000-00004C7B0000}"/>
    <cellStyle name="Számítás 5 2" xfId="24662" xr:uid="{00000000-0005-0000-0000-00004D7B0000}"/>
    <cellStyle name="Számítás 5 3" xfId="19771" xr:uid="{00000000-0005-0000-0000-00004E7B0000}"/>
    <cellStyle name="Számítás 6" xfId="7422" xr:uid="{00000000-0005-0000-0000-00004F7B0000}"/>
    <cellStyle name="Számítás 6 2" xfId="25853" xr:uid="{00000000-0005-0000-0000-0000507B0000}"/>
    <cellStyle name="Számítás 6 3" xfId="20778" xr:uid="{00000000-0005-0000-0000-0000517B0000}"/>
    <cellStyle name="Számítás 7" xfId="8217" xr:uid="{00000000-0005-0000-0000-0000527B0000}"/>
    <cellStyle name="Számítás 7 2" xfId="26642" xr:uid="{00000000-0005-0000-0000-0000537B0000}"/>
    <cellStyle name="Számítás 7 3" xfId="21568" xr:uid="{00000000-0005-0000-0000-0000547B0000}"/>
    <cellStyle name="Számítás 8" xfId="3768" xr:uid="{00000000-0005-0000-0000-0000557B0000}"/>
    <cellStyle name="Számítás 8 2" xfId="22237" xr:uid="{00000000-0005-0000-0000-0000567B0000}"/>
    <cellStyle name="Számítás 8 3" xfId="17451" xr:uid="{00000000-0005-0000-0000-0000577B0000}"/>
    <cellStyle name="Számítás 9" xfId="16571" xr:uid="{00000000-0005-0000-0000-0000587B0000}"/>
    <cellStyle name="Számítás 9 2" xfId="37785" xr:uid="{00000000-0005-0000-0000-0000597B0000}"/>
    <cellStyle name="Számítás 9 3" xfId="16643" xr:uid="{00000000-0005-0000-0000-00005A7B0000}"/>
    <cellStyle name="Table" xfId="108" xr:uid="{00000000-0005-0000-0000-00005B7B0000}"/>
    <cellStyle name="Table heading" xfId="14367" xr:uid="{00000000-0005-0000-0000-00005C7B0000}"/>
    <cellStyle name="tableau | cellule | normal | decimal 1" xfId="3306" xr:uid="{00000000-0005-0000-0000-00005D7B0000}"/>
    <cellStyle name="tableau | cellule | normal | decimal 1 10" xfId="14743" xr:uid="{00000000-0005-0000-0000-00005E7B0000}"/>
    <cellStyle name="tableau | cellule | normal | decimal 1 10 2" xfId="36220" xr:uid="{00000000-0005-0000-0000-00005F7B0000}"/>
    <cellStyle name="tableau | cellule | normal | decimal 1 11" xfId="40642" xr:uid="{00000000-0005-0000-0000-00007B120000}"/>
    <cellStyle name="tableau | cellule | normal | decimal 1 2" xfId="5456" xr:uid="{00000000-0005-0000-0000-0000607B0000}"/>
    <cellStyle name="tableau | cellule | normal | decimal 1 2 2" xfId="16463" xr:uid="{00000000-0005-0000-0000-0000617B0000}"/>
    <cellStyle name="tableau | cellule | normal | decimal 1 2 2 2" xfId="23909" xr:uid="{00000000-0005-0000-0000-0000627B0000}"/>
    <cellStyle name="tableau | cellule | normal | decimal 1 2 3" xfId="16332" xr:uid="{00000000-0005-0000-0000-0000637B0000}"/>
    <cellStyle name="tableau | cellule | normal | decimal 1 3" xfId="4999" xr:uid="{00000000-0005-0000-0000-0000647B0000}"/>
    <cellStyle name="tableau | cellule | normal | decimal 1 3 2" xfId="23459" xr:uid="{00000000-0005-0000-0000-0000657B0000}"/>
    <cellStyle name="tableau | cellule | normal | decimal 1 3 3" xfId="18613" xr:uid="{00000000-0005-0000-0000-0000667B0000}"/>
    <cellStyle name="tableau | cellule | normal | decimal 1 4" xfId="6157" xr:uid="{00000000-0005-0000-0000-0000677B0000}"/>
    <cellStyle name="tableau | cellule | normal | decimal 1 4 2" xfId="24598" xr:uid="{00000000-0005-0000-0000-0000687B0000}"/>
    <cellStyle name="tableau | cellule | normal | decimal 1 4 3" xfId="19707" xr:uid="{00000000-0005-0000-0000-0000697B0000}"/>
    <cellStyle name="tableau | cellule | normal | decimal 1 5" xfId="7500" xr:uid="{00000000-0005-0000-0000-00006A7B0000}"/>
    <cellStyle name="tableau | cellule | normal | decimal 1 5 2" xfId="25930" xr:uid="{00000000-0005-0000-0000-00006B7B0000}"/>
    <cellStyle name="tableau | cellule | normal | decimal 1 5 3" xfId="20855" xr:uid="{00000000-0005-0000-0000-00006C7B0000}"/>
    <cellStyle name="tableau | cellule | normal | decimal 1 6" xfId="7868" xr:uid="{00000000-0005-0000-0000-00006D7B0000}"/>
    <cellStyle name="tableau | cellule | normal | decimal 1 6 2" xfId="26298" xr:uid="{00000000-0005-0000-0000-00006E7B0000}"/>
    <cellStyle name="tableau | cellule | normal | decimal 1 6 3" xfId="21222" xr:uid="{00000000-0005-0000-0000-00006F7B0000}"/>
    <cellStyle name="tableau | cellule | normal | decimal 1 7" xfId="8589" xr:uid="{00000000-0005-0000-0000-0000707B0000}"/>
    <cellStyle name="tableau | cellule | normal | decimal 1 7 2" xfId="27012" xr:uid="{00000000-0005-0000-0000-0000717B0000}"/>
    <cellStyle name="tableau | cellule | normal | decimal 1 7 3" xfId="21880" xr:uid="{00000000-0005-0000-0000-0000727B0000}"/>
    <cellStyle name="tableau | cellule | normal | decimal 1 8" xfId="4081" xr:uid="{00000000-0005-0000-0000-0000737B0000}"/>
    <cellStyle name="tableau | cellule | normal | decimal 1 8 2" xfId="22548" xr:uid="{00000000-0005-0000-0000-0000747B0000}"/>
    <cellStyle name="tableau | cellule | normal | decimal 1 8 3" xfId="17763" xr:uid="{00000000-0005-0000-0000-0000757B0000}"/>
    <cellStyle name="tableau | cellule | normal | decimal 1 9" xfId="15678" xr:uid="{00000000-0005-0000-0000-0000767B0000}"/>
    <cellStyle name="tableau | cellule | normal | decimal 1 9 2" xfId="37051" xr:uid="{00000000-0005-0000-0000-0000777B0000}"/>
    <cellStyle name="tableau | cellule | normal | decimal 1 9 3" xfId="17090" xr:uid="{00000000-0005-0000-0000-0000787B0000}"/>
    <cellStyle name="tableau | cellule | normal | pourcentage | decimal 1" xfId="3307" xr:uid="{00000000-0005-0000-0000-0000797B0000}"/>
    <cellStyle name="tableau | cellule | normal | pourcentage | decimal 1 10" xfId="15660" xr:uid="{00000000-0005-0000-0000-00007A7B0000}"/>
    <cellStyle name="tableau | cellule | normal | pourcentage | decimal 1 10 2" xfId="37034" xr:uid="{00000000-0005-0000-0000-00007B7B0000}"/>
    <cellStyle name="tableau | cellule | normal | pourcentage | decimal 1 11" xfId="40643" xr:uid="{00000000-0005-0000-0000-00007C120000}"/>
    <cellStyle name="tableau | cellule | normal | pourcentage | decimal 1 2" xfId="5457" xr:uid="{00000000-0005-0000-0000-00007C7B0000}"/>
    <cellStyle name="tableau | cellule | normal | pourcentage | decimal 1 2 2" xfId="16464" xr:uid="{00000000-0005-0000-0000-00007D7B0000}"/>
    <cellStyle name="tableau | cellule | normal | pourcentage | decimal 1 2 2 2" xfId="23910" xr:uid="{00000000-0005-0000-0000-00007E7B0000}"/>
    <cellStyle name="tableau | cellule | normal | pourcentage | decimal 1 2 3" xfId="14832" xr:uid="{00000000-0005-0000-0000-00007F7B0000}"/>
    <cellStyle name="tableau | cellule | normal | pourcentage | decimal 1 3" xfId="5000" xr:uid="{00000000-0005-0000-0000-0000807B0000}"/>
    <cellStyle name="tableau | cellule | normal | pourcentage | decimal 1 3 2" xfId="23460" xr:uid="{00000000-0005-0000-0000-0000817B0000}"/>
    <cellStyle name="tableau | cellule | normal | pourcentage | decimal 1 3 3" xfId="18614" xr:uid="{00000000-0005-0000-0000-0000827B0000}"/>
    <cellStyle name="tableau | cellule | normal | pourcentage | decimal 1 4" xfId="6156" xr:uid="{00000000-0005-0000-0000-0000837B0000}"/>
    <cellStyle name="tableau | cellule | normal | pourcentage | decimal 1 4 2" xfId="24597" xr:uid="{00000000-0005-0000-0000-0000847B0000}"/>
    <cellStyle name="tableau | cellule | normal | pourcentage | decimal 1 4 3" xfId="19706" xr:uid="{00000000-0005-0000-0000-0000857B0000}"/>
    <cellStyle name="tableau | cellule | normal | pourcentage | decimal 1 5" xfId="7501" xr:uid="{00000000-0005-0000-0000-0000867B0000}"/>
    <cellStyle name="tableau | cellule | normal | pourcentage | decimal 1 5 2" xfId="25931" xr:uid="{00000000-0005-0000-0000-0000877B0000}"/>
    <cellStyle name="tableau | cellule | normal | pourcentage | decimal 1 5 3" xfId="20856" xr:uid="{00000000-0005-0000-0000-0000887B0000}"/>
    <cellStyle name="tableau | cellule | normal | pourcentage | decimal 1 6" xfId="7869" xr:uid="{00000000-0005-0000-0000-0000897B0000}"/>
    <cellStyle name="tableau | cellule | normal | pourcentage | decimal 1 6 2" xfId="26299" xr:uid="{00000000-0005-0000-0000-00008A7B0000}"/>
    <cellStyle name="tableau | cellule | normal | pourcentage | decimal 1 6 3" xfId="21223" xr:uid="{00000000-0005-0000-0000-00008B7B0000}"/>
    <cellStyle name="tableau | cellule | normal | pourcentage | decimal 1 7" xfId="8590" xr:uid="{00000000-0005-0000-0000-00008C7B0000}"/>
    <cellStyle name="tableau | cellule | normal | pourcentage | decimal 1 7 2" xfId="27013" xr:uid="{00000000-0005-0000-0000-00008D7B0000}"/>
    <cellStyle name="tableau | cellule | normal | pourcentage | decimal 1 7 3" xfId="21881" xr:uid="{00000000-0005-0000-0000-00008E7B0000}"/>
    <cellStyle name="tableau | cellule | normal | pourcentage | decimal 1 8" xfId="4082" xr:uid="{00000000-0005-0000-0000-00008F7B0000}"/>
    <cellStyle name="tableau | cellule | normal | pourcentage | decimal 1 8 2" xfId="22549" xr:uid="{00000000-0005-0000-0000-0000907B0000}"/>
    <cellStyle name="tableau | cellule | normal | pourcentage | decimal 1 8 3" xfId="17764" xr:uid="{00000000-0005-0000-0000-0000917B0000}"/>
    <cellStyle name="tableau | cellule | normal | pourcentage | decimal 1 9" xfId="15647" xr:uid="{00000000-0005-0000-0000-0000927B0000}"/>
    <cellStyle name="tableau | cellule | normal | pourcentage | decimal 1 9 2" xfId="37022" xr:uid="{00000000-0005-0000-0000-0000937B0000}"/>
    <cellStyle name="tableau | cellule | normal | pourcentage | decimal 1 9 3" xfId="17091" xr:uid="{00000000-0005-0000-0000-0000947B0000}"/>
    <cellStyle name="tableau | cellule | total | decimal 1" xfId="3308" xr:uid="{00000000-0005-0000-0000-0000957B0000}"/>
    <cellStyle name="tableau | cellule | total | decimal 1 10" xfId="14857" xr:uid="{00000000-0005-0000-0000-0000967B0000}"/>
    <cellStyle name="tableau | cellule | total | decimal 1 10 2" xfId="36305" xr:uid="{00000000-0005-0000-0000-0000977B0000}"/>
    <cellStyle name="tableau | cellule | total | decimal 1 11" xfId="40644" xr:uid="{00000000-0005-0000-0000-00007D120000}"/>
    <cellStyle name="tableau | cellule | total | decimal 1 2" xfId="5458" xr:uid="{00000000-0005-0000-0000-0000987B0000}"/>
    <cellStyle name="tableau | cellule | total | decimal 1 2 2" xfId="16465" xr:uid="{00000000-0005-0000-0000-0000997B0000}"/>
    <cellStyle name="tableau | cellule | total | decimal 1 2 2 2" xfId="23911" xr:uid="{00000000-0005-0000-0000-00009A7B0000}"/>
    <cellStyle name="tableau | cellule | total | decimal 1 2 3" xfId="14982" xr:uid="{00000000-0005-0000-0000-00009B7B0000}"/>
    <cellStyle name="tableau | cellule | total | decimal 1 3" xfId="5001" xr:uid="{00000000-0005-0000-0000-00009C7B0000}"/>
    <cellStyle name="tableau | cellule | total | decimal 1 3 2" xfId="23461" xr:uid="{00000000-0005-0000-0000-00009D7B0000}"/>
    <cellStyle name="tableau | cellule | total | decimal 1 3 3" xfId="18615" xr:uid="{00000000-0005-0000-0000-00009E7B0000}"/>
    <cellStyle name="tableau | cellule | total | decimal 1 4" xfId="6155" xr:uid="{00000000-0005-0000-0000-00009F7B0000}"/>
    <cellStyle name="tableau | cellule | total | decimal 1 4 2" xfId="24596" xr:uid="{00000000-0005-0000-0000-0000A07B0000}"/>
    <cellStyle name="tableau | cellule | total | decimal 1 4 3" xfId="19705" xr:uid="{00000000-0005-0000-0000-0000A17B0000}"/>
    <cellStyle name="tableau | cellule | total | decimal 1 5" xfId="7502" xr:uid="{00000000-0005-0000-0000-0000A27B0000}"/>
    <cellStyle name="tableau | cellule | total | decimal 1 5 2" xfId="25932" xr:uid="{00000000-0005-0000-0000-0000A37B0000}"/>
    <cellStyle name="tableau | cellule | total | decimal 1 5 3" xfId="20857" xr:uid="{00000000-0005-0000-0000-0000A47B0000}"/>
    <cellStyle name="tableau | cellule | total | decimal 1 6" xfId="7870" xr:uid="{00000000-0005-0000-0000-0000A57B0000}"/>
    <cellStyle name="tableau | cellule | total | decimal 1 6 2" xfId="26300" xr:uid="{00000000-0005-0000-0000-0000A67B0000}"/>
    <cellStyle name="tableau | cellule | total | decimal 1 6 3" xfId="21224" xr:uid="{00000000-0005-0000-0000-0000A77B0000}"/>
    <cellStyle name="tableau | cellule | total | decimal 1 7" xfId="8591" xr:uid="{00000000-0005-0000-0000-0000A87B0000}"/>
    <cellStyle name="tableau | cellule | total | decimal 1 7 2" xfId="27014" xr:uid="{00000000-0005-0000-0000-0000A97B0000}"/>
    <cellStyle name="tableau | cellule | total | decimal 1 7 3" xfId="21882" xr:uid="{00000000-0005-0000-0000-0000AA7B0000}"/>
    <cellStyle name="tableau | cellule | total | decimal 1 8" xfId="4083" xr:uid="{00000000-0005-0000-0000-0000AB7B0000}"/>
    <cellStyle name="tableau | cellule | total | decimal 1 8 2" xfId="22550" xr:uid="{00000000-0005-0000-0000-0000AC7B0000}"/>
    <cellStyle name="tableau | cellule | total | decimal 1 8 3" xfId="17765" xr:uid="{00000000-0005-0000-0000-0000AD7B0000}"/>
    <cellStyle name="tableau | cellule | total | decimal 1 9" xfId="15624" xr:uid="{00000000-0005-0000-0000-0000AE7B0000}"/>
    <cellStyle name="tableau | cellule | total | decimal 1 9 2" xfId="36999" xr:uid="{00000000-0005-0000-0000-0000AF7B0000}"/>
    <cellStyle name="tableau | cellule | total | decimal 1 9 3" xfId="17092" xr:uid="{00000000-0005-0000-0000-0000B07B0000}"/>
    <cellStyle name="tableau | coin superieur gauche" xfId="3309" xr:uid="{00000000-0005-0000-0000-0000B17B0000}"/>
    <cellStyle name="tableau | coin superieur gauche 10" xfId="15555" xr:uid="{00000000-0005-0000-0000-0000B27B0000}"/>
    <cellStyle name="tableau | coin superieur gauche 10 2" xfId="36933" xr:uid="{00000000-0005-0000-0000-0000B37B0000}"/>
    <cellStyle name="tableau | coin superieur gauche 10 3" xfId="22213" xr:uid="{00000000-0005-0000-0000-0000B47B0000}"/>
    <cellStyle name="tableau | coin superieur gauche 11" xfId="16609" xr:uid="{00000000-0005-0000-0000-0000B57B0000}"/>
    <cellStyle name="tableau | coin superieur gauche 12" xfId="40645" xr:uid="{00000000-0005-0000-0000-00007E120000}"/>
    <cellStyle name="tableau | coin superieur gauche 2" xfId="5459" xr:uid="{00000000-0005-0000-0000-0000B67B0000}"/>
    <cellStyle name="tableau | coin superieur gauche 2 2" xfId="16271" xr:uid="{00000000-0005-0000-0000-0000B77B0000}"/>
    <cellStyle name="tableau | coin superieur gauche 2 2 2" xfId="23912" xr:uid="{00000000-0005-0000-0000-0000B87B0000}"/>
    <cellStyle name="tableau | coin superieur gauche 2 3" xfId="16466" xr:uid="{00000000-0005-0000-0000-0000B97B0000}"/>
    <cellStyle name="tableau | coin superieur gauche 2 3 2" xfId="37725" xr:uid="{00000000-0005-0000-0000-0000BA7B0000}"/>
    <cellStyle name="tableau | coin superieur gauche 2 4" xfId="16578" xr:uid="{00000000-0005-0000-0000-0000BB7B0000}"/>
    <cellStyle name="tableau | coin superieur gauche 2 4 2" xfId="37789" xr:uid="{00000000-0005-0000-0000-0000BC7B0000}"/>
    <cellStyle name="tableau | coin superieur gauche 2 5" xfId="19051" xr:uid="{00000000-0005-0000-0000-0000BD7B0000}"/>
    <cellStyle name="tableau | coin superieur gauche 3" xfId="5843" xr:uid="{00000000-0005-0000-0000-0000BE7B0000}"/>
    <cellStyle name="tableau | coin superieur gauche 3 2" xfId="24289" xr:uid="{00000000-0005-0000-0000-0000BF7B0000}"/>
    <cellStyle name="tableau | coin superieur gauche 3 3" xfId="19398" xr:uid="{00000000-0005-0000-0000-0000C07B0000}"/>
    <cellStyle name="tableau | coin superieur gauche 4" xfId="6154" xr:uid="{00000000-0005-0000-0000-0000C17B0000}"/>
    <cellStyle name="tableau | coin superieur gauche 4 2" xfId="24595" xr:uid="{00000000-0005-0000-0000-0000C27B0000}"/>
    <cellStyle name="tableau | coin superieur gauche 4 3" xfId="19704" xr:uid="{00000000-0005-0000-0000-0000C37B0000}"/>
    <cellStyle name="tableau | coin superieur gauche 5" xfId="7503" xr:uid="{00000000-0005-0000-0000-0000C47B0000}"/>
    <cellStyle name="tableau | coin superieur gauche 5 2" xfId="25933" xr:uid="{00000000-0005-0000-0000-0000C57B0000}"/>
    <cellStyle name="tableau | coin superieur gauche 5 3" xfId="20858" xr:uid="{00000000-0005-0000-0000-0000C67B0000}"/>
    <cellStyle name="tableau | coin superieur gauche 6" xfId="7871" xr:uid="{00000000-0005-0000-0000-0000C77B0000}"/>
    <cellStyle name="tableau | coin superieur gauche 6 2" xfId="26301" xr:uid="{00000000-0005-0000-0000-0000C87B0000}"/>
    <cellStyle name="tableau | coin superieur gauche 6 3" xfId="21225" xr:uid="{00000000-0005-0000-0000-0000C97B0000}"/>
    <cellStyle name="tableau | coin superieur gauche 7" xfId="8592" xr:uid="{00000000-0005-0000-0000-0000CA7B0000}"/>
    <cellStyle name="tableau | coin superieur gauche 7 2" xfId="27015" xr:uid="{00000000-0005-0000-0000-0000CB7B0000}"/>
    <cellStyle name="tableau | coin superieur gauche 7 3" xfId="21883" xr:uid="{00000000-0005-0000-0000-0000CC7B0000}"/>
    <cellStyle name="tableau | coin superieur gauche 8" xfId="4084" xr:uid="{00000000-0005-0000-0000-0000CD7B0000}"/>
    <cellStyle name="tableau | coin superieur gauche 8 2" xfId="22551" xr:uid="{00000000-0005-0000-0000-0000CE7B0000}"/>
    <cellStyle name="tableau | coin superieur gauche 8 3" xfId="17766" xr:uid="{00000000-0005-0000-0000-0000CF7B0000}"/>
    <cellStyle name="tableau | coin superieur gauche 9" xfId="15002" xr:uid="{00000000-0005-0000-0000-0000D07B0000}"/>
    <cellStyle name="tableau | coin superieur gauche 9 2" xfId="36427" xr:uid="{00000000-0005-0000-0000-0000D17B0000}"/>
    <cellStyle name="tableau | coin superieur gauche 9 3" xfId="17093" xr:uid="{00000000-0005-0000-0000-0000D27B0000}"/>
    <cellStyle name="tableau | entete-colonne | series" xfId="3310" xr:uid="{00000000-0005-0000-0000-0000D37B0000}"/>
    <cellStyle name="tableau | entete-colonne | series 10" xfId="16227" xr:uid="{00000000-0005-0000-0000-0000D47B0000}"/>
    <cellStyle name="tableau | entete-colonne | series 10 2" xfId="37540" xr:uid="{00000000-0005-0000-0000-0000D57B0000}"/>
    <cellStyle name="tableau | entete-colonne | series 11" xfId="31382" xr:uid="{00000000-0005-0000-0000-0000D67B0000}"/>
    <cellStyle name="tableau | entete-colonne | series 12" xfId="28261" xr:uid="{00000000-0005-0000-0000-0000D77B0000}"/>
    <cellStyle name="tableau | entete-colonne | series 13" xfId="40646" xr:uid="{00000000-0005-0000-0000-00007F120000}"/>
    <cellStyle name="tableau | entete-colonne | series 2" xfId="5460" xr:uid="{00000000-0005-0000-0000-0000D87B0000}"/>
    <cellStyle name="tableau | entete-colonne | series 2 2" xfId="16272" xr:uid="{00000000-0005-0000-0000-0000D97B0000}"/>
    <cellStyle name="tableau | entete-colonne | series 2 2 2" xfId="37580" xr:uid="{00000000-0005-0000-0000-0000DA7B0000}"/>
    <cellStyle name="tableau | entete-colonne | series 2 2 3" xfId="23913" xr:uid="{00000000-0005-0000-0000-0000DB7B0000}"/>
    <cellStyle name="tableau | entete-colonne | series 2 3" xfId="16467" xr:uid="{00000000-0005-0000-0000-0000DC7B0000}"/>
    <cellStyle name="tableau | entete-colonne | series 2 4" xfId="32175" xr:uid="{00000000-0005-0000-0000-0000DD7B0000}"/>
    <cellStyle name="tableau | entete-colonne | series 3" xfId="5844" xr:uid="{00000000-0005-0000-0000-0000DE7B0000}"/>
    <cellStyle name="tableau | entete-colonne | series 3 2" xfId="24290" xr:uid="{00000000-0005-0000-0000-0000DF7B0000}"/>
    <cellStyle name="tableau | entete-colonne | series 3 3" xfId="32410" xr:uid="{00000000-0005-0000-0000-0000E07B0000}"/>
    <cellStyle name="tableau | entete-colonne | series 3 4" xfId="19399" xr:uid="{00000000-0005-0000-0000-0000E17B0000}"/>
    <cellStyle name="tableau | entete-colonne | series 4" xfId="7054" xr:uid="{00000000-0005-0000-0000-0000E27B0000}"/>
    <cellStyle name="tableau | entete-colonne | series 4 2" xfId="25491" xr:uid="{00000000-0005-0000-0000-0000E37B0000}"/>
    <cellStyle name="tableau | entete-colonne | series 4 3" xfId="32736" xr:uid="{00000000-0005-0000-0000-0000E47B0000}"/>
    <cellStyle name="tableau | entete-colonne | series 4 4" xfId="20428" xr:uid="{00000000-0005-0000-0000-0000E57B0000}"/>
    <cellStyle name="tableau | entete-colonne | series 5" xfId="6153" xr:uid="{00000000-0005-0000-0000-0000E67B0000}"/>
    <cellStyle name="tableau | entete-colonne | series 5 2" xfId="24594" xr:uid="{00000000-0005-0000-0000-0000E77B0000}"/>
    <cellStyle name="tableau | entete-colonne | series 5 3" xfId="32509" xr:uid="{00000000-0005-0000-0000-0000E87B0000}"/>
    <cellStyle name="tableau | entete-colonne | series 5 4" xfId="19703" xr:uid="{00000000-0005-0000-0000-0000E97B0000}"/>
    <cellStyle name="tableau | entete-colonne | series 6" xfId="7872" xr:uid="{00000000-0005-0000-0000-0000EA7B0000}"/>
    <cellStyle name="tableau | entete-colonne | series 6 2" xfId="26302" xr:uid="{00000000-0005-0000-0000-0000EB7B0000}"/>
    <cellStyle name="tableau | entete-colonne | series 6 3" xfId="32933" xr:uid="{00000000-0005-0000-0000-0000EC7B0000}"/>
    <cellStyle name="tableau | entete-colonne | series 6 4" xfId="21226" xr:uid="{00000000-0005-0000-0000-0000ED7B0000}"/>
    <cellStyle name="tableau | entete-colonne | series 7" xfId="8593" xr:uid="{00000000-0005-0000-0000-0000EE7B0000}"/>
    <cellStyle name="tableau | entete-colonne | series 7 2" xfId="27016" xr:uid="{00000000-0005-0000-0000-0000EF7B0000}"/>
    <cellStyle name="tableau | entete-colonne | series 7 3" xfId="33102" xr:uid="{00000000-0005-0000-0000-0000F07B0000}"/>
    <cellStyle name="tableau | entete-colonne | series 7 4" xfId="21884" xr:uid="{00000000-0005-0000-0000-0000F17B0000}"/>
    <cellStyle name="tableau | entete-colonne | series 8" xfId="4085" xr:uid="{00000000-0005-0000-0000-0000F27B0000}"/>
    <cellStyle name="tableau | entete-colonne | series 8 2" xfId="22552" xr:uid="{00000000-0005-0000-0000-0000F37B0000}"/>
    <cellStyle name="tableau | entete-colonne | series 8 3" xfId="31705" xr:uid="{00000000-0005-0000-0000-0000F47B0000}"/>
    <cellStyle name="tableau | entete-colonne | series 8 4" xfId="17767" xr:uid="{00000000-0005-0000-0000-0000F57B0000}"/>
    <cellStyle name="tableau | entete-colonne | series 9" xfId="15003" xr:uid="{00000000-0005-0000-0000-0000F67B0000}"/>
    <cellStyle name="tableau | entete-colonne | series 9 2" xfId="36428" xr:uid="{00000000-0005-0000-0000-0000F77B0000}"/>
    <cellStyle name="tableau | entete-colonne | series 9 3" xfId="17094" xr:uid="{00000000-0005-0000-0000-0000F87B0000}"/>
    <cellStyle name="tableau | entete-ligne | normal" xfId="3311" xr:uid="{00000000-0005-0000-0000-0000F97B0000}"/>
    <cellStyle name="tableau | entete-ligne | normal 10" xfId="15577" xr:uid="{00000000-0005-0000-0000-0000FA7B0000}"/>
    <cellStyle name="tableau | entete-ligne | normal 10 2" xfId="36954" xr:uid="{00000000-0005-0000-0000-0000FB7B0000}"/>
    <cellStyle name="tableau | entete-ligne | normal 10 3" xfId="22214" xr:uid="{00000000-0005-0000-0000-0000FC7B0000}"/>
    <cellStyle name="tableau | entete-ligne | normal 11" xfId="28262" xr:uid="{00000000-0005-0000-0000-0000FD7B0000}"/>
    <cellStyle name="tableau | entete-ligne | normal 12" xfId="16610" xr:uid="{00000000-0005-0000-0000-0000FE7B0000}"/>
    <cellStyle name="tableau | entete-ligne | normal 13" xfId="40647" xr:uid="{00000000-0005-0000-0000-000080120000}"/>
    <cellStyle name="tableau | entete-ligne | normal 2" xfId="5461" xr:uid="{00000000-0005-0000-0000-0000FF7B0000}"/>
    <cellStyle name="tableau | entete-ligne | normal 2 2" xfId="16273" xr:uid="{00000000-0005-0000-0000-0000007C0000}"/>
    <cellStyle name="tableau | entete-ligne | normal 2 2 2" xfId="37581" xr:uid="{00000000-0005-0000-0000-0000017C0000}"/>
    <cellStyle name="tableau | entete-ligne | normal 2 2 3" xfId="23914" xr:uid="{00000000-0005-0000-0000-0000027C0000}"/>
    <cellStyle name="tableau | entete-ligne | normal 2 3" xfId="16468" xr:uid="{00000000-0005-0000-0000-0000037C0000}"/>
    <cellStyle name="tableau | entete-ligne | normal 2 3 2" xfId="37726" xr:uid="{00000000-0005-0000-0000-0000047C0000}"/>
    <cellStyle name="tableau | entete-ligne | normal 2 4" xfId="32176" xr:uid="{00000000-0005-0000-0000-0000057C0000}"/>
    <cellStyle name="tableau | entete-ligne | normal 2 5" xfId="19052" xr:uid="{00000000-0005-0000-0000-0000067C0000}"/>
    <cellStyle name="tableau | entete-ligne | normal 3" xfId="5845" xr:uid="{00000000-0005-0000-0000-0000077C0000}"/>
    <cellStyle name="tableau | entete-ligne | normal 3 2" xfId="24291" xr:uid="{00000000-0005-0000-0000-0000087C0000}"/>
    <cellStyle name="tableau | entete-ligne | normal 3 3" xfId="32411" xr:uid="{00000000-0005-0000-0000-0000097C0000}"/>
    <cellStyle name="tableau | entete-ligne | normal 3 4" xfId="19400" xr:uid="{00000000-0005-0000-0000-00000A7C0000}"/>
    <cellStyle name="tableau | entete-ligne | normal 4" xfId="7055" xr:uid="{00000000-0005-0000-0000-00000B7C0000}"/>
    <cellStyle name="tableau | entete-ligne | normal 4 2" xfId="25492" xr:uid="{00000000-0005-0000-0000-00000C7C0000}"/>
    <cellStyle name="tableau | entete-ligne | normal 4 3" xfId="32737" xr:uid="{00000000-0005-0000-0000-00000D7C0000}"/>
    <cellStyle name="tableau | entete-ligne | normal 4 4" xfId="20429" xr:uid="{00000000-0005-0000-0000-00000E7C0000}"/>
    <cellStyle name="tableau | entete-ligne | normal 5" xfId="6152" xr:uid="{00000000-0005-0000-0000-00000F7C0000}"/>
    <cellStyle name="tableau | entete-ligne | normal 5 2" xfId="24593" xr:uid="{00000000-0005-0000-0000-0000107C0000}"/>
    <cellStyle name="tableau | entete-ligne | normal 5 3" xfId="32508" xr:uid="{00000000-0005-0000-0000-0000117C0000}"/>
    <cellStyle name="tableau | entete-ligne | normal 5 4" xfId="19702" xr:uid="{00000000-0005-0000-0000-0000127C0000}"/>
    <cellStyle name="tableau | entete-ligne | normal 6" xfId="7873" xr:uid="{00000000-0005-0000-0000-0000137C0000}"/>
    <cellStyle name="tableau | entete-ligne | normal 6 2" xfId="26303" xr:uid="{00000000-0005-0000-0000-0000147C0000}"/>
    <cellStyle name="tableau | entete-ligne | normal 6 3" xfId="32934" xr:uid="{00000000-0005-0000-0000-0000157C0000}"/>
    <cellStyle name="tableau | entete-ligne | normal 6 4" xfId="21227" xr:uid="{00000000-0005-0000-0000-0000167C0000}"/>
    <cellStyle name="tableau | entete-ligne | normal 7" xfId="8594" xr:uid="{00000000-0005-0000-0000-0000177C0000}"/>
    <cellStyle name="tableau | entete-ligne | normal 7 2" xfId="27017" xr:uid="{00000000-0005-0000-0000-0000187C0000}"/>
    <cellStyle name="tableau | entete-ligne | normal 7 3" xfId="33103" xr:uid="{00000000-0005-0000-0000-0000197C0000}"/>
    <cellStyle name="tableau | entete-ligne | normal 7 4" xfId="21885" xr:uid="{00000000-0005-0000-0000-00001A7C0000}"/>
    <cellStyle name="tableau | entete-ligne | normal 8" xfId="4086" xr:uid="{00000000-0005-0000-0000-00001B7C0000}"/>
    <cellStyle name="tableau | entete-ligne | normal 8 2" xfId="22553" xr:uid="{00000000-0005-0000-0000-00001C7C0000}"/>
    <cellStyle name="tableau | entete-ligne | normal 8 3" xfId="31706" xr:uid="{00000000-0005-0000-0000-00001D7C0000}"/>
    <cellStyle name="tableau | entete-ligne | normal 8 4" xfId="17768" xr:uid="{00000000-0005-0000-0000-00001E7C0000}"/>
    <cellStyle name="tableau | entete-ligne | normal 9" xfId="15004" xr:uid="{00000000-0005-0000-0000-00001F7C0000}"/>
    <cellStyle name="tableau | entete-ligne | normal 9 2" xfId="36429" xr:uid="{00000000-0005-0000-0000-0000207C0000}"/>
    <cellStyle name="tableau | entete-ligne | normal 9 3" xfId="17095" xr:uid="{00000000-0005-0000-0000-0000217C0000}"/>
    <cellStyle name="tableau | entete-ligne | total" xfId="3312" xr:uid="{00000000-0005-0000-0000-0000227C0000}"/>
    <cellStyle name="tableau | entete-ligne | total 10" xfId="16340" xr:uid="{00000000-0005-0000-0000-0000237C0000}"/>
    <cellStyle name="tableau | entete-ligne | total 10 2" xfId="37643" xr:uid="{00000000-0005-0000-0000-0000247C0000}"/>
    <cellStyle name="tableau | entete-ligne | total 11" xfId="31383" xr:uid="{00000000-0005-0000-0000-0000257C0000}"/>
    <cellStyle name="tableau | entete-ligne | total 12" xfId="28263" xr:uid="{00000000-0005-0000-0000-0000267C0000}"/>
    <cellStyle name="tableau | entete-ligne | total 13" xfId="40648" xr:uid="{00000000-0005-0000-0000-000081120000}"/>
    <cellStyle name="tableau | entete-ligne | total 2" xfId="5462" xr:uid="{00000000-0005-0000-0000-0000277C0000}"/>
    <cellStyle name="tableau | entete-ligne | total 2 2" xfId="16274" xr:uid="{00000000-0005-0000-0000-0000287C0000}"/>
    <cellStyle name="tableau | entete-ligne | total 2 2 2" xfId="37582" xr:uid="{00000000-0005-0000-0000-0000297C0000}"/>
    <cellStyle name="tableau | entete-ligne | total 2 2 3" xfId="23915" xr:uid="{00000000-0005-0000-0000-00002A7C0000}"/>
    <cellStyle name="tableau | entete-ligne | total 2 3" xfId="16469" xr:uid="{00000000-0005-0000-0000-00002B7C0000}"/>
    <cellStyle name="tableau | entete-ligne | total 2 4" xfId="32177" xr:uid="{00000000-0005-0000-0000-00002C7C0000}"/>
    <cellStyle name="tableau | entete-ligne | total 3" xfId="5846" xr:uid="{00000000-0005-0000-0000-00002D7C0000}"/>
    <cellStyle name="tableau | entete-ligne | total 3 2" xfId="24292" xr:uid="{00000000-0005-0000-0000-00002E7C0000}"/>
    <cellStyle name="tableau | entete-ligne | total 3 3" xfId="32412" xr:uid="{00000000-0005-0000-0000-00002F7C0000}"/>
    <cellStyle name="tableau | entete-ligne | total 3 4" xfId="19401" xr:uid="{00000000-0005-0000-0000-0000307C0000}"/>
    <cellStyle name="tableau | entete-ligne | total 4" xfId="7056" xr:uid="{00000000-0005-0000-0000-0000317C0000}"/>
    <cellStyle name="tableau | entete-ligne | total 4 2" xfId="25493" xr:uid="{00000000-0005-0000-0000-0000327C0000}"/>
    <cellStyle name="tableau | entete-ligne | total 4 3" xfId="32738" xr:uid="{00000000-0005-0000-0000-0000337C0000}"/>
    <cellStyle name="tableau | entete-ligne | total 4 4" xfId="20430" xr:uid="{00000000-0005-0000-0000-0000347C0000}"/>
    <cellStyle name="tableau | entete-ligne | total 5" xfId="6151" xr:uid="{00000000-0005-0000-0000-0000357C0000}"/>
    <cellStyle name="tableau | entete-ligne | total 5 2" xfId="24592" xr:uid="{00000000-0005-0000-0000-0000367C0000}"/>
    <cellStyle name="tableau | entete-ligne | total 5 3" xfId="32507" xr:uid="{00000000-0005-0000-0000-0000377C0000}"/>
    <cellStyle name="tableau | entete-ligne | total 5 4" xfId="19701" xr:uid="{00000000-0005-0000-0000-0000387C0000}"/>
    <cellStyle name="tableau | entete-ligne | total 6" xfId="7874" xr:uid="{00000000-0005-0000-0000-0000397C0000}"/>
    <cellStyle name="tableau | entete-ligne | total 6 2" xfId="26304" xr:uid="{00000000-0005-0000-0000-00003A7C0000}"/>
    <cellStyle name="tableau | entete-ligne | total 6 3" xfId="32935" xr:uid="{00000000-0005-0000-0000-00003B7C0000}"/>
    <cellStyle name="tableau | entete-ligne | total 6 4" xfId="21228" xr:uid="{00000000-0005-0000-0000-00003C7C0000}"/>
    <cellStyle name="tableau | entete-ligne | total 7" xfId="8595" xr:uid="{00000000-0005-0000-0000-00003D7C0000}"/>
    <cellStyle name="tableau | entete-ligne | total 7 2" xfId="27018" xr:uid="{00000000-0005-0000-0000-00003E7C0000}"/>
    <cellStyle name="tableau | entete-ligne | total 7 3" xfId="33104" xr:uid="{00000000-0005-0000-0000-00003F7C0000}"/>
    <cellStyle name="tableau | entete-ligne | total 7 4" xfId="21886" xr:uid="{00000000-0005-0000-0000-0000407C0000}"/>
    <cellStyle name="tableau | entete-ligne | total 8" xfId="4087" xr:uid="{00000000-0005-0000-0000-0000417C0000}"/>
    <cellStyle name="tableau | entete-ligne | total 8 2" xfId="22554" xr:uid="{00000000-0005-0000-0000-0000427C0000}"/>
    <cellStyle name="tableau | entete-ligne | total 8 3" xfId="31707" xr:uid="{00000000-0005-0000-0000-0000437C0000}"/>
    <cellStyle name="tableau | entete-ligne | total 8 4" xfId="17769" xr:uid="{00000000-0005-0000-0000-0000447C0000}"/>
    <cellStyle name="tableau | entete-ligne | total 9" xfId="15005" xr:uid="{00000000-0005-0000-0000-0000457C0000}"/>
    <cellStyle name="tableau | entete-ligne | total 9 2" xfId="36430" xr:uid="{00000000-0005-0000-0000-0000467C0000}"/>
    <cellStyle name="tableau | entete-ligne | total 9 3" xfId="17096" xr:uid="{00000000-0005-0000-0000-0000477C0000}"/>
    <cellStyle name="tableau | ligne-titre | niveau1" xfId="3313" xr:uid="{00000000-0005-0000-0000-0000487C0000}"/>
    <cellStyle name="tableau | ligne-titre | niveau1 10" xfId="16226" xr:uid="{00000000-0005-0000-0000-0000497C0000}"/>
    <cellStyle name="tableau | ligne-titre | niveau1 10 2" xfId="37539" xr:uid="{00000000-0005-0000-0000-00004A7C0000}"/>
    <cellStyle name="tableau | ligne-titre | niveau1 11" xfId="31384" xr:uid="{00000000-0005-0000-0000-00004B7C0000}"/>
    <cellStyle name="tableau | ligne-titre | niveau1 12" xfId="28264" xr:uid="{00000000-0005-0000-0000-00004C7C0000}"/>
    <cellStyle name="tableau | ligne-titre | niveau1 13" xfId="40649" xr:uid="{00000000-0005-0000-0000-000082120000}"/>
    <cellStyle name="tableau | ligne-titre | niveau1 2" xfId="5463" xr:uid="{00000000-0005-0000-0000-00004D7C0000}"/>
    <cellStyle name="tableau | ligne-titre | niveau1 2 2" xfId="16275" xr:uid="{00000000-0005-0000-0000-00004E7C0000}"/>
    <cellStyle name="tableau | ligne-titre | niveau1 2 2 2" xfId="37583" xr:uid="{00000000-0005-0000-0000-00004F7C0000}"/>
    <cellStyle name="tableau | ligne-titre | niveau1 2 2 3" xfId="23916" xr:uid="{00000000-0005-0000-0000-0000507C0000}"/>
    <cellStyle name="tableau | ligne-titre | niveau1 2 3" xfId="16470" xr:uid="{00000000-0005-0000-0000-0000517C0000}"/>
    <cellStyle name="tableau | ligne-titre | niveau1 2 4" xfId="32178" xr:uid="{00000000-0005-0000-0000-0000527C0000}"/>
    <cellStyle name="tableau | ligne-titre | niveau1 3" xfId="5847" xr:uid="{00000000-0005-0000-0000-0000537C0000}"/>
    <cellStyle name="tableau | ligne-titre | niveau1 3 2" xfId="24293" xr:uid="{00000000-0005-0000-0000-0000547C0000}"/>
    <cellStyle name="tableau | ligne-titre | niveau1 3 3" xfId="32413" xr:uid="{00000000-0005-0000-0000-0000557C0000}"/>
    <cellStyle name="tableau | ligne-titre | niveau1 3 4" xfId="19402" xr:uid="{00000000-0005-0000-0000-0000567C0000}"/>
    <cellStyle name="tableau | ligne-titre | niveau1 4" xfId="7057" xr:uid="{00000000-0005-0000-0000-0000577C0000}"/>
    <cellStyle name="tableau | ligne-titre | niveau1 4 2" xfId="25494" xr:uid="{00000000-0005-0000-0000-0000587C0000}"/>
    <cellStyle name="tableau | ligne-titre | niveau1 4 3" xfId="32739" xr:uid="{00000000-0005-0000-0000-0000597C0000}"/>
    <cellStyle name="tableau | ligne-titre | niveau1 4 4" xfId="20431" xr:uid="{00000000-0005-0000-0000-00005A7C0000}"/>
    <cellStyle name="tableau | ligne-titre | niveau1 5" xfId="6150" xr:uid="{00000000-0005-0000-0000-00005B7C0000}"/>
    <cellStyle name="tableau | ligne-titre | niveau1 5 2" xfId="24591" xr:uid="{00000000-0005-0000-0000-00005C7C0000}"/>
    <cellStyle name="tableau | ligne-titre | niveau1 5 3" xfId="32506" xr:uid="{00000000-0005-0000-0000-00005D7C0000}"/>
    <cellStyle name="tableau | ligne-titre | niveau1 5 4" xfId="19700" xr:uid="{00000000-0005-0000-0000-00005E7C0000}"/>
    <cellStyle name="tableau | ligne-titre | niveau1 6" xfId="7875" xr:uid="{00000000-0005-0000-0000-00005F7C0000}"/>
    <cellStyle name="tableau | ligne-titre | niveau1 6 2" xfId="26305" xr:uid="{00000000-0005-0000-0000-0000607C0000}"/>
    <cellStyle name="tableau | ligne-titre | niveau1 6 3" xfId="32936" xr:uid="{00000000-0005-0000-0000-0000617C0000}"/>
    <cellStyle name="tableau | ligne-titre | niveau1 6 4" xfId="21229" xr:uid="{00000000-0005-0000-0000-0000627C0000}"/>
    <cellStyle name="tableau | ligne-titre | niveau1 7" xfId="8596" xr:uid="{00000000-0005-0000-0000-0000637C0000}"/>
    <cellStyle name="tableau | ligne-titre | niveau1 7 2" xfId="27019" xr:uid="{00000000-0005-0000-0000-0000647C0000}"/>
    <cellStyle name="tableau | ligne-titre | niveau1 7 3" xfId="33105" xr:uid="{00000000-0005-0000-0000-0000657C0000}"/>
    <cellStyle name="tableau | ligne-titre | niveau1 7 4" xfId="21887" xr:uid="{00000000-0005-0000-0000-0000667C0000}"/>
    <cellStyle name="tableau | ligne-titre | niveau1 8" xfId="4088" xr:uid="{00000000-0005-0000-0000-0000677C0000}"/>
    <cellStyle name="tableau | ligne-titre | niveau1 8 2" xfId="22555" xr:uid="{00000000-0005-0000-0000-0000687C0000}"/>
    <cellStyle name="tableau | ligne-titre | niveau1 8 3" xfId="31708" xr:uid="{00000000-0005-0000-0000-0000697C0000}"/>
    <cellStyle name="tableau | ligne-titre | niveau1 8 4" xfId="17770" xr:uid="{00000000-0005-0000-0000-00006A7C0000}"/>
    <cellStyle name="tableau | ligne-titre | niveau1 9" xfId="15006" xr:uid="{00000000-0005-0000-0000-00006B7C0000}"/>
    <cellStyle name="tableau | ligne-titre | niveau1 9 2" xfId="36431" xr:uid="{00000000-0005-0000-0000-00006C7C0000}"/>
    <cellStyle name="tableau | ligne-titre | niveau1 9 3" xfId="17097" xr:uid="{00000000-0005-0000-0000-00006D7C0000}"/>
    <cellStyle name="tableau | ligne-titre | niveau2" xfId="3314" xr:uid="{00000000-0005-0000-0000-00006E7C0000}"/>
    <cellStyle name="tableau | ligne-titre | niveau2 10" xfId="16200" xr:uid="{00000000-0005-0000-0000-00006F7C0000}"/>
    <cellStyle name="tableau | ligne-titre | niveau2 10 2" xfId="37515" xr:uid="{00000000-0005-0000-0000-0000707C0000}"/>
    <cellStyle name="tableau | ligne-titre | niveau2 11" xfId="31385" xr:uid="{00000000-0005-0000-0000-0000717C0000}"/>
    <cellStyle name="tableau | ligne-titre | niveau2 12" xfId="28265" xr:uid="{00000000-0005-0000-0000-0000727C0000}"/>
    <cellStyle name="tableau | ligne-titre | niveau2 13" xfId="40650" xr:uid="{00000000-0005-0000-0000-000083120000}"/>
    <cellStyle name="tableau | ligne-titre | niveau2 2" xfId="5464" xr:uid="{00000000-0005-0000-0000-0000737C0000}"/>
    <cellStyle name="tableau | ligne-titre | niveau2 2 2" xfId="16276" xr:uid="{00000000-0005-0000-0000-0000747C0000}"/>
    <cellStyle name="tableau | ligne-titre | niveau2 2 2 2" xfId="37584" xr:uid="{00000000-0005-0000-0000-0000757C0000}"/>
    <cellStyle name="tableau | ligne-titre | niveau2 2 2 3" xfId="23917" xr:uid="{00000000-0005-0000-0000-0000767C0000}"/>
    <cellStyle name="tableau | ligne-titre | niveau2 2 3" xfId="16471" xr:uid="{00000000-0005-0000-0000-0000777C0000}"/>
    <cellStyle name="tableau | ligne-titre | niveau2 2 4" xfId="32179" xr:uid="{00000000-0005-0000-0000-0000787C0000}"/>
    <cellStyle name="tableau | ligne-titre | niveau2 3" xfId="5848" xr:uid="{00000000-0005-0000-0000-0000797C0000}"/>
    <cellStyle name="tableau | ligne-titre | niveau2 3 2" xfId="24294" xr:uid="{00000000-0005-0000-0000-00007A7C0000}"/>
    <cellStyle name="tableau | ligne-titre | niveau2 3 3" xfId="32414" xr:uid="{00000000-0005-0000-0000-00007B7C0000}"/>
    <cellStyle name="tableau | ligne-titre | niveau2 3 4" xfId="19403" xr:uid="{00000000-0005-0000-0000-00007C7C0000}"/>
    <cellStyle name="tableau | ligne-titre | niveau2 4" xfId="7058" xr:uid="{00000000-0005-0000-0000-00007D7C0000}"/>
    <cellStyle name="tableau | ligne-titre | niveau2 4 2" xfId="25495" xr:uid="{00000000-0005-0000-0000-00007E7C0000}"/>
    <cellStyle name="tableau | ligne-titre | niveau2 4 3" xfId="32740" xr:uid="{00000000-0005-0000-0000-00007F7C0000}"/>
    <cellStyle name="tableau | ligne-titre | niveau2 4 4" xfId="20432" xr:uid="{00000000-0005-0000-0000-0000807C0000}"/>
    <cellStyle name="tableau | ligne-titre | niveau2 5" xfId="6149" xr:uid="{00000000-0005-0000-0000-0000817C0000}"/>
    <cellStyle name="tableau | ligne-titre | niveau2 5 2" xfId="24590" xr:uid="{00000000-0005-0000-0000-0000827C0000}"/>
    <cellStyle name="tableau | ligne-titre | niveau2 5 3" xfId="32505" xr:uid="{00000000-0005-0000-0000-0000837C0000}"/>
    <cellStyle name="tableau | ligne-titre | niveau2 5 4" xfId="19699" xr:uid="{00000000-0005-0000-0000-0000847C0000}"/>
    <cellStyle name="tableau | ligne-titre | niveau2 6" xfId="7876" xr:uid="{00000000-0005-0000-0000-0000857C0000}"/>
    <cellStyle name="tableau | ligne-titre | niveau2 6 2" xfId="26306" xr:uid="{00000000-0005-0000-0000-0000867C0000}"/>
    <cellStyle name="tableau | ligne-titre | niveau2 6 3" xfId="32937" xr:uid="{00000000-0005-0000-0000-0000877C0000}"/>
    <cellStyle name="tableau | ligne-titre | niveau2 6 4" xfId="21230" xr:uid="{00000000-0005-0000-0000-0000887C0000}"/>
    <cellStyle name="tableau | ligne-titre | niveau2 7" xfId="8597" xr:uid="{00000000-0005-0000-0000-0000897C0000}"/>
    <cellStyle name="tableau | ligne-titre | niveau2 7 2" xfId="27020" xr:uid="{00000000-0005-0000-0000-00008A7C0000}"/>
    <cellStyle name="tableau | ligne-titre | niveau2 7 3" xfId="33106" xr:uid="{00000000-0005-0000-0000-00008B7C0000}"/>
    <cellStyle name="tableau | ligne-titre | niveau2 7 4" xfId="21888" xr:uid="{00000000-0005-0000-0000-00008C7C0000}"/>
    <cellStyle name="tableau | ligne-titre | niveau2 8" xfId="4089" xr:uid="{00000000-0005-0000-0000-00008D7C0000}"/>
    <cellStyle name="tableau | ligne-titre | niveau2 8 2" xfId="22556" xr:uid="{00000000-0005-0000-0000-00008E7C0000}"/>
    <cellStyle name="tableau | ligne-titre | niveau2 8 3" xfId="31709" xr:uid="{00000000-0005-0000-0000-00008F7C0000}"/>
    <cellStyle name="tableau | ligne-titre | niveau2 8 4" xfId="17771" xr:uid="{00000000-0005-0000-0000-0000907C0000}"/>
    <cellStyle name="tableau | ligne-titre | niveau2 9" xfId="15007" xr:uid="{00000000-0005-0000-0000-0000917C0000}"/>
    <cellStyle name="tableau | ligne-titre | niveau2 9 2" xfId="36432" xr:uid="{00000000-0005-0000-0000-0000927C0000}"/>
    <cellStyle name="tableau | ligne-titre | niveau2 9 3" xfId="17098" xr:uid="{00000000-0005-0000-0000-0000937C0000}"/>
    <cellStyle name="Tabref" xfId="11523" xr:uid="{00000000-0005-0000-0000-0000947C0000}"/>
    <cellStyle name="Testo avviso" xfId="3731" xr:uid="{00000000-0005-0000-0000-0000957C0000}"/>
    <cellStyle name="Testo descrittivo" xfId="3732" xr:uid="{00000000-0005-0000-0000-0000967C0000}"/>
    <cellStyle name="Texte explicatif" xfId="39" xr:uid="{00000000-0005-0000-0000-0000977C0000}"/>
    <cellStyle name="Title 10" xfId="3115" xr:uid="{00000000-0005-0000-0000-0000987C0000}"/>
    <cellStyle name="Title 10 2" xfId="10344" xr:uid="{00000000-0005-0000-0000-0000997C0000}"/>
    <cellStyle name="Title 10 2 2" xfId="10700" xr:uid="{00000000-0005-0000-0000-00009A7C0000}"/>
    <cellStyle name="Title 10 2 3" xfId="28770" xr:uid="{00000000-0005-0000-0000-00009B7C0000}"/>
    <cellStyle name="Title 10 3" xfId="11277" xr:uid="{00000000-0005-0000-0000-00009C7C0000}"/>
    <cellStyle name="Title 10 3 2" xfId="28567" xr:uid="{00000000-0005-0000-0000-00009D7C0000}"/>
    <cellStyle name="Title 10 3 3" xfId="34094" xr:uid="{00000000-0005-0000-0000-00009E7C0000}"/>
    <cellStyle name="Title 10 4" xfId="10699" xr:uid="{00000000-0005-0000-0000-00009F7C0000}"/>
    <cellStyle name="Title 10 5" xfId="10134" xr:uid="{00000000-0005-0000-0000-0000A07C0000}"/>
    <cellStyle name="Title 10 5 2" xfId="33434" xr:uid="{00000000-0005-0000-0000-0000A17C0000}"/>
    <cellStyle name="Title 10 5 3" xfId="28266" xr:uid="{00000000-0005-0000-0000-0000A27C0000}"/>
    <cellStyle name="Title 10 6" xfId="27489" xr:uid="{00000000-0005-0000-0000-0000A37C0000}"/>
    <cellStyle name="Title 11" xfId="40651" xr:uid="{00000000-0005-0000-0000-000085120000}"/>
    <cellStyle name="Title 12" xfId="40652" xr:uid="{00000000-0005-0000-0000-000086120000}"/>
    <cellStyle name="Title 13" xfId="40653" xr:uid="{00000000-0005-0000-0000-000087120000}"/>
    <cellStyle name="Title 14" xfId="40654" xr:uid="{00000000-0005-0000-0000-000088120000}"/>
    <cellStyle name="Title 15" xfId="40655" xr:uid="{00000000-0005-0000-0000-000089120000}"/>
    <cellStyle name="Title 16" xfId="40656" xr:uid="{00000000-0005-0000-0000-00008A120000}"/>
    <cellStyle name="Title 17" xfId="40657" xr:uid="{00000000-0005-0000-0000-00008B120000}"/>
    <cellStyle name="Title 18" xfId="40658" xr:uid="{00000000-0005-0000-0000-00008C120000}"/>
    <cellStyle name="Title 19" xfId="40659" xr:uid="{00000000-0005-0000-0000-00008D120000}"/>
    <cellStyle name="Title 2" xfId="3116" xr:uid="{00000000-0005-0000-0000-0000A47C0000}"/>
    <cellStyle name="Title 2 10" xfId="3117" xr:uid="{00000000-0005-0000-0000-0000A57C0000}"/>
    <cellStyle name="Title 2 10 2" xfId="10346" xr:uid="{00000000-0005-0000-0000-0000A67C0000}"/>
    <cellStyle name="Title 2 10 2 2" xfId="10702" xr:uid="{00000000-0005-0000-0000-0000A77C0000}"/>
    <cellStyle name="Title 2 10 2 3" xfId="28772" xr:uid="{00000000-0005-0000-0000-0000A87C0000}"/>
    <cellStyle name="Title 2 10 3" xfId="11279" xr:uid="{00000000-0005-0000-0000-0000A97C0000}"/>
    <cellStyle name="Title 2 10 3 2" xfId="28569" xr:uid="{00000000-0005-0000-0000-0000AA7C0000}"/>
    <cellStyle name="Title 2 10 3 3" xfId="34096" xr:uid="{00000000-0005-0000-0000-0000AB7C0000}"/>
    <cellStyle name="Title 2 10 4" xfId="13380" xr:uid="{00000000-0005-0000-0000-0000AC7C0000}"/>
    <cellStyle name="Title 2 10 5" xfId="10943" xr:uid="{00000000-0005-0000-0000-0000AD7C0000}"/>
    <cellStyle name="Title 2 10 6" xfId="10136" xr:uid="{00000000-0005-0000-0000-0000AE7C0000}"/>
    <cellStyle name="Title 2 10 6 2" xfId="33435" xr:uid="{00000000-0005-0000-0000-0000AF7C0000}"/>
    <cellStyle name="Title 2 10 6 3" xfId="28267" xr:uid="{00000000-0005-0000-0000-0000B07C0000}"/>
    <cellStyle name="Title 2 10 7" xfId="27491" xr:uid="{00000000-0005-0000-0000-0000B17C0000}"/>
    <cellStyle name="Title 2 11" xfId="3118" xr:uid="{00000000-0005-0000-0000-0000B27C0000}"/>
    <cellStyle name="Title 2 11 2" xfId="10347" xr:uid="{00000000-0005-0000-0000-0000B37C0000}"/>
    <cellStyle name="Title 2 11 2 2" xfId="10938" xr:uid="{00000000-0005-0000-0000-0000B47C0000}"/>
    <cellStyle name="Title 2 11 2 3" xfId="28773" xr:uid="{00000000-0005-0000-0000-0000B57C0000}"/>
    <cellStyle name="Title 2 11 3" xfId="11280" xr:uid="{00000000-0005-0000-0000-0000B67C0000}"/>
    <cellStyle name="Title 2 11 3 2" xfId="28570" xr:uid="{00000000-0005-0000-0000-0000B77C0000}"/>
    <cellStyle name="Title 2 11 3 3" xfId="34097" xr:uid="{00000000-0005-0000-0000-0000B87C0000}"/>
    <cellStyle name="Title 2 11 4" xfId="10944" xr:uid="{00000000-0005-0000-0000-0000B97C0000}"/>
    <cellStyle name="Title 2 11 5" xfId="10137" xr:uid="{00000000-0005-0000-0000-0000BA7C0000}"/>
    <cellStyle name="Title 2 11 5 2" xfId="33436" xr:uid="{00000000-0005-0000-0000-0000BB7C0000}"/>
    <cellStyle name="Title 2 11 5 3" xfId="28268" xr:uid="{00000000-0005-0000-0000-0000BC7C0000}"/>
    <cellStyle name="Title 2 11 6" xfId="27492" xr:uid="{00000000-0005-0000-0000-0000BD7C0000}"/>
    <cellStyle name="Title 2 12" xfId="10345" xr:uid="{00000000-0005-0000-0000-0000BE7C0000}"/>
    <cellStyle name="Title 2 12 2" xfId="10703" xr:uid="{00000000-0005-0000-0000-0000BF7C0000}"/>
    <cellStyle name="Title 2 12 3" xfId="28771" xr:uid="{00000000-0005-0000-0000-0000C07C0000}"/>
    <cellStyle name="Title 2 13" xfId="11278" xr:uid="{00000000-0005-0000-0000-0000C17C0000}"/>
    <cellStyle name="Title 2 13 2" xfId="28568" xr:uid="{00000000-0005-0000-0000-0000C27C0000}"/>
    <cellStyle name="Title 2 13 3" xfId="34095" xr:uid="{00000000-0005-0000-0000-0000C37C0000}"/>
    <cellStyle name="Title 2 14" xfId="11657" xr:uid="{00000000-0005-0000-0000-0000C47C0000}"/>
    <cellStyle name="Title 2 15" xfId="10701" xr:uid="{00000000-0005-0000-0000-0000C57C0000}"/>
    <cellStyle name="Title 2 16" xfId="10135" xr:uid="{00000000-0005-0000-0000-0000C67C0000}"/>
    <cellStyle name="Title 2 17" xfId="14368" xr:uid="{00000000-0005-0000-0000-0000C77C0000}"/>
    <cellStyle name="Title 2 18" xfId="27490" xr:uid="{00000000-0005-0000-0000-0000C87C0000}"/>
    <cellStyle name="Title 2 2" xfId="3119" xr:uid="{00000000-0005-0000-0000-0000C97C0000}"/>
    <cellStyle name="Title 2 2 2" xfId="10348" xr:uid="{00000000-0005-0000-0000-0000CA7C0000}"/>
    <cellStyle name="Title 2 2 2 2" xfId="10705" xr:uid="{00000000-0005-0000-0000-0000CB7C0000}"/>
    <cellStyle name="Title 2 2 2 3" xfId="28774" xr:uid="{00000000-0005-0000-0000-0000CC7C0000}"/>
    <cellStyle name="Title 2 2 3" xfId="11281" xr:uid="{00000000-0005-0000-0000-0000CD7C0000}"/>
    <cellStyle name="Title 2 2 3 2" xfId="28571" xr:uid="{00000000-0005-0000-0000-0000CE7C0000}"/>
    <cellStyle name="Title 2 2 3 3" xfId="34098" xr:uid="{00000000-0005-0000-0000-0000CF7C0000}"/>
    <cellStyle name="Title 2 2 4" xfId="13381" xr:uid="{00000000-0005-0000-0000-0000D07C0000}"/>
    <cellStyle name="Title 2 2 5" xfId="10704" xr:uid="{00000000-0005-0000-0000-0000D17C0000}"/>
    <cellStyle name="Title 2 2 6" xfId="10138" xr:uid="{00000000-0005-0000-0000-0000D27C0000}"/>
    <cellStyle name="Title 2 2 6 2" xfId="33437" xr:uid="{00000000-0005-0000-0000-0000D37C0000}"/>
    <cellStyle name="Title 2 2 6 3" xfId="28269" xr:uid="{00000000-0005-0000-0000-0000D47C0000}"/>
    <cellStyle name="Title 2 2 7" xfId="27493" xr:uid="{00000000-0005-0000-0000-0000D57C0000}"/>
    <cellStyle name="Title 2 3" xfId="3120" xr:uid="{00000000-0005-0000-0000-0000D67C0000}"/>
    <cellStyle name="Title 2 3 2" xfId="10349" xr:uid="{00000000-0005-0000-0000-0000D77C0000}"/>
    <cellStyle name="Title 2 3 2 2" xfId="10707" xr:uid="{00000000-0005-0000-0000-0000D87C0000}"/>
    <cellStyle name="Title 2 3 2 3" xfId="28775" xr:uid="{00000000-0005-0000-0000-0000D97C0000}"/>
    <cellStyle name="Title 2 3 3" xfId="11282" xr:uid="{00000000-0005-0000-0000-0000DA7C0000}"/>
    <cellStyle name="Title 2 3 3 2" xfId="28572" xr:uid="{00000000-0005-0000-0000-0000DB7C0000}"/>
    <cellStyle name="Title 2 3 3 3" xfId="34099" xr:uid="{00000000-0005-0000-0000-0000DC7C0000}"/>
    <cellStyle name="Title 2 3 4" xfId="13382" xr:uid="{00000000-0005-0000-0000-0000DD7C0000}"/>
    <cellStyle name="Title 2 3 5" xfId="10706" xr:uid="{00000000-0005-0000-0000-0000DE7C0000}"/>
    <cellStyle name="Title 2 3 6" xfId="10139" xr:uid="{00000000-0005-0000-0000-0000DF7C0000}"/>
    <cellStyle name="Title 2 3 6 2" xfId="33438" xr:uid="{00000000-0005-0000-0000-0000E07C0000}"/>
    <cellStyle name="Title 2 3 6 3" xfId="28270" xr:uid="{00000000-0005-0000-0000-0000E17C0000}"/>
    <cellStyle name="Title 2 3 7" xfId="27494" xr:uid="{00000000-0005-0000-0000-0000E27C0000}"/>
    <cellStyle name="Title 2 4" xfId="3121" xr:uid="{00000000-0005-0000-0000-0000E37C0000}"/>
    <cellStyle name="Title 2 4 2" xfId="10350" xr:uid="{00000000-0005-0000-0000-0000E47C0000}"/>
    <cellStyle name="Title 2 4 2 2" xfId="10946" xr:uid="{00000000-0005-0000-0000-0000E57C0000}"/>
    <cellStyle name="Title 2 4 2 3" xfId="28776" xr:uid="{00000000-0005-0000-0000-0000E67C0000}"/>
    <cellStyle name="Title 2 4 3" xfId="11283" xr:uid="{00000000-0005-0000-0000-0000E77C0000}"/>
    <cellStyle name="Title 2 4 3 2" xfId="28573" xr:uid="{00000000-0005-0000-0000-0000E87C0000}"/>
    <cellStyle name="Title 2 4 3 3" xfId="34100" xr:uid="{00000000-0005-0000-0000-0000E97C0000}"/>
    <cellStyle name="Title 2 4 4" xfId="13383" xr:uid="{00000000-0005-0000-0000-0000EA7C0000}"/>
    <cellStyle name="Title 2 4 5" xfId="10708" xr:uid="{00000000-0005-0000-0000-0000EB7C0000}"/>
    <cellStyle name="Title 2 4 6" xfId="10140" xr:uid="{00000000-0005-0000-0000-0000EC7C0000}"/>
    <cellStyle name="Title 2 4 6 2" xfId="33439" xr:uid="{00000000-0005-0000-0000-0000ED7C0000}"/>
    <cellStyle name="Title 2 4 6 3" xfId="28271" xr:uid="{00000000-0005-0000-0000-0000EE7C0000}"/>
    <cellStyle name="Title 2 4 7" xfId="27495" xr:uid="{00000000-0005-0000-0000-0000EF7C0000}"/>
    <cellStyle name="Title 2 5" xfId="3122" xr:uid="{00000000-0005-0000-0000-0000F07C0000}"/>
    <cellStyle name="Title 2 5 2" xfId="10351" xr:uid="{00000000-0005-0000-0000-0000F17C0000}"/>
    <cellStyle name="Title 2 5 2 2" xfId="10710" xr:uid="{00000000-0005-0000-0000-0000F27C0000}"/>
    <cellStyle name="Title 2 5 2 3" xfId="28777" xr:uid="{00000000-0005-0000-0000-0000F37C0000}"/>
    <cellStyle name="Title 2 5 3" xfId="11284" xr:uid="{00000000-0005-0000-0000-0000F47C0000}"/>
    <cellStyle name="Title 2 5 3 2" xfId="28574" xr:uid="{00000000-0005-0000-0000-0000F57C0000}"/>
    <cellStyle name="Title 2 5 3 3" xfId="34101" xr:uid="{00000000-0005-0000-0000-0000F67C0000}"/>
    <cellStyle name="Title 2 5 4" xfId="13384" xr:uid="{00000000-0005-0000-0000-0000F77C0000}"/>
    <cellStyle name="Title 2 5 5" xfId="10709" xr:uid="{00000000-0005-0000-0000-0000F87C0000}"/>
    <cellStyle name="Title 2 5 6" xfId="10141" xr:uid="{00000000-0005-0000-0000-0000F97C0000}"/>
    <cellStyle name="Title 2 5 6 2" xfId="33440" xr:uid="{00000000-0005-0000-0000-0000FA7C0000}"/>
    <cellStyle name="Title 2 5 6 3" xfId="28272" xr:uid="{00000000-0005-0000-0000-0000FB7C0000}"/>
    <cellStyle name="Title 2 5 7" xfId="27496" xr:uid="{00000000-0005-0000-0000-0000FC7C0000}"/>
    <cellStyle name="Title 2 6" xfId="3123" xr:uid="{00000000-0005-0000-0000-0000FD7C0000}"/>
    <cellStyle name="Title 2 6 2" xfId="10352" xr:uid="{00000000-0005-0000-0000-0000FE7C0000}"/>
    <cellStyle name="Title 2 6 2 2" xfId="10712" xr:uid="{00000000-0005-0000-0000-0000FF7C0000}"/>
    <cellStyle name="Title 2 6 2 3" xfId="28778" xr:uid="{00000000-0005-0000-0000-0000007D0000}"/>
    <cellStyle name="Title 2 6 3" xfId="11285" xr:uid="{00000000-0005-0000-0000-0000017D0000}"/>
    <cellStyle name="Title 2 6 3 2" xfId="28575" xr:uid="{00000000-0005-0000-0000-0000027D0000}"/>
    <cellStyle name="Title 2 6 3 3" xfId="34102" xr:uid="{00000000-0005-0000-0000-0000037D0000}"/>
    <cellStyle name="Title 2 6 4" xfId="13385" xr:uid="{00000000-0005-0000-0000-0000047D0000}"/>
    <cellStyle name="Title 2 6 5" xfId="10711" xr:uid="{00000000-0005-0000-0000-0000057D0000}"/>
    <cellStyle name="Title 2 6 6" xfId="10142" xr:uid="{00000000-0005-0000-0000-0000067D0000}"/>
    <cellStyle name="Title 2 6 6 2" xfId="33441" xr:uid="{00000000-0005-0000-0000-0000077D0000}"/>
    <cellStyle name="Title 2 6 6 3" xfId="28273" xr:uid="{00000000-0005-0000-0000-0000087D0000}"/>
    <cellStyle name="Title 2 6 7" xfId="27497" xr:uid="{00000000-0005-0000-0000-0000097D0000}"/>
    <cellStyle name="Title 2 7" xfId="3124" xr:uid="{00000000-0005-0000-0000-00000A7D0000}"/>
    <cellStyle name="Title 2 7 2" xfId="10353" xr:uid="{00000000-0005-0000-0000-00000B7D0000}"/>
    <cellStyle name="Title 2 7 2 2" xfId="10714" xr:uid="{00000000-0005-0000-0000-00000C7D0000}"/>
    <cellStyle name="Title 2 7 2 3" xfId="28779" xr:uid="{00000000-0005-0000-0000-00000D7D0000}"/>
    <cellStyle name="Title 2 7 3" xfId="11286" xr:uid="{00000000-0005-0000-0000-00000E7D0000}"/>
    <cellStyle name="Title 2 7 3 2" xfId="28576" xr:uid="{00000000-0005-0000-0000-00000F7D0000}"/>
    <cellStyle name="Title 2 7 3 3" xfId="34103" xr:uid="{00000000-0005-0000-0000-0000107D0000}"/>
    <cellStyle name="Title 2 7 4" xfId="13386" xr:uid="{00000000-0005-0000-0000-0000117D0000}"/>
    <cellStyle name="Title 2 7 5" xfId="10713" xr:uid="{00000000-0005-0000-0000-0000127D0000}"/>
    <cellStyle name="Title 2 7 6" xfId="10143" xr:uid="{00000000-0005-0000-0000-0000137D0000}"/>
    <cellStyle name="Title 2 7 6 2" xfId="33442" xr:uid="{00000000-0005-0000-0000-0000147D0000}"/>
    <cellStyle name="Title 2 7 6 3" xfId="28274" xr:uid="{00000000-0005-0000-0000-0000157D0000}"/>
    <cellStyle name="Title 2 7 7" xfId="27498" xr:uid="{00000000-0005-0000-0000-0000167D0000}"/>
    <cellStyle name="Title 2 8" xfId="3125" xr:uid="{00000000-0005-0000-0000-0000177D0000}"/>
    <cellStyle name="Title 2 8 2" xfId="10354" xr:uid="{00000000-0005-0000-0000-0000187D0000}"/>
    <cellStyle name="Title 2 8 2 2" xfId="10716" xr:uid="{00000000-0005-0000-0000-0000197D0000}"/>
    <cellStyle name="Title 2 8 2 3" xfId="28780" xr:uid="{00000000-0005-0000-0000-00001A7D0000}"/>
    <cellStyle name="Title 2 8 3" xfId="11287" xr:uid="{00000000-0005-0000-0000-00001B7D0000}"/>
    <cellStyle name="Title 2 8 3 2" xfId="28577" xr:uid="{00000000-0005-0000-0000-00001C7D0000}"/>
    <cellStyle name="Title 2 8 3 3" xfId="34104" xr:uid="{00000000-0005-0000-0000-00001D7D0000}"/>
    <cellStyle name="Title 2 8 4" xfId="13387" xr:uid="{00000000-0005-0000-0000-00001E7D0000}"/>
    <cellStyle name="Title 2 8 5" xfId="10715" xr:uid="{00000000-0005-0000-0000-00001F7D0000}"/>
    <cellStyle name="Title 2 8 6" xfId="10144" xr:uid="{00000000-0005-0000-0000-0000207D0000}"/>
    <cellStyle name="Title 2 8 6 2" xfId="33443" xr:uid="{00000000-0005-0000-0000-0000217D0000}"/>
    <cellStyle name="Title 2 8 6 3" xfId="28275" xr:uid="{00000000-0005-0000-0000-0000227D0000}"/>
    <cellStyle name="Title 2 8 7" xfId="27499" xr:uid="{00000000-0005-0000-0000-0000237D0000}"/>
    <cellStyle name="Title 2 9" xfId="3126" xr:uid="{00000000-0005-0000-0000-0000247D0000}"/>
    <cellStyle name="Title 2 9 2" xfId="10355" xr:uid="{00000000-0005-0000-0000-0000257D0000}"/>
    <cellStyle name="Title 2 9 2 2" xfId="10718" xr:uid="{00000000-0005-0000-0000-0000267D0000}"/>
    <cellStyle name="Title 2 9 2 3" xfId="28781" xr:uid="{00000000-0005-0000-0000-0000277D0000}"/>
    <cellStyle name="Title 2 9 3" xfId="11288" xr:uid="{00000000-0005-0000-0000-0000287D0000}"/>
    <cellStyle name="Title 2 9 3 2" xfId="28578" xr:uid="{00000000-0005-0000-0000-0000297D0000}"/>
    <cellStyle name="Title 2 9 3 3" xfId="34105" xr:uid="{00000000-0005-0000-0000-00002A7D0000}"/>
    <cellStyle name="Title 2 9 4" xfId="13388" xr:uid="{00000000-0005-0000-0000-00002B7D0000}"/>
    <cellStyle name="Title 2 9 5" xfId="10717" xr:uid="{00000000-0005-0000-0000-00002C7D0000}"/>
    <cellStyle name="Title 2 9 6" xfId="10145" xr:uid="{00000000-0005-0000-0000-00002D7D0000}"/>
    <cellStyle name="Title 2 9 6 2" xfId="33444" xr:uid="{00000000-0005-0000-0000-00002E7D0000}"/>
    <cellStyle name="Title 2 9 6 3" xfId="28276" xr:uid="{00000000-0005-0000-0000-00002F7D0000}"/>
    <cellStyle name="Title 2 9 7" xfId="27500" xr:uid="{00000000-0005-0000-0000-0000307D0000}"/>
    <cellStyle name="Title 20" xfId="40660" xr:uid="{00000000-0005-0000-0000-0000A2120000}"/>
    <cellStyle name="Title 21" xfId="40661" xr:uid="{00000000-0005-0000-0000-0000A3120000}"/>
    <cellStyle name="Title 22" xfId="40662" xr:uid="{00000000-0005-0000-0000-0000A4120000}"/>
    <cellStyle name="Title 23" xfId="40663" xr:uid="{00000000-0005-0000-0000-0000A5120000}"/>
    <cellStyle name="Title 24" xfId="40664" xr:uid="{00000000-0005-0000-0000-0000A6120000}"/>
    <cellStyle name="Title 25" xfId="40665" xr:uid="{00000000-0005-0000-0000-0000A7120000}"/>
    <cellStyle name="Title 26" xfId="40666" xr:uid="{00000000-0005-0000-0000-0000A8120000}"/>
    <cellStyle name="Title 27" xfId="40667" xr:uid="{00000000-0005-0000-0000-0000A9120000}"/>
    <cellStyle name="Title 28" xfId="40668" xr:uid="{00000000-0005-0000-0000-0000AA120000}"/>
    <cellStyle name="Title 29" xfId="40669" xr:uid="{00000000-0005-0000-0000-0000AB120000}"/>
    <cellStyle name="Title 3" xfId="3127" xr:uid="{00000000-0005-0000-0000-0000317D0000}"/>
    <cellStyle name="Title 3 10" xfId="3128" xr:uid="{00000000-0005-0000-0000-0000327D0000}"/>
    <cellStyle name="Title 3 10 2" xfId="10357" xr:uid="{00000000-0005-0000-0000-0000337D0000}"/>
    <cellStyle name="Title 3 10 2 2" xfId="10721" xr:uid="{00000000-0005-0000-0000-0000347D0000}"/>
    <cellStyle name="Title 3 10 2 3" xfId="28783" xr:uid="{00000000-0005-0000-0000-0000357D0000}"/>
    <cellStyle name="Title 3 10 3" xfId="11290" xr:uid="{00000000-0005-0000-0000-0000367D0000}"/>
    <cellStyle name="Title 3 10 3 2" xfId="28580" xr:uid="{00000000-0005-0000-0000-0000377D0000}"/>
    <cellStyle name="Title 3 10 3 3" xfId="34107" xr:uid="{00000000-0005-0000-0000-0000387D0000}"/>
    <cellStyle name="Title 3 10 4" xfId="10720" xr:uid="{00000000-0005-0000-0000-0000397D0000}"/>
    <cellStyle name="Title 3 10 5" xfId="10147" xr:uid="{00000000-0005-0000-0000-00003A7D0000}"/>
    <cellStyle name="Title 3 10 5 2" xfId="33446" xr:uid="{00000000-0005-0000-0000-00003B7D0000}"/>
    <cellStyle name="Title 3 10 5 3" xfId="28278" xr:uid="{00000000-0005-0000-0000-00003C7D0000}"/>
    <cellStyle name="Title 3 10 6" xfId="27502" xr:uid="{00000000-0005-0000-0000-00003D7D0000}"/>
    <cellStyle name="Title 3 11" xfId="3129" xr:uid="{00000000-0005-0000-0000-00003E7D0000}"/>
    <cellStyle name="Title 3 11 2" xfId="10358" xr:uid="{00000000-0005-0000-0000-00003F7D0000}"/>
    <cellStyle name="Title 3 11 2 2" xfId="10723" xr:uid="{00000000-0005-0000-0000-0000407D0000}"/>
    <cellStyle name="Title 3 11 2 3" xfId="28784" xr:uid="{00000000-0005-0000-0000-0000417D0000}"/>
    <cellStyle name="Title 3 11 3" xfId="11291" xr:uid="{00000000-0005-0000-0000-0000427D0000}"/>
    <cellStyle name="Title 3 11 3 2" xfId="28581" xr:uid="{00000000-0005-0000-0000-0000437D0000}"/>
    <cellStyle name="Title 3 11 3 3" xfId="34108" xr:uid="{00000000-0005-0000-0000-0000447D0000}"/>
    <cellStyle name="Title 3 11 4" xfId="10722" xr:uid="{00000000-0005-0000-0000-0000457D0000}"/>
    <cellStyle name="Title 3 11 5" xfId="10148" xr:uid="{00000000-0005-0000-0000-0000467D0000}"/>
    <cellStyle name="Title 3 11 5 2" xfId="33447" xr:uid="{00000000-0005-0000-0000-0000477D0000}"/>
    <cellStyle name="Title 3 11 5 3" xfId="28279" xr:uid="{00000000-0005-0000-0000-0000487D0000}"/>
    <cellStyle name="Title 3 11 6" xfId="27503" xr:uid="{00000000-0005-0000-0000-0000497D0000}"/>
    <cellStyle name="Title 3 12" xfId="10356" xr:uid="{00000000-0005-0000-0000-00004A7D0000}"/>
    <cellStyle name="Title 3 12 2" xfId="10945" xr:uid="{00000000-0005-0000-0000-00004B7D0000}"/>
    <cellStyle name="Title 3 12 3" xfId="28782" xr:uid="{00000000-0005-0000-0000-00004C7D0000}"/>
    <cellStyle name="Title 3 13" xfId="11289" xr:uid="{00000000-0005-0000-0000-00004D7D0000}"/>
    <cellStyle name="Title 3 13 2" xfId="28579" xr:uid="{00000000-0005-0000-0000-00004E7D0000}"/>
    <cellStyle name="Title 3 13 3" xfId="34106" xr:uid="{00000000-0005-0000-0000-00004F7D0000}"/>
    <cellStyle name="Title 3 14" xfId="13389" xr:uid="{00000000-0005-0000-0000-0000507D0000}"/>
    <cellStyle name="Title 3 15" xfId="10719" xr:uid="{00000000-0005-0000-0000-0000517D0000}"/>
    <cellStyle name="Title 3 16" xfId="10146" xr:uid="{00000000-0005-0000-0000-0000527D0000}"/>
    <cellStyle name="Title 3 16 2" xfId="33445" xr:uid="{00000000-0005-0000-0000-0000537D0000}"/>
    <cellStyle name="Title 3 16 3" xfId="28277" xr:uid="{00000000-0005-0000-0000-0000547D0000}"/>
    <cellStyle name="Title 3 17" xfId="27501" xr:uid="{00000000-0005-0000-0000-0000557D0000}"/>
    <cellStyle name="Title 3 2" xfId="3130" xr:uid="{00000000-0005-0000-0000-0000567D0000}"/>
    <cellStyle name="Title 3 2 2" xfId="10359" xr:uid="{00000000-0005-0000-0000-0000577D0000}"/>
    <cellStyle name="Title 3 2 2 2" xfId="10725" xr:uid="{00000000-0005-0000-0000-0000587D0000}"/>
    <cellStyle name="Title 3 2 2 3" xfId="28785" xr:uid="{00000000-0005-0000-0000-0000597D0000}"/>
    <cellStyle name="Title 3 2 3" xfId="11292" xr:uid="{00000000-0005-0000-0000-00005A7D0000}"/>
    <cellStyle name="Title 3 2 3 2" xfId="28582" xr:uid="{00000000-0005-0000-0000-00005B7D0000}"/>
    <cellStyle name="Title 3 2 3 3" xfId="34109" xr:uid="{00000000-0005-0000-0000-00005C7D0000}"/>
    <cellStyle name="Title 3 2 4" xfId="10724" xr:uid="{00000000-0005-0000-0000-00005D7D0000}"/>
    <cellStyle name="Title 3 2 5" xfId="10149" xr:uid="{00000000-0005-0000-0000-00005E7D0000}"/>
    <cellStyle name="Title 3 2 5 2" xfId="33448" xr:uid="{00000000-0005-0000-0000-00005F7D0000}"/>
    <cellStyle name="Title 3 2 5 3" xfId="28280" xr:uid="{00000000-0005-0000-0000-0000607D0000}"/>
    <cellStyle name="Title 3 2 6" xfId="27504" xr:uid="{00000000-0005-0000-0000-0000617D0000}"/>
    <cellStyle name="Title 3 3" xfId="3131" xr:uid="{00000000-0005-0000-0000-0000627D0000}"/>
    <cellStyle name="Title 3 3 2" xfId="10360" xr:uid="{00000000-0005-0000-0000-0000637D0000}"/>
    <cellStyle name="Title 3 3 2 2" xfId="10727" xr:uid="{00000000-0005-0000-0000-0000647D0000}"/>
    <cellStyle name="Title 3 3 2 3" xfId="28786" xr:uid="{00000000-0005-0000-0000-0000657D0000}"/>
    <cellStyle name="Title 3 3 3" xfId="11293" xr:uid="{00000000-0005-0000-0000-0000667D0000}"/>
    <cellStyle name="Title 3 3 3 2" xfId="28583" xr:uid="{00000000-0005-0000-0000-0000677D0000}"/>
    <cellStyle name="Title 3 3 3 3" xfId="34110" xr:uid="{00000000-0005-0000-0000-0000687D0000}"/>
    <cellStyle name="Title 3 3 4" xfId="10726" xr:uid="{00000000-0005-0000-0000-0000697D0000}"/>
    <cellStyle name="Title 3 3 5" xfId="10150" xr:uid="{00000000-0005-0000-0000-00006A7D0000}"/>
    <cellStyle name="Title 3 3 5 2" xfId="33449" xr:uid="{00000000-0005-0000-0000-00006B7D0000}"/>
    <cellStyle name="Title 3 3 5 3" xfId="28281" xr:uid="{00000000-0005-0000-0000-00006C7D0000}"/>
    <cellStyle name="Title 3 3 6" xfId="27505" xr:uid="{00000000-0005-0000-0000-00006D7D0000}"/>
    <cellStyle name="Title 3 4" xfId="3132" xr:uid="{00000000-0005-0000-0000-00006E7D0000}"/>
    <cellStyle name="Title 3 4 2" xfId="10361" xr:uid="{00000000-0005-0000-0000-00006F7D0000}"/>
    <cellStyle name="Title 3 4 2 2" xfId="10729" xr:uid="{00000000-0005-0000-0000-0000707D0000}"/>
    <cellStyle name="Title 3 4 2 3" xfId="28787" xr:uid="{00000000-0005-0000-0000-0000717D0000}"/>
    <cellStyle name="Title 3 4 3" xfId="11294" xr:uid="{00000000-0005-0000-0000-0000727D0000}"/>
    <cellStyle name="Title 3 4 3 2" xfId="28584" xr:uid="{00000000-0005-0000-0000-0000737D0000}"/>
    <cellStyle name="Title 3 4 3 3" xfId="34111" xr:uid="{00000000-0005-0000-0000-0000747D0000}"/>
    <cellStyle name="Title 3 4 4" xfId="10728" xr:uid="{00000000-0005-0000-0000-0000757D0000}"/>
    <cellStyle name="Title 3 4 5" xfId="10151" xr:uid="{00000000-0005-0000-0000-0000767D0000}"/>
    <cellStyle name="Title 3 4 5 2" xfId="33450" xr:uid="{00000000-0005-0000-0000-0000777D0000}"/>
    <cellStyle name="Title 3 4 5 3" xfId="28282" xr:uid="{00000000-0005-0000-0000-0000787D0000}"/>
    <cellStyle name="Title 3 4 6" xfId="27506" xr:uid="{00000000-0005-0000-0000-0000797D0000}"/>
    <cellStyle name="Title 3 5" xfId="3133" xr:uid="{00000000-0005-0000-0000-00007A7D0000}"/>
    <cellStyle name="Title 3 5 2" xfId="10362" xr:uid="{00000000-0005-0000-0000-00007B7D0000}"/>
    <cellStyle name="Title 3 5 2 2" xfId="10947" xr:uid="{00000000-0005-0000-0000-00007C7D0000}"/>
    <cellStyle name="Title 3 5 2 3" xfId="28788" xr:uid="{00000000-0005-0000-0000-00007D7D0000}"/>
    <cellStyle name="Title 3 5 3" xfId="11295" xr:uid="{00000000-0005-0000-0000-00007E7D0000}"/>
    <cellStyle name="Title 3 5 3 2" xfId="28585" xr:uid="{00000000-0005-0000-0000-00007F7D0000}"/>
    <cellStyle name="Title 3 5 3 3" xfId="34112" xr:uid="{00000000-0005-0000-0000-0000807D0000}"/>
    <cellStyle name="Title 3 5 4" xfId="10730" xr:uid="{00000000-0005-0000-0000-0000817D0000}"/>
    <cellStyle name="Title 3 5 5" xfId="10152" xr:uid="{00000000-0005-0000-0000-0000827D0000}"/>
    <cellStyle name="Title 3 5 5 2" xfId="33451" xr:uid="{00000000-0005-0000-0000-0000837D0000}"/>
    <cellStyle name="Title 3 5 5 3" xfId="28283" xr:uid="{00000000-0005-0000-0000-0000847D0000}"/>
    <cellStyle name="Title 3 5 6" xfId="27507" xr:uid="{00000000-0005-0000-0000-0000857D0000}"/>
    <cellStyle name="Title 3 6" xfId="3134" xr:uid="{00000000-0005-0000-0000-0000867D0000}"/>
    <cellStyle name="Title 3 6 2" xfId="10363" xr:uid="{00000000-0005-0000-0000-0000877D0000}"/>
    <cellStyle name="Title 3 6 2 2" xfId="10732" xr:uid="{00000000-0005-0000-0000-0000887D0000}"/>
    <cellStyle name="Title 3 6 2 3" xfId="28789" xr:uid="{00000000-0005-0000-0000-0000897D0000}"/>
    <cellStyle name="Title 3 6 3" xfId="11296" xr:uid="{00000000-0005-0000-0000-00008A7D0000}"/>
    <cellStyle name="Title 3 6 3 2" xfId="28586" xr:uid="{00000000-0005-0000-0000-00008B7D0000}"/>
    <cellStyle name="Title 3 6 3 3" xfId="34113" xr:uid="{00000000-0005-0000-0000-00008C7D0000}"/>
    <cellStyle name="Title 3 6 4" xfId="10731" xr:uid="{00000000-0005-0000-0000-00008D7D0000}"/>
    <cellStyle name="Title 3 6 5" xfId="10153" xr:uid="{00000000-0005-0000-0000-00008E7D0000}"/>
    <cellStyle name="Title 3 6 5 2" xfId="33452" xr:uid="{00000000-0005-0000-0000-00008F7D0000}"/>
    <cellStyle name="Title 3 6 5 3" xfId="28284" xr:uid="{00000000-0005-0000-0000-0000907D0000}"/>
    <cellStyle name="Title 3 6 6" xfId="27508" xr:uid="{00000000-0005-0000-0000-0000917D0000}"/>
    <cellStyle name="Title 3 7" xfId="3135" xr:uid="{00000000-0005-0000-0000-0000927D0000}"/>
    <cellStyle name="Title 3 7 2" xfId="10364" xr:uid="{00000000-0005-0000-0000-0000937D0000}"/>
    <cellStyle name="Title 3 7 2 2" xfId="10948" xr:uid="{00000000-0005-0000-0000-0000947D0000}"/>
    <cellStyle name="Title 3 7 2 3" xfId="28790" xr:uid="{00000000-0005-0000-0000-0000957D0000}"/>
    <cellStyle name="Title 3 7 3" xfId="11297" xr:uid="{00000000-0005-0000-0000-0000967D0000}"/>
    <cellStyle name="Title 3 7 3 2" xfId="28587" xr:uid="{00000000-0005-0000-0000-0000977D0000}"/>
    <cellStyle name="Title 3 7 3 3" xfId="34114" xr:uid="{00000000-0005-0000-0000-0000987D0000}"/>
    <cellStyle name="Title 3 7 4" xfId="10733" xr:uid="{00000000-0005-0000-0000-0000997D0000}"/>
    <cellStyle name="Title 3 7 5" xfId="10154" xr:uid="{00000000-0005-0000-0000-00009A7D0000}"/>
    <cellStyle name="Title 3 7 5 2" xfId="33453" xr:uid="{00000000-0005-0000-0000-00009B7D0000}"/>
    <cellStyle name="Title 3 7 5 3" xfId="28285" xr:uid="{00000000-0005-0000-0000-00009C7D0000}"/>
    <cellStyle name="Title 3 7 6" xfId="27509" xr:uid="{00000000-0005-0000-0000-00009D7D0000}"/>
    <cellStyle name="Title 3 8" xfId="3136" xr:uid="{00000000-0005-0000-0000-00009E7D0000}"/>
    <cellStyle name="Title 3 8 2" xfId="10365" xr:uid="{00000000-0005-0000-0000-00009F7D0000}"/>
    <cellStyle name="Title 3 8 2 2" xfId="10949" xr:uid="{00000000-0005-0000-0000-0000A07D0000}"/>
    <cellStyle name="Title 3 8 2 3" xfId="28791" xr:uid="{00000000-0005-0000-0000-0000A17D0000}"/>
    <cellStyle name="Title 3 8 3" xfId="11298" xr:uid="{00000000-0005-0000-0000-0000A27D0000}"/>
    <cellStyle name="Title 3 8 3 2" xfId="28588" xr:uid="{00000000-0005-0000-0000-0000A37D0000}"/>
    <cellStyle name="Title 3 8 3 3" xfId="34115" xr:uid="{00000000-0005-0000-0000-0000A47D0000}"/>
    <cellStyle name="Title 3 8 4" xfId="10734" xr:uid="{00000000-0005-0000-0000-0000A57D0000}"/>
    <cellStyle name="Title 3 8 5" xfId="10155" xr:uid="{00000000-0005-0000-0000-0000A67D0000}"/>
    <cellStyle name="Title 3 8 5 2" xfId="33454" xr:uid="{00000000-0005-0000-0000-0000A77D0000}"/>
    <cellStyle name="Title 3 8 5 3" xfId="28286" xr:uid="{00000000-0005-0000-0000-0000A87D0000}"/>
    <cellStyle name="Title 3 8 6" xfId="27510" xr:uid="{00000000-0005-0000-0000-0000A97D0000}"/>
    <cellStyle name="Title 3 9" xfId="3137" xr:uid="{00000000-0005-0000-0000-0000AA7D0000}"/>
    <cellStyle name="Title 3 9 2" xfId="10366" xr:uid="{00000000-0005-0000-0000-0000AB7D0000}"/>
    <cellStyle name="Title 3 9 2 2" xfId="10736" xr:uid="{00000000-0005-0000-0000-0000AC7D0000}"/>
    <cellStyle name="Title 3 9 2 3" xfId="28792" xr:uid="{00000000-0005-0000-0000-0000AD7D0000}"/>
    <cellStyle name="Title 3 9 3" xfId="11299" xr:uid="{00000000-0005-0000-0000-0000AE7D0000}"/>
    <cellStyle name="Title 3 9 3 2" xfId="28589" xr:uid="{00000000-0005-0000-0000-0000AF7D0000}"/>
    <cellStyle name="Title 3 9 3 3" xfId="34116" xr:uid="{00000000-0005-0000-0000-0000B07D0000}"/>
    <cellStyle name="Title 3 9 4" xfId="10735" xr:uid="{00000000-0005-0000-0000-0000B17D0000}"/>
    <cellStyle name="Title 3 9 5" xfId="10156" xr:uid="{00000000-0005-0000-0000-0000B27D0000}"/>
    <cellStyle name="Title 3 9 5 2" xfId="33455" xr:uid="{00000000-0005-0000-0000-0000B37D0000}"/>
    <cellStyle name="Title 3 9 5 3" xfId="28287" xr:uid="{00000000-0005-0000-0000-0000B47D0000}"/>
    <cellStyle name="Title 3 9 6" xfId="27511" xr:uid="{00000000-0005-0000-0000-0000B57D0000}"/>
    <cellStyle name="Title 30" xfId="40670" xr:uid="{00000000-0005-0000-0000-0000AF120000}"/>
    <cellStyle name="Title 31" xfId="40671" xr:uid="{00000000-0005-0000-0000-0000B0120000}"/>
    <cellStyle name="Title 32" xfId="40672" xr:uid="{00000000-0005-0000-0000-0000B1120000}"/>
    <cellStyle name="Title 33" xfId="40673" xr:uid="{00000000-0005-0000-0000-0000B2120000}"/>
    <cellStyle name="Title 34" xfId="40674" xr:uid="{00000000-0005-0000-0000-0000B3120000}"/>
    <cellStyle name="Title 35" xfId="40675" xr:uid="{00000000-0005-0000-0000-0000B4120000}"/>
    <cellStyle name="Title 36" xfId="40676" xr:uid="{00000000-0005-0000-0000-0000B5120000}"/>
    <cellStyle name="Title 37" xfId="40677" xr:uid="{00000000-0005-0000-0000-0000B6120000}"/>
    <cellStyle name="Title 38" xfId="40678" xr:uid="{00000000-0005-0000-0000-0000B7120000}"/>
    <cellStyle name="Title 39" xfId="40679" xr:uid="{00000000-0005-0000-0000-0000B8120000}"/>
    <cellStyle name="Title 4" xfId="3138" xr:uid="{00000000-0005-0000-0000-0000B67D0000}"/>
    <cellStyle name="Title 4 10" xfId="3139" xr:uid="{00000000-0005-0000-0000-0000B77D0000}"/>
    <cellStyle name="Title 4 10 2" xfId="10368" xr:uid="{00000000-0005-0000-0000-0000B87D0000}"/>
    <cellStyle name="Title 4 10 2 2" xfId="10739" xr:uid="{00000000-0005-0000-0000-0000B97D0000}"/>
    <cellStyle name="Title 4 10 2 3" xfId="28794" xr:uid="{00000000-0005-0000-0000-0000BA7D0000}"/>
    <cellStyle name="Title 4 10 3" xfId="11301" xr:uid="{00000000-0005-0000-0000-0000BB7D0000}"/>
    <cellStyle name="Title 4 10 3 2" xfId="28591" xr:uid="{00000000-0005-0000-0000-0000BC7D0000}"/>
    <cellStyle name="Title 4 10 3 3" xfId="34118" xr:uid="{00000000-0005-0000-0000-0000BD7D0000}"/>
    <cellStyle name="Title 4 10 4" xfId="10738" xr:uid="{00000000-0005-0000-0000-0000BE7D0000}"/>
    <cellStyle name="Title 4 10 5" xfId="10158" xr:uid="{00000000-0005-0000-0000-0000BF7D0000}"/>
    <cellStyle name="Title 4 10 5 2" xfId="33457" xr:uid="{00000000-0005-0000-0000-0000C07D0000}"/>
    <cellStyle name="Title 4 10 5 3" xfId="28289" xr:uid="{00000000-0005-0000-0000-0000C17D0000}"/>
    <cellStyle name="Title 4 10 6" xfId="27513" xr:uid="{00000000-0005-0000-0000-0000C27D0000}"/>
    <cellStyle name="Title 4 11" xfId="3140" xr:uid="{00000000-0005-0000-0000-0000C37D0000}"/>
    <cellStyle name="Title 4 11 2" xfId="10369" xr:uid="{00000000-0005-0000-0000-0000C47D0000}"/>
    <cellStyle name="Title 4 11 2 2" xfId="10951" xr:uid="{00000000-0005-0000-0000-0000C57D0000}"/>
    <cellStyle name="Title 4 11 2 3" xfId="28795" xr:uid="{00000000-0005-0000-0000-0000C67D0000}"/>
    <cellStyle name="Title 4 11 3" xfId="11302" xr:uid="{00000000-0005-0000-0000-0000C77D0000}"/>
    <cellStyle name="Title 4 11 3 2" xfId="28592" xr:uid="{00000000-0005-0000-0000-0000C87D0000}"/>
    <cellStyle name="Title 4 11 3 3" xfId="34119" xr:uid="{00000000-0005-0000-0000-0000C97D0000}"/>
    <cellStyle name="Title 4 11 4" xfId="10740" xr:uid="{00000000-0005-0000-0000-0000CA7D0000}"/>
    <cellStyle name="Title 4 11 5" xfId="10159" xr:uid="{00000000-0005-0000-0000-0000CB7D0000}"/>
    <cellStyle name="Title 4 11 5 2" xfId="33458" xr:uid="{00000000-0005-0000-0000-0000CC7D0000}"/>
    <cellStyle name="Title 4 11 5 3" xfId="28290" xr:uid="{00000000-0005-0000-0000-0000CD7D0000}"/>
    <cellStyle name="Title 4 11 6" xfId="27514" xr:uid="{00000000-0005-0000-0000-0000CE7D0000}"/>
    <cellStyle name="Title 4 12" xfId="10367" xr:uid="{00000000-0005-0000-0000-0000CF7D0000}"/>
    <cellStyle name="Title 4 12 2" xfId="10950" xr:uid="{00000000-0005-0000-0000-0000D07D0000}"/>
    <cellStyle name="Title 4 12 3" xfId="28793" xr:uid="{00000000-0005-0000-0000-0000D17D0000}"/>
    <cellStyle name="Title 4 13" xfId="11300" xr:uid="{00000000-0005-0000-0000-0000D27D0000}"/>
    <cellStyle name="Title 4 13 2" xfId="28590" xr:uid="{00000000-0005-0000-0000-0000D37D0000}"/>
    <cellStyle name="Title 4 13 3" xfId="34117" xr:uid="{00000000-0005-0000-0000-0000D47D0000}"/>
    <cellStyle name="Title 4 14" xfId="10737" xr:uid="{00000000-0005-0000-0000-0000D57D0000}"/>
    <cellStyle name="Title 4 15" xfId="10157" xr:uid="{00000000-0005-0000-0000-0000D67D0000}"/>
    <cellStyle name="Title 4 15 2" xfId="33456" xr:uid="{00000000-0005-0000-0000-0000D77D0000}"/>
    <cellStyle name="Title 4 15 3" xfId="28288" xr:uid="{00000000-0005-0000-0000-0000D87D0000}"/>
    <cellStyle name="Title 4 16" xfId="27512" xr:uid="{00000000-0005-0000-0000-0000D97D0000}"/>
    <cellStyle name="Title 4 2" xfId="3141" xr:uid="{00000000-0005-0000-0000-0000DA7D0000}"/>
    <cellStyle name="Title 4 2 2" xfId="10370" xr:uid="{00000000-0005-0000-0000-0000DB7D0000}"/>
    <cellStyle name="Title 4 2 2 2" xfId="10952" xr:uid="{00000000-0005-0000-0000-0000DC7D0000}"/>
    <cellStyle name="Title 4 2 2 3" xfId="28796" xr:uid="{00000000-0005-0000-0000-0000DD7D0000}"/>
    <cellStyle name="Title 4 2 3" xfId="11303" xr:uid="{00000000-0005-0000-0000-0000DE7D0000}"/>
    <cellStyle name="Title 4 2 3 2" xfId="28593" xr:uid="{00000000-0005-0000-0000-0000DF7D0000}"/>
    <cellStyle name="Title 4 2 3 3" xfId="34120" xr:uid="{00000000-0005-0000-0000-0000E07D0000}"/>
    <cellStyle name="Title 4 2 4" xfId="10741" xr:uid="{00000000-0005-0000-0000-0000E17D0000}"/>
    <cellStyle name="Title 4 2 5" xfId="10160" xr:uid="{00000000-0005-0000-0000-0000E27D0000}"/>
    <cellStyle name="Title 4 2 5 2" xfId="33459" xr:uid="{00000000-0005-0000-0000-0000E37D0000}"/>
    <cellStyle name="Title 4 2 5 3" xfId="28291" xr:uid="{00000000-0005-0000-0000-0000E47D0000}"/>
    <cellStyle name="Title 4 2 6" xfId="27515" xr:uid="{00000000-0005-0000-0000-0000E57D0000}"/>
    <cellStyle name="Title 4 3" xfId="3142" xr:uid="{00000000-0005-0000-0000-0000E67D0000}"/>
    <cellStyle name="Title 4 3 2" xfId="10371" xr:uid="{00000000-0005-0000-0000-0000E77D0000}"/>
    <cellStyle name="Title 4 3 2 2" xfId="10953" xr:uid="{00000000-0005-0000-0000-0000E87D0000}"/>
    <cellStyle name="Title 4 3 2 3" xfId="28797" xr:uid="{00000000-0005-0000-0000-0000E97D0000}"/>
    <cellStyle name="Title 4 3 3" xfId="11304" xr:uid="{00000000-0005-0000-0000-0000EA7D0000}"/>
    <cellStyle name="Title 4 3 3 2" xfId="28594" xr:uid="{00000000-0005-0000-0000-0000EB7D0000}"/>
    <cellStyle name="Title 4 3 3 3" xfId="34121" xr:uid="{00000000-0005-0000-0000-0000EC7D0000}"/>
    <cellStyle name="Title 4 3 4" xfId="10742" xr:uid="{00000000-0005-0000-0000-0000ED7D0000}"/>
    <cellStyle name="Title 4 3 5" xfId="10161" xr:uid="{00000000-0005-0000-0000-0000EE7D0000}"/>
    <cellStyle name="Title 4 3 5 2" xfId="33460" xr:uid="{00000000-0005-0000-0000-0000EF7D0000}"/>
    <cellStyle name="Title 4 3 5 3" xfId="28292" xr:uid="{00000000-0005-0000-0000-0000F07D0000}"/>
    <cellStyle name="Title 4 3 6" xfId="27516" xr:uid="{00000000-0005-0000-0000-0000F17D0000}"/>
    <cellStyle name="Title 4 4" xfId="3143" xr:uid="{00000000-0005-0000-0000-0000F27D0000}"/>
    <cellStyle name="Title 4 4 2" xfId="10372" xr:uid="{00000000-0005-0000-0000-0000F37D0000}"/>
    <cellStyle name="Title 4 4 2 2" xfId="10954" xr:uid="{00000000-0005-0000-0000-0000F47D0000}"/>
    <cellStyle name="Title 4 4 2 3" xfId="28798" xr:uid="{00000000-0005-0000-0000-0000F57D0000}"/>
    <cellStyle name="Title 4 4 3" xfId="11305" xr:uid="{00000000-0005-0000-0000-0000F67D0000}"/>
    <cellStyle name="Title 4 4 3 2" xfId="28595" xr:uid="{00000000-0005-0000-0000-0000F77D0000}"/>
    <cellStyle name="Title 4 4 3 3" xfId="34122" xr:uid="{00000000-0005-0000-0000-0000F87D0000}"/>
    <cellStyle name="Title 4 4 4" xfId="10743" xr:uid="{00000000-0005-0000-0000-0000F97D0000}"/>
    <cellStyle name="Title 4 4 5" xfId="10162" xr:uid="{00000000-0005-0000-0000-0000FA7D0000}"/>
    <cellStyle name="Title 4 4 5 2" xfId="33461" xr:uid="{00000000-0005-0000-0000-0000FB7D0000}"/>
    <cellStyle name="Title 4 4 5 3" xfId="28293" xr:uid="{00000000-0005-0000-0000-0000FC7D0000}"/>
    <cellStyle name="Title 4 4 6" xfId="27517" xr:uid="{00000000-0005-0000-0000-0000FD7D0000}"/>
    <cellStyle name="Title 4 5" xfId="3144" xr:uid="{00000000-0005-0000-0000-0000FE7D0000}"/>
    <cellStyle name="Title 4 5 2" xfId="10373" xr:uid="{00000000-0005-0000-0000-0000FF7D0000}"/>
    <cellStyle name="Title 4 5 2 2" xfId="10745" xr:uid="{00000000-0005-0000-0000-0000007E0000}"/>
    <cellStyle name="Title 4 5 2 3" xfId="28799" xr:uid="{00000000-0005-0000-0000-0000017E0000}"/>
    <cellStyle name="Title 4 5 3" xfId="11306" xr:uid="{00000000-0005-0000-0000-0000027E0000}"/>
    <cellStyle name="Title 4 5 3 2" xfId="28596" xr:uid="{00000000-0005-0000-0000-0000037E0000}"/>
    <cellStyle name="Title 4 5 3 3" xfId="34123" xr:uid="{00000000-0005-0000-0000-0000047E0000}"/>
    <cellStyle name="Title 4 5 4" xfId="10744" xr:uid="{00000000-0005-0000-0000-0000057E0000}"/>
    <cellStyle name="Title 4 5 5" xfId="10163" xr:uid="{00000000-0005-0000-0000-0000067E0000}"/>
    <cellStyle name="Title 4 5 5 2" xfId="33462" xr:uid="{00000000-0005-0000-0000-0000077E0000}"/>
    <cellStyle name="Title 4 5 5 3" xfId="28294" xr:uid="{00000000-0005-0000-0000-0000087E0000}"/>
    <cellStyle name="Title 4 5 6" xfId="27518" xr:uid="{00000000-0005-0000-0000-0000097E0000}"/>
    <cellStyle name="Title 4 6" xfId="3145" xr:uid="{00000000-0005-0000-0000-00000A7E0000}"/>
    <cellStyle name="Title 4 6 2" xfId="10374" xr:uid="{00000000-0005-0000-0000-00000B7E0000}"/>
    <cellStyle name="Title 4 6 2 2" xfId="10955" xr:uid="{00000000-0005-0000-0000-00000C7E0000}"/>
    <cellStyle name="Title 4 6 2 3" xfId="28800" xr:uid="{00000000-0005-0000-0000-00000D7E0000}"/>
    <cellStyle name="Title 4 6 3" xfId="11307" xr:uid="{00000000-0005-0000-0000-00000E7E0000}"/>
    <cellStyle name="Title 4 6 3 2" xfId="28597" xr:uid="{00000000-0005-0000-0000-00000F7E0000}"/>
    <cellStyle name="Title 4 6 3 3" xfId="34124" xr:uid="{00000000-0005-0000-0000-0000107E0000}"/>
    <cellStyle name="Title 4 6 4" xfId="10956" xr:uid="{00000000-0005-0000-0000-0000117E0000}"/>
    <cellStyle name="Title 4 6 5" xfId="10164" xr:uid="{00000000-0005-0000-0000-0000127E0000}"/>
    <cellStyle name="Title 4 6 5 2" xfId="33463" xr:uid="{00000000-0005-0000-0000-0000137E0000}"/>
    <cellStyle name="Title 4 6 5 3" xfId="28295" xr:uid="{00000000-0005-0000-0000-0000147E0000}"/>
    <cellStyle name="Title 4 6 6" xfId="27519" xr:uid="{00000000-0005-0000-0000-0000157E0000}"/>
    <cellStyle name="Title 4 7" xfId="3146" xr:uid="{00000000-0005-0000-0000-0000167E0000}"/>
    <cellStyle name="Title 4 7 2" xfId="10375" xr:uid="{00000000-0005-0000-0000-0000177E0000}"/>
    <cellStyle name="Title 4 7 2 2" xfId="10957" xr:uid="{00000000-0005-0000-0000-0000187E0000}"/>
    <cellStyle name="Title 4 7 2 3" xfId="28801" xr:uid="{00000000-0005-0000-0000-0000197E0000}"/>
    <cellStyle name="Title 4 7 3" xfId="11308" xr:uid="{00000000-0005-0000-0000-00001A7E0000}"/>
    <cellStyle name="Title 4 7 3 2" xfId="28598" xr:uid="{00000000-0005-0000-0000-00001B7E0000}"/>
    <cellStyle name="Title 4 7 3 3" xfId="34125" xr:uid="{00000000-0005-0000-0000-00001C7E0000}"/>
    <cellStyle name="Title 4 7 4" xfId="10746" xr:uid="{00000000-0005-0000-0000-00001D7E0000}"/>
    <cellStyle name="Title 4 7 5" xfId="10165" xr:uid="{00000000-0005-0000-0000-00001E7E0000}"/>
    <cellStyle name="Title 4 7 5 2" xfId="33464" xr:uid="{00000000-0005-0000-0000-00001F7E0000}"/>
    <cellStyle name="Title 4 7 5 3" xfId="28296" xr:uid="{00000000-0005-0000-0000-0000207E0000}"/>
    <cellStyle name="Title 4 7 6" xfId="27520" xr:uid="{00000000-0005-0000-0000-0000217E0000}"/>
    <cellStyle name="Title 4 8" xfId="3147" xr:uid="{00000000-0005-0000-0000-0000227E0000}"/>
    <cellStyle name="Title 4 8 2" xfId="10376" xr:uid="{00000000-0005-0000-0000-0000237E0000}"/>
    <cellStyle name="Title 4 8 2 2" xfId="10958" xr:uid="{00000000-0005-0000-0000-0000247E0000}"/>
    <cellStyle name="Title 4 8 2 3" xfId="28802" xr:uid="{00000000-0005-0000-0000-0000257E0000}"/>
    <cellStyle name="Title 4 8 3" xfId="11309" xr:uid="{00000000-0005-0000-0000-0000267E0000}"/>
    <cellStyle name="Title 4 8 3 2" xfId="28599" xr:uid="{00000000-0005-0000-0000-0000277E0000}"/>
    <cellStyle name="Title 4 8 3 3" xfId="34126" xr:uid="{00000000-0005-0000-0000-0000287E0000}"/>
    <cellStyle name="Title 4 8 4" xfId="10747" xr:uid="{00000000-0005-0000-0000-0000297E0000}"/>
    <cellStyle name="Title 4 8 5" xfId="10166" xr:uid="{00000000-0005-0000-0000-00002A7E0000}"/>
    <cellStyle name="Title 4 8 5 2" xfId="33465" xr:uid="{00000000-0005-0000-0000-00002B7E0000}"/>
    <cellStyle name="Title 4 8 5 3" xfId="28297" xr:uid="{00000000-0005-0000-0000-00002C7E0000}"/>
    <cellStyle name="Title 4 8 6" xfId="27521" xr:uid="{00000000-0005-0000-0000-00002D7E0000}"/>
    <cellStyle name="Title 4 9" xfId="3148" xr:uid="{00000000-0005-0000-0000-00002E7E0000}"/>
    <cellStyle name="Title 4 9 2" xfId="10377" xr:uid="{00000000-0005-0000-0000-00002F7E0000}"/>
    <cellStyle name="Title 4 9 2 2" xfId="10749" xr:uid="{00000000-0005-0000-0000-0000307E0000}"/>
    <cellStyle name="Title 4 9 2 3" xfId="28803" xr:uid="{00000000-0005-0000-0000-0000317E0000}"/>
    <cellStyle name="Title 4 9 3" xfId="11310" xr:uid="{00000000-0005-0000-0000-0000327E0000}"/>
    <cellStyle name="Title 4 9 3 2" xfId="28600" xr:uid="{00000000-0005-0000-0000-0000337E0000}"/>
    <cellStyle name="Title 4 9 3 3" xfId="34127" xr:uid="{00000000-0005-0000-0000-0000347E0000}"/>
    <cellStyle name="Title 4 9 4" xfId="10748" xr:uid="{00000000-0005-0000-0000-0000357E0000}"/>
    <cellStyle name="Title 4 9 5" xfId="10167" xr:uid="{00000000-0005-0000-0000-0000367E0000}"/>
    <cellStyle name="Title 4 9 5 2" xfId="33466" xr:uid="{00000000-0005-0000-0000-0000377E0000}"/>
    <cellStyle name="Title 4 9 5 3" xfId="28298" xr:uid="{00000000-0005-0000-0000-0000387E0000}"/>
    <cellStyle name="Title 4 9 6" xfId="27522" xr:uid="{00000000-0005-0000-0000-0000397E0000}"/>
    <cellStyle name="Title 40" xfId="40680" xr:uid="{00000000-0005-0000-0000-0000BB120000}"/>
    <cellStyle name="Title 41" xfId="40681" xr:uid="{00000000-0005-0000-0000-0000BC120000}"/>
    <cellStyle name="Title 42" xfId="40682" xr:uid="{00000000-0005-0000-0000-0000BD120000}"/>
    <cellStyle name="Title 43" xfId="40683" xr:uid="{00000000-0005-0000-0000-0000BE120000}"/>
    <cellStyle name="Title 5" xfId="3149" xr:uid="{00000000-0005-0000-0000-00003A7E0000}"/>
    <cellStyle name="Title 5 10" xfId="3150" xr:uid="{00000000-0005-0000-0000-00003B7E0000}"/>
    <cellStyle name="Title 5 10 2" xfId="10379" xr:uid="{00000000-0005-0000-0000-00003C7E0000}"/>
    <cellStyle name="Title 5 10 2 2" xfId="10961" xr:uid="{00000000-0005-0000-0000-00003D7E0000}"/>
    <cellStyle name="Title 5 10 2 3" xfId="28805" xr:uid="{00000000-0005-0000-0000-00003E7E0000}"/>
    <cellStyle name="Title 5 10 3" xfId="11312" xr:uid="{00000000-0005-0000-0000-00003F7E0000}"/>
    <cellStyle name="Title 5 10 3 2" xfId="28602" xr:uid="{00000000-0005-0000-0000-0000407E0000}"/>
    <cellStyle name="Title 5 10 3 3" xfId="34129" xr:uid="{00000000-0005-0000-0000-0000417E0000}"/>
    <cellStyle name="Title 5 10 4" xfId="10750" xr:uid="{00000000-0005-0000-0000-0000427E0000}"/>
    <cellStyle name="Title 5 10 5" xfId="10169" xr:uid="{00000000-0005-0000-0000-0000437E0000}"/>
    <cellStyle name="Title 5 10 5 2" xfId="33468" xr:uid="{00000000-0005-0000-0000-0000447E0000}"/>
    <cellStyle name="Title 5 10 5 3" xfId="28300" xr:uid="{00000000-0005-0000-0000-0000457E0000}"/>
    <cellStyle name="Title 5 10 6" xfId="27524" xr:uid="{00000000-0005-0000-0000-0000467E0000}"/>
    <cellStyle name="Title 5 11" xfId="3151" xr:uid="{00000000-0005-0000-0000-0000477E0000}"/>
    <cellStyle name="Title 5 11 2" xfId="10380" xr:uid="{00000000-0005-0000-0000-0000487E0000}"/>
    <cellStyle name="Title 5 11 2 2" xfId="10751" xr:uid="{00000000-0005-0000-0000-0000497E0000}"/>
    <cellStyle name="Title 5 11 2 3" xfId="28806" xr:uid="{00000000-0005-0000-0000-00004A7E0000}"/>
    <cellStyle name="Title 5 11 3" xfId="11313" xr:uid="{00000000-0005-0000-0000-00004B7E0000}"/>
    <cellStyle name="Title 5 11 3 2" xfId="28603" xr:uid="{00000000-0005-0000-0000-00004C7E0000}"/>
    <cellStyle name="Title 5 11 3 3" xfId="34130" xr:uid="{00000000-0005-0000-0000-00004D7E0000}"/>
    <cellStyle name="Title 5 11 4" xfId="10959" xr:uid="{00000000-0005-0000-0000-00004E7E0000}"/>
    <cellStyle name="Title 5 11 5" xfId="10170" xr:uid="{00000000-0005-0000-0000-00004F7E0000}"/>
    <cellStyle name="Title 5 11 5 2" xfId="33469" xr:uid="{00000000-0005-0000-0000-0000507E0000}"/>
    <cellStyle name="Title 5 11 5 3" xfId="28301" xr:uid="{00000000-0005-0000-0000-0000517E0000}"/>
    <cellStyle name="Title 5 11 6" xfId="27525" xr:uid="{00000000-0005-0000-0000-0000527E0000}"/>
    <cellStyle name="Title 5 12" xfId="10378" xr:uid="{00000000-0005-0000-0000-0000537E0000}"/>
    <cellStyle name="Title 5 12 2" xfId="10962" xr:uid="{00000000-0005-0000-0000-0000547E0000}"/>
    <cellStyle name="Title 5 12 3" xfId="28804" xr:uid="{00000000-0005-0000-0000-0000557E0000}"/>
    <cellStyle name="Title 5 13" xfId="11311" xr:uid="{00000000-0005-0000-0000-0000567E0000}"/>
    <cellStyle name="Title 5 13 2" xfId="28601" xr:uid="{00000000-0005-0000-0000-0000577E0000}"/>
    <cellStyle name="Title 5 13 3" xfId="34128" xr:uid="{00000000-0005-0000-0000-0000587E0000}"/>
    <cellStyle name="Title 5 14" xfId="10960" xr:uid="{00000000-0005-0000-0000-0000597E0000}"/>
    <cellStyle name="Title 5 15" xfId="10168" xr:uid="{00000000-0005-0000-0000-00005A7E0000}"/>
    <cellStyle name="Title 5 15 2" xfId="33467" xr:uid="{00000000-0005-0000-0000-00005B7E0000}"/>
    <cellStyle name="Title 5 15 3" xfId="28299" xr:uid="{00000000-0005-0000-0000-00005C7E0000}"/>
    <cellStyle name="Title 5 16" xfId="27523" xr:uid="{00000000-0005-0000-0000-00005D7E0000}"/>
    <cellStyle name="Title 5 2" xfId="3152" xr:uid="{00000000-0005-0000-0000-00005E7E0000}"/>
    <cellStyle name="Title 5 2 2" xfId="10381" xr:uid="{00000000-0005-0000-0000-00005F7E0000}"/>
    <cellStyle name="Title 5 2 2 2" xfId="10963" xr:uid="{00000000-0005-0000-0000-0000607E0000}"/>
    <cellStyle name="Title 5 2 2 3" xfId="28807" xr:uid="{00000000-0005-0000-0000-0000617E0000}"/>
    <cellStyle name="Title 5 2 3" xfId="11314" xr:uid="{00000000-0005-0000-0000-0000627E0000}"/>
    <cellStyle name="Title 5 2 3 2" xfId="28604" xr:uid="{00000000-0005-0000-0000-0000637E0000}"/>
    <cellStyle name="Title 5 2 3 3" xfId="34131" xr:uid="{00000000-0005-0000-0000-0000647E0000}"/>
    <cellStyle name="Title 5 2 4" xfId="10752" xr:uid="{00000000-0005-0000-0000-0000657E0000}"/>
    <cellStyle name="Title 5 2 5" xfId="10171" xr:uid="{00000000-0005-0000-0000-0000667E0000}"/>
    <cellStyle name="Title 5 2 5 2" xfId="33470" xr:uid="{00000000-0005-0000-0000-0000677E0000}"/>
    <cellStyle name="Title 5 2 5 3" xfId="28302" xr:uid="{00000000-0005-0000-0000-0000687E0000}"/>
    <cellStyle name="Title 5 2 6" xfId="27526" xr:uid="{00000000-0005-0000-0000-0000697E0000}"/>
    <cellStyle name="Title 5 3" xfId="3153" xr:uid="{00000000-0005-0000-0000-00006A7E0000}"/>
    <cellStyle name="Title 5 3 2" xfId="10382" xr:uid="{00000000-0005-0000-0000-00006B7E0000}"/>
    <cellStyle name="Title 5 3 2 2" xfId="10964" xr:uid="{00000000-0005-0000-0000-00006C7E0000}"/>
    <cellStyle name="Title 5 3 2 3" xfId="28808" xr:uid="{00000000-0005-0000-0000-00006D7E0000}"/>
    <cellStyle name="Title 5 3 3" xfId="11315" xr:uid="{00000000-0005-0000-0000-00006E7E0000}"/>
    <cellStyle name="Title 5 3 3 2" xfId="28605" xr:uid="{00000000-0005-0000-0000-00006F7E0000}"/>
    <cellStyle name="Title 5 3 3 3" xfId="34132" xr:uid="{00000000-0005-0000-0000-0000707E0000}"/>
    <cellStyle name="Title 5 3 4" xfId="10753" xr:uid="{00000000-0005-0000-0000-0000717E0000}"/>
    <cellStyle name="Title 5 3 5" xfId="10172" xr:uid="{00000000-0005-0000-0000-0000727E0000}"/>
    <cellStyle name="Title 5 3 5 2" xfId="33471" xr:uid="{00000000-0005-0000-0000-0000737E0000}"/>
    <cellStyle name="Title 5 3 5 3" xfId="28303" xr:uid="{00000000-0005-0000-0000-0000747E0000}"/>
    <cellStyle name="Title 5 3 6" xfId="27527" xr:uid="{00000000-0005-0000-0000-0000757E0000}"/>
    <cellStyle name="Title 5 4" xfId="3154" xr:uid="{00000000-0005-0000-0000-0000767E0000}"/>
    <cellStyle name="Title 5 4 2" xfId="10383" xr:uid="{00000000-0005-0000-0000-0000777E0000}"/>
    <cellStyle name="Title 5 4 2 2" xfId="10965" xr:uid="{00000000-0005-0000-0000-0000787E0000}"/>
    <cellStyle name="Title 5 4 2 3" xfId="28809" xr:uid="{00000000-0005-0000-0000-0000797E0000}"/>
    <cellStyle name="Title 5 4 3" xfId="11316" xr:uid="{00000000-0005-0000-0000-00007A7E0000}"/>
    <cellStyle name="Title 5 4 3 2" xfId="28606" xr:uid="{00000000-0005-0000-0000-00007B7E0000}"/>
    <cellStyle name="Title 5 4 3 3" xfId="34133" xr:uid="{00000000-0005-0000-0000-00007C7E0000}"/>
    <cellStyle name="Title 5 4 4" xfId="10754" xr:uid="{00000000-0005-0000-0000-00007D7E0000}"/>
    <cellStyle name="Title 5 4 5" xfId="10173" xr:uid="{00000000-0005-0000-0000-00007E7E0000}"/>
    <cellStyle name="Title 5 4 5 2" xfId="33472" xr:uid="{00000000-0005-0000-0000-00007F7E0000}"/>
    <cellStyle name="Title 5 4 5 3" xfId="28304" xr:uid="{00000000-0005-0000-0000-0000807E0000}"/>
    <cellStyle name="Title 5 4 6" xfId="27528" xr:uid="{00000000-0005-0000-0000-0000817E0000}"/>
    <cellStyle name="Title 5 5" xfId="3155" xr:uid="{00000000-0005-0000-0000-0000827E0000}"/>
    <cellStyle name="Title 5 5 2" xfId="10384" xr:uid="{00000000-0005-0000-0000-0000837E0000}"/>
    <cellStyle name="Title 5 5 2 2" xfId="10966" xr:uid="{00000000-0005-0000-0000-0000847E0000}"/>
    <cellStyle name="Title 5 5 2 3" xfId="28810" xr:uid="{00000000-0005-0000-0000-0000857E0000}"/>
    <cellStyle name="Title 5 5 3" xfId="11317" xr:uid="{00000000-0005-0000-0000-0000867E0000}"/>
    <cellStyle name="Title 5 5 3 2" xfId="28607" xr:uid="{00000000-0005-0000-0000-0000877E0000}"/>
    <cellStyle name="Title 5 5 3 3" xfId="34134" xr:uid="{00000000-0005-0000-0000-0000887E0000}"/>
    <cellStyle name="Title 5 5 4" xfId="10755" xr:uid="{00000000-0005-0000-0000-0000897E0000}"/>
    <cellStyle name="Title 5 5 5" xfId="10174" xr:uid="{00000000-0005-0000-0000-00008A7E0000}"/>
    <cellStyle name="Title 5 5 5 2" xfId="33473" xr:uid="{00000000-0005-0000-0000-00008B7E0000}"/>
    <cellStyle name="Title 5 5 5 3" xfId="28305" xr:uid="{00000000-0005-0000-0000-00008C7E0000}"/>
    <cellStyle name="Title 5 5 6" xfId="27529" xr:uid="{00000000-0005-0000-0000-00008D7E0000}"/>
    <cellStyle name="Title 5 6" xfId="3156" xr:uid="{00000000-0005-0000-0000-00008E7E0000}"/>
    <cellStyle name="Title 5 6 2" xfId="10385" xr:uid="{00000000-0005-0000-0000-00008F7E0000}"/>
    <cellStyle name="Title 5 6 2 2" xfId="10967" xr:uid="{00000000-0005-0000-0000-0000907E0000}"/>
    <cellStyle name="Title 5 6 2 3" xfId="28811" xr:uid="{00000000-0005-0000-0000-0000917E0000}"/>
    <cellStyle name="Title 5 6 3" xfId="11318" xr:uid="{00000000-0005-0000-0000-0000927E0000}"/>
    <cellStyle name="Title 5 6 3 2" xfId="28608" xr:uid="{00000000-0005-0000-0000-0000937E0000}"/>
    <cellStyle name="Title 5 6 3 3" xfId="34135" xr:uid="{00000000-0005-0000-0000-0000947E0000}"/>
    <cellStyle name="Title 5 6 4" xfId="10756" xr:uid="{00000000-0005-0000-0000-0000957E0000}"/>
    <cellStyle name="Title 5 6 5" xfId="10175" xr:uid="{00000000-0005-0000-0000-0000967E0000}"/>
    <cellStyle name="Title 5 6 5 2" xfId="33474" xr:uid="{00000000-0005-0000-0000-0000977E0000}"/>
    <cellStyle name="Title 5 6 5 3" xfId="28306" xr:uid="{00000000-0005-0000-0000-0000987E0000}"/>
    <cellStyle name="Title 5 6 6" xfId="27530" xr:uid="{00000000-0005-0000-0000-0000997E0000}"/>
    <cellStyle name="Title 5 7" xfId="3157" xr:uid="{00000000-0005-0000-0000-00009A7E0000}"/>
    <cellStyle name="Title 5 7 2" xfId="10386" xr:uid="{00000000-0005-0000-0000-00009B7E0000}"/>
    <cellStyle name="Title 5 7 2 2" xfId="10968" xr:uid="{00000000-0005-0000-0000-00009C7E0000}"/>
    <cellStyle name="Title 5 7 2 3" xfId="28812" xr:uid="{00000000-0005-0000-0000-00009D7E0000}"/>
    <cellStyle name="Title 5 7 3" xfId="11319" xr:uid="{00000000-0005-0000-0000-00009E7E0000}"/>
    <cellStyle name="Title 5 7 3 2" xfId="28609" xr:uid="{00000000-0005-0000-0000-00009F7E0000}"/>
    <cellStyle name="Title 5 7 3 3" xfId="34136" xr:uid="{00000000-0005-0000-0000-0000A07E0000}"/>
    <cellStyle name="Title 5 7 4" xfId="10757" xr:uid="{00000000-0005-0000-0000-0000A17E0000}"/>
    <cellStyle name="Title 5 7 5" xfId="10176" xr:uid="{00000000-0005-0000-0000-0000A27E0000}"/>
    <cellStyle name="Title 5 7 5 2" xfId="33475" xr:uid="{00000000-0005-0000-0000-0000A37E0000}"/>
    <cellStyle name="Title 5 7 5 3" xfId="28307" xr:uid="{00000000-0005-0000-0000-0000A47E0000}"/>
    <cellStyle name="Title 5 7 6" xfId="27531" xr:uid="{00000000-0005-0000-0000-0000A57E0000}"/>
    <cellStyle name="Title 5 8" xfId="3158" xr:uid="{00000000-0005-0000-0000-0000A67E0000}"/>
    <cellStyle name="Title 5 8 2" xfId="10387" xr:uid="{00000000-0005-0000-0000-0000A77E0000}"/>
    <cellStyle name="Title 5 8 2 2" xfId="10969" xr:uid="{00000000-0005-0000-0000-0000A87E0000}"/>
    <cellStyle name="Title 5 8 2 3" xfId="28813" xr:uid="{00000000-0005-0000-0000-0000A97E0000}"/>
    <cellStyle name="Title 5 8 3" xfId="11320" xr:uid="{00000000-0005-0000-0000-0000AA7E0000}"/>
    <cellStyle name="Title 5 8 3 2" xfId="28610" xr:uid="{00000000-0005-0000-0000-0000AB7E0000}"/>
    <cellStyle name="Title 5 8 3 3" xfId="34137" xr:uid="{00000000-0005-0000-0000-0000AC7E0000}"/>
    <cellStyle name="Title 5 8 4" xfId="10758" xr:uid="{00000000-0005-0000-0000-0000AD7E0000}"/>
    <cellStyle name="Title 5 8 5" xfId="10177" xr:uid="{00000000-0005-0000-0000-0000AE7E0000}"/>
    <cellStyle name="Title 5 8 5 2" xfId="33476" xr:uid="{00000000-0005-0000-0000-0000AF7E0000}"/>
    <cellStyle name="Title 5 8 5 3" xfId="28308" xr:uid="{00000000-0005-0000-0000-0000B07E0000}"/>
    <cellStyle name="Title 5 8 6" xfId="27532" xr:uid="{00000000-0005-0000-0000-0000B17E0000}"/>
    <cellStyle name="Title 5 9" xfId="3159" xr:uid="{00000000-0005-0000-0000-0000B27E0000}"/>
    <cellStyle name="Title 5 9 2" xfId="10388" xr:uid="{00000000-0005-0000-0000-0000B37E0000}"/>
    <cellStyle name="Title 5 9 2 2" xfId="10760" xr:uid="{00000000-0005-0000-0000-0000B47E0000}"/>
    <cellStyle name="Title 5 9 2 3" xfId="28814" xr:uid="{00000000-0005-0000-0000-0000B57E0000}"/>
    <cellStyle name="Title 5 9 3" xfId="11321" xr:uid="{00000000-0005-0000-0000-0000B67E0000}"/>
    <cellStyle name="Title 5 9 3 2" xfId="28611" xr:uid="{00000000-0005-0000-0000-0000B77E0000}"/>
    <cellStyle name="Title 5 9 3 3" xfId="34138" xr:uid="{00000000-0005-0000-0000-0000B87E0000}"/>
    <cellStyle name="Title 5 9 4" xfId="10759" xr:uid="{00000000-0005-0000-0000-0000B97E0000}"/>
    <cellStyle name="Title 5 9 5" xfId="10178" xr:uid="{00000000-0005-0000-0000-0000BA7E0000}"/>
    <cellStyle name="Title 5 9 5 2" xfId="33477" xr:uid="{00000000-0005-0000-0000-0000BB7E0000}"/>
    <cellStyle name="Title 5 9 5 3" xfId="28309" xr:uid="{00000000-0005-0000-0000-0000BC7E0000}"/>
    <cellStyle name="Title 5 9 6" xfId="27533" xr:uid="{00000000-0005-0000-0000-0000BD7E0000}"/>
    <cellStyle name="Title 6" xfId="3160" xr:uid="{00000000-0005-0000-0000-0000BE7E0000}"/>
    <cellStyle name="Title 6 10" xfId="3161" xr:uid="{00000000-0005-0000-0000-0000BF7E0000}"/>
    <cellStyle name="Title 6 10 2" xfId="10390" xr:uid="{00000000-0005-0000-0000-0000C07E0000}"/>
    <cellStyle name="Title 6 10 2 2" xfId="10972" xr:uid="{00000000-0005-0000-0000-0000C17E0000}"/>
    <cellStyle name="Title 6 10 2 3" xfId="28816" xr:uid="{00000000-0005-0000-0000-0000C27E0000}"/>
    <cellStyle name="Title 6 10 3" xfId="11323" xr:uid="{00000000-0005-0000-0000-0000C37E0000}"/>
    <cellStyle name="Title 6 10 3 2" xfId="28613" xr:uid="{00000000-0005-0000-0000-0000C47E0000}"/>
    <cellStyle name="Title 6 10 3 3" xfId="34140" xr:uid="{00000000-0005-0000-0000-0000C57E0000}"/>
    <cellStyle name="Title 6 10 4" xfId="10761" xr:uid="{00000000-0005-0000-0000-0000C67E0000}"/>
    <cellStyle name="Title 6 10 5" xfId="10180" xr:uid="{00000000-0005-0000-0000-0000C77E0000}"/>
    <cellStyle name="Title 6 10 5 2" xfId="33479" xr:uid="{00000000-0005-0000-0000-0000C87E0000}"/>
    <cellStyle name="Title 6 10 5 3" xfId="28311" xr:uid="{00000000-0005-0000-0000-0000C97E0000}"/>
    <cellStyle name="Title 6 10 6" xfId="27535" xr:uid="{00000000-0005-0000-0000-0000CA7E0000}"/>
    <cellStyle name="Title 6 11" xfId="3162" xr:uid="{00000000-0005-0000-0000-0000CB7E0000}"/>
    <cellStyle name="Title 6 11 2" xfId="10391" xr:uid="{00000000-0005-0000-0000-0000CC7E0000}"/>
    <cellStyle name="Title 6 11 2 2" xfId="10762" xr:uid="{00000000-0005-0000-0000-0000CD7E0000}"/>
    <cellStyle name="Title 6 11 2 3" xfId="28817" xr:uid="{00000000-0005-0000-0000-0000CE7E0000}"/>
    <cellStyle name="Title 6 11 3" xfId="11324" xr:uid="{00000000-0005-0000-0000-0000CF7E0000}"/>
    <cellStyle name="Title 6 11 3 2" xfId="28614" xr:uid="{00000000-0005-0000-0000-0000D07E0000}"/>
    <cellStyle name="Title 6 11 3 3" xfId="34141" xr:uid="{00000000-0005-0000-0000-0000D17E0000}"/>
    <cellStyle name="Title 6 11 4" xfId="10970" xr:uid="{00000000-0005-0000-0000-0000D27E0000}"/>
    <cellStyle name="Title 6 11 5" xfId="10181" xr:uid="{00000000-0005-0000-0000-0000D37E0000}"/>
    <cellStyle name="Title 6 11 5 2" xfId="33480" xr:uid="{00000000-0005-0000-0000-0000D47E0000}"/>
    <cellStyle name="Title 6 11 5 3" xfId="28312" xr:uid="{00000000-0005-0000-0000-0000D57E0000}"/>
    <cellStyle name="Title 6 11 6" xfId="27536" xr:uid="{00000000-0005-0000-0000-0000D67E0000}"/>
    <cellStyle name="Title 6 12" xfId="10389" xr:uid="{00000000-0005-0000-0000-0000D77E0000}"/>
    <cellStyle name="Title 6 12 2" xfId="10973" xr:uid="{00000000-0005-0000-0000-0000D87E0000}"/>
    <cellStyle name="Title 6 12 3" xfId="28815" xr:uid="{00000000-0005-0000-0000-0000D97E0000}"/>
    <cellStyle name="Title 6 13" xfId="11322" xr:uid="{00000000-0005-0000-0000-0000DA7E0000}"/>
    <cellStyle name="Title 6 13 2" xfId="28612" xr:uid="{00000000-0005-0000-0000-0000DB7E0000}"/>
    <cellStyle name="Title 6 13 3" xfId="34139" xr:uid="{00000000-0005-0000-0000-0000DC7E0000}"/>
    <cellStyle name="Title 6 14" xfId="10971" xr:uid="{00000000-0005-0000-0000-0000DD7E0000}"/>
    <cellStyle name="Title 6 15" xfId="10179" xr:uid="{00000000-0005-0000-0000-0000DE7E0000}"/>
    <cellStyle name="Title 6 15 2" xfId="33478" xr:uid="{00000000-0005-0000-0000-0000DF7E0000}"/>
    <cellStyle name="Title 6 15 3" xfId="28310" xr:uid="{00000000-0005-0000-0000-0000E07E0000}"/>
    <cellStyle name="Title 6 16" xfId="27534" xr:uid="{00000000-0005-0000-0000-0000E17E0000}"/>
    <cellStyle name="Title 6 2" xfId="3163" xr:uid="{00000000-0005-0000-0000-0000E27E0000}"/>
    <cellStyle name="Title 6 2 2" xfId="10392" xr:uid="{00000000-0005-0000-0000-0000E37E0000}"/>
    <cellStyle name="Title 6 2 2 2" xfId="10974" xr:uid="{00000000-0005-0000-0000-0000E47E0000}"/>
    <cellStyle name="Title 6 2 2 3" xfId="28818" xr:uid="{00000000-0005-0000-0000-0000E57E0000}"/>
    <cellStyle name="Title 6 2 3" xfId="11325" xr:uid="{00000000-0005-0000-0000-0000E67E0000}"/>
    <cellStyle name="Title 6 2 3 2" xfId="28615" xr:uid="{00000000-0005-0000-0000-0000E77E0000}"/>
    <cellStyle name="Title 6 2 3 3" xfId="34142" xr:uid="{00000000-0005-0000-0000-0000E87E0000}"/>
    <cellStyle name="Title 6 2 4" xfId="10763" xr:uid="{00000000-0005-0000-0000-0000E97E0000}"/>
    <cellStyle name="Title 6 2 5" xfId="10182" xr:uid="{00000000-0005-0000-0000-0000EA7E0000}"/>
    <cellStyle name="Title 6 2 5 2" xfId="33481" xr:uid="{00000000-0005-0000-0000-0000EB7E0000}"/>
    <cellStyle name="Title 6 2 5 3" xfId="28313" xr:uid="{00000000-0005-0000-0000-0000EC7E0000}"/>
    <cellStyle name="Title 6 2 6" xfId="27537" xr:uid="{00000000-0005-0000-0000-0000ED7E0000}"/>
    <cellStyle name="Title 6 3" xfId="3164" xr:uid="{00000000-0005-0000-0000-0000EE7E0000}"/>
    <cellStyle name="Title 6 3 2" xfId="10393" xr:uid="{00000000-0005-0000-0000-0000EF7E0000}"/>
    <cellStyle name="Title 6 3 2 2" xfId="10975" xr:uid="{00000000-0005-0000-0000-0000F07E0000}"/>
    <cellStyle name="Title 6 3 2 3" xfId="28819" xr:uid="{00000000-0005-0000-0000-0000F17E0000}"/>
    <cellStyle name="Title 6 3 3" xfId="11326" xr:uid="{00000000-0005-0000-0000-0000F27E0000}"/>
    <cellStyle name="Title 6 3 3 2" xfId="28616" xr:uid="{00000000-0005-0000-0000-0000F37E0000}"/>
    <cellStyle name="Title 6 3 3 3" xfId="34143" xr:uid="{00000000-0005-0000-0000-0000F47E0000}"/>
    <cellStyle name="Title 6 3 4" xfId="10764" xr:uid="{00000000-0005-0000-0000-0000F57E0000}"/>
    <cellStyle name="Title 6 3 5" xfId="10183" xr:uid="{00000000-0005-0000-0000-0000F67E0000}"/>
    <cellStyle name="Title 6 3 5 2" xfId="33482" xr:uid="{00000000-0005-0000-0000-0000F77E0000}"/>
    <cellStyle name="Title 6 3 5 3" xfId="28314" xr:uid="{00000000-0005-0000-0000-0000F87E0000}"/>
    <cellStyle name="Title 6 3 6" xfId="27538" xr:uid="{00000000-0005-0000-0000-0000F97E0000}"/>
    <cellStyle name="Title 6 4" xfId="3165" xr:uid="{00000000-0005-0000-0000-0000FA7E0000}"/>
    <cellStyle name="Title 6 4 2" xfId="10394" xr:uid="{00000000-0005-0000-0000-0000FB7E0000}"/>
    <cellStyle name="Title 6 4 2 2" xfId="10976" xr:uid="{00000000-0005-0000-0000-0000FC7E0000}"/>
    <cellStyle name="Title 6 4 2 3" xfId="28820" xr:uid="{00000000-0005-0000-0000-0000FD7E0000}"/>
    <cellStyle name="Title 6 4 3" xfId="11327" xr:uid="{00000000-0005-0000-0000-0000FE7E0000}"/>
    <cellStyle name="Title 6 4 3 2" xfId="28617" xr:uid="{00000000-0005-0000-0000-0000FF7E0000}"/>
    <cellStyle name="Title 6 4 3 3" xfId="34144" xr:uid="{00000000-0005-0000-0000-0000007F0000}"/>
    <cellStyle name="Title 6 4 4" xfId="10765" xr:uid="{00000000-0005-0000-0000-0000017F0000}"/>
    <cellStyle name="Title 6 4 5" xfId="10184" xr:uid="{00000000-0005-0000-0000-0000027F0000}"/>
    <cellStyle name="Title 6 4 5 2" xfId="33483" xr:uid="{00000000-0005-0000-0000-0000037F0000}"/>
    <cellStyle name="Title 6 4 5 3" xfId="28315" xr:uid="{00000000-0005-0000-0000-0000047F0000}"/>
    <cellStyle name="Title 6 4 6" xfId="27539" xr:uid="{00000000-0005-0000-0000-0000057F0000}"/>
    <cellStyle name="Title 6 5" xfId="3166" xr:uid="{00000000-0005-0000-0000-0000067F0000}"/>
    <cellStyle name="Title 6 5 2" xfId="10395" xr:uid="{00000000-0005-0000-0000-0000077F0000}"/>
    <cellStyle name="Title 6 5 2 2" xfId="10977" xr:uid="{00000000-0005-0000-0000-0000087F0000}"/>
    <cellStyle name="Title 6 5 2 3" xfId="28821" xr:uid="{00000000-0005-0000-0000-0000097F0000}"/>
    <cellStyle name="Title 6 5 3" xfId="11328" xr:uid="{00000000-0005-0000-0000-00000A7F0000}"/>
    <cellStyle name="Title 6 5 3 2" xfId="28618" xr:uid="{00000000-0005-0000-0000-00000B7F0000}"/>
    <cellStyle name="Title 6 5 3 3" xfId="34145" xr:uid="{00000000-0005-0000-0000-00000C7F0000}"/>
    <cellStyle name="Title 6 5 4" xfId="10766" xr:uid="{00000000-0005-0000-0000-00000D7F0000}"/>
    <cellStyle name="Title 6 5 5" xfId="10185" xr:uid="{00000000-0005-0000-0000-00000E7F0000}"/>
    <cellStyle name="Title 6 5 5 2" xfId="33484" xr:uid="{00000000-0005-0000-0000-00000F7F0000}"/>
    <cellStyle name="Title 6 5 5 3" xfId="28316" xr:uid="{00000000-0005-0000-0000-0000107F0000}"/>
    <cellStyle name="Title 6 5 6" xfId="27540" xr:uid="{00000000-0005-0000-0000-0000117F0000}"/>
    <cellStyle name="Title 6 6" xfId="3167" xr:uid="{00000000-0005-0000-0000-0000127F0000}"/>
    <cellStyle name="Title 6 6 2" xfId="10396" xr:uid="{00000000-0005-0000-0000-0000137F0000}"/>
    <cellStyle name="Title 6 6 2 2" xfId="10978" xr:uid="{00000000-0005-0000-0000-0000147F0000}"/>
    <cellStyle name="Title 6 6 2 3" xfId="28822" xr:uid="{00000000-0005-0000-0000-0000157F0000}"/>
    <cellStyle name="Title 6 6 3" xfId="11329" xr:uid="{00000000-0005-0000-0000-0000167F0000}"/>
    <cellStyle name="Title 6 6 3 2" xfId="28619" xr:uid="{00000000-0005-0000-0000-0000177F0000}"/>
    <cellStyle name="Title 6 6 3 3" xfId="34146" xr:uid="{00000000-0005-0000-0000-0000187F0000}"/>
    <cellStyle name="Title 6 6 4" xfId="10767" xr:uid="{00000000-0005-0000-0000-0000197F0000}"/>
    <cellStyle name="Title 6 6 5" xfId="10186" xr:uid="{00000000-0005-0000-0000-00001A7F0000}"/>
    <cellStyle name="Title 6 6 5 2" xfId="33485" xr:uid="{00000000-0005-0000-0000-00001B7F0000}"/>
    <cellStyle name="Title 6 6 5 3" xfId="28317" xr:uid="{00000000-0005-0000-0000-00001C7F0000}"/>
    <cellStyle name="Title 6 6 6" xfId="27541" xr:uid="{00000000-0005-0000-0000-00001D7F0000}"/>
    <cellStyle name="Title 6 7" xfId="3168" xr:uid="{00000000-0005-0000-0000-00001E7F0000}"/>
    <cellStyle name="Title 6 7 2" xfId="10397" xr:uid="{00000000-0005-0000-0000-00001F7F0000}"/>
    <cellStyle name="Title 6 7 2 2" xfId="10979" xr:uid="{00000000-0005-0000-0000-0000207F0000}"/>
    <cellStyle name="Title 6 7 2 3" xfId="28823" xr:uid="{00000000-0005-0000-0000-0000217F0000}"/>
    <cellStyle name="Title 6 7 3" xfId="11330" xr:uid="{00000000-0005-0000-0000-0000227F0000}"/>
    <cellStyle name="Title 6 7 3 2" xfId="28620" xr:uid="{00000000-0005-0000-0000-0000237F0000}"/>
    <cellStyle name="Title 6 7 3 3" xfId="34147" xr:uid="{00000000-0005-0000-0000-0000247F0000}"/>
    <cellStyle name="Title 6 7 4" xfId="10768" xr:uid="{00000000-0005-0000-0000-0000257F0000}"/>
    <cellStyle name="Title 6 7 5" xfId="10187" xr:uid="{00000000-0005-0000-0000-0000267F0000}"/>
    <cellStyle name="Title 6 7 5 2" xfId="33486" xr:uid="{00000000-0005-0000-0000-0000277F0000}"/>
    <cellStyle name="Title 6 7 5 3" xfId="28318" xr:uid="{00000000-0005-0000-0000-0000287F0000}"/>
    <cellStyle name="Title 6 7 6" xfId="27542" xr:uid="{00000000-0005-0000-0000-0000297F0000}"/>
    <cellStyle name="Title 6 8" xfId="3169" xr:uid="{00000000-0005-0000-0000-00002A7F0000}"/>
    <cellStyle name="Title 6 8 2" xfId="10398" xr:uid="{00000000-0005-0000-0000-00002B7F0000}"/>
    <cellStyle name="Title 6 8 2 2" xfId="10980" xr:uid="{00000000-0005-0000-0000-00002C7F0000}"/>
    <cellStyle name="Title 6 8 2 3" xfId="28824" xr:uid="{00000000-0005-0000-0000-00002D7F0000}"/>
    <cellStyle name="Title 6 8 3" xfId="11331" xr:uid="{00000000-0005-0000-0000-00002E7F0000}"/>
    <cellStyle name="Title 6 8 3 2" xfId="28621" xr:uid="{00000000-0005-0000-0000-00002F7F0000}"/>
    <cellStyle name="Title 6 8 3 3" xfId="34148" xr:uid="{00000000-0005-0000-0000-0000307F0000}"/>
    <cellStyle name="Title 6 8 4" xfId="10769" xr:uid="{00000000-0005-0000-0000-0000317F0000}"/>
    <cellStyle name="Title 6 8 5" xfId="10188" xr:uid="{00000000-0005-0000-0000-0000327F0000}"/>
    <cellStyle name="Title 6 8 5 2" xfId="33487" xr:uid="{00000000-0005-0000-0000-0000337F0000}"/>
    <cellStyle name="Title 6 8 5 3" xfId="28319" xr:uid="{00000000-0005-0000-0000-0000347F0000}"/>
    <cellStyle name="Title 6 8 6" xfId="27543" xr:uid="{00000000-0005-0000-0000-0000357F0000}"/>
    <cellStyle name="Title 6 9" xfId="3170" xr:uid="{00000000-0005-0000-0000-0000367F0000}"/>
    <cellStyle name="Title 6 9 2" xfId="10399" xr:uid="{00000000-0005-0000-0000-0000377F0000}"/>
    <cellStyle name="Title 6 9 2 2" xfId="10771" xr:uid="{00000000-0005-0000-0000-0000387F0000}"/>
    <cellStyle name="Title 6 9 2 3" xfId="28825" xr:uid="{00000000-0005-0000-0000-0000397F0000}"/>
    <cellStyle name="Title 6 9 3" xfId="11332" xr:uid="{00000000-0005-0000-0000-00003A7F0000}"/>
    <cellStyle name="Title 6 9 3 2" xfId="28622" xr:uid="{00000000-0005-0000-0000-00003B7F0000}"/>
    <cellStyle name="Title 6 9 3 3" xfId="34149" xr:uid="{00000000-0005-0000-0000-00003C7F0000}"/>
    <cellStyle name="Title 6 9 4" xfId="10770" xr:uid="{00000000-0005-0000-0000-00003D7F0000}"/>
    <cellStyle name="Title 6 9 5" xfId="10189" xr:uid="{00000000-0005-0000-0000-00003E7F0000}"/>
    <cellStyle name="Title 6 9 5 2" xfId="33488" xr:uid="{00000000-0005-0000-0000-00003F7F0000}"/>
    <cellStyle name="Title 6 9 5 3" xfId="28320" xr:uid="{00000000-0005-0000-0000-0000407F0000}"/>
    <cellStyle name="Title 6 9 6" xfId="27544" xr:uid="{00000000-0005-0000-0000-0000417F0000}"/>
    <cellStyle name="Title 7" xfId="3171" xr:uid="{00000000-0005-0000-0000-0000427F0000}"/>
    <cellStyle name="Title 7 2" xfId="10400" xr:uid="{00000000-0005-0000-0000-0000437F0000}"/>
    <cellStyle name="Title 7 2 2" xfId="10772" xr:uid="{00000000-0005-0000-0000-0000447F0000}"/>
    <cellStyle name="Title 7 2 3" xfId="28826" xr:uid="{00000000-0005-0000-0000-0000457F0000}"/>
    <cellStyle name="Title 7 3" xfId="11333" xr:uid="{00000000-0005-0000-0000-0000467F0000}"/>
    <cellStyle name="Title 7 3 2" xfId="28623" xr:uid="{00000000-0005-0000-0000-0000477F0000}"/>
    <cellStyle name="Title 7 3 3" xfId="34150" xr:uid="{00000000-0005-0000-0000-0000487F0000}"/>
    <cellStyle name="Title 7 4" xfId="10982" xr:uid="{00000000-0005-0000-0000-0000497F0000}"/>
    <cellStyle name="Title 7 5" xfId="10190" xr:uid="{00000000-0005-0000-0000-00004A7F0000}"/>
    <cellStyle name="Title 7 5 2" xfId="33489" xr:uid="{00000000-0005-0000-0000-00004B7F0000}"/>
    <cellStyle name="Title 7 5 3" xfId="28321" xr:uid="{00000000-0005-0000-0000-00004C7F0000}"/>
    <cellStyle name="Title 7 6" xfId="27545" xr:uid="{00000000-0005-0000-0000-00004D7F0000}"/>
    <cellStyle name="Title 8" xfId="3172" xr:uid="{00000000-0005-0000-0000-00004E7F0000}"/>
    <cellStyle name="Title 8 2" xfId="10401" xr:uid="{00000000-0005-0000-0000-00004F7F0000}"/>
    <cellStyle name="Title 8 2 2" xfId="10981" xr:uid="{00000000-0005-0000-0000-0000507F0000}"/>
    <cellStyle name="Title 8 2 3" xfId="28827" xr:uid="{00000000-0005-0000-0000-0000517F0000}"/>
    <cellStyle name="Title 8 3" xfId="11334" xr:uid="{00000000-0005-0000-0000-0000527F0000}"/>
    <cellStyle name="Title 8 3 2" xfId="28624" xr:uid="{00000000-0005-0000-0000-0000537F0000}"/>
    <cellStyle name="Title 8 3 3" xfId="34151" xr:uid="{00000000-0005-0000-0000-0000547F0000}"/>
    <cellStyle name="Title 8 4" xfId="10983" xr:uid="{00000000-0005-0000-0000-0000557F0000}"/>
    <cellStyle name="Title 8 5" xfId="10191" xr:uid="{00000000-0005-0000-0000-0000567F0000}"/>
    <cellStyle name="Title 8 5 2" xfId="33490" xr:uid="{00000000-0005-0000-0000-0000577F0000}"/>
    <cellStyle name="Title 8 5 3" xfId="28322" xr:uid="{00000000-0005-0000-0000-0000587F0000}"/>
    <cellStyle name="Title 8 6" xfId="27546" xr:uid="{00000000-0005-0000-0000-0000597F0000}"/>
    <cellStyle name="Title 9" xfId="3173" xr:uid="{00000000-0005-0000-0000-00005A7F0000}"/>
    <cellStyle name="Title 9 2" xfId="10402" xr:uid="{00000000-0005-0000-0000-00005B7F0000}"/>
    <cellStyle name="Title 9 2 2" xfId="10984" xr:uid="{00000000-0005-0000-0000-00005C7F0000}"/>
    <cellStyle name="Title 9 2 3" xfId="28828" xr:uid="{00000000-0005-0000-0000-00005D7F0000}"/>
    <cellStyle name="Title 9 3" xfId="11335" xr:uid="{00000000-0005-0000-0000-00005E7F0000}"/>
    <cellStyle name="Title 9 3 2" xfId="28625" xr:uid="{00000000-0005-0000-0000-00005F7F0000}"/>
    <cellStyle name="Title 9 3 3" xfId="34152" xr:uid="{00000000-0005-0000-0000-0000607F0000}"/>
    <cellStyle name="Title 9 4" xfId="10773" xr:uid="{00000000-0005-0000-0000-0000617F0000}"/>
    <cellStyle name="Title 9 5" xfId="10192" xr:uid="{00000000-0005-0000-0000-0000627F0000}"/>
    <cellStyle name="Title 9 5 2" xfId="33491" xr:uid="{00000000-0005-0000-0000-0000637F0000}"/>
    <cellStyle name="Title 9 5 3" xfId="28323" xr:uid="{00000000-0005-0000-0000-0000647F0000}"/>
    <cellStyle name="Title 9 6" xfId="27547" xr:uid="{00000000-0005-0000-0000-0000657F0000}"/>
    <cellStyle name="Titolo" xfId="3733" xr:uid="{00000000-0005-0000-0000-0000667F0000}"/>
    <cellStyle name="Titolo 1" xfId="3734" xr:uid="{00000000-0005-0000-0000-0000677F0000}"/>
    <cellStyle name="Titolo 2" xfId="3735" xr:uid="{00000000-0005-0000-0000-0000687F0000}"/>
    <cellStyle name="Titolo 3" xfId="3736" xr:uid="{00000000-0005-0000-0000-0000697F0000}"/>
    <cellStyle name="Titolo 3 2" xfId="5819" xr:uid="{00000000-0005-0000-0000-00006A7F0000}"/>
    <cellStyle name="Titolo 3 2 2" xfId="24266" xr:uid="{00000000-0005-0000-0000-00006B7F0000}"/>
    <cellStyle name="Titolo 3 2 3" xfId="19375" xr:uid="{00000000-0005-0000-0000-00006C7F0000}"/>
    <cellStyle name="Titolo 3 3" xfId="5907" xr:uid="{00000000-0005-0000-0000-00006D7F0000}"/>
    <cellStyle name="Titolo 3 3 2" xfId="24353" xr:uid="{00000000-0005-0000-0000-00006E7F0000}"/>
    <cellStyle name="Titolo 3 3 3" xfId="19460" xr:uid="{00000000-0005-0000-0000-00006F7F0000}"/>
    <cellStyle name="Titolo 3 4" xfId="7157" xr:uid="{00000000-0005-0000-0000-0000707F0000}"/>
    <cellStyle name="Titolo 3 4 2" xfId="25589" xr:uid="{00000000-0005-0000-0000-0000717F0000}"/>
    <cellStyle name="Titolo 3 4 3" xfId="20514" xr:uid="{00000000-0005-0000-0000-0000727F0000}"/>
    <cellStyle name="Titolo 3 5" xfId="7295" xr:uid="{00000000-0005-0000-0000-0000737F0000}"/>
    <cellStyle name="Titolo 3 5 2" xfId="25726" xr:uid="{00000000-0005-0000-0000-0000747F0000}"/>
    <cellStyle name="Titolo 3 5 3" xfId="20651" xr:uid="{00000000-0005-0000-0000-0000757F0000}"/>
    <cellStyle name="Titolo 3 6" xfId="17425" xr:uid="{00000000-0005-0000-0000-0000767F0000}"/>
    <cellStyle name="Titolo 3 7" xfId="22219" xr:uid="{00000000-0005-0000-0000-0000777F0000}"/>
    <cellStyle name="Titolo 3 8" xfId="16619" xr:uid="{00000000-0005-0000-0000-0000787F0000}"/>
    <cellStyle name="Titolo 4" xfId="3737" xr:uid="{00000000-0005-0000-0000-0000797F0000}"/>
    <cellStyle name="Titre" xfId="40" xr:uid="{00000000-0005-0000-0000-00007A7F0000}"/>
    <cellStyle name="Titre 1" xfId="41" xr:uid="{00000000-0005-0000-0000-00007B7F0000}"/>
    <cellStyle name="Titre 2" xfId="42" xr:uid="{00000000-0005-0000-0000-00007C7F0000}"/>
    <cellStyle name="Titre 3" xfId="43" xr:uid="{00000000-0005-0000-0000-00007D7F0000}"/>
    <cellStyle name="Titre 3 2" xfId="4423" xr:uid="{00000000-0005-0000-0000-00007E7F0000}"/>
    <cellStyle name="Titre 3 2 2" xfId="22883" xr:uid="{00000000-0005-0000-0000-00007F7F0000}"/>
    <cellStyle name="Titre 3 2 3" xfId="18104" xr:uid="{00000000-0005-0000-0000-0000807F0000}"/>
    <cellStyle name="Titre 3 3" xfId="5836" xr:uid="{00000000-0005-0000-0000-0000817F0000}"/>
    <cellStyle name="Titre 3 3 2" xfId="24283" xr:uid="{00000000-0005-0000-0000-0000827F0000}"/>
    <cellStyle name="Titre 3 3 3" xfId="19391" xr:uid="{00000000-0005-0000-0000-0000837F0000}"/>
    <cellStyle name="Titre 3 4" xfId="7038" xr:uid="{00000000-0005-0000-0000-0000847F0000}"/>
    <cellStyle name="Titre 3 4 2" xfId="25476" xr:uid="{00000000-0005-0000-0000-0000857F0000}"/>
    <cellStyle name="Titre 3 4 3" xfId="20413" xr:uid="{00000000-0005-0000-0000-0000867F0000}"/>
    <cellStyle name="Titre 3 5" xfId="17081" xr:uid="{00000000-0005-0000-0000-0000877F0000}"/>
    <cellStyle name="Titre 3 6" xfId="16632" xr:uid="{00000000-0005-0000-0000-0000887F0000}"/>
    <cellStyle name="Titre 4" xfId="44" xr:uid="{00000000-0005-0000-0000-0000897F0000}"/>
    <cellStyle name="Total 10" xfId="3174" xr:uid="{00000000-0005-0000-0000-00008A7F0000}"/>
    <cellStyle name="Total 10 10" xfId="14924" xr:uid="{00000000-0005-0000-0000-00008B7F0000}"/>
    <cellStyle name="Total 10 10 2" xfId="36372" xr:uid="{00000000-0005-0000-0000-00008C7F0000}"/>
    <cellStyle name="Total 10 10 3" xfId="17017" xr:uid="{00000000-0005-0000-0000-00008D7F0000}"/>
    <cellStyle name="Total 10 11" xfId="14677" xr:uid="{00000000-0005-0000-0000-00008E7F0000}"/>
    <cellStyle name="Total 10 11 2" xfId="36160" xr:uid="{00000000-0005-0000-0000-00008F7F0000}"/>
    <cellStyle name="Total 10 12" xfId="27548" xr:uid="{00000000-0005-0000-0000-0000907F0000}"/>
    <cellStyle name="Total 10 2" xfId="3613" xr:uid="{00000000-0005-0000-0000-0000917F0000}"/>
    <cellStyle name="Total 10 2 10" xfId="16544" xr:uid="{00000000-0005-0000-0000-0000927F0000}"/>
    <cellStyle name="Total 10 2 10 2" xfId="37761" xr:uid="{00000000-0005-0000-0000-0000937F0000}"/>
    <cellStyle name="Total 10 2 11" xfId="27549" xr:uid="{00000000-0005-0000-0000-0000947F0000}"/>
    <cellStyle name="Total 10 2 2" xfId="5740" xr:uid="{00000000-0005-0000-0000-0000957F0000}"/>
    <cellStyle name="Total 10 2 2 2" xfId="10985" xr:uid="{00000000-0005-0000-0000-0000967F0000}"/>
    <cellStyle name="Total 10 2 2 2 2" xfId="33861" xr:uid="{00000000-0005-0000-0000-0000977F0000}"/>
    <cellStyle name="Total 10 2 2 2 3" xfId="24187" xr:uid="{00000000-0005-0000-0000-0000987F0000}"/>
    <cellStyle name="Total 10 2 2 3" xfId="32328" xr:uid="{00000000-0005-0000-0000-0000997F0000}"/>
    <cellStyle name="Total 10 2 2 4" xfId="29390" xr:uid="{00000000-0005-0000-0000-00009A7F0000}"/>
    <cellStyle name="Total 10 2 2 5" xfId="19298" xr:uid="{00000000-0005-0000-0000-00009B7F0000}"/>
    <cellStyle name="Total 10 2 3" xfId="5219" xr:uid="{00000000-0005-0000-0000-00009C7F0000}"/>
    <cellStyle name="Total 10 2 3 2" xfId="23679" xr:uid="{00000000-0005-0000-0000-00009D7F0000}"/>
    <cellStyle name="Total 10 2 3 3" xfId="18833" xr:uid="{00000000-0005-0000-0000-00009E7F0000}"/>
    <cellStyle name="Total 10 2 4" xfId="7215" xr:uid="{00000000-0005-0000-0000-00009F7F0000}"/>
    <cellStyle name="Total 10 2 4 2" xfId="25646" xr:uid="{00000000-0005-0000-0000-0000A07F0000}"/>
    <cellStyle name="Total 10 2 4 3" xfId="20572" xr:uid="{00000000-0005-0000-0000-0000A17F0000}"/>
    <cellStyle name="Total 10 2 5" xfId="7745" xr:uid="{00000000-0005-0000-0000-0000A27F0000}"/>
    <cellStyle name="Total 10 2 5 2" xfId="26175" xr:uid="{00000000-0005-0000-0000-0000A37F0000}"/>
    <cellStyle name="Total 10 2 5 3" xfId="21100" xr:uid="{00000000-0005-0000-0000-0000A47F0000}"/>
    <cellStyle name="Total 10 2 6" xfId="8125" xr:uid="{00000000-0005-0000-0000-0000A57F0000}"/>
    <cellStyle name="Total 10 2 6 2" xfId="26555" xr:uid="{00000000-0005-0000-0000-0000A67F0000}"/>
    <cellStyle name="Total 10 2 6 3" xfId="21479" xr:uid="{00000000-0005-0000-0000-0000A77F0000}"/>
    <cellStyle name="Total 10 2 7" xfId="8849" xr:uid="{00000000-0005-0000-0000-0000A87F0000}"/>
    <cellStyle name="Total 10 2 7 2" xfId="27269" xr:uid="{00000000-0005-0000-0000-0000A97F0000}"/>
    <cellStyle name="Total 10 2 7 3" xfId="22140" xr:uid="{00000000-0005-0000-0000-0000AA7F0000}"/>
    <cellStyle name="Total 10 2 8" xfId="4341" xr:uid="{00000000-0005-0000-0000-0000AB7F0000}"/>
    <cellStyle name="Total 10 2 8 2" xfId="22805" xr:uid="{00000000-0005-0000-0000-0000AC7F0000}"/>
    <cellStyle name="Total 10 2 8 3" xfId="18023" xr:uid="{00000000-0005-0000-0000-0000AD7F0000}"/>
    <cellStyle name="Total 10 2 9" xfId="16339" xr:uid="{00000000-0005-0000-0000-0000AE7F0000}"/>
    <cellStyle name="Total 10 2 9 2" xfId="37642" xr:uid="{00000000-0005-0000-0000-0000AF7F0000}"/>
    <cellStyle name="Total 10 2 9 3" xfId="17352" xr:uid="{00000000-0005-0000-0000-0000B07F0000}"/>
    <cellStyle name="Total 10 3" xfId="5378" xr:uid="{00000000-0005-0000-0000-0000B17F0000}"/>
    <cellStyle name="Total 10 3 2" xfId="11336" xr:uid="{00000000-0005-0000-0000-0000B27F0000}"/>
    <cellStyle name="Total 10 3 2 2" xfId="34153" xr:uid="{00000000-0005-0000-0000-0000B37F0000}"/>
    <cellStyle name="Total 10 3 2 3" xfId="28626" xr:uid="{00000000-0005-0000-0000-0000B47F0000}"/>
    <cellStyle name="Total 10 3 2 4" xfId="23832" xr:uid="{00000000-0005-0000-0000-0000B57F0000}"/>
    <cellStyle name="Total 10 3 3" xfId="32110" xr:uid="{00000000-0005-0000-0000-0000B67F0000}"/>
    <cellStyle name="Total 10 3 4" xfId="27797" xr:uid="{00000000-0005-0000-0000-0000B77F0000}"/>
    <cellStyle name="Total 10 3 5" xfId="18975" xr:uid="{00000000-0005-0000-0000-0000B87F0000}"/>
    <cellStyle name="Total 10 4" xfId="4949" xr:uid="{00000000-0005-0000-0000-0000B97F0000}"/>
    <cellStyle name="Total 10 4 2" xfId="10774" xr:uid="{00000000-0005-0000-0000-0000BA7F0000}"/>
    <cellStyle name="Total 10 4 2 2" xfId="33784" xr:uid="{00000000-0005-0000-0000-0000BB7F0000}"/>
    <cellStyle name="Total 10 4 2 3" xfId="23409" xr:uid="{00000000-0005-0000-0000-0000BC7F0000}"/>
    <cellStyle name="Total 10 4 3" xfId="31900" xr:uid="{00000000-0005-0000-0000-0000BD7F0000}"/>
    <cellStyle name="Total 10 4 4" xfId="29389" xr:uid="{00000000-0005-0000-0000-0000BE7F0000}"/>
    <cellStyle name="Total 10 4 5" xfId="18563" xr:uid="{00000000-0005-0000-0000-0000BF7F0000}"/>
    <cellStyle name="Total 10 5" xfId="5948" xr:uid="{00000000-0005-0000-0000-0000C07F0000}"/>
    <cellStyle name="Total 10 5 2" xfId="10193" xr:uid="{00000000-0005-0000-0000-0000C17F0000}"/>
    <cellStyle name="Total 10 5 2 2" xfId="33492" xr:uid="{00000000-0005-0000-0000-0000C27F0000}"/>
    <cellStyle name="Total 10 5 2 3" xfId="24389" xr:uid="{00000000-0005-0000-0000-0000C37F0000}"/>
    <cellStyle name="Total 10 5 3" xfId="32440" xr:uid="{00000000-0005-0000-0000-0000C47F0000}"/>
    <cellStyle name="Total 10 5 4" xfId="19501" xr:uid="{00000000-0005-0000-0000-0000C57F0000}"/>
    <cellStyle name="Total 10 6" xfId="7428" xr:uid="{00000000-0005-0000-0000-0000C67F0000}"/>
    <cellStyle name="Total 10 6 2" xfId="25859" xr:uid="{00000000-0005-0000-0000-0000C77F0000}"/>
    <cellStyle name="Total 10 6 3" xfId="20783" xr:uid="{00000000-0005-0000-0000-0000C87F0000}"/>
    <cellStyle name="Total 10 7" xfId="7807" xr:uid="{00000000-0005-0000-0000-0000C97F0000}"/>
    <cellStyle name="Total 10 7 2" xfId="26237" xr:uid="{00000000-0005-0000-0000-0000CA7F0000}"/>
    <cellStyle name="Total 10 7 3" xfId="21162" xr:uid="{00000000-0005-0000-0000-0000CB7F0000}"/>
    <cellStyle name="Total 10 8" xfId="8528" xr:uid="{00000000-0005-0000-0000-0000CC7F0000}"/>
    <cellStyle name="Total 10 8 2" xfId="26951" xr:uid="{00000000-0005-0000-0000-0000CD7F0000}"/>
    <cellStyle name="Total 10 8 3" xfId="21819" xr:uid="{00000000-0005-0000-0000-0000CE7F0000}"/>
    <cellStyle name="Total 10 9" xfId="4020" xr:uid="{00000000-0005-0000-0000-0000CF7F0000}"/>
    <cellStyle name="Total 10 9 2" xfId="22487" xr:uid="{00000000-0005-0000-0000-0000D07F0000}"/>
    <cellStyle name="Total 10 9 3" xfId="17702" xr:uid="{00000000-0005-0000-0000-0000D17F0000}"/>
    <cellStyle name="Total 11" xfId="40684" xr:uid="{00000000-0005-0000-0000-0000C7120000}"/>
    <cellStyle name="Total 12" xfId="40685" xr:uid="{00000000-0005-0000-0000-0000C8120000}"/>
    <cellStyle name="Total 13" xfId="40686" xr:uid="{00000000-0005-0000-0000-0000C9120000}"/>
    <cellStyle name="Total 14" xfId="40687" xr:uid="{00000000-0005-0000-0000-0000CA120000}"/>
    <cellStyle name="Total 15" xfId="40688" xr:uid="{00000000-0005-0000-0000-0000CB120000}"/>
    <cellStyle name="Total 16" xfId="40689" xr:uid="{00000000-0005-0000-0000-0000CC120000}"/>
    <cellStyle name="Total 17" xfId="40690" xr:uid="{00000000-0005-0000-0000-0000CD120000}"/>
    <cellStyle name="Total 18" xfId="40691" xr:uid="{00000000-0005-0000-0000-0000CE120000}"/>
    <cellStyle name="Total 19" xfId="40692" xr:uid="{00000000-0005-0000-0000-0000CF120000}"/>
    <cellStyle name="Total 2" xfId="3175" xr:uid="{00000000-0005-0000-0000-0000D27F0000}"/>
    <cellStyle name="Total 2 10" xfId="3176" xr:uid="{00000000-0005-0000-0000-0000D37F0000}"/>
    <cellStyle name="Total 2 10 10" xfId="16199" xr:uid="{00000000-0005-0000-0000-0000D47F0000}"/>
    <cellStyle name="Total 2 10 10 2" xfId="37514" xr:uid="{00000000-0005-0000-0000-0000D57F0000}"/>
    <cellStyle name="Total 2 10 10 3" xfId="17019" xr:uid="{00000000-0005-0000-0000-0000D67F0000}"/>
    <cellStyle name="Total 2 10 11" xfId="15615" xr:uid="{00000000-0005-0000-0000-0000D77F0000}"/>
    <cellStyle name="Total 2 10 11 2" xfId="36991" xr:uid="{00000000-0005-0000-0000-0000D87F0000}"/>
    <cellStyle name="Total 2 10 12" xfId="27551" xr:uid="{00000000-0005-0000-0000-0000D97F0000}"/>
    <cellStyle name="Total 2 10 13" xfId="38081" xr:uid="{00000000-0005-0000-0000-0000D1120000}"/>
    <cellStyle name="Total 2 10 2" xfId="3615" xr:uid="{00000000-0005-0000-0000-0000DA7F0000}"/>
    <cellStyle name="Total 2 10 2 10" xfId="14435" xr:uid="{00000000-0005-0000-0000-0000DB7F0000}"/>
    <cellStyle name="Total 2 10 2 10 2" xfId="35963" xr:uid="{00000000-0005-0000-0000-0000DC7F0000}"/>
    <cellStyle name="Total 2 10 2 11" xfId="27552" xr:uid="{00000000-0005-0000-0000-0000DD7F0000}"/>
    <cellStyle name="Total 2 10 2 2" xfId="5742" xr:uid="{00000000-0005-0000-0000-0000DE7F0000}"/>
    <cellStyle name="Total 2 10 2 2 2" xfId="10776" xr:uid="{00000000-0005-0000-0000-0000DF7F0000}"/>
    <cellStyle name="Total 2 10 2 2 2 2" xfId="33786" xr:uid="{00000000-0005-0000-0000-0000E07F0000}"/>
    <cellStyle name="Total 2 10 2 2 2 3" xfId="24189" xr:uid="{00000000-0005-0000-0000-0000E17F0000}"/>
    <cellStyle name="Total 2 10 2 2 3" xfId="32330" xr:uid="{00000000-0005-0000-0000-0000E27F0000}"/>
    <cellStyle name="Total 2 10 2 2 4" xfId="29393" xr:uid="{00000000-0005-0000-0000-0000E37F0000}"/>
    <cellStyle name="Total 2 10 2 2 5" xfId="19300" xr:uid="{00000000-0005-0000-0000-0000E47F0000}"/>
    <cellStyle name="Total 2 10 2 3" xfId="5221" xr:uid="{00000000-0005-0000-0000-0000E57F0000}"/>
    <cellStyle name="Total 2 10 2 3 2" xfId="23681" xr:uid="{00000000-0005-0000-0000-0000E67F0000}"/>
    <cellStyle name="Total 2 10 2 3 3" xfId="18835" xr:uid="{00000000-0005-0000-0000-0000E77F0000}"/>
    <cellStyle name="Total 2 10 2 4" xfId="7217" xr:uid="{00000000-0005-0000-0000-0000E87F0000}"/>
    <cellStyle name="Total 2 10 2 4 2" xfId="25648" xr:uid="{00000000-0005-0000-0000-0000E97F0000}"/>
    <cellStyle name="Total 2 10 2 4 3" xfId="20574" xr:uid="{00000000-0005-0000-0000-0000EA7F0000}"/>
    <cellStyle name="Total 2 10 2 5" xfId="7747" xr:uid="{00000000-0005-0000-0000-0000EB7F0000}"/>
    <cellStyle name="Total 2 10 2 5 2" xfId="26177" xr:uid="{00000000-0005-0000-0000-0000EC7F0000}"/>
    <cellStyle name="Total 2 10 2 5 3" xfId="21102" xr:uid="{00000000-0005-0000-0000-0000ED7F0000}"/>
    <cellStyle name="Total 2 10 2 6" xfId="8127" xr:uid="{00000000-0005-0000-0000-0000EE7F0000}"/>
    <cellStyle name="Total 2 10 2 6 2" xfId="26557" xr:uid="{00000000-0005-0000-0000-0000EF7F0000}"/>
    <cellStyle name="Total 2 10 2 6 3" xfId="21481" xr:uid="{00000000-0005-0000-0000-0000F07F0000}"/>
    <cellStyle name="Total 2 10 2 7" xfId="8851" xr:uid="{00000000-0005-0000-0000-0000F17F0000}"/>
    <cellStyle name="Total 2 10 2 7 2" xfId="27271" xr:uid="{00000000-0005-0000-0000-0000F27F0000}"/>
    <cellStyle name="Total 2 10 2 7 3" xfId="22142" xr:uid="{00000000-0005-0000-0000-0000F37F0000}"/>
    <cellStyle name="Total 2 10 2 8" xfId="4343" xr:uid="{00000000-0005-0000-0000-0000F47F0000}"/>
    <cellStyle name="Total 2 10 2 8 2" xfId="22807" xr:uid="{00000000-0005-0000-0000-0000F57F0000}"/>
    <cellStyle name="Total 2 10 2 8 3" xfId="18025" xr:uid="{00000000-0005-0000-0000-0000F67F0000}"/>
    <cellStyle name="Total 2 10 2 9" xfId="16167" xr:uid="{00000000-0005-0000-0000-0000F77F0000}"/>
    <cellStyle name="Total 2 10 2 9 2" xfId="37484" xr:uid="{00000000-0005-0000-0000-0000F87F0000}"/>
    <cellStyle name="Total 2 10 2 9 3" xfId="17354" xr:uid="{00000000-0005-0000-0000-0000F97F0000}"/>
    <cellStyle name="Total 2 10 3" xfId="5380" xr:uid="{00000000-0005-0000-0000-0000FA7F0000}"/>
    <cellStyle name="Total 2 10 3 2" xfId="11338" xr:uid="{00000000-0005-0000-0000-0000FB7F0000}"/>
    <cellStyle name="Total 2 10 3 2 2" xfId="34155" xr:uid="{00000000-0005-0000-0000-0000FC7F0000}"/>
    <cellStyle name="Total 2 10 3 2 3" xfId="28628" xr:uid="{00000000-0005-0000-0000-0000FD7F0000}"/>
    <cellStyle name="Total 2 10 3 2 4" xfId="23834" xr:uid="{00000000-0005-0000-0000-0000FE7F0000}"/>
    <cellStyle name="Total 2 10 3 3" xfId="32112" xr:uid="{00000000-0005-0000-0000-0000FF7F0000}"/>
    <cellStyle name="Total 2 10 3 4" xfId="27799" xr:uid="{00000000-0005-0000-0000-000000800000}"/>
    <cellStyle name="Total 2 10 3 5" xfId="18977" xr:uid="{00000000-0005-0000-0000-000001800000}"/>
    <cellStyle name="Total 2 10 4" xfId="4950" xr:uid="{00000000-0005-0000-0000-000002800000}"/>
    <cellStyle name="Total 2 10 4 2" xfId="10574" xr:uid="{00000000-0005-0000-0000-000003800000}"/>
    <cellStyle name="Total 2 10 4 2 2" xfId="15448" xr:uid="{00000000-0005-0000-0000-000004800000}"/>
    <cellStyle name="Total 2 10 4 2 2 2" xfId="36832" xr:uid="{00000000-0005-0000-0000-000005800000}"/>
    <cellStyle name="Total 2 10 4 2 3" xfId="14757" xr:uid="{00000000-0005-0000-0000-000006800000}"/>
    <cellStyle name="Total 2 10 4 2 3 2" xfId="36233" xr:uid="{00000000-0005-0000-0000-000007800000}"/>
    <cellStyle name="Total 2 10 4 2 4" xfId="16528" xr:uid="{00000000-0005-0000-0000-000008800000}"/>
    <cellStyle name="Total 2 10 4 2 5" xfId="33708" xr:uid="{00000000-0005-0000-0000-000009800000}"/>
    <cellStyle name="Total 2 10 4 2 6" xfId="23410" xr:uid="{00000000-0005-0000-0000-00000A800000}"/>
    <cellStyle name="Total 2 10 4 3" xfId="13390" xr:uid="{00000000-0005-0000-0000-00000B800000}"/>
    <cellStyle name="Total 2 10 4 3 2" xfId="35177" xr:uid="{00000000-0005-0000-0000-00000C800000}"/>
    <cellStyle name="Total 2 10 4 4" xfId="16082" xr:uid="{00000000-0005-0000-0000-00000D800000}"/>
    <cellStyle name="Total 2 10 4 4 2" xfId="37404" xr:uid="{00000000-0005-0000-0000-00000E800000}"/>
    <cellStyle name="Total 2 10 4 5" xfId="14419" xr:uid="{00000000-0005-0000-0000-00000F800000}"/>
    <cellStyle name="Total 2 10 4 5 2" xfId="35947" xr:uid="{00000000-0005-0000-0000-000010800000}"/>
    <cellStyle name="Total 2 10 4 6" xfId="14973" xr:uid="{00000000-0005-0000-0000-000011800000}"/>
    <cellStyle name="Total 2 10 4 7" xfId="31901" xr:uid="{00000000-0005-0000-0000-000012800000}"/>
    <cellStyle name="Total 2 10 4 8" xfId="28151" xr:uid="{00000000-0005-0000-0000-000013800000}"/>
    <cellStyle name="Total 2 10 4 9" xfId="18564" xr:uid="{00000000-0005-0000-0000-000014800000}"/>
    <cellStyle name="Total 2 10 5" xfId="5946" xr:uid="{00000000-0005-0000-0000-000015800000}"/>
    <cellStyle name="Total 2 10 5 2" xfId="10986" xr:uid="{00000000-0005-0000-0000-000016800000}"/>
    <cellStyle name="Total 2 10 5 2 2" xfId="33862" xr:uid="{00000000-0005-0000-0000-000017800000}"/>
    <cellStyle name="Total 2 10 5 2 3" xfId="24387" xr:uid="{00000000-0005-0000-0000-000018800000}"/>
    <cellStyle name="Total 2 10 5 3" xfId="32438" xr:uid="{00000000-0005-0000-0000-000019800000}"/>
    <cellStyle name="Total 2 10 5 4" xfId="29392" xr:uid="{00000000-0005-0000-0000-00001A800000}"/>
    <cellStyle name="Total 2 10 5 5" xfId="19499" xr:uid="{00000000-0005-0000-0000-00001B800000}"/>
    <cellStyle name="Total 2 10 6" xfId="7430" xr:uid="{00000000-0005-0000-0000-00001C800000}"/>
    <cellStyle name="Total 2 10 6 2" xfId="10195" xr:uid="{00000000-0005-0000-0000-00001D800000}"/>
    <cellStyle name="Total 2 10 6 2 2" xfId="33494" xr:uid="{00000000-0005-0000-0000-00001E800000}"/>
    <cellStyle name="Total 2 10 6 2 3" xfId="25861" xr:uid="{00000000-0005-0000-0000-00001F800000}"/>
    <cellStyle name="Total 2 10 6 3" xfId="32851" xr:uid="{00000000-0005-0000-0000-000020800000}"/>
    <cellStyle name="Total 2 10 6 4" xfId="20785" xr:uid="{00000000-0005-0000-0000-000021800000}"/>
    <cellStyle name="Total 2 10 7" xfId="7809" xr:uid="{00000000-0005-0000-0000-000022800000}"/>
    <cellStyle name="Total 2 10 7 2" xfId="26239" xr:uid="{00000000-0005-0000-0000-000023800000}"/>
    <cellStyle name="Total 2 10 7 3" xfId="21163" xr:uid="{00000000-0005-0000-0000-000024800000}"/>
    <cellStyle name="Total 2 10 8" xfId="8530" xr:uid="{00000000-0005-0000-0000-000025800000}"/>
    <cellStyle name="Total 2 10 8 2" xfId="26953" xr:uid="{00000000-0005-0000-0000-000026800000}"/>
    <cellStyle name="Total 2 10 8 3" xfId="21821" xr:uid="{00000000-0005-0000-0000-000027800000}"/>
    <cellStyle name="Total 2 10 9" xfId="4022" xr:uid="{00000000-0005-0000-0000-000028800000}"/>
    <cellStyle name="Total 2 10 9 2" xfId="22489" xr:uid="{00000000-0005-0000-0000-000029800000}"/>
    <cellStyle name="Total 2 10 9 3" xfId="17704" xr:uid="{00000000-0005-0000-0000-00002A800000}"/>
    <cellStyle name="Total 2 11" xfId="3177" xr:uid="{00000000-0005-0000-0000-00002B800000}"/>
    <cellStyle name="Total 2 11 10" xfId="16135" xr:uid="{00000000-0005-0000-0000-00002C800000}"/>
    <cellStyle name="Total 2 11 10 2" xfId="37456" xr:uid="{00000000-0005-0000-0000-00002D800000}"/>
    <cellStyle name="Total 2 11 10 3" xfId="17020" xr:uid="{00000000-0005-0000-0000-00002E800000}"/>
    <cellStyle name="Total 2 11 11" xfId="14672" xr:uid="{00000000-0005-0000-0000-00002F800000}"/>
    <cellStyle name="Total 2 11 11 2" xfId="36155" xr:uid="{00000000-0005-0000-0000-000030800000}"/>
    <cellStyle name="Total 2 11 12" xfId="27553" xr:uid="{00000000-0005-0000-0000-000031800000}"/>
    <cellStyle name="Total 2 11 2" xfId="3616" xr:uid="{00000000-0005-0000-0000-000032800000}"/>
    <cellStyle name="Total 2 11 2 10" xfId="16057" xr:uid="{00000000-0005-0000-0000-000033800000}"/>
    <cellStyle name="Total 2 11 2 10 2" xfId="37384" xr:uid="{00000000-0005-0000-0000-000034800000}"/>
    <cellStyle name="Total 2 11 2 11" xfId="27554" xr:uid="{00000000-0005-0000-0000-000035800000}"/>
    <cellStyle name="Total 2 11 2 2" xfId="5743" xr:uid="{00000000-0005-0000-0000-000036800000}"/>
    <cellStyle name="Total 2 11 2 2 2" xfId="10777" xr:uid="{00000000-0005-0000-0000-000037800000}"/>
    <cellStyle name="Total 2 11 2 2 2 2" xfId="33787" xr:uid="{00000000-0005-0000-0000-000038800000}"/>
    <cellStyle name="Total 2 11 2 2 2 3" xfId="24190" xr:uid="{00000000-0005-0000-0000-000039800000}"/>
    <cellStyle name="Total 2 11 2 2 3" xfId="32331" xr:uid="{00000000-0005-0000-0000-00003A800000}"/>
    <cellStyle name="Total 2 11 2 2 4" xfId="29395" xr:uid="{00000000-0005-0000-0000-00003B800000}"/>
    <cellStyle name="Total 2 11 2 2 5" xfId="19301" xr:uid="{00000000-0005-0000-0000-00003C800000}"/>
    <cellStyle name="Total 2 11 2 3" xfId="5222" xr:uid="{00000000-0005-0000-0000-00003D800000}"/>
    <cellStyle name="Total 2 11 2 3 2" xfId="23682" xr:uid="{00000000-0005-0000-0000-00003E800000}"/>
    <cellStyle name="Total 2 11 2 3 3" xfId="18836" xr:uid="{00000000-0005-0000-0000-00003F800000}"/>
    <cellStyle name="Total 2 11 2 4" xfId="7218" xr:uid="{00000000-0005-0000-0000-000040800000}"/>
    <cellStyle name="Total 2 11 2 4 2" xfId="25649" xr:uid="{00000000-0005-0000-0000-000041800000}"/>
    <cellStyle name="Total 2 11 2 4 3" xfId="20575" xr:uid="{00000000-0005-0000-0000-000042800000}"/>
    <cellStyle name="Total 2 11 2 5" xfId="7748" xr:uid="{00000000-0005-0000-0000-000043800000}"/>
    <cellStyle name="Total 2 11 2 5 2" xfId="26178" xr:uid="{00000000-0005-0000-0000-000044800000}"/>
    <cellStyle name="Total 2 11 2 5 3" xfId="21103" xr:uid="{00000000-0005-0000-0000-000045800000}"/>
    <cellStyle name="Total 2 11 2 6" xfId="8128" xr:uid="{00000000-0005-0000-0000-000046800000}"/>
    <cellStyle name="Total 2 11 2 6 2" xfId="26558" xr:uid="{00000000-0005-0000-0000-000047800000}"/>
    <cellStyle name="Total 2 11 2 6 3" xfId="21482" xr:uid="{00000000-0005-0000-0000-000048800000}"/>
    <cellStyle name="Total 2 11 2 7" xfId="8852" xr:uid="{00000000-0005-0000-0000-000049800000}"/>
    <cellStyle name="Total 2 11 2 7 2" xfId="27272" xr:uid="{00000000-0005-0000-0000-00004A800000}"/>
    <cellStyle name="Total 2 11 2 7 3" xfId="22143" xr:uid="{00000000-0005-0000-0000-00004B800000}"/>
    <cellStyle name="Total 2 11 2 8" xfId="4344" xr:uid="{00000000-0005-0000-0000-00004C800000}"/>
    <cellStyle name="Total 2 11 2 8 2" xfId="22808" xr:uid="{00000000-0005-0000-0000-00004D800000}"/>
    <cellStyle name="Total 2 11 2 8 3" xfId="18026" xr:uid="{00000000-0005-0000-0000-00004E800000}"/>
    <cellStyle name="Total 2 11 2 9" xfId="16102" xr:uid="{00000000-0005-0000-0000-00004F800000}"/>
    <cellStyle name="Total 2 11 2 9 2" xfId="37424" xr:uid="{00000000-0005-0000-0000-000050800000}"/>
    <cellStyle name="Total 2 11 2 9 3" xfId="17355" xr:uid="{00000000-0005-0000-0000-000051800000}"/>
    <cellStyle name="Total 2 11 3" xfId="5381" xr:uid="{00000000-0005-0000-0000-000052800000}"/>
    <cellStyle name="Total 2 11 3 2" xfId="11339" xr:uid="{00000000-0005-0000-0000-000053800000}"/>
    <cellStyle name="Total 2 11 3 2 2" xfId="34156" xr:uid="{00000000-0005-0000-0000-000054800000}"/>
    <cellStyle name="Total 2 11 3 2 3" xfId="28629" xr:uid="{00000000-0005-0000-0000-000055800000}"/>
    <cellStyle name="Total 2 11 3 2 4" xfId="23835" xr:uid="{00000000-0005-0000-0000-000056800000}"/>
    <cellStyle name="Total 2 11 3 3" xfId="32113" xr:uid="{00000000-0005-0000-0000-000057800000}"/>
    <cellStyle name="Total 2 11 3 4" xfId="27800" xr:uid="{00000000-0005-0000-0000-000058800000}"/>
    <cellStyle name="Total 2 11 3 5" xfId="18978" xr:uid="{00000000-0005-0000-0000-000059800000}"/>
    <cellStyle name="Total 2 11 4" xfId="5589" xr:uid="{00000000-0005-0000-0000-00005A800000}"/>
    <cellStyle name="Total 2 11 4 2" xfId="10987" xr:uid="{00000000-0005-0000-0000-00005B800000}"/>
    <cellStyle name="Total 2 11 4 2 2" xfId="33863" xr:uid="{00000000-0005-0000-0000-00005C800000}"/>
    <cellStyle name="Total 2 11 4 2 3" xfId="24042" xr:uid="{00000000-0005-0000-0000-00005D800000}"/>
    <cellStyle name="Total 2 11 4 3" xfId="32203" xr:uid="{00000000-0005-0000-0000-00005E800000}"/>
    <cellStyle name="Total 2 11 4 4" xfId="29394" xr:uid="{00000000-0005-0000-0000-00005F800000}"/>
    <cellStyle name="Total 2 11 4 5" xfId="19176" xr:uid="{00000000-0005-0000-0000-000060800000}"/>
    <cellStyle name="Total 2 11 5" xfId="5945" xr:uid="{00000000-0005-0000-0000-000061800000}"/>
    <cellStyle name="Total 2 11 5 2" xfId="10196" xr:uid="{00000000-0005-0000-0000-000062800000}"/>
    <cellStyle name="Total 2 11 5 2 2" xfId="33495" xr:uid="{00000000-0005-0000-0000-000063800000}"/>
    <cellStyle name="Total 2 11 5 2 3" xfId="24386" xr:uid="{00000000-0005-0000-0000-000064800000}"/>
    <cellStyle name="Total 2 11 5 3" xfId="32437" xr:uid="{00000000-0005-0000-0000-000065800000}"/>
    <cellStyle name="Total 2 11 5 4" xfId="19498" xr:uid="{00000000-0005-0000-0000-000066800000}"/>
    <cellStyle name="Total 2 11 6" xfId="7431" xr:uid="{00000000-0005-0000-0000-000067800000}"/>
    <cellStyle name="Total 2 11 6 2" xfId="25862" xr:uid="{00000000-0005-0000-0000-000068800000}"/>
    <cellStyle name="Total 2 11 6 3" xfId="20786" xr:uid="{00000000-0005-0000-0000-000069800000}"/>
    <cellStyle name="Total 2 11 7" xfId="7810" xr:uid="{00000000-0005-0000-0000-00006A800000}"/>
    <cellStyle name="Total 2 11 7 2" xfId="26240" xr:uid="{00000000-0005-0000-0000-00006B800000}"/>
    <cellStyle name="Total 2 11 7 3" xfId="21164" xr:uid="{00000000-0005-0000-0000-00006C800000}"/>
    <cellStyle name="Total 2 11 8" xfId="8531" xr:uid="{00000000-0005-0000-0000-00006D800000}"/>
    <cellStyle name="Total 2 11 8 2" xfId="26954" xr:uid="{00000000-0005-0000-0000-00006E800000}"/>
    <cellStyle name="Total 2 11 8 3" xfId="21822" xr:uid="{00000000-0005-0000-0000-00006F800000}"/>
    <cellStyle name="Total 2 11 9" xfId="4023" xr:uid="{00000000-0005-0000-0000-000070800000}"/>
    <cellStyle name="Total 2 11 9 2" xfId="22490" xr:uid="{00000000-0005-0000-0000-000071800000}"/>
    <cellStyle name="Total 2 11 9 3" xfId="17705" xr:uid="{00000000-0005-0000-0000-000072800000}"/>
    <cellStyle name="Total 2 12" xfId="3614" xr:uid="{00000000-0005-0000-0000-000073800000}"/>
    <cellStyle name="Total 2 12 10" xfId="16116" xr:uid="{00000000-0005-0000-0000-000074800000}"/>
    <cellStyle name="Total 2 12 10 2" xfId="37437" xr:uid="{00000000-0005-0000-0000-000075800000}"/>
    <cellStyle name="Total 2 12 11" xfId="27555" xr:uid="{00000000-0005-0000-0000-000076800000}"/>
    <cellStyle name="Total 2 12 2" xfId="5741" xr:uid="{00000000-0005-0000-0000-000077800000}"/>
    <cellStyle name="Total 2 12 2 2" xfId="10988" xr:uid="{00000000-0005-0000-0000-000078800000}"/>
    <cellStyle name="Total 2 12 2 2 2" xfId="33864" xr:uid="{00000000-0005-0000-0000-000079800000}"/>
    <cellStyle name="Total 2 12 2 2 3" xfId="24188" xr:uid="{00000000-0005-0000-0000-00007A800000}"/>
    <cellStyle name="Total 2 12 2 3" xfId="32329" xr:uid="{00000000-0005-0000-0000-00007B800000}"/>
    <cellStyle name="Total 2 12 2 4" xfId="29396" xr:uid="{00000000-0005-0000-0000-00007C800000}"/>
    <cellStyle name="Total 2 12 2 5" xfId="19299" xr:uid="{00000000-0005-0000-0000-00007D800000}"/>
    <cellStyle name="Total 2 12 3" xfId="5220" xr:uid="{00000000-0005-0000-0000-00007E800000}"/>
    <cellStyle name="Total 2 12 3 2" xfId="23680" xr:uid="{00000000-0005-0000-0000-00007F800000}"/>
    <cellStyle name="Total 2 12 3 3" xfId="18834" xr:uid="{00000000-0005-0000-0000-000080800000}"/>
    <cellStyle name="Total 2 12 4" xfId="7216" xr:uid="{00000000-0005-0000-0000-000081800000}"/>
    <cellStyle name="Total 2 12 4 2" xfId="25647" xr:uid="{00000000-0005-0000-0000-000082800000}"/>
    <cellStyle name="Total 2 12 4 3" xfId="20573" xr:uid="{00000000-0005-0000-0000-000083800000}"/>
    <cellStyle name="Total 2 12 5" xfId="7746" xr:uid="{00000000-0005-0000-0000-000084800000}"/>
    <cellStyle name="Total 2 12 5 2" xfId="26176" xr:uid="{00000000-0005-0000-0000-000085800000}"/>
    <cellStyle name="Total 2 12 5 3" xfId="21101" xr:uid="{00000000-0005-0000-0000-000086800000}"/>
    <cellStyle name="Total 2 12 6" xfId="8126" xr:uid="{00000000-0005-0000-0000-000087800000}"/>
    <cellStyle name="Total 2 12 6 2" xfId="26556" xr:uid="{00000000-0005-0000-0000-000088800000}"/>
    <cellStyle name="Total 2 12 6 3" xfId="21480" xr:uid="{00000000-0005-0000-0000-000089800000}"/>
    <cellStyle name="Total 2 12 7" xfId="8850" xr:uid="{00000000-0005-0000-0000-00008A800000}"/>
    <cellStyle name="Total 2 12 7 2" xfId="27270" xr:uid="{00000000-0005-0000-0000-00008B800000}"/>
    <cellStyle name="Total 2 12 7 3" xfId="22141" xr:uid="{00000000-0005-0000-0000-00008C800000}"/>
    <cellStyle name="Total 2 12 8" xfId="4342" xr:uid="{00000000-0005-0000-0000-00008D800000}"/>
    <cellStyle name="Total 2 12 8 2" xfId="22806" xr:uid="{00000000-0005-0000-0000-00008E800000}"/>
    <cellStyle name="Total 2 12 8 3" xfId="18024" xr:uid="{00000000-0005-0000-0000-00008F800000}"/>
    <cellStyle name="Total 2 12 9" xfId="15675" xr:uid="{00000000-0005-0000-0000-000090800000}"/>
    <cellStyle name="Total 2 12 9 2" xfId="37049" xr:uid="{00000000-0005-0000-0000-000091800000}"/>
    <cellStyle name="Total 2 12 9 3" xfId="17353" xr:uid="{00000000-0005-0000-0000-000092800000}"/>
    <cellStyle name="Total 2 13" xfId="5379" xr:uid="{00000000-0005-0000-0000-000093800000}"/>
    <cellStyle name="Total 2 13 2" xfId="11337" xr:uid="{00000000-0005-0000-0000-000094800000}"/>
    <cellStyle name="Total 2 13 2 2" xfId="34154" xr:uid="{00000000-0005-0000-0000-000095800000}"/>
    <cellStyle name="Total 2 13 2 3" xfId="28627" xr:uid="{00000000-0005-0000-0000-000096800000}"/>
    <cellStyle name="Total 2 13 2 4" xfId="23833" xr:uid="{00000000-0005-0000-0000-000097800000}"/>
    <cellStyle name="Total 2 13 3" xfId="32111" xr:uid="{00000000-0005-0000-0000-000098800000}"/>
    <cellStyle name="Total 2 13 4" xfId="27798" xr:uid="{00000000-0005-0000-0000-000099800000}"/>
    <cellStyle name="Total 2 13 5" xfId="18976" xr:uid="{00000000-0005-0000-0000-00009A800000}"/>
    <cellStyle name="Total 2 14" xfId="5588" xr:uid="{00000000-0005-0000-0000-00009B800000}"/>
    <cellStyle name="Total 2 14 2" xfId="14622" xr:uid="{00000000-0005-0000-0000-00009C800000}"/>
    <cellStyle name="Total 2 14 2 2" xfId="24041" xr:uid="{00000000-0005-0000-0000-00009D800000}"/>
    <cellStyle name="Total 2 14 3" xfId="16598" xr:uid="{00000000-0005-0000-0000-00009E800000}"/>
    <cellStyle name="Total 2 14 4" xfId="32202" xr:uid="{00000000-0005-0000-0000-00009F800000}"/>
    <cellStyle name="Total 2 15" xfId="5947" xr:uid="{00000000-0005-0000-0000-0000A0800000}"/>
    <cellStyle name="Total 2 15 2" xfId="10775" xr:uid="{00000000-0005-0000-0000-0000A1800000}"/>
    <cellStyle name="Total 2 15 2 2" xfId="33785" xr:uid="{00000000-0005-0000-0000-0000A2800000}"/>
    <cellStyle name="Total 2 15 2 3" xfId="24388" xr:uid="{00000000-0005-0000-0000-0000A3800000}"/>
    <cellStyle name="Total 2 15 3" xfId="32439" xr:uid="{00000000-0005-0000-0000-0000A4800000}"/>
    <cellStyle name="Total 2 15 4" xfId="29391" xr:uid="{00000000-0005-0000-0000-0000A5800000}"/>
    <cellStyle name="Total 2 15 5" xfId="19500" xr:uid="{00000000-0005-0000-0000-0000A6800000}"/>
    <cellStyle name="Total 2 16" xfId="7429" xr:uid="{00000000-0005-0000-0000-0000A7800000}"/>
    <cellStyle name="Total 2 16 2" xfId="10194" xr:uid="{00000000-0005-0000-0000-0000A8800000}"/>
    <cellStyle name="Total 2 16 2 2" xfId="33493" xr:uid="{00000000-0005-0000-0000-0000A9800000}"/>
    <cellStyle name="Total 2 16 2 3" xfId="25860" xr:uid="{00000000-0005-0000-0000-0000AA800000}"/>
    <cellStyle name="Total 2 16 3" xfId="20784" xr:uid="{00000000-0005-0000-0000-0000AB800000}"/>
    <cellStyle name="Total 2 17" xfId="7808" xr:uid="{00000000-0005-0000-0000-0000AC800000}"/>
    <cellStyle name="Total 2 17 2" xfId="16516" xr:uid="{00000000-0005-0000-0000-0000AD800000}"/>
    <cellStyle name="Total 2 17 2 2" xfId="26238" xr:uid="{00000000-0005-0000-0000-0000AE800000}"/>
    <cellStyle name="Total 2 17 3" xfId="15300" xr:uid="{00000000-0005-0000-0000-0000AF800000}"/>
    <cellStyle name="Total 2 18" xfId="8529" xr:uid="{00000000-0005-0000-0000-0000B0800000}"/>
    <cellStyle name="Total 2 18 2" xfId="26952" xr:uid="{00000000-0005-0000-0000-0000B1800000}"/>
    <cellStyle name="Total 2 18 3" xfId="21820" xr:uid="{00000000-0005-0000-0000-0000B2800000}"/>
    <cellStyle name="Total 2 19" xfId="4021" xr:uid="{00000000-0005-0000-0000-0000B3800000}"/>
    <cellStyle name="Total 2 19 2" xfId="22488" xr:uid="{00000000-0005-0000-0000-0000B4800000}"/>
    <cellStyle name="Total 2 19 3" xfId="17703" xr:uid="{00000000-0005-0000-0000-0000B5800000}"/>
    <cellStyle name="Total 2 2" xfId="3178" xr:uid="{00000000-0005-0000-0000-0000B6800000}"/>
    <cellStyle name="Total 2 2 10" xfId="14923" xr:uid="{00000000-0005-0000-0000-0000B7800000}"/>
    <cellStyle name="Total 2 2 10 2" xfId="36371" xr:uid="{00000000-0005-0000-0000-0000B8800000}"/>
    <cellStyle name="Total 2 2 10 3" xfId="17021" xr:uid="{00000000-0005-0000-0000-0000B9800000}"/>
    <cellStyle name="Total 2 2 11" xfId="15892" xr:uid="{00000000-0005-0000-0000-0000BA800000}"/>
    <cellStyle name="Total 2 2 11 2" xfId="37254" xr:uid="{00000000-0005-0000-0000-0000BB800000}"/>
    <cellStyle name="Total 2 2 12" xfId="27556" xr:uid="{00000000-0005-0000-0000-0000BC800000}"/>
    <cellStyle name="Total 2 2 13" xfId="38082" xr:uid="{00000000-0005-0000-0000-0000D4120000}"/>
    <cellStyle name="Total 2 2 2" xfId="3617" xr:uid="{00000000-0005-0000-0000-0000BD800000}"/>
    <cellStyle name="Total 2 2 2 10" xfId="15071" xr:uid="{00000000-0005-0000-0000-0000BE800000}"/>
    <cellStyle name="Total 2 2 2 10 2" xfId="36482" xr:uid="{00000000-0005-0000-0000-0000BF800000}"/>
    <cellStyle name="Total 2 2 2 11" xfId="27557" xr:uid="{00000000-0005-0000-0000-0000C0800000}"/>
    <cellStyle name="Total 2 2 2 2" xfId="5744" xr:uid="{00000000-0005-0000-0000-0000C1800000}"/>
    <cellStyle name="Total 2 2 2 2 2" xfId="10989" xr:uid="{00000000-0005-0000-0000-0000C2800000}"/>
    <cellStyle name="Total 2 2 2 2 2 2" xfId="33865" xr:uid="{00000000-0005-0000-0000-0000C3800000}"/>
    <cellStyle name="Total 2 2 2 2 2 3" xfId="24191" xr:uid="{00000000-0005-0000-0000-0000C4800000}"/>
    <cellStyle name="Total 2 2 2 2 3" xfId="32332" xr:uid="{00000000-0005-0000-0000-0000C5800000}"/>
    <cellStyle name="Total 2 2 2 2 4" xfId="29398" xr:uid="{00000000-0005-0000-0000-0000C6800000}"/>
    <cellStyle name="Total 2 2 2 2 5" xfId="19302" xr:uid="{00000000-0005-0000-0000-0000C7800000}"/>
    <cellStyle name="Total 2 2 2 3" xfId="5224" xr:uid="{00000000-0005-0000-0000-0000C8800000}"/>
    <cellStyle name="Total 2 2 2 3 2" xfId="23684" xr:uid="{00000000-0005-0000-0000-0000C9800000}"/>
    <cellStyle name="Total 2 2 2 3 3" xfId="18838" xr:uid="{00000000-0005-0000-0000-0000CA800000}"/>
    <cellStyle name="Total 2 2 2 4" xfId="7219" xr:uid="{00000000-0005-0000-0000-0000CB800000}"/>
    <cellStyle name="Total 2 2 2 4 2" xfId="25650" xr:uid="{00000000-0005-0000-0000-0000CC800000}"/>
    <cellStyle name="Total 2 2 2 4 3" xfId="20576" xr:uid="{00000000-0005-0000-0000-0000CD800000}"/>
    <cellStyle name="Total 2 2 2 5" xfId="7749" xr:uid="{00000000-0005-0000-0000-0000CE800000}"/>
    <cellStyle name="Total 2 2 2 5 2" xfId="26179" xr:uid="{00000000-0005-0000-0000-0000CF800000}"/>
    <cellStyle name="Total 2 2 2 5 3" xfId="21104" xr:uid="{00000000-0005-0000-0000-0000D0800000}"/>
    <cellStyle name="Total 2 2 2 6" xfId="8129" xr:uid="{00000000-0005-0000-0000-0000D1800000}"/>
    <cellStyle name="Total 2 2 2 6 2" xfId="26559" xr:uid="{00000000-0005-0000-0000-0000D2800000}"/>
    <cellStyle name="Total 2 2 2 6 3" xfId="21483" xr:uid="{00000000-0005-0000-0000-0000D3800000}"/>
    <cellStyle name="Total 2 2 2 7" xfId="8853" xr:uid="{00000000-0005-0000-0000-0000D4800000}"/>
    <cellStyle name="Total 2 2 2 7 2" xfId="27273" xr:uid="{00000000-0005-0000-0000-0000D5800000}"/>
    <cellStyle name="Total 2 2 2 7 3" xfId="22144" xr:uid="{00000000-0005-0000-0000-0000D6800000}"/>
    <cellStyle name="Total 2 2 2 8" xfId="4345" xr:uid="{00000000-0005-0000-0000-0000D7800000}"/>
    <cellStyle name="Total 2 2 2 8 2" xfId="22809" xr:uid="{00000000-0005-0000-0000-0000D8800000}"/>
    <cellStyle name="Total 2 2 2 8 3" xfId="18027" xr:uid="{00000000-0005-0000-0000-0000D9800000}"/>
    <cellStyle name="Total 2 2 2 9" xfId="14922" xr:uid="{00000000-0005-0000-0000-0000DA800000}"/>
    <cellStyle name="Total 2 2 2 9 2" xfId="36370" xr:uid="{00000000-0005-0000-0000-0000DB800000}"/>
    <cellStyle name="Total 2 2 2 9 3" xfId="17356" xr:uid="{00000000-0005-0000-0000-0000DC800000}"/>
    <cellStyle name="Total 2 2 3" xfId="5382" xr:uid="{00000000-0005-0000-0000-0000DD800000}"/>
    <cellStyle name="Total 2 2 3 2" xfId="11340" xr:uid="{00000000-0005-0000-0000-0000DE800000}"/>
    <cellStyle name="Total 2 2 3 2 2" xfId="34157" xr:uid="{00000000-0005-0000-0000-0000DF800000}"/>
    <cellStyle name="Total 2 2 3 2 3" xfId="28630" xr:uid="{00000000-0005-0000-0000-0000E0800000}"/>
    <cellStyle name="Total 2 2 3 2 4" xfId="23836" xr:uid="{00000000-0005-0000-0000-0000E1800000}"/>
    <cellStyle name="Total 2 2 3 3" xfId="32114" xr:uid="{00000000-0005-0000-0000-0000E2800000}"/>
    <cellStyle name="Total 2 2 3 4" xfId="27801" xr:uid="{00000000-0005-0000-0000-0000E3800000}"/>
    <cellStyle name="Total 2 2 3 5" xfId="18979" xr:uid="{00000000-0005-0000-0000-0000E4800000}"/>
    <cellStyle name="Total 2 2 4" xfId="4951" xr:uid="{00000000-0005-0000-0000-0000E5800000}"/>
    <cellStyle name="Total 2 2 4 2" xfId="10575" xr:uid="{00000000-0005-0000-0000-0000E6800000}"/>
    <cellStyle name="Total 2 2 4 2 2" xfId="15449" xr:uid="{00000000-0005-0000-0000-0000E7800000}"/>
    <cellStyle name="Total 2 2 4 2 2 2" xfId="36833" xr:uid="{00000000-0005-0000-0000-0000E8800000}"/>
    <cellStyle name="Total 2 2 4 2 3" xfId="14756" xr:uid="{00000000-0005-0000-0000-0000E9800000}"/>
    <cellStyle name="Total 2 2 4 2 3 2" xfId="36232" xr:uid="{00000000-0005-0000-0000-0000EA800000}"/>
    <cellStyle name="Total 2 2 4 2 4" xfId="14391" xr:uid="{00000000-0005-0000-0000-0000EB800000}"/>
    <cellStyle name="Total 2 2 4 2 5" xfId="33709" xr:uid="{00000000-0005-0000-0000-0000EC800000}"/>
    <cellStyle name="Total 2 2 4 2 6" xfId="23411" xr:uid="{00000000-0005-0000-0000-0000ED800000}"/>
    <cellStyle name="Total 2 2 4 3" xfId="13391" xr:uid="{00000000-0005-0000-0000-0000EE800000}"/>
    <cellStyle name="Total 2 2 4 3 2" xfId="35178" xr:uid="{00000000-0005-0000-0000-0000EF800000}"/>
    <cellStyle name="Total 2 2 4 4" xfId="16083" xr:uid="{00000000-0005-0000-0000-0000F0800000}"/>
    <cellStyle name="Total 2 2 4 4 2" xfId="37405" xr:uid="{00000000-0005-0000-0000-0000F1800000}"/>
    <cellStyle name="Total 2 2 4 5" xfId="15065" xr:uid="{00000000-0005-0000-0000-0000F2800000}"/>
    <cellStyle name="Total 2 2 4 5 2" xfId="36476" xr:uid="{00000000-0005-0000-0000-0000F3800000}"/>
    <cellStyle name="Total 2 2 4 6" xfId="15616" xr:uid="{00000000-0005-0000-0000-0000F4800000}"/>
    <cellStyle name="Total 2 2 4 7" xfId="31902" xr:uid="{00000000-0005-0000-0000-0000F5800000}"/>
    <cellStyle name="Total 2 2 4 8" xfId="28152" xr:uid="{00000000-0005-0000-0000-0000F6800000}"/>
    <cellStyle name="Total 2 2 4 9" xfId="18565" xr:uid="{00000000-0005-0000-0000-0000F7800000}"/>
    <cellStyle name="Total 2 2 5" xfId="5944" xr:uid="{00000000-0005-0000-0000-0000F8800000}"/>
    <cellStyle name="Total 2 2 5 2" xfId="10778" xr:uid="{00000000-0005-0000-0000-0000F9800000}"/>
    <cellStyle name="Total 2 2 5 2 2" xfId="33788" xr:uid="{00000000-0005-0000-0000-0000FA800000}"/>
    <cellStyle name="Total 2 2 5 2 3" xfId="24385" xr:uid="{00000000-0005-0000-0000-0000FB800000}"/>
    <cellStyle name="Total 2 2 5 3" xfId="32436" xr:uid="{00000000-0005-0000-0000-0000FC800000}"/>
    <cellStyle name="Total 2 2 5 4" xfId="29397" xr:uid="{00000000-0005-0000-0000-0000FD800000}"/>
    <cellStyle name="Total 2 2 5 5" xfId="19497" xr:uid="{00000000-0005-0000-0000-0000FE800000}"/>
    <cellStyle name="Total 2 2 6" xfId="7432" xr:uid="{00000000-0005-0000-0000-0000FF800000}"/>
    <cellStyle name="Total 2 2 6 2" xfId="10197" xr:uid="{00000000-0005-0000-0000-000000810000}"/>
    <cellStyle name="Total 2 2 6 2 2" xfId="33496" xr:uid="{00000000-0005-0000-0000-000001810000}"/>
    <cellStyle name="Total 2 2 6 2 3" xfId="25863" xr:uid="{00000000-0005-0000-0000-000002810000}"/>
    <cellStyle name="Total 2 2 6 3" xfId="32852" xr:uid="{00000000-0005-0000-0000-000003810000}"/>
    <cellStyle name="Total 2 2 6 4" xfId="20787" xr:uid="{00000000-0005-0000-0000-000004810000}"/>
    <cellStyle name="Total 2 2 7" xfId="7811" xr:uid="{00000000-0005-0000-0000-000005810000}"/>
    <cellStyle name="Total 2 2 7 2" xfId="26241" xr:uid="{00000000-0005-0000-0000-000006810000}"/>
    <cellStyle name="Total 2 2 7 3" xfId="21165" xr:uid="{00000000-0005-0000-0000-000007810000}"/>
    <cellStyle name="Total 2 2 8" xfId="8532" xr:uid="{00000000-0005-0000-0000-000008810000}"/>
    <cellStyle name="Total 2 2 8 2" xfId="26955" xr:uid="{00000000-0005-0000-0000-000009810000}"/>
    <cellStyle name="Total 2 2 8 3" xfId="21823" xr:uid="{00000000-0005-0000-0000-00000A810000}"/>
    <cellStyle name="Total 2 2 9" xfId="4024" xr:uid="{00000000-0005-0000-0000-00000B810000}"/>
    <cellStyle name="Total 2 2 9 2" xfId="22491" xr:uid="{00000000-0005-0000-0000-00000C810000}"/>
    <cellStyle name="Total 2 2 9 3" xfId="17706" xr:uid="{00000000-0005-0000-0000-00000D810000}"/>
    <cellStyle name="Total 2 20" xfId="16225" xr:uid="{00000000-0005-0000-0000-00000E810000}"/>
    <cellStyle name="Total 2 20 2" xfId="37538" xr:uid="{00000000-0005-0000-0000-00000F810000}"/>
    <cellStyle name="Total 2 20 3" xfId="17018" xr:uid="{00000000-0005-0000-0000-000010810000}"/>
    <cellStyle name="Total 2 21" xfId="15705" xr:uid="{00000000-0005-0000-0000-000011810000}"/>
    <cellStyle name="Total 2 21 2" xfId="37070" xr:uid="{00000000-0005-0000-0000-000012810000}"/>
    <cellStyle name="Total 2 22" xfId="27550" xr:uid="{00000000-0005-0000-0000-000013810000}"/>
    <cellStyle name="Total 2 3" xfId="3179" xr:uid="{00000000-0005-0000-0000-000014810000}"/>
    <cellStyle name="Total 2 3 10" xfId="14921" xr:uid="{00000000-0005-0000-0000-000015810000}"/>
    <cellStyle name="Total 2 3 10 2" xfId="36369" xr:uid="{00000000-0005-0000-0000-000016810000}"/>
    <cellStyle name="Total 2 3 10 3" xfId="17022" xr:uid="{00000000-0005-0000-0000-000017810000}"/>
    <cellStyle name="Total 2 3 11" xfId="14689" xr:uid="{00000000-0005-0000-0000-000018810000}"/>
    <cellStyle name="Total 2 3 11 2" xfId="36171" xr:uid="{00000000-0005-0000-0000-000019810000}"/>
    <cellStyle name="Total 2 3 12" xfId="27558" xr:uid="{00000000-0005-0000-0000-00001A810000}"/>
    <cellStyle name="Total 2 3 13" xfId="38083" xr:uid="{00000000-0005-0000-0000-0000D6120000}"/>
    <cellStyle name="Total 2 3 2" xfId="3618" xr:uid="{00000000-0005-0000-0000-00001B810000}"/>
    <cellStyle name="Total 2 3 2 10" xfId="14692" xr:uid="{00000000-0005-0000-0000-00001C810000}"/>
    <cellStyle name="Total 2 3 2 10 2" xfId="36174" xr:uid="{00000000-0005-0000-0000-00001D810000}"/>
    <cellStyle name="Total 2 3 2 11" xfId="27559" xr:uid="{00000000-0005-0000-0000-00001E810000}"/>
    <cellStyle name="Total 2 3 2 2" xfId="5745" xr:uid="{00000000-0005-0000-0000-00001F810000}"/>
    <cellStyle name="Total 2 3 2 2 2" xfId="10990" xr:uid="{00000000-0005-0000-0000-000020810000}"/>
    <cellStyle name="Total 2 3 2 2 2 2" xfId="33866" xr:uid="{00000000-0005-0000-0000-000021810000}"/>
    <cellStyle name="Total 2 3 2 2 2 3" xfId="24192" xr:uid="{00000000-0005-0000-0000-000022810000}"/>
    <cellStyle name="Total 2 3 2 2 3" xfId="32333" xr:uid="{00000000-0005-0000-0000-000023810000}"/>
    <cellStyle name="Total 2 3 2 2 4" xfId="29400" xr:uid="{00000000-0005-0000-0000-000024810000}"/>
    <cellStyle name="Total 2 3 2 2 5" xfId="19303" xr:uid="{00000000-0005-0000-0000-000025810000}"/>
    <cellStyle name="Total 2 3 2 3" xfId="5225" xr:uid="{00000000-0005-0000-0000-000026810000}"/>
    <cellStyle name="Total 2 3 2 3 2" xfId="23685" xr:uid="{00000000-0005-0000-0000-000027810000}"/>
    <cellStyle name="Total 2 3 2 3 3" xfId="18839" xr:uid="{00000000-0005-0000-0000-000028810000}"/>
    <cellStyle name="Total 2 3 2 4" xfId="7220" xr:uid="{00000000-0005-0000-0000-000029810000}"/>
    <cellStyle name="Total 2 3 2 4 2" xfId="25651" xr:uid="{00000000-0005-0000-0000-00002A810000}"/>
    <cellStyle name="Total 2 3 2 4 3" xfId="20577" xr:uid="{00000000-0005-0000-0000-00002B810000}"/>
    <cellStyle name="Total 2 3 2 5" xfId="7750" xr:uid="{00000000-0005-0000-0000-00002C810000}"/>
    <cellStyle name="Total 2 3 2 5 2" xfId="26180" xr:uid="{00000000-0005-0000-0000-00002D810000}"/>
    <cellStyle name="Total 2 3 2 5 3" xfId="21105" xr:uid="{00000000-0005-0000-0000-00002E810000}"/>
    <cellStyle name="Total 2 3 2 6" xfId="8130" xr:uid="{00000000-0005-0000-0000-00002F810000}"/>
    <cellStyle name="Total 2 3 2 6 2" xfId="26560" xr:uid="{00000000-0005-0000-0000-000030810000}"/>
    <cellStyle name="Total 2 3 2 6 3" xfId="21484" xr:uid="{00000000-0005-0000-0000-000031810000}"/>
    <cellStyle name="Total 2 3 2 7" xfId="8854" xr:uid="{00000000-0005-0000-0000-000032810000}"/>
    <cellStyle name="Total 2 3 2 7 2" xfId="27274" xr:uid="{00000000-0005-0000-0000-000033810000}"/>
    <cellStyle name="Total 2 3 2 7 3" xfId="22145" xr:uid="{00000000-0005-0000-0000-000034810000}"/>
    <cellStyle name="Total 2 3 2 8" xfId="4346" xr:uid="{00000000-0005-0000-0000-000035810000}"/>
    <cellStyle name="Total 2 3 2 8 2" xfId="22810" xr:uid="{00000000-0005-0000-0000-000036810000}"/>
    <cellStyle name="Total 2 3 2 8 3" xfId="18028" xr:uid="{00000000-0005-0000-0000-000037810000}"/>
    <cellStyle name="Total 2 3 2 9" xfId="14920" xr:uid="{00000000-0005-0000-0000-000038810000}"/>
    <cellStyle name="Total 2 3 2 9 2" xfId="36368" xr:uid="{00000000-0005-0000-0000-000039810000}"/>
    <cellStyle name="Total 2 3 2 9 3" xfId="17357" xr:uid="{00000000-0005-0000-0000-00003A810000}"/>
    <cellStyle name="Total 2 3 3" xfId="5383" xr:uid="{00000000-0005-0000-0000-00003B810000}"/>
    <cellStyle name="Total 2 3 3 2" xfId="11341" xr:uid="{00000000-0005-0000-0000-00003C810000}"/>
    <cellStyle name="Total 2 3 3 2 2" xfId="34158" xr:uid="{00000000-0005-0000-0000-00003D810000}"/>
    <cellStyle name="Total 2 3 3 2 3" xfId="28631" xr:uid="{00000000-0005-0000-0000-00003E810000}"/>
    <cellStyle name="Total 2 3 3 2 4" xfId="23837" xr:uid="{00000000-0005-0000-0000-00003F810000}"/>
    <cellStyle name="Total 2 3 3 3" xfId="32115" xr:uid="{00000000-0005-0000-0000-000040810000}"/>
    <cellStyle name="Total 2 3 3 4" xfId="27802" xr:uid="{00000000-0005-0000-0000-000041810000}"/>
    <cellStyle name="Total 2 3 3 5" xfId="18980" xr:uid="{00000000-0005-0000-0000-000042810000}"/>
    <cellStyle name="Total 2 3 4" xfId="5590" xr:uid="{00000000-0005-0000-0000-000043810000}"/>
    <cellStyle name="Total 2 3 4 2" xfId="10576" xr:uid="{00000000-0005-0000-0000-000044810000}"/>
    <cellStyle name="Total 2 3 4 2 2" xfId="15450" xr:uid="{00000000-0005-0000-0000-000045810000}"/>
    <cellStyle name="Total 2 3 4 2 2 2" xfId="36834" xr:uid="{00000000-0005-0000-0000-000046810000}"/>
    <cellStyle name="Total 2 3 4 2 3" xfId="14755" xr:uid="{00000000-0005-0000-0000-000047810000}"/>
    <cellStyle name="Total 2 3 4 2 3 2" xfId="36231" xr:uid="{00000000-0005-0000-0000-000048810000}"/>
    <cellStyle name="Total 2 3 4 2 4" xfId="14399" xr:uid="{00000000-0005-0000-0000-000049810000}"/>
    <cellStyle name="Total 2 3 4 2 5" xfId="33710" xr:uid="{00000000-0005-0000-0000-00004A810000}"/>
    <cellStyle name="Total 2 3 4 2 6" xfId="24043" xr:uid="{00000000-0005-0000-0000-00004B810000}"/>
    <cellStyle name="Total 2 3 4 3" xfId="13392" xr:uid="{00000000-0005-0000-0000-00004C810000}"/>
    <cellStyle name="Total 2 3 4 3 2" xfId="35179" xr:uid="{00000000-0005-0000-0000-00004D810000}"/>
    <cellStyle name="Total 2 3 4 4" xfId="16084" xr:uid="{00000000-0005-0000-0000-00004E810000}"/>
    <cellStyle name="Total 2 3 4 4 2" xfId="37406" xr:uid="{00000000-0005-0000-0000-00004F810000}"/>
    <cellStyle name="Total 2 3 4 5" xfId="14418" xr:uid="{00000000-0005-0000-0000-000050810000}"/>
    <cellStyle name="Total 2 3 4 5 2" xfId="35946" xr:uid="{00000000-0005-0000-0000-000051810000}"/>
    <cellStyle name="Total 2 3 4 6" xfId="14561" xr:uid="{00000000-0005-0000-0000-000052810000}"/>
    <cellStyle name="Total 2 3 4 7" xfId="32204" xr:uid="{00000000-0005-0000-0000-000053810000}"/>
    <cellStyle name="Total 2 3 4 8" xfId="28153" xr:uid="{00000000-0005-0000-0000-000054810000}"/>
    <cellStyle name="Total 2 3 4 9" xfId="19177" xr:uid="{00000000-0005-0000-0000-000055810000}"/>
    <cellStyle name="Total 2 3 5" xfId="5943" xr:uid="{00000000-0005-0000-0000-000056810000}"/>
    <cellStyle name="Total 2 3 5 2" xfId="10779" xr:uid="{00000000-0005-0000-0000-000057810000}"/>
    <cellStyle name="Total 2 3 5 2 2" xfId="33789" xr:uid="{00000000-0005-0000-0000-000058810000}"/>
    <cellStyle name="Total 2 3 5 2 3" xfId="24384" xr:uid="{00000000-0005-0000-0000-000059810000}"/>
    <cellStyle name="Total 2 3 5 3" xfId="32435" xr:uid="{00000000-0005-0000-0000-00005A810000}"/>
    <cellStyle name="Total 2 3 5 4" xfId="29399" xr:uid="{00000000-0005-0000-0000-00005B810000}"/>
    <cellStyle name="Total 2 3 5 5" xfId="19496" xr:uid="{00000000-0005-0000-0000-00005C810000}"/>
    <cellStyle name="Total 2 3 6" xfId="7433" xr:uid="{00000000-0005-0000-0000-00005D810000}"/>
    <cellStyle name="Total 2 3 6 2" xfId="10198" xr:uid="{00000000-0005-0000-0000-00005E810000}"/>
    <cellStyle name="Total 2 3 6 2 2" xfId="33497" xr:uid="{00000000-0005-0000-0000-00005F810000}"/>
    <cellStyle name="Total 2 3 6 2 3" xfId="25864" xr:uid="{00000000-0005-0000-0000-000060810000}"/>
    <cellStyle name="Total 2 3 6 3" xfId="32853" xr:uid="{00000000-0005-0000-0000-000061810000}"/>
    <cellStyle name="Total 2 3 6 4" xfId="20788" xr:uid="{00000000-0005-0000-0000-000062810000}"/>
    <cellStyle name="Total 2 3 7" xfId="7812" xr:uid="{00000000-0005-0000-0000-000063810000}"/>
    <cellStyle name="Total 2 3 7 2" xfId="26242" xr:uid="{00000000-0005-0000-0000-000064810000}"/>
    <cellStyle name="Total 2 3 7 3" xfId="21166" xr:uid="{00000000-0005-0000-0000-000065810000}"/>
    <cellStyle name="Total 2 3 8" xfId="8533" xr:uid="{00000000-0005-0000-0000-000066810000}"/>
    <cellStyle name="Total 2 3 8 2" xfId="26956" xr:uid="{00000000-0005-0000-0000-000067810000}"/>
    <cellStyle name="Total 2 3 8 3" xfId="21824" xr:uid="{00000000-0005-0000-0000-000068810000}"/>
    <cellStyle name="Total 2 3 9" xfId="4025" xr:uid="{00000000-0005-0000-0000-000069810000}"/>
    <cellStyle name="Total 2 3 9 2" xfId="22492" xr:uid="{00000000-0005-0000-0000-00006A810000}"/>
    <cellStyle name="Total 2 3 9 3" xfId="17707" xr:uid="{00000000-0005-0000-0000-00006B810000}"/>
    <cellStyle name="Total 2 4" xfId="3180" xr:uid="{00000000-0005-0000-0000-00006C810000}"/>
    <cellStyle name="Total 2 4 10" xfId="14919" xr:uid="{00000000-0005-0000-0000-00006D810000}"/>
    <cellStyle name="Total 2 4 10 2" xfId="36367" xr:uid="{00000000-0005-0000-0000-00006E810000}"/>
    <cellStyle name="Total 2 4 10 3" xfId="17023" xr:uid="{00000000-0005-0000-0000-00006F810000}"/>
    <cellStyle name="Total 2 4 11" xfId="16000" xr:uid="{00000000-0005-0000-0000-000070810000}"/>
    <cellStyle name="Total 2 4 11 2" xfId="37353" xr:uid="{00000000-0005-0000-0000-000071810000}"/>
    <cellStyle name="Total 2 4 12" xfId="27560" xr:uid="{00000000-0005-0000-0000-000072810000}"/>
    <cellStyle name="Total 2 4 13" xfId="38084" xr:uid="{00000000-0005-0000-0000-0000D8120000}"/>
    <cellStyle name="Total 2 4 2" xfId="3619" xr:uid="{00000000-0005-0000-0000-000073810000}"/>
    <cellStyle name="Total 2 4 2 10" xfId="16297" xr:uid="{00000000-0005-0000-0000-000074810000}"/>
    <cellStyle name="Total 2 4 2 10 2" xfId="37604" xr:uid="{00000000-0005-0000-0000-000075810000}"/>
    <cellStyle name="Total 2 4 2 11" xfId="27561" xr:uid="{00000000-0005-0000-0000-000076810000}"/>
    <cellStyle name="Total 2 4 2 2" xfId="5746" xr:uid="{00000000-0005-0000-0000-000077810000}"/>
    <cellStyle name="Total 2 4 2 2 2" xfId="10991" xr:uid="{00000000-0005-0000-0000-000078810000}"/>
    <cellStyle name="Total 2 4 2 2 2 2" xfId="33867" xr:uid="{00000000-0005-0000-0000-000079810000}"/>
    <cellStyle name="Total 2 4 2 2 2 3" xfId="24193" xr:uid="{00000000-0005-0000-0000-00007A810000}"/>
    <cellStyle name="Total 2 4 2 2 3" xfId="32334" xr:uid="{00000000-0005-0000-0000-00007B810000}"/>
    <cellStyle name="Total 2 4 2 2 4" xfId="29402" xr:uid="{00000000-0005-0000-0000-00007C810000}"/>
    <cellStyle name="Total 2 4 2 2 5" xfId="19304" xr:uid="{00000000-0005-0000-0000-00007D810000}"/>
    <cellStyle name="Total 2 4 2 3" xfId="5821" xr:uid="{00000000-0005-0000-0000-00007E810000}"/>
    <cellStyle name="Total 2 4 2 3 2" xfId="24268" xr:uid="{00000000-0005-0000-0000-00007F810000}"/>
    <cellStyle name="Total 2 4 2 3 3" xfId="19377" xr:uid="{00000000-0005-0000-0000-000080810000}"/>
    <cellStyle name="Total 2 4 2 4" xfId="7221" xr:uid="{00000000-0005-0000-0000-000081810000}"/>
    <cellStyle name="Total 2 4 2 4 2" xfId="25652" xr:uid="{00000000-0005-0000-0000-000082810000}"/>
    <cellStyle name="Total 2 4 2 4 3" xfId="20578" xr:uid="{00000000-0005-0000-0000-000083810000}"/>
    <cellStyle name="Total 2 4 2 5" xfId="7751" xr:uid="{00000000-0005-0000-0000-000084810000}"/>
    <cellStyle name="Total 2 4 2 5 2" xfId="26181" xr:uid="{00000000-0005-0000-0000-000085810000}"/>
    <cellStyle name="Total 2 4 2 5 3" xfId="21106" xr:uid="{00000000-0005-0000-0000-000086810000}"/>
    <cellStyle name="Total 2 4 2 6" xfId="8131" xr:uid="{00000000-0005-0000-0000-000087810000}"/>
    <cellStyle name="Total 2 4 2 6 2" xfId="26561" xr:uid="{00000000-0005-0000-0000-000088810000}"/>
    <cellStyle name="Total 2 4 2 6 3" xfId="21485" xr:uid="{00000000-0005-0000-0000-000089810000}"/>
    <cellStyle name="Total 2 4 2 7" xfId="8855" xr:uid="{00000000-0005-0000-0000-00008A810000}"/>
    <cellStyle name="Total 2 4 2 7 2" xfId="27275" xr:uid="{00000000-0005-0000-0000-00008B810000}"/>
    <cellStyle name="Total 2 4 2 7 3" xfId="22146" xr:uid="{00000000-0005-0000-0000-00008C810000}"/>
    <cellStyle name="Total 2 4 2 8" xfId="4347" xr:uid="{00000000-0005-0000-0000-00008D810000}"/>
    <cellStyle name="Total 2 4 2 8 2" xfId="22811" xr:uid="{00000000-0005-0000-0000-00008E810000}"/>
    <cellStyle name="Total 2 4 2 8 3" xfId="18029" xr:uid="{00000000-0005-0000-0000-00008F810000}"/>
    <cellStyle name="Total 2 4 2 9" xfId="15276" xr:uid="{00000000-0005-0000-0000-000090810000}"/>
    <cellStyle name="Total 2 4 2 9 2" xfId="36681" xr:uid="{00000000-0005-0000-0000-000091810000}"/>
    <cellStyle name="Total 2 4 2 9 3" xfId="17358" xr:uid="{00000000-0005-0000-0000-000092810000}"/>
    <cellStyle name="Total 2 4 3" xfId="5384" xr:uid="{00000000-0005-0000-0000-000093810000}"/>
    <cellStyle name="Total 2 4 3 2" xfId="11342" xr:uid="{00000000-0005-0000-0000-000094810000}"/>
    <cellStyle name="Total 2 4 3 2 2" xfId="34159" xr:uid="{00000000-0005-0000-0000-000095810000}"/>
    <cellStyle name="Total 2 4 3 2 3" xfId="28632" xr:uid="{00000000-0005-0000-0000-000096810000}"/>
    <cellStyle name="Total 2 4 3 2 4" xfId="23838" xr:uid="{00000000-0005-0000-0000-000097810000}"/>
    <cellStyle name="Total 2 4 3 3" xfId="32116" xr:uid="{00000000-0005-0000-0000-000098810000}"/>
    <cellStyle name="Total 2 4 3 4" xfId="27803" xr:uid="{00000000-0005-0000-0000-000099810000}"/>
    <cellStyle name="Total 2 4 3 5" xfId="18981" xr:uid="{00000000-0005-0000-0000-00009A810000}"/>
    <cellStyle name="Total 2 4 4" xfId="4952" xr:uid="{00000000-0005-0000-0000-00009B810000}"/>
    <cellStyle name="Total 2 4 4 2" xfId="10577" xr:uid="{00000000-0005-0000-0000-00009C810000}"/>
    <cellStyle name="Total 2 4 4 2 2" xfId="15451" xr:uid="{00000000-0005-0000-0000-00009D810000}"/>
    <cellStyle name="Total 2 4 4 2 2 2" xfId="36835" xr:uid="{00000000-0005-0000-0000-00009E810000}"/>
    <cellStyle name="Total 2 4 4 2 3" xfId="15985" xr:uid="{00000000-0005-0000-0000-00009F810000}"/>
    <cellStyle name="Total 2 4 4 2 3 2" xfId="37347" xr:uid="{00000000-0005-0000-0000-0000A0810000}"/>
    <cellStyle name="Total 2 4 4 2 4" xfId="16529" xr:uid="{00000000-0005-0000-0000-0000A1810000}"/>
    <cellStyle name="Total 2 4 4 2 5" xfId="33711" xr:uid="{00000000-0005-0000-0000-0000A2810000}"/>
    <cellStyle name="Total 2 4 4 2 6" xfId="23412" xr:uid="{00000000-0005-0000-0000-0000A3810000}"/>
    <cellStyle name="Total 2 4 4 3" xfId="13393" xr:uid="{00000000-0005-0000-0000-0000A4810000}"/>
    <cellStyle name="Total 2 4 4 3 2" xfId="35180" xr:uid="{00000000-0005-0000-0000-0000A5810000}"/>
    <cellStyle name="Total 2 4 4 4" xfId="16085" xr:uid="{00000000-0005-0000-0000-0000A6810000}"/>
    <cellStyle name="Total 2 4 4 4 2" xfId="37407" xr:uid="{00000000-0005-0000-0000-0000A7810000}"/>
    <cellStyle name="Total 2 4 4 5" xfId="15064" xr:uid="{00000000-0005-0000-0000-0000A8810000}"/>
    <cellStyle name="Total 2 4 4 5 2" xfId="36475" xr:uid="{00000000-0005-0000-0000-0000A9810000}"/>
    <cellStyle name="Total 2 4 4 6" xfId="14952" xr:uid="{00000000-0005-0000-0000-0000AA810000}"/>
    <cellStyle name="Total 2 4 4 7" xfId="31903" xr:uid="{00000000-0005-0000-0000-0000AB810000}"/>
    <cellStyle name="Total 2 4 4 8" xfId="28154" xr:uid="{00000000-0005-0000-0000-0000AC810000}"/>
    <cellStyle name="Total 2 4 4 9" xfId="18566" xr:uid="{00000000-0005-0000-0000-0000AD810000}"/>
    <cellStyle name="Total 2 4 5" xfId="5922" xr:uid="{00000000-0005-0000-0000-0000AE810000}"/>
    <cellStyle name="Total 2 4 5 2" xfId="10780" xr:uid="{00000000-0005-0000-0000-0000AF810000}"/>
    <cellStyle name="Total 2 4 5 2 2" xfId="33790" xr:uid="{00000000-0005-0000-0000-0000B0810000}"/>
    <cellStyle name="Total 2 4 5 2 3" xfId="24367" xr:uid="{00000000-0005-0000-0000-0000B1810000}"/>
    <cellStyle name="Total 2 4 5 3" xfId="32425" xr:uid="{00000000-0005-0000-0000-0000B2810000}"/>
    <cellStyle name="Total 2 4 5 4" xfId="29401" xr:uid="{00000000-0005-0000-0000-0000B3810000}"/>
    <cellStyle name="Total 2 4 5 5" xfId="19475" xr:uid="{00000000-0005-0000-0000-0000B4810000}"/>
    <cellStyle name="Total 2 4 6" xfId="7434" xr:uid="{00000000-0005-0000-0000-0000B5810000}"/>
    <cellStyle name="Total 2 4 6 2" xfId="10199" xr:uid="{00000000-0005-0000-0000-0000B6810000}"/>
    <cellStyle name="Total 2 4 6 2 2" xfId="33498" xr:uid="{00000000-0005-0000-0000-0000B7810000}"/>
    <cellStyle name="Total 2 4 6 2 3" xfId="25865" xr:uid="{00000000-0005-0000-0000-0000B8810000}"/>
    <cellStyle name="Total 2 4 6 3" xfId="32854" xr:uid="{00000000-0005-0000-0000-0000B9810000}"/>
    <cellStyle name="Total 2 4 6 4" xfId="20789" xr:uid="{00000000-0005-0000-0000-0000BA810000}"/>
    <cellStyle name="Total 2 4 7" xfId="7813" xr:uid="{00000000-0005-0000-0000-0000BB810000}"/>
    <cellStyle name="Total 2 4 7 2" xfId="26243" xr:uid="{00000000-0005-0000-0000-0000BC810000}"/>
    <cellStyle name="Total 2 4 7 3" xfId="21167" xr:uid="{00000000-0005-0000-0000-0000BD810000}"/>
    <cellStyle name="Total 2 4 8" xfId="8534" xr:uid="{00000000-0005-0000-0000-0000BE810000}"/>
    <cellStyle name="Total 2 4 8 2" xfId="26957" xr:uid="{00000000-0005-0000-0000-0000BF810000}"/>
    <cellStyle name="Total 2 4 8 3" xfId="21825" xr:uid="{00000000-0005-0000-0000-0000C0810000}"/>
    <cellStyle name="Total 2 4 9" xfId="4026" xr:uid="{00000000-0005-0000-0000-0000C1810000}"/>
    <cellStyle name="Total 2 4 9 2" xfId="22493" xr:uid="{00000000-0005-0000-0000-0000C2810000}"/>
    <cellStyle name="Total 2 4 9 3" xfId="17708" xr:uid="{00000000-0005-0000-0000-0000C3810000}"/>
    <cellStyle name="Total 2 5" xfId="3181" xr:uid="{00000000-0005-0000-0000-0000C4810000}"/>
    <cellStyle name="Total 2 5 10" xfId="15275" xr:uid="{00000000-0005-0000-0000-0000C5810000}"/>
    <cellStyle name="Total 2 5 10 2" xfId="36680" xr:uid="{00000000-0005-0000-0000-0000C6810000}"/>
    <cellStyle name="Total 2 5 10 3" xfId="17024" xr:uid="{00000000-0005-0000-0000-0000C7810000}"/>
    <cellStyle name="Total 2 5 11" xfId="16170" xr:uid="{00000000-0005-0000-0000-0000C8810000}"/>
    <cellStyle name="Total 2 5 11 2" xfId="37487" xr:uid="{00000000-0005-0000-0000-0000C9810000}"/>
    <cellStyle name="Total 2 5 12" xfId="27562" xr:uid="{00000000-0005-0000-0000-0000CA810000}"/>
    <cellStyle name="Total 2 5 13" xfId="38085" xr:uid="{00000000-0005-0000-0000-0000DA120000}"/>
    <cellStyle name="Total 2 5 2" xfId="3620" xr:uid="{00000000-0005-0000-0000-0000CB810000}"/>
    <cellStyle name="Total 2 5 2 10" xfId="16407" xr:uid="{00000000-0005-0000-0000-0000CC810000}"/>
    <cellStyle name="Total 2 5 2 10 2" xfId="37696" xr:uid="{00000000-0005-0000-0000-0000CD810000}"/>
    <cellStyle name="Total 2 5 2 11" xfId="27563" xr:uid="{00000000-0005-0000-0000-0000CE810000}"/>
    <cellStyle name="Total 2 5 2 2" xfId="5747" xr:uid="{00000000-0005-0000-0000-0000CF810000}"/>
    <cellStyle name="Total 2 5 2 2 2" xfId="10782" xr:uid="{00000000-0005-0000-0000-0000D0810000}"/>
    <cellStyle name="Total 2 5 2 2 2 2" xfId="33792" xr:uid="{00000000-0005-0000-0000-0000D1810000}"/>
    <cellStyle name="Total 2 5 2 2 2 3" xfId="24194" xr:uid="{00000000-0005-0000-0000-0000D2810000}"/>
    <cellStyle name="Total 2 5 2 2 3" xfId="32335" xr:uid="{00000000-0005-0000-0000-0000D3810000}"/>
    <cellStyle name="Total 2 5 2 2 4" xfId="29404" xr:uid="{00000000-0005-0000-0000-0000D4810000}"/>
    <cellStyle name="Total 2 5 2 2 5" xfId="19305" xr:uid="{00000000-0005-0000-0000-0000D5810000}"/>
    <cellStyle name="Total 2 5 2 3" xfId="4433" xr:uid="{00000000-0005-0000-0000-0000D6810000}"/>
    <cellStyle name="Total 2 5 2 3 2" xfId="22893" xr:uid="{00000000-0005-0000-0000-0000D7810000}"/>
    <cellStyle name="Total 2 5 2 3 3" xfId="18113" xr:uid="{00000000-0005-0000-0000-0000D8810000}"/>
    <cellStyle name="Total 2 5 2 4" xfId="7222" xr:uid="{00000000-0005-0000-0000-0000D9810000}"/>
    <cellStyle name="Total 2 5 2 4 2" xfId="25653" xr:uid="{00000000-0005-0000-0000-0000DA810000}"/>
    <cellStyle name="Total 2 5 2 4 3" xfId="20579" xr:uid="{00000000-0005-0000-0000-0000DB810000}"/>
    <cellStyle name="Total 2 5 2 5" xfId="7752" xr:uid="{00000000-0005-0000-0000-0000DC810000}"/>
    <cellStyle name="Total 2 5 2 5 2" xfId="26182" xr:uid="{00000000-0005-0000-0000-0000DD810000}"/>
    <cellStyle name="Total 2 5 2 5 3" xfId="21107" xr:uid="{00000000-0005-0000-0000-0000DE810000}"/>
    <cellStyle name="Total 2 5 2 6" xfId="8132" xr:uid="{00000000-0005-0000-0000-0000DF810000}"/>
    <cellStyle name="Total 2 5 2 6 2" xfId="26562" xr:uid="{00000000-0005-0000-0000-0000E0810000}"/>
    <cellStyle name="Total 2 5 2 6 3" xfId="21486" xr:uid="{00000000-0005-0000-0000-0000E1810000}"/>
    <cellStyle name="Total 2 5 2 7" xfId="8856" xr:uid="{00000000-0005-0000-0000-0000E2810000}"/>
    <cellStyle name="Total 2 5 2 7 2" xfId="27276" xr:uid="{00000000-0005-0000-0000-0000E3810000}"/>
    <cellStyle name="Total 2 5 2 7 3" xfId="22147" xr:uid="{00000000-0005-0000-0000-0000E4810000}"/>
    <cellStyle name="Total 2 5 2 8" xfId="4348" xr:uid="{00000000-0005-0000-0000-0000E5810000}"/>
    <cellStyle name="Total 2 5 2 8 2" xfId="22812" xr:uid="{00000000-0005-0000-0000-0000E6810000}"/>
    <cellStyle name="Total 2 5 2 8 3" xfId="18030" xr:uid="{00000000-0005-0000-0000-0000E7810000}"/>
    <cellStyle name="Total 2 5 2 9" xfId="14918" xr:uid="{00000000-0005-0000-0000-0000E8810000}"/>
    <cellStyle name="Total 2 5 2 9 2" xfId="36366" xr:uid="{00000000-0005-0000-0000-0000E9810000}"/>
    <cellStyle name="Total 2 5 2 9 3" xfId="17359" xr:uid="{00000000-0005-0000-0000-0000EA810000}"/>
    <cellStyle name="Total 2 5 3" xfId="5385" xr:uid="{00000000-0005-0000-0000-0000EB810000}"/>
    <cellStyle name="Total 2 5 3 2" xfId="11343" xr:uid="{00000000-0005-0000-0000-0000EC810000}"/>
    <cellStyle name="Total 2 5 3 2 2" xfId="34160" xr:uid="{00000000-0005-0000-0000-0000ED810000}"/>
    <cellStyle name="Total 2 5 3 2 3" xfId="28633" xr:uid="{00000000-0005-0000-0000-0000EE810000}"/>
    <cellStyle name="Total 2 5 3 2 4" xfId="23839" xr:uid="{00000000-0005-0000-0000-0000EF810000}"/>
    <cellStyle name="Total 2 5 3 3" xfId="32117" xr:uid="{00000000-0005-0000-0000-0000F0810000}"/>
    <cellStyle name="Total 2 5 3 4" xfId="27804" xr:uid="{00000000-0005-0000-0000-0000F1810000}"/>
    <cellStyle name="Total 2 5 3 5" xfId="18982" xr:uid="{00000000-0005-0000-0000-0000F2810000}"/>
    <cellStyle name="Total 2 5 4" xfId="5591" xr:uid="{00000000-0005-0000-0000-0000F3810000}"/>
    <cellStyle name="Total 2 5 4 2" xfId="10578" xr:uid="{00000000-0005-0000-0000-0000F4810000}"/>
    <cellStyle name="Total 2 5 4 2 2" xfId="15452" xr:uid="{00000000-0005-0000-0000-0000F5810000}"/>
    <cellStyle name="Total 2 5 4 2 2 2" xfId="36836" xr:uid="{00000000-0005-0000-0000-0000F6810000}"/>
    <cellStyle name="Total 2 5 4 2 3" xfId="14754" xr:uid="{00000000-0005-0000-0000-0000F7810000}"/>
    <cellStyle name="Total 2 5 4 2 3 2" xfId="36230" xr:uid="{00000000-0005-0000-0000-0000F8810000}"/>
    <cellStyle name="Total 2 5 4 2 4" xfId="15699" xr:uid="{00000000-0005-0000-0000-0000F9810000}"/>
    <cellStyle name="Total 2 5 4 2 5" xfId="33712" xr:uid="{00000000-0005-0000-0000-0000FA810000}"/>
    <cellStyle name="Total 2 5 4 2 6" xfId="24044" xr:uid="{00000000-0005-0000-0000-0000FB810000}"/>
    <cellStyle name="Total 2 5 4 3" xfId="13394" xr:uid="{00000000-0005-0000-0000-0000FC810000}"/>
    <cellStyle name="Total 2 5 4 3 2" xfId="35181" xr:uid="{00000000-0005-0000-0000-0000FD810000}"/>
    <cellStyle name="Total 2 5 4 4" xfId="16086" xr:uid="{00000000-0005-0000-0000-0000FE810000}"/>
    <cellStyle name="Total 2 5 4 4 2" xfId="37408" xr:uid="{00000000-0005-0000-0000-0000FF810000}"/>
    <cellStyle name="Total 2 5 4 5" xfId="14417" xr:uid="{00000000-0005-0000-0000-000000820000}"/>
    <cellStyle name="Total 2 5 4 5 2" xfId="35945" xr:uid="{00000000-0005-0000-0000-000001820000}"/>
    <cellStyle name="Total 2 5 4 6" xfId="15596" xr:uid="{00000000-0005-0000-0000-000002820000}"/>
    <cellStyle name="Total 2 5 4 7" xfId="32205" xr:uid="{00000000-0005-0000-0000-000003820000}"/>
    <cellStyle name="Total 2 5 4 8" xfId="28155" xr:uid="{00000000-0005-0000-0000-000004820000}"/>
    <cellStyle name="Total 2 5 4 9" xfId="19178" xr:uid="{00000000-0005-0000-0000-000005820000}"/>
    <cellStyle name="Total 2 5 5" xfId="5921" xr:uid="{00000000-0005-0000-0000-000006820000}"/>
    <cellStyle name="Total 2 5 5 2" xfId="10781" xr:uid="{00000000-0005-0000-0000-000007820000}"/>
    <cellStyle name="Total 2 5 5 2 2" xfId="33791" xr:uid="{00000000-0005-0000-0000-000008820000}"/>
    <cellStyle name="Total 2 5 5 2 3" xfId="24366" xr:uid="{00000000-0005-0000-0000-000009820000}"/>
    <cellStyle name="Total 2 5 5 3" xfId="32424" xr:uid="{00000000-0005-0000-0000-00000A820000}"/>
    <cellStyle name="Total 2 5 5 4" xfId="29403" xr:uid="{00000000-0005-0000-0000-00000B820000}"/>
    <cellStyle name="Total 2 5 5 5" xfId="19474" xr:uid="{00000000-0005-0000-0000-00000C820000}"/>
    <cellStyle name="Total 2 5 6" xfId="7435" xr:uid="{00000000-0005-0000-0000-00000D820000}"/>
    <cellStyle name="Total 2 5 6 2" xfId="10200" xr:uid="{00000000-0005-0000-0000-00000E820000}"/>
    <cellStyle name="Total 2 5 6 2 2" xfId="33499" xr:uid="{00000000-0005-0000-0000-00000F820000}"/>
    <cellStyle name="Total 2 5 6 2 3" xfId="25866" xr:uid="{00000000-0005-0000-0000-000010820000}"/>
    <cellStyle name="Total 2 5 6 3" xfId="32855" xr:uid="{00000000-0005-0000-0000-000011820000}"/>
    <cellStyle name="Total 2 5 6 4" xfId="20790" xr:uid="{00000000-0005-0000-0000-000012820000}"/>
    <cellStyle name="Total 2 5 7" xfId="7814" xr:uid="{00000000-0005-0000-0000-000013820000}"/>
    <cellStyle name="Total 2 5 7 2" xfId="26244" xr:uid="{00000000-0005-0000-0000-000014820000}"/>
    <cellStyle name="Total 2 5 7 3" xfId="21168" xr:uid="{00000000-0005-0000-0000-000015820000}"/>
    <cellStyle name="Total 2 5 8" xfId="8535" xr:uid="{00000000-0005-0000-0000-000016820000}"/>
    <cellStyle name="Total 2 5 8 2" xfId="26958" xr:uid="{00000000-0005-0000-0000-000017820000}"/>
    <cellStyle name="Total 2 5 8 3" xfId="21826" xr:uid="{00000000-0005-0000-0000-000018820000}"/>
    <cellStyle name="Total 2 5 9" xfId="4027" xr:uid="{00000000-0005-0000-0000-000019820000}"/>
    <cellStyle name="Total 2 5 9 2" xfId="22494" xr:uid="{00000000-0005-0000-0000-00001A820000}"/>
    <cellStyle name="Total 2 5 9 3" xfId="17709" xr:uid="{00000000-0005-0000-0000-00001B820000}"/>
    <cellStyle name="Total 2 6" xfId="3182" xr:uid="{00000000-0005-0000-0000-00001C820000}"/>
    <cellStyle name="Total 2 6 10" xfId="14917" xr:uid="{00000000-0005-0000-0000-00001D820000}"/>
    <cellStyle name="Total 2 6 10 2" xfId="36365" xr:uid="{00000000-0005-0000-0000-00001E820000}"/>
    <cellStyle name="Total 2 6 10 3" xfId="17025" xr:uid="{00000000-0005-0000-0000-00001F820000}"/>
    <cellStyle name="Total 2 6 11" xfId="15642" xr:uid="{00000000-0005-0000-0000-000020820000}"/>
    <cellStyle name="Total 2 6 11 2" xfId="37017" xr:uid="{00000000-0005-0000-0000-000021820000}"/>
    <cellStyle name="Total 2 6 12" xfId="27564" xr:uid="{00000000-0005-0000-0000-000022820000}"/>
    <cellStyle name="Total 2 6 13" xfId="38086" xr:uid="{00000000-0005-0000-0000-0000DC120000}"/>
    <cellStyle name="Total 2 6 2" xfId="3621" xr:uid="{00000000-0005-0000-0000-000023820000}"/>
    <cellStyle name="Total 2 6 2 10" xfId="14862" xr:uid="{00000000-0005-0000-0000-000024820000}"/>
    <cellStyle name="Total 2 6 2 10 2" xfId="36310" xr:uid="{00000000-0005-0000-0000-000025820000}"/>
    <cellStyle name="Total 2 6 2 11" xfId="27565" xr:uid="{00000000-0005-0000-0000-000026820000}"/>
    <cellStyle name="Total 2 6 2 2" xfId="5748" xr:uid="{00000000-0005-0000-0000-000027820000}"/>
    <cellStyle name="Total 2 6 2 2 2" xfId="10783" xr:uid="{00000000-0005-0000-0000-000028820000}"/>
    <cellStyle name="Total 2 6 2 2 2 2" xfId="33793" xr:uid="{00000000-0005-0000-0000-000029820000}"/>
    <cellStyle name="Total 2 6 2 2 2 3" xfId="24195" xr:uid="{00000000-0005-0000-0000-00002A820000}"/>
    <cellStyle name="Total 2 6 2 2 3" xfId="32336" xr:uid="{00000000-0005-0000-0000-00002B820000}"/>
    <cellStyle name="Total 2 6 2 2 4" xfId="29406" xr:uid="{00000000-0005-0000-0000-00002C820000}"/>
    <cellStyle name="Total 2 6 2 2 5" xfId="19306" xr:uid="{00000000-0005-0000-0000-00002D820000}"/>
    <cellStyle name="Total 2 6 2 3" xfId="4432" xr:uid="{00000000-0005-0000-0000-00002E820000}"/>
    <cellStyle name="Total 2 6 2 3 2" xfId="22892" xr:uid="{00000000-0005-0000-0000-00002F820000}"/>
    <cellStyle name="Total 2 6 2 3 3" xfId="18112" xr:uid="{00000000-0005-0000-0000-000030820000}"/>
    <cellStyle name="Total 2 6 2 4" xfId="7223" xr:uid="{00000000-0005-0000-0000-000031820000}"/>
    <cellStyle name="Total 2 6 2 4 2" xfId="25654" xr:uid="{00000000-0005-0000-0000-000032820000}"/>
    <cellStyle name="Total 2 6 2 4 3" xfId="20580" xr:uid="{00000000-0005-0000-0000-000033820000}"/>
    <cellStyle name="Total 2 6 2 5" xfId="7753" xr:uid="{00000000-0005-0000-0000-000034820000}"/>
    <cellStyle name="Total 2 6 2 5 2" xfId="26183" xr:uid="{00000000-0005-0000-0000-000035820000}"/>
    <cellStyle name="Total 2 6 2 5 3" xfId="21108" xr:uid="{00000000-0005-0000-0000-000036820000}"/>
    <cellStyle name="Total 2 6 2 6" xfId="8133" xr:uid="{00000000-0005-0000-0000-000037820000}"/>
    <cellStyle name="Total 2 6 2 6 2" xfId="26563" xr:uid="{00000000-0005-0000-0000-000038820000}"/>
    <cellStyle name="Total 2 6 2 6 3" xfId="21487" xr:uid="{00000000-0005-0000-0000-000039820000}"/>
    <cellStyle name="Total 2 6 2 7" xfId="8857" xr:uid="{00000000-0005-0000-0000-00003A820000}"/>
    <cellStyle name="Total 2 6 2 7 2" xfId="27277" xr:uid="{00000000-0005-0000-0000-00003B820000}"/>
    <cellStyle name="Total 2 6 2 7 3" xfId="22148" xr:uid="{00000000-0005-0000-0000-00003C820000}"/>
    <cellStyle name="Total 2 6 2 8" xfId="4349" xr:uid="{00000000-0005-0000-0000-00003D820000}"/>
    <cellStyle name="Total 2 6 2 8 2" xfId="22813" xr:uid="{00000000-0005-0000-0000-00003E820000}"/>
    <cellStyle name="Total 2 6 2 8 3" xfId="18031" xr:uid="{00000000-0005-0000-0000-00003F820000}"/>
    <cellStyle name="Total 2 6 2 9" xfId="14916" xr:uid="{00000000-0005-0000-0000-000040820000}"/>
    <cellStyle name="Total 2 6 2 9 2" xfId="36364" xr:uid="{00000000-0005-0000-0000-000041820000}"/>
    <cellStyle name="Total 2 6 2 9 3" xfId="17360" xr:uid="{00000000-0005-0000-0000-000042820000}"/>
    <cellStyle name="Total 2 6 3" xfId="5386" xr:uid="{00000000-0005-0000-0000-000043820000}"/>
    <cellStyle name="Total 2 6 3 2" xfId="11344" xr:uid="{00000000-0005-0000-0000-000044820000}"/>
    <cellStyle name="Total 2 6 3 2 2" xfId="34161" xr:uid="{00000000-0005-0000-0000-000045820000}"/>
    <cellStyle name="Total 2 6 3 2 3" xfId="28634" xr:uid="{00000000-0005-0000-0000-000046820000}"/>
    <cellStyle name="Total 2 6 3 2 4" xfId="23840" xr:uid="{00000000-0005-0000-0000-000047820000}"/>
    <cellStyle name="Total 2 6 3 3" xfId="32118" xr:uid="{00000000-0005-0000-0000-000048820000}"/>
    <cellStyle name="Total 2 6 3 4" xfId="27805" xr:uid="{00000000-0005-0000-0000-000049820000}"/>
    <cellStyle name="Total 2 6 3 5" xfId="18983" xr:uid="{00000000-0005-0000-0000-00004A820000}"/>
    <cellStyle name="Total 2 6 4" xfId="4953" xr:uid="{00000000-0005-0000-0000-00004B820000}"/>
    <cellStyle name="Total 2 6 4 2" xfId="10579" xr:uid="{00000000-0005-0000-0000-00004C820000}"/>
    <cellStyle name="Total 2 6 4 2 2" xfId="15453" xr:uid="{00000000-0005-0000-0000-00004D820000}"/>
    <cellStyle name="Total 2 6 4 2 2 2" xfId="36837" xr:uid="{00000000-0005-0000-0000-00004E820000}"/>
    <cellStyle name="Total 2 6 4 2 3" xfId="14753" xr:uid="{00000000-0005-0000-0000-00004F820000}"/>
    <cellStyle name="Total 2 6 4 2 3 2" xfId="36229" xr:uid="{00000000-0005-0000-0000-000050820000}"/>
    <cellStyle name="Total 2 6 4 2 4" xfId="15700" xr:uid="{00000000-0005-0000-0000-000051820000}"/>
    <cellStyle name="Total 2 6 4 2 5" xfId="33713" xr:uid="{00000000-0005-0000-0000-000052820000}"/>
    <cellStyle name="Total 2 6 4 2 6" xfId="23413" xr:uid="{00000000-0005-0000-0000-000053820000}"/>
    <cellStyle name="Total 2 6 4 3" xfId="13395" xr:uid="{00000000-0005-0000-0000-000054820000}"/>
    <cellStyle name="Total 2 6 4 3 2" xfId="35182" xr:uid="{00000000-0005-0000-0000-000055820000}"/>
    <cellStyle name="Total 2 6 4 4" xfId="16087" xr:uid="{00000000-0005-0000-0000-000056820000}"/>
    <cellStyle name="Total 2 6 4 4 2" xfId="37409" xr:uid="{00000000-0005-0000-0000-000057820000}"/>
    <cellStyle name="Total 2 6 4 5" xfId="15063" xr:uid="{00000000-0005-0000-0000-000058820000}"/>
    <cellStyle name="Total 2 6 4 5 2" xfId="36474" xr:uid="{00000000-0005-0000-0000-000059820000}"/>
    <cellStyle name="Total 2 6 4 6" xfId="16151" xr:uid="{00000000-0005-0000-0000-00005A820000}"/>
    <cellStyle name="Total 2 6 4 7" xfId="31904" xr:uid="{00000000-0005-0000-0000-00005B820000}"/>
    <cellStyle name="Total 2 6 4 8" xfId="28156" xr:uid="{00000000-0005-0000-0000-00005C820000}"/>
    <cellStyle name="Total 2 6 4 9" xfId="18567" xr:uid="{00000000-0005-0000-0000-00005D820000}"/>
    <cellStyle name="Total 2 6 5" xfId="5920" xr:uid="{00000000-0005-0000-0000-00005E820000}"/>
    <cellStyle name="Total 2 6 5 2" xfId="10993" xr:uid="{00000000-0005-0000-0000-00005F820000}"/>
    <cellStyle name="Total 2 6 5 2 2" xfId="33869" xr:uid="{00000000-0005-0000-0000-000060820000}"/>
    <cellStyle name="Total 2 6 5 2 3" xfId="24365" xr:uid="{00000000-0005-0000-0000-000061820000}"/>
    <cellStyle name="Total 2 6 5 3" xfId="32423" xr:uid="{00000000-0005-0000-0000-000062820000}"/>
    <cellStyle name="Total 2 6 5 4" xfId="29405" xr:uid="{00000000-0005-0000-0000-000063820000}"/>
    <cellStyle name="Total 2 6 5 5" xfId="19473" xr:uid="{00000000-0005-0000-0000-000064820000}"/>
    <cellStyle name="Total 2 6 6" xfId="7436" xr:uid="{00000000-0005-0000-0000-000065820000}"/>
    <cellStyle name="Total 2 6 6 2" xfId="10201" xr:uid="{00000000-0005-0000-0000-000066820000}"/>
    <cellStyle name="Total 2 6 6 2 2" xfId="33500" xr:uid="{00000000-0005-0000-0000-000067820000}"/>
    <cellStyle name="Total 2 6 6 2 3" xfId="25867" xr:uid="{00000000-0005-0000-0000-000068820000}"/>
    <cellStyle name="Total 2 6 6 3" xfId="32856" xr:uid="{00000000-0005-0000-0000-000069820000}"/>
    <cellStyle name="Total 2 6 6 4" xfId="20791" xr:uid="{00000000-0005-0000-0000-00006A820000}"/>
    <cellStyle name="Total 2 6 7" xfId="7815" xr:uid="{00000000-0005-0000-0000-00006B820000}"/>
    <cellStyle name="Total 2 6 7 2" xfId="26245" xr:uid="{00000000-0005-0000-0000-00006C820000}"/>
    <cellStyle name="Total 2 6 7 3" xfId="21169" xr:uid="{00000000-0005-0000-0000-00006D820000}"/>
    <cellStyle name="Total 2 6 8" xfId="8536" xr:uid="{00000000-0005-0000-0000-00006E820000}"/>
    <cellStyle name="Total 2 6 8 2" xfId="26959" xr:uid="{00000000-0005-0000-0000-00006F820000}"/>
    <cellStyle name="Total 2 6 8 3" xfId="21827" xr:uid="{00000000-0005-0000-0000-000070820000}"/>
    <cellStyle name="Total 2 6 9" xfId="4028" xr:uid="{00000000-0005-0000-0000-000071820000}"/>
    <cellStyle name="Total 2 6 9 2" xfId="22495" xr:uid="{00000000-0005-0000-0000-000072820000}"/>
    <cellStyle name="Total 2 6 9 3" xfId="17710" xr:uid="{00000000-0005-0000-0000-000073820000}"/>
    <cellStyle name="Total 2 7" xfId="3183" xr:uid="{00000000-0005-0000-0000-000074820000}"/>
    <cellStyle name="Total 2 7 10" xfId="14915" xr:uid="{00000000-0005-0000-0000-000075820000}"/>
    <cellStyle name="Total 2 7 10 2" xfId="36363" xr:uid="{00000000-0005-0000-0000-000076820000}"/>
    <cellStyle name="Total 2 7 10 3" xfId="17026" xr:uid="{00000000-0005-0000-0000-000077820000}"/>
    <cellStyle name="Total 2 7 11" xfId="14597" xr:uid="{00000000-0005-0000-0000-000078820000}"/>
    <cellStyle name="Total 2 7 11 2" xfId="36102" xr:uid="{00000000-0005-0000-0000-000079820000}"/>
    <cellStyle name="Total 2 7 12" xfId="27566" xr:uid="{00000000-0005-0000-0000-00007A820000}"/>
    <cellStyle name="Total 2 7 13" xfId="38087" xr:uid="{00000000-0005-0000-0000-0000DE120000}"/>
    <cellStyle name="Total 2 7 2" xfId="3622" xr:uid="{00000000-0005-0000-0000-00007B820000}"/>
    <cellStyle name="Total 2 7 2 10" xfId="15072" xr:uid="{00000000-0005-0000-0000-00007C820000}"/>
    <cellStyle name="Total 2 7 2 10 2" xfId="36483" xr:uid="{00000000-0005-0000-0000-00007D820000}"/>
    <cellStyle name="Total 2 7 2 11" xfId="27567" xr:uid="{00000000-0005-0000-0000-00007E820000}"/>
    <cellStyle name="Total 2 7 2 2" xfId="5749" xr:uid="{00000000-0005-0000-0000-00007F820000}"/>
    <cellStyle name="Total 2 7 2 2 2" xfId="10992" xr:uid="{00000000-0005-0000-0000-000080820000}"/>
    <cellStyle name="Total 2 7 2 2 2 2" xfId="33868" xr:uid="{00000000-0005-0000-0000-000081820000}"/>
    <cellStyle name="Total 2 7 2 2 2 3" xfId="24196" xr:uid="{00000000-0005-0000-0000-000082820000}"/>
    <cellStyle name="Total 2 7 2 2 3" xfId="32337" xr:uid="{00000000-0005-0000-0000-000083820000}"/>
    <cellStyle name="Total 2 7 2 2 4" xfId="29408" xr:uid="{00000000-0005-0000-0000-000084820000}"/>
    <cellStyle name="Total 2 7 2 2 5" xfId="19307" xr:uid="{00000000-0005-0000-0000-000085820000}"/>
    <cellStyle name="Total 2 7 2 3" xfId="4440" xr:uid="{00000000-0005-0000-0000-000086820000}"/>
    <cellStyle name="Total 2 7 2 3 2" xfId="22900" xr:uid="{00000000-0005-0000-0000-000087820000}"/>
    <cellStyle name="Total 2 7 2 3 3" xfId="18119" xr:uid="{00000000-0005-0000-0000-000088820000}"/>
    <cellStyle name="Total 2 7 2 4" xfId="7224" xr:uid="{00000000-0005-0000-0000-000089820000}"/>
    <cellStyle name="Total 2 7 2 4 2" xfId="25655" xr:uid="{00000000-0005-0000-0000-00008A820000}"/>
    <cellStyle name="Total 2 7 2 4 3" xfId="20581" xr:uid="{00000000-0005-0000-0000-00008B820000}"/>
    <cellStyle name="Total 2 7 2 5" xfId="7754" xr:uid="{00000000-0005-0000-0000-00008C820000}"/>
    <cellStyle name="Total 2 7 2 5 2" xfId="26184" xr:uid="{00000000-0005-0000-0000-00008D820000}"/>
    <cellStyle name="Total 2 7 2 5 3" xfId="21109" xr:uid="{00000000-0005-0000-0000-00008E820000}"/>
    <cellStyle name="Total 2 7 2 6" xfId="8134" xr:uid="{00000000-0005-0000-0000-00008F820000}"/>
    <cellStyle name="Total 2 7 2 6 2" xfId="26564" xr:uid="{00000000-0005-0000-0000-000090820000}"/>
    <cellStyle name="Total 2 7 2 6 3" xfId="21488" xr:uid="{00000000-0005-0000-0000-000091820000}"/>
    <cellStyle name="Total 2 7 2 7" xfId="8858" xr:uid="{00000000-0005-0000-0000-000092820000}"/>
    <cellStyle name="Total 2 7 2 7 2" xfId="27278" xr:uid="{00000000-0005-0000-0000-000093820000}"/>
    <cellStyle name="Total 2 7 2 7 3" xfId="22149" xr:uid="{00000000-0005-0000-0000-000094820000}"/>
    <cellStyle name="Total 2 7 2 8" xfId="4350" xr:uid="{00000000-0005-0000-0000-000095820000}"/>
    <cellStyle name="Total 2 7 2 8 2" xfId="22814" xr:uid="{00000000-0005-0000-0000-000096820000}"/>
    <cellStyle name="Total 2 7 2 8 3" xfId="18032" xr:uid="{00000000-0005-0000-0000-000097820000}"/>
    <cellStyle name="Total 2 7 2 9" xfId="14914" xr:uid="{00000000-0005-0000-0000-000098820000}"/>
    <cellStyle name="Total 2 7 2 9 2" xfId="36362" xr:uid="{00000000-0005-0000-0000-000099820000}"/>
    <cellStyle name="Total 2 7 2 9 3" xfId="17361" xr:uid="{00000000-0005-0000-0000-00009A820000}"/>
    <cellStyle name="Total 2 7 3" xfId="5387" xr:uid="{00000000-0005-0000-0000-00009B820000}"/>
    <cellStyle name="Total 2 7 3 2" xfId="11345" xr:uid="{00000000-0005-0000-0000-00009C820000}"/>
    <cellStyle name="Total 2 7 3 2 2" xfId="34162" xr:uid="{00000000-0005-0000-0000-00009D820000}"/>
    <cellStyle name="Total 2 7 3 2 3" xfId="28635" xr:uid="{00000000-0005-0000-0000-00009E820000}"/>
    <cellStyle name="Total 2 7 3 2 4" xfId="23841" xr:uid="{00000000-0005-0000-0000-00009F820000}"/>
    <cellStyle name="Total 2 7 3 3" xfId="32119" xr:uid="{00000000-0005-0000-0000-0000A0820000}"/>
    <cellStyle name="Total 2 7 3 4" xfId="27806" xr:uid="{00000000-0005-0000-0000-0000A1820000}"/>
    <cellStyle name="Total 2 7 3 5" xfId="18984" xr:uid="{00000000-0005-0000-0000-0000A2820000}"/>
    <cellStyle name="Total 2 7 4" xfId="5592" xr:uid="{00000000-0005-0000-0000-0000A3820000}"/>
    <cellStyle name="Total 2 7 4 2" xfId="10580" xr:uid="{00000000-0005-0000-0000-0000A4820000}"/>
    <cellStyle name="Total 2 7 4 2 2" xfId="15454" xr:uid="{00000000-0005-0000-0000-0000A5820000}"/>
    <cellStyle name="Total 2 7 4 2 2 2" xfId="36838" xr:uid="{00000000-0005-0000-0000-0000A6820000}"/>
    <cellStyle name="Total 2 7 4 2 3" xfId="14752" xr:uid="{00000000-0005-0000-0000-0000A7820000}"/>
    <cellStyle name="Total 2 7 4 2 3 2" xfId="36228" xr:uid="{00000000-0005-0000-0000-0000A8820000}"/>
    <cellStyle name="Total 2 7 4 2 4" xfId="16531" xr:uid="{00000000-0005-0000-0000-0000A9820000}"/>
    <cellStyle name="Total 2 7 4 2 5" xfId="33714" xr:uid="{00000000-0005-0000-0000-0000AA820000}"/>
    <cellStyle name="Total 2 7 4 2 6" xfId="24045" xr:uid="{00000000-0005-0000-0000-0000AB820000}"/>
    <cellStyle name="Total 2 7 4 3" xfId="13396" xr:uid="{00000000-0005-0000-0000-0000AC820000}"/>
    <cellStyle name="Total 2 7 4 3 2" xfId="35183" xr:uid="{00000000-0005-0000-0000-0000AD820000}"/>
    <cellStyle name="Total 2 7 4 4" xfId="16088" xr:uid="{00000000-0005-0000-0000-0000AE820000}"/>
    <cellStyle name="Total 2 7 4 4 2" xfId="37410" xr:uid="{00000000-0005-0000-0000-0000AF820000}"/>
    <cellStyle name="Total 2 7 4 5" xfId="14416" xr:uid="{00000000-0005-0000-0000-0000B0820000}"/>
    <cellStyle name="Total 2 7 4 5 2" xfId="35944" xr:uid="{00000000-0005-0000-0000-0000B1820000}"/>
    <cellStyle name="Total 2 7 4 6" xfId="14404" xr:uid="{00000000-0005-0000-0000-0000B2820000}"/>
    <cellStyle name="Total 2 7 4 7" xfId="32206" xr:uid="{00000000-0005-0000-0000-0000B3820000}"/>
    <cellStyle name="Total 2 7 4 8" xfId="28157" xr:uid="{00000000-0005-0000-0000-0000B4820000}"/>
    <cellStyle name="Total 2 7 4 9" xfId="19179" xr:uid="{00000000-0005-0000-0000-0000B5820000}"/>
    <cellStyle name="Total 2 7 5" xfId="5919" xr:uid="{00000000-0005-0000-0000-0000B6820000}"/>
    <cellStyle name="Total 2 7 5 2" xfId="10994" xr:uid="{00000000-0005-0000-0000-0000B7820000}"/>
    <cellStyle name="Total 2 7 5 2 2" xfId="33870" xr:uid="{00000000-0005-0000-0000-0000B8820000}"/>
    <cellStyle name="Total 2 7 5 2 3" xfId="24364" xr:uid="{00000000-0005-0000-0000-0000B9820000}"/>
    <cellStyle name="Total 2 7 5 3" xfId="32422" xr:uid="{00000000-0005-0000-0000-0000BA820000}"/>
    <cellStyle name="Total 2 7 5 4" xfId="29407" xr:uid="{00000000-0005-0000-0000-0000BB820000}"/>
    <cellStyle name="Total 2 7 5 5" xfId="19472" xr:uid="{00000000-0005-0000-0000-0000BC820000}"/>
    <cellStyle name="Total 2 7 6" xfId="7437" xr:uid="{00000000-0005-0000-0000-0000BD820000}"/>
    <cellStyle name="Total 2 7 6 2" xfId="10202" xr:uid="{00000000-0005-0000-0000-0000BE820000}"/>
    <cellStyle name="Total 2 7 6 2 2" xfId="33501" xr:uid="{00000000-0005-0000-0000-0000BF820000}"/>
    <cellStyle name="Total 2 7 6 2 3" xfId="25868" xr:uid="{00000000-0005-0000-0000-0000C0820000}"/>
    <cellStyle name="Total 2 7 6 3" xfId="32857" xr:uid="{00000000-0005-0000-0000-0000C1820000}"/>
    <cellStyle name="Total 2 7 6 4" xfId="20792" xr:uid="{00000000-0005-0000-0000-0000C2820000}"/>
    <cellStyle name="Total 2 7 7" xfId="7816" xr:uid="{00000000-0005-0000-0000-0000C3820000}"/>
    <cellStyle name="Total 2 7 7 2" xfId="26246" xr:uid="{00000000-0005-0000-0000-0000C4820000}"/>
    <cellStyle name="Total 2 7 7 3" xfId="21170" xr:uid="{00000000-0005-0000-0000-0000C5820000}"/>
    <cellStyle name="Total 2 7 8" xfId="8537" xr:uid="{00000000-0005-0000-0000-0000C6820000}"/>
    <cellStyle name="Total 2 7 8 2" xfId="26960" xr:uid="{00000000-0005-0000-0000-0000C7820000}"/>
    <cellStyle name="Total 2 7 8 3" xfId="21828" xr:uid="{00000000-0005-0000-0000-0000C8820000}"/>
    <cellStyle name="Total 2 7 9" xfId="4029" xr:uid="{00000000-0005-0000-0000-0000C9820000}"/>
    <cellStyle name="Total 2 7 9 2" xfId="22496" xr:uid="{00000000-0005-0000-0000-0000CA820000}"/>
    <cellStyle name="Total 2 7 9 3" xfId="17711" xr:uid="{00000000-0005-0000-0000-0000CB820000}"/>
    <cellStyle name="Total 2 8" xfId="3184" xr:uid="{00000000-0005-0000-0000-0000CC820000}"/>
    <cellStyle name="Total 2 8 10" xfId="14913" xr:uid="{00000000-0005-0000-0000-0000CD820000}"/>
    <cellStyle name="Total 2 8 10 2" xfId="36361" xr:uid="{00000000-0005-0000-0000-0000CE820000}"/>
    <cellStyle name="Total 2 8 10 3" xfId="17027" xr:uid="{00000000-0005-0000-0000-0000CF820000}"/>
    <cellStyle name="Total 2 8 11" xfId="14718" xr:uid="{00000000-0005-0000-0000-0000D0820000}"/>
    <cellStyle name="Total 2 8 11 2" xfId="36198" xr:uid="{00000000-0005-0000-0000-0000D1820000}"/>
    <cellStyle name="Total 2 8 12" xfId="27568" xr:uid="{00000000-0005-0000-0000-0000D2820000}"/>
    <cellStyle name="Total 2 8 13" xfId="38088" xr:uid="{00000000-0005-0000-0000-0000E0120000}"/>
    <cellStyle name="Total 2 8 2" xfId="3623" xr:uid="{00000000-0005-0000-0000-0000D3820000}"/>
    <cellStyle name="Total 2 8 2 10" xfId="16473" xr:uid="{00000000-0005-0000-0000-0000D4820000}"/>
    <cellStyle name="Total 2 8 2 10 2" xfId="37727" xr:uid="{00000000-0005-0000-0000-0000D5820000}"/>
    <cellStyle name="Total 2 8 2 11" xfId="27569" xr:uid="{00000000-0005-0000-0000-0000D6820000}"/>
    <cellStyle name="Total 2 8 2 2" xfId="5750" xr:uid="{00000000-0005-0000-0000-0000D7820000}"/>
    <cellStyle name="Total 2 8 2 2 2" xfId="10995" xr:uid="{00000000-0005-0000-0000-0000D8820000}"/>
    <cellStyle name="Total 2 8 2 2 2 2" xfId="33871" xr:uid="{00000000-0005-0000-0000-0000D9820000}"/>
    <cellStyle name="Total 2 8 2 2 2 3" xfId="24197" xr:uid="{00000000-0005-0000-0000-0000DA820000}"/>
    <cellStyle name="Total 2 8 2 2 3" xfId="32338" xr:uid="{00000000-0005-0000-0000-0000DB820000}"/>
    <cellStyle name="Total 2 8 2 2 4" xfId="29410" xr:uid="{00000000-0005-0000-0000-0000DC820000}"/>
    <cellStyle name="Total 2 8 2 2 5" xfId="19308" xr:uid="{00000000-0005-0000-0000-0000DD820000}"/>
    <cellStyle name="Total 2 8 2 3" xfId="4429" xr:uid="{00000000-0005-0000-0000-0000DE820000}"/>
    <cellStyle name="Total 2 8 2 3 2" xfId="22889" xr:uid="{00000000-0005-0000-0000-0000DF820000}"/>
    <cellStyle name="Total 2 8 2 3 3" xfId="18109" xr:uid="{00000000-0005-0000-0000-0000E0820000}"/>
    <cellStyle name="Total 2 8 2 4" xfId="7225" xr:uid="{00000000-0005-0000-0000-0000E1820000}"/>
    <cellStyle name="Total 2 8 2 4 2" xfId="25656" xr:uid="{00000000-0005-0000-0000-0000E2820000}"/>
    <cellStyle name="Total 2 8 2 4 3" xfId="20582" xr:uid="{00000000-0005-0000-0000-0000E3820000}"/>
    <cellStyle name="Total 2 8 2 5" xfId="7755" xr:uid="{00000000-0005-0000-0000-0000E4820000}"/>
    <cellStyle name="Total 2 8 2 5 2" xfId="26185" xr:uid="{00000000-0005-0000-0000-0000E5820000}"/>
    <cellStyle name="Total 2 8 2 5 3" xfId="21110" xr:uid="{00000000-0005-0000-0000-0000E6820000}"/>
    <cellStyle name="Total 2 8 2 6" xfId="8135" xr:uid="{00000000-0005-0000-0000-0000E7820000}"/>
    <cellStyle name="Total 2 8 2 6 2" xfId="26565" xr:uid="{00000000-0005-0000-0000-0000E8820000}"/>
    <cellStyle name="Total 2 8 2 6 3" xfId="21489" xr:uid="{00000000-0005-0000-0000-0000E9820000}"/>
    <cellStyle name="Total 2 8 2 7" xfId="8859" xr:uid="{00000000-0005-0000-0000-0000EA820000}"/>
    <cellStyle name="Total 2 8 2 7 2" xfId="27279" xr:uid="{00000000-0005-0000-0000-0000EB820000}"/>
    <cellStyle name="Total 2 8 2 7 3" xfId="22150" xr:uid="{00000000-0005-0000-0000-0000EC820000}"/>
    <cellStyle name="Total 2 8 2 8" xfId="4351" xr:uid="{00000000-0005-0000-0000-0000ED820000}"/>
    <cellStyle name="Total 2 8 2 8 2" xfId="22815" xr:uid="{00000000-0005-0000-0000-0000EE820000}"/>
    <cellStyle name="Total 2 8 2 8 3" xfId="18033" xr:uid="{00000000-0005-0000-0000-0000EF820000}"/>
    <cellStyle name="Total 2 8 2 9" xfId="14912" xr:uid="{00000000-0005-0000-0000-0000F0820000}"/>
    <cellStyle name="Total 2 8 2 9 2" xfId="36360" xr:uid="{00000000-0005-0000-0000-0000F1820000}"/>
    <cellStyle name="Total 2 8 2 9 3" xfId="17362" xr:uid="{00000000-0005-0000-0000-0000F2820000}"/>
    <cellStyle name="Total 2 8 3" xfId="5388" xr:uid="{00000000-0005-0000-0000-0000F3820000}"/>
    <cellStyle name="Total 2 8 3 2" xfId="11346" xr:uid="{00000000-0005-0000-0000-0000F4820000}"/>
    <cellStyle name="Total 2 8 3 2 2" xfId="34163" xr:uid="{00000000-0005-0000-0000-0000F5820000}"/>
    <cellStyle name="Total 2 8 3 2 3" xfId="28636" xr:uid="{00000000-0005-0000-0000-0000F6820000}"/>
    <cellStyle name="Total 2 8 3 2 4" xfId="23842" xr:uid="{00000000-0005-0000-0000-0000F7820000}"/>
    <cellStyle name="Total 2 8 3 3" xfId="32120" xr:uid="{00000000-0005-0000-0000-0000F8820000}"/>
    <cellStyle name="Total 2 8 3 4" xfId="27807" xr:uid="{00000000-0005-0000-0000-0000F9820000}"/>
    <cellStyle name="Total 2 8 3 5" xfId="18985" xr:uid="{00000000-0005-0000-0000-0000FA820000}"/>
    <cellStyle name="Total 2 8 4" xfId="4954" xr:uid="{00000000-0005-0000-0000-0000FB820000}"/>
    <cellStyle name="Total 2 8 4 2" xfId="10581" xr:uid="{00000000-0005-0000-0000-0000FC820000}"/>
    <cellStyle name="Total 2 8 4 2 2" xfId="15455" xr:uid="{00000000-0005-0000-0000-0000FD820000}"/>
    <cellStyle name="Total 2 8 4 2 2 2" xfId="36839" xr:uid="{00000000-0005-0000-0000-0000FE820000}"/>
    <cellStyle name="Total 2 8 4 2 3" xfId="15984" xr:uid="{00000000-0005-0000-0000-0000FF820000}"/>
    <cellStyle name="Total 2 8 4 2 3 2" xfId="37346" xr:uid="{00000000-0005-0000-0000-000000830000}"/>
    <cellStyle name="Total 2 8 4 2 4" xfId="16298" xr:uid="{00000000-0005-0000-0000-000001830000}"/>
    <cellStyle name="Total 2 8 4 2 5" xfId="33715" xr:uid="{00000000-0005-0000-0000-000002830000}"/>
    <cellStyle name="Total 2 8 4 2 6" xfId="23414" xr:uid="{00000000-0005-0000-0000-000003830000}"/>
    <cellStyle name="Total 2 8 4 3" xfId="13397" xr:uid="{00000000-0005-0000-0000-000004830000}"/>
    <cellStyle name="Total 2 8 4 3 2" xfId="35184" xr:uid="{00000000-0005-0000-0000-000005830000}"/>
    <cellStyle name="Total 2 8 4 4" xfId="16089" xr:uid="{00000000-0005-0000-0000-000006830000}"/>
    <cellStyle name="Total 2 8 4 4 2" xfId="37411" xr:uid="{00000000-0005-0000-0000-000007830000}"/>
    <cellStyle name="Total 2 8 4 5" xfId="15062" xr:uid="{00000000-0005-0000-0000-000008830000}"/>
    <cellStyle name="Total 2 8 4 5 2" xfId="36473" xr:uid="{00000000-0005-0000-0000-000009830000}"/>
    <cellStyle name="Total 2 8 4 6" xfId="14777" xr:uid="{00000000-0005-0000-0000-00000A830000}"/>
    <cellStyle name="Total 2 8 4 7" xfId="31905" xr:uid="{00000000-0005-0000-0000-00000B830000}"/>
    <cellStyle name="Total 2 8 4 8" xfId="28158" xr:uid="{00000000-0005-0000-0000-00000C830000}"/>
    <cellStyle name="Total 2 8 4 9" xfId="18568" xr:uid="{00000000-0005-0000-0000-00000D830000}"/>
    <cellStyle name="Total 2 8 5" xfId="5918" xr:uid="{00000000-0005-0000-0000-00000E830000}"/>
    <cellStyle name="Total 2 8 5 2" xfId="10784" xr:uid="{00000000-0005-0000-0000-00000F830000}"/>
    <cellStyle name="Total 2 8 5 2 2" xfId="33794" xr:uid="{00000000-0005-0000-0000-000010830000}"/>
    <cellStyle name="Total 2 8 5 2 3" xfId="24363" xr:uid="{00000000-0005-0000-0000-000011830000}"/>
    <cellStyle name="Total 2 8 5 3" xfId="32421" xr:uid="{00000000-0005-0000-0000-000012830000}"/>
    <cellStyle name="Total 2 8 5 4" xfId="29409" xr:uid="{00000000-0005-0000-0000-000013830000}"/>
    <cellStyle name="Total 2 8 5 5" xfId="19471" xr:uid="{00000000-0005-0000-0000-000014830000}"/>
    <cellStyle name="Total 2 8 6" xfId="7438" xr:uid="{00000000-0005-0000-0000-000015830000}"/>
    <cellStyle name="Total 2 8 6 2" xfId="10203" xr:uid="{00000000-0005-0000-0000-000016830000}"/>
    <cellStyle name="Total 2 8 6 2 2" xfId="33502" xr:uid="{00000000-0005-0000-0000-000017830000}"/>
    <cellStyle name="Total 2 8 6 2 3" xfId="25869" xr:uid="{00000000-0005-0000-0000-000018830000}"/>
    <cellStyle name="Total 2 8 6 3" xfId="32858" xr:uid="{00000000-0005-0000-0000-000019830000}"/>
    <cellStyle name="Total 2 8 6 4" xfId="20793" xr:uid="{00000000-0005-0000-0000-00001A830000}"/>
    <cellStyle name="Total 2 8 7" xfId="7817" xr:uid="{00000000-0005-0000-0000-00001B830000}"/>
    <cellStyle name="Total 2 8 7 2" xfId="26247" xr:uid="{00000000-0005-0000-0000-00001C830000}"/>
    <cellStyle name="Total 2 8 7 3" xfId="21171" xr:uid="{00000000-0005-0000-0000-00001D830000}"/>
    <cellStyle name="Total 2 8 8" xfId="8538" xr:uid="{00000000-0005-0000-0000-00001E830000}"/>
    <cellStyle name="Total 2 8 8 2" xfId="26961" xr:uid="{00000000-0005-0000-0000-00001F830000}"/>
    <cellStyle name="Total 2 8 8 3" xfId="21829" xr:uid="{00000000-0005-0000-0000-000020830000}"/>
    <cellStyle name="Total 2 8 9" xfId="4030" xr:uid="{00000000-0005-0000-0000-000021830000}"/>
    <cellStyle name="Total 2 8 9 2" xfId="22497" xr:uid="{00000000-0005-0000-0000-000022830000}"/>
    <cellStyle name="Total 2 8 9 3" xfId="17712" xr:uid="{00000000-0005-0000-0000-000023830000}"/>
    <cellStyle name="Total 2 9" xfId="3185" xr:uid="{00000000-0005-0000-0000-000024830000}"/>
    <cellStyle name="Total 2 9 10" xfId="15274" xr:uid="{00000000-0005-0000-0000-000025830000}"/>
    <cellStyle name="Total 2 9 10 2" xfId="36679" xr:uid="{00000000-0005-0000-0000-000026830000}"/>
    <cellStyle name="Total 2 9 10 3" xfId="17028" xr:uid="{00000000-0005-0000-0000-000027830000}"/>
    <cellStyle name="Total 2 9 11" xfId="15982" xr:uid="{00000000-0005-0000-0000-000028830000}"/>
    <cellStyle name="Total 2 9 11 2" xfId="37344" xr:uid="{00000000-0005-0000-0000-000029830000}"/>
    <cellStyle name="Total 2 9 12" xfId="27570" xr:uid="{00000000-0005-0000-0000-00002A830000}"/>
    <cellStyle name="Total 2 9 13" xfId="38089" xr:uid="{00000000-0005-0000-0000-0000E2120000}"/>
    <cellStyle name="Total 2 9 2" xfId="3624" xr:uid="{00000000-0005-0000-0000-00002B830000}"/>
    <cellStyle name="Total 2 9 2 10" xfId="14669" xr:uid="{00000000-0005-0000-0000-00002C830000}"/>
    <cellStyle name="Total 2 9 2 10 2" xfId="36152" xr:uid="{00000000-0005-0000-0000-00002D830000}"/>
    <cellStyle name="Total 2 9 2 11" xfId="27571" xr:uid="{00000000-0005-0000-0000-00002E830000}"/>
    <cellStyle name="Total 2 9 2 2" xfId="5751" xr:uid="{00000000-0005-0000-0000-00002F830000}"/>
    <cellStyle name="Total 2 9 2 2 2" xfId="10996" xr:uid="{00000000-0005-0000-0000-000030830000}"/>
    <cellStyle name="Total 2 9 2 2 2 2" xfId="33872" xr:uid="{00000000-0005-0000-0000-000031830000}"/>
    <cellStyle name="Total 2 9 2 2 2 3" xfId="24198" xr:uid="{00000000-0005-0000-0000-000032830000}"/>
    <cellStyle name="Total 2 9 2 2 3" xfId="32339" xr:uid="{00000000-0005-0000-0000-000033830000}"/>
    <cellStyle name="Total 2 9 2 2 4" xfId="29412" xr:uid="{00000000-0005-0000-0000-000034830000}"/>
    <cellStyle name="Total 2 9 2 2 5" xfId="19309" xr:uid="{00000000-0005-0000-0000-000035830000}"/>
    <cellStyle name="Total 2 9 2 3" xfId="4430" xr:uid="{00000000-0005-0000-0000-000036830000}"/>
    <cellStyle name="Total 2 9 2 3 2" xfId="22890" xr:uid="{00000000-0005-0000-0000-000037830000}"/>
    <cellStyle name="Total 2 9 2 3 3" xfId="18110" xr:uid="{00000000-0005-0000-0000-000038830000}"/>
    <cellStyle name="Total 2 9 2 4" xfId="7226" xr:uid="{00000000-0005-0000-0000-000039830000}"/>
    <cellStyle name="Total 2 9 2 4 2" xfId="25657" xr:uid="{00000000-0005-0000-0000-00003A830000}"/>
    <cellStyle name="Total 2 9 2 4 3" xfId="20583" xr:uid="{00000000-0005-0000-0000-00003B830000}"/>
    <cellStyle name="Total 2 9 2 5" xfId="7756" xr:uid="{00000000-0005-0000-0000-00003C830000}"/>
    <cellStyle name="Total 2 9 2 5 2" xfId="26186" xr:uid="{00000000-0005-0000-0000-00003D830000}"/>
    <cellStyle name="Total 2 9 2 5 3" xfId="21111" xr:uid="{00000000-0005-0000-0000-00003E830000}"/>
    <cellStyle name="Total 2 9 2 6" xfId="8136" xr:uid="{00000000-0005-0000-0000-00003F830000}"/>
    <cellStyle name="Total 2 9 2 6 2" xfId="26566" xr:uid="{00000000-0005-0000-0000-000040830000}"/>
    <cellStyle name="Total 2 9 2 6 3" xfId="21490" xr:uid="{00000000-0005-0000-0000-000041830000}"/>
    <cellStyle name="Total 2 9 2 7" xfId="8860" xr:uid="{00000000-0005-0000-0000-000042830000}"/>
    <cellStyle name="Total 2 9 2 7 2" xfId="27280" xr:uid="{00000000-0005-0000-0000-000043830000}"/>
    <cellStyle name="Total 2 9 2 7 3" xfId="22151" xr:uid="{00000000-0005-0000-0000-000044830000}"/>
    <cellStyle name="Total 2 9 2 8" xfId="4352" xr:uid="{00000000-0005-0000-0000-000045830000}"/>
    <cellStyle name="Total 2 9 2 8 2" xfId="22816" xr:uid="{00000000-0005-0000-0000-000046830000}"/>
    <cellStyle name="Total 2 9 2 8 3" xfId="18034" xr:uid="{00000000-0005-0000-0000-000047830000}"/>
    <cellStyle name="Total 2 9 2 9" xfId="15273" xr:uid="{00000000-0005-0000-0000-000048830000}"/>
    <cellStyle name="Total 2 9 2 9 2" xfId="36678" xr:uid="{00000000-0005-0000-0000-000049830000}"/>
    <cellStyle name="Total 2 9 2 9 3" xfId="17363" xr:uid="{00000000-0005-0000-0000-00004A830000}"/>
    <cellStyle name="Total 2 9 3" xfId="5389" xr:uid="{00000000-0005-0000-0000-00004B830000}"/>
    <cellStyle name="Total 2 9 3 2" xfId="11347" xr:uid="{00000000-0005-0000-0000-00004C830000}"/>
    <cellStyle name="Total 2 9 3 2 2" xfId="34164" xr:uid="{00000000-0005-0000-0000-00004D830000}"/>
    <cellStyle name="Total 2 9 3 2 3" xfId="28637" xr:uid="{00000000-0005-0000-0000-00004E830000}"/>
    <cellStyle name="Total 2 9 3 2 4" xfId="23843" xr:uid="{00000000-0005-0000-0000-00004F830000}"/>
    <cellStyle name="Total 2 9 3 3" xfId="32121" xr:uid="{00000000-0005-0000-0000-000050830000}"/>
    <cellStyle name="Total 2 9 3 4" xfId="27808" xr:uid="{00000000-0005-0000-0000-000051830000}"/>
    <cellStyle name="Total 2 9 3 5" xfId="18986" xr:uid="{00000000-0005-0000-0000-000052830000}"/>
    <cellStyle name="Total 2 9 4" xfId="5593" xr:uid="{00000000-0005-0000-0000-000053830000}"/>
    <cellStyle name="Total 2 9 4 2" xfId="10582" xr:uid="{00000000-0005-0000-0000-000054830000}"/>
    <cellStyle name="Total 2 9 4 2 2" xfId="15456" xr:uid="{00000000-0005-0000-0000-000055830000}"/>
    <cellStyle name="Total 2 9 4 2 2 2" xfId="36840" xr:uid="{00000000-0005-0000-0000-000056830000}"/>
    <cellStyle name="Total 2 9 4 2 3" xfId="14751" xr:uid="{00000000-0005-0000-0000-000057830000}"/>
    <cellStyle name="Total 2 9 4 2 3 2" xfId="36227" xr:uid="{00000000-0005-0000-0000-000058830000}"/>
    <cellStyle name="Total 2 9 4 2 4" xfId="14596" xr:uid="{00000000-0005-0000-0000-000059830000}"/>
    <cellStyle name="Total 2 9 4 2 5" xfId="33716" xr:uid="{00000000-0005-0000-0000-00005A830000}"/>
    <cellStyle name="Total 2 9 4 2 6" xfId="24046" xr:uid="{00000000-0005-0000-0000-00005B830000}"/>
    <cellStyle name="Total 2 9 4 3" xfId="13398" xr:uid="{00000000-0005-0000-0000-00005C830000}"/>
    <cellStyle name="Total 2 9 4 3 2" xfId="35185" xr:uid="{00000000-0005-0000-0000-00005D830000}"/>
    <cellStyle name="Total 2 9 4 4" xfId="16090" xr:uid="{00000000-0005-0000-0000-00005E830000}"/>
    <cellStyle name="Total 2 9 4 4 2" xfId="37412" xr:uid="{00000000-0005-0000-0000-00005F830000}"/>
    <cellStyle name="Total 2 9 4 5" xfId="14415" xr:uid="{00000000-0005-0000-0000-000060830000}"/>
    <cellStyle name="Total 2 9 4 5 2" xfId="35943" xr:uid="{00000000-0005-0000-0000-000061830000}"/>
    <cellStyle name="Total 2 9 4 6" xfId="15053" xr:uid="{00000000-0005-0000-0000-000062830000}"/>
    <cellStyle name="Total 2 9 4 7" xfId="32207" xr:uid="{00000000-0005-0000-0000-000063830000}"/>
    <cellStyle name="Total 2 9 4 8" xfId="28159" xr:uid="{00000000-0005-0000-0000-000064830000}"/>
    <cellStyle name="Total 2 9 4 9" xfId="19180" xr:uid="{00000000-0005-0000-0000-000065830000}"/>
    <cellStyle name="Total 2 9 5" xfId="5917" xr:uid="{00000000-0005-0000-0000-000066830000}"/>
    <cellStyle name="Total 2 9 5 2" xfId="10785" xr:uid="{00000000-0005-0000-0000-000067830000}"/>
    <cellStyle name="Total 2 9 5 2 2" xfId="33795" xr:uid="{00000000-0005-0000-0000-000068830000}"/>
    <cellStyle name="Total 2 9 5 2 3" xfId="24362" xr:uid="{00000000-0005-0000-0000-000069830000}"/>
    <cellStyle name="Total 2 9 5 3" xfId="32420" xr:uid="{00000000-0005-0000-0000-00006A830000}"/>
    <cellStyle name="Total 2 9 5 4" xfId="29411" xr:uid="{00000000-0005-0000-0000-00006B830000}"/>
    <cellStyle name="Total 2 9 5 5" xfId="19470" xr:uid="{00000000-0005-0000-0000-00006C830000}"/>
    <cellStyle name="Total 2 9 6" xfId="7439" xr:uid="{00000000-0005-0000-0000-00006D830000}"/>
    <cellStyle name="Total 2 9 6 2" xfId="10204" xr:uid="{00000000-0005-0000-0000-00006E830000}"/>
    <cellStyle name="Total 2 9 6 2 2" xfId="33503" xr:uid="{00000000-0005-0000-0000-00006F830000}"/>
    <cellStyle name="Total 2 9 6 2 3" xfId="25870" xr:uid="{00000000-0005-0000-0000-000070830000}"/>
    <cellStyle name="Total 2 9 6 3" xfId="32859" xr:uid="{00000000-0005-0000-0000-000071830000}"/>
    <cellStyle name="Total 2 9 6 4" xfId="20794" xr:uid="{00000000-0005-0000-0000-000072830000}"/>
    <cellStyle name="Total 2 9 7" xfId="7818" xr:uid="{00000000-0005-0000-0000-000073830000}"/>
    <cellStyle name="Total 2 9 7 2" xfId="26248" xr:uid="{00000000-0005-0000-0000-000074830000}"/>
    <cellStyle name="Total 2 9 7 3" xfId="21172" xr:uid="{00000000-0005-0000-0000-000075830000}"/>
    <cellStyle name="Total 2 9 8" xfId="8539" xr:uid="{00000000-0005-0000-0000-000076830000}"/>
    <cellStyle name="Total 2 9 8 2" xfId="26962" xr:uid="{00000000-0005-0000-0000-000077830000}"/>
    <cellStyle name="Total 2 9 8 3" xfId="21830" xr:uid="{00000000-0005-0000-0000-000078830000}"/>
    <cellStyle name="Total 2 9 9" xfId="4031" xr:uid="{00000000-0005-0000-0000-000079830000}"/>
    <cellStyle name="Total 2 9 9 2" xfId="22498" xr:uid="{00000000-0005-0000-0000-00007A830000}"/>
    <cellStyle name="Total 2 9 9 3" xfId="17713" xr:uid="{00000000-0005-0000-0000-00007B830000}"/>
    <cellStyle name="Total 20" xfId="40693" xr:uid="{00000000-0005-0000-0000-0000E4120000}"/>
    <cellStyle name="Total 21" xfId="40694" xr:uid="{00000000-0005-0000-0000-0000E5120000}"/>
    <cellStyle name="Total 22" xfId="40695" xr:uid="{00000000-0005-0000-0000-0000E6120000}"/>
    <cellStyle name="Total 23" xfId="40696" xr:uid="{00000000-0005-0000-0000-0000E7120000}"/>
    <cellStyle name="Total 24" xfId="40697" xr:uid="{00000000-0005-0000-0000-0000E8120000}"/>
    <cellStyle name="Total 25" xfId="40698" xr:uid="{00000000-0005-0000-0000-0000E9120000}"/>
    <cellStyle name="Total 26" xfId="40699" xr:uid="{00000000-0005-0000-0000-0000EA120000}"/>
    <cellStyle name="Total 27" xfId="40700" xr:uid="{00000000-0005-0000-0000-0000EB120000}"/>
    <cellStyle name="Total 28" xfId="40701" xr:uid="{00000000-0005-0000-0000-0000EC120000}"/>
    <cellStyle name="Total 29" xfId="40702" xr:uid="{00000000-0005-0000-0000-0000ED120000}"/>
    <cellStyle name="Total 3" xfId="3186" xr:uid="{00000000-0005-0000-0000-00007C830000}"/>
    <cellStyle name="Total 3 10" xfId="3187" xr:uid="{00000000-0005-0000-0000-00007D830000}"/>
    <cellStyle name="Total 3 10 10" xfId="14910" xr:uid="{00000000-0005-0000-0000-00007E830000}"/>
    <cellStyle name="Total 3 10 10 2" xfId="36358" xr:uid="{00000000-0005-0000-0000-00007F830000}"/>
    <cellStyle name="Total 3 10 10 3" xfId="17030" xr:uid="{00000000-0005-0000-0000-000080830000}"/>
    <cellStyle name="Total 3 10 11" xfId="16583" xr:uid="{00000000-0005-0000-0000-000081830000}"/>
    <cellStyle name="Total 3 10 11 2" xfId="37793" xr:uid="{00000000-0005-0000-0000-000082830000}"/>
    <cellStyle name="Total 3 10 12" xfId="27573" xr:uid="{00000000-0005-0000-0000-000083830000}"/>
    <cellStyle name="Total 3 10 2" xfId="3626" xr:uid="{00000000-0005-0000-0000-000084830000}"/>
    <cellStyle name="Total 3 10 2 10" xfId="15738" xr:uid="{00000000-0005-0000-0000-000085830000}"/>
    <cellStyle name="Total 3 10 2 10 2" xfId="37103" xr:uid="{00000000-0005-0000-0000-000086830000}"/>
    <cellStyle name="Total 3 10 2 11" xfId="27574" xr:uid="{00000000-0005-0000-0000-000087830000}"/>
    <cellStyle name="Total 3 10 2 2" xfId="5753" xr:uid="{00000000-0005-0000-0000-000088830000}"/>
    <cellStyle name="Total 3 10 2 2 2" xfId="10787" xr:uid="{00000000-0005-0000-0000-000089830000}"/>
    <cellStyle name="Total 3 10 2 2 2 2" xfId="33797" xr:uid="{00000000-0005-0000-0000-00008A830000}"/>
    <cellStyle name="Total 3 10 2 2 2 3" xfId="24200" xr:uid="{00000000-0005-0000-0000-00008B830000}"/>
    <cellStyle name="Total 3 10 2 2 3" xfId="32341" xr:uid="{00000000-0005-0000-0000-00008C830000}"/>
    <cellStyle name="Total 3 10 2 2 4" xfId="29415" xr:uid="{00000000-0005-0000-0000-00008D830000}"/>
    <cellStyle name="Total 3 10 2 2 5" xfId="19311" xr:uid="{00000000-0005-0000-0000-00008E830000}"/>
    <cellStyle name="Total 3 10 2 3" xfId="5226" xr:uid="{00000000-0005-0000-0000-00008F830000}"/>
    <cellStyle name="Total 3 10 2 3 2" xfId="23686" xr:uid="{00000000-0005-0000-0000-000090830000}"/>
    <cellStyle name="Total 3 10 2 3 3" xfId="18840" xr:uid="{00000000-0005-0000-0000-000091830000}"/>
    <cellStyle name="Total 3 10 2 4" xfId="7228" xr:uid="{00000000-0005-0000-0000-000092830000}"/>
    <cellStyle name="Total 3 10 2 4 2" xfId="25659" xr:uid="{00000000-0005-0000-0000-000093830000}"/>
    <cellStyle name="Total 3 10 2 4 3" xfId="20585" xr:uid="{00000000-0005-0000-0000-000094830000}"/>
    <cellStyle name="Total 3 10 2 5" xfId="7758" xr:uid="{00000000-0005-0000-0000-000095830000}"/>
    <cellStyle name="Total 3 10 2 5 2" xfId="26188" xr:uid="{00000000-0005-0000-0000-000096830000}"/>
    <cellStyle name="Total 3 10 2 5 3" xfId="21113" xr:uid="{00000000-0005-0000-0000-000097830000}"/>
    <cellStyle name="Total 3 10 2 6" xfId="8138" xr:uid="{00000000-0005-0000-0000-000098830000}"/>
    <cellStyle name="Total 3 10 2 6 2" xfId="26568" xr:uid="{00000000-0005-0000-0000-000099830000}"/>
    <cellStyle name="Total 3 10 2 6 3" xfId="21492" xr:uid="{00000000-0005-0000-0000-00009A830000}"/>
    <cellStyle name="Total 3 10 2 7" xfId="8862" xr:uid="{00000000-0005-0000-0000-00009B830000}"/>
    <cellStyle name="Total 3 10 2 7 2" xfId="27282" xr:uid="{00000000-0005-0000-0000-00009C830000}"/>
    <cellStyle name="Total 3 10 2 7 3" xfId="22153" xr:uid="{00000000-0005-0000-0000-00009D830000}"/>
    <cellStyle name="Total 3 10 2 8" xfId="4354" xr:uid="{00000000-0005-0000-0000-00009E830000}"/>
    <cellStyle name="Total 3 10 2 8 2" xfId="22818" xr:uid="{00000000-0005-0000-0000-00009F830000}"/>
    <cellStyle name="Total 3 10 2 8 3" xfId="18036" xr:uid="{00000000-0005-0000-0000-0000A0830000}"/>
    <cellStyle name="Total 3 10 2 9" xfId="14909" xr:uid="{00000000-0005-0000-0000-0000A1830000}"/>
    <cellStyle name="Total 3 10 2 9 2" xfId="36357" xr:uid="{00000000-0005-0000-0000-0000A2830000}"/>
    <cellStyle name="Total 3 10 2 9 3" xfId="17365" xr:uid="{00000000-0005-0000-0000-0000A3830000}"/>
    <cellStyle name="Total 3 10 3" xfId="5391" xr:uid="{00000000-0005-0000-0000-0000A4830000}"/>
    <cellStyle name="Total 3 10 3 2" xfId="11349" xr:uid="{00000000-0005-0000-0000-0000A5830000}"/>
    <cellStyle name="Total 3 10 3 2 2" xfId="34166" xr:uid="{00000000-0005-0000-0000-0000A6830000}"/>
    <cellStyle name="Total 3 10 3 2 3" xfId="28639" xr:uid="{00000000-0005-0000-0000-0000A7830000}"/>
    <cellStyle name="Total 3 10 3 2 4" xfId="23845" xr:uid="{00000000-0005-0000-0000-0000A8830000}"/>
    <cellStyle name="Total 3 10 3 3" xfId="32123" xr:uid="{00000000-0005-0000-0000-0000A9830000}"/>
    <cellStyle name="Total 3 10 3 4" xfId="27810" xr:uid="{00000000-0005-0000-0000-0000AA830000}"/>
    <cellStyle name="Total 3 10 3 5" xfId="18988" xr:uid="{00000000-0005-0000-0000-0000AB830000}"/>
    <cellStyle name="Total 3 10 4" xfId="5594" xr:uid="{00000000-0005-0000-0000-0000AC830000}"/>
    <cellStyle name="Total 3 10 4 2" xfId="10997" xr:uid="{00000000-0005-0000-0000-0000AD830000}"/>
    <cellStyle name="Total 3 10 4 2 2" xfId="33873" xr:uid="{00000000-0005-0000-0000-0000AE830000}"/>
    <cellStyle name="Total 3 10 4 2 3" xfId="24047" xr:uid="{00000000-0005-0000-0000-0000AF830000}"/>
    <cellStyle name="Total 3 10 4 3" xfId="32208" xr:uid="{00000000-0005-0000-0000-0000B0830000}"/>
    <cellStyle name="Total 3 10 4 4" xfId="29414" xr:uid="{00000000-0005-0000-0000-0000B1830000}"/>
    <cellStyle name="Total 3 10 4 5" xfId="19181" xr:uid="{00000000-0005-0000-0000-0000B2830000}"/>
    <cellStyle name="Total 3 10 5" xfId="7152" xr:uid="{00000000-0005-0000-0000-0000B3830000}"/>
    <cellStyle name="Total 3 10 5 2" xfId="10206" xr:uid="{00000000-0005-0000-0000-0000B4830000}"/>
    <cellStyle name="Total 3 10 5 2 2" xfId="33505" xr:uid="{00000000-0005-0000-0000-0000B5830000}"/>
    <cellStyle name="Total 3 10 5 2 3" xfId="25585" xr:uid="{00000000-0005-0000-0000-0000B6830000}"/>
    <cellStyle name="Total 3 10 5 3" xfId="32765" xr:uid="{00000000-0005-0000-0000-0000B7830000}"/>
    <cellStyle name="Total 3 10 5 4" xfId="20510" xr:uid="{00000000-0005-0000-0000-0000B8830000}"/>
    <cellStyle name="Total 3 10 6" xfId="7441" xr:uid="{00000000-0005-0000-0000-0000B9830000}"/>
    <cellStyle name="Total 3 10 6 2" xfId="25872" xr:uid="{00000000-0005-0000-0000-0000BA830000}"/>
    <cellStyle name="Total 3 10 6 3" xfId="20796" xr:uid="{00000000-0005-0000-0000-0000BB830000}"/>
    <cellStyle name="Total 3 10 7" xfId="7820" xr:uid="{00000000-0005-0000-0000-0000BC830000}"/>
    <cellStyle name="Total 3 10 7 2" xfId="26250" xr:uid="{00000000-0005-0000-0000-0000BD830000}"/>
    <cellStyle name="Total 3 10 7 3" xfId="21174" xr:uid="{00000000-0005-0000-0000-0000BE830000}"/>
    <cellStyle name="Total 3 10 8" xfId="8541" xr:uid="{00000000-0005-0000-0000-0000BF830000}"/>
    <cellStyle name="Total 3 10 8 2" xfId="26964" xr:uid="{00000000-0005-0000-0000-0000C0830000}"/>
    <cellStyle name="Total 3 10 8 3" xfId="21832" xr:uid="{00000000-0005-0000-0000-0000C1830000}"/>
    <cellStyle name="Total 3 10 9" xfId="4033" xr:uid="{00000000-0005-0000-0000-0000C2830000}"/>
    <cellStyle name="Total 3 10 9 2" xfId="22500" xr:uid="{00000000-0005-0000-0000-0000C3830000}"/>
    <cellStyle name="Total 3 10 9 3" xfId="17715" xr:uid="{00000000-0005-0000-0000-0000C4830000}"/>
    <cellStyle name="Total 3 11" xfId="3188" xr:uid="{00000000-0005-0000-0000-0000C5830000}"/>
    <cellStyle name="Total 3 11 10" xfId="14908" xr:uid="{00000000-0005-0000-0000-0000C6830000}"/>
    <cellStyle name="Total 3 11 10 2" xfId="36356" xr:uid="{00000000-0005-0000-0000-0000C7830000}"/>
    <cellStyle name="Total 3 11 10 3" xfId="17031" xr:uid="{00000000-0005-0000-0000-0000C8830000}"/>
    <cellStyle name="Total 3 11 11" xfId="14707" xr:uid="{00000000-0005-0000-0000-0000C9830000}"/>
    <cellStyle name="Total 3 11 11 2" xfId="36187" xr:uid="{00000000-0005-0000-0000-0000CA830000}"/>
    <cellStyle name="Total 3 11 12" xfId="27575" xr:uid="{00000000-0005-0000-0000-0000CB830000}"/>
    <cellStyle name="Total 3 11 2" xfId="3627" xr:uid="{00000000-0005-0000-0000-0000CC830000}"/>
    <cellStyle name="Total 3 11 2 10" xfId="14828" xr:uid="{00000000-0005-0000-0000-0000CD830000}"/>
    <cellStyle name="Total 3 11 2 10 2" xfId="36281" xr:uid="{00000000-0005-0000-0000-0000CE830000}"/>
    <cellStyle name="Total 3 11 2 11" xfId="27576" xr:uid="{00000000-0005-0000-0000-0000CF830000}"/>
    <cellStyle name="Total 3 11 2 2" xfId="5754" xr:uid="{00000000-0005-0000-0000-0000D0830000}"/>
    <cellStyle name="Total 3 11 2 2 2" xfId="10788" xr:uid="{00000000-0005-0000-0000-0000D1830000}"/>
    <cellStyle name="Total 3 11 2 2 2 2" xfId="33798" xr:uid="{00000000-0005-0000-0000-0000D2830000}"/>
    <cellStyle name="Total 3 11 2 2 2 3" xfId="24201" xr:uid="{00000000-0005-0000-0000-0000D3830000}"/>
    <cellStyle name="Total 3 11 2 2 3" xfId="32342" xr:uid="{00000000-0005-0000-0000-0000D4830000}"/>
    <cellStyle name="Total 3 11 2 2 4" xfId="29417" xr:uid="{00000000-0005-0000-0000-0000D5830000}"/>
    <cellStyle name="Total 3 11 2 2 5" xfId="19312" xr:uid="{00000000-0005-0000-0000-0000D6830000}"/>
    <cellStyle name="Total 3 11 2 3" xfId="5227" xr:uid="{00000000-0005-0000-0000-0000D7830000}"/>
    <cellStyle name="Total 3 11 2 3 2" xfId="23687" xr:uid="{00000000-0005-0000-0000-0000D8830000}"/>
    <cellStyle name="Total 3 11 2 3 3" xfId="18841" xr:uid="{00000000-0005-0000-0000-0000D9830000}"/>
    <cellStyle name="Total 3 11 2 4" xfId="7229" xr:uid="{00000000-0005-0000-0000-0000DA830000}"/>
    <cellStyle name="Total 3 11 2 4 2" xfId="25660" xr:uid="{00000000-0005-0000-0000-0000DB830000}"/>
    <cellStyle name="Total 3 11 2 4 3" xfId="20586" xr:uid="{00000000-0005-0000-0000-0000DC830000}"/>
    <cellStyle name="Total 3 11 2 5" xfId="7759" xr:uid="{00000000-0005-0000-0000-0000DD830000}"/>
    <cellStyle name="Total 3 11 2 5 2" xfId="26189" xr:uid="{00000000-0005-0000-0000-0000DE830000}"/>
    <cellStyle name="Total 3 11 2 5 3" xfId="21114" xr:uid="{00000000-0005-0000-0000-0000DF830000}"/>
    <cellStyle name="Total 3 11 2 6" xfId="8139" xr:uid="{00000000-0005-0000-0000-0000E0830000}"/>
    <cellStyle name="Total 3 11 2 6 2" xfId="26569" xr:uid="{00000000-0005-0000-0000-0000E1830000}"/>
    <cellStyle name="Total 3 11 2 6 3" xfId="21493" xr:uid="{00000000-0005-0000-0000-0000E2830000}"/>
    <cellStyle name="Total 3 11 2 7" xfId="8863" xr:uid="{00000000-0005-0000-0000-0000E3830000}"/>
    <cellStyle name="Total 3 11 2 7 2" xfId="27283" xr:uid="{00000000-0005-0000-0000-0000E4830000}"/>
    <cellStyle name="Total 3 11 2 7 3" xfId="22154" xr:uid="{00000000-0005-0000-0000-0000E5830000}"/>
    <cellStyle name="Total 3 11 2 8" xfId="4355" xr:uid="{00000000-0005-0000-0000-0000E6830000}"/>
    <cellStyle name="Total 3 11 2 8 2" xfId="22819" xr:uid="{00000000-0005-0000-0000-0000E7830000}"/>
    <cellStyle name="Total 3 11 2 8 3" xfId="18037" xr:uid="{00000000-0005-0000-0000-0000E8830000}"/>
    <cellStyle name="Total 3 11 2 9" xfId="14907" xr:uid="{00000000-0005-0000-0000-0000E9830000}"/>
    <cellStyle name="Total 3 11 2 9 2" xfId="36355" xr:uid="{00000000-0005-0000-0000-0000EA830000}"/>
    <cellStyle name="Total 3 11 2 9 3" xfId="17366" xr:uid="{00000000-0005-0000-0000-0000EB830000}"/>
    <cellStyle name="Total 3 11 3" xfId="5392" xr:uid="{00000000-0005-0000-0000-0000EC830000}"/>
    <cellStyle name="Total 3 11 3 2" xfId="11350" xr:uid="{00000000-0005-0000-0000-0000ED830000}"/>
    <cellStyle name="Total 3 11 3 2 2" xfId="34167" xr:uid="{00000000-0005-0000-0000-0000EE830000}"/>
    <cellStyle name="Total 3 11 3 2 3" xfId="28640" xr:uid="{00000000-0005-0000-0000-0000EF830000}"/>
    <cellStyle name="Total 3 11 3 2 4" xfId="23846" xr:uid="{00000000-0005-0000-0000-0000F0830000}"/>
    <cellStyle name="Total 3 11 3 3" xfId="32124" xr:uid="{00000000-0005-0000-0000-0000F1830000}"/>
    <cellStyle name="Total 3 11 3 4" xfId="27811" xr:uid="{00000000-0005-0000-0000-0000F2830000}"/>
    <cellStyle name="Total 3 11 3 5" xfId="18989" xr:uid="{00000000-0005-0000-0000-0000F3830000}"/>
    <cellStyle name="Total 3 11 4" xfId="5812" xr:uid="{00000000-0005-0000-0000-0000F4830000}"/>
    <cellStyle name="Total 3 11 4 2" xfId="10998" xr:uid="{00000000-0005-0000-0000-0000F5830000}"/>
    <cellStyle name="Total 3 11 4 2 2" xfId="33874" xr:uid="{00000000-0005-0000-0000-0000F6830000}"/>
    <cellStyle name="Total 3 11 4 2 3" xfId="24259" xr:uid="{00000000-0005-0000-0000-0000F7830000}"/>
    <cellStyle name="Total 3 11 4 3" xfId="32396" xr:uid="{00000000-0005-0000-0000-0000F8830000}"/>
    <cellStyle name="Total 3 11 4 4" xfId="29416" xr:uid="{00000000-0005-0000-0000-0000F9830000}"/>
    <cellStyle name="Total 3 11 4 5" xfId="19368" xr:uid="{00000000-0005-0000-0000-0000FA830000}"/>
    <cellStyle name="Total 3 11 5" xfId="7151" xr:uid="{00000000-0005-0000-0000-0000FB830000}"/>
    <cellStyle name="Total 3 11 5 2" xfId="10207" xr:uid="{00000000-0005-0000-0000-0000FC830000}"/>
    <cellStyle name="Total 3 11 5 2 2" xfId="33506" xr:uid="{00000000-0005-0000-0000-0000FD830000}"/>
    <cellStyle name="Total 3 11 5 2 3" xfId="25584" xr:uid="{00000000-0005-0000-0000-0000FE830000}"/>
    <cellStyle name="Total 3 11 5 3" xfId="32764" xr:uid="{00000000-0005-0000-0000-0000FF830000}"/>
    <cellStyle name="Total 3 11 5 4" xfId="20509" xr:uid="{00000000-0005-0000-0000-000000840000}"/>
    <cellStyle name="Total 3 11 6" xfId="7442" xr:uid="{00000000-0005-0000-0000-000001840000}"/>
    <cellStyle name="Total 3 11 6 2" xfId="25873" xr:uid="{00000000-0005-0000-0000-000002840000}"/>
    <cellStyle name="Total 3 11 6 3" xfId="20797" xr:uid="{00000000-0005-0000-0000-000003840000}"/>
    <cellStyle name="Total 3 11 7" xfId="7821" xr:uid="{00000000-0005-0000-0000-000004840000}"/>
    <cellStyle name="Total 3 11 7 2" xfId="26251" xr:uid="{00000000-0005-0000-0000-000005840000}"/>
    <cellStyle name="Total 3 11 7 3" xfId="21175" xr:uid="{00000000-0005-0000-0000-000006840000}"/>
    <cellStyle name="Total 3 11 8" xfId="8542" xr:uid="{00000000-0005-0000-0000-000007840000}"/>
    <cellStyle name="Total 3 11 8 2" xfId="26965" xr:uid="{00000000-0005-0000-0000-000008840000}"/>
    <cellStyle name="Total 3 11 8 3" xfId="21833" xr:uid="{00000000-0005-0000-0000-000009840000}"/>
    <cellStyle name="Total 3 11 9" xfId="4034" xr:uid="{00000000-0005-0000-0000-00000A840000}"/>
    <cellStyle name="Total 3 11 9 2" xfId="22501" xr:uid="{00000000-0005-0000-0000-00000B840000}"/>
    <cellStyle name="Total 3 11 9 3" xfId="17716" xr:uid="{00000000-0005-0000-0000-00000C840000}"/>
    <cellStyle name="Total 3 12" xfId="3625" xr:uid="{00000000-0005-0000-0000-00000D840000}"/>
    <cellStyle name="Total 3 12 10" xfId="15466" xr:uid="{00000000-0005-0000-0000-00000E840000}"/>
    <cellStyle name="Total 3 12 10 2" xfId="36847" xr:uid="{00000000-0005-0000-0000-00000F840000}"/>
    <cellStyle name="Total 3 12 11" xfId="27577" xr:uid="{00000000-0005-0000-0000-000010840000}"/>
    <cellStyle name="Total 3 12 2" xfId="5752" xr:uid="{00000000-0005-0000-0000-000011840000}"/>
    <cellStyle name="Total 3 12 2 2" xfId="10999" xr:uid="{00000000-0005-0000-0000-000012840000}"/>
    <cellStyle name="Total 3 12 2 2 2" xfId="33875" xr:uid="{00000000-0005-0000-0000-000013840000}"/>
    <cellStyle name="Total 3 12 2 2 3" xfId="24199" xr:uid="{00000000-0005-0000-0000-000014840000}"/>
    <cellStyle name="Total 3 12 2 3" xfId="32340" xr:uid="{00000000-0005-0000-0000-000015840000}"/>
    <cellStyle name="Total 3 12 2 4" xfId="29418" xr:uid="{00000000-0005-0000-0000-000016840000}"/>
    <cellStyle name="Total 3 12 2 5" xfId="19310" xr:uid="{00000000-0005-0000-0000-000017840000}"/>
    <cellStyle name="Total 3 12 3" xfId="4431" xr:uid="{00000000-0005-0000-0000-000018840000}"/>
    <cellStyle name="Total 3 12 3 2" xfId="22891" xr:uid="{00000000-0005-0000-0000-000019840000}"/>
    <cellStyle name="Total 3 12 3 3" xfId="18111" xr:uid="{00000000-0005-0000-0000-00001A840000}"/>
    <cellStyle name="Total 3 12 4" xfId="7227" xr:uid="{00000000-0005-0000-0000-00001B840000}"/>
    <cellStyle name="Total 3 12 4 2" xfId="25658" xr:uid="{00000000-0005-0000-0000-00001C840000}"/>
    <cellStyle name="Total 3 12 4 3" xfId="20584" xr:uid="{00000000-0005-0000-0000-00001D840000}"/>
    <cellStyle name="Total 3 12 5" xfId="7757" xr:uid="{00000000-0005-0000-0000-00001E840000}"/>
    <cellStyle name="Total 3 12 5 2" xfId="26187" xr:uid="{00000000-0005-0000-0000-00001F840000}"/>
    <cellStyle name="Total 3 12 5 3" xfId="21112" xr:uid="{00000000-0005-0000-0000-000020840000}"/>
    <cellStyle name="Total 3 12 6" xfId="8137" xr:uid="{00000000-0005-0000-0000-000021840000}"/>
    <cellStyle name="Total 3 12 6 2" xfId="26567" xr:uid="{00000000-0005-0000-0000-000022840000}"/>
    <cellStyle name="Total 3 12 6 3" xfId="21491" xr:uid="{00000000-0005-0000-0000-000023840000}"/>
    <cellStyle name="Total 3 12 7" xfId="8861" xr:uid="{00000000-0005-0000-0000-000024840000}"/>
    <cellStyle name="Total 3 12 7 2" xfId="27281" xr:uid="{00000000-0005-0000-0000-000025840000}"/>
    <cellStyle name="Total 3 12 7 3" xfId="22152" xr:uid="{00000000-0005-0000-0000-000026840000}"/>
    <cellStyle name="Total 3 12 8" xfId="4353" xr:uid="{00000000-0005-0000-0000-000027840000}"/>
    <cellStyle name="Total 3 12 8 2" xfId="22817" xr:uid="{00000000-0005-0000-0000-000028840000}"/>
    <cellStyle name="Total 3 12 8 3" xfId="18035" xr:uid="{00000000-0005-0000-0000-000029840000}"/>
    <cellStyle name="Total 3 12 9" xfId="14906" xr:uid="{00000000-0005-0000-0000-00002A840000}"/>
    <cellStyle name="Total 3 12 9 2" xfId="36354" xr:uid="{00000000-0005-0000-0000-00002B840000}"/>
    <cellStyle name="Total 3 12 9 3" xfId="17364" xr:uid="{00000000-0005-0000-0000-00002C840000}"/>
    <cellStyle name="Total 3 13" xfId="5390" xr:uid="{00000000-0005-0000-0000-00002D840000}"/>
    <cellStyle name="Total 3 13 2" xfId="11348" xr:uid="{00000000-0005-0000-0000-00002E840000}"/>
    <cellStyle name="Total 3 13 2 2" xfId="34165" xr:uid="{00000000-0005-0000-0000-00002F840000}"/>
    <cellStyle name="Total 3 13 2 3" xfId="28638" xr:uid="{00000000-0005-0000-0000-000030840000}"/>
    <cellStyle name="Total 3 13 2 4" xfId="23844" xr:uid="{00000000-0005-0000-0000-000031840000}"/>
    <cellStyle name="Total 3 13 3" xfId="32122" xr:uid="{00000000-0005-0000-0000-000032840000}"/>
    <cellStyle name="Total 3 13 4" xfId="27809" xr:uid="{00000000-0005-0000-0000-000033840000}"/>
    <cellStyle name="Total 3 13 5" xfId="18987" xr:uid="{00000000-0005-0000-0000-000034840000}"/>
    <cellStyle name="Total 3 14" xfId="4955" xr:uid="{00000000-0005-0000-0000-000035840000}"/>
    <cellStyle name="Total 3 14 2" xfId="10583" xr:uid="{00000000-0005-0000-0000-000036840000}"/>
    <cellStyle name="Total 3 14 2 2" xfId="15457" xr:uid="{00000000-0005-0000-0000-000037840000}"/>
    <cellStyle name="Total 3 14 2 2 2" xfId="36841" xr:uid="{00000000-0005-0000-0000-000038840000}"/>
    <cellStyle name="Total 3 14 2 3" xfId="15983" xr:uid="{00000000-0005-0000-0000-000039840000}"/>
    <cellStyle name="Total 3 14 2 3 2" xfId="37345" xr:uid="{00000000-0005-0000-0000-00003A840000}"/>
    <cellStyle name="Total 3 14 2 4" xfId="16532" xr:uid="{00000000-0005-0000-0000-00003B840000}"/>
    <cellStyle name="Total 3 14 2 5" xfId="33717" xr:uid="{00000000-0005-0000-0000-00003C840000}"/>
    <cellStyle name="Total 3 14 2 6" xfId="23415" xr:uid="{00000000-0005-0000-0000-00003D840000}"/>
    <cellStyle name="Total 3 14 3" xfId="13399" xr:uid="{00000000-0005-0000-0000-00003E840000}"/>
    <cellStyle name="Total 3 14 3 2" xfId="35186" xr:uid="{00000000-0005-0000-0000-00003F840000}"/>
    <cellStyle name="Total 3 14 4" xfId="16091" xr:uid="{00000000-0005-0000-0000-000040840000}"/>
    <cellStyle name="Total 3 14 4 2" xfId="37413" xr:uid="{00000000-0005-0000-0000-000041840000}"/>
    <cellStyle name="Total 3 14 5" xfId="15061" xr:uid="{00000000-0005-0000-0000-000042840000}"/>
    <cellStyle name="Total 3 14 5 2" xfId="36472" xr:uid="{00000000-0005-0000-0000-000043840000}"/>
    <cellStyle name="Total 3 14 6" xfId="15297" xr:uid="{00000000-0005-0000-0000-000044840000}"/>
    <cellStyle name="Total 3 14 7" xfId="31906" xr:uid="{00000000-0005-0000-0000-000045840000}"/>
    <cellStyle name="Total 3 14 8" xfId="28160" xr:uid="{00000000-0005-0000-0000-000046840000}"/>
    <cellStyle name="Total 3 14 9" xfId="18569" xr:uid="{00000000-0005-0000-0000-000047840000}"/>
    <cellStyle name="Total 3 15" xfId="7153" xr:uid="{00000000-0005-0000-0000-000048840000}"/>
    <cellStyle name="Total 3 15 2" xfId="10786" xr:uid="{00000000-0005-0000-0000-000049840000}"/>
    <cellStyle name="Total 3 15 2 2" xfId="33796" xr:uid="{00000000-0005-0000-0000-00004A840000}"/>
    <cellStyle name="Total 3 15 2 3" xfId="25586" xr:uid="{00000000-0005-0000-0000-00004B840000}"/>
    <cellStyle name="Total 3 15 3" xfId="32766" xr:uid="{00000000-0005-0000-0000-00004C840000}"/>
    <cellStyle name="Total 3 15 4" xfId="29413" xr:uid="{00000000-0005-0000-0000-00004D840000}"/>
    <cellStyle name="Total 3 15 5" xfId="20511" xr:uid="{00000000-0005-0000-0000-00004E840000}"/>
    <cellStyle name="Total 3 16" xfId="7440" xr:uid="{00000000-0005-0000-0000-00004F840000}"/>
    <cellStyle name="Total 3 16 2" xfId="10205" xr:uid="{00000000-0005-0000-0000-000050840000}"/>
    <cellStyle name="Total 3 16 2 2" xfId="33504" xr:uid="{00000000-0005-0000-0000-000051840000}"/>
    <cellStyle name="Total 3 16 2 3" xfId="25871" xr:uid="{00000000-0005-0000-0000-000052840000}"/>
    <cellStyle name="Total 3 16 3" xfId="32860" xr:uid="{00000000-0005-0000-0000-000053840000}"/>
    <cellStyle name="Total 3 16 4" xfId="20795" xr:uid="{00000000-0005-0000-0000-000054840000}"/>
    <cellStyle name="Total 3 17" xfId="7819" xr:uid="{00000000-0005-0000-0000-000055840000}"/>
    <cellStyle name="Total 3 17 2" xfId="26249" xr:uid="{00000000-0005-0000-0000-000056840000}"/>
    <cellStyle name="Total 3 17 3" xfId="21173" xr:uid="{00000000-0005-0000-0000-000057840000}"/>
    <cellStyle name="Total 3 18" xfId="8540" xr:uid="{00000000-0005-0000-0000-000058840000}"/>
    <cellStyle name="Total 3 18 2" xfId="26963" xr:uid="{00000000-0005-0000-0000-000059840000}"/>
    <cellStyle name="Total 3 18 3" xfId="21831" xr:uid="{00000000-0005-0000-0000-00005A840000}"/>
    <cellStyle name="Total 3 19" xfId="4032" xr:uid="{00000000-0005-0000-0000-00005B840000}"/>
    <cellStyle name="Total 3 19 2" xfId="22499" xr:uid="{00000000-0005-0000-0000-00005C840000}"/>
    <cellStyle name="Total 3 19 3" xfId="17714" xr:uid="{00000000-0005-0000-0000-00005D840000}"/>
    <cellStyle name="Total 3 2" xfId="3189" xr:uid="{00000000-0005-0000-0000-00005E840000}"/>
    <cellStyle name="Total 3 2 10" xfId="14905" xr:uid="{00000000-0005-0000-0000-00005F840000}"/>
    <cellStyle name="Total 3 2 10 2" xfId="36353" xr:uid="{00000000-0005-0000-0000-000060840000}"/>
    <cellStyle name="Total 3 2 10 3" xfId="17032" xr:uid="{00000000-0005-0000-0000-000061840000}"/>
    <cellStyle name="Total 3 2 11" xfId="16374" xr:uid="{00000000-0005-0000-0000-000062840000}"/>
    <cellStyle name="Total 3 2 11 2" xfId="37676" xr:uid="{00000000-0005-0000-0000-000063840000}"/>
    <cellStyle name="Total 3 2 12" xfId="27578" xr:uid="{00000000-0005-0000-0000-000064840000}"/>
    <cellStyle name="Total 3 2 2" xfId="3628" xr:uid="{00000000-0005-0000-0000-000065840000}"/>
    <cellStyle name="Total 3 2 2 10" xfId="14646" xr:uid="{00000000-0005-0000-0000-000066840000}"/>
    <cellStyle name="Total 3 2 2 10 2" xfId="36131" xr:uid="{00000000-0005-0000-0000-000067840000}"/>
    <cellStyle name="Total 3 2 2 11" xfId="27579" xr:uid="{00000000-0005-0000-0000-000068840000}"/>
    <cellStyle name="Total 3 2 2 2" xfId="5755" xr:uid="{00000000-0005-0000-0000-000069840000}"/>
    <cellStyle name="Total 3 2 2 2 2" xfId="11000" xr:uid="{00000000-0005-0000-0000-00006A840000}"/>
    <cellStyle name="Total 3 2 2 2 2 2" xfId="33876" xr:uid="{00000000-0005-0000-0000-00006B840000}"/>
    <cellStyle name="Total 3 2 2 2 2 3" xfId="24202" xr:uid="{00000000-0005-0000-0000-00006C840000}"/>
    <cellStyle name="Total 3 2 2 2 3" xfId="32343" xr:uid="{00000000-0005-0000-0000-00006D840000}"/>
    <cellStyle name="Total 3 2 2 2 4" xfId="29420" xr:uid="{00000000-0005-0000-0000-00006E840000}"/>
    <cellStyle name="Total 3 2 2 2 5" xfId="19313" xr:uid="{00000000-0005-0000-0000-00006F840000}"/>
    <cellStyle name="Total 3 2 2 3" xfId="5608" xr:uid="{00000000-0005-0000-0000-000070840000}"/>
    <cellStyle name="Total 3 2 2 3 2" xfId="24061" xr:uid="{00000000-0005-0000-0000-000071840000}"/>
    <cellStyle name="Total 3 2 2 3 3" xfId="19195" xr:uid="{00000000-0005-0000-0000-000072840000}"/>
    <cellStyle name="Total 3 2 2 4" xfId="7230" xr:uid="{00000000-0005-0000-0000-000073840000}"/>
    <cellStyle name="Total 3 2 2 4 2" xfId="25661" xr:uid="{00000000-0005-0000-0000-000074840000}"/>
    <cellStyle name="Total 3 2 2 4 3" xfId="20587" xr:uid="{00000000-0005-0000-0000-000075840000}"/>
    <cellStyle name="Total 3 2 2 5" xfId="7760" xr:uid="{00000000-0005-0000-0000-000076840000}"/>
    <cellStyle name="Total 3 2 2 5 2" xfId="26190" xr:uid="{00000000-0005-0000-0000-000077840000}"/>
    <cellStyle name="Total 3 2 2 5 3" xfId="21115" xr:uid="{00000000-0005-0000-0000-000078840000}"/>
    <cellStyle name="Total 3 2 2 6" xfId="8140" xr:uid="{00000000-0005-0000-0000-000079840000}"/>
    <cellStyle name="Total 3 2 2 6 2" xfId="26570" xr:uid="{00000000-0005-0000-0000-00007A840000}"/>
    <cellStyle name="Total 3 2 2 6 3" xfId="21494" xr:uid="{00000000-0005-0000-0000-00007B840000}"/>
    <cellStyle name="Total 3 2 2 7" xfId="8864" xr:uid="{00000000-0005-0000-0000-00007C840000}"/>
    <cellStyle name="Total 3 2 2 7 2" xfId="27284" xr:uid="{00000000-0005-0000-0000-00007D840000}"/>
    <cellStyle name="Total 3 2 2 7 3" xfId="22155" xr:uid="{00000000-0005-0000-0000-00007E840000}"/>
    <cellStyle name="Total 3 2 2 8" xfId="4356" xr:uid="{00000000-0005-0000-0000-00007F840000}"/>
    <cellStyle name="Total 3 2 2 8 2" xfId="22820" xr:uid="{00000000-0005-0000-0000-000080840000}"/>
    <cellStyle name="Total 3 2 2 8 3" xfId="18038" xr:uid="{00000000-0005-0000-0000-000081840000}"/>
    <cellStyle name="Total 3 2 2 9" xfId="15272" xr:uid="{00000000-0005-0000-0000-000082840000}"/>
    <cellStyle name="Total 3 2 2 9 2" xfId="36677" xr:uid="{00000000-0005-0000-0000-000083840000}"/>
    <cellStyle name="Total 3 2 2 9 3" xfId="17367" xr:uid="{00000000-0005-0000-0000-000084840000}"/>
    <cellStyle name="Total 3 2 3" xfId="5393" xr:uid="{00000000-0005-0000-0000-000085840000}"/>
    <cellStyle name="Total 3 2 3 2" xfId="11351" xr:uid="{00000000-0005-0000-0000-000086840000}"/>
    <cellStyle name="Total 3 2 3 2 2" xfId="34168" xr:uid="{00000000-0005-0000-0000-000087840000}"/>
    <cellStyle name="Total 3 2 3 2 3" xfId="28641" xr:uid="{00000000-0005-0000-0000-000088840000}"/>
    <cellStyle name="Total 3 2 3 2 4" xfId="23847" xr:uid="{00000000-0005-0000-0000-000089840000}"/>
    <cellStyle name="Total 3 2 3 3" xfId="32125" xr:uid="{00000000-0005-0000-0000-00008A840000}"/>
    <cellStyle name="Total 3 2 3 4" xfId="27812" xr:uid="{00000000-0005-0000-0000-00008B840000}"/>
    <cellStyle name="Total 3 2 3 5" xfId="18990" xr:uid="{00000000-0005-0000-0000-00008C840000}"/>
    <cellStyle name="Total 3 2 4" xfId="4956" xr:uid="{00000000-0005-0000-0000-00008D840000}"/>
    <cellStyle name="Total 3 2 4 2" xfId="10789" xr:uid="{00000000-0005-0000-0000-00008E840000}"/>
    <cellStyle name="Total 3 2 4 2 2" xfId="33799" xr:uid="{00000000-0005-0000-0000-00008F840000}"/>
    <cellStyle name="Total 3 2 4 2 3" xfId="23416" xr:uid="{00000000-0005-0000-0000-000090840000}"/>
    <cellStyle name="Total 3 2 4 3" xfId="31907" xr:uid="{00000000-0005-0000-0000-000091840000}"/>
    <cellStyle name="Total 3 2 4 4" xfId="29419" xr:uid="{00000000-0005-0000-0000-000092840000}"/>
    <cellStyle name="Total 3 2 4 5" xfId="18570" xr:uid="{00000000-0005-0000-0000-000093840000}"/>
    <cellStyle name="Total 3 2 5" xfId="7150" xr:uid="{00000000-0005-0000-0000-000094840000}"/>
    <cellStyle name="Total 3 2 5 2" xfId="10208" xr:uid="{00000000-0005-0000-0000-000095840000}"/>
    <cellStyle name="Total 3 2 5 2 2" xfId="33507" xr:uid="{00000000-0005-0000-0000-000096840000}"/>
    <cellStyle name="Total 3 2 5 2 3" xfId="25583" xr:uid="{00000000-0005-0000-0000-000097840000}"/>
    <cellStyle name="Total 3 2 5 3" xfId="32763" xr:uid="{00000000-0005-0000-0000-000098840000}"/>
    <cellStyle name="Total 3 2 5 4" xfId="20508" xr:uid="{00000000-0005-0000-0000-000099840000}"/>
    <cellStyle name="Total 3 2 6" xfId="7443" xr:uid="{00000000-0005-0000-0000-00009A840000}"/>
    <cellStyle name="Total 3 2 6 2" xfId="25874" xr:uid="{00000000-0005-0000-0000-00009B840000}"/>
    <cellStyle name="Total 3 2 6 3" xfId="20798" xr:uid="{00000000-0005-0000-0000-00009C840000}"/>
    <cellStyle name="Total 3 2 7" xfId="7822" xr:uid="{00000000-0005-0000-0000-00009D840000}"/>
    <cellStyle name="Total 3 2 7 2" xfId="26252" xr:uid="{00000000-0005-0000-0000-00009E840000}"/>
    <cellStyle name="Total 3 2 7 3" xfId="21176" xr:uid="{00000000-0005-0000-0000-00009F840000}"/>
    <cellStyle name="Total 3 2 8" xfId="8543" xr:uid="{00000000-0005-0000-0000-0000A0840000}"/>
    <cellStyle name="Total 3 2 8 2" xfId="26966" xr:uid="{00000000-0005-0000-0000-0000A1840000}"/>
    <cellStyle name="Total 3 2 8 3" xfId="21834" xr:uid="{00000000-0005-0000-0000-0000A2840000}"/>
    <cellStyle name="Total 3 2 9" xfId="4035" xr:uid="{00000000-0005-0000-0000-0000A3840000}"/>
    <cellStyle name="Total 3 2 9 2" xfId="22502" xr:uid="{00000000-0005-0000-0000-0000A4840000}"/>
    <cellStyle name="Total 3 2 9 3" xfId="17717" xr:uid="{00000000-0005-0000-0000-0000A5840000}"/>
    <cellStyle name="Total 3 20" xfId="14911" xr:uid="{00000000-0005-0000-0000-0000A6840000}"/>
    <cellStyle name="Total 3 20 2" xfId="36359" xr:uid="{00000000-0005-0000-0000-0000A7840000}"/>
    <cellStyle name="Total 3 20 3" xfId="17029" xr:uid="{00000000-0005-0000-0000-0000A8840000}"/>
    <cellStyle name="Total 3 21" xfId="14799" xr:uid="{00000000-0005-0000-0000-0000A9840000}"/>
    <cellStyle name="Total 3 21 2" xfId="36255" xr:uid="{00000000-0005-0000-0000-0000AA840000}"/>
    <cellStyle name="Total 3 22" xfId="27572" xr:uid="{00000000-0005-0000-0000-0000AB840000}"/>
    <cellStyle name="Total 3 23" xfId="38090" xr:uid="{00000000-0005-0000-0000-0000EE120000}"/>
    <cellStyle name="Total 3 3" xfId="3190" xr:uid="{00000000-0005-0000-0000-0000AC840000}"/>
    <cellStyle name="Total 3 3 10" xfId="15271" xr:uid="{00000000-0005-0000-0000-0000AD840000}"/>
    <cellStyle name="Total 3 3 10 2" xfId="36676" xr:uid="{00000000-0005-0000-0000-0000AE840000}"/>
    <cellStyle name="Total 3 3 10 3" xfId="17033" xr:uid="{00000000-0005-0000-0000-0000AF840000}"/>
    <cellStyle name="Total 3 3 11" xfId="16547" xr:uid="{00000000-0005-0000-0000-0000B0840000}"/>
    <cellStyle name="Total 3 3 11 2" xfId="37764" xr:uid="{00000000-0005-0000-0000-0000B1840000}"/>
    <cellStyle name="Total 3 3 12" xfId="27580" xr:uid="{00000000-0005-0000-0000-0000B2840000}"/>
    <cellStyle name="Total 3 3 2" xfId="3629" xr:uid="{00000000-0005-0000-0000-0000B3840000}"/>
    <cellStyle name="Total 3 3 2 10" xfId="14742" xr:uid="{00000000-0005-0000-0000-0000B4840000}"/>
    <cellStyle name="Total 3 3 2 10 2" xfId="36219" xr:uid="{00000000-0005-0000-0000-0000B5840000}"/>
    <cellStyle name="Total 3 3 2 11" xfId="27581" xr:uid="{00000000-0005-0000-0000-0000B6840000}"/>
    <cellStyle name="Total 3 3 2 2" xfId="5756" xr:uid="{00000000-0005-0000-0000-0000B7840000}"/>
    <cellStyle name="Total 3 3 2 2 2" xfId="11001" xr:uid="{00000000-0005-0000-0000-0000B8840000}"/>
    <cellStyle name="Total 3 3 2 2 2 2" xfId="33877" xr:uid="{00000000-0005-0000-0000-0000B9840000}"/>
    <cellStyle name="Total 3 3 2 2 2 3" xfId="24203" xr:uid="{00000000-0005-0000-0000-0000BA840000}"/>
    <cellStyle name="Total 3 3 2 2 3" xfId="32344" xr:uid="{00000000-0005-0000-0000-0000BB840000}"/>
    <cellStyle name="Total 3 3 2 2 4" xfId="29422" xr:uid="{00000000-0005-0000-0000-0000BC840000}"/>
    <cellStyle name="Total 3 3 2 2 5" xfId="19314" xr:uid="{00000000-0005-0000-0000-0000BD840000}"/>
    <cellStyle name="Total 3 3 2 3" xfId="5228" xr:uid="{00000000-0005-0000-0000-0000BE840000}"/>
    <cellStyle name="Total 3 3 2 3 2" xfId="23688" xr:uid="{00000000-0005-0000-0000-0000BF840000}"/>
    <cellStyle name="Total 3 3 2 3 3" xfId="18842" xr:uid="{00000000-0005-0000-0000-0000C0840000}"/>
    <cellStyle name="Total 3 3 2 4" xfId="7231" xr:uid="{00000000-0005-0000-0000-0000C1840000}"/>
    <cellStyle name="Total 3 3 2 4 2" xfId="25662" xr:uid="{00000000-0005-0000-0000-0000C2840000}"/>
    <cellStyle name="Total 3 3 2 4 3" xfId="20588" xr:uid="{00000000-0005-0000-0000-0000C3840000}"/>
    <cellStyle name="Total 3 3 2 5" xfId="7761" xr:uid="{00000000-0005-0000-0000-0000C4840000}"/>
    <cellStyle name="Total 3 3 2 5 2" xfId="26191" xr:uid="{00000000-0005-0000-0000-0000C5840000}"/>
    <cellStyle name="Total 3 3 2 5 3" xfId="21116" xr:uid="{00000000-0005-0000-0000-0000C6840000}"/>
    <cellStyle name="Total 3 3 2 6" xfId="8141" xr:uid="{00000000-0005-0000-0000-0000C7840000}"/>
    <cellStyle name="Total 3 3 2 6 2" xfId="26571" xr:uid="{00000000-0005-0000-0000-0000C8840000}"/>
    <cellStyle name="Total 3 3 2 6 3" xfId="21495" xr:uid="{00000000-0005-0000-0000-0000C9840000}"/>
    <cellStyle name="Total 3 3 2 7" xfId="8865" xr:uid="{00000000-0005-0000-0000-0000CA840000}"/>
    <cellStyle name="Total 3 3 2 7 2" xfId="27285" xr:uid="{00000000-0005-0000-0000-0000CB840000}"/>
    <cellStyle name="Total 3 3 2 7 3" xfId="22156" xr:uid="{00000000-0005-0000-0000-0000CC840000}"/>
    <cellStyle name="Total 3 3 2 8" xfId="4357" xr:uid="{00000000-0005-0000-0000-0000CD840000}"/>
    <cellStyle name="Total 3 3 2 8 2" xfId="22821" xr:uid="{00000000-0005-0000-0000-0000CE840000}"/>
    <cellStyle name="Total 3 3 2 8 3" xfId="18039" xr:uid="{00000000-0005-0000-0000-0000CF840000}"/>
    <cellStyle name="Total 3 3 2 9" xfId="14904" xr:uid="{00000000-0005-0000-0000-0000D0840000}"/>
    <cellStyle name="Total 3 3 2 9 2" xfId="36352" xr:uid="{00000000-0005-0000-0000-0000D1840000}"/>
    <cellStyle name="Total 3 3 2 9 3" xfId="17368" xr:uid="{00000000-0005-0000-0000-0000D2840000}"/>
    <cellStyle name="Total 3 3 3" xfId="5394" xr:uid="{00000000-0005-0000-0000-0000D3840000}"/>
    <cellStyle name="Total 3 3 3 2" xfId="11352" xr:uid="{00000000-0005-0000-0000-0000D4840000}"/>
    <cellStyle name="Total 3 3 3 2 2" xfId="34169" xr:uid="{00000000-0005-0000-0000-0000D5840000}"/>
    <cellStyle name="Total 3 3 3 2 3" xfId="28642" xr:uid="{00000000-0005-0000-0000-0000D6840000}"/>
    <cellStyle name="Total 3 3 3 2 4" xfId="23848" xr:uid="{00000000-0005-0000-0000-0000D7840000}"/>
    <cellStyle name="Total 3 3 3 3" xfId="32126" xr:uid="{00000000-0005-0000-0000-0000D8840000}"/>
    <cellStyle name="Total 3 3 3 4" xfId="27813" xr:uid="{00000000-0005-0000-0000-0000D9840000}"/>
    <cellStyle name="Total 3 3 3 5" xfId="18991" xr:uid="{00000000-0005-0000-0000-0000DA840000}"/>
    <cellStyle name="Total 3 3 4" xfId="4957" xr:uid="{00000000-0005-0000-0000-0000DB840000}"/>
    <cellStyle name="Total 3 3 4 2" xfId="10790" xr:uid="{00000000-0005-0000-0000-0000DC840000}"/>
    <cellStyle name="Total 3 3 4 2 2" xfId="33800" xr:uid="{00000000-0005-0000-0000-0000DD840000}"/>
    <cellStyle name="Total 3 3 4 2 3" xfId="23417" xr:uid="{00000000-0005-0000-0000-0000DE840000}"/>
    <cellStyle name="Total 3 3 4 3" xfId="31908" xr:uid="{00000000-0005-0000-0000-0000DF840000}"/>
    <cellStyle name="Total 3 3 4 4" xfId="29421" xr:uid="{00000000-0005-0000-0000-0000E0840000}"/>
    <cellStyle name="Total 3 3 4 5" xfId="18571" xr:uid="{00000000-0005-0000-0000-0000E1840000}"/>
    <cellStyle name="Total 3 3 5" xfId="7149" xr:uid="{00000000-0005-0000-0000-0000E2840000}"/>
    <cellStyle name="Total 3 3 5 2" xfId="10209" xr:uid="{00000000-0005-0000-0000-0000E3840000}"/>
    <cellStyle name="Total 3 3 5 2 2" xfId="33508" xr:uid="{00000000-0005-0000-0000-0000E4840000}"/>
    <cellStyle name="Total 3 3 5 2 3" xfId="25582" xr:uid="{00000000-0005-0000-0000-0000E5840000}"/>
    <cellStyle name="Total 3 3 5 3" xfId="32762" xr:uid="{00000000-0005-0000-0000-0000E6840000}"/>
    <cellStyle name="Total 3 3 5 4" xfId="20507" xr:uid="{00000000-0005-0000-0000-0000E7840000}"/>
    <cellStyle name="Total 3 3 6" xfId="7444" xr:uid="{00000000-0005-0000-0000-0000E8840000}"/>
    <cellStyle name="Total 3 3 6 2" xfId="25875" xr:uid="{00000000-0005-0000-0000-0000E9840000}"/>
    <cellStyle name="Total 3 3 6 3" xfId="20799" xr:uid="{00000000-0005-0000-0000-0000EA840000}"/>
    <cellStyle name="Total 3 3 7" xfId="7823" xr:uid="{00000000-0005-0000-0000-0000EB840000}"/>
    <cellStyle name="Total 3 3 7 2" xfId="26253" xr:uid="{00000000-0005-0000-0000-0000EC840000}"/>
    <cellStyle name="Total 3 3 7 3" xfId="21177" xr:uid="{00000000-0005-0000-0000-0000ED840000}"/>
    <cellStyle name="Total 3 3 8" xfId="8544" xr:uid="{00000000-0005-0000-0000-0000EE840000}"/>
    <cellStyle name="Total 3 3 8 2" xfId="26967" xr:uid="{00000000-0005-0000-0000-0000EF840000}"/>
    <cellStyle name="Total 3 3 8 3" xfId="21835" xr:uid="{00000000-0005-0000-0000-0000F0840000}"/>
    <cellStyle name="Total 3 3 9" xfId="4036" xr:uid="{00000000-0005-0000-0000-0000F1840000}"/>
    <cellStyle name="Total 3 3 9 2" xfId="22503" xr:uid="{00000000-0005-0000-0000-0000F2840000}"/>
    <cellStyle name="Total 3 3 9 3" xfId="17718" xr:uid="{00000000-0005-0000-0000-0000F3840000}"/>
    <cellStyle name="Total 3 4" xfId="3191" xr:uid="{00000000-0005-0000-0000-0000F4840000}"/>
    <cellStyle name="Total 3 4 10" xfId="14903" xr:uid="{00000000-0005-0000-0000-0000F5840000}"/>
    <cellStyle name="Total 3 4 10 2" xfId="36351" xr:uid="{00000000-0005-0000-0000-0000F6840000}"/>
    <cellStyle name="Total 3 4 10 3" xfId="17034" xr:uid="{00000000-0005-0000-0000-0000F7840000}"/>
    <cellStyle name="Total 3 4 11" xfId="16341" xr:uid="{00000000-0005-0000-0000-0000F8840000}"/>
    <cellStyle name="Total 3 4 11 2" xfId="37644" xr:uid="{00000000-0005-0000-0000-0000F9840000}"/>
    <cellStyle name="Total 3 4 12" xfId="27582" xr:uid="{00000000-0005-0000-0000-0000FA840000}"/>
    <cellStyle name="Total 3 4 2" xfId="3630" xr:uid="{00000000-0005-0000-0000-0000FB840000}"/>
    <cellStyle name="Total 3 4 2 10" xfId="15587" xr:uid="{00000000-0005-0000-0000-0000FC840000}"/>
    <cellStyle name="Total 3 4 2 10 2" xfId="36964" xr:uid="{00000000-0005-0000-0000-0000FD840000}"/>
    <cellStyle name="Total 3 4 2 11" xfId="27583" xr:uid="{00000000-0005-0000-0000-0000FE840000}"/>
    <cellStyle name="Total 3 4 2 2" xfId="5757" xr:uid="{00000000-0005-0000-0000-0000FF840000}"/>
    <cellStyle name="Total 3 4 2 2 2" xfId="11002" xr:uid="{00000000-0005-0000-0000-000000850000}"/>
    <cellStyle name="Total 3 4 2 2 2 2" xfId="33878" xr:uid="{00000000-0005-0000-0000-000001850000}"/>
    <cellStyle name="Total 3 4 2 2 2 3" xfId="24204" xr:uid="{00000000-0005-0000-0000-000002850000}"/>
    <cellStyle name="Total 3 4 2 2 3" xfId="32345" xr:uid="{00000000-0005-0000-0000-000003850000}"/>
    <cellStyle name="Total 3 4 2 2 4" xfId="29424" xr:uid="{00000000-0005-0000-0000-000004850000}"/>
    <cellStyle name="Total 3 4 2 2 5" xfId="19315" xr:uid="{00000000-0005-0000-0000-000005850000}"/>
    <cellStyle name="Total 3 4 2 3" xfId="5609" xr:uid="{00000000-0005-0000-0000-000006850000}"/>
    <cellStyle name="Total 3 4 2 3 2" xfId="24062" xr:uid="{00000000-0005-0000-0000-000007850000}"/>
    <cellStyle name="Total 3 4 2 3 3" xfId="19196" xr:uid="{00000000-0005-0000-0000-000008850000}"/>
    <cellStyle name="Total 3 4 2 4" xfId="7232" xr:uid="{00000000-0005-0000-0000-000009850000}"/>
    <cellStyle name="Total 3 4 2 4 2" xfId="25663" xr:uid="{00000000-0005-0000-0000-00000A850000}"/>
    <cellStyle name="Total 3 4 2 4 3" xfId="20589" xr:uid="{00000000-0005-0000-0000-00000B850000}"/>
    <cellStyle name="Total 3 4 2 5" xfId="7762" xr:uid="{00000000-0005-0000-0000-00000C850000}"/>
    <cellStyle name="Total 3 4 2 5 2" xfId="26192" xr:uid="{00000000-0005-0000-0000-00000D850000}"/>
    <cellStyle name="Total 3 4 2 5 3" xfId="21117" xr:uid="{00000000-0005-0000-0000-00000E850000}"/>
    <cellStyle name="Total 3 4 2 6" xfId="8142" xr:uid="{00000000-0005-0000-0000-00000F850000}"/>
    <cellStyle name="Total 3 4 2 6 2" xfId="26572" xr:uid="{00000000-0005-0000-0000-000010850000}"/>
    <cellStyle name="Total 3 4 2 6 3" xfId="21496" xr:uid="{00000000-0005-0000-0000-000011850000}"/>
    <cellStyle name="Total 3 4 2 7" xfId="8866" xr:uid="{00000000-0005-0000-0000-000012850000}"/>
    <cellStyle name="Total 3 4 2 7 2" xfId="27286" xr:uid="{00000000-0005-0000-0000-000013850000}"/>
    <cellStyle name="Total 3 4 2 7 3" xfId="22157" xr:uid="{00000000-0005-0000-0000-000014850000}"/>
    <cellStyle name="Total 3 4 2 8" xfId="4358" xr:uid="{00000000-0005-0000-0000-000015850000}"/>
    <cellStyle name="Total 3 4 2 8 2" xfId="22822" xr:uid="{00000000-0005-0000-0000-000016850000}"/>
    <cellStyle name="Total 3 4 2 8 3" xfId="18040" xr:uid="{00000000-0005-0000-0000-000017850000}"/>
    <cellStyle name="Total 3 4 2 9" xfId="14902" xr:uid="{00000000-0005-0000-0000-000018850000}"/>
    <cellStyle name="Total 3 4 2 9 2" xfId="36350" xr:uid="{00000000-0005-0000-0000-000019850000}"/>
    <cellStyle name="Total 3 4 2 9 3" xfId="17369" xr:uid="{00000000-0005-0000-0000-00001A850000}"/>
    <cellStyle name="Total 3 4 3" xfId="5395" xr:uid="{00000000-0005-0000-0000-00001B850000}"/>
    <cellStyle name="Total 3 4 3 2" xfId="11353" xr:uid="{00000000-0005-0000-0000-00001C850000}"/>
    <cellStyle name="Total 3 4 3 2 2" xfId="34170" xr:uid="{00000000-0005-0000-0000-00001D850000}"/>
    <cellStyle name="Total 3 4 3 2 3" xfId="28643" xr:uid="{00000000-0005-0000-0000-00001E850000}"/>
    <cellStyle name="Total 3 4 3 2 4" xfId="23849" xr:uid="{00000000-0005-0000-0000-00001F850000}"/>
    <cellStyle name="Total 3 4 3 3" xfId="32127" xr:uid="{00000000-0005-0000-0000-000020850000}"/>
    <cellStyle name="Total 3 4 3 4" xfId="27814" xr:uid="{00000000-0005-0000-0000-000021850000}"/>
    <cellStyle name="Total 3 4 3 5" xfId="18992" xr:uid="{00000000-0005-0000-0000-000022850000}"/>
    <cellStyle name="Total 3 4 4" xfId="4958" xr:uid="{00000000-0005-0000-0000-000023850000}"/>
    <cellStyle name="Total 3 4 4 2" xfId="10791" xr:uid="{00000000-0005-0000-0000-000024850000}"/>
    <cellStyle name="Total 3 4 4 2 2" xfId="33801" xr:uid="{00000000-0005-0000-0000-000025850000}"/>
    <cellStyle name="Total 3 4 4 2 3" xfId="23418" xr:uid="{00000000-0005-0000-0000-000026850000}"/>
    <cellStyle name="Total 3 4 4 3" xfId="31909" xr:uid="{00000000-0005-0000-0000-000027850000}"/>
    <cellStyle name="Total 3 4 4 4" xfId="29423" xr:uid="{00000000-0005-0000-0000-000028850000}"/>
    <cellStyle name="Total 3 4 4 5" xfId="18572" xr:uid="{00000000-0005-0000-0000-000029850000}"/>
    <cellStyle name="Total 3 4 5" xfId="7148" xr:uid="{00000000-0005-0000-0000-00002A850000}"/>
    <cellStyle name="Total 3 4 5 2" xfId="10210" xr:uid="{00000000-0005-0000-0000-00002B850000}"/>
    <cellStyle name="Total 3 4 5 2 2" xfId="33509" xr:uid="{00000000-0005-0000-0000-00002C850000}"/>
    <cellStyle name="Total 3 4 5 2 3" xfId="25581" xr:uid="{00000000-0005-0000-0000-00002D850000}"/>
    <cellStyle name="Total 3 4 5 3" xfId="32761" xr:uid="{00000000-0005-0000-0000-00002E850000}"/>
    <cellStyle name="Total 3 4 5 4" xfId="20506" xr:uid="{00000000-0005-0000-0000-00002F850000}"/>
    <cellStyle name="Total 3 4 6" xfId="7445" xr:uid="{00000000-0005-0000-0000-000030850000}"/>
    <cellStyle name="Total 3 4 6 2" xfId="25876" xr:uid="{00000000-0005-0000-0000-000031850000}"/>
    <cellStyle name="Total 3 4 6 3" xfId="20800" xr:uid="{00000000-0005-0000-0000-000032850000}"/>
    <cellStyle name="Total 3 4 7" xfId="7824" xr:uid="{00000000-0005-0000-0000-000033850000}"/>
    <cellStyle name="Total 3 4 7 2" xfId="26254" xr:uid="{00000000-0005-0000-0000-000034850000}"/>
    <cellStyle name="Total 3 4 7 3" xfId="21178" xr:uid="{00000000-0005-0000-0000-000035850000}"/>
    <cellStyle name="Total 3 4 8" xfId="8545" xr:uid="{00000000-0005-0000-0000-000036850000}"/>
    <cellStyle name="Total 3 4 8 2" xfId="26968" xr:uid="{00000000-0005-0000-0000-000037850000}"/>
    <cellStyle name="Total 3 4 8 3" xfId="21836" xr:uid="{00000000-0005-0000-0000-000038850000}"/>
    <cellStyle name="Total 3 4 9" xfId="4037" xr:uid="{00000000-0005-0000-0000-000039850000}"/>
    <cellStyle name="Total 3 4 9 2" xfId="22504" xr:uid="{00000000-0005-0000-0000-00003A850000}"/>
    <cellStyle name="Total 3 4 9 3" xfId="17719" xr:uid="{00000000-0005-0000-0000-00003B850000}"/>
    <cellStyle name="Total 3 5" xfId="3192" xr:uid="{00000000-0005-0000-0000-00003C850000}"/>
    <cellStyle name="Total 3 5 10" xfId="14901" xr:uid="{00000000-0005-0000-0000-00003D850000}"/>
    <cellStyle name="Total 3 5 10 2" xfId="36349" xr:uid="{00000000-0005-0000-0000-00003E850000}"/>
    <cellStyle name="Total 3 5 10 3" xfId="17035" xr:uid="{00000000-0005-0000-0000-00003F850000}"/>
    <cellStyle name="Total 3 5 11" xfId="16386" xr:uid="{00000000-0005-0000-0000-000040850000}"/>
    <cellStyle name="Total 3 5 11 2" xfId="37685" xr:uid="{00000000-0005-0000-0000-000041850000}"/>
    <cellStyle name="Total 3 5 12" xfId="27584" xr:uid="{00000000-0005-0000-0000-000042850000}"/>
    <cellStyle name="Total 3 5 2" xfId="3631" xr:uid="{00000000-0005-0000-0000-000043850000}"/>
    <cellStyle name="Total 3 5 2 10" xfId="15670" xr:uid="{00000000-0005-0000-0000-000044850000}"/>
    <cellStyle name="Total 3 5 2 10 2" xfId="37044" xr:uid="{00000000-0005-0000-0000-000045850000}"/>
    <cellStyle name="Total 3 5 2 11" xfId="27585" xr:uid="{00000000-0005-0000-0000-000046850000}"/>
    <cellStyle name="Total 3 5 2 2" xfId="5758" xr:uid="{00000000-0005-0000-0000-000047850000}"/>
    <cellStyle name="Total 3 5 2 2 2" xfId="10793" xr:uid="{00000000-0005-0000-0000-000048850000}"/>
    <cellStyle name="Total 3 5 2 2 2 2" xfId="33803" xr:uid="{00000000-0005-0000-0000-000049850000}"/>
    <cellStyle name="Total 3 5 2 2 2 3" xfId="24205" xr:uid="{00000000-0005-0000-0000-00004A850000}"/>
    <cellStyle name="Total 3 5 2 2 3" xfId="32346" xr:uid="{00000000-0005-0000-0000-00004B850000}"/>
    <cellStyle name="Total 3 5 2 2 4" xfId="29426" xr:uid="{00000000-0005-0000-0000-00004C850000}"/>
    <cellStyle name="Total 3 5 2 2 5" xfId="19316" xr:uid="{00000000-0005-0000-0000-00004D850000}"/>
    <cellStyle name="Total 3 5 2 3" xfId="5229" xr:uid="{00000000-0005-0000-0000-00004E850000}"/>
    <cellStyle name="Total 3 5 2 3 2" xfId="23689" xr:uid="{00000000-0005-0000-0000-00004F850000}"/>
    <cellStyle name="Total 3 5 2 3 3" xfId="18843" xr:uid="{00000000-0005-0000-0000-000050850000}"/>
    <cellStyle name="Total 3 5 2 4" xfId="7233" xr:uid="{00000000-0005-0000-0000-000051850000}"/>
    <cellStyle name="Total 3 5 2 4 2" xfId="25664" xr:uid="{00000000-0005-0000-0000-000052850000}"/>
    <cellStyle name="Total 3 5 2 4 3" xfId="20590" xr:uid="{00000000-0005-0000-0000-000053850000}"/>
    <cellStyle name="Total 3 5 2 5" xfId="7763" xr:uid="{00000000-0005-0000-0000-000054850000}"/>
    <cellStyle name="Total 3 5 2 5 2" xfId="26193" xr:uid="{00000000-0005-0000-0000-000055850000}"/>
    <cellStyle name="Total 3 5 2 5 3" xfId="21118" xr:uid="{00000000-0005-0000-0000-000056850000}"/>
    <cellStyle name="Total 3 5 2 6" xfId="8143" xr:uid="{00000000-0005-0000-0000-000057850000}"/>
    <cellStyle name="Total 3 5 2 6 2" xfId="26573" xr:uid="{00000000-0005-0000-0000-000058850000}"/>
    <cellStyle name="Total 3 5 2 6 3" xfId="21497" xr:uid="{00000000-0005-0000-0000-000059850000}"/>
    <cellStyle name="Total 3 5 2 7" xfId="8867" xr:uid="{00000000-0005-0000-0000-00005A850000}"/>
    <cellStyle name="Total 3 5 2 7 2" xfId="27287" xr:uid="{00000000-0005-0000-0000-00005B850000}"/>
    <cellStyle name="Total 3 5 2 7 3" xfId="22158" xr:uid="{00000000-0005-0000-0000-00005C850000}"/>
    <cellStyle name="Total 3 5 2 8" xfId="4359" xr:uid="{00000000-0005-0000-0000-00005D850000}"/>
    <cellStyle name="Total 3 5 2 8 2" xfId="22823" xr:uid="{00000000-0005-0000-0000-00005E850000}"/>
    <cellStyle name="Total 3 5 2 8 3" xfId="18041" xr:uid="{00000000-0005-0000-0000-00005F850000}"/>
    <cellStyle name="Total 3 5 2 9" xfId="14900" xr:uid="{00000000-0005-0000-0000-000060850000}"/>
    <cellStyle name="Total 3 5 2 9 2" xfId="36348" xr:uid="{00000000-0005-0000-0000-000061850000}"/>
    <cellStyle name="Total 3 5 2 9 3" xfId="17370" xr:uid="{00000000-0005-0000-0000-000062850000}"/>
    <cellStyle name="Total 3 5 3" xfId="5396" xr:uid="{00000000-0005-0000-0000-000063850000}"/>
    <cellStyle name="Total 3 5 3 2" xfId="11354" xr:uid="{00000000-0005-0000-0000-000064850000}"/>
    <cellStyle name="Total 3 5 3 2 2" xfId="34171" xr:uid="{00000000-0005-0000-0000-000065850000}"/>
    <cellStyle name="Total 3 5 3 2 3" xfId="28644" xr:uid="{00000000-0005-0000-0000-000066850000}"/>
    <cellStyle name="Total 3 5 3 2 4" xfId="23850" xr:uid="{00000000-0005-0000-0000-000067850000}"/>
    <cellStyle name="Total 3 5 3 3" xfId="32128" xr:uid="{00000000-0005-0000-0000-000068850000}"/>
    <cellStyle name="Total 3 5 3 4" xfId="27815" xr:uid="{00000000-0005-0000-0000-000069850000}"/>
    <cellStyle name="Total 3 5 3 5" xfId="18993" xr:uid="{00000000-0005-0000-0000-00006A850000}"/>
    <cellStyle name="Total 3 5 4" xfId="4959" xr:uid="{00000000-0005-0000-0000-00006B850000}"/>
    <cellStyle name="Total 3 5 4 2" xfId="10792" xr:uid="{00000000-0005-0000-0000-00006C850000}"/>
    <cellStyle name="Total 3 5 4 2 2" xfId="33802" xr:uid="{00000000-0005-0000-0000-00006D850000}"/>
    <cellStyle name="Total 3 5 4 2 3" xfId="23419" xr:uid="{00000000-0005-0000-0000-00006E850000}"/>
    <cellStyle name="Total 3 5 4 3" xfId="31910" xr:uid="{00000000-0005-0000-0000-00006F850000}"/>
    <cellStyle name="Total 3 5 4 4" xfId="29425" xr:uid="{00000000-0005-0000-0000-000070850000}"/>
    <cellStyle name="Total 3 5 4 5" xfId="18573" xr:uid="{00000000-0005-0000-0000-000071850000}"/>
    <cellStyle name="Total 3 5 5" xfId="6217" xr:uid="{00000000-0005-0000-0000-000072850000}"/>
    <cellStyle name="Total 3 5 5 2" xfId="10211" xr:uid="{00000000-0005-0000-0000-000073850000}"/>
    <cellStyle name="Total 3 5 5 2 2" xfId="33510" xr:uid="{00000000-0005-0000-0000-000074850000}"/>
    <cellStyle name="Total 3 5 5 2 3" xfId="24657" xr:uid="{00000000-0005-0000-0000-000075850000}"/>
    <cellStyle name="Total 3 5 5 3" xfId="32557" xr:uid="{00000000-0005-0000-0000-000076850000}"/>
    <cellStyle name="Total 3 5 5 4" xfId="19766" xr:uid="{00000000-0005-0000-0000-000077850000}"/>
    <cellStyle name="Total 3 5 6" xfId="7446" xr:uid="{00000000-0005-0000-0000-000078850000}"/>
    <cellStyle name="Total 3 5 6 2" xfId="25877" xr:uid="{00000000-0005-0000-0000-000079850000}"/>
    <cellStyle name="Total 3 5 6 3" xfId="20801" xr:uid="{00000000-0005-0000-0000-00007A850000}"/>
    <cellStyle name="Total 3 5 7" xfId="7825" xr:uid="{00000000-0005-0000-0000-00007B850000}"/>
    <cellStyle name="Total 3 5 7 2" xfId="26255" xr:uid="{00000000-0005-0000-0000-00007C850000}"/>
    <cellStyle name="Total 3 5 7 3" xfId="21179" xr:uid="{00000000-0005-0000-0000-00007D850000}"/>
    <cellStyle name="Total 3 5 8" xfId="8546" xr:uid="{00000000-0005-0000-0000-00007E850000}"/>
    <cellStyle name="Total 3 5 8 2" xfId="26969" xr:uid="{00000000-0005-0000-0000-00007F850000}"/>
    <cellStyle name="Total 3 5 8 3" xfId="21837" xr:uid="{00000000-0005-0000-0000-000080850000}"/>
    <cellStyle name="Total 3 5 9" xfId="4038" xr:uid="{00000000-0005-0000-0000-000081850000}"/>
    <cellStyle name="Total 3 5 9 2" xfId="22505" xr:uid="{00000000-0005-0000-0000-000082850000}"/>
    <cellStyle name="Total 3 5 9 3" xfId="17720" xr:uid="{00000000-0005-0000-0000-000083850000}"/>
    <cellStyle name="Total 3 6" xfId="3193" xr:uid="{00000000-0005-0000-0000-000084850000}"/>
    <cellStyle name="Total 3 6 10" xfId="14899" xr:uid="{00000000-0005-0000-0000-000085850000}"/>
    <cellStyle name="Total 3 6 10 2" xfId="36347" xr:uid="{00000000-0005-0000-0000-000086850000}"/>
    <cellStyle name="Total 3 6 10 3" xfId="17036" xr:uid="{00000000-0005-0000-0000-000087850000}"/>
    <cellStyle name="Total 3 6 11" xfId="14809" xr:uid="{00000000-0005-0000-0000-000088850000}"/>
    <cellStyle name="Total 3 6 11 2" xfId="36265" xr:uid="{00000000-0005-0000-0000-000089850000}"/>
    <cellStyle name="Total 3 6 12" xfId="27586" xr:uid="{00000000-0005-0000-0000-00008A850000}"/>
    <cellStyle name="Total 3 6 2" xfId="3632" xr:uid="{00000000-0005-0000-0000-00008B850000}"/>
    <cellStyle name="Total 3 6 2 10" xfId="14616" xr:uid="{00000000-0005-0000-0000-00008C850000}"/>
    <cellStyle name="Total 3 6 2 10 2" xfId="36111" xr:uid="{00000000-0005-0000-0000-00008D850000}"/>
    <cellStyle name="Total 3 6 2 11" xfId="27587" xr:uid="{00000000-0005-0000-0000-00008E850000}"/>
    <cellStyle name="Total 3 6 2 2" xfId="5759" xr:uid="{00000000-0005-0000-0000-00008F850000}"/>
    <cellStyle name="Total 3 6 2 2 2" xfId="10794" xr:uid="{00000000-0005-0000-0000-000090850000}"/>
    <cellStyle name="Total 3 6 2 2 2 2" xfId="33804" xr:uid="{00000000-0005-0000-0000-000091850000}"/>
    <cellStyle name="Total 3 6 2 2 2 3" xfId="24206" xr:uid="{00000000-0005-0000-0000-000092850000}"/>
    <cellStyle name="Total 3 6 2 2 3" xfId="32347" xr:uid="{00000000-0005-0000-0000-000093850000}"/>
    <cellStyle name="Total 3 6 2 2 4" xfId="29428" xr:uid="{00000000-0005-0000-0000-000094850000}"/>
    <cellStyle name="Total 3 6 2 2 5" xfId="19317" xr:uid="{00000000-0005-0000-0000-000095850000}"/>
    <cellStyle name="Total 3 6 2 3" xfId="5230" xr:uid="{00000000-0005-0000-0000-000096850000}"/>
    <cellStyle name="Total 3 6 2 3 2" xfId="23690" xr:uid="{00000000-0005-0000-0000-000097850000}"/>
    <cellStyle name="Total 3 6 2 3 3" xfId="18844" xr:uid="{00000000-0005-0000-0000-000098850000}"/>
    <cellStyle name="Total 3 6 2 4" xfId="7234" xr:uid="{00000000-0005-0000-0000-000099850000}"/>
    <cellStyle name="Total 3 6 2 4 2" xfId="25665" xr:uid="{00000000-0005-0000-0000-00009A850000}"/>
    <cellStyle name="Total 3 6 2 4 3" xfId="20591" xr:uid="{00000000-0005-0000-0000-00009B850000}"/>
    <cellStyle name="Total 3 6 2 5" xfId="7764" xr:uid="{00000000-0005-0000-0000-00009C850000}"/>
    <cellStyle name="Total 3 6 2 5 2" xfId="26194" xr:uid="{00000000-0005-0000-0000-00009D850000}"/>
    <cellStyle name="Total 3 6 2 5 3" xfId="21119" xr:uid="{00000000-0005-0000-0000-00009E850000}"/>
    <cellStyle name="Total 3 6 2 6" xfId="8144" xr:uid="{00000000-0005-0000-0000-00009F850000}"/>
    <cellStyle name="Total 3 6 2 6 2" xfId="26574" xr:uid="{00000000-0005-0000-0000-0000A0850000}"/>
    <cellStyle name="Total 3 6 2 6 3" xfId="21498" xr:uid="{00000000-0005-0000-0000-0000A1850000}"/>
    <cellStyle name="Total 3 6 2 7" xfId="8868" xr:uid="{00000000-0005-0000-0000-0000A2850000}"/>
    <cellStyle name="Total 3 6 2 7 2" xfId="27288" xr:uid="{00000000-0005-0000-0000-0000A3850000}"/>
    <cellStyle name="Total 3 6 2 7 3" xfId="22159" xr:uid="{00000000-0005-0000-0000-0000A4850000}"/>
    <cellStyle name="Total 3 6 2 8" xfId="4360" xr:uid="{00000000-0005-0000-0000-0000A5850000}"/>
    <cellStyle name="Total 3 6 2 8 2" xfId="22824" xr:uid="{00000000-0005-0000-0000-0000A6850000}"/>
    <cellStyle name="Total 3 6 2 8 3" xfId="18042" xr:uid="{00000000-0005-0000-0000-0000A7850000}"/>
    <cellStyle name="Total 3 6 2 9" xfId="14898" xr:uid="{00000000-0005-0000-0000-0000A8850000}"/>
    <cellStyle name="Total 3 6 2 9 2" xfId="36346" xr:uid="{00000000-0005-0000-0000-0000A9850000}"/>
    <cellStyle name="Total 3 6 2 9 3" xfId="17371" xr:uid="{00000000-0005-0000-0000-0000AA850000}"/>
    <cellStyle name="Total 3 6 3" xfId="5397" xr:uid="{00000000-0005-0000-0000-0000AB850000}"/>
    <cellStyle name="Total 3 6 3 2" xfId="11355" xr:uid="{00000000-0005-0000-0000-0000AC850000}"/>
    <cellStyle name="Total 3 6 3 2 2" xfId="34172" xr:uid="{00000000-0005-0000-0000-0000AD850000}"/>
    <cellStyle name="Total 3 6 3 2 3" xfId="28645" xr:uid="{00000000-0005-0000-0000-0000AE850000}"/>
    <cellStyle name="Total 3 6 3 2 4" xfId="23851" xr:uid="{00000000-0005-0000-0000-0000AF850000}"/>
    <cellStyle name="Total 3 6 3 3" xfId="32129" xr:uid="{00000000-0005-0000-0000-0000B0850000}"/>
    <cellStyle name="Total 3 6 3 4" xfId="27816" xr:uid="{00000000-0005-0000-0000-0000B1850000}"/>
    <cellStyle name="Total 3 6 3 5" xfId="18994" xr:uid="{00000000-0005-0000-0000-0000B2850000}"/>
    <cellStyle name="Total 3 6 4" xfId="4960" xr:uid="{00000000-0005-0000-0000-0000B3850000}"/>
    <cellStyle name="Total 3 6 4 2" xfId="11004" xr:uid="{00000000-0005-0000-0000-0000B4850000}"/>
    <cellStyle name="Total 3 6 4 2 2" xfId="33880" xr:uid="{00000000-0005-0000-0000-0000B5850000}"/>
    <cellStyle name="Total 3 6 4 2 3" xfId="23420" xr:uid="{00000000-0005-0000-0000-0000B6850000}"/>
    <cellStyle name="Total 3 6 4 3" xfId="31911" xr:uid="{00000000-0005-0000-0000-0000B7850000}"/>
    <cellStyle name="Total 3 6 4 4" xfId="29427" xr:uid="{00000000-0005-0000-0000-0000B8850000}"/>
    <cellStyle name="Total 3 6 4 5" xfId="18574" xr:uid="{00000000-0005-0000-0000-0000B9850000}"/>
    <cellStyle name="Total 3 6 5" xfId="6216" xr:uid="{00000000-0005-0000-0000-0000BA850000}"/>
    <cellStyle name="Total 3 6 5 2" xfId="10212" xr:uid="{00000000-0005-0000-0000-0000BB850000}"/>
    <cellStyle name="Total 3 6 5 2 2" xfId="33511" xr:uid="{00000000-0005-0000-0000-0000BC850000}"/>
    <cellStyle name="Total 3 6 5 2 3" xfId="24656" xr:uid="{00000000-0005-0000-0000-0000BD850000}"/>
    <cellStyle name="Total 3 6 5 3" xfId="32556" xr:uid="{00000000-0005-0000-0000-0000BE850000}"/>
    <cellStyle name="Total 3 6 5 4" xfId="19765" xr:uid="{00000000-0005-0000-0000-0000BF850000}"/>
    <cellStyle name="Total 3 6 6" xfId="7447" xr:uid="{00000000-0005-0000-0000-0000C0850000}"/>
    <cellStyle name="Total 3 6 6 2" xfId="25878" xr:uid="{00000000-0005-0000-0000-0000C1850000}"/>
    <cellStyle name="Total 3 6 6 3" xfId="20802" xr:uid="{00000000-0005-0000-0000-0000C2850000}"/>
    <cellStyle name="Total 3 6 7" xfId="7826" xr:uid="{00000000-0005-0000-0000-0000C3850000}"/>
    <cellStyle name="Total 3 6 7 2" xfId="26256" xr:uid="{00000000-0005-0000-0000-0000C4850000}"/>
    <cellStyle name="Total 3 6 7 3" xfId="21180" xr:uid="{00000000-0005-0000-0000-0000C5850000}"/>
    <cellStyle name="Total 3 6 8" xfId="8547" xr:uid="{00000000-0005-0000-0000-0000C6850000}"/>
    <cellStyle name="Total 3 6 8 2" xfId="26970" xr:uid="{00000000-0005-0000-0000-0000C7850000}"/>
    <cellStyle name="Total 3 6 8 3" xfId="21838" xr:uid="{00000000-0005-0000-0000-0000C8850000}"/>
    <cellStyle name="Total 3 6 9" xfId="4039" xr:uid="{00000000-0005-0000-0000-0000C9850000}"/>
    <cellStyle name="Total 3 6 9 2" xfId="22506" xr:uid="{00000000-0005-0000-0000-0000CA850000}"/>
    <cellStyle name="Total 3 6 9 3" xfId="17721" xr:uid="{00000000-0005-0000-0000-0000CB850000}"/>
    <cellStyle name="Total 3 7" xfId="3194" xr:uid="{00000000-0005-0000-0000-0000CC850000}"/>
    <cellStyle name="Total 3 7 10" xfId="15600" xr:uid="{00000000-0005-0000-0000-0000CD850000}"/>
    <cellStyle name="Total 3 7 10 2" xfId="36976" xr:uid="{00000000-0005-0000-0000-0000CE850000}"/>
    <cellStyle name="Total 3 7 10 3" xfId="17037" xr:uid="{00000000-0005-0000-0000-0000CF850000}"/>
    <cellStyle name="Total 3 7 11" xfId="16545" xr:uid="{00000000-0005-0000-0000-0000D0850000}"/>
    <cellStyle name="Total 3 7 11 2" xfId="37762" xr:uid="{00000000-0005-0000-0000-0000D1850000}"/>
    <cellStyle name="Total 3 7 12" xfId="27588" xr:uid="{00000000-0005-0000-0000-0000D2850000}"/>
    <cellStyle name="Total 3 7 2" xfId="3633" xr:uid="{00000000-0005-0000-0000-0000D3850000}"/>
    <cellStyle name="Total 3 7 2 10" xfId="14687" xr:uid="{00000000-0005-0000-0000-0000D4850000}"/>
    <cellStyle name="Total 3 7 2 10 2" xfId="36169" xr:uid="{00000000-0005-0000-0000-0000D5850000}"/>
    <cellStyle name="Total 3 7 2 11" xfId="27589" xr:uid="{00000000-0005-0000-0000-0000D6850000}"/>
    <cellStyle name="Total 3 7 2 2" xfId="5760" xr:uid="{00000000-0005-0000-0000-0000D7850000}"/>
    <cellStyle name="Total 3 7 2 2 2" xfId="11003" xr:uid="{00000000-0005-0000-0000-0000D8850000}"/>
    <cellStyle name="Total 3 7 2 2 2 2" xfId="33879" xr:uid="{00000000-0005-0000-0000-0000D9850000}"/>
    <cellStyle name="Total 3 7 2 2 2 3" xfId="24207" xr:uid="{00000000-0005-0000-0000-0000DA850000}"/>
    <cellStyle name="Total 3 7 2 2 3" xfId="32348" xr:uid="{00000000-0005-0000-0000-0000DB850000}"/>
    <cellStyle name="Total 3 7 2 2 4" xfId="29430" xr:uid="{00000000-0005-0000-0000-0000DC850000}"/>
    <cellStyle name="Total 3 7 2 2 5" xfId="19318" xr:uid="{00000000-0005-0000-0000-0000DD850000}"/>
    <cellStyle name="Total 3 7 2 3" xfId="5231" xr:uid="{00000000-0005-0000-0000-0000DE850000}"/>
    <cellStyle name="Total 3 7 2 3 2" xfId="23691" xr:uid="{00000000-0005-0000-0000-0000DF850000}"/>
    <cellStyle name="Total 3 7 2 3 3" xfId="18845" xr:uid="{00000000-0005-0000-0000-0000E0850000}"/>
    <cellStyle name="Total 3 7 2 4" xfId="7235" xr:uid="{00000000-0005-0000-0000-0000E1850000}"/>
    <cellStyle name="Total 3 7 2 4 2" xfId="25666" xr:uid="{00000000-0005-0000-0000-0000E2850000}"/>
    <cellStyle name="Total 3 7 2 4 3" xfId="20592" xr:uid="{00000000-0005-0000-0000-0000E3850000}"/>
    <cellStyle name="Total 3 7 2 5" xfId="7765" xr:uid="{00000000-0005-0000-0000-0000E4850000}"/>
    <cellStyle name="Total 3 7 2 5 2" xfId="26195" xr:uid="{00000000-0005-0000-0000-0000E5850000}"/>
    <cellStyle name="Total 3 7 2 5 3" xfId="21120" xr:uid="{00000000-0005-0000-0000-0000E6850000}"/>
    <cellStyle name="Total 3 7 2 6" xfId="8145" xr:uid="{00000000-0005-0000-0000-0000E7850000}"/>
    <cellStyle name="Total 3 7 2 6 2" xfId="26575" xr:uid="{00000000-0005-0000-0000-0000E8850000}"/>
    <cellStyle name="Total 3 7 2 6 3" xfId="21499" xr:uid="{00000000-0005-0000-0000-0000E9850000}"/>
    <cellStyle name="Total 3 7 2 7" xfId="8869" xr:uid="{00000000-0005-0000-0000-0000EA850000}"/>
    <cellStyle name="Total 3 7 2 7 2" xfId="27289" xr:uid="{00000000-0005-0000-0000-0000EB850000}"/>
    <cellStyle name="Total 3 7 2 7 3" xfId="22160" xr:uid="{00000000-0005-0000-0000-0000EC850000}"/>
    <cellStyle name="Total 3 7 2 8" xfId="4361" xr:uid="{00000000-0005-0000-0000-0000ED850000}"/>
    <cellStyle name="Total 3 7 2 8 2" xfId="22825" xr:uid="{00000000-0005-0000-0000-0000EE850000}"/>
    <cellStyle name="Total 3 7 2 8 3" xfId="18043" xr:uid="{00000000-0005-0000-0000-0000EF850000}"/>
    <cellStyle name="Total 3 7 2 9" xfId="15270" xr:uid="{00000000-0005-0000-0000-0000F0850000}"/>
    <cellStyle name="Total 3 7 2 9 2" xfId="36675" xr:uid="{00000000-0005-0000-0000-0000F1850000}"/>
    <cellStyle name="Total 3 7 2 9 3" xfId="17372" xr:uid="{00000000-0005-0000-0000-0000F2850000}"/>
    <cellStyle name="Total 3 7 3" xfId="5398" xr:uid="{00000000-0005-0000-0000-0000F3850000}"/>
    <cellStyle name="Total 3 7 3 2" xfId="11356" xr:uid="{00000000-0005-0000-0000-0000F4850000}"/>
    <cellStyle name="Total 3 7 3 2 2" xfId="34173" xr:uid="{00000000-0005-0000-0000-0000F5850000}"/>
    <cellStyle name="Total 3 7 3 2 3" xfId="28646" xr:uid="{00000000-0005-0000-0000-0000F6850000}"/>
    <cellStyle name="Total 3 7 3 2 4" xfId="23852" xr:uid="{00000000-0005-0000-0000-0000F7850000}"/>
    <cellStyle name="Total 3 7 3 3" xfId="32130" xr:uid="{00000000-0005-0000-0000-0000F8850000}"/>
    <cellStyle name="Total 3 7 3 4" xfId="27817" xr:uid="{00000000-0005-0000-0000-0000F9850000}"/>
    <cellStyle name="Total 3 7 3 5" xfId="18995" xr:uid="{00000000-0005-0000-0000-0000FA850000}"/>
    <cellStyle name="Total 3 7 4" xfId="4961" xr:uid="{00000000-0005-0000-0000-0000FB850000}"/>
    <cellStyle name="Total 3 7 4 2" xfId="11005" xr:uid="{00000000-0005-0000-0000-0000FC850000}"/>
    <cellStyle name="Total 3 7 4 2 2" xfId="33881" xr:uid="{00000000-0005-0000-0000-0000FD850000}"/>
    <cellStyle name="Total 3 7 4 2 3" xfId="23421" xr:uid="{00000000-0005-0000-0000-0000FE850000}"/>
    <cellStyle name="Total 3 7 4 3" xfId="31912" xr:uid="{00000000-0005-0000-0000-0000FF850000}"/>
    <cellStyle name="Total 3 7 4 4" xfId="29429" xr:uid="{00000000-0005-0000-0000-000000860000}"/>
    <cellStyle name="Total 3 7 4 5" xfId="18575" xr:uid="{00000000-0005-0000-0000-000001860000}"/>
    <cellStyle name="Total 3 7 5" xfId="6215" xr:uid="{00000000-0005-0000-0000-000002860000}"/>
    <cellStyle name="Total 3 7 5 2" xfId="10213" xr:uid="{00000000-0005-0000-0000-000003860000}"/>
    <cellStyle name="Total 3 7 5 2 2" xfId="33512" xr:uid="{00000000-0005-0000-0000-000004860000}"/>
    <cellStyle name="Total 3 7 5 2 3" xfId="24655" xr:uid="{00000000-0005-0000-0000-000005860000}"/>
    <cellStyle name="Total 3 7 5 3" xfId="32555" xr:uid="{00000000-0005-0000-0000-000006860000}"/>
    <cellStyle name="Total 3 7 5 4" xfId="19764" xr:uid="{00000000-0005-0000-0000-000007860000}"/>
    <cellStyle name="Total 3 7 6" xfId="7448" xr:uid="{00000000-0005-0000-0000-000008860000}"/>
    <cellStyle name="Total 3 7 6 2" xfId="25879" xr:uid="{00000000-0005-0000-0000-000009860000}"/>
    <cellStyle name="Total 3 7 6 3" xfId="20803" xr:uid="{00000000-0005-0000-0000-00000A860000}"/>
    <cellStyle name="Total 3 7 7" xfId="7827" xr:uid="{00000000-0005-0000-0000-00000B860000}"/>
    <cellStyle name="Total 3 7 7 2" xfId="26257" xr:uid="{00000000-0005-0000-0000-00000C860000}"/>
    <cellStyle name="Total 3 7 7 3" xfId="21181" xr:uid="{00000000-0005-0000-0000-00000D860000}"/>
    <cellStyle name="Total 3 7 8" xfId="8548" xr:uid="{00000000-0005-0000-0000-00000E860000}"/>
    <cellStyle name="Total 3 7 8 2" xfId="26971" xr:uid="{00000000-0005-0000-0000-00000F860000}"/>
    <cellStyle name="Total 3 7 8 3" xfId="21839" xr:uid="{00000000-0005-0000-0000-000010860000}"/>
    <cellStyle name="Total 3 7 9" xfId="4040" xr:uid="{00000000-0005-0000-0000-000011860000}"/>
    <cellStyle name="Total 3 7 9 2" xfId="22507" xr:uid="{00000000-0005-0000-0000-000012860000}"/>
    <cellStyle name="Total 3 7 9 3" xfId="17722" xr:uid="{00000000-0005-0000-0000-000013860000}"/>
    <cellStyle name="Total 3 8" xfId="3195" xr:uid="{00000000-0005-0000-0000-000014860000}"/>
    <cellStyle name="Total 3 8 10" xfId="15269" xr:uid="{00000000-0005-0000-0000-000015860000}"/>
    <cellStyle name="Total 3 8 10 2" xfId="36674" xr:uid="{00000000-0005-0000-0000-000016860000}"/>
    <cellStyle name="Total 3 8 10 3" xfId="17038" xr:uid="{00000000-0005-0000-0000-000017860000}"/>
    <cellStyle name="Total 3 8 11" xfId="15639" xr:uid="{00000000-0005-0000-0000-000018860000}"/>
    <cellStyle name="Total 3 8 11 2" xfId="37014" xr:uid="{00000000-0005-0000-0000-000019860000}"/>
    <cellStyle name="Total 3 8 12" xfId="27590" xr:uid="{00000000-0005-0000-0000-00001A860000}"/>
    <cellStyle name="Total 3 8 2" xfId="3634" xr:uid="{00000000-0005-0000-0000-00001B860000}"/>
    <cellStyle name="Total 3 8 2 10" xfId="15760" xr:uid="{00000000-0005-0000-0000-00001C860000}"/>
    <cellStyle name="Total 3 8 2 10 2" xfId="37122" xr:uid="{00000000-0005-0000-0000-00001D860000}"/>
    <cellStyle name="Total 3 8 2 11" xfId="27591" xr:uid="{00000000-0005-0000-0000-00001E860000}"/>
    <cellStyle name="Total 3 8 2 2" xfId="5761" xr:uid="{00000000-0005-0000-0000-00001F860000}"/>
    <cellStyle name="Total 3 8 2 2 2" xfId="11006" xr:uid="{00000000-0005-0000-0000-000020860000}"/>
    <cellStyle name="Total 3 8 2 2 2 2" xfId="33882" xr:uid="{00000000-0005-0000-0000-000021860000}"/>
    <cellStyle name="Total 3 8 2 2 2 3" xfId="24208" xr:uid="{00000000-0005-0000-0000-000022860000}"/>
    <cellStyle name="Total 3 8 2 2 3" xfId="32349" xr:uid="{00000000-0005-0000-0000-000023860000}"/>
    <cellStyle name="Total 3 8 2 2 4" xfId="29432" xr:uid="{00000000-0005-0000-0000-000024860000}"/>
    <cellStyle name="Total 3 8 2 2 5" xfId="19319" xr:uid="{00000000-0005-0000-0000-000025860000}"/>
    <cellStyle name="Total 3 8 2 3" xfId="5232" xr:uid="{00000000-0005-0000-0000-000026860000}"/>
    <cellStyle name="Total 3 8 2 3 2" xfId="23692" xr:uid="{00000000-0005-0000-0000-000027860000}"/>
    <cellStyle name="Total 3 8 2 3 3" xfId="18846" xr:uid="{00000000-0005-0000-0000-000028860000}"/>
    <cellStyle name="Total 3 8 2 4" xfId="7236" xr:uid="{00000000-0005-0000-0000-000029860000}"/>
    <cellStyle name="Total 3 8 2 4 2" xfId="25667" xr:uid="{00000000-0005-0000-0000-00002A860000}"/>
    <cellStyle name="Total 3 8 2 4 3" xfId="20593" xr:uid="{00000000-0005-0000-0000-00002B860000}"/>
    <cellStyle name="Total 3 8 2 5" xfId="7766" xr:uid="{00000000-0005-0000-0000-00002C860000}"/>
    <cellStyle name="Total 3 8 2 5 2" xfId="26196" xr:uid="{00000000-0005-0000-0000-00002D860000}"/>
    <cellStyle name="Total 3 8 2 5 3" xfId="21121" xr:uid="{00000000-0005-0000-0000-00002E860000}"/>
    <cellStyle name="Total 3 8 2 6" xfId="8146" xr:uid="{00000000-0005-0000-0000-00002F860000}"/>
    <cellStyle name="Total 3 8 2 6 2" xfId="26576" xr:uid="{00000000-0005-0000-0000-000030860000}"/>
    <cellStyle name="Total 3 8 2 6 3" xfId="21500" xr:uid="{00000000-0005-0000-0000-000031860000}"/>
    <cellStyle name="Total 3 8 2 7" xfId="8870" xr:uid="{00000000-0005-0000-0000-000032860000}"/>
    <cellStyle name="Total 3 8 2 7 2" xfId="27290" xr:uid="{00000000-0005-0000-0000-000033860000}"/>
    <cellStyle name="Total 3 8 2 7 3" xfId="22161" xr:uid="{00000000-0005-0000-0000-000034860000}"/>
    <cellStyle name="Total 3 8 2 8" xfId="4362" xr:uid="{00000000-0005-0000-0000-000035860000}"/>
    <cellStyle name="Total 3 8 2 8 2" xfId="22826" xr:uid="{00000000-0005-0000-0000-000036860000}"/>
    <cellStyle name="Total 3 8 2 8 3" xfId="18044" xr:uid="{00000000-0005-0000-0000-000037860000}"/>
    <cellStyle name="Total 3 8 2 9" xfId="14897" xr:uid="{00000000-0005-0000-0000-000038860000}"/>
    <cellStyle name="Total 3 8 2 9 2" xfId="36345" xr:uid="{00000000-0005-0000-0000-000039860000}"/>
    <cellStyle name="Total 3 8 2 9 3" xfId="17373" xr:uid="{00000000-0005-0000-0000-00003A860000}"/>
    <cellStyle name="Total 3 8 3" xfId="5399" xr:uid="{00000000-0005-0000-0000-00003B860000}"/>
    <cellStyle name="Total 3 8 3 2" xfId="11357" xr:uid="{00000000-0005-0000-0000-00003C860000}"/>
    <cellStyle name="Total 3 8 3 2 2" xfId="34174" xr:uid="{00000000-0005-0000-0000-00003D860000}"/>
    <cellStyle name="Total 3 8 3 2 3" xfId="28647" xr:uid="{00000000-0005-0000-0000-00003E860000}"/>
    <cellStyle name="Total 3 8 3 2 4" xfId="23853" xr:uid="{00000000-0005-0000-0000-00003F860000}"/>
    <cellStyle name="Total 3 8 3 3" xfId="32131" xr:uid="{00000000-0005-0000-0000-000040860000}"/>
    <cellStyle name="Total 3 8 3 4" xfId="27818" xr:uid="{00000000-0005-0000-0000-000041860000}"/>
    <cellStyle name="Total 3 8 3 5" xfId="18996" xr:uid="{00000000-0005-0000-0000-000042860000}"/>
    <cellStyle name="Total 3 8 4" xfId="4962" xr:uid="{00000000-0005-0000-0000-000043860000}"/>
    <cellStyle name="Total 3 8 4 2" xfId="10795" xr:uid="{00000000-0005-0000-0000-000044860000}"/>
    <cellStyle name="Total 3 8 4 2 2" xfId="33805" xr:uid="{00000000-0005-0000-0000-000045860000}"/>
    <cellStyle name="Total 3 8 4 2 3" xfId="23422" xr:uid="{00000000-0005-0000-0000-000046860000}"/>
    <cellStyle name="Total 3 8 4 3" xfId="31913" xr:uid="{00000000-0005-0000-0000-000047860000}"/>
    <cellStyle name="Total 3 8 4 4" xfId="29431" xr:uid="{00000000-0005-0000-0000-000048860000}"/>
    <cellStyle name="Total 3 8 4 5" xfId="18576" xr:uid="{00000000-0005-0000-0000-000049860000}"/>
    <cellStyle name="Total 3 8 5" xfId="6214" xr:uid="{00000000-0005-0000-0000-00004A860000}"/>
    <cellStyle name="Total 3 8 5 2" xfId="10214" xr:uid="{00000000-0005-0000-0000-00004B860000}"/>
    <cellStyle name="Total 3 8 5 2 2" xfId="33513" xr:uid="{00000000-0005-0000-0000-00004C860000}"/>
    <cellStyle name="Total 3 8 5 2 3" xfId="24654" xr:uid="{00000000-0005-0000-0000-00004D860000}"/>
    <cellStyle name="Total 3 8 5 3" xfId="32554" xr:uid="{00000000-0005-0000-0000-00004E860000}"/>
    <cellStyle name="Total 3 8 5 4" xfId="19763" xr:uid="{00000000-0005-0000-0000-00004F860000}"/>
    <cellStyle name="Total 3 8 6" xfId="7449" xr:uid="{00000000-0005-0000-0000-000050860000}"/>
    <cellStyle name="Total 3 8 6 2" xfId="25880" xr:uid="{00000000-0005-0000-0000-000051860000}"/>
    <cellStyle name="Total 3 8 6 3" xfId="20804" xr:uid="{00000000-0005-0000-0000-000052860000}"/>
    <cellStyle name="Total 3 8 7" xfId="7828" xr:uid="{00000000-0005-0000-0000-000053860000}"/>
    <cellStyle name="Total 3 8 7 2" xfId="26258" xr:uid="{00000000-0005-0000-0000-000054860000}"/>
    <cellStyle name="Total 3 8 7 3" xfId="21182" xr:uid="{00000000-0005-0000-0000-000055860000}"/>
    <cellStyle name="Total 3 8 8" xfId="8549" xr:uid="{00000000-0005-0000-0000-000056860000}"/>
    <cellStyle name="Total 3 8 8 2" xfId="26972" xr:uid="{00000000-0005-0000-0000-000057860000}"/>
    <cellStyle name="Total 3 8 8 3" xfId="21840" xr:uid="{00000000-0005-0000-0000-000058860000}"/>
    <cellStyle name="Total 3 8 9" xfId="4041" xr:uid="{00000000-0005-0000-0000-000059860000}"/>
    <cellStyle name="Total 3 8 9 2" xfId="22508" xr:uid="{00000000-0005-0000-0000-00005A860000}"/>
    <cellStyle name="Total 3 8 9 3" xfId="17723" xr:uid="{00000000-0005-0000-0000-00005B860000}"/>
    <cellStyle name="Total 3 9" xfId="3196" xr:uid="{00000000-0005-0000-0000-00005C860000}"/>
    <cellStyle name="Total 3 9 10" xfId="14896" xr:uid="{00000000-0005-0000-0000-00005D860000}"/>
    <cellStyle name="Total 3 9 10 2" xfId="36344" xr:uid="{00000000-0005-0000-0000-00005E860000}"/>
    <cellStyle name="Total 3 9 10 3" xfId="17039" xr:uid="{00000000-0005-0000-0000-00005F860000}"/>
    <cellStyle name="Total 3 9 11" xfId="14705" xr:uid="{00000000-0005-0000-0000-000060860000}"/>
    <cellStyle name="Total 3 9 11 2" xfId="36185" xr:uid="{00000000-0005-0000-0000-000061860000}"/>
    <cellStyle name="Total 3 9 12" xfId="27592" xr:uid="{00000000-0005-0000-0000-000062860000}"/>
    <cellStyle name="Total 3 9 2" xfId="3635" xr:uid="{00000000-0005-0000-0000-000063860000}"/>
    <cellStyle name="Total 3 9 2 10" xfId="16412" xr:uid="{00000000-0005-0000-0000-000064860000}"/>
    <cellStyle name="Total 3 9 2 10 2" xfId="37700" xr:uid="{00000000-0005-0000-0000-000065860000}"/>
    <cellStyle name="Total 3 9 2 11" xfId="27593" xr:uid="{00000000-0005-0000-0000-000066860000}"/>
    <cellStyle name="Total 3 9 2 2" xfId="5762" xr:uid="{00000000-0005-0000-0000-000067860000}"/>
    <cellStyle name="Total 3 9 2 2 2" xfId="11007" xr:uid="{00000000-0005-0000-0000-000068860000}"/>
    <cellStyle name="Total 3 9 2 2 2 2" xfId="33883" xr:uid="{00000000-0005-0000-0000-000069860000}"/>
    <cellStyle name="Total 3 9 2 2 2 3" xfId="24209" xr:uid="{00000000-0005-0000-0000-00006A860000}"/>
    <cellStyle name="Total 3 9 2 2 3" xfId="32350" xr:uid="{00000000-0005-0000-0000-00006B860000}"/>
    <cellStyle name="Total 3 9 2 2 4" xfId="29434" xr:uid="{00000000-0005-0000-0000-00006C860000}"/>
    <cellStyle name="Total 3 9 2 2 5" xfId="19320" xr:uid="{00000000-0005-0000-0000-00006D860000}"/>
    <cellStyle name="Total 3 9 2 3" xfId="5233" xr:uid="{00000000-0005-0000-0000-00006E860000}"/>
    <cellStyle name="Total 3 9 2 3 2" xfId="23693" xr:uid="{00000000-0005-0000-0000-00006F860000}"/>
    <cellStyle name="Total 3 9 2 3 3" xfId="18847" xr:uid="{00000000-0005-0000-0000-000070860000}"/>
    <cellStyle name="Total 3 9 2 4" xfId="7237" xr:uid="{00000000-0005-0000-0000-000071860000}"/>
    <cellStyle name="Total 3 9 2 4 2" xfId="25668" xr:uid="{00000000-0005-0000-0000-000072860000}"/>
    <cellStyle name="Total 3 9 2 4 3" xfId="20594" xr:uid="{00000000-0005-0000-0000-000073860000}"/>
    <cellStyle name="Total 3 9 2 5" xfId="7767" xr:uid="{00000000-0005-0000-0000-000074860000}"/>
    <cellStyle name="Total 3 9 2 5 2" xfId="26197" xr:uid="{00000000-0005-0000-0000-000075860000}"/>
    <cellStyle name="Total 3 9 2 5 3" xfId="21122" xr:uid="{00000000-0005-0000-0000-000076860000}"/>
    <cellStyle name="Total 3 9 2 6" xfId="8147" xr:uid="{00000000-0005-0000-0000-000077860000}"/>
    <cellStyle name="Total 3 9 2 6 2" xfId="26577" xr:uid="{00000000-0005-0000-0000-000078860000}"/>
    <cellStyle name="Total 3 9 2 6 3" xfId="21501" xr:uid="{00000000-0005-0000-0000-000079860000}"/>
    <cellStyle name="Total 3 9 2 7" xfId="8871" xr:uid="{00000000-0005-0000-0000-00007A860000}"/>
    <cellStyle name="Total 3 9 2 7 2" xfId="27291" xr:uid="{00000000-0005-0000-0000-00007B860000}"/>
    <cellStyle name="Total 3 9 2 7 3" xfId="22162" xr:uid="{00000000-0005-0000-0000-00007C860000}"/>
    <cellStyle name="Total 3 9 2 8" xfId="4363" xr:uid="{00000000-0005-0000-0000-00007D860000}"/>
    <cellStyle name="Total 3 9 2 8 2" xfId="22827" xr:uid="{00000000-0005-0000-0000-00007E860000}"/>
    <cellStyle name="Total 3 9 2 8 3" xfId="18045" xr:uid="{00000000-0005-0000-0000-00007F860000}"/>
    <cellStyle name="Total 3 9 2 9" xfId="14895" xr:uid="{00000000-0005-0000-0000-000080860000}"/>
    <cellStyle name="Total 3 9 2 9 2" xfId="36343" xr:uid="{00000000-0005-0000-0000-000081860000}"/>
    <cellStyle name="Total 3 9 2 9 3" xfId="17374" xr:uid="{00000000-0005-0000-0000-000082860000}"/>
    <cellStyle name="Total 3 9 3" xfId="5400" xr:uid="{00000000-0005-0000-0000-000083860000}"/>
    <cellStyle name="Total 3 9 3 2" xfId="11358" xr:uid="{00000000-0005-0000-0000-000084860000}"/>
    <cellStyle name="Total 3 9 3 2 2" xfId="34175" xr:uid="{00000000-0005-0000-0000-000085860000}"/>
    <cellStyle name="Total 3 9 3 2 3" xfId="28648" xr:uid="{00000000-0005-0000-0000-000086860000}"/>
    <cellStyle name="Total 3 9 3 2 4" xfId="23854" xr:uid="{00000000-0005-0000-0000-000087860000}"/>
    <cellStyle name="Total 3 9 3 3" xfId="32132" xr:uid="{00000000-0005-0000-0000-000088860000}"/>
    <cellStyle name="Total 3 9 3 4" xfId="27819" xr:uid="{00000000-0005-0000-0000-000089860000}"/>
    <cellStyle name="Total 3 9 3 5" xfId="18997" xr:uid="{00000000-0005-0000-0000-00008A860000}"/>
    <cellStyle name="Total 3 9 4" xfId="4963" xr:uid="{00000000-0005-0000-0000-00008B860000}"/>
    <cellStyle name="Total 3 9 4 2" xfId="10796" xr:uid="{00000000-0005-0000-0000-00008C860000}"/>
    <cellStyle name="Total 3 9 4 2 2" xfId="33806" xr:uid="{00000000-0005-0000-0000-00008D860000}"/>
    <cellStyle name="Total 3 9 4 2 3" xfId="23423" xr:uid="{00000000-0005-0000-0000-00008E860000}"/>
    <cellStyle name="Total 3 9 4 3" xfId="31914" xr:uid="{00000000-0005-0000-0000-00008F860000}"/>
    <cellStyle name="Total 3 9 4 4" xfId="29433" xr:uid="{00000000-0005-0000-0000-000090860000}"/>
    <cellStyle name="Total 3 9 4 5" xfId="18577" xr:uid="{00000000-0005-0000-0000-000091860000}"/>
    <cellStyle name="Total 3 9 5" xfId="6213" xr:uid="{00000000-0005-0000-0000-000092860000}"/>
    <cellStyle name="Total 3 9 5 2" xfId="10215" xr:uid="{00000000-0005-0000-0000-000093860000}"/>
    <cellStyle name="Total 3 9 5 2 2" xfId="33514" xr:uid="{00000000-0005-0000-0000-000094860000}"/>
    <cellStyle name="Total 3 9 5 2 3" xfId="24653" xr:uid="{00000000-0005-0000-0000-000095860000}"/>
    <cellStyle name="Total 3 9 5 3" xfId="32553" xr:uid="{00000000-0005-0000-0000-000096860000}"/>
    <cellStyle name="Total 3 9 5 4" xfId="19762" xr:uid="{00000000-0005-0000-0000-000097860000}"/>
    <cellStyle name="Total 3 9 6" xfId="7450" xr:uid="{00000000-0005-0000-0000-000098860000}"/>
    <cellStyle name="Total 3 9 6 2" xfId="25881" xr:uid="{00000000-0005-0000-0000-000099860000}"/>
    <cellStyle name="Total 3 9 6 3" xfId="20805" xr:uid="{00000000-0005-0000-0000-00009A860000}"/>
    <cellStyle name="Total 3 9 7" xfId="7829" xr:uid="{00000000-0005-0000-0000-00009B860000}"/>
    <cellStyle name="Total 3 9 7 2" xfId="26259" xr:uid="{00000000-0005-0000-0000-00009C860000}"/>
    <cellStyle name="Total 3 9 7 3" xfId="21183" xr:uid="{00000000-0005-0000-0000-00009D860000}"/>
    <cellStyle name="Total 3 9 8" xfId="8550" xr:uid="{00000000-0005-0000-0000-00009E860000}"/>
    <cellStyle name="Total 3 9 8 2" xfId="26973" xr:uid="{00000000-0005-0000-0000-00009F860000}"/>
    <cellStyle name="Total 3 9 8 3" xfId="21841" xr:uid="{00000000-0005-0000-0000-0000A0860000}"/>
    <cellStyle name="Total 3 9 9" xfId="4042" xr:uid="{00000000-0005-0000-0000-0000A1860000}"/>
    <cellStyle name="Total 3 9 9 2" xfId="22509" xr:uid="{00000000-0005-0000-0000-0000A2860000}"/>
    <cellStyle name="Total 3 9 9 3" xfId="17724" xr:uid="{00000000-0005-0000-0000-0000A3860000}"/>
    <cellStyle name="Total 30" xfId="40703" xr:uid="{00000000-0005-0000-0000-0000F1120000}"/>
    <cellStyle name="Total 31" xfId="40704" xr:uid="{00000000-0005-0000-0000-0000F2120000}"/>
    <cellStyle name="Total 32" xfId="40705" xr:uid="{00000000-0005-0000-0000-0000F3120000}"/>
    <cellStyle name="Total 33" xfId="40706" xr:uid="{00000000-0005-0000-0000-0000F4120000}"/>
    <cellStyle name="Total 34" xfId="40707" xr:uid="{00000000-0005-0000-0000-0000F5120000}"/>
    <cellStyle name="Total 35" xfId="40708" xr:uid="{00000000-0005-0000-0000-0000F6120000}"/>
    <cellStyle name="Total 36" xfId="40709" xr:uid="{00000000-0005-0000-0000-0000F7120000}"/>
    <cellStyle name="Total 37" xfId="40710" xr:uid="{00000000-0005-0000-0000-0000F8120000}"/>
    <cellStyle name="Total 38" xfId="40711" xr:uid="{00000000-0005-0000-0000-0000F9120000}"/>
    <cellStyle name="Total 39" xfId="40712" xr:uid="{00000000-0005-0000-0000-0000FA120000}"/>
    <cellStyle name="Total 4" xfId="3197" xr:uid="{00000000-0005-0000-0000-0000A4860000}"/>
    <cellStyle name="Total 4 10" xfId="3198" xr:uid="{00000000-0005-0000-0000-0000A5860000}"/>
    <cellStyle name="Total 4 10 10" xfId="14893" xr:uid="{00000000-0005-0000-0000-0000A6860000}"/>
    <cellStyle name="Total 4 10 10 2" xfId="36341" xr:uid="{00000000-0005-0000-0000-0000A7860000}"/>
    <cellStyle name="Total 4 10 10 3" xfId="17041" xr:uid="{00000000-0005-0000-0000-0000A8860000}"/>
    <cellStyle name="Total 4 10 11" xfId="15248" xr:uid="{00000000-0005-0000-0000-0000A9860000}"/>
    <cellStyle name="Total 4 10 11 2" xfId="36654" xr:uid="{00000000-0005-0000-0000-0000AA860000}"/>
    <cellStyle name="Total 4 10 12" xfId="27595" xr:uid="{00000000-0005-0000-0000-0000AB860000}"/>
    <cellStyle name="Total 4 10 2" xfId="3637" xr:uid="{00000000-0005-0000-0000-0000AC860000}"/>
    <cellStyle name="Total 4 10 2 10" xfId="16183" xr:uid="{00000000-0005-0000-0000-0000AD860000}"/>
    <cellStyle name="Total 4 10 2 10 2" xfId="37499" xr:uid="{00000000-0005-0000-0000-0000AE860000}"/>
    <cellStyle name="Total 4 10 2 11" xfId="27596" xr:uid="{00000000-0005-0000-0000-0000AF860000}"/>
    <cellStyle name="Total 4 10 2 2" xfId="5764" xr:uid="{00000000-0005-0000-0000-0000B0860000}"/>
    <cellStyle name="Total 4 10 2 2 2" xfId="10798" xr:uid="{00000000-0005-0000-0000-0000B1860000}"/>
    <cellStyle name="Total 4 10 2 2 2 2" xfId="33808" xr:uid="{00000000-0005-0000-0000-0000B2860000}"/>
    <cellStyle name="Total 4 10 2 2 2 3" xfId="24211" xr:uid="{00000000-0005-0000-0000-0000B3860000}"/>
    <cellStyle name="Total 4 10 2 2 3" xfId="32352" xr:uid="{00000000-0005-0000-0000-0000B4860000}"/>
    <cellStyle name="Total 4 10 2 2 4" xfId="29437" xr:uid="{00000000-0005-0000-0000-0000B5860000}"/>
    <cellStyle name="Total 4 10 2 2 5" xfId="19322" xr:uid="{00000000-0005-0000-0000-0000B6860000}"/>
    <cellStyle name="Total 4 10 2 3" xfId="5806" xr:uid="{00000000-0005-0000-0000-0000B7860000}"/>
    <cellStyle name="Total 4 10 2 3 2" xfId="24253" xr:uid="{00000000-0005-0000-0000-0000B8860000}"/>
    <cellStyle name="Total 4 10 2 3 3" xfId="19364" xr:uid="{00000000-0005-0000-0000-0000B9860000}"/>
    <cellStyle name="Total 4 10 2 4" xfId="7239" xr:uid="{00000000-0005-0000-0000-0000BA860000}"/>
    <cellStyle name="Total 4 10 2 4 2" xfId="25670" xr:uid="{00000000-0005-0000-0000-0000BB860000}"/>
    <cellStyle name="Total 4 10 2 4 3" xfId="20596" xr:uid="{00000000-0005-0000-0000-0000BC860000}"/>
    <cellStyle name="Total 4 10 2 5" xfId="7769" xr:uid="{00000000-0005-0000-0000-0000BD860000}"/>
    <cellStyle name="Total 4 10 2 5 2" xfId="26199" xr:uid="{00000000-0005-0000-0000-0000BE860000}"/>
    <cellStyle name="Total 4 10 2 5 3" xfId="21124" xr:uid="{00000000-0005-0000-0000-0000BF860000}"/>
    <cellStyle name="Total 4 10 2 6" xfId="8149" xr:uid="{00000000-0005-0000-0000-0000C0860000}"/>
    <cellStyle name="Total 4 10 2 6 2" xfId="26579" xr:uid="{00000000-0005-0000-0000-0000C1860000}"/>
    <cellStyle name="Total 4 10 2 6 3" xfId="21503" xr:uid="{00000000-0005-0000-0000-0000C2860000}"/>
    <cellStyle name="Total 4 10 2 7" xfId="8873" xr:uid="{00000000-0005-0000-0000-0000C3860000}"/>
    <cellStyle name="Total 4 10 2 7 2" xfId="27293" xr:uid="{00000000-0005-0000-0000-0000C4860000}"/>
    <cellStyle name="Total 4 10 2 7 3" xfId="22164" xr:uid="{00000000-0005-0000-0000-0000C5860000}"/>
    <cellStyle name="Total 4 10 2 8" xfId="4365" xr:uid="{00000000-0005-0000-0000-0000C6860000}"/>
    <cellStyle name="Total 4 10 2 8 2" xfId="22829" xr:uid="{00000000-0005-0000-0000-0000C7860000}"/>
    <cellStyle name="Total 4 10 2 8 3" xfId="18047" xr:uid="{00000000-0005-0000-0000-0000C8860000}"/>
    <cellStyle name="Total 4 10 2 9" xfId="14892" xr:uid="{00000000-0005-0000-0000-0000C9860000}"/>
    <cellStyle name="Total 4 10 2 9 2" xfId="36340" xr:uid="{00000000-0005-0000-0000-0000CA860000}"/>
    <cellStyle name="Total 4 10 2 9 3" xfId="17376" xr:uid="{00000000-0005-0000-0000-0000CB860000}"/>
    <cellStyle name="Total 4 10 3" xfId="5402" xr:uid="{00000000-0005-0000-0000-0000CC860000}"/>
    <cellStyle name="Total 4 10 3 2" xfId="11360" xr:uid="{00000000-0005-0000-0000-0000CD860000}"/>
    <cellStyle name="Total 4 10 3 2 2" xfId="34177" xr:uid="{00000000-0005-0000-0000-0000CE860000}"/>
    <cellStyle name="Total 4 10 3 2 3" xfId="28650" xr:uid="{00000000-0005-0000-0000-0000CF860000}"/>
    <cellStyle name="Total 4 10 3 2 4" xfId="23856" xr:uid="{00000000-0005-0000-0000-0000D0860000}"/>
    <cellStyle name="Total 4 10 3 3" xfId="32134" xr:uid="{00000000-0005-0000-0000-0000D1860000}"/>
    <cellStyle name="Total 4 10 3 4" xfId="27821" xr:uid="{00000000-0005-0000-0000-0000D2860000}"/>
    <cellStyle name="Total 4 10 3 5" xfId="18999" xr:uid="{00000000-0005-0000-0000-0000D3860000}"/>
    <cellStyle name="Total 4 10 4" xfId="4965" xr:uid="{00000000-0005-0000-0000-0000D4860000}"/>
    <cellStyle name="Total 4 10 4 2" xfId="11008" xr:uid="{00000000-0005-0000-0000-0000D5860000}"/>
    <cellStyle name="Total 4 10 4 2 2" xfId="33884" xr:uid="{00000000-0005-0000-0000-0000D6860000}"/>
    <cellStyle name="Total 4 10 4 2 3" xfId="23425" xr:uid="{00000000-0005-0000-0000-0000D7860000}"/>
    <cellStyle name="Total 4 10 4 3" xfId="31916" xr:uid="{00000000-0005-0000-0000-0000D8860000}"/>
    <cellStyle name="Total 4 10 4 4" xfId="29436" xr:uid="{00000000-0005-0000-0000-0000D9860000}"/>
    <cellStyle name="Total 4 10 4 5" xfId="18579" xr:uid="{00000000-0005-0000-0000-0000DA860000}"/>
    <cellStyle name="Total 4 10 5" xfId="6211" xr:uid="{00000000-0005-0000-0000-0000DB860000}"/>
    <cellStyle name="Total 4 10 5 2" xfId="10217" xr:uid="{00000000-0005-0000-0000-0000DC860000}"/>
    <cellStyle name="Total 4 10 5 2 2" xfId="33516" xr:uid="{00000000-0005-0000-0000-0000DD860000}"/>
    <cellStyle name="Total 4 10 5 2 3" xfId="24651" xr:uid="{00000000-0005-0000-0000-0000DE860000}"/>
    <cellStyle name="Total 4 10 5 3" xfId="32551" xr:uid="{00000000-0005-0000-0000-0000DF860000}"/>
    <cellStyle name="Total 4 10 5 4" xfId="19760" xr:uid="{00000000-0005-0000-0000-0000E0860000}"/>
    <cellStyle name="Total 4 10 6" xfId="7452" xr:uid="{00000000-0005-0000-0000-0000E1860000}"/>
    <cellStyle name="Total 4 10 6 2" xfId="25883" xr:uid="{00000000-0005-0000-0000-0000E2860000}"/>
    <cellStyle name="Total 4 10 6 3" xfId="20807" xr:uid="{00000000-0005-0000-0000-0000E3860000}"/>
    <cellStyle name="Total 4 10 7" xfId="7831" xr:uid="{00000000-0005-0000-0000-0000E4860000}"/>
    <cellStyle name="Total 4 10 7 2" xfId="26261" xr:uid="{00000000-0005-0000-0000-0000E5860000}"/>
    <cellStyle name="Total 4 10 7 3" xfId="21185" xr:uid="{00000000-0005-0000-0000-0000E6860000}"/>
    <cellStyle name="Total 4 10 8" xfId="8552" xr:uid="{00000000-0005-0000-0000-0000E7860000}"/>
    <cellStyle name="Total 4 10 8 2" xfId="26975" xr:uid="{00000000-0005-0000-0000-0000E8860000}"/>
    <cellStyle name="Total 4 10 8 3" xfId="21843" xr:uid="{00000000-0005-0000-0000-0000E9860000}"/>
    <cellStyle name="Total 4 10 9" xfId="4044" xr:uid="{00000000-0005-0000-0000-0000EA860000}"/>
    <cellStyle name="Total 4 10 9 2" xfId="22511" xr:uid="{00000000-0005-0000-0000-0000EB860000}"/>
    <cellStyle name="Total 4 10 9 3" xfId="17726" xr:uid="{00000000-0005-0000-0000-0000EC860000}"/>
    <cellStyle name="Total 4 11" xfId="3199" xr:uid="{00000000-0005-0000-0000-0000ED860000}"/>
    <cellStyle name="Total 4 11 10" xfId="16224" xr:uid="{00000000-0005-0000-0000-0000EE860000}"/>
    <cellStyle name="Total 4 11 10 2" xfId="37537" xr:uid="{00000000-0005-0000-0000-0000EF860000}"/>
    <cellStyle name="Total 4 11 10 3" xfId="17042" xr:uid="{00000000-0005-0000-0000-0000F0860000}"/>
    <cellStyle name="Total 4 11 11" xfId="14730" xr:uid="{00000000-0005-0000-0000-0000F1860000}"/>
    <cellStyle name="Total 4 11 11 2" xfId="36210" xr:uid="{00000000-0005-0000-0000-0000F2860000}"/>
    <cellStyle name="Total 4 11 12" xfId="27597" xr:uid="{00000000-0005-0000-0000-0000F3860000}"/>
    <cellStyle name="Total 4 11 2" xfId="3638" xr:uid="{00000000-0005-0000-0000-0000F4860000}"/>
    <cellStyle name="Total 4 11 2 10" xfId="16546" xr:uid="{00000000-0005-0000-0000-0000F5860000}"/>
    <cellStyle name="Total 4 11 2 10 2" xfId="37763" xr:uid="{00000000-0005-0000-0000-0000F6860000}"/>
    <cellStyle name="Total 4 11 2 11" xfId="27598" xr:uid="{00000000-0005-0000-0000-0000F7860000}"/>
    <cellStyle name="Total 4 11 2 2" xfId="5765" xr:uid="{00000000-0005-0000-0000-0000F8860000}"/>
    <cellStyle name="Total 4 11 2 2 2" xfId="10799" xr:uid="{00000000-0005-0000-0000-0000F9860000}"/>
    <cellStyle name="Total 4 11 2 2 2 2" xfId="33809" xr:uid="{00000000-0005-0000-0000-0000FA860000}"/>
    <cellStyle name="Total 4 11 2 2 2 3" xfId="24212" xr:uid="{00000000-0005-0000-0000-0000FB860000}"/>
    <cellStyle name="Total 4 11 2 2 3" xfId="32353" xr:uid="{00000000-0005-0000-0000-0000FC860000}"/>
    <cellStyle name="Total 4 11 2 2 4" xfId="29439" xr:uid="{00000000-0005-0000-0000-0000FD860000}"/>
    <cellStyle name="Total 4 11 2 2 5" xfId="19323" xr:uid="{00000000-0005-0000-0000-0000FE860000}"/>
    <cellStyle name="Total 4 11 2 3" xfId="5813" xr:uid="{00000000-0005-0000-0000-0000FF860000}"/>
    <cellStyle name="Total 4 11 2 3 2" xfId="24260" xr:uid="{00000000-0005-0000-0000-000000870000}"/>
    <cellStyle name="Total 4 11 2 3 3" xfId="19369" xr:uid="{00000000-0005-0000-0000-000001870000}"/>
    <cellStyle name="Total 4 11 2 4" xfId="7240" xr:uid="{00000000-0005-0000-0000-000002870000}"/>
    <cellStyle name="Total 4 11 2 4 2" xfId="25671" xr:uid="{00000000-0005-0000-0000-000003870000}"/>
    <cellStyle name="Total 4 11 2 4 3" xfId="20597" xr:uid="{00000000-0005-0000-0000-000004870000}"/>
    <cellStyle name="Total 4 11 2 5" xfId="7770" xr:uid="{00000000-0005-0000-0000-000005870000}"/>
    <cellStyle name="Total 4 11 2 5 2" xfId="26200" xr:uid="{00000000-0005-0000-0000-000006870000}"/>
    <cellStyle name="Total 4 11 2 5 3" xfId="21125" xr:uid="{00000000-0005-0000-0000-000007870000}"/>
    <cellStyle name="Total 4 11 2 6" xfId="8150" xr:uid="{00000000-0005-0000-0000-000008870000}"/>
    <cellStyle name="Total 4 11 2 6 2" xfId="26580" xr:uid="{00000000-0005-0000-0000-000009870000}"/>
    <cellStyle name="Total 4 11 2 6 3" xfId="21504" xr:uid="{00000000-0005-0000-0000-00000A870000}"/>
    <cellStyle name="Total 4 11 2 7" xfId="8874" xr:uid="{00000000-0005-0000-0000-00000B870000}"/>
    <cellStyle name="Total 4 11 2 7 2" xfId="27294" xr:uid="{00000000-0005-0000-0000-00000C870000}"/>
    <cellStyle name="Total 4 11 2 7 3" xfId="22165" xr:uid="{00000000-0005-0000-0000-00000D870000}"/>
    <cellStyle name="Total 4 11 2 8" xfId="4366" xr:uid="{00000000-0005-0000-0000-00000E870000}"/>
    <cellStyle name="Total 4 11 2 8 2" xfId="22830" xr:uid="{00000000-0005-0000-0000-00000F870000}"/>
    <cellStyle name="Total 4 11 2 8 3" xfId="18048" xr:uid="{00000000-0005-0000-0000-000010870000}"/>
    <cellStyle name="Total 4 11 2 9" xfId="16198" xr:uid="{00000000-0005-0000-0000-000011870000}"/>
    <cellStyle name="Total 4 11 2 9 2" xfId="37513" xr:uid="{00000000-0005-0000-0000-000012870000}"/>
    <cellStyle name="Total 4 11 2 9 3" xfId="17377" xr:uid="{00000000-0005-0000-0000-000013870000}"/>
    <cellStyle name="Total 4 11 3" xfId="5403" xr:uid="{00000000-0005-0000-0000-000014870000}"/>
    <cellStyle name="Total 4 11 3 2" xfId="11361" xr:uid="{00000000-0005-0000-0000-000015870000}"/>
    <cellStyle name="Total 4 11 3 2 2" xfId="34178" xr:uid="{00000000-0005-0000-0000-000016870000}"/>
    <cellStyle name="Total 4 11 3 2 3" xfId="28651" xr:uid="{00000000-0005-0000-0000-000017870000}"/>
    <cellStyle name="Total 4 11 3 2 4" xfId="23857" xr:uid="{00000000-0005-0000-0000-000018870000}"/>
    <cellStyle name="Total 4 11 3 3" xfId="32135" xr:uid="{00000000-0005-0000-0000-000019870000}"/>
    <cellStyle name="Total 4 11 3 4" xfId="27822" xr:uid="{00000000-0005-0000-0000-00001A870000}"/>
    <cellStyle name="Total 4 11 3 5" xfId="19000" xr:uid="{00000000-0005-0000-0000-00001B870000}"/>
    <cellStyle name="Total 4 11 4" xfId="5596" xr:uid="{00000000-0005-0000-0000-00001C870000}"/>
    <cellStyle name="Total 4 11 4 2" xfId="11009" xr:uid="{00000000-0005-0000-0000-00001D870000}"/>
    <cellStyle name="Total 4 11 4 2 2" xfId="33885" xr:uid="{00000000-0005-0000-0000-00001E870000}"/>
    <cellStyle name="Total 4 11 4 2 3" xfId="24049" xr:uid="{00000000-0005-0000-0000-00001F870000}"/>
    <cellStyle name="Total 4 11 4 3" xfId="32210" xr:uid="{00000000-0005-0000-0000-000020870000}"/>
    <cellStyle name="Total 4 11 4 4" xfId="29438" xr:uid="{00000000-0005-0000-0000-000021870000}"/>
    <cellStyle name="Total 4 11 4 5" xfId="19183" xr:uid="{00000000-0005-0000-0000-000022870000}"/>
    <cellStyle name="Total 4 11 5" xfId="6210" xr:uid="{00000000-0005-0000-0000-000023870000}"/>
    <cellStyle name="Total 4 11 5 2" xfId="10218" xr:uid="{00000000-0005-0000-0000-000024870000}"/>
    <cellStyle name="Total 4 11 5 2 2" xfId="33517" xr:uid="{00000000-0005-0000-0000-000025870000}"/>
    <cellStyle name="Total 4 11 5 2 3" xfId="24650" xr:uid="{00000000-0005-0000-0000-000026870000}"/>
    <cellStyle name="Total 4 11 5 3" xfId="32550" xr:uid="{00000000-0005-0000-0000-000027870000}"/>
    <cellStyle name="Total 4 11 5 4" xfId="19759" xr:uid="{00000000-0005-0000-0000-000028870000}"/>
    <cellStyle name="Total 4 11 6" xfId="7453" xr:uid="{00000000-0005-0000-0000-000029870000}"/>
    <cellStyle name="Total 4 11 6 2" xfId="25884" xr:uid="{00000000-0005-0000-0000-00002A870000}"/>
    <cellStyle name="Total 4 11 6 3" xfId="20808" xr:uid="{00000000-0005-0000-0000-00002B870000}"/>
    <cellStyle name="Total 4 11 7" xfId="7832" xr:uid="{00000000-0005-0000-0000-00002C870000}"/>
    <cellStyle name="Total 4 11 7 2" xfId="26262" xr:uid="{00000000-0005-0000-0000-00002D870000}"/>
    <cellStyle name="Total 4 11 7 3" xfId="21186" xr:uid="{00000000-0005-0000-0000-00002E870000}"/>
    <cellStyle name="Total 4 11 8" xfId="8553" xr:uid="{00000000-0005-0000-0000-00002F870000}"/>
    <cellStyle name="Total 4 11 8 2" xfId="26976" xr:uid="{00000000-0005-0000-0000-000030870000}"/>
    <cellStyle name="Total 4 11 8 3" xfId="21844" xr:uid="{00000000-0005-0000-0000-000031870000}"/>
    <cellStyle name="Total 4 11 9" xfId="4045" xr:uid="{00000000-0005-0000-0000-000032870000}"/>
    <cellStyle name="Total 4 11 9 2" xfId="22512" xr:uid="{00000000-0005-0000-0000-000033870000}"/>
    <cellStyle name="Total 4 11 9 3" xfId="17727" xr:uid="{00000000-0005-0000-0000-000034870000}"/>
    <cellStyle name="Total 4 12" xfId="3636" xr:uid="{00000000-0005-0000-0000-000035870000}"/>
    <cellStyle name="Total 4 12 10" xfId="16158" xr:uid="{00000000-0005-0000-0000-000036870000}"/>
    <cellStyle name="Total 4 12 10 2" xfId="37475" xr:uid="{00000000-0005-0000-0000-000037870000}"/>
    <cellStyle name="Total 4 12 11" xfId="27599" xr:uid="{00000000-0005-0000-0000-000038870000}"/>
    <cellStyle name="Total 4 12 2" xfId="5763" xr:uid="{00000000-0005-0000-0000-000039870000}"/>
    <cellStyle name="Total 4 12 2 2" xfId="11010" xr:uid="{00000000-0005-0000-0000-00003A870000}"/>
    <cellStyle name="Total 4 12 2 2 2" xfId="33886" xr:uid="{00000000-0005-0000-0000-00003B870000}"/>
    <cellStyle name="Total 4 12 2 2 3" xfId="24210" xr:uid="{00000000-0005-0000-0000-00003C870000}"/>
    <cellStyle name="Total 4 12 2 3" xfId="32351" xr:uid="{00000000-0005-0000-0000-00003D870000}"/>
    <cellStyle name="Total 4 12 2 4" xfId="29440" xr:uid="{00000000-0005-0000-0000-00003E870000}"/>
    <cellStyle name="Total 4 12 2 5" xfId="19321" xr:uid="{00000000-0005-0000-0000-00003F870000}"/>
    <cellStyle name="Total 4 12 3" xfId="5234" xr:uid="{00000000-0005-0000-0000-000040870000}"/>
    <cellStyle name="Total 4 12 3 2" xfId="23694" xr:uid="{00000000-0005-0000-0000-000041870000}"/>
    <cellStyle name="Total 4 12 3 3" xfId="18848" xr:uid="{00000000-0005-0000-0000-000042870000}"/>
    <cellStyle name="Total 4 12 4" xfId="7238" xr:uid="{00000000-0005-0000-0000-000043870000}"/>
    <cellStyle name="Total 4 12 4 2" xfId="25669" xr:uid="{00000000-0005-0000-0000-000044870000}"/>
    <cellStyle name="Total 4 12 4 3" xfId="20595" xr:uid="{00000000-0005-0000-0000-000045870000}"/>
    <cellStyle name="Total 4 12 5" xfId="7768" xr:uid="{00000000-0005-0000-0000-000046870000}"/>
    <cellStyle name="Total 4 12 5 2" xfId="26198" xr:uid="{00000000-0005-0000-0000-000047870000}"/>
    <cellStyle name="Total 4 12 5 3" xfId="21123" xr:uid="{00000000-0005-0000-0000-000048870000}"/>
    <cellStyle name="Total 4 12 6" xfId="8148" xr:uid="{00000000-0005-0000-0000-000049870000}"/>
    <cellStyle name="Total 4 12 6 2" xfId="26578" xr:uid="{00000000-0005-0000-0000-00004A870000}"/>
    <cellStyle name="Total 4 12 6 3" xfId="21502" xr:uid="{00000000-0005-0000-0000-00004B870000}"/>
    <cellStyle name="Total 4 12 7" xfId="8872" xr:uid="{00000000-0005-0000-0000-00004C870000}"/>
    <cellStyle name="Total 4 12 7 2" xfId="27292" xr:uid="{00000000-0005-0000-0000-00004D870000}"/>
    <cellStyle name="Total 4 12 7 3" xfId="22163" xr:uid="{00000000-0005-0000-0000-00004E870000}"/>
    <cellStyle name="Total 4 12 8" xfId="4364" xr:uid="{00000000-0005-0000-0000-00004F870000}"/>
    <cellStyle name="Total 4 12 8 2" xfId="22828" xr:uid="{00000000-0005-0000-0000-000050870000}"/>
    <cellStyle name="Total 4 12 8 3" xfId="18046" xr:uid="{00000000-0005-0000-0000-000051870000}"/>
    <cellStyle name="Total 4 12 9" xfId="16166" xr:uid="{00000000-0005-0000-0000-000052870000}"/>
    <cellStyle name="Total 4 12 9 2" xfId="37483" xr:uid="{00000000-0005-0000-0000-000053870000}"/>
    <cellStyle name="Total 4 12 9 3" xfId="17375" xr:uid="{00000000-0005-0000-0000-000054870000}"/>
    <cellStyle name="Total 4 13" xfId="5401" xr:uid="{00000000-0005-0000-0000-000055870000}"/>
    <cellStyle name="Total 4 13 2" xfId="11359" xr:uid="{00000000-0005-0000-0000-000056870000}"/>
    <cellStyle name="Total 4 13 2 2" xfId="34176" xr:uid="{00000000-0005-0000-0000-000057870000}"/>
    <cellStyle name="Total 4 13 2 3" xfId="28649" xr:uid="{00000000-0005-0000-0000-000058870000}"/>
    <cellStyle name="Total 4 13 2 4" xfId="23855" xr:uid="{00000000-0005-0000-0000-000059870000}"/>
    <cellStyle name="Total 4 13 3" xfId="32133" xr:uid="{00000000-0005-0000-0000-00005A870000}"/>
    <cellStyle name="Total 4 13 4" xfId="27820" xr:uid="{00000000-0005-0000-0000-00005B870000}"/>
    <cellStyle name="Total 4 13 5" xfId="18998" xr:uid="{00000000-0005-0000-0000-00005C870000}"/>
    <cellStyle name="Total 4 14" xfId="4434" xr:uid="{00000000-0005-0000-0000-00005D870000}"/>
    <cellStyle name="Total 4 14 2" xfId="10797" xr:uid="{00000000-0005-0000-0000-00005E870000}"/>
    <cellStyle name="Total 4 14 2 2" xfId="33807" xr:uid="{00000000-0005-0000-0000-00005F870000}"/>
    <cellStyle name="Total 4 14 2 3" xfId="22894" xr:uid="{00000000-0005-0000-0000-000060870000}"/>
    <cellStyle name="Total 4 14 3" xfId="31799" xr:uid="{00000000-0005-0000-0000-000061870000}"/>
    <cellStyle name="Total 4 14 4" xfId="29435" xr:uid="{00000000-0005-0000-0000-000062870000}"/>
    <cellStyle name="Total 4 14 5" xfId="18114" xr:uid="{00000000-0005-0000-0000-000063870000}"/>
    <cellStyle name="Total 4 15" xfId="6212" xr:uid="{00000000-0005-0000-0000-000064870000}"/>
    <cellStyle name="Total 4 15 2" xfId="10216" xr:uid="{00000000-0005-0000-0000-000065870000}"/>
    <cellStyle name="Total 4 15 2 2" xfId="33515" xr:uid="{00000000-0005-0000-0000-000066870000}"/>
    <cellStyle name="Total 4 15 2 3" xfId="24652" xr:uid="{00000000-0005-0000-0000-000067870000}"/>
    <cellStyle name="Total 4 15 3" xfId="32552" xr:uid="{00000000-0005-0000-0000-000068870000}"/>
    <cellStyle name="Total 4 15 4" xfId="19761" xr:uid="{00000000-0005-0000-0000-000069870000}"/>
    <cellStyle name="Total 4 16" xfId="7451" xr:uid="{00000000-0005-0000-0000-00006A870000}"/>
    <cellStyle name="Total 4 16 2" xfId="25882" xr:uid="{00000000-0005-0000-0000-00006B870000}"/>
    <cellStyle name="Total 4 16 3" xfId="20806" xr:uid="{00000000-0005-0000-0000-00006C870000}"/>
    <cellStyle name="Total 4 17" xfId="7830" xr:uid="{00000000-0005-0000-0000-00006D870000}"/>
    <cellStyle name="Total 4 17 2" xfId="26260" xr:uid="{00000000-0005-0000-0000-00006E870000}"/>
    <cellStyle name="Total 4 17 3" xfId="21184" xr:uid="{00000000-0005-0000-0000-00006F870000}"/>
    <cellStyle name="Total 4 18" xfId="8551" xr:uid="{00000000-0005-0000-0000-000070870000}"/>
    <cellStyle name="Total 4 18 2" xfId="26974" xr:uid="{00000000-0005-0000-0000-000071870000}"/>
    <cellStyle name="Total 4 18 3" xfId="21842" xr:uid="{00000000-0005-0000-0000-000072870000}"/>
    <cellStyle name="Total 4 19" xfId="4043" xr:uid="{00000000-0005-0000-0000-000073870000}"/>
    <cellStyle name="Total 4 19 2" xfId="22510" xr:uid="{00000000-0005-0000-0000-000074870000}"/>
    <cellStyle name="Total 4 19 3" xfId="17725" xr:uid="{00000000-0005-0000-0000-000075870000}"/>
    <cellStyle name="Total 4 2" xfId="3200" xr:uid="{00000000-0005-0000-0000-000076870000}"/>
    <cellStyle name="Total 4 2 10" xfId="16134" xr:uid="{00000000-0005-0000-0000-000077870000}"/>
    <cellStyle name="Total 4 2 10 2" xfId="37455" xr:uid="{00000000-0005-0000-0000-000078870000}"/>
    <cellStyle name="Total 4 2 10 3" xfId="17043" xr:uid="{00000000-0005-0000-0000-000079870000}"/>
    <cellStyle name="Total 4 2 11" xfId="15978" xr:uid="{00000000-0005-0000-0000-00007A870000}"/>
    <cellStyle name="Total 4 2 11 2" xfId="37340" xr:uid="{00000000-0005-0000-0000-00007B870000}"/>
    <cellStyle name="Total 4 2 12" xfId="27600" xr:uid="{00000000-0005-0000-0000-00007C870000}"/>
    <cellStyle name="Total 4 2 2" xfId="3639" xr:uid="{00000000-0005-0000-0000-00007D870000}"/>
    <cellStyle name="Total 4 2 2 10" xfId="14720" xr:uid="{00000000-0005-0000-0000-00007E870000}"/>
    <cellStyle name="Total 4 2 2 10 2" xfId="36200" xr:uid="{00000000-0005-0000-0000-00007F870000}"/>
    <cellStyle name="Total 4 2 2 11" xfId="27601" xr:uid="{00000000-0005-0000-0000-000080870000}"/>
    <cellStyle name="Total 4 2 2 2" xfId="5766" xr:uid="{00000000-0005-0000-0000-000081870000}"/>
    <cellStyle name="Total 4 2 2 2 2" xfId="11011" xr:uid="{00000000-0005-0000-0000-000082870000}"/>
    <cellStyle name="Total 4 2 2 2 2 2" xfId="33887" xr:uid="{00000000-0005-0000-0000-000083870000}"/>
    <cellStyle name="Total 4 2 2 2 2 3" xfId="24213" xr:uid="{00000000-0005-0000-0000-000084870000}"/>
    <cellStyle name="Total 4 2 2 2 3" xfId="32354" xr:uid="{00000000-0005-0000-0000-000085870000}"/>
    <cellStyle name="Total 4 2 2 2 4" xfId="29442" xr:uid="{00000000-0005-0000-0000-000086870000}"/>
    <cellStyle name="Total 4 2 2 2 5" xfId="19324" xr:uid="{00000000-0005-0000-0000-000087870000}"/>
    <cellStyle name="Total 4 2 2 3" xfId="5814" xr:uid="{00000000-0005-0000-0000-000088870000}"/>
    <cellStyle name="Total 4 2 2 3 2" xfId="24261" xr:uid="{00000000-0005-0000-0000-000089870000}"/>
    <cellStyle name="Total 4 2 2 3 3" xfId="19370" xr:uid="{00000000-0005-0000-0000-00008A870000}"/>
    <cellStyle name="Total 4 2 2 4" xfId="7241" xr:uid="{00000000-0005-0000-0000-00008B870000}"/>
    <cellStyle name="Total 4 2 2 4 2" xfId="25672" xr:uid="{00000000-0005-0000-0000-00008C870000}"/>
    <cellStyle name="Total 4 2 2 4 3" xfId="20598" xr:uid="{00000000-0005-0000-0000-00008D870000}"/>
    <cellStyle name="Total 4 2 2 5" xfId="7771" xr:uid="{00000000-0005-0000-0000-00008E870000}"/>
    <cellStyle name="Total 4 2 2 5 2" xfId="26201" xr:uid="{00000000-0005-0000-0000-00008F870000}"/>
    <cellStyle name="Total 4 2 2 5 3" xfId="21126" xr:uid="{00000000-0005-0000-0000-000090870000}"/>
    <cellStyle name="Total 4 2 2 6" xfId="8151" xr:uid="{00000000-0005-0000-0000-000091870000}"/>
    <cellStyle name="Total 4 2 2 6 2" xfId="26581" xr:uid="{00000000-0005-0000-0000-000092870000}"/>
    <cellStyle name="Total 4 2 2 6 3" xfId="21505" xr:uid="{00000000-0005-0000-0000-000093870000}"/>
    <cellStyle name="Total 4 2 2 7" xfId="8875" xr:uid="{00000000-0005-0000-0000-000094870000}"/>
    <cellStyle name="Total 4 2 2 7 2" xfId="27295" xr:uid="{00000000-0005-0000-0000-000095870000}"/>
    <cellStyle name="Total 4 2 2 7 3" xfId="22166" xr:uid="{00000000-0005-0000-0000-000096870000}"/>
    <cellStyle name="Total 4 2 2 8" xfId="4367" xr:uid="{00000000-0005-0000-0000-000097870000}"/>
    <cellStyle name="Total 4 2 2 8 2" xfId="22831" xr:uid="{00000000-0005-0000-0000-000098870000}"/>
    <cellStyle name="Total 4 2 2 8 3" xfId="18049" xr:uid="{00000000-0005-0000-0000-000099870000}"/>
    <cellStyle name="Total 4 2 2 9" xfId="16101" xr:uid="{00000000-0005-0000-0000-00009A870000}"/>
    <cellStyle name="Total 4 2 2 9 2" xfId="37423" xr:uid="{00000000-0005-0000-0000-00009B870000}"/>
    <cellStyle name="Total 4 2 2 9 3" xfId="17378" xr:uid="{00000000-0005-0000-0000-00009C870000}"/>
    <cellStyle name="Total 4 2 3" xfId="5404" xr:uid="{00000000-0005-0000-0000-00009D870000}"/>
    <cellStyle name="Total 4 2 3 2" xfId="11362" xr:uid="{00000000-0005-0000-0000-00009E870000}"/>
    <cellStyle name="Total 4 2 3 2 2" xfId="34179" xr:uid="{00000000-0005-0000-0000-00009F870000}"/>
    <cellStyle name="Total 4 2 3 2 3" xfId="28652" xr:uid="{00000000-0005-0000-0000-0000A0870000}"/>
    <cellStyle name="Total 4 2 3 2 4" xfId="23858" xr:uid="{00000000-0005-0000-0000-0000A1870000}"/>
    <cellStyle name="Total 4 2 3 3" xfId="32136" xr:uid="{00000000-0005-0000-0000-0000A2870000}"/>
    <cellStyle name="Total 4 2 3 4" xfId="27823" xr:uid="{00000000-0005-0000-0000-0000A3870000}"/>
    <cellStyle name="Total 4 2 3 5" xfId="19001" xr:uid="{00000000-0005-0000-0000-0000A4870000}"/>
    <cellStyle name="Total 4 2 4" xfId="4966" xr:uid="{00000000-0005-0000-0000-0000A5870000}"/>
    <cellStyle name="Total 4 2 4 2" xfId="10800" xr:uid="{00000000-0005-0000-0000-0000A6870000}"/>
    <cellStyle name="Total 4 2 4 2 2" xfId="33810" xr:uid="{00000000-0005-0000-0000-0000A7870000}"/>
    <cellStyle name="Total 4 2 4 2 3" xfId="23426" xr:uid="{00000000-0005-0000-0000-0000A8870000}"/>
    <cellStyle name="Total 4 2 4 3" xfId="31917" xr:uid="{00000000-0005-0000-0000-0000A9870000}"/>
    <cellStyle name="Total 4 2 4 4" xfId="29441" xr:uid="{00000000-0005-0000-0000-0000AA870000}"/>
    <cellStyle name="Total 4 2 4 5" xfId="18580" xr:uid="{00000000-0005-0000-0000-0000AB870000}"/>
    <cellStyle name="Total 4 2 5" xfId="6209" xr:uid="{00000000-0005-0000-0000-0000AC870000}"/>
    <cellStyle name="Total 4 2 5 2" xfId="10219" xr:uid="{00000000-0005-0000-0000-0000AD870000}"/>
    <cellStyle name="Total 4 2 5 2 2" xfId="33518" xr:uid="{00000000-0005-0000-0000-0000AE870000}"/>
    <cellStyle name="Total 4 2 5 2 3" xfId="24649" xr:uid="{00000000-0005-0000-0000-0000AF870000}"/>
    <cellStyle name="Total 4 2 5 3" xfId="32549" xr:uid="{00000000-0005-0000-0000-0000B0870000}"/>
    <cellStyle name="Total 4 2 5 4" xfId="19758" xr:uid="{00000000-0005-0000-0000-0000B1870000}"/>
    <cellStyle name="Total 4 2 6" xfId="7454" xr:uid="{00000000-0005-0000-0000-0000B2870000}"/>
    <cellStyle name="Total 4 2 6 2" xfId="25885" xr:uid="{00000000-0005-0000-0000-0000B3870000}"/>
    <cellStyle name="Total 4 2 6 3" xfId="20809" xr:uid="{00000000-0005-0000-0000-0000B4870000}"/>
    <cellStyle name="Total 4 2 7" xfId="7833" xr:uid="{00000000-0005-0000-0000-0000B5870000}"/>
    <cellStyle name="Total 4 2 7 2" xfId="26263" xr:uid="{00000000-0005-0000-0000-0000B6870000}"/>
    <cellStyle name="Total 4 2 7 3" xfId="21187" xr:uid="{00000000-0005-0000-0000-0000B7870000}"/>
    <cellStyle name="Total 4 2 8" xfId="8554" xr:uid="{00000000-0005-0000-0000-0000B8870000}"/>
    <cellStyle name="Total 4 2 8 2" xfId="26977" xr:uid="{00000000-0005-0000-0000-0000B9870000}"/>
    <cellStyle name="Total 4 2 8 3" xfId="21845" xr:uid="{00000000-0005-0000-0000-0000BA870000}"/>
    <cellStyle name="Total 4 2 9" xfId="4046" xr:uid="{00000000-0005-0000-0000-0000BB870000}"/>
    <cellStyle name="Total 4 2 9 2" xfId="22513" xr:uid="{00000000-0005-0000-0000-0000BC870000}"/>
    <cellStyle name="Total 4 2 9 3" xfId="17728" xr:uid="{00000000-0005-0000-0000-0000BD870000}"/>
    <cellStyle name="Total 4 20" xfId="14894" xr:uid="{00000000-0005-0000-0000-0000BE870000}"/>
    <cellStyle name="Total 4 20 2" xfId="36342" xr:uid="{00000000-0005-0000-0000-0000BF870000}"/>
    <cellStyle name="Total 4 20 3" xfId="17040" xr:uid="{00000000-0005-0000-0000-0000C0870000}"/>
    <cellStyle name="Total 4 21" xfId="15995" xr:uid="{00000000-0005-0000-0000-0000C1870000}"/>
    <cellStyle name="Total 4 21 2" xfId="37348" xr:uid="{00000000-0005-0000-0000-0000C2870000}"/>
    <cellStyle name="Total 4 22" xfId="27594" xr:uid="{00000000-0005-0000-0000-0000C3870000}"/>
    <cellStyle name="Total 4 3" xfId="3201" xr:uid="{00000000-0005-0000-0000-0000C4870000}"/>
    <cellStyle name="Total 4 3 10" xfId="15674" xr:uid="{00000000-0005-0000-0000-0000C5870000}"/>
    <cellStyle name="Total 4 3 10 2" xfId="37048" xr:uid="{00000000-0005-0000-0000-0000C6870000}"/>
    <cellStyle name="Total 4 3 10 3" xfId="17044" xr:uid="{00000000-0005-0000-0000-0000C7870000}"/>
    <cellStyle name="Total 4 3 11" xfId="14825" xr:uid="{00000000-0005-0000-0000-0000C8870000}"/>
    <cellStyle name="Total 4 3 11 2" xfId="36278" xr:uid="{00000000-0005-0000-0000-0000C9870000}"/>
    <cellStyle name="Total 4 3 12" xfId="27602" xr:uid="{00000000-0005-0000-0000-0000CA870000}"/>
    <cellStyle name="Total 4 3 2" xfId="3640" xr:uid="{00000000-0005-0000-0000-0000CB870000}"/>
    <cellStyle name="Total 4 3 2 10" xfId="14443" xr:uid="{00000000-0005-0000-0000-0000CC870000}"/>
    <cellStyle name="Total 4 3 2 10 2" xfId="35971" xr:uid="{00000000-0005-0000-0000-0000CD870000}"/>
    <cellStyle name="Total 4 3 2 11" xfId="27603" xr:uid="{00000000-0005-0000-0000-0000CE870000}"/>
    <cellStyle name="Total 4 3 2 2" xfId="5767" xr:uid="{00000000-0005-0000-0000-0000CF870000}"/>
    <cellStyle name="Total 4 3 2 2 2" xfId="11012" xr:uid="{00000000-0005-0000-0000-0000D0870000}"/>
    <cellStyle name="Total 4 3 2 2 2 2" xfId="33888" xr:uid="{00000000-0005-0000-0000-0000D1870000}"/>
    <cellStyle name="Total 4 3 2 2 2 3" xfId="24214" xr:uid="{00000000-0005-0000-0000-0000D2870000}"/>
    <cellStyle name="Total 4 3 2 2 3" xfId="32355" xr:uid="{00000000-0005-0000-0000-0000D3870000}"/>
    <cellStyle name="Total 4 3 2 2 4" xfId="29444" xr:uid="{00000000-0005-0000-0000-0000D4870000}"/>
    <cellStyle name="Total 4 3 2 2 5" xfId="19325" xr:uid="{00000000-0005-0000-0000-0000D5870000}"/>
    <cellStyle name="Total 4 3 2 3" xfId="5815" xr:uid="{00000000-0005-0000-0000-0000D6870000}"/>
    <cellStyle name="Total 4 3 2 3 2" xfId="24262" xr:uid="{00000000-0005-0000-0000-0000D7870000}"/>
    <cellStyle name="Total 4 3 2 3 3" xfId="19371" xr:uid="{00000000-0005-0000-0000-0000D8870000}"/>
    <cellStyle name="Total 4 3 2 4" xfId="7242" xr:uid="{00000000-0005-0000-0000-0000D9870000}"/>
    <cellStyle name="Total 4 3 2 4 2" xfId="25673" xr:uid="{00000000-0005-0000-0000-0000DA870000}"/>
    <cellStyle name="Total 4 3 2 4 3" xfId="20599" xr:uid="{00000000-0005-0000-0000-0000DB870000}"/>
    <cellStyle name="Total 4 3 2 5" xfId="7772" xr:uid="{00000000-0005-0000-0000-0000DC870000}"/>
    <cellStyle name="Total 4 3 2 5 2" xfId="26202" xr:uid="{00000000-0005-0000-0000-0000DD870000}"/>
    <cellStyle name="Total 4 3 2 5 3" xfId="21127" xr:uid="{00000000-0005-0000-0000-0000DE870000}"/>
    <cellStyle name="Total 4 3 2 6" xfId="8152" xr:uid="{00000000-0005-0000-0000-0000DF870000}"/>
    <cellStyle name="Total 4 3 2 6 2" xfId="26582" xr:uid="{00000000-0005-0000-0000-0000E0870000}"/>
    <cellStyle name="Total 4 3 2 6 3" xfId="21506" xr:uid="{00000000-0005-0000-0000-0000E1870000}"/>
    <cellStyle name="Total 4 3 2 7" xfId="8876" xr:uid="{00000000-0005-0000-0000-0000E2870000}"/>
    <cellStyle name="Total 4 3 2 7 2" xfId="27296" xr:uid="{00000000-0005-0000-0000-0000E3870000}"/>
    <cellStyle name="Total 4 3 2 7 3" xfId="22167" xr:uid="{00000000-0005-0000-0000-0000E4870000}"/>
    <cellStyle name="Total 4 3 2 8" xfId="4368" xr:uid="{00000000-0005-0000-0000-0000E5870000}"/>
    <cellStyle name="Total 4 3 2 8 2" xfId="22832" xr:uid="{00000000-0005-0000-0000-0000E6870000}"/>
    <cellStyle name="Total 4 3 2 8 3" xfId="18050" xr:uid="{00000000-0005-0000-0000-0000E7870000}"/>
    <cellStyle name="Total 4 3 2 9" xfId="15645" xr:uid="{00000000-0005-0000-0000-0000E8870000}"/>
    <cellStyle name="Total 4 3 2 9 2" xfId="37020" xr:uid="{00000000-0005-0000-0000-0000E9870000}"/>
    <cellStyle name="Total 4 3 2 9 3" xfId="17379" xr:uid="{00000000-0005-0000-0000-0000EA870000}"/>
    <cellStyle name="Total 4 3 3" xfId="5405" xr:uid="{00000000-0005-0000-0000-0000EB870000}"/>
    <cellStyle name="Total 4 3 3 2" xfId="11363" xr:uid="{00000000-0005-0000-0000-0000EC870000}"/>
    <cellStyle name="Total 4 3 3 2 2" xfId="34180" xr:uid="{00000000-0005-0000-0000-0000ED870000}"/>
    <cellStyle name="Total 4 3 3 2 3" xfId="28653" xr:uid="{00000000-0005-0000-0000-0000EE870000}"/>
    <cellStyle name="Total 4 3 3 2 4" xfId="23859" xr:uid="{00000000-0005-0000-0000-0000EF870000}"/>
    <cellStyle name="Total 4 3 3 3" xfId="32137" xr:uid="{00000000-0005-0000-0000-0000F0870000}"/>
    <cellStyle name="Total 4 3 3 4" xfId="27824" xr:uid="{00000000-0005-0000-0000-0000F1870000}"/>
    <cellStyle name="Total 4 3 3 5" xfId="19002" xr:uid="{00000000-0005-0000-0000-0000F2870000}"/>
    <cellStyle name="Total 4 3 4" xfId="5595" xr:uid="{00000000-0005-0000-0000-0000F3870000}"/>
    <cellStyle name="Total 4 3 4 2" xfId="10801" xr:uid="{00000000-0005-0000-0000-0000F4870000}"/>
    <cellStyle name="Total 4 3 4 2 2" xfId="33811" xr:uid="{00000000-0005-0000-0000-0000F5870000}"/>
    <cellStyle name="Total 4 3 4 2 3" xfId="24048" xr:uid="{00000000-0005-0000-0000-0000F6870000}"/>
    <cellStyle name="Total 4 3 4 3" xfId="32209" xr:uid="{00000000-0005-0000-0000-0000F7870000}"/>
    <cellStyle name="Total 4 3 4 4" xfId="29443" xr:uid="{00000000-0005-0000-0000-0000F8870000}"/>
    <cellStyle name="Total 4 3 4 5" xfId="19182" xr:uid="{00000000-0005-0000-0000-0000F9870000}"/>
    <cellStyle name="Total 4 3 5" xfId="6208" xr:uid="{00000000-0005-0000-0000-0000FA870000}"/>
    <cellStyle name="Total 4 3 5 2" xfId="10220" xr:uid="{00000000-0005-0000-0000-0000FB870000}"/>
    <cellStyle name="Total 4 3 5 2 2" xfId="33519" xr:uid="{00000000-0005-0000-0000-0000FC870000}"/>
    <cellStyle name="Total 4 3 5 2 3" xfId="24648" xr:uid="{00000000-0005-0000-0000-0000FD870000}"/>
    <cellStyle name="Total 4 3 5 3" xfId="32548" xr:uid="{00000000-0005-0000-0000-0000FE870000}"/>
    <cellStyle name="Total 4 3 5 4" xfId="19757" xr:uid="{00000000-0005-0000-0000-0000FF870000}"/>
    <cellStyle name="Total 4 3 6" xfId="7455" xr:uid="{00000000-0005-0000-0000-000000880000}"/>
    <cellStyle name="Total 4 3 6 2" xfId="25886" xr:uid="{00000000-0005-0000-0000-000001880000}"/>
    <cellStyle name="Total 4 3 6 3" xfId="20810" xr:uid="{00000000-0005-0000-0000-000002880000}"/>
    <cellStyle name="Total 4 3 7" xfId="7834" xr:uid="{00000000-0005-0000-0000-000003880000}"/>
    <cellStyle name="Total 4 3 7 2" xfId="26264" xr:uid="{00000000-0005-0000-0000-000004880000}"/>
    <cellStyle name="Total 4 3 7 3" xfId="21188" xr:uid="{00000000-0005-0000-0000-000005880000}"/>
    <cellStyle name="Total 4 3 8" xfId="8555" xr:uid="{00000000-0005-0000-0000-000006880000}"/>
    <cellStyle name="Total 4 3 8 2" xfId="26978" xr:uid="{00000000-0005-0000-0000-000007880000}"/>
    <cellStyle name="Total 4 3 8 3" xfId="21846" xr:uid="{00000000-0005-0000-0000-000008880000}"/>
    <cellStyle name="Total 4 3 9" xfId="4047" xr:uid="{00000000-0005-0000-0000-000009880000}"/>
    <cellStyle name="Total 4 3 9 2" xfId="22514" xr:uid="{00000000-0005-0000-0000-00000A880000}"/>
    <cellStyle name="Total 4 3 9 3" xfId="17729" xr:uid="{00000000-0005-0000-0000-00000B880000}"/>
    <cellStyle name="Total 4 4" xfId="3202" xr:uid="{00000000-0005-0000-0000-00000C880000}"/>
    <cellStyle name="Total 4 4 10" xfId="15622" xr:uid="{00000000-0005-0000-0000-00000D880000}"/>
    <cellStyle name="Total 4 4 10 2" xfId="36997" xr:uid="{00000000-0005-0000-0000-00000E880000}"/>
    <cellStyle name="Total 4 4 10 3" xfId="17045" xr:uid="{00000000-0005-0000-0000-00000F880000}"/>
    <cellStyle name="Total 4 4 11" xfId="16582" xr:uid="{00000000-0005-0000-0000-000010880000}"/>
    <cellStyle name="Total 4 4 11 2" xfId="37792" xr:uid="{00000000-0005-0000-0000-000011880000}"/>
    <cellStyle name="Total 4 4 12" xfId="27604" xr:uid="{00000000-0005-0000-0000-000012880000}"/>
    <cellStyle name="Total 4 4 2" xfId="3641" xr:uid="{00000000-0005-0000-0000-000013880000}"/>
    <cellStyle name="Total 4 4 2 10" xfId="14779" xr:uid="{00000000-0005-0000-0000-000014880000}"/>
    <cellStyle name="Total 4 4 2 10 2" xfId="36236" xr:uid="{00000000-0005-0000-0000-000015880000}"/>
    <cellStyle name="Total 4 4 2 11" xfId="27605" xr:uid="{00000000-0005-0000-0000-000016880000}"/>
    <cellStyle name="Total 4 4 2 2" xfId="5768" xr:uid="{00000000-0005-0000-0000-000017880000}"/>
    <cellStyle name="Total 4 4 2 2 2" xfId="11013" xr:uid="{00000000-0005-0000-0000-000018880000}"/>
    <cellStyle name="Total 4 4 2 2 2 2" xfId="33889" xr:uid="{00000000-0005-0000-0000-000019880000}"/>
    <cellStyle name="Total 4 4 2 2 2 3" xfId="24215" xr:uid="{00000000-0005-0000-0000-00001A880000}"/>
    <cellStyle name="Total 4 4 2 2 3" xfId="32356" xr:uid="{00000000-0005-0000-0000-00001B880000}"/>
    <cellStyle name="Total 4 4 2 2 4" xfId="29446" xr:uid="{00000000-0005-0000-0000-00001C880000}"/>
    <cellStyle name="Total 4 4 2 2 5" xfId="19326" xr:uid="{00000000-0005-0000-0000-00001D880000}"/>
    <cellStyle name="Total 4 4 2 3" xfId="5816" xr:uid="{00000000-0005-0000-0000-00001E880000}"/>
    <cellStyle name="Total 4 4 2 3 2" xfId="24263" xr:uid="{00000000-0005-0000-0000-00001F880000}"/>
    <cellStyle name="Total 4 4 2 3 3" xfId="19372" xr:uid="{00000000-0005-0000-0000-000020880000}"/>
    <cellStyle name="Total 4 4 2 4" xfId="7243" xr:uid="{00000000-0005-0000-0000-000021880000}"/>
    <cellStyle name="Total 4 4 2 4 2" xfId="25674" xr:uid="{00000000-0005-0000-0000-000022880000}"/>
    <cellStyle name="Total 4 4 2 4 3" xfId="20600" xr:uid="{00000000-0005-0000-0000-000023880000}"/>
    <cellStyle name="Total 4 4 2 5" xfId="7773" xr:uid="{00000000-0005-0000-0000-000024880000}"/>
    <cellStyle name="Total 4 4 2 5 2" xfId="26203" xr:uid="{00000000-0005-0000-0000-000025880000}"/>
    <cellStyle name="Total 4 4 2 5 3" xfId="21128" xr:uid="{00000000-0005-0000-0000-000026880000}"/>
    <cellStyle name="Total 4 4 2 6" xfId="8153" xr:uid="{00000000-0005-0000-0000-000027880000}"/>
    <cellStyle name="Total 4 4 2 6 2" xfId="26583" xr:uid="{00000000-0005-0000-0000-000028880000}"/>
    <cellStyle name="Total 4 4 2 6 3" xfId="21507" xr:uid="{00000000-0005-0000-0000-000029880000}"/>
    <cellStyle name="Total 4 4 2 7" xfId="8877" xr:uid="{00000000-0005-0000-0000-00002A880000}"/>
    <cellStyle name="Total 4 4 2 7 2" xfId="27297" xr:uid="{00000000-0005-0000-0000-00002B880000}"/>
    <cellStyle name="Total 4 4 2 7 3" xfId="22168" xr:uid="{00000000-0005-0000-0000-00002C880000}"/>
    <cellStyle name="Total 4 4 2 8" xfId="4369" xr:uid="{00000000-0005-0000-0000-00002D880000}"/>
    <cellStyle name="Total 4 4 2 8 2" xfId="22833" xr:uid="{00000000-0005-0000-0000-00002E880000}"/>
    <cellStyle name="Total 4 4 2 8 3" xfId="18051" xr:uid="{00000000-0005-0000-0000-00002F880000}"/>
    <cellStyle name="Total 4 4 2 9" xfId="14891" xr:uid="{00000000-0005-0000-0000-000030880000}"/>
    <cellStyle name="Total 4 4 2 9 2" xfId="36339" xr:uid="{00000000-0005-0000-0000-000031880000}"/>
    <cellStyle name="Total 4 4 2 9 3" xfId="17380" xr:uid="{00000000-0005-0000-0000-000032880000}"/>
    <cellStyle name="Total 4 4 3" xfId="5406" xr:uid="{00000000-0005-0000-0000-000033880000}"/>
    <cellStyle name="Total 4 4 3 2" xfId="11364" xr:uid="{00000000-0005-0000-0000-000034880000}"/>
    <cellStyle name="Total 4 4 3 2 2" xfId="34181" xr:uid="{00000000-0005-0000-0000-000035880000}"/>
    <cellStyle name="Total 4 4 3 2 3" xfId="28654" xr:uid="{00000000-0005-0000-0000-000036880000}"/>
    <cellStyle name="Total 4 4 3 2 4" xfId="23860" xr:uid="{00000000-0005-0000-0000-000037880000}"/>
    <cellStyle name="Total 4 4 3 3" xfId="32138" xr:uid="{00000000-0005-0000-0000-000038880000}"/>
    <cellStyle name="Total 4 4 3 4" xfId="27825" xr:uid="{00000000-0005-0000-0000-000039880000}"/>
    <cellStyle name="Total 4 4 3 5" xfId="19003" xr:uid="{00000000-0005-0000-0000-00003A880000}"/>
    <cellStyle name="Total 4 4 4" xfId="4964" xr:uid="{00000000-0005-0000-0000-00003B880000}"/>
    <cellStyle name="Total 4 4 4 2" xfId="10802" xr:uid="{00000000-0005-0000-0000-00003C880000}"/>
    <cellStyle name="Total 4 4 4 2 2" xfId="33812" xr:uid="{00000000-0005-0000-0000-00003D880000}"/>
    <cellStyle name="Total 4 4 4 2 3" xfId="23424" xr:uid="{00000000-0005-0000-0000-00003E880000}"/>
    <cellStyle name="Total 4 4 4 3" xfId="31915" xr:uid="{00000000-0005-0000-0000-00003F880000}"/>
    <cellStyle name="Total 4 4 4 4" xfId="29445" xr:uid="{00000000-0005-0000-0000-000040880000}"/>
    <cellStyle name="Total 4 4 4 5" xfId="18578" xr:uid="{00000000-0005-0000-0000-000041880000}"/>
    <cellStyle name="Total 4 4 5" xfId="6207" xr:uid="{00000000-0005-0000-0000-000042880000}"/>
    <cellStyle name="Total 4 4 5 2" xfId="10221" xr:uid="{00000000-0005-0000-0000-000043880000}"/>
    <cellStyle name="Total 4 4 5 2 2" xfId="33520" xr:uid="{00000000-0005-0000-0000-000044880000}"/>
    <cellStyle name="Total 4 4 5 2 3" xfId="24647" xr:uid="{00000000-0005-0000-0000-000045880000}"/>
    <cellStyle name="Total 4 4 5 3" xfId="32547" xr:uid="{00000000-0005-0000-0000-000046880000}"/>
    <cellStyle name="Total 4 4 5 4" xfId="19756" xr:uid="{00000000-0005-0000-0000-000047880000}"/>
    <cellStyle name="Total 4 4 6" xfId="7456" xr:uid="{00000000-0005-0000-0000-000048880000}"/>
    <cellStyle name="Total 4 4 6 2" xfId="25887" xr:uid="{00000000-0005-0000-0000-000049880000}"/>
    <cellStyle name="Total 4 4 6 3" xfId="20811" xr:uid="{00000000-0005-0000-0000-00004A880000}"/>
    <cellStyle name="Total 4 4 7" xfId="7835" xr:uid="{00000000-0005-0000-0000-00004B880000}"/>
    <cellStyle name="Total 4 4 7 2" xfId="26265" xr:uid="{00000000-0005-0000-0000-00004C880000}"/>
    <cellStyle name="Total 4 4 7 3" xfId="21189" xr:uid="{00000000-0005-0000-0000-00004D880000}"/>
    <cellStyle name="Total 4 4 8" xfId="8556" xr:uid="{00000000-0005-0000-0000-00004E880000}"/>
    <cellStyle name="Total 4 4 8 2" xfId="26979" xr:uid="{00000000-0005-0000-0000-00004F880000}"/>
    <cellStyle name="Total 4 4 8 3" xfId="21847" xr:uid="{00000000-0005-0000-0000-000050880000}"/>
    <cellStyle name="Total 4 4 9" xfId="4048" xr:uid="{00000000-0005-0000-0000-000051880000}"/>
    <cellStyle name="Total 4 4 9 2" xfId="22515" xr:uid="{00000000-0005-0000-0000-000052880000}"/>
    <cellStyle name="Total 4 4 9 3" xfId="17730" xr:uid="{00000000-0005-0000-0000-000053880000}"/>
    <cellStyle name="Total 4 5" xfId="3203" xr:uid="{00000000-0005-0000-0000-000054880000}"/>
    <cellStyle name="Total 4 5 10" xfId="16338" xr:uid="{00000000-0005-0000-0000-000055880000}"/>
    <cellStyle name="Total 4 5 10 2" xfId="37641" xr:uid="{00000000-0005-0000-0000-000056880000}"/>
    <cellStyle name="Total 4 5 10 3" xfId="17046" xr:uid="{00000000-0005-0000-0000-000057880000}"/>
    <cellStyle name="Total 4 5 11" xfId="16237" xr:uid="{00000000-0005-0000-0000-000058880000}"/>
    <cellStyle name="Total 4 5 11 2" xfId="37549" xr:uid="{00000000-0005-0000-0000-000059880000}"/>
    <cellStyle name="Total 4 5 12" xfId="27606" xr:uid="{00000000-0005-0000-0000-00005A880000}"/>
    <cellStyle name="Total 4 5 2" xfId="3642" xr:uid="{00000000-0005-0000-0000-00005B880000}"/>
    <cellStyle name="Total 4 5 2 10" xfId="14806" xr:uid="{00000000-0005-0000-0000-00005C880000}"/>
    <cellStyle name="Total 4 5 2 10 2" xfId="36262" xr:uid="{00000000-0005-0000-0000-00005D880000}"/>
    <cellStyle name="Total 4 5 2 11" xfId="27607" xr:uid="{00000000-0005-0000-0000-00005E880000}"/>
    <cellStyle name="Total 4 5 2 2" xfId="5769" xr:uid="{00000000-0005-0000-0000-00005F880000}"/>
    <cellStyle name="Total 4 5 2 2 2" xfId="11014" xr:uid="{00000000-0005-0000-0000-000060880000}"/>
    <cellStyle name="Total 4 5 2 2 2 2" xfId="33890" xr:uid="{00000000-0005-0000-0000-000061880000}"/>
    <cellStyle name="Total 4 5 2 2 2 3" xfId="24216" xr:uid="{00000000-0005-0000-0000-000062880000}"/>
    <cellStyle name="Total 4 5 2 2 3" xfId="32357" xr:uid="{00000000-0005-0000-0000-000063880000}"/>
    <cellStyle name="Total 4 5 2 2 4" xfId="29448" xr:uid="{00000000-0005-0000-0000-000064880000}"/>
    <cellStyle name="Total 4 5 2 2 5" xfId="19327" xr:uid="{00000000-0005-0000-0000-000065880000}"/>
    <cellStyle name="Total 4 5 2 3" xfId="5235" xr:uid="{00000000-0005-0000-0000-000066880000}"/>
    <cellStyle name="Total 4 5 2 3 2" xfId="23695" xr:uid="{00000000-0005-0000-0000-000067880000}"/>
    <cellStyle name="Total 4 5 2 3 3" xfId="18849" xr:uid="{00000000-0005-0000-0000-000068880000}"/>
    <cellStyle name="Total 4 5 2 4" xfId="7244" xr:uid="{00000000-0005-0000-0000-000069880000}"/>
    <cellStyle name="Total 4 5 2 4 2" xfId="25675" xr:uid="{00000000-0005-0000-0000-00006A880000}"/>
    <cellStyle name="Total 4 5 2 4 3" xfId="20601" xr:uid="{00000000-0005-0000-0000-00006B880000}"/>
    <cellStyle name="Total 4 5 2 5" xfId="7774" xr:uid="{00000000-0005-0000-0000-00006C880000}"/>
    <cellStyle name="Total 4 5 2 5 2" xfId="26204" xr:uid="{00000000-0005-0000-0000-00006D880000}"/>
    <cellStyle name="Total 4 5 2 5 3" xfId="21129" xr:uid="{00000000-0005-0000-0000-00006E880000}"/>
    <cellStyle name="Total 4 5 2 6" xfId="8154" xr:uid="{00000000-0005-0000-0000-00006F880000}"/>
    <cellStyle name="Total 4 5 2 6 2" xfId="26584" xr:uid="{00000000-0005-0000-0000-000070880000}"/>
    <cellStyle name="Total 4 5 2 6 3" xfId="21508" xr:uid="{00000000-0005-0000-0000-000071880000}"/>
    <cellStyle name="Total 4 5 2 7" xfId="8878" xr:uid="{00000000-0005-0000-0000-000072880000}"/>
    <cellStyle name="Total 4 5 2 7 2" xfId="27298" xr:uid="{00000000-0005-0000-0000-000073880000}"/>
    <cellStyle name="Total 4 5 2 7 3" xfId="22169" xr:uid="{00000000-0005-0000-0000-000074880000}"/>
    <cellStyle name="Total 4 5 2 8" xfId="4370" xr:uid="{00000000-0005-0000-0000-000075880000}"/>
    <cellStyle name="Total 4 5 2 8 2" xfId="22834" xr:uid="{00000000-0005-0000-0000-000076880000}"/>
    <cellStyle name="Total 4 5 2 8 3" xfId="18052" xr:uid="{00000000-0005-0000-0000-000077880000}"/>
    <cellStyle name="Total 4 5 2 9" xfId="16222" xr:uid="{00000000-0005-0000-0000-000078880000}"/>
    <cellStyle name="Total 4 5 2 9 2" xfId="37535" xr:uid="{00000000-0005-0000-0000-000079880000}"/>
    <cellStyle name="Total 4 5 2 9 3" xfId="17381" xr:uid="{00000000-0005-0000-0000-00007A880000}"/>
    <cellStyle name="Total 4 5 3" xfId="5407" xr:uid="{00000000-0005-0000-0000-00007B880000}"/>
    <cellStyle name="Total 4 5 3 2" xfId="11365" xr:uid="{00000000-0005-0000-0000-00007C880000}"/>
    <cellStyle name="Total 4 5 3 2 2" xfId="34182" xr:uid="{00000000-0005-0000-0000-00007D880000}"/>
    <cellStyle name="Total 4 5 3 2 3" xfId="28655" xr:uid="{00000000-0005-0000-0000-00007E880000}"/>
    <cellStyle name="Total 4 5 3 2 4" xfId="23861" xr:uid="{00000000-0005-0000-0000-00007F880000}"/>
    <cellStyle name="Total 4 5 3 3" xfId="32139" xr:uid="{00000000-0005-0000-0000-000080880000}"/>
    <cellStyle name="Total 4 5 3 4" xfId="27826" xr:uid="{00000000-0005-0000-0000-000081880000}"/>
    <cellStyle name="Total 4 5 3 5" xfId="19004" xr:uid="{00000000-0005-0000-0000-000082880000}"/>
    <cellStyle name="Total 4 5 4" xfId="4967" xr:uid="{00000000-0005-0000-0000-000083880000}"/>
    <cellStyle name="Total 4 5 4 2" xfId="10803" xr:uid="{00000000-0005-0000-0000-000084880000}"/>
    <cellStyle name="Total 4 5 4 2 2" xfId="33813" xr:uid="{00000000-0005-0000-0000-000085880000}"/>
    <cellStyle name="Total 4 5 4 2 3" xfId="23427" xr:uid="{00000000-0005-0000-0000-000086880000}"/>
    <cellStyle name="Total 4 5 4 3" xfId="31918" xr:uid="{00000000-0005-0000-0000-000087880000}"/>
    <cellStyle name="Total 4 5 4 4" xfId="29447" xr:uid="{00000000-0005-0000-0000-000088880000}"/>
    <cellStyle name="Total 4 5 4 5" xfId="18581" xr:uid="{00000000-0005-0000-0000-000089880000}"/>
    <cellStyle name="Total 4 5 5" xfId="6206" xr:uid="{00000000-0005-0000-0000-00008A880000}"/>
    <cellStyle name="Total 4 5 5 2" xfId="10222" xr:uid="{00000000-0005-0000-0000-00008B880000}"/>
    <cellStyle name="Total 4 5 5 2 2" xfId="33521" xr:uid="{00000000-0005-0000-0000-00008C880000}"/>
    <cellStyle name="Total 4 5 5 2 3" xfId="24646" xr:uid="{00000000-0005-0000-0000-00008D880000}"/>
    <cellStyle name="Total 4 5 5 3" xfId="32546" xr:uid="{00000000-0005-0000-0000-00008E880000}"/>
    <cellStyle name="Total 4 5 5 4" xfId="19755" xr:uid="{00000000-0005-0000-0000-00008F880000}"/>
    <cellStyle name="Total 4 5 6" xfId="7457" xr:uid="{00000000-0005-0000-0000-000090880000}"/>
    <cellStyle name="Total 4 5 6 2" xfId="25888" xr:uid="{00000000-0005-0000-0000-000091880000}"/>
    <cellStyle name="Total 4 5 6 3" xfId="20812" xr:uid="{00000000-0005-0000-0000-000092880000}"/>
    <cellStyle name="Total 4 5 7" xfId="7836" xr:uid="{00000000-0005-0000-0000-000093880000}"/>
    <cellStyle name="Total 4 5 7 2" xfId="26266" xr:uid="{00000000-0005-0000-0000-000094880000}"/>
    <cellStyle name="Total 4 5 7 3" xfId="21190" xr:uid="{00000000-0005-0000-0000-000095880000}"/>
    <cellStyle name="Total 4 5 8" xfId="8557" xr:uid="{00000000-0005-0000-0000-000096880000}"/>
    <cellStyle name="Total 4 5 8 2" xfId="26980" xr:uid="{00000000-0005-0000-0000-000097880000}"/>
    <cellStyle name="Total 4 5 8 3" xfId="21848" xr:uid="{00000000-0005-0000-0000-000098880000}"/>
    <cellStyle name="Total 4 5 9" xfId="4049" xr:uid="{00000000-0005-0000-0000-000099880000}"/>
    <cellStyle name="Total 4 5 9 2" xfId="22516" xr:uid="{00000000-0005-0000-0000-00009A880000}"/>
    <cellStyle name="Total 4 5 9 3" xfId="17731" xr:uid="{00000000-0005-0000-0000-00009B880000}"/>
    <cellStyle name="Total 4 6" xfId="3204" xr:uid="{00000000-0005-0000-0000-00009C880000}"/>
    <cellStyle name="Total 4 6 10" xfId="16196" xr:uid="{00000000-0005-0000-0000-00009D880000}"/>
    <cellStyle name="Total 4 6 10 2" xfId="37511" xr:uid="{00000000-0005-0000-0000-00009E880000}"/>
    <cellStyle name="Total 4 6 10 3" xfId="17047" xr:uid="{00000000-0005-0000-0000-00009F880000}"/>
    <cellStyle name="Total 4 6 11" xfId="15029" xr:uid="{00000000-0005-0000-0000-0000A0880000}"/>
    <cellStyle name="Total 4 6 11 2" xfId="36454" xr:uid="{00000000-0005-0000-0000-0000A1880000}"/>
    <cellStyle name="Total 4 6 12" xfId="27608" xr:uid="{00000000-0005-0000-0000-0000A2880000}"/>
    <cellStyle name="Total 4 6 2" xfId="3643" xr:uid="{00000000-0005-0000-0000-0000A3880000}"/>
    <cellStyle name="Total 4 6 2 10" xfId="16189" xr:uid="{00000000-0005-0000-0000-0000A4880000}"/>
    <cellStyle name="Total 4 6 2 10 2" xfId="37505" xr:uid="{00000000-0005-0000-0000-0000A5880000}"/>
    <cellStyle name="Total 4 6 2 11" xfId="27609" xr:uid="{00000000-0005-0000-0000-0000A6880000}"/>
    <cellStyle name="Total 4 6 2 2" xfId="5770" xr:uid="{00000000-0005-0000-0000-0000A7880000}"/>
    <cellStyle name="Total 4 6 2 2 2" xfId="11015" xr:uid="{00000000-0005-0000-0000-0000A8880000}"/>
    <cellStyle name="Total 4 6 2 2 2 2" xfId="33891" xr:uid="{00000000-0005-0000-0000-0000A9880000}"/>
    <cellStyle name="Total 4 6 2 2 2 3" xfId="24217" xr:uid="{00000000-0005-0000-0000-0000AA880000}"/>
    <cellStyle name="Total 4 6 2 2 3" xfId="32358" xr:uid="{00000000-0005-0000-0000-0000AB880000}"/>
    <cellStyle name="Total 4 6 2 2 4" xfId="29450" xr:uid="{00000000-0005-0000-0000-0000AC880000}"/>
    <cellStyle name="Total 4 6 2 2 5" xfId="19328" xr:uid="{00000000-0005-0000-0000-0000AD880000}"/>
    <cellStyle name="Total 4 6 2 3" xfId="4441" xr:uid="{00000000-0005-0000-0000-0000AE880000}"/>
    <cellStyle name="Total 4 6 2 3 2" xfId="22901" xr:uid="{00000000-0005-0000-0000-0000AF880000}"/>
    <cellStyle name="Total 4 6 2 3 3" xfId="18120" xr:uid="{00000000-0005-0000-0000-0000B0880000}"/>
    <cellStyle name="Total 4 6 2 4" xfId="7245" xr:uid="{00000000-0005-0000-0000-0000B1880000}"/>
    <cellStyle name="Total 4 6 2 4 2" xfId="25676" xr:uid="{00000000-0005-0000-0000-0000B2880000}"/>
    <cellStyle name="Total 4 6 2 4 3" xfId="20602" xr:uid="{00000000-0005-0000-0000-0000B3880000}"/>
    <cellStyle name="Total 4 6 2 5" xfId="7775" xr:uid="{00000000-0005-0000-0000-0000B4880000}"/>
    <cellStyle name="Total 4 6 2 5 2" xfId="26205" xr:uid="{00000000-0005-0000-0000-0000B5880000}"/>
    <cellStyle name="Total 4 6 2 5 3" xfId="21130" xr:uid="{00000000-0005-0000-0000-0000B6880000}"/>
    <cellStyle name="Total 4 6 2 6" xfId="8155" xr:uid="{00000000-0005-0000-0000-0000B7880000}"/>
    <cellStyle name="Total 4 6 2 6 2" xfId="26585" xr:uid="{00000000-0005-0000-0000-0000B8880000}"/>
    <cellStyle name="Total 4 6 2 6 3" xfId="21509" xr:uid="{00000000-0005-0000-0000-0000B9880000}"/>
    <cellStyle name="Total 4 6 2 7" xfId="8879" xr:uid="{00000000-0005-0000-0000-0000BA880000}"/>
    <cellStyle name="Total 4 6 2 7 2" xfId="27299" xr:uid="{00000000-0005-0000-0000-0000BB880000}"/>
    <cellStyle name="Total 4 6 2 7 3" xfId="22170" xr:uid="{00000000-0005-0000-0000-0000BC880000}"/>
    <cellStyle name="Total 4 6 2 8" xfId="4371" xr:uid="{00000000-0005-0000-0000-0000BD880000}"/>
    <cellStyle name="Total 4 6 2 8 2" xfId="22835" xr:uid="{00000000-0005-0000-0000-0000BE880000}"/>
    <cellStyle name="Total 4 6 2 8 3" xfId="18053" xr:uid="{00000000-0005-0000-0000-0000BF880000}"/>
    <cellStyle name="Total 4 6 2 9" xfId="16164" xr:uid="{00000000-0005-0000-0000-0000C0880000}"/>
    <cellStyle name="Total 4 6 2 9 2" xfId="37481" xr:uid="{00000000-0005-0000-0000-0000C1880000}"/>
    <cellStyle name="Total 4 6 2 9 3" xfId="17382" xr:uid="{00000000-0005-0000-0000-0000C2880000}"/>
    <cellStyle name="Total 4 6 3" xfId="5408" xr:uid="{00000000-0005-0000-0000-0000C3880000}"/>
    <cellStyle name="Total 4 6 3 2" xfId="11366" xr:uid="{00000000-0005-0000-0000-0000C4880000}"/>
    <cellStyle name="Total 4 6 3 2 2" xfId="34183" xr:uid="{00000000-0005-0000-0000-0000C5880000}"/>
    <cellStyle name="Total 4 6 3 2 3" xfId="28656" xr:uid="{00000000-0005-0000-0000-0000C6880000}"/>
    <cellStyle name="Total 4 6 3 2 4" xfId="23862" xr:uid="{00000000-0005-0000-0000-0000C7880000}"/>
    <cellStyle name="Total 4 6 3 3" xfId="32140" xr:uid="{00000000-0005-0000-0000-0000C8880000}"/>
    <cellStyle name="Total 4 6 3 4" xfId="27827" xr:uid="{00000000-0005-0000-0000-0000C9880000}"/>
    <cellStyle name="Total 4 6 3 5" xfId="19005" xr:uid="{00000000-0005-0000-0000-0000CA880000}"/>
    <cellStyle name="Total 4 6 4" xfId="4968" xr:uid="{00000000-0005-0000-0000-0000CB880000}"/>
    <cellStyle name="Total 4 6 4 2" xfId="10804" xr:uid="{00000000-0005-0000-0000-0000CC880000}"/>
    <cellStyle name="Total 4 6 4 2 2" xfId="33814" xr:uid="{00000000-0005-0000-0000-0000CD880000}"/>
    <cellStyle name="Total 4 6 4 2 3" xfId="23428" xr:uid="{00000000-0005-0000-0000-0000CE880000}"/>
    <cellStyle name="Total 4 6 4 3" xfId="31919" xr:uid="{00000000-0005-0000-0000-0000CF880000}"/>
    <cellStyle name="Total 4 6 4 4" xfId="29449" xr:uid="{00000000-0005-0000-0000-0000D0880000}"/>
    <cellStyle name="Total 4 6 4 5" xfId="18582" xr:uid="{00000000-0005-0000-0000-0000D1880000}"/>
    <cellStyle name="Total 4 6 5" xfId="6205" xr:uid="{00000000-0005-0000-0000-0000D2880000}"/>
    <cellStyle name="Total 4 6 5 2" xfId="10223" xr:uid="{00000000-0005-0000-0000-0000D3880000}"/>
    <cellStyle name="Total 4 6 5 2 2" xfId="33522" xr:uid="{00000000-0005-0000-0000-0000D4880000}"/>
    <cellStyle name="Total 4 6 5 2 3" xfId="24645" xr:uid="{00000000-0005-0000-0000-0000D5880000}"/>
    <cellStyle name="Total 4 6 5 3" xfId="32545" xr:uid="{00000000-0005-0000-0000-0000D6880000}"/>
    <cellStyle name="Total 4 6 5 4" xfId="19754" xr:uid="{00000000-0005-0000-0000-0000D7880000}"/>
    <cellStyle name="Total 4 6 6" xfId="7458" xr:uid="{00000000-0005-0000-0000-0000D8880000}"/>
    <cellStyle name="Total 4 6 6 2" xfId="25889" xr:uid="{00000000-0005-0000-0000-0000D9880000}"/>
    <cellStyle name="Total 4 6 6 3" xfId="20813" xr:uid="{00000000-0005-0000-0000-0000DA880000}"/>
    <cellStyle name="Total 4 6 7" xfId="7837" xr:uid="{00000000-0005-0000-0000-0000DB880000}"/>
    <cellStyle name="Total 4 6 7 2" xfId="26267" xr:uid="{00000000-0005-0000-0000-0000DC880000}"/>
    <cellStyle name="Total 4 6 7 3" xfId="21191" xr:uid="{00000000-0005-0000-0000-0000DD880000}"/>
    <cellStyle name="Total 4 6 8" xfId="8558" xr:uid="{00000000-0005-0000-0000-0000DE880000}"/>
    <cellStyle name="Total 4 6 8 2" xfId="26981" xr:uid="{00000000-0005-0000-0000-0000DF880000}"/>
    <cellStyle name="Total 4 6 8 3" xfId="21849" xr:uid="{00000000-0005-0000-0000-0000E0880000}"/>
    <cellStyle name="Total 4 6 9" xfId="4050" xr:uid="{00000000-0005-0000-0000-0000E1880000}"/>
    <cellStyle name="Total 4 6 9 2" xfId="22517" xr:uid="{00000000-0005-0000-0000-0000E2880000}"/>
    <cellStyle name="Total 4 6 9 3" xfId="17732" xr:uid="{00000000-0005-0000-0000-0000E3880000}"/>
    <cellStyle name="Total 4 7" xfId="3205" xr:uid="{00000000-0005-0000-0000-0000E4880000}"/>
    <cellStyle name="Total 4 7 10" xfId="15599" xr:uid="{00000000-0005-0000-0000-0000E5880000}"/>
    <cellStyle name="Total 4 7 10 2" xfId="36975" xr:uid="{00000000-0005-0000-0000-0000E6880000}"/>
    <cellStyle name="Total 4 7 10 3" xfId="17048" xr:uid="{00000000-0005-0000-0000-0000E7880000}"/>
    <cellStyle name="Total 4 7 11" xfId="16387" xr:uid="{00000000-0005-0000-0000-0000E8880000}"/>
    <cellStyle name="Total 4 7 11 2" xfId="37686" xr:uid="{00000000-0005-0000-0000-0000E9880000}"/>
    <cellStyle name="Total 4 7 12" xfId="27610" xr:uid="{00000000-0005-0000-0000-0000EA880000}"/>
    <cellStyle name="Total 4 7 2" xfId="3644" xr:uid="{00000000-0005-0000-0000-0000EB880000}"/>
    <cellStyle name="Total 4 7 2 10" xfId="15666" xr:uid="{00000000-0005-0000-0000-0000EC880000}"/>
    <cellStyle name="Total 4 7 2 10 2" xfId="37040" xr:uid="{00000000-0005-0000-0000-0000ED880000}"/>
    <cellStyle name="Total 4 7 2 11" xfId="27611" xr:uid="{00000000-0005-0000-0000-0000EE880000}"/>
    <cellStyle name="Total 4 7 2 2" xfId="5771" xr:uid="{00000000-0005-0000-0000-0000EF880000}"/>
    <cellStyle name="Total 4 7 2 2 2" xfId="11016" xr:uid="{00000000-0005-0000-0000-0000F0880000}"/>
    <cellStyle name="Total 4 7 2 2 2 2" xfId="33892" xr:uid="{00000000-0005-0000-0000-0000F1880000}"/>
    <cellStyle name="Total 4 7 2 2 2 3" xfId="24218" xr:uid="{00000000-0005-0000-0000-0000F2880000}"/>
    <cellStyle name="Total 4 7 2 2 3" xfId="32359" xr:uid="{00000000-0005-0000-0000-0000F3880000}"/>
    <cellStyle name="Total 4 7 2 2 4" xfId="29452" xr:uid="{00000000-0005-0000-0000-0000F4880000}"/>
    <cellStyle name="Total 4 7 2 2 5" xfId="19329" xr:uid="{00000000-0005-0000-0000-0000F5880000}"/>
    <cellStyle name="Total 4 7 2 3" xfId="5454" xr:uid="{00000000-0005-0000-0000-0000F6880000}"/>
    <cellStyle name="Total 4 7 2 3 2" xfId="23907" xr:uid="{00000000-0005-0000-0000-0000F7880000}"/>
    <cellStyle name="Total 4 7 2 3 3" xfId="19049" xr:uid="{00000000-0005-0000-0000-0000F8880000}"/>
    <cellStyle name="Total 4 7 2 4" xfId="7246" xr:uid="{00000000-0005-0000-0000-0000F9880000}"/>
    <cellStyle name="Total 4 7 2 4 2" xfId="25677" xr:uid="{00000000-0005-0000-0000-0000FA880000}"/>
    <cellStyle name="Total 4 7 2 4 3" xfId="20603" xr:uid="{00000000-0005-0000-0000-0000FB880000}"/>
    <cellStyle name="Total 4 7 2 5" xfId="7776" xr:uid="{00000000-0005-0000-0000-0000FC880000}"/>
    <cellStyle name="Total 4 7 2 5 2" xfId="26206" xr:uid="{00000000-0005-0000-0000-0000FD880000}"/>
    <cellStyle name="Total 4 7 2 5 3" xfId="21131" xr:uid="{00000000-0005-0000-0000-0000FE880000}"/>
    <cellStyle name="Total 4 7 2 6" xfId="8156" xr:uid="{00000000-0005-0000-0000-0000FF880000}"/>
    <cellStyle name="Total 4 7 2 6 2" xfId="26586" xr:uid="{00000000-0005-0000-0000-000000890000}"/>
    <cellStyle name="Total 4 7 2 6 3" xfId="21510" xr:uid="{00000000-0005-0000-0000-000001890000}"/>
    <cellStyle name="Total 4 7 2 7" xfId="8880" xr:uid="{00000000-0005-0000-0000-000002890000}"/>
    <cellStyle name="Total 4 7 2 7 2" xfId="27300" xr:uid="{00000000-0005-0000-0000-000003890000}"/>
    <cellStyle name="Total 4 7 2 7 3" xfId="22171" xr:uid="{00000000-0005-0000-0000-000004890000}"/>
    <cellStyle name="Total 4 7 2 8" xfId="4372" xr:uid="{00000000-0005-0000-0000-000005890000}"/>
    <cellStyle name="Total 4 7 2 8 2" xfId="22836" xr:uid="{00000000-0005-0000-0000-000006890000}"/>
    <cellStyle name="Total 4 7 2 8 3" xfId="18054" xr:uid="{00000000-0005-0000-0000-000007890000}"/>
    <cellStyle name="Total 4 7 2 9" xfId="15268" xr:uid="{00000000-0005-0000-0000-000008890000}"/>
    <cellStyle name="Total 4 7 2 9 2" xfId="36673" xr:uid="{00000000-0005-0000-0000-000009890000}"/>
    <cellStyle name="Total 4 7 2 9 3" xfId="17383" xr:uid="{00000000-0005-0000-0000-00000A890000}"/>
    <cellStyle name="Total 4 7 3" xfId="5409" xr:uid="{00000000-0005-0000-0000-00000B890000}"/>
    <cellStyle name="Total 4 7 3 2" xfId="11367" xr:uid="{00000000-0005-0000-0000-00000C890000}"/>
    <cellStyle name="Total 4 7 3 2 2" xfId="34184" xr:uid="{00000000-0005-0000-0000-00000D890000}"/>
    <cellStyle name="Total 4 7 3 2 3" xfId="28657" xr:uid="{00000000-0005-0000-0000-00000E890000}"/>
    <cellStyle name="Total 4 7 3 2 4" xfId="23863" xr:uid="{00000000-0005-0000-0000-00000F890000}"/>
    <cellStyle name="Total 4 7 3 3" xfId="32141" xr:uid="{00000000-0005-0000-0000-000010890000}"/>
    <cellStyle name="Total 4 7 3 4" xfId="27828" xr:uid="{00000000-0005-0000-0000-000011890000}"/>
    <cellStyle name="Total 4 7 3 5" xfId="19006" xr:uid="{00000000-0005-0000-0000-000012890000}"/>
    <cellStyle name="Total 4 7 4" xfId="4969" xr:uid="{00000000-0005-0000-0000-000013890000}"/>
    <cellStyle name="Total 4 7 4 2" xfId="10805" xr:uid="{00000000-0005-0000-0000-000014890000}"/>
    <cellStyle name="Total 4 7 4 2 2" xfId="33815" xr:uid="{00000000-0005-0000-0000-000015890000}"/>
    <cellStyle name="Total 4 7 4 2 3" xfId="23429" xr:uid="{00000000-0005-0000-0000-000016890000}"/>
    <cellStyle name="Total 4 7 4 3" xfId="31920" xr:uid="{00000000-0005-0000-0000-000017890000}"/>
    <cellStyle name="Total 4 7 4 4" xfId="29451" xr:uid="{00000000-0005-0000-0000-000018890000}"/>
    <cellStyle name="Total 4 7 4 5" xfId="18583" xr:uid="{00000000-0005-0000-0000-000019890000}"/>
    <cellStyle name="Total 4 7 5" xfId="6204" xr:uid="{00000000-0005-0000-0000-00001A890000}"/>
    <cellStyle name="Total 4 7 5 2" xfId="10224" xr:uid="{00000000-0005-0000-0000-00001B890000}"/>
    <cellStyle name="Total 4 7 5 2 2" xfId="33523" xr:uid="{00000000-0005-0000-0000-00001C890000}"/>
    <cellStyle name="Total 4 7 5 2 3" xfId="24644" xr:uid="{00000000-0005-0000-0000-00001D890000}"/>
    <cellStyle name="Total 4 7 5 3" xfId="32544" xr:uid="{00000000-0005-0000-0000-00001E890000}"/>
    <cellStyle name="Total 4 7 5 4" xfId="19753" xr:uid="{00000000-0005-0000-0000-00001F890000}"/>
    <cellStyle name="Total 4 7 6" xfId="7459" xr:uid="{00000000-0005-0000-0000-000020890000}"/>
    <cellStyle name="Total 4 7 6 2" xfId="25890" xr:uid="{00000000-0005-0000-0000-000021890000}"/>
    <cellStyle name="Total 4 7 6 3" xfId="20814" xr:uid="{00000000-0005-0000-0000-000022890000}"/>
    <cellStyle name="Total 4 7 7" xfId="7838" xr:uid="{00000000-0005-0000-0000-000023890000}"/>
    <cellStyle name="Total 4 7 7 2" xfId="26268" xr:uid="{00000000-0005-0000-0000-000024890000}"/>
    <cellStyle name="Total 4 7 7 3" xfId="21192" xr:uid="{00000000-0005-0000-0000-000025890000}"/>
    <cellStyle name="Total 4 7 8" xfId="8559" xr:uid="{00000000-0005-0000-0000-000026890000}"/>
    <cellStyle name="Total 4 7 8 2" xfId="26982" xr:uid="{00000000-0005-0000-0000-000027890000}"/>
    <cellStyle name="Total 4 7 8 3" xfId="21850" xr:uid="{00000000-0005-0000-0000-000028890000}"/>
    <cellStyle name="Total 4 7 9" xfId="4051" xr:uid="{00000000-0005-0000-0000-000029890000}"/>
    <cellStyle name="Total 4 7 9 2" xfId="22518" xr:uid="{00000000-0005-0000-0000-00002A890000}"/>
    <cellStyle name="Total 4 7 9 3" xfId="17733" xr:uid="{00000000-0005-0000-0000-00002B890000}"/>
    <cellStyle name="Total 4 8" xfId="3206" xr:uid="{00000000-0005-0000-0000-00002C890000}"/>
    <cellStyle name="Total 4 8 10" xfId="15267" xr:uid="{00000000-0005-0000-0000-00002D890000}"/>
    <cellStyle name="Total 4 8 10 2" xfId="36672" xr:uid="{00000000-0005-0000-0000-00002E890000}"/>
    <cellStyle name="Total 4 8 10 3" xfId="17049" xr:uid="{00000000-0005-0000-0000-00002F890000}"/>
    <cellStyle name="Total 4 8 11" xfId="15339" xr:uid="{00000000-0005-0000-0000-000030890000}"/>
    <cellStyle name="Total 4 8 11 2" xfId="36726" xr:uid="{00000000-0005-0000-0000-000031890000}"/>
    <cellStyle name="Total 4 8 12" xfId="27612" xr:uid="{00000000-0005-0000-0000-000032890000}"/>
    <cellStyle name="Total 4 8 2" xfId="3645" xr:uid="{00000000-0005-0000-0000-000033890000}"/>
    <cellStyle name="Total 4 8 2 10" xfId="14851" xr:uid="{00000000-0005-0000-0000-000034890000}"/>
    <cellStyle name="Total 4 8 2 10 2" xfId="36299" xr:uid="{00000000-0005-0000-0000-000035890000}"/>
    <cellStyle name="Total 4 8 2 11" xfId="27613" xr:uid="{00000000-0005-0000-0000-000036890000}"/>
    <cellStyle name="Total 4 8 2 2" xfId="5772" xr:uid="{00000000-0005-0000-0000-000037890000}"/>
    <cellStyle name="Total 4 8 2 2 2" xfId="11017" xr:uid="{00000000-0005-0000-0000-000038890000}"/>
    <cellStyle name="Total 4 8 2 2 2 2" xfId="33893" xr:uid="{00000000-0005-0000-0000-000039890000}"/>
    <cellStyle name="Total 4 8 2 2 2 3" xfId="24219" xr:uid="{00000000-0005-0000-0000-00003A890000}"/>
    <cellStyle name="Total 4 8 2 2 3" xfId="32360" xr:uid="{00000000-0005-0000-0000-00003B890000}"/>
    <cellStyle name="Total 4 8 2 2 4" xfId="29454" xr:uid="{00000000-0005-0000-0000-00003C890000}"/>
    <cellStyle name="Total 4 8 2 2 5" xfId="19330" xr:uid="{00000000-0005-0000-0000-00003D890000}"/>
    <cellStyle name="Total 4 8 2 3" xfId="5300" xr:uid="{00000000-0005-0000-0000-00003E890000}"/>
    <cellStyle name="Total 4 8 2 3 2" xfId="23760" xr:uid="{00000000-0005-0000-0000-00003F890000}"/>
    <cellStyle name="Total 4 8 2 3 3" xfId="18913" xr:uid="{00000000-0005-0000-0000-000040890000}"/>
    <cellStyle name="Total 4 8 2 4" xfId="7247" xr:uid="{00000000-0005-0000-0000-000041890000}"/>
    <cellStyle name="Total 4 8 2 4 2" xfId="25678" xr:uid="{00000000-0005-0000-0000-000042890000}"/>
    <cellStyle name="Total 4 8 2 4 3" xfId="20604" xr:uid="{00000000-0005-0000-0000-000043890000}"/>
    <cellStyle name="Total 4 8 2 5" xfId="7777" xr:uid="{00000000-0005-0000-0000-000044890000}"/>
    <cellStyle name="Total 4 8 2 5 2" xfId="26207" xr:uid="{00000000-0005-0000-0000-000045890000}"/>
    <cellStyle name="Total 4 8 2 5 3" xfId="21132" xr:uid="{00000000-0005-0000-0000-000046890000}"/>
    <cellStyle name="Total 4 8 2 6" xfId="8157" xr:uid="{00000000-0005-0000-0000-000047890000}"/>
    <cellStyle name="Total 4 8 2 6 2" xfId="26587" xr:uid="{00000000-0005-0000-0000-000048890000}"/>
    <cellStyle name="Total 4 8 2 6 3" xfId="21511" xr:uid="{00000000-0005-0000-0000-000049890000}"/>
    <cellStyle name="Total 4 8 2 7" xfId="8881" xr:uid="{00000000-0005-0000-0000-00004A890000}"/>
    <cellStyle name="Total 4 8 2 7 2" xfId="27301" xr:uid="{00000000-0005-0000-0000-00004B890000}"/>
    <cellStyle name="Total 4 8 2 7 3" xfId="22172" xr:uid="{00000000-0005-0000-0000-00004C890000}"/>
    <cellStyle name="Total 4 8 2 8" xfId="4373" xr:uid="{00000000-0005-0000-0000-00004D890000}"/>
    <cellStyle name="Total 4 8 2 8 2" xfId="22837" xr:uid="{00000000-0005-0000-0000-00004E890000}"/>
    <cellStyle name="Total 4 8 2 8 3" xfId="18055" xr:uid="{00000000-0005-0000-0000-00004F890000}"/>
    <cellStyle name="Total 4 8 2 9" xfId="14890" xr:uid="{00000000-0005-0000-0000-000050890000}"/>
    <cellStyle name="Total 4 8 2 9 2" xfId="36338" xr:uid="{00000000-0005-0000-0000-000051890000}"/>
    <cellStyle name="Total 4 8 2 9 3" xfId="17384" xr:uid="{00000000-0005-0000-0000-000052890000}"/>
    <cellStyle name="Total 4 8 3" xfId="5410" xr:uid="{00000000-0005-0000-0000-000053890000}"/>
    <cellStyle name="Total 4 8 3 2" xfId="11368" xr:uid="{00000000-0005-0000-0000-000054890000}"/>
    <cellStyle name="Total 4 8 3 2 2" xfId="34185" xr:uid="{00000000-0005-0000-0000-000055890000}"/>
    <cellStyle name="Total 4 8 3 2 3" xfId="28658" xr:uid="{00000000-0005-0000-0000-000056890000}"/>
    <cellStyle name="Total 4 8 3 2 4" xfId="23864" xr:uid="{00000000-0005-0000-0000-000057890000}"/>
    <cellStyle name="Total 4 8 3 3" xfId="32142" xr:uid="{00000000-0005-0000-0000-000058890000}"/>
    <cellStyle name="Total 4 8 3 4" xfId="27829" xr:uid="{00000000-0005-0000-0000-000059890000}"/>
    <cellStyle name="Total 4 8 3 5" xfId="19007" xr:uid="{00000000-0005-0000-0000-00005A890000}"/>
    <cellStyle name="Total 4 8 4" xfId="4970" xr:uid="{00000000-0005-0000-0000-00005B890000}"/>
    <cellStyle name="Total 4 8 4 2" xfId="10806" xr:uid="{00000000-0005-0000-0000-00005C890000}"/>
    <cellStyle name="Total 4 8 4 2 2" xfId="33816" xr:uid="{00000000-0005-0000-0000-00005D890000}"/>
    <cellStyle name="Total 4 8 4 2 3" xfId="23430" xr:uid="{00000000-0005-0000-0000-00005E890000}"/>
    <cellStyle name="Total 4 8 4 3" xfId="31921" xr:uid="{00000000-0005-0000-0000-00005F890000}"/>
    <cellStyle name="Total 4 8 4 4" xfId="29453" xr:uid="{00000000-0005-0000-0000-000060890000}"/>
    <cellStyle name="Total 4 8 4 5" xfId="18584" xr:uid="{00000000-0005-0000-0000-000061890000}"/>
    <cellStyle name="Total 4 8 5" xfId="6203" xr:uid="{00000000-0005-0000-0000-000062890000}"/>
    <cellStyle name="Total 4 8 5 2" xfId="10225" xr:uid="{00000000-0005-0000-0000-000063890000}"/>
    <cellStyle name="Total 4 8 5 2 2" xfId="33524" xr:uid="{00000000-0005-0000-0000-000064890000}"/>
    <cellStyle name="Total 4 8 5 2 3" xfId="24643" xr:uid="{00000000-0005-0000-0000-000065890000}"/>
    <cellStyle name="Total 4 8 5 3" xfId="32543" xr:uid="{00000000-0005-0000-0000-000066890000}"/>
    <cellStyle name="Total 4 8 5 4" xfId="19752" xr:uid="{00000000-0005-0000-0000-000067890000}"/>
    <cellStyle name="Total 4 8 6" xfId="7460" xr:uid="{00000000-0005-0000-0000-000068890000}"/>
    <cellStyle name="Total 4 8 6 2" xfId="25891" xr:uid="{00000000-0005-0000-0000-000069890000}"/>
    <cellStyle name="Total 4 8 6 3" xfId="20815" xr:uid="{00000000-0005-0000-0000-00006A890000}"/>
    <cellStyle name="Total 4 8 7" xfId="7839" xr:uid="{00000000-0005-0000-0000-00006B890000}"/>
    <cellStyle name="Total 4 8 7 2" xfId="26269" xr:uid="{00000000-0005-0000-0000-00006C890000}"/>
    <cellStyle name="Total 4 8 7 3" xfId="21193" xr:uid="{00000000-0005-0000-0000-00006D890000}"/>
    <cellStyle name="Total 4 8 8" xfId="8560" xr:uid="{00000000-0005-0000-0000-00006E890000}"/>
    <cellStyle name="Total 4 8 8 2" xfId="26983" xr:uid="{00000000-0005-0000-0000-00006F890000}"/>
    <cellStyle name="Total 4 8 8 3" xfId="21851" xr:uid="{00000000-0005-0000-0000-000070890000}"/>
    <cellStyle name="Total 4 8 9" xfId="4052" xr:uid="{00000000-0005-0000-0000-000071890000}"/>
    <cellStyle name="Total 4 8 9 2" xfId="22519" xr:uid="{00000000-0005-0000-0000-000072890000}"/>
    <cellStyle name="Total 4 8 9 3" xfId="17734" xr:uid="{00000000-0005-0000-0000-000073890000}"/>
    <cellStyle name="Total 4 9" xfId="3207" xr:uid="{00000000-0005-0000-0000-000074890000}"/>
    <cellStyle name="Total 4 9 10" xfId="14889" xr:uid="{00000000-0005-0000-0000-000075890000}"/>
    <cellStyle name="Total 4 9 10 2" xfId="36337" xr:uid="{00000000-0005-0000-0000-000076890000}"/>
    <cellStyle name="Total 4 9 10 3" xfId="17050" xr:uid="{00000000-0005-0000-0000-000077890000}"/>
    <cellStyle name="Total 4 9 11" xfId="14564" xr:uid="{00000000-0005-0000-0000-000078890000}"/>
    <cellStyle name="Total 4 9 11 2" xfId="36084" xr:uid="{00000000-0005-0000-0000-000079890000}"/>
    <cellStyle name="Total 4 9 12" xfId="27614" xr:uid="{00000000-0005-0000-0000-00007A890000}"/>
    <cellStyle name="Total 4 9 2" xfId="3646" xr:uid="{00000000-0005-0000-0000-00007B890000}"/>
    <cellStyle name="Total 4 9 2 10" xfId="16131" xr:uid="{00000000-0005-0000-0000-00007C890000}"/>
    <cellStyle name="Total 4 9 2 10 2" xfId="37452" xr:uid="{00000000-0005-0000-0000-00007D890000}"/>
    <cellStyle name="Total 4 9 2 11" xfId="27615" xr:uid="{00000000-0005-0000-0000-00007E890000}"/>
    <cellStyle name="Total 4 9 2 2" xfId="5773" xr:uid="{00000000-0005-0000-0000-00007F890000}"/>
    <cellStyle name="Total 4 9 2 2 2" xfId="10808" xr:uid="{00000000-0005-0000-0000-000080890000}"/>
    <cellStyle name="Total 4 9 2 2 2 2" xfId="33818" xr:uid="{00000000-0005-0000-0000-000081890000}"/>
    <cellStyle name="Total 4 9 2 2 2 3" xfId="24220" xr:uid="{00000000-0005-0000-0000-000082890000}"/>
    <cellStyle name="Total 4 9 2 2 3" xfId="32361" xr:uid="{00000000-0005-0000-0000-000083890000}"/>
    <cellStyle name="Total 4 9 2 2 4" xfId="29456" xr:uid="{00000000-0005-0000-0000-000084890000}"/>
    <cellStyle name="Total 4 9 2 2 5" xfId="19331" xr:uid="{00000000-0005-0000-0000-000085890000}"/>
    <cellStyle name="Total 4 9 2 3" xfId="5818" xr:uid="{00000000-0005-0000-0000-000086890000}"/>
    <cellStyle name="Total 4 9 2 3 2" xfId="24265" xr:uid="{00000000-0005-0000-0000-000087890000}"/>
    <cellStyle name="Total 4 9 2 3 3" xfId="19374" xr:uid="{00000000-0005-0000-0000-000088890000}"/>
    <cellStyle name="Total 4 9 2 4" xfId="7248" xr:uid="{00000000-0005-0000-0000-000089890000}"/>
    <cellStyle name="Total 4 9 2 4 2" xfId="25679" xr:uid="{00000000-0005-0000-0000-00008A890000}"/>
    <cellStyle name="Total 4 9 2 4 3" xfId="20605" xr:uid="{00000000-0005-0000-0000-00008B890000}"/>
    <cellStyle name="Total 4 9 2 5" xfId="7778" xr:uid="{00000000-0005-0000-0000-00008C890000}"/>
    <cellStyle name="Total 4 9 2 5 2" xfId="26208" xr:uid="{00000000-0005-0000-0000-00008D890000}"/>
    <cellStyle name="Total 4 9 2 5 3" xfId="21133" xr:uid="{00000000-0005-0000-0000-00008E890000}"/>
    <cellStyle name="Total 4 9 2 6" xfId="8158" xr:uid="{00000000-0005-0000-0000-00008F890000}"/>
    <cellStyle name="Total 4 9 2 6 2" xfId="26588" xr:uid="{00000000-0005-0000-0000-000090890000}"/>
    <cellStyle name="Total 4 9 2 6 3" xfId="21512" xr:uid="{00000000-0005-0000-0000-000091890000}"/>
    <cellStyle name="Total 4 9 2 7" xfId="8882" xr:uid="{00000000-0005-0000-0000-000092890000}"/>
    <cellStyle name="Total 4 9 2 7 2" xfId="27302" xr:uid="{00000000-0005-0000-0000-000093890000}"/>
    <cellStyle name="Total 4 9 2 7 3" xfId="22173" xr:uid="{00000000-0005-0000-0000-000094890000}"/>
    <cellStyle name="Total 4 9 2 8" xfId="4374" xr:uid="{00000000-0005-0000-0000-000095890000}"/>
    <cellStyle name="Total 4 9 2 8 2" xfId="22838" xr:uid="{00000000-0005-0000-0000-000096890000}"/>
    <cellStyle name="Total 4 9 2 8 3" xfId="18056" xr:uid="{00000000-0005-0000-0000-000097890000}"/>
    <cellStyle name="Total 4 9 2 9" xfId="14888" xr:uid="{00000000-0005-0000-0000-000098890000}"/>
    <cellStyle name="Total 4 9 2 9 2" xfId="36336" xr:uid="{00000000-0005-0000-0000-000099890000}"/>
    <cellStyle name="Total 4 9 2 9 3" xfId="17385" xr:uid="{00000000-0005-0000-0000-00009A890000}"/>
    <cellStyle name="Total 4 9 3" xfId="5411" xr:uid="{00000000-0005-0000-0000-00009B890000}"/>
    <cellStyle name="Total 4 9 3 2" xfId="11369" xr:uid="{00000000-0005-0000-0000-00009C890000}"/>
    <cellStyle name="Total 4 9 3 2 2" xfId="34186" xr:uid="{00000000-0005-0000-0000-00009D890000}"/>
    <cellStyle name="Total 4 9 3 2 3" xfId="28659" xr:uid="{00000000-0005-0000-0000-00009E890000}"/>
    <cellStyle name="Total 4 9 3 2 4" xfId="23865" xr:uid="{00000000-0005-0000-0000-00009F890000}"/>
    <cellStyle name="Total 4 9 3 3" xfId="32143" xr:uid="{00000000-0005-0000-0000-0000A0890000}"/>
    <cellStyle name="Total 4 9 3 4" xfId="27830" xr:uid="{00000000-0005-0000-0000-0000A1890000}"/>
    <cellStyle name="Total 4 9 3 5" xfId="19008" xr:uid="{00000000-0005-0000-0000-0000A2890000}"/>
    <cellStyle name="Total 4 9 4" xfId="4971" xr:uid="{00000000-0005-0000-0000-0000A3890000}"/>
    <cellStyle name="Total 4 9 4 2" xfId="10807" xr:uid="{00000000-0005-0000-0000-0000A4890000}"/>
    <cellStyle name="Total 4 9 4 2 2" xfId="33817" xr:uid="{00000000-0005-0000-0000-0000A5890000}"/>
    <cellStyle name="Total 4 9 4 2 3" xfId="23431" xr:uid="{00000000-0005-0000-0000-0000A6890000}"/>
    <cellStyle name="Total 4 9 4 3" xfId="31922" xr:uid="{00000000-0005-0000-0000-0000A7890000}"/>
    <cellStyle name="Total 4 9 4 4" xfId="29455" xr:uid="{00000000-0005-0000-0000-0000A8890000}"/>
    <cellStyle name="Total 4 9 4 5" xfId="18585" xr:uid="{00000000-0005-0000-0000-0000A9890000}"/>
    <cellStyle name="Total 4 9 5" xfId="6202" xr:uid="{00000000-0005-0000-0000-0000AA890000}"/>
    <cellStyle name="Total 4 9 5 2" xfId="10226" xr:uid="{00000000-0005-0000-0000-0000AB890000}"/>
    <cellStyle name="Total 4 9 5 2 2" xfId="33525" xr:uid="{00000000-0005-0000-0000-0000AC890000}"/>
    <cellStyle name="Total 4 9 5 2 3" xfId="24642" xr:uid="{00000000-0005-0000-0000-0000AD890000}"/>
    <cellStyle name="Total 4 9 5 3" xfId="32542" xr:uid="{00000000-0005-0000-0000-0000AE890000}"/>
    <cellStyle name="Total 4 9 5 4" xfId="19751" xr:uid="{00000000-0005-0000-0000-0000AF890000}"/>
    <cellStyle name="Total 4 9 6" xfId="7461" xr:uid="{00000000-0005-0000-0000-0000B0890000}"/>
    <cellStyle name="Total 4 9 6 2" xfId="25892" xr:uid="{00000000-0005-0000-0000-0000B1890000}"/>
    <cellStyle name="Total 4 9 6 3" xfId="20816" xr:uid="{00000000-0005-0000-0000-0000B2890000}"/>
    <cellStyle name="Total 4 9 7" xfId="7840" xr:uid="{00000000-0005-0000-0000-0000B3890000}"/>
    <cellStyle name="Total 4 9 7 2" xfId="26270" xr:uid="{00000000-0005-0000-0000-0000B4890000}"/>
    <cellStyle name="Total 4 9 7 3" xfId="21194" xr:uid="{00000000-0005-0000-0000-0000B5890000}"/>
    <cellStyle name="Total 4 9 8" xfId="8561" xr:uid="{00000000-0005-0000-0000-0000B6890000}"/>
    <cellStyle name="Total 4 9 8 2" xfId="26984" xr:uid="{00000000-0005-0000-0000-0000B7890000}"/>
    <cellStyle name="Total 4 9 8 3" xfId="21852" xr:uid="{00000000-0005-0000-0000-0000B8890000}"/>
    <cellStyle name="Total 4 9 9" xfId="4053" xr:uid="{00000000-0005-0000-0000-0000B9890000}"/>
    <cellStyle name="Total 4 9 9 2" xfId="22520" xr:uid="{00000000-0005-0000-0000-0000BA890000}"/>
    <cellStyle name="Total 4 9 9 3" xfId="17735" xr:uid="{00000000-0005-0000-0000-0000BB890000}"/>
    <cellStyle name="Total 40" xfId="40713" xr:uid="{00000000-0005-0000-0000-0000FD120000}"/>
    <cellStyle name="Total 41" xfId="40714" xr:uid="{00000000-0005-0000-0000-0000FE120000}"/>
    <cellStyle name="Total 42" xfId="40715" xr:uid="{00000000-0005-0000-0000-0000FF120000}"/>
    <cellStyle name="Total 5" xfId="3208" xr:uid="{00000000-0005-0000-0000-0000BC890000}"/>
    <cellStyle name="Total 5 10" xfId="3209" xr:uid="{00000000-0005-0000-0000-0000BD890000}"/>
    <cellStyle name="Total 5 10 10" xfId="14886" xr:uid="{00000000-0005-0000-0000-0000BE890000}"/>
    <cellStyle name="Total 5 10 10 2" xfId="36334" xr:uid="{00000000-0005-0000-0000-0000BF890000}"/>
    <cellStyle name="Total 5 10 10 3" xfId="17052" xr:uid="{00000000-0005-0000-0000-0000C0890000}"/>
    <cellStyle name="Total 5 10 11" xfId="16214" xr:uid="{00000000-0005-0000-0000-0000C1890000}"/>
    <cellStyle name="Total 5 10 11 2" xfId="37528" xr:uid="{00000000-0005-0000-0000-0000C2890000}"/>
    <cellStyle name="Total 5 10 12" xfId="27617" xr:uid="{00000000-0005-0000-0000-0000C3890000}"/>
    <cellStyle name="Total 5 10 2" xfId="3648" xr:uid="{00000000-0005-0000-0000-0000C4890000}"/>
    <cellStyle name="Total 5 10 2 10" xfId="14784" xr:uid="{00000000-0005-0000-0000-0000C5890000}"/>
    <cellStyle name="Total 5 10 2 10 2" xfId="36241" xr:uid="{00000000-0005-0000-0000-0000C6890000}"/>
    <cellStyle name="Total 5 10 2 11" xfId="27618" xr:uid="{00000000-0005-0000-0000-0000C7890000}"/>
    <cellStyle name="Total 5 10 2 2" xfId="5775" xr:uid="{00000000-0005-0000-0000-0000C8890000}"/>
    <cellStyle name="Total 5 10 2 2 2" xfId="11020" xr:uid="{00000000-0005-0000-0000-0000C9890000}"/>
    <cellStyle name="Total 5 10 2 2 2 2" xfId="33896" xr:uid="{00000000-0005-0000-0000-0000CA890000}"/>
    <cellStyle name="Total 5 10 2 2 2 3" xfId="24222" xr:uid="{00000000-0005-0000-0000-0000CB890000}"/>
    <cellStyle name="Total 5 10 2 2 3" xfId="32363" xr:uid="{00000000-0005-0000-0000-0000CC890000}"/>
    <cellStyle name="Total 5 10 2 2 4" xfId="29459" xr:uid="{00000000-0005-0000-0000-0000CD890000}"/>
    <cellStyle name="Total 5 10 2 2 5" xfId="19333" xr:uid="{00000000-0005-0000-0000-0000CE890000}"/>
    <cellStyle name="Total 5 10 2 3" xfId="4419" xr:uid="{00000000-0005-0000-0000-0000CF890000}"/>
    <cellStyle name="Total 5 10 2 3 2" xfId="22879" xr:uid="{00000000-0005-0000-0000-0000D0890000}"/>
    <cellStyle name="Total 5 10 2 3 3" xfId="18100" xr:uid="{00000000-0005-0000-0000-0000D1890000}"/>
    <cellStyle name="Total 5 10 2 4" xfId="7250" xr:uid="{00000000-0005-0000-0000-0000D2890000}"/>
    <cellStyle name="Total 5 10 2 4 2" xfId="25681" xr:uid="{00000000-0005-0000-0000-0000D3890000}"/>
    <cellStyle name="Total 5 10 2 4 3" xfId="20607" xr:uid="{00000000-0005-0000-0000-0000D4890000}"/>
    <cellStyle name="Total 5 10 2 5" xfId="7780" xr:uid="{00000000-0005-0000-0000-0000D5890000}"/>
    <cellStyle name="Total 5 10 2 5 2" xfId="26210" xr:uid="{00000000-0005-0000-0000-0000D6890000}"/>
    <cellStyle name="Total 5 10 2 5 3" xfId="21135" xr:uid="{00000000-0005-0000-0000-0000D7890000}"/>
    <cellStyle name="Total 5 10 2 6" xfId="8160" xr:uid="{00000000-0005-0000-0000-0000D8890000}"/>
    <cellStyle name="Total 5 10 2 6 2" xfId="26590" xr:uid="{00000000-0005-0000-0000-0000D9890000}"/>
    <cellStyle name="Total 5 10 2 6 3" xfId="21514" xr:uid="{00000000-0005-0000-0000-0000DA890000}"/>
    <cellStyle name="Total 5 10 2 7" xfId="8884" xr:uid="{00000000-0005-0000-0000-0000DB890000}"/>
    <cellStyle name="Total 5 10 2 7 2" xfId="27304" xr:uid="{00000000-0005-0000-0000-0000DC890000}"/>
    <cellStyle name="Total 5 10 2 7 3" xfId="22175" xr:uid="{00000000-0005-0000-0000-0000DD890000}"/>
    <cellStyle name="Total 5 10 2 8" xfId="4376" xr:uid="{00000000-0005-0000-0000-0000DE890000}"/>
    <cellStyle name="Total 5 10 2 8 2" xfId="22840" xr:uid="{00000000-0005-0000-0000-0000DF890000}"/>
    <cellStyle name="Total 5 10 2 8 3" xfId="18058" xr:uid="{00000000-0005-0000-0000-0000E0890000}"/>
    <cellStyle name="Total 5 10 2 9" xfId="14885" xr:uid="{00000000-0005-0000-0000-0000E1890000}"/>
    <cellStyle name="Total 5 10 2 9 2" xfId="36333" xr:uid="{00000000-0005-0000-0000-0000E2890000}"/>
    <cellStyle name="Total 5 10 2 9 3" xfId="17387" xr:uid="{00000000-0005-0000-0000-0000E3890000}"/>
    <cellStyle name="Total 5 10 3" xfId="5413" xr:uid="{00000000-0005-0000-0000-0000E4890000}"/>
    <cellStyle name="Total 5 10 3 2" xfId="11371" xr:uid="{00000000-0005-0000-0000-0000E5890000}"/>
    <cellStyle name="Total 5 10 3 2 2" xfId="34188" xr:uid="{00000000-0005-0000-0000-0000E6890000}"/>
    <cellStyle name="Total 5 10 3 2 3" xfId="28661" xr:uid="{00000000-0005-0000-0000-0000E7890000}"/>
    <cellStyle name="Total 5 10 3 2 4" xfId="23867" xr:uid="{00000000-0005-0000-0000-0000E8890000}"/>
    <cellStyle name="Total 5 10 3 3" xfId="32145" xr:uid="{00000000-0005-0000-0000-0000E9890000}"/>
    <cellStyle name="Total 5 10 3 4" xfId="27832" xr:uid="{00000000-0005-0000-0000-0000EA890000}"/>
    <cellStyle name="Total 5 10 3 5" xfId="19010" xr:uid="{00000000-0005-0000-0000-0000EB890000}"/>
    <cellStyle name="Total 5 10 4" xfId="4973" xr:uid="{00000000-0005-0000-0000-0000EC890000}"/>
    <cellStyle name="Total 5 10 4 2" xfId="10809" xr:uid="{00000000-0005-0000-0000-0000ED890000}"/>
    <cellStyle name="Total 5 10 4 2 2" xfId="33819" xr:uid="{00000000-0005-0000-0000-0000EE890000}"/>
    <cellStyle name="Total 5 10 4 2 3" xfId="23433" xr:uid="{00000000-0005-0000-0000-0000EF890000}"/>
    <cellStyle name="Total 5 10 4 3" xfId="31924" xr:uid="{00000000-0005-0000-0000-0000F0890000}"/>
    <cellStyle name="Total 5 10 4 4" xfId="29458" xr:uid="{00000000-0005-0000-0000-0000F1890000}"/>
    <cellStyle name="Total 5 10 4 5" xfId="18587" xr:uid="{00000000-0005-0000-0000-0000F2890000}"/>
    <cellStyle name="Total 5 10 5" xfId="6200" xr:uid="{00000000-0005-0000-0000-0000F3890000}"/>
    <cellStyle name="Total 5 10 5 2" xfId="10228" xr:uid="{00000000-0005-0000-0000-0000F4890000}"/>
    <cellStyle name="Total 5 10 5 2 2" xfId="33527" xr:uid="{00000000-0005-0000-0000-0000F5890000}"/>
    <cellStyle name="Total 5 10 5 2 3" xfId="24640" xr:uid="{00000000-0005-0000-0000-0000F6890000}"/>
    <cellStyle name="Total 5 10 5 3" xfId="32540" xr:uid="{00000000-0005-0000-0000-0000F7890000}"/>
    <cellStyle name="Total 5 10 5 4" xfId="19749" xr:uid="{00000000-0005-0000-0000-0000F8890000}"/>
    <cellStyle name="Total 5 10 6" xfId="7463" xr:uid="{00000000-0005-0000-0000-0000F9890000}"/>
    <cellStyle name="Total 5 10 6 2" xfId="25894" xr:uid="{00000000-0005-0000-0000-0000FA890000}"/>
    <cellStyle name="Total 5 10 6 3" xfId="20818" xr:uid="{00000000-0005-0000-0000-0000FB890000}"/>
    <cellStyle name="Total 5 10 7" xfId="7842" xr:uid="{00000000-0005-0000-0000-0000FC890000}"/>
    <cellStyle name="Total 5 10 7 2" xfId="26272" xr:uid="{00000000-0005-0000-0000-0000FD890000}"/>
    <cellStyle name="Total 5 10 7 3" xfId="21196" xr:uid="{00000000-0005-0000-0000-0000FE890000}"/>
    <cellStyle name="Total 5 10 8" xfId="8563" xr:uid="{00000000-0005-0000-0000-0000FF890000}"/>
    <cellStyle name="Total 5 10 8 2" xfId="26986" xr:uid="{00000000-0005-0000-0000-0000008A0000}"/>
    <cellStyle name="Total 5 10 8 3" xfId="21854" xr:uid="{00000000-0005-0000-0000-0000018A0000}"/>
    <cellStyle name="Total 5 10 9" xfId="4055" xr:uid="{00000000-0005-0000-0000-0000028A0000}"/>
    <cellStyle name="Total 5 10 9 2" xfId="22522" xr:uid="{00000000-0005-0000-0000-0000038A0000}"/>
    <cellStyle name="Total 5 10 9 3" xfId="17737" xr:uid="{00000000-0005-0000-0000-0000048A0000}"/>
    <cellStyle name="Total 5 11" xfId="3210" xr:uid="{00000000-0005-0000-0000-0000058A0000}"/>
    <cellStyle name="Total 5 11 10" xfId="16223" xr:uid="{00000000-0005-0000-0000-0000068A0000}"/>
    <cellStyle name="Total 5 11 10 2" xfId="37536" xr:uid="{00000000-0005-0000-0000-0000078A0000}"/>
    <cellStyle name="Total 5 11 10 3" xfId="17053" xr:uid="{00000000-0005-0000-0000-0000088A0000}"/>
    <cellStyle name="Total 5 11 11" xfId="16548" xr:uid="{00000000-0005-0000-0000-0000098A0000}"/>
    <cellStyle name="Total 5 11 11 2" xfId="37765" xr:uid="{00000000-0005-0000-0000-00000A8A0000}"/>
    <cellStyle name="Total 5 11 12" xfId="27619" xr:uid="{00000000-0005-0000-0000-00000B8A0000}"/>
    <cellStyle name="Total 5 11 2" xfId="3649" xr:uid="{00000000-0005-0000-0000-00000C8A0000}"/>
    <cellStyle name="Total 5 11 2 10" xfId="14432" xr:uid="{00000000-0005-0000-0000-00000D8A0000}"/>
    <cellStyle name="Total 5 11 2 10 2" xfId="35960" xr:uid="{00000000-0005-0000-0000-00000E8A0000}"/>
    <cellStyle name="Total 5 11 2 11" xfId="27620" xr:uid="{00000000-0005-0000-0000-00000F8A0000}"/>
    <cellStyle name="Total 5 11 2 2" xfId="5776" xr:uid="{00000000-0005-0000-0000-0000108A0000}"/>
    <cellStyle name="Total 5 11 2 2 2" xfId="10810" xr:uid="{00000000-0005-0000-0000-0000118A0000}"/>
    <cellStyle name="Total 5 11 2 2 2 2" xfId="33820" xr:uid="{00000000-0005-0000-0000-0000128A0000}"/>
    <cellStyle name="Total 5 11 2 2 2 3" xfId="24223" xr:uid="{00000000-0005-0000-0000-0000138A0000}"/>
    <cellStyle name="Total 5 11 2 2 3" xfId="32364" xr:uid="{00000000-0005-0000-0000-0000148A0000}"/>
    <cellStyle name="Total 5 11 2 2 4" xfId="29461" xr:uid="{00000000-0005-0000-0000-0000158A0000}"/>
    <cellStyle name="Total 5 11 2 2 5" xfId="19334" xr:uid="{00000000-0005-0000-0000-0000168A0000}"/>
    <cellStyle name="Total 5 11 2 3" xfId="5360" xr:uid="{00000000-0005-0000-0000-0000178A0000}"/>
    <cellStyle name="Total 5 11 2 3 2" xfId="23820" xr:uid="{00000000-0005-0000-0000-0000188A0000}"/>
    <cellStyle name="Total 5 11 2 3 3" xfId="18963" xr:uid="{00000000-0005-0000-0000-0000198A0000}"/>
    <cellStyle name="Total 5 11 2 4" xfId="7251" xr:uid="{00000000-0005-0000-0000-00001A8A0000}"/>
    <cellStyle name="Total 5 11 2 4 2" xfId="25682" xr:uid="{00000000-0005-0000-0000-00001B8A0000}"/>
    <cellStyle name="Total 5 11 2 4 3" xfId="20608" xr:uid="{00000000-0005-0000-0000-00001C8A0000}"/>
    <cellStyle name="Total 5 11 2 5" xfId="7781" xr:uid="{00000000-0005-0000-0000-00001D8A0000}"/>
    <cellStyle name="Total 5 11 2 5 2" xfId="26211" xr:uid="{00000000-0005-0000-0000-00001E8A0000}"/>
    <cellStyle name="Total 5 11 2 5 3" xfId="21136" xr:uid="{00000000-0005-0000-0000-00001F8A0000}"/>
    <cellStyle name="Total 5 11 2 6" xfId="8161" xr:uid="{00000000-0005-0000-0000-0000208A0000}"/>
    <cellStyle name="Total 5 11 2 6 2" xfId="26591" xr:uid="{00000000-0005-0000-0000-0000218A0000}"/>
    <cellStyle name="Total 5 11 2 6 3" xfId="21515" xr:uid="{00000000-0005-0000-0000-0000228A0000}"/>
    <cellStyle name="Total 5 11 2 7" xfId="8885" xr:uid="{00000000-0005-0000-0000-0000238A0000}"/>
    <cellStyle name="Total 5 11 2 7 2" xfId="27305" xr:uid="{00000000-0005-0000-0000-0000248A0000}"/>
    <cellStyle name="Total 5 11 2 7 3" xfId="22176" xr:uid="{00000000-0005-0000-0000-0000258A0000}"/>
    <cellStyle name="Total 5 11 2 8" xfId="4377" xr:uid="{00000000-0005-0000-0000-0000268A0000}"/>
    <cellStyle name="Total 5 11 2 8 2" xfId="22841" xr:uid="{00000000-0005-0000-0000-0000278A0000}"/>
    <cellStyle name="Total 5 11 2 8 3" xfId="18059" xr:uid="{00000000-0005-0000-0000-0000288A0000}"/>
    <cellStyle name="Total 5 11 2 9" xfId="16197" xr:uid="{00000000-0005-0000-0000-0000298A0000}"/>
    <cellStyle name="Total 5 11 2 9 2" xfId="37512" xr:uid="{00000000-0005-0000-0000-00002A8A0000}"/>
    <cellStyle name="Total 5 11 2 9 3" xfId="17388" xr:uid="{00000000-0005-0000-0000-00002B8A0000}"/>
    <cellStyle name="Total 5 11 3" xfId="5414" xr:uid="{00000000-0005-0000-0000-00002C8A0000}"/>
    <cellStyle name="Total 5 11 3 2" xfId="11372" xr:uid="{00000000-0005-0000-0000-00002D8A0000}"/>
    <cellStyle name="Total 5 11 3 2 2" xfId="34189" xr:uid="{00000000-0005-0000-0000-00002E8A0000}"/>
    <cellStyle name="Total 5 11 3 2 3" xfId="28662" xr:uid="{00000000-0005-0000-0000-00002F8A0000}"/>
    <cellStyle name="Total 5 11 3 2 4" xfId="23868" xr:uid="{00000000-0005-0000-0000-0000308A0000}"/>
    <cellStyle name="Total 5 11 3 3" xfId="32146" xr:uid="{00000000-0005-0000-0000-0000318A0000}"/>
    <cellStyle name="Total 5 11 3 4" xfId="27833" xr:uid="{00000000-0005-0000-0000-0000328A0000}"/>
    <cellStyle name="Total 5 11 3 5" xfId="19011" xr:uid="{00000000-0005-0000-0000-0000338A0000}"/>
    <cellStyle name="Total 5 11 4" xfId="4974" xr:uid="{00000000-0005-0000-0000-0000348A0000}"/>
    <cellStyle name="Total 5 11 4 2" xfId="11018" xr:uid="{00000000-0005-0000-0000-0000358A0000}"/>
    <cellStyle name="Total 5 11 4 2 2" xfId="33894" xr:uid="{00000000-0005-0000-0000-0000368A0000}"/>
    <cellStyle name="Total 5 11 4 2 3" xfId="23434" xr:uid="{00000000-0005-0000-0000-0000378A0000}"/>
    <cellStyle name="Total 5 11 4 3" xfId="31925" xr:uid="{00000000-0005-0000-0000-0000388A0000}"/>
    <cellStyle name="Total 5 11 4 4" xfId="29460" xr:uid="{00000000-0005-0000-0000-0000398A0000}"/>
    <cellStyle name="Total 5 11 4 5" xfId="18588" xr:uid="{00000000-0005-0000-0000-00003A8A0000}"/>
    <cellStyle name="Total 5 11 5" xfId="6199" xr:uid="{00000000-0005-0000-0000-00003B8A0000}"/>
    <cellStyle name="Total 5 11 5 2" xfId="10229" xr:uid="{00000000-0005-0000-0000-00003C8A0000}"/>
    <cellStyle name="Total 5 11 5 2 2" xfId="33528" xr:uid="{00000000-0005-0000-0000-00003D8A0000}"/>
    <cellStyle name="Total 5 11 5 2 3" xfId="24639" xr:uid="{00000000-0005-0000-0000-00003E8A0000}"/>
    <cellStyle name="Total 5 11 5 3" xfId="32539" xr:uid="{00000000-0005-0000-0000-00003F8A0000}"/>
    <cellStyle name="Total 5 11 5 4" xfId="19748" xr:uid="{00000000-0005-0000-0000-0000408A0000}"/>
    <cellStyle name="Total 5 11 6" xfId="7464" xr:uid="{00000000-0005-0000-0000-0000418A0000}"/>
    <cellStyle name="Total 5 11 6 2" xfId="25895" xr:uid="{00000000-0005-0000-0000-0000428A0000}"/>
    <cellStyle name="Total 5 11 6 3" xfId="20819" xr:uid="{00000000-0005-0000-0000-0000438A0000}"/>
    <cellStyle name="Total 5 11 7" xfId="7843" xr:uid="{00000000-0005-0000-0000-0000448A0000}"/>
    <cellStyle name="Total 5 11 7 2" xfId="26273" xr:uid="{00000000-0005-0000-0000-0000458A0000}"/>
    <cellStyle name="Total 5 11 7 3" xfId="21197" xr:uid="{00000000-0005-0000-0000-0000468A0000}"/>
    <cellStyle name="Total 5 11 8" xfId="8564" xr:uid="{00000000-0005-0000-0000-0000478A0000}"/>
    <cellStyle name="Total 5 11 8 2" xfId="26987" xr:uid="{00000000-0005-0000-0000-0000488A0000}"/>
    <cellStyle name="Total 5 11 8 3" xfId="21855" xr:uid="{00000000-0005-0000-0000-0000498A0000}"/>
    <cellStyle name="Total 5 11 9" xfId="4056" xr:uid="{00000000-0005-0000-0000-00004A8A0000}"/>
    <cellStyle name="Total 5 11 9 2" xfId="22523" xr:uid="{00000000-0005-0000-0000-00004B8A0000}"/>
    <cellStyle name="Total 5 11 9 3" xfId="17738" xr:uid="{00000000-0005-0000-0000-00004C8A0000}"/>
    <cellStyle name="Total 5 12" xfId="3647" xr:uid="{00000000-0005-0000-0000-00004D8A0000}"/>
    <cellStyle name="Total 5 12 10" xfId="14719" xr:uid="{00000000-0005-0000-0000-00004E8A0000}"/>
    <cellStyle name="Total 5 12 10 2" xfId="36199" xr:uid="{00000000-0005-0000-0000-00004F8A0000}"/>
    <cellStyle name="Total 5 12 11" xfId="27621" xr:uid="{00000000-0005-0000-0000-0000508A0000}"/>
    <cellStyle name="Total 5 12 2" xfId="5774" xr:uid="{00000000-0005-0000-0000-0000518A0000}"/>
    <cellStyle name="Total 5 12 2 2" xfId="11021" xr:uid="{00000000-0005-0000-0000-0000528A0000}"/>
    <cellStyle name="Total 5 12 2 2 2" xfId="33897" xr:uid="{00000000-0005-0000-0000-0000538A0000}"/>
    <cellStyle name="Total 5 12 2 2 3" xfId="24221" xr:uid="{00000000-0005-0000-0000-0000548A0000}"/>
    <cellStyle name="Total 5 12 2 3" xfId="32362" xr:uid="{00000000-0005-0000-0000-0000558A0000}"/>
    <cellStyle name="Total 5 12 2 4" xfId="29462" xr:uid="{00000000-0005-0000-0000-0000568A0000}"/>
    <cellStyle name="Total 5 12 2 5" xfId="19332" xr:uid="{00000000-0005-0000-0000-0000578A0000}"/>
    <cellStyle name="Total 5 12 3" xfId="3763" xr:uid="{00000000-0005-0000-0000-0000588A0000}"/>
    <cellStyle name="Total 5 12 3 2" xfId="22232" xr:uid="{00000000-0005-0000-0000-0000598A0000}"/>
    <cellStyle name="Total 5 12 3 3" xfId="17446" xr:uid="{00000000-0005-0000-0000-00005A8A0000}"/>
    <cellStyle name="Total 5 12 4" xfId="7249" xr:uid="{00000000-0005-0000-0000-00005B8A0000}"/>
    <cellStyle name="Total 5 12 4 2" xfId="25680" xr:uid="{00000000-0005-0000-0000-00005C8A0000}"/>
    <cellStyle name="Total 5 12 4 3" xfId="20606" xr:uid="{00000000-0005-0000-0000-00005D8A0000}"/>
    <cellStyle name="Total 5 12 5" xfId="7779" xr:uid="{00000000-0005-0000-0000-00005E8A0000}"/>
    <cellStyle name="Total 5 12 5 2" xfId="26209" xr:uid="{00000000-0005-0000-0000-00005F8A0000}"/>
    <cellStyle name="Total 5 12 5 3" xfId="21134" xr:uid="{00000000-0005-0000-0000-0000608A0000}"/>
    <cellStyle name="Total 5 12 6" xfId="8159" xr:uid="{00000000-0005-0000-0000-0000618A0000}"/>
    <cellStyle name="Total 5 12 6 2" xfId="26589" xr:uid="{00000000-0005-0000-0000-0000628A0000}"/>
    <cellStyle name="Total 5 12 6 3" xfId="21513" xr:uid="{00000000-0005-0000-0000-0000638A0000}"/>
    <cellStyle name="Total 5 12 7" xfId="8883" xr:uid="{00000000-0005-0000-0000-0000648A0000}"/>
    <cellStyle name="Total 5 12 7 2" xfId="27303" xr:uid="{00000000-0005-0000-0000-0000658A0000}"/>
    <cellStyle name="Total 5 12 7 3" xfId="22174" xr:uid="{00000000-0005-0000-0000-0000668A0000}"/>
    <cellStyle name="Total 5 12 8" xfId="4375" xr:uid="{00000000-0005-0000-0000-0000678A0000}"/>
    <cellStyle name="Total 5 12 8 2" xfId="22839" xr:uid="{00000000-0005-0000-0000-0000688A0000}"/>
    <cellStyle name="Total 5 12 8 3" xfId="18057" xr:uid="{00000000-0005-0000-0000-0000698A0000}"/>
    <cellStyle name="Total 5 12 9" xfId="16165" xr:uid="{00000000-0005-0000-0000-00006A8A0000}"/>
    <cellStyle name="Total 5 12 9 2" xfId="37482" xr:uid="{00000000-0005-0000-0000-00006B8A0000}"/>
    <cellStyle name="Total 5 12 9 3" xfId="17386" xr:uid="{00000000-0005-0000-0000-00006C8A0000}"/>
    <cellStyle name="Total 5 13" xfId="5412" xr:uid="{00000000-0005-0000-0000-00006D8A0000}"/>
    <cellStyle name="Total 5 13 2" xfId="11370" xr:uid="{00000000-0005-0000-0000-00006E8A0000}"/>
    <cellStyle name="Total 5 13 2 2" xfId="34187" xr:uid="{00000000-0005-0000-0000-00006F8A0000}"/>
    <cellStyle name="Total 5 13 2 3" xfId="28660" xr:uid="{00000000-0005-0000-0000-0000708A0000}"/>
    <cellStyle name="Total 5 13 2 4" xfId="23866" xr:uid="{00000000-0005-0000-0000-0000718A0000}"/>
    <cellStyle name="Total 5 13 3" xfId="32144" xr:uid="{00000000-0005-0000-0000-0000728A0000}"/>
    <cellStyle name="Total 5 13 4" xfId="27831" xr:uid="{00000000-0005-0000-0000-0000738A0000}"/>
    <cellStyle name="Total 5 13 5" xfId="19009" xr:uid="{00000000-0005-0000-0000-0000748A0000}"/>
    <cellStyle name="Total 5 14" xfId="4972" xr:uid="{00000000-0005-0000-0000-0000758A0000}"/>
    <cellStyle name="Total 5 14 2" xfId="11019" xr:uid="{00000000-0005-0000-0000-0000768A0000}"/>
    <cellStyle name="Total 5 14 2 2" xfId="33895" xr:uid="{00000000-0005-0000-0000-0000778A0000}"/>
    <cellStyle name="Total 5 14 2 3" xfId="23432" xr:uid="{00000000-0005-0000-0000-0000788A0000}"/>
    <cellStyle name="Total 5 14 3" xfId="31923" xr:uid="{00000000-0005-0000-0000-0000798A0000}"/>
    <cellStyle name="Total 5 14 4" xfId="29457" xr:uid="{00000000-0005-0000-0000-00007A8A0000}"/>
    <cellStyle name="Total 5 14 5" xfId="18586" xr:uid="{00000000-0005-0000-0000-00007B8A0000}"/>
    <cellStyle name="Total 5 15" xfId="6201" xr:uid="{00000000-0005-0000-0000-00007C8A0000}"/>
    <cellStyle name="Total 5 15 2" xfId="10227" xr:uid="{00000000-0005-0000-0000-00007D8A0000}"/>
    <cellStyle name="Total 5 15 2 2" xfId="33526" xr:uid="{00000000-0005-0000-0000-00007E8A0000}"/>
    <cellStyle name="Total 5 15 2 3" xfId="24641" xr:uid="{00000000-0005-0000-0000-00007F8A0000}"/>
    <cellStyle name="Total 5 15 3" xfId="32541" xr:uid="{00000000-0005-0000-0000-0000808A0000}"/>
    <cellStyle name="Total 5 15 4" xfId="19750" xr:uid="{00000000-0005-0000-0000-0000818A0000}"/>
    <cellStyle name="Total 5 16" xfId="7462" xr:uid="{00000000-0005-0000-0000-0000828A0000}"/>
    <cellStyle name="Total 5 16 2" xfId="25893" xr:uid="{00000000-0005-0000-0000-0000838A0000}"/>
    <cellStyle name="Total 5 16 3" xfId="20817" xr:uid="{00000000-0005-0000-0000-0000848A0000}"/>
    <cellStyle name="Total 5 17" xfId="7841" xr:uid="{00000000-0005-0000-0000-0000858A0000}"/>
    <cellStyle name="Total 5 17 2" xfId="26271" xr:uid="{00000000-0005-0000-0000-0000868A0000}"/>
    <cellStyle name="Total 5 17 3" xfId="21195" xr:uid="{00000000-0005-0000-0000-0000878A0000}"/>
    <cellStyle name="Total 5 18" xfId="8562" xr:uid="{00000000-0005-0000-0000-0000888A0000}"/>
    <cellStyle name="Total 5 18 2" xfId="26985" xr:uid="{00000000-0005-0000-0000-0000898A0000}"/>
    <cellStyle name="Total 5 18 3" xfId="21853" xr:uid="{00000000-0005-0000-0000-00008A8A0000}"/>
    <cellStyle name="Total 5 19" xfId="4054" xr:uid="{00000000-0005-0000-0000-00008B8A0000}"/>
    <cellStyle name="Total 5 19 2" xfId="22521" xr:uid="{00000000-0005-0000-0000-00008C8A0000}"/>
    <cellStyle name="Total 5 19 3" xfId="17736" xr:uid="{00000000-0005-0000-0000-00008D8A0000}"/>
    <cellStyle name="Total 5 2" xfId="3211" xr:uid="{00000000-0005-0000-0000-00008E8A0000}"/>
    <cellStyle name="Total 5 2 10" xfId="16133" xr:uid="{00000000-0005-0000-0000-00008F8A0000}"/>
    <cellStyle name="Total 5 2 10 2" xfId="37454" xr:uid="{00000000-0005-0000-0000-0000908A0000}"/>
    <cellStyle name="Total 5 2 10 3" xfId="17054" xr:uid="{00000000-0005-0000-0000-0000918A0000}"/>
    <cellStyle name="Total 5 2 11" xfId="15981" xr:uid="{00000000-0005-0000-0000-0000928A0000}"/>
    <cellStyle name="Total 5 2 11 2" xfId="37343" xr:uid="{00000000-0005-0000-0000-0000938A0000}"/>
    <cellStyle name="Total 5 2 12" xfId="27622" xr:uid="{00000000-0005-0000-0000-0000948A0000}"/>
    <cellStyle name="Total 5 2 2" xfId="3650" xr:uid="{00000000-0005-0000-0000-0000958A0000}"/>
    <cellStyle name="Total 5 2 2 10" xfId="16329" xr:uid="{00000000-0005-0000-0000-0000968A0000}"/>
    <cellStyle name="Total 5 2 2 10 2" xfId="37634" xr:uid="{00000000-0005-0000-0000-0000978A0000}"/>
    <cellStyle name="Total 5 2 2 11" xfId="27623" xr:uid="{00000000-0005-0000-0000-0000988A0000}"/>
    <cellStyle name="Total 5 2 2 2" xfId="5777" xr:uid="{00000000-0005-0000-0000-0000998A0000}"/>
    <cellStyle name="Total 5 2 2 2 2" xfId="11022" xr:uid="{00000000-0005-0000-0000-00009A8A0000}"/>
    <cellStyle name="Total 5 2 2 2 2 2" xfId="33898" xr:uid="{00000000-0005-0000-0000-00009B8A0000}"/>
    <cellStyle name="Total 5 2 2 2 2 3" xfId="24224" xr:uid="{00000000-0005-0000-0000-00009C8A0000}"/>
    <cellStyle name="Total 5 2 2 2 3" xfId="32365" xr:uid="{00000000-0005-0000-0000-00009D8A0000}"/>
    <cellStyle name="Total 5 2 2 2 4" xfId="29464" xr:uid="{00000000-0005-0000-0000-00009E8A0000}"/>
    <cellStyle name="Total 5 2 2 2 5" xfId="19335" xr:uid="{00000000-0005-0000-0000-00009F8A0000}"/>
    <cellStyle name="Total 5 2 2 3" xfId="5361" xr:uid="{00000000-0005-0000-0000-0000A08A0000}"/>
    <cellStyle name="Total 5 2 2 3 2" xfId="23821" xr:uid="{00000000-0005-0000-0000-0000A18A0000}"/>
    <cellStyle name="Total 5 2 2 3 3" xfId="18964" xr:uid="{00000000-0005-0000-0000-0000A28A0000}"/>
    <cellStyle name="Total 5 2 2 4" xfId="7252" xr:uid="{00000000-0005-0000-0000-0000A38A0000}"/>
    <cellStyle name="Total 5 2 2 4 2" xfId="25683" xr:uid="{00000000-0005-0000-0000-0000A48A0000}"/>
    <cellStyle name="Total 5 2 2 4 3" xfId="20609" xr:uid="{00000000-0005-0000-0000-0000A58A0000}"/>
    <cellStyle name="Total 5 2 2 5" xfId="7782" xr:uid="{00000000-0005-0000-0000-0000A68A0000}"/>
    <cellStyle name="Total 5 2 2 5 2" xfId="26212" xr:uid="{00000000-0005-0000-0000-0000A78A0000}"/>
    <cellStyle name="Total 5 2 2 5 3" xfId="21137" xr:uid="{00000000-0005-0000-0000-0000A88A0000}"/>
    <cellStyle name="Total 5 2 2 6" xfId="8162" xr:uid="{00000000-0005-0000-0000-0000A98A0000}"/>
    <cellStyle name="Total 5 2 2 6 2" xfId="26592" xr:uid="{00000000-0005-0000-0000-0000AA8A0000}"/>
    <cellStyle name="Total 5 2 2 6 3" xfId="21516" xr:uid="{00000000-0005-0000-0000-0000AB8A0000}"/>
    <cellStyle name="Total 5 2 2 7" xfId="8886" xr:uid="{00000000-0005-0000-0000-0000AC8A0000}"/>
    <cellStyle name="Total 5 2 2 7 2" xfId="27306" xr:uid="{00000000-0005-0000-0000-0000AD8A0000}"/>
    <cellStyle name="Total 5 2 2 7 3" xfId="22177" xr:uid="{00000000-0005-0000-0000-0000AE8A0000}"/>
    <cellStyle name="Total 5 2 2 8" xfId="4378" xr:uid="{00000000-0005-0000-0000-0000AF8A0000}"/>
    <cellStyle name="Total 5 2 2 8 2" xfId="22842" xr:uid="{00000000-0005-0000-0000-0000B08A0000}"/>
    <cellStyle name="Total 5 2 2 8 3" xfId="18060" xr:uid="{00000000-0005-0000-0000-0000B18A0000}"/>
    <cellStyle name="Total 5 2 2 9" xfId="16100" xr:uid="{00000000-0005-0000-0000-0000B28A0000}"/>
    <cellStyle name="Total 5 2 2 9 2" xfId="37422" xr:uid="{00000000-0005-0000-0000-0000B38A0000}"/>
    <cellStyle name="Total 5 2 2 9 3" xfId="17389" xr:uid="{00000000-0005-0000-0000-0000B48A0000}"/>
    <cellStyle name="Total 5 2 3" xfId="5415" xr:uid="{00000000-0005-0000-0000-0000B58A0000}"/>
    <cellStyle name="Total 5 2 3 2" xfId="11373" xr:uid="{00000000-0005-0000-0000-0000B68A0000}"/>
    <cellStyle name="Total 5 2 3 2 2" xfId="34190" xr:uid="{00000000-0005-0000-0000-0000B78A0000}"/>
    <cellStyle name="Total 5 2 3 2 3" xfId="28663" xr:uid="{00000000-0005-0000-0000-0000B88A0000}"/>
    <cellStyle name="Total 5 2 3 2 4" xfId="23869" xr:uid="{00000000-0005-0000-0000-0000B98A0000}"/>
    <cellStyle name="Total 5 2 3 3" xfId="32147" xr:uid="{00000000-0005-0000-0000-0000BA8A0000}"/>
    <cellStyle name="Total 5 2 3 4" xfId="27834" xr:uid="{00000000-0005-0000-0000-0000BB8A0000}"/>
    <cellStyle name="Total 5 2 3 5" xfId="19012" xr:uid="{00000000-0005-0000-0000-0000BC8A0000}"/>
    <cellStyle name="Total 5 2 4" xfId="4975" xr:uid="{00000000-0005-0000-0000-0000BD8A0000}"/>
    <cellStyle name="Total 5 2 4 2" xfId="10811" xr:uid="{00000000-0005-0000-0000-0000BE8A0000}"/>
    <cellStyle name="Total 5 2 4 2 2" xfId="33821" xr:uid="{00000000-0005-0000-0000-0000BF8A0000}"/>
    <cellStyle name="Total 5 2 4 2 3" xfId="23435" xr:uid="{00000000-0005-0000-0000-0000C08A0000}"/>
    <cellStyle name="Total 5 2 4 3" xfId="31926" xr:uid="{00000000-0005-0000-0000-0000C18A0000}"/>
    <cellStyle name="Total 5 2 4 4" xfId="29463" xr:uid="{00000000-0005-0000-0000-0000C28A0000}"/>
    <cellStyle name="Total 5 2 4 5" xfId="18589" xr:uid="{00000000-0005-0000-0000-0000C38A0000}"/>
    <cellStyle name="Total 5 2 5" xfId="6198" xr:uid="{00000000-0005-0000-0000-0000C48A0000}"/>
    <cellStyle name="Total 5 2 5 2" xfId="10230" xr:uid="{00000000-0005-0000-0000-0000C58A0000}"/>
    <cellStyle name="Total 5 2 5 2 2" xfId="33529" xr:uid="{00000000-0005-0000-0000-0000C68A0000}"/>
    <cellStyle name="Total 5 2 5 2 3" xfId="24638" xr:uid="{00000000-0005-0000-0000-0000C78A0000}"/>
    <cellStyle name="Total 5 2 5 3" xfId="32538" xr:uid="{00000000-0005-0000-0000-0000C88A0000}"/>
    <cellStyle name="Total 5 2 5 4" xfId="19747" xr:uid="{00000000-0005-0000-0000-0000C98A0000}"/>
    <cellStyle name="Total 5 2 6" xfId="7465" xr:uid="{00000000-0005-0000-0000-0000CA8A0000}"/>
    <cellStyle name="Total 5 2 6 2" xfId="25896" xr:uid="{00000000-0005-0000-0000-0000CB8A0000}"/>
    <cellStyle name="Total 5 2 6 3" xfId="20820" xr:uid="{00000000-0005-0000-0000-0000CC8A0000}"/>
    <cellStyle name="Total 5 2 7" xfId="7844" xr:uid="{00000000-0005-0000-0000-0000CD8A0000}"/>
    <cellStyle name="Total 5 2 7 2" xfId="26274" xr:uid="{00000000-0005-0000-0000-0000CE8A0000}"/>
    <cellStyle name="Total 5 2 7 3" xfId="21198" xr:uid="{00000000-0005-0000-0000-0000CF8A0000}"/>
    <cellStyle name="Total 5 2 8" xfId="8565" xr:uid="{00000000-0005-0000-0000-0000D08A0000}"/>
    <cellStyle name="Total 5 2 8 2" xfId="26988" xr:uid="{00000000-0005-0000-0000-0000D18A0000}"/>
    <cellStyle name="Total 5 2 8 3" xfId="21856" xr:uid="{00000000-0005-0000-0000-0000D28A0000}"/>
    <cellStyle name="Total 5 2 9" xfId="4057" xr:uid="{00000000-0005-0000-0000-0000D38A0000}"/>
    <cellStyle name="Total 5 2 9 2" xfId="22524" xr:uid="{00000000-0005-0000-0000-0000D48A0000}"/>
    <cellStyle name="Total 5 2 9 3" xfId="17739" xr:uid="{00000000-0005-0000-0000-0000D58A0000}"/>
    <cellStyle name="Total 5 20" xfId="14887" xr:uid="{00000000-0005-0000-0000-0000D68A0000}"/>
    <cellStyle name="Total 5 20 2" xfId="36335" xr:uid="{00000000-0005-0000-0000-0000D78A0000}"/>
    <cellStyle name="Total 5 20 3" xfId="17051" xr:uid="{00000000-0005-0000-0000-0000D88A0000}"/>
    <cellStyle name="Total 5 21" xfId="15176" xr:uid="{00000000-0005-0000-0000-0000D98A0000}"/>
    <cellStyle name="Total 5 21 2" xfId="36586" xr:uid="{00000000-0005-0000-0000-0000DA8A0000}"/>
    <cellStyle name="Total 5 22" xfId="27616" xr:uid="{00000000-0005-0000-0000-0000DB8A0000}"/>
    <cellStyle name="Total 5 3" xfId="3212" xr:uid="{00000000-0005-0000-0000-0000DC8A0000}"/>
    <cellStyle name="Total 5 3 10" xfId="15673" xr:uid="{00000000-0005-0000-0000-0000DD8A0000}"/>
    <cellStyle name="Total 5 3 10 2" xfId="37047" xr:uid="{00000000-0005-0000-0000-0000DE8A0000}"/>
    <cellStyle name="Total 5 3 10 3" xfId="17055" xr:uid="{00000000-0005-0000-0000-0000DF8A0000}"/>
    <cellStyle name="Total 5 3 11" xfId="14664" xr:uid="{00000000-0005-0000-0000-0000E08A0000}"/>
    <cellStyle name="Total 5 3 11 2" xfId="36147" xr:uid="{00000000-0005-0000-0000-0000E18A0000}"/>
    <cellStyle name="Total 5 3 12" xfId="27624" xr:uid="{00000000-0005-0000-0000-0000E28A0000}"/>
    <cellStyle name="Total 5 3 2" xfId="3651" xr:uid="{00000000-0005-0000-0000-0000E38A0000}"/>
    <cellStyle name="Total 5 3 2 10" xfId="14727" xr:uid="{00000000-0005-0000-0000-0000E48A0000}"/>
    <cellStyle name="Total 5 3 2 10 2" xfId="36207" xr:uid="{00000000-0005-0000-0000-0000E58A0000}"/>
    <cellStyle name="Total 5 3 2 11" xfId="27625" xr:uid="{00000000-0005-0000-0000-0000E68A0000}"/>
    <cellStyle name="Total 5 3 2 2" xfId="5778" xr:uid="{00000000-0005-0000-0000-0000E78A0000}"/>
    <cellStyle name="Total 5 3 2 2 2" xfId="11023" xr:uid="{00000000-0005-0000-0000-0000E88A0000}"/>
    <cellStyle name="Total 5 3 2 2 2 2" xfId="33899" xr:uid="{00000000-0005-0000-0000-0000E98A0000}"/>
    <cellStyle name="Total 5 3 2 2 2 3" xfId="24225" xr:uid="{00000000-0005-0000-0000-0000EA8A0000}"/>
    <cellStyle name="Total 5 3 2 2 3" xfId="32366" xr:uid="{00000000-0005-0000-0000-0000EB8A0000}"/>
    <cellStyle name="Total 5 3 2 2 4" xfId="29466" xr:uid="{00000000-0005-0000-0000-0000EC8A0000}"/>
    <cellStyle name="Total 5 3 2 2 5" xfId="19336" xr:uid="{00000000-0005-0000-0000-0000ED8A0000}"/>
    <cellStyle name="Total 5 3 2 3" xfId="5362" xr:uid="{00000000-0005-0000-0000-0000EE8A0000}"/>
    <cellStyle name="Total 5 3 2 3 2" xfId="23822" xr:uid="{00000000-0005-0000-0000-0000EF8A0000}"/>
    <cellStyle name="Total 5 3 2 3 3" xfId="18965" xr:uid="{00000000-0005-0000-0000-0000F08A0000}"/>
    <cellStyle name="Total 5 3 2 4" xfId="7253" xr:uid="{00000000-0005-0000-0000-0000F18A0000}"/>
    <cellStyle name="Total 5 3 2 4 2" xfId="25684" xr:uid="{00000000-0005-0000-0000-0000F28A0000}"/>
    <cellStyle name="Total 5 3 2 4 3" xfId="20610" xr:uid="{00000000-0005-0000-0000-0000F38A0000}"/>
    <cellStyle name="Total 5 3 2 5" xfId="7783" xr:uid="{00000000-0005-0000-0000-0000F48A0000}"/>
    <cellStyle name="Total 5 3 2 5 2" xfId="26213" xr:uid="{00000000-0005-0000-0000-0000F58A0000}"/>
    <cellStyle name="Total 5 3 2 5 3" xfId="21138" xr:uid="{00000000-0005-0000-0000-0000F68A0000}"/>
    <cellStyle name="Total 5 3 2 6" xfId="8163" xr:uid="{00000000-0005-0000-0000-0000F78A0000}"/>
    <cellStyle name="Total 5 3 2 6 2" xfId="26593" xr:uid="{00000000-0005-0000-0000-0000F88A0000}"/>
    <cellStyle name="Total 5 3 2 6 3" xfId="21517" xr:uid="{00000000-0005-0000-0000-0000F98A0000}"/>
    <cellStyle name="Total 5 3 2 7" xfId="8887" xr:uid="{00000000-0005-0000-0000-0000FA8A0000}"/>
    <cellStyle name="Total 5 3 2 7 2" xfId="27307" xr:uid="{00000000-0005-0000-0000-0000FB8A0000}"/>
    <cellStyle name="Total 5 3 2 7 3" xfId="22178" xr:uid="{00000000-0005-0000-0000-0000FC8A0000}"/>
    <cellStyle name="Total 5 3 2 8" xfId="4379" xr:uid="{00000000-0005-0000-0000-0000FD8A0000}"/>
    <cellStyle name="Total 5 3 2 8 2" xfId="22843" xr:uid="{00000000-0005-0000-0000-0000FE8A0000}"/>
    <cellStyle name="Total 5 3 2 8 3" xfId="18061" xr:uid="{00000000-0005-0000-0000-0000FF8A0000}"/>
    <cellStyle name="Total 5 3 2 9" xfId="15644" xr:uid="{00000000-0005-0000-0000-0000008B0000}"/>
    <cellStyle name="Total 5 3 2 9 2" xfId="37019" xr:uid="{00000000-0005-0000-0000-0000018B0000}"/>
    <cellStyle name="Total 5 3 2 9 3" xfId="17390" xr:uid="{00000000-0005-0000-0000-0000028B0000}"/>
    <cellStyle name="Total 5 3 3" xfId="5416" xr:uid="{00000000-0005-0000-0000-0000038B0000}"/>
    <cellStyle name="Total 5 3 3 2" xfId="11374" xr:uid="{00000000-0005-0000-0000-0000048B0000}"/>
    <cellStyle name="Total 5 3 3 2 2" xfId="34191" xr:uid="{00000000-0005-0000-0000-0000058B0000}"/>
    <cellStyle name="Total 5 3 3 2 3" xfId="28664" xr:uid="{00000000-0005-0000-0000-0000068B0000}"/>
    <cellStyle name="Total 5 3 3 2 4" xfId="23870" xr:uid="{00000000-0005-0000-0000-0000078B0000}"/>
    <cellStyle name="Total 5 3 3 3" xfId="32148" xr:uid="{00000000-0005-0000-0000-0000088B0000}"/>
    <cellStyle name="Total 5 3 3 4" xfId="27835" xr:uid="{00000000-0005-0000-0000-0000098B0000}"/>
    <cellStyle name="Total 5 3 3 5" xfId="19013" xr:uid="{00000000-0005-0000-0000-00000A8B0000}"/>
    <cellStyle name="Total 5 3 4" xfId="4976" xr:uid="{00000000-0005-0000-0000-00000B8B0000}"/>
    <cellStyle name="Total 5 3 4 2" xfId="10812" xr:uid="{00000000-0005-0000-0000-00000C8B0000}"/>
    <cellStyle name="Total 5 3 4 2 2" xfId="33822" xr:uid="{00000000-0005-0000-0000-00000D8B0000}"/>
    <cellStyle name="Total 5 3 4 2 3" xfId="23436" xr:uid="{00000000-0005-0000-0000-00000E8B0000}"/>
    <cellStyle name="Total 5 3 4 3" xfId="31927" xr:uid="{00000000-0005-0000-0000-00000F8B0000}"/>
    <cellStyle name="Total 5 3 4 4" xfId="29465" xr:uid="{00000000-0005-0000-0000-0000108B0000}"/>
    <cellStyle name="Total 5 3 4 5" xfId="18590" xr:uid="{00000000-0005-0000-0000-0000118B0000}"/>
    <cellStyle name="Total 5 3 5" xfId="6197" xr:uid="{00000000-0005-0000-0000-0000128B0000}"/>
    <cellStyle name="Total 5 3 5 2" xfId="10231" xr:uid="{00000000-0005-0000-0000-0000138B0000}"/>
    <cellStyle name="Total 5 3 5 2 2" xfId="33530" xr:uid="{00000000-0005-0000-0000-0000148B0000}"/>
    <cellStyle name="Total 5 3 5 2 3" xfId="24637" xr:uid="{00000000-0005-0000-0000-0000158B0000}"/>
    <cellStyle name="Total 5 3 5 3" xfId="32537" xr:uid="{00000000-0005-0000-0000-0000168B0000}"/>
    <cellStyle name="Total 5 3 5 4" xfId="19746" xr:uid="{00000000-0005-0000-0000-0000178B0000}"/>
    <cellStyle name="Total 5 3 6" xfId="7466" xr:uid="{00000000-0005-0000-0000-0000188B0000}"/>
    <cellStyle name="Total 5 3 6 2" xfId="25897" xr:uid="{00000000-0005-0000-0000-0000198B0000}"/>
    <cellStyle name="Total 5 3 6 3" xfId="20821" xr:uid="{00000000-0005-0000-0000-00001A8B0000}"/>
    <cellStyle name="Total 5 3 7" xfId="7845" xr:uid="{00000000-0005-0000-0000-00001B8B0000}"/>
    <cellStyle name="Total 5 3 7 2" xfId="26275" xr:uid="{00000000-0005-0000-0000-00001C8B0000}"/>
    <cellStyle name="Total 5 3 7 3" xfId="21199" xr:uid="{00000000-0005-0000-0000-00001D8B0000}"/>
    <cellStyle name="Total 5 3 8" xfId="8566" xr:uid="{00000000-0005-0000-0000-00001E8B0000}"/>
    <cellStyle name="Total 5 3 8 2" xfId="26989" xr:uid="{00000000-0005-0000-0000-00001F8B0000}"/>
    <cellStyle name="Total 5 3 8 3" xfId="21857" xr:uid="{00000000-0005-0000-0000-0000208B0000}"/>
    <cellStyle name="Total 5 3 9" xfId="4058" xr:uid="{00000000-0005-0000-0000-0000218B0000}"/>
    <cellStyle name="Total 5 3 9 2" xfId="22525" xr:uid="{00000000-0005-0000-0000-0000228B0000}"/>
    <cellStyle name="Total 5 3 9 3" xfId="17740" xr:uid="{00000000-0005-0000-0000-0000238B0000}"/>
    <cellStyle name="Total 5 4" xfId="3213" xr:uid="{00000000-0005-0000-0000-0000248B0000}"/>
    <cellStyle name="Total 5 4 10" xfId="15621" xr:uid="{00000000-0005-0000-0000-0000258B0000}"/>
    <cellStyle name="Total 5 4 10 2" xfId="36996" xr:uid="{00000000-0005-0000-0000-0000268B0000}"/>
    <cellStyle name="Total 5 4 10 3" xfId="17056" xr:uid="{00000000-0005-0000-0000-0000278B0000}"/>
    <cellStyle name="Total 5 4 11" xfId="15754" xr:uid="{00000000-0005-0000-0000-0000288B0000}"/>
    <cellStyle name="Total 5 4 11 2" xfId="37116" xr:uid="{00000000-0005-0000-0000-0000298B0000}"/>
    <cellStyle name="Total 5 4 12" xfId="27626" xr:uid="{00000000-0005-0000-0000-00002A8B0000}"/>
    <cellStyle name="Total 5 4 2" xfId="3652" xr:uid="{00000000-0005-0000-0000-00002B8B0000}"/>
    <cellStyle name="Total 5 4 2 10" xfId="16389" xr:uid="{00000000-0005-0000-0000-00002C8B0000}"/>
    <cellStyle name="Total 5 4 2 10 2" xfId="37688" xr:uid="{00000000-0005-0000-0000-00002D8B0000}"/>
    <cellStyle name="Total 5 4 2 11" xfId="27627" xr:uid="{00000000-0005-0000-0000-00002E8B0000}"/>
    <cellStyle name="Total 5 4 2 2" xfId="5779" xr:uid="{00000000-0005-0000-0000-00002F8B0000}"/>
    <cellStyle name="Total 5 4 2 2 2" xfId="11024" xr:uid="{00000000-0005-0000-0000-0000308B0000}"/>
    <cellStyle name="Total 5 4 2 2 2 2" xfId="33900" xr:uid="{00000000-0005-0000-0000-0000318B0000}"/>
    <cellStyle name="Total 5 4 2 2 2 3" xfId="24226" xr:uid="{00000000-0005-0000-0000-0000328B0000}"/>
    <cellStyle name="Total 5 4 2 2 3" xfId="32367" xr:uid="{00000000-0005-0000-0000-0000338B0000}"/>
    <cellStyle name="Total 5 4 2 2 4" xfId="29468" xr:uid="{00000000-0005-0000-0000-0000348B0000}"/>
    <cellStyle name="Total 5 4 2 2 5" xfId="19337" xr:uid="{00000000-0005-0000-0000-0000358B0000}"/>
    <cellStyle name="Total 5 4 2 3" xfId="5733" xr:uid="{00000000-0005-0000-0000-0000368B0000}"/>
    <cellStyle name="Total 5 4 2 3 2" xfId="24186" xr:uid="{00000000-0005-0000-0000-0000378B0000}"/>
    <cellStyle name="Total 5 4 2 3 3" xfId="19297" xr:uid="{00000000-0005-0000-0000-0000388B0000}"/>
    <cellStyle name="Total 5 4 2 4" xfId="7254" xr:uid="{00000000-0005-0000-0000-0000398B0000}"/>
    <cellStyle name="Total 5 4 2 4 2" xfId="25685" xr:uid="{00000000-0005-0000-0000-00003A8B0000}"/>
    <cellStyle name="Total 5 4 2 4 3" xfId="20611" xr:uid="{00000000-0005-0000-0000-00003B8B0000}"/>
    <cellStyle name="Total 5 4 2 5" xfId="7784" xr:uid="{00000000-0005-0000-0000-00003C8B0000}"/>
    <cellStyle name="Total 5 4 2 5 2" xfId="26214" xr:uid="{00000000-0005-0000-0000-00003D8B0000}"/>
    <cellStyle name="Total 5 4 2 5 3" xfId="21139" xr:uid="{00000000-0005-0000-0000-00003E8B0000}"/>
    <cellStyle name="Total 5 4 2 6" xfId="8164" xr:uid="{00000000-0005-0000-0000-00003F8B0000}"/>
    <cellStyle name="Total 5 4 2 6 2" xfId="26594" xr:uid="{00000000-0005-0000-0000-0000408B0000}"/>
    <cellStyle name="Total 5 4 2 6 3" xfId="21518" xr:uid="{00000000-0005-0000-0000-0000418B0000}"/>
    <cellStyle name="Total 5 4 2 7" xfId="8888" xr:uid="{00000000-0005-0000-0000-0000428B0000}"/>
    <cellStyle name="Total 5 4 2 7 2" xfId="27308" xr:uid="{00000000-0005-0000-0000-0000438B0000}"/>
    <cellStyle name="Total 5 4 2 7 3" xfId="22179" xr:uid="{00000000-0005-0000-0000-0000448B0000}"/>
    <cellStyle name="Total 5 4 2 8" xfId="4380" xr:uid="{00000000-0005-0000-0000-0000458B0000}"/>
    <cellStyle name="Total 5 4 2 8 2" xfId="22844" xr:uid="{00000000-0005-0000-0000-0000468B0000}"/>
    <cellStyle name="Total 5 4 2 8 3" xfId="18062" xr:uid="{00000000-0005-0000-0000-0000478B0000}"/>
    <cellStyle name="Total 5 4 2 9" xfId="14884" xr:uid="{00000000-0005-0000-0000-0000488B0000}"/>
    <cellStyle name="Total 5 4 2 9 2" xfId="36332" xr:uid="{00000000-0005-0000-0000-0000498B0000}"/>
    <cellStyle name="Total 5 4 2 9 3" xfId="17391" xr:uid="{00000000-0005-0000-0000-00004A8B0000}"/>
    <cellStyle name="Total 5 4 3" xfId="5417" xr:uid="{00000000-0005-0000-0000-00004B8B0000}"/>
    <cellStyle name="Total 5 4 3 2" xfId="11375" xr:uid="{00000000-0005-0000-0000-00004C8B0000}"/>
    <cellStyle name="Total 5 4 3 2 2" xfId="34192" xr:uid="{00000000-0005-0000-0000-00004D8B0000}"/>
    <cellStyle name="Total 5 4 3 2 3" xfId="28665" xr:uid="{00000000-0005-0000-0000-00004E8B0000}"/>
    <cellStyle name="Total 5 4 3 2 4" xfId="23871" xr:uid="{00000000-0005-0000-0000-00004F8B0000}"/>
    <cellStyle name="Total 5 4 3 3" xfId="32149" xr:uid="{00000000-0005-0000-0000-0000508B0000}"/>
    <cellStyle name="Total 5 4 3 4" xfId="27836" xr:uid="{00000000-0005-0000-0000-0000518B0000}"/>
    <cellStyle name="Total 5 4 3 5" xfId="19014" xr:uid="{00000000-0005-0000-0000-0000528B0000}"/>
    <cellStyle name="Total 5 4 4" xfId="4977" xr:uid="{00000000-0005-0000-0000-0000538B0000}"/>
    <cellStyle name="Total 5 4 4 2" xfId="10813" xr:uid="{00000000-0005-0000-0000-0000548B0000}"/>
    <cellStyle name="Total 5 4 4 2 2" xfId="33823" xr:uid="{00000000-0005-0000-0000-0000558B0000}"/>
    <cellStyle name="Total 5 4 4 2 3" xfId="23437" xr:uid="{00000000-0005-0000-0000-0000568B0000}"/>
    <cellStyle name="Total 5 4 4 3" xfId="31928" xr:uid="{00000000-0005-0000-0000-0000578B0000}"/>
    <cellStyle name="Total 5 4 4 4" xfId="29467" xr:uid="{00000000-0005-0000-0000-0000588B0000}"/>
    <cellStyle name="Total 5 4 4 5" xfId="18591" xr:uid="{00000000-0005-0000-0000-0000598B0000}"/>
    <cellStyle name="Total 5 4 5" xfId="6196" xr:uid="{00000000-0005-0000-0000-00005A8B0000}"/>
    <cellStyle name="Total 5 4 5 2" xfId="10232" xr:uid="{00000000-0005-0000-0000-00005B8B0000}"/>
    <cellStyle name="Total 5 4 5 2 2" xfId="33531" xr:uid="{00000000-0005-0000-0000-00005C8B0000}"/>
    <cellStyle name="Total 5 4 5 2 3" xfId="24636" xr:uid="{00000000-0005-0000-0000-00005D8B0000}"/>
    <cellStyle name="Total 5 4 5 3" xfId="32536" xr:uid="{00000000-0005-0000-0000-00005E8B0000}"/>
    <cellStyle name="Total 5 4 5 4" xfId="19745" xr:uid="{00000000-0005-0000-0000-00005F8B0000}"/>
    <cellStyle name="Total 5 4 6" xfId="7467" xr:uid="{00000000-0005-0000-0000-0000608B0000}"/>
    <cellStyle name="Total 5 4 6 2" xfId="25898" xr:uid="{00000000-0005-0000-0000-0000618B0000}"/>
    <cellStyle name="Total 5 4 6 3" xfId="20822" xr:uid="{00000000-0005-0000-0000-0000628B0000}"/>
    <cellStyle name="Total 5 4 7" xfId="7846" xr:uid="{00000000-0005-0000-0000-0000638B0000}"/>
    <cellStyle name="Total 5 4 7 2" xfId="26276" xr:uid="{00000000-0005-0000-0000-0000648B0000}"/>
    <cellStyle name="Total 5 4 7 3" xfId="21200" xr:uid="{00000000-0005-0000-0000-0000658B0000}"/>
    <cellStyle name="Total 5 4 8" xfId="8567" xr:uid="{00000000-0005-0000-0000-0000668B0000}"/>
    <cellStyle name="Total 5 4 8 2" xfId="26990" xr:uid="{00000000-0005-0000-0000-0000678B0000}"/>
    <cellStyle name="Total 5 4 8 3" xfId="21858" xr:uid="{00000000-0005-0000-0000-0000688B0000}"/>
    <cellStyle name="Total 5 4 9" xfId="4059" xr:uid="{00000000-0005-0000-0000-0000698B0000}"/>
    <cellStyle name="Total 5 4 9 2" xfId="22526" xr:uid="{00000000-0005-0000-0000-00006A8B0000}"/>
    <cellStyle name="Total 5 4 9 3" xfId="17741" xr:uid="{00000000-0005-0000-0000-00006B8B0000}"/>
    <cellStyle name="Total 5 5" xfId="3214" xr:uid="{00000000-0005-0000-0000-00006C8B0000}"/>
    <cellStyle name="Total 5 5 10" xfId="16132" xr:uid="{00000000-0005-0000-0000-00006D8B0000}"/>
    <cellStyle name="Total 5 5 10 2" xfId="37453" xr:uid="{00000000-0005-0000-0000-00006E8B0000}"/>
    <cellStyle name="Total 5 5 10 3" xfId="17057" xr:uid="{00000000-0005-0000-0000-00006F8B0000}"/>
    <cellStyle name="Total 5 5 11" xfId="16549" xr:uid="{00000000-0005-0000-0000-0000708B0000}"/>
    <cellStyle name="Total 5 5 11 2" xfId="37766" xr:uid="{00000000-0005-0000-0000-0000718B0000}"/>
    <cellStyle name="Total 5 5 12" xfId="27628" xr:uid="{00000000-0005-0000-0000-0000728B0000}"/>
    <cellStyle name="Total 5 5 2" xfId="3653" xr:uid="{00000000-0005-0000-0000-0000738B0000}"/>
    <cellStyle name="Total 5 5 2 10" xfId="14688" xr:uid="{00000000-0005-0000-0000-0000748B0000}"/>
    <cellStyle name="Total 5 5 2 10 2" xfId="36170" xr:uid="{00000000-0005-0000-0000-0000758B0000}"/>
    <cellStyle name="Total 5 5 2 11" xfId="27629" xr:uid="{00000000-0005-0000-0000-0000768B0000}"/>
    <cellStyle name="Total 5 5 2 2" xfId="5780" xr:uid="{00000000-0005-0000-0000-0000778B0000}"/>
    <cellStyle name="Total 5 5 2 2 2" xfId="11025" xr:uid="{00000000-0005-0000-0000-0000788B0000}"/>
    <cellStyle name="Total 5 5 2 2 2 2" xfId="33901" xr:uid="{00000000-0005-0000-0000-0000798B0000}"/>
    <cellStyle name="Total 5 5 2 2 2 3" xfId="24227" xr:uid="{00000000-0005-0000-0000-00007A8B0000}"/>
    <cellStyle name="Total 5 5 2 2 3" xfId="32368" xr:uid="{00000000-0005-0000-0000-00007B8B0000}"/>
    <cellStyle name="Total 5 5 2 2 4" xfId="29470" xr:uid="{00000000-0005-0000-0000-00007C8B0000}"/>
    <cellStyle name="Total 5 5 2 2 5" xfId="19338" xr:uid="{00000000-0005-0000-0000-00007D8B0000}"/>
    <cellStyle name="Total 5 5 2 3" xfId="5465" xr:uid="{00000000-0005-0000-0000-00007E8B0000}"/>
    <cellStyle name="Total 5 5 2 3 2" xfId="23918" xr:uid="{00000000-0005-0000-0000-00007F8B0000}"/>
    <cellStyle name="Total 5 5 2 3 3" xfId="19053" xr:uid="{00000000-0005-0000-0000-0000808B0000}"/>
    <cellStyle name="Total 5 5 2 4" xfId="7255" xr:uid="{00000000-0005-0000-0000-0000818B0000}"/>
    <cellStyle name="Total 5 5 2 4 2" xfId="25686" xr:uid="{00000000-0005-0000-0000-0000828B0000}"/>
    <cellStyle name="Total 5 5 2 4 3" xfId="20612" xr:uid="{00000000-0005-0000-0000-0000838B0000}"/>
    <cellStyle name="Total 5 5 2 5" xfId="7785" xr:uid="{00000000-0005-0000-0000-0000848B0000}"/>
    <cellStyle name="Total 5 5 2 5 2" xfId="26215" xr:uid="{00000000-0005-0000-0000-0000858B0000}"/>
    <cellStyle name="Total 5 5 2 5 3" xfId="21140" xr:uid="{00000000-0005-0000-0000-0000868B0000}"/>
    <cellStyle name="Total 5 5 2 6" xfId="8165" xr:uid="{00000000-0005-0000-0000-0000878B0000}"/>
    <cellStyle name="Total 5 5 2 6 2" xfId="26595" xr:uid="{00000000-0005-0000-0000-0000888B0000}"/>
    <cellStyle name="Total 5 5 2 6 3" xfId="21519" xr:uid="{00000000-0005-0000-0000-0000898B0000}"/>
    <cellStyle name="Total 5 5 2 7" xfId="8889" xr:uid="{00000000-0005-0000-0000-00008A8B0000}"/>
    <cellStyle name="Total 5 5 2 7 2" xfId="27309" xr:uid="{00000000-0005-0000-0000-00008B8B0000}"/>
    <cellStyle name="Total 5 5 2 7 3" xfId="22180" xr:uid="{00000000-0005-0000-0000-00008C8B0000}"/>
    <cellStyle name="Total 5 5 2 8" xfId="4381" xr:uid="{00000000-0005-0000-0000-00008D8B0000}"/>
    <cellStyle name="Total 5 5 2 8 2" xfId="22845" xr:uid="{00000000-0005-0000-0000-00008E8B0000}"/>
    <cellStyle name="Total 5 5 2 8 3" xfId="18063" xr:uid="{00000000-0005-0000-0000-00008F8B0000}"/>
    <cellStyle name="Total 5 5 2 9" xfId="16099" xr:uid="{00000000-0005-0000-0000-0000908B0000}"/>
    <cellStyle name="Total 5 5 2 9 2" xfId="37421" xr:uid="{00000000-0005-0000-0000-0000918B0000}"/>
    <cellStyle name="Total 5 5 2 9 3" xfId="17392" xr:uid="{00000000-0005-0000-0000-0000928B0000}"/>
    <cellStyle name="Total 5 5 3" xfId="5418" xr:uid="{00000000-0005-0000-0000-0000938B0000}"/>
    <cellStyle name="Total 5 5 3 2" xfId="11376" xr:uid="{00000000-0005-0000-0000-0000948B0000}"/>
    <cellStyle name="Total 5 5 3 2 2" xfId="34193" xr:uid="{00000000-0005-0000-0000-0000958B0000}"/>
    <cellStyle name="Total 5 5 3 2 3" xfId="28666" xr:uid="{00000000-0005-0000-0000-0000968B0000}"/>
    <cellStyle name="Total 5 5 3 2 4" xfId="23872" xr:uid="{00000000-0005-0000-0000-0000978B0000}"/>
    <cellStyle name="Total 5 5 3 3" xfId="32150" xr:uid="{00000000-0005-0000-0000-0000988B0000}"/>
    <cellStyle name="Total 5 5 3 4" xfId="27837" xr:uid="{00000000-0005-0000-0000-0000998B0000}"/>
    <cellStyle name="Total 5 5 3 5" xfId="19015" xr:uid="{00000000-0005-0000-0000-00009A8B0000}"/>
    <cellStyle name="Total 5 5 4" xfId="4978" xr:uid="{00000000-0005-0000-0000-00009B8B0000}"/>
    <cellStyle name="Total 5 5 4 2" xfId="10814" xr:uid="{00000000-0005-0000-0000-00009C8B0000}"/>
    <cellStyle name="Total 5 5 4 2 2" xfId="33824" xr:uid="{00000000-0005-0000-0000-00009D8B0000}"/>
    <cellStyle name="Total 5 5 4 2 3" xfId="23438" xr:uid="{00000000-0005-0000-0000-00009E8B0000}"/>
    <cellStyle name="Total 5 5 4 3" xfId="31929" xr:uid="{00000000-0005-0000-0000-00009F8B0000}"/>
    <cellStyle name="Total 5 5 4 4" xfId="29469" xr:uid="{00000000-0005-0000-0000-0000A08B0000}"/>
    <cellStyle name="Total 5 5 4 5" xfId="18592" xr:uid="{00000000-0005-0000-0000-0000A18B0000}"/>
    <cellStyle name="Total 5 5 5" xfId="6195" xr:uid="{00000000-0005-0000-0000-0000A28B0000}"/>
    <cellStyle name="Total 5 5 5 2" xfId="10233" xr:uid="{00000000-0005-0000-0000-0000A38B0000}"/>
    <cellStyle name="Total 5 5 5 2 2" xfId="33532" xr:uid="{00000000-0005-0000-0000-0000A48B0000}"/>
    <cellStyle name="Total 5 5 5 2 3" xfId="24635" xr:uid="{00000000-0005-0000-0000-0000A58B0000}"/>
    <cellStyle name="Total 5 5 5 3" xfId="32535" xr:uid="{00000000-0005-0000-0000-0000A68B0000}"/>
    <cellStyle name="Total 5 5 5 4" xfId="19744" xr:uid="{00000000-0005-0000-0000-0000A78B0000}"/>
    <cellStyle name="Total 5 5 6" xfId="7468" xr:uid="{00000000-0005-0000-0000-0000A88B0000}"/>
    <cellStyle name="Total 5 5 6 2" xfId="25899" xr:uid="{00000000-0005-0000-0000-0000A98B0000}"/>
    <cellStyle name="Total 5 5 6 3" xfId="20823" xr:uid="{00000000-0005-0000-0000-0000AA8B0000}"/>
    <cellStyle name="Total 5 5 7" xfId="7847" xr:uid="{00000000-0005-0000-0000-0000AB8B0000}"/>
    <cellStyle name="Total 5 5 7 2" xfId="26277" xr:uid="{00000000-0005-0000-0000-0000AC8B0000}"/>
    <cellStyle name="Total 5 5 7 3" xfId="21201" xr:uid="{00000000-0005-0000-0000-0000AD8B0000}"/>
    <cellStyle name="Total 5 5 8" xfId="8568" xr:uid="{00000000-0005-0000-0000-0000AE8B0000}"/>
    <cellStyle name="Total 5 5 8 2" xfId="26991" xr:uid="{00000000-0005-0000-0000-0000AF8B0000}"/>
    <cellStyle name="Total 5 5 8 3" xfId="21859" xr:uid="{00000000-0005-0000-0000-0000B08B0000}"/>
    <cellStyle name="Total 5 5 9" xfId="4060" xr:uid="{00000000-0005-0000-0000-0000B18B0000}"/>
    <cellStyle name="Total 5 5 9 2" xfId="22527" xr:uid="{00000000-0005-0000-0000-0000B28B0000}"/>
    <cellStyle name="Total 5 5 9 3" xfId="17742" xr:uid="{00000000-0005-0000-0000-0000B38B0000}"/>
    <cellStyle name="Total 5 6" xfId="3215" xr:uid="{00000000-0005-0000-0000-0000B48B0000}"/>
    <cellStyle name="Total 5 6 10" xfId="15672" xr:uid="{00000000-0005-0000-0000-0000B58B0000}"/>
    <cellStyle name="Total 5 6 10 2" xfId="37046" xr:uid="{00000000-0005-0000-0000-0000B68B0000}"/>
    <cellStyle name="Total 5 6 10 3" xfId="17058" xr:uid="{00000000-0005-0000-0000-0000B78B0000}"/>
    <cellStyle name="Total 5 6 11" xfId="16408" xr:uid="{00000000-0005-0000-0000-0000B88B0000}"/>
    <cellStyle name="Total 5 6 11 2" xfId="37697" xr:uid="{00000000-0005-0000-0000-0000B98B0000}"/>
    <cellStyle name="Total 5 6 12" xfId="27630" xr:uid="{00000000-0005-0000-0000-0000BA8B0000}"/>
    <cellStyle name="Total 5 6 2" xfId="3654" xr:uid="{00000000-0005-0000-0000-0000BB8B0000}"/>
    <cellStyle name="Total 5 6 2 10" xfId="14695" xr:uid="{00000000-0005-0000-0000-0000BC8B0000}"/>
    <cellStyle name="Total 5 6 2 10 2" xfId="36177" xr:uid="{00000000-0005-0000-0000-0000BD8B0000}"/>
    <cellStyle name="Total 5 6 2 11" xfId="27631" xr:uid="{00000000-0005-0000-0000-0000BE8B0000}"/>
    <cellStyle name="Total 5 6 2 2" xfId="5781" xr:uid="{00000000-0005-0000-0000-0000BF8B0000}"/>
    <cellStyle name="Total 5 6 2 2 2" xfId="11026" xr:uid="{00000000-0005-0000-0000-0000C08B0000}"/>
    <cellStyle name="Total 5 6 2 2 2 2" xfId="33902" xr:uid="{00000000-0005-0000-0000-0000C18B0000}"/>
    <cellStyle name="Total 5 6 2 2 2 3" xfId="24228" xr:uid="{00000000-0005-0000-0000-0000C28B0000}"/>
    <cellStyle name="Total 5 6 2 2 3" xfId="32369" xr:uid="{00000000-0005-0000-0000-0000C38B0000}"/>
    <cellStyle name="Total 5 6 2 2 4" xfId="29472" xr:uid="{00000000-0005-0000-0000-0000C48B0000}"/>
    <cellStyle name="Total 5 6 2 2 5" xfId="19339" xr:uid="{00000000-0005-0000-0000-0000C58B0000}"/>
    <cellStyle name="Total 5 6 2 3" xfId="5363" xr:uid="{00000000-0005-0000-0000-0000C68B0000}"/>
    <cellStyle name="Total 5 6 2 3 2" xfId="23823" xr:uid="{00000000-0005-0000-0000-0000C78B0000}"/>
    <cellStyle name="Total 5 6 2 3 3" xfId="18966" xr:uid="{00000000-0005-0000-0000-0000C88B0000}"/>
    <cellStyle name="Total 5 6 2 4" xfId="7256" xr:uid="{00000000-0005-0000-0000-0000C98B0000}"/>
    <cellStyle name="Total 5 6 2 4 2" xfId="25687" xr:uid="{00000000-0005-0000-0000-0000CA8B0000}"/>
    <cellStyle name="Total 5 6 2 4 3" xfId="20613" xr:uid="{00000000-0005-0000-0000-0000CB8B0000}"/>
    <cellStyle name="Total 5 6 2 5" xfId="7786" xr:uid="{00000000-0005-0000-0000-0000CC8B0000}"/>
    <cellStyle name="Total 5 6 2 5 2" xfId="26216" xr:uid="{00000000-0005-0000-0000-0000CD8B0000}"/>
    <cellStyle name="Total 5 6 2 5 3" xfId="21141" xr:uid="{00000000-0005-0000-0000-0000CE8B0000}"/>
    <cellStyle name="Total 5 6 2 6" xfId="8166" xr:uid="{00000000-0005-0000-0000-0000CF8B0000}"/>
    <cellStyle name="Total 5 6 2 6 2" xfId="26596" xr:uid="{00000000-0005-0000-0000-0000D08B0000}"/>
    <cellStyle name="Total 5 6 2 6 3" xfId="21520" xr:uid="{00000000-0005-0000-0000-0000D18B0000}"/>
    <cellStyle name="Total 5 6 2 7" xfId="8890" xr:uid="{00000000-0005-0000-0000-0000D28B0000}"/>
    <cellStyle name="Total 5 6 2 7 2" xfId="27310" xr:uid="{00000000-0005-0000-0000-0000D38B0000}"/>
    <cellStyle name="Total 5 6 2 7 3" xfId="22181" xr:uid="{00000000-0005-0000-0000-0000D48B0000}"/>
    <cellStyle name="Total 5 6 2 8" xfId="4382" xr:uid="{00000000-0005-0000-0000-0000D58B0000}"/>
    <cellStyle name="Total 5 6 2 8 2" xfId="22846" xr:uid="{00000000-0005-0000-0000-0000D68B0000}"/>
    <cellStyle name="Total 5 6 2 8 3" xfId="18064" xr:uid="{00000000-0005-0000-0000-0000D78B0000}"/>
    <cellStyle name="Total 5 6 2 9" xfId="15643" xr:uid="{00000000-0005-0000-0000-0000D88B0000}"/>
    <cellStyle name="Total 5 6 2 9 2" xfId="37018" xr:uid="{00000000-0005-0000-0000-0000D98B0000}"/>
    <cellStyle name="Total 5 6 2 9 3" xfId="17393" xr:uid="{00000000-0005-0000-0000-0000DA8B0000}"/>
    <cellStyle name="Total 5 6 3" xfId="5419" xr:uid="{00000000-0005-0000-0000-0000DB8B0000}"/>
    <cellStyle name="Total 5 6 3 2" xfId="11377" xr:uid="{00000000-0005-0000-0000-0000DC8B0000}"/>
    <cellStyle name="Total 5 6 3 2 2" xfId="34194" xr:uid="{00000000-0005-0000-0000-0000DD8B0000}"/>
    <cellStyle name="Total 5 6 3 2 3" xfId="28667" xr:uid="{00000000-0005-0000-0000-0000DE8B0000}"/>
    <cellStyle name="Total 5 6 3 2 4" xfId="23873" xr:uid="{00000000-0005-0000-0000-0000DF8B0000}"/>
    <cellStyle name="Total 5 6 3 3" xfId="32151" xr:uid="{00000000-0005-0000-0000-0000E08B0000}"/>
    <cellStyle name="Total 5 6 3 4" xfId="27838" xr:uid="{00000000-0005-0000-0000-0000E18B0000}"/>
    <cellStyle name="Total 5 6 3 5" xfId="19016" xr:uid="{00000000-0005-0000-0000-0000E28B0000}"/>
    <cellStyle name="Total 5 6 4" xfId="4979" xr:uid="{00000000-0005-0000-0000-0000E38B0000}"/>
    <cellStyle name="Total 5 6 4 2" xfId="10815" xr:uid="{00000000-0005-0000-0000-0000E48B0000}"/>
    <cellStyle name="Total 5 6 4 2 2" xfId="33825" xr:uid="{00000000-0005-0000-0000-0000E58B0000}"/>
    <cellStyle name="Total 5 6 4 2 3" xfId="23439" xr:uid="{00000000-0005-0000-0000-0000E68B0000}"/>
    <cellStyle name="Total 5 6 4 3" xfId="31930" xr:uid="{00000000-0005-0000-0000-0000E78B0000}"/>
    <cellStyle name="Total 5 6 4 4" xfId="29471" xr:uid="{00000000-0005-0000-0000-0000E88B0000}"/>
    <cellStyle name="Total 5 6 4 5" xfId="18593" xr:uid="{00000000-0005-0000-0000-0000E98B0000}"/>
    <cellStyle name="Total 5 6 5" xfId="6194" xr:uid="{00000000-0005-0000-0000-0000EA8B0000}"/>
    <cellStyle name="Total 5 6 5 2" xfId="10234" xr:uid="{00000000-0005-0000-0000-0000EB8B0000}"/>
    <cellStyle name="Total 5 6 5 2 2" xfId="33533" xr:uid="{00000000-0005-0000-0000-0000EC8B0000}"/>
    <cellStyle name="Total 5 6 5 2 3" xfId="24634" xr:uid="{00000000-0005-0000-0000-0000ED8B0000}"/>
    <cellStyle name="Total 5 6 5 3" xfId="32534" xr:uid="{00000000-0005-0000-0000-0000EE8B0000}"/>
    <cellStyle name="Total 5 6 5 4" xfId="19743" xr:uid="{00000000-0005-0000-0000-0000EF8B0000}"/>
    <cellStyle name="Total 5 6 6" xfId="7469" xr:uid="{00000000-0005-0000-0000-0000F08B0000}"/>
    <cellStyle name="Total 5 6 6 2" xfId="25900" xr:uid="{00000000-0005-0000-0000-0000F18B0000}"/>
    <cellStyle name="Total 5 6 6 3" xfId="20824" xr:uid="{00000000-0005-0000-0000-0000F28B0000}"/>
    <cellStyle name="Total 5 6 7" xfId="7848" xr:uid="{00000000-0005-0000-0000-0000F38B0000}"/>
    <cellStyle name="Total 5 6 7 2" xfId="26278" xr:uid="{00000000-0005-0000-0000-0000F48B0000}"/>
    <cellStyle name="Total 5 6 7 3" xfId="21202" xr:uid="{00000000-0005-0000-0000-0000F58B0000}"/>
    <cellStyle name="Total 5 6 8" xfId="8569" xr:uid="{00000000-0005-0000-0000-0000F68B0000}"/>
    <cellStyle name="Total 5 6 8 2" xfId="26992" xr:uid="{00000000-0005-0000-0000-0000F78B0000}"/>
    <cellStyle name="Total 5 6 8 3" xfId="21860" xr:uid="{00000000-0005-0000-0000-0000F88B0000}"/>
    <cellStyle name="Total 5 6 9" xfId="4061" xr:uid="{00000000-0005-0000-0000-0000F98B0000}"/>
    <cellStyle name="Total 5 6 9 2" xfId="22528" xr:uid="{00000000-0005-0000-0000-0000FA8B0000}"/>
    <cellStyle name="Total 5 6 9 3" xfId="17743" xr:uid="{00000000-0005-0000-0000-0000FB8B0000}"/>
    <cellStyle name="Total 5 7" xfId="3216" xr:uid="{00000000-0005-0000-0000-0000FC8B0000}"/>
    <cellStyle name="Total 5 7 10" xfId="15620" xr:uid="{00000000-0005-0000-0000-0000FD8B0000}"/>
    <cellStyle name="Total 5 7 10 2" xfId="36995" xr:uid="{00000000-0005-0000-0000-0000FE8B0000}"/>
    <cellStyle name="Total 5 7 10 3" xfId="17059" xr:uid="{00000000-0005-0000-0000-0000FF8B0000}"/>
    <cellStyle name="Total 5 7 11" xfId="15032" xr:uid="{00000000-0005-0000-0000-0000008C0000}"/>
    <cellStyle name="Total 5 7 11 2" xfId="36457" xr:uid="{00000000-0005-0000-0000-0000018C0000}"/>
    <cellStyle name="Total 5 7 12" xfId="27632" xr:uid="{00000000-0005-0000-0000-0000028C0000}"/>
    <cellStyle name="Total 5 7 2" xfId="3655" xr:uid="{00000000-0005-0000-0000-0000038C0000}"/>
    <cellStyle name="Total 5 7 2 10" xfId="14860" xr:uid="{00000000-0005-0000-0000-0000048C0000}"/>
    <cellStyle name="Total 5 7 2 10 2" xfId="36308" xr:uid="{00000000-0005-0000-0000-0000058C0000}"/>
    <cellStyle name="Total 5 7 2 11" xfId="27633" xr:uid="{00000000-0005-0000-0000-0000068C0000}"/>
    <cellStyle name="Total 5 7 2 2" xfId="5782" xr:uid="{00000000-0005-0000-0000-0000078C0000}"/>
    <cellStyle name="Total 5 7 2 2 2" xfId="11027" xr:uid="{00000000-0005-0000-0000-0000088C0000}"/>
    <cellStyle name="Total 5 7 2 2 2 2" xfId="33903" xr:uid="{00000000-0005-0000-0000-0000098C0000}"/>
    <cellStyle name="Total 5 7 2 2 2 3" xfId="24229" xr:uid="{00000000-0005-0000-0000-00000A8C0000}"/>
    <cellStyle name="Total 5 7 2 2 3" xfId="32370" xr:uid="{00000000-0005-0000-0000-00000B8C0000}"/>
    <cellStyle name="Total 5 7 2 2 4" xfId="29474" xr:uid="{00000000-0005-0000-0000-00000C8C0000}"/>
    <cellStyle name="Total 5 7 2 2 5" xfId="19340" xr:uid="{00000000-0005-0000-0000-00000D8C0000}"/>
    <cellStyle name="Total 5 7 2 3" xfId="5364" xr:uid="{00000000-0005-0000-0000-00000E8C0000}"/>
    <cellStyle name="Total 5 7 2 3 2" xfId="23824" xr:uid="{00000000-0005-0000-0000-00000F8C0000}"/>
    <cellStyle name="Total 5 7 2 3 3" xfId="18967" xr:uid="{00000000-0005-0000-0000-0000108C0000}"/>
    <cellStyle name="Total 5 7 2 4" xfId="7257" xr:uid="{00000000-0005-0000-0000-0000118C0000}"/>
    <cellStyle name="Total 5 7 2 4 2" xfId="25688" xr:uid="{00000000-0005-0000-0000-0000128C0000}"/>
    <cellStyle name="Total 5 7 2 4 3" xfId="20614" xr:uid="{00000000-0005-0000-0000-0000138C0000}"/>
    <cellStyle name="Total 5 7 2 5" xfId="7787" xr:uid="{00000000-0005-0000-0000-0000148C0000}"/>
    <cellStyle name="Total 5 7 2 5 2" xfId="26217" xr:uid="{00000000-0005-0000-0000-0000158C0000}"/>
    <cellStyle name="Total 5 7 2 5 3" xfId="21142" xr:uid="{00000000-0005-0000-0000-0000168C0000}"/>
    <cellStyle name="Total 5 7 2 6" xfId="8167" xr:uid="{00000000-0005-0000-0000-0000178C0000}"/>
    <cellStyle name="Total 5 7 2 6 2" xfId="26597" xr:uid="{00000000-0005-0000-0000-0000188C0000}"/>
    <cellStyle name="Total 5 7 2 6 3" xfId="21521" xr:uid="{00000000-0005-0000-0000-0000198C0000}"/>
    <cellStyle name="Total 5 7 2 7" xfId="8891" xr:uid="{00000000-0005-0000-0000-00001A8C0000}"/>
    <cellStyle name="Total 5 7 2 7 2" xfId="27311" xr:uid="{00000000-0005-0000-0000-00001B8C0000}"/>
    <cellStyle name="Total 5 7 2 7 3" xfId="22182" xr:uid="{00000000-0005-0000-0000-00001C8C0000}"/>
    <cellStyle name="Total 5 7 2 8" xfId="4383" xr:uid="{00000000-0005-0000-0000-00001D8C0000}"/>
    <cellStyle name="Total 5 7 2 8 2" xfId="22847" xr:uid="{00000000-0005-0000-0000-00001E8C0000}"/>
    <cellStyle name="Total 5 7 2 8 3" xfId="18065" xr:uid="{00000000-0005-0000-0000-00001F8C0000}"/>
    <cellStyle name="Total 5 7 2 9" xfId="15598" xr:uid="{00000000-0005-0000-0000-0000208C0000}"/>
    <cellStyle name="Total 5 7 2 9 2" xfId="36974" xr:uid="{00000000-0005-0000-0000-0000218C0000}"/>
    <cellStyle name="Total 5 7 2 9 3" xfId="17394" xr:uid="{00000000-0005-0000-0000-0000228C0000}"/>
    <cellStyle name="Total 5 7 3" xfId="5420" xr:uid="{00000000-0005-0000-0000-0000238C0000}"/>
    <cellStyle name="Total 5 7 3 2" xfId="11378" xr:uid="{00000000-0005-0000-0000-0000248C0000}"/>
    <cellStyle name="Total 5 7 3 2 2" xfId="34195" xr:uid="{00000000-0005-0000-0000-0000258C0000}"/>
    <cellStyle name="Total 5 7 3 2 3" xfId="28668" xr:uid="{00000000-0005-0000-0000-0000268C0000}"/>
    <cellStyle name="Total 5 7 3 2 4" xfId="23874" xr:uid="{00000000-0005-0000-0000-0000278C0000}"/>
    <cellStyle name="Total 5 7 3 3" xfId="32152" xr:uid="{00000000-0005-0000-0000-0000288C0000}"/>
    <cellStyle name="Total 5 7 3 4" xfId="27839" xr:uid="{00000000-0005-0000-0000-0000298C0000}"/>
    <cellStyle name="Total 5 7 3 5" xfId="19017" xr:uid="{00000000-0005-0000-0000-00002A8C0000}"/>
    <cellStyle name="Total 5 7 4" xfId="4980" xr:uid="{00000000-0005-0000-0000-00002B8C0000}"/>
    <cellStyle name="Total 5 7 4 2" xfId="10816" xr:uid="{00000000-0005-0000-0000-00002C8C0000}"/>
    <cellStyle name="Total 5 7 4 2 2" xfId="33826" xr:uid="{00000000-0005-0000-0000-00002D8C0000}"/>
    <cellStyle name="Total 5 7 4 2 3" xfId="23440" xr:uid="{00000000-0005-0000-0000-00002E8C0000}"/>
    <cellStyle name="Total 5 7 4 3" xfId="31931" xr:uid="{00000000-0005-0000-0000-00002F8C0000}"/>
    <cellStyle name="Total 5 7 4 4" xfId="29473" xr:uid="{00000000-0005-0000-0000-0000308C0000}"/>
    <cellStyle name="Total 5 7 4 5" xfId="18594" xr:uid="{00000000-0005-0000-0000-0000318C0000}"/>
    <cellStyle name="Total 5 7 5" xfId="6193" xr:uid="{00000000-0005-0000-0000-0000328C0000}"/>
    <cellStyle name="Total 5 7 5 2" xfId="10235" xr:uid="{00000000-0005-0000-0000-0000338C0000}"/>
    <cellStyle name="Total 5 7 5 2 2" xfId="33534" xr:uid="{00000000-0005-0000-0000-0000348C0000}"/>
    <cellStyle name="Total 5 7 5 2 3" xfId="24633" xr:uid="{00000000-0005-0000-0000-0000358C0000}"/>
    <cellStyle name="Total 5 7 5 3" xfId="32533" xr:uid="{00000000-0005-0000-0000-0000368C0000}"/>
    <cellStyle name="Total 5 7 5 4" xfId="19742" xr:uid="{00000000-0005-0000-0000-0000378C0000}"/>
    <cellStyle name="Total 5 7 6" xfId="7470" xr:uid="{00000000-0005-0000-0000-0000388C0000}"/>
    <cellStyle name="Total 5 7 6 2" xfId="25901" xr:uid="{00000000-0005-0000-0000-0000398C0000}"/>
    <cellStyle name="Total 5 7 6 3" xfId="20825" xr:uid="{00000000-0005-0000-0000-00003A8C0000}"/>
    <cellStyle name="Total 5 7 7" xfId="7849" xr:uid="{00000000-0005-0000-0000-00003B8C0000}"/>
    <cellStyle name="Total 5 7 7 2" xfId="26279" xr:uid="{00000000-0005-0000-0000-00003C8C0000}"/>
    <cellStyle name="Total 5 7 7 3" xfId="21203" xr:uid="{00000000-0005-0000-0000-00003D8C0000}"/>
    <cellStyle name="Total 5 7 8" xfId="8570" xr:uid="{00000000-0005-0000-0000-00003E8C0000}"/>
    <cellStyle name="Total 5 7 8 2" xfId="26993" xr:uid="{00000000-0005-0000-0000-00003F8C0000}"/>
    <cellStyle name="Total 5 7 8 3" xfId="21861" xr:uid="{00000000-0005-0000-0000-0000408C0000}"/>
    <cellStyle name="Total 5 7 9" xfId="4062" xr:uid="{00000000-0005-0000-0000-0000418C0000}"/>
    <cellStyle name="Total 5 7 9 2" xfId="22529" xr:uid="{00000000-0005-0000-0000-0000428C0000}"/>
    <cellStyle name="Total 5 7 9 3" xfId="17744" xr:uid="{00000000-0005-0000-0000-0000438C0000}"/>
    <cellStyle name="Total 5 8" xfId="3217" xr:uid="{00000000-0005-0000-0000-0000448C0000}"/>
    <cellStyle name="Total 5 8 10" xfId="15266" xr:uid="{00000000-0005-0000-0000-0000458C0000}"/>
    <cellStyle name="Total 5 8 10 2" xfId="36671" xr:uid="{00000000-0005-0000-0000-0000468C0000}"/>
    <cellStyle name="Total 5 8 10 3" xfId="17060" xr:uid="{00000000-0005-0000-0000-0000478C0000}"/>
    <cellStyle name="Total 5 8 11" xfId="14393" xr:uid="{00000000-0005-0000-0000-0000488C0000}"/>
    <cellStyle name="Total 5 8 11 2" xfId="35929" xr:uid="{00000000-0005-0000-0000-0000498C0000}"/>
    <cellStyle name="Total 5 8 12" xfId="27634" xr:uid="{00000000-0005-0000-0000-00004A8C0000}"/>
    <cellStyle name="Total 5 8 2" xfId="3656" xr:uid="{00000000-0005-0000-0000-00004B8C0000}"/>
    <cellStyle name="Total 5 8 2 10" xfId="14983" xr:uid="{00000000-0005-0000-0000-00004C8C0000}"/>
    <cellStyle name="Total 5 8 2 10 2" xfId="36408" xr:uid="{00000000-0005-0000-0000-00004D8C0000}"/>
    <cellStyle name="Total 5 8 2 11" xfId="27635" xr:uid="{00000000-0005-0000-0000-00004E8C0000}"/>
    <cellStyle name="Total 5 8 2 2" xfId="5783" xr:uid="{00000000-0005-0000-0000-00004F8C0000}"/>
    <cellStyle name="Total 5 8 2 2 2" xfId="11028" xr:uid="{00000000-0005-0000-0000-0000508C0000}"/>
    <cellStyle name="Total 5 8 2 2 2 2" xfId="33904" xr:uid="{00000000-0005-0000-0000-0000518C0000}"/>
    <cellStyle name="Total 5 8 2 2 2 3" xfId="24230" xr:uid="{00000000-0005-0000-0000-0000528C0000}"/>
    <cellStyle name="Total 5 8 2 2 3" xfId="32371" xr:uid="{00000000-0005-0000-0000-0000538C0000}"/>
    <cellStyle name="Total 5 8 2 2 4" xfId="29476" xr:uid="{00000000-0005-0000-0000-0000548C0000}"/>
    <cellStyle name="Total 5 8 2 2 5" xfId="19341" xr:uid="{00000000-0005-0000-0000-0000558C0000}"/>
    <cellStyle name="Total 5 8 2 3" xfId="5365" xr:uid="{00000000-0005-0000-0000-0000568C0000}"/>
    <cellStyle name="Total 5 8 2 3 2" xfId="23825" xr:uid="{00000000-0005-0000-0000-0000578C0000}"/>
    <cellStyle name="Total 5 8 2 3 3" xfId="18968" xr:uid="{00000000-0005-0000-0000-0000588C0000}"/>
    <cellStyle name="Total 5 8 2 4" xfId="7258" xr:uid="{00000000-0005-0000-0000-0000598C0000}"/>
    <cellStyle name="Total 5 8 2 4 2" xfId="25689" xr:uid="{00000000-0005-0000-0000-00005A8C0000}"/>
    <cellStyle name="Total 5 8 2 4 3" xfId="20615" xr:uid="{00000000-0005-0000-0000-00005B8C0000}"/>
    <cellStyle name="Total 5 8 2 5" xfId="7788" xr:uid="{00000000-0005-0000-0000-00005C8C0000}"/>
    <cellStyle name="Total 5 8 2 5 2" xfId="26218" xr:uid="{00000000-0005-0000-0000-00005D8C0000}"/>
    <cellStyle name="Total 5 8 2 5 3" xfId="21143" xr:uid="{00000000-0005-0000-0000-00005E8C0000}"/>
    <cellStyle name="Total 5 8 2 6" xfId="8168" xr:uid="{00000000-0005-0000-0000-00005F8C0000}"/>
    <cellStyle name="Total 5 8 2 6 2" xfId="26598" xr:uid="{00000000-0005-0000-0000-0000608C0000}"/>
    <cellStyle name="Total 5 8 2 6 3" xfId="21522" xr:uid="{00000000-0005-0000-0000-0000618C0000}"/>
    <cellStyle name="Total 5 8 2 7" xfId="8892" xr:uid="{00000000-0005-0000-0000-0000628C0000}"/>
    <cellStyle name="Total 5 8 2 7 2" xfId="27312" xr:uid="{00000000-0005-0000-0000-0000638C0000}"/>
    <cellStyle name="Total 5 8 2 7 3" xfId="22183" xr:uid="{00000000-0005-0000-0000-0000648C0000}"/>
    <cellStyle name="Total 5 8 2 8" xfId="4384" xr:uid="{00000000-0005-0000-0000-0000658C0000}"/>
    <cellStyle name="Total 5 8 2 8 2" xfId="22848" xr:uid="{00000000-0005-0000-0000-0000668C0000}"/>
    <cellStyle name="Total 5 8 2 8 3" xfId="18066" xr:uid="{00000000-0005-0000-0000-0000678C0000}"/>
    <cellStyle name="Total 5 8 2 9" xfId="15265" xr:uid="{00000000-0005-0000-0000-0000688C0000}"/>
    <cellStyle name="Total 5 8 2 9 2" xfId="36670" xr:uid="{00000000-0005-0000-0000-0000698C0000}"/>
    <cellStyle name="Total 5 8 2 9 3" xfId="17395" xr:uid="{00000000-0005-0000-0000-00006A8C0000}"/>
    <cellStyle name="Total 5 8 3" xfId="5421" xr:uid="{00000000-0005-0000-0000-00006B8C0000}"/>
    <cellStyle name="Total 5 8 3 2" xfId="11379" xr:uid="{00000000-0005-0000-0000-00006C8C0000}"/>
    <cellStyle name="Total 5 8 3 2 2" xfId="34196" xr:uid="{00000000-0005-0000-0000-00006D8C0000}"/>
    <cellStyle name="Total 5 8 3 2 3" xfId="28669" xr:uid="{00000000-0005-0000-0000-00006E8C0000}"/>
    <cellStyle name="Total 5 8 3 2 4" xfId="23875" xr:uid="{00000000-0005-0000-0000-00006F8C0000}"/>
    <cellStyle name="Total 5 8 3 3" xfId="32153" xr:uid="{00000000-0005-0000-0000-0000708C0000}"/>
    <cellStyle name="Total 5 8 3 4" xfId="27840" xr:uid="{00000000-0005-0000-0000-0000718C0000}"/>
    <cellStyle name="Total 5 8 3 5" xfId="19018" xr:uid="{00000000-0005-0000-0000-0000728C0000}"/>
    <cellStyle name="Total 5 8 4" xfId="4981" xr:uid="{00000000-0005-0000-0000-0000738C0000}"/>
    <cellStyle name="Total 5 8 4 2" xfId="10817" xr:uid="{00000000-0005-0000-0000-0000748C0000}"/>
    <cellStyle name="Total 5 8 4 2 2" xfId="33827" xr:uid="{00000000-0005-0000-0000-0000758C0000}"/>
    <cellStyle name="Total 5 8 4 2 3" xfId="23441" xr:uid="{00000000-0005-0000-0000-0000768C0000}"/>
    <cellStyle name="Total 5 8 4 3" xfId="31932" xr:uid="{00000000-0005-0000-0000-0000778C0000}"/>
    <cellStyle name="Total 5 8 4 4" xfId="29475" xr:uid="{00000000-0005-0000-0000-0000788C0000}"/>
    <cellStyle name="Total 5 8 4 5" xfId="18595" xr:uid="{00000000-0005-0000-0000-0000798C0000}"/>
    <cellStyle name="Total 5 8 5" xfId="6192" xr:uid="{00000000-0005-0000-0000-00007A8C0000}"/>
    <cellStyle name="Total 5 8 5 2" xfId="10236" xr:uid="{00000000-0005-0000-0000-00007B8C0000}"/>
    <cellStyle name="Total 5 8 5 2 2" xfId="33535" xr:uid="{00000000-0005-0000-0000-00007C8C0000}"/>
    <cellStyle name="Total 5 8 5 2 3" xfId="24632" xr:uid="{00000000-0005-0000-0000-00007D8C0000}"/>
    <cellStyle name="Total 5 8 5 3" xfId="32532" xr:uid="{00000000-0005-0000-0000-00007E8C0000}"/>
    <cellStyle name="Total 5 8 5 4" xfId="19741" xr:uid="{00000000-0005-0000-0000-00007F8C0000}"/>
    <cellStyle name="Total 5 8 6" xfId="7471" xr:uid="{00000000-0005-0000-0000-0000808C0000}"/>
    <cellStyle name="Total 5 8 6 2" xfId="25902" xr:uid="{00000000-0005-0000-0000-0000818C0000}"/>
    <cellStyle name="Total 5 8 6 3" xfId="20826" xr:uid="{00000000-0005-0000-0000-0000828C0000}"/>
    <cellStyle name="Total 5 8 7" xfId="7850" xr:uid="{00000000-0005-0000-0000-0000838C0000}"/>
    <cellStyle name="Total 5 8 7 2" xfId="26280" xr:uid="{00000000-0005-0000-0000-0000848C0000}"/>
    <cellStyle name="Total 5 8 7 3" xfId="21204" xr:uid="{00000000-0005-0000-0000-0000858C0000}"/>
    <cellStyle name="Total 5 8 8" xfId="8571" xr:uid="{00000000-0005-0000-0000-0000868C0000}"/>
    <cellStyle name="Total 5 8 8 2" xfId="26994" xr:uid="{00000000-0005-0000-0000-0000878C0000}"/>
    <cellStyle name="Total 5 8 8 3" xfId="21862" xr:uid="{00000000-0005-0000-0000-0000888C0000}"/>
    <cellStyle name="Total 5 8 9" xfId="4063" xr:uid="{00000000-0005-0000-0000-0000898C0000}"/>
    <cellStyle name="Total 5 8 9 2" xfId="22530" xr:uid="{00000000-0005-0000-0000-00008A8C0000}"/>
    <cellStyle name="Total 5 8 9 3" xfId="17745" xr:uid="{00000000-0005-0000-0000-00008B8C0000}"/>
    <cellStyle name="Total 5 9" xfId="3218" xr:uid="{00000000-0005-0000-0000-00008C8C0000}"/>
    <cellStyle name="Total 5 9 10" xfId="14883" xr:uid="{00000000-0005-0000-0000-00008D8C0000}"/>
    <cellStyle name="Total 5 9 10 2" xfId="36331" xr:uid="{00000000-0005-0000-0000-00008E8C0000}"/>
    <cellStyle name="Total 5 9 10 3" xfId="17061" xr:uid="{00000000-0005-0000-0000-00008F8C0000}"/>
    <cellStyle name="Total 5 9 11" xfId="16581" xr:uid="{00000000-0005-0000-0000-0000908C0000}"/>
    <cellStyle name="Total 5 9 11 2" xfId="37791" xr:uid="{00000000-0005-0000-0000-0000918C0000}"/>
    <cellStyle name="Total 5 9 12" xfId="27636" xr:uid="{00000000-0005-0000-0000-0000928C0000}"/>
    <cellStyle name="Total 5 9 2" xfId="3657" xr:uid="{00000000-0005-0000-0000-0000938C0000}"/>
    <cellStyle name="Total 5 9 2 10" xfId="16055" xr:uid="{00000000-0005-0000-0000-0000948C0000}"/>
    <cellStyle name="Total 5 9 2 10 2" xfId="37382" xr:uid="{00000000-0005-0000-0000-0000958C0000}"/>
    <cellStyle name="Total 5 9 2 11" xfId="27637" xr:uid="{00000000-0005-0000-0000-0000968C0000}"/>
    <cellStyle name="Total 5 9 2 2" xfId="5784" xr:uid="{00000000-0005-0000-0000-0000978C0000}"/>
    <cellStyle name="Total 5 9 2 2 2" xfId="10819" xr:uid="{00000000-0005-0000-0000-0000988C0000}"/>
    <cellStyle name="Total 5 9 2 2 2 2" xfId="33829" xr:uid="{00000000-0005-0000-0000-0000998C0000}"/>
    <cellStyle name="Total 5 9 2 2 2 3" xfId="24231" xr:uid="{00000000-0005-0000-0000-00009A8C0000}"/>
    <cellStyle name="Total 5 9 2 2 3" xfId="32372" xr:uid="{00000000-0005-0000-0000-00009B8C0000}"/>
    <cellStyle name="Total 5 9 2 2 4" xfId="29478" xr:uid="{00000000-0005-0000-0000-00009C8C0000}"/>
    <cellStyle name="Total 5 9 2 2 5" xfId="19342" xr:uid="{00000000-0005-0000-0000-00009D8C0000}"/>
    <cellStyle name="Total 5 9 2 3" xfId="5466" xr:uid="{00000000-0005-0000-0000-00009E8C0000}"/>
    <cellStyle name="Total 5 9 2 3 2" xfId="23919" xr:uid="{00000000-0005-0000-0000-00009F8C0000}"/>
    <cellStyle name="Total 5 9 2 3 3" xfId="19054" xr:uid="{00000000-0005-0000-0000-0000A08C0000}"/>
    <cellStyle name="Total 5 9 2 4" xfId="7259" xr:uid="{00000000-0005-0000-0000-0000A18C0000}"/>
    <cellStyle name="Total 5 9 2 4 2" xfId="25690" xr:uid="{00000000-0005-0000-0000-0000A28C0000}"/>
    <cellStyle name="Total 5 9 2 4 3" xfId="20616" xr:uid="{00000000-0005-0000-0000-0000A38C0000}"/>
    <cellStyle name="Total 5 9 2 5" xfId="7789" xr:uid="{00000000-0005-0000-0000-0000A48C0000}"/>
    <cellStyle name="Total 5 9 2 5 2" xfId="26219" xr:uid="{00000000-0005-0000-0000-0000A58C0000}"/>
    <cellStyle name="Total 5 9 2 5 3" xfId="21144" xr:uid="{00000000-0005-0000-0000-0000A68C0000}"/>
    <cellStyle name="Total 5 9 2 6" xfId="8169" xr:uid="{00000000-0005-0000-0000-0000A78C0000}"/>
    <cellStyle name="Total 5 9 2 6 2" xfId="26599" xr:uid="{00000000-0005-0000-0000-0000A88C0000}"/>
    <cellStyle name="Total 5 9 2 6 3" xfId="21523" xr:uid="{00000000-0005-0000-0000-0000A98C0000}"/>
    <cellStyle name="Total 5 9 2 7" xfId="8893" xr:uid="{00000000-0005-0000-0000-0000AA8C0000}"/>
    <cellStyle name="Total 5 9 2 7 2" xfId="27313" xr:uid="{00000000-0005-0000-0000-0000AB8C0000}"/>
    <cellStyle name="Total 5 9 2 7 3" xfId="22184" xr:uid="{00000000-0005-0000-0000-0000AC8C0000}"/>
    <cellStyle name="Total 5 9 2 8" xfId="4385" xr:uid="{00000000-0005-0000-0000-0000AD8C0000}"/>
    <cellStyle name="Total 5 9 2 8 2" xfId="22849" xr:uid="{00000000-0005-0000-0000-0000AE8C0000}"/>
    <cellStyle name="Total 5 9 2 8 3" xfId="18067" xr:uid="{00000000-0005-0000-0000-0000AF8C0000}"/>
    <cellStyle name="Total 5 9 2 9" xfId="14882" xr:uid="{00000000-0005-0000-0000-0000B08C0000}"/>
    <cellStyle name="Total 5 9 2 9 2" xfId="36330" xr:uid="{00000000-0005-0000-0000-0000B18C0000}"/>
    <cellStyle name="Total 5 9 2 9 3" xfId="17396" xr:uid="{00000000-0005-0000-0000-0000B28C0000}"/>
    <cellStyle name="Total 5 9 3" xfId="5422" xr:uid="{00000000-0005-0000-0000-0000B38C0000}"/>
    <cellStyle name="Total 5 9 3 2" xfId="11380" xr:uid="{00000000-0005-0000-0000-0000B48C0000}"/>
    <cellStyle name="Total 5 9 3 2 2" xfId="34197" xr:uid="{00000000-0005-0000-0000-0000B58C0000}"/>
    <cellStyle name="Total 5 9 3 2 3" xfId="28670" xr:uid="{00000000-0005-0000-0000-0000B68C0000}"/>
    <cellStyle name="Total 5 9 3 2 4" xfId="23876" xr:uid="{00000000-0005-0000-0000-0000B78C0000}"/>
    <cellStyle name="Total 5 9 3 3" xfId="32154" xr:uid="{00000000-0005-0000-0000-0000B88C0000}"/>
    <cellStyle name="Total 5 9 3 4" xfId="27841" xr:uid="{00000000-0005-0000-0000-0000B98C0000}"/>
    <cellStyle name="Total 5 9 3 5" xfId="19019" xr:uid="{00000000-0005-0000-0000-0000BA8C0000}"/>
    <cellStyle name="Total 5 9 4" xfId="4982" xr:uid="{00000000-0005-0000-0000-0000BB8C0000}"/>
    <cellStyle name="Total 5 9 4 2" xfId="10818" xr:uid="{00000000-0005-0000-0000-0000BC8C0000}"/>
    <cellStyle name="Total 5 9 4 2 2" xfId="33828" xr:uid="{00000000-0005-0000-0000-0000BD8C0000}"/>
    <cellStyle name="Total 5 9 4 2 3" xfId="23442" xr:uid="{00000000-0005-0000-0000-0000BE8C0000}"/>
    <cellStyle name="Total 5 9 4 3" xfId="31933" xr:uid="{00000000-0005-0000-0000-0000BF8C0000}"/>
    <cellStyle name="Total 5 9 4 4" xfId="29477" xr:uid="{00000000-0005-0000-0000-0000C08C0000}"/>
    <cellStyle name="Total 5 9 4 5" xfId="18596" xr:uid="{00000000-0005-0000-0000-0000C18C0000}"/>
    <cellStyle name="Total 5 9 5" xfId="6191" xr:uid="{00000000-0005-0000-0000-0000C28C0000}"/>
    <cellStyle name="Total 5 9 5 2" xfId="10237" xr:uid="{00000000-0005-0000-0000-0000C38C0000}"/>
    <cellStyle name="Total 5 9 5 2 2" xfId="33536" xr:uid="{00000000-0005-0000-0000-0000C48C0000}"/>
    <cellStyle name="Total 5 9 5 2 3" xfId="24631" xr:uid="{00000000-0005-0000-0000-0000C58C0000}"/>
    <cellStyle name="Total 5 9 5 3" xfId="32531" xr:uid="{00000000-0005-0000-0000-0000C68C0000}"/>
    <cellStyle name="Total 5 9 5 4" xfId="19740" xr:uid="{00000000-0005-0000-0000-0000C78C0000}"/>
    <cellStyle name="Total 5 9 6" xfId="7472" xr:uid="{00000000-0005-0000-0000-0000C88C0000}"/>
    <cellStyle name="Total 5 9 6 2" xfId="25903" xr:uid="{00000000-0005-0000-0000-0000C98C0000}"/>
    <cellStyle name="Total 5 9 6 3" xfId="20827" xr:uid="{00000000-0005-0000-0000-0000CA8C0000}"/>
    <cellStyle name="Total 5 9 7" xfId="7851" xr:uid="{00000000-0005-0000-0000-0000CB8C0000}"/>
    <cellStyle name="Total 5 9 7 2" xfId="26281" xr:uid="{00000000-0005-0000-0000-0000CC8C0000}"/>
    <cellStyle name="Total 5 9 7 3" xfId="21205" xr:uid="{00000000-0005-0000-0000-0000CD8C0000}"/>
    <cellStyle name="Total 5 9 8" xfId="8572" xr:uid="{00000000-0005-0000-0000-0000CE8C0000}"/>
    <cellStyle name="Total 5 9 8 2" xfId="26995" xr:uid="{00000000-0005-0000-0000-0000CF8C0000}"/>
    <cellStyle name="Total 5 9 8 3" xfId="21863" xr:uid="{00000000-0005-0000-0000-0000D08C0000}"/>
    <cellStyle name="Total 5 9 9" xfId="4064" xr:uid="{00000000-0005-0000-0000-0000D18C0000}"/>
    <cellStyle name="Total 5 9 9 2" xfId="22531" xr:uid="{00000000-0005-0000-0000-0000D28C0000}"/>
    <cellStyle name="Total 5 9 9 3" xfId="17746" xr:uid="{00000000-0005-0000-0000-0000D38C0000}"/>
    <cellStyle name="Total 6" xfId="3219" xr:uid="{00000000-0005-0000-0000-0000D48C0000}"/>
    <cellStyle name="Total 6 10" xfId="3220" xr:uid="{00000000-0005-0000-0000-0000D58C0000}"/>
    <cellStyle name="Total 6 10 10" xfId="15597" xr:uid="{00000000-0005-0000-0000-0000D68C0000}"/>
    <cellStyle name="Total 6 10 10 2" xfId="36973" xr:uid="{00000000-0005-0000-0000-0000D78C0000}"/>
    <cellStyle name="Total 6 10 10 3" xfId="17063" xr:uid="{00000000-0005-0000-0000-0000D88C0000}"/>
    <cellStyle name="Total 6 10 11" xfId="16058" xr:uid="{00000000-0005-0000-0000-0000D98C0000}"/>
    <cellStyle name="Total 6 10 11 2" xfId="37385" xr:uid="{00000000-0005-0000-0000-0000DA8C0000}"/>
    <cellStyle name="Total 6 10 12" xfId="27639" xr:uid="{00000000-0005-0000-0000-0000DB8C0000}"/>
    <cellStyle name="Total 6 10 2" xfId="3659" xr:uid="{00000000-0005-0000-0000-0000DC8C0000}"/>
    <cellStyle name="Total 6 10 2 10" xfId="16238" xr:uid="{00000000-0005-0000-0000-0000DD8C0000}"/>
    <cellStyle name="Total 6 10 2 10 2" xfId="37550" xr:uid="{00000000-0005-0000-0000-0000DE8C0000}"/>
    <cellStyle name="Total 6 10 2 11" xfId="27640" xr:uid="{00000000-0005-0000-0000-0000DF8C0000}"/>
    <cellStyle name="Total 6 10 2 2" xfId="5786" xr:uid="{00000000-0005-0000-0000-0000E08C0000}"/>
    <cellStyle name="Total 6 10 2 2 2" xfId="11031" xr:uid="{00000000-0005-0000-0000-0000E18C0000}"/>
    <cellStyle name="Total 6 10 2 2 2 2" xfId="33907" xr:uid="{00000000-0005-0000-0000-0000E28C0000}"/>
    <cellStyle name="Total 6 10 2 2 2 3" xfId="24233" xr:uid="{00000000-0005-0000-0000-0000E38C0000}"/>
    <cellStyle name="Total 6 10 2 2 3" xfId="32374" xr:uid="{00000000-0005-0000-0000-0000E48C0000}"/>
    <cellStyle name="Total 6 10 2 2 4" xfId="29481" xr:uid="{00000000-0005-0000-0000-0000E58C0000}"/>
    <cellStyle name="Total 6 10 2 2 5" xfId="19344" xr:uid="{00000000-0005-0000-0000-0000E68C0000}"/>
    <cellStyle name="Total 6 10 2 3" xfId="5366" xr:uid="{00000000-0005-0000-0000-0000E78C0000}"/>
    <cellStyle name="Total 6 10 2 3 2" xfId="23826" xr:uid="{00000000-0005-0000-0000-0000E88C0000}"/>
    <cellStyle name="Total 6 10 2 3 3" xfId="18969" xr:uid="{00000000-0005-0000-0000-0000E98C0000}"/>
    <cellStyle name="Total 6 10 2 4" xfId="7261" xr:uid="{00000000-0005-0000-0000-0000EA8C0000}"/>
    <cellStyle name="Total 6 10 2 4 2" xfId="25692" xr:uid="{00000000-0005-0000-0000-0000EB8C0000}"/>
    <cellStyle name="Total 6 10 2 4 3" xfId="20618" xr:uid="{00000000-0005-0000-0000-0000EC8C0000}"/>
    <cellStyle name="Total 6 10 2 5" xfId="7791" xr:uid="{00000000-0005-0000-0000-0000ED8C0000}"/>
    <cellStyle name="Total 6 10 2 5 2" xfId="26221" xr:uid="{00000000-0005-0000-0000-0000EE8C0000}"/>
    <cellStyle name="Total 6 10 2 5 3" xfId="21146" xr:uid="{00000000-0005-0000-0000-0000EF8C0000}"/>
    <cellStyle name="Total 6 10 2 6" xfId="8171" xr:uid="{00000000-0005-0000-0000-0000F08C0000}"/>
    <cellStyle name="Total 6 10 2 6 2" xfId="26601" xr:uid="{00000000-0005-0000-0000-0000F18C0000}"/>
    <cellStyle name="Total 6 10 2 6 3" xfId="21525" xr:uid="{00000000-0005-0000-0000-0000F28C0000}"/>
    <cellStyle name="Total 6 10 2 7" xfId="8895" xr:uid="{00000000-0005-0000-0000-0000F38C0000}"/>
    <cellStyle name="Total 6 10 2 7 2" xfId="27315" xr:uid="{00000000-0005-0000-0000-0000F48C0000}"/>
    <cellStyle name="Total 6 10 2 7 3" xfId="22186" xr:uid="{00000000-0005-0000-0000-0000F58C0000}"/>
    <cellStyle name="Total 6 10 2 8" xfId="4387" xr:uid="{00000000-0005-0000-0000-0000F68C0000}"/>
    <cellStyle name="Total 6 10 2 8 2" xfId="22851" xr:uid="{00000000-0005-0000-0000-0000F78C0000}"/>
    <cellStyle name="Total 6 10 2 8 3" xfId="18069" xr:uid="{00000000-0005-0000-0000-0000F88C0000}"/>
    <cellStyle name="Total 6 10 2 9" xfId="15264" xr:uid="{00000000-0005-0000-0000-0000F98C0000}"/>
    <cellStyle name="Total 6 10 2 9 2" xfId="36669" xr:uid="{00000000-0005-0000-0000-0000FA8C0000}"/>
    <cellStyle name="Total 6 10 2 9 3" xfId="17398" xr:uid="{00000000-0005-0000-0000-0000FB8C0000}"/>
    <cellStyle name="Total 6 10 3" xfId="5424" xr:uid="{00000000-0005-0000-0000-0000FC8C0000}"/>
    <cellStyle name="Total 6 10 3 2" xfId="11382" xr:uid="{00000000-0005-0000-0000-0000FD8C0000}"/>
    <cellStyle name="Total 6 10 3 2 2" xfId="34199" xr:uid="{00000000-0005-0000-0000-0000FE8C0000}"/>
    <cellStyle name="Total 6 10 3 2 3" xfId="28672" xr:uid="{00000000-0005-0000-0000-0000FF8C0000}"/>
    <cellStyle name="Total 6 10 3 2 4" xfId="23878" xr:uid="{00000000-0005-0000-0000-0000008D0000}"/>
    <cellStyle name="Total 6 10 3 3" xfId="32156" xr:uid="{00000000-0005-0000-0000-0000018D0000}"/>
    <cellStyle name="Total 6 10 3 4" xfId="27843" xr:uid="{00000000-0005-0000-0000-0000028D0000}"/>
    <cellStyle name="Total 6 10 3 5" xfId="19021" xr:uid="{00000000-0005-0000-0000-0000038D0000}"/>
    <cellStyle name="Total 6 10 4" xfId="4984" xr:uid="{00000000-0005-0000-0000-0000048D0000}"/>
    <cellStyle name="Total 6 10 4 2" xfId="10820" xr:uid="{00000000-0005-0000-0000-0000058D0000}"/>
    <cellStyle name="Total 6 10 4 2 2" xfId="33830" xr:uid="{00000000-0005-0000-0000-0000068D0000}"/>
    <cellStyle name="Total 6 10 4 2 3" xfId="23444" xr:uid="{00000000-0005-0000-0000-0000078D0000}"/>
    <cellStyle name="Total 6 10 4 3" xfId="31935" xr:uid="{00000000-0005-0000-0000-0000088D0000}"/>
    <cellStyle name="Total 6 10 4 4" xfId="29480" xr:uid="{00000000-0005-0000-0000-0000098D0000}"/>
    <cellStyle name="Total 6 10 4 5" xfId="18598" xr:uid="{00000000-0005-0000-0000-00000A8D0000}"/>
    <cellStyle name="Total 6 10 5" xfId="6189" xr:uid="{00000000-0005-0000-0000-00000B8D0000}"/>
    <cellStyle name="Total 6 10 5 2" xfId="10239" xr:uid="{00000000-0005-0000-0000-00000C8D0000}"/>
    <cellStyle name="Total 6 10 5 2 2" xfId="33538" xr:uid="{00000000-0005-0000-0000-00000D8D0000}"/>
    <cellStyle name="Total 6 10 5 2 3" xfId="24629" xr:uid="{00000000-0005-0000-0000-00000E8D0000}"/>
    <cellStyle name="Total 6 10 5 3" xfId="32529" xr:uid="{00000000-0005-0000-0000-00000F8D0000}"/>
    <cellStyle name="Total 6 10 5 4" xfId="19738" xr:uid="{00000000-0005-0000-0000-0000108D0000}"/>
    <cellStyle name="Total 6 10 6" xfId="7474" xr:uid="{00000000-0005-0000-0000-0000118D0000}"/>
    <cellStyle name="Total 6 10 6 2" xfId="25905" xr:uid="{00000000-0005-0000-0000-0000128D0000}"/>
    <cellStyle name="Total 6 10 6 3" xfId="20829" xr:uid="{00000000-0005-0000-0000-0000138D0000}"/>
    <cellStyle name="Total 6 10 7" xfId="7853" xr:uid="{00000000-0005-0000-0000-0000148D0000}"/>
    <cellStyle name="Total 6 10 7 2" xfId="26283" xr:uid="{00000000-0005-0000-0000-0000158D0000}"/>
    <cellStyle name="Total 6 10 7 3" xfId="21207" xr:uid="{00000000-0005-0000-0000-0000168D0000}"/>
    <cellStyle name="Total 6 10 8" xfId="8574" xr:uid="{00000000-0005-0000-0000-0000178D0000}"/>
    <cellStyle name="Total 6 10 8 2" xfId="26997" xr:uid="{00000000-0005-0000-0000-0000188D0000}"/>
    <cellStyle name="Total 6 10 8 3" xfId="21865" xr:uid="{00000000-0005-0000-0000-0000198D0000}"/>
    <cellStyle name="Total 6 10 9" xfId="4066" xr:uid="{00000000-0005-0000-0000-00001A8D0000}"/>
    <cellStyle name="Total 6 10 9 2" xfId="22533" xr:uid="{00000000-0005-0000-0000-00001B8D0000}"/>
    <cellStyle name="Total 6 10 9 3" xfId="17748" xr:uid="{00000000-0005-0000-0000-00001C8D0000}"/>
    <cellStyle name="Total 6 11" xfId="3221" xr:uid="{00000000-0005-0000-0000-00001D8D0000}"/>
    <cellStyle name="Total 6 11 10" xfId="15263" xr:uid="{00000000-0005-0000-0000-00001E8D0000}"/>
    <cellStyle name="Total 6 11 10 2" xfId="36668" xr:uid="{00000000-0005-0000-0000-00001F8D0000}"/>
    <cellStyle name="Total 6 11 10 3" xfId="17064" xr:uid="{00000000-0005-0000-0000-0000208D0000}"/>
    <cellStyle name="Total 6 11 11" xfId="15671" xr:uid="{00000000-0005-0000-0000-0000218D0000}"/>
    <cellStyle name="Total 6 11 11 2" xfId="37045" xr:uid="{00000000-0005-0000-0000-0000228D0000}"/>
    <cellStyle name="Total 6 11 12" xfId="27641" xr:uid="{00000000-0005-0000-0000-0000238D0000}"/>
    <cellStyle name="Total 6 11 2" xfId="3660" xr:uid="{00000000-0005-0000-0000-0000248D0000}"/>
    <cellStyle name="Total 6 11 2 10" xfId="15703" xr:uid="{00000000-0005-0000-0000-0000258D0000}"/>
    <cellStyle name="Total 6 11 2 10 2" xfId="37068" xr:uid="{00000000-0005-0000-0000-0000268D0000}"/>
    <cellStyle name="Total 6 11 2 11" xfId="27642" xr:uid="{00000000-0005-0000-0000-0000278D0000}"/>
    <cellStyle name="Total 6 11 2 2" xfId="5787" xr:uid="{00000000-0005-0000-0000-0000288D0000}"/>
    <cellStyle name="Total 6 11 2 2 2" xfId="10821" xr:uid="{00000000-0005-0000-0000-0000298D0000}"/>
    <cellStyle name="Total 6 11 2 2 2 2" xfId="33831" xr:uid="{00000000-0005-0000-0000-00002A8D0000}"/>
    <cellStyle name="Total 6 11 2 2 2 3" xfId="24234" xr:uid="{00000000-0005-0000-0000-00002B8D0000}"/>
    <cellStyle name="Total 6 11 2 2 3" xfId="32375" xr:uid="{00000000-0005-0000-0000-00002C8D0000}"/>
    <cellStyle name="Total 6 11 2 2 4" xfId="29483" xr:uid="{00000000-0005-0000-0000-00002D8D0000}"/>
    <cellStyle name="Total 6 11 2 2 5" xfId="19345" xr:uid="{00000000-0005-0000-0000-00002E8D0000}"/>
    <cellStyle name="Total 6 11 2 3" xfId="5367" xr:uid="{00000000-0005-0000-0000-00002F8D0000}"/>
    <cellStyle name="Total 6 11 2 3 2" xfId="23827" xr:uid="{00000000-0005-0000-0000-0000308D0000}"/>
    <cellStyle name="Total 6 11 2 3 3" xfId="18970" xr:uid="{00000000-0005-0000-0000-0000318D0000}"/>
    <cellStyle name="Total 6 11 2 4" xfId="7262" xr:uid="{00000000-0005-0000-0000-0000328D0000}"/>
    <cellStyle name="Total 6 11 2 4 2" xfId="25693" xr:uid="{00000000-0005-0000-0000-0000338D0000}"/>
    <cellStyle name="Total 6 11 2 4 3" xfId="20619" xr:uid="{00000000-0005-0000-0000-0000348D0000}"/>
    <cellStyle name="Total 6 11 2 5" xfId="7792" xr:uid="{00000000-0005-0000-0000-0000358D0000}"/>
    <cellStyle name="Total 6 11 2 5 2" xfId="26222" xr:uid="{00000000-0005-0000-0000-0000368D0000}"/>
    <cellStyle name="Total 6 11 2 5 3" xfId="21147" xr:uid="{00000000-0005-0000-0000-0000378D0000}"/>
    <cellStyle name="Total 6 11 2 6" xfId="8172" xr:uid="{00000000-0005-0000-0000-0000388D0000}"/>
    <cellStyle name="Total 6 11 2 6 2" xfId="26602" xr:uid="{00000000-0005-0000-0000-0000398D0000}"/>
    <cellStyle name="Total 6 11 2 6 3" xfId="21526" xr:uid="{00000000-0005-0000-0000-00003A8D0000}"/>
    <cellStyle name="Total 6 11 2 7" xfId="8896" xr:uid="{00000000-0005-0000-0000-00003B8D0000}"/>
    <cellStyle name="Total 6 11 2 7 2" xfId="27316" xr:uid="{00000000-0005-0000-0000-00003C8D0000}"/>
    <cellStyle name="Total 6 11 2 7 3" xfId="22187" xr:uid="{00000000-0005-0000-0000-00003D8D0000}"/>
    <cellStyle name="Total 6 11 2 8" xfId="4388" xr:uid="{00000000-0005-0000-0000-00003E8D0000}"/>
    <cellStyle name="Total 6 11 2 8 2" xfId="22852" xr:uid="{00000000-0005-0000-0000-00003F8D0000}"/>
    <cellStyle name="Total 6 11 2 8 3" xfId="18070" xr:uid="{00000000-0005-0000-0000-0000408D0000}"/>
    <cellStyle name="Total 6 11 2 9" xfId="15262" xr:uid="{00000000-0005-0000-0000-0000418D0000}"/>
    <cellStyle name="Total 6 11 2 9 2" xfId="36667" xr:uid="{00000000-0005-0000-0000-0000428D0000}"/>
    <cellStyle name="Total 6 11 2 9 3" xfId="17399" xr:uid="{00000000-0005-0000-0000-0000438D0000}"/>
    <cellStyle name="Total 6 11 3" xfId="5425" xr:uid="{00000000-0005-0000-0000-0000448D0000}"/>
    <cellStyle name="Total 6 11 3 2" xfId="11383" xr:uid="{00000000-0005-0000-0000-0000458D0000}"/>
    <cellStyle name="Total 6 11 3 2 2" xfId="34200" xr:uid="{00000000-0005-0000-0000-0000468D0000}"/>
    <cellStyle name="Total 6 11 3 2 3" xfId="28673" xr:uid="{00000000-0005-0000-0000-0000478D0000}"/>
    <cellStyle name="Total 6 11 3 2 4" xfId="23879" xr:uid="{00000000-0005-0000-0000-0000488D0000}"/>
    <cellStyle name="Total 6 11 3 3" xfId="32157" xr:uid="{00000000-0005-0000-0000-0000498D0000}"/>
    <cellStyle name="Total 6 11 3 4" xfId="27844" xr:uid="{00000000-0005-0000-0000-00004A8D0000}"/>
    <cellStyle name="Total 6 11 3 5" xfId="19022" xr:uid="{00000000-0005-0000-0000-00004B8D0000}"/>
    <cellStyle name="Total 6 11 4" xfId="4985" xr:uid="{00000000-0005-0000-0000-00004C8D0000}"/>
    <cellStyle name="Total 6 11 4 2" xfId="11029" xr:uid="{00000000-0005-0000-0000-00004D8D0000}"/>
    <cellStyle name="Total 6 11 4 2 2" xfId="33905" xr:uid="{00000000-0005-0000-0000-00004E8D0000}"/>
    <cellStyle name="Total 6 11 4 2 3" xfId="23445" xr:uid="{00000000-0005-0000-0000-00004F8D0000}"/>
    <cellStyle name="Total 6 11 4 3" xfId="31936" xr:uid="{00000000-0005-0000-0000-0000508D0000}"/>
    <cellStyle name="Total 6 11 4 4" xfId="29482" xr:uid="{00000000-0005-0000-0000-0000518D0000}"/>
    <cellStyle name="Total 6 11 4 5" xfId="18599" xr:uid="{00000000-0005-0000-0000-0000528D0000}"/>
    <cellStyle name="Total 6 11 5" xfId="6188" xr:uid="{00000000-0005-0000-0000-0000538D0000}"/>
    <cellStyle name="Total 6 11 5 2" xfId="10240" xr:uid="{00000000-0005-0000-0000-0000548D0000}"/>
    <cellStyle name="Total 6 11 5 2 2" xfId="33539" xr:uid="{00000000-0005-0000-0000-0000558D0000}"/>
    <cellStyle name="Total 6 11 5 2 3" xfId="24628" xr:uid="{00000000-0005-0000-0000-0000568D0000}"/>
    <cellStyle name="Total 6 11 5 3" xfId="32528" xr:uid="{00000000-0005-0000-0000-0000578D0000}"/>
    <cellStyle name="Total 6 11 5 4" xfId="19737" xr:uid="{00000000-0005-0000-0000-0000588D0000}"/>
    <cellStyle name="Total 6 11 6" xfId="7475" xr:uid="{00000000-0005-0000-0000-0000598D0000}"/>
    <cellStyle name="Total 6 11 6 2" xfId="25906" xr:uid="{00000000-0005-0000-0000-00005A8D0000}"/>
    <cellStyle name="Total 6 11 6 3" xfId="20830" xr:uid="{00000000-0005-0000-0000-00005B8D0000}"/>
    <cellStyle name="Total 6 11 7" xfId="7854" xr:uid="{00000000-0005-0000-0000-00005C8D0000}"/>
    <cellStyle name="Total 6 11 7 2" xfId="26284" xr:uid="{00000000-0005-0000-0000-00005D8D0000}"/>
    <cellStyle name="Total 6 11 7 3" xfId="21208" xr:uid="{00000000-0005-0000-0000-00005E8D0000}"/>
    <cellStyle name="Total 6 11 8" xfId="8575" xr:uid="{00000000-0005-0000-0000-00005F8D0000}"/>
    <cellStyle name="Total 6 11 8 2" xfId="26998" xr:uid="{00000000-0005-0000-0000-0000608D0000}"/>
    <cellStyle name="Total 6 11 8 3" xfId="21866" xr:uid="{00000000-0005-0000-0000-0000618D0000}"/>
    <cellStyle name="Total 6 11 9" xfId="4067" xr:uid="{00000000-0005-0000-0000-0000628D0000}"/>
    <cellStyle name="Total 6 11 9 2" xfId="22534" xr:uid="{00000000-0005-0000-0000-0000638D0000}"/>
    <cellStyle name="Total 6 11 9 3" xfId="17749" xr:uid="{00000000-0005-0000-0000-0000648D0000}"/>
    <cellStyle name="Total 6 12" xfId="3658" xr:uid="{00000000-0005-0000-0000-0000658D0000}"/>
    <cellStyle name="Total 6 12 10" xfId="14546" xr:uid="{00000000-0005-0000-0000-0000668D0000}"/>
    <cellStyle name="Total 6 12 10 2" xfId="36069" xr:uid="{00000000-0005-0000-0000-0000678D0000}"/>
    <cellStyle name="Total 6 12 11" xfId="27643" xr:uid="{00000000-0005-0000-0000-0000688D0000}"/>
    <cellStyle name="Total 6 12 2" xfId="5785" xr:uid="{00000000-0005-0000-0000-0000698D0000}"/>
    <cellStyle name="Total 6 12 2 2" xfId="11032" xr:uid="{00000000-0005-0000-0000-00006A8D0000}"/>
    <cellStyle name="Total 6 12 2 2 2" xfId="33908" xr:uid="{00000000-0005-0000-0000-00006B8D0000}"/>
    <cellStyle name="Total 6 12 2 2 3" xfId="24232" xr:uid="{00000000-0005-0000-0000-00006C8D0000}"/>
    <cellStyle name="Total 6 12 2 3" xfId="32373" xr:uid="{00000000-0005-0000-0000-00006D8D0000}"/>
    <cellStyle name="Total 6 12 2 4" xfId="29484" xr:uid="{00000000-0005-0000-0000-00006E8D0000}"/>
    <cellStyle name="Total 6 12 2 5" xfId="19343" xr:uid="{00000000-0005-0000-0000-00006F8D0000}"/>
    <cellStyle name="Total 6 12 3" xfId="5467" xr:uid="{00000000-0005-0000-0000-0000708D0000}"/>
    <cellStyle name="Total 6 12 3 2" xfId="23920" xr:uid="{00000000-0005-0000-0000-0000718D0000}"/>
    <cellStyle name="Total 6 12 3 3" xfId="19055" xr:uid="{00000000-0005-0000-0000-0000728D0000}"/>
    <cellStyle name="Total 6 12 4" xfId="7260" xr:uid="{00000000-0005-0000-0000-0000738D0000}"/>
    <cellStyle name="Total 6 12 4 2" xfId="25691" xr:uid="{00000000-0005-0000-0000-0000748D0000}"/>
    <cellStyle name="Total 6 12 4 3" xfId="20617" xr:uid="{00000000-0005-0000-0000-0000758D0000}"/>
    <cellStyle name="Total 6 12 5" xfId="7790" xr:uid="{00000000-0005-0000-0000-0000768D0000}"/>
    <cellStyle name="Total 6 12 5 2" xfId="26220" xr:uid="{00000000-0005-0000-0000-0000778D0000}"/>
    <cellStyle name="Total 6 12 5 3" xfId="21145" xr:uid="{00000000-0005-0000-0000-0000788D0000}"/>
    <cellStyle name="Total 6 12 6" xfId="8170" xr:uid="{00000000-0005-0000-0000-0000798D0000}"/>
    <cellStyle name="Total 6 12 6 2" xfId="26600" xr:uid="{00000000-0005-0000-0000-00007A8D0000}"/>
    <cellStyle name="Total 6 12 6 3" xfId="21524" xr:uid="{00000000-0005-0000-0000-00007B8D0000}"/>
    <cellStyle name="Total 6 12 7" xfId="8894" xr:uid="{00000000-0005-0000-0000-00007C8D0000}"/>
    <cellStyle name="Total 6 12 7 2" xfId="27314" xr:uid="{00000000-0005-0000-0000-00007D8D0000}"/>
    <cellStyle name="Total 6 12 7 3" xfId="22185" xr:uid="{00000000-0005-0000-0000-00007E8D0000}"/>
    <cellStyle name="Total 6 12 8" xfId="4386" xr:uid="{00000000-0005-0000-0000-00007F8D0000}"/>
    <cellStyle name="Total 6 12 8 2" xfId="22850" xr:uid="{00000000-0005-0000-0000-0000808D0000}"/>
    <cellStyle name="Total 6 12 8 3" xfId="18068" xr:uid="{00000000-0005-0000-0000-0000818D0000}"/>
    <cellStyle name="Total 6 12 9" xfId="15261" xr:uid="{00000000-0005-0000-0000-0000828D0000}"/>
    <cellStyle name="Total 6 12 9 2" xfId="36666" xr:uid="{00000000-0005-0000-0000-0000838D0000}"/>
    <cellStyle name="Total 6 12 9 3" xfId="17397" xr:uid="{00000000-0005-0000-0000-0000848D0000}"/>
    <cellStyle name="Total 6 13" xfId="5423" xr:uid="{00000000-0005-0000-0000-0000858D0000}"/>
    <cellStyle name="Total 6 13 2" xfId="11381" xr:uid="{00000000-0005-0000-0000-0000868D0000}"/>
    <cellStyle name="Total 6 13 2 2" xfId="34198" xr:uid="{00000000-0005-0000-0000-0000878D0000}"/>
    <cellStyle name="Total 6 13 2 3" xfId="28671" xr:uid="{00000000-0005-0000-0000-0000888D0000}"/>
    <cellStyle name="Total 6 13 2 4" xfId="23877" xr:uid="{00000000-0005-0000-0000-0000898D0000}"/>
    <cellStyle name="Total 6 13 3" xfId="32155" xr:uid="{00000000-0005-0000-0000-00008A8D0000}"/>
    <cellStyle name="Total 6 13 4" xfId="27842" xr:uid="{00000000-0005-0000-0000-00008B8D0000}"/>
    <cellStyle name="Total 6 13 5" xfId="19020" xr:uid="{00000000-0005-0000-0000-00008C8D0000}"/>
    <cellStyle name="Total 6 14" xfId="4983" xr:uid="{00000000-0005-0000-0000-00008D8D0000}"/>
    <cellStyle name="Total 6 14 2" xfId="11030" xr:uid="{00000000-0005-0000-0000-00008E8D0000}"/>
    <cellStyle name="Total 6 14 2 2" xfId="33906" xr:uid="{00000000-0005-0000-0000-00008F8D0000}"/>
    <cellStyle name="Total 6 14 2 3" xfId="23443" xr:uid="{00000000-0005-0000-0000-0000908D0000}"/>
    <cellStyle name="Total 6 14 3" xfId="31934" xr:uid="{00000000-0005-0000-0000-0000918D0000}"/>
    <cellStyle name="Total 6 14 4" xfId="29479" xr:uid="{00000000-0005-0000-0000-0000928D0000}"/>
    <cellStyle name="Total 6 14 5" xfId="18597" xr:uid="{00000000-0005-0000-0000-0000938D0000}"/>
    <cellStyle name="Total 6 15" xfId="6190" xr:uid="{00000000-0005-0000-0000-0000948D0000}"/>
    <cellStyle name="Total 6 15 2" xfId="10238" xr:uid="{00000000-0005-0000-0000-0000958D0000}"/>
    <cellStyle name="Total 6 15 2 2" xfId="33537" xr:uid="{00000000-0005-0000-0000-0000968D0000}"/>
    <cellStyle name="Total 6 15 2 3" xfId="24630" xr:uid="{00000000-0005-0000-0000-0000978D0000}"/>
    <cellStyle name="Total 6 15 3" xfId="32530" xr:uid="{00000000-0005-0000-0000-0000988D0000}"/>
    <cellStyle name="Total 6 15 4" xfId="19739" xr:uid="{00000000-0005-0000-0000-0000998D0000}"/>
    <cellStyle name="Total 6 16" xfId="7473" xr:uid="{00000000-0005-0000-0000-00009A8D0000}"/>
    <cellStyle name="Total 6 16 2" xfId="25904" xr:uid="{00000000-0005-0000-0000-00009B8D0000}"/>
    <cellStyle name="Total 6 16 3" xfId="20828" xr:uid="{00000000-0005-0000-0000-00009C8D0000}"/>
    <cellStyle name="Total 6 17" xfId="7852" xr:uid="{00000000-0005-0000-0000-00009D8D0000}"/>
    <cellStyle name="Total 6 17 2" xfId="26282" xr:uid="{00000000-0005-0000-0000-00009E8D0000}"/>
    <cellStyle name="Total 6 17 3" xfId="21206" xr:uid="{00000000-0005-0000-0000-00009F8D0000}"/>
    <cellStyle name="Total 6 18" xfId="8573" xr:uid="{00000000-0005-0000-0000-0000A08D0000}"/>
    <cellStyle name="Total 6 18 2" xfId="26996" xr:uid="{00000000-0005-0000-0000-0000A18D0000}"/>
    <cellStyle name="Total 6 18 3" xfId="21864" xr:uid="{00000000-0005-0000-0000-0000A28D0000}"/>
    <cellStyle name="Total 6 19" xfId="4065" xr:uid="{00000000-0005-0000-0000-0000A38D0000}"/>
    <cellStyle name="Total 6 19 2" xfId="22532" xr:uid="{00000000-0005-0000-0000-0000A48D0000}"/>
    <cellStyle name="Total 6 19 3" xfId="17747" xr:uid="{00000000-0005-0000-0000-0000A58D0000}"/>
    <cellStyle name="Total 6 2" xfId="3222" xr:uid="{00000000-0005-0000-0000-0000A68D0000}"/>
    <cellStyle name="Total 6 2 10" xfId="14880" xr:uid="{00000000-0005-0000-0000-0000A78D0000}"/>
    <cellStyle name="Total 6 2 10 2" xfId="36328" xr:uid="{00000000-0005-0000-0000-0000A88D0000}"/>
    <cellStyle name="Total 6 2 10 3" xfId="17065" xr:uid="{00000000-0005-0000-0000-0000A98D0000}"/>
    <cellStyle name="Total 6 2 11" xfId="15307" xr:uid="{00000000-0005-0000-0000-0000AA8D0000}"/>
    <cellStyle name="Total 6 2 11 2" xfId="36700" xr:uid="{00000000-0005-0000-0000-0000AB8D0000}"/>
    <cellStyle name="Total 6 2 12" xfId="27644" xr:uid="{00000000-0005-0000-0000-0000AC8D0000}"/>
    <cellStyle name="Total 6 2 2" xfId="3661" xr:uid="{00000000-0005-0000-0000-0000AD8D0000}"/>
    <cellStyle name="Total 6 2 2 10" xfId="15563" xr:uid="{00000000-0005-0000-0000-0000AE8D0000}"/>
    <cellStyle name="Total 6 2 2 10 2" xfId="36941" xr:uid="{00000000-0005-0000-0000-0000AF8D0000}"/>
    <cellStyle name="Total 6 2 2 11" xfId="27645" xr:uid="{00000000-0005-0000-0000-0000B08D0000}"/>
    <cellStyle name="Total 6 2 2 2" xfId="5788" xr:uid="{00000000-0005-0000-0000-0000B18D0000}"/>
    <cellStyle name="Total 6 2 2 2 2" xfId="11033" xr:uid="{00000000-0005-0000-0000-0000B28D0000}"/>
    <cellStyle name="Total 6 2 2 2 2 2" xfId="33909" xr:uid="{00000000-0005-0000-0000-0000B38D0000}"/>
    <cellStyle name="Total 6 2 2 2 2 3" xfId="24235" xr:uid="{00000000-0005-0000-0000-0000B48D0000}"/>
    <cellStyle name="Total 6 2 2 2 3" xfId="32376" xr:uid="{00000000-0005-0000-0000-0000B58D0000}"/>
    <cellStyle name="Total 6 2 2 2 4" xfId="29486" xr:uid="{00000000-0005-0000-0000-0000B68D0000}"/>
    <cellStyle name="Total 6 2 2 2 5" xfId="19346" xr:uid="{00000000-0005-0000-0000-0000B78D0000}"/>
    <cellStyle name="Total 6 2 2 3" xfId="5368" xr:uid="{00000000-0005-0000-0000-0000B88D0000}"/>
    <cellStyle name="Total 6 2 2 3 2" xfId="23828" xr:uid="{00000000-0005-0000-0000-0000B98D0000}"/>
    <cellStyle name="Total 6 2 2 3 3" xfId="18971" xr:uid="{00000000-0005-0000-0000-0000BA8D0000}"/>
    <cellStyle name="Total 6 2 2 4" xfId="7263" xr:uid="{00000000-0005-0000-0000-0000BB8D0000}"/>
    <cellStyle name="Total 6 2 2 4 2" xfId="25694" xr:uid="{00000000-0005-0000-0000-0000BC8D0000}"/>
    <cellStyle name="Total 6 2 2 4 3" xfId="20620" xr:uid="{00000000-0005-0000-0000-0000BD8D0000}"/>
    <cellStyle name="Total 6 2 2 5" xfId="7793" xr:uid="{00000000-0005-0000-0000-0000BE8D0000}"/>
    <cellStyle name="Total 6 2 2 5 2" xfId="26223" xr:uid="{00000000-0005-0000-0000-0000BF8D0000}"/>
    <cellStyle name="Total 6 2 2 5 3" xfId="21148" xr:uid="{00000000-0005-0000-0000-0000C08D0000}"/>
    <cellStyle name="Total 6 2 2 6" xfId="8173" xr:uid="{00000000-0005-0000-0000-0000C18D0000}"/>
    <cellStyle name="Total 6 2 2 6 2" xfId="26603" xr:uid="{00000000-0005-0000-0000-0000C28D0000}"/>
    <cellStyle name="Total 6 2 2 6 3" xfId="21527" xr:uid="{00000000-0005-0000-0000-0000C38D0000}"/>
    <cellStyle name="Total 6 2 2 7" xfId="8897" xr:uid="{00000000-0005-0000-0000-0000C48D0000}"/>
    <cellStyle name="Total 6 2 2 7 2" xfId="27317" xr:uid="{00000000-0005-0000-0000-0000C58D0000}"/>
    <cellStyle name="Total 6 2 2 7 3" xfId="22188" xr:uid="{00000000-0005-0000-0000-0000C68D0000}"/>
    <cellStyle name="Total 6 2 2 8" xfId="4389" xr:uid="{00000000-0005-0000-0000-0000C78D0000}"/>
    <cellStyle name="Total 6 2 2 8 2" xfId="22853" xr:uid="{00000000-0005-0000-0000-0000C88D0000}"/>
    <cellStyle name="Total 6 2 2 8 3" xfId="18071" xr:uid="{00000000-0005-0000-0000-0000C98D0000}"/>
    <cellStyle name="Total 6 2 2 9" xfId="14879" xr:uid="{00000000-0005-0000-0000-0000CA8D0000}"/>
    <cellStyle name="Total 6 2 2 9 2" xfId="36327" xr:uid="{00000000-0005-0000-0000-0000CB8D0000}"/>
    <cellStyle name="Total 6 2 2 9 3" xfId="17400" xr:uid="{00000000-0005-0000-0000-0000CC8D0000}"/>
    <cellStyle name="Total 6 2 3" xfId="5426" xr:uid="{00000000-0005-0000-0000-0000CD8D0000}"/>
    <cellStyle name="Total 6 2 3 2" xfId="11384" xr:uid="{00000000-0005-0000-0000-0000CE8D0000}"/>
    <cellStyle name="Total 6 2 3 2 2" xfId="34201" xr:uid="{00000000-0005-0000-0000-0000CF8D0000}"/>
    <cellStyle name="Total 6 2 3 2 3" xfId="28674" xr:uid="{00000000-0005-0000-0000-0000D08D0000}"/>
    <cellStyle name="Total 6 2 3 2 4" xfId="23880" xr:uid="{00000000-0005-0000-0000-0000D18D0000}"/>
    <cellStyle name="Total 6 2 3 3" xfId="32158" xr:uid="{00000000-0005-0000-0000-0000D28D0000}"/>
    <cellStyle name="Total 6 2 3 4" xfId="27845" xr:uid="{00000000-0005-0000-0000-0000D38D0000}"/>
    <cellStyle name="Total 6 2 3 5" xfId="19023" xr:uid="{00000000-0005-0000-0000-0000D48D0000}"/>
    <cellStyle name="Total 6 2 4" xfId="4986" xr:uid="{00000000-0005-0000-0000-0000D58D0000}"/>
    <cellStyle name="Total 6 2 4 2" xfId="10822" xr:uid="{00000000-0005-0000-0000-0000D68D0000}"/>
    <cellStyle name="Total 6 2 4 2 2" xfId="33832" xr:uid="{00000000-0005-0000-0000-0000D78D0000}"/>
    <cellStyle name="Total 6 2 4 2 3" xfId="23446" xr:uid="{00000000-0005-0000-0000-0000D88D0000}"/>
    <cellStyle name="Total 6 2 4 3" xfId="31937" xr:uid="{00000000-0005-0000-0000-0000D98D0000}"/>
    <cellStyle name="Total 6 2 4 4" xfId="29485" xr:uid="{00000000-0005-0000-0000-0000DA8D0000}"/>
    <cellStyle name="Total 6 2 4 5" xfId="18600" xr:uid="{00000000-0005-0000-0000-0000DB8D0000}"/>
    <cellStyle name="Total 6 2 5" xfId="6187" xr:uid="{00000000-0005-0000-0000-0000DC8D0000}"/>
    <cellStyle name="Total 6 2 5 2" xfId="10241" xr:uid="{00000000-0005-0000-0000-0000DD8D0000}"/>
    <cellStyle name="Total 6 2 5 2 2" xfId="33540" xr:uid="{00000000-0005-0000-0000-0000DE8D0000}"/>
    <cellStyle name="Total 6 2 5 2 3" xfId="24627" xr:uid="{00000000-0005-0000-0000-0000DF8D0000}"/>
    <cellStyle name="Total 6 2 5 3" xfId="32527" xr:uid="{00000000-0005-0000-0000-0000E08D0000}"/>
    <cellStyle name="Total 6 2 5 4" xfId="19736" xr:uid="{00000000-0005-0000-0000-0000E18D0000}"/>
    <cellStyle name="Total 6 2 6" xfId="7476" xr:uid="{00000000-0005-0000-0000-0000E28D0000}"/>
    <cellStyle name="Total 6 2 6 2" xfId="25907" xr:uid="{00000000-0005-0000-0000-0000E38D0000}"/>
    <cellStyle name="Total 6 2 6 3" xfId="20831" xr:uid="{00000000-0005-0000-0000-0000E48D0000}"/>
    <cellStyle name="Total 6 2 7" xfId="7855" xr:uid="{00000000-0005-0000-0000-0000E58D0000}"/>
    <cellStyle name="Total 6 2 7 2" xfId="26285" xr:uid="{00000000-0005-0000-0000-0000E68D0000}"/>
    <cellStyle name="Total 6 2 7 3" xfId="21209" xr:uid="{00000000-0005-0000-0000-0000E78D0000}"/>
    <cellStyle name="Total 6 2 8" xfId="8576" xr:uid="{00000000-0005-0000-0000-0000E88D0000}"/>
    <cellStyle name="Total 6 2 8 2" xfId="26999" xr:uid="{00000000-0005-0000-0000-0000E98D0000}"/>
    <cellStyle name="Total 6 2 8 3" xfId="21867" xr:uid="{00000000-0005-0000-0000-0000EA8D0000}"/>
    <cellStyle name="Total 6 2 9" xfId="4068" xr:uid="{00000000-0005-0000-0000-0000EB8D0000}"/>
    <cellStyle name="Total 6 2 9 2" xfId="22535" xr:uid="{00000000-0005-0000-0000-0000EC8D0000}"/>
    <cellStyle name="Total 6 2 9 3" xfId="17750" xr:uid="{00000000-0005-0000-0000-0000ED8D0000}"/>
    <cellStyle name="Total 6 20" xfId="14881" xr:uid="{00000000-0005-0000-0000-0000EE8D0000}"/>
    <cellStyle name="Total 6 20 2" xfId="36329" xr:uid="{00000000-0005-0000-0000-0000EF8D0000}"/>
    <cellStyle name="Total 6 20 3" xfId="17062" xr:uid="{00000000-0005-0000-0000-0000F08D0000}"/>
    <cellStyle name="Total 6 21" xfId="14804" xr:uid="{00000000-0005-0000-0000-0000F18D0000}"/>
    <cellStyle name="Total 6 21 2" xfId="36260" xr:uid="{00000000-0005-0000-0000-0000F28D0000}"/>
    <cellStyle name="Total 6 22" xfId="27638" xr:uid="{00000000-0005-0000-0000-0000F38D0000}"/>
    <cellStyle name="Total 6 3" xfId="3223" xr:uid="{00000000-0005-0000-0000-0000F48D0000}"/>
    <cellStyle name="Total 6 3 10" xfId="14878" xr:uid="{00000000-0005-0000-0000-0000F58D0000}"/>
    <cellStyle name="Total 6 3 10 2" xfId="36326" xr:uid="{00000000-0005-0000-0000-0000F68D0000}"/>
    <cellStyle name="Total 6 3 10 3" xfId="17066" xr:uid="{00000000-0005-0000-0000-0000F78D0000}"/>
    <cellStyle name="Total 6 3 11" xfId="14556" xr:uid="{00000000-0005-0000-0000-0000F88D0000}"/>
    <cellStyle name="Total 6 3 11 2" xfId="36078" xr:uid="{00000000-0005-0000-0000-0000F98D0000}"/>
    <cellStyle name="Total 6 3 12" xfId="27646" xr:uid="{00000000-0005-0000-0000-0000FA8D0000}"/>
    <cellStyle name="Total 6 3 2" xfId="3662" xr:uid="{00000000-0005-0000-0000-0000FB8D0000}"/>
    <cellStyle name="Total 6 3 2 10" xfId="14850" xr:uid="{00000000-0005-0000-0000-0000FC8D0000}"/>
    <cellStyle name="Total 6 3 2 10 2" xfId="36298" xr:uid="{00000000-0005-0000-0000-0000FD8D0000}"/>
    <cellStyle name="Total 6 3 2 11" xfId="27647" xr:uid="{00000000-0005-0000-0000-0000FE8D0000}"/>
    <cellStyle name="Total 6 3 2 2" xfId="5789" xr:uid="{00000000-0005-0000-0000-0000FF8D0000}"/>
    <cellStyle name="Total 6 3 2 2 2" xfId="11034" xr:uid="{00000000-0005-0000-0000-0000008E0000}"/>
    <cellStyle name="Total 6 3 2 2 2 2" xfId="33910" xr:uid="{00000000-0005-0000-0000-0000018E0000}"/>
    <cellStyle name="Total 6 3 2 2 2 3" xfId="24236" xr:uid="{00000000-0005-0000-0000-0000028E0000}"/>
    <cellStyle name="Total 6 3 2 2 3" xfId="32377" xr:uid="{00000000-0005-0000-0000-0000038E0000}"/>
    <cellStyle name="Total 6 3 2 2 4" xfId="29488" xr:uid="{00000000-0005-0000-0000-0000048E0000}"/>
    <cellStyle name="Total 6 3 2 2 5" xfId="19347" xr:uid="{00000000-0005-0000-0000-0000058E0000}"/>
    <cellStyle name="Total 6 3 2 3" xfId="4443" xr:uid="{00000000-0005-0000-0000-0000068E0000}"/>
    <cellStyle name="Total 6 3 2 3 2" xfId="22903" xr:uid="{00000000-0005-0000-0000-0000078E0000}"/>
    <cellStyle name="Total 6 3 2 3 3" xfId="18122" xr:uid="{00000000-0005-0000-0000-0000088E0000}"/>
    <cellStyle name="Total 6 3 2 4" xfId="7264" xr:uid="{00000000-0005-0000-0000-0000098E0000}"/>
    <cellStyle name="Total 6 3 2 4 2" xfId="25695" xr:uid="{00000000-0005-0000-0000-00000A8E0000}"/>
    <cellStyle name="Total 6 3 2 4 3" xfId="20621" xr:uid="{00000000-0005-0000-0000-00000B8E0000}"/>
    <cellStyle name="Total 6 3 2 5" xfId="7794" xr:uid="{00000000-0005-0000-0000-00000C8E0000}"/>
    <cellStyle name="Total 6 3 2 5 2" xfId="26224" xr:uid="{00000000-0005-0000-0000-00000D8E0000}"/>
    <cellStyle name="Total 6 3 2 5 3" xfId="21149" xr:uid="{00000000-0005-0000-0000-00000E8E0000}"/>
    <cellStyle name="Total 6 3 2 6" xfId="8174" xr:uid="{00000000-0005-0000-0000-00000F8E0000}"/>
    <cellStyle name="Total 6 3 2 6 2" xfId="26604" xr:uid="{00000000-0005-0000-0000-0000108E0000}"/>
    <cellStyle name="Total 6 3 2 6 3" xfId="21528" xr:uid="{00000000-0005-0000-0000-0000118E0000}"/>
    <cellStyle name="Total 6 3 2 7" xfId="8898" xr:uid="{00000000-0005-0000-0000-0000128E0000}"/>
    <cellStyle name="Total 6 3 2 7 2" xfId="27318" xr:uid="{00000000-0005-0000-0000-0000138E0000}"/>
    <cellStyle name="Total 6 3 2 7 3" xfId="22189" xr:uid="{00000000-0005-0000-0000-0000148E0000}"/>
    <cellStyle name="Total 6 3 2 8" xfId="4390" xr:uid="{00000000-0005-0000-0000-0000158E0000}"/>
    <cellStyle name="Total 6 3 2 8 2" xfId="22854" xr:uid="{00000000-0005-0000-0000-0000168E0000}"/>
    <cellStyle name="Total 6 3 2 8 3" xfId="18072" xr:uid="{00000000-0005-0000-0000-0000178E0000}"/>
    <cellStyle name="Total 6 3 2 9" xfId="14877" xr:uid="{00000000-0005-0000-0000-0000188E0000}"/>
    <cellStyle name="Total 6 3 2 9 2" xfId="36325" xr:uid="{00000000-0005-0000-0000-0000198E0000}"/>
    <cellStyle name="Total 6 3 2 9 3" xfId="17401" xr:uid="{00000000-0005-0000-0000-00001A8E0000}"/>
    <cellStyle name="Total 6 3 3" xfId="5427" xr:uid="{00000000-0005-0000-0000-00001B8E0000}"/>
    <cellStyle name="Total 6 3 3 2" xfId="11385" xr:uid="{00000000-0005-0000-0000-00001C8E0000}"/>
    <cellStyle name="Total 6 3 3 2 2" xfId="34202" xr:uid="{00000000-0005-0000-0000-00001D8E0000}"/>
    <cellStyle name="Total 6 3 3 2 3" xfId="28675" xr:uid="{00000000-0005-0000-0000-00001E8E0000}"/>
    <cellStyle name="Total 6 3 3 2 4" xfId="23881" xr:uid="{00000000-0005-0000-0000-00001F8E0000}"/>
    <cellStyle name="Total 6 3 3 3" xfId="32159" xr:uid="{00000000-0005-0000-0000-0000208E0000}"/>
    <cellStyle name="Total 6 3 3 4" xfId="27846" xr:uid="{00000000-0005-0000-0000-0000218E0000}"/>
    <cellStyle name="Total 6 3 3 5" xfId="19024" xr:uid="{00000000-0005-0000-0000-0000228E0000}"/>
    <cellStyle name="Total 6 3 4" xfId="4987" xr:uid="{00000000-0005-0000-0000-0000238E0000}"/>
    <cellStyle name="Total 6 3 4 2" xfId="10823" xr:uid="{00000000-0005-0000-0000-0000248E0000}"/>
    <cellStyle name="Total 6 3 4 2 2" xfId="33833" xr:uid="{00000000-0005-0000-0000-0000258E0000}"/>
    <cellStyle name="Total 6 3 4 2 3" xfId="23447" xr:uid="{00000000-0005-0000-0000-0000268E0000}"/>
    <cellStyle name="Total 6 3 4 3" xfId="31938" xr:uid="{00000000-0005-0000-0000-0000278E0000}"/>
    <cellStyle name="Total 6 3 4 4" xfId="29487" xr:uid="{00000000-0005-0000-0000-0000288E0000}"/>
    <cellStyle name="Total 6 3 4 5" xfId="18601" xr:uid="{00000000-0005-0000-0000-0000298E0000}"/>
    <cellStyle name="Total 6 3 5" xfId="6186" xr:uid="{00000000-0005-0000-0000-00002A8E0000}"/>
    <cellStyle name="Total 6 3 5 2" xfId="10242" xr:uid="{00000000-0005-0000-0000-00002B8E0000}"/>
    <cellStyle name="Total 6 3 5 2 2" xfId="33541" xr:uid="{00000000-0005-0000-0000-00002C8E0000}"/>
    <cellStyle name="Total 6 3 5 2 3" xfId="24626" xr:uid="{00000000-0005-0000-0000-00002D8E0000}"/>
    <cellStyle name="Total 6 3 5 3" xfId="32526" xr:uid="{00000000-0005-0000-0000-00002E8E0000}"/>
    <cellStyle name="Total 6 3 5 4" xfId="19735" xr:uid="{00000000-0005-0000-0000-00002F8E0000}"/>
    <cellStyle name="Total 6 3 6" xfId="7477" xr:uid="{00000000-0005-0000-0000-0000308E0000}"/>
    <cellStyle name="Total 6 3 6 2" xfId="25908" xr:uid="{00000000-0005-0000-0000-0000318E0000}"/>
    <cellStyle name="Total 6 3 6 3" xfId="20832" xr:uid="{00000000-0005-0000-0000-0000328E0000}"/>
    <cellStyle name="Total 6 3 7" xfId="7856" xr:uid="{00000000-0005-0000-0000-0000338E0000}"/>
    <cellStyle name="Total 6 3 7 2" xfId="26286" xr:uid="{00000000-0005-0000-0000-0000348E0000}"/>
    <cellStyle name="Total 6 3 7 3" xfId="21210" xr:uid="{00000000-0005-0000-0000-0000358E0000}"/>
    <cellStyle name="Total 6 3 8" xfId="8577" xr:uid="{00000000-0005-0000-0000-0000368E0000}"/>
    <cellStyle name="Total 6 3 8 2" xfId="27000" xr:uid="{00000000-0005-0000-0000-0000378E0000}"/>
    <cellStyle name="Total 6 3 8 3" xfId="21868" xr:uid="{00000000-0005-0000-0000-0000388E0000}"/>
    <cellStyle name="Total 6 3 9" xfId="4069" xr:uid="{00000000-0005-0000-0000-0000398E0000}"/>
    <cellStyle name="Total 6 3 9 2" xfId="22536" xr:uid="{00000000-0005-0000-0000-00003A8E0000}"/>
    <cellStyle name="Total 6 3 9 3" xfId="17751" xr:uid="{00000000-0005-0000-0000-00003B8E0000}"/>
    <cellStyle name="Total 6 4" xfId="3224" xr:uid="{00000000-0005-0000-0000-00003C8E0000}"/>
    <cellStyle name="Total 6 4 10" xfId="14876" xr:uid="{00000000-0005-0000-0000-00003D8E0000}"/>
    <cellStyle name="Total 6 4 10 2" xfId="36324" xr:uid="{00000000-0005-0000-0000-00003E8E0000}"/>
    <cellStyle name="Total 6 4 10 3" xfId="17067" xr:uid="{00000000-0005-0000-0000-00003F8E0000}"/>
    <cellStyle name="Total 6 4 11" xfId="16180" xr:uid="{00000000-0005-0000-0000-0000408E0000}"/>
    <cellStyle name="Total 6 4 11 2" xfId="37497" xr:uid="{00000000-0005-0000-0000-0000418E0000}"/>
    <cellStyle name="Total 6 4 12" xfId="27648" xr:uid="{00000000-0005-0000-0000-0000428E0000}"/>
    <cellStyle name="Total 6 4 2" xfId="3663" xr:uid="{00000000-0005-0000-0000-0000438E0000}"/>
    <cellStyle name="Total 6 4 2 10" xfId="15588" xr:uid="{00000000-0005-0000-0000-0000448E0000}"/>
    <cellStyle name="Total 6 4 2 10 2" xfId="36965" xr:uid="{00000000-0005-0000-0000-0000458E0000}"/>
    <cellStyle name="Total 6 4 2 11" xfId="27649" xr:uid="{00000000-0005-0000-0000-0000468E0000}"/>
    <cellStyle name="Total 6 4 2 2" xfId="5790" xr:uid="{00000000-0005-0000-0000-0000478E0000}"/>
    <cellStyle name="Total 6 4 2 2 2" xfId="11035" xr:uid="{00000000-0005-0000-0000-0000488E0000}"/>
    <cellStyle name="Total 6 4 2 2 2 2" xfId="33911" xr:uid="{00000000-0005-0000-0000-0000498E0000}"/>
    <cellStyle name="Total 6 4 2 2 2 3" xfId="24237" xr:uid="{00000000-0005-0000-0000-00004A8E0000}"/>
    <cellStyle name="Total 6 4 2 2 3" xfId="32378" xr:uid="{00000000-0005-0000-0000-00004B8E0000}"/>
    <cellStyle name="Total 6 4 2 2 4" xfId="29490" xr:uid="{00000000-0005-0000-0000-00004C8E0000}"/>
    <cellStyle name="Total 6 4 2 2 5" xfId="19348" xr:uid="{00000000-0005-0000-0000-00004D8E0000}"/>
    <cellStyle name="Total 6 4 2 3" xfId="4420" xr:uid="{00000000-0005-0000-0000-00004E8E0000}"/>
    <cellStyle name="Total 6 4 2 3 2" xfId="22880" xr:uid="{00000000-0005-0000-0000-00004F8E0000}"/>
    <cellStyle name="Total 6 4 2 3 3" xfId="18101" xr:uid="{00000000-0005-0000-0000-0000508E0000}"/>
    <cellStyle name="Total 6 4 2 4" xfId="7265" xr:uid="{00000000-0005-0000-0000-0000518E0000}"/>
    <cellStyle name="Total 6 4 2 4 2" xfId="25696" xr:uid="{00000000-0005-0000-0000-0000528E0000}"/>
    <cellStyle name="Total 6 4 2 4 3" xfId="20622" xr:uid="{00000000-0005-0000-0000-0000538E0000}"/>
    <cellStyle name="Total 6 4 2 5" xfId="7795" xr:uid="{00000000-0005-0000-0000-0000548E0000}"/>
    <cellStyle name="Total 6 4 2 5 2" xfId="26225" xr:uid="{00000000-0005-0000-0000-0000558E0000}"/>
    <cellStyle name="Total 6 4 2 5 3" xfId="21150" xr:uid="{00000000-0005-0000-0000-0000568E0000}"/>
    <cellStyle name="Total 6 4 2 6" xfId="8175" xr:uid="{00000000-0005-0000-0000-0000578E0000}"/>
    <cellStyle name="Total 6 4 2 6 2" xfId="26605" xr:uid="{00000000-0005-0000-0000-0000588E0000}"/>
    <cellStyle name="Total 6 4 2 6 3" xfId="21529" xr:uid="{00000000-0005-0000-0000-0000598E0000}"/>
    <cellStyle name="Total 6 4 2 7" xfId="8899" xr:uid="{00000000-0005-0000-0000-00005A8E0000}"/>
    <cellStyle name="Total 6 4 2 7 2" xfId="27319" xr:uid="{00000000-0005-0000-0000-00005B8E0000}"/>
    <cellStyle name="Total 6 4 2 7 3" xfId="22190" xr:uid="{00000000-0005-0000-0000-00005C8E0000}"/>
    <cellStyle name="Total 6 4 2 8" xfId="4391" xr:uid="{00000000-0005-0000-0000-00005D8E0000}"/>
    <cellStyle name="Total 6 4 2 8 2" xfId="22855" xr:uid="{00000000-0005-0000-0000-00005E8E0000}"/>
    <cellStyle name="Total 6 4 2 8 3" xfId="18073" xr:uid="{00000000-0005-0000-0000-00005F8E0000}"/>
    <cellStyle name="Total 6 4 2 9" xfId="14875" xr:uid="{00000000-0005-0000-0000-0000608E0000}"/>
    <cellStyle name="Total 6 4 2 9 2" xfId="36323" xr:uid="{00000000-0005-0000-0000-0000618E0000}"/>
    <cellStyle name="Total 6 4 2 9 3" xfId="17402" xr:uid="{00000000-0005-0000-0000-0000628E0000}"/>
    <cellStyle name="Total 6 4 3" xfId="5428" xr:uid="{00000000-0005-0000-0000-0000638E0000}"/>
    <cellStyle name="Total 6 4 3 2" xfId="11386" xr:uid="{00000000-0005-0000-0000-0000648E0000}"/>
    <cellStyle name="Total 6 4 3 2 2" xfId="34203" xr:uid="{00000000-0005-0000-0000-0000658E0000}"/>
    <cellStyle name="Total 6 4 3 2 3" xfId="28676" xr:uid="{00000000-0005-0000-0000-0000668E0000}"/>
    <cellStyle name="Total 6 4 3 2 4" xfId="23882" xr:uid="{00000000-0005-0000-0000-0000678E0000}"/>
    <cellStyle name="Total 6 4 3 3" xfId="32160" xr:uid="{00000000-0005-0000-0000-0000688E0000}"/>
    <cellStyle name="Total 6 4 3 4" xfId="27847" xr:uid="{00000000-0005-0000-0000-0000698E0000}"/>
    <cellStyle name="Total 6 4 3 5" xfId="19025" xr:uid="{00000000-0005-0000-0000-00006A8E0000}"/>
    <cellStyle name="Total 6 4 4" xfId="4988" xr:uid="{00000000-0005-0000-0000-00006B8E0000}"/>
    <cellStyle name="Total 6 4 4 2" xfId="10824" xr:uid="{00000000-0005-0000-0000-00006C8E0000}"/>
    <cellStyle name="Total 6 4 4 2 2" xfId="33834" xr:uid="{00000000-0005-0000-0000-00006D8E0000}"/>
    <cellStyle name="Total 6 4 4 2 3" xfId="23448" xr:uid="{00000000-0005-0000-0000-00006E8E0000}"/>
    <cellStyle name="Total 6 4 4 3" xfId="31939" xr:uid="{00000000-0005-0000-0000-00006F8E0000}"/>
    <cellStyle name="Total 6 4 4 4" xfId="29489" xr:uid="{00000000-0005-0000-0000-0000708E0000}"/>
    <cellStyle name="Total 6 4 4 5" xfId="18602" xr:uid="{00000000-0005-0000-0000-0000718E0000}"/>
    <cellStyle name="Total 6 4 5" xfId="6185" xr:uid="{00000000-0005-0000-0000-0000728E0000}"/>
    <cellStyle name="Total 6 4 5 2" xfId="10243" xr:uid="{00000000-0005-0000-0000-0000738E0000}"/>
    <cellStyle name="Total 6 4 5 2 2" xfId="33542" xr:uid="{00000000-0005-0000-0000-0000748E0000}"/>
    <cellStyle name="Total 6 4 5 2 3" xfId="24625" xr:uid="{00000000-0005-0000-0000-0000758E0000}"/>
    <cellStyle name="Total 6 4 5 3" xfId="32525" xr:uid="{00000000-0005-0000-0000-0000768E0000}"/>
    <cellStyle name="Total 6 4 5 4" xfId="19734" xr:uid="{00000000-0005-0000-0000-0000778E0000}"/>
    <cellStyle name="Total 6 4 6" xfId="7478" xr:uid="{00000000-0005-0000-0000-0000788E0000}"/>
    <cellStyle name="Total 6 4 6 2" xfId="25909" xr:uid="{00000000-0005-0000-0000-0000798E0000}"/>
    <cellStyle name="Total 6 4 6 3" xfId="20833" xr:uid="{00000000-0005-0000-0000-00007A8E0000}"/>
    <cellStyle name="Total 6 4 7" xfId="7857" xr:uid="{00000000-0005-0000-0000-00007B8E0000}"/>
    <cellStyle name="Total 6 4 7 2" xfId="26287" xr:uid="{00000000-0005-0000-0000-00007C8E0000}"/>
    <cellStyle name="Total 6 4 7 3" xfId="21211" xr:uid="{00000000-0005-0000-0000-00007D8E0000}"/>
    <cellStyle name="Total 6 4 8" xfId="8578" xr:uid="{00000000-0005-0000-0000-00007E8E0000}"/>
    <cellStyle name="Total 6 4 8 2" xfId="27001" xr:uid="{00000000-0005-0000-0000-00007F8E0000}"/>
    <cellStyle name="Total 6 4 8 3" xfId="21869" xr:uid="{00000000-0005-0000-0000-0000808E0000}"/>
    <cellStyle name="Total 6 4 9" xfId="4070" xr:uid="{00000000-0005-0000-0000-0000818E0000}"/>
    <cellStyle name="Total 6 4 9 2" xfId="22537" xr:uid="{00000000-0005-0000-0000-0000828E0000}"/>
    <cellStyle name="Total 6 4 9 3" xfId="17752" xr:uid="{00000000-0005-0000-0000-0000838E0000}"/>
    <cellStyle name="Total 6 5" xfId="3225" xr:uid="{00000000-0005-0000-0000-0000848E0000}"/>
    <cellStyle name="Total 6 5 10" xfId="14874" xr:uid="{00000000-0005-0000-0000-0000858E0000}"/>
    <cellStyle name="Total 6 5 10 2" xfId="36322" xr:uid="{00000000-0005-0000-0000-0000868E0000}"/>
    <cellStyle name="Total 6 5 10 3" xfId="17068" xr:uid="{00000000-0005-0000-0000-0000878E0000}"/>
    <cellStyle name="Total 6 5 11" xfId="15572" xr:uid="{00000000-0005-0000-0000-0000888E0000}"/>
    <cellStyle name="Total 6 5 11 2" xfId="36949" xr:uid="{00000000-0005-0000-0000-0000898E0000}"/>
    <cellStyle name="Total 6 5 12" xfId="27650" xr:uid="{00000000-0005-0000-0000-00008A8E0000}"/>
    <cellStyle name="Total 6 5 2" xfId="3664" xr:uid="{00000000-0005-0000-0000-00008B8E0000}"/>
    <cellStyle name="Total 6 5 2 10" xfId="14855" xr:uid="{00000000-0005-0000-0000-00008C8E0000}"/>
    <cellStyle name="Total 6 5 2 10 2" xfId="36303" xr:uid="{00000000-0005-0000-0000-00008D8E0000}"/>
    <cellStyle name="Total 6 5 2 11" xfId="27651" xr:uid="{00000000-0005-0000-0000-00008E8E0000}"/>
    <cellStyle name="Total 6 5 2 2" xfId="5791" xr:uid="{00000000-0005-0000-0000-00008F8E0000}"/>
    <cellStyle name="Total 6 5 2 2 2" xfId="11036" xr:uid="{00000000-0005-0000-0000-0000908E0000}"/>
    <cellStyle name="Total 6 5 2 2 2 2" xfId="33912" xr:uid="{00000000-0005-0000-0000-0000918E0000}"/>
    <cellStyle name="Total 6 5 2 2 2 3" xfId="24238" xr:uid="{00000000-0005-0000-0000-0000928E0000}"/>
    <cellStyle name="Total 6 5 2 2 3" xfId="32379" xr:uid="{00000000-0005-0000-0000-0000938E0000}"/>
    <cellStyle name="Total 6 5 2 2 4" xfId="29492" xr:uid="{00000000-0005-0000-0000-0000948E0000}"/>
    <cellStyle name="Total 6 5 2 2 5" xfId="19349" xr:uid="{00000000-0005-0000-0000-0000958E0000}"/>
    <cellStyle name="Total 6 5 2 3" xfId="4444" xr:uid="{00000000-0005-0000-0000-0000968E0000}"/>
    <cellStyle name="Total 6 5 2 3 2" xfId="22904" xr:uid="{00000000-0005-0000-0000-0000978E0000}"/>
    <cellStyle name="Total 6 5 2 3 3" xfId="18123" xr:uid="{00000000-0005-0000-0000-0000988E0000}"/>
    <cellStyle name="Total 6 5 2 4" xfId="7266" xr:uid="{00000000-0005-0000-0000-0000998E0000}"/>
    <cellStyle name="Total 6 5 2 4 2" xfId="25697" xr:uid="{00000000-0005-0000-0000-00009A8E0000}"/>
    <cellStyle name="Total 6 5 2 4 3" xfId="20623" xr:uid="{00000000-0005-0000-0000-00009B8E0000}"/>
    <cellStyle name="Total 6 5 2 5" xfId="7796" xr:uid="{00000000-0005-0000-0000-00009C8E0000}"/>
    <cellStyle name="Total 6 5 2 5 2" xfId="26226" xr:uid="{00000000-0005-0000-0000-00009D8E0000}"/>
    <cellStyle name="Total 6 5 2 5 3" xfId="21151" xr:uid="{00000000-0005-0000-0000-00009E8E0000}"/>
    <cellStyle name="Total 6 5 2 6" xfId="8176" xr:uid="{00000000-0005-0000-0000-00009F8E0000}"/>
    <cellStyle name="Total 6 5 2 6 2" xfId="26606" xr:uid="{00000000-0005-0000-0000-0000A08E0000}"/>
    <cellStyle name="Total 6 5 2 6 3" xfId="21530" xr:uid="{00000000-0005-0000-0000-0000A18E0000}"/>
    <cellStyle name="Total 6 5 2 7" xfId="8900" xr:uid="{00000000-0005-0000-0000-0000A28E0000}"/>
    <cellStyle name="Total 6 5 2 7 2" xfId="27320" xr:uid="{00000000-0005-0000-0000-0000A38E0000}"/>
    <cellStyle name="Total 6 5 2 7 3" xfId="22191" xr:uid="{00000000-0005-0000-0000-0000A48E0000}"/>
    <cellStyle name="Total 6 5 2 8" xfId="4392" xr:uid="{00000000-0005-0000-0000-0000A58E0000}"/>
    <cellStyle name="Total 6 5 2 8 2" xfId="22856" xr:uid="{00000000-0005-0000-0000-0000A68E0000}"/>
    <cellStyle name="Total 6 5 2 8 3" xfId="18074" xr:uid="{00000000-0005-0000-0000-0000A78E0000}"/>
    <cellStyle name="Total 6 5 2 9" xfId="15260" xr:uid="{00000000-0005-0000-0000-0000A88E0000}"/>
    <cellStyle name="Total 6 5 2 9 2" xfId="36665" xr:uid="{00000000-0005-0000-0000-0000A98E0000}"/>
    <cellStyle name="Total 6 5 2 9 3" xfId="17403" xr:uid="{00000000-0005-0000-0000-0000AA8E0000}"/>
    <cellStyle name="Total 6 5 3" xfId="5429" xr:uid="{00000000-0005-0000-0000-0000AB8E0000}"/>
    <cellStyle name="Total 6 5 3 2" xfId="11387" xr:uid="{00000000-0005-0000-0000-0000AC8E0000}"/>
    <cellStyle name="Total 6 5 3 2 2" xfId="34204" xr:uid="{00000000-0005-0000-0000-0000AD8E0000}"/>
    <cellStyle name="Total 6 5 3 2 3" xfId="28677" xr:uid="{00000000-0005-0000-0000-0000AE8E0000}"/>
    <cellStyle name="Total 6 5 3 2 4" xfId="23883" xr:uid="{00000000-0005-0000-0000-0000AF8E0000}"/>
    <cellStyle name="Total 6 5 3 3" xfId="32161" xr:uid="{00000000-0005-0000-0000-0000B08E0000}"/>
    <cellStyle name="Total 6 5 3 4" xfId="27848" xr:uid="{00000000-0005-0000-0000-0000B18E0000}"/>
    <cellStyle name="Total 6 5 3 5" xfId="19026" xr:uid="{00000000-0005-0000-0000-0000B28E0000}"/>
    <cellStyle name="Total 6 5 4" xfId="4989" xr:uid="{00000000-0005-0000-0000-0000B38E0000}"/>
    <cellStyle name="Total 6 5 4 2" xfId="10825" xr:uid="{00000000-0005-0000-0000-0000B48E0000}"/>
    <cellStyle name="Total 6 5 4 2 2" xfId="33835" xr:uid="{00000000-0005-0000-0000-0000B58E0000}"/>
    <cellStyle name="Total 6 5 4 2 3" xfId="23449" xr:uid="{00000000-0005-0000-0000-0000B68E0000}"/>
    <cellStyle name="Total 6 5 4 3" xfId="31940" xr:uid="{00000000-0005-0000-0000-0000B78E0000}"/>
    <cellStyle name="Total 6 5 4 4" xfId="29491" xr:uid="{00000000-0005-0000-0000-0000B88E0000}"/>
    <cellStyle name="Total 6 5 4 5" xfId="18603" xr:uid="{00000000-0005-0000-0000-0000B98E0000}"/>
    <cellStyle name="Total 6 5 5" xfId="6184" xr:uid="{00000000-0005-0000-0000-0000BA8E0000}"/>
    <cellStyle name="Total 6 5 5 2" xfId="10244" xr:uid="{00000000-0005-0000-0000-0000BB8E0000}"/>
    <cellStyle name="Total 6 5 5 2 2" xfId="33543" xr:uid="{00000000-0005-0000-0000-0000BC8E0000}"/>
    <cellStyle name="Total 6 5 5 2 3" xfId="24624" xr:uid="{00000000-0005-0000-0000-0000BD8E0000}"/>
    <cellStyle name="Total 6 5 5 3" xfId="32524" xr:uid="{00000000-0005-0000-0000-0000BE8E0000}"/>
    <cellStyle name="Total 6 5 5 4" xfId="19733" xr:uid="{00000000-0005-0000-0000-0000BF8E0000}"/>
    <cellStyle name="Total 6 5 6" xfId="7479" xr:uid="{00000000-0005-0000-0000-0000C08E0000}"/>
    <cellStyle name="Total 6 5 6 2" xfId="25910" xr:uid="{00000000-0005-0000-0000-0000C18E0000}"/>
    <cellStyle name="Total 6 5 6 3" xfId="20834" xr:uid="{00000000-0005-0000-0000-0000C28E0000}"/>
    <cellStyle name="Total 6 5 7" xfId="7858" xr:uid="{00000000-0005-0000-0000-0000C38E0000}"/>
    <cellStyle name="Total 6 5 7 2" xfId="26288" xr:uid="{00000000-0005-0000-0000-0000C48E0000}"/>
    <cellStyle name="Total 6 5 7 3" xfId="21212" xr:uid="{00000000-0005-0000-0000-0000C58E0000}"/>
    <cellStyle name="Total 6 5 8" xfId="8579" xr:uid="{00000000-0005-0000-0000-0000C68E0000}"/>
    <cellStyle name="Total 6 5 8 2" xfId="27002" xr:uid="{00000000-0005-0000-0000-0000C78E0000}"/>
    <cellStyle name="Total 6 5 8 3" xfId="21870" xr:uid="{00000000-0005-0000-0000-0000C88E0000}"/>
    <cellStyle name="Total 6 5 9" xfId="4071" xr:uid="{00000000-0005-0000-0000-0000C98E0000}"/>
    <cellStyle name="Total 6 5 9 2" xfId="22538" xr:uid="{00000000-0005-0000-0000-0000CA8E0000}"/>
    <cellStyle name="Total 6 5 9 3" xfId="17753" xr:uid="{00000000-0005-0000-0000-0000CB8E0000}"/>
    <cellStyle name="Total 6 6" xfId="3226" xr:uid="{00000000-0005-0000-0000-0000CC8E0000}"/>
    <cellStyle name="Total 6 6 10" xfId="15259" xr:uid="{00000000-0005-0000-0000-0000CD8E0000}"/>
    <cellStyle name="Total 6 6 10 2" xfId="36664" xr:uid="{00000000-0005-0000-0000-0000CE8E0000}"/>
    <cellStyle name="Total 6 6 10 3" xfId="17069" xr:uid="{00000000-0005-0000-0000-0000CF8E0000}"/>
    <cellStyle name="Total 6 6 11" xfId="15486" xr:uid="{00000000-0005-0000-0000-0000D08E0000}"/>
    <cellStyle name="Total 6 6 11 2" xfId="36865" xr:uid="{00000000-0005-0000-0000-0000D18E0000}"/>
    <cellStyle name="Total 6 6 12" xfId="27652" xr:uid="{00000000-0005-0000-0000-0000D28E0000}"/>
    <cellStyle name="Total 6 6 2" xfId="3665" xr:uid="{00000000-0005-0000-0000-0000D38E0000}"/>
    <cellStyle name="Total 6 6 2 10" xfId="15745" xr:uid="{00000000-0005-0000-0000-0000D48E0000}"/>
    <cellStyle name="Total 6 6 2 10 2" xfId="37110" xr:uid="{00000000-0005-0000-0000-0000D58E0000}"/>
    <cellStyle name="Total 6 6 2 11" xfId="27653" xr:uid="{00000000-0005-0000-0000-0000D68E0000}"/>
    <cellStyle name="Total 6 6 2 2" xfId="5792" xr:uid="{00000000-0005-0000-0000-0000D78E0000}"/>
    <cellStyle name="Total 6 6 2 2 2" xfId="11037" xr:uid="{00000000-0005-0000-0000-0000D88E0000}"/>
    <cellStyle name="Total 6 6 2 2 2 2" xfId="33913" xr:uid="{00000000-0005-0000-0000-0000D98E0000}"/>
    <cellStyle name="Total 6 6 2 2 2 3" xfId="24239" xr:uid="{00000000-0005-0000-0000-0000DA8E0000}"/>
    <cellStyle name="Total 6 6 2 2 3" xfId="32380" xr:uid="{00000000-0005-0000-0000-0000DB8E0000}"/>
    <cellStyle name="Total 6 6 2 2 4" xfId="29494" xr:uid="{00000000-0005-0000-0000-0000DC8E0000}"/>
    <cellStyle name="Total 6 6 2 2 5" xfId="19350" xr:uid="{00000000-0005-0000-0000-0000DD8E0000}"/>
    <cellStyle name="Total 6 6 2 3" xfId="5807" xr:uid="{00000000-0005-0000-0000-0000DE8E0000}"/>
    <cellStyle name="Total 6 6 2 3 2" xfId="24254" xr:uid="{00000000-0005-0000-0000-0000DF8E0000}"/>
    <cellStyle name="Total 6 6 2 3 3" xfId="19365" xr:uid="{00000000-0005-0000-0000-0000E08E0000}"/>
    <cellStyle name="Total 6 6 2 4" xfId="7267" xr:uid="{00000000-0005-0000-0000-0000E18E0000}"/>
    <cellStyle name="Total 6 6 2 4 2" xfId="25698" xr:uid="{00000000-0005-0000-0000-0000E28E0000}"/>
    <cellStyle name="Total 6 6 2 4 3" xfId="20624" xr:uid="{00000000-0005-0000-0000-0000E38E0000}"/>
    <cellStyle name="Total 6 6 2 5" xfId="7797" xr:uid="{00000000-0005-0000-0000-0000E48E0000}"/>
    <cellStyle name="Total 6 6 2 5 2" xfId="26227" xr:uid="{00000000-0005-0000-0000-0000E58E0000}"/>
    <cellStyle name="Total 6 6 2 5 3" xfId="21152" xr:uid="{00000000-0005-0000-0000-0000E68E0000}"/>
    <cellStyle name="Total 6 6 2 6" xfId="8177" xr:uid="{00000000-0005-0000-0000-0000E78E0000}"/>
    <cellStyle name="Total 6 6 2 6 2" xfId="26607" xr:uid="{00000000-0005-0000-0000-0000E88E0000}"/>
    <cellStyle name="Total 6 6 2 6 3" xfId="21531" xr:uid="{00000000-0005-0000-0000-0000E98E0000}"/>
    <cellStyle name="Total 6 6 2 7" xfId="8901" xr:uid="{00000000-0005-0000-0000-0000EA8E0000}"/>
    <cellStyle name="Total 6 6 2 7 2" xfId="27321" xr:uid="{00000000-0005-0000-0000-0000EB8E0000}"/>
    <cellStyle name="Total 6 6 2 7 3" xfId="22192" xr:uid="{00000000-0005-0000-0000-0000EC8E0000}"/>
    <cellStyle name="Total 6 6 2 8" xfId="4393" xr:uid="{00000000-0005-0000-0000-0000ED8E0000}"/>
    <cellStyle name="Total 6 6 2 8 2" xfId="22857" xr:uid="{00000000-0005-0000-0000-0000EE8E0000}"/>
    <cellStyle name="Total 6 6 2 8 3" xfId="18075" xr:uid="{00000000-0005-0000-0000-0000EF8E0000}"/>
    <cellStyle name="Total 6 6 2 9" xfId="14873" xr:uid="{00000000-0005-0000-0000-0000F08E0000}"/>
    <cellStyle name="Total 6 6 2 9 2" xfId="36321" xr:uid="{00000000-0005-0000-0000-0000F18E0000}"/>
    <cellStyle name="Total 6 6 2 9 3" xfId="17404" xr:uid="{00000000-0005-0000-0000-0000F28E0000}"/>
    <cellStyle name="Total 6 6 3" xfId="5430" xr:uid="{00000000-0005-0000-0000-0000F38E0000}"/>
    <cellStyle name="Total 6 6 3 2" xfId="11388" xr:uid="{00000000-0005-0000-0000-0000F48E0000}"/>
    <cellStyle name="Total 6 6 3 2 2" xfId="34205" xr:uid="{00000000-0005-0000-0000-0000F58E0000}"/>
    <cellStyle name="Total 6 6 3 2 3" xfId="28678" xr:uid="{00000000-0005-0000-0000-0000F68E0000}"/>
    <cellStyle name="Total 6 6 3 2 4" xfId="23884" xr:uid="{00000000-0005-0000-0000-0000F78E0000}"/>
    <cellStyle name="Total 6 6 3 3" xfId="32162" xr:uid="{00000000-0005-0000-0000-0000F88E0000}"/>
    <cellStyle name="Total 6 6 3 4" xfId="27849" xr:uid="{00000000-0005-0000-0000-0000F98E0000}"/>
    <cellStyle name="Total 6 6 3 5" xfId="19027" xr:uid="{00000000-0005-0000-0000-0000FA8E0000}"/>
    <cellStyle name="Total 6 6 4" xfId="4990" xr:uid="{00000000-0005-0000-0000-0000FB8E0000}"/>
    <cellStyle name="Total 6 6 4 2" xfId="10826" xr:uid="{00000000-0005-0000-0000-0000FC8E0000}"/>
    <cellStyle name="Total 6 6 4 2 2" xfId="33836" xr:uid="{00000000-0005-0000-0000-0000FD8E0000}"/>
    <cellStyle name="Total 6 6 4 2 3" xfId="23450" xr:uid="{00000000-0005-0000-0000-0000FE8E0000}"/>
    <cellStyle name="Total 6 6 4 3" xfId="31941" xr:uid="{00000000-0005-0000-0000-0000FF8E0000}"/>
    <cellStyle name="Total 6 6 4 4" xfId="29493" xr:uid="{00000000-0005-0000-0000-0000008F0000}"/>
    <cellStyle name="Total 6 6 4 5" xfId="18604" xr:uid="{00000000-0005-0000-0000-0000018F0000}"/>
    <cellStyle name="Total 6 6 5" xfId="6183" xr:uid="{00000000-0005-0000-0000-0000028F0000}"/>
    <cellStyle name="Total 6 6 5 2" xfId="10245" xr:uid="{00000000-0005-0000-0000-0000038F0000}"/>
    <cellStyle name="Total 6 6 5 2 2" xfId="33544" xr:uid="{00000000-0005-0000-0000-0000048F0000}"/>
    <cellStyle name="Total 6 6 5 2 3" xfId="24623" xr:uid="{00000000-0005-0000-0000-0000058F0000}"/>
    <cellStyle name="Total 6 6 5 3" xfId="32523" xr:uid="{00000000-0005-0000-0000-0000068F0000}"/>
    <cellStyle name="Total 6 6 5 4" xfId="19732" xr:uid="{00000000-0005-0000-0000-0000078F0000}"/>
    <cellStyle name="Total 6 6 6" xfId="7480" xr:uid="{00000000-0005-0000-0000-0000088F0000}"/>
    <cellStyle name="Total 6 6 6 2" xfId="25911" xr:uid="{00000000-0005-0000-0000-0000098F0000}"/>
    <cellStyle name="Total 6 6 6 3" xfId="20835" xr:uid="{00000000-0005-0000-0000-00000A8F0000}"/>
    <cellStyle name="Total 6 6 7" xfId="7859" xr:uid="{00000000-0005-0000-0000-00000B8F0000}"/>
    <cellStyle name="Total 6 6 7 2" xfId="26289" xr:uid="{00000000-0005-0000-0000-00000C8F0000}"/>
    <cellStyle name="Total 6 6 7 3" xfId="21213" xr:uid="{00000000-0005-0000-0000-00000D8F0000}"/>
    <cellStyle name="Total 6 6 8" xfId="8580" xr:uid="{00000000-0005-0000-0000-00000E8F0000}"/>
    <cellStyle name="Total 6 6 8 2" xfId="27003" xr:uid="{00000000-0005-0000-0000-00000F8F0000}"/>
    <cellStyle name="Total 6 6 8 3" xfId="21871" xr:uid="{00000000-0005-0000-0000-0000108F0000}"/>
    <cellStyle name="Total 6 6 9" xfId="4072" xr:uid="{00000000-0005-0000-0000-0000118F0000}"/>
    <cellStyle name="Total 6 6 9 2" xfId="22539" xr:uid="{00000000-0005-0000-0000-0000128F0000}"/>
    <cellStyle name="Total 6 6 9 3" xfId="17754" xr:uid="{00000000-0005-0000-0000-0000138F0000}"/>
    <cellStyle name="Total 6 7" xfId="3227" xr:uid="{00000000-0005-0000-0000-0000148F0000}"/>
    <cellStyle name="Total 6 7 10" xfId="14872" xr:uid="{00000000-0005-0000-0000-0000158F0000}"/>
    <cellStyle name="Total 6 7 10 2" xfId="36320" xr:uid="{00000000-0005-0000-0000-0000168F0000}"/>
    <cellStyle name="Total 6 7 10 3" xfId="17070" xr:uid="{00000000-0005-0000-0000-0000178F0000}"/>
    <cellStyle name="Total 6 7 11" xfId="16081" xr:uid="{00000000-0005-0000-0000-0000188F0000}"/>
    <cellStyle name="Total 6 7 11 2" xfId="37403" xr:uid="{00000000-0005-0000-0000-0000198F0000}"/>
    <cellStyle name="Total 6 7 12" xfId="27654" xr:uid="{00000000-0005-0000-0000-00001A8F0000}"/>
    <cellStyle name="Total 6 7 2" xfId="3666" xr:uid="{00000000-0005-0000-0000-00001B8F0000}"/>
    <cellStyle name="Total 6 7 2 10" xfId="15332" xr:uid="{00000000-0005-0000-0000-00001C8F0000}"/>
    <cellStyle name="Total 6 7 2 10 2" xfId="36720" xr:uid="{00000000-0005-0000-0000-00001D8F0000}"/>
    <cellStyle name="Total 6 7 2 11" xfId="27655" xr:uid="{00000000-0005-0000-0000-00001E8F0000}"/>
    <cellStyle name="Total 6 7 2 2" xfId="5793" xr:uid="{00000000-0005-0000-0000-00001F8F0000}"/>
    <cellStyle name="Total 6 7 2 2 2" xfId="11038" xr:uid="{00000000-0005-0000-0000-0000208F0000}"/>
    <cellStyle name="Total 6 7 2 2 2 2" xfId="33914" xr:uid="{00000000-0005-0000-0000-0000218F0000}"/>
    <cellStyle name="Total 6 7 2 2 2 3" xfId="24240" xr:uid="{00000000-0005-0000-0000-0000228F0000}"/>
    <cellStyle name="Total 6 7 2 2 3" xfId="32381" xr:uid="{00000000-0005-0000-0000-0000238F0000}"/>
    <cellStyle name="Total 6 7 2 2 4" xfId="29496" xr:uid="{00000000-0005-0000-0000-0000248F0000}"/>
    <cellStyle name="Total 6 7 2 2 5" xfId="19351" xr:uid="{00000000-0005-0000-0000-0000258F0000}"/>
    <cellStyle name="Total 6 7 2 3" xfId="5455" xr:uid="{00000000-0005-0000-0000-0000268F0000}"/>
    <cellStyle name="Total 6 7 2 3 2" xfId="23908" xr:uid="{00000000-0005-0000-0000-0000278F0000}"/>
    <cellStyle name="Total 6 7 2 3 3" xfId="19050" xr:uid="{00000000-0005-0000-0000-0000288F0000}"/>
    <cellStyle name="Total 6 7 2 4" xfId="7268" xr:uid="{00000000-0005-0000-0000-0000298F0000}"/>
    <cellStyle name="Total 6 7 2 4 2" xfId="25699" xr:uid="{00000000-0005-0000-0000-00002A8F0000}"/>
    <cellStyle name="Total 6 7 2 4 3" xfId="20625" xr:uid="{00000000-0005-0000-0000-00002B8F0000}"/>
    <cellStyle name="Total 6 7 2 5" xfId="7798" xr:uid="{00000000-0005-0000-0000-00002C8F0000}"/>
    <cellStyle name="Total 6 7 2 5 2" xfId="26228" xr:uid="{00000000-0005-0000-0000-00002D8F0000}"/>
    <cellStyle name="Total 6 7 2 5 3" xfId="21153" xr:uid="{00000000-0005-0000-0000-00002E8F0000}"/>
    <cellStyle name="Total 6 7 2 6" xfId="8178" xr:uid="{00000000-0005-0000-0000-00002F8F0000}"/>
    <cellStyle name="Total 6 7 2 6 2" xfId="26608" xr:uid="{00000000-0005-0000-0000-0000308F0000}"/>
    <cellStyle name="Total 6 7 2 6 3" xfId="21532" xr:uid="{00000000-0005-0000-0000-0000318F0000}"/>
    <cellStyle name="Total 6 7 2 7" xfId="8902" xr:uid="{00000000-0005-0000-0000-0000328F0000}"/>
    <cellStyle name="Total 6 7 2 7 2" xfId="27322" xr:uid="{00000000-0005-0000-0000-0000338F0000}"/>
    <cellStyle name="Total 6 7 2 7 3" xfId="22193" xr:uid="{00000000-0005-0000-0000-0000348F0000}"/>
    <cellStyle name="Total 6 7 2 8" xfId="4394" xr:uid="{00000000-0005-0000-0000-0000358F0000}"/>
    <cellStyle name="Total 6 7 2 8 2" xfId="22858" xr:uid="{00000000-0005-0000-0000-0000368F0000}"/>
    <cellStyle name="Total 6 7 2 8 3" xfId="18076" xr:uid="{00000000-0005-0000-0000-0000378F0000}"/>
    <cellStyle name="Total 6 7 2 9" xfId="14871" xr:uid="{00000000-0005-0000-0000-0000388F0000}"/>
    <cellStyle name="Total 6 7 2 9 2" xfId="36319" xr:uid="{00000000-0005-0000-0000-0000398F0000}"/>
    <cellStyle name="Total 6 7 2 9 3" xfId="17405" xr:uid="{00000000-0005-0000-0000-00003A8F0000}"/>
    <cellStyle name="Total 6 7 3" xfId="5431" xr:uid="{00000000-0005-0000-0000-00003B8F0000}"/>
    <cellStyle name="Total 6 7 3 2" xfId="11389" xr:uid="{00000000-0005-0000-0000-00003C8F0000}"/>
    <cellStyle name="Total 6 7 3 2 2" xfId="34206" xr:uid="{00000000-0005-0000-0000-00003D8F0000}"/>
    <cellStyle name="Total 6 7 3 2 3" xfId="28679" xr:uid="{00000000-0005-0000-0000-00003E8F0000}"/>
    <cellStyle name="Total 6 7 3 2 4" xfId="23885" xr:uid="{00000000-0005-0000-0000-00003F8F0000}"/>
    <cellStyle name="Total 6 7 3 3" xfId="32163" xr:uid="{00000000-0005-0000-0000-0000408F0000}"/>
    <cellStyle name="Total 6 7 3 4" xfId="27850" xr:uid="{00000000-0005-0000-0000-0000418F0000}"/>
    <cellStyle name="Total 6 7 3 5" xfId="19028" xr:uid="{00000000-0005-0000-0000-0000428F0000}"/>
    <cellStyle name="Total 6 7 4" xfId="4991" xr:uid="{00000000-0005-0000-0000-0000438F0000}"/>
    <cellStyle name="Total 6 7 4 2" xfId="10827" xr:uid="{00000000-0005-0000-0000-0000448F0000}"/>
    <cellStyle name="Total 6 7 4 2 2" xfId="33837" xr:uid="{00000000-0005-0000-0000-0000458F0000}"/>
    <cellStyle name="Total 6 7 4 2 3" xfId="23451" xr:uid="{00000000-0005-0000-0000-0000468F0000}"/>
    <cellStyle name="Total 6 7 4 3" xfId="31942" xr:uid="{00000000-0005-0000-0000-0000478F0000}"/>
    <cellStyle name="Total 6 7 4 4" xfId="29495" xr:uid="{00000000-0005-0000-0000-0000488F0000}"/>
    <cellStyle name="Total 6 7 4 5" xfId="18605" xr:uid="{00000000-0005-0000-0000-0000498F0000}"/>
    <cellStyle name="Total 6 7 5" xfId="6182" xr:uid="{00000000-0005-0000-0000-00004A8F0000}"/>
    <cellStyle name="Total 6 7 5 2" xfId="10246" xr:uid="{00000000-0005-0000-0000-00004B8F0000}"/>
    <cellStyle name="Total 6 7 5 2 2" xfId="33545" xr:uid="{00000000-0005-0000-0000-00004C8F0000}"/>
    <cellStyle name="Total 6 7 5 2 3" xfId="24622" xr:uid="{00000000-0005-0000-0000-00004D8F0000}"/>
    <cellStyle name="Total 6 7 5 3" xfId="32522" xr:uid="{00000000-0005-0000-0000-00004E8F0000}"/>
    <cellStyle name="Total 6 7 5 4" xfId="19731" xr:uid="{00000000-0005-0000-0000-00004F8F0000}"/>
    <cellStyle name="Total 6 7 6" xfId="7481" xr:uid="{00000000-0005-0000-0000-0000508F0000}"/>
    <cellStyle name="Total 6 7 6 2" xfId="25912" xr:uid="{00000000-0005-0000-0000-0000518F0000}"/>
    <cellStyle name="Total 6 7 6 3" xfId="20836" xr:uid="{00000000-0005-0000-0000-0000528F0000}"/>
    <cellStyle name="Total 6 7 7" xfId="7860" xr:uid="{00000000-0005-0000-0000-0000538F0000}"/>
    <cellStyle name="Total 6 7 7 2" xfId="26290" xr:uid="{00000000-0005-0000-0000-0000548F0000}"/>
    <cellStyle name="Total 6 7 7 3" xfId="21214" xr:uid="{00000000-0005-0000-0000-0000558F0000}"/>
    <cellStyle name="Total 6 7 8" xfId="8581" xr:uid="{00000000-0005-0000-0000-0000568F0000}"/>
    <cellStyle name="Total 6 7 8 2" xfId="27004" xr:uid="{00000000-0005-0000-0000-0000578F0000}"/>
    <cellStyle name="Total 6 7 8 3" xfId="21872" xr:uid="{00000000-0005-0000-0000-0000588F0000}"/>
    <cellStyle name="Total 6 7 9" xfId="4073" xr:uid="{00000000-0005-0000-0000-0000598F0000}"/>
    <cellStyle name="Total 6 7 9 2" xfId="22540" xr:uid="{00000000-0005-0000-0000-00005A8F0000}"/>
    <cellStyle name="Total 6 7 9 3" xfId="17755" xr:uid="{00000000-0005-0000-0000-00005B8F0000}"/>
    <cellStyle name="Total 6 8" xfId="3228" xr:uid="{00000000-0005-0000-0000-00005C8F0000}"/>
    <cellStyle name="Total 6 8 10" xfId="14870" xr:uid="{00000000-0005-0000-0000-00005D8F0000}"/>
    <cellStyle name="Total 6 8 10 2" xfId="36318" xr:uid="{00000000-0005-0000-0000-00005E8F0000}"/>
    <cellStyle name="Total 6 8 10 3" xfId="17071" xr:uid="{00000000-0005-0000-0000-00005F8F0000}"/>
    <cellStyle name="Total 6 8 11" xfId="16337" xr:uid="{00000000-0005-0000-0000-0000608F0000}"/>
    <cellStyle name="Total 6 8 11 2" xfId="37640" xr:uid="{00000000-0005-0000-0000-0000618F0000}"/>
    <cellStyle name="Total 6 8 12" xfId="27656" xr:uid="{00000000-0005-0000-0000-0000628F0000}"/>
    <cellStyle name="Total 6 8 2" xfId="3667" xr:uid="{00000000-0005-0000-0000-0000638F0000}"/>
    <cellStyle name="Total 6 8 2 10" xfId="14831" xr:uid="{00000000-0005-0000-0000-0000648F0000}"/>
    <cellStyle name="Total 6 8 2 10 2" xfId="36284" xr:uid="{00000000-0005-0000-0000-0000658F0000}"/>
    <cellStyle name="Total 6 8 2 11" xfId="27657" xr:uid="{00000000-0005-0000-0000-0000668F0000}"/>
    <cellStyle name="Total 6 8 2 2" xfId="5794" xr:uid="{00000000-0005-0000-0000-0000678F0000}"/>
    <cellStyle name="Total 6 8 2 2 2" xfId="11039" xr:uid="{00000000-0005-0000-0000-0000688F0000}"/>
    <cellStyle name="Total 6 8 2 2 2 2" xfId="33915" xr:uid="{00000000-0005-0000-0000-0000698F0000}"/>
    <cellStyle name="Total 6 8 2 2 2 3" xfId="24241" xr:uid="{00000000-0005-0000-0000-00006A8F0000}"/>
    <cellStyle name="Total 6 8 2 2 3" xfId="32382" xr:uid="{00000000-0005-0000-0000-00006B8F0000}"/>
    <cellStyle name="Total 6 8 2 2 4" xfId="29498" xr:uid="{00000000-0005-0000-0000-00006C8F0000}"/>
    <cellStyle name="Total 6 8 2 2 5" xfId="19352" xr:uid="{00000000-0005-0000-0000-00006D8F0000}"/>
    <cellStyle name="Total 6 8 2 3" xfId="4422" xr:uid="{00000000-0005-0000-0000-00006E8F0000}"/>
    <cellStyle name="Total 6 8 2 3 2" xfId="22882" xr:uid="{00000000-0005-0000-0000-00006F8F0000}"/>
    <cellStyle name="Total 6 8 2 3 3" xfId="18103" xr:uid="{00000000-0005-0000-0000-0000708F0000}"/>
    <cellStyle name="Total 6 8 2 4" xfId="7269" xr:uid="{00000000-0005-0000-0000-0000718F0000}"/>
    <cellStyle name="Total 6 8 2 4 2" xfId="25700" xr:uid="{00000000-0005-0000-0000-0000728F0000}"/>
    <cellStyle name="Total 6 8 2 4 3" xfId="20626" xr:uid="{00000000-0005-0000-0000-0000738F0000}"/>
    <cellStyle name="Total 6 8 2 5" xfId="7799" xr:uid="{00000000-0005-0000-0000-0000748F0000}"/>
    <cellStyle name="Total 6 8 2 5 2" xfId="26229" xr:uid="{00000000-0005-0000-0000-0000758F0000}"/>
    <cellStyle name="Total 6 8 2 5 3" xfId="21154" xr:uid="{00000000-0005-0000-0000-0000768F0000}"/>
    <cellStyle name="Total 6 8 2 6" xfId="8179" xr:uid="{00000000-0005-0000-0000-0000778F0000}"/>
    <cellStyle name="Total 6 8 2 6 2" xfId="26609" xr:uid="{00000000-0005-0000-0000-0000788F0000}"/>
    <cellStyle name="Total 6 8 2 6 3" xfId="21533" xr:uid="{00000000-0005-0000-0000-0000798F0000}"/>
    <cellStyle name="Total 6 8 2 7" xfId="8903" xr:uid="{00000000-0005-0000-0000-00007A8F0000}"/>
    <cellStyle name="Total 6 8 2 7 2" xfId="27323" xr:uid="{00000000-0005-0000-0000-00007B8F0000}"/>
    <cellStyle name="Total 6 8 2 7 3" xfId="22194" xr:uid="{00000000-0005-0000-0000-00007C8F0000}"/>
    <cellStyle name="Total 6 8 2 8" xfId="4395" xr:uid="{00000000-0005-0000-0000-00007D8F0000}"/>
    <cellStyle name="Total 6 8 2 8 2" xfId="22859" xr:uid="{00000000-0005-0000-0000-00007E8F0000}"/>
    <cellStyle name="Total 6 8 2 8 3" xfId="18077" xr:uid="{00000000-0005-0000-0000-00007F8F0000}"/>
    <cellStyle name="Total 6 8 2 9" xfId="14869" xr:uid="{00000000-0005-0000-0000-0000808F0000}"/>
    <cellStyle name="Total 6 8 2 9 2" xfId="36317" xr:uid="{00000000-0005-0000-0000-0000818F0000}"/>
    <cellStyle name="Total 6 8 2 9 3" xfId="17406" xr:uid="{00000000-0005-0000-0000-0000828F0000}"/>
    <cellStyle name="Total 6 8 3" xfId="5432" xr:uid="{00000000-0005-0000-0000-0000838F0000}"/>
    <cellStyle name="Total 6 8 3 2" xfId="11390" xr:uid="{00000000-0005-0000-0000-0000848F0000}"/>
    <cellStyle name="Total 6 8 3 2 2" xfId="34207" xr:uid="{00000000-0005-0000-0000-0000858F0000}"/>
    <cellStyle name="Total 6 8 3 2 3" xfId="28680" xr:uid="{00000000-0005-0000-0000-0000868F0000}"/>
    <cellStyle name="Total 6 8 3 2 4" xfId="23886" xr:uid="{00000000-0005-0000-0000-0000878F0000}"/>
    <cellStyle name="Total 6 8 3 3" xfId="32164" xr:uid="{00000000-0005-0000-0000-0000888F0000}"/>
    <cellStyle name="Total 6 8 3 4" xfId="27851" xr:uid="{00000000-0005-0000-0000-0000898F0000}"/>
    <cellStyle name="Total 6 8 3 5" xfId="19029" xr:uid="{00000000-0005-0000-0000-00008A8F0000}"/>
    <cellStyle name="Total 6 8 4" xfId="4992" xr:uid="{00000000-0005-0000-0000-00008B8F0000}"/>
    <cellStyle name="Total 6 8 4 2" xfId="10828" xr:uid="{00000000-0005-0000-0000-00008C8F0000}"/>
    <cellStyle name="Total 6 8 4 2 2" xfId="33838" xr:uid="{00000000-0005-0000-0000-00008D8F0000}"/>
    <cellStyle name="Total 6 8 4 2 3" xfId="23452" xr:uid="{00000000-0005-0000-0000-00008E8F0000}"/>
    <cellStyle name="Total 6 8 4 3" xfId="31943" xr:uid="{00000000-0005-0000-0000-00008F8F0000}"/>
    <cellStyle name="Total 6 8 4 4" xfId="29497" xr:uid="{00000000-0005-0000-0000-0000908F0000}"/>
    <cellStyle name="Total 6 8 4 5" xfId="18606" xr:uid="{00000000-0005-0000-0000-0000918F0000}"/>
    <cellStyle name="Total 6 8 5" xfId="6181" xr:uid="{00000000-0005-0000-0000-0000928F0000}"/>
    <cellStyle name="Total 6 8 5 2" xfId="10247" xr:uid="{00000000-0005-0000-0000-0000938F0000}"/>
    <cellStyle name="Total 6 8 5 2 2" xfId="33546" xr:uid="{00000000-0005-0000-0000-0000948F0000}"/>
    <cellStyle name="Total 6 8 5 2 3" xfId="24621" xr:uid="{00000000-0005-0000-0000-0000958F0000}"/>
    <cellStyle name="Total 6 8 5 3" xfId="32521" xr:uid="{00000000-0005-0000-0000-0000968F0000}"/>
    <cellStyle name="Total 6 8 5 4" xfId="19730" xr:uid="{00000000-0005-0000-0000-0000978F0000}"/>
    <cellStyle name="Total 6 8 6" xfId="7482" xr:uid="{00000000-0005-0000-0000-0000988F0000}"/>
    <cellStyle name="Total 6 8 6 2" xfId="25913" xr:uid="{00000000-0005-0000-0000-0000998F0000}"/>
    <cellStyle name="Total 6 8 6 3" xfId="20837" xr:uid="{00000000-0005-0000-0000-00009A8F0000}"/>
    <cellStyle name="Total 6 8 7" xfId="7861" xr:uid="{00000000-0005-0000-0000-00009B8F0000}"/>
    <cellStyle name="Total 6 8 7 2" xfId="26291" xr:uid="{00000000-0005-0000-0000-00009C8F0000}"/>
    <cellStyle name="Total 6 8 7 3" xfId="21215" xr:uid="{00000000-0005-0000-0000-00009D8F0000}"/>
    <cellStyle name="Total 6 8 8" xfId="8582" xr:uid="{00000000-0005-0000-0000-00009E8F0000}"/>
    <cellStyle name="Total 6 8 8 2" xfId="27005" xr:uid="{00000000-0005-0000-0000-00009F8F0000}"/>
    <cellStyle name="Total 6 8 8 3" xfId="21873" xr:uid="{00000000-0005-0000-0000-0000A08F0000}"/>
    <cellStyle name="Total 6 8 9" xfId="4074" xr:uid="{00000000-0005-0000-0000-0000A18F0000}"/>
    <cellStyle name="Total 6 8 9 2" xfId="22541" xr:uid="{00000000-0005-0000-0000-0000A28F0000}"/>
    <cellStyle name="Total 6 8 9 3" xfId="17756" xr:uid="{00000000-0005-0000-0000-0000A38F0000}"/>
    <cellStyle name="Total 6 9" xfId="3229" xr:uid="{00000000-0005-0000-0000-0000A48F0000}"/>
    <cellStyle name="Total 6 9 10" xfId="14868" xr:uid="{00000000-0005-0000-0000-0000A58F0000}"/>
    <cellStyle name="Total 6 9 10 2" xfId="36316" xr:uid="{00000000-0005-0000-0000-0000A68F0000}"/>
    <cellStyle name="Total 6 9 10 3" xfId="17072" xr:uid="{00000000-0005-0000-0000-0000A78F0000}"/>
    <cellStyle name="Total 6 9 11" xfId="16411" xr:uid="{00000000-0005-0000-0000-0000A88F0000}"/>
    <cellStyle name="Total 6 9 11 2" xfId="37699" xr:uid="{00000000-0005-0000-0000-0000A98F0000}"/>
    <cellStyle name="Total 6 9 12" xfId="27658" xr:uid="{00000000-0005-0000-0000-0000AA8F0000}"/>
    <cellStyle name="Total 6 9 2" xfId="3668" xr:uid="{00000000-0005-0000-0000-0000AB8F0000}"/>
    <cellStyle name="Total 6 9 2 10" xfId="14849" xr:uid="{00000000-0005-0000-0000-0000AC8F0000}"/>
    <cellStyle name="Total 6 9 2 10 2" xfId="36297" xr:uid="{00000000-0005-0000-0000-0000AD8F0000}"/>
    <cellStyle name="Total 6 9 2 11" xfId="27659" xr:uid="{00000000-0005-0000-0000-0000AE8F0000}"/>
    <cellStyle name="Total 6 9 2 2" xfId="5795" xr:uid="{00000000-0005-0000-0000-0000AF8F0000}"/>
    <cellStyle name="Total 6 9 2 2 2" xfId="10830" xr:uid="{00000000-0005-0000-0000-0000B08F0000}"/>
    <cellStyle name="Total 6 9 2 2 2 2" xfId="33840" xr:uid="{00000000-0005-0000-0000-0000B18F0000}"/>
    <cellStyle name="Total 6 9 2 2 2 3" xfId="24242" xr:uid="{00000000-0005-0000-0000-0000B28F0000}"/>
    <cellStyle name="Total 6 9 2 2 3" xfId="32383" xr:uid="{00000000-0005-0000-0000-0000B38F0000}"/>
    <cellStyle name="Total 6 9 2 2 4" xfId="29500" xr:uid="{00000000-0005-0000-0000-0000B48F0000}"/>
    <cellStyle name="Total 6 9 2 2 5" xfId="19353" xr:uid="{00000000-0005-0000-0000-0000B58F0000}"/>
    <cellStyle name="Total 6 9 2 3" xfId="5372" xr:uid="{00000000-0005-0000-0000-0000B68F0000}"/>
    <cellStyle name="Total 6 9 2 3 2" xfId="23829" xr:uid="{00000000-0005-0000-0000-0000B78F0000}"/>
    <cellStyle name="Total 6 9 2 3 3" xfId="18972" xr:uid="{00000000-0005-0000-0000-0000B88F0000}"/>
    <cellStyle name="Total 6 9 2 4" xfId="7270" xr:uid="{00000000-0005-0000-0000-0000B98F0000}"/>
    <cellStyle name="Total 6 9 2 4 2" xfId="25701" xr:uid="{00000000-0005-0000-0000-0000BA8F0000}"/>
    <cellStyle name="Total 6 9 2 4 3" xfId="20627" xr:uid="{00000000-0005-0000-0000-0000BB8F0000}"/>
    <cellStyle name="Total 6 9 2 5" xfId="7800" xr:uid="{00000000-0005-0000-0000-0000BC8F0000}"/>
    <cellStyle name="Total 6 9 2 5 2" xfId="26230" xr:uid="{00000000-0005-0000-0000-0000BD8F0000}"/>
    <cellStyle name="Total 6 9 2 5 3" xfId="21155" xr:uid="{00000000-0005-0000-0000-0000BE8F0000}"/>
    <cellStyle name="Total 6 9 2 6" xfId="8180" xr:uid="{00000000-0005-0000-0000-0000BF8F0000}"/>
    <cellStyle name="Total 6 9 2 6 2" xfId="26610" xr:uid="{00000000-0005-0000-0000-0000C08F0000}"/>
    <cellStyle name="Total 6 9 2 6 3" xfId="21534" xr:uid="{00000000-0005-0000-0000-0000C18F0000}"/>
    <cellStyle name="Total 6 9 2 7" xfId="8904" xr:uid="{00000000-0005-0000-0000-0000C28F0000}"/>
    <cellStyle name="Total 6 9 2 7 2" xfId="27324" xr:uid="{00000000-0005-0000-0000-0000C38F0000}"/>
    <cellStyle name="Total 6 9 2 7 3" xfId="22195" xr:uid="{00000000-0005-0000-0000-0000C48F0000}"/>
    <cellStyle name="Total 6 9 2 8" xfId="4396" xr:uid="{00000000-0005-0000-0000-0000C58F0000}"/>
    <cellStyle name="Total 6 9 2 8 2" xfId="22860" xr:uid="{00000000-0005-0000-0000-0000C68F0000}"/>
    <cellStyle name="Total 6 9 2 8 3" xfId="18078" xr:uid="{00000000-0005-0000-0000-0000C78F0000}"/>
    <cellStyle name="Total 6 9 2 9" xfId="14867" xr:uid="{00000000-0005-0000-0000-0000C88F0000}"/>
    <cellStyle name="Total 6 9 2 9 2" xfId="36315" xr:uid="{00000000-0005-0000-0000-0000C98F0000}"/>
    <cellStyle name="Total 6 9 2 9 3" xfId="17407" xr:uid="{00000000-0005-0000-0000-0000CA8F0000}"/>
    <cellStyle name="Total 6 9 3" xfId="5433" xr:uid="{00000000-0005-0000-0000-0000CB8F0000}"/>
    <cellStyle name="Total 6 9 3 2" xfId="11391" xr:uid="{00000000-0005-0000-0000-0000CC8F0000}"/>
    <cellStyle name="Total 6 9 3 2 2" xfId="34208" xr:uid="{00000000-0005-0000-0000-0000CD8F0000}"/>
    <cellStyle name="Total 6 9 3 2 3" xfId="28681" xr:uid="{00000000-0005-0000-0000-0000CE8F0000}"/>
    <cellStyle name="Total 6 9 3 2 4" xfId="23887" xr:uid="{00000000-0005-0000-0000-0000CF8F0000}"/>
    <cellStyle name="Total 6 9 3 3" xfId="32165" xr:uid="{00000000-0005-0000-0000-0000D08F0000}"/>
    <cellStyle name="Total 6 9 3 4" xfId="27852" xr:uid="{00000000-0005-0000-0000-0000D18F0000}"/>
    <cellStyle name="Total 6 9 3 5" xfId="19030" xr:uid="{00000000-0005-0000-0000-0000D28F0000}"/>
    <cellStyle name="Total 6 9 4" xfId="4993" xr:uid="{00000000-0005-0000-0000-0000D38F0000}"/>
    <cellStyle name="Total 6 9 4 2" xfId="10829" xr:uid="{00000000-0005-0000-0000-0000D48F0000}"/>
    <cellStyle name="Total 6 9 4 2 2" xfId="33839" xr:uid="{00000000-0005-0000-0000-0000D58F0000}"/>
    <cellStyle name="Total 6 9 4 2 3" xfId="23453" xr:uid="{00000000-0005-0000-0000-0000D68F0000}"/>
    <cellStyle name="Total 6 9 4 3" xfId="31944" xr:uid="{00000000-0005-0000-0000-0000D78F0000}"/>
    <cellStyle name="Total 6 9 4 4" xfId="29499" xr:uid="{00000000-0005-0000-0000-0000D88F0000}"/>
    <cellStyle name="Total 6 9 4 5" xfId="18607" xr:uid="{00000000-0005-0000-0000-0000D98F0000}"/>
    <cellStyle name="Total 6 9 5" xfId="6180" xr:uid="{00000000-0005-0000-0000-0000DA8F0000}"/>
    <cellStyle name="Total 6 9 5 2" xfId="10248" xr:uid="{00000000-0005-0000-0000-0000DB8F0000}"/>
    <cellStyle name="Total 6 9 5 2 2" xfId="33547" xr:uid="{00000000-0005-0000-0000-0000DC8F0000}"/>
    <cellStyle name="Total 6 9 5 2 3" xfId="24620" xr:uid="{00000000-0005-0000-0000-0000DD8F0000}"/>
    <cellStyle name="Total 6 9 5 3" xfId="32520" xr:uid="{00000000-0005-0000-0000-0000DE8F0000}"/>
    <cellStyle name="Total 6 9 5 4" xfId="19729" xr:uid="{00000000-0005-0000-0000-0000DF8F0000}"/>
    <cellStyle name="Total 6 9 6" xfId="7483" xr:uid="{00000000-0005-0000-0000-0000E08F0000}"/>
    <cellStyle name="Total 6 9 6 2" xfId="25914" xr:uid="{00000000-0005-0000-0000-0000E18F0000}"/>
    <cellStyle name="Total 6 9 6 3" xfId="20838" xr:uid="{00000000-0005-0000-0000-0000E28F0000}"/>
    <cellStyle name="Total 6 9 7" xfId="7862" xr:uid="{00000000-0005-0000-0000-0000E38F0000}"/>
    <cellStyle name="Total 6 9 7 2" xfId="26292" xr:uid="{00000000-0005-0000-0000-0000E48F0000}"/>
    <cellStyle name="Total 6 9 7 3" xfId="21216" xr:uid="{00000000-0005-0000-0000-0000E58F0000}"/>
    <cellStyle name="Total 6 9 8" xfId="8583" xr:uid="{00000000-0005-0000-0000-0000E68F0000}"/>
    <cellStyle name="Total 6 9 8 2" xfId="27006" xr:uid="{00000000-0005-0000-0000-0000E78F0000}"/>
    <cellStyle name="Total 6 9 8 3" xfId="21874" xr:uid="{00000000-0005-0000-0000-0000E88F0000}"/>
    <cellStyle name="Total 6 9 9" xfId="4075" xr:uid="{00000000-0005-0000-0000-0000E98F0000}"/>
    <cellStyle name="Total 6 9 9 2" xfId="22542" xr:uid="{00000000-0005-0000-0000-0000EA8F0000}"/>
    <cellStyle name="Total 6 9 9 3" xfId="17757" xr:uid="{00000000-0005-0000-0000-0000EB8F0000}"/>
    <cellStyle name="Total 7" xfId="3230" xr:uid="{00000000-0005-0000-0000-0000EC8F0000}"/>
    <cellStyle name="Total 7 10" xfId="15258" xr:uid="{00000000-0005-0000-0000-0000ED8F0000}"/>
    <cellStyle name="Total 7 10 2" xfId="36663" xr:uid="{00000000-0005-0000-0000-0000EE8F0000}"/>
    <cellStyle name="Total 7 10 3" xfId="17073" xr:uid="{00000000-0005-0000-0000-0000EF8F0000}"/>
    <cellStyle name="Total 7 11" xfId="14659" xr:uid="{00000000-0005-0000-0000-0000F08F0000}"/>
    <cellStyle name="Total 7 11 2" xfId="36143" xr:uid="{00000000-0005-0000-0000-0000F18F0000}"/>
    <cellStyle name="Total 7 12" xfId="27660" xr:uid="{00000000-0005-0000-0000-0000F28F0000}"/>
    <cellStyle name="Total 7 2" xfId="3669" xr:uid="{00000000-0005-0000-0000-0000F38F0000}"/>
    <cellStyle name="Total 7 2 10" xfId="14852" xr:uid="{00000000-0005-0000-0000-0000F48F0000}"/>
    <cellStyle name="Total 7 2 10 2" xfId="36300" xr:uid="{00000000-0005-0000-0000-0000F58F0000}"/>
    <cellStyle name="Total 7 2 11" xfId="27661" xr:uid="{00000000-0005-0000-0000-0000F68F0000}"/>
    <cellStyle name="Total 7 2 2" xfId="5796" xr:uid="{00000000-0005-0000-0000-0000F78F0000}"/>
    <cellStyle name="Total 7 2 2 2" xfId="10831" xr:uid="{00000000-0005-0000-0000-0000F88F0000}"/>
    <cellStyle name="Total 7 2 2 2 2" xfId="33841" xr:uid="{00000000-0005-0000-0000-0000F98F0000}"/>
    <cellStyle name="Total 7 2 2 2 3" xfId="24243" xr:uid="{00000000-0005-0000-0000-0000FA8F0000}"/>
    <cellStyle name="Total 7 2 2 3" xfId="32384" xr:uid="{00000000-0005-0000-0000-0000FB8F0000}"/>
    <cellStyle name="Total 7 2 2 4" xfId="29502" xr:uid="{00000000-0005-0000-0000-0000FC8F0000}"/>
    <cellStyle name="Total 7 2 2 5" xfId="19354" xr:uid="{00000000-0005-0000-0000-0000FD8F0000}"/>
    <cellStyle name="Total 7 2 3" xfId="5376" xr:uid="{00000000-0005-0000-0000-0000FE8F0000}"/>
    <cellStyle name="Total 7 2 3 2" xfId="23830" xr:uid="{00000000-0005-0000-0000-0000FF8F0000}"/>
    <cellStyle name="Total 7 2 3 3" xfId="18973" xr:uid="{00000000-0005-0000-0000-000000900000}"/>
    <cellStyle name="Total 7 2 4" xfId="7271" xr:uid="{00000000-0005-0000-0000-000001900000}"/>
    <cellStyle name="Total 7 2 4 2" xfId="25702" xr:uid="{00000000-0005-0000-0000-000002900000}"/>
    <cellStyle name="Total 7 2 4 3" xfId="20628" xr:uid="{00000000-0005-0000-0000-000003900000}"/>
    <cellStyle name="Total 7 2 5" xfId="7801" xr:uid="{00000000-0005-0000-0000-000004900000}"/>
    <cellStyle name="Total 7 2 5 2" xfId="26231" xr:uid="{00000000-0005-0000-0000-000005900000}"/>
    <cellStyle name="Total 7 2 5 3" xfId="21156" xr:uid="{00000000-0005-0000-0000-000006900000}"/>
    <cellStyle name="Total 7 2 6" xfId="8181" xr:uid="{00000000-0005-0000-0000-000007900000}"/>
    <cellStyle name="Total 7 2 6 2" xfId="26611" xr:uid="{00000000-0005-0000-0000-000008900000}"/>
    <cellStyle name="Total 7 2 6 3" xfId="21535" xr:uid="{00000000-0005-0000-0000-000009900000}"/>
    <cellStyle name="Total 7 2 7" xfId="8905" xr:uid="{00000000-0005-0000-0000-00000A900000}"/>
    <cellStyle name="Total 7 2 7 2" xfId="27325" xr:uid="{00000000-0005-0000-0000-00000B900000}"/>
    <cellStyle name="Total 7 2 7 3" xfId="22196" xr:uid="{00000000-0005-0000-0000-00000C900000}"/>
    <cellStyle name="Total 7 2 8" xfId="4397" xr:uid="{00000000-0005-0000-0000-00000D900000}"/>
    <cellStyle name="Total 7 2 8 2" xfId="22861" xr:uid="{00000000-0005-0000-0000-00000E900000}"/>
    <cellStyle name="Total 7 2 8 3" xfId="18079" xr:uid="{00000000-0005-0000-0000-00000F900000}"/>
    <cellStyle name="Total 7 2 9" xfId="15257" xr:uid="{00000000-0005-0000-0000-000010900000}"/>
    <cellStyle name="Total 7 2 9 2" xfId="36662" xr:uid="{00000000-0005-0000-0000-000011900000}"/>
    <cellStyle name="Total 7 2 9 3" xfId="17408" xr:uid="{00000000-0005-0000-0000-000012900000}"/>
    <cellStyle name="Total 7 3" xfId="5434" xr:uid="{00000000-0005-0000-0000-000013900000}"/>
    <cellStyle name="Total 7 3 2" xfId="11392" xr:uid="{00000000-0005-0000-0000-000014900000}"/>
    <cellStyle name="Total 7 3 2 2" xfId="34209" xr:uid="{00000000-0005-0000-0000-000015900000}"/>
    <cellStyle name="Total 7 3 2 3" xfId="28682" xr:uid="{00000000-0005-0000-0000-000016900000}"/>
    <cellStyle name="Total 7 3 2 4" xfId="23888" xr:uid="{00000000-0005-0000-0000-000017900000}"/>
    <cellStyle name="Total 7 3 3" xfId="32166" xr:uid="{00000000-0005-0000-0000-000018900000}"/>
    <cellStyle name="Total 7 3 4" xfId="27853" xr:uid="{00000000-0005-0000-0000-000019900000}"/>
    <cellStyle name="Total 7 3 5" xfId="19031" xr:uid="{00000000-0005-0000-0000-00001A900000}"/>
    <cellStyle name="Total 7 4" xfId="4994" xr:uid="{00000000-0005-0000-0000-00001B900000}"/>
    <cellStyle name="Total 7 4 2" xfId="11041" xr:uid="{00000000-0005-0000-0000-00001C900000}"/>
    <cellStyle name="Total 7 4 2 2" xfId="33917" xr:uid="{00000000-0005-0000-0000-00001D900000}"/>
    <cellStyle name="Total 7 4 2 3" xfId="23454" xr:uid="{00000000-0005-0000-0000-00001E900000}"/>
    <cellStyle name="Total 7 4 3" xfId="31945" xr:uid="{00000000-0005-0000-0000-00001F900000}"/>
    <cellStyle name="Total 7 4 4" xfId="29501" xr:uid="{00000000-0005-0000-0000-000020900000}"/>
    <cellStyle name="Total 7 4 5" xfId="18608" xr:uid="{00000000-0005-0000-0000-000021900000}"/>
    <cellStyle name="Total 7 5" xfId="6179" xr:uid="{00000000-0005-0000-0000-000022900000}"/>
    <cellStyle name="Total 7 5 2" xfId="10249" xr:uid="{00000000-0005-0000-0000-000023900000}"/>
    <cellStyle name="Total 7 5 2 2" xfId="33548" xr:uid="{00000000-0005-0000-0000-000024900000}"/>
    <cellStyle name="Total 7 5 2 3" xfId="24619" xr:uid="{00000000-0005-0000-0000-000025900000}"/>
    <cellStyle name="Total 7 5 3" xfId="32519" xr:uid="{00000000-0005-0000-0000-000026900000}"/>
    <cellStyle name="Total 7 5 4" xfId="19728" xr:uid="{00000000-0005-0000-0000-000027900000}"/>
    <cellStyle name="Total 7 6" xfId="7484" xr:uid="{00000000-0005-0000-0000-000028900000}"/>
    <cellStyle name="Total 7 6 2" xfId="25915" xr:uid="{00000000-0005-0000-0000-000029900000}"/>
    <cellStyle name="Total 7 6 3" xfId="20839" xr:uid="{00000000-0005-0000-0000-00002A900000}"/>
    <cellStyle name="Total 7 7" xfId="7863" xr:uid="{00000000-0005-0000-0000-00002B900000}"/>
    <cellStyle name="Total 7 7 2" xfId="26293" xr:uid="{00000000-0005-0000-0000-00002C900000}"/>
    <cellStyle name="Total 7 7 3" xfId="21217" xr:uid="{00000000-0005-0000-0000-00002D900000}"/>
    <cellStyle name="Total 7 8" xfId="8584" xr:uid="{00000000-0005-0000-0000-00002E900000}"/>
    <cellStyle name="Total 7 8 2" xfId="27007" xr:uid="{00000000-0005-0000-0000-00002F900000}"/>
    <cellStyle name="Total 7 8 3" xfId="21875" xr:uid="{00000000-0005-0000-0000-000030900000}"/>
    <cellStyle name="Total 7 9" xfId="4076" xr:uid="{00000000-0005-0000-0000-000031900000}"/>
    <cellStyle name="Total 7 9 2" xfId="22543" xr:uid="{00000000-0005-0000-0000-000032900000}"/>
    <cellStyle name="Total 7 9 3" xfId="17758" xr:uid="{00000000-0005-0000-0000-000033900000}"/>
    <cellStyle name="Total 8" xfId="3231" xr:uid="{00000000-0005-0000-0000-000034900000}"/>
    <cellStyle name="Total 8 10" xfId="14866" xr:uid="{00000000-0005-0000-0000-000035900000}"/>
    <cellStyle name="Total 8 10 2" xfId="36314" xr:uid="{00000000-0005-0000-0000-000036900000}"/>
    <cellStyle name="Total 8 10 3" xfId="17074" xr:uid="{00000000-0005-0000-0000-000037900000}"/>
    <cellStyle name="Total 8 11" xfId="14565" xr:uid="{00000000-0005-0000-0000-000038900000}"/>
    <cellStyle name="Total 8 11 2" xfId="36085" xr:uid="{00000000-0005-0000-0000-000039900000}"/>
    <cellStyle name="Total 8 12" xfId="27662" xr:uid="{00000000-0005-0000-0000-00003A900000}"/>
    <cellStyle name="Total 8 2" xfId="3670" xr:uid="{00000000-0005-0000-0000-00003B900000}"/>
    <cellStyle name="Total 8 2 10" xfId="14567" xr:uid="{00000000-0005-0000-0000-00003C900000}"/>
    <cellStyle name="Total 8 2 10 2" xfId="36087" xr:uid="{00000000-0005-0000-0000-00003D900000}"/>
    <cellStyle name="Total 8 2 11" xfId="27663" xr:uid="{00000000-0005-0000-0000-00003E900000}"/>
    <cellStyle name="Total 8 2 2" xfId="5797" xr:uid="{00000000-0005-0000-0000-00003F900000}"/>
    <cellStyle name="Total 8 2 2 2" xfId="11040" xr:uid="{00000000-0005-0000-0000-000040900000}"/>
    <cellStyle name="Total 8 2 2 2 2" xfId="33916" xr:uid="{00000000-0005-0000-0000-000041900000}"/>
    <cellStyle name="Total 8 2 2 2 3" xfId="24244" xr:uid="{00000000-0005-0000-0000-000042900000}"/>
    <cellStyle name="Total 8 2 2 3" xfId="32385" xr:uid="{00000000-0005-0000-0000-000043900000}"/>
    <cellStyle name="Total 8 2 2 4" xfId="29504" xr:uid="{00000000-0005-0000-0000-000044900000}"/>
    <cellStyle name="Total 8 2 2 5" xfId="19355" xr:uid="{00000000-0005-0000-0000-000045900000}"/>
    <cellStyle name="Total 8 2 3" xfId="5808" xr:uid="{00000000-0005-0000-0000-000046900000}"/>
    <cellStyle name="Total 8 2 3 2" xfId="24255" xr:uid="{00000000-0005-0000-0000-000047900000}"/>
    <cellStyle name="Total 8 2 3 3" xfId="19366" xr:uid="{00000000-0005-0000-0000-000048900000}"/>
    <cellStyle name="Total 8 2 4" xfId="7272" xr:uid="{00000000-0005-0000-0000-000049900000}"/>
    <cellStyle name="Total 8 2 4 2" xfId="25703" xr:uid="{00000000-0005-0000-0000-00004A900000}"/>
    <cellStyle name="Total 8 2 4 3" xfId="20629" xr:uid="{00000000-0005-0000-0000-00004B900000}"/>
    <cellStyle name="Total 8 2 5" xfId="7802" xr:uid="{00000000-0005-0000-0000-00004C900000}"/>
    <cellStyle name="Total 8 2 5 2" xfId="26232" xr:uid="{00000000-0005-0000-0000-00004D900000}"/>
    <cellStyle name="Total 8 2 5 3" xfId="21157" xr:uid="{00000000-0005-0000-0000-00004E900000}"/>
    <cellStyle name="Total 8 2 6" xfId="8182" xr:uid="{00000000-0005-0000-0000-00004F900000}"/>
    <cellStyle name="Total 8 2 6 2" xfId="26612" xr:uid="{00000000-0005-0000-0000-000050900000}"/>
    <cellStyle name="Total 8 2 6 3" xfId="21536" xr:uid="{00000000-0005-0000-0000-000051900000}"/>
    <cellStyle name="Total 8 2 7" xfId="8906" xr:uid="{00000000-0005-0000-0000-000052900000}"/>
    <cellStyle name="Total 8 2 7 2" xfId="27326" xr:uid="{00000000-0005-0000-0000-000053900000}"/>
    <cellStyle name="Total 8 2 7 3" xfId="22197" xr:uid="{00000000-0005-0000-0000-000054900000}"/>
    <cellStyle name="Total 8 2 8" xfId="4398" xr:uid="{00000000-0005-0000-0000-000055900000}"/>
    <cellStyle name="Total 8 2 8 2" xfId="22862" xr:uid="{00000000-0005-0000-0000-000056900000}"/>
    <cellStyle name="Total 8 2 8 3" xfId="18080" xr:uid="{00000000-0005-0000-0000-000057900000}"/>
    <cellStyle name="Total 8 2 9" xfId="14865" xr:uid="{00000000-0005-0000-0000-000058900000}"/>
    <cellStyle name="Total 8 2 9 2" xfId="36313" xr:uid="{00000000-0005-0000-0000-000059900000}"/>
    <cellStyle name="Total 8 2 9 3" xfId="17409" xr:uid="{00000000-0005-0000-0000-00005A900000}"/>
    <cellStyle name="Total 8 3" xfId="5435" xr:uid="{00000000-0005-0000-0000-00005B900000}"/>
    <cellStyle name="Total 8 3 2" xfId="11393" xr:uid="{00000000-0005-0000-0000-00005C900000}"/>
    <cellStyle name="Total 8 3 2 2" xfId="34210" xr:uid="{00000000-0005-0000-0000-00005D900000}"/>
    <cellStyle name="Total 8 3 2 3" xfId="28683" xr:uid="{00000000-0005-0000-0000-00005E900000}"/>
    <cellStyle name="Total 8 3 2 4" xfId="23889" xr:uid="{00000000-0005-0000-0000-00005F900000}"/>
    <cellStyle name="Total 8 3 3" xfId="32167" xr:uid="{00000000-0005-0000-0000-000060900000}"/>
    <cellStyle name="Total 8 3 4" xfId="27854" xr:uid="{00000000-0005-0000-0000-000061900000}"/>
    <cellStyle name="Total 8 3 5" xfId="19032" xr:uid="{00000000-0005-0000-0000-000062900000}"/>
    <cellStyle name="Total 8 4" xfId="4995" xr:uid="{00000000-0005-0000-0000-000063900000}"/>
    <cellStyle name="Total 8 4 2" xfId="11042" xr:uid="{00000000-0005-0000-0000-000064900000}"/>
    <cellStyle name="Total 8 4 2 2" xfId="33918" xr:uid="{00000000-0005-0000-0000-000065900000}"/>
    <cellStyle name="Total 8 4 2 3" xfId="23455" xr:uid="{00000000-0005-0000-0000-000066900000}"/>
    <cellStyle name="Total 8 4 3" xfId="31946" xr:uid="{00000000-0005-0000-0000-000067900000}"/>
    <cellStyle name="Total 8 4 4" xfId="29503" xr:uid="{00000000-0005-0000-0000-000068900000}"/>
    <cellStyle name="Total 8 4 5" xfId="18609" xr:uid="{00000000-0005-0000-0000-000069900000}"/>
    <cellStyle name="Total 8 5" xfId="6178" xr:uid="{00000000-0005-0000-0000-00006A900000}"/>
    <cellStyle name="Total 8 5 2" xfId="10250" xr:uid="{00000000-0005-0000-0000-00006B900000}"/>
    <cellStyle name="Total 8 5 2 2" xfId="33549" xr:uid="{00000000-0005-0000-0000-00006C900000}"/>
    <cellStyle name="Total 8 5 2 3" xfId="24618" xr:uid="{00000000-0005-0000-0000-00006D900000}"/>
    <cellStyle name="Total 8 5 3" xfId="32518" xr:uid="{00000000-0005-0000-0000-00006E900000}"/>
    <cellStyle name="Total 8 5 4" xfId="19727" xr:uid="{00000000-0005-0000-0000-00006F900000}"/>
    <cellStyle name="Total 8 6" xfId="7485" xr:uid="{00000000-0005-0000-0000-000070900000}"/>
    <cellStyle name="Total 8 6 2" xfId="25916" xr:uid="{00000000-0005-0000-0000-000071900000}"/>
    <cellStyle name="Total 8 6 3" xfId="20840" xr:uid="{00000000-0005-0000-0000-000072900000}"/>
    <cellStyle name="Total 8 7" xfId="7864" xr:uid="{00000000-0005-0000-0000-000073900000}"/>
    <cellStyle name="Total 8 7 2" xfId="26294" xr:uid="{00000000-0005-0000-0000-000074900000}"/>
    <cellStyle name="Total 8 7 3" xfId="21218" xr:uid="{00000000-0005-0000-0000-000075900000}"/>
    <cellStyle name="Total 8 8" xfId="8585" xr:uid="{00000000-0005-0000-0000-000076900000}"/>
    <cellStyle name="Total 8 8 2" xfId="27008" xr:uid="{00000000-0005-0000-0000-000077900000}"/>
    <cellStyle name="Total 8 8 3" xfId="21876" xr:uid="{00000000-0005-0000-0000-000078900000}"/>
    <cellStyle name="Total 8 9" xfId="4077" xr:uid="{00000000-0005-0000-0000-000079900000}"/>
    <cellStyle name="Total 8 9 2" xfId="22544" xr:uid="{00000000-0005-0000-0000-00007A900000}"/>
    <cellStyle name="Total 8 9 3" xfId="17759" xr:uid="{00000000-0005-0000-0000-00007B900000}"/>
    <cellStyle name="Total 9" xfId="3232" xr:uid="{00000000-0005-0000-0000-00007C900000}"/>
    <cellStyle name="Total 9 10" xfId="14864" xr:uid="{00000000-0005-0000-0000-00007D900000}"/>
    <cellStyle name="Total 9 10 2" xfId="36312" xr:uid="{00000000-0005-0000-0000-00007E900000}"/>
    <cellStyle name="Total 9 10 3" xfId="17075" xr:uid="{00000000-0005-0000-0000-00007F900000}"/>
    <cellStyle name="Total 9 11" xfId="14660" xr:uid="{00000000-0005-0000-0000-000080900000}"/>
    <cellStyle name="Total 9 11 2" xfId="36144" xr:uid="{00000000-0005-0000-0000-000081900000}"/>
    <cellStyle name="Total 9 12" xfId="27664" xr:uid="{00000000-0005-0000-0000-000082900000}"/>
    <cellStyle name="Total 9 2" xfId="3671" xr:uid="{00000000-0005-0000-0000-000083900000}"/>
    <cellStyle name="Total 9 2 10" xfId="14858" xr:uid="{00000000-0005-0000-0000-000084900000}"/>
    <cellStyle name="Total 9 2 10 2" xfId="36306" xr:uid="{00000000-0005-0000-0000-000085900000}"/>
    <cellStyle name="Total 9 2 11" xfId="27665" xr:uid="{00000000-0005-0000-0000-000086900000}"/>
    <cellStyle name="Total 9 2 2" xfId="5798" xr:uid="{00000000-0005-0000-0000-000087900000}"/>
    <cellStyle name="Total 9 2 2 2" xfId="11043" xr:uid="{00000000-0005-0000-0000-000088900000}"/>
    <cellStyle name="Total 9 2 2 2 2" xfId="33919" xr:uid="{00000000-0005-0000-0000-000089900000}"/>
    <cellStyle name="Total 9 2 2 2 3" xfId="24245" xr:uid="{00000000-0005-0000-0000-00008A900000}"/>
    <cellStyle name="Total 9 2 2 3" xfId="32386" xr:uid="{00000000-0005-0000-0000-00008B900000}"/>
    <cellStyle name="Total 9 2 2 4" xfId="29506" xr:uid="{00000000-0005-0000-0000-00008C900000}"/>
    <cellStyle name="Total 9 2 2 5" xfId="19356" xr:uid="{00000000-0005-0000-0000-00008D900000}"/>
    <cellStyle name="Total 9 2 3" xfId="4446" xr:uid="{00000000-0005-0000-0000-00008E900000}"/>
    <cellStyle name="Total 9 2 3 2" xfId="22906" xr:uid="{00000000-0005-0000-0000-00008F900000}"/>
    <cellStyle name="Total 9 2 3 3" xfId="18125" xr:uid="{00000000-0005-0000-0000-000090900000}"/>
    <cellStyle name="Total 9 2 4" xfId="7273" xr:uid="{00000000-0005-0000-0000-000091900000}"/>
    <cellStyle name="Total 9 2 4 2" xfId="25704" xr:uid="{00000000-0005-0000-0000-000092900000}"/>
    <cellStyle name="Total 9 2 4 3" xfId="20630" xr:uid="{00000000-0005-0000-0000-000093900000}"/>
    <cellStyle name="Total 9 2 5" xfId="7803" xr:uid="{00000000-0005-0000-0000-000094900000}"/>
    <cellStyle name="Total 9 2 5 2" xfId="26233" xr:uid="{00000000-0005-0000-0000-000095900000}"/>
    <cellStyle name="Total 9 2 5 3" xfId="21158" xr:uid="{00000000-0005-0000-0000-000096900000}"/>
    <cellStyle name="Total 9 2 6" xfId="8183" xr:uid="{00000000-0005-0000-0000-000097900000}"/>
    <cellStyle name="Total 9 2 6 2" xfId="26613" xr:uid="{00000000-0005-0000-0000-000098900000}"/>
    <cellStyle name="Total 9 2 6 3" xfId="21537" xr:uid="{00000000-0005-0000-0000-000099900000}"/>
    <cellStyle name="Total 9 2 7" xfId="8907" xr:uid="{00000000-0005-0000-0000-00009A900000}"/>
    <cellStyle name="Total 9 2 7 2" xfId="27327" xr:uid="{00000000-0005-0000-0000-00009B900000}"/>
    <cellStyle name="Total 9 2 7 3" xfId="22198" xr:uid="{00000000-0005-0000-0000-00009C900000}"/>
    <cellStyle name="Total 9 2 8" xfId="4399" xr:uid="{00000000-0005-0000-0000-00009D900000}"/>
    <cellStyle name="Total 9 2 8 2" xfId="22863" xr:uid="{00000000-0005-0000-0000-00009E900000}"/>
    <cellStyle name="Total 9 2 8 3" xfId="18081" xr:uid="{00000000-0005-0000-0000-00009F900000}"/>
    <cellStyle name="Total 9 2 9" xfId="14863" xr:uid="{00000000-0005-0000-0000-0000A0900000}"/>
    <cellStyle name="Total 9 2 9 2" xfId="36311" xr:uid="{00000000-0005-0000-0000-0000A1900000}"/>
    <cellStyle name="Total 9 2 9 3" xfId="17410" xr:uid="{00000000-0005-0000-0000-0000A2900000}"/>
    <cellStyle name="Total 9 3" xfId="5436" xr:uid="{00000000-0005-0000-0000-0000A3900000}"/>
    <cellStyle name="Total 9 3 2" xfId="11394" xr:uid="{00000000-0005-0000-0000-0000A4900000}"/>
    <cellStyle name="Total 9 3 2 2" xfId="34211" xr:uid="{00000000-0005-0000-0000-0000A5900000}"/>
    <cellStyle name="Total 9 3 2 3" xfId="28684" xr:uid="{00000000-0005-0000-0000-0000A6900000}"/>
    <cellStyle name="Total 9 3 2 4" xfId="23890" xr:uid="{00000000-0005-0000-0000-0000A7900000}"/>
    <cellStyle name="Total 9 3 3" xfId="32168" xr:uid="{00000000-0005-0000-0000-0000A8900000}"/>
    <cellStyle name="Total 9 3 4" xfId="27855" xr:uid="{00000000-0005-0000-0000-0000A9900000}"/>
    <cellStyle name="Total 9 3 5" xfId="19033" xr:uid="{00000000-0005-0000-0000-0000AA900000}"/>
    <cellStyle name="Total 9 4" xfId="4996" xr:uid="{00000000-0005-0000-0000-0000AB900000}"/>
    <cellStyle name="Total 9 4 2" xfId="10832" xr:uid="{00000000-0005-0000-0000-0000AC900000}"/>
    <cellStyle name="Total 9 4 2 2" xfId="33842" xr:uid="{00000000-0005-0000-0000-0000AD900000}"/>
    <cellStyle name="Total 9 4 2 3" xfId="23456" xr:uid="{00000000-0005-0000-0000-0000AE900000}"/>
    <cellStyle name="Total 9 4 3" xfId="31947" xr:uid="{00000000-0005-0000-0000-0000AF900000}"/>
    <cellStyle name="Total 9 4 4" xfId="29505" xr:uid="{00000000-0005-0000-0000-0000B0900000}"/>
    <cellStyle name="Total 9 4 5" xfId="18610" xr:uid="{00000000-0005-0000-0000-0000B1900000}"/>
    <cellStyle name="Total 9 5" xfId="6177" xr:uid="{00000000-0005-0000-0000-0000B2900000}"/>
    <cellStyle name="Total 9 5 2" xfId="10251" xr:uid="{00000000-0005-0000-0000-0000B3900000}"/>
    <cellStyle name="Total 9 5 2 2" xfId="33550" xr:uid="{00000000-0005-0000-0000-0000B4900000}"/>
    <cellStyle name="Total 9 5 2 3" xfId="24617" xr:uid="{00000000-0005-0000-0000-0000B5900000}"/>
    <cellStyle name="Total 9 5 3" xfId="32517" xr:uid="{00000000-0005-0000-0000-0000B6900000}"/>
    <cellStyle name="Total 9 5 4" xfId="19726" xr:uid="{00000000-0005-0000-0000-0000B7900000}"/>
    <cellStyle name="Total 9 6" xfId="7486" xr:uid="{00000000-0005-0000-0000-0000B8900000}"/>
    <cellStyle name="Total 9 6 2" xfId="25917" xr:uid="{00000000-0005-0000-0000-0000B9900000}"/>
    <cellStyle name="Total 9 6 3" xfId="20841" xr:uid="{00000000-0005-0000-0000-0000BA900000}"/>
    <cellStyle name="Total 9 7" xfId="7865" xr:uid="{00000000-0005-0000-0000-0000BB900000}"/>
    <cellStyle name="Total 9 7 2" xfId="26295" xr:uid="{00000000-0005-0000-0000-0000BC900000}"/>
    <cellStyle name="Total 9 7 3" xfId="21219" xr:uid="{00000000-0005-0000-0000-0000BD900000}"/>
    <cellStyle name="Total 9 8" xfId="8586" xr:uid="{00000000-0005-0000-0000-0000BE900000}"/>
    <cellStyle name="Total 9 8 2" xfId="27009" xr:uid="{00000000-0005-0000-0000-0000BF900000}"/>
    <cellStyle name="Total 9 8 3" xfId="21877" xr:uid="{00000000-0005-0000-0000-0000C0900000}"/>
    <cellStyle name="Total 9 9" xfId="4078" xr:uid="{00000000-0005-0000-0000-0000C1900000}"/>
    <cellStyle name="Total 9 9 2" xfId="22545" xr:uid="{00000000-0005-0000-0000-0000C2900000}"/>
    <cellStyle name="Total 9 9 3" xfId="17760" xr:uid="{00000000-0005-0000-0000-0000C3900000}"/>
    <cellStyle name="Totale" xfId="3738" xr:uid="{00000000-0005-0000-0000-0000C4900000}"/>
    <cellStyle name="Totale 10" xfId="22220" xr:uid="{00000000-0005-0000-0000-0000C5900000}"/>
    <cellStyle name="Totale 11" xfId="16620" xr:uid="{00000000-0005-0000-0000-0000C6900000}"/>
    <cellStyle name="Totale 2" xfId="5820" xr:uid="{00000000-0005-0000-0000-0000C7900000}"/>
    <cellStyle name="Totale 2 2" xfId="24267" xr:uid="{00000000-0005-0000-0000-0000C8900000}"/>
    <cellStyle name="Totale 2 3" xfId="19376" xr:uid="{00000000-0005-0000-0000-0000C9900000}"/>
    <cellStyle name="Totale 3" xfId="5908" xr:uid="{00000000-0005-0000-0000-0000CA900000}"/>
    <cellStyle name="Totale 3 2" xfId="24354" xr:uid="{00000000-0005-0000-0000-0000CB900000}"/>
    <cellStyle name="Totale 3 3" xfId="19461" xr:uid="{00000000-0005-0000-0000-0000CC900000}"/>
    <cellStyle name="Totale 4" xfId="7296" xr:uid="{00000000-0005-0000-0000-0000CD900000}"/>
    <cellStyle name="Totale 4 2" xfId="25727" xr:uid="{00000000-0005-0000-0000-0000CE900000}"/>
    <cellStyle name="Totale 4 3" xfId="20652" xr:uid="{00000000-0005-0000-0000-0000CF900000}"/>
    <cellStyle name="Totale 5" xfId="7806" xr:uid="{00000000-0005-0000-0000-0000D0900000}"/>
    <cellStyle name="Totale 5 2" xfId="26236" xr:uid="{00000000-0005-0000-0000-0000D1900000}"/>
    <cellStyle name="Totale 5 3" xfId="21161" xr:uid="{00000000-0005-0000-0000-0000D2900000}"/>
    <cellStyle name="Totale 6" xfId="8195" xr:uid="{00000000-0005-0000-0000-0000D3900000}"/>
    <cellStyle name="Totale 6 2" xfId="26625" xr:uid="{00000000-0005-0000-0000-0000D4900000}"/>
    <cellStyle name="Totale 6 3" xfId="21548" xr:uid="{00000000-0005-0000-0000-0000D5900000}"/>
    <cellStyle name="Totale 7" xfId="8921" xr:uid="{00000000-0005-0000-0000-0000D6900000}"/>
    <cellStyle name="Totale 7 2" xfId="27339" xr:uid="{00000000-0005-0000-0000-0000D7900000}"/>
    <cellStyle name="Totale 7 3" xfId="22211" xr:uid="{00000000-0005-0000-0000-0000D8900000}"/>
    <cellStyle name="Totale 8" xfId="4412" xr:uid="{00000000-0005-0000-0000-0000D9900000}"/>
    <cellStyle name="Totale 8 2" xfId="22874" xr:uid="{00000000-0005-0000-0000-0000DA900000}"/>
    <cellStyle name="Totale 8 3" xfId="18094" xr:uid="{00000000-0005-0000-0000-0000DB900000}"/>
    <cellStyle name="Totale 9" xfId="17426" xr:uid="{00000000-0005-0000-0000-0000DC900000}"/>
    <cellStyle name="Überschrift" xfId="14106" xr:uid="{00000000-0005-0000-0000-0000DD900000}"/>
    <cellStyle name="Überschrift 1" xfId="14107" xr:uid="{00000000-0005-0000-0000-0000DE900000}"/>
    <cellStyle name="Überschrift 1 2" xfId="40717" xr:uid="{00000000-0005-0000-0000-000008130000}"/>
    <cellStyle name="Überschrift 2" xfId="14108" xr:uid="{00000000-0005-0000-0000-0000DF900000}"/>
    <cellStyle name="Überschrift 2 2" xfId="40718" xr:uid="{00000000-0005-0000-0000-000009130000}"/>
    <cellStyle name="Überschrift 3" xfId="14109" xr:uid="{00000000-0005-0000-0000-0000E0900000}"/>
    <cellStyle name="Überschrift 3 2" xfId="40719" xr:uid="{00000000-0005-0000-0000-00000A130000}"/>
    <cellStyle name="Überschrift 4" xfId="14110" xr:uid="{00000000-0005-0000-0000-0000E1900000}"/>
    <cellStyle name="Überschrift 4 2" xfId="40720" xr:uid="{00000000-0005-0000-0000-00000B130000}"/>
    <cellStyle name="Überschrift 5" xfId="40716" xr:uid="{00000000-0005-0000-0000-000007130000}"/>
    <cellStyle name="Unit" xfId="14369" xr:uid="{00000000-0005-0000-0000-0000E2900000}"/>
    <cellStyle name="Unit 2" xfId="14370" xr:uid="{00000000-0005-0000-0000-0000E3900000}"/>
    <cellStyle name="Unit 2 2" xfId="14371" xr:uid="{00000000-0005-0000-0000-0000E4900000}"/>
    <cellStyle name="Valore non valido" xfId="3739" xr:uid="{00000000-0005-0000-0000-0000E5900000}"/>
    <cellStyle name="Valore valido" xfId="3740" xr:uid="{00000000-0005-0000-0000-0000E6900000}"/>
    <cellStyle name="Valuutta_Layo9704" xfId="3233" xr:uid="{00000000-0005-0000-0000-0000E7900000}"/>
    <cellStyle name="Vérification" xfId="45" xr:uid="{00000000-0005-0000-0000-0000E8900000}"/>
    <cellStyle name="Vérification 2" xfId="4424" xr:uid="{00000000-0005-0000-0000-0000E9900000}"/>
    <cellStyle name="Vérification 2 2" xfId="22884" xr:uid="{00000000-0005-0000-0000-0000EA900000}"/>
    <cellStyle name="Vérification 3" xfId="5439" xr:uid="{00000000-0005-0000-0000-0000EB900000}"/>
    <cellStyle name="Vérification 3 2" xfId="23893" xr:uid="{00000000-0005-0000-0000-0000EC900000}"/>
    <cellStyle name="Vérification 4" xfId="5835" xr:uid="{00000000-0005-0000-0000-0000ED900000}"/>
    <cellStyle name="Vérification 4 2" xfId="24282" xr:uid="{00000000-0005-0000-0000-0000EE900000}"/>
    <cellStyle name="Vérification 5" xfId="6171" xr:uid="{00000000-0005-0000-0000-0000EF900000}"/>
    <cellStyle name="Vérification 5 2" xfId="24611" xr:uid="{00000000-0005-0000-0000-0000F0900000}"/>
    <cellStyle name="Vérification 6" xfId="8205" xr:uid="{00000000-0005-0000-0000-0000F1900000}"/>
    <cellStyle name="Vérification 6 2" xfId="26631" xr:uid="{00000000-0005-0000-0000-0000F2900000}"/>
    <cellStyle name="Vérification 7" xfId="3756" xr:uid="{00000000-0005-0000-0000-0000F3900000}"/>
    <cellStyle name="Vérification 7 2" xfId="22226" xr:uid="{00000000-0005-0000-0000-0000F4900000}"/>
    <cellStyle name="Vérification 8" xfId="17080" xr:uid="{00000000-0005-0000-0000-0000F5900000}"/>
    <cellStyle name="Verknüpfte Zelle" xfId="14111" xr:uid="{00000000-0005-0000-0000-0000F6900000}"/>
    <cellStyle name="Verknüpfte Zelle 2" xfId="40721" xr:uid="{00000000-0005-0000-0000-00000D130000}"/>
    <cellStyle name="Warnender Text" xfId="14112" xr:uid="{00000000-0005-0000-0000-0000F7900000}"/>
    <cellStyle name="Warnender Text 2" xfId="40722" xr:uid="{00000000-0005-0000-0000-00000E130000}"/>
    <cellStyle name="Warning Text 10" xfId="3234" xr:uid="{00000000-0005-0000-0000-0000F8900000}"/>
    <cellStyle name="Warning Text 10 2" xfId="10403" xr:uid="{00000000-0005-0000-0000-0000F9900000}"/>
    <cellStyle name="Warning Text 10 2 2" xfId="10833" xr:uid="{00000000-0005-0000-0000-0000FA900000}"/>
    <cellStyle name="Warning Text 10 2 3" xfId="28829" xr:uid="{00000000-0005-0000-0000-0000FB900000}"/>
    <cellStyle name="Warning Text 10 3" xfId="11395" xr:uid="{00000000-0005-0000-0000-0000FC900000}"/>
    <cellStyle name="Warning Text 10 3 2" xfId="28685" xr:uid="{00000000-0005-0000-0000-0000FD900000}"/>
    <cellStyle name="Warning Text 10 3 3" xfId="34212" xr:uid="{00000000-0005-0000-0000-0000FE900000}"/>
    <cellStyle name="Warning Text 10 4" xfId="11044" xr:uid="{00000000-0005-0000-0000-0000FF900000}"/>
    <cellStyle name="Warning Text 10 5" xfId="10252" xr:uid="{00000000-0005-0000-0000-000000910000}"/>
    <cellStyle name="Warning Text 10 5 2" xfId="33551" xr:uid="{00000000-0005-0000-0000-000001910000}"/>
    <cellStyle name="Warning Text 10 5 3" xfId="28324" xr:uid="{00000000-0005-0000-0000-000002910000}"/>
    <cellStyle name="Warning Text 10 6" xfId="27666" xr:uid="{00000000-0005-0000-0000-000003910000}"/>
    <cellStyle name="Warning Text 11" xfId="40723" xr:uid="{00000000-0005-0000-0000-000010130000}"/>
    <cellStyle name="Warning Text 12" xfId="40724" xr:uid="{00000000-0005-0000-0000-000011130000}"/>
    <cellStyle name="Warning Text 13" xfId="40725" xr:uid="{00000000-0005-0000-0000-000012130000}"/>
    <cellStyle name="Warning Text 14" xfId="40726" xr:uid="{00000000-0005-0000-0000-000013130000}"/>
    <cellStyle name="Warning Text 15" xfId="40727" xr:uid="{00000000-0005-0000-0000-000014130000}"/>
    <cellStyle name="Warning Text 16" xfId="40728" xr:uid="{00000000-0005-0000-0000-000015130000}"/>
    <cellStyle name="Warning Text 17" xfId="40729" xr:uid="{00000000-0005-0000-0000-000016130000}"/>
    <cellStyle name="Warning Text 18" xfId="40730" xr:uid="{00000000-0005-0000-0000-000017130000}"/>
    <cellStyle name="Warning Text 19" xfId="40731" xr:uid="{00000000-0005-0000-0000-000018130000}"/>
    <cellStyle name="Warning Text 2" xfId="3235" xr:uid="{00000000-0005-0000-0000-000004910000}"/>
    <cellStyle name="Warning Text 2 10" xfId="3236" xr:uid="{00000000-0005-0000-0000-000005910000}"/>
    <cellStyle name="Warning Text 2 10 2" xfId="10405" xr:uid="{00000000-0005-0000-0000-000006910000}"/>
    <cellStyle name="Warning Text 2 10 2 2" xfId="11046" xr:uid="{00000000-0005-0000-0000-000007910000}"/>
    <cellStyle name="Warning Text 2 10 2 3" xfId="28831" xr:uid="{00000000-0005-0000-0000-000008910000}"/>
    <cellStyle name="Warning Text 2 10 3" xfId="11397" xr:uid="{00000000-0005-0000-0000-000009910000}"/>
    <cellStyle name="Warning Text 2 10 3 2" xfId="28687" xr:uid="{00000000-0005-0000-0000-00000A910000}"/>
    <cellStyle name="Warning Text 2 10 3 3" xfId="34214" xr:uid="{00000000-0005-0000-0000-00000B910000}"/>
    <cellStyle name="Warning Text 2 10 4" xfId="13400" xr:uid="{00000000-0005-0000-0000-00000C910000}"/>
    <cellStyle name="Warning Text 2 10 5" xfId="10834" xr:uid="{00000000-0005-0000-0000-00000D910000}"/>
    <cellStyle name="Warning Text 2 10 6" xfId="10254" xr:uid="{00000000-0005-0000-0000-00000E910000}"/>
    <cellStyle name="Warning Text 2 10 7" xfId="27668" xr:uid="{00000000-0005-0000-0000-00000F910000}"/>
    <cellStyle name="Warning Text 2 11" xfId="3237" xr:uid="{00000000-0005-0000-0000-000010910000}"/>
    <cellStyle name="Warning Text 2 11 2" xfId="10406" xr:uid="{00000000-0005-0000-0000-000011910000}"/>
    <cellStyle name="Warning Text 2 11 2 2" xfId="11047" xr:uid="{00000000-0005-0000-0000-000012910000}"/>
    <cellStyle name="Warning Text 2 11 2 3" xfId="28832" xr:uid="{00000000-0005-0000-0000-000013910000}"/>
    <cellStyle name="Warning Text 2 11 3" xfId="11398" xr:uid="{00000000-0005-0000-0000-000014910000}"/>
    <cellStyle name="Warning Text 2 11 3 2" xfId="28688" xr:uid="{00000000-0005-0000-0000-000015910000}"/>
    <cellStyle name="Warning Text 2 11 3 3" xfId="34215" xr:uid="{00000000-0005-0000-0000-000016910000}"/>
    <cellStyle name="Warning Text 2 11 4" xfId="10835" xr:uid="{00000000-0005-0000-0000-000017910000}"/>
    <cellStyle name="Warning Text 2 11 5" xfId="10255" xr:uid="{00000000-0005-0000-0000-000018910000}"/>
    <cellStyle name="Warning Text 2 11 5 2" xfId="33552" xr:uid="{00000000-0005-0000-0000-000019910000}"/>
    <cellStyle name="Warning Text 2 11 5 3" xfId="28325" xr:uid="{00000000-0005-0000-0000-00001A910000}"/>
    <cellStyle name="Warning Text 2 11 6" xfId="27669" xr:uid="{00000000-0005-0000-0000-00001B910000}"/>
    <cellStyle name="Warning Text 2 12" xfId="10404" xr:uid="{00000000-0005-0000-0000-00001C910000}"/>
    <cellStyle name="Warning Text 2 12 2" xfId="10836" xr:uid="{00000000-0005-0000-0000-00001D910000}"/>
    <cellStyle name="Warning Text 2 12 3" xfId="28830" xr:uid="{00000000-0005-0000-0000-00001E910000}"/>
    <cellStyle name="Warning Text 2 13" xfId="11396" xr:uid="{00000000-0005-0000-0000-00001F910000}"/>
    <cellStyle name="Warning Text 2 13 2" xfId="28686" xr:uid="{00000000-0005-0000-0000-000020910000}"/>
    <cellStyle name="Warning Text 2 13 3" xfId="34213" xr:uid="{00000000-0005-0000-0000-000021910000}"/>
    <cellStyle name="Warning Text 2 14" xfId="11658" xr:uid="{00000000-0005-0000-0000-000022910000}"/>
    <cellStyle name="Warning Text 2 15" xfId="11045" xr:uid="{00000000-0005-0000-0000-000023910000}"/>
    <cellStyle name="Warning Text 2 16" xfId="10253" xr:uid="{00000000-0005-0000-0000-000024910000}"/>
    <cellStyle name="Warning Text 2 17" xfId="27667" xr:uid="{00000000-0005-0000-0000-000025910000}"/>
    <cellStyle name="Warning Text 2 2" xfId="3238" xr:uid="{00000000-0005-0000-0000-000026910000}"/>
    <cellStyle name="Warning Text 2 2 2" xfId="10407" xr:uid="{00000000-0005-0000-0000-000027910000}"/>
    <cellStyle name="Warning Text 2 2 2 2" xfId="10837" xr:uid="{00000000-0005-0000-0000-000028910000}"/>
    <cellStyle name="Warning Text 2 2 2 3" xfId="28833" xr:uid="{00000000-0005-0000-0000-000029910000}"/>
    <cellStyle name="Warning Text 2 2 3" xfId="11399" xr:uid="{00000000-0005-0000-0000-00002A910000}"/>
    <cellStyle name="Warning Text 2 2 3 2" xfId="28689" xr:uid="{00000000-0005-0000-0000-00002B910000}"/>
    <cellStyle name="Warning Text 2 2 3 3" xfId="34216" xr:uid="{00000000-0005-0000-0000-00002C910000}"/>
    <cellStyle name="Warning Text 2 2 4" xfId="13401" xr:uid="{00000000-0005-0000-0000-00002D910000}"/>
    <cellStyle name="Warning Text 2 2 5" xfId="11048" xr:uid="{00000000-0005-0000-0000-00002E910000}"/>
    <cellStyle name="Warning Text 2 2 6" xfId="10256" xr:uid="{00000000-0005-0000-0000-00002F910000}"/>
    <cellStyle name="Warning Text 2 2 7" xfId="27670" xr:uid="{00000000-0005-0000-0000-000030910000}"/>
    <cellStyle name="Warning Text 2 3" xfId="3239" xr:uid="{00000000-0005-0000-0000-000031910000}"/>
    <cellStyle name="Warning Text 2 3 2" xfId="10408" xr:uid="{00000000-0005-0000-0000-000032910000}"/>
    <cellStyle name="Warning Text 2 3 2 2" xfId="10838" xr:uid="{00000000-0005-0000-0000-000033910000}"/>
    <cellStyle name="Warning Text 2 3 2 3" xfId="28834" xr:uid="{00000000-0005-0000-0000-000034910000}"/>
    <cellStyle name="Warning Text 2 3 3" xfId="11400" xr:uid="{00000000-0005-0000-0000-000035910000}"/>
    <cellStyle name="Warning Text 2 3 3 2" xfId="28690" xr:uid="{00000000-0005-0000-0000-000036910000}"/>
    <cellStyle name="Warning Text 2 3 3 3" xfId="34217" xr:uid="{00000000-0005-0000-0000-000037910000}"/>
    <cellStyle name="Warning Text 2 3 4" xfId="13402" xr:uid="{00000000-0005-0000-0000-000038910000}"/>
    <cellStyle name="Warning Text 2 3 5" xfId="11049" xr:uid="{00000000-0005-0000-0000-000039910000}"/>
    <cellStyle name="Warning Text 2 3 6" xfId="10257" xr:uid="{00000000-0005-0000-0000-00003A910000}"/>
    <cellStyle name="Warning Text 2 3 7" xfId="27671" xr:uid="{00000000-0005-0000-0000-00003B910000}"/>
    <cellStyle name="Warning Text 2 4" xfId="3240" xr:uid="{00000000-0005-0000-0000-00003C910000}"/>
    <cellStyle name="Warning Text 2 4 2" xfId="10409" xr:uid="{00000000-0005-0000-0000-00003D910000}"/>
    <cellStyle name="Warning Text 2 4 2 2" xfId="10839" xr:uid="{00000000-0005-0000-0000-00003E910000}"/>
    <cellStyle name="Warning Text 2 4 2 3" xfId="28835" xr:uid="{00000000-0005-0000-0000-00003F910000}"/>
    <cellStyle name="Warning Text 2 4 3" xfId="11401" xr:uid="{00000000-0005-0000-0000-000040910000}"/>
    <cellStyle name="Warning Text 2 4 3 2" xfId="28691" xr:uid="{00000000-0005-0000-0000-000041910000}"/>
    <cellStyle name="Warning Text 2 4 3 3" xfId="34218" xr:uid="{00000000-0005-0000-0000-000042910000}"/>
    <cellStyle name="Warning Text 2 4 4" xfId="13403" xr:uid="{00000000-0005-0000-0000-000043910000}"/>
    <cellStyle name="Warning Text 2 4 5" xfId="11050" xr:uid="{00000000-0005-0000-0000-000044910000}"/>
    <cellStyle name="Warning Text 2 4 6" xfId="10258" xr:uid="{00000000-0005-0000-0000-000045910000}"/>
    <cellStyle name="Warning Text 2 4 7" xfId="27672" xr:uid="{00000000-0005-0000-0000-000046910000}"/>
    <cellStyle name="Warning Text 2 5" xfId="3241" xr:uid="{00000000-0005-0000-0000-000047910000}"/>
    <cellStyle name="Warning Text 2 5 2" xfId="10410" xr:uid="{00000000-0005-0000-0000-000048910000}"/>
    <cellStyle name="Warning Text 2 5 2 2" xfId="11052" xr:uid="{00000000-0005-0000-0000-000049910000}"/>
    <cellStyle name="Warning Text 2 5 2 3" xfId="28836" xr:uid="{00000000-0005-0000-0000-00004A910000}"/>
    <cellStyle name="Warning Text 2 5 3" xfId="11402" xr:uid="{00000000-0005-0000-0000-00004B910000}"/>
    <cellStyle name="Warning Text 2 5 3 2" xfId="28692" xr:uid="{00000000-0005-0000-0000-00004C910000}"/>
    <cellStyle name="Warning Text 2 5 3 3" xfId="34219" xr:uid="{00000000-0005-0000-0000-00004D910000}"/>
    <cellStyle name="Warning Text 2 5 4" xfId="13404" xr:uid="{00000000-0005-0000-0000-00004E910000}"/>
    <cellStyle name="Warning Text 2 5 5" xfId="10840" xr:uid="{00000000-0005-0000-0000-00004F910000}"/>
    <cellStyle name="Warning Text 2 5 6" xfId="10259" xr:uid="{00000000-0005-0000-0000-000050910000}"/>
    <cellStyle name="Warning Text 2 5 7" xfId="27673" xr:uid="{00000000-0005-0000-0000-000051910000}"/>
    <cellStyle name="Warning Text 2 6" xfId="3242" xr:uid="{00000000-0005-0000-0000-000052910000}"/>
    <cellStyle name="Warning Text 2 6 2" xfId="10411" xr:uid="{00000000-0005-0000-0000-000053910000}"/>
    <cellStyle name="Warning Text 2 6 2 2" xfId="11053" xr:uid="{00000000-0005-0000-0000-000054910000}"/>
    <cellStyle name="Warning Text 2 6 2 3" xfId="28837" xr:uid="{00000000-0005-0000-0000-000055910000}"/>
    <cellStyle name="Warning Text 2 6 3" xfId="11403" xr:uid="{00000000-0005-0000-0000-000056910000}"/>
    <cellStyle name="Warning Text 2 6 3 2" xfId="28693" xr:uid="{00000000-0005-0000-0000-000057910000}"/>
    <cellStyle name="Warning Text 2 6 3 3" xfId="34220" xr:uid="{00000000-0005-0000-0000-000058910000}"/>
    <cellStyle name="Warning Text 2 6 4" xfId="13405" xr:uid="{00000000-0005-0000-0000-000059910000}"/>
    <cellStyle name="Warning Text 2 6 5" xfId="10841" xr:uid="{00000000-0005-0000-0000-00005A910000}"/>
    <cellStyle name="Warning Text 2 6 6" xfId="10260" xr:uid="{00000000-0005-0000-0000-00005B910000}"/>
    <cellStyle name="Warning Text 2 6 7" xfId="27674" xr:uid="{00000000-0005-0000-0000-00005C910000}"/>
    <cellStyle name="Warning Text 2 7" xfId="3243" xr:uid="{00000000-0005-0000-0000-00005D910000}"/>
    <cellStyle name="Warning Text 2 7 2" xfId="10412" xr:uid="{00000000-0005-0000-0000-00005E910000}"/>
    <cellStyle name="Warning Text 2 7 2 2" xfId="10842" xr:uid="{00000000-0005-0000-0000-00005F910000}"/>
    <cellStyle name="Warning Text 2 7 2 3" xfId="28838" xr:uid="{00000000-0005-0000-0000-000060910000}"/>
    <cellStyle name="Warning Text 2 7 3" xfId="11404" xr:uid="{00000000-0005-0000-0000-000061910000}"/>
    <cellStyle name="Warning Text 2 7 3 2" xfId="28694" xr:uid="{00000000-0005-0000-0000-000062910000}"/>
    <cellStyle name="Warning Text 2 7 3 3" xfId="34221" xr:uid="{00000000-0005-0000-0000-000063910000}"/>
    <cellStyle name="Warning Text 2 7 4" xfId="13406" xr:uid="{00000000-0005-0000-0000-000064910000}"/>
    <cellStyle name="Warning Text 2 7 5" xfId="11051" xr:uid="{00000000-0005-0000-0000-000065910000}"/>
    <cellStyle name="Warning Text 2 7 6" xfId="10261" xr:uid="{00000000-0005-0000-0000-000066910000}"/>
    <cellStyle name="Warning Text 2 7 7" xfId="27675" xr:uid="{00000000-0005-0000-0000-000067910000}"/>
    <cellStyle name="Warning Text 2 8" xfId="3244" xr:uid="{00000000-0005-0000-0000-000068910000}"/>
    <cellStyle name="Warning Text 2 8 2" xfId="10413" xr:uid="{00000000-0005-0000-0000-000069910000}"/>
    <cellStyle name="Warning Text 2 8 2 2" xfId="10843" xr:uid="{00000000-0005-0000-0000-00006A910000}"/>
    <cellStyle name="Warning Text 2 8 2 3" xfId="28839" xr:uid="{00000000-0005-0000-0000-00006B910000}"/>
    <cellStyle name="Warning Text 2 8 3" xfId="11405" xr:uid="{00000000-0005-0000-0000-00006C910000}"/>
    <cellStyle name="Warning Text 2 8 3 2" xfId="28695" xr:uid="{00000000-0005-0000-0000-00006D910000}"/>
    <cellStyle name="Warning Text 2 8 3 3" xfId="34222" xr:uid="{00000000-0005-0000-0000-00006E910000}"/>
    <cellStyle name="Warning Text 2 8 4" xfId="13407" xr:uid="{00000000-0005-0000-0000-00006F910000}"/>
    <cellStyle name="Warning Text 2 8 5" xfId="11054" xr:uid="{00000000-0005-0000-0000-000070910000}"/>
    <cellStyle name="Warning Text 2 8 6" xfId="10262" xr:uid="{00000000-0005-0000-0000-000071910000}"/>
    <cellStyle name="Warning Text 2 8 7" xfId="27676" xr:uid="{00000000-0005-0000-0000-000072910000}"/>
    <cellStyle name="Warning Text 2 9" xfId="3245" xr:uid="{00000000-0005-0000-0000-000073910000}"/>
    <cellStyle name="Warning Text 2 9 2" xfId="10414" xr:uid="{00000000-0005-0000-0000-000074910000}"/>
    <cellStyle name="Warning Text 2 9 2 2" xfId="10844" xr:uid="{00000000-0005-0000-0000-000075910000}"/>
    <cellStyle name="Warning Text 2 9 2 3" xfId="28840" xr:uid="{00000000-0005-0000-0000-000076910000}"/>
    <cellStyle name="Warning Text 2 9 3" xfId="11406" xr:uid="{00000000-0005-0000-0000-000077910000}"/>
    <cellStyle name="Warning Text 2 9 3 2" xfId="28696" xr:uid="{00000000-0005-0000-0000-000078910000}"/>
    <cellStyle name="Warning Text 2 9 3 3" xfId="34223" xr:uid="{00000000-0005-0000-0000-000079910000}"/>
    <cellStyle name="Warning Text 2 9 4" xfId="13408" xr:uid="{00000000-0005-0000-0000-00007A910000}"/>
    <cellStyle name="Warning Text 2 9 5" xfId="11055" xr:uid="{00000000-0005-0000-0000-00007B910000}"/>
    <cellStyle name="Warning Text 2 9 6" xfId="10263" xr:uid="{00000000-0005-0000-0000-00007C910000}"/>
    <cellStyle name="Warning Text 2 9 7" xfId="27677" xr:uid="{00000000-0005-0000-0000-00007D910000}"/>
    <cellStyle name="Warning Text 20" xfId="40732" xr:uid="{00000000-0005-0000-0000-00002C130000}"/>
    <cellStyle name="Warning Text 21" xfId="40733" xr:uid="{00000000-0005-0000-0000-00002D130000}"/>
    <cellStyle name="Warning Text 22" xfId="40734" xr:uid="{00000000-0005-0000-0000-00002E130000}"/>
    <cellStyle name="Warning Text 23" xfId="40735" xr:uid="{00000000-0005-0000-0000-00002F130000}"/>
    <cellStyle name="Warning Text 24" xfId="40736" xr:uid="{00000000-0005-0000-0000-000030130000}"/>
    <cellStyle name="Warning Text 25" xfId="40737" xr:uid="{00000000-0005-0000-0000-000031130000}"/>
    <cellStyle name="Warning Text 26" xfId="40738" xr:uid="{00000000-0005-0000-0000-000032130000}"/>
    <cellStyle name="Warning Text 27" xfId="40739" xr:uid="{00000000-0005-0000-0000-000033130000}"/>
    <cellStyle name="Warning Text 28" xfId="40740" xr:uid="{00000000-0005-0000-0000-000034130000}"/>
    <cellStyle name="Warning Text 29" xfId="40741" xr:uid="{00000000-0005-0000-0000-000035130000}"/>
    <cellStyle name="Warning Text 3" xfId="3246" xr:uid="{00000000-0005-0000-0000-00007E910000}"/>
    <cellStyle name="Warning Text 3 10" xfId="3247" xr:uid="{00000000-0005-0000-0000-00007F910000}"/>
    <cellStyle name="Warning Text 3 10 2" xfId="10416" xr:uid="{00000000-0005-0000-0000-000080910000}"/>
    <cellStyle name="Warning Text 3 10 2 2" xfId="11057" xr:uid="{00000000-0005-0000-0000-000081910000}"/>
    <cellStyle name="Warning Text 3 10 2 3" xfId="28842" xr:uid="{00000000-0005-0000-0000-000082910000}"/>
    <cellStyle name="Warning Text 3 10 3" xfId="11408" xr:uid="{00000000-0005-0000-0000-000083910000}"/>
    <cellStyle name="Warning Text 3 10 3 2" xfId="28698" xr:uid="{00000000-0005-0000-0000-000084910000}"/>
    <cellStyle name="Warning Text 3 10 3 3" xfId="34225" xr:uid="{00000000-0005-0000-0000-000085910000}"/>
    <cellStyle name="Warning Text 3 10 4" xfId="10845" xr:uid="{00000000-0005-0000-0000-000086910000}"/>
    <cellStyle name="Warning Text 3 10 5" xfId="10265" xr:uid="{00000000-0005-0000-0000-000087910000}"/>
    <cellStyle name="Warning Text 3 10 5 2" xfId="33553" xr:uid="{00000000-0005-0000-0000-000088910000}"/>
    <cellStyle name="Warning Text 3 10 5 3" xfId="28326" xr:uid="{00000000-0005-0000-0000-000089910000}"/>
    <cellStyle name="Warning Text 3 10 6" xfId="27679" xr:uid="{00000000-0005-0000-0000-00008A910000}"/>
    <cellStyle name="Warning Text 3 11" xfId="3248" xr:uid="{00000000-0005-0000-0000-00008B910000}"/>
    <cellStyle name="Warning Text 3 11 2" xfId="10417" xr:uid="{00000000-0005-0000-0000-00008C910000}"/>
    <cellStyle name="Warning Text 3 11 2 2" xfId="11058" xr:uid="{00000000-0005-0000-0000-00008D910000}"/>
    <cellStyle name="Warning Text 3 11 2 3" xfId="28843" xr:uid="{00000000-0005-0000-0000-00008E910000}"/>
    <cellStyle name="Warning Text 3 11 3" xfId="11409" xr:uid="{00000000-0005-0000-0000-00008F910000}"/>
    <cellStyle name="Warning Text 3 11 3 2" xfId="28699" xr:uid="{00000000-0005-0000-0000-000090910000}"/>
    <cellStyle name="Warning Text 3 11 3 3" xfId="34226" xr:uid="{00000000-0005-0000-0000-000091910000}"/>
    <cellStyle name="Warning Text 3 11 4" xfId="10846" xr:uid="{00000000-0005-0000-0000-000092910000}"/>
    <cellStyle name="Warning Text 3 11 5" xfId="10266" xr:uid="{00000000-0005-0000-0000-000093910000}"/>
    <cellStyle name="Warning Text 3 11 5 2" xfId="33554" xr:uid="{00000000-0005-0000-0000-000094910000}"/>
    <cellStyle name="Warning Text 3 11 5 3" xfId="28327" xr:uid="{00000000-0005-0000-0000-000095910000}"/>
    <cellStyle name="Warning Text 3 11 6" xfId="27680" xr:uid="{00000000-0005-0000-0000-000096910000}"/>
    <cellStyle name="Warning Text 3 12" xfId="10415" xr:uid="{00000000-0005-0000-0000-000097910000}"/>
    <cellStyle name="Warning Text 3 12 2" xfId="10847" xr:uid="{00000000-0005-0000-0000-000098910000}"/>
    <cellStyle name="Warning Text 3 12 3" xfId="28841" xr:uid="{00000000-0005-0000-0000-000099910000}"/>
    <cellStyle name="Warning Text 3 13" xfId="11407" xr:uid="{00000000-0005-0000-0000-00009A910000}"/>
    <cellStyle name="Warning Text 3 13 2" xfId="28697" xr:uid="{00000000-0005-0000-0000-00009B910000}"/>
    <cellStyle name="Warning Text 3 13 3" xfId="34224" xr:uid="{00000000-0005-0000-0000-00009C910000}"/>
    <cellStyle name="Warning Text 3 14" xfId="13409" xr:uid="{00000000-0005-0000-0000-00009D910000}"/>
    <cellStyle name="Warning Text 3 15" xfId="11056" xr:uid="{00000000-0005-0000-0000-00009E910000}"/>
    <cellStyle name="Warning Text 3 16" xfId="10264" xr:uid="{00000000-0005-0000-0000-00009F910000}"/>
    <cellStyle name="Warning Text 3 17" xfId="27678" xr:uid="{00000000-0005-0000-0000-0000A0910000}"/>
    <cellStyle name="Warning Text 3 2" xfId="3249" xr:uid="{00000000-0005-0000-0000-0000A1910000}"/>
    <cellStyle name="Warning Text 3 2 2" xfId="10418" xr:uid="{00000000-0005-0000-0000-0000A2910000}"/>
    <cellStyle name="Warning Text 3 2 2 2" xfId="10848" xr:uid="{00000000-0005-0000-0000-0000A3910000}"/>
    <cellStyle name="Warning Text 3 2 2 3" xfId="28844" xr:uid="{00000000-0005-0000-0000-0000A4910000}"/>
    <cellStyle name="Warning Text 3 2 3" xfId="11410" xr:uid="{00000000-0005-0000-0000-0000A5910000}"/>
    <cellStyle name="Warning Text 3 2 3 2" xfId="28700" xr:uid="{00000000-0005-0000-0000-0000A6910000}"/>
    <cellStyle name="Warning Text 3 2 3 3" xfId="34227" xr:uid="{00000000-0005-0000-0000-0000A7910000}"/>
    <cellStyle name="Warning Text 3 2 4" xfId="11059" xr:uid="{00000000-0005-0000-0000-0000A8910000}"/>
    <cellStyle name="Warning Text 3 2 5" xfId="10267" xr:uid="{00000000-0005-0000-0000-0000A9910000}"/>
    <cellStyle name="Warning Text 3 2 5 2" xfId="33555" xr:uid="{00000000-0005-0000-0000-0000AA910000}"/>
    <cellStyle name="Warning Text 3 2 5 3" xfId="28328" xr:uid="{00000000-0005-0000-0000-0000AB910000}"/>
    <cellStyle name="Warning Text 3 2 6" xfId="27681" xr:uid="{00000000-0005-0000-0000-0000AC910000}"/>
    <cellStyle name="Warning Text 3 3" xfId="3250" xr:uid="{00000000-0005-0000-0000-0000AD910000}"/>
    <cellStyle name="Warning Text 3 3 2" xfId="10419" xr:uid="{00000000-0005-0000-0000-0000AE910000}"/>
    <cellStyle name="Warning Text 3 3 2 2" xfId="10849" xr:uid="{00000000-0005-0000-0000-0000AF910000}"/>
    <cellStyle name="Warning Text 3 3 2 3" xfId="28845" xr:uid="{00000000-0005-0000-0000-0000B0910000}"/>
    <cellStyle name="Warning Text 3 3 3" xfId="11411" xr:uid="{00000000-0005-0000-0000-0000B1910000}"/>
    <cellStyle name="Warning Text 3 3 3 2" xfId="28701" xr:uid="{00000000-0005-0000-0000-0000B2910000}"/>
    <cellStyle name="Warning Text 3 3 3 3" xfId="34228" xr:uid="{00000000-0005-0000-0000-0000B3910000}"/>
    <cellStyle name="Warning Text 3 3 4" xfId="11060" xr:uid="{00000000-0005-0000-0000-0000B4910000}"/>
    <cellStyle name="Warning Text 3 3 5" xfId="10268" xr:uid="{00000000-0005-0000-0000-0000B5910000}"/>
    <cellStyle name="Warning Text 3 3 5 2" xfId="33556" xr:uid="{00000000-0005-0000-0000-0000B6910000}"/>
    <cellStyle name="Warning Text 3 3 5 3" xfId="28329" xr:uid="{00000000-0005-0000-0000-0000B7910000}"/>
    <cellStyle name="Warning Text 3 3 6" xfId="27682" xr:uid="{00000000-0005-0000-0000-0000B8910000}"/>
    <cellStyle name="Warning Text 3 4" xfId="3251" xr:uid="{00000000-0005-0000-0000-0000B9910000}"/>
    <cellStyle name="Warning Text 3 4 2" xfId="10420" xr:uid="{00000000-0005-0000-0000-0000BA910000}"/>
    <cellStyle name="Warning Text 3 4 2 2" xfId="10850" xr:uid="{00000000-0005-0000-0000-0000BB910000}"/>
    <cellStyle name="Warning Text 3 4 2 3" xfId="28846" xr:uid="{00000000-0005-0000-0000-0000BC910000}"/>
    <cellStyle name="Warning Text 3 4 3" xfId="11412" xr:uid="{00000000-0005-0000-0000-0000BD910000}"/>
    <cellStyle name="Warning Text 3 4 3 2" xfId="28702" xr:uid="{00000000-0005-0000-0000-0000BE910000}"/>
    <cellStyle name="Warning Text 3 4 3 3" xfId="34229" xr:uid="{00000000-0005-0000-0000-0000BF910000}"/>
    <cellStyle name="Warning Text 3 4 4" xfId="11061" xr:uid="{00000000-0005-0000-0000-0000C0910000}"/>
    <cellStyle name="Warning Text 3 4 5" xfId="10269" xr:uid="{00000000-0005-0000-0000-0000C1910000}"/>
    <cellStyle name="Warning Text 3 4 5 2" xfId="33557" xr:uid="{00000000-0005-0000-0000-0000C2910000}"/>
    <cellStyle name="Warning Text 3 4 5 3" xfId="28330" xr:uid="{00000000-0005-0000-0000-0000C3910000}"/>
    <cellStyle name="Warning Text 3 4 6" xfId="27683" xr:uid="{00000000-0005-0000-0000-0000C4910000}"/>
    <cellStyle name="Warning Text 3 5" xfId="3252" xr:uid="{00000000-0005-0000-0000-0000C5910000}"/>
    <cellStyle name="Warning Text 3 5 2" xfId="10421" xr:uid="{00000000-0005-0000-0000-0000C6910000}"/>
    <cellStyle name="Warning Text 3 5 2 2" xfId="11063" xr:uid="{00000000-0005-0000-0000-0000C7910000}"/>
    <cellStyle name="Warning Text 3 5 2 3" xfId="28847" xr:uid="{00000000-0005-0000-0000-0000C8910000}"/>
    <cellStyle name="Warning Text 3 5 3" xfId="11413" xr:uid="{00000000-0005-0000-0000-0000C9910000}"/>
    <cellStyle name="Warning Text 3 5 3 2" xfId="28703" xr:uid="{00000000-0005-0000-0000-0000CA910000}"/>
    <cellStyle name="Warning Text 3 5 3 3" xfId="34230" xr:uid="{00000000-0005-0000-0000-0000CB910000}"/>
    <cellStyle name="Warning Text 3 5 4" xfId="10851" xr:uid="{00000000-0005-0000-0000-0000CC910000}"/>
    <cellStyle name="Warning Text 3 5 5" xfId="10270" xr:uid="{00000000-0005-0000-0000-0000CD910000}"/>
    <cellStyle name="Warning Text 3 5 5 2" xfId="33558" xr:uid="{00000000-0005-0000-0000-0000CE910000}"/>
    <cellStyle name="Warning Text 3 5 5 3" xfId="28331" xr:uid="{00000000-0005-0000-0000-0000CF910000}"/>
    <cellStyle name="Warning Text 3 5 6" xfId="27684" xr:uid="{00000000-0005-0000-0000-0000D0910000}"/>
    <cellStyle name="Warning Text 3 6" xfId="3253" xr:uid="{00000000-0005-0000-0000-0000D1910000}"/>
    <cellStyle name="Warning Text 3 6 2" xfId="10422" xr:uid="{00000000-0005-0000-0000-0000D2910000}"/>
    <cellStyle name="Warning Text 3 6 2 2" xfId="11064" xr:uid="{00000000-0005-0000-0000-0000D3910000}"/>
    <cellStyle name="Warning Text 3 6 2 3" xfId="28848" xr:uid="{00000000-0005-0000-0000-0000D4910000}"/>
    <cellStyle name="Warning Text 3 6 3" xfId="11414" xr:uid="{00000000-0005-0000-0000-0000D5910000}"/>
    <cellStyle name="Warning Text 3 6 3 2" xfId="28704" xr:uid="{00000000-0005-0000-0000-0000D6910000}"/>
    <cellStyle name="Warning Text 3 6 3 3" xfId="34231" xr:uid="{00000000-0005-0000-0000-0000D7910000}"/>
    <cellStyle name="Warning Text 3 6 4" xfId="10852" xr:uid="{00000000-0005-0000-0000-0000D8910000}"/>
    <cellStyle name="Warning Text 3 6 5" xfId="10271" xr:uid="{00000000-0005-0000-0000-0000D9910000}"/>
    <cellStyle name="Warning Text 3 6 5 2" xfId="33559" xr:uid="{00000000-0005-0000-0000-0000DA910000}"/>
    <cellStyle name="Warning Text 3 6 5 3" xfId="28332" xr:uid="{00000000-0005-0000-0000-0000DB910000}"/>
    <cellStyle name="Warning Text 3 6 6" xfId="27685" xr:uid="{00000000-0005-0000-0000-0000DC910000}"/>
    <cellStyle name="Warning Text 3 7" xfId="3254" xr:uid="{00000000-0005-0000-0000-0000DD910000}"/>
    <cellStyle name="Warning Text 3 7 2" xfId="10423" xr:uid="{00000000-0005-0000-0000-0000DE910000}"/>
    <cellStyle name="Warning Text 3 7 2 2" xfId="10853" xr:uid="{00000000-0005-0000-0000-0000DF910000}"/>
    <cellStyle name="Warning Text 3 7 2 3" xfId="28849" xr:uid="{00000000-0005-0000-0000-0000E0910000}"/>
    <cellStyle name="Warning Text 3 7 3" xfId="11415" xr:uid="{00000000-0005-0000-0000-0000E1910000}"/>
    <cellStyle name="Warning Text 3 7 3 2" xfId="28705" xr:uid="{00000000-0005-0000-0000-0000E2910000}"/>
    <cellStyle name="Warning Text 3 7 3 3" xfId="34232" xr:uid="{00000000-0005-0000-0000-0000E3910000}"/>
    <cellStyle name="Warning Text 3 7 4" xfId="11062" xr:uid="{00000000-0005-0000-0000-0000E4910000}"/>
    <cellStyle name="Warning Text 3 7 5" xfId="10272" xr:uid="{00000000-0005-0000-0000-0000E5910000}"/>
    <cellStyle name="Warning Text 3 7 5 2" xfId="33560" xr:uid="{00000000-0005-0000-0000-0000E6910000}"/>
    <cellStyle name="Warning Text 3 7 5 3" xfId="28333" xr:uid="{00000000-0005-0000-0000-0000E7910000}"/>
    <cellStyle name="Warning Text 3 7 6" xfId="27686" xr:uid="{00000000-0005-0000-0000-0000E8910000}"/>
    <cellStyle name="Warning Text 3 8" xfId="3255" xr:uid="{00000000-0005-0000-0000-0000E9910000}"/>
    <cellStyle name="Warning Text 3 8 2" xfId="10424" xr:uid="{00000000-0005-0000-0000-0000EA910000}"/>
    <cellStyle name="Warning Text 3 8 2 2" xfId="10854" xr:uid="{00000000-0005-0000-0000-0000EB910000}"/>
    <cellStyle name="Warning Text 3 8 2 3" xfId="28850" xr:uid="{00000000-0005-0000-0000-0000EC910000}"/>
    <cellStyle name="Warning Text 3 8 3" xfId="11416" xr:uid="{00000000-0005-0000-0000-0000ED910000}"/>
    <cellStyle name="Warning Text 3 8 3 2" xfId="28706" xr:uid="{00000000-0005-0000-0000-0000EE910000}"/>
    <cellStyle name="Warning Text 3 8 3 3" xfId="34233" xr:uid="{00000000-0005-0000-0000-0000EF910000}"/>
    <cellStyle name="Warning Text 3 8 4" xfId="11065" xr:uid="{00000000-0005-0000-0000-0000F0910000}"/>
    <cellStyle name="Warning Text 3 8 5" xfId="10273" xr:uid="{00000000-0005-0000-0000-0000F1910000}"/>
    <cellStyle name="Warning Text 3 8 5 2" xfId="33561" xr:uid="{00000000-0005-0000-0000-0000F2910000}"/>
    <cellStyle name="Warning Text 3 8 5 3" xfId="28334" xr:uid="{00000000-0005-0000-0000-0000F3910000}"/>
    <cellStyle name="Warning Text 3 8 6" xfId="27687" xr:uid="{00000000-0005-0000-0000-0000F4910000}"/>
    <cellStyle name="Warning Text 3 9" xfId="3256" xr:uid="{00000000-0005-0000-0000-0000F5910000}"/>
    <cellStyle name="Warning Text 3 9 2" xfId="10425" xr:uid="{00000000-0005-0000-0000-0000F6910000}"/>
    <cellStyle name="Warning Text 3 9 2 2" xfId="10855" xr:uid="{00000000-0005-0000-0000-0000F7910000}"/>
    <cellStyle name="Warning Text 3 9 2 3" xfId="28851" xr:uid="{00000000-0005-0000-0000-0000F8910000}"/>
    <cellStyle name="Warning Text 3 9 3" xfId="11417" xr:uid="{00000000-0005-0000-0000-0000F9910000}"/>
    <cellStyle name="Warning Text 3 9 3 2" xfId="28707" xr:uid="{00000000-0005-0000-0000-0000FA910000}"/>
    <cellStyle name="Warning Text 3 9 3 3" xfId="34234" xr:uid="{00000000-0005-0000-0000-0000FB910000}"/>
    <cellStyle name="Warning Text 3 9 4" xfId="11066" xr:uid="{00000000-0005-0000-0000-0000FC910000}"/>
    <cellStyle name="Warning Text 3 9 5" xfId="10274" xr:uid="{00000000-0005-0000-0000-0000FD910000}"/>
    <cellStyle name="Warning Text 3 9 5 2" xfId="33562" xr:uid="{00000000-0005-0000-0000-0000FE910000}"/>
    <cellStyle name="Warning Text 3 9 5 3" xfId="28335" xr:uid="{00000000-0005-0000-0000-0000FF910000}"/>
    <cellStyle name="Warning Text 3 9 6" xfId="27688" xr:uid="{00000000-0005-0000-0000-000000920000}"/>
    <cellStyle name="Warning Text 30" xfId="40742" xr:uid="{00000000-0005-0000-0000-000038130000}"/>
    <cellStyle name="Warning Text 31" xfId="40743" xr:uid="{00000000-0005-0000-0000-000039130000}"/>
    <cellStyle name="Warning Text 32" xfId="40744" xr:uid="{00000000-0005-0000-0000-00003A130000}"/>
    <cellStyle name="Warning Text 33" xfId="40745" xr:uid="{00000000-0005-0000-0000-00003B130000}"/>
    <cellStyle name="Warning Text 34" xfId="40746" xr:uid="{00000000-0005-0000-0000-00003C130000}"/>
    <cellStyle name="Warning Text 35" xfId="40747" xr:uid="{00000000-0005-0000-0000-00003D130000}"/>
    <cellStyle name="Warning Text 36" xfId="40748" xr:uid="{00000000-0005-0000-0000-00003E130000}"/>
    <cellStyle name="Warning Text 37" xfId="40749" xr:uid="{00000000-0005-0000-0000-00003F130000}"/>
    <cellStyle name="Warning Text 38" xfId="40750" xr:uid="{00000000-0005-0000-0000-000040130000}"/>
    <cellStyle name="Warning Text 39" xfId="40751" xr:uid="{00000000-0005-0000-0000-000041130000}"/>
    <cellStyle name="Warning Text 4" xfId="3257" xr:uid="{00000000-0005-0000-0000-000001920000}"/>
    <cellStyle name="Warning Text 4 10" xfId="3258" xr:uid="{00000000-0005-0000-0000-000002920000}"/>
    <cellStyle name="Warning Text 4 10 2" xfId="10427" xr:uid="{00000000-0005-0000-0000-000003920000}"/>
    <cellStyle name="Warning Text 4 10 2 2" xfId="11068" xr:uid="{00000000-0005-0000-0000-000004920000}"/>
    <cellStyle name="Warning Text 4 10 2 3" xfId="28853" xr:uid="{00000000-0005-0000-0000-000005920000}"/>
    <cellStyle name="Warning Text 4 10 3" xfId="11419" xr:uid="{00000000-0005-0000-0000-000006920000}"/>
    <cellStyle name="Warning Text 4 10 3 2" xfId="28709" xr:uid="{00000000-0005-0000-0000-000007920000}"/>
    <cellStyle name="Warning Text 4 10 3 3" xfId="34236" xr:uid="{00000000-0005-0000-0000-000008920000}"/>
    <cellStyle name="Warning Text 4 10 4" xfId="10856" xr:uid="{00000000-0005-0000-0000-000009920000}"/>
    <cellStyle name="Warning Text 4 10 5" xfId="10276" xr:uid="{00000000-0005-0000-0000-00000A920000}"/>
    <cellStyle name="Warning Text 4 10 5 2" xfId="33564" xr:uid="{00000000-0005-0000-0000-00000B920000}"/>
    <cellStyle name="Warning Text 4 10 5 3" xfId="28337" xr:uid="{00000000-0005-0000-0000-00000C920000}"/>
    <cellStyle name="Warning Text 4 10 6" xfId="27690" xr:uid="{00000000-0005-0000-0000-00000D920000}"/>
    <cellStyle name="Warning Text 4 11" xfId="3259" xr:uid="{00000000-0005-0000-0000-00000E920000}"/>
    <cellStyle name="Warning Text 4 11 2" xfId="10428" xr:uid="{00000000-0005-0000-0000-00000F920000}"/>
    <cellStyle name="Warning Text 4 11 2 2" xfId="11069" xr:uid="{00000000-0005-0000-0000-000010920000}"/>
    <cellStyle name="Warning Text 4 11 2 3" xfId="28854" xr:uid="{00000000-0005-0000-0000-000011920000}"/>
    <cellStyle name="Warning Text 4 11 3" xfId="11420" xr:uid="{00000000-0005-0000-0000-000012920000}"/>
    <cellStyle name="Warning Text 4 11 3 2" xfId="28710" xr:uid="{00000000-0005-0000-0000-000013920000}"/>
    <cellStyle name="Warning Text 4 11 3 3" xfId="34237" xr:uid="{00000000-0005-0000-0000-000014920000}"/>
    <cellStyle name="Warning Text 4 11 4" xfId="10857" xr:uid="{00000000-0005-0000-0000-000015920000}"/>
    <cellStyle name="Warning Text 4 11 5" xfId="10277" xr:uid="{00000000-0005-0000-0000-000016920000}"/>
    <cellStyle name="Warning Text 4 11 5 2" xfId="33565" xr:uid="{00000000-0005-0000-0000-000017920000}"/>
    <cellStyle name="Warning Text 4 11 5 3" xfId="28338" xr:uid="{00000000-0005-0000-0000-000018920000}"/>
    <cellStyle name="Warning Text 4 11 6" xfId="27691" xr:uid="{00000000-0005-0000-0000-000019920000}"/>
    <cellStyle name="Warning Text 4 12" xfId="10426" xr:uid="{00000000-0005-0000-0000-00001A920000}"/>
    <cellStyle name="Warning Text 4 12 2" xfId="10858" xr:uid="{00000000-0005-0000-0000-00001B920000}"/>
    <cellStyle name="Warning Text 4 12 3" xfId="28852" xr:uid="{00000000-0005-0000-0000-00001C920000}"/>
    <cellStyle name="Warning Text 4 13" xfId="11418" xr:uid="{00000000-0005-0000-0000-00001D920000}"/>
    <cellStyle name="Warning Text 4 13 2" xfId="28708" xr:uid="{00000000-0005-0000-0000-00001E920000}"/>
    <cellStyle name="Warning Text 4 13 3" xfId="34235" xr:uid="{00000000-0005-0000-0000-00001F920000}"/>
    <cellStyle name="Warning Text 4 14" xfId="11067" xr:uid="{00000000-0005-0000-0000-000020920000}"/>
    <cellStyle name="Warning Text 4 15" xfId="10275" xr:uid="{00000000-0005-0000-0000-000021920000}"/>
    <cellStyle name="Warning Text 4 15 2" xfId="33563" xr:uid="{00000000-0005-0000-0000-000022920000}"/>
    <cellStyle name="Warning Text 4 15 3" xfId="28336" xr:uid="{00000000-0005-0000-0000-000023920000}"/>
    <cellStyle name="Warning Text 4 16" xfId="27689" xr:uid="{00000000-0005-0000-0000-000024920000}"/>
    <cellStyle name="Warning Text 4 2" xfId="3260" xr:uid="{00000000-0005-0000-0000-000025920000}"/>
    <cellStyle name="Warning Text 4 2 2" xfId="10429" xr:uid="{00000000-0005-0000-0000-000026920000}"/>
    <cellStyle name="Warning Text 4 2 2 2" xfId="10859" xr:uid="{00000000-0005-0000-0000-000027920000}"/>
    <cellStyle name="Warning Text 4 2 2 3" xfId="28855" xr:uid="{00000000-0005-0000-0000-000028920000}"/>
    <cellStyle name="Warning Text 4 2 3" xfId="11421" xr:uid="{00000000-0005-0000-0000-000029920000}"/>
    <cellStyle name="Warning Text 4 2 3 2" xfId="28711" xr:uid="{00000000-0005-0000-0000-00002A920000}"/>
    <cellStyle name="Warning Text 4 2 3 3" xfId="34238" xr:uid="{00000000-0005-0000-0000-00002B920000}"/>
    <cellStyle name="Warning Text 4 2 4" xfId="11070" xr:uid="{00000000-0005-0000-0000-00002C920000}"/>
    <cellStyle name="Warning Text 4 2 5" xfId="10278" xr:uid="{00000000-0005-0000-0000-00002D920000}"/>
    <cellStyle name="Warning Text 4 2 5 2" xfId="33566" xr:uid="{00000000-0005-0000-0000-00002E920000}"/>
    <cellStyle name="Warning Text 4 2 5 3" xfId="28339" xr:uid="{00000000-0005-0000-0000-00002F920000}"/>
    <cellStyle name="Warning Text 4 2 6" xfId="27692" xr:uid="{00000000-0005-0000-0000-000030920000}"/>
    <cellStyle name="Warning Text 4 3" xfId="3261" xr:uid="{00000000-0005-0000-0000-000031920000}"/>
    <cellStyle name="Warning Text 4 3 2" xfId="10430" xr:uid="{00000000-0005-0000-0000-000032920000}"/>
    <cellStyle name="Warning Text 4 3 2 2" xfId="10860" xr:uid="{00000000-0005-0000-0000-000033920000}"/>
    <cellStyle name="Warning Text 4 3 2 3" xfId="28856" xr:uid="{00000000-0005-0000-0000-000034920000}"/>
    <cellStyle name="Warning Text 4 3 3" xfId="11422" xr:uid="{00000000-0005-0000-0000-000035920000}"/>
    <cellStyle name="Warning Text 4 3 3 2" xfId="28712" xr:uid="{00000000-0005-0000-0000-000036920000}"/>
    <cellStyle name="Warning Text 4 3 3 3" xfId="34239" xr:uid="{00000000-0005-0000-0000-000037920000}"/>
    <cellStyle name="Warning Text 4 3 4" xfId="11071" xr:uid="{00000000-0005-0000-0000-000038920000}"/>
    <cellStyle name="Warning Text 4 3 5" xfId="10279" xr:uid="{00000000-0005-0000-0000-000039920000}"/>
    <cellStyle name="Warning Text 4 3 5 2" xfId="33567" xr:uid="{00000000-0005-0000-0000-00003A920000}"/>
    <cellStyle name="Warning Text 4 3 5 3" xfId="28340" xr:uid="{00000000-0005-0000-0000-00003B920000}"/>
    <cellStyle name="Warning Text 4 3 6" xfId="27693" xr:uid="{00000000-0005-0000-0000-00003C920000}"/>
    <cellStyle name="Warning Text 4 4" xfId="3262" xr:uid="{00000000-0005-0000-0000-00003D920000}"/>
    <cellStyle name="Warning Text 4 4 2" xfId="10431" xr:uid="{00000000-0005-0000-0000-00003E920000}"/>
    <cellStyle name="Warning Text 4 4 2 2" xfId="10861" xr:uid="{00000000-0005-0000-0000-00003F920000}"/>
    <cellStyle name="Warning Text 4 4 2 3" xfId="28857" xr:uid="{00000000-0005-0000-0000-000040920000}"/>
    <cellStyle name="Warning Text 4 4 3" xfId="11423" xr:uid="{00000000-0005-0000-0000-000041920000}"/>
    <cellStyle name="Warning Text 4 4 3 2" xfId="28713" xr:uid="{00000000-0005-0000-0000-000042920000}"/>
    <cellStyle name="Warning Text 4 4 3 3" xfId="34240" xr:uid="{00000000-0005-0000-0000-000043920000}"/>
    <cellStyle name="Warning Text 4 4 4" xfId="11072" xr:uid="{00000000-0005-0000-0000-000044920000}"/>
    <cellStyle name="Warning Text 4 4 5" xfId="10280" xr:uid="{00000000-0005-0000-0000-000045920000}"/>
    <cellStyle name="Warning Text 4 4 5 2" xfId="33568" xr:uid="{00000000-0005-0000-0000-000046920000}"/>
    <cellStyle name="Warning Text 4 4 5 3" xfId="28341" xr:uid="{00000000-0005-0000-0000-000047920000}"/>
    <cellStyle name="Warning Text 4 4 6" xfId="27694" xr:uid="{00000000-0005-0000-0000-000048920000}"/>
    <cellStyle name="Warning Text 4 5" xfId="3263" xr:uid="{00000000-0005-0000-0000-000049920000}"/>
    <cellStyle name="Warning Text 4 5 2" xfId="10432" xr:uid="{00000000-0005-0000-0000-00004A920000}"/>
    <cellStyle name="Warning Text 4 5 2 2" xfId="10862" xr:uid="{00000000-0005-0000-0000-00004B920000}"/>
    <cellStyle name="Warning Text 4 5 2 3" xfId="28858" xr:uid="{00000000-0005-0000-0000-00004C920000}"/>
    <cellStyle name="Warning Text 4 5 3" xfId="11424" xr:uid="{00000000-0005-0000-0000-00004D920000}"/>
    <cellStyle name="Warning Text 4 5 3 2" xfId="28714" xr:uid="{00000000-0005-0000-0000-00004E920000}"/>
    <cellStyle name="Warning Text 4 5 3 3" xfId="34241" xr:uid="{00000000-0005-0000-0000-00004F920000}"/>
    <cellStyle name="Warning Text 4 5 4" xfId="11073" xr:uid="{00000000-0005-0000-0000-000050920000}"/>
    <cellStyle name="Warning Text 4 5 5" xfId="10281" xr:uid="{00000000-0005-0000-0000-000051920000}"/>
    <cellStyle name="Warning Text 4 5 5 2" xfId="33569" xr:uid="{00000000-0005-0000-0000-000052920000}"/>
    <cellStyle name="Warning Text 4 5 5 3" xfId="28342" xr:uid="{00000000-0005-0000-0000-000053920000}"/>
    <cellStyle name="Warning Text 4 5 6" xfId="27695" xr:uid="{00000000-0005-0000-0000-000054920000}"/>
    <cellStyle name="Warning Text 4 6" xfId="3264" xr:uid="{00000000-0005-0000-0000-000055920000}"/>
    <cellStyle name="Warning Text 4 6 2" xfId="10433" xr:uid="{00000000-0005-0000-0000-000056920000}"/>
    <cellStyle name="Warning Text 4 6 2 2" xfId="10863" xr:uid="{00000000-0005-0000-0000-000057920000}"/>
    <cellStyle name="Warning Text 4 6 2 3" xfId="28859" xr:uid="{00000000-0005-0000-0000-000058920000}"/>
    <cellStyle name="Warning Text 4 6 3" xfId="11425" xr:uid="{00000000-0005-0000-0000-000059920000}"/>
    <cellStyle name="Warning Text 4 6 3 2" xfId="28715" xr:uid="{00000000-0005-0000-0000-00005A920000}"/>
    <cellStyle name="Warning Text 4 6 3 3" xfId="34242" xr:uid="{00000000-0005-0000-0000-00005B920000}"/>
    <cellStyle name="Warning Text 4 6 4" xfId="11074" xr:uid="{00000000-0005-0000-0000-00005C920000}"/>
    <cellStyle name="Warning Text 4 6 5" xfId="10282" xr:uid="{00000000-0005-0000-0000-00005D920000}"/>
    <cellStyle name="Warning Text 4 6 5 2" xfId="33570" xr:uid="{00000000-0005-0000-0000-00005E920000}"/>
    <cellStyle name="Warning Text 4 6 5 3" xfId="28343" xr:uid="{00000000-0005-0000-0000-00005F920000}"/>
    <cellStyle name="Warning Text 4 6 6" xfId="27696" xr:uid="{00000000-0005-0000-0000-000060920000}"/>
    <cellStyle name="Warning Text 4 7" xfId="3265" xr:uid="{00000000-0005-0000-0000-000061920000}"/>
    <cellStyle name="Warning Text 4 7 2" xfId="10434" xr:uid="{00000000-0005-0000-0000-000062920000}"/>
    <cellStyle name="Warning Text 4 7 2 2" xfId="10864" xr:uid="{00000000-0005-0000-0000-000063920000}"/>
    <cellStyle name="Warning Text 4 7 2 3" xfId="28860" xr:uid="{00000000-0005-0000-0000-000064920000}"/>
    <cellStyle name="Warning Text 4 7 3" xfId="11426" xr:uid="{00000000-0005-0000-0000-000065920000}"/>
    <cellStyle name="Warning Text 4 7 3 2" xfId="28716" xr:uid="{00000000-0005-0000-0000-000066920000}"/>
    <cellStyle name="Warning Text 4 7 3 3" xfId="34243" xr:uid="{00000000-0005-0000-0000-000067920000}"/>
    <cellStyle name="Warning Text 4 7 4" xfId="11075" xr:uid="{00000000-0005-0000-0000-000068920000}"/>
    <cellStyle name="Warning Text 4 7 5" xfId="10283" xr:uid="{00000000-0005-0000-0000-000069920000}"/>
    <cellStyle name="Warning Text 4 7 5 2" xfId="33571" xr:uid="{00000000-0005-0000-0000-00006A920000}"/>
    <cellStyle name="Warning Text 4 7 5 3" xfId="28344" xr:uid="{00000000-0005-0000-0000-00006B920000}"/>
    <cellStyle name="Warning Text 4 7 6" xfId="27697" xr:uid="{00000000-0005-0000-0000-00006C920000}"/>
    <cellStyle name="Warning Text 4 8" xfId="3266" xr:uid="{00000000-0005-0000-0000-00006D920000}"/>
    <cellStyle name="Warning Text 4 8 2" xfId="10435" xr:uid="{00000000-0005-0000-0000-00006E920000}"/>
    <cellStyle name="Warning Text 4 8 2 2" xfId="11076" xr:uid="{00000000-0005-0000-0000-00006F920000}"/>
    <cellStyle name="Warning Text 4 8 2 3" xfId="28861" xr:uid="{00000000-0005-0000-0000-000070920000}"/>
    <cellStyle name="Warning Text 4 8 3" xfId="11427" xr:uid="{00000000-0005-0000-0000-000071920000}"/>
    <cellStyle name="Warning Text 4 8 3 2" xfId="28717" xr:uid="{00000000-0005-0000-0000-000072920000}"/>
    <cellStyle name="Warning Text 4 8 3 3" xfId="34244" xr:uid="{00000000-0005-0000-0000-000073920000}"/>
    <cellStyle name="Warning Text 4 8 4" xfId="10865" xr:uid="{00000000-0005-0000-0000-000074920000}"/>
    <cellStyle name="Warning Text 4 8 5" xfId="10284" xr:uid="{00000000-0005-0000-0000-000075920000}"/>
    <cellStyle name="Warning Text 4 8 5 2" xfId="33572" xr:uid="{00000000-0005-0000-0000-000076920000}"/>
    <cellStyle name="Warning Text 4 8 5 3" xfId="28345" xr:uid="{00000000-0005-0000-0000-000077920000}"/>
    <cellStyle name="Warning Text 4 8 6" xfId="27698" xr:uid="{00000000-0005-0000-0000-000078920000}"/>
    <cellStyle name="Warning Text 4 9" xfId="3267" xr:uid="{00000000-0005-0000-0000-000079920000}"/>
    <cellStyle name="Warning Text 4 9 2" xfId="10436" xr:uid="{00000000-0005-0000-0000-00007A920000}"/>
    <cellStyle name="Warning Text 4 9 2 2" xfId="10867" xr:uid="{00000000-0005-0000-0000-00007B920000}"/>
    <cellStyle name="Warning Text 4 9 2 3" xfId="28862" xr:uid="{00000000-0005-0000-0000-00007C920000}"/>
    <cellStyle name="Warning Text 4 9 3" xfId="11428" xr:uid="{00000000-0005-0000-0000-00007D920000}"/>
    <cellStyle name="Warning Text 4 9 3 2" xfId="28718" xr:uid="{00000000-0005-0000-0000-00007E920000}"/>
    <cellStyle name="Warning Text 4 9 3 3" xfId="34245" xr:uid="{00000000-0005-0000-0000-00007F920000}"/>
    <cellStyle name="Warning Text 4 9 4" xfId="10866" xr:uid="{00000000-0005-0000-0000-000080920000}"/>
    <cellStyle name="Warning Text 4 9 5" xfId="10285" xr:uid="{00000000-0005-0000-0000-000081920000}"/>
    <cellStyle name="Warning Text 4 9 5 2" xfId="33573" xr:uid="{00000000-0005-0000-0000-000082920000}"/>
    <cellStyle name="Warning Text 4 9 5 3" xfId="28346" xr:uid="{00000000-0005-0000-0000-000083920000}"/>
    <cellStyle name="Warning Text 4 9 6" xfId="27699" xr:uid="{00000000-0005-0000-0000-000084920000}"/>
    <cellStyle name="Warning Text 40" xfId="40752" xr:uid="{00000000-0005-0000-0000-000044130000}"/>
    <cellStyle name="Warning Text 41" xfId="40753" xr:uid="{00000000-0005-0000-0000-000045130000}"/>
    <cellStyle name="Warning Text 5" xfId="3268" xr:uid="{00000000-0005-0000-0000-000085920000}"/>
    <cellStyle name="Warning Text 5 10" xfId="3269" xr:uid="{00000000-0005-0000-0000-000086920000}"/>
    <cellStyle name="Warning Text 5 10 2" xfId="10438" xr:uid="{00000000-0005-0000-0000-000087920000}"/>
    <cellStyle name="Warning Text 5 10 2 2" xfId="11079" xr:uid="{00000000-0005-0000-0000-000088920000}"/>
    <cellStyle name="Warning Text 5 10 2 3" xfId="28864" xr:uid="{00000000-0005-0000-0000-000089920000}"/>
    <cellStyle name="Warning Text 5 10 3" xfId="11430" xr:uid="{00000000-0005-0000-0000-00008A920000}"/>
    <cellStyle name="Warning Text 5 10 3 2" xfId="28720" xr:uid="{00000000-0005-0000-0000-00008B920000}"/>
    <cellStyle name="Warning Text 5 10 3 3" xfId="34247" xr:uid="{00000000-0005-0000-0000-00008C920000}"/>
    <cellStyle name="Warning Text 5 10 4" xfId="10868" xr:uid="{00000000-0005-0000-0000-00008D920000}"/>
    <cellStyle name="Warning Text 5 10 5" xfId="10287" xr:uid="{00000000-0005-0000-0000-00008E920000}"/>
    <cellStyle name="Warning Text 5 10 5 2" xfId="33575" xr:uid="{00000000-0005-0000-0000-00008F920000}"/>
    <cellStyle name="Warning Text 5 10 5 3" xfId="28348" xr:uid="{00000000-0005-0000-0000-000090920000}"/>
    <cellStyle name="Warning Text 5 10 6" xfId="27701" xr:uid="{00000000-0005-0000-0000-000091920000}"/>
    <cellStyle name="Warning Text 5 11" xfId="3270" xr:uid="{00000000-0005-0000-0000-000092920000}"/>
    <cellStyle name="Warning Text 5 11 2" xfId="10439" xr:uid="{00000000-0005-0000-0000-000093920000}"/>
    <cellStyle name="Warning Text 5 11 2 2" xfId="10869" xr:uid="{00000000-0005-0000-0000-000094920000}"/>
    <cellStyle name="Warning Text 5 11 2 3" xfId="28865" xr:uid="{00000000-0005-0000-0000-000095920000}"/>
    <cellStyle name="Warning Text 5 11 3" xfId="11431" xr:uid="{00000000-0005-0000-0000-000096920000}"/>
    <cellStyle name="Warning Text 5 11 3 2" xfId="28721" xr:uid="{00000000-0005-0000-0000-000097920000}"/>
    <cellStyle name="Warning Text 5 11 3 3" xfId="34248" xr:uid="{00000000-0005-0000-0000-000098920000}"/>
    <cellStyle name="Warning Text 5 11 4" xfId="11077" xr:uid="{00000000-0005-0000-0000-000099920000}"/>
    <cellStyle name="Warning Text 5 11 5" xfId="10288" xr:uid="{00000000-0005-0000-0000-00009A920000}"/>
    <cellStyle name="Warning Text 5 11 5 2" xfId="33576" xr:uid="{00000000-0005-0000-0000-00009B920000}"/>
    <cellStyle name="Warning Text 5 11 5 3" xfId="28349" xr:uid="{00000000-0005-0000-0000-00009C920000}"/>
    <cellStyle name="Warning Text 5 11 6" xfId="27702" xr:uid="{00000000-0005-0000-0000-00009D920000}"/>
    <cellStyle name="Warning Text 5 12" xfId="10437" xr:uid="{00000000-0005-0000-0000-00009E920000}"/>
    <cellStyle name="Warning Text 5 12 2" xfId="11080" xr:uid="{00000000-0005-0000-0000-00009F920000}"/>
    <cellStyle name="Warning Text 5 12 3" xfId="28863" xr:uid="{00000000-0005-0000-0000-0000A0920000}"/>
    <cellStyle name="Warning Text 5 13" xfId="11429" xr:uid="{00000000-0005-0000-0000-0000A1920000}"/>
    <cellStyle name="Warning Text 5 13 2" xfId="28719" xr:uid="{00000000-0005-0000-0000-0000A2920000}"/>
    <cellStyle name="Warning Text 5 13 3" xfId="34246" xr:uid="{00000000-0005-0000-0000-0000A3920000}"/>
    <cellStyle name="Warning Text 5 14" xfId="11078" xr:uid="{00000000-0005-0000-0000-0000A4920000}"/>
    <cellStyle name="Warning Text 5 15" xfId="10286" xr:uid="{00000000-0005-0000-0000-0000A5920000}"/>
    <cellStyle name="Warning Text 5 15 2" xfId="33574" xr:uid="{00000000-0005-0000-0000-0000A6920000}"/>
    <cellStyle name="Warning Text 5 15 3" xfId="28347" xr:uid="{00000000-0005-0000-0000-0000A7920000}"/>
    <cellStyle name="Warning Text 5 16" xfId="27700" xr:uid="{00000000-0005-0000-0000-0000A8920000}"/>
    <cellStyle name="Warning Text 5 2" xfId="3271" xr:uid="{00000000-0005-0000-0000-0000A9920000}"/>
    <cellStyle name="Warning Text 5 2 2" xfId="10440" xr:uid="{00000000-0005-0000-0000-0000AA920000}"/>
    <cellStyle name="Warning Text 5 2 2 2" xfId="11081" xr:uid="{00000000-0005-0000-0000-0000AB920000}"/>
    <cellStyle name="Warning Text 5 2 2 3" xfId="28866" xr:uid="{00000000-0005-0000-0000-0000AC920000}"/>
    <cellStyle name="Warning Text 5 2 3" xfId="11432" xr:uid="{00000000-0005-0000-0000-0000AD920000}"/>
    <cellStyle name="Warning Text 5 2 3 2" xfId="28722" xr:uid="{00000000-0005-0000-0000-0000AE920000}"/>
    <cellStyle name="Warning Text 5 2 3 3" xfId="34249" xr:uid="{00000000-0005-0000-0000-0000AF920000}"/>
    <cellStyle name="Warning Text 5 2 4" xfId="10870" xr:uid="{00000000-0005-0000-0000-0000B0920000}"/>
    <cellStyle name="Warning Text 5 2 5" xfId="10289" xr:uid="{00000000-0005-0000-0000-0000B1920000}"/>
    <cellStyle name="Warning Text 5 2 5 2" xfId="33577" xr:uid="{00000000-0005-0000-0000-0000B2920000}"/>
    <cellStyle name="Warning Text 5 2 5 3" xfId="28350" xr:uid="{00000000-0005-0000-0000-0000B3920000}"/>
    <cellStyle name="Warning Text 5 2 6" xfId="27703" xr:uid="{00000000-0005-0000-0000-0000B4920000}"/>
    <cellStyle name="Warning Text 5 3" xfId="3272" xr:uid="{00000000-0005-0000-0000-0000B5920000}"/>
    <cellStyle name="Warning Text 5 3 2" xfId="10441" xr:uid="{00000000-0005-0000-0000-0000B6920000}"/>
    <cellStyle name="Warning Text 5 3 2 2" xfId="11082" xr:uid="{00000000-0005-0000-0000-0000B7920000}"/>
    <cellStyle name="Warning Text 5 3 2 3" xfId="28867" xr:uid="{00000000-0005-0000-0000-0000B8920000}"/>
    <cellStyle name="Warning Text 5 3 3" xfId="11433" xr:uid="{00000000-0005-0000-0000-0000B9920000}"/>
    <cellStyle name="Warning Text 5 3 3 2" xfId="28723" xr:uid="{00000000-0005-0000-0000-0000BA920000}"/>
    <cellStyle name="Warning Text 5 3 3 3" xfId="34250" xr:uid="{00000000-0005-0000-0000-0000BB920000}"/>
    <cellStyle name="Warning Text 5 3 4" xfId="10871" xr:uid="{00000000-0005-0000-0000-0000BC920000}"/>
    <cellStyle name="Warning Text 5 3 5" xfId="10290" xr:uid="{00000000-0005-0000-0000-0000BD920000}"/>
    <cellStyle name="Warning Text 5 3 5 2" xfId="33578" xr:uid="{00000000-0005-0000-0000-0000BE920000}"/>
    <cellStyle name="Warning Text 5 3 5 3" xfId="28351" xr:uid="{00000000-0005-0000-0000-0000BF920000}"/>
    <cellStyle name="Warning Text 5 3 6" xfId="27704" xr:uid="{00000000-0005-0000-0000-0000C0920000}"/>
    <cellStyle name="Warning Text 5 4" xfId="3273" xr:uid="{00000000-0005-0000-0000-0000C1920000}"/>
    <cellStyle name="Warning Text 5 4 2" xfId="10442" xr:uid="{00000000-0005-0000-0000-0000C2920000}"/>
    <cellStyle name="Warning Text 5 4 2 2" xfId="11083" xr:uid="{00000000-0005-0000-0000-0000C3920000}"/>
    <cellStyle name="Warning Text 5 4 2 3" xfId="28868" xr:uid="{00000000-0005-0000-0000-0000C4920000}"/>
    <cellStyle name="Warning Text 5 4 3" xfId="11434" xr:uid="{00000000-0005-0000-0000-0000C5920000}"/>
    <cellStyle name="Warning Text 5 4 3 2" xfId="28724" xr:uid="{00000000-0005-0000-0000-0000C6920000}"/>
    <cellStyle name="Warning Text 5 4 3 3" xfId="34251" xr:uid="{00000000-0005-0000-0000-0000C7920000}"/>
    <cellStyle name="Warning Text 5 4 4" xfId="10872" xr:uid="{00000000-0005-0000-0000-0000C8920000}"/>
    <cellStyle name="Warning Text 5 4 5" xfId="10291" xr:uid="{00000000-0005-0000-0000-0000C9920000}"/>
    <cellStyle name="Warning Text 5 4 5 2" xfId="33579" xr:uid="{00000000-0005-0000-0000-0000CA920000}"/>
    <cellStyle name="Warning Text 5 4 5 3" xfId="28352" xr:uid="{00000000-0005-0000-0000-0000CB920000}"/>
    <cellStyle name="Warning Text 5 4 6" xfId="27705" xr:uid="{00000000-0005-0000-0000-0000CC920000}"/>
    <cellStyle name="Warning Text 5 5" xfId="3274" xr:uid="{00000000-0005-0000-0000-0000CD920000}"/>
    <cellStyle name="Warning Text 5 5 2" xfId="10443" xr:uid="{00000000-0005-0000-0000-0000CE920000}"/>
    <cellStyle name="Warning Text 5 5 2 2" xfId="11084" xr:uid="{00000000-0005-0000-0000-0000CF920000}"/>
    <cellStyle name="Warning Text 5 5 2 3" xfId="28869" xr:uid="{00000000-0005-0000-0000-0000D0920000}"/>
    <cellStyle name="Warning Text 5 5 3" xfId="11435" xr:uid="{00000000-0005-0000-0000-0000D1920000}"/>
    <cellStyle name="Warning Text 5 5 3 2" xfId="28725" xr:uid="{00000000-0005-0000-0000-0000D2920000}"/>
    <cellStyle name="Warning Text 5 5 3 3" xfId="34252" xr:uid="{00000000-0005-0000-0000-0000D3920000}"/>
    <cellStyle name="Warning Text 5 5 4" xfId="10873" xr:uid="{00000000-0005-0000-0000-0000D4920000}"/>
    <cellStyle name="Warning Text 5 5 5" xfId="10292" xr:uid="{00000000-0005-0000-0000-0000D5920000}"/>
    <cellStyle name="Warning Text 5 5 5 2" xfId="33580" xr:uid="{00000000-0005-0000-0000-0000D6920000}"/>
    <cellStyle name="Warning Text 5 5 5 3" xfId="28353" xr:uid="{00000000-0005-0000-0000-0000D7920000}"/>
    <cellStyle name="Warning Text 5 5 6" xfId="27706" xr:uid="{00000000-0005-0000-0000-0000D8920000}"/>
    <cellStyle name="Warning Text 5 6" xfId="3275" xr:uid="{00000000-0005-0000-0000-0000D9920000}"/>
    <cellStyle name="Warning Text 5 6 2" xfId="10444" xr:uid="{00000000-0005-0000-0000-0000DA920000}"/>
    <cellStyle name="Warning Text 5 6 2 2" xfId="11085" xr:uid="{00000000-0005-0000-0000-0000DB920000}"/>
    <cellStyle name="Warning Text 5 6 2 3" xfId="28870" xr:uid="{00000000-0005-0000-0000-0000DC920000}"/>
    <cellStyle name="Warning Text 5 6 3" xfId="11436" xr:uid="{00000000-0005-0000-0000-0000DD920000}"/>
    <cellStyle name="Warning Text 5 6 3 2" xfId="28726" xr:uid="{00000000-0005-0000-0000-0000DE920000}"/>
    <cellStyle name="Warning Text 5 6 3 3" xfId="34253" xr:uid="{00000000-0005-0000-0000-0000DF920000}"/>
    <cellStyle name="Warning Text 5 6 4" xfId="10874" xr:uid="{00000000-0005-0000-0000-0000E0920000}"/>
    <cellStyle name="Warning Text 5 6 5" xfId="10293" xr:uid="{00000000-0005-0000-0000-0000E1920000}"/>
    <cellStyle name="Warning Text 5 6 5 2" xfId="33581" xr:uid="{00000000-0005-0000-0000-0000E2920000}"/>
    <cellStyle name="Warning Text 5 6 5 3" xfId="28354" xr:uid="{00000000-0005-0000-0000-0000E3920000}"/>
    <cellStyle name="Warning Text 5 6 6" xfId="27707" xr:uid="{00000000-0005-0000-0000-0000E4920000}"/>
    <cellStyle name="Warning Text 5 7" xfId="3276" xr:uid="{00000000-0005-0000-0000-0000E5920000}"/>
    <cellStyle name="Warning Text 5 7 2" xfId="10445" xr:uid="{00000000-0005-0000-0000-0000E6920000}"/>
    <cellStyle name="Warning Text 5 7 2 2" xfId="11086" xr:uid="{00000000-0005-0000-0000-0000E7920000}"/>
    <cellStyle name="Warning Text 5 7 2 3" xfId="28871" xr:uid="{00000000-0005-0000-0000-0000E8920000}"/>
    <cellStyle name="Warning Text 5 7 3" xfId="11437" xr:uid="{00000000-0005-0000-0000-0000E9920000}"/>
    <cellStyle name="Warning Text 5 7 3 2" xfId="28727" xr:uid="{00000000-0005-0000-0000-0000EA920000}"/>
    <cellStyle name="Warning Text 5 7 3 3" xfId="34254" xr:uid="{00000000-0005-0000-0000-0000EB920000}"/>
    <cellStyle name="Warning Text 5 7 4" xfId="10875" xr:uid="{00000000-0005-0000-0000-0000EC920000}"/>
    <cellStyle name="Warning Text 5 7 5" xfId="10294" xr:uid="{00000000-0005-0000-0000-0000ED920000}"/>
    <cellStyle name="Warning Text 5 7 5 2" xfId="33582" xr:uid="{00000000-0005-0000-0000-0000EE920000}"/>
    <cellStyle name="Warning Text 5 7 5 3" xfId="28355" xr:uid="{00000000-0005-0000-0000-0000EF920000}"/>
    <cellStyle name="Warning Text 5 7 6" xfId="27708" xr:uid="{00000000-0005-0000-0000-0000F0920000}"/>
    <cellStyle name="Warning Text 5 8" xfId="3277" xr:uid="{00000000-0005-0000-0000-0000F1920000}"/>
    <cellStyle name="Warning Text 5 8 2" xfId="10446" xr:uid="{00000000-0005-0000-0000-0000F2920000}"/>
    <cellStyle name="Warning Text 5 8 2 2" xfId="11087" xr:uid="{00000000-0005-0000-0000-0000F3920000}"/>
    <cellStyle name="Warning Text 5 8 2 3" xfId="28872" xr:uid="{00000000-0005-0000-0000-0000F4920000}"/>
    <cellStyle name="Warning Text 5 8 3" xfId="11438" xr:uid="{00000000-0005-0000-0000-0000F5920000}"/>
    <cellStyle name="Warning Text 5 8 3 2" xfId="28728" xr:uid="{00000000-0005-0000-0000-0000F6920000}"/>
    <cellStyle name="Warning Text 5 8 3 3" xfId="34255" xr:uid="{00000000-0005-0000-0000-0000F7920000}"/>
    <cellStyle name="Warning Text 5 8 4" xfId="10876" xr:uid="{00000000-0005-0000-0000-0000F8920000}"/>
    <cellStyle name="Warning Text 5 8 5" xfId="10295" xr:uid="{00000000-0005-0000-0000-0000F9920000}"/>
    <cellStyle name="Warning Text 5 8 5 2" xfId="33583" xr:uid="{00000000-0005-0000-0000-0000FA920000}"/>
    <cellStyle name="Warning Text 5 8 5 3" xfId="28356" xr:uid="{00000000-0005-0000-0000-0000FB920000}"/>
    <cellStyle name="Warning Text 5 8 6" xfId="27709" xr:uid="{00000000-0005-0000-0000-0000FC920000}"/>
    <cellStyle name="Warning Text 5 9" xfId="3278" xr:uid="{00000000-0005-0000-0000-0000FD920000}"/>
    <cellStyle name="Warning Text 5 9 2" xfId="10447" xr:uid="{00000000-0005-0000-0000-0000FE920000}"/>
    <cellStyle name="Warning Text 5 9 2 2" xfId="10878" xr:uid="{00000000-0005-0000-0000-0000FF920000}"/>
    <cellStyle name="Warning Text 5 9 2 3" xfId="28873" xr:uid="{00000000-0005-0000-0000-000000930000}"/>
    <cellStyle name="Warning Text 5 9 3" xfId="11439" xr:uid="{00000000-0005-0000-0000-000001930000}"/>
    <cellStyle name="Warning Text 5 9 3 2" xfId="28729" xr:uid="{00000000-0005-0000-0000-000002930000}"/>
    <cellStyle name="Warning Text 5 9 3 3" xfId="34256" xr:uid="{00000000-0005-0000-0000-000003930000}"/>
    <cellStyle name="Warning Text 5 9 4" xfId="10877" xr:uid="{00000000-0005-0000-0000-000004930000}"/>
    <cellStyle name="Warning Text 5 9 5" xfId="10296" xr:uid="{00000000-0005-0000-0000-000005930000}"/>
    <cellStyle name="Warning Text 5 9 5 2" xfId="33584" xr:uid="{00000000-0005-0000-0000-000006930000}"/>
    <cellStyle name="Warning Text 5 9 5 3" xfId="28357" xr:uid="{00000000-0005-0000-0000-000007930000}"/>
    <cellStyle name="Warning Text 5 9 6" xfId="27710" xr:uid="{00000000-0005-0000-0000-000008930000}"/>
    <cellStyle name="Warning Text 6" xfId="3279" xr:uid="{00000000-0005-0000-0000-000009930000}"/>
    <cellStyle name="Warning Text 6 10" xfId="3280" xr:uid="{00000000-0005-0000-0000-00000A930000}"/>
    <cellStyle name="Warning Text 6 10 2" xfId="10449" xr:uid="{00000000-0005-0000-0000-00000B930000}"/>
    <cellStyle name="Warning Text 6 10 2 2" xfId="11090" xr:uid="{00000000-0005-0000-0000-00000C930000}"/>
    <cellStyle name="Warning Text 6 10 2 3" xfId="28875" xr:uid="{00000000-0005-0000-0000-00000D930000}"/>
    <cellStyle name="Warning Text 6 10 3" xfId="11441" xr:uid="{00000000-0005-0000-0000-00000E930000}"/>
    <cellStyle name="Warning Text 6 10 3 2" xfId="28731" xr:uid="{00000000-0005-0000-0000-00000F930000}"/>
    <cellStyle name="Warning Text 6 10 3 3" xfId="34258" xr:uid="{00000000-0005-0000-0000-000010930000}"/>
    <cellStyle name="Warning Text 6 10 4" xfId="10879" xr:uid="{00000000-0005-0000-0000-000011930000}"/>
    <cellStyle name="Warning Text 6 10 5" xfId="10298" xr:uid="{00000000-0005-0000-0000-000012930000}"/>
    <cellStyle name="Warning Text 6 10 5 2" xfId="33586" xr:uid="{00000000-0005-0000-0000-000013930000}"/>
    <cellStyle name="Warning Text 6 10 5 3" xfId="28359" xr:uid="{00000000-0005-0000-0000-000014930000}"/>
    <cellStyle name="Warning Text 6 10 6" xfId="27712" xr:uid="{00000000-0005-0000-0000-000015930000}"/>
    <cellStyle name="Warning Text 6 11" xfId="3281" xr:uid="{00000000-0005-0000-0000-000016930000}"/>
    <cellStyle name="Warning Text 6 11 2" xfId="10450" xr:uid="{00000000-0005-0000-0000-000017930000}"/>
    <cellStyle name="Warning Text 6 11 2 2" xfId="10880" xr:uid="{00000000-0005-0000-0000-000018930000}"/>
    <cellStyle name="Warning Text 6 11 2 3" xfId="28876" xr:uid="{00000000-0005-0000-0000-000019930000}"/>
    <cellStyle name="Warning Text 6 11 3" xfId="11442" xr:uid="{00000000-0005-0000-0000-00001A930000}"/>
    <cellStyle name="Warning Text 6 11 3 2" xfId="28732" xr:uid="{00000000-0005-0000-0000-00001B930000}"/>
    <cellStyle name="Warning Text 6 11 3 3" xfId="34259" xr:uid="{00000000-0005-0000-0000-00001C930000}"/>
    <cellStyle name="Warning Text 6 11 4" xfId="11088" xr:uid="{00000000-0005-0000-0000-00001D930000}"/>
    <cellStyle name="Warning Text 6 11 5" xfId="10299" xr:uid="{00000000-0005-0000-0000-00001E930000}"/>
    <cellStyle name="Warning Text 6 11 5 2" xfId="33587" xr:uid="{00000000-0005-0000-0000-00001F930000}"/>
    <cellStyle name="Warning Text 6 11 5 3" xfId="28360" xr:uid="{00000000-0005-0000-0000-000020930000}"/>
    <cellStyle name="Warning Text 6 11 6" xfId="27713" xr:uid="{00000000-0005-0000-0000-000021930000}"/>
    <cellStyle name="Warning Text 6 12" xfId="10448" xr:uid="{00000000-0005-0000-0000-000022930000}"/>
    <cellStyle name="Warning Text 6 12 2" xfId="11091" xr:uid="{00000000-0005-0000-0000-000023930000}"/>
    <cellStyle name="Warning Text 6 12 3" xfId="28874" xr:uid="{00000000-0005-0000-0000-000024930000}"/>
    <cellStyle name="Warning Text 6 13" xfId="11440" xr:uid="{00000000-0005-0000-0000-000025930000}"/>
    <cellStyle name="Warning Text 6 13 2" xfId="28730" xr:uid="{00000000-0005-0000-0000-000026930000}"/>
    <cellStyle name="Warning Text 6 13 3" xfId="34257" xr:uid="{00000000-0005-0000-0000-000027930000}"/>
    <cellStyle name="Warning Text 6 14" xfId="11089" xr:uid="{00000000-0005-0000-0000-000028930000}"/>
    <cellStyle name="Warning Text 6 15" xfId="10297" xr:uid="{00000000-0005-0000-0000-000029930000}"/>
    <cellStyle name="Warning Text 6 15 2" xfId="33585" xr:uid="{00000000-0005-0000-0000-00002A930000}"/>
    <cellStyle name="Warning Text 6 15 3" xfId="28358" xr:uid="{00000000-0005-0000-0000-00002B930000}"/>
    <cellStyle name="Warning Text 6 16" xfId="27711" xr:uid="{00000000-0005-0000-0000-00002C930000}"/>
    <cellStyle name="Warning Text 6 2" xfId="3282" xr:uid="{00000000-0005-0000-0000-00002D930000}"/>
    <cellStyle name="Warning Text 6 2 2" xfId="10451" xr:uid="{00000000-0005-0000-0000-00002E930000}"/>
    <cellStyle name="Warning Text 6 2 2 2" xfId="11092" xr:uid="{00000000-0005-0000-0000-00002F930000}"/>
    <cellStyle name="Warning Text 6 2 2 3" xfId="28877" xr:uid="{00000000-0005-0000-0000-000030930000}"/>
    <cellStyle name="Warning Text 6 2 3" xfId="11443" xr:uid="{00000000-0005-0000-0000-000031930000}"/>
    <cellStyle name="Warning Text 6 2 3 2" xfId="28733" xr:uid="{00000000-0005-0000-0000-000032930000}"/>
    <cellStyle name="Warning Text 6 2 3 3" xfId="34260" xr:uid="{00000000-0005-0000-0000-000033930000}"/>
    <cellStyle name="Warning Text 6 2 4" xfId="10881" xr:uid="{00000000-0005-0000-0000-000034930000}"/>
    <cellStyle name="Warning Text 6 2 5" xfId="10300" xr:uid="{00000000-0005-0000-0000-000035930000}"/>
    <cellStyle name="Warning Text 6 2 5 2" xfId="33588" xr:uid="{00000000-0005-0000-0000-000036930000}"/>
    <cellStyle name="Warning Text 6 2 5 3" xfId="28361" xr:uid="{00000000-0005-0000-0000-000037930000}"/>
    <cellStyle name="Warning Text 6 2 6" xfId="27714" xr:uid="{00000000-0005-0000-0000-000038930000}"/>
    <cellStyle name="Warning Text 6 3" xfId="3283" xr:uid="{00000000-0005-0000-0000-000039930000}"/>
    <cellStyle name="Warning Text 6 3 2" xfId="10452" xr:uid="{00000000-0005-0000-0000-00003A930000}"/>
    <cellStyle name="Warning Text 6 3 2 2" xfId="11093" xr:uid="{00000000-0005-0000-0000-00003B930000}"/>
    <cellStyle name="Warning Text 6 3 2 3" xfId="28878" xr:uid="{00000000-0005-0000-0000-00003C930000}"/>
    <cellStyle name="Warning Text 6 3 3" xfId="11444" xr:uid="{00000000-0005-0000-0000-00003D930000}"/>
    <cellStyle name="Warning Text 6 3 3 2" xfId="28734" xr:uid="{00000000-0005-0000-0000-00003E930000}"/>
    <cellStyle name="Warning Text 6 3 3 3" xfId="34261" xr:uid="{00000000-0005-0000-0000-00003F930000}"/>
    <cellStyle name="Warning Text 6 3 4" xfId="10882" xr:uid="{00000000-0005-0000-0000-000040930000}"/>
    <cellStyle name="Warning Text 6 3 5" xfId="10301" xr:uid="{00000000-0005-0000-0000-000041930000}"/>
    <cellStyle name="Warning Text 6 3 5 2" xfId="33589" xr:uid="{00000000-0005-0000-0000-000042930000}"/>
    <cellStyle name="Warning Text 6 3 5 3" xfId="28362" xr:uid="{00000000-0005-0000-0000-000043930000}"/>
    <cellStyle name="Warning Text 6 3 6" xfId="27715" xr:uid="{00000000-0005-0000-0000-000044930000}"/>
    <cellStyle name="Warning Text 6 4" xfId="3284" xr:uid="{00000000-0005-0000-0000-000045930000}"/>
    <cellStyle name="Warning Text 6 4 2" xfId="10453" xr:uid="{00000000-0005-0000-0000-000046930000}"/>
    <cellStyle name="Warning Text 6 4 2 2" xfId="11094" xr:uid="{00000000-0005-0000-0000-000047930000}"/>
    <cellStyle name="Warning Text 6 4 2 3" xfId="28879" xr:uid="{00000000-0005-0000-0000-000048930000}"/>
    <cellStyle name="Warning Text 6 4 3" xfId="11445" xr:uid="{00000000-0005-0000-0000-000049930000}"/>
    <cellStyle name="Warning Text 6 4 3 2" xfId="28735" xr:uid="{00000000-0005-0000-0000-00004A930000}"/>
    <cellStyle name="Warning Text 6 4 3 3" xfId="34262" xr:uid="{00000000-0005-0000-0000-00004B930000}"/>
    <cellStyle name="Warning Text 6 4 4" xfId="10883" xr:uid="{00000000-0005-0000-0000-00004C930000}"/>
    <cellStyle name="Warning Text 6 4 5" xfId="10302" xr:uid="{00000000-0005-0000-0000-00004D930000}"/>
    <cellStyle name="Warning Text 6 4 5 2" xfId="33590" xr:uid="{00000000-0005-0000-0000-00004E930000}"/>
    <cellStyle name="Warning Text 6 4 5 3" xfId="28363" xr:uid="{00000000-0005-0000-0000-00004F930000}"/>
    <cellStyle name="Warning Text 6 4 6" xfId="27716" xr:uid="{00000000-0005-0000-0000-000050930000}"/>
    <cellStyle name="Warning Text 6 5" xfId="3285" xr:uid="{00000000-0005-0000-0000-000051930000}"/>
    <cellStyle name="Warning Text 6 5 2" xfId="10454" xr:uid="{00000000-0005-0000-0000-000052930000}"/>
    <cellStyle name="Warning Text 6 5 2 2" xfId="11095" xr:uid="{00000000-0005-0000-0000-000053930000}"/>
    <cellStyle name="Warning Text 6 5 2 3" xfId="28880" xr:uid="{00000000-0005-0000-0000-000054930000}"/>
    <cellStyle name="Warning Text 6 5 3" xfId="11446" xr:uid="{00000000-0005-0000-0000-000055930000}"/>
    <cellStyle name="Warning Text 6 5 3 2" xfId="28736" xr:uid="{00000000-0005-0000-0000-000056930000}"/>
    <cellStyle name="Warning Text 6 5 3 3" xfId="34263" xr:uid="{00000000-0005-0000-0000-000057930000}"/>
    <cellStyle name="Warning Text 6 5 4" xfId="10884" xr:uid="{00000000-0005-0000-0000-000058930000}"/>
    <cellStyle name="Warning Text 6 5 5" xfId="10303" xr:uid="{00000000-0005-0000-0000-000059930000}"/>
    <cellStyle name="Warning Text 6 5 5 2" xfId="33591" xr:uid="{00000000-0005-0000-0000-00005A930000}"/>
    <cellStyle name="Warning Text 6 5 5 3" xfId="28364" xr:uid="{00000000-0005-0000-0000-00005B930000}"/>
    <cellStyle name="Warning Text 6 5 6" xfId="27717" xr:uid="{00000000-0005-0000-0000-00005C930000}"/>
    <cellStyle name="Warning Text 6 6" xfId="3286" xr:uid="{00000000-0005-0000-0000-00005D930000}"/>
    <cellStyle name="Warning Text 6 6 2" xfId="10455" xr:uid="{00000000-0005-0000-0000-00005E930000}"/>
    <cellStyle name="Warning Text 6 6 2 2" xfId="11096" xr:uid="{00000000-0005-0000-0000-00005F930000}"/>
    <cellStyle name="Warning Text 6 6 2 3" xfId="28881" xr:uid="{00000000-0005-0000-0000-000060930000}"/>
    <cellStyle name="Warning Text 6 6 3" xfId="11447" xr:uid="{00000000-0005-0000-0000-000061930000}"/>
    <cellStyle name="Warning Text 6 6 3 2" xfId="28737" xr:uid="{00000000-0005-0000-0000-000062930000}"/>
    <cellStyle name="Warning Text 6 6 3 3" xfId="34264" xr:uid="{00000000-0005-0000-0000-000063930000}"/>
    <cellStyle name="Warning Text 6 6 4" xfId="10885" xr:uid="{00000000-0005-0000-0000-000064930000}"/>
    <cellStyle name="Warning Text 6 6 5" xfId="10304" xr:uid="{00000000-0005-0000-0000-000065930000}"/>
    <cellStyle name="Warning Text 6 6 5 2" xfId="33592" xr:uid="{00000000-0005-0000-0000-000066930000}"/>
    <cellStyle name="Warning Text 6 6 5 3" xfId="28365" xr:uid="{00000000-0005-0000-0000-000067930000}"/>
    <cellStyle name="Warning Text 6 6 6" xfId="27718" xr:uid="{00000000-0005-0000-0000-000068930000}"/>
    <cellStyle name="Warning Text 6 7" xfId="3287" xr:uid="{00000000-0005-0000-0000-000069930000}"/>
    <cellStyle name="Warning Text 6 7 2" xfId="10456" xr:uid="{00000000-0005-0000-0000-00006A930000}"/>
    <cellStyle name="Warning Text 6 7 2 2" xfId="11097" xr:uid="{00000000-0005-0000-0000-00006B930000}"/>
    <cellStyle name="Warning Text 6 7 2 3" xfId="28882" xr:uid="{00000000-0005-0000-0000-00006C930000}"/>
    <cellStyle name="Warning Text 6 7 3" xfId="11448" xr:uid="{00000000-0005-0000-0000-00006D930000}"/>
    <cellStyle name="Warning Text 6 7 3 2" xfId="28738" xr:uid="{00000000-0005-0000-0000-00006E930000}"/>
    <cellStyle name="Warning Text 6 7 3 3" xfId="34265" xr:uid="{00000000-0005-0000-0000-00006F930000}"/>
    <cellStyle name="Warning Text 6 7 4" xfId="10886" xr:uid="{00000000-0005-0000-0000-000070930000}"/>
    <cellStyle name="Warning Text 6 7 5" xfId="10305" xr:uid="{00000000-0005-0000-0000-000071930000}"/>
    <cellStyle name="Warning Text 6 7 5 2" xfId="33593" xr:uid="{00000000-0005-0000-0000-000072930000}"/>
    <cellStyle name="Warning Text 6 7 5 3" xfId="28366" xr:uid="{00000000-0005-0000-0000-000073930000}"/>
    <cellStyle name="Warning Text 6 7 6" xfId="27719" xr:uid="{00000000-0005-0000-0000-000074930000}"/>
    <cellStyle name="Warning Text 6 8" xfId="3288" xr:uid="{00000000-0005-0000-0000-000075930000}"/>
    <cellStyle name="Warning Text 6 8 2" xfId="10457" xr:uid="{00000000-0005-0000-0000-000076930000}"/>
    <cellStyle name="Warning Text 6 8 2 2" xfId="11098" xr:uid="{00000000-0005-0000-0000-000077930000}"/>
    <cellStyle name="Warning Text 6 8 2 3" xfId="28883" xr:uid="{00000000-0005-0000-0000-000078930000}"/>
    <cellStyle name="Warning Text 6 8 3" xfId="11449" xr:uid="{00000000-0005-0000-0000-000079930000}"/>
    <cellStyle name="Warning Text 6 8 3 2" xfId="28739" xr:uid="{00000000-0005-0000-0000-00007A930000}"/>
    <cellStyle name="Warning Text 6 8 3 3" xfId="34266" xr:uid="{00000000-0005-0000-0000-00007B930000}"/>
    <cellStyle name="Warning Text 6 8 4" xfId="10887" xr:uid="{00000000-0005-0000-0000-00007C930000}"/>
    <cellStyle name="Warning Text 6 8 5" xfId="10306" xr:uid="{00000000-0005-0000-0000-00007D930000}"/>
    <cellStyle name="Warning Text 6 8 5 2" xfId="33594" xr:uid="{00000000-0005-0000-0000-00007E930000}"/>
    <cellStyle name="Warning Text 6 8 5 3" xfId="28367" xr:uid="{00000000-0005-0000-0000-00007F930000}"/>
    <cellStyle name="Warning Text 6 8 6" xfId="27720" xr:uid="{00000000-0005-0000-0000-000080930000}"/>
    <cellStyle name="Warning Text 6 9" xfId="3289" xr:uid="{00000000-0005-0000-0000-000081930000}"/>
    <cellStyle name="Warning Text 6 9 2" xfId="10458" xr:uid="{00000000-0005-0000-0000-000082930000}"/>
    <cellStyle name="Warning Text 6 9 2 2" xfId="10889" xr:uid="{00000000-0005-0000-0000-000083930000}"/>
    <cellStyle name="Warning Text 6 9 2 3" xfId="28884" xr:uid="{00000000-0005-0000-0000-000084930000}"/>
    <cellStyle name="Warning Text 6 9 3" xfId="11450" xr:uid="{00000000-0005-0000-0000-000085930000}"/>
    <cellStyle name="Warning Text 6 9 3 2" xfId="28740" xr:uid="{00000000-0005-0000-0000-000086930000}"/>
    <cellStyle name="Warning Text 6 9 3 3" xfId="34267" xr:uid="{00000000-0005-0000-0000-000087930000}"/>
    <cellStyle name="Warning Text 6 9 4" xfId="10888" xr:uid="{00000000-0005-0000-0000-000088930000}"/>
    <cellStyle name="Warning Text 6 9 5" xfId="10307" xr:uid="{00000000-0005-0000-0000-000089930000}"/>
    <cellStyle name="Warning Text 6 9 5 2" xfId="33595" xr:uid="{00000000-0005-0000-0000-00008A930000}"/>
    <cellStyle name="Warning Text 6 9 5 3" xfId="28368" xr:uid="{00000000-0005-0000-0000-00008B930000}"/>
    <cellStyle name="Warning Text 6 9 6" xfId="27721" xr:uid="{00000000-0005-0000-0000-00008C930000}"/>
    <cellStyle name="Warning Text 7" xfId="3290" xr:uid="{00000000-0005-0000-0000-00008D930000}"/>
    <cellStyle name="Warning Text 7 2" xfId="10459" xr:uid="{00000000-0005-0000-0000-00008E930000}"/>
    <cellStyle name="Warning Text 7 2 2" xfId="10890" xr:uid="{00000000-0005-0000-0000-00008F930000}"/>
    <cellStyle name="Warning Text 7 2 3" xfId="28885" xr:uid="{00000000-0005-0000-0000-000090930000}"/>
    <cellStyle name="Warning Text 7 3" xfId="11451" xr:uid="{00000000-0005-0000-0000-000091930000}"/>
    <cellStyle name="Warning Text 7 3 2" xfId="28741" xr:uid="{00000000-0005-0000-0000-000092930000}"/>
    <cellStyle name="Warning Text 7 3 3" xfId="34268" xr:uid="{00000000-0005-0000-0000-000093930000}"/>
    <cellStyle name="Warning Text 7 4" xfId="11100" xr:uid="{00000000-0005-0000-0000-000094930000}"/>
    <cellStyle name="Warning Text 7 5" xfId="10308" xr:uid="{00000000-0005-0000-0000-000095930000}"/>
    <cellStyle name="Warning Text 7 5 2" xfId="33596" xr:uid="{00000000-0005-0000-0000-000096930000}"/>
    <cellStyle name="Warning Text 7 5 3" xfId="28369" xr:uid="{00000000-0005-0000-0000-000097930000}"/>
    <cellStyle name="Warning Text 7 6" xfId="27722" xr:uid="{00000000-0005-0000-0000-000098930000}"/>
    <cellStyle name="Warning Text 8" xfId="3291" xr:uid="{00000000-0005-0000-0000-000099930000}"/>
    <cellStyle name="Warning Text 8 2" xfId="10460" xr:uid="{00000000-0005-0000-0000-00009A930000}"/>
    <cellStyle name="Warning Text 8 2 2" xfId="11099" xr:uid="{00000000-0005-0000-0000-00009B930000}"/>
    <cellStyle name="Warning Text 8 2 3" xfId="28886" xr:uid="{00000000-0005-0000-0000-00009C930000}"/>
    <cellStyle name="Warning Text 8 3" xfId="11452" xr:uid="{00000000-0005-0000-0000-00009D930000}"/>
    <cellStyle name="Warning Text 8 3 2" xfId="28742" xr:uid="{00000000-0005-0000-0000-00009E930000}"/>
    <cellStyle name="Warning Text 8 3 3" xfId="34269" xr:uid="{00000000-0005-0000-0000-00009F930000}"/>
    <cellStyle name="Warning Text 8 4" xfId="11101" xr:uid="{00000000-0005-0000-0000-0000A0930000}"/>
    <cellStyle name="Warning Text 8 5" xfId="10309" xr:uid="{00000000-0005-0000-0000-0000A1930000}"/>
    <cellStyle name="Warning Text 8 5 2" xfId="33597" xr:uid="{00000000-0005-0000-0000-0000A2930000}"/>
    <cellStyle name="Warning Text 8 5 3" xfId="28370" xr:uid="{00000000-0005-0000-0000-0000A3930000}"/>
    <cellStyle name="Warning Text 8 6" xfId="27723" xr:uid="{00000000-0005-0000-0000-0000A4930000}"/>
    <cellStyle name="Warning Text 9" xfId="3292" xr:uid="{00000000-0005-0000-0000-0000A5930000}"/>
    <cellStyle name="Warning Text 9 2" xfId="10461" xr:uid="{00000000-0005-0000-0000-0000A6930000}"/>
    <cellStyle name="Warning Text 9 2 2" xfId="11102" xr:uid="{00000000-0005-0000-0000-0000A7930000}"/>
    <cellStyle name="Warning Text 9 2 3" xfId="28887" xr:uid="{00000000-0005-0000-0000-0000A8930000}"/>
    <cellStyle name="Warning Text 9 3" xfId="11453" xr:uid="{00000000-0005-0000-0000-0000A9930000}"/>
    <cellStyle name="Warning Text 9 3 2" xfId="28743" xr:uid="{00000000-0005-0000-0000-0000AA930000}"/>
    <cellStyle name="Warning Text 9 3 3" xfId="34270" xr:uid="{00000000-0005-0000-0000-0000AB930000}"/>
    <cellStyle name="Warning Text 9 4" xfId="10891" xr:uid="{00000000-0005-0000-0000-0000AC930000}"/>
    <cellStyle name="Warning Text 9 5" xfId="10310" xr:uid="{00000000-0005-0000-0000-0000AD930000}"/>
    <cellStyle name="Warning Text 9 5 2" xfId="33598" xr:uid="{00000000-0005-0000-0000-0000AE930000}"/>
    <cellStyle name="Warning Text 9 5 3" xfId="28371" xr:uid="{00000000-0005-0000-0000-0000AF930000}"/>
    <cellStyle name="Warning Text 9 6" xfId="27724" xr:uid="{00000000-0005-0000-0000-0000B0930000}"/>
    <cellStyle name="Zelle überprüfen" xfId="14114" xr:uid="{00000000-0005-0000-0000-0000B1930000}"/>
    <cellStyle name="Zelle überprüfen 2" xfId="40754" xr:uid="{00000000-0005-0000-0000-00004D130000}"/>
    <cellStyle name="Гиперссылка" xfId="11524" xr:uid="{00000000-0005-0000-0000-0000B2930000}"/>
    <cellStyle name="Гиперссылка 2" xfId="40755" xr:uid="{00000000-0005-0000-0000-00004E130000}"/>
    <cellStyle name="Обычный_2++" xfId="11525" xr:uid="{00000000-0005-0000-0000-0000B3930000}"/>
    <cellStyle name="已访问的超链接" xfId="3320" xr:uid="{00000000-0005-0000-0000-0000B4930000}"/>
    <cellStyle name="已访问的超链接 2" xfId="40756" xr:uid="{00000000-0005-0000-0000-000051130000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333300"/>
      <color rgb="FF33CC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externalLink" Target="externalLinks/externalLink4.xml"/><Relationship Id="rId50" Type="http://schemas.openxmlformats.org/officeDocument/2006/relationships/externalLink" Target="externalLinks/externalLink7.xml"/><Relationship Id="rId55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externalLink" Target="externalLinks/externalLink2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externalLink" Target="externalLinks/externalLink5.xml"/><Relationship Id="rId56" Type="http://schemas.openxmlformats.org/officeDocument/2006/relationships/customXml" Target="../customXml/item2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externalLink" Target="externalLinks/externalLink3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externalLink" Target="externalLinks/externalLink6.xml"/><Relationship Id="rId57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1.xml"/><Relationship Id="rId5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Traffic Profile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'CAR Daily Traffic Profile'!$A$2</c:f>
              <c:strCache>
                <c:ptCount val="1"/>
                <c:pt idx="0">
                  <c:v>LV Hourly Traffic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'CAR Daily Traffic Profile'!$B$1:$Y$1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'CAR Daily Traffic Profile'!$B$2:$Y$2</c:f>
              <c:numCache>
                <c:formatCode>0.00%</c:formatCode>
                <c:ptCount val="24"/>
                <c:pt idx="0">
                  <c:v>7.2442127543775516E-3</c:v>
                </c:pt>
                <c:pt idx="1">
                  <c:v>3.4661262555997258E-3</c:v>
                </c:pt>
                <c:pt idx="2">
                  <c:v>2.2759615648756124E-3</c:v>
                </c:pt>
                <c:pt idx="3">
                  <c:v>2.360912203678435E-3</c:v>
                </c:pt>
                <c:pt idx="4">
                  <c:v>4.2768547262003014E-3</c:v>
                </c:pt>
                <c:pt idx="5">
                  <c:v>9.4182026950720976E-3</c:v>
                </c:pt>
                <c:pt idx="6">
                  <c:v>2.6224089736453779E-2</c:v>
                </c:pt>
                <c:pt idx="7">
                  <c:v>6.7838146963253812E-2</c:v>
                </c:pt>
                <c:pt idx="8">
                  <c:v>8.3724536304458974E-2</c:v>
                </c:pt>
                <c:pt idx="9">
                  <c:v>6.2969542370098608E-2</c:v>
                </c:pt>
                <c:pt idx="10">
                  <c:v>5.0181888234492225E-2</c:v>
                </c:pt>
                <c:pt idx="11">
                  <c:v>5.0574229043026844E-2</c:v>
                </c:pt>
                <c:pt idx="12">
                  <c:v>5.3568114449621625E-2</c:v>
                </c:pt>
                <c:pt idx="13">
                  <c:v>5.6866499820311035E-2</c:v>
                </c:pt>
                <c:pt idx="14">
                  <c:v>5.8992938857289984E-2</c:v>
                </c:pt>
                <c:pt idx="15">
                  <c:v>6.5594095428438207E-2</c:v>
                </c:pt>
                <c:pt idx="16">
                  <c:v>7.9354925084305944E-2</c:v>
                </c:pt>
                <c:pt idx="17">
                  <c:v>9.0368143260179001E-2</c:v>
                </c:pt>
                <c:pt idx="18">
                  <c:v>7.5708490740877543E-2</c:v>
                </c:pt>
                <c:pt idx="19">
                  <c:v>5.2477888318802832E-2</c:v>
                </c:pt>
                <c:pt idx="20">
                  <c:v>3.8086820251309626E-2</c:v>
                </c:pt>
                <c:pt idx="21">
                  <c:v>2.7373373361007015E-2</c:v>
                </c:pt>
                <c:pt idx="22">
                  <c:v>1.9076862381054421E-2</c:v>
                </c:pt>
                <c:pt idx="23">
                  <c:v>1.1977145195214367E-2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6C-4B1D-89F6-23644F660834}"/>
            </c:ext>
          </c:extLst>
        </c:ser>
        <c:ser>
          <c:idx val="1"/>
          <c:order val="1"/>
          <c:tx>
            <c:strRef>
              <c:f>'CAR Daily Traffic Profile'!$A$3</c:f>
              <c:strCache>
                <c:ptCount val="1"/>
                <c:pt idx="0">
                  <c:v>HV Hourly Traffic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'CAR Daily Traffic Profile'!$B$1:$Y$1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'CAR Daily Traffic Profile'!$B$3:$Y$3</c:f>
              <c:numCache>
                <c:formatCode>0.00%</c:formatCode>
                <c:ptCount val="24"/>
                <c:pt idx="0">
                  <c:v>1.1044305847476852E-2</c:v>
                </c:pt>
                <c:pt idx="1">
                  <c:v>9.3898476747675749E-3</c:v>
                </c:pt>
                <c:pt idx="2">
                  <c:v>9.1487386887110882E-3</c:v>
                </c:pt>
                <c:pt idx="3">
                  <c:v>1.0915166583632469E-2</c:v>
                </c:pt>
                <c:pt idx="4">
                  <c:v>1.5499648494174609E-2</c:v>
                </c:pt>
                <c:pt idx="5">
                  <c:v>2.6365770966092879E-2</c:v>
                </c:pt>
                <c:pt idx="6">
                  <c:v>4.5939306146471057E-2</c:v>
                </c:pt>
                <c:pt idx="7">
                  <c:v>6.2962913243447313E-2</c:v>
                </c:pt>
                <c:pt idx="8">
                  <c:v>6.3683934973403009E-2</c:v>
                </c:pt>
                <c:pt idx="9">
                  <c:v>7.0056409689271293E-2</c:v>
                </c:pt>
                <c:pt idx="10">
                  <c:v>6.8926560266188958E-2</c:v>
                </c:pt>
                <c:pt idx="11">
                  <c:v>7.0305913885943552E-2</c:v>
                </c:pt>
                <c:pt idx="12">
                  <c:v>7.0333348734619092E-2</c:v>
                </c:pt>
                <c:pt idx="13">
                  <c:v>6.7456365666170234E-2</c:v>
                </c:pt>
                <c:pt idx="14">
                  <c:v>6.8897558682821117E-2</c:v>
                </c:pt>
                <c:pt idx="15">
                  <c:v>6.7792859433178559E-2</c:v>
                </c:pt>
                <c:pt idx="16">
                  <c:v>6.2344605866117904E-2</c:v>
                </c:pt>
                <c:pt idx="17">
                  <c:v>5.1017392178353153E-2</c:v>
                </c:pt>
                <c:pt idx="18">
                  <c:v>4.1753744278410845E-2</c:v>
                </c:pt>
                <c:pt idx="19">
                  <c:v>3.2633193686426372E-2</c:v>
                </c:pt>
                <c:pt idx="20">
                  <c:v>2.4899115827068205E-2</c:v>
                </c:pt>
                <c:pt idx="21">
                  <c:v>1.9407800145086671E-2</c:v>
                </c:pt>
                <c:pt idx="22">
                  <c:v>1.5959197038069767E-2</c:v>
                </c:pt>
                <c:pt idx="23">
                  <c:v>1.3266302004098734E-2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6C-4B1D-89F6-23644F660834}"/>
            </c:ext>
          </c:extLst>
        </c:ser>
        <c:ser>
          <c:idx val="2"/>
          <c:order val="2"/>
          <c:tx>
            <c:strRef>
              <c:f>'CAR Daily Traffic Profile'!$A$4</c:f>
              <c:strCache>
                <c:ptCount val="1"/>
                <c:pt idx="0">
                  <c:v>HGV Sub Class- OGV1 Hourly Traffic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'CAR Daily Traffic Profile'!$B$1:$Y$1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'CAR Daily Traffic Profile'!$B$4:$Y$4</c:f>
              <c:numCache>
                <c:formatCode>0.00%</c:formatCode>
                <c:ptCount val="24"/>
                <c:pt idx="0">
                  <c:v>5.437940344486485E-3</c:v>
                </c:pt>
                <c:pt idx="1">
                  <c:v>4.7694499690375571E-3</c:v>
                </c:pt>
                <c:pt idx="2">
                  <c:v>5.0801380642145014E-3</c:v>
                </c:pt>
                <c:pt idx="3">
                  <c:v>7.0903993510702716E-3</c:v>
                </c:pt>
                <c:pt idx="4">
                  <c:v>1.1236898815973602E-2</c:v>
                </c:pt>
                <c:pt idx="5">
                  <c:v>2.1291594980176843E-2</c:v>
                </c:pt>
                <c:pt idx="6">
                  <c:v>4.1405303208779477E-2</c:v>
                </c:pt>
                <c:pt idx="7">
                  <c:v>6.5493389622500106E-2</c:v>
                </c:pt>
                <c:pt idx="8">
                  <c:v>7.1885784615080231E-2</c:v>
                </c:pt>
                <c:pt idx="9">
                  <c:v>7.8254540780590201E-2</c:v>
                </c:pt>
                <c:pt idx="10">
                  <c:v>7.4936142638804382E-2</c:v>
                </c:pt>
                <c:pt idx="11">
                  <c:v>7.6644020388264192E-2</c:v>
                </c:pt>
                <c:pt idx="12">
                  <c:v>7.6704215887555827E-2</c:v>
                </c:pt>
                <c:pt idx="13">
                  <c:v>7.2254253427962128E-2</c:v>
                </c:pt>
                <c:pt idx="14">
                  <c:v>7.7716887638294402E-2</c:v>
                </c:pt>
                <c:pt idx="15">
                  <c:v>7.7406493198514642E-2</c:v>
                </c:pt>
                <c:pt idx="16">
                  <c:v>7.0805656209477014E-2</c:v>
                </c:pt>
                <c:pt idx="17">
                  <c:v>5.3215207474222495E-2</c:v>
                </c:pt>
                <c:pt idx="18">
                  <c:v>3.7012840043887503E-2</c:v>
                </c:pt>
                <c:pt idx="19">
                  <c:v>2.5616654511682869E-2</c:v>
                </c:pt>
                <c:pt idx="20">
                  <c:v>1.737425638801093E-2</c:v>
                </c:pt>
                <c:pt idx="21">
                  <c:v>1.2182284830869927E-2</c:v>
                </c:pt>
                <c:pt idx="22">
                  <c:v>9.0698518848339772E-3</c:v>
                </c:pt>
                <c:pt idx="23">
                  <c:v>7.1157957257109309E-3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6C-4B1D-89F6-23644F660834}"/>
            </c:ext>
          </c:extLst>
        </c:ser>
        <c:ser>
          <c:idx val="3"/>
          <c:order val="3"/>
          <c:tx>
            <c:strRef>
              <c:f>'CAR Daily Traffic Profile'!$A$5</c:f>
              <c:strCache>
                <c:ptCount val="1"/>
                <c:pt idx="0">
                  <c:v>HGV Sub Class- Artic Hourly Traffic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'CAR Daily Traffic Profile'!$B$1:$Y$1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'CAR Daily Traffic Profile'!$B$5:$Y$5</c:f>
              <c:numCache>
                <c:formatCode>0.00%</c:formatCode>
                <c:ptCount val="24"/>
                <c:pt idx="0">
                  <c:v>1.4163230299050327E-2</c:v>
                </c:pt>
                <c:pt idx="1">
                  <c:v>1.2882082994364987E-2</c:v>
                </c:pt>
                <c:pt idx="2">
                  <c:v>1.2382103214841357E-2</c:v>
                </c:pt>
                <c:pt idx="3">
                  <c:v>1.4027947633473896E-2</c:v>
                </c:pt>
                <c:pt idx="4">
                  <c:v>1.9296013147224036E-2</c:v>
                </c:pt>
                <c:pt idx="5">
                  <c:v>3.1556938714865285E-2</c:v>
                </c:pt>
                <c:pt idx="6">
                  <c:v>5.0625587290096009E-2</c:v>
                </c:pt>
                <c:pt idx="7">
                  <c:v>6.1820125715014058E-2</c:v>
                </c:pt>
                <c:pt idx="8">
                  <c:v>5.8228777467319449E-2</c:v>
                </c:pt>
                <c:pt idx="9">
                  <c:v>6.4470359293890583E-2</c:v>
                </c:pt>
                <c:pt idx="10">
                  <c:v>6.6065721864853044E-2</c:v>
                </c:pt>
                <c:pt idx="11">
                  <c:v>6.8167005439279643E-2</c:v>
                </c:pt>
                <c:pt idx="12">
                  <c:v>6.8264142482628604E-2</c:v>
                </c:pt>
                <c:pt idx="13">
                  <c:v>6.6136965569967537E-2</c:v>
                </c:pt>
                <c:pt idx="14">
                  <c:v>6.4377854369198934E-2</c:v>
                </c:pt>
                <c:pt idx="15">
                  <c:v>6.1548550574898407E-2</c:v>
                </c:pt>
                <c:pt idx="16">
                  <c:v>5.5360018587375354E-2</c:v>
                </c:pt>
                <c:pt idx="17">
                  <c:v>4.7259396437071173E-2</c:v>
                </c:pt>
                <c:pt idx="18">
                  <c:v>4.1336017963032372E-2</c:v>
                </c:pt>
                <c:pt idx="19">
                  <c:v>3.4830544302760717E-2</c:v>
                </c:pt>
                <c:pt idx="20">
                  <c:v>2.7970139540680762E-2</c:v>
                </c:pt>
                <c:pt idx="21">
                  <c:v>2.3058029209736094E-2</c:v>
                </c:pt>
                <c:pt idx="22">
                  <c:v>1.985210181688556E-2</c:v>
                </c:pt>
                <c:pt idx="23">
                  <c:v>1.6320346071491812E-2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E6C-4B1D-89F6-23644F660834}"/>
            </c:ext>
          </c:extLst>
        </c:ser>
        <c:ser>
          <c:idx val="4"/>
          <c:order val="4"/>
          <c:tx>
            <c:strRef>
              <c:f>'CAR Daily Traffic Profile'!$A$6</c:f>
              <c:strCache>
                <c:ptCount val="1"/>
                <c:pt idx="0">
                  <c:v>BUS Hourly Traffic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'CAR Daily Traffic Profile'!$B$1:$Y$1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'CAR Daily Traffic Profile'!$B$6:$Y$6</c:f>
              <c:numCache>
                <c:formatCode>0.00%</c:formatCode>
                <c:ptCount val="24"/>
                <c:pt idx="0">
                  <c:v>1.2270235803517869E-2</c:v>
                </c:pt>
                <c:pt idx="1">
                  <c:v>6.8195862696819832E-3</c:v>
                </c:pt>
                <c:pt idx="2">
                  <c:v>5.935753611182799E-3</c:v>
                </c:pt>
                <c:pt idx="3">
                  <c:v>7.4598834722470683E-3</c:v>
                </c:pt>
                <c:pt idx="4">
                  <c:v>9.6884420093608578E-3</c:v>
                </c:pt>
                <c:pt idx="5">
                  <c:v>1.5423218864195185E-2</c:v>
                </c:pt>
                <c:pt idx="6">
                  <c:v>3.5927771767699117E-2</c:v>
                </c:pt>
                <c:pt idx="7">
                  <c:v>5.990129650377439E-2</c:v>
                </c:pt>
                <c:pt idx="8">
                  <c:v>6.3961501744797353E-2</c:v>
                </c:pt>
                <c:pt idx="9">
                  <c:v>7.1151514362855689E-2</c:v>
                </c:pt>
                <c:pt idx="10">
                  <c:v>6.2346955204330569E-2</c:v>
                </c:pt>
                <c:pt idx="11">
                  <c:v>5.8076472548082292E-2</c:v>
                </c:pt>
                <c:pt idx="12">
                  <c:v>5.7554012092924073E-2</c:v>
                </c:pt>
                <c:pt idx="13">
                  <c:v>5.6429374671009308E-2</c:v>
                </c:pt>
                <c:pt idx="14">
                  <c:v>6.1097886581441878E-2</c:v>
                </c:pt>
                <c:pt idx="15">
                  <c:v>6.7200319231097455E-2</c:v>
                </c:pt>
                <c:pt idx="16">
                  <c:v>7.0787579159283354E-2</c:v>
                </c:pt>
                <c:pt idx="17">
                  <c:v>6.4987880242318566E-2</c:v>
                </c:pt>
                <c:pt idx="18">
                  <c:v>6.3265434208034932E-2</c:v>
                </c:pt>
                <c:pt idx="19">
                  <c:v>4.7460909261185354E-2</c:v>
                </c:pt>
                <c:pt idx="20">
                  <c:v>3.6478249418634305E-2</c:v>
                </c:pt>
                <c:pt idx="21">
                  <c:v>2.6295745110044663E-2</c:v>
                </c:pt>
                <c:pt idx="22">
                  <c:v>2.0038763637732788E-2</c:v>
                </c:pt>
                <c:pt idx="23">
                  <c:v>1.9441214224568164E-2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E6C-4B1D-89F6-23644F660834}"/>
            </c:ext>
          </c:extLst>
        </c:ser>
        <c:ser>
          <c:idx val="5"/>
          <c:order val="5"/>
          <c:tx>
            <c:strRef>
              <c:f>'CAR Daily Traffic Profile'!$A$7</c:f>
              <c:strCache>
                <c:ptCount val="1"/>
                <c:pt idx="0">
                  <c:v>Total Hourly Traffic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'CAR Daily Traffic Profile'!$B$1:$Y$1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'CAR Daily Traffic Profile'!$B$7:$Y$7</c:f>
              <c:numCache>
                <c:formatCode>0.00%</c:formatCode>
                <c:ptCount val="24"/>
                <c:pt idx="0">
                  <c:v>7.5127325295875061E-3</c:v>
                </c:pt>
                <c:pt idx="1">
                  <c:v>3.8847045127402883E-3</c:v>
                </c:pt>
                <c:pt idx="2">
                  <c:v>2.7616013960975721E-3</c:v>
                </c:pt>
                <c:pt idx="3">
                  <c:v>2.9653675175141049E-3</c:v>
                </c:pt>
                <c:pt idx="4">
                  <c:v>5.0698726828594708E-3</c:v>
                </c:pt>
                <c:pt idx="5">
                  <c:v>1.06157410476861E-2</c:v>
                </c:pt>
                <c:pt idx="6">
                  <c:v>2.7617193891782764E-2</c:v>
                </c:pt>
                <c:pt idx="7">
                  <c:v>6.7493656280929196E-2</c:v>
                </c:pt>
                <c:pt idx="8">
                  <c:v>8.2308440005591996E-2</c:v>
                </c:pt>
                <c:pt idx="9">
                  <c:v>6.3470310107326608E-2</c:v>
                </c:pt>
                <c:pt idx="10">
                  <c:v>5.1506412396670198E-2</c:v>
                </c:pt>
                <c:pt idx="11">
                  <c:v>5.1968496880347784E-2</c:v>
                </c:pt>
                <c:pt idx="12">
                  <c:v>5.4752768833411541E-2</c:v>
                </c:pt>
                <c:pt idx="13">
                  <c:v>5.761479422436061E-2</c:v>
                </c:pt>
                <c:pt idx="14">
                  <c:v>5.9692812840356685E-2</c:v>
                </c:pt>
                <c:pt idx="15">
                  <c:v>6.5749463100184119E-2</c:v>
                </c:pt>
                <c:pt idx="16">
                  <c:v>7.8152952663942857E-2</c:v>
                </c:pt>
                <c:pt idx="17">
                  <c:v>8.7587565370120704E-2</c:v>
                </c:pt>
                <c:pt idx="18">
                  <c:v>7.3309201917145933E-2</c:v>
                </c:pt>
                <c:pt idx="19">
                  <c:v>5.1075635055199228E-2</c:v>
                </c:pt>
                <c:pt idx="20">
                  <c:v>3.7154959020340515E-2</c:v>
                </c:pt>
                <c:pt idx="21">
                  <c:v>2.6810515063340135E-2</c:v>
                </c:pt>
                <c:pt idx="22">
                  <c:v>1.8856563883999613E-2</c:v>
                </c:pt>
                <c:pt idx="23">
                  <c:v>1.2068238778463846E-2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E6C-4B1D-89F6-23644F6608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4816056"/>
        <c:axId val="504817624"/>
      </c:lineChart>
      <c:catAx>
        <c:axId val="504816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817624"/>
        <c:crosses val="autoZero"/>
        <c:auto val="1"/>
        <c:lblAlgn val="ctr"/>
        <c:lblOffset val="100"/>
        <c:noMultiLvlLbl val="0"/>
      </c:catAx>
      <c:valAx>
        <c:axId val="504817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816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>
        <c:manualLayout>
          <c:layoutTarget val="inner"/>
          <c:xMode val="edge"/>
          <c:yMode val="edge"/>
          <c:x val="8.4344950677073496E-2"/>
          <c:y val="2.9392574235833101E-2"/>
          <c:w val="0.65131295140133505"/>
          <c:h val="0.88437743863112395"/>
        </c:manualLayout>
      </c:layout>
      <c:lineChart>
        <c:grouping val="standard"/>
        <c:varyColors val="0"/>
        <c:ser>
          <c:idx val="7"/>
          <c:order val="0"/>
          <c:tx>
            <c:v>TCS (Switzerland)</c:v>
          </c:tx>
          <c:marker>
            <c:symbol val="none"/>
          </c:marker>
          <c:cat>
            <c:numLit>
              <c:formatCode>General</c:formatCode>
              <c:ptCount val="14"/>
              <c:pt idx="0">
                <c:v>2001</c:v>
              </c:pt>
              <c:pt idx="1">
                <c:v>2002</c:v>
              </c:pt>
              <c:pt idx="2">
                <c:v>2003</c:v>
              </c:pt>
              <c:pt idx="3">
                <c:v>2004</c:v>
              </c:pt>
              <c:pt idx="4">
                <c:v>2005</c:v>
              </c:pt>
              <c:pt idx="5">
                <c:v>2006</c:v>
              </c:pt>
              <c:pt idx="6">
                <c:v>2007</c:v>
              </c:pt>
              <c:pt idx="7">
                <c:v>2008</c:v>
              </c:pt>
              <c:pt idx="8">
                <c:v>2009</c:v>
              </c:pt>
              <c:pt idx="9">
                <c:v>2010</c:v>
              </c:pt>
              <c:pt idx="10">
                <c:v>2011</c:v>
              </c:pt>
              <c:pt idx="11">
                <c:v>2012</c:v>
              </c:pt>
              <c:pt idx="12">
                <c:v>2013</c:v>
              </c:pt>
            </c:numLit>
          </c:cat>
          <c:val>
            <c:numLit>
              <c:formatCode>General</c:formatCode>
              <c:ptCount val="13"/>
              <c:pt idx="0">
                <c:v>6.8679140063083288E-2</c:v>
              </c:pt>
              <c:pt idx="1">
                <c:v>0.11527562308611938</c:v>
              </c:pt>
              <c:pt idx="2">
                <c:v>8.5265862073799159E-2</c:v>
              </c:pt>
              <c:pt idx="3">
                <c:v>9.3013148652591138E-2</c:v>
              </c:pt>
              <c:pt idx="4">
                <c:v>0.12340923323934594</c:v>
              </c:pt>
              <c:pt idx="5">
                <c:v>0.12717727938072843</c:v>
              </c:pt>
              <c:pt idx="6">
                <c:v>0.12574043885740172</c:v>
              </c:pt>
              <c:pt idx="7">
                <c:v>9.6733522455403342E-2</c:v>
              </c:pt>
              <c:pt idx="8">
                <c:v>0.14404330988810843</c:v>
              </c:pt>
              <c:pt idx="9">
                <c:v>0.16266958435974566</c:v>
              </c:pt>
              <c:pt idx="10">
                <c:v>0.17937810601654647</c:v>
              </c:pt>
              <c:pt idx="11">
                <c:v>0.21849733137668115</c:v>
              </c:pt>
              <c:pt idx="12">
                <c:v>0.2013102174934811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B3AF-4FF9-B625-38996CA651EF}"/>
            </c:ext>
          </c:extLst>
        </c:ser>
        <c:ser>
          <c:idx val="3"/>
          <c:order val="1"/>
          <c:tx>
            <c:v>Auto Motor und Sport (Germany)</c:v>
          </c:tx>
          <c:marker>
            <c:symbol val="none"/>
          </c:marker>
          <c:cat>
            <c:numLit>
              <c:formatCode>General</c:formatCode>
              <c:ptCount val="14"/>
              <c:pt idx="0">
                <c:v>2001</c:v>
              </c:pt>
              <c:pt idx="1">
                <c:v>2002</c:v>
              </c:pt>
              <c:pt idx="2">
                <c:v>2003</c:v>
              </c:pt>
              <c:pt idx="3">
                <c:v>2004</c:v>
              </c:pt>
              <c:pt idx="4">
                <c:v>2005</c:v>
              </c:pt>
              <c:pt idx="5">
                <c:v>2006</c:v>
              </c:pt>
              <c:pt idx="6">
                <c:v>2007</c:v>
              </c:pt>
              <c:pt idx="7">
                <c:v>2008</c:v>
              </c:pt>
              <c:pt idx="8">
                <c:v>2009</c:v>
              </c:pt>
              <c:pt idx="9">
                <c:v>2010</c:v>
              </c:pt>
              <c:pt idx="10">
                <c:v>2011</c:v>
              </c:pt>
              <c:pt idx="11">
                <c:v>2012</c:v>
              </c:pt>
              <c:pt idx="12">
                <c:v>2013</c:v>
              </c:pt>
            </c:numLit>
          </c:cat>
          <c:val>
            <c:numLit>
              <c:formatCode>General</c:formatCode>
              <c:ptCount val="13"/>
              <c:pt idx="0">
                <c:v>0</c:v>
              </c:pt>
              <c:pt idx="1">
                <c:v>0</c:v>
              </c:pt>
              <c:pt idx="2">
                <c:v>0.20843373493975004</c:v>
              </c:pt>
              <c:pt idx="3">
                <c:v>0.24296296296295994</c:v>
              </c:pt>
              <c:pt idx="4">
                <c:v>0.25172413793102999</c:v>
              </c:pt>
              <c:pt idx="5">
                <c:v>0.2421875</c:v>
              </c:pt>
              <c:pt idx="6">
                <c:v>0.26918604651162004</c:v>
              </c:pt>
              <c:pt idx="7">
                <c:v>0.30649350649349993</c:v>
              </c:pt>
              <c:pt idx="8">
                <c:v>0.31679389312977002</c:v>
              </c:pt>
              <c:pt idx="9">
                <c:v>0.37453194187220995</c:v>
              </c:pt>
              <c:pt idx="10">
                <c:v>0.42091967073120995</c:v>
              </c:pt>
              <c:pt idx="11">
                <c:v>0.46032075562021002</c:v>
              </c:pt>
              <c:pt idx="12">
                <c:v>0.43729781344806007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B3AF-4FF9-B625-38996CA651EF}"/>
            </c:ext>
          </c:extLst>
        </c:ser>
        <c:ser>
          <c:idx val="4"/>
          <c:order val="2"/>
          <c:tx>
            <c:v>AUTO BILD (Germany)</c:v>
          </c:tx>
          <c:marker>
            <c:symbol val="none"/>
          </c:marker>
          <c:cat>
            <c:numLit>
              <c:formatCode>General</c:formatCode>
              <c:ptCount val="14"/>
              <c:pt idx="0">
                <c:v>2001</c:v>
              </c:pt>
              <c:pt idx="1">
                <c:v>2002</c:v>
              </c:pt>
              <c:pt idx="2">
                <c:v>2003</c:v>
              </c:pt>
              <c:pt idx="3">
                <c:v>2004</c:v>
              </c:pt>
              <c:pt idx="4">
                <c:v>2005</c:v>
              </c:pt>
              <c:pt idx="5">
                <c:v>2006</c:v>
              </c:pt>
              <c:pt idx="6">
                <c:v>2007</c:v>
              </c:pt>
              <c:pt idx="7">
                <c:v>2008</c:v>
              </c:pt>
              <c:pt idx="8">
                <c:v>2009</c:v>
              </c:pt>
              <c:pt idx="9">
                <c:v>2010</c:v>
              </c:pt>
              <c:pt idx="10">
                <c:v>2011</c:v>
              </c:pt>
              <c:pt idx="11">
                <c:v>2012</c:v>
              </c:pt>
              <c:pt idx="12">
                <c:v>2013</c:v>
              </c:pt>
            </c:numLit>
          </c:cat>
          <c:val>
            <c:numLit>
              <c:formatCode>General</c:formatCode>
              <c:ptCount val="1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0.144059932</c:v>
              </c:pt>
              <c:pt idx="8">
                <c:v>0.16654262799999997</c:v>
              </c:pt>
              <c:pt idx="9">
                <c:v>0.16621167699999995</c:v>
              </c:pt>
              <c:pt idx="10">
                <c:v>0.20039068700000007</c:v>
              </c:pt>
              <c:pt idx="11">
                <c:v>0.22158378699999992</c:v>
              </c:pt>
              <c:pt idx="12">
                <c:v>0.27241941599999997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B3AF-4FF9-B625-38996CA651EF}"/>
            </c:ext>
          </c:extLst>
        </c:ser>
        <c:ser>
          <c:idx val="1"/>
          <c:order val="3"/>
          <c:tx>
            <c:v>HonestJohn.co.uk (UK)</c:v>
          </c:tx>
          <c:marker>
            <c:symbol val="none"/>
          </c:marker>
          <c:cat>
            <c:numLit>
              <c:formatCode>General</c:formatCode>
              <c:ptCount val="14"/>
              <c:pt idx="0">
                <c:v>2001</c:v>
              </c:pt>
              <c:pt idx="1">
                <c:v>2002</c:v>
              </c:pt>
              <c:pt idx="2">
                <c:v>2003</c:v>
              </c:pt>
              <c:pt idx="3">
                <c:v>2004</c:v>
              </c:pt>
              <c:pt idx="4">
                <c:v>2005</c:v>
              </c:pt>
              <c:pt idx="5">
                <c:v>2006</c:v>
              </c:pt>
              <c:pt idx="6">
                <c:v>2007</c:v>
              </c:pt>
              <c:pt idx="7">
                <c:v>2008</c:v>
              </c:pt>
              <c:pt idx="8">
                <c:v>2009</c:v>
              </c:pt>
              <c:pt idx="9">
                <c:v>2010</c:v>
              </c:pt>
              <c:pt idx="10">
                <c:v>2011</c:v>
              </c:pt>
              <c:pt idx="11">
                <c:v>2012</c:v>
              </c:pt>
              <c:pt idx="12">
                <c:v>2013</c:v>
              </c:pt>
            </c:numLit>
          </c:cat>
          <c:val>
            <c:numLit>
              <c:formatCode>General</c:formatCode>
              <c:ptCount val="13"/>
              <c:pt idx="0">
                <c:v>9.6126859470563097E-2</c:v>
              </c:pt>
              <c:pt idx="1">
                <c:v>0.10182537473671105</c:v>
              </c:pt>
              <c:pt idx="2">
                <c:v>7.8879941803693399E-2</c:v>
              </c:pt>
              <c:pt idx="3">
                <c:v>0.12328824075103695</c:v>
              </c:pt>
              <c:pt idx="4">
                <c:v>0.1172047999979311</c:v>
              </c:pt>
              <c:pt idx="5">
                <c:v>0.12191773467271694</c:v>
              </c:pt>
              <c:pt idx="6">
                <c:v>0.13608158364831202</c:v>
              </c:pt>
              <c:pt idx="7">
                <c:v>0.17371203720409412</c:v>
              </c:pt>
              <c:pt idx="8">
                <c:v>0.17859957259753001</c:v>
              </c:pt>
              <c:pt idx="9">
                <c:v>0.22733381237762296</c:v>
              </c:pt>
              <c:pt idx="10">
                <c:v>0.26559082977937098</c:v>
              </c:pt>
              <c:pt idx="11">
                <c:v>0.22646736836019299</c:v>
              </c:pt>
              <c:pt idx="12">
                <c:v>0.32886220503042196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3-B3AF-4FF9-B625-38996CA651EF}"/>
            </c:ext>
          </c:extLst>
        </c:ser>
        <c:ser>
          <c:idx val="0"/>
          <c:order val="4"/>
          <c:tx>
            <c:v>Spritmonitor.de (Germany)</c:v>
          </c:tx>
          <c:marker>
            <c:symbol val="none"/>
          </c:marker>
          <c:cat>
            <c:numLit>
              <c:formatCode>General</c:formatCode>
              <c:ptCount val="14"/>
              <c:pt idx="0">
                <c:v>2001</c:v>
              </c:pt>
              <c:pt idx="1">
                <c:v>2002</c:v>
              </c:pt>
              <c:pt idx="2">
                <c:v>2003</c:v>
              </c:pt>
              <c:pt idx="3">
                <c:v>2004</c:v>
              </c:pt>
              <c:pt idx="4">
                <c:v>2005</c:v>
              </c:pt>
              <c:pt idx="5">
                <c:v>2006</c:v>
              </c:pt>
              <c:pt idx="6">
                <c:v>2007</c:v>
              </c:pt>
              <c:pt idx="7">
                <c:v>2008</c:v>
              </c:pt>
              <c:pt idx="8">
                <c:v>2009</c:v>
              </c:pt>
              <c:pt idx="9">
                <c:v>2010</c:v>
              </c:pt>
              <c:pt idx="10">
                <c:v>2011</c:v>
              </c:pt>
              <c:pt idx="11">
                <c:v>2012</c:v>
              </c:pt>
              <c:pt idx="12">
                <c:v>2013</c:v>
              </c:pt>
            </c:numLit>
          </c:cat>
          <c:val>
            <c:numLit>
              <c:formatCode>General</c:formatCode>
              <c:ptCount val="13"/>
              <c:pt idx="0">
                <c:v>7.262813650718436E-2</c:v>
              </c:pt>
              <c:pt idx="1">
                <c:v>8.5604210444802709E-2</c:v>
              </c:pt>
              <c:pt idx="2">
                <c:v>0.10243916188894797</c:v>
              </c:pt>
              <c:pt idx="3">
                <c:v>0.10789143128850309</c:v>
              </c:pt>
              <c:pt idx="4">
                <c:v>0.12654186043877091</c:v>
              </c:pt>
              <c:pt idx="5">
                <c:v>0.12382434246304896</c:v>
              </c:pt>
              <c:pt idx="6">
                <c:v>0.13240868844251197</c:v>
              </c:pt>
              <c:pt idx="7">
                <c:v>0.16185364919506595</c:v>
              </c:pt>
              <c:pt idx="8">
                <c:v>0.16988336920865699</c:v>
              </c:pt>
              <c:pt idx="9">
                <c:v>0.20209504623340302</c:v>
              </c:pt>
              <c:pt idx="10">
                <c:v>0.23295867176739304</c:v>
              </c:pt>
              <c:pt idx="11">
                <c:v>0.24980340422079905</c:v>
              </c:pt>
              <c:pt idx="12">
                <c:v>0.29944683478550904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4-B3AF-4FF9-B625-38996CA651EF}"/>
            </c:ext>
          </c:extLst>
        </c:ser>
        <c:ser>
          <c:idx val="2"/>
          <c:order val="5"/>
          <c:tx>
            <c:v>What Car? (UK)</c:v>
          </c:tx>
          <c:marker>
            <c:symbol val="none"/>
          </c:marker>
          <c:cat>
            <c:numLit>
              <c:formatCode>General</c:formatCode>
              <c:ptCount val="14"/>
              <c:pt idx="0">
                <c:v>2001</c:v>
              </c:pt>
              <c:pt idx="1">
                <c:v>2002</c:v>
              </c:pt>
              <c:pt idx="2">
                <c:v>2003</c:v>
              </c:pt>
              <c:pt idx="3">
                <c:v>2004</c:v>
              </c:pt>
              <c:pt idx="4">
                <c:v>2005</c:v>
              </c:pt>
              <c:pt idx="5">
                <c:v>2006</c:v>
              </c:pt>
              <c:pt idx="6">
                <c:v>2007</c:v>
              </c:pt>
              <c:pt idx="7">
                <c:v>2008</c:v>
              </c:pt>
              <c:pt idx="8">
                <c:v>2009</c:v>
              </c:pt>
              <c:pt idx="9">
                <c:v>2010</c:v>
              </c:pt>
              <c:pt idx="10">
                <c:v>2011</c:v>
              </c:pt>
              <c:pt idx="11">
                <c:v>2012</c:v>
              </c:pt>
              <c:pt idx="12">
                <c:v>2013</c:v>
              </c:pt>
            </c:numLit>
          </c:cat>
          <c:val>
            <c:numLit>
              <c:formatCode>General</c:formatCode>
              <c:ptCount val="1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0.25246594857120996</c:v>
              </c:pt>
              <c:pt idx="12">
                <c:v>0.25748985329427998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5-B3AF-4FF9-B625-38996CA651EF}"/>
            </c:ext>
          </c:extLst>
        </c:ser>
        <c:ser>
          <c:idx val="6"/>
          <c:order val="6"/>
          <c:tx>
            <c:v>LeasePlan (Germany)</c:v>
          </c:tx>
          <c:marker>
            <c:symbol val="none"/>
          </c:marker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06-B3AF-4FF9-B625-38996CA651EF}"/>
              </c:ext>
            </c:extLst>
          </c:dPt>
          <c:cat>
            <c:numLit>
              <c:formatCode>General</c:formatCode>
              <c:ptCount val="14"/>
              <c:pt idx="0">
                <c:v>2001</c:v>
              </c:pt>
              <c:pt idx="1">
                <c:v>2002</c:v>
              </c:pt>
              <c:pt idx="2">
                <c:v>2003</c:v>
              </c:pt>
              <c:pt idx="3">
                <c:v>2004</c:v>
              </c:pt>
              <c:pt idx="4">
                <c:v>2005</c:v>
              </c:pt>
              <c:pt idx="5">
                <c:v>2006</c:v>
              </c:pt>
              <c:pt idx="6">
                <c:v>2007</c:v>
              </c:pt>
              <c:pt idx="7">
                <c:v>2008</c:v>
              </c:pt>
              <c:pt idx="8">
                <c:v>2009</c:v>
              </c:pt>
              <c:pt idx="9">
                <c:v>2010</c:v>
              </c:pt>
              <c:pt idx="10">
                <c:v>2011</c:v>
              </c:pt>
              <c:pt idx="11">
                <c:v>2012</c:v>
              </c:pt>
              <c:pt idx="12">
                <c:v>2013</c:v>
              </c:pt>
            </c:numLit>
          </c:cat>
          <c:val>
            <c:numLit>
              <c:formatCode>General</c:formatCode>
              <c:ptCount val="1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0.20999999999999996</c:v>
              </c:pt>
              <c:pt idx="6">
                <c:v>0.20999999999999996</c:v>
              </c:pt>
              <c:pt idx="7">
                <c:v>0.21999999999999997</c:v>
              </c:pt>
              <c:pt idx="8">
                <c:v>0.24</c:v>
              </c:pt>
              <c:pt idx="9">
                <c:v>0.28000000000000003</c:v>
              </c:pt>
              <c:pt idx="10">
                <c:v>0.33000000000000007</c:v>
              </c:pt>
              <c:pt idx="11">
                <c:v>0.35340000000000005</c:v>
              </c:pt>
              <c:pt idx="12">
                <c:v>0.37680000000000002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7-B3AF-4FF9-B625-38996CA651EF}"/>
            </c:ext>
          </c:extLst>
        </c:ser>
        <c:ser>
          <c:idx val="5"/>
          <c:order val="7"/>
          <c:tx>
            <c:v>Travelcard (Netherlands)</c:v>
          </c:tx>
          <c:marker>
            <c:symbol val="none"/>
          </c:marker>
          <c:cat>
            <c:numLit>
              <c:formatCode>General</c:formatCode>
              <c:ptCount val="14"/>
              <c:pt idx="0">
                <c:v>2001</c:v>
              </c:pt>
              <c:pt idx="1">
                <c:v>2002</c:v>
              </c:pt>
              <c:pt idx="2">
                <c:v>2003</c:v>
              </c:pt>
              <c:pt idx="3">
                <c:v>2004</c:v>
              </c:pt>
              <c:pt idx="4">
                <c:v>2005</c:v>
              </c:pt>
              <c:pt idx="5">
                <c:v>2006</c:v>
              </c:pt>
              <c:pt idx="6">
                <c:v>2007</c:v>
              </c:pt>
              <c:pt idx="7">
                <c:v>2008</c:v>
              </c:pt>
              <c:pt idx="8">
                <c:v>2009</c:v>
              </c:pt>
              <c:pt idx="9">
                <c:v>2010</c:v>
              </c:pt>
              <c:pt idx="10">
                <c:v>2011</c:v>
              </c:pt>
              <c:pt idx="11">
                <c:v>2012</c:v>
              </c:pt>
              <c:pt idx="12">
                <c:v>2013</c:v>
              </c:pt>
            </c:numLit>
          </c:cat>
          <c:val>
            <c:numLit>
              <c:formatCode>General</c:formatCode>
              <c:ptCount val="1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0.11035783292895007</c:v>
              </c:pt>
              <c:pt idx="4">
                <c:v>0.13679223011618991</c:v>
              </c:pt>
              <c:pt idx="5">
                <c:v>0.13179790952537007</c:v>
              </c:pt>
              <c:pt idx="6">
                <c:v>0.13549252707256998</c:v>
              </c:pt>
              <c:pt idx="7">
                <c:v>0.17066930771292999</c:v>
              </c:pt>
              <c:pt idx="8">
                <c:v>0.18804609383783011</c:v>
              </c:pt>
              <c:pt idx="9">
                <c:v>0.21771527886912989</c:v>
              </c:pt>
              <c:pt idx="10">
                <c:v>0.27519364904727994</c:v>
              </c:pt>
              <c:pt idx="11">
                <c:v>0.3680699999999999</c:v>
              </c:pt>
              <c:pt idx="12">
                <c:v>0.51168999999999998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8-B3AF-4FF9-B625-38996CA651EF}"/>
            </c:ext>
          </c:extLst>
        </c:ser>
        <c:ser>
          <c:idx val="8"/>
          <c:order val="8"/>
          <c:tx>
            <c:strRef>
              <c:f>DataSummary!#REF!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dPt>
            <c:idx val="1"/>
            <c:bubble3D val="0"/>
            <c:spPr>
              <a:ln w="19050" cmpd="sng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A-B3AF-4FF9-B625-38996CA651EF}"/>
              </c:ext>
            </c:extLst>
          </c:dPt>
          <c:cat>
            <c:numLit>
              <c:formatCode>General</c:formatCode>
              <c:ptCount val="14"/>
              <c:pt idx="0">
                <c:v>2001</c:v>
              </c:pt>
              <c:pt idx="1">
                <c:v>2002</c:v>
              </c:pt>
              <c:pt idx="2">
                <c:v>2003</c:v>
              </c:pt>
              <c:pt idx="3">
                <c:v>2004</c:v>
              </c:pt>
              <c:pt idx="4">
                <c:v>2005</c:v>
              </c:pt>
              <c:pt idx="5">
                <c:v>2006</c:v>
              </c:pt>
              <c:pt idx="6">
                <c:v>2007</c:v>
              </c:pt>
              <c:pt idx="7">
                <c:v>2008</c:v>
              </c:pt>
              <c:pt idx="8">
                <c:v>2009</c:v>
              </c:pt>
              <c:pt idx="9">
                <c:v>2010</c:v>
              </c:pt>
              <c:pt idx="10">
                <c:v>2011</c:v>
              </c:pt>
              <c:pt idx="11">
                <c:v>2012</c:v>
              </c:pt>
              <c:pt idx="12">
                <c:v>2013</c:v>
              </c:pt>
            </c:numLit>
          </c:cat>
          <c:val>
            <c:numRef>
              <c:f>DataSummary!#REF!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3AF-4FF9-B625-38996CA651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4815664"/>
        <c:axId val="504818408"/>
      </c:lineChart>
      <c:catAx>
        <c:axId val="504815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Build year</a:t>
                </a:r>
                <a:r>
                  <a:rPr lang="en-US" baseline="0"/>
                  <a:t> / Fleet year / Launch year / Test year</a:t>
                </a: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200" b="1"/>
            </a:pPr>
            <a:endParaRPr lang="en-US"/>
          </a:p>
        </c:txPr>
        <c:crossAx val="504818408"/>
        <c:crosses val="autoZero"/>
        <c:auto val="1"/>
        <c:lblAlgn val="ctr"/>
        <c:lblOffset val="100"/>
        <c:tickLblSkip val="1"/>
        <c:noMultiLvlLbl val="0"/>
      </c:catAx>
      <c:valAx>
        <c:axId val="504818408"/>
        <c:scaling>
          <c:orientation val="minMax"/>
          <c:max val="0.6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050"/>
                </a:pPr>
                <a:r>
                  <a:rPr lang="en-US" sz="1050"/>
                  <a:t>Divergence of 'real-world'</a:t>
                </a:r>
                <a:r>
                  <a:rPr lang="en-US" sz="1050" baseline="0"/>
                  <a:t> from manufacturers' type-approval CO</a:t>
                </a:r>
                <a:r>
                  <a:rPr lang="en-US" sz="1050" baseline="-25000"/>
                  <a:t>2</a:t>
                </a:r>
                <a:endParaRPr lang="en-US" sz="1050"/>
              </a:p>
            </c:rich>
          </c:tx>
          <c:layout>
            <c:manualLayout>
              <c:xMode val="edge"/>
              <c:yMode val="edge"/>
              <c:x val="1.11950027713412E-3"/>
              <c:y val="0.12579488239339501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200" b="1"/>
            </a:pPr>
            <a:endParaRPr lang="en-US"/>
          </a:p>
        </c:txPr>
        <c:crossAx val="504815664"/>
        <c:crossesAt val="0"/>
        <c:crossBetween val="midCat"/>
      </c:valAx>
      <c:spPr>
        <a:ln>
          <a:noFill/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  <c:userShapes r:id="rId1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E252DF-E371-438B-96E1-400339CF9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35</xdr:row>
      <xdr:rowOff>91109</xdr:rowOff>
    </xdr:from>
    <xdr:to>
      <xdr:col>5</xdr:col>
      <xdr:colOff>564421</xdr:colOff>
      <xdr:row>40</xdr:row>
      <xdr:rowOff>110671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53B7658-7075-4663-B834-44BFBF7C0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184881</xdr:rowOff>
    </xdr:from>
    <xdr:to>
      <xdr:col>1</xdr:col>
      <xdr:colOff>927652</xdr:colOff>
      <xdr:row>40</xdr:row>
      <xdr:rowOff>122251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524FACF-E032-441D-BDB4-BAF12A3C4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69316"/>
          <a:ext cx="1946413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68036</xdr:colOff>
      <xdr:row>8</xdr:row>
      <xdr:rowOff>16330</xdr:rowOff>
    </xdr:from>
    <xdr:to>
      <xdr:col>12</xdr:col>
      <xdr:colOff>598715</xdr:colOff>
      <xdr:row>29</xdr:row>
      <xdr:rowOff>13608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2171699"/>
    <xdr:ext cx="8763000" cy="546190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  <xdr:twoCellAnchor>
    <xdr:from>
      <xdr:col>16</xdr:col>
      <xdr:colOff>136072</xdr:colOff>
      <xdr:row>2</xdr:row>
      <xdr:rowOff>40823</xdr:rowOff>
    </xdr:from>
    <xdr:to>
      <xdr:col>19</xdr:col>
      <xdr:colOff>204108</xdr:colOff>
      <xdr:row>5</xdr:row>
      <xdr:rowOff>68036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SpPr txBox="1"/>
      </xdr:nvSpPr>
      <xdr:spPr>
        <a:xfrm>
          <a:off x="11375572" y="435430"/>
          <a:ext cx="1905000" cy="6123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Recommended by ICCT to use for private cars</a:t>
          </a:r>
        </a:p>
      </xdr:txBody>
    </xdr:sp>
    <xdr:clientData/>
  </xdr:twoCellAnchor>
  <xdr:twoCellAnchor>
    <xdr:from>
      <xdr:col>14</xdr:col>
      <xdr:colOff>40823</xdr:colOff>
      <xdr:row>2</xdr:row>
      <xdr:rowOff>27215</xdr:rowOff>
    </xdr:from>
    <xdr:to>
      <xdr:col>16</xdr:col>
      <xdr:colOff>136072</xdr:colOff>
      <xdr:row>3</xdr:row>
      <xdr:rowOff>142876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CxnSpPr>
          <a:stCxn id="5" idx="1"/>
        </xdr:cNvCxnSpPr>
      </xdr:nvCxnSpPr>
      <xdr:spPr>
        <a:xfrm flipH="1" flipV="1">
          <a:off x="10055680" y="421822"/>
          <a:ext cx="1319892" cy="319768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0.72863</cdr:x>
      <cdr:y>0.13847</cdr:y>
    </cdr:from>
    <cdr:to>
      <cdr:x>0.97041</cdr:x>
      <cdr:y>0.18904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712248" y="777207"/>
          <a:ext cx="2227313" cy="28383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b="1">
              <a:solidFill>
                <a:schemeClr val="accent3"/>
              </a:solidFill>
              <a:latin typeface="Arial"/>
              <a:cs typeface="Arial"/>
            </a:rPr>
            <a:t>Travelcard</a:t>
          </a:r>
          <a:r>
            <a:rPr lang="en-US" sz="1100" b="1" baseline="0">
              <a:solidFill>
                <a:schemeClr val="accent3"/>
              </a:solidFill>
              <a:latin typeface="Arial"/>
              <a:cs typeface="Arial"/>
            </a:rPr>
            <a:t> (Netherlands)</a:t>
          </a:r>
          <a:endParaRPr lang="en-US" sz="1100" b="1">
            <a:solidFill>
              <a:schemeClr val="accent3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0.73033</cdr:x>
      <cdr:y>0.24418</cdr:y>
    </cdr:from>
    <cdr:to>
      <cdr:x>1</cdr:x>
      <cdr:y>0.29475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6727902" y="1370529"/>
          <a:ext cx="2484243" cy="28383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 b="1" i="1">
              <a:solidFill>
                <a:schemeClr val="accent2"/>
              </a:solidFill>
              <a:latin typeface="Arial"/>
              <a:cs typeface="Arial"/>
            </a:rPr>
            <a:t>auto motor</a:t>
          </a:r>
          <a:r>
            <a:rPr lang="en-US" sz="1000" b="1" i="1" baseline="0">
              <a:solidFill>
                <a:schemeClr val="accent2"/>
              </a:solidFill>
              <a:latin typeface="Arial"/>
              <a:cs typeface="Arial"/>
            </a:rPr>
            <a:t> und sport</a:t>
          </a:r>
          <a:r>
            <a:rPr lang="en-US" sz="1000" b="1" baseline="0">
              <a:solidFill>
                <a:schemeClr val="accent2"/>
              </a:solidFill>
              <a:latin typeface="Arial"/>
              <a:cs typeface="Arial"/>
            </a:rPr>
            <a:t> </a:t>
          </a:r>
          <a:br>
            <a:rPr lang="en-US" sz="1000" b="1" baseline="0">
              <a:solidFill>
                <a:schemeClr val="accent2"/>
              </a:solidFill>
              <a:latin typeface="Arial"/>
              <a:cs typeface="Arial"/>
            </a:rPr>
          </a:br>
          <a:r>
            <a:rPr lang="en-US" sz="1000" b="1" baseline="0">
              <a:solidFill>
                <a:schemeClr val="accent2"/>
              </a:solidFill>
              <a:latin typeface="Arial"/>
              <a:cs typeface="Arial"/>
            </a:rPr>
            <a:t>(Germany)</a:t>
          </a:r>
          <a:endParaRPr lang="en-US" sz="1000" b="1">
            <a:solidFill>
              <a:schemeClr val="accent2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0.73199</cdr:x>
      <cdr:y>0.33324</cdr:y>
    </cdr:from>
    <cdr:to>
      <cdr:x>0.9715</cdr:x>
      <cdr:y>0.38381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6743243" y="1870375"/>
          <a:ext cx="2206402" cy="28383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b="1">
              <a:solidFill>
                <a:schemeClr val="accent4"/>
              </a:solidFill>
              <a:latin typeface="Arial"/>
              <a:cs typeface="Arial"/>
            </a:rPr>
            <a:t>LeasePlan</a:t>
          </a:r>
          <a:r>
            <a:rPr lang="en-US" sz="1100" b="1" baseline="0">
              <a:solidFill>
                <a:schemeClr val="accent4"/>
              </a:solidFill>
              <a:latin typeface="Arial"/>
              <a:cs typeface="Arial"/>
            </a:rPr>
            <a:t> (Germany)</a:t>
          </a:r>
          <a:endParaRPr lang="en-US" sz="1100" b="1">
            <a:solidFill>
              <a:schemeClr val="accent4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0.731</cdr:x>
      <cdr:y>0.40295</cdr:y>
    </cdr:from>
    <cdr:to>
      <cdr:x>1</cdr:x>
      <cdr:y>0.45353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6734098" y="2261670"/>
          <a:ext cx="2478048" cy="28389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b="1">
              <a:solidFill>
                <a:schemeClr val="accent5"/>
              </a:solidFill>
              <a:latin typeface="Arial"/>
              <a:cs typeface="Arial"/>
            </a:rPr>
            <a:t>honestjohn.co.uk</a:t>
          </a:r>
          <a:r>
            <a:rPr lang="en-US" sz="1100" b="1" baseline="0">
              <a:solidFill>
                <a:schemeClr val="accent5"/>
              </a:solidFill>
              <a:latin typeface="Arial"/>
              <a:cs typeface="Arial"/>
            </a:rPr>
            <a:t> (UK)</a:t>
          </a:r>
          <a:endParaRPr lang="en-US" sz="1100" b="1">
            <a:solidFill>
              <a:schemeClr val="accent5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0.73267</cdr:x>
      <cdr:y>0.44669</cdr:y>
    </cdr:from>
    <cdr:to>
      <cdr:x>1</cdr:x>
      <cdr:y>0.49726</cdr:y>
    </cdr:to>
    <cdr:sp macro="" textlink="">
      <cdr:nvSpPr>
        <cdr:cNvPr id="12" name="TextBox 11"/>
        <cdr:cNvSpPr txBox="1"/>
      </cdr:nvSpPr>
      <cdr:spPr>
        <a:xfrm xmlns:a="http://schemas.openxmlformats.org/drawingml/2006/main">
          <a:off x="6749438" y="2507179"/>
          <a:ext cx="2462708" cy="28383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b="1">
              <a:solidFill>
                <a:schemeClr val="accent2"/>
              </a:solidFill>
              <a:latin typeface="Arial"/>
              <a:cs typeface="Arial"/>
            </a:rPr>
            <a:t>Spritmonitor.de (Germany)</a:t>
          </a:r>
        </a:p>
      </cdr:txBody>
    </cdr:sp>
  </cdr:relSizeAnchor>
  <cdr:relSizeAnchor xmlns:cdr="http://schemas.openxmlformats.org/drawingml/2006/chartDrawing">
    <cdr:from>
      <cdr:x>0.73199</cdr:x>
      <cdr:y>0.485</cdr:y>
    </cdr:from>
    <cdr:to>
      <cdr:x>0.97149</cdr:x>
      <cdr:y>0.53557</cdr:y>
    </cdr:to>
    <cdr:sp macro="" textlink="">
      <cdr:nvSpPr>
        <cdr:cNvPr id="13" name="TextBox 12"/>
        <cdr:cNvSpPr txBox="1"/>
      </cdr:nvSpPr>
      <cdr:spPr>
        <a:xfrm xmlns:a="http://schemas.openxmlformats.org/drawingml/2006/main">
          <a:off x="6743198" y="2722191"/>
          <a:ext cx="2206309" cy="28383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b="1" i="1">
              <a:solidFill>
                <a:schemeClr val="accent3"/>
              </a:solidFill>
              <a:latin typeface="Arial"/>
              <a:cs typeface="Arial"/>
            </a:rPr>
            <a:t>AUTO BILD</a:t>
          </a:r>
          <a:r>
            <a:rPr lang="en-US" sz="1100" b="1" baseline="0">
              <a:solidFill>
                <a:schemeClr val="accent3"/>
              </a:solidFill>
              <a:latin typeface="Arial"/>
              <a:cs typeface="Arial"/>
            </a:rPr>
            <a:t> (Germany)</a:t>
          </a:r>
          <a:endParaRPr lang="en-US" sz="1100" b="1">
            <a:solidFill>
              <a:schemeClr val="accent3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0.73235</cdr:x>
      <cdr:y>0.51643</cdr:y>
    </cdr:from>
    <cdr:to>
      <cdr:x>1</cdr:x>
      <cdr:y>0.567</cdr:y>
    </cdr:to>
    <cdr:sp macro="" textlink="">
      <cdr:nvSpPr>
        <cdr:cNvPr id="14" name="TextBox 13"/>
        <cdr:cNvSpPr txBox="1"/>
      </cdr:nvSpPr>
      <cdr:spPr>
        <a:xfrm xmlns:a="http://schemas.openxmlformats.org/drawingml/2006/main">
          <a:off x="6746488" y="2898629"/>
          <a:ext cx="2465658" cy="28383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b="1" i="1">
              <a:solidFill>
                <a:schemeClr val="accent6"/>
              </a:solidFill>
              <a:latin typeface="Arial"/>
              <a:cs typeface="Arial"/>
            </a:rPr>
            <a:t>WhatCar?</a:t>
          </a:r>
          <a:r>
            <a:rPr lang="en-US" sz="1100" b="1" i="0">
              <a:solidFill>
                <a:schemeClr val="accent6"/>
              </a:solidFill>
              <a:latin typeface="Arial"/>
              <a:cs typeface="Arial"/>
            </a:rPr>
            <a:t>/Emissions Analytics</a:t>
          </a:r>
          <a:r>
            <a:rPr lang="en-US" sz="1100" b="1" i="1">
              <a:solidFill>
                <a:schemeClr val="accent6"/>
              </a:solidFill>
              <a:latin typeface="Arial"/>
              <a:cs typeface="Arial"/>
            </a:rPr>
            <a:t> </a:t>
          </a:r>
          <a:r>
            <a:rPr lang="en-US" sz="1100" b="1" i="0">
              <a:solidFill>
                <a:schemeClr val="accent6"/>
              </a:solidFill>
              <a:latin typeface="Arial"/>
              <a:cs typeface="Arial"/>
            </a:rPr>
            <a:t>(United Kingdom)</a:t>
          </a:r>
        </a:p>
      </cdr:txBody>
    </cdr:sp>
  </cdr:relSizeAnchor>
  <cdr:relSizeAnchor xmlns:cdr="http://schemas.openxmlformats.org/drawingml/2006/chartDrawing">
    <cdr:from>
      <cdr:x>0.73201</cdr:x>
      <cdr:y>0.59148</cdr:y>
    </cdr:from>
    <cdr:to>
      <cdr:x>1</cdr:x>
      <cdr:y>0.64205</cdr:y>
    </cdr:to>
    <cdr:sp macro="" textlink="">
      <cdr:nvSpPr>
        <cdr:cNvPr id="9" name="TextBox 8"/>
        <cdr:cNvSpPr txBox="1"/>
      </cdr:nvSpPr>
      <cdr:spPr>
        <a:xfrm xmlns:a="http://schemas.openxmlformats.org/drawingml/2006/main">
          <a:off x="6743405" y="3319860"/>
          <a:ext cx="2468741" cy="28383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b="1" i="0">
              <a:solidFill>
                <a:schemeClr val="tx2"/>
              </a:solidFill>
              <a:latin typeface="Arial"/>
              <a:cs typeface="Arial"/>
            </a:rPr>
            <a:t>Touring</a:t>
          </a:r>
          <a:r>
            <a:rPr lang="en-US" sz="1100" b="1" i="0" baseline="0">
              <a:solidFill>
                <a:schemeClr val="tx2"/>
              </a:solidFill>
              <a:latin typeface="Arial"/>
              <a:cs typeface="Arial"/>
            </a:rPr>
            <a:t> Club Schweiz</a:t>
          </a:r>
          <a:r>
            <a:rPr lang="en-US" sz="1100" b="1" i="1">
              <a:solidFill>
                <a:schemeClr val="tx2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r>
            <a:rPr lang="en-US" sz="1100" b="1" i="0">
              <a:solidFill>
                <a:schemeClr val="tx2"/>
              </a:solidFill>
              <a:latin typeface="Arial"/>
              <a:cs typeface="Arial"/>
            </a:rPr>
            <a:t>(Switzerland)</a:t>
          </a:r>
        </a:p>
      </cdr:txBody>
    </cdr:sp>
  </cdr:relSizeAnchor>
  <cdr:relSizeAnchor xmlns:cdr="http://schemas.openxmlformats.org/drawingml/2006/chartDrawing">
    <cdr:from>
      <cdr:x>0.08806</cdr:x>
      <cdr:y>0.81231</cdr:y>
    </cdr:from>
    <cdr:to>
      <cdr:x>0.22602</cdr:x>
      <cdr:y>0.91024</cdr:y>
    </cdr:to>
    <cdr:sp macro="" textlink="">
      <cdr:nvSpPr>
        <cdr:cNvPr id="10" name="Rectangle 9"/>
        <cdr:cNvSpPr/>
      </cdr:nvSpPr>
      <cdr:spPr bwMode="auto">
        <a:xfrm xmlns:a="http://schemas.openxmlformats.org/drawingml/2006/main">
          <a:off x="811199" y="4559337"/>
          <a:ext cx="1270907" cy="54966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 w="9525" cap="flat" cmpd="sng" algn="ctr">
          <a:solidFill>
            <a:schemeClr val="bg1"/>
          </a:solidFill>
          <a:prstDash val="solid"/>
          <a:round/>
          <a:headEnd type="none" w="med" len="med"/>
          <a:tailEnd type="none" w="med" len="med"/>
        </a:ln>
        <a:effectLst xmlns:a="http://schemas.openxmlformats.org/drawingml/2006/main"/>
      </cdr:spPr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indent="0" algn="l" defTabSz="914400" rtl="0" eaLnBrk="0" fontAlgn="base" latinLnBrk="0" hangingPunct="0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</a:pPr>
          <a:endParaRPr kumimoji="0" lang="en-US" sz="2400" b="0" i="0" u="none" strike="noStrike" cap="none" normalizeH="0" baseline="0">
            <a:ln>
              <a:noFill/>
            </a:ln>
            <a:solidFill>
              <a:schemeClr val="tx1"/>
            </a:solidFill>
            <a:effectLst/>
            <a:latin typeface="Arial" charset="0"/>
            <a:ea typeface="ＭＳ Ｐゴシック" charset="-128"/>
            <a:cs typeface="ＭＳ Ｐゴシック" charset="-128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813646</xdr:colOff>
      <xdr:row>14</xdr:row>
      <xdr:rowOff>92266</xdr:rowOff>
    </xdr:from>
    <xdr:to>
      <xdr:col>7</xdr:col>
      <xdr:colOff>946523</xdr:colOff>
      <xdr:row>41</xdr:row>
      <xdr:rowOff>119109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0746" y="3006916"/>
          <a:ext cx="6086002" cy="51703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451871</xdr:colOff>
      <xdr:row>14</xdr:row>
      <xdr:rowOff>57119</xdr:rowOff>
    </xdr:from>
    <xdr:to>
      <xdr:col>17</xdr:col>
      <xdr:colOff>225196</xdr:colOff>
      <xdr:row>43</xdr:row>
      <xdr:rowOff>17287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62696" y="2952719"/>
          <a:ext cx="6164600" cy="54846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VT_IE_COM_V00p05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/>
      <sheetData sheetId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>
        <row r="42">
          <cell r="AE42" t="str">
            <v>Menu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/>
      <sheetData sheetId="2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2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3.v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7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8.v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10.v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10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2.v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3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4.v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5.v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6.v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3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8.v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.xml"/><Relationship Id="rId1" Type="http://schemas.openxmlformats.org/officeDocument/2006/relationships/vmlDrawing" Target="../drawings/vmlDrawing19.v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.xml"/><Relationship Id="rId1" Type="http://schemas.openxmlformats.org/officeDocument/2006/relationships/vmlDrawing" Target="../drawings/vmlDrawing2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7"/>
  </sheetPr>
  <dimension ref="A1:N43"/>
  <sheetViews>
    <sheetView showGridLines="0" zoomScaleNormal="100" zoomScalePageLayoutView="70" workbookViewId="0">
      <selection activeCell="B19" sqref="B19"/>
    </sheetView>
  </sheetViews>
  <sheetFormatPr defaultColWidth="8.85546875" defaultRowHeight="15"/>
  <cols>
    <col min="1" max="1" width="15.28515625" style="1154" customWidth="1"/>
    <col min="2" max="8" width="14.140625" style="1154" customWidth="1"/>
    <col min="9" max="9" width="12.140625" style="1154" customWidth="1"/>
    <col min="10" max="12" width="8.140625" style="1154" customWidth="1"/>
    <col min="13" max="13" width="9.7109375" style="1154" customWidth="1"/>
    <col min="14" max="14" width="8.140625" style="1154" customWidth="1"/>
    <col min="15" max="15" width="10" style="1154" customWidth="1"/>
    <col min="16" max="16" width="11.42578125" style="1154" customWidth="1"/>
    <col min="17" max="17" width="13.42578125" style="1154" customWidth="1"/>
    <col min="18" max="31" width="8.85546875" style="1154"/>
    <col min="32" max="32" width="21.42578125" style="1154" customWidth="1"/>
    <col min="33" max="38" width="8.85546875" style="1154"/>
    <col min="39" max="39" width="21.28515625" style="1154" customWidth="1"/>
    <col min="40" max="16384" width="8.85546875" style="1154"/>
  </cols>
  <sheetData>
    <row r="1" spans="1:6">
      <c r="A1" s="1153"/>
      <c r="B1" s="1153"/>
      <c r="C1" s="1153"/>
      <c r="D1" s="1153"/>
      <c r="E1" s="1153"/>
      <c r="F1" s="1153"/>
    </row>
    <row r="2" spans="1:6">
      <c r="A2" s="1153"/>
      <c r="B2" s="1153"/>
      <c r="C2" s="1153"/>
      <c r="D2" s="1153"/>
      <c r="E2" s="1153"/>
      <c r="F2" s="1153"/>
    </row>
    <row r="3" spans="1:6">
      <c r="A3" s="1153"/>
      <c r="B3" s="1153"/>
      <c r="C3" s="1153"/>
      <c r="D3" s="1153"/>
      <c r="E3" s="1153"/>
      <c r="F3" s="1153"/>
    </row>
    <row r="4" spans="1:6">
      <c r="A4" s="1153"/>
      <c r="B4" s="1153"/>
      <c r="C4" s="1153"/>
      <c r="D4" s="1153"/>
      <c r="E4" s="1153"/>
      <c r="F4" s="1153"/>
    </row>
    <row r="5" spans="1:6">
      <c r="A5" s="1153"/>
      <c r="B5" s="1153"/>
      <c r="C5" s="1153"/>
      <c r="D5" s="1153"/>
      <c r="E5" s="1153"/>
      <c r="F5" s="1153"/>
    </row>
    <row r="6" spans="1:6">
      <c r="A6" s="1153"/>
      <c r="B6" s="1153"/>
      <c r="C6" s="1153"/>
      <c r="D6" s="1153"/>
      <c r="E6" s="1153"/>
      <c r="F6" s="1153"/>
    </row>
    <row r="7" spans="1:6">
      <c r="A7" s="1153"/>
      <c r="B7" s="1153"/>
      <c r="C7" s="1153"/>
      <c r="D7" s="1153"/>
      <c r="E7" s="1153"/>
      <c r="F7" s="1153"/>
    </row>
    <row r="8" spans="1:6">
      <c r="A8" s="1153"/>
      <c r="B8" s="1153"/>
      <c r="C8" s="1153"/>
      <c r="D8" s="1153"/>
      <c r="E8" s="1153"/>
      <c r="F8" s="1153"/>
    </row>
    <row r="9" spans="1:6">
      <c r="A9" s="1153"/>
      <c r="B9" s="1153"/>
      <c r="C9" s="1153"/>
      <c r="D9" s="1153"/>
      <c r="E9" s="1153"/>
      <c r="F9" s="1153"/>
    </row>
    <row r="10" spans="1:6">
      <c r="A10" s="1153"/>
      <c r="B10" s="1153"/>
      <c r="C10" s="1153"/>
      <c r="D10" s="1153"/>
      <c r="E10" s="1153"/>
      <c r="F10" s="1153"/>
    </row>
    <row r="11" spans="1:6">
      <c r="A11" s="1153"/>
      <c r="B11" s="1153"/>
      <c r="C11" s="1153"/>
      <c r="D11" s="1153"/>
      <c r="E11" s="1153"/>
      <c r="F11" s="1153"/>
    </row>
    <row r="12" spans="1:6">
      <c r="A12" s="1153"/>
      <c r="B12" s="1153"/>
      <c r="C12" s="1153"/>
      <c r="D12" s="1153"/>
      <c r="E12" s="1153"/>
      <c r="F12" s="1153"/>
    </row>
    <row r="13" spans="1:6">
      <c r="A13" s="1153"/>
      <c r="B13" s="1153"/>
      <c r="C13" s="1153"/>
      <c r="D13" s="1153"/>
      <c r="E13" s="1153"/>
      <c r="F13" s="1153"/>
    </row>
    <row r="14" spans="1:6">
      <c r="A14" s="1153"/>
      <c r="B14" s="1153"/>
      <c r="C14" s="1153"/>
      <c r="D14" s="1153"/>
      <c r="E14" s="1153"/>
      <c r="F14" s="1153"/>
    </row>
    <row r="15" spans="1:6">
      <c r="A15" s="1153"/>
      <c r="B15" s="1153"/>
      <c r="C15" s="1153"/>
      <c r="D15" s="1153"/>
      <c r="E15" s="1153"/>
      <c r="F15" s="1153"/>
    </row>
    <row r="16" spans="1:6">
      <c r="A16" s="1153"/>
      <c r="B16" s="1153"/>
      <c r="C16" s="1153"/>
      <c r="D16" s="1153"/>
      <c r="E16" s="1153"/>
      <c r="F16" s="1153"/>
    </row>
    <row r="17" spans="1:14" ht="102.75" customHeight="1">
      <c r="A17" s="1689" t="s">
        <v>1143</v>
      </c>
      <c r="B17" s="1689"/>
      <c r="C17" s="1689"/>
      <c r="D17" s="1689"/>
      <c r="E17" s="1689"/>
      <c r="F17" s="1689"/>
      <c r="G17" s="1155"/>
      <c r="H17" s="1155"/>
      <c r="I17" s="1156"/>
      <c r="J17" s="1156"/>
      <c r="K17" s="1156"/>
      <c r="L17" s="1156"/>
      <c r="M17" s="1156"/>
      <c r="N17" s="1156"/>
    </row>
    <row r="18" spans="1:14" ht="17.25" customHeight="1">
      <c r="A18" s="1157"/>
      <c r="B18" s="1157"/>
      <c r="C18" s="1157"/>
      <c r="D18" s="1157"/>
      <c r="E18" s="1157"/>
      <c r="F18" s="1157"/>
    </row>
    <row r="19" spans="1:14" ht="17.25" customHeight="1">
      <c r="A19" s="1157"/>
      <c r="B19" s="1157"/>
      <c r="C19" s="1157"/>
      <c r="D19" s="1157"/>
      <c r="E19" s="1157"/>
      <c r="F19" s="1157"/>
      <c r="G19" s="1158"/>
      <c r="H19" s="1158"/>
      <c r="I19" s="1159"/>
      <c r="J19" s="1159"/>
      <c r="K19" s="1159"/>
      <c r="L19" s="1159"/>
      <c r="M19" s="1159"/>
      <c r="N19" s="1159"/>
    </row>
    <row r="20" spans="1:14" ht="17.25" customHeight="1">
      <c r="A20" s="1160" t="s">
        <v>1144</v>
      </c>
      <c r="B20" s="1690" t="s">
        <v>1145</v>
      </c>
      <c r="C20" s="1690"/>
      <c r="D20" s="1690"/>
      <c r="E20" s="1690"/>
      <c r="F20" s="1690"/>
      <c r="G20" s="1161"/>
      <c r="H20" s="1161"/>
      <c r="I20" s="1162"/>
      <c r="J20" s="1162"/>
      <c r="K20" s="1162"/>
      <c r="L20" s="1162"/>
      <c r="M20" s="1162"/>
      <c r="N20" s="1162"/>
    </row>
    <row r="21" spans="1:14" ht="17.25" customHeight="1">
      <c r="A21" s="1160" t="s">
        <v>1146</v>
      </c>
      <c r="B21" s="1691" t="s">
        <v>1149</v>
      </c>
      <c r="C21" s="1691"/>
      <c r="D21" s="1691"/>
      <c r="E21" s="1691"/>
      <c r="F21" s="1691"/>
      <c r="G21" s="1161"/>
      <c r="H21" s="1161"/>
      <c r="I21" s="1162"/>
      <c r="J21" s="1162"/>
      <c r="K21" s="1162"/>
      <c r="L21" s="1162"/>
      <c r="M21" s="1162"/>
      <c r="N21" s="1162"/>
    </row>
    <row r="22" spans="1:14" ht="17.25" customHeight="1">
      <c r="A22" s="1160" t="s">
        <v>1147</v>
      </c>
      <c r="B22" s="1691" t="s">
        <v>1148</v>
      </c>
      <c r="C22" s="1691"/>
      <c r="D22" s="1691"/>
      <c r="E22" s="1691"/>
      <c r="F22" s="1691"/>
    </row>
    <row r="23" spans="1:14" ht="17.25" customHeight="1">
      <c r="A23" s="1157"/>
      <c r="B23" s="1153"/>
      <c r="C23" s="1153"/>
      <c r="D23" s="1153"/>
      <c r="E23" s="1163"/>
      <c r="F23" s="1163"/>
      <c r="G23" s="1164"/>
      <c r="H23" s="1164"/>
    </row>
    <row r="24" spans="1:14" ht="17.25" customHeight="1">
      <c r="A24" s="1157"/>
      <c r="B24" s="1153"/>
      <c r="C24" s="1153"/>
      <c r="D24" s="1153"/>
      <c r="E24" s="1163"/>
      <c r="F24" s="1163"/>
      <c r="G24" s="1164"/>
      <c r="H24" s="1164"/>
    </row>
    <row r="25" spans="1:14" ht="17.25" customHeight="1">
      <c r="A25" s="1153"/>
      <c r="B25" s="1153"/>
      <c r="C25" s="1153"/>
      <c r="D25" s="1153"/>
      <c r="E25" s="1153"/>
      <c r="F25" s="1153"/>
    </row>
    <row r="26" spans="1:14">
      <c r="A26" s="1153"/>
      <c r="B26" s="1153"/>
      <c r="C26" s="1153"/>
      <c r="D26" s="1153"/>
      <c r="E26" s="1153"/>
      <c r="F26" s="1153"/>
    </row>
    <row r="27" spans="1:14">
      <c r="A27" s="1153"/>
      <c r="B27" s="1153"/>
      <c r="C27" s="1153"/>
      <c r="D27" s="1153"/>
      <c r="E27" s="1153"/>
      <c r="F27" s="1153"/>
    </row>
    <row r="28" spans="1:14">
      <c r="A28" s="1153"/>
      <c r="B28" s="1153"/>
      <c r="C28" s="1153"/>
      <c r="D28" s="1153"/>
      <c r="E28" s="1153"/>
      <c r="F28" s="1153"/>
    </row>
    <row r="29" spans="1:14">
      <c r="A29" s="1153"/>
      <c r="B29" s="1153"/>
      <c r="C29" s="1153"/>
      <c r="D29" s="1153"/>
      <c r="E29" s="1153"/>
      <c r="F29" s="1153"/>
    </row>
    <row r="30" spans="1:14">
      <c r="A30" s="1153"/>
      <c r="B30" s="1153"/>
      <c r="C30" s="1153"/>
      <c r="D30" s="1153"/>
      <c r="E30" s="1153"/>
      <c r="F30" s="1153"/>
    </row>
    <row r="31" spans="1:14">
      <c r="A31" s="1153"/>
      <c r="B31" s="1153"/>
      <c r="C31" s="1153"/>
      <c r="D31" s="1153"/>
      <c r="E31" s="1153"/>
      <c r="F31" s="1153"/>
    </row>
    <row r="32" spans="1:14">
      <c r="A32" s="1153"/>
      <c r="B32" s="1153"/>
      <c r="C32" s="1153"/>
      <c r="D32" s="1153"/>
      <c r="E32" s="1153"/>
      <c r="F32" s="1153"/>
    </row>
    <row r="33" spans="1:6">
      <c r="A33" s="1153"/>
      <c r="B33" s="1153"/>
      <c r="C33" s="1153"/>
      <c r="D33" s="1153"/>
      <c r="E33" s="1153"/>
      <c r="F33" s="1153"/>
    </row>
    <row r="34" spans="1:6">
      <c r="A34" s="1153"/>
      <c r="B34" s="1153"/>
      <c r="C34" s="1153"/>
      <c r="D34" s="1153"/>
      <c r="E34" s="1153"/>
      <c r="F34" s="1153"/>
    </row>
    <row r="35" spans="1:6">
      <c r="A35" s="1153"/>
      <c r="B35" s="1153"/>
      <c r="C35" s="1153"/>
      <c r="D35" s="1153"/>
      <c r="E35" s="1153"/>
      <c r="F35" s="1153"/>
    </row>
    <row r="36" spans="1:6">
      <c r="A36" s="1153"/>
      <c r="B36" s="1153"/>
      <c r="C36" s="1153"/>
      <c r="D36" s="1153"/>
      <c r="E36" s="1153"/>
      <c r="F36" s="1153"/>
    </row>
    <row r="37" spans="1:6">
      <c r="A37" s="1153"/>
      <c r="B37" s="1153"/>
      <c r="C37" s="1153"/>
      <c r="D37" s="1153"/>
      <c r="E37" s="1153"/>
      <c r="F37" s="1153"/>
    </row>
    <row r="38" spans="1:6">
      <c r="A38" s="1153"/>
      <c r="B38" s="1153"/>
      <c r="C38" s="1153"/>
      <c r="D38" s="1153"/>
      <c r="E38" s="1153"/>
      <c r="F38" s="1153"/>
    </row>
    <row r="39" spans="1:6">
      <c r="A39" s="1153"/>
      <c r="B39" s="1153"/>
      <c r="C39" s="1153"/>
      <c r="D39" s="1153"/>
      <c r="E39" s="1153"/>
      <c r="F39" s="1153"/>
    </row>
    <row r="40" spans="1:6">
      <c r="A40" s="1153"/>
      <c r="B40" s="1153"/>
      <c r="C40" s="1153"/>
      <c r="D40" s="1153"/>
      <c r="E40" s="1153"/>
      <c r="F40" s="1153"/>
    </row>
    <row r="41" spans="1:6">
      <c r="A41" s="1153"/>
      <c r="B41" s="1153"/>
      <c r="C41" s="1153"/>
      <c r="D41" s="1153"/>
      <c r="E41" s="1153"/>
      <c r="F41" s="1153"/>
    </row>
    <row r="42" spans="1:6">
      <c r="A42" s="1153"/>
      <c r="B42" s="1153"/>
      <c r="C42" s="1153"/>
      <c r="D42" s="1153"/>
      <c r="E42" s="1153"/>
      <c r="F42" s="1153"/>
    </row>
    <row r="43" spans="1:6">
      <c r="A43" s="1153"/>
      <c r="B43" s="1153"/>
      <c r="C43" s="1153"/>
      <c r="D43" s="1153"/>
      <c r="E43" s="1153"/>
      <c r="F43" s="1153"/>
    </row>
  </sheetData>
  <mergeCells count="4">
    <mergeCell ref="A17:F17"/>
    <mergeCell ref="B20:F20"/>
    <mergeCell ref="B21:F21"/>
    <mergeCell ref="B22:F22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/>
  </sheetPr>
  <dimension ref="B2:C31"/>
  <sheetViews>
    <sheetView showGridLines="0" zoomScale="80" zoomScaleNormal="80" workbookViewId="0">
      <selection activeCell="C8" sqref="C8"/>
    </sheetView>
  </sheetViews>
  <sheetFormatPr defaultColWidth="9.140625" defaultRowHeight="15"/>
  <cols>
    <col min="1" max="1" width="3.7109375" style="1528" customWidth="1"/>
    <col min="2" max="2" width="19.5703125" style="1528" customWidth="1"/>
    <col min="3" max="3" width="68.42578125" style="1528" bestFit="1" customWidth="1"/>
    <col min="4" max="16384" width="9.140625" style="1528"/>
  </cols>
  <sheetData>
    <row r="2" spans="2:3" ht="18.75">
      <c r="B2" s="1526" t="s">
        <v>1303</v>
      </c>
      <c r="C2" s="1527"/>
    </row>
    <row r="3" spans="2:3">
      <c r="B3" s="1553" t="s">
        <v>1304</v>
      </c>
      <c r="C3" s="1554" t="s">
        <v>838</v>
      </c>
    </row>
    <row r="4" spans="2:3">
      <c r="B4" s="1529" t="s">
        <v>1305</v>
      </c>
      <c r="C4" s="1555" t="s">
        <v>1306</v>
      </c>
    </row>
    <row r="5" spans="2:3">
      <c r="B5" s="1530" t="s">
        <v>1313</v>
      </c>
      <c r="C5" s="1556" t="s">
        <v>1314</v>
      </c>
    </row>
    <row r="6" spans="2:3">
      <c r="B6" s="1530" t="s">
        <v>1315</v>
      </c>
      <c r="C6" s="1556" t="s">
        <v>1341</v>
      </c>
    </row>
    <row r="7" spans="2:3">
      <c r="B7" s="1530" t="s">
        <v>1316</v>
      </c>
      <c r="C7" s="1556" t="s">
        <v>1340</v>
      </c>
    </row>
    <row r="8" spans="2:3">
      <c r="B8" s="1530" t="s">
        <v>1317</v>
      </c>
      <c r="C8" s="1556" t="s">
        <v>1320</v>
      </c>
    </row>
    <row r="9" spans="2:3">
      <c r="B9" s="1530" t="s">
        <v>1318</v>
      </c>
      <c r="C9" s="1556" t="s">
        <v>1319</v>
      </c>
    </row>
    <row r="10" spans="2:3">
      <c r="B10" s="1530" t="s">
        <v>1321</v>
      </c>
      <c r="C10" s="1556" t="s">
        <v>1334</v>
      </c>
    </row>
    <row r="11" spans="2:3">
      <c r="B11" s="1530" t="s">
        <v>1322</v>
      </c>
      <c r="C11" s="1556" t="s">
        <v>1335</v>
      </c>
    </row>
    <row r="12" spans="2:3">
      <c r="B12" s="1530" t="s">
        <v>1323</v>
      </c>
      <c r="C12" s="1556" t="s">
        <v>1336</v>
      </c>
    </row>
    <row r="13" spans="2:3">
      <c r="B13" s="1530" t="s">
        <v>1324</v>
      </c>
      <c r="C13" s="1556" t="s">
        <v>1337</v>
      </c>
    </row>
    <row r="14" spans="2:3">
      <c r="B14" s="1530" t="s">
        <v>1325</v>
      </c>
      <c r="C14" s="1556" t="s">
        <v>1338</v>
      </c>
    </row>
    <row r="15" spans="2:3">
      <c r="B15" s="1530" t="s">
        <v>1326</v>
      </c>
      <c r="C15" s="1556" t="s">
        <v>1339</v>
      </c>
    </row>
    <row r="16" spans="2:3">
      <c r="B16" s="1531" t="s">
        <v>1332</v>
      </c>
      <c r="C16" s="1557" t="s">
        <v>1333</v>
      </c>
    </row>
    <row r="17" spans="2:3">
      <c r="B17" s="1532"/>
    </row>
    <row r="18" spans="2:3" ht="18.75">
      <c r="B18" s="1535" t="s">
        <v>1307</v>
      </c>
      <c r="C18" s="1536"/>
    </row>
    <row r="19" spans="2:3">
      <c r="B19" s="1543"/>
      <c r="C19" s="1550" t="s">
        <v>1328</v>
      </c>
    </row>
    <row r="20" spans="2:3">
      <c r="B20" s="1544"/>
      <c r="C20" s="1551" t="s">
        <v>1327</v>
      </c>
    </row>
    <row r="21" spans="2:3">
      <c r="B21" s="1545"/>
      <c r="C21" s="1551" t="s">
        <v>1329</v>
      </c>
    </row>
    <row r="22" spans="2:3">
      <c r="B22" s="1546"/>
      <c r="C22" s="1551" t="s">
        <v>1330</v>
      </c>
    </row>
    <row r="23" spans="2:3">
      <c r="B23" s="1547"/>
      <c r="C23" s="1551" t="s">
        <v>1331</v>
      </c>
    </row>
    <row r="24" spans="2:3">
      <c r="B24" s="1548"/>
      <c r="C24" s="1551" t="s">
        <v>1034</v>
      </c>
    </row>
    <row r="25" spans="2:3">
      <c r="B25" s="1549"/>
      <c r="C25" s="1552" t="s">
        <v>791</v>
      </c>
    </row>
    <row r="26" spans="2:3">
      <c r="B26" s="1533"/>
      <c r="C26" s="1534"/>
    </row>
    <row r="27" spans="2:3" ht="18.75">
      <c r="B27" s="1535" t="s">
        <v>655</v>
      </c>
      <c r="C27" s="1536"/>
    </row>
    <row r="28" spans="2:3">
      <c r="B28" s="1537" t="s">
        <v>1308</v>
      </c>
      <c r="C28" s="1542" t="s">
        <v>1312</v>
      </c>
    </row>
    <row r="29" spans="2:3">
      <c r="B29" s="1538" t="s">
        <v>1284</v>
      </c>
      <c r="C29" s="1539" t="s">
        <v>765</v>
      </c>
    </row>
    <row r="30" spans="2:3">
      <c r="B30" s="1538" t="s">
        <v>1309</v>
      </c>
      <c r="C30" s="1539" t="s">
        <v>1310</v>
      </c>
    </row>
    <row r="31" spans="2:3">
      <c r="B31" s="1540" t="s">
        <v>1311</v>
      </c>
      <c r="C31" s="1541">
        <v>2012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AO70"/>
  <sheetViews>
    <sheetView view="pageBreakPreview" zoomScale="60" zoomScaleNormal="65" workbookViewId="0">
      <selection activeCell="X24" sqref="X24"/>
    </sheetView>
  </sheetViews>
  <sheetFormatPr defaultRowHeight="12.75"/>
  <cols>
    <col min="1" max="1" width="38.140625" style="1414" customWidth="1"/>
    <col min="2" max="2" width="13" style="1348" bestFit="1" customWidth="1"/>
    <col min="3" max="4" width="7.5703125" style="1415" bestFit="1" customWidth="1"/>
    <col min="5" max="5" width="9.140625" style="1415"/>
    <col min="6" max="6" width="6.140625" style="1416" customWidth="1"/>
    <col min="7" max="7" width="5.85546875" style="1416" bestFit="1" customWidth="1"/>
    <col min="8" max="8" width="6.42578125" style="1415" bestFit="1" customWidth="1"/>
    <col min="9" max="9" width="6.140625" style="1416" bestFit="1" customWidth="1"/>
    <col min="10" max="10" width="6" style="1416" bestFit="1" customWidth="1"/>
    <col min="11" max="11" width="6.85546875" style="1416" bestFit="1" customWidth="1"/>
    <col min="12" max="12" width="8.7109375" style="1408" bestFit="1" customWidth="1"/>
    <col min="13" max="13" width="8.140625" style="1407" bestFit="1" customWidth="1"/>
    <col min="14" max="14" width="5.28515625" style="1407" customWidth="1"/>
    <col min="15" max="15" width="7.42578125" style="1407" customWidth="1"/>
    <col min="16" max="16" width="7.42578125" style="1407" bestFit="1" customWidth="1"/>
    <col min="17" max="17" width="8.140625" style="1407" bestFit="1" customWidth="1"/>
    <col min="18" max="18" width="7.28515625" style="1407" bestFit="1" customWidth="1"/>
    <col min="19" max="19" width="7.42578125" style="1407" bestFit="1" customWidth="1"/>
    <col min="20" max="20" width="8.42578125" style="1407" bestFit="1" customWidth="1"/>
    <col min="21" max="21" width="6.85546875" style="1407" bestFit="1" customWidth="1"/>
    <col min="22" max="24" width="5.42578125" style="1407" customWidth="1"/>
    <col min="25" max="25" width="5.42578125" style="1416" customWidth="1"/>
    <col min="26" max="26" width="8.140625" style="1411" bestFit="1" customWidth="1"/>
    <col min="27" max="27" width="6.7109375" style="1408" bestFit="1" customWidth="1"/>
    <col min="28" max="29" width="5.5703125" style="1407" customWidth="1"/>
    <col min="30" max="30" width="8.7109375" style="1407" bestFit="1" customWidth="1"/>
    <col min="31" max="31" width="5.5703125" style="1407" customWidth="1"/>
    <col min="32" max="32" width="5.85546875" style="1407" bestFit="1" customWidth="1"/>
    <col min="33" max="33" width="7" style="1407" customWidth="1"/>
    <col min="34" max="36" width="5.5703125" style="1407" customWidth="1"/>
    <col min="37" max="37" width="8.7109375" style="1411" bestFit="1" customWidth="1"/>
    <col min="38" max="38" width="4.42578125" style="1417" bestFit="1" customWidth="1"/>
    <col min="39" max="39" width="9.28515625" style="1407" bestFit="1" customWidth="1"/>
    <col min="40" max="40" width="9.140625" style="1348"/>
    <col min="41" max="41" width="9.140625" style="1197"/>
    <col min="42" max="16384" width="9.140625" style="1348"/>
  </cols>
  <sheetData>
    <row r="1" spans="1:41" s="1180" customFormat="1" ht="105.75" customHeight="1" thickBot="1">
      <c r="A1" s="1170" t="s">
        <v>1209</v>
      </c>
      <c r="B1" s="1171" t="s">
        <v>1035</v>
      </c>
      <c r="C1" s="1172" t="s">
        <v>1036</v>
      </c>
      <c r="D1" s="1173" t="s">
        <v>1037</v>
      </c>
      <c r="E1" s="1174" t="s">
        <v>1038</v>
      </c>
      <c r="F1" s="1175" t="s">
        <v>1039</v>
      </c>
      <c r="G1" s="1175" t="s">
        <v>1040</v>
      </c>
      <c r="H1" s="1176" t="s">
        <v>1041</v>
      </c>
      <c r="I1" s="1173" t="s">
        <v>1042</v>
      </c>
      <c r="J1" s="1174" t="s">
        <v>1043</v>
      </c>
      <c r="K1" s="1174" t="s">
        <v>1044</v>
      </c>
      <c r="L1" s="1176" t="s">
        <v>1045</v>
      </c>
      <c r="M1" s="1173" t="s">
        <v>1046</v>
      </c>
      <c r="N1" s="1174" t="s">
        <v>1047</v>
      </c>
      <c r="O1" s="1174" t="s">
        <v>1048</v>
      </c>
      <c r="P1" s="1174" t="s">
        <v>1049</v>
      </c>
      <c r="Q1" s="1174" t="s">
        <v>1050</v>
      </c>
      <c r="R1" s="1174" t="s">
        <v>1051</v>
      </c>
      <c r="S1" s="1174" t="s">
        <v>1052</v>
      </c>
      <c r="T1" s="1174" t="s">
        <v>1053</v>
      </c>
      <c r="U1" s="1174" t="s">
        <v>1054</v>
      </c>
      <c r="V1" s="1175" t="s">
        <v>1055</v>
      </c>
      <c r="W1" s="1175" t="s">
        <v>1056</v>
      </c>
      <c r="X1" s="1175" t="s">
        <v>1057</v>
      </c>
      <c r="Y1" s="1174" t="s">
        <v>1058</v>
      </c>
      <c r="Z1" s="1176" t="s">
        <v>1059</v>
      </c>
      <c r="AA1" s="1177" t="s">
        <v>1060</v>
      </c>
      <c r="AB1" s="1178" t="s">
        <v>1061</v>
      </c>
      <c r="AC1" s="1174" t="s">
        <v>1062</v>
      </c>
      <c r="AD1" s="1174" t="s">
        <v>1063</v>
      </c>
      <c r="AE1" s="1174" t="s">
        <v>1064</v>
      </c>
      <c r="AF1" s="1174" t="s">
        <v>1065</v>
      </c>
      <c r="AG1" s="1174" t="s">
        <v>1066</v>
      </c>
      <c r="AH1" s="1174" t="s">
        <v>1067</v>
      </c>
      <c r="AI1" s="1175" t="s">
        <v>1068</v>
      </c>
      <c r="AJ1" s="1176" t="s">
        <v>1069</v>
      </c>
      <c r="AK1" s="1176" t="s">
        <v>1070</v>
      </c>
      <c r="AL1" s="1177" t="s">
        <v>1071</v>
      </c>
      <c r="AM1" s="1179" t="s">
        <v>1072</v>
      </c>
      <c r="AO1" s="1181"/>
    </row>
    <row r="2" spans="1:41" s="1196" customFormat="1" ht="12.75" customHeight="1">
      <c r="A2" s="1182" t="s">
        <v>1210</v>
      </c>
      <c r="B2" s="1183"/>
      <c r="C2" s="1184">
        <f>SUM(D2:G2)</f>
        <v>0</v>
      </c>
      <c r="D2" s="1185">
        <v>0</v>
      </c>
      <c r="E2" s="1186"/>
      <c r="F2" s="1187"/>
      <c r="G2" s="1187"/>
      <c r="H2" s="1188">
        <f>SUM(I2:K2)</f>
        <v>315.35635744035284</v>
      </c>
      <c r="I2" s="1189">
        <v>187.65235744035286</v>
      </c>
      <c r="J2" s="1190">
        <v>127.70399999999999</v>
      </c>
      <c r="K2" s="1190"/>
      <c r="L2" s="1188">
        <f>SUM(M2:Y2)</f>
        <v>0</v>
      </c>
      <c r="M2" s="1189"/>
      <c r="N2" s="1191"/>
      <c r="O2" s="1191"/>
      <c r="P2" s="1191"/>
      <c r="Q2" s="1191"/>
      <c r="R2" s="1191"/>
      <c r="S2" s="1191"/>
      <c r="T2" s="1191"/>
      <c r="U2" s="1191"/>
      <c r="V2" s="1187"/>
      <c r="W2" s="1187"/>
      <c r="X2" s="1187"/>
      <c r="Y2" s="1190"/>
      <c r="Z2" s="1188">
        <v>171.49751771428569</v>
      </c>
      <c r="AA2" s="1192">
        <f>SUM(AB2:AI2)</f>
        <v>757.30604420028544</v>
      </c>
      <c r="AB2" s="1193">
        <v>69.001988581977614</v>
      </c>
      <c r="AC2" s="1190">
        <v>344.90112829599997</v>
      </c>
      <c r="AD2" s="1190">
        <v>222.86512840487305</v>
      </c>
      <c r="AE2" s="1190">
        <v>42.979400797369799</v>
      </c>
      <c r="AF2" s="1190">
        <v>12.923532256094104</v>
      </c>
      <c r="AG2" s="1190">
        <v>23.972115147275954</v>
      </c>
      <c r="AH2" s="1189">
        <v>10.258262390627788</v>
      </c>
      <c r="AI2" s="1187">
        <v>30.404488326067145</v>
      </c>
      <c r="AJ2" s="1194">
        <v>43.833028461414592</v>
      </c>
      <c r="AK2" s="1194"/>
      <c r="AL2" s="1192"/>
      <c r="AM2" s="1195">
        <f>C2+H2+L2+Z2+AA2+AJ2+AK2+AL2</f>
        <v>1287.9929478163388</v>
      </c>
      <c r="AO2" s="1197"/>
    </row>
    <row r="3" spans="1:41" s="1196" customFormat="1" ht="12.75" customHeight="1">
      <c r="A3" s="1198" t="s">
        <v>1211</v>
      </c>
      <c r="B3" s="1199"/>
      <c r="C3" s="1200">
        <f>SUM(D3:G3)</f>
        <v>1339.4386362769842</v>
      </c>
      <c r="D3" s="1201">
        <v>1285.9287813868641</v>
      </c>
      <c r="E3" s="1202">
        <v>41.45458802634522</v>
      </c>
      <c r="F3" s="1203"/>
      <c r="G3" s="1203">
        <v>12.055266863774902</v>
      </c>
      <c r="H3" s="1204">
        <f>SUM(I3:K3)</f>
        <v>0</v>
      </c>
      <c r="I3" s="1205"/>
      <c r="J3" s="1206"/>
      <c r="K3" s="1206"/>
      <c r="L3" s="1204">
        <f>SUM(M3:Y3)</f>
        <v>8265.917540358374</v>
      </c>
      <c r="M3" s="1205">
        <v>3005.4213999999997</v>
      </c>
      <c r="N3" s="1206">
        <v>0</v>
      </c>
      <c r="O3" s="1206">
        <v>1079.7509873962383</v>
      </c>
      <c r="P3" s="1206">
        <v>532.7149551835239</v>
      </c>
      <c r="Q3" s="1206">
        <v>763.43666664191994</v>
      </c>
      <c r="R3" s="1206">
        <v>196.43930288361582</v>
      </c>
      <c r="S3" s="1206">
        <v>104.55555529999999</v>
      </c>
      <c r="T3" s="1206">
        <v>2182.8743673595941</v>
      </c>
      <c r="U3" s="1206">
        <v>125.35497672939384</v>
      </c>
      <c r="V3" s="1203">
        <v>0</v>
      </c>
      <c r="W3" s="1203">
        <v>238.19556224871167</v>
      </c>
      <c r="X3" s="1203">
        <v>0.977442255176041</v>
      </c>
      <c r="Y3" s="1206">
        <v>36.196324360200904</v>
      </c>
      <c r="Z3" s="1204">
        <v>3846.4506769075715</v>
      </c>
      <c r="AA3" s="1207">
        <f>SUM(AB3:AI3)</f>
        <v>79.621869102978863</v>
      </c>
      <c r="AB3" s="1208"/>
      <c r="AC3" s="1206"/>
      <c r="AD3" s="1206">
        <v>15.392196200436368</v>
      </c>
      <c r="AE3" s="1206"/>
      <c r="AF3" s="1206"/>
      <c r="AG3" s="1206">
        <v>64.22967290254249</v>
      </c>
      <c r="AH3" s="1205"/>
      <c r="AI3" s="1203"/>
      <c r="AJ3" s="1209"/>
      <c r="AK3" s="1209">
        <v>67.390044275999983</v>
      </c>
      <c r="AL3" s="1207"/>
      <c r="AM3" s="1210">
        <f t="shared" ref="AM3:AM21" si="0">C3+H3+L3+Z3+AA3+AJ3+AK3+AL3</f>
        <v>13598.81876692191</v>
      </c>
      <c r="AO3" s="1197"/>
    </row>
    <row r="4" spans="1:41" s="1196" customFormat="1" ht="12.75" customHeight="1">
      <c r="A4" s="1198" t="s">
        <v>1212</v>
      </c>
      <c r="B4" s="1199"/>
      <c r="C4" s="1200">
        <f>SUM(D4:G4)</f>
        <v>9.3109921176560011</v>
      </c>
      <c r="D4" s="1201">
        <v>0</v>
      </c>
      <c r="E4" s="1211">
        <v>8.9073084500000004</v>
      </c>
      <c r="F4" s="1203"/>
      <c r="G4" s="1203">
        <v>0.40368366765599989</v>
      </c>
      <c r="H4" s="1204">
        <f>SUM(I4:K4)</f>
        <v>8.8697459999999992</v>
      </c>
      <c r="I4" s="1205"/>
      <c r="J4" s="1206"/>
      <c r="K4" s="1206">
        <v>8.8697459999999992</v>
      </c>
      <c r="L4" s="1204">
        <f>SUM(M4:Y4)</f>
        <v>1772.3661622101411</v>
      </c>
      <c r="M4" s="1205">
        <v>0</v>
      </c>
      <c r="N4" s="1206"/>
      <c r="O4" s="1206">
        <v>433.62034337999995</v>
      </c>
      <c r="P4" s="1206">
        <v>5.9879747386368001</v>
      </c>
      <c r="Q4" s="1206">
        <v>0.47673116375999997</v>
      </c>
      <c r="R4" s="1206">
        <v>962.45417516139128</v>
      </c>
      <c r="S4" s="1206">
        <v>37.724257284700002</v>
      </c>
      <c r="T4" s="1206">
        <v>316.4189578548112</v>
      </c>
      <c r="U4" s="1206">
        <v>0.22210239784184876</v>
      </c>
      <c r="V4" s="1203">
        <v>9.016279913</v>
      </c>
      <c r="W4" s="1203">
        <v>1.7206643999999997E-2</v>
      </c>
      <c r="X4" s="1203">
        <v>4.784151999999999E-3</v>
      </c>
      <c r="Y4" s="1206">
        <v>6.4233495200000004</v>
      </c>
      <c r="Z4" s="1204">
        <v>0</v>
      </c>
      <c r="AA4" s="1207">
        <f>SUM(AB4:AI4)</f>
        <v>2.8858024799999996E-3</v>
      </c>
      <c r="AB4" s="1208"/>
      <c r="AC4" s="1206"/>
      <c r="AD4" s="1206">
        <v>2.8858024799999996E-3</v>
      </c>
      <c r="AE4" s="1206"/>
      <c r="AF4" s="1206"/>
      <c r="AG4" s="1206">
        <v>0</v>
      </c>
      <c r="AH4" s="1205"/>
      <c r="AI4" s="1203"/>
      <c r="AJ4" s="1209"/>
      <c r="AK4" s="1209">
        <v>31.83121139</v>
      </c>
      <c r="AL4" s="1207"/>
      <c r="AM4" s="1210">
        <f t="shared" si="0"/>
        <v>1822.3809975202769</v>
      </c>
      <c r="AO4" s="1197"/>
    </row>
    <row r="5" spans="1:41" s="1196" customFormat="1" ht="12.75" customHeight="1">
      <c r="A5" s="1198" t="s">
        <v>1213</v>
      </c>
      <c r="B5" s="1199"/>
      <c r="C5" s="1200">
        <f>SUM(D5:G5)</f>
        <v>0</v>
      </c>
      <c r="D5" s="1201"/>
      <c r="E5" s="1211"/>
      <c r="F5" s="1203"/>
      <c r="G5" s="1203"/>
      <c r="H5" s="1204">
        <f>SUM(I5:K5)</f>
        <v>0</v>
      </c>
      <c r="I5" s="1205"/>
      <c r="J5" s="1206"/>
      <c r="K5" s="1206"/>
      <c r="L5" s="1204">
        <f>SUM(M5:Y5)</f>
        <v>128.53879204910621</v>
      </c>
      <c r="M5" s="1205"/>
      <c r="N5" s="1206"/>
      <c r="O5" s="1206"/>
      <c r="P5" s="1206"/>
      <c r="Q5" s="1206"/>
      <c r="R5" s="1206">
        <v>23.696508519774007</v>
      </c>
      <c r="S5" s="1206"/>
      <c r="T5" s="1206">
        <v>104.84228352933221</v>
      </c>
      <c r="U5" s="1206"/>
      <c r="V5" s="1203"/>
      <c r="W5" s="1203"/>
      <c r="X5" s="1203"/>
      <c r="Y5" s="1206"/>
      <c r="Z5" s="1204"/>
      <c r="AA5" s="1207">
        <f>SUM(AB5:AI5)</f>
        <v>0</v>
      </c>
      <c r="AB5" s="1208"/>
      <c r="AC5" s="1206"/>
      <c r="AD5" s="1206"/>
      <c r="AE5" s="1206"/>
      <c r="AF5" s="1206"/>
      <c r="AG5" s="1206"/>
      <c r="AH5" s="1205"/>
      <c r="AI5" s="1203"/>
      <c r="AJ5" s="1209"/>
      <c r="AK5" s="1209"/>
      <c r="AL5" s="1207"/>
      <c r="AM5" s="1210">
        <f t="shared" si="0"/>
        <v>128.53879204910621</v>
      </c>
      <c r="AO5" s="1197"/>
    </row>
    <row r="6" spans="1:41" s="1196" customFormat="1" ht="12.75" customHeight="1" thickBot="1">
      <c r="A6" s="1212" t="s">
        <v>1214</v>
      </c>
      <c r="B6" s="1213"/>
      <c r="C6" s="1200">
        <f>SUM(D6:G6)</f>
        <v>155.26435651398248</v>
      </c>
      <c r="D6" s="1214">
        <v>148.553498653753</v>
      </c>
      <c r="E6" s="1203">
        <v>5.5182532106401219</v>
      </c>
      <c r="F6" s="1215"/>
      <c r="G6" s="1215">
        <v>1.1926046495893485</v>
      </c>
      <c r="H6" s="1216">
        <f>SUM(I6:K6)</f>
        <v>464.62932322053905</v>
      </c>
      <c r="I6" s="1217">
        <v>457.36678122053905</v>
      </c>
      <c r="J6" s="1217">
        <v>0</v>
      </c>
      <c r="K6" s="1217">
        <v>7.2625420000000007</v>
      </c>
      <c r="L6" s="1216">
        <f>SUM(M6:Y6)</f>
        <v>149.97163488893574</v>
      </c>
      <c r="M6" s="1205">
        <v>131.91540000000001</v>
      </c>
      <c r="N6" s="1206"/>
      <c r="O6" s="1206">
        <v>11.88495739041778</v>
      </c>
      <c r="P6" s="1206">
        <v>-32.993711018401761</v>
      </c>
      <c r="Q6" s="1206">
        <v>2.1153777808800038</v>
      </c>
      <c r="R6" s="1206">
        <v>33.907947170871473</v>
      </c>
      <c r="S6" s="1206">
        <v>-0.41187664700000065</v>
      </c>
      <c r="T6" s="1206">
        <v>20.336442141320198</v>
      </c>
      <c r="U6" s="1206">
        <v>-11.361721059894943</v>
      </c>
      <c r="V6" s="1215">
        <v>-5.4211808692569976</v>
      </c>
      <c r="W6" s="1215">
        <v>0</v>
      </c>
      <c r="X6" s="1215">
        <v>0</v>
      </c>
      <c r="Y6" s="1217">
        <v>0</v>
      </c>
      <c r="Z6" s="1216">
        <v>15.016289828571434</v>
      </c>
      <c r="AA6" s="1218">
        <f>SUM(AB6:AI6)</f>
        <v>-2.1172169422381053</v>
      </c>
      <c r="AB6" s="1219"/>
      <c r="AC6" s="1220"/>
      <c r="AD6" s="1220">
        <v>1.2741511567679997</v>
      </c>
      <c r="AE6" s="1220"/>
      <c r="AF6" s="1220"/>
      <c r="AG6" s="1220">
        <v>-3.391368099006105</v>
      </c>
      <c r="AH6" s="1217"/>
      <c r="AI6" s="1215"/>
      <c r="AJ6" s="1221"/>
      <c r="AK6" s="1221"/>
      <c r="AL6" s="1218"/>
      <c r="AM6" s="1222">
        <f t="shared" si="0"/>
        <v>782.76438750979071</v>
      </c>
      <c r="AO6" s="1197"/>
    </row>
    <row r="7" spans="1:41" s="1233" customFormat="1" ht="12.75" customHeight="1">
      <c r="A7" s="1223" t="s">
        <v>1215</v>
      </c>
      <c r="B7" s="1224"/>
      <c r="C7" s="1225">
        <f t="shared" ref="C7:AL7" si="1">C2+C3-C4-C5+C6</f>
        <v>1485.3920006733106</v>
      </c>
      <c r="D7" s="1226">
        <f t="shared" si="1"/>
        <v>1434.4822800406171</v>
      </c>
      <c r="E7" s="1227">
        <f t="shared" si="1"/>
        <v>38.065532786985344</v>
      </c>
      <c r="F7" s="1227">
        <f t="shared" si="1"/>
        <v>0</v>
      </c>
      <c r="G7" s="1227">
        <f t="shared" si="1"/>
        <v>12.84418784570825</v>
      </c>
      <c r="H7" s="1228">
        <f t="shared" si="1"/>
        <v>771.11593466089187</v>
      </c>
      <c r="I7" s="1226">
        <f t="shared" si="1"/>
        <v>645.01913866089194</v>
      </c>
      <c r="J7" s="1227">
        <f t="shared" si="1"/>
        <v>127.70399999999999</v>
      </c>
      <c r="K7" s="1227">
        <f t="shared" si="1"/>
        <v>-1.6072039999999985</v>
      </c>
      <c r="L7" s="1228">
        <f t="shared" si="1"/>
        <v>6514.9842209880626</v>
      </c>
      <c r="M7" s="1226">
        <f t="shared" si="1"/>
        <v>3137.3367999999996</v>
      </c>
      <c r="N7" s="1227">
        <f t="shared" si="1"/>
        <v>0</v>
      </c>
      <c r="O7" s="1227">
        <f t="shared" si="1"/>
        <v>658.01560140665617</v>
      </c>
      <c r="P7" s="1227">
        <f t="shared" si="1"/>
        <v>493.73326942648532</v>
      </c>
      <c r="Q7" s="1227">
        <f t="shared" si="1"/>
        <v>765.07531325903994</v>
      </c>
      <c r="R7" s="1227">
        <f t="shared" si="1"/>
        <v>-755.80343362667804</v>
      </c>
      <c r="S7" s="1227">
        <f t="shared" si="1"/>
        <v>66.419421368299993</v>
      </c>
      <c r="T7" s="1227">
        <f t="shared" si="1"/>
        <v>1781.9495681167709</v>
      </c>
      <c r="U7" s="1227">
        <f t="shared" si="1"/>
        <v>113.77115327165704</v>
      </c>
      <c r="V7" s="1227">
        <f t="shared" si="1"/>
        <v>-14.437460782256998</v>
      </c>
      <c r="W7" s="1227">
        <f t="shared" si="1"/>
        <v>238.17835560471167</v>
      </c>
      <c r="X7" s="1227">
        <f t="shared" si="1"/>
        <v>0.97265810317604096</v>
      </c>
      <c r="Y7" s="1227">
        <f t="shared" si="1"/>
        <v>29.772974840200902</v>
      </c>
      <c r="Z7" s="1228">
        <f t="shared" si="1"/>
        <v>4032.9644844504287</v>
      </c>
      <c r="AA7" s="1228">
        <f t="shared" si="1"/>
        <v>834.80781055854618</v>
      </c>
      <c r="AB7" s="1226">
        <f t="shared" si="1"/>
        <v>69.001988581977614</v>
      </c>
      <c r="AC7" s="1227">
        <f t="shared" si="1"/>
        <v>344.90112829599997</v>
      </c>
      <c r="AD7" s="1227">
        <f t="shared" si="1"/>
        <v>239.52858995959741</v>
      </c>
      <c r="AE7" s="1227">
        <f t="shared" si="1"/>
        <v>42.979400797369799</v>
      </c>
      <c r="AF7" s="1227">
        <f t="shared" si="1"/>
        <v>12.923532256094104</v>
      </c>
      <c r="AG7" s="1227">
        <f t="shared" si="1"/>
        <v>84.810419950812346</v>
      </c>
      <c r="AH7" s="1229">
        <f t="shared" si="1"/>
        <v>10.258262390627788</v>
      </c>
      <c r="AI7" s="1226">
        <f t="shared" si="1"/>
        <v>30.404488326067145</v>
      </c>
      <c r="AJ7" s="1228">
        <f t="shared" si="1"/>
        <v>43.833028461414592</v>
      </c>
      <c r="AK7" s="1228">
        <f t="shared" si="1"/>
        <v>35.558832885999983</v>
      </c>
      <c r="AL7" s="1230">
        <f t="shared" si="1"/>
        <v>0</v>
      </c>
      <c r="AM7" s="1231">
        <f t="shared" si="0"/>
        <v>13718.656312678655</v>
      </c>
      <c r="AN7" s="1196"/>
      <c r="AO7" s="1232"/>
    </row>
    <row r="8" spans="1:41" s="1233" customFormat="1" ht="12.75" customHeight="1" thickBot="1">
      <c r="A8" s="1234" t="s">
        <v>1216</v>
      </c>
      <c r="B8" s="1235"/>
      <c r="C8" s="1236">
        <f t="shared" ref="C8:AL8" si="2">C7-C28</f>
        <v>1485.3920006733106</v>
      </c>
      <c r="D8" s="1237">
        <f>D7-D28</f>
        <v>1434.4822800406171</v>
      </c>
      <c r="E8" s="1238">
        <f t="shared" si="2"/>
        <v>38.065532786985344</v>
      </c>
      <c r="F8" s="1239">
        <f t="shared" si="2"/>
        <v>0</v>
      </c>
      <c r="G8" s="1239">
        <f t="shared" si="2"/>
        <v>12.84418784570825</v>
      </c>
      <c r="H8" s="1240">
        <f t="shared" si="2"/>
        <v>771.11593466089187</v>
      </c>
      <c r="I8" s="1237">
        <f t="shared" si="2"/>
        <v>645.01913866089194</v>
      </c>
      <c r="J8" s="1238">
        <f t="shared" si="2"/>
        <v>127.70399999999999</v>
      </c>
      <c r="K8" s="1238">
        <f t="shared" si="2"/>
        <v>-1.6072039999999985</v>
      </c>
      <c r="L8" s="1240">
        <f t="shared" si="2"/>
        <v>6246.0602324399742</v>
      </c>
      <c r="M8" s="1237">
        <f t="shared" si="2"/>
        <v>3137.3367999999996</v>
      </c>
      <c r="N8" s="1238">
        <f t="shared" si="2"/>
        <v>0</v>
      </c>
      <c r="O8" s="1238">
        <f t="shared" si="2"/>
        <v>658.01560140665617</v>
      </c>
      <c r="P8" s="1238">
        <f t="shared" si="2"/>
        <v>493.73326942648532</v>
      </c>
      <c r="Q8" s="1238">
        <f t="shared" si="2"/>
        <v>765.07531325903994</v>
      </c>
      <c r="R8" s="1238">
        <f t="shared" si="2"/>
        <v>-755.80343362667804</v>
      </c>
      <c r="S8" s="1238">
        <f t="shared" si="2"/>
        <v>66.419421368299993</v>
      </c>
      <c r="T8" s="1238">
        <f t="shared" si="2"/>
        <v>1781.9495681167709</v>
      </c>
      <c r="U8" s="1238">
        <f t="shared" si="2"/>
        <v>113.77115327165704</v>
      </c>
      <c r="V8" s="1239">
        <f t="shared" si="2"/>
        <v>-14.437460782256998</v>
      </c>
      <c r="W8" s="1239">
        <f t="shared" si="2"/>
        <v>0</v>
      </c>
      <c r="X8" s="1239">
        <f t="shared" si="2"/>
        <v>0</v>
      </c>
      <c r="Y8" s="1238">
        <f t="shared" si="2"/>
        <v>0</v>
      </c>
      <c r="Z8" s="1240">
        <f t="shared" si="2"/>
        <v>4032.9644844504287</v>
      </c>
      <c r="AA8" s="1241">
        <f t="shared" si="2"/>
        <v>834.80781055854618</v>
      </c>
      <c r="AB8" s="1237">
        <f t="shared" si="2"/>
        <v>69.001988581977614</v>
      </c>
      <c r="AC8" s="1238">
        <f t="shared" si="2"/>
        <v>344.90112829599997</v>
      </c>
      <c r="AD8" s="1238">
        <f t="shared" si="2"/>
        <v>239.52858995959741</v>
      </c>
      <c r="AE8" s="1238">
        <f t="shared" si="2"/>
        <v>42.979400797369799</v>
      </c>
      <c r="AF8" s="1238">
        <f t="shared" si="2"/>
        <v>12.923532256094104</v>
      </c>
      <c r="AG8" s="1238">
        <f t="shared" si="2"/>
        <v>84.810419950812346</v>
      </c>
      <c r="AH8" s="1242">
        <f t="shared" si="2"/>
        <v>10.258262390627788</v>
      </c>
      <c r="AI8" s="1237">
        <f t="shared" si="2"/>
        <v>30.404488326067145</v>
      </c>
      <c r="AJ8" s="1240">
        <f t="shared" si="2"/>
        <v>43.833028461414592</v>
      </c>
      <c r="AK8" s="1240">
        <f t="shared" si="2"/>
        <v>35.558832885999983</v>
      </c>
      <c r="AL8" s="1237">
        <f t="shared" si="2"/>
        <v>0</v>
      </c>
      <c r="AM8" s="1243">
        <f t="shared" si="0"/>
        <v>13449.732324130568</v>
      </c>
      <c r="AN8" s="1196"/>
      <c r="AO8" s="1232"/>
    </row>
    <row r="9" spans="1:41" s="1233" customFormat="1" ht="12.75" customHeight="1">
      <c r="A9" s="1223" t="s">
        <v>1217</v>
      </c>
      <c r="B9" s="1224"/>
      <c r="C9" s="1225">
        <f t="shared" ref="C9:AL9" si="3">SUM(C10:C14)</f>
        <v>1160.1104733552247</v>
      </c>
      <c r="D9" s="1229">
        <f t="shared" si="3"/>
        <v>1160.1104733552247</v>
      </c>
      <c r="E9" s="1227">
        <f t="shared" si="3"/>
        <v>0</v>
      </c>
      <c r="F9" s="1244">
        <f t="shared" si="3"/>
        <v>0</v>
      </c>
      <c r="G9" s="1244">
        <f t="shared" si="3"/>
        <v>0</v>
      </c>
      <c r="H9" s="1228">
        <f t="shared" si="3"/>
        <v>656.95502828815472</v>
      </c>
      <c r="I9" s="1229">
        <f t="shared" si="3"/>
        <v>656.95502828815472</v>
      </c>
      <c r="J9" s="1227">
        <f t="shared" si="3"/>
        <v>0</v>
      </c>
      <c r="K9" s="1227">
        <f t="shared" si="3"/>
        <v>0</v>
      </c>
      <c r="L9" s="1228">
        <f t="shared" si="3"/>
        <v>3193.221579748662</v>
      </c>
      <c r="M9" s="1227">
        <f t="shared" si="3"/>
        <v>3137.3368</v>
      </c>
      <c r="N9" s="1227">
        <f t="shared" si="3"/>
        <v>8.7413981759999988</v>
      </c>
      <c r="O9" s="1227">
        <f t="shared" si="3"/>
        <v>0</v>
      </c>
      <c r="P9" s="1227">
        <f t="shared" si="3"/>
        <v>0</v>
      </c>
      <c r="Q9" s="1227">
        <f t="shared" si="3"/>
        <v>0</v>
      </c>
      <c r="R9" s="1227">
        <f t="shared" si="3"/>
        <v>39.385257909776691</v>
      </c>
      <c r="S9" s="1227">
        <f t="shared" si="3"/>
        <v>0.49079650780767087</v>
      </c>
      <c r="T9" s="1227">
        <f t="shared" si="3"/>
        <v>7.2673271550774992</v>
      </c>
      <c r="U9" s="1227">
        <f t="shared" si="3"/>
        <v>0</v>
      </c>
      <c r="V9" s="1244">
        <f t="shared" si="3"/>
        <v>0</v>
      </c>
      <c r="W9" s="1244">
        <f t="shared" si="3"/>
        <v>0</v>
      </c>
      <c r="X9" s="1244">
        <f t="shared" si="3"/>
        <v>0</v>
      </c>
      <c r="Y9" s="1227">
        <f t="shared" si="3"/>
        <v>0</v>
      </c>
      <c r="Z9" s="1228">
        <f t="shared" si="3"/>
        <v>2328.2369151487947</v>
      </c>
      <c r="AA9" s="1226">
        <f t="shared" si="3"/>
        <v>112.78478660237138</v>
      </c>
      <c r="AB9" s="1245">
        <f t="shared" si="3"/>
        <v>0</v>
      </c>
      <c r="AC9" s="1227">
        <f t="shared" si="3"/>
        <v>0</v>
      </c>
      <c r="AD9" s="1227">
        <f t="shared" si="3"/>
        <v>65.656076622923834</v>
      </c>
      <c r="AE9" s="1227">
        <f t="shared" si="3"/>
        <v>42.979400797369799</v>
      </c>
      <c r="AF9" s="1227">
        <f t="shared" si="3"/>
        <v>4.149309182077757</v>
      </c>
      <c r="AG9" s="1227">
        <f t="shared" si="3"/>
        <v>0</v>
      </c>
      <c r="AH9" s="1229">
        <f t="shared" si="3"/>
        <v>0</v>
      </c>
      <c r="AI9" s="1244">
        <f t="shared" si="3"/>
        <v>0</v>
      </c>
      <c r="AJ9" s="1228">
        <f t="shared" si="3"/>
        <v>18.348744670969214</v>
      </c>
      <c r="AK9" s="1228">
        <f t="shared" si="3"/>
        <v>49.016600935999996</v>
      </c>
      <c r="AL9" s="1226">
        <f t="shared" si="3"/>
        <v>0</v>
      </c>
      <c r="AM9" s="1246">
        <f t="shared" si="0"/>
        <v>7518.6741287501773</v>
      </c>
      <c r="AN9" s="1196"/>
      <c r="AO9" s="1232"/>
    </row>
    <row r="10" spans="1:41" s="1196" customFormat="1" ht="12.75" customHeight="1">
      <c r="A10" s="1247" t="s">
        <v>1218</v>
      </c>
      <c r="B10" s="1248"/>
      <c r="C10" s="1249">
        <f>SUM(D10:G10)</f>
        <v>1160.1104733552247</v>
      </c>
      <c r="D10" s="1250">
        <v>1160.1104733552247</v>
      </c>
      <c r="E10" s="1251"/>
      <c r="F10" s="1252"/>
      <c r="G10" s="1252"/>
      <c r="H10" s="1253">
        <f>SUM(I10:K10)</f>
        <v>549.99918274545769</v>
      </c>
      <c r="I10" s="1250">
        <v>549.99918274545769</v>
      </c>
      <c r="J10" s="1251">
        <v>0</v>
      </c>
      <c r="K10" s="1251"/>
      <c r="L10" s="1253">
        <f>SUM(M10:Y10)</f>
        <v>46.652585064854193</v>
      </c>
      <c r="M10" s="1251"/>
      <c r="N10" s="1251"/>
      <c r="O10" s="1251"/>
      <c r="P10" s="1251"/>
      <c r="Q10" s="1251"/>
      <c r="R10" s="1251">
        <v>39.385257909776691</v>
      </c>
      <c r="S10" s="1251"/>
      <c r="T10" s="1251">
        <v>7.2673271550774992</v>
      </c>
      <c r="U10" s="1251"/>
      <c r="V10" s="1252"/>
      <c r="W10" s="1252"/>
      <c r="X10" s="1252"/>
      <c r="Y10" s="1251"/>
      <c r="Z10" s="1253">
        <v>1994.4962718704596</v>
      </c>
      <c r="AA10" s="1254">
        <f>SUM(AB10:AI10)</f>
        <v>103.85177430541363</v>
      </c>
      <c r="AB10" s="1255"/>
      <c r="AC10" s="1251"/>
      <c r="AD10" s="1251">
        <v>60.872373508043829</v>
      </c>
      <c r="AE10" s="1251">
        <v>42.979400797369799</v>
      </c>
      <c r="AF10" s="1251"/>
      <c r="AG10" s="1251"/>
      <c r="AH10" s="1250"/>
      <c r="AI10" s="1252"/>
      <c r="AJ10" s="1256">
        <v>18.348744670969214</v>
      </c>
      <c r="AK10" s="1253"/>
      <c r="AL10" s="1254"/>
      <c r="AM10" s="1257">
        <f t="shared" si="0"/>
        <v>3873.4590320123793</v>
      </c>
      <c r="AO10" s="1197"/>
    </row>
    <row r="11" spans="1:41" s="1196" customFormat="1" ht="12.75" customHeight="1">
      <c r="A11" s="1198" t="s">
        <v>1219</v>
      </c>
      <c r="B11" s="1199"/>
      <c r="C11" s="1200">
        <f>SUM(D11:G11)</f>
        <v>0</v>
      </c>
      <c r="D11" s="1205">
        <v>0</v>
      </c>
      <c r="E11" s="1206"/>
      <c r="F11" s="1203"/>
      <c r="G11" s="1203"/>
      <c r="H11" s="1204">
        <f>SUM(I11:K11)</f>
        <v>7.3137987180636967</v>
      </c>
      <c r="I11" s="1205">
        <v>7.3137987180636967</v>
      </c>
      <c r="J11" s="1206"/>
      <c r="K11" s="1206"/>
      <c r="L11" s="1204">
        <f>SUM(M11:Y11)</f>
        <v>9.2321946838076698</v>
      </c>
      <c r="M11" s="1206"/>
      <c r="N11" s="1258">
        <v>8.7413981759999988</v>
      </c>
      <c r="O11" s="1206"/>
      <c r="P11" s="1206"/>
      <c r="Q11" s="1206"/>
      <c r="R11" s="1206">
        <v>0</v>
      </c>
      <c r="S11" s="1206">
        <v>0.49079650780767087</v>
      </c>
      <c r="T11" s="1206">
        <v>0</v>
      </c>
      <c r="U11" s="1206"/>
      <c r="V11" s="1203"/>
      <c r="W11" s="1203"/>
      <c r="X11" s="1203"/>
      <c r="Y11" s="1206"/>
      <c r="Z11" s="1204">
        <v>274.98639864056184</v>
      </c>
      <c r="AA11" s="1207">
        <f>SUM(AB11:AI11)</f>
        <v>8.9330122969577559</v>
      </c>
      <c r="AB11" s="1208"/>
      <c r="AC11" s="1206"/>
      <c r="AD11" s="1206">
        <v>4.7837031148799998</v>
      </c>
      <c r="AE11" s="1206"/>
      <c r="AF11" s="1206">
        <v>4.149309182077757</v>
      </c>
      <c r="AG11" s="1206"/>
      <c r="AH11" s="1205"/>
      <c r="AI11" s="1203"/>
      <c r="AJ11" s="1209"/>
      <c r="AK11" s="1209"/>
      <c r="AL11" s="1207"/>
      <c r="AM11" s="1210">
        <f t="shared" si="0"/>
        <v>300.465404339391</v>
      </c>
      <c r="AO11" s="1197"/>
    </row>
    <row r="12" spans="1:41" s="1196" customFormat="1" ht="12.75" customHeight="1">
      <c r="A12" s="1198" t="s">
        <v>1220</v>
      </c>
      <c r="B12" s="1199"/>
      <c r="C12" s="1200"/>
      <c r="D12" s="1205"/>
      <c r="E12" s="1206"/>
      <c r="F12" s="1203"/>
      <c r="G12" s="1203"/>
      <c r="H12" s="1204"/>
      <c r="I12" s="1205"/>
      <c r="J12" s="1206"/>
      <c r="K12" s="1206"/>
      <c r="L12" s="1204"/>
      <c r="M12" s="1206"/>
      <c r="N12" s="1258"/>
      <c r="O12" s="1206"/>
      <c r="P12" s="1206"/>
      <c r="Q12" s="1206"/>
      <c r="R12" s="1206"/>
      <c r="S12" s="1206"/>
      <c r="T12" s="1206"/>
      <c r="U12" s="1206"/>
      <c r="V12" s="1203"/>
      <c r="W12" s="1203"/>
      <c r="X12" s="1203"/>
      <c r="Y12" s="1206"/>
      <c r="Z12" s="1204"/>
      <c r="AA12" s="1207"/>
      <c r="AB12" s="1208"/>
      <c r="AC12" s="1206"/>
      <c r="AD12" s="1206"/>
      <c r="AE12" s="1206"/>
      <c r="AF12" s="1206"/>
      <c r="AG12" s="1206"/>
      <c r="AH12" s="1205"/>
      <c r="AI12" s="1203"/>
      <c r="AJ12" s="1209"/>
      <c r="AK12" s="1209">
        <v>29.801018935999998</v>
      </c>
      <c r="AL12" s="1207"/>
      <c r="AM12" s="1210">
        <f t="shared" si="0"/>
        <v>29.801018935999998</v>
      </c>
      <c r="AO12" s="1197"/>
    </row>
    <row r="13" spans="1:41" s="1196" customFormat="1" ht="12.75" customHeight="1">
      <c r="A13" s="1198" t="s">
        <v>1221</v>
      </c>
      <c r="B13" s="1199"/>
      <c r="C13" s="1200">
        <f>SUM(D13:G13)</f>
        <v>0</v>
      </c>
      <c r="D13" s="1205"/>
      <c r="E13" s="1203"/>
      <c r="F13" s="1203"/>
      <c r="G13" s="1203"/>
      <c r="H13" s="1204">
        <f>SUM(I13:K13)</f>
        <v>99.642046824633354</v>
      </c>
      <c r="I13" s="1205">
        <v>99.642046824633354</v>
      </c>
      <c r="J13" s="1206"/>
      <c r="K13" s="1206"/>
      <c r="L13" s="1204">
        <f>SUM(M13:Y13)</f>
        <v>0</v>
      </c>
      <c r="M13" s="1206"/>
      <c r="N13" s="1206"/>
      <c r="O13" s="1206"/>
      <c r="P13" s="1206"/>
      <c r="Q13" s="1206"/>
      <c r="R13" s="1206"/>
      <c r="S13" s="1206"/>
      <c r="T13" s="1206"/>
      <c r="U13" s="1206"/>
      <c r="V13" s="1203"/>
      <c r="W13" s="1203"/>
      <c r="X13" s="1203"/>
      <c r="Y13" s="1206"/>
      <c r="Z13" s="1204"/>
      <c r="AA13" s="1207">
        <f>SUM(AB13:AI13)</f>
        <v>0</v>
      </c>
      <c r="AB13" s="1208"/>
      <c r="AC13" s="1206"/>
      <c r="AD13" s="1206"/>
      <c r="AE13" s="1206"/>
      <c r="AF13" s="1206"/>
      <c r="AG13" s="1206"/>
      <c r="AH13" s="1205"/>
      <c r="AI13" s="1203"/>
      <c r="AJ13" s="1209"/>
      <c r="AK13" s="1209"/>
      <c r="AL13" s="1207"/>
      <c r="AM13" s="1210">
        <f t="shared" si="0"/>
        <v>99.642046824633354</v>
      </c>
      <c r="AO13" s="1197"/>
    </row>
    <row r="14" spans="1:41" s="1196" customFormat="1" ht="12.75" customHeight="1">
      <c r="A14" s="1259" t="s">
        <v>1222</v>
      </c>
      <c r="B14" s="1260"/>
      <c r="C14" s="1261">
        <f>SUM(D14:G14)</f>
        <v>0</v>
      </c>
      <c r="D14" s="1262"/>
      <c r="E14" s="1263"/>
      <c r="F14" s="1264"/>
      <c r="G14" s="1264"/>
      <c r="H14" s="1265">
        <f>SUM(I14:K14)</f>
        <v>0</v>
      </c>
      <c r="I14" s="1262"/>
      <c r="J14" s="1263"/>
      <c r="K14" s="1263"/>
      <c r="L14" s="1265">
        <f>SUM(M14:Y14)</f>
        <v>3137.3368</v>
      </c>
      <c r="M14" s="1263">
        <v>3137.3368</v>
      </c>
      <c r="N14" s="1263"/>
      <c r="O14" s="1263"/>
      <c r="P14" s="1263"/>
      <c r="Q14" s="1263"/>
      <c r="R14" s="1263"/>
      <c r="S14" s="1263"/>
      <c r="T14" s="1263"/>
      <c r="U14" s="1263"/>
      <c r="V14" s="1264"/>
      <c r="W14" s="1264"/>
      <c r="X14" s="1264"/>
      <c r="Y14" s="1263"/>
      <c r="Z14" s="1265">
        <v>58.754244637773425</v>
      </c>
      <c r="AA14" s="1266">
        <f>SUM(AB14:AI14)</f>
        <v>0</v>
      </c>
      <c r="AB14" s="1267"/>
      <c r="AC14" s="1263"/>
      <c r="AD14" s="1263"/>
      <c r="AE14" s="1263"/>
      <c r="AF14" s="1263"/>
      <c r="AG14" s="1263"/>
      <c r="AH14" s="1262"/>
      <c r="AI14" s="1264"/>
      <c r="AJ14" s="1268"/>
      <c r="AK14" s="1268">
        <v>19.215581999999998</v>
      </c>
      <c r="AL14" s="1266"/>
      <c r="AM14" s="1269">
        <f t="shared" si="0"/>
        <v>3215.3066266377732</v>
      </c>
      <c r="AO14" s="1197"/>
    </row>
    <row r="15" spans="1:41" s="1233" customFormat="1" ht="12.75" customHeight="1">
      <c r="A15" s="1270" t="s">
        <v>1223</v>
      </c>
      <c r="B15" s="1271"/>
      <c r="C15" s="1272">
        <f t="shared" ref="C15:AL15" si="4">SUM(C16:C21)</f>
        <v>0</v>
      </c>
      <c r="D15" s="1273">
        <f t="shared" si="4"/>
        <v>0</v>
      </c>
      <c r="E15" s="1274">
        <f t="shared" si="4"/>
        <v>0</v>
      </c>
      <c r="F15" s="1275">
        <f t="shared" si="4"/>
        <v>0</v>
      </c>
      <c r="G15" s="1275">
        <f t="shared" si="4"/>
        <v>0</v>
      </c>
      <c r="H15" s="1276">
        <f t="shared" si="4"/>
        <v>87.066334000000012</v>
      </c>
      <c r="I15" s="1273">
        <f t="shared" si="4"/>
        <v>0</v>
      </c>
      <c r="J15" s="1274">
        <f t="shared" si="4"/>
        <v>0</v>
      </c>
      <c r="K15" s="1274">
        <f t="shared" si="4"/>
        <v>87.066334000000012</v>
      </c>
      <c r="L15" s="1276">
        <f t="shared" si="4"/>
        <v>3100.4499153283145</v>
      </c>
      <c r="M15" s="1274">
        <f t="shared" si="4"/>
        <v>0</v>
      </c>
      <c r="N15" s="1274">
        <f t="shared" si="4"/>
        <v>39.365629364283173</v>
      </c>
      <c r="O15" s="1274">
        <f t="shared" si="4"/>
        <v>587.00931856235991</v>
      </c>
      <c r="P15" s="1274">
        <f t="shared" si="4"/>
        <v>139.33763876760005</v>
      </c>
      <c r="Q15" s="1274">
        <f t="shared" si="4"/>
        <v>0</v>
      </c>
      <c r="R15" s="1274">
        <f t="shared" si="4"/>
        <v>946.93779043262703</v>
      </c>
      <c r="S15" s="1274">
        <f t="shared" si="4"/>
        <v>81.813521949600002</v>
      </c>
      <c r="T15" s="1274">
        <f t="shared" si="4"/>
        <v>1295.8924299065873</v>
      </c>
      <c r="U15" s="1274">
        <f t="shared" si="4"/>
        <v>0</v>
      </c>
      <c r="V15" s="1275">
        <f t="shared" si="4"/>
        <v>10.093586345256998</v>
      </c>
      <c r="W15" s="1275">
        <f t="shared" si="4"/>
        <v>0</v>
      </c>
      <c r="X15" s="1275">
        <f t="shared" si="4"/>
        <v>0</v>
      </c>
      <c r="Y15" s="1274">
        <f t="shared" si="4"/>
        <v>0</v>
      </c>
      <c r="Z15" s="1276">
        <f t="shared" si="4"/>
        <v>0</v>
      </c>
      <c r="AA15" s="1277">
        <f t="shared" si="4"/>
        <v>38.261448594712505</v>
      </c>
      <c r="AB15" s="1278">
        <f t="shared" si="4"/>
        <v>0</v>
      </c>
      <c r="AC15" s="1274">
        <f t="shared" si="4"/>
        <v>0</v>
      </c>
      <c r="AD15" s="1274">
        <f t="shared" si="4"/>
        <v>21.310880768623303</v>
      </c>
      <c r="AE15" s="1279">
        <f t="shared" si="4"/>
        <v>14.843990537460202</v>
      </c>
      <c r="AF15" s="1279">
        <f t="shared" si="4"/>
        <v>2.106577288629</v>
      </c>
      <c r="AG15" s="1279">
        <f t="shared" si="4"/>
        <v>0</v>
      </c>
      <c r="AH15" s="1273">
        <f t="shared" si="4"/>
        <v>0</v>
      </c>
      <c r="AI15" s="1275">
        <f t="shared" si="4"/>
        <v>0</v>
      </c>
      <c r="AJ15" s="1276">
        <f t="shared" si="4"/>
        <v>4.2767278890225935</v>
      </c>
      <c r="AK15" s="1276">
        <f t="shared" si="4"/>
        <v>1938.5743144093344</v>
      </c>
      <c r="AL15" s="1277">
        <f t="shared" si="4"/>
        <v>0</v>
      </c>
      <c r="AM15" s="1280">
        <f t="shared" si="0"/>
        <v>5168.6287402213839</v>
      </c>
      <c r="AN15" s="1196"/>
      <c r="AO15" s="1232"/>
    </row>
    <row r="16" spans="1:41" s="1283" customFormat="1" ht="12.75" customHeight="1">
      <c r="A16" s="1247" t="s">
        <v>1218</v>
      </c>
      <c r="B16" s="1248"/>
      <c r="C16" s="1249">
        <f>SUM(D16:G16)</f>
        <v>0</v>
      </c>
      <c r="D16" s="1250"/>
      <c r="E16" s="1251"/>
      <c r="F16" s="1252"/>
      <c r="G16" s="1252"/>
      <c r="H16" s="1253">
        <f>SUM(I16:K16)</f>
        <v>0</v>
      </c>
      <c r="I16" s="1250"/>
      <c r="J16" s="1251"/>
      <c r="K16" s="1251"/>
      <c r="L16" s="1253">
        <f>SUM(M16:Y16)</f>
        <v>0</v>
      </c>
      <c r="M16" s="1251"/>
      <c r="N16" s="1251"/>
      <c r="O16" s="1251"/>
      <c r="P16" s="1251"/>
      <c r="Q16" s="1251"/>
      <c r="R16" s="1251"/>
      <c r="S16" s="1251"/>
      <c r="T16" s="1251"/>
      <c r="U16" s="1251"/>
      <c r="V16" s="1252"/>
      <c r="W16" s="1252"/>
      <c r="X16" s="1252"/>
      <c r="Y16" s="1251"/>
      <c r="Z16" s="1253"/>
      <c r="AA16" s="1254">
        <f>SUM(AB16:AI16)</f>
        <v>34.250340590083503</v>
      </c>
      <c r="AB16" s="1255"/>
      <c r="AC16" s="1251"/>
      <c r="AD16" s="1251">
        <v>19.406350052623303</v>
      </c>
      <c r="AE16" s="1258">
        <v>14.843990537460202</v>
      </c>
      <c r="AF16" s="1258"/>
      <c r="AG16" s="1258"/>
      <c r="AH16" s="1250"/>
      <c r="AI16" s="1252"/>
      <c r="AJ16" s="1256">
        <v>4.2767278890225935</v>
      </c>
      <c r="AK16" s="1256">
        <v>1737.495899172003</v>
      </c>
      <c r="AL16" s="1254"/>
      <c r="AM16" s="1281">
        <f>C16+H16+L16+Z16+AK16+AL16</f>
        <v>1737.495899172003</v>
      </c>
      <c r="AN16" s="1196"/>
      <c r="AO16" s="1282"/>
    </row>
    <row r="17" spans="1:41" s="1283" customFormat="1" ht="12.75" customHeight="1">
      <c r="A17" s="1198" t="s">
        <v>1224</v>
      </c>
      <c r="B17" s="1199"/>
      <c r="C17" s="1200">
        <f>SUM(D17:G17)</f>
        <v>0</v>
      </c>
      <c r="D17" s="1205"/>
      <c r="E17" s="1206"/>
      <c r="F17" s="1203"/>
      <c r="G17" s="1203"/>
      <c r="H17" s="1204">
        <f>SUM(I17:K17)</f>
        <v>0</v>
      </c>
      <c r="I17" s="1205"/>
      <c r="J17" s="1206"/>
      <c r="K17" s="1206"/>
      <c r="L17" s="1204">
        <f>SUM(M17:Y17)</f>
        <v>0</v>
      </c>
      <c r="M17" s="1206"/>
      <c r="N17" s="1206"/>
      <c r="O17" s="1206"/>
      <c r="P17" s="1206"/>
      <c r="Q17" s="1206"/>
      <c r="R17" s="1206"/>
      <c r="S17" s="1206"/>
      <c r="T17" s="1206"/>
      <c r="U17" s="1206"/>
      <c r="V17" s="1203"/>
      <c r="W17" s="1203"/>
      <c r="X17" s="1203"/>
      <c r="Y17" s="1206"/>
      <c r="Z17" s="1204"/>
      <c r="AA17" s="1207">
        <f>SUM(AB17:AI17)</f>
        <v>4.0111080046289995</v>
      </c>
      <c r="AB17" s="1208"/>
      <c r="AC17" s="1206"/>
      <c r="AD17" s="1206">
        <v>1.9045307159999998</v>
      </c>
      <c r="AE17" s="1206"/>
      <c r="AF17" s="1206">
        <v>2.106577288629</v>
      </c>
      <c r="AG17" s="1206"/>
      <c r="AH17" s="1205"/>
      <c r="AI17" s="1203"/>
      <c r="AJ17" s="1209"/>
      <c r="AK17" s="1284">
        <v>182.86602689418905</v>
      </c>
      <c r="AL17" s="1207"/>
      <c r="AM17" s="1210">
        <f>C17+H17+L17+Z17+AK17+AL17</f>
        <v>182.86602689418905</v>
      </c>
      <c r="AN17" s="1196"/>
      <c r="AO17" s="1282"/>
    </row>
    <row r="18" spans="1:41" s="1283" customFormat="1" ht="12.75" customHeight="1">
      <c r="A18" s="1198" t="s">
        <v>1225</v>
      </c>
      <c r="B18" s="1199"/>
      <c r="C18" s="1200"/>
      <c r="D18" s="1205"/>
      <c r="E18" s="1206"/>
      <c r="F18" s="1203"/>
      <c r="G18" s="1203"/>
      <c r="H18" s="1204"/>
      <c r="I18" s="1205"/>
      <c r="J18" s="1206"/>
      <c r="K18" s="1206"/>
      <c r="L18" s="1204"/>
      <c r="M18" s="1206"/>
      <c r="N18" s="1206"/>
      <c r="O18" s="1206"/>
      <c r="P18" s="1206"/>
      <c r="Q18" s="1206"/>
      <c r="R18" s="1206"/>
      <c r="S18" s="1206"/>
      <c r="T18" s="1206"/>
      <c r="U18" s="1206"/>
      <c r="V18" s="1203"/>
      <c r="W18" s="1203"/>
      <c r="X18" s="1203"/>
      <c r="Y18" s="1206"/>
      <c r="Z18" s="1204"/>
      <c r="AA18" s="1207">
        <f>SUM(AB18:AI18)</f>
        <v>0</v>
      </c>
      <c r="AB18" s="1208"/>
      <c r="AC18" s="1206"/>
      <c r="AD18" s="1206"/>
      <c r="AE18" s="1206"/>
      <c r="AF18" s="1206"/>
      <c r="AG18" s="1206"/>
      <c r="AH18" s="1205"/>
      <c r="AI18" s="1203"/>
      <c r="AJ18" s="1209"/>
      <c r="AK18" s="1209"/>
      <c r="AL18" s="1207"/>
      <c r="AM18" s="1210">
        <f t="shared" si="0"/>
        <v>0</v>
      </c>
      <c r="AN18" s="1196"/>
      <c r="AO18" s="1282"/>
    </row>
    <row r="19" spans="1:41" s="1283" customFormat="1" ht="12.75" customHeight="1">
      <c r="A19" s="1198" t="s">
        <v>1226</v>
      </c>
      <c r="B19" s="1199"/>
      <c r="C19" s="1200"/>
      <c r="D19" s="1205"/>
      <c r="E19" s="1206"/>
      <c r="F19" s="1203"/>
      <c r="G19" s="1203"/>
      <c r="H19" s="1204"/>
      <c r="I19" s="1205"/>
      <c r="J19" s="1206"/>
      <c r="K19" s="1206"/>
      <c r="L19" s="1204"/>
      <c r="M19" s="1206"/>
      <c r="N19" s="1206"/>
      <c r="O19" s="1206"/>
      <c r="P19" s="1206"/>
      <c r="Q19" s="1206"/>
      <c r="R19" s="1206"/>
      <c r="S19" s="1206"/>
      <c r="T19" s="1206"/>
      <c r="U19" s="1206"/>
      <c r="V19" s="1203"/>
      <c r="W19" s="1203"/>
      <c r="X19" s="1203"/>
      <c r="Y19" s="1206"/>
      <c r="Z19" s="1204"/>
      <c r="AA19" s="1207"/>
      <c r="AB19" s="1208"/>
      <c r="AC19" s="1206"/>
      <c r="AD19" s="1206"/>
      <c r="AE19" s="1206"/>
      <c r="AF19" s="1206"/>
      <c r="AG19" s="1206"/>
      <c r="AH19" s="1205"/>
      <c r="AI19" s="1203"/>
      <c r="AJ19" s="1209"/>
      <c r="AK19" s="1209">
        <v>18.212388343142397</v>
      </c>
      <c r="AL19" s="1207"/>
      <c r="AM19" s="1210">
        <f t="shared" si="0"/>
        <v>18.212388343142397</v>
      </c>
      <c r="AN19" s="1196"/>
      <c r="AO19" s="1282"/>
    </row>
    <row r="20" spans="1:41" s="1283" customFormat="1" ht="12.75" customHeight="1">
      <c r="A20" s="1198" t="s">
        <v>1221</v>
      </c>
      <c r="B20" s="1199"/>
      <c r="C20" s="1200"/>
      <c r="E20" s="1206"/>
      <c r="F20" s="1203"/>
      <c r="G20" s="1203"/>
      <c r="H20" s="1204">
        <f>SUM(I20:K20)</f>
        <v>87.066334000000012</v>
      </c>
      <c r="I20" s="1205"/>
      <c r="J20" s="1206"/>
      <c r="K20" s="1206">
        <v>87.066334000000012</v>
      </c>
      <c r="L20" s="1204">
        <f>SUM(M20:Y20)</f>
        <v>0</v>
      </c>
      <c r="M20" s="1206"/>
      <c r="N20" s="1206"/>
      <c r="O20" s="1206"/>
      <c r="P20" s="1206"/>
      <c r="Q20" s="1206"/>
      <c r="R20" s="1206"/>
      <c r="S20" s="1206"/>
      <c r="T20" s="1206"/>
      <c r="U20" s="1206"/>
      <c r="V20" s="1203"/>
      <c r="W20" s="1203"/>
      <c r="X20" s="1203"/>
      <c r="Y20" s="1206"/>
      <c r="Z20" s="1204"/>
      <c r="AA20" s="1207">
        <f>SUM(AB20:AI20)</f>
        <v>0</v>
      </c>
      <c r="AB20" s="1208"/>
      <c r="AC20" s="1206"/>
      <c r="AD20" s="1206"/>
      <c r="AE20" s="1206"/>
      <c r="AF20" s="1206"/>
      <c r="AG20" s="1206"/>
      <c r="AH20" s="1205"/>
      <c r="AI20" s="1203"/>
      <c r="AJ20" s="1209"/>
      <c r="AK20" s="1209"/>
      <c r="AL20" s="1207"/>
      <c r="AM20" s="1210">
        <f t="shared" si="0"/>
        <v>87.066334000000012</v>
      </c>
      <c r="AN20" s="1196"/>
      <c r="AO20" s="1282"/>
    </row>
    <row r="21" spans="1:41" s="1283" customFormat="1" ht="12.75" customHeight="1">
      <c r="A21" s="1259" t="s">
        <v>1227</v>
      </c>
      <c r="B21" s="1260"/>
      <c r="C21" s="1261"/>
      <c r="D21" s="1262"/>
      <c r="E21" s="1263"/>
      <c r="F21" s="1264"/>
      <c r="G21" s="1264"/>
      <c r="H21" s="1265">
        <f>SUM(I21:K21)</f>
        <v>0</v>
      </c>
      <c r="I21" s="1262"/>
      <c r="J21" s="1263"/>
      <c r="K21" s="1263"/>
      <c r="L21" s="1265">
        <f>SUM(M21:Y21)</f>
        <v>3100.4499153283145</v>
      </c>
      <c r="M21" s="1263"/>
      <c r="N21" s="1263">
        <v>39.365629364283173</v>
      </c>
      <c r="O21" s="1263">
        <v>587.00931856235991</v>
      </c>
      <c r="P21" s="1263">
        <v>139.33763876760005</v>
      </c>
      <c r="Q21" s="1263">
        <v>0</v>
      </c>
      <c r="R21" s="1263">
        <v>946.93779043262703</v>
      </c>
      <c r="S21" s="1263">
        <v>81.813521949600002</v>
      </c>
      <c r="T21" s="1263">
        <v>1295.8924299065873</v>
      </c>
      <c r="U21" s="1263"/>
      <c r="V21" s="1264">
        <v>10.093586345256998</v>
      </c>
      <c r="W21" s="1264"/>
      <c r="X21" s="1264"/>
      <c r="Y21" s="1263"/>
      <c r="Z21" s="1265"/>
      <c r="AA21" s="1266">
        <f>SUM(AB21:AI21)</f>
        <v>0</v>
      </c>
      <c r="AB21" s="1267"/>
      <c r="AC21" s="1263"/>
      <c r="AD21" s="1263"/>
      <c r="AE21" s="1263"/>
      <c r="AF21" s="1263"/>
      <c r="AG21" s="1263"/>
      <c r="AH21" s="1262"/>
      <c r="AI21" s="1264"/>
      <c r="AJ21" s="1268"/>
      <c r="AK21" s="1268"/>
      <c r="AL21" s="1266"/>
      <c r="AM21" s="1269">
        <f t="shared" si="0"/>
        <v>3100.4499153283145</v>
      </c>
      <c r="AN21" s="1196"/>
      <c r="AO21" s="1282"/>
    </row>
    <row r="22" spans="1:41" s="1283" customFormat="1" ht="12.75" customHeight="1">
      <c r="A22" s="1285" t="s">
        <v>1228</v>
      </c>
      <c r="B22" s="1286"/>
      <c r="C22" s="1287">
        <f>SUM(C23:C25)</f>
        <v>17.197479693013754</v>
      </c>
      <c r="D22" s="1288">
        <f>SUM(D23:D25)</f>
        <v>-11.292365000000002</v>
      </c>
      <c r="E22" s="1289">
        <f>SUM(E23:E25)</f>
        <v>28.489844693013758</v>
      </c>
      <c r="F22" s="1290">
        <f>SUM(F23:F25)</f>
        <v>0</v>
      </c>
      <c r="G22" s="1290">
        <f>SUM(G23:G25)</f>
        <v>0</v>
      </c>
      <c r="H22" s="1291">
        <f>SUM(I22:K22)</f>
        <v>0</v>
      </c>
      <c r="I22" s="1288">
        <f>SUM(I23:I25)</f>
        <v>0</v>
      </c>
      <c r="J22" s="1289">
        <f>SUM(J23:J25)</f>
        <v>0</v>
      </c>
      <c r="K22" s="1289">
        <f>SUM(K23:K25)</f>
        <v>0</v>
      </c>
      <c r="L22" s="1291">
        <f>SUM(M22:Y22)</f>
        <v>-18.19450505671319</v>
      </c>
      <c r="M22" s="1289">
        <f t="shared" ref="M22:AM22" si="5">SUM(M23:M25)</f>
        <v>0</v>
      </c>
      <c r="N22" s="1289">
        <f t="shared" si="5"/>
        <v>0</v>
      </c>
      <c r="O22" s="1289">
        <f t="shared" si="5"/>
        <v>2.4707211111111169E-2</v>
      </c>
      <c r="P22" s="1289">
        <f t="shared" si="5"/>
        <v>169.09571529760004</v>
      </c>
      <c r="Q22" s="1289">
        <f t="shared" si="5"/>
        <v>-168.71280274895997</v>
      </c>
      <c r="R22" s="1289">
        <f t="shared" si="5"/>
        <v>0.56981287485875698</v>
      </c>
      <c r="S22" s="1289">
        <f t="shared" si="5"/>
        <v>0</v>
      </c>
      <c r="T22" s="1289">
        <f t="shared" si="5"/>
        <v>-1.9744579983093757</v>
      </c>
      <c r="U22" s="1289">
        <f t="shared" si="5"/>
        <v>-17.197479693013758</v>
      </c>
      <c r="V22" s="1290">
        <f t="shared" si="5"/>
        <v>0</v>
      </c>
      <c r="W22" s="1290">
        <f t="shared" si="5"/>
        <v>0</v>
      </c>
      <c r="X22" s="1290">
        <f t="shared" si="5"/>
        <v>0</v>
      </c>
      <c r="Y22" s="1289">
        <f t="shared" si="5"/>
        <v>0</v>
      </c>
      <c r="Z22" s="1291">
        <f t="shared" si="5"/>
        <v>0</v>
      </c>
      <c r="AA22" s="1292">
        <f t="shared" si="5"/>
        <v>-413.95865675511038</v>
      </c>
      <c r="AB22" s="1293">
        <f t="shared" si="5"/>
        <v>-69.001988581977614</v>
      </c>
      <c r="AC22" s="1289">
        <f t="shared" si="5"/>
        <v>-344.90112829599997</v>
      </c>
      <c r="AD22" s="1289">
        <f t="shared" si="5"/>
        <v>0</v>
      </c>
      <c r="AE22" s="1294">
        <f t="shared" si="5"/>
        <v>0</v>
      </c>
      <c r="AF22" s="1294">
        <f t="shared" si="5"/>
        <v>0</v>
      </c>
      <c r="AG22" s="1294">
        <f t="shared" si="5"/>
        <v>0</v>
      </c>
      <c r="AH22" s="1288">
        <f t="shared" si="5"/>
        <v>-5.5539877132800002E-2</v>
      </c>
      <c r="AI22" s="1290">
        <f t="shared" si="5"/>
        <v>0</v>
      </c>
      <c r="AJ22" s="1295">
        <f t="shared" si="5"/>
        <v>0</v>
      </c>
      <c r="AK22" s="1291">
        <f t="shared" si="5"/>
        <v>413.95865675511038</v>
      </c>
      <c r="AL22" s="1292">
        <f t="shared" si="5"/>
        <v>0</v>
      </c>
      <c r="AM22" s="1296">
        <f t="shared" si="5"/>
        <v>-0.99702536369943573</v>
      </c>
      <c r="AN22" s="1196"/>
      <c r="AO22" s="1282"/>
    </row>
    <row r="23" spans="1:41" s="1283" customFormat="1" ht="12.75" customHeight="1">
      <c r="A23" s="1247" t="s">
        <v>835</v>
      </c>
      <c r="B23" s="1248"/>
      <c r="C23" s="1297"/>
      <c r="D23" s="1298"/>
      <c r="E23" s="1299"/>
      <c r="F23" s="1252"/>
      <c r="G23" s="1252"/>
      <c r="H23" s="1253"/>
      <c r="I23" s="1300"/>
      <c r="J23" s="1251"/>
      <c r="K23" s="1251"/>
      <c r="L23" s="1253"/>
      <c r="M23" s="1251"/>
      <c r="N23" s="1251"/>
      <c r="O23" s="1251"/>
      <c r="P23" s="1251"/>
      <c r="Q23" s="1251"/>
      <c r="R23" s="1251"/>
      <c r="S23" s="1251"/>
      <c r="T23" s="1251"/>
      <c r="U23" s="1251"/>
      <c r="V23" s="1252"/>
      <c r="W23" s="1252"/>
      <c r="X23" s="1252"/>
      <c r="Y23" s="1251"/>
      <c r="Z23" s="1253"/>
      <c r="AA23" s="1254">
        <f>SUM(AB23:AI23)</f>
        <v>-413.95865675511038</v>
      </c>
      <c r="AB23" s="1255">
        <f>-AB2</f>
        <v>-69.001988581977614</v>
      </c>
      <c r="AC23" s="1251">
        <f>-AC2</f>
        <v>-344.90112829599997</v>
      </c>
      <c r="AD23" s="1251"/>
      <c r="AE23" s="1258"/>
      <c r="AF23" s="1258"/>
      <c r="AG23" s="1258"/>
      <c r="AH23" s="1250">
        <v>-5.5539877132800002E-2</v>
      </c>
      <c r="AI23" s="1252"/>
      <c r="AJ23" s="1256"/>
      <c r="AK23" s="1253">
        <f>-(C23+H23+L23+Z23+AA23)</f>
        <v>413.95865675511038</v>
      </c>
      <c r="AL23" s="1254"/>
      <c r="AM23" s="1281">
        <f>C23+H23+L23+Z23+AA23+AJ23+AK23+AL23</f>
        <v>0</v>
      </c>
      <c r="AN23" s="1196"/>
      <c r="AO23" s="1282"/>
    </row>
    <row r="24" spans="1:41" s="1283" customFormat="1" ht="12.75" customHeight="1">
      <c r="A24" s="1301" t="s">
        <v>1229</v>
      </c>
      <c r="B24" s="1271"/>
      <c r="C24" s="1302"/>
      <c r="D24" s="1303"/>
      <c r="E24" s="1274"/>
      <c r="F24" s="1304"/>
      <c r="G24" s="1304"/>
      <c r="H24" s="1276"/>
      <c r="I24" s="1305"/>
      <c r="J24" s="1306"/>
      <c r="K24" s="1306"/>
      <c r="L24" s="1276"/>
      <c r="M24" s="1306"/>
      <c r="N24" s="1306"/>
      <c r="O24" s="1306"/>
      <c r="P24" s="1306"/>
      <c r="Q24" s="1306"/>
      <c r="R24" s="1306"/>
      <c r="S24" s="1306"/>
      <c r="T24" s="1306"/>
      <c r="U24" s="1306"/>
      <c r="V24" s="1304"/>
      <c r="W24" s="1304"/>
      <c r="X24" s="1304"/>
      <c r="Y24" s="1306"/>
      <c r="Z24" s="1276"/>
      <c r="AA24" s="1277"/>
      <c r="AB24" s="1307"/>
      <c r="AC24" s="1306"/>
      <c r="AD24" s="1306"/>
      <c r="AE24" s="1306"/>
      <c r="AF24" s="1306"/>
      <c r="AG24" s="1306"/>
      <c r="AH24" s="1308"/>
      <c r="AI24" s="1304"/>
      <c r="AJ24" s="1309"/>
      <c r="AK24" s="1276"/>
      <c r="AL24" s="1277"/>
      <c r="AM24" s="1310">
        <f>C24+H24+L24+Z24+AA24+AJ24+AK24+AL24</f>
        <v>0</v>
      </c>
      <c r="AN24" s="1196"/>
      <c r="AO24" s="1282"/>
    </row>
    <row r="25" spans="1:41" s="1283" customFormat="1" ht="12.75" customHeight="1" thickBot="1">
      <c r="A25" s="1212" t="s">
        <v>1230</v>
      </c>
      <c r="B25" s="1213"/>
      <c r="C25" s="1311">
        <f>SUM(D25:G25)</f>
        <v>17.197479693013754</v>
      </c>
      <c r="D25" s="1312">
        <v>-11.292365000000002</v>
      </c>
      <c r="E25" s="1220">
        <f>-D25-U25</f>
        <v>28.489844693013758</v>
      </c>
      <c r="F25" s="1215"/>
      <c r="G25" s="1215"/>
      <c r="H25" s="1216"/>
      <c r="I25" s="1313"/>
      <c r="J25" s="1220"/>
      <c r="K25" s="1220"/>
      <c r="L25" s="1216">
        <f>SUM(N25:Y25)</f>
        <v>-18.19450505671319</v>
      </c>
      <c r="M25" s="1220"/>
      <c r="N25" s="1220"/>
      <c r="O25" s="1220">
        <v>2.4707211111111169E-2</v>
      </c>
      <c r="P25" s="1220">
        <v>169.09571529760004</v>
      </c>
      <c r="Q25" s="1220">
        <v>-168.71280274895997</v>
      </c>
      <c r="R25" s="1220">
        <v>0.56981287485875698</v>
      </c>
      <c r="S25" s="1220"/>
      <c r="T25" s="1220">
        <v>-1.9744579983093757</v>
      </c>
      <c r="U25" s="1215">
        <v>-17.197479693013758</v>
      </c>
      <c r="V25" s="1215"/>
      <c r="W25" s="1215"/>
      <c r="X25" s="1215"/>
      <c r="Y25" s="1220"/>
      <c r="Z25" s="1216"/>
      <c r="AA25" s="1216">
        <f>SUM(AB25:AI25)</f>
        <v>0</v>
      </c>
      <c r="AB25" s="1219"/>
      <c r="AC25" s="1220"/>
      <c r="AD25" s="1220"/>
      <c r="AE25" s="1220"/>
      <c r="AF25" s="1220"/>
      <c r="AG25" s="1220"/>
      <c r="AH25" s="1217"/>
      <c r="AI25" s="1215"/>
      <c r="AJ25" s="1221"/>
      <c r="AK25" s="1216"/>
      <c r="AL25" s="1218"/>
      <c r="AM25" s="1222">
        <f>C25+H25+L25+Z25+AA25+AJ25+AK25+AL25</f>
        <v>-0.99702536369943573</v>
      </c>
      <c r="AN25" s="1196"/>
      <c r="AO25" s="1282"/>
    </row>
    <row r="26" spans="1:41" s="1283" customFormat="1" ht="12.75" customHeight="1" thickBot="1">
      <c r="A26" s="1270" t="s">
        <v>1231</v>
      </c>
      <c r="B26" s="1271"/>
      <c r="C26" s="1272">
        <f>SUM(D26:G26)</f>
        <v>0</v>
      </c>
      <c r="D26" s="1273"/>
      <c r="E26" s="1274"/>
      <c r="F26" s="1304"/>
      <c r="G26" s="1304"/>
      <c r="H26" s="1276">
        <f>SUM(I26:K26)</f>
        <v>14.46737289271303</v>
      </c>
      <c r="I26" s="1304">
        <v>14.46737289271303</v>
      </c>
      <c r="J26" s="1306"/>
      <c r="K26" s="1306"/>
      <c r="L26" s="1276">
        <f>SUM(N26:Y26)</f>
        <v>41.091467728150285</v>
      </c>
      <c r="M26" s="1306"/>
      <c r="N26" s="1306">
        <v>30.624231188283176</v>
      </c>
      <c r="O26" s="1306"/>
      <c r="P26" s="1306"/>
      <c r="Q26" s="1306"/>
      <c r="R26" s="1306">
        <v>0</v>
      </c>
      <c r="S26" s="1306">
        <v>10.318705443987364</v>
      </c>
      <c r="T26" s="1306">
        <v>0.1485310958797475</v>
      </c>
      <c r="U26" s="1306"/>
      <c r="V26" s="1304"/>
      <c r="W26" s="1304"/>
      <c r="X26" s="1304"/>
      <c r="Y26" s="1306"/>
      <c r="Z26" s="1276">
        <v>61.026448031999998</v>
      </c>
      <c r="AA26" s="1277">
        <f>SUM(AB26:AG26)</f>
        <v>0</v>
      </c>
      <c r="AB26" s="1278"/>
      <c r="AC26" s="1306"/>
      <c r="AD26" s="1306"/>
      <c r="AE26" s="1306"/>
      <c r="AF26" s="1306"/>
      <c r="AG26" s="1306"/>
      <c r="AH26" s="1308"/>
      <c r="AI26" s="1304"/>
      <c r="AJ26" s="1309"/>
      <c r="AK26" s="1276">
        <v>247.57848292522326</v>
      </c>
      <c r="AL26" s="1277"/>
      <c r="AM26" s="1310">
        <f>C26+H26+L26+Z26+AA26+AJ26+AK26+AL26</f>
        <v>364.16377157808654</v>
      </c>
      <c r="AN26" s="1196"/>
      <c r="AO26" s="1282"/>
    </row>
    <row r="27" spans="1:41" s="1233" customFormat="1" ht="12.75" customHeight="1" thickBot="1">
      <c r="A27" s="1314" t="s">
        <v>1232</v>
      </c>
      <c r="B27" s="1315"/>
      <c r="C27" s="1316">
        <f t="shared" ref="C27:AL27" si="6">C7-C9+C15+C22-C26</f>
        <v>342.47900701109961</v>
      </c>
      <c r="D27" s="1317">
        <f t="shared" si="6"/>
        <v>263.07944168539234</v>
      </c>
      <c r="E27" s="1318">
        <f t="shared" si="6"/>
        <v>66.555377479999095</v>
      </c>
      <c r="F27" s="1318">
        <f t="shared" si="6"/>
        <v>0</v>
      </c>
      <c r="G27" s="1318">
        <f t="shared" si="6"/>
        <v>12.84418784570825</v>
      </c>
      <c r="H27" s="1319">
        <f t="shared" si="6"/>
        <v>186.75986748002413</v>
      </c>
      <c r="I27" s="1317">
        <f t="shared" si="6"/>
        <v>-26.403262519975812</v>
      </c>
      <c r="J27" s="1318">
        <f t="shared" si="6"/>
        <v>127.70399999999999</v>
      </c>
      <c r="K27" s="1318">
        <f t="shared" si="6"/>
        <v>85.459130000000016</v>
      </c>
      <c r="L27" s="1319">
        <f t="shared" si="6"/>
        <v>6362.9265837828525</v>
      </c>
      <c r="M27" s="1318">
        <f t="shared" si="6"/>
        <v>-4.5474735088646412E-13</v>
      </c>
      <c r="N27" s="1318">
        <f t="shared" si="6"/>
        <v>0</v>
      </c>
      <c r="O27" s="1318">
        <f t="shared" si="6"/>
        <v>1245.0496271801271</v>
      </c>
      <c r="P27" s="1318">
        <f t="shared" si="6"/>
        <v>802.16662349168541</v>
      </c>
      <c r="Q27" s="1318">
        <f t="shared" si="6"/>
        <v>596.36251051008003</v>
      </c>
      <c r="R27" s="1318">
        <f t="shared" si="6"/>
        <v>152.31891177103108</v>
      </c>
      <c r="S27" s="1318">
        <f t="shared" si="6"/>
        <v>137.42344136610495</v>
      </c>
      <c r="T27" s="1318">
        <f t="shared" si="6"/>
        <v>3068.4516817740919</v>
      </c>
      <c r="U27" s="1318">
        <f t="shared" si="6"/>
        <v>96.57367357864328</v>
      </c>
      <c r="V27" s="1318">
        <f t="shared" si="6"/>
        <v>-4.3438744370000002</v>
      </c>
      <c r="W27" s="1318">
        <f t="shared" si="6"/>
        <v>238.17835560471167</v>
      </c>
      <c r="X27" s="1318">
        <f t="shared" si="6"/>
        <v>0.97265810317604096</v>
      </c>
      <c r="Y27" s="1318">
        <f t="shared" si="6"/>
        <v>29.772974840200902</v>
      </c>
      <c r="Z27" s="1319">
        <f t="shared" si="6"/>
        <v>1643.7011212696341</v>
      </c>
      <c r="AA27" s="1320">
        <f t="shared" ref="AA27:AJ27" si="7">AA7-AA9+AA22-AA26</f>
        <v>308.06436720106444</v>
      </c>
      <c r="AB27" s="1245">
        <f t="shared" si="7"/>
        <v>0</v>
      </c>
      <c r="AC27" s="1227">
        <f t="shared" si="7"/>
        <v>0</v>
      </c>
      <c r="AD27" s="1227">
        <f t="shared" si="7"/>
        <v>173.87251333667359</v>
      </c>
      <c r="AE27" s="1227">
        <f t="shared" si="7"/>
        <v>0</v>
      </c>
      <c r="AF27" s="1227">
        <f t="shared" si="7"/>
        <v>8.7742230740163478</v>
      </c>
      <c r="AG27" s="1227">
        <f t="shared" si="7"/>
        <v>84.810419950812346</v>
      </c>
      <c r="AH27" s="1229">
        <f t="shared" si="7"/>
        <v>10.202722513494988</v>
      </c>
      <c r="AI27" s="1321">
        <f t="shared" si="7"/>
        <v>30.404488326067145</v>
      </c>
      <c r="AJ27" s="1319">
        <f t="shared" si="7"/>
        <v>25.484283790445378</v>
      </c>
      <c r="AK27" s="1319">
        <f t="shared" si="6"/>
        <v>2091.4967201892214</v>
      </c>
      <c r="AL27" s="1320">
        <f t="shared" si="6"/>
        <v>0</v>
      </c>
      <c r="AM27" s="1322">
        <f>C27+H27+L27+Z27+AA27+AJ27+AK27+AL27</f>
        <v>10960.911950724341</v>
      </c>
      <c r="AN27" s="1196"/>
      <c r="AO27" s="1232"/>
    </row>
    <row r="28" spans="1:41" s="1233" customFormat="1" ht="12.75" customHeight="1">
      <c r="A28" s="1223" t="s">
        <v>1233</v>
      </c>
      <c r="B28" s="1224"/>
      <c r="C28" s="1225">
        <f t="shared" ref="C28:U28" si="8">C29</f>
        <v>0</v>
      </c>
      <c r="D28" s="1229">
        <f t="shared" si="8"/>
        <v>0</v>
      </c>
      <c r="E28" s="1227">
        <f t="shared" si="8"/>
        <v>0</v>
      </c>
      <c r="F28" s="1244">
        <f t="shared" si="8"/>
        <v>0</v>
      </c>
      <c r="G28" s="1244">
        <f t="shared" si="8"/>
        <v>0</v>
      </c>
      <c r="H28" s="1228">
        <f t="shared" si="8"/>
        <v>0</v>
      </c>
      <c r="I28" s="1229">
        <f t="shared" si="8"/>
        <v>0</v>
      </c>
      <c r="J28" s="1227">
        <f t="shared" si="8"/>
        <v>0</v>
      </c>
      <c r="K28" s="1227">
        <f t="shared" si="8"/>
        <v>0</v>
      </c>
      <c r="L28" s="1228">
        <f t="shared" si="8"/>
        <v>268.92398854808857</v>
      </c>
      <c r="M28" s="1227">
        <f t="shared" si="8"/>
        <v>0</v>
      </c>
      <c r="N28" s="1227">
        <f t="shared" si="8"/>
        <v>0</v>
      </c>
      <c r="O28" s="1227">
        <f t="shared" si="8"/>
        <v>0</v>
      </c>
      <c r="P28" s="1227">
        <f t="shared" si="8"/>
        <v>0</v>
      </c>
      <c r="Q28" s="1227">
        <f t="shared" si="8"/>
        <v>0</v>
      </c>
      <c r="R28" s="1227">
        <f t="shared" si="8"/>
        <v>0</v>
      </c>
      <c r="S28" s="1227">
        <f t="shared" si="8"/>
        <v>0</v>
      </c>
      <c r="T28" s="1227">
        <f t="shared" si="8"/>
        <v>0</v>
      </c>
      <c r="U28" s="1227">
        <f t="shared" si="8"/>
        <v>0</v>
      </c>
      <c r="V28" s="1244"/>
      <c r="W28" s="1244">
        <f t="shared" ref="W28:AM28" si="9">W29</f>
        <v>238.17835560471167</v>
      </c>
      <c r="X28" s="1244">
        <f t="shared" si="9"/>
        <v>0.97265810317604096</v>
      </c>
      <c r="Y28" s="1227">
        <f t="shared" si="9"/>
        <v>29.772974840200902</v>
      </c>
      <c r="Z28" s="1228">
        <f t="shared" si="9"/>
        <v>0</v>
      </c>
      <c r="AA28" s="1226">
        <f t="shared" si="9"/>
        <v>0</v>
      </c>
      <c r="AB28" s="1245">
        <f t="shared" si="9"/>
        <v>0</v>
      </c>
      <c r="AC28" s="1227">
        <f t="shared" si="9"/>
        <v>0</v>
      </c>
      <c r="AD28" s="1227">
        <f t="shared" si="9"/>
        <v>0</v>
      </c>
      <c r="AE28" s="1227">
        <f t="shared" si="9"/>
        <v>0</v>
      </c>
      <c r="AF28" s="1227">
        <f t="shared" si="9"/>
        <v>0</v>
      </c>
      <c r="AG28" s="1227">
        <f t="shared" si="9"/>
        <v>0</v>
      </c>
      <c r="AH28" s="1229">
        <f t="shared" si="9"/>
        <v>0</v>
      </c>
      <c r="AI28" s="1244">
        <f t="shared" si="9"/>
        <v>0</v>
      </c>
      <c r="AJ28" s="1228">
        <f t="shared" si="9"/>
        <v>0</v>
      </c>
      <c r="AK28" s="1228">
        <f t="shared" si="9"/>
        <v>0</v>
      </c>
      <c r="AL28" s="1226">
        <f t="shared" si="9"/>
        <v>0</v>
      </c>
      <c r="AM28" s="1231">
        <f t="shared" si="9"/>
        <v>268.92398854808857</v>
      </c>
      <c r="AN28" s="1196"/>
      <c r="AO28" s="1232"/>
    </row>
    <row r="29" spans="1:41" s="1196" customFormat="1" ht="12.75" customHeight="1" thickBot="1">
      <c r="A29" s="1323" t="s">
        <v>1234</v>
      </c>
      <c r="B29" s="1324"/>
      <c r="C29" s="1325">
        <f>SUM(D29:G29)</f>
        <v>0</v>
      </c>
      <c r="D29" s="1288"/>
      <c r="E29" s="1289"/>
      <c r="F29" s="1290"/>
      <c r="G29" s="1290"/>
      <c r="H29" s="1295">
        <f>SUM(I29:K29)</f>
        <v>0</v>
      </c>
      <c r="I29" s="1288"/>
      <c r="J29" s="1289"/>
      <c r="K29" s="1289"/>
      <c r="L29" s="1295">
        <f>SUM(M29:Y29)</f>
        <v>268.92398854808857</v>
      </c>
      <c r="M29" s="1289"/>
      <c r="N29" s="1289"/>
      <c r="O29" s="1289"/>
      <c r="P29" s="1289"/>
      <c r="Q29" s="1289"/>
      <c r="R29" s="1289"/>
      <c r="S29" s="1289"/>
      <c r="T29" s="1289"/>
      <c r="U29" s="1289"/>
      <c r="V29" s="1290"/>
      <c r="W29" s="1290">
        <f>W27</f>
        <v>238.17835560471167</v>
      </c>
      <c r="X29" s="1290">
        <f>X27</f>
        <v>0.97265810317604096</v>
      </c>
      <c r="Y29" s="1289">
        <f>Y27</f>
        <v>29.772974840200902</v>
      </c>
      <c r="Z29" s="1295">
        <v>0</v>
      </c>
      <c r="AA29" s="1326">
        <f>SUM(AB29:AG29)</f>
        <v>0</v>
      </c>
      <c r="AB29" s="1293"/>
      <c r="AC29" s="1289"/>
      <c r="AD29" s="1289"/>
      <c r="AE29" s="1289"/>
      <c r="AF29" s="1289"/>
      <c r="AG29" s="1289"/>
      <c r="AH29" s="1288"/>
      <c r="AI29" s="1290"/>
      <c r="AJ29" s="1295"/>
      <c r="AK29" s="1295"/>
      <c r="AL29" s="1326"/>
      <c r="AM29" s="1296">
        <f t="shared" ref="AM29:AM62" si="10">C29+H29+L29+Z29+AA29+AJ29+AK29+AL29</f>
        <v>268.92398854808857</v>
      </c>
      <c r="AO29" s="1197"/>
    </row>
    <row r="30" spans="1:41" s="1233" customFormat="1" ht="12.75" customHeight="1" thickBot="1">
      <c r="A30" s="1223" t="s">
        <v>1235</v>
      </c>
      <c r="B30" s="1224"/>
      <c r="C30" s="1225">
        <f>C31+C45+C56+C57+C60+C61</f>
        <v>338.99495189895561</v>
      </c>
      <c r="D30" s="1229">
        <f t="shared" ref="D30:AL30" si="11">D31+D45+D56+D57+D60+D61</f>
        <v>261.89967672950741</v>
      </c>
      <c r="E30" s="1227">
        <f t="shared" si="11"/>
        <v>65.180328031025212</v>
      </c>
      <c r="F30" s="1244">
        <f t="shared" si="11"/>
        <v>0</v>
      </c>
      <c r="G30" s="1244">
        <f t="shared" si="11"/>
        <v>11.914947138422903</v>
      </c>
      <c r="H30" s="1228">
        <f t="shared" si="11"/>
        <v>215.27457503515998</v>
      </c>
      <c r="I30" s="1229">
        <f t="shared" si="11"/>
        <v>0.7425750351599999</v>
      </c>
      <c r="J30" s="1229">
        <f t="shared" si="11"/>
        <v>127.70399999999999</v>
      </c>
      <c r="K30" s="1229">
        <f t="shared" si="11"/>
        <v>86.828000000000003</v>
      </c>
      <c r="L30" s="1228">
        <f t="shared" si="11"/>
        <v>6002.440277148321</v>
      </c>
      <c r="M30" s="1227">
        <f t="shared" si="11"/>
        <v>0</v>
      </c>
      <c r="N30" s="1227">
        <f t="shared" si="11"/>
        <v>0</v>
      </c>
      <c r="O30" s="1227">
        <f t="shared" si="11"/>
        <v>1272.4461135624153</v>
      </c>
      <c r="P30" s="1227">
        <f t="shared" si="11"/>
        <v>758.38018698624023</v>
      </c>
      <c r="Q30" s="1227">
        <f t="shared" si="11"/>
        <v>585.6714297093813</v>
      </c>
      <c r="R30" s="1227">
        <f t="shared" si="11"/>
        <v>118.38103918155331</v>
      </c>
      <c r="S30" s="1227">
        <f t="shared" si="11"/>
        <v>137.00651089999999</v>
      </c>
      <c r="T30" s="1227">
        <f t="shared" si="11"/>
        <v>3120.6553750266821</v>
      </c>
      <c r="U30" s="1227">
        <f t="shared" si="11"/>
        <v>100.65438718663376</v>
      </c>
      <c r="V30" s="1244">
        <f t="shared" si="11"/>
        <v>0</v>
      </c>
      <c r="W30" s="1244">
        <f t="shared" si="11"/>
        <v>0</v>
      </c>
      <c r="X30" s="1244">
        <f t="shared" si="11"/>
        <v>0</v>
      </c>
      <c r="Y30" s="1229">
        <f t="shared" si="11"/>
        <v>0</v>
      </c>
      <c r="Z30" s="1319">
        <f t="shared" si="11"/>
        <v>1627.2130733508532</v>
      </c>
      <c r="AA30" s="1226">
        <f t="shared" si="11"/>
        <v>311.05516626220037</v>
      </c>
      <c r="AB30" s="1245">
        <f t="shared" si="11"/>
        <v>0</v>
      </c>
      <c r="AC30" s="1227">
        <f t="shared" si="11"/>
        <v>0</v>
      </c>
      <c r="AD30" s="1227">
        <f t="shared" si="11"/>
        <v>176.80676513972591</v>
      </c>
      <c r="AE30" s="1227">
        <f t="shared" si="11"/>
        <v>0</v>
      </c>
      <c r="AF30" s="1227">
        <f t="shared" si="11"/>
        <v>8.7742230740163478</v>
      </c>
      <c r="AG30" s="1227">
        <f t="shared" si="11"/>
        <v>84.866967208896</v>
      </c>
      <c r="AH30" s="1226">
        <f t="shared" si="11"/>
        <v>10.202722513494988</v>
      </c>
      <c r="AI30" s="1226">
        <f t="shared" si="11"/>
        <v>30.404488326067145</v>
      </c>
      <c r="AJ30" s="1226">
        <f t="shared" si="11"/>
        <v>25.484283790445375</v>
      </c>
      <c r="AK30" s="1228">
        <f t="shared" si="11"/>
        <v>2078.1076979999998</v>
      </c>
      <c r="AL30" s="1226">
        <f t="shared" si="11"/>
        <v>0</v>
      </c>
      <c r="AM30" s="1322">
        <f t="shared" si="10"/>
        <v>10598.570025485935</v>
      </c>
      <c r="AN30" s="1196"/>
      <c r="AO30" s="1232"/>
    </row>
    <row r="31" spans="1:41" s="1337" customFormat="1" ht="12.75" customHeight="1">
      <c r="A31" s="1327" t="s">
        <v>1236</v>
      </c>
      <c r="B31" s="1328"/>
      <c r="C31" s="1329">
        <f>SUM(C32:C44)</f>
        <v>97.01548586100003</v>
      </c>
      <c r="D31" s="1330">
        <v>97.015485861000016</v>
      </c>
      <c r="E31" s="1330">
        <v>0</v>
      </c>
      <c r="F31" s="1331"/>
      <c r="G31" s="1331"/>
      <c r="H31" s="1332">
        <f t="shared" ref="H31:N31" si="12">SUM(H32:H44)</f>
        <v>0.7425750351599999</v>
      </c>
      <c r="I31" s="1333">
        <f t="shared" si="12"/>
        <v>0.7425750351599999</v>
      </c>
      <c r="J31" s="1330">
        <f t="shared" si="12"/>
        <v>0</v>
      </c>
      <c r="K31" s="1330">
        <f t="shared" si="12"/>
        <v>0</v>
      </c>
      <c r="L31" s="1332">
        <f t="shared" si="12"/>
        <v>423.39998964909677</v>
      </c>
      <c r="M31" s="1330">
        <f t="shared" si="12"/>
        <v>0</v>
      </c>
      <c r="N31" s="1330">
        <f t="shared" si="12"/>
        <v>0</v>
      </c>
      <c r="O31" s="1330">
        <v>0</v>
      </c>
      <c r="P31" s="1330">
        <v>75.838018698624012</v>
      </c>
      <c r="Q31" s="1330">
        <f>SUM(Q32:Q44)</f>
        <v>0</v>
      </c>
      <c r="R31" s="1330">
        <v>108.5320391815533</v>
      </c>
      <c r="S31" s="1330">
        <v>95.810763081102266</v>
      </c>
      <c r="T31" s="1330">
        <v>143.21916868781722</v>
      </c>
      <c r="U31" s="1330">
        <v>90.754765404584148</v>
      </c>
      <c r="V31" s="1331">
        <f>SUM(V32:V44)</f>
        <v>0</v>
      </c>
      <c r="W31" s="1331">
        <f>SUM(W32:W44)</f>
        <v>0</v>
      </c>
      <c r="X31" s="1331">
        <f>SUM(X32:X44)</f>
        <v>0</v>
      </c>
      <c r="Y31" s="1330">
        <f>SUM(Y32:Y44)</f>
        <v>0</v>
      </c>
      <c r="Z31" s="1332">
        <v>625.67755687642909</v>
      </c>
      <c r="AA31" s="1334">
        <f>SUM(AA32:AA44)</f>
        <v>134.95924427888613</v>
      </c>
      <c r="AB31" s="1335">
        <f>SUM(AB32:AB44)</f>
        <v>0</v>
      </c>
      <c r="AC31" s="1330">
        <f>SUM(AC32:AC44)</f>
        <v>0</v>
      </c>
      <c r="AD31" s="1330">
        <f>SUM(AD32:AD44)</f>
        <v>130.09667883949413</v>
      </c>
      <c r="AE31" s="1330"/>
      <c r="AF31" s="1330">
        <f>SUM(AF32:AF44)</f>
        <v>4.862565439392001</v>
      </c>
      <c r="AG31" s="1330">
        <f>SUM(AG32:AG44)</f>
        <v>0</v>
      </c>
      <c r="AH31" s="1334">
        <f>SUM(AH32:AH44)</f>
        <v>0</v>
      </c>
      <c r="AI31" s="1330">
        <f>SUM(AI32:AI44)</f>
        <v>0</v>
      </c>
      <c r="AJ31" s="1332">
        <f>SUM(AJ32:AJ44)</f>
        <v>25.484283790445375</v>
      </c>
      <c r="AK31" s="1332">
        <v>787.92173372157981</v>
      </c>
      <c r="AL31" s="1334">
        <f>SUM(AL32:AL44)</f>
        <v>0</v>
      </c>
      <c r="AM31" s="1246">
        <f t="shared" si="10"/>
        <v>2095.2008692125974</v>
      </c>
      <c r="AN31" s="1196"/>
      <c r="AO31" s="1336"/>
    </row>
    <row r="32" spans="1:41" ht="12.75" customHeight="1">
      <c r="A32" s="1338" t="s">
        <v>1237</v>
      </c>
      <c r="B32" s="1339" t="s">
        <v>1238</v>
      </c>
      <c r="C32" s="1340">
        <f t="shared" ref="C32:C44" si="13">SUM(D32:G32)</f>
        <v>0</v>
      </c>
      <c r="D32" s="1258">
        <v>0</v>
      </c>
      <c r="E32" s="1258"/>
      <c r="F32" s="1341"/>
      <c r="G32" s="1341"/>
      <c r="H32" s="1342">
        <f t="shared" ref="H32:H44" si="14">SUM(I32:K32)</f>
        <v>0</v>
      </c>
      <c r="I32" s="1343"/>
      <c r="J32" s="1258"/>
      <c r="K32" s="1258"/>
      <c r="L32" s="1344">
        <f t="shared" ref="L32:L44" si="15">SUM(M32:Y32)</f>
        <v>37.37466714711362</v>
      </c>
      <c r="M32" s="1258"/>
      <c r="N32" s="1258"/>
      <c r="O32" s="1258"/>
      <c r="P32" s="1258">
        <v>2.3932089600838893</v>
      </c>
      <c r="Q32" s="1258"/>
      <c r="R32" s="1258">
        <v>0.70876941292471407</v>
      </c>
      <c r="S32" s="1258">
        <v>0.16302396704068114</v>
      </c>
      <c r="T32" s="1258">
        <v>34.109664807064334</v>
      </c>
      <c r="U32" s="1258">
        <v>0</v>
      </c>
      <c r="V32" s="1341"/>
      <c r="W32" s="1341"/>
      <c r="X32" s="1341"/>
      <c r="Y32" s="1258"/>
      <c r="Z32" s="1345">
        <v>10.220616840987581</v>
      </c>
      <c r="AA32" s="1346">
        <f t="shared" ref="AA32:AA44" si="16">SUM(AB32:AI32)</f>
        <v>0</v>
      </c>
      <c r="AB32" s="1347"/>
      <c r="AC32" s="1258"/>
      <c r="AD32" s="1258"/>
      <c r="AE32" s="1258"/>
      <c r="AF32" s="1258"/>
      <c r="AG32" s="1258"/>
      <c r="AH32" s="1300"/>
      <c r="AI32" s="1258"/>
      <c r="AJ32" s="1256"/>
      <c r="AK32" s="1345">
        <v>56.411819510324996</v>
      </c>
      <c r="AL32" s="1346"/>
      <c r="AM32" s="1257">
        <f t="shared" si="10"/>
        <v>104.0071034984262</v>
      </c>
    </row>
    <row r="33" spans="1:41" ht="12.75" customHeight="1">
      <c r="A33" s="1349" t="s">
        <v>1239</v>
      </c>
      <c r="B33" s="1350" t="s">
        <v>1240</v>
      </c>
      <c r="C33" s="1200">
        <f t="shared" si="13"/>
        <v>18.228280043000002</v>
      </c>
      <c r="D33" s="1258">
        <v>18.228280043000002</v>
      </c>
      <c r="E33" s="1206"/>
      <c r="F33" s="1203"/>
      <c r="G33" s="1203"/>
      <c r="H33" s="1204">
        <f t="shared" si="14"/>
        <v>0.7425750351599999</v>
      </c>
      <c r="I33" s="1205">
        <v>0.7425750351599999</v>
      </c>
      <c r="J33" s="1206"/>
      <c r="K33" s="1206"/>
      <c r="L33" s="1351">
        <f t="shared" si="15"/>
        <v>117.50457326666307</v>
      </c>
      <c r="M33" s="1206"/>
      <c r="N33" s="1206"/>
      <c r="O33" s="1258"/>
      <c r="P33" s="1258">
        <v>44.552974315381469</v>
      </c>
      <c r="Q33" s="1206"/>
      <c r="R33" s="1258">
        <v>13.194746458101129</v>
      </c>
      <c r="S33" s="1258">
        <v>27.319661573430274</v>
      </c>
      <c r="T33" s="1258">
        <v>32.437190919750208</v>
      </c>
      <c r="U33" s="1258">
        <v>0</v>
      </c>
      <c r="V33" s="1203"/>
      <c r="W33" s="1203"/>
      <c r="X33" s="1203"/>
      <c r="Y33" s="1206"/>
      <c r="Z33" s="1352">
        <v>89.863704878706045</v>
      </c>
      <c r="AA33" s="1207">
        <f t="shared" si="16"/>
        <v>18.246520754054401</v>
      </c>
      <c r="AB33" s="1208"/>
      <c r="AC33" s="1206"/>
      <c r="AD33" s="1206">
        <v>13.3839553146624</v>
      </c>
      <c r="AE33" s="1258"/>
      <c r="AF33" s="1258">
        <v>4.862565439392001</v>
      </c>
      <c r="AG33" s="1258"/>
      <c r="AH33" s="1353"/>
      <c r="AI33" s="1206"/>
      <c r="AJ33" s="1209"/>
      <c r="AK33" s="1352">
        <v>167.6993313484806</v>
      </c>
      <c r="AL33" s="1207"/>
      <c r="AM33" s="1210">
        <f t="shared" si="10"/>
        <v>412.28498532606415</v>
      </c>
    </row>
    <row r="34" spans="1:41" ht="12.75" customHeight="1">
      <c r="A34" s="1354" t="s">
        <v>1241</v>
      </c>
      <c r="B34" s="1355" t="s">
        <v>1242</v>
      </c>
      <c r="C34" s="1200">
        <f t="shared" si="13"/>
        <v>0</v>
      </c>
      <c r="D34" s="1258">
        <v>0</v>
      </c>
      <c r="E34" s="1206"/>
      <c r="F34" s="1203"/>
      <c r="G34" s="1203"/>
      <c r="H34" s="1204">
        <f t="shared" si="14"/>
        <v>0</v>
      </c>
      <c r="I34" s="1205"/>
      <c r="J34" s="1206"/>
      <c r="K34" s="1206"/>
      <c r="L34" s="1351">
        <f t="shared" si="15"/>
        <v>2.3091251504388683</v>
      </c>
      <c r="M34" s="1206"/>
      <c r="N34" s="1206"/>
      <c r="O34" s="1258"/>
      <c r="P34" s="1258">
        <v>0.98604317668692443</v>
      </c>
      <c r="Q34" s="1206"/>
      <c r="R34" s="1258">
        <v>0.29202516584022553</v>
      </c>
      <c r="S34" s="1258">
        <v>4.2070701171788676E-2</v>
      </c>
      <c r="T34" s="1258">
        <v>0.98898610673992982</v>
      </c>
      <c r="U34" s="1258">
        <v>0</v>
      </c>
      <c r="V34" s="1203"/>
      <c r="W34" s="1203"/>
      <c r="X34" s="1203"/>
      <c r="Y34" s="1206"/>
      <c r="Z34" s="1352">
        <v>0.97931385700717555</v>
      </c>
      <c r="AA34" s="1207">
        <f t="shared" si="16"/>
        <v>0</v>
      </c>
      <c r="AB34" s="1208"/>
      <c r="AC34" s="1206"/>
      <c r="AD34" s="1206"/>
      <c r="AE34" s="1258"/>
      <c r="AF34" s="1258"/>
      <c r="AG34" s="1258"/>
      <c r="AH34" s="1353"/>
      <c r="AI34" s="1206"/>
      <c r="AJ34" s="1209"/>
      <c r="AK34" s="1352">
        <v>10.036186561615921</v>
      </c>
      <c r="AL34" s="1207"/>
      <c r="AM34" s="1210">
        <f t="shared" si="10"/>
        <v>13.324625569061965</v>
      </c>
    </row>
    <row r="35" spans="1:41" ht="12.75" customHeight="1">
      <c r="A35" s="1354" t="s">
        <v>1243</v>
      </c>
      <c r="B35" s="1355" t="s">
        <v>1244</v>
      </c>
      <c r="C35" s="1200">
        <f t="shared" si="13"/>
        <v>5.3395955124260978E-2</v>
      </c>
      <c r="D35" s="1258">
        <v>5.3395955124260978E-2</v>
      </c>
      <c r="E35" s="1206"/>
      <c r="F35" s="1203"/>
      <c r="G35" s="1203"/>
      <c r="H35" s="1204">
        <f t="shared" si="14"/>
        <v>0</v>
      </c>
      <c r="I35" s="1205"/>
      <c r="J35" s="1206"/>
      <c r="K35" s="1206"/>
      <c r="L35" s="1351">
        <f t="shared" si="15"/>
        <v>2.7766879222138723</v>
      </c>
      <c r="M35" s="1206"/>
      <c r="N35" s="1206"/>
      <c r="O35" s="1258"/>
      <c r="P35" s="1258">
        <v>0.34793971469030799</v>
      </c>
      <c r="Q35" s="1206"/>
      <c r="R35" s="1258">
        <v>0.10304533846705875</v>
      </c>
      <c r="S35" s="1258">
        <v>0.22087118115189056</v>
      </c>
      <c r="T35" s="1258">
        <v>2.1048316879046149</v>
      </c>
      <c r="U35" s="1258">
        <v>0</v>
      </c>
      <c r="V35" s="1203"/>
      <c r="W35" s="1203"/>
      <c r="X35" s="1203"/>
      <c r="Y35" s="1206"/>
      <c r="Z35" s="1352">
        <v>1.7472202782159765</v>
      </c>
      <c r="AA35" s="1207">
        <f t="shared" si="16"/>
        <v>95.261454132870966</v>
      </c>
      <c r="AB35" s="1208"/>
      <c r="AC35" s="1206"/>
      <c r="AD35" s="1206">
        <v>95.261454132870966</v>
      </c>
      <c r="AE35" s="1258"/>
      <c r="AF35" s="1258"/>
      <c r="AG35" s="1258"/>
      <c r="AH35" s="1353"/>
      <c r="AI35" s="1206"/>
      <c r="AJ35" s="1209"/>
      <c r="AK35" s="1352">
        <v>33.734099980309395</v>
      </c>
      <c r="AL35" s="1207"/>
      <c r="AM35" s="1210">
        <f t="shared" si="10"/>
        <v>133.57285826873448</v>
      </c>
    </row>
    <row r="36" spans="1:41" ht="12.75" customHeight="1">
      <c r="A36" s="1354" t="s">
        <v>1245</v>
      </c>
      <c r="B36" s="1355" t="s">
        <v>1246</v>
      </c>
      <c r="C36" s="1200">
        <f t="shared" si="13"/>
        <v>0.23360730366864171</v>
      </c>
      <c r="D36" s="1258">
        <v>0.23360730366864171</v>
      </c>
      <c r="E36" s="1206"/>
      <c r="F36" s="1203"/>
      <c r="G36" s="1203"/>
      <c r="H36" s="1204">
        <f t="shared" si="14"/>
        <v>0</v>
      </c>
      <c r="I36" s="1205"/>
      <c r="J36" s="1206"/>
      <c r="K36" s="1206"/>
      <c r="L36" s="1351">
        <f t="shared" si="15"/>
        <v>2.7932881464048478</v>
      </c>
      <c r="M36" s="1206"/>
      <c r="N36" s="1206"/>
      <c r="O36" s="1258"/>
      <c r="P36" s="1258">
        <v>0.80629572260337057</v>
      </c>
      <c r="Q36" s="1206"/>
      <c r="R36" s="1258">
        <v>0.23879141165060108</v>
      </c>
      <c r="S36" s="1258">
        <v>0.21035350585894338</v>
      </c>
      <c r="T36" s="1258">
        <v>1.5378475062919328</v>
      </c>
      <c r="U36" s="1258">
        <v>0</v>
      </c>
      <c r="V36" s="1203"/>
      <c r="W36" s="1203"/>
      <c r="X36" s="1203"/>
      <c r="Y36" s="1206"/>
      <c r="Z36" s="1352">
        <v>2.889753111391014</v>
      </c>
      <c r="AA36" s="1207">
        <f t="shared" si="16"/>
        <v>0</v>
      </c>
      <c r="AB36" s="1208"/>
      <c r="AC36" s="1206"/>
      <c r="AD36" s="1206"/>
      <c r="AE36" s="1258"/>
      <c r="AF36" s="1258"/>
      <c r="AG36" s="1258"/>
      <c r="AH36" s="1353"/>
      <c r="AI36" s="1206"/>
      <c r="AJ36" s="1209"/>
      <c r="AK36" s="1352">
        <v>18.411348061917646</v>
      </c>
      <c r="AL36" s="1207"/>
      <c r="AM36" s="1210">
        <f t="shared" si="10"/>
        <v>24.327996623382148</v>
      </c>
    </row>
    <row r="37" spans="1:41" ht="12.75" customHeight="1">
      <c r="A37" s="1354" t="s">
        <v>1247</v>
      </c>
      <c r="B37" s="1355" t="s">
        <v>1248</v>
      </c>
      <c r="C37" s="1200">
        <f t="shared" si="13"/>
        <v>0</v>
      </c>
      <c r="D37" s="1258">
        <v>0</v>
      </c>
      <c r="E37" s="1206"/>
      <c r="F37" s="1203"/>
      <c r="G37" s="1203"/>
      <c r="H37" s="1204">
        <f t="shared" si="14"/>
        <v>0</v>
      </c>
      <c r="I37" s="1205"/>
      <c r="J37" s="1206"/>
      <c r="K37" s="1206"/>
      <c r="L37" s="1351">
        <f t="shared" si="15"/>
        <v>25.317297594360909</v>
      </c>
      <c r="M37" s="1206"/>
      <c r="N37" s="1206"/>
      <c r="O37" s="1258"/>
      <c r="P37" s="1258">
        <v>10.598680238998126</v>
      </c>
      <c r="Q37" s="1206"/>
      <c r="R37" s="1258">
        <v>3.1388902916810699</v>
      </c>
      <c r="S37" s="1258">
        <v>2.4769125314890581</v>
      </c>
      <c r="T37" s="1258">
        <v>9.1028145321926548</v>
      </c>
      <c r="U37" s="1258">
        <v>0</v>
      </c>
      <c r="V37" s="1203"/>
      <c r="W37" s="1203"/>
      <c r="X37" s="1203"/>
      <c r="Y37" s="1206"/>
      <c r="Z37" s="1356">
        <v>55.486679564874791</v>
      </c>
      <c r="AA37" s="1207">
        <f t="shared" si="16"/>
        <v>0</v>
      </c>
      <c r="AB37" s="1208"/>
      <c r="AC37" s="1206"/>
      <c r="AD37" s="1206">
        <v>0</v>
      </c>
      <c r="AE37" s="1258"/>
      <c r="AF37" s="1258"/>
      <c r="AG37" s="1258"/>
      <c r="AH37" s="1357"/>
      <c r="AI37" s="1206"/>
      <c r="AJ37" s="1358"/>
      <c r="AK37" s="1356">
        <v>142.89134425915483</v>
      </c>
      <c r="AL37" s="1207"/>
      <c r="AM37" s="1210">
        <f t="shared" si="10"/>
        <v>223.69532141839053</v>
      </c>
    </row>
    <row r="38" spans="1:41" ht="12.75" customHeight="1">
      <c r="A38" s="1354" t="s">
        <v>1249</v>
      </c>
      <c r="B38" s="1355" t="s">
        <v>1250</v>
      </c>
      <c r="C38" s="1200">
        <f t="shared" si="13"/>
        <v>0</v>
      </c>
      <c r="D38" s="1258">
        <v>0</v>
      </c>
      <c r="E38" s="1206"/>
      <c r="F38" s="1203"/>
      <c r="G38" s="1203"/>
      <c r="H38" s="1204">
        <f t="shared" si="14"/>
        <v>0</v>
      </c>
      <c r="I38" s="1205"/>
      <c r="J38" s="1206"/>
      <c r="K38" s="1206"/>
      <c r="L38" s="1351">
        <f t="shared" si="15"/>
        <v>9.0262863764783319</v>
      </c>
      <c r="M38" s="1206"/>
      <c r="N38" s="1206"/>
      <c r="O38" s="1258"/>
      <c r="P38" s="1258">
        <v>6.8047250474488272E-2</v>
      </c>
      <c r="Q38" s="1206"/>
      <c r="R38" s="1258">
        <v>2.01527783717864E-2</v>
      </c>
      <c r="S38" s="1258">
        <v>4.9433073876851692</v>
      </c>
      <c r="T38" s="1258">
        <v>3.9947789599468893</v>
      </c>
      <c r="U38" s="1258">
        <v>0</v>
      </c>
      <c r="V38" s="1203"/>
      <c r="W38" s="1203"/>
      <c r="X38" s="1203"/>
      <c r="Y38" s="1206"/>
      <c r="Z38" s="1352">
        <v>3.8379776396043117</v>
      </c>
      <c r="AA38" s="1207">
        <f t="shared" si="16"/>
        <v>0</v>
      </c>
      <c r="AB38" s="1208"/>
      <c r="AC38" s="1206"/>
      <c r="AD38" s="1206"/>
      <c r="AE38" s="1258"/>
      <c r="AF38" s="1258"/>
      <c r="AG38" s="1258"/>
      <c r="AH38" s="1353"/>
      <c r="AI38" s="1206"/>
      <c r="AJ38" s="1209"/>
      <c r="AK38" s="1352">
        <v>34.548854367377068</v>
      </c>
      <c r="AL38" s="1207"/>
      <c r="AM38" s="1210">
        <f t="shared" si="10"/>
        <v>47.413118383459711</v>
      </c>
    </row>
    <row r="39" spans="1:41" ht="12.75" customHeight="1">
      <c r="A39" s="1354" t="s">
        <v>1251</v>
      </c>
      <c r="B39" s="1355" t="s">
        <v>1252</v>
      </c>
      <c r="C39" s="1200">
        <f t="shared" si="13"/>
        <v>77.09522149</v>
      </c>
      <c r="D39" s="1205">
        <v>77.09522149</v>
      </c>
      <c r="E39" s="1206"/>
      <c r="F39" s="1203"/>
      <c r="G39" s="1203"/>
      <c r="H39" s="1204">
        <f t="shared" si="14"/>
        <v>0</v>
      </c>
      <c r="I39" s="1205"/>
      <c r="J39" s="1206"/>
      <c r="K39" s="1206"/>
      <c r="L39" s="1351">
        <f t="shared" si="15"/>
        <v>55.546721514438396</v>
      </c>
      <c r="M39" s="1206"/>
      <c r="N39" s="1206"/>
      <c r="O39" s="1258"/>
      <c r="P39" s="1205">
        <v>7.1757751490927344</v>
      </c>
      <c r="Q39" s="1206"/>
      <c r="R39" s="1205">
        <v>2.1251675154700789</v>
      </c>
      <c r="S39" s="1205">
        <v>1.1148735810524</v>
      </c>
      <c r="T39" s="1205">
        <v>45.130905268823184</v>
      </c>
      <c r="U39" s="1205">
        <v>0</v>
      </c>
      <c r="V39" s="1203"/>
      <c r="W39" s="1203"/>
      <c r="X39" s="1203"/>
      <c r="Y39" s="1206"/>
      <c r="Z39" s="1352">
        <v>14.465864687791706</v>
      </c>
      <c r="AA39" s="1207">
        <f t="shared" si="16"/>
        <v>21.451269391960764</v>
      </c>
      <c r="AB39" s="1208"/>
      <c r="AC39" s="1206"/>
      <c r="AD39" s="1206">
        <v>21.451269391960764</v>
      </c>
      <c r="AE39" s="1258"/>
      <c r="AF39" s="1258"/>
      <c r="AG39" s="1258"/>
      <c r="AH39" s="1353"/>
      <c r="AI39" s="1206"/>
      <c r="AJ39" s="1209">
        <v>25.484283790445375</v>
      </c>
      <c r="AK39" s="1352">
        <v>50.029187721662993</v>
      </c>
      <c r="AL39" s="1207"/>
      <c r="AM39" s="1210">
        <f t="shared" si="10"/>
        <v>244.07254859629921</v>
      </c>
    </row>
    <row r="40" spans="1:41" ht="12.75" customHeight="1">
      <c r="A40" s="1354" t="s">
        <v>1253</v>
      </c>
      <c r="B40" s="1355" t="s">
        <v>1254</v>
      </c>
      <c r="C40" s="1200">
        <f t="shared" si="13"/>
        <v>0</v>
      </c>
      <c r="D40" s="1258">
        <v>0</v>
      </c>
      <c r="E40" s="1206"/>
      <c r="F40" s="1203"/>
      <c r="G40" s="1203"/>
      <c r="H40" s="1204">
        <f t="shared" si="14"/>
        <v>0</v>
      </c>
      <c r="I40" s="1205"/>
      <c r="J40" s="1206"/>
      <c r="K40" s="1206"/>
      <c r="L40" s="1351">
        <f t="shared" si="15"/>
        <v>93.505125487291224</v>
      </c>
      <c r="M40" s="1206"/>
      <c r="N40" s="1206"/>
      <c r="O40" s="1258"/>
      <c r="P40" s="1258">
        <v>0</v>
      </c>
      <c r="Q40" s="1206"/>
      <c r="R40" s="1258">
        <v>86.071957806748046</v>
      </c>
      <c r="S40" s="1258">
        <v>4.5594122394925991</v>
      </c>
      <c r="T40" s="1258">
        <v>2.8737554410505814</v>
      </c>
      <c r="U40" s="1258">
        <v>0</v>
      </c>
      <c r="V40" s="1203"/>
      <c r="W40" s="1203"/>
      <c r="X40" s="1203"/>
      <c r="Y40" s="1206"/>
      <c r="Z40" s="1352">
        <v>328.84286341823514</v>
      </c>
      <c r="AA40" s="1207">
        <f t="shared" si="16"/>
        <v>0</v>
      </c>
      <c r="AB40" s="1208"/>
      <c r="AC40" s="1206"/>
      <c r="AD40" s="1206"/>
      <c r="AE40" s="1258"/>
      <c r="AF40" s="1258"/>
      <c r="AG40" s="1258"/>
      <c r="AH40" s="1353"/>
      <c r="AI40" s="1206"/>
      <c r="AJ40" s="1209"/>
      <c r="AK40" s="1352">
        <v>64.01479535173695</v>
      </c>
      <c r="AL40" s="1207"/>
      <c r="AM40" s="1210">
        <f t="shared" si="10"/>
        <v>486.36278425726329</v>
      </c>
    </row>
    <row r="41" spans="1:41" ht="12.75" customHeight="1">
      <c r="A41" s="1354" t="s">
        <v>1255</v>
      </c>
      <c r="B41" s="1355" t="s">
        <v>1256</v>
      </c>
      <c r="C41" s="1200">
        <f t="shared" si="13"/>
        <v>0</v>
      </c>
      <c r="D41" s="1258">
        <v>0</v>
      </c>
      <c r="E41" s="1206"/>
      <c r="F41" s="1203"/>
      <c r="G41" s="1203"/>
      <c r="H41" s="1204">
        <f t="shared" si="14"/>
        <v>0</v>
      </c>
      <c r="I41" s="1205"/>
      <c r="J41" s="1206"/>
      <c r="K41" s="1206"/>
      <c r="L41" s="1351">
        <f t="shared" si="15"/>
        <v>5.4002214372250332</v>
      </c>
      <c r="M41" s="1206"/>
      <c r="N41" s="1206"/>
      <c r="O41" s="1258"/>
      <c r="P41" s="1258">
        <v>0.37105010164390778</v>
      </c>
      <c r="Q41" s="1206"/>
      <c r="R41" s="1258">
        <v>0.10988967829143903</v>
      </c>
      <c r="S41" s="1258">
        <v>1.8668873644981228</v>
      </c>
      <c r="T41" s="1258">
        <v>3.0523942927915635</v>
      </c>
      <c r="U41" s="1258">
        <v>0</v>
      </c>
      <c r="V41" s="1203"/>
      <c r="W41" s="1203"/>
      <c r="X41" s="1203"/>
      <c r="Y41" s="1206"/>
      <c r="Z41" s="1352">
        <v>4.6898252485565841</v>
      </c>
      <c r="AA41" s="1207">
        <f t="shared" si="16"/>
        <v>0</v>
      </c>
      <c r="AB41" s="1208"/>
      <c r="AC41" s="1206"/>
      <c r="AD41" s="1206"/>
      <c r="AE41" s="1258"/>
      <c r="AF41" s="1258"/>
      <c r="AG41" s="1258"/>
      <c r="AH41" s="1353"/>
      <c r="AI41" s="1206"/>
      <c r="AJ41" s="1209"/>
      <c r="AK41" s="1352">
        <v>20.043191375844032</v>
      </c>
      <c r="AL41" s="1207"/>
      <c r="AM41" s="1210">
        <f t="shared" si="10"/>
        <v>30.133238061625647</v>
      </c>
    </row>
    <row r="42" spans="1:41" ht="12.75" customHeight="1">
      <c r="A42" s="1354" t="s">
        <v>1257</v>
      </c>
      <c r="B42" s="1355" t="s">
        <v>1258</v>
      </c>
      <c r="C42" s="1200">
        <f t="shared" si="13"/>
        <v>6.6744943905326223E-3</v>
      </c>
      <c r="D42" s="1258">
        <v>6.6744943905326223E-3</v>
      </c>
      <c r="E42" s="1206"/>
      <c r="F42" s="1203"/>
      <c r="G42" s="1203"/>
      <c r="H42" s="1204">
        <f t="shared" si="14"/>
        <v>0</v>
      </c>
      <c r="I42" s="1205"/>
      <c r="J42" s="1206"/>
      <c r="K42" s="1206"/>
      <c r="L42" s="1351">
        <f t="shared" si="15"/>
        <v>35.157518165840372</v>
      </c>
      <c r="M42" s="1206"/>
      <c r="N42" s="1206"/>
      <c r="O42" s="1258"/>
      <c r="P42" s="1258">
        <v>0.30685458232835278</v>
      </c>
      <c r="Q42" s="1206"/>
      <c r="R42" s="1258">
        <v>9.0877623223716023E-2</v>
      </c>
      <c r="S42" s="1258">
        <v>33.004465069268221</v>
      </c>
      <c r="T42" s="1258">
        <v>1.755320891020085</v>
      </c>
      <c r="U42" s="1258">
        <v>0</v>
      </c>
      <c r="V42" s="1203"/>
      <c r="W42" s="1203"/>
      <c r="X42" s="1203"/>
      <c r="Y42" s="1206"/>
      <c r="Z42" s="1356">
        <v>105.52961765794144</v>
      </c>
      <c r="AA42" s="1207">
        <f t="shared" si="16"/>
        <v>0</v>
      </c>
      <c r="AB42" s="1208"/>
      <c r="AC42" s="1206"/>
      <c r="AD42" s="1206"/>
      <c r="AE42" s="1258"/>
      <c r="AF42" s="1258"/>
      <c r="AG42" s="1258"/>
      <c r="AH42" s="1357"/>
      <c r="AI42" s="1206"/>
      <c r="AJ42" s="1358"/>
      <c r="AK42" s="1356">
        <v>97.107517147470546</v>
      </c>
      <c r="AL42" s="1207"/>
      <c r="AM42" s="1210">
        <f t="shared" si="10"/>
        <v>237.80132746564288</v>
      </c>
    </row>
    <row r="43" spans="1:41" ht="12.75" customHeight="1">
      <c r="A43" s="1354" t="s">
        <v>1259</v>
      </c>
      <c r="B43" s="1355" t="s">
        <v>1260</v>
      </c>
      <c r="C43" s="1200">
        <f t="shared" si="13"/>
        <v>0</v>
      </c>
      <c r="D43" s="1258">
        <v>0</v>
      </c>
      <c r="E43" s="1206"/>
      <c r="F43" s="1203"/>
      <c r="G43" s="1203"/>
      <c r="H43" s="1204">
        <f t="shared" si="14"/>
        <v>0</v>
      </c>
      <c r="I43" s="1205"/>
      <c r="J43" s="1206"/>
      <c r="K43" s="1206"/>
      <c r="L43" s="1351">
        <f t="shared" si="15"/>
        <v>4.0928677533648337</v>
      </c>
      <c r="M43" s="1206"/>
      <c r="N43" s="1206"/>
      <c r="O43" s="1258"/>
      <c r="P43" s="1258">
        <v>0.24009124224017564</v>
      </c>
      <c r="Q43" s="1206"/>
      <c r="R43" s="1258">
        <v>7.1105085953284089E-2</v>
      </c>
      <c r="S43" s="1258">
        <v>2.9765021079040488</v>
      </c>
      <c r="T43" s="1258">
        <v>0.8051693172673251</v>
      </c>
      <c r="U43" s="1258">
        <v>0</v>
      </c>
      <c r="V43" s="1203"/>
      <c r="W43" s="1203"/>
      <c r="X43" s="1203"/>
      <c r="Y43" s="1206"/>
      <c r="Z43" s="1359">
        <v>1.594882567125971</v>
      </c>
      <c r="AA43" s="1207">
        <f t="shared" si="16"/>
        <v>0</v>
      </c>
      <c r="AB43" s="1208"/>
      <c r="AC43" s="1206"/>
      <c r="AD43" s="1206"/>
      <c r="AE43" s="1258"/>
      <c r="AF43" s="1258"/>
      <c r="AG43" s="1258"/>
      <c r="AH43" s="1305"/>
      <c r="AI43" s="1206"/>
      <c r="AJ43" s="1309"/>
      <c r="AK43" s="1359">
        <v>16.611417883037472</v>
      </c>
      <c r="AL43" s="1207"/>
      <c r="AM43" s="1210">
        <f t="shared" si="10"/>
        <v>22.299168203528275</v>
      </c>
    </row>
    <row r="44" spans="1:41" ht="12.75" customHeight="1">
      <c r="A44" s="1360" t="s">
        <v>1261</v>
      </c>
      <c r="B44" s="1361" t="s">
        <v>1262</v>
      </c>
      <c r="C44" s="1362">
        <f t="shared" si="13"/>
        <v>1.3983065748165842</v>
      </c>
      <c r="D44" s="1363">
        <v>1.3983065748165842</v>
      </c>
      <c r="E44" s="1363"/>
      <c r="F44" s="1364"/>
      <c r="G44" s="1364"/>
      <c r="H44" s="1365">
        <f t="shared" si="14"/>
        <v>0</v>
      </c>
      <c r="I44" s="1366"/>
      <c r="J44" s="1363"/>
      <c r="K44" s="1363">
        <v>0</v>
      </c>
      <c r="L44" s="1367">
        <f t="shared" si="15"/>
        <v>32.595609687263405</v>
      </c>
      <c r="M44" s="1363"/>
      <c r="N44" s="1363"/>
      <c r="O44" s="1258"/>
      <c r="P44" s="1363">
        <v>7.9910582444002829</v>
      </c>
      <c r="Q44" s="1363"/>
      <c r="R44" s="1363">
        <v>2.3666206148301612</v>
      </c>
      <c r="S44" s="1363">
        <v>16.912421871059049</v>
      </c>
      <c r="T44" s="1363">
        <v>5.3255089569739154</v>
      </c>
      <c r="U44" s="1363">
        <v>0</v>
      </c>
      <c r="V44" s="1364"/>
      <c r="W44" s="1364"/>
      <c r="X44" s="1364"/>
      <c r="Y44" s="1363"/>
      <c r="Z44" s="1368">
        <v>5.5292371259913065</v>
      </c>
      <c r="AA44" s="1369">
        <f t="shared" si="16"/>
        <v>0</v>
      </c>
      <c r="AB44" s="1370"/>
      <c r="AC44" s="1363"/>
      <c r="AD44" s="1363"/>
      <c r="AE44" s="1306"/>
      <c r="AF44" s="1306"/>
      <c r="AG44" s="1306"/>
      <c r="AH44" s="1371"/>
      <c r="AI44" s="1363"/>
      <c r="AJ44" s="1268"/>
      <c r="AK44" s="1368">
        <v>76.382640152647255</v>
      </c>
      <c r="AL44" s="1369"/>
      <c r="AM44" s="1372">
        <f t="shared" si="10"/>
        <v>115.90579354071855</v>
      </c>
    </row>
    <row r="45" spans="1:41" s="1233" customFormat="1" ht="12.75" customHeight="1">
      <c r="A45" s="1418" t="s">
        <v>1263</v>
      </c>
      <c r="B45" s="1419"/>
      <c r="C45" s="1420">
        <f t="shared" ref="C45:AL45" si="17">SUM(C46:C55)</f>
        <v>0</v>
      </c>
      <c r="D45" s="1421">
        <f t="shared" si="17"/>
        <v>0</v>
      </c>
      <c r="E45" s="1421">
        <f t="shared" si="17"/>
        <v>0</v>
      </c>
      <c r="F45" s="1422">
        <f t="shared" si="17"/>
        <v>0</v>
      </c>
      <c r="G45" s="1422">
        <f t="shared" si="17"/>
        <v>0</v>
      </c>
      <c r="H45" s="1423">
        <f t="shared" si="17"/>
        <v>0</v>
      </c>
      <c r="I45" s="1424">
        <f t="shared" si="17"/>
        <v>0</v>
      </c>
      <c r="J45" s="1421">
        <f t="shared" si="17"/>
        <v>0</v>
      </c>
      <c r="K45" s="1421">
        <f t="shared" si="17"/>
        <v>0</v>
      </c>
      <c r="L45" s="1423">
        <f t="shared" si="17"/>
        <v>4083.5521099603006</v>
      </c>
      <c r="M45" s="1421">
        <f t="shared" si="17"/>
        <v>0</v>
      </c>
      <c r="N45" s="1421">
        <f t="shared" si="17"/>
        <v>0</v>
      </c>
      <c r="O45" s="1421">
        <f t="shared" si="17"/>
        <v>1272.4461135624153</v>
      </c>
      <c r="P45" s="1421">
        <f t="shared" si="17"/>
        <v>0</v>
      </c>
      <c r="Q45" s="1421">
        <f t="shared" si="17"/>
        <v>585.6714297093813</v>
      </c>
      <c r="R45" s="1421">
        <f t="shared" si="17"/>
        <v>0</v>
      </c>
      <c r="S45" s="1421">
        <f t="shared" si="17"/>
        <v>0.99990661399999992</v>
      </c>
      <c r="T45" s="1421">
        <f>SUM(T46:T55)</f>
        <v>2224.4346600745039</v>
      </c>
      <c r="U45" s="1421">
        <f t="shared" si="17"/>
        <v>0</v>
      </c>
      <c r="V45" s="1422">
        <f t="shared" si="17"/>
        <v>0</v>
      </c>
      <c r="W45" s="1422">
        <f t="shared" si="17"/>
        <v>0</v>
      </c>
      <c r="X45" s="1422">
        <f t="shared" si="17"/>
        <v>0</v>
      </c>
      <c r="Y45" s="1421">
        <f t="shared" si="17"/>
        <v>0</v>
      </c>
      <c r="Z45" s="1423">
        <f t="shared" si="17"/>
        <v>0</v>
      </c>
      <c r="AA45" s="1425">
        <f t="shared" si="17"/>
        <v>84.866967208896</v>
      </c>
      <c r="AB45" s="1426">
        <f t="shared" si="17"/>
        <v>0</v>
      </c>
      <c r="AC45" s="1421">
        <f t="shared" si="17"/>
        <v>0</v>
      </c>
      <c r="AD45" s="1421">
        <f t="shared" si="17"/>
        <v>0</v>
      </c>
      <c r="AE45" s="1421">
        <f t="shared" si="17"/>
        <v>0</v>
      </c>
      <c r="AF45" s="1421">
        <f t="shared" si="17"/>
        <v>0</v>
      </c>
      <c r="AG45" s="1421">
        <f t="shared" si="17"/>
        <v>84.866967208896</v>
      </c>
      <c r="AH45" s="1425">
        <f t="shared" si="17"/>
        <v>0</v>
      </c>
      <c r="AI45" s="1421">
        <f t="shared" si="17"/>
        <v>0</v>
      </c>
      <c r="AJ45" s="1423">
        <f t="shared" si="17"/>
        <v>0</v>
      </c>
      <c r="AK45" s="1423">
        <f t="shared" si="17"/>
        <v>3.8691085239999992</v>
      </c>
      <c r="AL45" s="1425">
        <f t="shared" si="17"/>
        <v>0</v>
      </c>
      <c r="AM45" s="1427">
        <f t="shared" si="10"/>
        <v>4172.2881856931963</v>
      </c>
      <c r="AN45" s="1196"/>
      <c r="AO45" s="1232"/>
    </row>
    <row r="46" spans="1:41" s="1196" customFormat="1" ht="12.75" customHeight="1">
      <c r="A46" s="1428" t="s">
        <v>1264</v>
      </c>
      <c r="B46" s="1429"/>
      <c r="C46" s="1430">
        <f t="shared" ref="C46:C56" si="18">SUM(D46:G46)</f>
        <v>0</v>
      </c>
      <c r="D46" s="1431"/>
      <c r="E46" s="1432"/>
      <c r="F46" s="1433"/>
      <c r="G46" s="1433"/>
      <c r="H46" s="1434">
        <f t="shared" ref="H46:H56" si="19">SUM(I46:K46)</f>
        <v>0</v>
      </c>
      <c r="I46" s="1435"/>
      <c r="J46" s="1436"/>
      <c r="K46" s="1436"/>
      <c r="L46" s="1434">
        <f t="shared" ref="L46:L56" si="20">SUM(M46:Y46)</f>
        <v>612.99190157444889</v>
      </c>
      <c r="M46" s="1436"/>
      <c r="N46" s="1436"/>
      <c r="O46" s="1436"/>
      <c r="P46" s="1436"/>
      <c r="Q46" s="1436"/>
      <c r="R46" s="1436"/>
      <c r="S46" s="1436"/>
      <c r="T46" s="1436">
        <v>612.99190157444889</v>
      </c>
      <c r="U46" s="1436"/>
      <c r="V46" s="1433"/>
      <c r="W46" s="1433"/>
      <c r="X46" s="1433"/>
      <c r="Y46" s="1436"/>
      <c r="Z46" s="1434"/>
      <c r="AA46" s="1437">
        <f t="shared" ref="AA46:AA56" si="21">SUM(AB46:AI46)</f>
        <v>16.195581063390343</v>
      </c>
      <c r="AB46" s="1438"/>
      <c r="AC46" s="1436"/>
      <c r="AD46" s="1436"/>
      <c r="AE46" s="1436"/>
      <c r="AF46" s="1436"/>
      <c r="AG46" s="1436">
        <v>16.195581063390343</v>
      </c>
      <c r="AH46" s="1439"/>
      <c r="AI46" s="1436"/>
      <c r="AJ46" s="1434"/>
      <c r="AK46" s="1440"/>
      <c r="AL46" s="1437"/>
      <c r="AM46" s="1441">
        <f t="shared" si="10"/>
        <v>629.18748263783925</v>
      </c>
      <c r="AO46" s="1197"/>
    </row>
    <row r="47" spans="1:41" s="1196" customFormat="1" ht="12.75" customHeight="1">
      <c r="A47" s="1442" t="s">
        <v>1265</v>
      </c>
      <c r="B47" s="1443"/>
      <c r="C47" s="1444"/>
      <c r="D47" s="1445"/>
      <c r="E47" s="1446"/>
      <c r="F47" s="1447"/>
      <c r="G47" s="1447"/>
      <c r="H47" s="1448"/>
      <c r="I47" s="1449"/>
      <c r="J47" s="1450"/>
      <c r="K47" s="1450"/>
      <c r="L47" s="1448">
        <f t="shared" si="20"/>
        <v>312.60098854701846</v>
      </c>
      <c r="M47" s="1450"/>
      <c r="N47" s="1450"/>
      <c r="O47" s="1450"/>
      <c r="P47" s="1450"/>
      <c r="Q47" s="1450"/>
      <c r="R47" s="1450"/>
      <c r="S47" s="1450"/>
      <c r="T47" s="1450">
        <v>312.60098854701846</v>
      </c>
      <c r="U47" s="1450"/>
      <c r="V47" s="1447"/>
      <c r="W47" s="1447"/>
      <c r="X47" s="1447"/>
      <c r="Y47" s="1450"/>
      <c r="Z47" s="1448"/>
      <c r="AA47" s="1451">
        <f t="shared" si="21"/>
        <v>8.259088965948294</v>
      </c>
      <c r="AB47" s="1452"/>
      <c r="AC47" s="1450"/>
      <c r="AD47" s="1450"/>
      <c r="AE47" s="1450"/>
      <c r="AF47" s="1450"/>
      <c r="AG47" s="1450">
        <v>8.259088965948294</v>
      </c>
      <c r="AH47" s="1453"/>
      <c r="AI47" s="1450"/>
      <c r="AJ47" s="1448"/>
      <c r="AK47" s="1454"/>
      <c r="AL47" s="1451"/>
      <c r="AM47" s="1455">
        <f t="shared" si="10"/>
        <v>320.86007751296677</v>
      </c>
      <c r="AO47" s="1197"/>
    </row>
    <row r="48" spans="1:41" s="1196" customFormat="1" ht="12.75" customHeight="1">
      <c r="A48" s="1456" t="s">
        <v>1266</v>
      </c>
      <c r="B48" s="1457"/>
      <c r="C48" s="1458">
        <f t="shared" si="18"/>
        <v>0</v>
      </c>
      <c r="D48" s="1459"/>
      <c r="E48" s="1460"/>
      <c r="F48" s="1461"/>
      <c r="G48" s="1461"/>
      <c r="H48" s="1462">
        <f t="shared" si="19"/>
        <v>0</v>
      </c>
      <c r="I48" s="1463"/>
      <c r="J48" s="1464"/>
      <c r="K48" s="1464"/>
      <c r="L48" s="1462">
        <f t="shared" si="20"/>
        <v>1977.651140765518</v>
      </c>
      <c r="M48" s="1464"/>
      <c r="N48" s="1464"/>
      <c r="O48" s="1464">
        <v>1128.0320919095041</v>
      </c>
      <c r="P48" s="1464"/>
      <c r="Q48" s="1464"/>
      <c r="R48" s="1464"/>
      <c r="S48" s="1464">
        <v>0.99990661399999992</v>
      </c>
      <c r="T48" s="1464">
        <v>848.61914224201382</v>
      </c>
      <c r="U48" s="1464"/>
      <c r="V48" s="1461"/>
      <c r="W48" s="1461"/>
      <c r="X48" s="1461"/>
      <c r="Y48" s="1464"/>
      <c r="Z48" s="1462"/>
      <c r="AA48" s="1465">
        <f t="shared" si="21"/>
        <v>47.867090870551792</v>
      </c>
      <c r="AB48" s="1466"/>
      <c r="AC48" s="1464"/>
      <c r="AD48" s="1464"/>
      <c r="AE48" s="1464"/>
      <c r="AF48" s="1464"/>
      <c r="AG48" s="1464">
        <v>47.867090870551792</v>
      </c>
      <c r="AH48" s="1467"/>
      <c r="AI48" s="1464"/>
      <c r="AJ48" s="1462"/>
      <c r="AK48" s="1468"/>
      <c r="AL48" s="1465"/>
      <c r="AM48" s="1469">
        <f t="shared" si="10"/>
        <v>2025.5182316360697</v>
      </c>
      <c r="AO48" s="1197"/>
    </row>
    <row r="49" spans="1:41" s="1196" customFormat="1" ht="12.75" customHeight="1">
      <c r="A49" s="1456" t="s">
        <v>1267</v>
      </c>
      <c r="B49" s="1457"/>
      <c r="C49" s="1458">
        <f t="shared" si="18"/>
        <v>0</v>
      </c>
      <c r="D49" s="1459"/>
      <c r="E49" s="1460"/>
      <c r="F49" s="1461"/>
      <c r="G49" s="1461"/>
      <c r="H49" s="1462">
        <f t="shared" si="19"/>
        <v>0</v>
      </c>
      <c r="I49" s="1463"/>
      <c r="J49" s="1464"/>
      <c r="K49" s="1464"/>
      <c r="L49" s="1462">
        <f t="shared" si="20"/>
        <v>145.75258929699396</v>
      </c>
      <c r="M49" s="1464"/>
      <c r="N49" s="1464"/>
      <c r="O49" s="1464">
        <v>25.922087058302861</v>
      </c>
      <c r="P49" s="1464"/>
      <c r="Q49" s="1464"/>
      <c r="R49" s="1464"/>
      <c r="S49" s="1464"/>
      <c r="T49" s="1464">
        <v>119.83050223869111</v>
      </c>
      <c r="U49" s="1464"/>
      <c r="V49" s="1461"/>
      <c r="W49" s="1461"/>
      <c r="X49" s="1461"/>
      <c r="Y49" s="1464"/>
      <c r="Z49" s="1462"/>
      <c r="AA49" s="1465">
        <f t="shared" si="21"/>
        <v>3.748800023245777</v>
      </c>
      <c r="AB49" s="1466"/>
      <c r="AC49" s="1464"/>
      <c r="AD49" s="1464"/>
      <c r="AE49" s="1464"/>
      <c r="AF49" s="1464"/>
      <c r="AG49" s="1464">
        <v>3.748800023245777</v>
      </c>
      <c r="AH49" s="1467"/>
      <c r="AI49" s="1464"/>
      <c r="AJ49" s="1462"/>
      <c r="AK49" s="1468"/>
      <c r="AL49" s="1465"/>
      <c r="AM49" s="1469">
        <f t="shared" si="10"/>
        <v>149.50138932023972</v>
      </c>
      <c r="AO49" s="1197"/>
    </row>
    <row r="50" spans="1:41" s="1196" customFormat="1" ht="12.75" customHeight="1">
      <c r="A50" s="1456" t="s">
        <v>545</v>
      </c>
      <c r="B50" s="1457"/>
      <c r="C50" s="1458">
        <f t="shared" si="18"/>
        <v>0</v>
      </c>
      <c r="D50" s="1459"/>
      <c r="E50" s="1460"/>
      <c r="F50" s="1461"/>
      <c r="G50" s="1461"/>
      <c r="H50" s="1462">
        <f t="shared" si="19"/>
        <v>0</v>
      </c>
      <c r="I50" s="1463"/>
      <c r="J50" s="1464"/>
      <c r="K50" s="1464"/>
      <c r="L50" s="1462">
        <f t="shared" si="20"/>
        <v>38.462409104987316</v>
      </c>
      <c r="M50" s="1464"/>
      <c r="N50" s="1464"/>
      <c r="O50" s="1464"/>
      <c r="P50" s="1464"/>
      <c r="Q50" s="1470"/>
      <c r="R50" s="1464"/>
      <c r="S50" s="1464"/>
      <c r="T50" s="1464">
        <v>38.462409104987316</v>
      </c>
      <c r="U50" s="1464"/>
      <c r="V50" s="1461"/>
      <c r="W50" s="1461"/>
      <c r="X50" s="1461"/>
      <c r="Y50" s="1464"/>
      <c r="Z50" s="1462"/>
      <c r="AA50" s="1465">
        <f t="shared" si="21"/>
        <v>0</v>
      </c>
      <c r="AB50" s="1466"/>
      <c r="AC50" s="1464"/>
      <c r="AD50" s="1464"/>
      <c r="AE50" s="1464"/>
      <c r="AF50" s="1464"/>
      <c r="AG50" s="1464">
        <v>0</v>
      </c>
      <c r="AH50" s="1467"/>
      <c r="AI50" s="1464"/>
      <c r="AJ50" s="1462"/>
      <c r="AK50" s="1468">
        <v>3.8691085239999992</v>
      </c>
      <c r="AL50" s="1465"/>
      <c r="AM50" s="1469">
        <f t="shared" si="10"/>
        <v>42.331517628987314</v>
      </c>
      <c r="AO50" s="1197"/>
    </row>
    <row r="51" spans="1:41" s="1196" customFormat="1" ht="12.75" customHeight="1">
      <c r="A51" s="1456" t="s">
        <v>1268</v>
      </c>
      <c r="B51" s="1457"/>
      <c r="C51" s="1458">
        <f t="shared" si="18"/>
        <v>0</v>
      </c>
      <c r="D51" s="1459"/>
      <c r="E51" s="1460"/>
      <c r="F51" s="1461"/>
      <c r="G51" s="1461"/>
      <c r="H51" s="1462">
        <f t="shared" si="19"/>
        <v>0</v>
      </c>
      <c r="I51" s="1463"/>
      <c r="J51" s="1464"/>
      <c r="K51" s="1464"/>
      <c r="L51" s="1462">
        <f t="shared" si="20"/>
        <v>3.8016493273529495</v>
      </c>
      <c r="M51" s="1464"/>
      <c r="N51" s="1464"/>
      <c r="O51" s="1464">
        <v>0.73268843221451174</v>
      </c>
      <c r="P51" s="1464"/>
      <c r="Q51" s="1464">
        <v>3.0689608951384377</v>
      </c>
      <c r="R51" s="1464"/>
      <c r="S51" s="1464"/>
      <c r="T51" s="1464"/>
      <c r="U51" s="1464"/>
      <c r="V51" s="1461"/>
      <c r="W51" s="1461"/>
      <c r="X51" s="1461"/>
      <c r="Y51" s="1464"/>
      <c r="Z51" s="1462"/>
      <c r="AA51" s="1465">
        <f t="shared" si="21"/>
        <v>0</v>
      </c>
      <c r="AB51" s="1466"/>
      <c r="AC51" s="1464"/>
      <c r="AD51" s="1464"/>
      <c r="AE51" s="1464"/>
      <c r="AF51" s="1464"/>
      <c r="AG51" s="1464"/>
      <c r="AH51" s="1467"/>
      <c r="AI51" s="1464"/>
      <c r="AJ51" s="1462"/>
      <c r="AK51" s="1468"/>
      <c r="AL51" s="1465"/>
      <c r="AM51" s="1469">
        <f t="shared" si="10"/>
        <v>3.8016493273529495</v>
      </c>
      <c r="AO51" s="1197"/>
    </row>
    <row r="52" spans="1:41" s="1196" customFormat="1" ht="12.75" customHeight="1">
      <c r="A52" s="1456" t="s">
        <v>1269</v>
      </c>
      <c r="B52" s="1471"/>
      <c r="C52" s="1472">
        <f t="shared" si="18"/>
        <v>0</v>
      </c>
      <c r="D52" s="1470"/>
      <c r="E52" s="1470"/>
      <c r="F52" s="1473"/>
      <c r="G52" s="1473"/>
      <c r="H52" s="1474">
        <f t="shared" si="19"/>
        <v>0</v>
      </c>
      <c r="I52" s="1475"/>
      <c r="J52" s="1470"/>
      <c r="K52" s="1470"/>
      <c r="L52" s="1474">
        <f t="shared" si="20"/>
        <v>582.60246881424291</v>
      </c>
      <c r="M52" s="1470"/>
      <c r="N52" s="1470"/>
      <c r="O52" s="1450"/>
      <c r="P52" s="1470"/>
      <c r="Q52" s="1470">
        <v>582.60246881424291</v>
      </c>
      <c r="R52" s="1470"/>
      <c r="S52" s="1470"/>
      <c r="T52" s="1470"/>
      <c r="U52" s="1470"/>
      <c r="V52" s="1473"/>
      <c r="W52" s="1473"/>
      <c r="X52" s="1473"/>
      <c r="Y52" s="1470"/>
      <c r="Z52" s="1454"/>
      <c r="AA52" s="1476">
        <f t="shared" si="21"/>
        <v>0</v>
      </c>
      <c r="AB52" s="1477"/>
      <c r="AC52" s="1470"/>
      <c r="AD52" s="1470"/>
      <c r="AE52" s="1470"/>
      <c r="AF52" s="1470"/>
      <c r="AG52" s="1470"/>
      <c r="AH52" s="1453"/>
      <c r="AI52" s="1470"/>
      <c r="AJ52" s="1454"/>
      <c r="AK52" s="1454"/>
      <c r="AL52" s="1476"/>
      <c r="AM52" s="1478">
        <f t="shared" si="10"/>
        <v>582.60246881424291</v>
      </c>
      <c r="AO52" s="1197"/>
    </row>
    <row r="53" spans="1:41" s="1196" customFormat="1" ht="12.75" customHeight="1">
      <c r="A53" s="1456" t="s">
        <v>1074</v>
      </c>
      <c r="B53" s="1471"/>
      <c r="C53" s="1472">
        <f t="shared" si="18"/>
        <v>0</v>
      </c>
      <c r="D53" s="1475"/>
      <c r="E53" s="1470"/>
      <c r="F53" s="1473"/>
      <c r="G53" s="1473"/>
      <c r="H53" s="1474">
        <f t="shared" si="19"/>
        <v>0</v>
      </c>
      <c r="I53" s="1475"/>
      <c r="J53" s="1470"/>
      <c r="K53" s="1470"/>
      <c r="L53" s="1474">
        <f t="shared" si="20"/>
        <v>221.96093929293943</v>
      </c>
      <c r="M53" s="1470"/>
      <c r="N53" s="1470"/>
      <c r="O53" s="1470">
        <v>6.7521534285384526</v>
      </c>
      <c r="P53" s="1470"/>
      <c r="Q53" s="1470"/>
      <c r="R53" s="1470"/>
      <c r="S53" s="1470"/>
      <c r="T53" s="1470">
        <v>215.20878586440097</v>
      </c>
      <c r="U53" s="1470"/>
      <c r="V53" s="1473"/>
      <c r="W53" s="1473"/>
      <c r="X53" s="1473"/>
      <c r="Y53" s="1470"/>
      <c r="Z53" s="1454"/>
      <c r="AA53" s="1476">
        <f t="shared" si="21"/>
        <v>5.8377440695320724</v>
      </c>
      <c r="AB53" s="1477"/>
      <c r="AC53" s="1470"/>
      <c r="AD53" s="1470"/>
      <c r="AE53" s="1470"/>
      <c r="AF53" s="1470"/>
      <c r="AG53" s="1464">
        <v>5.8377440695320724</v>
      </c>
      <c r="AH53" s="1470"/>
      <c r="AI53" s="1470"/>
      <c r="AJ53" s="1454"/>
      <c r="AK53" s="1468"/>
      <c r="AL53" s="1476"/>
      <c r="AM53" s="1478">
        <f t="shared" si="10"/>
        <v>227.79868336247151</v>
      </c>
      <c r="AO53" s="1197"/>
    </row>
    <row r="54" spans="1:41" s="1196" customFormat="1" ht="12.75" customHeight="1">
      <c r="A54" s="1479" t="s">
        <v>1034</v>
      </c>
      <c r="B54" s="1457"/>
      <c r="C54" s="1472">
        <f t="shared" si="18"/>
        <v>0</v>
      </c>
      <c r="D54" s="1475"/>
      <c r="E54" s="1470"/>
      <c r="F54" s="1473"/>
      <c r="G54" s="1473"/>
      <c r="H54" s="1474">
        <f t="shared" si="19"/>
        <v>0</v>
      </c>
      <c r="I54" s="1475"/>
      <c r="J54" s="1470"/>
      <c r="K54" s="1470"/>
      <c r="L54" s="1474">
        <f t="shared" si="20"/>
        <v>59.201897215234432</v>
      </c>
      <c r="M54" s="1470"/>
      <c r="N54" s="1470"/>
      <c r="O54" s="1470"/>
      <c r="P54" s="1470"/>
      <c r="Q54" s="1470"/>
      <c r="R54" s="1470"/>
      <c r="S54" s="1470"/>
      <c r="T54" s="1470">
        <v>59.201897215234432</v>
      </c>
      <c r="U54" s="1470"/>
      <c r="V54" s="1473"/>
      <c r="W54" s="1473"/>
      <c r="X54" s="1473"/>
      <c r="Y54" s="1470"/>
      <c r="Z54" s="1480"/>
      <c r="AA54" s="1476">
        <f t="shared" si="21"/>
        <v>0</v>
      </c>
      <c r="AB54" s="1477"/>
      <c r="AC54" s="1470"/>
      <c r="AD54" s="1470"/>
      <c r="AE54" s="1470"/>
      <c r="AF54" s="1470"/>
      <c r="AG54" s="1470"/>
      <c r="AH54" s="1470"/>
      <c r="AI54" s="1470"/>
      <c r="AJ54" s="1480"/>
      <c r="AK54" s="1454"/>
      <c r="AL54" s="1476"/>
      <c r="AM54" s="1478">
        <f t="shared" si="10"/>
        <v>59.201897215234432</v>
      </c>
      <c r="AO54" s="1197"/>
    </row>
    <row r="55" spans="1:41" s="1196" customFormat="1" ht="12.75" customHeight="1">
      <c r="A55" s="1481" t="s">
        <v>1075</v>
      </c>
      <c r="B55" s="1482"/>
      <c r="C55" s="1483">
        <f t="shared" si="18"/>
        <v>0</v>
      </c>
      <c r="D55" s="1484"/>
      <c r="E55" s="1485"/>
      <c r="F55" s="1486"/>
      <c r="G55" s="1486"/>
      <c r="H55" s="1487">
        <f t="shared" si="19"/>
        <v>0</v>
      </c>
      <c r="I55" s="1488"/>
      <c r="J55" s="1489"/>
      <c r="K55" s="1489"/>
      <c r="L55" s="1487">
        <f t="shared" si="20"/>
        <v>128.52612602156424</v>
      </c>
      <c r="M55" s="1489"/>
      <c r="N55" s="1489"/>
      <c r="O55" s="1489">
        <v>111.00709273385574</v>
      </c>
      <c r="P55" s="1489"/>
      <c r="Q55" s="1489"/>
      <c r="R55" s="1489">
        <v>0</v>
      </c>
      <c r="S55" s="1489"/>
      <c r="T55" s="1489">
        <v>17.519033287708485</v>
      </c>
      <c r="U55" s="1489"/>
      <c r="V55" s="1486"/>
      <c r="W55" s="1486"/>
      <c r="X55" s="1486"/>
      <c r="Y55" s="1489"/>
      <c r="Z55" s="1487"/>
      <c r="AA55" s="1490">
        <f t="shared" si="21"/>
        <v>2.9586622162277254</v>
      </c>
      <c r="AB55" s="1491"/>
      <c r="AC55" s="1489"/>
      <c r="AD55" s="1489"/>
      <c r="AE55" s="1489"/>
      <c r="AF55" s="1489"/>
      <c r="AG55" s="1489">
        <v>2.9586622162277254</v>
      </c>
      <c r="AH55" s="1492"/>
      <c r="AI55" s="1489"/>
      <c r="AJ55" s="1487"/>
      <c r="AK55" s="1493"/>
      <c r="AL55" s="1490"/>
      <c r="AM55" s="1494">
        <f t="shared" si="10"/>
        <v>131.48478823779197</v>
      </c>
      <c r="AO55" s="1197"/>
    </row>
    <row r="56" spans="1:41" s="1233" customFormat="1" ht="12.75" customHeight="1">
      <c r="A56" s="1380" t="s">
        <v>1270</v>
      </c>
      <c r="B56" s="1381"/>
      <c r="C56" s="1373">
        <f t="shared" si="18"/>
        <v>241.97946603795555</v>
      </c>
      <c r="D56" s="1375">
        <v>164.8841908685074</v>
      </c>
      <c r="E56" s="1202">
        <v>65.180328031025212</v>
      </c>
      <c r="F56" s="1374"/>
      <c r="G56" s="1374">
        <v>11.914947138422903</v>
      </c>
      <c r="H56" s="1382">
        <f t="shared" si="19"/>
        <v>214.53199999999998</v>
      </c>
      <c r="I56" s="1375"/>
      <c r="J56" s="1279">
        <v>127.70399999999999</v>
      </c>
      <c r="K56" s="1279">
        <v>86.828000000000003</v>
      </c>
      <c r="L56" s="1382">
        <f t="shared" si="20"/>
        <v>910.17547603698313</v>
      </c>
      <c r="M56" s="1279"/>
      <c r="N56" s="1279"/>
      <c r="O56" s="1279">
        <v>0</v>
      </c>
      <c r="P56" s="1279">
        <v>682.54216828761616</v>
      </c>
      <c r="Q56" s="1279"/>
      <c r="R56" s="1279">
        <v>0</v>
      </c>
      <c r="S56" s="1279">
        <v>33.056701616752633</v>
      </c>
      <c r="T56" s="1279">
        <v>184.67734909744854</v>
      </c>
      <c r="U56" s="1279">
        <v>9.8992570351657037</v>
      </c>
      <c r="V56" s="1374"/>
      <c r="W56" s="1374"/>
      <c r="X56" s="1374"/>
      <c r="Y56" s="1279"/>
      <c r="Z56" s="1382">
        <v>600.49404518400002</v>
      </c>
      <c r="AA56" s="1376">
        <f t="shared" si="21"/>
        <v>60.628976717409685</v>
      </c>
      <c r="AB56" s="1383"/>
      <c r="AC56" s="1279"/>
      <c r="AD56" s="1279">
        <v>27.596706236231771</v>
      </c>
      <c r="AE56" s="1279"/>
      <c r="AF56" s="1279"/>
      <c r="AG56" s="1279"/>
      <c r="AH56" s="1376">
        <v>10.036579432760279</v>
      </c>
      <c r="AI56" s="1279">
        <v>22.995691048417633</v>
      </c>
      <c r="AJ56" s="1382"/>
      <c r="AK56" s="1382">
        <v>698.36016199999995</v>
      </c>
      <c r="AL56" s="1376"/>
      <c r="AM56" s="1280">
        <f t="shared" si="10"/>
        <v>2726.1701259763481</v>
      </c>
      <c r="AN56" s="1196"/>
      <c r="AO56" s="1232"/>
    </row>
    <row r="57" spans="1:41" s="1233" customFormat="1" ht="12.75" customHeight="1">
      <c r="A57" s="1380" t="s">
        <v>1271</v>
      </c>
      <c r="B57" s="1381"/>
      <c r="C57" s="1373">
        <f t="shared" ref="C57:N57" si="22">SUM(C58:C59)</f>
        <v>0</v>
      </c>
      <c r="D57" s="1279">
        <f t="shared" si="22"/>
        <v>0</v>
      </c>
      <c r="E57" s="1279">
        <f t="shared" si="22"/>
        <v>0</v>
      </c>
      <c r="F57" s="1374">
        <f t="shared" si="22"/>
        <v>0</v>
      </c>
      <c r="G57" s="1374">
        <f t="shared" si="22"/>
        <v>0</v>
      </c>
      <c r="H57" s="1382">
        <f t="shared" si="22"/>
        <v>0</v>
      </c>
      <c r="I57" s="1375">
        <f t="shared" si="22"/>
        <v>0</v>
      </c>
      <c r="J57" s="1375">
        <f t="shared" si="22"/>
        <v>0</v>
      </c>
      <c r="K57" s="1375">
        <f t="shared" si="22"/>
        <v>0</v>
      </c>
      <c r="L57" s="1382">
        <f t="shared" si="22"/>
        <v>360.2084090491764</v>
      </c>
      <c r="M57" s="1279">
        <f t="shared" si="22"/>
        <v>0</v>
      </c>
      <c r="N57" s="1279">
        <f t="shared" si="22"/>
        <v>0</v>
      </c>
      <c r="O57" s="1279">
        <v>0</v>
      </c>
      <c r="P57" s="1279">
        <f>SUM(P58:P59)</f>
        <v>0</v>
      </c>
      <c r="Q57" s="1279">
        <f>SUM(Q58:Q59)</f>
        <v>0</v>
      </c>
      <c r="R57" s="1279">
        <v>9.8490000000000002</v>
      </c>
      <c r="S57" s="1279">
        <v>7.1391395881450981</v>
      </c>
      <c r="T57" s="1279">
        <v>343.21990471414745</v>
      </c>
      <c r="U57" s="1279">
        <f>SUM(U58:U59)</f>
        <v>3.6474688389685051E-4</v>
      </c>
      <c r="V57" s="1374">
        <f>SUM(V58:V59)</f>
        <v>0</v>
      </c>
      <c r="W57" s="1374">
        <f>SUM(W58:W59)</f>
        <v>0</v>
      </c>
      <c r="X57" s="1374">
        <f>SUM(X58:X59)</f>
        <v>0</v>
      </c>
      <c r="Y57" s="1375">
        <f>SUM(Y58:Y59)</f>
        <v>0</v>
      </c>
      <c r="Z57" s="1382">
        <v>401.04147129042417</v>
      </c>
      <c r="AA57" s="1376">
        <f>SUM(AA58:AA59)</f>
        <v>30.59997805700857</v>
      </c>
      <c r="AB57" s="1383">
        <f>SUM(AB58:AB59)</f>
        <v>0</v>
      </c>
      <c r="AC57" s="1279">
        <f>SUM(AC58:AC59)</f>
        <v>0</v>
      </c>
      <c r="AD57" s="1279">
        <f>SUM(AD58:AD59)</f>
        <v>19.113380064000001</v>
      </c>
      <c r="AE57" s="1279">
        <f>SUM(AE58:AE59)</f>
        <v>0</v>
      </c>
      <c r="AF57" s="1279">
        <f>SUM(AF59:AF59)</f>
        <v>3.9116576346243459</v>
      </c>
      <c r="AG57" s="1279">
        <f>SUM(AG58:AG59)</f>
        <v>0</v>
      </c>
      <c r="AH57" s="1279">
        <f>SUM(AH58:AH59)</f>
        <v>0.16614308073470971</v>
      </c>
      <c r="AI57" s="1375">
        <f>SUM(AI58:AI59)</f>
        <v>7.4087972776495121</v>
      </c>
      <c r="AJ57" s="1382">
        <f>SUM(AJ58:AJ59)</f>
        <v>0</v>
      </c>
      <c r="AK57" s="1382">
        <v>539.96869375441997</v>
      </c>
      <c r="AL57" s="1376">
        <f>SUM(AL58:AL59)</f>
        <v>0</v>
      </c>
      <c r="AM57" s="1377">
        <f t="shared" si="10"/>
        <v>1331.8185521510291</v>
      </c>
      <c r="AN57" s="1196"/>
      <c r="AO57" s="1232"/>
    </row>
    <row r="58" spans="1:41" s="1196" customFormat="1" ht="12.75" customHeight="1">
      <c r="A58" s="1378" t="s">
        <v>1272</v>
      </c>
      <c r="B58" s="1248"/>
      <c r="C58" s="1249">
        <f>SUM(D58:G58)</f>
        <v>0</v>
      </c>
      <c r="D58" s="1250">
        <v>0</v>
      </c>
      <c r="E58" s="1251">
        <v>0</v>
      </c>
      <c r="F58" s="1252"/>
      <c r="G58" s="1252">
        <v>0</v>
      </c>
      <c r="H58" s="1253">
        <f>SUM(I58:K58)</f>
        <v>0</v>
      </c>
      <c r="I58" s="1250"/>
      <c r="J58" s="1251"/>
      <c r="K58" s="1251"/>
      <c r="L58" s="1253">
        <f>SUM(M58:Y58)</f>
        <v>233.01590951735596</v>
      </c>
      <c r="M58" s="1251"/>
      <c r="N58" s="1251"/>
      <c r="O58" s="1251"/>
      <c r="P58" s="1251">
        <v>0</v>
      </c>
      <c r="Q58" s="1251"/>
      <c r="R58" s="1251">
        <f>R57*14.35/147.09</f>
        <v>0.96086171731592895</v>
      </c>
      <c r="S58" s="1251">
        <f>S57*7.63/10.25</f>
        <v>5.3143058592728876</v>
      </c>
      <c r="T58" s="1251">
        <f>T57*319.4/483.48</f>
        <v>226.74037719388326</v>
      </c>
      <c r="U58" s="1251">
        <v>3.6474688389685051E-4</v>
      </c>
      <c r="V58" s="1252"/>
      <c r="W58" s="1252"/>
      <c r="X58" s="1252"/>
      <c r="Y58" s="1251"/>
      <c r="Z58" s="1253">
        <f>Z57*37.95/86.6</f>
        <v>175.74507893154271</v>
      </c>
      <c r="AA58" s="1254">
        <f>SUM(AB58:AI58)</f>
        <v>26.688320422384223</v>
      </c>
      <c r="AB58" s="1255"/>
      <c r="AC58" s="1251"/>
      <c r="AD58" s="1251">
        <v>19.113380064000001</v>
      </c>
      <c r="AE58" s="1258"/>
      <c r="AF58" s="1258"/>
      <c r="AG58" s="1258"/>
      <c r="AH58" s="1300">
        <v>0.16614308073470971</v>
      </c>
      <c r="AI58" s="1251">
        <v>7.4087972776495121</v>
      </c>
      <c r="AJ58" s="1253"/>
      <c r="AK58" s="1256">
        <f>AK57*172.28/240.31</f>
        <v>387.10751346182627</v>
      </c>
      <c r="AL58" s="1254"/>
      <c r="AM58" s="1281">
        <f t="shared" si="10"/>
        <v>822.55682233310915</v>
      </c>
      <c r="AO58" s="1197"/>
    </row>
    <row r="59" spans="1:41" s="1196" customFormat="1" ht="12.75" customHeight="1">
      <c r="A59" s="1384" t="s">
        <v>1273</v>
      </c>
      <c r="B59" s="1260"/>
      <c r="C59" s="1261">
        <f>SUM(D59:G59)</f>
        <v>0</v>
      </c>
      <c r="D59" s="1262"/>
      <c r="E59" s="1263"/>
      <c r="F59" s="1264"/>
      <c r="G59" s="1264"/>
      <c r="H59" s="1265">
        <f>SUM(I59:K59)</f>
        <v>0</v>
      </c>
      <c r="I59" s="1262"/>
      <c r="J59" s="1263">
        <v>0</v>
      </c>
      <c r="K59" s="1263">
        <v>0</v>
      </c>
      <c r="L59" s="1265">
        <f>SUM(M59:Y59)</f>
        <v>127.19249953182043</v>
      </c>
      <c r="M59" s="1263"/>
      <c r="N59" s="1263"/>
      <c r="O59" s="1263"/>
      <c r="P59" s="1263"/>
      <c r="Q59" s="1263"/>
      <c r="R59" s="1263">
        <f>R57*132.74/147.09</f>
        <v>8.8881382826840714</v>
      </c>
      <c r="S59" s="1263">
        <f>S57*2.62/10.25</f>
        <v>1.8248337288722105</v>
      </c>
      <c r="T59" s="1263">
        <f>T57*164.08/483.48</f>
        <v>116.47952752026416</v>
      </c>
      <c r="U59" s="1263"/>
      <c r="V59" s="1264"/>
      <c r="W59" s="1264"/>
      <c r="X59" s="1264"/>
      <c r="Y59" s="1263"/>
      <c r="Z59" s="1265">
        <f>Z57*48.65/86.6</f>
        <v>225.29639235888149</v>
      </c>
      <c r="AA59" s="1266">
        <f>SUM(AB59:AI59)</f>
        <v>3.9116576346243459</v>
      </c>
      <c r="AB59" s="1267"/>
      <c r="AC59" s="1263"/>
      <c r="AD59" s="1263"/>
      <c r="AE59" s="1263"/>
      <c r="AF59" s="1263">
        <v>3.9116576346243459</v>
      </c>
      <c r="AG59" s="1263"/>
      <c r="AH59" s="1371"/>
      <c r="AI59" s="1263"/>
      <c r="AJ59" s="1265"/>
      <c r="AK59" s="1268">
        <f>AK57*68.03/240.31</f>
        <v>152.8611802925937</v>
      </c>
      <c r="AL59" s="1266"/>
      <c r="AM59" s="1269">
        <f t="shared" si="10"/>
        <v>509.26172981791996</v>
      </c>
      <c r="AO59" s="1197"/>
    </row>
    <row r="60" spans="1:41" s="1233" customFormat="1" ht="12.75" customHeight="1">
      <c r="A60" s="1285" t="s">
        <v>1274</v>
      </c>
      <c r="B60" s="1286"/>
      <c r="C60" s="1287">
        <f>SUM(D60:G60)</f>
        <v>0</v>
      </c>
      <c r="D60" s="1385">
        <v>0</v>
      </c>
      <c r="E60" s="1386"/>
      <c r="F60" s="1387"/>
      <c r="G60" s="1387"/>
      <c r="H60" s="1291">
        <f>SUM(I60:K60)</f>
        <v>0</v>
      </c>
      <c r="I60" s="1385"/>
      <c r="J60" s="1386"/>
      <c r="K60" s="1386"/>
      <c r="L60" s="1291">
        <f>SUM(M60:Y60)</f>
        <v>202.57974518342567</v>
      </c>
      <c r="M60" s="1386"/>
      <c r="N60" s="1386"/>
      <c r="O60" s="1386">
        <v>0</v>
      </c>
      <c r="P60" s="1386">
        <v>0</v>
      </c>
      <c r="Q60" s="1386"/>
      <c r="R60" s="1386"/>
      <c r="S60" s="1386">
        <v>0</v>
      </c>
      <c r="T60" s="1386">
        <v>202.57974518342567</v>
      </c>
      <c r="U60" s="1251"/>
      <c r="V60" s="1387"/>
      <c r="W60" s="1387"/>
      <c r="X60" s="1387"/>
      <c r="Y60" s="1386"/>
      <c r="Z60" s="1291">
        <v>0</v>
      </c>
      <c r="AA60" s="1292">
        <f>SUM(AB60:AI60)</f>
        <v>0</v>
      </c>
      <c r="AB60" s="1388"/>
      <c r="AC60" s="1386"/>
      <c r="AD60" s="1386"/>
      <c r="AE60" s="1386"/>
      <c r="AF60" s="1386"/>
      <c r="AG60" s="1386"/>
      <c r="AH60" s="1292"/>
      <c r="AI60" s="1386"/>
      <c r="AJ60" s="1291"/>
      <c r="AK60" s="1291">
        <v>47.988</v>
      </c>
      <c r="AL60" s="1292"/>
      <c r="AM60" s="1280">
        <f t="shared" si="10"/>
        <v>250.56774518342567</v>
      </c>
      <c r="AN60" s="1196"/>
      <c r="AO60" s="1232"/>
    </row>
    <row r="61" spans="1:41" s="1233" customFormat="1" ht="12.75" customHeight="1" thickBot="1">
      <c r="A61" s="1389" t="s">
        <v>1275</v>
      </c>
      <c r="B61" s="1260"/>
      <c r="C61" s="1261">
        <f>SUM(D61:G61)</f>
        <v>0</v>
      </c>
      <c r="D61" s="1262"/>
      <c r="E61" s="1263"/>
      <c r="F61" s="1264"/>
      <c r="G61" s="1264"/>
      <c r="H61" s="1265">
        <f>SUM(I61:K61)</f>
        <v>0</v>
      </c>
      <c r="I61" s="1262"/>
      <c r="J61" s="1263"/>
      <c r="K61" s="1263"/>
      <c r="L61" s="1265">
        <f>SUM(M61:Y61)</f>
        <v>22.524547269338967</v>
      </c>
      <c r="M61" s="1263"/>
      <c r="N61" s="1263"/>
      <c r="O61" s="1263"/>
      <c r="P61" s="1263"/>
      <c r="Q61" s="1263"/>
      <c r="R61" s="1263"/>
      <c r="S61" s="1263"/>
      <c r="T61" s="1379">
        <v>22.524547269338967</v>
      </c>
      <c r="U61" s="1263"/>
      <c r="V61" s="1264"/>
      <c r="W61" s="1264"/>
      <c r="X61" s="1264"/>
      <c r="Y61" s="1263"/>
      <c r="Z61" s="1265"/>
      <c r="AA61" s="1266">
        <f>SUM(AB61:AI61)</f>
        <v>0</v>
      </c>
      <c r="AB61" s="1267"/>
      <c r="AC61" s="1263"/>
      <c r="AD61" s="1263"/>
      <c r="AE61" s="1263"/>
      <c r="AF61" s="1263"/>
      <c r="AG61" s="1263"/>
      <c r="AH61" s="1371"/>
      <c r="AI61" s="1263"/>
      <c r="AJ61" s="1265"/>
      <c r="AK61" s="1268"/>
      <c r="AL61" s="1266"/>
      <c r="AM61" s="1390">
        <f t="shared" si="10"/>
        <v>22.524547269338967</v>
      </c>
      <c r="AN61" s="1196"/>
      <c r="AO61" s="1232"/>
    </row>
    <row r="62" spans="1:41" s="1233" customFormat="1" ht="12.75" customHeight="1" thickBot="1">
      <c r="A62" s="1314" t="s">
        <v>1276</v>
      </c>
      <c r="B62" s="1315"/>
      <c r="C62" s="1316">
        <f t="shared" ref="C62:AL62" si="23">C27-C28-C30</f>
        <v>3.4840551121440058</v>
      </c>
      <c r="D62" s="1317">
        <f t="shared" si="23"/>
        <v>1.1797649558849344</v>
      </c>
      <c r="E62" s="1318">
        <f t="shared" si="23"/>
        <v>1.3750494489738827</v>
      </c>
      <c r="F62" s="1321">
        <f t="shared" si="23"/>
        <v>0</v>
      </c>
      <c r="G62" s="1321">
        <f t="shared" si="23"/>
        <v>0.9292407072853468</v>
      </c>
      <c r="H62" s="1319">
        <f t="shared" si="23"/>
        <v>-28.514707555135857</v>
      </c>
      <c r="I62" s="1317">
        <f t="shared" si="23"/>
        <v>-27.145837555135813</v>
      </c>
      <c r="J62" s="1318">
        <f t="shared" si="23"/>
        <v>0</v>
      </c>
      <c r="K62" s="1318">
        <f t="shared" si="23"/>
        <v>-1.3688699999999869</v>
      </c>
      <c r="L62" s="1319">
        <f t="shared" si="23"/>
        <v>91.562318086443156</v>
      </c>
      <c r="M62" s="1318">
        <f t="shared" si="23"/>
        <v>-4.5474735088646412E-13</v>
      </c>
      <c r="N62" s="1318">
        <f t="shared" si="23"/>
        <v>0</v>
      </c>
      <c r="O62" s="1318">
        <f t="shared" si="23"/>
        <v>-27.396486382288231</v>
      </c>
      <c r="P62" s="1318">
        <f t="shared" si="23"/>
        <v>43.786436505445181</v>
      </c>
      <c r="Q62" s="1318">
        <f t="shared" si="23"/>
        <v>10.691080800698728</v>
      </c>
      <c r="R62" s="1318">
        <f t="shared" si="23"/>
        <v>33.937872589477777</v>
      </c>
      <c r="S62" s="1318">
        <f t="shared" si="23"/>
        <v>0.41693046610495799</v>
      </c>
      <c r="T62" s="1318">
        <f t="shared" si="23"/>
        <v>-52.203693252590256</v>
      </c>
      <c r="U62" s="1318">
        <f t="shared" si="23"/>
        <v>-4.0807136079904751</v>
      </c>
      <c r="V62" s="1321">
        <f t="shared" si="23"/>
        <v>-4.3438744370000002</v>
      </c>
      <c r="W62" s="1321">
        <f t="shared" si="23"/>
        <v>0</v>
      </c>
      <c r="X62" s="1321">
        <f t="shared" si="23"/>
        <v>0</v>
      </c>
      <c r="Y62" s="1318">
        <f t="shared" si="23"/>
        <v>0</v>
      </c>
      <c r="Z62" s="1319">
        <f t="shared" si="23"/>
        <v>16.488047918780921</v>
      </c>
      <c r="AA62" s="1320">
        <f t="shared" si="23"/>
        <v>-2.990799061135931</v>
      </c>
      <c r="AB62" s="1391">
        <f t="shared" si="23"/>
        <v>0</v>
      </c>
      <c r="AC62" s="1318">
        <f t="shared" si="23"/>
        <v>0</v>
      </c>
      <c r="AD62" s="1318">
        <f t="shared" si="23"/>
        <v>-2.9342518030523195</v>
      </c>
      <c r="AE62" s="1318">
        <f t="shared" si="23"/>
        <v>0</v>
      </c>
      <c r="AF62" s="1318">
        <f t="shared" si="23"/>
        <v>0</v>
      </c>
      <c r="AG62" s="1318">
        <f t="shared" si="23"/>
        <v>-5.6547258083654128E-2</v>
      </c>
      <c r="AH62" s="1320">
        <f t="shared" si="23"/>
        <v>0</v>
      </c>
      <c r="AI62" s="1318">
        <f t="shared" si="23"/>
        <v>0</v>
      </c>
      <c r="AJ62" s="1319">
        <f t="shared" si="23"/>
        <v>0</v>
      </c>
      <c r="AK62" s="1319">
        <f t="shared" si="23"/>
        <v>13.389022189221578</v>
      </c>
      <c r="AL62" s="1320">
        <f t="shared" si="23"/>
        <v>0</v>
      </c>
      <c r="AM62" s="1322">
        <f t="shared" si="10"/>
        <v>93.417936690317873</v>
      </c>
      <c r="AN62" s="1196"/>
      <c r="AO62" s="1232"/>
    </row>
    <row r="63" spans="1:41" ht="12.75" customHeight="1">
      <c r="A63" s="1392"/>
      <c r="B63" s="1392"/>
      <c r="C63" s="1393"/>
      <c r="D63" s="1393"/>
      <c r="E63" s="1393"/>
      <c r="F63" s="1393"/>
      <c r="G63" s="1393"/>
      <c r="H63" s="1393"/>
      <c r="I63" s="1393"/>
      <c r="J63" s="1393"/>
      <c r="K63" s="1393"/>
      <c r="L63" s="1393"/>
      <c r="M63" s="1393"/>
      <c r="N63" s="1393"/>
      <c r="O63" s="1393"/>
      <c r="P63" s="1393"/>
      <c r="Q63" s="1393"/>
      <c r="R63" s="1393"/>
      <c r="S63" s="1393"/>
      <c r="T63" s="1393"/>
      <c r="U63" s="1393"/>
      <c r="V63" s="1393"/>
      <c r="W63" s="1393"/>
      <c r="X63" s="1393"/>
      <c r="Y63" s="1393"/>
      <c r="Z63" s="1393"/>
      <c r="AA63" s="1393"/>
      <c r="AB63" s="1393"/>
      <c r="AC63" s="1393"/>
      <c r="AD63" s="1393"/>
      <c r="AE63" s="1393"/>
      <c r="AF63" s="1393"/>
      <c r="AG63" s="1393"/>
      <c r="AH63" s="1393"/>
      <c r="AI63" s="1393"/>
      <c r="AJ63" s="1393"/>
      <c r="AK63" s="1392"/>
      <c r="AL63" s="1393"/>
      <c r="AM63" s="1393"/>
    </row>
    <row r="64" spans="1:41" s="1397" customFormat="1" ht="15" customHeight="1">
      <c r="A64" s="1394" t="s">
        <v>1277</v>
      </c>
      <c r="B64" s="1395"/>
      <c r="C64" s="1277"/>
      <c r="D64" s="1277"/>
      <c r="E64" s="1277"/>
      <c r="F64" s="1277"/>
      <c r="G64" s="1277"/>
      <c r="H64" s="1277"/>
      <c r="I64" s="1277"/>
      <c r="J64" s="1277"/>
      <c r="K64" s="1277"/>
      <c r="L64" s="1396"/>
      <c r="M64" s="1277"/>
      <c r="N64" s="1233"/>
      <c r="O64" s="1233"/>
      <c r="P64" s="1277"/>
      <c r="Q64" s="1277"/>
      <c r="R64" s="1277"/>
      <c r="S64" s="1277"/>
      <c r="T64" s="1277"/>
      <c r="U64" s="1277"/>
      <c r="V64" s="1270"/>
      <c r="W64" s="1233"/>
      <c r="X64" s="1277"/>
      <c r="Y64" s="1277"/>
      <c r="Z64" s="1277"/>
      <c r="AA64" s="1277"/>
      <c r="AB64" s="1277"/>
      <c r="AC64" s="1277"/>
      <c r="AD64" s="1277"/>
      <c r="AE64" s="1277"/>
      <c r="AF64" s="1277"/>
      <c r="AG64" s="1277"/>
      <c r="AH64" s="1277"/>
      <c r="AI64" s="1277"/>
      <c r="AJ64" s="1277"/>
      <c r="AK64" s="1395"/>
      <c r="AL64" s="1277"/>
      <c r="AM64" s="1277"/>
      <c r="AO64" s="1232"/>
    </row>
    <row r="65" spans="1:39" ht="12.75" customHeight="1">
      <c r="A65" s="1398" t="s">
        <v>1278</v>
      </c>
      <c r="B65" s="1392"/>
      <c r="C65" s="1393"/>
      <c r="D65" s="1393"/>
      <c r="E65" s="1393"/>
      <c r="F65" s="1393"/>
      <c r="G65" s="1393"/>
      <c r="H65" s="1393"/>
      <c r="I65" s="1393"/>
      <c r="J65" s="1393"/>
      <c r="K65" s="1393"/>
      <c r="L65" s="1393"/>
      <c r="M65" s="1393"/>
      <c r="N65" s="1393"/>
      <c r="O65" s="1393"/>
      <c r="P65" s="1393"/>
      <c r="Q65" s="1393"/>
      <c r="R65" s="1393"/>
      <c r="S65" s="1393"/>
      <c r="T65" s="1393"/>
      <c r="U65" s="1393"/>
      <c r="V65" s="1393"/>
      <c r="W65" s="1393"/>
      <c r="X65" s="1393"/>
      <c r="Y65" s="1393"/>
      <c r="Z65" s="1392"/>
      <c r="AA65" s="1393"/>
      <c r="AB65" s="1393"/>
      <c r="AC65" s="1393"/>
      <c r="AD65" s="1393"/>
      <c r="AE65" s="1393"/>
      <c r="AF65" s="1393"/>
      <c r="AG65" s="1393"/>
      <c r="AH65" s="1393"/>
      <c r="AI65" s="1393"/>
      <c r="AJ65" s="1393"/>
      <c r="AK65" s="1392"/>
      <c r="AL65" s="1393"/>
      <c r="AM65" s="1393"/>
    </row>
    <row r="66" spans="1:39" ht="12.75" customHeight="1">
      <c r="A66" s="1399" t="s">
        <v>1279</v>
      </c>
      <c r="B66" s="1400"/>
      <c r="C66" s="1393"/>
      <c r="D66" s="1393"/>
      <c r="E66" s="1393"/>
      <c r="F66" s="1393"/>
      <c r="G66" s="1393"/>
      <c r="H66" s="1393"/>
      <c r="I66" s="1393"/>
      <c r="J66" s="1393"/>
      <c r="K66" s="1393"/>
      <c r="L66" s="1393"/>
      <c r="M66" s="1393"/>
      <c r="N66" s="1393"/>
      <c r="O66" s="1393"/>
      <c r="P66" s="1393"/>
      <c r="Q66" s="1393"/>
      <c r="R66" s="1393"/>
      <c r="S66" s="1393"/>
      <c r="T66" s="1393"/>
      <c r="U66" s="1393"/>
      <c r="V66" s="1393"/>
      <c r="W66" s="1393"/>
      <c r="X66" s="1393"/>
      <c r="Y66" s="1393"/>
      <c r="Z66" s="1392"/>
      <c r="AA66" s="1393"/>
      <c r="AB66" s="1393"/>
      <c r="AC66" s="1393"/>
      <c r="AD66" s="1393"/>
      <c r="AE66" s="1393"/>
      <c r="AF66" s="1393"/>
      <c r="AG66" s="1393"/>
      <c r="AH66" s="1393"/>
      <c r="AI66" s="1393"/>
      <c r="AJ66" s="1393"/>
      <c r="AK66" s="1392"/>
      <c r="AL66" s="1393"/>
      <c r="AM66" s="1393"/>
    </row>
    <row r="67" spans="1:39" ht="12.75" customHeight="1">
      <c r="A67" s="1401" t="s">
        <v>1280</v>
      </c>
      <c r="B67" s="1402"/>
      <c r="C67" s="1393"/>
      <c r="D67" s="1393"/>
      <c r="E67" s="1393"/>
      <c r="F67" s="1393"/>
      <c r="G67" s="1393"/>
      <c r="H67" s="1393"/>
      <c r="I67" s="1393"/>
      <c r="J67" s="1393"/>
      <c r="K67" s="1393"/>
      <c r="L67" s="1393"/>
      <c r="M67" s="1393"/>
      <c r="N67" s="1393"/>
      <c r="O67" s="1393"/>
      <c r="P67" s="1393"/>
      <c r="Q67" s="1393"/>
      <c r="R67" s="1393"/>
      <c r="S67" s="1393"/>
      <c r="T67" s="1393"/>
      <c r="U67" s="1393"/>
      <c r="V67" s="1393"/>
      <c r="W67" s="1393"/>
      <c r="X67" s="1393"/>
      <c r="Y67" s="1393"/>
      <c r="Z67" s="1392"/>
      <c r="AA67" s="1393"/>
      <c r="AB67" s="1393"/>
      <c r="AC67" s="1393"/>
      <c r="AD67" s="1393"/>
      <c r="AE67" s="1393"/>
      <c r="AF67" s="1393"/>
      <c r="AG67" s="1393"/>
      <c r="AH67" s="1393"/>
      <c r="AI67" s="1393"/>
      <c r="AJ67" s="1393"/>
      <c r="AK67" s="1392"/>
      <c r="AL67" s="1393"/>
      <c r="AM67" s="1393"/>
    </row>
    <row r="68" spans="1:39" ht="12.75" customHeight="1">
      <c r="A68" s="1403" t="s">
        <v>1281</v>
      </c>
      <c r="B68" s="1402"/>
      <c r="C68" s="1393"/>
      <c r="D68" s="1393"/>
      <c r="E68" s="1393"/>
      <c r="F68" s="1393"/>
      <c r="G68" s="1393"/>
      <c r="H68" s="1393"/>
      <c r="I68" s="1393"/>
      <c r="J68" s="1393"/>
      <c r="K68" s="1393"/>
      <c r="L68" s="1393"/>
      <c r="M68" s="1393"/>
      <c r="N68" s="1393"/>
      <c r="O68" s="1393"/>
      <c r="P68" s="1393"/>
      <c r="Q68" s="1393"/>
      <c r="R68" s="1393"/>
      <c r="S68" s="1393"/>
      <c r="T68" s="1393"/>
      <c r="U68" s="1393"/>
      <c r="V68" s="1393"/>
      <c r="W68" s="1393"/>
      <c r="X68" s="1393"/>
      <c r="Y68" s="1393"/>
      <c r="Z68" s="1392"/>
      <c r="AA68" s="1393"/>
      <c r="AB68" s="1393"/>
      <c r="AC68" s="1393"/>
      <c r="AD68" s="1393"/>
      <c r="AE68" s="1393"/>
      <c r="AF68" s="1393"/>
      <c r="AG68" s="1393"/>
      <c r="AH68" s="1393"/>
      <c r="AI68" s="1393"/>
      <c r="AJ68" s="1393"/>
      <c r="AK68" s="1392"/>
      <c r="AL68" s="1393"/>
      <c r="AM68" s="1393"/>
    </row>
    <row r="69" spans="1:39" ht="12.75" customHeight="1">
      <c r="A69" s="1404" t="s">
        <v>1282</v>
      </c>
      <c r="B69" s="1405"/>
      <c r="C69" s="1405"/>
      <c r="D69" s="1405"/>
      <c r="E69" s="1406"/>
      <c r="F69" s="1407"/>
      <c r="G69" s="1407"/>
      <c r="H69" s="1408"/>
      <c r="I69" s="1407"/>
      <c r="J69" s="1407"/>
      <c r="K69" s="1407"/>
      <c r="R69" s="1409"/>
      <c r="S69" s="1410"/>
      <c r="T69" s="1409"/>
      <c r="U69" s="1409"/>
      <c r="Y69" s="1407"/>
      <c r="AA69" s="1412"/>
      <c r="AL69" s="1413"/>
    </row>
    <row r="70" spans="1:39" ht="12.75" customHeight="1">
      <c r="A70" s="1404" t="s">
        <v>1283</v>
      </c>
      <c r="B70" s="1405"/>
      <c r="C70" s="1405"/>
      <c r="D70" s="1405"/>
      <c r="E70" s="1406"/>
      <c r="F70" s="1407"/>
      <c r="G70" s="1407"/>
      <c r="H70" s="1408"/>
      <c r="I70" s="1407"/>
      <c r="J70" s="1407"/>
      <c r="K70" s="1407"/>
      <c r="R70" s="1409"/>
      <c r="S70" s="1410"/>
      <c r="T70" s="1409"/>
      <c r="U70" s="1409"/>
      <c r="Y70" s="1407"/>
      <c r="AA70" s="1412"/>
      <c r="AL70" s="1413"/>
    </row>
  </sheetData>
  <pageMargins left="0.19685039370078741" right="0.19685039370078741" top="0.59055118110236227" bottom="0.78740157480314965" header="0.31496062992125984" footer="0.19685039370078741"/>
  <pageSetup paperSize="9" scale="40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46"/>
  <sheetViews>
    <sheetView topLeftCell="A19" workbookViewId="0">
      <selection activeCell="F24" sqref="F24"/>
    </sheetView>
  </sheetViews>
  <sheetFormatPr defaultRowHeight="15"/>
  <cols>
    <col min="2" max="2" width="12" bestFit="1" customWidth="1"/>
    <col min="3" max="3" width="32.85546875" bestFit="1" customWidth="1"/>
  </cols>
  <sheetData>
    <row r="1" spans="1:8" ht="21">
      <c r="A1" s="645" t="s">
        <v>780</v>
      </c>
      <c r="B1" s="644"/>
    </row>
    <row r="3" spans="1:8">
      <c r="A3" s="636" t="s">
        <v>718</v>
      </c>
      <c r="B3" s="636"/>
      <c r="C3" s="637"/>
      <c r="D3" s="637"/>
      <c r="E3" s="637"/>
      <c r="F3" s="637"/>
      <c r="G3" s="637"/>
      <c r="H3" s="637"/>
    </row>
    <row r="4" spans="1:8" ht="15.75" thickBot="1">
      <c r="A4" s="638" t="s">
        <v>720</v>
      </c>
      <c r="B4" s="638" t="s">
        <v>721</v>
      </c>
      <c r="C4" s="638" t="s">
        <v>722</v>
      </c>
      <c r="D4" s="638" t="s">
        <v>723</v>
      </c>
      <c r="E4" s="638" t="s">
        <v>724</v>
      </c>
      <c r="F4" s="638" t="s">
        <v>725</v>
      </c>
      <c r="G4" s="638" t="s">
        <v>726</v>
      </c>
      <c r="H4" s="638" t="s">
        <v>727</v>
      </c>
    </row>
    <row r="5" spans="1:8">
      <c r="A5" t="s">
        <v>759</v>
      </c>
      <c r="B5" t="s">
        <v>744</v>
      </c>
      <c r="C5" t="s">
        <v>762</v>
      </c>
      <c r="D5" t="s">
        <v>765</v>
      </c>
    </row>
    <row r="6" spans="1:8">
      <c r="B6" t="s">
        <v>760</v>
      </c>
      <c r="C6" t="s">
        <v>763</v>
      </c>
      <c r="D6" s="650" t="s">
        <v>765</v>
      </c>
    </row>
    <row r="7" spans="1:8" s="650" customFormat="1">
      <c r="B7" s="650" t="s">
        <v>1082</v>
      </c>
      <c r="C7" s="650" t="s">
        <v>1083</v>
      </c>
      <c r="D7" s="650" t="s">
        <v>765</v>
      </c>
    </row>
    <row r="8" spans="1:8" s="650" customFormat="1">
      <c r="B8" s="650" t="s">
        <v>1084</v>
      </c>
      <c r="C8" s="650" t="s">
        <v>1085</v>
      </c>
      <c r="D8" s="650" t="s">
        <v>765</v>
      </c>
    </row>
    <row r="9" spans="1:8" s="1518" customFormat="1">
      <c r="B9" s="1518" t="s">
        <v>1376</v>
      </c>
      <c r="C9" s="1518" t="s">
        <v>1377</v>
      </c>
      <c r="D9" s="1518" t="s">
        <v>765</v>
      </c>
      <c r="F9" s="1518" t="s">
        <v>1375</v>
      </c>
    </row>
    <row r="10" spans="1:8">
      <c r="B10" t="s">
        <v>761</v>
      </c>
      <c r="C10" t="s">
        <v>764</v>
      </c>
      <c r="D10" s="650" t="s">
        <v>765</v>
      </c>
      <c r="F10" t="s">
        <v>767</v>
      </c>
      <c r="H10" t="s">
        <v>766</v>
      </c>
    </row>
    <row r="11" spans="1:8" s="650" customFormat="1">
      <c r="B11" s="650" t="s">
        <v>788</v>
      </c>
      <c r="C11" s="650" t="s">
        <v>789</v>
      </c>
      <c r="D11" s="650" t="s">
        <v>765</v>
      </c>
    </row>
    <row r="12" spans="1:8" s="1127" customFormat="1">
      <c r="B12" s="1127" t="s">
        <v>1372</v>
      </c>
      <c r="C12" s="1127" t="s">
        <v>1371</v>
      </c>
      <c r="D12" s="1127" t="s">
        <v>765</v>
      </c>
      <c r="F12" s="1127" t="s">
        <v>1375</v>
      </c>
    </row>
    <row r="13" spans="1:8" s="1518" customFormat="1">
      <c r="B13" s="1518" t="s">
        <v>1373</v>
      </c>
      <c r="C13" s="1518" t="s">
        <v>1374</v>
      </c>
      <c r="D13" s="1518" t="s">
        <v>765</v>
      </c>
      <c r="F13" s="1518" t="s">
        <v>1375</v>
      </c>
    </row>
    <row r="14" spans="1:8" s="1127" customFormat="1">
      <c r="B14" s="1127" t="s">
        <v>1121</v>
      </c>
      <c r="C14" s="1127" t="s">
        <v>1122</v>
      </c>
      <c r="D14" s="1127" t="s">
        <v>765</v>
      </c>
      <c r="F14" s="1127" t="s">
        <v>1375</v>
      </c>
    </row>
    <row r="15" spans="1:8" s="1127" customFormat="1">
      <c r="B15" s="1127" t="s">
        <v>1123</v>
      </c>
      <c r="C15" s="1127" t="s">
        <v>1124</v>
      </c>
      <c r="D15" s="1127" t="s">
        <v>765</v>
      </c>
    </row>
    <row r="16" spans="1:8" s="650" customFormat="1">
      <c r="B16" s="650" t="s">
        <v>1103</v>
      </c>
      <c r="C16" s="650" t="s">
        <v>1112</v>
      </c>
      <c r="D16" s="650" t="s">
        <v>765</v>
      </c>
    </row>
    <row r="17" spans="1:8" s="650" customFormat="1">
      <c r="B17" s="650" t="s">
        <v>1104</v>
      </c>
      <c r="C17" s="650" t="s">
        <v>1113</v>
      </c>
      <c r="D17" s="650" t="s">
        <v>765</v>
      </c>
    </row>
    <row r="18" spans="1:8" s="650" customFormat="1">
      <c r="B18" t="s">
        <v>896</v>
      </c>
      <c r="C18" t="s">
        <v>897</v>
      </c>
      <c r="D18" s="650" t="s">
        <v>765</v>
      </c>
    </row>
    <row r="19" spans="1:8" s="1518" customFormat="1">
      <c r="B19" s="1518" t="s">
        <v>1363</v>
      </c>
      <c r="C19" s="1518" t="s">
        <v>1365</v>
      </c>
      <c r="D19" s="1518" t="s">
        <v>765</v>
      </c>
    </row>
    <row r="20" spans="1:8" s="1518" customFormat="1">
      <c r="B20" s="1518" t="s">
        <v>1364</v>
      </c>
      <c r="C20" s="1518" t="s">
        <v>1366</v>
      </c>
      <c r="D20" s="1518" t="s">
        <v>765</v>
      </c>
    </row>
    <row r="21" spans="1:8" s="1518" customFormat="1">
      <c r="B21" s="1518" t="s">
        <v>1367</v>
      </c>
      <c r="C21" s="1518" t="s">
        <v>1368</v>
      </c>
      <c r="D21" s="1518" t="s">
        <v>765</v>
      </c>
    </row>
    <row r="22" spans="1:8">
      <c r="A22" s="650" t="s">
        <v>768</v>
      </c>
      <c r="B22" s="650" t="s">
        <v>745</v>
      </c>
      <c r="C22" s="650" t="s">
        <v>769</v>
      </c>
      <c r="D22" s="650" t="s">
        <v>777</v>
      </c>
      <c r="E22" s="650"/>
      <c r="F22" s="650"/>
      <c r="G22" s="650"/>
      <c r="H22" s="650"/>
    </row>
    <row r="23" spans="1:8" s="1127" customFormat="1">
      <c r="B23" s="1127" t="s">
        <v>1138</v>
      </c>
      <c r="C23" s="1127" t="s">
        <v>1139</v>
      </c>
      <c r="D23" s="1127" t="s">
        <v>777</v>
      </c>
    </row>
    <row r="24" spans="1:8">
      <c r="B24" t="s">
        <v>1029</v>
      </c>
      <c r="C24" t="s">
        <v>900</v>
      </c>
      <c r="D24" t="s">
        <v>898</v>
      </c>
    </row>
    <row r="25" spans="1:8" s="650" customFormat="1">
      <c r="B25" s="650" t="s">
        <v>1030</v>
      </c>
      <c r="C25" s="650" t="s">
        <v>899</v>
      </c>
      <c r="D25" s="650" t="s">
        <v>779</v>
      </c>
    </row>
    <row r="26" spans="1:8" s="650" customFormat="1">
      <c r="B26" s="650" t="s">
        <v>1013</v>
      </c>
      <c r="C26" s="650" t="s">
        <v>1014</v>
      </c>
      <c r="D26" s="650" t="s">
        <v>779</v>
      </c>
    </row>
    <row r="27" spans="1:8" s="650" customFormat="1">
      <c r="B27" s="650" t="s">
        <v>1026</v>
      </c>
      <c r="C27" s="650" t="s">
        <v>1020</v>
      </c>
      <c r="D27" s="650" t="s">
        <v>777</v>
      </c>
    </row>
    <row r="28" spans="1:8" s="650" customFormat="1">
      <c r="B28" s="650" t="s">
        <v>1027</v>
      </c>
      <c r="C28" s="650" t="s">
        <v>1019</v>
      </c>
      <c r="D28" s="650" t="s">
        <v>777</v>
      </c>
    </row>
    <row r="29" spans="1:8" s="650" customFormat="1">
      <c r="B29" s="650" t="s">
        <v>1028</v>
      </c>
      <c r="C29" s="650" t="s">
        <v>1021</v>
      </c>
      <c r="D29" s="650" t="s">
        <v>777</v>
      </c>
    </row>
    <row r="30" spans="1:8" s="650" customFormat="1">
      <c r="B30" s="650" t="s">
        <v>1022</v>
      </c>
      <c r="C30" s="650" t="s">
        <v>1023</v>
      </c>
      <c r="D30" s="650" t="s">
        <v>777</v>
      </c>
    </row>
    <row r="31" spans="1:8" s="650" customFormat="1">
      <c r="B31" s="650" t="s">
        <v>1024</v>
      </c>
      <c r="C31" s="650" t="s">
        <v>1025</v>
      </c>
      <c r="D31" s="650" t="s">
        <v>777</v>
      </c>
    </row>
    <row r="32" spans="1:8" s="650" customFormat="1">
      <c r="B32" s="650" t="s">
        <v>949</v>
      </c>
      <c r="C32" s="650" t="s">
        <v>950</v>
      </c>
      <c r="D32" s="650" t="s">
        <v>777</v>
      </c>
    </row>
    <row r="33" spans="1:4" s="650" customFormat="1">
      <c r="B33" s="650" t="s">
        <v>1078</v>
      </c>
      <c r="C33" s="650" t="s">
        <v>1080</v>
      </c>
      <c r="D33" s="650" t="s">
        <v>765</v>
      </c>
    </row>
    <row r="34" spans="1:4" s="650" customFormat="1">
      <c r="B34" s="650" t="s">
        <v>1079</v>
      </c>
      <c r="C34" s="650" t="s">
        <v>1081</v>
      </c>
      <c r="D34" s="650" t="s">
        <v>765</v>
      </c>
    </row>
    <row r="35" spans="1:4">
      <c r="B35" t="s">
        <v>901</v>
      </c>
      <c r="C35" t="s">
        <v>904</v>
      </c>
      <c r="D35" t="s">
        <v>765</v>
      </c>
    </row>
    <row r="36" spans="1:4" s="650" customFormat="1">
      <c r="B36" s="650" t="s">
        <v>902</v>
      </c>
      <c r="C36" s="650" t="s">
        <v>905</v>
      </c>
      <c r="D36" s="650" t="s">
        <v>765</v>
      </c>
    </row>
    <row r="37" spans="1:4" s="650" customFormat="1">
      <c r="B37" s="650" t="s">
        <v>903</v>
      </c>
      <c r="C37" s="650" t="s">
        <v>906</v>
      </c>
      <c r="D37" s="650" t="s">
        <v>765</v>
      </c>
    </row>
    <row r="38" spans="1:4">
      <c r="A38" t="s">
        <v>810</v>
      </c>
      <c r="B38" s="674" t="s">
        <v>803</v>
      </c>
      <c r="C38" s="673" t="s">
        <v>1208</v>
      </c>
      <c r="D38" t="s">
        <v>814</v>
      </c>
    </row>
    <row r="39" spans="1:4">
      <c r="B39" s="674" t="s">
        <v>804</v>
      </c>
      <c r="C39" s="673" t="s">
        <v>811</v>
      </c>
      <c r="D39" s="650" t="s">
        <v>814</v>
      </c>
    </row>
    <row r="40" spans="1:4">
      <c r="B40" s="674" t="s">
        <v>805</v>
      </c>
      <c r="C40" s="673" t="s">
        <v>812</v>
      </c>
      <c r="D40" s="650" t="s">
        <v>814</v>
      </c>
    </row>
    <row r="41" spans="1:4">
      <c r="B41" s="674" t="s">
        <v>806</v>
      </c>
      <c r="C41" s="673" t="s">
        <v>813</v>
      </c>
      <c r="D41" s="650" t="s">
        <v>814</v>
      </c>
    </row>
    <row r="42" spans="1:4">
      <c r="B42" s="654" t="s">
        <v>907</v>
      </c>
      <c r="C42" s="673" t="s">
        <v>1119</v>
      </c>
      <c r="D42" s="650" t="s">
        <v>814</v>
      </c>
    </row>
    <row r="43" spans="1:4">
      <c r="B43" s="654" t="s">
        <v>908</v>
      </c>
      <c r="C43" s="673" t="s">
        <v>1120</v>
      </c>
      <c r="D43" s="650" t="s">
        <v>814</v>
      </c>
    </row>
    <row r="46" spans="1:4" s="1127" customFormat="1">
      <c r="B46" s="1128" t="s">
        <v>1127</v>
      </c>
      <c r="C46" s="1128" t="s">
        <v>1128</v>
      </c>
      <c r="D46" s="1127" t="s">
        <v>765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24"/>
  <sheetViews>
    <sheetView workbookViewId="0">
      <selection activeCell="H3" sqref="H3"/>
    </sheetView>
  </sheetViews>
  <sheetFormatPr defaultRowHeight="15"/>
  <cols>
    <col min="1" max="1" width="12.42578125" customWidth="1"/>
    <col min="2" max="2" width="14.140625" bestFit="1" customWidth="1"/>
    <col min="3" max="4" width="11.28515625" bestFit="1" customWidth="1"/>
    <col min="6" max="9" width="9.140625" style="1168"/>
    <col min="10" max="10" width="16.5703125" style="1168" bestFit="1" customWidth="1"/>
    <col min="11" max="11" width="11" customWidth="1"/>
    <col min="12" max="12" width="13.85546875" bestFit="1" customWidth="1"/>
    <col min="13" max="13" width="14.140625" bestFit="1" customWidth="1"/>
    <col min="14" max="14" width="38.85546875" bestFit="1" customWidth="1"/>
    <col min="18" max="18" width="10.42578125" bestFit="1" customWidth="1"/>
  </cols>
  <sheetData>
    <row r="1" spans="1:21" ht="18.75">
      <c r="A1" s="662" t="s">
        <v>792</v>
      </c>
      <c r="B1" s="663"/>
      <c r="C1" s="664"/>
      <c r="D1" s="664"/>
    </row>
    <row r="3" spans="1:21">
      <c r="A3" s="650"/>
      <c r="B3" s="654"/>
      <c r="C3" s="654"/>
      <c r="D3" s="665" t="s">
        <v>736</v>
      </c>
      <c r="E3" s="654"/>
      <c r="F3" s="654"/>
      <c r="G3" s="654"/>
      <c r="H3" s="654"/>
      <c r="I3" s="654"/>
      <c r="J3" s="654"/>
      <c r="K3" s="654"/>
      <c r="L3" s="665" t="s">
        <v>719</v>
      </c>
      <c r="M3" s="666"/>
      <c r="N3" s="666"/>
      <c r="O3" s="666"/>
      <c r="P3" s="666"/>
      <c r="Q3" s="666"/>
      <c r="R3" s="666"/>
    </row>
    <row r="4" spans="1:21">
      <c r="A4" s="650"/>
      <c r="B4" s="1523" t="s">
        <v>729</v>
      </c>
      <c r="C4" s="1523" t="s">
        <v>738</v>
      </c>
      <c r="D4" s="1523" t="s">
        <v>739</v>
      </c>
      <c r="E4" s="1521" t="s">
        <v>746</v>
      </c>
      <c r="F4" s="1521" t="s">
        <v>1031</v>
      </c>
      <c r="G4" s="1520" t="s">
        <v>1087</v>
      </c>
      <c r="H4" s="1521" t="s">
        <v>1298</v>
      </c>
      <c r="I4" s="1521" t="s">
        <v>1299</v>
      </c>
      <c r="J4" s="1521" t="s">
        <v>1300</v>
      </c>
      <c r="K4" s="654"/>
      <c r="L4" s="1523" t="s">
        <v>728</v>
      </c>
      <c r="M4" s="1523" t="s">
        <v>729</v>
      </c>
      <c r="N4" s="1523" t="s">
        <v>730</v>
      </c>
      <c r="O4" s="1523" t="s">
        <v>731</v>
      </c>
      <c r="P4" s="1523" t="s">
        <v>732</v>
      </c>
      <c r="Q4" s="1523" t="s">
        <v>733</v>
      </c>
      <c r="R4" s="1523" t="s">
        <v>734</v>
      </c>
    </row>
    <row r="5" spans="1:21" s="1518" customFormat="1" ht="15.75" thickBot="1">
      <c r="B5" s="1522" t="s">
        <v>557</v>
      </c>
      <c r="C5" s="1522"/>
      <c r="D5" s="1522"/>
      <c r="E5" s="1522"/>
      <c r="F5" s="1522"/>
      <c r="G5" s="1522"/>
      <c r="H5" s="1524" t="s">
        <v>798</v>
      </c>
      <c r="I5" s="1524" t="s">
        <v>1301</v>
      </c>
      <c r="J5" s="1524" t="s">
        <v>1302</v>
      </c>
      <c r="K5" s="1519"/>
      <c r="L5" s="1522" t="s">
        <v>557</v>
      </c>
      <c r="M5" s="1522"/>
      <c r="N5" s="1522"/>
      <c r="O5" s="1522"/>
      <c r="P5" s="1522"/>
      <c r="Q5" s="1522"/>
      <c r="R5" s="1522"/>
    </row>
    <row r="6" spans="1:21">
      <c r="A6" s="650"/>
      <c r="B6" t="str">
        <f>M6</f>
        <v>TRAGSL_INF</v>
      </c>
      <c r="C6" s="669" t="s">
        <v>795</v>
      </c>
      <c r="D6" t="str">
        <f>Commodities!B5</f>
        <v>TRAGSL</v>
      </c>
      <c r="E6" s="639">
        <v>1</v>
      </c>
      <c r="F6" s="639">
        <v>100</v>
      </c>
      <c r="G6" s="639"/>
      <c r="H6" s="1495">
        <f>'EB2012'!O45*0.041868</f>
        <v>53.274773882631209</v>
      </c>
      <c r="I6" s="639"/>
      <c r="J6" s="639"/>
      <c r="L6" t="s">
        <v>793</v>
      </c>
      <c r="M6" t="str">
        <f>Commodities!B5&amp;"_INF"</f>
        <v>TRAGSL_INF</v>
      </c>
      <c r="N6" s="668" t="str">
        <f>"Fuel tech - "&amp;Commodities!C5</f>
        <v>Fuel tech - Gasoline (TRA)</v>
      </c>
      <c r="O6" t="s">
        <v>765</v>
      </c>
      <c r="P6" t="s">
        <v>798</v>
      </c>
    </row>
    <row r="7" spans="1:21">
      <c r="A7" s="650"/>
      <c r="B7" s="650" t="str">
        <f>M7</f>
        <v>TRADST_INF</v>
      </c>
      <c r="C7" s="669" t="s">
        <v>794</v>
      </c>
      <c r="D7" s="650" t="str">
        <f>Commodities!B6</f>
        <v>TRADST</v>
      </c>
      <c r="E7" s="639">
        <v>1</v>
      </c>
      <c r="F7" s="639">
        <v>100</v>
      </c>
      <c r="G7" s="639"/>
      <c r="H7" s="1495">
        <f>'EB2012'!T45*0.041868</f>
        <v>93.132630347999338</v>
      </c>
      <c r="I7" s="639"/>
      <c r="J7" s="639"/>
      <c r="M7" s="650" t="str">
        <f>Commodities!B6&amp;"_INF"</f>
        <v>TRADST_INF</v>
      </c>
      <c r="N7" s="668" t="str">
        <f>"Fuel tech - "&amp;Commodities!C6</f>
        <v>Fuel tech - Diesel (TRA)</v>
      </c>
      <c r="O7" s="650" t="s">
        <v>765</v>
      </c>
      <c r="P7" s="650" t="s">
        <v>798</v>
      </c>
    </row>
    <row r="8" spans="1:21">
      <c r="A8" s="650"/>
      <c r="B8" s="650" t="str">
        <f>M8</f>
        <v>TRAETH_INF</v>
      </c>
      <c r="C8" s="689" t="s">
        <v>816</v>
      </c>
      <c r="D8" s="650" t="str">
        <f>Commodities!B7</f>
        <v>TRAETH</v>
      </c>
      <c r="E8" s="639">
        <v>1</v>
      </c>
      <c r="F8" s="639">
        <v>100</v>
      </c>
      <c r="G8" s="639"/>
      <c r="H8" s="639"/>
      <c r="I8" s="639"/>
      <c r="J8" s="639"/>
      <c r="L8" s="650"/>
      <c r="M8" s="650" t="str">
        <f>Commodities!B7&amp;"_INF"</f>
        <v>TRAETH_INF</v>
      </c>
      <c r="N8" s="668" t="str">
        <f>"Fuel tech - "&amp;Commodities!C7</f>
        <v>Fuel tech - Ethanol (TRA)</v>
      </c>
      <c r="O8" s="650" t="s">
        <v>765</v>
      </c>
      <c r="P8" s="650" t="s">
        <v>798</v>
      </c>
      <c r="Q8" s="650"/>
      <c r="R8" s="650"/>
    </row>
    <row r="9" spans="1:21">
      <c r="A9" s="650"/>
      <c r="C9" s="689" t="s">
        <v>815</v>
      </c>
      <c r="E9" s="639"/>
      <c r="F9" s="639"/>
      <c r="G9" s="639"/>
      <c r="H9" s="639"/>
      <c r="I9" s="639"/>
      <c r="J9" s="639"/>
      <c r="L9" s="650"/>
      <c r="M9" s="650" t="str">
        <f>Commodities!B8&amp;"_INF"</f>
        <v>TRABDL_INF</v>
      </c>
      <c r="N9" s="668" t="str">
        <f>"Fuel tech - "&amp;Commodities!C8</f>
        <v>Fuel tech - Biodiesel (TRA)</v>
      </c>
      <c r="O9" s="650" t="s">
        <v>765</v>
      </c>
      <c r="P9" s="650" t="s">
        <v>798</v>
      </c>
      <c r="Q9" s="650"/>
      <c r="R9" s="650"/>
    </row>
    <row r="10" spans="1:21">
      <c r="A10" s="650"/>
      <c r="B10" s="650" t="str">
        <f>M9</f>
        <v>TRABDL_INF</v>
      </c>
      <c r="C10" s="650" t="s">
        <v>894</v>
      </c>
      <c r="D10" s="650" t="str">
        <f>Commodities!B8</f>
        <v>TRABDL</v>
      </c>
      <c r="E10" s="639">
        <v>1</v>
      </c>
      <c r="F10" s="639">
        <v>100</v>
      </c>
      <c r="G10" s="639"/>
      <c r="H10" s="639"/>
      <c r="I10" s="639"/>
      <c r="J10" s="639"/>
      <c r="L10" s="1518"/>
      <c r="M10" s="1518" t="str">
        <f>Commodities!B9&amp;"_INF"</f>
        <v>TRABGS_INF</v>
      </c>
      <c r="N10" s="668" t="str">
        <f>"Fuel tech - "&amp;Commodities!C9</f>
        <v>Fuel tech - Biogas (TRA)</v>
      </c>
      <c r="O10" s="1518" t="s">
        <v>765</v>
      </c>
      <c r="P10" s="1518" t="s">
        <v>798</v>
      </c>
      <c r="Q10" s="1518"/>
      <c r="R10" s="1518"/>
      <c r="S10" s="1518"/>
      <c r="T10" s="1518"/>
      <c r="U10" s="1518"/>
    </row>
    <row r="11" spans="1:21">
      <c r="A11" s="650"/>
      <c r="C11" s="650" t="s">
        <v>895</v>
      </c>
      <c r="L11" s="650"/>
      <c r="M11" s="650" t="str">
        <f>Commodities!B10&amp;"_INF"</f>
        <v>TRAELC_INF</v>
      </c>
      <c r="N11" s="668" t="str">
        <f>"Fuel tech - "&amp;Commodities!C10</f>
        <v>Fuel tech - Electricity (TRA)</v>
      </c>
      <c r="O11" s="650" t="s">
        <v>765</v>
      </c>
      <c r="P11" s="650" t="s">
        <v>798</v>
      </c>
      <c r="Q11" t="s">
        <v>767</v>
      </c>
      <c r="R11" s="650"/>
    </row>
    <row r="12" spans="1:21">
      <c r="A12" s="650"/>
      <c r="B12" s="1518" t="str">
        <f>M10</f>
        <v>TRABGS_INF</v>
      </c>
      <c r="C12" s="689" t="s">
        <v>1378</v>
      </c>
      <c r="D12" s="1518" t="str">
        <f>Commodities!B9</f>
        <v>TRABGS</v>
      </c>
      <c r="E12" s="639">
        <v>1</v>
      </c>
      <c r="F12" s="639">
        <v>100</v>
      </c>
      <c r="G12" s="1518"/>
      <c r="H12" s="1518"/>
      <c r="I12" s="1518"/>
      <c r="J12" s="1518"/>
      <c r="M12" s="650" t="str">
        <f>Commodities!B11&amp;"_INF"</f>
        <v>TRAKER_INF</v>
      </c>
      <c r="N12" s="668" t="str">
        <f>"Fuel tech - "&amp;Commodities!C11</f>
        <v>Fuel tech - Kerosene (TRA)</v>
      </c>
      <c r="O12" s="650" t="s">
        <v>765</v>
      </c>
      <c r="P12" s="650" t="s">
        <v>798</v>
      </c>
    </row>
    <row r="13" spans="1:21" s="650" customFormat="1">
      <c r="B13" s="1518"/>
      <c r="C13" s="689" t="s">
        <v>1379</v>
      </c>
      <c r="D13" s="1518"/>
      <c r="E13" s="639"/>
      <c r="F13" s="639"/>
      <c r="G13" s="1518"/>
      <c r="H13" s="1518"/>
      <c r="I13" s="1518"/>
      <c r="J13" s="1518"/>
      <c r="L13"/>
      <c r="M13" s="1127" t="str">
        <f>Commodities!B12&amp;"_INF"</f>
        <v>TRAH2G_INF</v>
      </c>
      <c r="N13" s="668" t="str">
        <f>"Fuel tech - "&amp;Commodities!C12</f>
        <v>Fuel tech - Hydrogen gaseous (TRA)</v>
      </c>
      <c r="O13" s="1127" t="s">
        <v>765</v>
      </c>
      <c r="P13" s="1127" t="s">
        <v>798</v>
      </c>
      <c r="Q13" s="1518" t="s">
        <v>1375</v>
      </c>
      <c r="R13"/>
      <c r="S13"/>
      <c r="T13"/>
      <c r="U13"/>
    </row>
    <row r="14" spans="1:21">
      <c r="A14" s="650"/>
      <c r="B14" s="650" t="str">
        <f t="shared" ref="B14:B16" si="0">M11</f>
        <v>TRAELC_INF</v>
      </c>
      <c r="C14" s="670" t="s">
        <v>797</v>
      </c>
      <c r="D14" s="650" t="str">
        <f>Commodities!B10</f>
        <v>TRAELC</v>
      </c>
      <c r="E14" s="639">
        <v>1</v>
      </c>
      <c r="F14" s="639">
        <v>100</v>
      </c>
      <c r="G14" s="639"/>
      <c r="H14" s="1525">
        <f>'EB2012'!AK45*0.041868</f>
        <v>0.16199183568283199</v>
      </c>
      <c r="I14" s="639"/>
      <c r="J14" s="639"/>
      <c r="L14" s="1518"/>
      <c r="M14" s="1518" t="str">
        <f>Commodities!B13&amp;"_INF"</f>
        <v>TRAH2L_INF</v>
      </c>
      <c r="N14" s="668" t="str">
        <f>"Fuel tech - "&amp;Commodities!C13</f>
        <v>Fuel tech - Hydrogen liquid (TRA)</v>
      </c>
      <c r="O14" s="1518" t="s">
        <v>765</v>
      </c>
      <c r="P14" s="1518" t="s">
        <v>798</v>
      </c>
      <c r="Q14" s="1518" t="s">
        <v>1375</v>
      </c>
      <c r="R14" s="1518"/>
      <c r="S14" s="650"/>
      <c r="T14" s="650"/>
      <c r="U14" s="650"/>
    </row>
    <row r="15" spans="1:21">
      <c r="A15" s="650"/>
      <c r="B15" s="650" t="str">
        <f t="shared" si="0"/>
        <v>TRAKER_INF</v>
      </c>
      <c r="C15" s="669" t="s">
        <v>796</v>
      </c>
      <c r="D15" s="650" t="str">
        <f>Commodities!B11</f>
        <v>TRAKER</v>
      </c>
      <c r="E15" s="639">
        <v>1</v>
      </c>
      <c r="F15" s="639">
        <v>100</v>
      </c>
      <c r="G15" s="639"/>
      <c r="H15" s="1495">
        <f>'EB2012'!Q45*0.041868</f>
        <v>24.520891419072377</v>
      </c>
      <c r="I15" s="639"/>
      <c r="J15" s="639"/>
      <c r="M15" s="1127" t="str">
        <f>Commodities!B14&amp;"_INF"</f>
        <v>TRAGAS_INF</v>
      </c>
      <c r="N15" s="668" t="str">
        <f>"Fuel tech - "&amp;Commodities!C14</f>
        <v>Fuel tech - Natural Gas (TRA)</v>
      </c>
      <c r="O15" s="1127" t="s">
        <v>765</v>
      </c>
      <c r="P15" s="1127" t="s">
        <v>798</v>
      </c>
      <c r="Q15" t="s">
        <v>1375</v>
      </c>
    </row>
    <row r="16" spans="1:21">
      <c r="A16" s="650"/>
      <c r="B16" s="1127" t="str">
        <f t="shared" si="0"/>
        <v>TRAH2G_INF</v>
      </c>
      <c r="C16" s="1681" t="s">
        <v>1370</v>
      </c>
      <c r="D16" s="1127" t="str">
        <f>Commodities!B12</f>
        <v>TRAH2G</v>
      </c>
      <c r="E16" s="639">
        <v>1</v>
      </c>
      <c r="F16" s="639">
        <v>100</v>
      </c>
      <c r="G16" s="639"/>
      <c r="H16" s="639"/>
      <c r="I16" s="639"/>
      <c r="J16" s="639"/>
      <c r="L16" s="1684"/>
      <c r="M16" s="1684" t="str">
        <f>Commodities!B15&amp;"_INF"</f>
        <v>TRALPG_INF</v>
      </c>
      <c r="N16" s="1685" t="str">
        <f>"Fuel tech - "&amp;Commodities!C15</f>
        <v>Fuel tech - Liquefied Petroleum Gas (TRA)</v>
      </c>
      <c r="O16" s="1684" t="s">
        <v>765</v>
      </c>
      <c r="P16" s="1684" t="s">
        <v>798</v>
      </c>
      <c r="Q16" s="1684"/>
      <c r="R16" s="1684"/>
      <c r="T16" t="s">
        <v>1369</v>
      </c>
    </row>
    <row r="17" spans="1:18">
      <c r="A17" s="650"/>
      <c r="B17" s="1518" t="str">
        <f t="shared" ref="B17" si="1">M14</f>
        <v>TRAH2L_INF</v>
      </c>
      <c r="C17" s="1681" t="s">
        <v>1380</v>
      </c>
      <c r="D17" s="1518" t="str">
        <f>Commodities!B13</f>
        <v>TRAH2L</v>
      </c>
      <c r="E17" s="639">
        <v>1</v>
      </c>
      <c r="F17" s="639">
        <v>100</v>
      </c>
      <c r="G17" s="639"/>
      <c r="H17" s="639"/>
      <c r="I17" s="639"/>
      <c r="J17" s="639"/>
      <c r="M17" s="1518" t="str">
        <f>Commodities!B19&amp;"_INF"</f>
        <v>TRAGSLN_INF</v>
      </c>
      <c r="N17" s="668" t="str">
        <f>"Fuel tech - "&amp;Commodities!C19</f>
        <v>Fuel tech - Navigation Gasoline (TRA)</v>
      </c>
      <c r="O17" s="1518" t="s">
        <v>765</v>
      </c>
      <c r="P17" s="1518" t="s">
        <v>798</v>
      </c>
    </row>
    <row r="18" spans="1:18">
      <c r="A18" s="650"/>
      <c r="B18" s="1127" t="str">
        <f>M15</f>
        <v>TRAGAS_INF</v>
      </c>
      <c r="C18" s="1126" t="s">
        <v>1126</v>
      </c>
      <c r="D18" s="1127" t="str">
        <f>Commodities!B14</f>
        <v>TRAGAS</v>
      </c>
      <c r="E18" s="639">
        <v>1</v>
      </c>
      <c r="F18" s="639">
        <v>100</v>
      </c>
      <c r="G18" s="1495"/>
      <c r="H18" s="1495"/>
      <c r="I18" s="1495"/>
      <c r="J18" s="639"/>
      <c r="M18" s="1518" t="str">
        <f>Commodities!B20&amp;"_INF"</f>
        <v>TRADSTN_INF</v>
      </c>
      <c r="N18" s="668" t="str">
        <f>"Fuel tech - "&amp;Commodities!C20</f>
        <v>Fuel tech - Navigation Diesel (TRA)</v>
      </c>
      <c r="O18" s="1518" t="s">
        <v>765</v>
      </c>
      <c r="P18" s="1518" t="s">
        <v>798</v>
      </c>
    </row>
    <row r="19" spans="1:18">
      <c r="A19" s="650"/>
      <c r="B19" s="1684" t="str">
        <f>M16</f>
        <v>TRALPG_INF</v>
      </c>
      <c r="C19" s="1686" t="s">
        <v>1125</v>
      </c>
      <c r="D19" s="1684" t="str">
        <f>Commodities!B15</f>
        <v>TRALPG</v>
      </c>
      <c r="E19" s="1687">
        <v>1</v>
      </c>
      <c r="F19" s="1687">
        <v>100</v>
      </c>
      <c r="G19" s="1687"/>
      <c r="H19" s="1688">
        <f>'EB2012'!S45*0.041868</f>
        <v>4.1864090114951999E-2</v>
      </c>
      <c r="I19" s="1687"/>
      <c r="J19" s="1687"/>
      <c r="L19" s="1684"/>
      <c r="M19" s="1684" t="str">
        <f>Commodities!B21&amp;"_INF"</f>
        <v>TRAKERI_INF</v>
      </c>
      <c r="N19" s="1685" t="str">
        <f>"Fuel tech - "&amp;Commodities!C21</f>
        <v>Fuel tech - International Aviation Kerosene (TRA)</v>
      </c>
      <c r="O19" s="1684" t="s">
        <v>765</v>
      </c>
      <c r="P19" s="1684" t="s">
        <v>798</v>
      </c>
      <c r="Q19" s="1684"/>
      <c r="R19" s="1684"/>
    </row>
    <row r="20" spans="1:18">
      <c r="A20" s="650"/>
      <c r="B20" s="1518" t="str">
        <f>M17</f>
        <v>TRAGSLN_INF</v>
      </c>
      <c r="C20" t="str">
        <f>Commodities!B5</f>
        <v>TRAGSL</v>
      </c>
      <c r="D20" t="str">
        <f>Commodities!B19</f>
        <v>TRAGSLN</v>
      </c>
      <c r="E20" s="639">
        <v>1</v>
      </c>
      <c r="F20" s="639">
        <v>100</v>
      </c>
    </row>
    <row r="21" spans="1:18">
      <c r="A21" s="650"/>
      <c r="B21" s="1518" t="str">
        <f>M18</f>
        <v>TRADSTN_INF</v>
      </c>
      <c r="C21" s="1518" t="str">
        <f>Commodities!B6</f>
        <v>TRADST</v>
      </c>
      <c r="D21" s="1518" t="str">
        <f>Commodities!B20</f>
        <v>TRADSTN</v>
      </c>
      <c r="E21" s="639">
        <v>1</v>
      </c>
      <c r="F21" s="639">
        <v>100</v>
      </c>
      <c r="G21" s="639"/>
      <c r="H21" s="639"/>
      <c r="I21" s="639"/>
      <c r="J21" s="639"/>
      <c r="N21" s="668"/>
      <c r="O21" s="650"/>
      <c r="P21" s="650"/>
      <c r="R21" s="650"/>
    </row>
    <row r="22" spans="1:18">
      <c r="A22" s="650"/>
      <c r="B22" s="1684" t="str">
        <f>M19</f>
        <v>TRAKERI_INF</v>
      </c>
      <c r="C22" s="1684" t="str">
        <f>Commodities!B11</f>
        <v>TRAKER</v>
      </c>
      <c r="D22" s="1684" t="str">
        <f>Commodities!B21</f>
        <v>TRAKERI</v>
      </c>
      <c r="E22" s="1687">
        <v>1</v>
      </c>
      <c r="F22" s="1687">
        <v>100</v>
      </c>
      <c r="G22" s="1687"/>
      <c r="H22" s="1687"/>
      <c r="I22" s="1687"/>
      <c r="J22" s="1687"/>
    </row>
    <row r="23" spans="1:18">
      <c r="A23" s="650"/>
      <c r="C23" s="669"/>
      <c r="D23" s="650"/>
      <c r="E23" s="639"/>
      <c r="F23" s="639"/>
      <c r="G23" s="639"/>
      <c r="H23" s="639"/>
      <c r="I23" s="639"/>
      <c r="J23" s="639"/>
    </row>
    <row r="24" spans="1:18">
      <c r="B24" s="650"/>
      <c r="C24" s="671"/>
      <c r="D24" s="650"/>
      <c r="E24" s="639"/>
      <c r="F24" s="639"/>
      <c r="G24" s="639"/>
      <c r="H24" s="639"/>
      <c r="I24" s="639"/>
      <c r="J24" s="639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U13"/>
  <sheetViews>
    <sheetView zoomScaleNormal="100" workbookViewId="0">
      <selection activeCell="G21" sqref="G21"/>
    </sheetView>
  </sheetViews>
  <sheetFormatPr defaultRowHeight="15"/>
  <cols>
    <col min="1" max="1" width="9.140625" style="673"/>
    <col min="2" max="2" width="13" style="673" customWidth="1"/>
    <col min="3" max="14" width="9.140625" style="673"/>
    <col min="15" max="15" width="11.7109375" style="673" customWidth="1"/>
    <col min="16" max="16" width="11.85546875" style="673" bestFit="1" customWidth="1"/>
    <col min="17" max="17" width="33" style="673" bestFit="1" customWidth="1"/>
    <col min="18" max="16384" width="9.140625" style="673"/>
  </cols>
  <sheetData>
    <row r="1" spans="1:21" ht="18.75">
      <c r="A1" s="1119" t="s">
        <v>1101</v>
      </c>
      <c r="B1" s="1120"/>
      <c r="C1" s="664"/>
      <c r="D1" s="664"/>
      <c r="E1" s="664"/>
    </row>
    <row r="3" spans="1:21">
      <c r="B3" s="654"/>
      <c r="C3" s="654"/>
      <c r="D3" s="665" t="s">
        <v>736</v>
      </c>
      <c r="E3" s="665"/>
      <c r="F3" s="654"/>
      <c r="G3" s="654"/>
      <c r="H3" s="654"/>
      <c r="I3" s="654"/>
      <c r="J3" s="654"/>
      <c r="K3" s="654"/>
      <c r="L3" s="654"/>
      <c r="M3" s="654"/>
      <c r="N3" s="654"/>
      <c r="O3" s="665" t="s">
        <v>719</v>
      </c>
      <c r="P3" s="666"/>
      <c r="Q3" s="666"/>
      <c r="R3" s="666"/>
      <c r="S3" s="666"/>
      <c r="T3" s="666"/>
      <c r="U3" s="666"/>
    </row>
    <row r="4" spans="1:21" ht="30.75" thickBot="1">
      <c r="B4" s="653" t="s">
        <v>729</v>
      </c>
      <c r="C4" s="653" t="s">
        <v>738</v>
      </c>
      <c r="D4" s="653" t="s">
        <v>739</v>
      </c>
      <c r="E4" s="1121" t="s">
        <v>1105</v>
      </c>
      <c r="F4" s="667" t="s">
        <v>746</v>
      </c>
      <c r="G4" s="667" t="s">
        <v>1105</v>
      </c>
      <c r="H4" s="894" t="s">
        <v>1106</v>
      </c>
      <c r="I4" s="894" t="s">
        <v>1107</v>
      </c>
      <c r="J4" s="894" t="s">
        <v>1108</v>
      </c>
      <c r="K4" s="894" t="s">
        <v>1109</v>
      </c>
      <c r="L4" s="894" t="s">
        <v>1110</v>
      </c>
      <c r="M4" s="894" t="s">
        <v>1111</v>
      </c>
      <c r="N4" s="654"/>
      <c r="O4" s="653" t="s">
        <v>728</v>
      </c>
      <c r="P4" s="653" t="s">
        <v>729</v>
      </c>
      <c r="Q4" s="653" t="s">
        <v>730</v>
      </c>
      <c r="R4" s="653" t="s">
        <v>731</v>
      </c>
      <c r="S4" s="653" t="s">
        <v>732</v>
      </c>
      <c r="T4" s="653" t="s">
        <v>733</v>
      </c>
      <c r="U4" s="653" t="s">
        <v>734</v>
      </c>
    </row>
    <row r="5" spans="1:21">
      <c r="B5" s="673" t="str">
        <f>P5</f>
        <v>TRAGSL_BLD</v>
      </c>
      <c r="C5" s="673" t="str">
        <f>Commodities!$B$5</f>
        <v>TRAGSL</v>
      </c>
      <c r="F5" s="673">
        <v>1</v>
      </c>
      <c r="G5" s="672">
        <f>1-'CAR Fuel Blending'!D$6</f>
        <v>0.96574425364211658</v>
      </c>
      <c r="H5" s="672">
        <f>1-'CAR Fuel Blending'!G$6</f>
        <v>0.95681713118449419</v>
      </c>
      <c r="I5" s="672">
        <f>1-'CAR Fuel Blending'!L$6</f>
        <v>0.95</v>
      </c>
      <c r="J5" s="672">
        <f>1-'CAR Fuel Blending'!Q$6</f>
        <v>0.93345150693786427</v>
      </c>
      <c r="K5" s="672">
        <f>1-'CAR Fuel Blending'!V$6</f>
        <v>0.92003168916474265</v>
      </c>
      <c r="L5" s="672">
        <f>1-'CAR Fuel Blending'!AA$6</f>
        <v>0.90661187139162103</v>
      </c>
      <c r="M5" s="672">
        <f>1-'CAR Fuel Blending'!AF$6</f>
        <v>0.9</v>
      </c>
      <c r="O5" s="673" t="s">
        <v>793</v>
      </c>
      <c r="P5" s="673" t="s">
        <v>1102</v>
      </c>
      <c r="Q5" s="673" t="s">
        <v>1115</v>
      </c>
      <c r="R5" s="650" t="s">
        <v>765</v>
      </c>
      <c r="S5" s="650" t="s">
        <v>798</v>
      </c>
    </row>
    <row r="6" spans="1:21">
      <c r="C6" s="673" t="str">
        <f>Commodities!$B$7</f>
        <v>TRAETH</v>
      </c>
      <c r="P6" s="650" t="s">
        <v>1114</v>
      </c>
      <c r="Q6" s="673" t="s">
        <v>1116</v>
      </c>
      <c r="R6" s="650" t="s">
        <v>765</v>
      </c>
      <c r="S6" s="650" t="s">
        <v>798</v>
      </c>
    </row>
    <row r="7" spans="1:21">
      <c r="D7" s="673" t="str">
        <f>Commodities!$B$16</f>
        <v>TRAGSLE</v>
      </c>
      <c r="P7" s="673" t="s">
        <v>1117</v>
      </c>
      <c r="Q7" s="673" t="s">
        <v>1118</v>
      </c>
      <c r="R7" s="650" t="s">
        <v>765</v>
      </c>
      <c r="S7" s="650" t="s">
        <v>798</v>
      </c>
    </row>
    <row r="8" spans="1:21">
      <c r="B8" s="1122" t="str">
        <f>P6</f>
        <v>TRADST_BLD</v>
      </c>
      <c r="C8" s="1122" t="str">
        <f>Commodities!$B$6</f>
        <v>TRADST</v>
      </c>
      <c r="D8" s="1122"/>
      <c r="E8" s="1122"/>
      <c r="F8" s="1122">
        <v>1</v>
      </c>
      <c r="G8" s="1123">
        <f>1-'CAR Fuel Blending'!D$7</f>
        <v>0.97120505465626772</v>
      </c>
      <c r="H8" s="1123">
        <f>1-'CAR Fuel Blending'!G$7</f>
        <v>0.9577133139769477</v>
      </c>
      <c r="I8" s="1123">
        <f>1-'CAR Fuel Blending'!L$7</f>
        <v>0.95</v>
      </c>
      <c r="J8" s="1123">
        <f>1-'CAR Fuel Blending'!Q$7</f>
        <v>0.93713151107565962</v>
      </c>
      <c r="K8" s="1123">
        <f>1-'CAR Fuel Blending'!V$7</f>
        <v>0.92999999999999994</v>
      </c>
      <c r="L8" s="1123">
        <f>1-'CAR Fuel Blending'!AA$7</f>
        <v>0.92999999999999994</v>
      </c>
      <c r="M8" s="1123">
        <f>1-'CAR Fuel Blending'!AF$7</f>
        <v>0.92999999999999994</v>
      </c>
    </row>
    <row r="9" spans="1:21">
      <c r="B9" s="850"/>
      <c r="C9" s="850" t="str">
        <f>Commodities!$B$8</f>
        <v>TRABDL</v>
      </c>
      <c r="D9" s="850"/>
      <c r="E9" s="850"/>
      <c r="F9" s="850"/>
      <c r="G9" s="850"/>
      <c r="H9" s="850"/>
      <c r="I9" s="850"/>
      <c r="J9" s="850"/>
      <c r="K9" s="850"/>
      <c r="L9" s="850"/>
      <c r="M9" s="850"/>
    </row>
    <row r="10" spans="1:21">
      <c r="B10" s="1124"/>
      <c r="C10" s="1124"/>
      <c r="D10" s="1124" t="str">
        <f>Commodities!$B$17</f>
        <v>TRADSTB</v>
      </c>
      <c r="E10" s="1124"/>
      <c r="F10" s="1124"/>
      <c r="G10" s="1124"/>
      <c r="H10" s="1124"/>
      <c r="I10" s="1124"/>
      <c r="J10" s="1124"/>
      <c r="K10" s="1124"/>
      <c r="L10" s="1124"/>
      <c r="M10" s="1124"/>
    </row>
    <row r="11" spans="1:21">
      <c r="B11" s="1122" t="str">
        <f>$P$7</f>
        <v>TRAE85_BLD</v>
      </c>
      <c r="C11" s="1122" t="str">
        <f>Commodities!$B$5</f>
        <v>TRAGSL</v>
      </c>
      <c r="D11" s="1122"/>
      <c r="E11" s="1122"/>
      <c r="F11" s="1122">
        <v>1</v>
      </c>
      <c r="G11" s="1125">
        <v>0.15</v>
      </c>
      <c r="H11" s="1122"/>
      <c r="I11" s="1122"/>
      <c r="J11" s="1122"/>
      <c r="K11" s="1122"/>
      <c r="L11" s="1122"/>
      <c r="M11" s="1122"/>
    </row>
    <row r="12" spans="1:21">
      <c r="B12" s="850"/>
      <c r="C12" s="850" t="str">
        <f>Commodities!$B$7</f>
        <v>TRAETH</v>
      </c>
      <c r="D12" s="850"/>
      <c r="E12" s="850"/>
      <c r="F12" s="850"/>
      <c r="G12" s="850"/>
      <c r="H12" s="850"/>
      <c r="I12" s="850"/>
      <c r="J12" s="850"/>
      <c r="K12" s="850"/>
      <c r="L12" s="850"/>
      <c r="M12" s="850"/>
    </row>
    <row r="13" spans="1:21">
      <c r="B13" s="1124"/>
      <c r="C13" s="1124"/>
      <c r="D13" s="1124" t="str">
        <f>Commodities!B18</f>
        <v>TRAE85</v>
      </c>
      <c r="E13" s="1124"/>
      <c r="F13" s="1124"/>
      <c r="G13" s="1124"/>
      <c r="H13" s="1124"/>
      <c r="I13" s="1124"/>
      <c r="J13" s="1124"/>
      <c r="K13" s="1124"/>
      <c r="L13" s="1124"/>
      <c r="M13" s="112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3:AB36"/>
  <sheetViews>
    <sheetView tabSelected="1" topLeftCell="B1" workbookViewId="0">
      <selection activeCell="L16" sqref="L16"/>
    </sheetView>
  </sheetViews>
  <sheetFormatPr defaultRowHeight="15"/>
  <cols>
    <col min="1" max="1" width="12" bestFit="1" customWidth="1"/>
    <col min="4" max="5" width="9.140625" style="650"/>
    <col min="7" max="7" width="23.42578125" bestFit="1" customWidth="1"/>
    <col min="8" max="8" width="7.140625" customWidth="1"/>
    <col min="9" max="9" width="12" bestFit="1" customWidth="1"/>
    <col min="27" max="27" width="12.28515625" bestFit="1" customWidth="1"/>
    <col min="28" max="28" width="12" style="1127" customWidth="1"/>
  </cols>
  <sheetData>
    <row r="3" spans="1:28">
      <c r="A3" s="654"/>
      <c r="B3" s="651" t="s">
        <v>736</v>
      </c>
      <c r="C3" s="654"/>
      <c r="D3" s="654"/>
      <c r="E3" s="654"/>
      <c r="F3" s="654"/>
      <c r="G3" s="654"/>
      <c r="J3" s="651" t="s">
        <v>1168</v>
      </c>
    </row>
    <row r="4" spans="1:28" ht="15.75" thickBot="1">
      <c r="A4" s="681" t="s">
        <v>721</v>
      </c>
      <c r="B4" s="683" t="s">
        <v>807</v>
      </c>
      <c r="C4" s="682">
        <v>2012</v>
      </c>
      <c r="D4" s="838">
        <v>2013</v>
      </c>
      <c r="E4" s="838">
        <v>2014</v>
      </c>
      <c r="F4" s="682" t="s">
        <v>800</v>
      </c>
      <c r="G4" s="681" t="s">
        <v>808</v>
      </c>
      <c r="I4" s="681" t="s">
        <v>721</v>
      </c>
      <c r="J4" s="683" t="s">
        <v>807</v>
      </c>
      <c r="K4" s="1167" t="s">
        <v>1151</v>
      </c>
      <c r="L4" s="1167" t="s">
        <v>1152</v>
      </c>
      <c r="M4" s="1167" t="s">
        <v>1153</v>
      </c>
      <c r="N4" s="1167" t="s">
        <v>1154</v>
      </c>
      <c r="O4" s="1167" t="s">
        <v>1155</v>
      </c>
      <c r="P4" s="1167" t="s">
        <v>1156</v>
      </c>
      <c r="Q4" s="1167" t="s">
        <v>1157</v>
      </c>
      <c r="R4" s="1167" t="s">
        <v>1158</v>
      </c>
      <c r="S4" s="1167" t="s">
        <v>1159</v>
      </c>
      <c r="T4" s="1167" t="s">
        <v>1160</v>
      </c>
      <c r="U4" s="1167" t="s">
        <v>1161</v>
      </c>
      <c r="V4" s="1167" t="s">
        <v>1162</v>
      </c>
      <c r="W4" s="1167" t="s">
        <v>1163</v>
      </c>
      <c r="X4" s="1167" t="s">
        <v>1164</v>
      </c>
      <c r="Y4" s="1167" t="s">
        <v>1165</v>
      </c>
      <c r="Z4" s="1167" t="s">
        <v>1166</v>
      </c>
      <c r="AA4" s="681" t="s">
        <v>808</v>
      </c>
      <c r="AB4" s="681" t="s">
        <v>1175</v>
      </c>
    </row>
    <row r="5" spans="1:28">
      <c r="A5" s="684" t="str">
        <f>Commodities!B35</f>
        <v>TAVI-D</v>
      </c>
      <c r="B5" s="684" t="s">
        <v>809</v>
      </c>
      <c r="C5" s="756">
        <f>AVI!X7*0.041868</f>
        <v>0.15916745403761329</v>
      </c>
      <c r="D5" s="756">
        <f>AVI!Y7*0.041868</f>
        <v>0.14022795810745942</v>
      </c>
      <c r="E5" s="756"/>
      <c r="F5" s="685" t="str">
        <f>Commodities!D35</f>
        <v>PJ</v>
      </c>
      <c r="G5" s="686" t="s">
        <v>630</v>
      </c>
      <c r="I5" s="684" t="str">
        <f>A5</f>
        <v>TAVI-D</v>
      </c>
      <c r="J5" s="684" t="s">
        <v>1167</v>
      </c>
      <c r="K5" s="1833"/>
      <c r="L5" s="1833" t="s">
        <v>1169</v>
      </c>
      <c r="M5" s="1833" t="s">
        <v>1169</v>
      </c>
      <c r="N5" s="1833" t="s">
        <v>1169</v>
      </c>
      <c r="O5" s="1833" t="s">
        <v>1169</v>
      </c>
      <c r="P5" s="1833" t="s">
        <v>1169</v>
      </c>
      <c r="Q5" s="1833" t="s">
        <v>1169</v>
      </c>
      <c r="R5" s="1833" t="s">
        <v>1169</v>
      </c>
      <c r="S5" s="1833" t="s">
        <v>1169</v>
      </c>
      <c r="T5" s="1833" t="s">
        <v>1169</v>
      </c>
      <c r="U5" s="1833" t="s">
        <v>1169</v>
      </c>
      <c r="V5" s="1833" t="s">
        <v>1169</v>
      </c>
      <c r="W5" s="1833" t="s">
        <v>1169</v>
      </c>
      <c r="X5" s="1833" t="s">
        <v>1169</v>
      </c>
      <c r="Y5" s="1833" t="s">
        <v>1169</v>
      </c>
      <c r="Z5" s="1833" t="s">
        <v>1169</v>
      </c>
      <c r="AA5" s="686"/>
      <c r="AB5" s="684"/>
    </row>
    <row r="6" spans="1:28" s="1127" customFormat="1">
      <c r="A6" s="684" t="str">
        <f>Commodities!B36</f>
        <v>TAVI-EU</v>
      </c>
      <c r="B6" s="684" t="s">
        <v>809</v>
      </c>
      <c r="C6" s="688">
        <f>AVI!X8*0.041868</f>
        <v>14.220396295873586</v>
      </c>
      <c r="D6" s="688">
        <f>AVI!Y8*0.041868</f>
        <v>13.959734477553695</v>
      </c>
      <c r="E6" s="688"/>
      <c r="F6" s="685" t="str">
        <f>Commodities!D36</f>
        <v>PJ</v>
      </c>
      <c r="G6" s="686" t="s">
        <v>630</v>
      </c>
      <c r="H6"/>
      <c r="I6" s="684" t="str">
        <f t="shared" ref="I6:I20" si="0">A6</f>
        <v>TAVI-EU</v>
      </c>
      <c r="J6" s="684" t="s">
        <v>1167</v>
      </c>
      <c r="K6" s="1833"/>
      <c r="L6" s="1833" t="s">
        <v>1169</v>
      </c>
      <c r="M6" s="1833" t="s">
        <v>1169</v>
      </c>
      <c r="N6" s="1833" t="s">
        <v>1169</v>
      </c>
      <c r="O6" s="1833" t="s">
        <v>1169</v>
      </c>
      <c r="P6" s="1833" t="s">
        <v>1169</v>
      </c>
      <c r="Q6" s="1833" t="s">
        <v>1169</v>
      </c>
      <c r="R6" s="1833" t="s">
        <v>1169</v>
      </c>
      <c r="S6" s="1833" t="s">
        <v>1169</v>
      </c>
      <c r="T6" s="1833" t="s">
        <v>1169</v>
      </c>
      <c r="U6" s="1833" t="s">
        <v>1169</v>
      </c>
      <c r="V6" s="1833" t="s">
        <v>1169</v>
      </c>
      <c r="W6" s="1833" t="s">
        <v>1169</v>
      </c>
      <c r="X6" s="1833" t="s">
        <v>1169</v>
      </c>
      <c r="Y6" s="1833" t="s">
        <v>1169</v>
      </c>
      <c r="Z6" s="1833" t="s">
        <v>1169</v>
      </c>
      <c r="AA6" s="686"/>
      <c r="AB6" s="684"/>
    </row>
    <row r="7" spans="1:28">
      <c r="A7" s="684" t="str">
        <f>Commodities!B37</f>
        <v>TAVI-NEU</v>
      </c>
      <c r="B7" s="684" t="s">
        <v>809</v>
      </c>
      <c r="C7" s="688">
        <f>AVI!X9*0.041868</f>
        <v>10.172684160421154</v>
      </c>
      <c r="D7" s="688">
        <f>AVI!Y9*0.041868</f>
        <v>11.296119372625693</v>
      </c>
      <c r="E7" s="688"/>
      <c r="F7" s="685" t="str">
        <f>Commodities!D37</f>
        <v>PJ</v>
      </c>
      <c r="G7" s="686" t="s">
        <v>630</v>
      </c>
      <c r="I7" s="684" t="str">
        <f t="shared" si="0"/>
        <v>TAVI-NEU</v>
      </c>
      <c r="J7" s="684" t="s">
        <v>1167</v>
      </c>
      <c r="K7" s="1833"/>
      <c r="L7" s="1833" t="s">
        <v>1169</v>
      </c>
      <c r="M7" s="1833" t="s">
        <v>1169</v>
      </c>
      <c r="N7" s="1833" t="s">
        <v>1169</v>
      </c>
      <c r="O7" s="1833" t="s">
        <v>1169</v>
      </c>
      <c r="P7" s="1833" t="s">
        <v>1169</v>
      </c>
      <c r="Q7" s="1833" t="s">
        <v>1169</v>
      </c>
      <c r="R7" s="1833" t="s">
        <v>1169</v>
      </c>
      <c r="S7" s="1833" t="s">
        <v>1169</v>
      </c>
      <c r="T7" s="1833" t="s">
        <v>1169</v>
      </c>
      <c r="U7" s="1833" t="s">
        <v>1169</v>
      </c>
      <c r="V7" s="1833" t="s">
        <v>1169</v>
      </c>
      <c r="W7" s="1833" t="s">
        <v>1169</v>
      </c>
      <c r="X7" s="1833" t="s">
        <v>1169</v>
      </c>
      <c r="Y7" s="1833" t="s">
        <v>1169</v>
      </c>
      <c r="Z7" s="1833" t="s">
        <v>1169</v>
      </c>
      <c r="AA7" s="686"/>
      <c r="AB7" s="684"/>
    </row>
    <row r="8" spans="1:28" s="650" customFormat="1">
      <c r="A8" s="684" t="str">
        <f>Commodities!B22</f>
        <v>TCAR</v>
      </c>
      <c r="B8" s="684" t="s">
        <v>809</v>
      </c>
      <c r="C8" s="688">
        <f>SUM(CAR!B3,CAR!B9,CAR!B15,CAR!B21)</f>
        <v>49998.990581655533</v>
      </c>
      <c r="D8" s="688"/>
      <c r="E8" s="688"/>
      <c r="F8" s="685" t="str">
        <f>Commodities!D22</f>
        <v>Mpkm</v>
      </c>
      <c r="G8" s="686"/>
      <c r="H8"/>
      <c r="I8" s="684" t="str">
        <f t="shared" si="0"/>
        <v>TCAR</v>
      </c>
      <c r="J8" s="684" t="s">
        <v>1167</v>
      </c>
      <c r="K8" s="1833">
        <v>0.14124293785310699</v>
      </c>
      <c r="L8" s="1833">
        <v>5.6497175141242903E-2</v>
      </c>
      <c r="M8" s="1833">
        <v>9.8870056497175202E-3</v>
      </c>
      <c r="N8" s="1833">
        <v>4.2372881355932202E-2</v>
      </c>
      <c r="O8" s="1833">
        <v>0.14124293785310699</v>
      </c>
      <c r="P8" s="1833">
        <v>5.6497175141242903E-2</v>
      </c>
      <c r="Q8" s="1833">
        <v>9.8870056497175202E-3</v>
      </c>
      <c r="R8" s="1833">
        <v>4.2372881355932202E-2</v>
      </c>
      <c r="S8" s="1833">
        <v>0.14124293785310699</v>
      </c>
      <c r="T8" s="1833">
        <v>5.6497175141242903E-2</v>
      </c>
      <c r="U8" s="1833">
        <v>9.8870056497175202E-3</v>
      </c>
      <c r="V8" s="1833">
        <v>4.2372881355932202E-2</v>
      </c>
      <c r="W8" s="1833">
        <v>0.14124293785310699</v>
      </c>
      <c r="X8" s="1833">
        <v>5.6497175141242903E-2</v>
      </c>
      <c r="Y8" s="1833">
        <v>9.8870056497175202E-3</v>
      </c>
      <c r="Z8" s="1833">
        <v>4.2372881355932202E-2</v>
      </c>
      <c r="AA8" s="686" t="s">
        <v>1383</v>
      </c>
      <c r="AB8" s="684" t="s">
        <v>1170</v>
      </c>
    </row>
    <row r="9" spans="1:28" s="650" customFormat="1">
      <c r="A9" s="684" t="str">
        <f>Commodities!B25</f>
        <v>TFHGV</v>
      </c>
      <c r="B9" s="684" t="s">
        <v>809</v>
      </c>
      <c r="C9" s="688">
        <f>SUM(FREH!B15,FREH!B21)</f>
        <v>14046.992408113883</v>
      </c>
      <c r="D9" s="688"/>
      <c r="E9" s="688"/>
      <c r="F9" s="685" t="str">
        <f>Commodities!D25</f>
        <v>Mtkm</v>
      </c>
      <c r="G9" s="687"/>
      <c r="H9"/>
      <c r="I9" s="684" t="str">
        <f t="shared" si="0"/>
        <v>TFHGV</v>
      </c>
      <c r="J9" s="684" t="s">
        <v>1167</v>
      </c>
      <c r="K9" s="1833">
        <v>0.130890052356021</v>
      </c>
      <c r="L9" s="1833">
        <v>5.2356020942408397E-2</v>
      </c>
      <c r="M9" s="1833">
        <v>2.7486910994764399E-2</v>
      </c>
      <c r="N9" s="1833">
        <v>3.9267015706806303E-2</v>
      </c>
      <c r="O9" s="1833">
        <v>0.130890052356021</v>
      </c>
      <c r="P9" s="1833">
        <v>5.2356020942408397E-2</v>
      </c>
      <c r="Q9" s="1833">
        <v>2.7486910994764399E-2</v>
      </c>
      <c r="R9" s="1833">
        <v>3.9267015706806303E-2</v>
      </c>
      <c r="S9" s="1833">
        <v>0.130890052356021</v>
      </c>
      <c r="T9" s="1833">
        <v>5.2356020942408397E-2</v>
      </c>
      <c r="U9" s="1833">
        <v>2.7486910994764399E-2</v>
      </c>
      <c r="V9" s="1833">
        <v>3.9267015706806303E-2</v>
      </c>
      <c r="W9" s="1833">
        <v>0.130890052356021</v>
      </c>
      <c r="X9" s="1833">
        <v>5.2356020942408397E-2</v>
      </c>
      <c r="Y9" s="1833">
        <v>2.7486910994764399E-2</v>
      </c>
      <c r="Z9" s="1833">
        <v>3.9267015706806303E-2</v>
      </c>
      <c r="AA9" s="686" t="s">
        <v>1383</v>
      </c>
      <c r="AB9" s="684" t="s">
        <v>1381</v>
      </c>
    </row>
    <row r="10" spans="1:28" s="650" customFormat="1">
      <c r="A10" s="684" t="str">
        <f>Commodities!B24</f>
        <v>TFLGV</v>
      </c>
      <c r="B10" s="684" t="s">
        <v>809</v>
      </c>
      <c r="C10" s="688">
        <f>SUM(FREH!B3,FREH!B9)</f>
        <v>3980.5697615701729</v>
      </c>
      <c r="D10" s="688"/>
      <c r="E10" s="688"/>
      <c r="F10" s="685" t="str">
        <f>Commodities!D24</f>
        <v>Mvkm</v>
      </c>
      <c r="G10" s="687"/>
      <c r="H10"/>
      <c r="I10" s="684" t="str">
        <f t="shared" si="0"/>
        <v>TFLGV</v>
      </c>
      <c r="J10" s="684" t="s">
        <v>1167</v>
      </c>
      <c r="K10" s="1833">
        <v>0.130890052356021</v>
      </c>
      <c r="L10" s="1833">
        <v>5.2356020942408397E-2</v>
      </c>
      <c r="M10" s="1833">
        <v>2.7486910994764399E-2</v>
      </c>
      <c r="N10" s="1833">
        <v>3.9267015706806303E-2</v>
      </c>
      <c r="O10" s="1833">
        <v>0.130890052356021</v>
      </c>
      <c r="P10" s="1833">
        <v>5.2356020942408397E-2</v>
      </c>
      <c r="Q10" s="1833">
        <v>2.7486910994764399E-2</v>
      </c>
      <c r="R10" s="1833">
        <v>3.9267015706806303E-2</v>
      </c>
      <c r="S10" s="1833">
        <v>0.130890052356021</v>
      </c>
      <c r="T10" s="1833">
        <v>5.2356020942408397E-2</v>
      </c>
      <c r="U10" s="1833">
        <v>2.7486910994764399E-2</v>
      </c>
      <c r="V10" s="1833">
        <v>3.9267015706806303E-2</v>
      </c>
      <c r="W10" s="1833">
        <v>0.130890052356021</v>
      </c>
      <c r="X10" s="1833">
        <v>5.2356020942408397E-2</v>
      </c>
      <c r="Y10" s="1833">
        <v>2.7486910994764399E-2</v>
      </c>
      <c r="Z10" s="1833">
        <v>3.9267015706806303E-2</v>
      </c>
      <c r="AA10" s="686" t="s">
        <v>1383</v>
      </c>
      <c r="AB10" s="684" t="s">
        <v>1171</v>
      </c>
    </row>
    <row r="11" spans="1:28" s="650" customFormat="1">
      <c r="A11" s="684" t="str">
        <f>Commodities!B26</f>
        <v>TFRAIL</v>
      </c>
      <c r="B11" s="684" t="s">
        <v>809</v>
      </c>
      <c r="C11" s="688">
        <f>'PUB Rail Statistics'!F$15/1000</f>
        <v>90.838999999999999</v>
      </c>
      <c r="D11" s="688">
        <f>'PUB Rail Statistics'!G$15/1000</f>
        <v>98.844999999999999</v>
      </c>
      <c r="E11" s="688">
        <f>'PUB Rail Statistics'!H$15/1000</f>
        <v>99.826999999999998</v>
      </c>
      <c r="F11" s="685" t="str">
        <f>Commodities!D26</f>
        <v>Mtkm</v>
      </c>
      <c r="G11" s="687"/>
      <c r="H11"/>
      <c r="I11" s="684" t="str">
        <f t="shared" si="0"/>
        <v>TFRAIL</v>
      </c>
      <c r="J11" s="684" t="s">
        <v>1167</v>
      </c>
      <c r="K11" s="1833">
        <v>0.130890052356021</v>
      </c>
      <c r="L11" s="1833">
        <v>5.2356020942408397E-2</v>
      </c>
      <c r="M11" s="1833">
        <v>2.7486910994764399E-2</v>
      </c>
      <c r="N11" s="1833">
        <v>3.9267015706806303E-2</v>
      </c>
      <c r="O11" s="1833">
        <v>0.130890052356021</v>
      </c>
      <c r="P11" s="1833">
        <v>5.2356020942408397E-2</v>
      </c>
      <c r="Q11" s="1833">
        <v>2.7486910994764399E-2</v>
      </c>
      <c r="R11" s="1833">
        <v>3.9267015706806303E-2</v>
      </c>
      <c r="S11" s="1833">
        <v>0.130890052356021</v>
      </c>
      <c r="T11" s="1833">
        <v>5.2356020942408397E-2</v>
      </c>
      <c r="U11" s="1833">
        <v>2.7486910994764399E-2</v>
      </c>
      <c r="V11" s="1833">
        <v>3.9267015706806303E-2</v>
      </c>
      <c r="W11" s="1833">
        <v>0.130890052356021</v>
      </c>
      <c r="X11" s="1833">
        <v>5.2356020942408397E-2</v>
      </c>
      <c r="Y11" s="1833">
        <v>2.7486910994764399E-2</v>
      </c>
      <c r="Z11" s="1833">
        <v>3.9267015706806303E-2</v>
      </c>
      <c r="AA11" s="686" t="s">
        <v>1383</v>
      </c>
      <c r="AB11" s="684" t="s">
        <v>1172</v>
      </c>
    </row>
    <row r="12" spans="1:28" s="650" customFormat="1">
      <c r="A12" s="684" t="str">
        <f>Commodities!B23</f>
        <v>TMOT</v>
      </c>
      <c r="B12" s="684" t="s">
        <v>809</v>
      </c>
      <c r="C12" s="688">
        <f>MOTO!E14*MOTO!G21*MOTO!H21*MOTO!F21</f>
        <v>147.63231828526051</v>
      </c>
      <c r="D12" s="688"/>
      <c r="E12" s="688"/>
      <c r="F12" s="685" t="str">
        <f>Commodities!D23</f>
        <v>Mpkm</v>
      </c>
      <c r="G12" s="686"/>
      <c r="H12"/>
      <c r="I12" s="684" t="str">
        <f t="shared" si="0"/>
        <v>TMOT</v>
      </c>
      <c r="J12" s="684" t="s">
        <v>1167</v>
      </c>
      <c r="K12" s="1833">
        <v>0.14124293785310699</v>
      </c>
      <c r="L12" s="1833">
        <v>5.6497175141242903E-2</v>
      </c>
      <c r="M12" s="1833">
        <v>9.8870056497175202E-3</v>
      </c>
      <c r="N12" s="1833">
        <v>4.2372881355932202E-2</v>
      </c>
      <c r="O12" s="1833">
        <v>0.14124293785310699</v>
      </c>
      <c r="P12" s="1833">
        <v>5.6497175141242903E-2</v>
      </c>
      <c r="Q12" s="1833">
        <v>9.8870056497175202E-3</v>
      </c>
      <c r="R12" s="1833">
        <v>4.2372881355932202E-2</v>
      </c>
      <c r="S12" s="1833">
        <v>0.14124293785310699</v>
      </c>
      <c r="T12" s="1833">
        <v>5.6497175141242903E-2</v>
      </c>
      <c r="U12" s="1833">
        <v>9.8870056497175202E-3</v>
      </c>
      <c r="V12" s="1833">
        <v>4.2372881355932202E-2</v>
      </c>
      <c r="W12" s="1833">
        <v>0.14124293785310699</v>
      </c>
      <c r="X12" s="1833">
        <v>5.6497175141242903E-2</v>
      </c>
      <c r="Y12" s="1833">
        <v>9.8870056497175202E-3</v>
      </c>
      <c r="Z12" s="1833">
        <v>4.2372881355932202E-2</v>
      </c>
      <c r="AA12" s="686" t="s">
        <v>1383</v>
      </c>
      <c r="AB12" s="684" t="s">
        <v>1173</v>
      </c>
    </row>
    <row r="13" spans="1:28" s="650" customFormat="1">
      <c r="A13" s="684" t="str">
        <f>Commodities!B33</f>
        <v>TNAV</v>
      </c>
      <c r="B13" s="684" t="s">
        <v>809</v>
      </c>
      <c r="C13" s="688">
        <f>NAV!AN4*0.041868</f>
        <v>2.4786650326074353</v>
      </c>
      <c r="D13" s="688">
        <f>NAV!AN7*0.041868</f>
        <v>2.4245030786042547</v>
      </c>
      <c r="E13" s="688">
        <f>NAV!AN10*0.041868</f>
        <v>3.035094060263515</v>
      </c>
      <c r="F13" s="685" t="str">
        <f>Commodities!D33</f>
        <v>PJ</v>
      </c>
      <c r="G13" s="686" t="s">
        <v>630</v>
      </c>
      <c r="H13"/>
      <c r="I13" s="684" t="str">
        <f t="shared" si="0"/>
        <v>TNAV</v>
      </c>
      <c r="J13" s="684" t="s">
        <v>1167</v>
      </c>
      <c r="K13" s="1833" t="s">
        <v>1169</v>
      </c>
      <c r="L13" s="1833" t="s">
        <v>1169</v>
      </c>
      <c r="M13" s="1833" t="s">
        <v>1169</v>
      </c>
      <c r="N13" s="1833" t="s">
        <v>1169</v>
      </c>
      <c r="O13" s="1833" t="s">
        <v>1169</v>
      </c>
      <c r="P13" s="1833" t="s">
        <v>1169</v>
      </c>
      <c r="Q13" s="1833" t="s">
        <v>1169</v>
      </c>
      <c r="R13" s="1833" t="s">
        <v>1169</v>
      </c>
      <c r="S13" s="1833" t="s">
        <v>1169</v>
      </c>
      <c r="T13" s="1833" t="s">
        <v>1169</v>
      </c>
      <c r="U13" s="1833" t="s">
        <v>1169</v>
      </c>
      <c r="V13" s="1833" t="s">
        <v>1169</v>
      </c>
      <c r="W13" s="1833" t="s">
        <v>1169</v>
      </c>
      <c r="X13" s="1833" t="s">
        <v>1169</v>
      </c>
      <c r="Y13" s="1833" t="s">
        <v>1169</v>
      </c>
      <c r="Z13" s="1833" t="s">
        <v>1169</v>
      </c>
      <c r="AA13" s="686"/>
      <c r="AB13" s="684"/>
    </row>
    <row r="14" spans="1:28" s="650" customFormat="1">
      <c r="A14" s="684" t="str">
        <f>Commodities!B34</f>
        <v>TOTH</v>
      </c>
      <c r="B14" s="684" t="s">
        <v>809</v>
      </c>
      <c r="C14" s="688">
        <f>(NAV!AN3+NAV!AN5)*0.041868</f>
        <v>12.114361021909588</v>
      </c>
      <c r="D14" s="688">
        <f>(NAV!AN6+NAV!AN8)*0.041868</f>
        <v>17.229290488043254</v>
      </c>
      <c r="E14" s="688">
        <f>(NAV!AN9+NAV!AN11)*0.041868</f>
        <v>19.368008217983302</v>
      </c>
      <c r="F14" s="685" t="str">
        <f>Commodities!D34</f>
        <v>PJ</v>
      </c>
      <c r="G14" s="686" t="s">
        <v>630</v>
      </c>
      <c r="H14"/>
      <c r="I14" s="684" t="str">
        <f t="shared" si="0"/>
        <v>TOTH</v>
      </c>
      <c r="J14" s="684" t="s">
        <v>1167</v>
      </c>
      <c r="K14" s="1833" t="s">
        <v>1169</v>
      </c>
      <c r="L14" s="1833" t="s">
        <v>1169</v>
      </c>
      <c r="M14" s="1833" t="s">
        <v>1169</v>
      </c>
      <c r="N14" s="1833" t="s">
        <v>1169</v>
      </c>
      <c r="O14" s="1833" t="s">
        <v>1169</v>
      </c>
      <c r="P14" s="1833" t="s">
        <v>1169</v>
      </c>
      <c r="Q14" s="1833" t="s">
        <v>1169</v>
      </c>
      <c r="R14" s="1833" t="s">
        <v>1169</v>
      </c>
      <c r="S14" s="1833" t="s">
        <v>1169</v>
      </c>
      <c r="T14" s="1833" t="s">
        <v>1169</v>
      </c>
      <c r="U14" s="1833" t="s">
        <v>1169</v>
      </c>
      <c r="V14" s="1833" t="s">
        <v>1169</v>
      </c>
      <c r="W14" s="1833" t="s">
        <v>1169</v>
      </c>
      <c r="X14" s="1833" t="s">
        <v>1169</v>
      </c>
      <c r="Y14" s="1833" t="s">
        <v>1169</v>
      </c>
      <c r="Z14" s="1833" t="s">
        <v>1169</v>
      </c>
      <c r="AA14" s="686"/>
      <c r="AB14" s="684"/>
    </row>
    <row r="15" spans="1:28" s="650" customFormat="1">
      <c r="A15" s="684" t="str">
        <f>Commodities!B27</f>
        <v>TPBR</v>
      </c>
      <c r="B15" s="684" t="s">
        <v>809</v>
      </c>
      <c r="C15" s="688">
        <f>PUB!H11/1000</f>
        <v>2597.7014030682631</v>
      </c>
      <c r="D15" s="688"/>
      <c r="E15" s="688"/>
      <c r="F15" s="685" t="str">
        <f>Commodities!D27</f>
        <v>Mpkm</v>
      </c>
      <c r="G15" s="687"/>
      <c r="H15"/>
      <c r="I15" s="684" t="str">
        <f t="shared" si="0"/>
        <v>TPBR</v>
      </c>
      <c r="J15" s="684" t="s">
        <v>1167</v>
      </c>
      <c r="K15" s="1833">
        <v>0.14124293785310699</v>
      </c>
      <c r="L15" s="1833">
        <v>5.6497175141242903E-2</v>
      </c>
      <c r="M15" s="1833">
        <v>9.8870056497175202E-3</v>
      </c>
      <c r="N15" s="1833">
        <v>4.2372881355932202E-2</v>
      </c>
      <c r="O15" s="1833">
        <v>0.14124293785310699</v>
      </c>
      <c r="P15" s="1833">
        <v>5.6497175141242903E-2</v>
      </c>
      <c r="Q15" s="1833">
        <v>9.8870056497175202E-3</v>
      </c>
      <c r="R15" s="1833">
        <v>4.2372881355932202E-2</v>
      </c>
      <c r="S15" s="1833">
        <v>0.14124293785310699</v>
      </c>
      <c r="T15" s="1833">
        <v>5.6497175141242903E-2</v>
      </c>
      <c r="U15" s="1833">
        <v>9.8870056497175202E-3</v>
      </c>
      <c r="V15" s="1833">
        <v>4.2372881355932202E-2</v>
      </c>
      <c r="W15" s="1833">
        <v>0.14124293785310699</v>
      </c>
      <c r="X15" s="1833">
        <v>5.6497175141242903E-2</v>
      </c>
      <c r="Y15" s="1833">
        <v>9.8870056497175202E-3</v>
      </c>
      <c r="Z15" s="1833">
        <v>4.2372881355932202E-2</v>
      </c>
      <c r="AA15" s="686" t="s">
        <v>1383</v>
      </c>
      <c r="AB15" s="684" t="s">
        <v>1382</v>
      </c>
    </row>
    <row r="16" spans="1:28" s="650" customFormat="1">
      <c r="A16" s="684" t="str">
        <f>Commodities!B29</f>
        <v>TPBS</v>
      </c>
      <c r="B16" s="684" t="s">
        <v>809</v>
      </c>
      <c r="C16" s="688">
        <f>PUB!H13/1000</f>
        <v>660.91128000000003</v>
      </c>
      <c r="D16" s="688"/>
      <c r="E16" s="688"/>
      <c r="F16" s="685" t="str">
        <f>Commodities!D29</f>
        <v>Mpkm</v>
      </c>
      <c r="G16" s="687"/>
      <c r="H16"/>
      <c r="I16" s="684" t="str">
        <f t="shared" si="0"/>
        <v>TPBS</v>
      </c>
      <c r="J16" s="684" t="s">
        <v>1167</v>
      </c>
      <c r="K16" s="1833">
        <v>0.14124293785310699</v>
      </c>
      <c r="L16" s="1833">
        <v>5.6497175141242903E-2</v>
      </c>
      <c r="M16" s="1833">
        <v>9.8870056497175202E-3</v>
      </c>
      <c r="N16" s="1833">
        <v>4.2372881355932202E-2</v>
      </c>
      <c r="O16" s="1833">
        <v>0.14124293785310699</v>
      </c>
      <c r="P16" s="1833">
        <v>5.6497175141242903E-2</v>
      </c>
      <c r="Q16" s="1833">
        <v>9.8870056497175202E-3</v>
      </c>
      <c r="R16" s="1833">
        <v>4.2372881355932202E-2</v>
      </c>
      <c r="S16" s="1833">
        <v>0.14124293785310699</v>
      </c>
      <c r="T16" s="1833">
        <v>5.6497175141242903E-2</v>
      </c>
      <c r="U16" s="1833">
        <v>9.8870056497175202E-3</v>
      </c>
      <c r="V16" s="1833">
        <v>4.2372881355932202E-2</v>
      </c>
      <c r="W16" s="1833">
        <v>0.14124293785310699</v>
      </c>
      <c r="X16" s="1833">
        <v>5.6497175141242903E-2</v>
      </c>
      <c r="Y16" s="1833">
        <v>9.8870056497175202E-3</v>
      </c>
      <c r="Z16" s="1833">
        <v>4.2372881355932202E-2</v>
      </c>
      <c r="AA16" s="686" t="s">
        <v>1383</v>
      </c>
      <c r="AB16" s="684" t="s">
        <v>1382</v>
      </c>
    </row>
    <row r="17" spans="1:28" s="650" customFormat="1">
      <c r="A17" s="684" t="str">
        <f>Commodities!B28</f>
        <v>TPBU</v>
      </c>
      <c r="B17" s="684" t="s">
        <v>809</v>
      </c>
      <c r="C17" s="688">
        <f>PUB!H12/1000</f>
        <v>3293.4295846654459</v>
      </c>
      <c r="D17" s="688"/>
      <c r="E17" s="688"/>
      <c r="F17" s="685" t="str">
        <f>Commodities!D28</f>
        <v>Mpkm</v>
      </c>
      <c r="G17" s="687"/>
      <c r="H17"/>
      <c r="I17" s="684" t="str">
        <f t="shared" si="0"/>
        <v>TPBU</v>
      </c>
      <c r="J17" s="684" t="s">
        <v>1167</v>
      </c>
      <c r="K17" s="1833">
        <v>0.14124293785310699</v>
      </c>
      <c r="L17" s="1833">
        <v>5.6497175141242903E-2</v>
      </c>
      <c r="M17" s="1833">
        <v>9.8870056497175202E-3</v>
      </c>
      <c r="N17" s="1833">
        <v>4.2372881355932202E-2</v>
      </c>
      <c r="O17" s="1833">
        <v>0.14124293785310699</v>
      </c>
      <c r="P17" s="1833">
        <v>5.6497175141242903E-2</v>
      </c>
      <c r="Q17" s="1833">
        <v>9.8870056497175202E-3</v>
      </c>
      <c r="R17" s="1833">
        <v>4.2372881355932202E-2</v>
      </c>
      <c r="S17" s="1833">
        <v>0.14124293785310699</v>
      </c>
      <c r="T17" s="1833">
        <v>5.6497175141242903E-2</v>
      </c>
      <c r="U17" s="1833">
        <v>9.8870056497175202E-3</v>
      </c>
      <c r="V17" s="1833">
        <v>4.2372881355932202E-2</v>
      </c>
      <c r="W17" s="1833">
        <v>0.14124293785310699</v>
      </c>
      <c r="X17" s="1833">
        <v>5.6497175141242903E-2</v>
      </c>
      <c r="Y17" s="1833">
        <v>9.8870056497175202E-3</v>
      </c>
      <c r="Z17" s="1833">
        <v>4.2372881355932202E-2</v>
      </c>
      <c r="AA17" s="686" t="s">
        <v>1383</v>
      </c>
      <c r="AB17" s="684" t="s">
        <v>1382</v>
      </c>
    </row>
    <row r="18" spans="1:28">
      <c r="A18" s="684" t="str">
        <f>Commodities!B31</f>
        <v>TPRH</v>
      </c>
      <c r="B18" s="684" t="s">
        <v>809</v>
      </c>
      <c r="C18" s="688">
        <f>PUB!H15/1000</f>
        <v>1583</v>
      </c>
      <c r="D18" s="688"/>
      <c r="E18" s="688"/>
      <c r="F18" s="685" t="str">
        <f>Commodities!D31</f>
        <v>Mpkm</v>
      </c>
      <c r="G18" s="687"/>
      <c r="I18" s="684" t="str">
        <f t="shared" si="0"/>
        <v>TPRH</v>
      </c>
      <c r="J18" s="684" t="s">
        <v>1167</v>
      </c>
      <c r="K18" s="1833">
        <v>0.14124293785310699</v>
      </c>
      <c r="L18" s="1833">
        <v>5.6497175141242903E-2</v>
      </c>
      <c r="M18" s="1833">
        <v>9.8870056497175202E-3</v>
      </c>
      <c r="N18" s="1833">
        <v>4.2372881355932202E-2</v>
      </c>
      <c r="O18" s="1833">
        <v>0.14124293785310699</v>
      </c>
      <c r="P18" s="1833">
        <v>5.6497175141242903E-2</v>
      </c>
      <c r="Q18" s="1833">
        <v>9.8870056497175202E-3</v>
      </c>
      <c r="R18" s="1833">
        <v>4.2372881355932202E-2</v>
      </c>
      <c r="S18" s="1833">
        <v>0.14124293785310699</v>
      </c>
      <c r="T18" s="1833">
        <v>5.6497175141242903E-2</v>
      </c>
      <c r="U18" s="1833">
        <v>9.8870056497175202E-3</v>
      </c>
      <c r="V18" s="1833">
        <v>4.2372881355932202E-2</v>
      </c>
      <c r="W18" s="1833">
        <v>0.14124293785310699</v>
      </c>
      <c r="X18" s="1833">
        <v>5.6497175141242903E-2</v>
      </c>
      <c r="Y18" s="1833">
        <v>9.8870056497175202E-3</v>
      </c>
      <c r="Z18" s="1833">
        <v>4.2372881355932202E-2</v>
      </c>
      <c r="AA18" s="686" t="s">
        <v>1383</v>
      </c>
      <c r="AB18" s="684" t="s">
        <v>1174</v>
      </c>
    </row>
    <row r="19" spans="1:28">
      <c r="A19" s="684" t="str">
        <f>Commodities!B30</f>
        <v>TPRL</v>
      </c>
      <c r="B19" s="684" t="s">
        <v>809</v>
      </c>
      <c r="C19" s="688">
        <f>PUB!H14/1000</f>
        <v>144</v>
      </c>
      <c r="D19" s="688"/>
      <c r="E19" s="688"/>
      <c r="F19" s="685" t="str">
        <f>Commodities!D30</f>
        <v>Mpkm</v>
      </c>
      <c r="G19" s="687"/>
      <c r="I19" s="684" t="str">
        <f t="shared" si="0"/>
        <v>TPRL</v>
      </c>
      <c r="J19" s="684" t="s">
        <v>1167</v>
      </c>
      <c r="K19" s="1833">
        <v>0.14124293785310699</v>
      </c>
      <c r="L19" s="1833">
        <v>5.6497175141242903E-2</v>
      </c>
      <c r="M19" s="1833">
        <v>9.8870056497175202E-3</v>
      </c>
      <c r="N19" s="1833">
        <v>4.2372881355932202E-2</v>
      </c>
      <c r="O19" s="1833">
        <v>0.14124293785310699</v>
      </c>
      <c r="P19" s="1833">
        <v>5.6497175141242903E-2</v>
      </c>
      <c r="Q19" s="1833">
        <v>9.8870056497175202E-3</v>
      </c>
      <c r="R19" s="1833">
        <v>4.2372881355932202E-2</v>
      </c>
      <c r="S19" s="1833">
        <v>0.14124293785310699</v>
      </c>
      <c r="T19" s="1833">
        <v>5.6497175141242903E-2</v>
      </c>
      <c r="U19" s="1833">
        <v>9.8870056497175202E-3</v>
      </c>
      <c r="V19" s="1833">
        <v>4.2372881355932202E-2</v>
      </c>
      <c r="W19" s="1833">
        <v>0.14124293785310699</v>
      </c>
      <c r="X19" s="1833">
        <v>5.6497175141242903E-2</v>
      </c>
      <c r="Y19" s="1833">
        <v>9.8870056497175202E-3</v>
      </c>
      <c r="Z19" s="1833">
        <v>4.2372881355932202E-2</v>
      </c>
      <c r="AA19" s="686" t="s">
        <v>1383</v>
      </c>
      <c r="AB19" s="684" t="s">
        <v>1174</v>
      </c>
    </row>
    <row r="20" spans="1:28">
      <c r="A20" s="684" t="str">
        <f>Commodities!B32</f>
        <v>TPSV</v>
      </c>
      <c r="B20" s="684" t="s">
        <v>809</v>
      </c>
      <c r="C20" s="688">
        <f>(PUB!H16+PUB!H17)/1000</f>
        <v>1564.920651379269</v>
      </c>
      <c r="D20" s="688"/>
      <c r="E20" s="688"/>
      <c r="F20" s="685" t="str">
        <f>Commodities!D32</f>
        <v>Mpkm</v>
      </c>
      <c r="G20" s="687"/>
      <c r="I20" s="684" t="str">
        <f t="shared" si="0"/>
        <v>TPSV</v>
      </c>
      <c r="J20" s="684" t="s">
        <v>1167</v>
      </c>
      <c r="K20" s="1833">
        <v>0.14124293785310699</v>
      </c>
      <c r="L20" s="1833">
        <v>5.6497175141242903E-2</v>
      </c>
      <c r="M20" s="1833">
        <v>9.8870056497175202E-3</v>
      </c>
      <c r="N20" s="1833">
        <v>4.2372881355932202E-2</v>
      </c>
      <c r="O20" s="1833">
        <v>0.14124293785310699</v>
      </c>
      <c r="P20" s="1833">
        <v>5.6497175141242903E-2</v>
      </c>
      <c r="Q20" s="1833">
        <v>9.8870056497175202E-3</v>
      </c>
      <c r="R20" s="1833">
        <v>4.2372881355932202E-2</v>
      </c>
      <c r="S20" s="1833">
        <v>0.14124293785310699</v>
      </c>
      <c r="T20" s="1833">
        <v>5.6497175141242903E-2</v>
      </c>
      <c r="U20" s="1833">
        <v>9.8870056497175202E-3</v>
      </c>
      <c r="V20" s="1833">
        <v>4.2372881355932202E-2</v>
      </c>
      <c r="W20" s="1833">
        <v>0.14124293785310699</v>
      </c>
      <c r="X20" s="1833">
        <v>5.6497175141242903E-2</v>
      </c>
      <c r="Y20" s="1833">
        <v>9.8870056497175202E-3</v>
      </c>
      <c r="Z20" s="1833">
        <v>4.2372881355932202E-2</v>
      </c>
      <c r="AA20" s="686" t="s">
        <v>1383</v>
      </c>
      <c r="AB20" s="684" t="s">
        <v>1170</v>
      </c>
    </row>
    <row r="22" spans="1:28">
      <c r="A22" s="650"/>
    </row>
    <row r="23" spans="1:28">
      <c r="A23" s="650"/>
    </row>
    <row r="24" spans="1:28">
      <c r="A24" s="650"/>
      <c r="I24" s="1169"/>
      <c r="AB24" s="1169"/>
    </row>
    <row r="25" spans="1:28">
      <c r="A25" s="650"/>
      <c r="I25" s="1169"/>
      <c r="AB25" s="1169"/>
    </row>
    <row r="26" spans="1:28">
      <c r="A26" s="650"/>
      <c r="I26" s="1169"/>
      <c r="AB26" s="1169"/>
    </row>
    <row r="27" spans="1:28">
      <c r="A27" s="650"/>
      <c r="I27" s="1169"/>
      <c r="AB27" s="1169"/>
    </row>
    <row r="28" spans="1:28">
      <c r="A28" s="650"/>
      <c r="I28" s="1169"/>
      <c r="AB28" s="1169"/>
    </row>
    <row r="29" spans="1:28">
      <c r="A29" s="650"/>
      <c r="I29" s="1169"/>
      <c r="AB29" s="1168"/>
    </row>
    <row r="30" spans="1:28">
      <c r="A30" s="650"/>
      <c r="I30" s="1169"/>
      <c r="AB30" s="1168"/>
    </row>
    <row r="31" spans="1:28">
      <c r="A31" s="650"/>
      <c r="I31" s="1169"/>
      <c r="AB31" s="1168"/>
    </row>
    <row r="32" spans="1:28">
      <c r="I32" s="1169"/>
      <c r="AB32" s="1168"/>
    </row>
    <row r="33" spans="9:28">
      <c r="I33" s="1169"/>
      <c r="AB33" s="1168"/>
    </row>
    <row r="34" spans="9:28">
      <c r="I34" s="1169"/>
      <c r="AB34" s="1169"/>
    </row>
    <row r="35" spans="9:28">
      <c r="I35" s="1169"/>
      <c r="AB35" s="1169"/>
    </row>
    <row r="36" spans="9:28">
      <c r="I36" s="1169"/>
      <c r="AB36" s="1169"/>
    </row>
  </sheetData>
  <sortState ref="A5:G20">
    <sortCondition ref="A5:A20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20"/>
  <sheetViews>
    <sheetView workbookViewId="0">
      <selection activeCell="P36" sqref="P36"/>
    </sheetView>
  </sheetViews>
  <sheetFormatPr defaultRowHeight="15"/>
  <cols>
    <col min="1" max="1" width="16.140625" style="674" customWidth="1"/>
    <col min="2" max="2" width="14.28515625" style="674" customWidth="1"/>
    <col min="3" max="3" width="10.85546875" style="674" bestFit="1" customWidth="1"/>
    <col min="4" max="4" width="12.7109375" style="674" bestFit="1" customWidth="1"/>
    <col min="5" max="16384" width="9.140625" style="674"/>
  </cols>
  <sheetData>
    <row r="1" spans="1:16" ht="18.75">
      <c r="A1" s="679" t="s">
        <v>802</v>
      </c>
      <c r="B1" s="679"/>
      <c r="C1" s="679"/>
      <c r="D1" s="680"/>
      <c r="E1" s="680"/>
    </row>
    <row r="2" spans="1:16">
      <c r="I2" s="675"/>
      <c r="J2" s="675"/>
      <c r="K2" s="675"/>
    </row>
    <row r="3" spans="1:16">
      <c r="A3" s="657" t="s">
        <v>799</v>
      </c>
      <c r="B3" s="657"/>
      <c r="G3" s="675"/>
      <c r="H3" s="675"/>
      <c r="I3" s="675"/>
    </row>
    <row r="4" spans="1:16" ht="15.75" thickBot="1">
      <c r="A4" s="653" t="s">
        <v>721</v>
      </c>
      <c r="B4" s="667" t="str">
        <f>Commodities!B19</f>
        <v>TRAGSLN</v>
      </c>
      <c r="C4" s="667" t="str">
        <f>Commodities!B20</f>
        <v>TRADSTN</v>
      </c>
      <c r="D4" s="667" t="s">
        <v>788</v>
      </c>
      <c r="E4" s="667" t="s">
        <v>800</v>
      </c>
      <c r="I4" s="661"/>
      <c r="J4" s="661"/>
    </row>
    <row r="5" spans="1:16">
      <c r="A5" s="674" t="str">
        <f>Commodities!$B$38</f>
        <v>TRACO2N</v>
      </c>
      <c r="B5" s="677">
        <f>'CAR Fuel Blending'!B16</f>
        <v>70</v>
      </c>
      <c r="C5" s="757">
        <f>'CAR Fuel Blending'!B17</f>
        <v>73.3</v>
      </c>
      <c r="D5" s="676">
        <v>71.900000000000006</v>
      </c>
      <c r="E5" s="676" t="s">
        <v>801</v>
      </c>
      <c r="I5" s="678"/>
      <c r="J5" s="678"/>
    </row>
    <row r="6" spans="1:16">
      <c r="A6" s="674" t="str">
        <f>Commodities!B39</f>
        <v>TRACH4N</v>
      </c>
      <c r="B6" s="676"/>
      <c r="C6" s="676"/>
      <c r="D6" s="676"/>
      <c r="E6" s="676" t="s">
        <v>801</v>
      </c>
      <c r="I6" s="678"/>
      <c r="J6" s="678"/>
    </row>
    <row r="7" spans="1:16">
      <c r="A7" s="674" t="str">
        <f>Commodities!B40</f>
        <v>TRASO2N</v>
      </c>
      <c r="B7" s="676"/>
      <c r="C7" s="676"/>
      <c r="D7" s="676"/>
      <c r="E7" s="676" t="s">
        <v>801</v>
      </c>
      <c r="I7" s="678"/>
      <c r="J7" s="678"/>
    </row>
    <row r="8" spans="1:16">
      <c r="A8" s="674" t="str">
        <f>Commodities!B41</f>
        <v>TRANOXN</v>
      </c>
      <c r="B8" s="676"/>
      <c r="C8" s="676"/>
      <c r="D8" s="676"/>
      <c r="E8" s="676" t="s">
        <v>801</v>
      </c>
      <c r="I8" s="676"/>
      <c r="J8" s="676"/>
    </row>
    <row r="9" spans="1:16">
      <c r="A9" s="654" t="s">
        <v>907</v>
      </c>
      <c r="E9" s="676" t="s">
        <v>801</v>
      </c>
    </row>
    <row r="10" spans="1:16">
      <c r="A10" s="654" t="s">
        <v>908</v>
      </c>
      <c r="E10" s="676" t="s">
        <v>801</v>
      </c>
    </row>
    <row r="11" spans="1:16">
      <c r="D11" s="677"/>
      <c r="E11" s="757"/>
      <c r="F11" s="676"/>
      <c r="G11" s="676"/>
      <c r="H11" s="676"/>
      <c r="I11" s="676"/>
      <c r="J11" s="676"/>
    </row>
    <row r="13" spans="1:16">
      <c r="O13" s="675"/>
      <c r="P13" s="675"/>
    </row>
    <row r="14" spans="1:16">
      <c r="O14" s="675"/>
      <c r="P14" s="675"/>
    </row>
    <row r="15" spans="1:16">
      <c r="A15" s="1519"/>
      <c r="B15" s="1519"/>
      <c r="C15" s="651" t="s">
        <v>736</v>
      </c>
      <c r="D15" s="1519"/>
      <c r="E15" s="1519"/>
      <c r="F15" s="1519"/>
      <c r="G15" s="1519"/>
      <c r="H15" s="1519"/>
      <c r="I15" s="1519"/>
      <c r="O15" s="675"/>
      <c r="P15" s="675"/>
    </row>
    <row r="16" spans="1:16" ht="15.75" thickBot="1">
      <c r="A16" s="681" t="s">
        <v>721</v>
      </c>
      <c r="B16" s="683" t="s">
        <v>1362</v>
      </c>
      <c r="C16" s="683" t="s">
        <v>807</v>
      </c>
      <c r="D16" s="682">
        <v>2012</v>
      </c>
      <c r="E16" s="838">
        <v>2015</v>
      </c>
      <c r="F16" s="838">
        <v>2020</v>
      </c>
      <c r="G16" s="838">
        <v>2025</v>
      </c>
      <c r="H16" s="838">
        <v>2030</v>
      </c>
      <c r="I16" s="838">
        <v>2035</v>
      </c>
      <c r="J16" s="838">
        <v>2040</v>
      </c>
      <c r="K16" s="682" t="s">
        <v>800</v>
      </c>
      <c r="O16" s="1683"/>
      <c r="P16" s="675"/>
    </row>
    <row r="17" spans="1:16">
      <c r="A17" s="1519" t="str">
        <f>Commodities!B16</f>
        <v>TRAGSLE</v>
      </c>
      <c r="B17" s="674" t="str">
        <f>Commodities!$B$38</f>
        <v>TRACO2N</v>
      </c>
      <c r="C17" s="1519" t="s">
        <v>1361</v>
      </c>
      <c r="D17" s="1682">
        <f>$B$5*TRA_FuelBlending!G5</f>
        <v>67.602097754948161</v>
      </c>
      <c r="E17" s="1682">
        <f>$B$5*TRA_FuelBlending!H5</f>
        <v>66.977199182914589</v>
      </c>
      <c r="F17" s="1682">
        <f>$B$5*TRA_FuelBlending!I5</f>
        <v>66.5</v>
      </c>
      <c r="G17" s="1682">
        <f>$B$5*TRA_FuelBlending!J5</f>
        <v>65.341605485650504</v>
      </c>
      <c r="H17" s="1682">
        <f>$B$5*TRA_FuelBlending!K5</f>
        <v>64.402218241531983</v>
      </c>
      <c r="I17" s="1682">
        <f>$B$5*TRA_FuelBlending!L5</f>
        <v>63.462830997413469</v>
      </c>
      <c r="J17" s="1682">
        <f>$B$5*TRA_FuelBlending!M5</f>
        <v>63</v>
      </c>
      <c r="K17" s="676" t="s">
        <v>801</v>
      </c>
      <c r="M17" s="676"/>
      <c r="O17" s="675"/>
      <c r="P17" s="675"/>
    </row>
    <row r="18" spans="1:16">
      <c r="A18" s="1519" t="str">
        <f>Commodities!B17</f>
        <v>TRADSTB</v>
      </c>
      <c r="B18" s="674" t="str">
        <f>Commodities!$B$38</f>
        <v>TRACO2N</v>
      </c>
      <c r="C18" s="1519" t="s">
        <v>1361</v>
      </c>
      <c r="D18" s="1682">
        <f>$C$5*TRA_FuelBlending!G8</f>
        <v>71.189330506304415</v>
      </c>
      <c r="E18" s="1682">
        <f>$C$5*TRA_FuelBlending!H8</f>
        <v>70.200385914510264</v>
      </c>
      <c r="F18" s="1682">
        <f>$C$5*TRA_FuelBlending!I8</f>
        <v>69.634999999999991</v>
      </c>
      <c r="G18" s="1682">
        <f>$C$5*TRA_FuelBlending!J8</f>
        <v>68.691739761845852</v>
      </c>
      <c r="H18" s="1682">
        <f>$C$5*TRA_FuelBlending!K8</f>
        <v>68.168999999999997</v>
      </c>
      <c r="I18" s="1682">
        <f>$C$5*TRA_FuelBlending!L8</f>
        <v>68.168999999999997</v>
      </c>
      <c r="J18" s="1682">
        <f>$C$5*TRA_FuelBlending!M8</f>
        <v>68.168999999999997</v>
      </c>
      <c r="K18" s="676" t="s">
        <v>801</v>
      </c>
      <c r="O18" s="675"/>
      <c r="P18" s="675"/>
    </row>
    <row r="19" spans="1:16">
      <c r="A19" s="1519" t="str">
        <f>Commodities!B18</f>
        <v>TRAE85</v>
      </c>
      <c r="B19" s="674" t="str">
        <f>Commodities!$B$38</f>
        <v>TRACO2N</v>
      </c>
      <c r="C19" s="1519" t="s">
        <v>1361</v>
      </c>
      <c r="D19" s="1682">
        <f>$C$5*TRA_FuelBlending!G11</f>
        <v>10.994999999999999</v>
      </c>
      <c r="K19" s="676" t="s">
        <v>801</v>
      </c>
      <c r="O19" s="675"/>
      <c r="P19" s="675"/>
    </row>
    <row r="20" spans="1:16">
      <c r="O20" s="675"/>
      <c r="P20" s="675"/>
    </row>
  </sheetData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">
    <tabColor theme="4"/>
  </sheetPr>
  <dimension ref="A1:AH203"/>
  <sheetViews>
    <sheetView topLeftCell="A131" workbookViewId="0">
      <selection activeCell="C138" sqref="C138"/>
    </sheetView>
  </sheetViews>
  <sheetFormatPr defaultRowHeight="15"/>
  <cols>
    <col min="1" max="1" width="23" style="1561" bestFit="1" customWidth="1"/>
    <col min="2" max="2" width="22.28515625" style="1561" customWidth="1"/>
    <col min="3" max="3" width="15.28515625" style="1561" bestFit="1" customWidth="1"/>
    <col min="4" max="4" width="13.7109375" style="1561" customWidth="1"/>
    <col min="5" max="5" width="18" style="1561" customWidth="1"/>
    <col min="6" max="6" width="20.28515625" style="1561" bestFit="1" customWidth="1"/>
    <col min="7" max="7" width="15" style="1561" bestFit="1" customWidth="1"/>
    <col min="8" max="8" width="17.28515625" style="1561" customWidth="1"/>
    <col min="9" max="9" width="18.85546875" style="1561" bestFit="1" customWidth="1"/>
    <col min="10" max="10" width="13.28515625" style="1561" customWidth="1"/>
    <col min="11" max="11" width="13.7109375" style="1561" customWidth="1"/>
    <col min="12" max="12" width="15.28515625" style="1561" customWidth="1"/>
    <col min="13" max="13" width="13.5703125" style="1561" bestFit="1" customWidth="1"/>
    <col min="14" max="14" width="13.5703125" style="1561" customWidth="1"/>
    <col min="15" max="15" width="11.5703125" style="1561" customWidth="1"/>
    <col min="16" max="16" width="16.7109375" style="1561" customWidth="1"/>
    <col min="17" max="17" width="13.42578125" style="1561" customWidth="1"/>
    <col min="18" max="18" width="16.7109375" style="1561" customWidth="1"/>
    <col min="19" max="19" width="18.85546875" style="1561" customWidth="1"/>
    <col min="20" max="20" width="13.42578125" style="1561" customWidth="1"/>
    <col min="21" max="21" width="11.7109375" style="1561" bestFit="1" customWidth="1"/>
    <col min="22" max="22" width="16.7109375" style="1561" customWidth="1"/>
    <col min="23" max="23" width="14.5703125" style="1561" bestFit="1" customWidth="1"/>
    <col min="24" max="24" width="13.7109375" style="1561" customWidth="1"/>
    <col min="25" max="25" width="16" style="1561" customWidth="1"/>
    <col min="26" max="26" width="15.85546875" style="1561" customWidth="1"/>
    <col min="27" max="27" width="13.140625" style="1561" customWidth="1"/>
    <col min="28" max="28" width="11.7109375" style="1561" bestFit="1" customWidth="1"/>
    <col min="29" max="29" width="9.140625" style="1561"/>
    <col min="30" max="30" width="11.28515625" style="1561" bestFit="1" customWidth="1"/>
    <col min="31" max="31" width="16.5703125" style="1561" bestFit="1" customWidth="1"/>
    <col min="32" max="16384" width="9.140625" style="1561"/>
  </cols>
  <sheetData>
    <row r="1" spans="1:30">
      <c r="A1" s="1558" t="s">
        <v>185</v>
      </c>
      <c r="B1" s="1559">
        <v>2012</v>
      </c>
      <c r="C1" s="1559">
        <v>2013</v>
      </c>
      <c r="D1" s="1559">
        <v>2014</v>
      </c>
      <c r="E1" s="1559">
        <v>2015</v>
      </c>
      <c r="F1" s="1559">
        <v>2016</v>
      </c>
      <c r="G1" s="1559">
        <v>2017</v>
      </c>
      <c r="H1" s="1559">
        <v>2018</v>
      </c>
      <c r="I1" s="1559">
        <v>2019</v>
      </c>
      <c r="J1" s="1559">
        <v>2020</v>
      </c>
      <c r="K1" s="1559">
        <v>2021</v>
      </c>
      <c r="L1" s="1559">
        <v>2022</v>
      </c>
      <c r="M1" s="1559">
        <v>2023</v>
      </c>
      <c r="N1" s="1559">
        <v>2024</v>
      </c>
      <c r="O1" s="1559">
        <v>2025</v>
      </c>
      <c r="P1" s="1559">
        <v>2026</v>
      </c>
      <c r="Q1" s="1559">
        <v>2027</v>
      </c>
      <c r="R1" s="1559">
        <v>2028</v>
      </c>
      <c r="S1" s="1559">
        <v>2029</v>
      </c>
      <c r="T1" s="1559">
        <v>2030</v>
      </c>
      <c r="U1" s="1559">
        <v>2031</v>
      </c>
      <c r="V1" s="1559">
        <v>2032</v>
      </c>
      <c r="W1" s="1559">
        <v>2033</v>
      </c>
      <c r="X1" s="1559">
        <v>2034</v>
      </c>
      <c r="Y1" s="1559">
        <v>2035</v>
      </c>
      <c r="Z1" s="1559">
        <v>2036</v>
      </c>
      <c r="AA1" s="1559">
        <v>2037</v>
      </c>
      <c r="AB1" s="1559">
        <v>2038</v>
      </c>
      <c r="AC1" s="1559">
        <v>2039</v>
      </c>
      <c r="AD1" s="1560">
        <v>2040</v>
      </c>
    </row>
    <row r="2" spans="1:30" ht="15.75" customHeight="1">
      <c r="A2" s="1562" t="s">
        <v>89</v>
      </c>
      <c r="B2" s="1563">
        <f>SUM('CAR Stock'!C79,'CAR Stock'!C108,'CAR Stock'!C137,'CAR Stock'!C166)</f>
        <v>1245203</v>
      </c>
      <c r="C2" s="1563">
        <f>SUM('CAR Stock'!D79,'CAR Stock'!D108,'CAR Stock'!D137,'CAR Stock'!D166)</f>
        <v>990672.64880857593</v>
      </c>
      <c r="D2" s="1563">
        <f>SUM('CAR Stock'!E79,'CAR Stock'!E108,'CAR Stock'!E137,'CAR Stock'!E166)</f>
        <v>813548.54049874051</v>
      </c>
      <c r="E2" s="1563">
        <f>SUM('CAR Stock'!F79,'CAR Stock'!F108,'CAR Stock'!F137,'CAR Stock'!F166)</f>
        <v>671895.81411441532</v>
      </c>
      <c r="F2" s="1563">
        <f>SUM('CAR Stock'!G79,'CAR Stock'!G108,'CAR Stock'!G137,'CAR Stock'!G166)</f>
        <v>545422.08035039878</v>
      </c>
      <c r="G2" s="1563">
        <f>SUM('CAR Stock'!H79,'CAR Stock'!H108,'CAR Stock'!H137,'CAR Stock'!H166)</f>
        <v>425751.30209755799</v>
      </c>
      <c r="H2" s="1563">
        <f>SUM('CAR Stock'!I79,'CAR Stock'!I108,'CAR Stock'!I137,'CAR Stock'!I166)</f>
        <v>314578.31970980926</v>
      </c>
      <c r="I2" s="1563">
        <f>SUM('CAR Stock'!J79,'CAR Stock'!J108,'CAR Stock'!J137,'CAR Stock'!J166)</f>
        <v>218280.1471493961</v>
      </c>
      <c r="J2" s="1563">
        <f>SUM('CAR Stock'!K79,'CAR Stock'!K108,'CAR Stock'!K137,'CAR Stock'!K166)</f>
        <v>142491.02011739381</v>
      </c>
      <c r="K2" s="1563">
        <f>SUM('CAR Stock'!L79,'CAR Stock'!L108,'CAR Stock'!L137,'CAR Stock'!L166)</f>
        <v>88509.56373910098</v>
      </c>
      <c r="L2" s="1563">
        <f>SUM('CAR Stock'!M79,'CAR Stock'!M108,'CAR Stock'!M137,'CAR Stock'!M166)</f>
        <v>52513.387274314526</v>
      </c>
      <c r="M2" s="1563">
        <f>SUM('CAR Stock'!N79,'CAR Stock'!N108,'CAR Stock'!N137,'CAR Stock'!N166)</f>
        <v>29248.720723045579</v>
      </c>
      <c r="N2" s="1563">
        <f>SUM('CAR Stock'!O79,'CAR Stock'!O108,'CAR Stock'!O137,'CAR Stock'!O166)</f>
        <v>14673.26704218502</v>
      </c>
      <c r="O2" s="1563">
        <f>SUM('CAR Stock'!P79,'CAR Stock'!P108,'CAR Stock'!P137,'CAR Stock'!P166)</f>
        <v>6288.1932040017318</v>
      </c>
      <c r="P2" s="1563">
        <f>SUM('CAR Stock'!Q79,'CAR Stock'!Q108,'CAR Stock'!Q137,'CAR Stock'!Q166)</f>
        <v>2218.7499953247757</v>
      </c>
      <c r="Q2" s="1563">
        <f>SUM('CAR Stock'!R79,'CAR Stock'!R108,'CAR Stock'!R137,'CAR Stock'!R166)</f>
        <v>633.76732076759583</v>
      </c>
      <c r="R2" s="1563">
        <f>SUM('CAR Stock'!S79,'CAR Stock'!S108,'CAR Stock'!S137,'CAR Stock'!S166)</f>
        <v>165.55511086130724</v>
      </c>
      <c r="S2" s="1563">
        <f>SUM('CAR Stock'!T79,'CAR Stock'!T108,'CAR Stock'!T137,'CAR Stock'!T166)</f>
        <v>39.05902255654771</v>
      </c>
      <c r="T2" s="1563">
        <f>SUM('CAR Stock'!U79,'CAR Stock'!U108,'CAR Stock'!U137,'CAR Stock'!U166)</f>
        <v>8.1896055118312212</v>
      </c>
      <c r="U2" s="1563">
        <f>SUM('CAR Stock'!V79,'CAR Stock'!V108,'CAR Stock'!V137,'CAR Stock'!V166)</f>
        <v>1.4938943417344119</v>
      </c>
      <c r="V2" s="1563">
        <f>SUM('CAR Stock'!W79,'CAR Stock'!W108,'CAR Stock'!W137,'CAR Stock'!W166)</f>
        <v>0.23027925334592844</v>
      </c>
      <c r="W2" s="1563">
        <f>SUM('CAR Stock'!X79,'CAR Stock'!X108,'CAR Stock'!X137,'CAR Stock'!X166)</f>
        <v>2.8764410167244576E-2</v>
      </c>
      <c r="X2" s="1563">
        <f>SUM('CAR Stock'!Y79,'CAR Stock'!Y108,'CAR Stock'!Y137,'CAR Stock'!Y166)</f>
        <v>2.7262355491673852E-3</v>
      </c>
      <c r="Y2" s="1563">
        <f>SUM('CAR Stock'!Z79,'CAR Stock'!Z108,'CAR Stock'!Z137,'CAR Stock'!Z166)</f>
        <v>1.7405407070535993E-4</v>
      </c>
      <c r="Z2" s="1563">
        <f>SUM('CAR Stock'!AA79,'CAR Stock'!AA108,'CAR Stock'!AA137,'CAR Stock'!AA166)</f>
        <v>5.6073148447562993E-6</v>
      </c>
      <c r="AA2" s="1563">
        <f>SUM('CAR Stock'!AB79,'CAR Stock'!AB108,'CAR Stock'!AB137,'CAR Stock'!AB166)</f>
        <v>0</v>
      </c>
      <c r="AB2" s="1563">
        <f>SUM('CAR Stock'!AC79,'CAR Stock'!AC108,'CAR Stock'!AC137,'CAR Stock'!AC166)</f>
        <v>0</v>
      </c>
      <c r="AC2" s="1563">
        <f>SUM('CAR Stock'!AD79,'CAR Stock'!AD108,'CAR Stock'!AD137,'CAR Stock'!AD166)</f>
        <v>0</v>
      </c>
      <c r="AD2" s="1564">
        <f>SUM('CAR Stock'!AE79,'CAR Stock'!AE108,'CAR Stock'!AE137,'CAR Stock'!AE166)</f>
        <v>0</v>
      </c>
    </row>
    <row r="3" spans="1:30">
      <c r="A3" s="1562" t="s">
        <v>186</v>
      </c>
      <c r="B3" s="1565">
        <f>('CAR Passenger Kilometres'!AI29+'CAR Passenger Kilometres'!AI58+'CAR Passenger Kilometres'!AI87+'CAR Passenger Kilometres'!AI116)/1000000</f>
        <v>27628.34814019885</v>
      </c>
      <c r="C3" s="1565">
        <f>('CAR Passenger Kilometres'!AJ29+'CAR Passenger Kilometres'!AJ58+'CAR Passenger Kilometres'!AJ87+'CAR Passenger Kilometres'!AJ116)/1000000</f>
        <v>22034.490476893363</v>
      </c>
      <c r="D3" s="1565">
        <f>('CAR Passenger Kilometres'!AK29+'CAR Passenger Kilometres'!AK58+'CAR Passenger Kilometres'!AK87+'CAR Passenger Kilometres'!AK116)/1000000</f>
        <v>18043.435240637573</v>
      </c>
      <c r="E3" s="1565">
        <f>('CAR Passenger Kilometres'!AL29+'CAR Passenger Kilometres'!AL58+'CAR Passenger Kilometres'!AL87+'CAR Passenger Kilometres'!AL116)/1000000</f>
        <v>14801.820616398334</v>
      </c>
      <c r="F3" s="1565">
        <f>('CAR Passenger Kilometres'!AM29+'CAR Passenger Kilometres'!AM58+'CAR Passenger Kilometres'!AM87+'CAR Passenger Kilometres'!AM116)/1000000</f>
        <v>11900.014387213241</v>
      </c>
      <c r="G3" s="1565">
        <f>('CAR Passenger Kilometres'!AN29+'CAR Passenger Kilometres'!AN58+'CAR Passenger Kilometres'!AN87+'CAR Passenger Kilometres'!AN116)/1000000</f>
        <v>9180.9065877201883</v>
      </c>
      <c r="H3" s="1565">
        <f>('CAR Passenger Kilometres'!AO29+'CAR Passenger Kilometres'!AO58+'CAR Passenger Kilometres'!AO87+'CAR Passenger Kilometres'!AO116)/1000000</f>
        <v>6694.863371315063</v>
      </c>
      <c r="I3" s="1565">
        <f>('CAR Passenger Kilometres'!AP29+'CAR Passenger Kilometres'!AP58+'CAR Passenger Kilometres'!AP87+'CAR Passenger Kilometres'!AP116)/1000000</f>
        <v>4579.5113132637352</v>
      </c>
      <c r="J3" s="1565">
        <f>('CAR Passenger Kilometres'!AQ29+'CAR Passenger Kilometres'!AQ58+'CAR Passenger Kilometres'!AQ87+'CAR Passenger Kilometres'!AQ116)/1000000</f>
        <v>2944.1704496739453</v>
      </c>
      <c r="K3" s="1565">
        <f>('CAR Passenger Kilometres'!AR29+'CAR Passenger Kilometres'!AR58+'CAR Passenger Kilometres'!AR87+'CAR Passenger Kilometres'!AR116)/1000000</f>
        <v>1799.3295141612646</v>
      </c>
      <c r="L3" s="1565">
        <f>('CAR Passenger Kilometres'!AS29+'CAR Passenger Kilometres'!AS58+'CAR Passenger Kilometres'!AS87+'CAR Passenger Kilometres'!AS116)/1000000</f>
        <v>1048.9034060486088</v>
      </c>
      <c r="M3" s="1565">
        <f>('CAR Passenger Kilometres'!AT29+'CAR Passenger Kilometres'!AT58+'CAR Passenger Kilometres'!AT87+'CAR Passenger Kilometres'!AT116)/1000000</f>
        <v>572.87527807741196</v>
      </c>
      <c r="N3" s="1565">
        <f>('CAR Passenger Kilometres'!AU29+'CAR Passenger Kilometres'!AU58+'CAR Passenger Kilometres'!AU87+'CAR Passenger Kilometres'!AU116)/1000000</f>
        <v>281.08602009610189</v>
      </c>
      <c r="O3" s="1565">
        <f>('CAR Passenger Kilometres'!AV29+'CAR Passenger Kilometres'!AV58+'CAR Passenger Kilometres'!AV87+'CAR Passenger Kilometres'!AV116)/1000000</f>
        <v>117.52212890471255</v>
      </c>
      <c r="P3" s="1565">
        <f>('CAR Passenger Kilometres'!AW29+'CAR Passenger Kilometres'!AW58+'CAR Passenger Kilometres'!AW87+'CAR Passenger Kilometres'!AW116)/1000000</f>
        <v>40.35064308558686</v>
      </c>
      <c r="Q3" s="1565">
        <f>('CAR Passenger Kilometres'!AX29+'CAR Passenger Kilometres'!AX58+'CAR Passenger Kilometres'!AX87+'CAR Passenger Kilometres'!AX116)/1000000</f>
        <v>11.204113321771704</v>
      </c>
      <c r="R3" s="1565">
        <f>('CAR Passenger Kilometres'!AY29+'CAR Passenger Kilometres'!AY58+'CAR Passenger Kilometres'!AY87+'CAR Passenger Kilometres'!AY116)/1000000</f>
        <v>2.8543321619898858</v>
      </c>
      <c r="S3" s="1565">
        <f>('CAR Passenger Kilometres'!AZ29+'CAR Passenger Kilometres'!AZ58+'CAR Passenger Kilometres'!AZ87+'CAR Passenger Kilometres'!AZ116)/1000000</f>
        <v>0.66578547584613212</v>
      </c>
      <c r="T3" s="1565">
        <f>('CAR Passenger Kilometres'!BA29+'CAR Passenger Kilometres'!BA58+'CAR Passenger Kilometres'!BA87+'CAR Passenger Kilometres'!BA116)/1000000</f>
        <v>0.13803562567884312</v>
      </c>
      <c r="U3" s="1565">
        <f>('CAR Passenger Kilometres'!BB29+'CAR Passenger Kilometres'!BB58+'CAR Passenger Kilometres'!BB87+'CAR Passenger Kilometres'!BB116)/1000000</f>
        <v>2.4908491171528654E-2</v>
      </c>
      <c r="V3" s="1565">
        <f>('CAR Passenger Kilometres'!BC29+'CAR Passenger Kilometres'!BC58+'CAR Passenger Kilometres'!BC87+'CAR Passenger Kilometres'!BC116)/1000000</f>
        <v>3.8007545149678925E-3</v>
      </c>
      <c r="W3" s="1565">
        <f>('CAR Passenger Kilometres'!BD29+'CAR Passenger Kilometres'!BD58+'CAR Passenger Kilometres'!BD87+'CAR Passenger Kilometres'!BD116)/1000000</f>
        <v>4.7035449779580905E-4</v>
      </c>
      <c r="X3" s="1565">
        <f>('CAR Passenger Kilometres'!BE29+'CAR Passenger Kilometres'!BE58+'CAR Passenger Kilometres'!BE87+'CAR Passenger Kilometres'!BE116)/1000000</f>
        <v>4.4208462845580873E-5</v>
      </c>
      <c r="Y3" s="1565">
        <f>('CAR Passenger Kilometres'!BF29+'CAR Passenger Kilometres'!BF58+'CAR Passenger Kilometres'!BF87+'CAR Passenger Kilometres'!BF116)/1000000</f>
        <v>2.8017994661687527E-6</v>
      </c>
      <c r="Z3" s="1565">
        <f>('CAR Passenger Kilometres'!BG29+'CAR Passenger Kilometres'!BG58+'CAR Passenger Kilometres'!BG87+'CAR Passenger Kilometres'!BG116)/1000000</f>
        <v>8.9691980532421353E-8</v>
      </c>
      <c r="AA3" s="1565">
        <f>('CAR Passenger Kilometres'!BH29+'CAR Passenger Kilometres'!BH58+'CAR Passenger Kilometres'!BH87+'CAR Passenger Kilometres'!BH116)/1000000</f>
        <v>0</v>
      </c>
      <c r="AB3" s="1565">
        <f>('CAR Passenger Kilometres'!BI29+'CAR Passenger Kilometres'!BI58+'CAR Passenger Kilometres'!BI87+'CAR Passenger Kilometres'!BI116)/1000000</f>
        <v>0</v>
      </c>
      <c r="AC3" s="1565">
        <f>('CAR Passenger Kilometres'!BJ29+'CAR Passenger Kilometres'!BJ58+'CAR Passenger Kilometres'!BJ87+'CAR Passenger Kilometres'!BJ116)/1000000</f>
        <v>0</v>
      </c>
      <c r="AD3" s="1566">
        <f>('CAR Passenger Kilometres'!BK29+'CAR Passenger Kilometres'!BK58+'CAR Passenger Kilometres'!BK87+'CAR Passenger Kilometres'!BK116)/1000000</f>
        <v>0</v>
      </c>
    </row>
    <row r="4" spans="1:30">
      <c r="A4" s="1562" t="s">
        <v>648</v>
      </c>
      <c r="B4" s="1567">
        <f>(1+$O$55)*SUMPRODUCT('CAR SEC'!AH30:AH33,'CAR SEC'!AH48:AH51)/SUM('CAR SEC'!AH48:AH51)</f>
        <v>1.9215163156394002</v>
      </c>
      <c r="C4" s="1567">
        <f>SUMPRODUCT('CAR SEC'!AI30:AI33,'CAR SEC'!AI48:AI51)/SUM('CAR SEC'!AI48:AI51)</f>
        <v>1.4500036929870661</v>
      </c>
      <c r="D4" s="1567">
        <f>SUMPRODUCT('CAR SEC'!AJ30:AJ33,'CAR SEC'!AJ48:AJ51)/SUM('CAR SEC'!AJ48:AJ51)</f>
        <v>1.4393487427198102</v>
      </c>
      <c r="E4" s="1567">
        <f>SUMPRODUCT('CAR SEC'!AK30:AK33,'CAR SEC'!AK48:AK51)/SUM('CAR SEC'!AK48:AK51)</f>
        <v>1.4276527822833951</v>
      </c>
      <c r="F4" s="1567">
        <f>SUMPRODUCT('CAR SEC'!AL30:AL33,'CAR SEC'!AL48:AL51)/SUM('CAR SEC'!AL48:AL51)</f>
        <v>1.413232672456934</v>
      </c>
      <c r="G4" s="1567">
        <f>SUMPRODUCT('CAR SEC'!AM30:AM33,'CAR SEC'!AM48:AM51)/SUM('CAR SEC'!AM48:AM51)</f>
        <v>1.3947848497079394</v>
      </c>
      <c r="H4" s="1567">
        <f>SUMPRODUCT('CAR SEC'!AN30:AN33,'CAR SEC'!AN48:AN51)/SUM('CAR SEC'!AN48:AN51)</f>
        <v>1.370587841225529</v>
      </c>
      <c r="I4" s="1567">
        <f>SUMPRODUCT('CAR SEC'!AO30:AO33,'CAR SEC'!AO48:AO51)/SUM('CAR SEC'!AO48:AO51)</f>
        <v>1.3387249945270612</v>
      </c>
      <c r="J4" s="1567">
        <f>SUMPRODUCT('CAR SEC'!AP30:AP33,'CAR SEC'!AP48:AP51)/SUM('CAR SEC'!AP48:AP51)</f>
        <v>1.2987481682175568</v>
      </c>
      <c r="K4" s="1567">
        <f>SUMPRODUCT('CAR SEC'!AQ30:AQ33,'CAR SEC'!AQ48:AQ51)/SUM('CAR SEC'!AQ48:AQ51)</f>
        <v>1.254010167722873</v>
      </c>
      <c r="L4" s="1567">
        <f>SUMPRODUCT('CAR SEC'!AR30:AR33,'CAR SEC'!AR48:AR51)/SUM('CAR SEC'!AR48:AR51)</f>
        <v>1.2119508790484361</v>
      </c>
      <c r="M4" s="1567">
        <f>SUMPRODUCT('CAR SEC'!AS30:AS33,'CAR SEC'!AS48:AS51)/SUM('CAR SEC'!AS48:AS51)</f>
        <v>1.1792151552177703</v>
      </c>
      <c r="N4" s="1567">
        <f>SUMPRODUCT('CAR SEC'!AT30:AT33,'CAR SEC'!AT48:AT51)/SUM('CAR SEC'!AT48:AT51)</f>
        <v>1.1566754391140612</v>
      </c>
      <c r="O4" s="1567">
        <f>SUMPRODUCT('CAR SEC'!AU30:AU33,'CAR SEC'!AU48:AU51)/SUM('CAR SEC'!AU48:AU51)</f>
        <v>1.1400431753414451</v>
      </c>
      <c r="P4" s="1567">
        <f>SUMPRODUCT('CAR SEC'!AV30:AV33,'CAR SEC'!AV48:AV51)/SUM('CAR SEC'!AV48:AV51)</f>
        <v>1.1265841257398668</v>
      </c>
      <c r="Q4" s="1567">
        <f>SUMPRODUCT('CAR SEC'!AW30:AW33,'CAR SEC'!AW48:AW51)/SUM('CAR SEC'!AW48:AW51)</f>
        <v>1.1161908899703707</v>
      </c>
      <c r="R4" s="1567">
        <f>SUMPRODUCT('CAR SEC'!AX30:AX33,'CAR SEC'!AX48:AX51)/SUM('CAR SEC'!AX48:AX51)</f>
        <v>1.1060191801802493</v>
      </c>
      <c r="S4" s="1567">
        <f>SUMPRODUCT('CAR SEC'!AY30:AY33,'CAR SEC'!AY48:AY51)/SUM('CAR SEC'!AY48:AY51)</f>
        <v>1.0961588732505945</v>
      </c>
      <c r="T4" s="1567">
        <f>SUMPRODUCT('CAR SEC'!AZ30:AZ33,'CAR SEC'!AZ48:AZ51)/SUM('CAR SEC'!AZ48:AZ51)</f>
        <v>1.0867205447335</v>
      </c>
      <c r="U4" s="1567">
        <f>SUMPRODUCT('CAR SEC'!BA30:BA33,'CAR SEC'!BA48:BA51)/SUM('CAR SEC'!BA48:BA51)</f>
        <v>1.0778169348007121</v>
      </c>
      <c r="V4" s="1567">
        <f>SUMPRODUCT('CAR SEC'!BB30:BB33,'CAR SEC'!BB48:BB51)/SUM('CAR SEC'!BB48:BB51)</f>
        <v>1.0695454085084977</v>
      </c>
      <c r="W4" s="1567">
        <f>SUMPRODUCT('CAR SEC'!BC30:BC33,'CAR SEC'!BC48:BC51)/SUM('CAR SEC'!BC48:BC51)</f>
        <v>1.0619752053420017</v>
      </c>
      <c r="X4" s="1567">
        <f>SUMPRODUCT('CAR SEC'!BD30:BD33,'CAR SEC'!BD48:BD51)/SUM('CAR SEC'!BD48:BD51)</f>
        <v>1.0551414181595955</v>
      </c>
      <c r="Y4" s="1567">
        <f>SUMPRODUCT('CAR SEC'!BE30:BE33,'CAR SEC'!BE48:BE51)/SUM('CAR SEC'!BE48:BE51)</f>
        <v>1.0490455453428655</v>
      </c>
      <c r="Z4" s="1567">
        <f>SUMPRODUCT('CAR SEC'!BF30:BF33,'CAR SEC'!BF48:BF51)/SUM('CAR SEC'!BF48:BF51)</f>
        <v>1.0436609444575726</v>
      </c>
      <c r="AA4" s="1567">
        <v>0</v>
      </c>
      <c r="AB4" s="1567" t="s">
        <v>178</v>
      </c>
      <c r="AC4" s="1567" t="s">
        <v>178</v>
      </c>
      <c r="AD4" s="1568" t="s">
        <v>178</v>
      </c>
    </row>
    <row r="5" spans="1:30" ht="15.75" thickBot="1">
      <c r="A5" s="1569" t="s">
        <v>232</v>
      </c>
      <c r="B5" s="1570">
        <f>B4*B3</f>
        <v>53088.321725557566</v>
      </c>
      <c r="C5" s="1570">
        <f t="shared" ref="C5:AD5" si="0">C4*C3/$I$58</f>
        <v>21414.105773097053</v>
      </c>
      <c r="D5" s="1570">
        <f t="shared" si="0"/>
        <v>17406.565184348678</v>
      </c>
      <c r="E5" s="1570">
        <f t="shared" si="0"/>
        <v>14163.335914298897</v>
      </c>
      <c r="F5" s="1570">
        <f t="shared" si="0"/>
        <v>11271.688507342504</v>
      </c>
      <c r="G5" s="1570">
        <f t="shared" si="0"/>
        <v>8582.6343960387549</v>
      </c>
      <c r="H5" s="1570">
        <f t="shared" si="0"/>
        <v>6150.0184113722989</v>
      </c>
      <c r="I5" s="1570">
        <f t="shared" si="0"/>
        <v>4109.020717315082</v>
      </c>
      <c r="J5" s="1570">
        <f t="shared" si="0"/>
        <v>2562.8059300633722</v>
      </c>
      <c r="K5" s="1570">
        <f t="shared" si="0"/>
        <v>1512.3056835115253</v>
      </c>
      <c r="L5" s="1570">
        <f t="shared" si="0"/>
        <v>852.01714969694535</v>
      </c>
      <c r="M5" s="1570">
        <f t="shared" si="0"/>
        <v>452.77345357001963</v>
      </c>
      <c r="N5" s="1570">
        <f t="shared" si="0"/>
        <v>217.91071365626345</v>
      </c>
      <c r="O5" s="1570">
        <f t="shared" si="0"/>
        <v>89.798435842634277</v>
      </c>
      <c r="P5" s="1570">
        <f t="shared" si="0"/>
        <v>30.467857163302096</v>
      </c>
      <c r="Q5" s="1570">
        <f t="shared" si="0"/>
        <v>8.381925359549232</v>
      </c>
      <c r="R5" s="1570">
        <f t="shared" si="0"/>
        <v>2.1158992872762505</v>
      </c>
      <c r="S5" s="1570">
        <f t="shared" si="0"/>
        <v>0.48914277528186872</v>
      </c>
      <c r="T5" s="1570">
        <f t="shared" si="0"/>
        <v>0.10053953876020302</v>
      </c>
      <c r="U5" s="1570">
        <f t="shared" si="0"/>
        <v>1.799369052731347E-2</v>
      </c>
      <c r="V5" s="1570">
        <f t="shared" si="0"/>
        <v>2.7245631003160603E-3</v>
      </c>
      <c r="W5" s="1570">
        <f t="shared" si="0"/>
        <v>3.3478616400524976E-4</v>
      </c>
      <c r="X5" s="1570">
        <f t="shared" si="0"/>
        <v>3.1263954378202235E-5</v>
      </c>
      <c r="Y5" s="1570">
        <f t="shared" si="0"/>
        <v>1.9699681965935961E-6</v>
      </c>
      <c r="Z5" s="1570">
        <f t="shared" si="0"/>
        <v>6.2739473308569694E-8</v>
      </c>
      <c r="AA5" s="1570">
        <f t="shared" si="0"/>
        <v>0</v>
      </c>
      <c r="AB5" s="1570" t="e">
        <f t="shared" si="0"/>
        <v>#VALUE!</v>
      </c>
      <c r="AC5" s="1570" t="e">
        <f t="shared" si="0"/>
        <v>#VALUE!</v>
      </c>
      <c r="AD5" s="1571" t="e">
        <f t="shared" si="0"/>
        <v>#VALUE!</v>
      </c>
    </row>
    <row r="6" spans="1:30" ht="15.75" thickBot="1">
      <c r="A6" s="1572"/>
      <c r="B6" s="1573"/>
    </row>
    <row r="7" spans="1:30">
      <c r="A7" s="1558" t="s">
        <v>187</v>
      </c>
      <c r="B7" s="1559">
        <v>2012</v>
      </c>
      <c r="C7" s="1559">
        <v>2013</v>
      </c>
      <c r="D7" s="1559">
        <v>2014</v>
      </c>
      <c r="E7" s="1559">
        <v>2015</v>
      </c>
      <c r="F7" s="1559">
        <v>2016</v>
      </c>
      <c r="G7" s="1559">
        <v>2017</v>
      </c>
      <c r="H7" s="1559">
        <v>2018</v>
      </c>
      <c r="I7" s="1559">
        <v>2019</v>
      </c>
      <c r="J7" s="1559">
        <v>2020</v>
      </c>
      <c r="K7" s="1559">
        <v>2021</v>
      </c>
      <c r="L7" s="1559">
        <v>2022</v>
      </c>
      <c r="M7" s="1559">
        <v>2023</v>
      </c>
      <c r="N7" s="1559">
        <v>2024</v>
      </c>
      <c r="O7" s="1559">
        <v>2025</v>
      </c>
      <c r="P7" s="1559">
        <v>2026</v>
      </c>
      <c r="Q7" s="1559">
        <v>2027</v>
      </c>
      <c r="R7" s="1559">
        <v>2028</v>
      </c>
      <c r="S7" s="1559">
        <v>2029</v>
      </c>
      <c r="T7" s="1559">
        <v>2030</v>
      </c>
      <c r="U7" s="1559">
        <v>2031</v>
      </c>
      <c r="V7" s="1559">
        <v>2032</v>
      </c>
      <c r="W7" s="1559">
        <v>2033</v>
      </c>
      <c r="X7" s="1559">
        <v>2034</v>
      </c>
      <c r="Y7" s="1559">
        <v>2035</v>
      </c>
      <c r="Z7" s="1559">
        <v>2036</v>
      </c>
      <c r="AA7" s="1559">
        <v>2037</v>
      </c>
      <c r="AB7" s="1559">
        <v>2038</v>
      </c>
      <c r="AC7" s="1559">
        <v>2039</v>
      </c>
      <c r="AD7" s="1560">
        <v>2040</v>
      </c>
    </row>
    <row r="8" spans="1:30">
      <c r="A8" s="1562" t="s">
        <v>89</v>
      </c>
      <c r="B8" s="1563">
        <f>SUM('CAR Stock'!C195,'CAR Stock'!C224,'CAR Stock'!C253,'CAR Stock'!C282)</f>
        <v>621105</v>
      </c>
      <c r="C8" s="1563">
        <f>SUM('CAR Stock'!D195,'CAR Stock'!D224,'CAR Stock'!D253,'CAR Stock'!D282)</f>
        <v>600842.18673592946</v>
      </c>
      <c r="D8" s="1563">
        <f>SUM('CAR Stock'!E195,'CAR Stock'!E224,'CAR Stock'!E253,'CAR Stock'!E282)</f>
        <v>582466.58402476332</v>
      </c>
      <c r="E8" s="1563">
        <f>SUM('CAR Stock'!F195,'CAR Stock'!F224,'CAR Stock'!F253,'CAR Stock'!F282)</f>
        <v>561102.9658047969</v>
      </c>
      <c r="F8" s="1563">
        <f>SUM('CAR Stock'!G195,'CAR Stock'!G224,'CAR Stock'!G253,'CAR Stock'!G282)</f>
        <v>534074.32904326986</v>
      </c>
      <c r="G8" s="1563">
        <f>SUM('CAR Stock'!H195,'CAR Stock'!H224,'CAR Stock'!H253,'CAR Stock'!H282)</f>
        <v>499971.64345949388</v>
      </c>
      <c r="H8" s="1563">
        <f>SUM('CAR Stock'!I195,'CAR Stock'!I224,'CAR Stock'!I253,'CAR Stock'!I282)</f>
        <v>458950.49617350858</v>
      </c>
      <c r="I8" s="1563">
        <f>SUM('CAR Stock'!J195,'CAR Stock'!J224,'CAR Stock'!J253,'CAR Stock'!J282)</f>
        <v>411711.55421170295</v>
      </c>
      <c r="J8" s="1563">
        <f>SUM('CAR Stock'!K195,'CAR Stock'!K224,'CAR Stock'!K253,'CAR Stock'!K282)</f>
        <v>359158.027824877</v>
      </c>
      <c r="K8" s="1563">
        <f>SUM('CAR Stock'!L195,'CAR Stock'!L224,'CAR Stock'!L253,'CAR Stock'!L282)</f>
        <v>301691.59196178487</v>
      </c>
      <c r="L8" s="1563">
        <f>SUM('CAR Stock'!M195,'CAR Stock'!M224,'CAR Stock'!M253,'CAR Stock'!M282)</f>
        <v>243372.07967354485</v>
      </c>
      <c r="M8" s="1563">
        <f>SUM('CAR Stock'!N195,'CAR Stock'!N224,'CAR Stock'!N253,'CAR Stock'!N282)</f>
        <v>185458.89429978997</v>
      </c>
      <c r="N8" s="1563">
        <f>SUM('CAR Stock'!O195,'CAR Stock'!O224,'CAR Stock'!O253,'CAR Stock'!O282)</f>
        <v>128347.5402760443</v>
      </c>
      <c r="O8" s="1563">
        <f>SUM('CAR Stock'!P195,'CAR Stock'!P224,'CAR Stock'!P253,'CAR Stock'!P282)</f>
        <v>75032.528575453383</v>
      </c>
      <c r="P8" s="1563">
        <f>SUM('CAR Stock'!Q195,'CAR Stock'!Q224,'CAR Stock'!Q253,'CAR Stock'!Q282)</f>
        <v>35550.106914526776</v>
      </c>
      <c r="Q8" s="1563">
        <f>SUM('CAR Stock'!R195,'CAR Stock'!R224,'CAR Stock'!R253,'CAR Stock'!R282)</f>
        <v>13677.193768777182</v>
      </c>
      <c r="R8" s="1563">
        <f>SUM('CAR Stock'!S195,'CAR Stock'!S224,'CAR Stock'!S253,'CAR Stock'!S282)</f>
        <v>4797.1219386277398</v>
      </c>
      <c r="S8" s="1563">
        <f>SUM('CAR Stock'!T195,'CAR Stock'!T224,'CAR Stock'!T253,'CAR Stock'!T282)</f>
        <v>1511.9766173225548</v>
      </c>
      <c r="T8" s="1563">
        <f>SUM('CAR Stock'!U195,'CAR Stock'!U224,'CAR Stock'!U253,'CAR Stock'!U282)</f>
        <v>420.82882542132154</v>
      </c>
      <c r="U8" s="1563">
        <f>SUM('CAR Stock'!V195,'CAR Stock'!V224,'CAR Stock'!V253,'CAR Stock'!V282)</f>
        <v>101.17601532322468</v>
      </c>
      <c r="V8" s="1563">
        <f>SUM('CAR Stock'!W195,'CAR Stock'!W224,'CAR Stock'!W253,'CAR Stock'!W282)</f>
        <v>20.403751794939986</v>
      </c>
      <c r="W8" s="1563">
        <f>SUM('CAR Stock'!X195,'CAR Stock'!X224,'CAR Stock'!X253,'CAR Stock'!X282)</f>
        <v>3.3102523963217645</v>
      </c>
      <c r="X8" s="1563">
        <f>SUM('CAR Stock'!Y195,'CAR Stock'!Y224,'CAR Stock'!Y253,'CAR Stock'!Y282)</f>
        <v>0.40474542459506513</v>
      </c>
      <c r="Y8" s="1563">
        <f>SUM('CAR Stock'!Z195,'CAR Stock'!Z224,'CAR Stock'!Z253,'CAR Stock'!Z282)</f>
        <v>3.3134620476365284E-2</v>
      </c>
      <c r="Z8" s="1563">
        <f>SUM('CAR Stock'!AA195,'CAR Stock'!AA224,'CAR Stock'!AA253,'CAR Stock'!AA282)</f>
        <v>1.3616248578768335E-3</v>
      </c>
      <c r="AA8" s="1563">
        <f>SUM('CAR Stock'!AB195,'CAR Stock'!AB224,'CAR Stock'!AB253,'CAR Stock'!AB282)</f>
        <v>0</v>
      </c>
      <c r="AB8" s="1563">
        <f>SUM('CAR Stock'!AC195,'CAR Stock'!AC224,'CAR Stock'!AC253,'CAR Stock'!AC282)</f>
        <v>0</v>
      </c>
      <c r="AC8" s="1563">
        <f>SUM('CAR Stock'!AD195,'CAR Stock'!AD224,'CAR Stock'!AD253,'CAR Stock'!AD282)</f>
        <v>0</v>
      </c>
      <c r="AD8" s="1564">
        <f>SUM('CAR Stock'!AE195,'CAR Stock'!AE224,'CAR Stock'!AE253,'CAR Stock'!AE282)</f>
        <v>0</v>
      </c>
    </row>
    <row r="9" spans="1:30">
      <c r="A9" s="1562" t="s">
        <v>186</v>
      </c>
      <c r="B9" s="1565">
        <f>SUM('CAR Passenger Kilometres'!AI145+'CAR Passenger Kilometres'!AI174+'CAR Passenger Kilometres'!AI203+'CAR Passenger Kilometres'!AI232)/1000000</f>
        <v>21969.04585280535</v>
      </c>
      <c r="C9" s="1565">
        <f>SUM('CAR Passenger Kilometres'!AJ145,'CAR Passenger Kilometres'!AJ174,'CAR Passenger Kilometres'!AJ203,'CAR Passenger Kilometres'!AJ232)/1000000</f>
        <v>20927.650792845765</v>
      </c>
      <c r="D9" s="1565">
        <f>SUM('CAR Passenger Kilometres'!AK145,'CAR Passenger Kilometres'!AK174,'CAR Passenger Kilometres'!AK203,'CAR Passenger Kilometres'!AK232)/1000000</f>
        <v>19955.793848083711</v>
      </c>
      <c r="E9" s="1565">
        <f>SUM('CAR Passenger Kilometres'!AL145,'CAR Passenger Kilometres'!AL174,'CAR Passenger Kilometres'!AL203,'CAR Passenger Kilometres'!AL232)/1000000</f>
        <v>18909.984468103285</v>
      </c>
      <c r="F9" s="1565">
        <f>SUM('CAR Passenger Kilometres'!AM145,'CAR Passenger Kilometres'!AM174,'CAR Passenger Kilometres'!AM203,'CAR Passenger Kilometres'!AM232)/1000000</f>
        <v>17714.367786892239</v>
      </c>
      <c r="G9" s="1565">
        <f>SUM('CAR Passenger Kilometres'!AN145,'CAR Passenger Kilometres'!AN174,'CAR Passenger Kilometres'!AN203,'CAR Passenger Kilometres'!AN232)/1000000</f>
        <v>16331.502180981453</v>
      </c>
      <c r="H9" s="1565">
        <f>SUM('CAR Passenger Kilometres'!AO145,'CAR Passenger Kilometres'!AO174,'CAR Passenger Kilometres'!AO203,'CAR Passenger Kilometres'!AO232)/1000000</f>
        <v>14771.924114891832</v>
      </c>
      <c r="I9" s="1565">
        <f>SUM('CAR Passenger Kilometres'!AP145,'CAR Passenger Kilometres'!AP174,'CAR Passenger Kilometres'!AP203,'CAR Passenger Kilometres'!AP232)/1000000</f>
        <v>13062.055736053715</v>
      </c>
      <c r="J9" s="1565">
        <f>SUM('CAR Passenger Kilometres'!AQ145,'CAR Passenger Kilometres'!AQ174,'CAR Passenger Kilometres'!AQ203,'CAR Passenger Kilometres'!AQ232)/1000000</f>
        <v>11232.199963703015</v>
      </c>
      <c r="K9" s="1565">
        <f>SUM('CAR Passenger Kilometres'!AR145,'CAR Passenger Kilometres'!AR174,'CAR Passenger Kilometres'!AR203,'CAR Passenger Kilometres'!AR232)/1000000</f>
        <v>9300.6560026805164</v>
      </c>
      <c r="L9" s="1565">
        <f>SUM('CAR Passenger Kilometres'!AS145,'CAR Passenger Kilometres'!AS174,'CAR Passenger Kilometres'!AS203,'CAR Passenger Kilometres'!AS232)/1000000</f>
        <v>7396.208849665647</v>
      </c>
      <c r="M9" s="1565">
        <f>SUM('CAR Passenger Kilometres'!AT145,'CAR Passenger Kilometres'!AT174,'CAR Passenger Kilometres'!AT203,'CAR Passenger Kilometres'!AT232)/1000000</f>
        <v>5550.8420809382824</v>
      </c>
      <c r="N9" s="1565">
        <f>SUM('CAR Passenger Kilometres'!AU145,'CAR Passenger Kilometres'!AU174,'CAR Passenger Kilometres'!AU203,'CAR Passenger Kilometres'!AU232)/1000000</f>
        <v>3776.2283614784546</v>
      </c>
      <c r="O9" s="1565">
        <f>SUM('CAR Passenger Kilometres'!AV145,'CAR Passenger Kilometres'!AV174,'CAR Passenger Kilometres'!AV203,'CAR Passenger Kilometres'!AV232)/1000000</f>
        <v>2166.0354921431963</v>
      </c>
      <c r="P9" s="1565">
        <f>SUM('CAR Passenger Kilometres'!AW145,'CAR Passenger Kilometres'!AW174,'CAR Passenger Kilometres'!AW203,'CAR Passenger Kilometres'!AW232)/1000000</f>
        <v>1005.5582430088343</v>
      </c>
      <c r="Q9" s="1565">
        <f>SUM('CAR Passenger Kilometres'!AX145,'CAR Passenger Kilometres'!AX174,'CAR Passenger Kilometres'!AX203,'CAR Passenger Kilometres'!AX232)/1000000</f>
        <v>378.5882990859933</v>
      </c>
      <c r="R9" s="1565">
        <f>SUM('CAR Passenger Kilometres'!AY145,'CAR Passenger Kilometres'!AY174,'CAR Passenger Kilometres'!AY203,'CAR Passenger Kilometres'!AY232)/1000000</f>
        <v>130.54807750898067</v>
      </c>
      <c r="S9" s="1565">
        <f>SUM('CAR Passenger Kilometres'!AZ145,'CAR Passenger Kilometres'!AZ174,'CAR Passenger Kilometres'!AZ203,'CAR Passenger Kilometres'!AZ232)/1000000</f>
        <v>40.973746242740042</v>
      </c>
      <c r="T9" s="1565">
        <f>SUM('CAR Passenger Kilometres'!BA145,'CAR Passenger Kilometres'!BA174,'CAR Passenger Kilometres'!BA203,'CAR Passenger Kilometres'!BA232)/1000000</f>
        <v>11.359201597454168</v>
      </c>
      <c r="U9" s="1565">
        <f>SUM('CAR Passenger Kilometres'!BB145,'CAR Passenger Kilometres'!BB174,'CAR Passenger Kilometres'!BB203,'CAR Passenger Kilometres'!BB232)/1000000</f>
        <v>2.7208384353473529</v>
      </c>
      <c r="V9" s="1565">
        <f>SUM('CAR Passenger Kilometres'!BC145,'CAR Passenger Kilometres'!BC174,'CAR Passenger Kilometres'!BC203,'CAR Passenger Kilometres'!BC232)/1000000</f>
        <v>0.54677461688840368</v>
      </c>
      <c r="W9" s="1565">
        <f>SUM('CAR Passenger Kilometres'!BD145,'CAR Passenger Kilometres'!BD174,'CAR Passenger Kilometres'!BD203,'CAR Passenger Kilometres'!BD232)/1000000</f>
        <v>8.8412229948742663E-2</v>
      </c>
      <c r="X9" s="1565">
        <f>SUM('CAR Passenger Kilometres'!BE145,'CAR Passenger Kilometres'!BE174,'CAR Passenger Kilometres'!BE203,'CAR Passenger Kilometres'!BE232)/1000000</f>
        <v>1.0775975595725991E-2</v>
      </c>
      <c r="Y9" s="1565">
        <f>SUM('CAR Passenger Kilometres'!BF145,'CAR Passenger Kilometres'!BF174,'CAR Passenger Kilometres'!BF203,'CAR Passenger Kilometres'!BF232)/1000000</f>
        <v>8.7951402154659596E-4</v>
      </c>
      <c r="Z9" s="1565">
        <f>SUM('CAR Passenger Kilometres'!BG145,'CAR Passenger Kilometres'!BG174,'CAR Passenger Kilometres'!BG203,'CAR Passenger Kilometres'!BG232)/1000000</f>
        <v>3.6038008188632426E-5</v>
      </c>
      <c r="AA9" s="1565">
        <f>SUM('CAR Passenger Kilometres'!BH145,'CAR Passenger Kilometres'!BH174,'CAR Passenger Kilometres'!BH203,'CAR Passenger Kilometres'!BH232)/1000000</f>
        <v>0</v>
      </c>
      <c r="AB9" s="1565">
        <f>SUM('CAR Passenger Kilometres'!BI145,'CAR Passenger Kilometres'!BI174,'CAR Passenger Kilometres'!BI203,'CAR Passenger Kilometres'!BI232)/1000000</f>
        <v>0</v>
      </c>
      <c r="AC9" s="1565">
        <f>SUM('CAR Passenger Kilometres'!BJ145,'CAR Passenger Kilometres'!BJ174,'CAR Passenger Kilometres'!BJ203,'CAR Passenger Kilometres'!BJ232)/1000000</f>
        <v>0</v>
      </c>
      <c r="AD9" s="1566">
        <f>SUM('CAR Passenger Kilometres'!BK145,'CAR Passenger Kilometres'!BK174,'CAR Passenger Kilometres'!BK203,'CAR Passenger Kilometres'!BK232)/1000000</f>
        <v>0</v>
      </c>
    </row>
    <row r="10" spans="1:30">
      <c r="A10" s="1562" t="s">
        <v>648</v>
      </c>
      <c r="B10" s="1567">
        <f>(1+$O$55)*(SUMPRODUCT('CAR SEC'!AH34:AH37,'CAR SEC'!AH52:AH55)/SUM('CAR SEC'!AH52:AH55))</f>
        <v>1.7822540143092303</v>
      </c>
      <c r="C10" s="1567">
        <f>SUMPRODUCT('CAR SEC'!AI34:AI37,'CAR SEC'!AI52:AI55)/SUM('CAR SEC'!AI52:AI55)</f>
        <v>1.3502402190833851</v>
      </c>
      <c r="D10" s="1567">
        <f>SUMPRODUCT('CAR SEC'!AJ34:AJ37,'CAR SEC'!AJ52:AJ55)/SUM('CAR SEC'!AJ52:AJ55)</f>
        <v>1.3442084636737204</v>
      </c>
      <c r="E10" s="1567">
        <f>SUMPRODUCT('CAR SEC'!AK34:AK37,'CAR SEC'!AK52:AK55)/SUM('CAR SEC'!AK52:AK55)</f>
        <v>1.3368475437982863</v>
      </c>
      <c r="F10" s="1567">
        <f>SUMPRODUCT('CAR SEC'!AL34:AL37,'CAR SEC'!AL52:AL55)/SUM('CAR SEC'!AL52:AL55)</f>
        <v>1.3269560753124443</v>
      </c>
      <c r="G10" s="1567">
        <f>SUMPRODUCT('CAR SEC'!AM34:AM37,'CAR SEC'!AM52:AM55)/SUM('CAR SEC'!AM52:AM55)</f>
        <v>1.3124776066503989</v>
      </c>
      <c r="H10" s="1567">
        <f>SUMPRODUCT('CAR SEC'!AN34:AN37,'CAR SEC'!AN52:AN55)/SUM('CAR SEC'!AN52:AN55)</f>
        <v>1.291631181338718</v>
      </c>
      <c r="I10" s="1567">
        <f>SUMPRODUCT('CAR SEC'!AO34:AO37,'CAR SEC'!AO52:AO55)/SUM('CAR SEC'!AO52:AO55)</f>
        <v>1.2652448183983482</v>
      </c>
      <c r="J10" s="1567">
        <f>SUMPRODUCT('CAR SEC'!AP34:AP37,'CAR SEC'!AP52:AP55)/SUM('CAR SEC'!AP52:AP55)</f>
        <v>1.2366026780204367</v>
      </c>
      <c r="K10" s="1567">
        <f>SUMPRODUCT('CAR SEC'!AQ34:AQ37,'CAR SEC'!AQ52:AQ55)/SUM('CAR SEC'!AQ52:AQ55)</f>
        <v>1.2085516703908554</v>
      </c>
      <c r="L10" s="1567">
        <f>SUMPRODUCT('CAR SEC'!AR34:AR37,'CAR SEC'!AR52:AR55)/SUM('CAR SEC'!AR52:AR55)</f>
        <v>1.1824967551930323</v>
      </c>
      <c r="M10" s="1567">
        <f>SUMPRODUCT('CAR SEC'!AS34:AS37,'CAR SEC'!AS52:AS55)/SUM('CAR SEC'!AS52:AS55)</f>
        <v>1.1591763416176226</v>
      </c>
      <c r="N10" s="1567">
        <f>SUMPRODUCT('CAR SEC'!AT34:AT37,'CAR SEC'!AT52:AT55)/SUM('CAR SEC'!AT52:AT55)</f>
        <v>1.1387460263367355</v>
      </c>
      <c r="O10" s="1567">
        <f>SUMPRODUCT('CAR SEC'!AU34:AU37,'CAR SEC'!AU52:AU55)/SUM('CAR SEC'!AU52:AU55)</f>
        <v>1.1222760414837243</v>
      </c>
      <c r="P10" s="1567">
        <f>SUMPRODUCT('CAR SEC'!AV34:AV37,'CAR SEC'!AV52:AV55)/SUM('CAR SEC'!AV52:AV55)</f>
        <v>1.1095402987288201</v>
      </c>
      <c r="Q10" s="1567">
        <f>SUMPRODUCT('CAR SEC'!AW34:AW37,'CAR SEC'!AW52:AW55)/SUM('CAR SEC'!AW52:AW55)</f>
        <v>1.1002655309186984</v>
      </c>
      <c r="R10" s="1567">
        <f>SUMPRODUCT('CAR SEC'!AX34:AX37,'CAR SEC'!AX52:AX55)/SUM('CAR SEC'!AX52:AX55)</f>
        <v>1.0924778589768447</v>
      </c>
      <c r="S10" s="1567">
        <f>SUMPRODUCT('CAR SEC'!AY34:AY37,'CAR SEC'!AY52:AY55)/SUM('CAR SEC'!AY52:AY55)</f>
        <v>1.0859699583457656</v>
      </c>
      <c r="T10" s="1567">
        <f>SUMPRODUCT('CAR SEC'!AZ34:AZ37,'CAR SEC'!AZ52:AZ55)/SUM('CAR SEC'!AZ52:AZ55)</f>
        <v>1.0805250938656763</v>
      </c>
      <c r="U10" s="1567">
        <f>SUMPRODUCT('CAR SEC'!BA34:BA37,'CAR SEC'!BA52:BA55)/SUM('CAR SEC'!BA52:BA55)</f>
        <v>1.0759383121920436</v>
      </c>
      <c r="V10" s="1567">
        <f>SUMPRODUCT('CAR SEC'!BB34:BB37,'CAR SEC'!BB52:BB55)/SUM('CAR SEC'!BB52:BB55)</f>
        <v>1.0720285859404159</v>
      </c>
      <c r="W10" s="1567">
        <f>SUMPRODUCT('CAR SEC'!BC34:BC37,'CAR SEC'!BC52:BC55)/SUM('CAR SEC'!BC52:BC55)</f>
        <v>1.068644143807346</v>
      </c>
      <c r="X10" s="1567">
        <f>SUMPRODUCT('CAR SEC'!BD34:BD37,'CAR SEC'!BD52:BD55)/SUM('CAR SEC'!BD52:BD55)</f>
        <v>1.0656634338356084</v>
      </c>
      <c r="Y10" s="1567">
        <f>SUMPRODUCT('CAR SEC'!BE34:BE37,'CAR SEC'!BE52:BE55)/SUM('CAR SEC'!BE52:BE55)</f>
        <v>1.0629937371361904</v>
      </c>
      <c r="Z10" s="1567">
        <f>SUMPRODUCT('CAR SEC'!BF34:BF37,'CAR SEC'!BF52:BF55)/SUM('CAR SEC'!BF52:BF55)</f>
        <v>1.0605688482101054</v>
      </c>
      <c r="AA10" s="1567" t="e">
        <f>SUMPRODUCT('CAR SEC'!BG34:BG37,'CAR SEC'!BG52:BG55)/SUM('CAR SEC'!BG52:BG55)</f>
        <v>#DIV/0!</v>
      </c>
      <c r="AB10" s="1567" t="e">
        <f>SUMPRODUCT('CAR SEC'!BH34:BH37,'CAR SEC'!BH52:BH55)/SUM('CAR SEC'!BH52:BH55)</f>
        <v>#DIV/0!</v>
      </c>
      <c r="AC10" s="1567" t="e">
        <f>SUMPRODUCT('CAR SEC'!BI34:BI37,'CAR SEC'!BI52:BI55)/SUM('CAR SEC'!BI52:BI55)</f>
        <v>#DIV/0!</v>
      </c>
      <c r="AD10" s="1568" t="e">
        <f>SUMPRODUCT('CAR SEC'!BJ34:BJ37,'CAR SEC'!BJ52:BJ55)/SUM('CAR SEC'!BJ52:BJ55)</f>
        <v>#DIV/0!</v>
      </c>
    </row>
    <row r="11" spans="1:30" ht="15.75" thickBot="1">
      <c r="A11" s="1569" t="s">
        <v>232</v>
      </c>
      <c r="B11" s="1570">
        <f>B10*B9</f>
        <v>39154.420161705879</v>
      </c>
      <c r="C11" s="1570">
        <f t="shared" ref="C11" si="1">C10*C9/$I$58</f>
        <v>18939.100240871536</v>
      </c>
      <c r="D11" s="1570">
        <f t="shared" ref="D11" si="2">D10*D9/$I$58</f>
        <v>17978.914089767135</v>
      </c>
      <c r="E11" s="1570">
        <f t="shared" ref="E11" si="3">E10*E9/$I$58</f>
        <v>16943.412234162894</v>
      </c>
      <c r="F11" s="1570">
        <f t="shared" ref="F11" si="4">F10*F9/$I$58</f>
        <v>15754.695989568087</v>
      </c>
      <c r="G11" s="1570">
        <f t="shared" ref="G11" si="5">G10*G9/$I$58</f>
        <v>14366.330666688489</v>
      </c>
      <c r="H11" s="1570">
        <f t="shared" ref="H11" si="6">H10*H9/$I$58</f>
        <v>12788.023083736043</v>
      </c>
      <c r="I11" s="1570">
        <f t="shared" ref="I11" si="7">I10*I9/$I$58</f>
        <v>11076.790014539189</v>
      </c>
      <c r="J11" s="1570">
        <f t="shared" ref="J11" si="8">J10*J9/$I$58</f>
        <v>9309.4244532513749</v>
      </c>
      <c r="K11" s="1570">
        <f t="shared" ref="K11" si="9">K10*K9/$I$58</f>
        <v>7533.6706022498247</v>
      </c>
      <c r="L11" s="1570">
        <f t="shared" ref="L11" si="10">L10*L9/$I$58</f>
        <v>5861.8803083131297</v>
      </c>
      <c r="M11" s="1570">
        <f t="shared" ref="M11" si="11">M10*M9/$I$58</f>
        <v>4312.5704579479971</v>
      </c>
      <c r="N11" s="1570">
        <f t="shared" ref="N11" si="12">N10*N9/$I$58</f>
        <v>2882.1258920401829</v>
      </c>
      <c r="O11" s="1570">
        <f t="shared" ref="O11" si="13">O10*O9/$I$58</f>
        <v>1629.2700831312427</v>
      </c>
      <c r="P11" s="1570">
        <f t="shared" ref="P11" si="14">P10*P9/$I$58</f>
        <v>747.7873838535952</v>
      </c>
      <c r="Q11" s="1570">
        <f t="shared" ref="Q11" si="15">Q10*Q9/$I$58</f>
        <v>279.18528075645816</v>
      </c>
      <c r="R11" s="1570">
        <f t="shared" ref="R11" si="16">R10*R9/$I$58</f>
        <v>95.589666720492389</v>
      </c>
      <c r="S11" s="1570">
        <f t="shared" ref="S11" si="17">S10*S9/$I$58</f>
        <v>29.822998562415908</v>
      </c>
      <c r="T11" s="1570">
        <f t="shared" ref="T11" si="18">T10*T9/$I$58</f>
        <v>8.2264125876447114</v>
      </c>
      <c r="U11" s="1570">
        <f t="shared" ref="U11" si="19">U10*U9/$I$58</f>
        <v>1.9620855932265922</v>
      </c>
      <c r="V11" s="1570">
        <f t="shared" ref="V11" si="20">V10*V9/$I$58</f>
        <v>0.3928642710873772</v>
      </c>
      <c r="W11" s="1570">
        <f t="shared" ref="W11" si="21">W10*W9/$I$58</f>
        <v>6.3324719903232948E-2</v>
      </c>
      <c r="X11" s="1570">
        <f t="shared" ref="X11" si="22">X10*X9/$I$58</f>
        <v>7.6966987054364949E-3</v>
      </c>
      <c r="Y11" s="1570">
        <f t="shared" ref="Y11" si="23">Y10*Y9/$I$58</f>
        <v>6.2661573474547666E-4</v>
      </c>
      <c r="Z11" s="1570">
        <f t="shared" ref="Z11" si="24">Z10*Z9/$I$58</f>
        <v>2.5616952852938675E-5</v>
      </c>
      <c r="AA11" s="1570" t="e">
        <f t="shared" ref="AA11" si="25">AA10*AA9/$I$58</f>
        <v>#DIV/0!</v>
      </c>
      <c r="AB11" s="1570" t="e">
        <f t="shared" ref="AB11" si="26">AB10*AB9/$I$58</f>
        <v>#DIV/0!</v>
      </c>
      <c r="AC11" s="1570" t="e">
        <f t="shared" ref="AC11" si="27">AC10*AC9/$I$58</f>
        <v>#DIV/0!</v>
      </c>
      <c r="AD11" s="1571" t="e">
        <f t="shared" ref="AD11" si="28">AD10*AD9/$I$58</f>
        <v>#DIV/0!</v>
      </c>
    </row>
    <row r="12" spans="1:30" ht="15.75" thickBot="1">
      <c r="A12" s="1572"/>
      <c r="B12" s="1574"/>
      <c r="C12" s="1574"/>
      <c r="D12" s="1574"/>
      <c r="E12" s="1574"/>
      <c r="F12" s="1574"/>
      <c r="G12" s="1574"/>
      <c r="H12" s="1574"/>
      <c r="I12" s="1574"/>
      <c r="J12" s="1574"/>
      <c r="K12" s="1574"/>
      <c r="L12" s="1574"/>
      <c r="M12" s="1574"/>
      <c r="N12" s="1574"/>
      <c r="O12" s="1574"/>
      <c r="P12" s="1574"/>
      <c r="Q12" s="1574"/>
      <c r="R12" s="1574"/>
      <c r="S12" s="1574"/>
      <c r="T12" s="1574"/>
      <c r="U12" s="1574"/>
      <c r="V12" s="1574"/>
      <c r="W12" s="1574"/>
      <c r="X12" s="1574"/>
      <c r="Y12" s="1574"/>
      <c r="Z12" s="1574"/>
      <c r="AA12" s="1574"/>
      <c r="AB12" s="1574"/>
      <c r="AC12" s="1574"/>
      <c r="AD12" s="1574"/>
    </row>
    <row r="13" spans="1:30">
      <c r="A13" s="1558" t="s">
        <v>188</v>
      </c>
      <c r="B13" s="1559">
        <v>2012</v>
      </c>
      <c r="C13" s="1559">
        <v>2013</v>
      </c>
      <c r="D13" s="1559">
        <v>2014</v>
      </c>
      <c r="E13" s="1559">
        <v>2015</v>
      </c>
      <c r="F13" s="1559">
        <v>2016</v>
      </c>
      <c r="G13" s="1559">
        <v>2017</v>
      </c>
      <c r="H13" s="1559">
        <v>2018</v>
      </c>
      <c r="I13" s="1559">
        <v>2019</v>
      </c>
      <c r="J13" s="1559">
        <v>2020</v>
      </c>
      <c r="K13" s="1559">
        <v>2021</v>
      </c>
      <c r="L13" s="1559">
        <v>2022</v>
      </c>
      <c r="M13" s="1559">
        <v>2023</v>
      </c>
      <c r="N13" s="1559">
        <v>2024</v>
      </c>
      <c r="O13" s="1559">
        <v>2025</v>
      </c>
      <c r="P13" s="1559">
        <v>2026</v>
      </c>
      <c r="Q13" s="1559">
        <v>2027</v>
      </c>
      <c r="R13" s="1559">
        <v>2028</v>
      </c>
      <c r="S13" s="1559">
        <v>2029</v>
      </c>
      <c r="T13" s="1559">
        <v>2030</v>
      </c>
      <c r="U13" s="1559">
        <v>2031</v>
      </c>
      <c r="V13" s="1559">
        <v>2032</v>
      </c>
      <c r="W13" s="1559">
        <v>2033</v>
      </c>
      <c r="X13" s="1559">
        <v>2034</v>
      </c>
      <c r="Y13" s="1559">
        <v>2035</v>
      </c>
      <c r="Z13" s="1559">
        <v>2036</v>
      </c>
      <c r="AA13" s="1559">
        <v>2037</v>
      </c>
      <c r="AB13" s="1559">
        <v>2038</v>
      </c>
      <c r="AC13" s="1559">
        <v>2039</v>
      </c>
      <c r="AD13" s="1560">
        <v>2040</v>
      </c>
    </row>
    <row r="14" spans="1:30">
      <c r="A14" s="1562" t="s">
        <v>89</v>
      </c>
      <c r="B14" s="1563">
        <f>SUM('CAR Stock'!C311,'CAR Stock'!C340,'CAR Stock'!C369,'CAR Stock'!C398)</f>
        <v>9430</v>
      </c>
      <c r="C14" s="1563">
        <f>SUM('CAR Stock'!D311,'CAR Stock'!D340,'CAR Stock'!D369,'CAR Stock'!D398)</f>
        <v>9429.8458610150028</v>
      </c>
      <c r="D14" s="1563">
        <f>SUM('CAR Stock'!E311,'CAR Stock'!E340,'CAR Stock'!E369,'CAR Stock'!E398)</f>
        <v>9429.288099620313</v>
      </c>
      <c r="E14" s="1563">
        <f>SUM('CAR Stock'!F311,'CAR Stock'!F340,'CAR Stock'!F369,'CAR Stock'!F398)</f>
        <v>9423.6817183172552</v>
      </c>
      <c r="F14" s="1563">
        <f>SUM('CAR Stock'!G311,'CAR Stock'!G340,'CAR Stock'!G369,'CAR Stock'!G398)</f>
        <v>9374.5217049997555</v>
      </c>
      <c r="G14" s="1563">
        <f>SUM('CAR Stock'!H311,'CAR Stock'!H340,'CAR Stock'!H369,'CAR Stock'!H398)</f>
        <v>9145.9238807484635</v>
      </c>
      <c r="H14" s="1563">
        <f>SUM('CAR Stock'!I311,'CAR Stock'!I340,'CAR Stock'!I369,'CAR Stock'!I398)</f>
        <v>8570.2259674131292</v>
      </c>
      <c r="I14" s="1563">
        <f>SUM('CAR Stock'!J311,'CAR Stock'!J340,'CAR Stock'!J369,'CAR Stock'!J398)</f>
        <v>7558.36095738943</v>
      </c>
      <c r="J14" s="1563">
        <f>SUM('CAR Stock'!K311,'CAR Stock'!K340,'CAR Stock'!K369,'CAR Stock'!K398)</f>
        <v>6160.1805077144027</v>
      </c>
      <c r="K14" s="1563">
        <f>SUM('CAR Stock'!L311,'CAR Stock'!L340,'CAR Stock'!L369,'CAR Stock'!L398)</f>
        <v>4583.7912641352868</v>
      </c>
      <c r="L14" s="1563">
        <f>SUM('CAR Stock'!M311,'CAR Stock'!M340,'CAR Stock'!M369,'CAR Stock'!M398)</f>
        <v>3046.7375141528532</v>
      </c>
      <c r="M14" s="1563">
        <f>SUM('CAR Stock'!N311,'CAR Stock'!N340,'CAR Stock'!N369,'CAR Stock'!N398)</f>
        <v>1769.6620208230488</v>
      </c>
      <c r="N14" s="1563">
        <f>SUM('CAR Stock'!O311,'CAR Stock'!O340,'CAR Stock'!O369,'CAR Stock'!O398)</f>
        <v>873.59389860298609</v>
      </c>
      <c r="O14" s="1563">
        <f>SUM('CAR Stock'!P311,'CAR Stock'!P340,'CAR Stock'!P369,'CAR Stock'!P398)</f>
        <v>354.16143132295514</v>
      </c>
      <c r="P14" s="1563">
        <f>SUM('CAR Stock'!Q311,'CAR Stock'!Q340,'CAR Stock'!Q369,'CAR Stock'!Q398)</f>
        <v>116.99845352980739</v>
      </c>
      <c r="Q14" s="1563">
        <f>SUM('CAR Stock'!R311,'CAR Stock'!R340,'CAR Stock'!R369,'CAR Stock'!R398)</f>
        <v>30.669951608979858</v>
      </c>
      <c r="R14" s="1563">
        <f>SUM('CAR Stock'!S311,'CAR Stock'!S340,'CAR Stock'!S369,'CAR Stock'!S398)</f>
        <v>7.2464044810721449</v>
      </c>
      <c r="S14" s="1563">
        <f>SUM('CAR Stock'!T311,'CAR Stock'!T340,'CAR Stock'!T369,'CAR Stock'!T398)</f>
        <v>1.5242924021434676</v>
      </c>
      <c r="T14" s="1563">
        <f>SUM('CAR Stock'!U311,'CAR Stock'!U340,'CAR Stock'!U369,'CAR Stock'!U398)</f>
        <v>0.28104067261692139</v>
      </c>
      <c r="U14" s="1563">
        <f>SUM('CAR Stock'!V311,'CAR Stock'!V340,'CAR Stock'!V369,'CAR Stock'!V398)</f>
        <v>4.4497072871700134E-2</v>
      </c>
      <c r="V14" s="1563">
        <f>SUM('CAR Stock'!W311,'CAR Stock'!W340,'CAR Stock'!W369,'CAR Stock'!W398)</f>
        <v>5.8827975319497338E-3</v>
      </c>
      <c r="W14" s="1563">
        <f>SUM('CAR Stock'!X311,'CAR Stock'!X340,'CAR Stock'!X369,'CAR Stock'!X398)</f>
        <v>6.2353920697140583E-4</v>
      </c>
      <c r="X14" s="1563">
        <f>SUM('CAR Stock'!Y311,'CAR Stock'!Y340,'CAR Stock'!Y369,'CAR Stock'!Y398)</f>
        <v>4.9683580112170335E-5</v>
      </c>
      <c r="Y14" s="1563">
        <f>SUM('CAR Stock'!Z311,'CAR Stock'!Z340,'CAR Stock'!Z369,'CAR Stock'!Z398)</f>
        <v>2.6458044868601845E-6</v>
      </c>
      <c r="Z14" s="1563">
        <f>SUM('CAR Stock'!AA311,'CAR Stock'!AA340,'CAR Stock'!AA369,'CAR Stock'!AA398)</f>
        <v>7.0640470979802384E-8</v>
      </c>
      <c r="AA14" s="1563">
        <f>SUM('CAR Stock'!AB311,'CAR Stock'!AB340,'CAR Stock'!AB369,'CAR Stock'!AB398)</f>
        <v>0</v>
      </c>
      <c r="AB14" s="1563">
        <f>SUM('CAR Stock'!AC311,'CAR Stock'!AC340,'CAR Stock'!AC369,'CAR Stock'!AC398)</f>
        <v>0</v>
      </c>
      <c r="AC14" s="1563">
        <f>SUM('CAR Stock'!AD311,'CAR Stock'!AD340,'CAR Stock'!AD369,'CAR Stock'!AD398)</f>
        <v>0</v>
      </c>
      <c r="AD14" s="1564">
        <f>SUM('CAR Stock'!AE311,'CAR Stock'!AE340,'CAR Stock'!AE369,'CAR Stock'!AE398)</f>
        <v>0</v>
      </c>
    </row>
    <row r="15" spans="1:30">
      <c r="A15" s="1562" t="s">
        <v>186</v>
      </c>
      <c r="B15" s="1565">
        <f>SUM('CAR Passenger Kilometres'!AI261,'CAR Passenger Kilometres'!AI290,'CAR Passenger Kilometres'!AI319,'CAR Passenger Kilometres'!AI348)/1000000</f>
        <v>239.29200168050636</v>
      </c>
      <c r="C15" s="1565">
        <f>SUM('CAR Passenger Kilometres'!AJ261,'CAR Passenger Kilometres'!AJ290,'CAR Passenger Kilometres'!AJ319,'CAR Passenger Kilometres'!AJ348)/1000000</f>
        <v>234.50291573664833</v>
      </c>
      <c r="D15" s="1565">
        <f>SUM('CAR Passenger Kilometres'!AK261,'CAR Passenger Kilometres'!AK290,'CAR Passenger Kilometres'!AK319,'CAR Passenger Kilometres'!AK348)/1000000</f>
        <v>229.8000491554352</v>
      </c>
      <c r="E15" s="1565">
        <f>SUM('CAR Passenger Kilometres'!AL261,'CAR Passenger Kilometres'!AL290,'CAR Passenger Kilometres'!AL319,'CAR Passenger Kilometres'!AL348)/1000000</f>
        <v>225.0689221218432</v>
      </c>
      <c r="F15" s="1565">
        <f>SUM('CAR Passenger Kilometres'!AM261,'CAR Passenger Kilometres'!AM290,'CAR Passenger Kilometres'!AM319,'CAR Passenger Kilometres'!AM348)/1000000</f>
        <v>219.39499678482184</v>
      </c>
      <c r="G15" s="1565">
        <f>SUM('CAR Passenger Kilometres'!AN261,'CAR Passenger Kilometres'!AN290,'CAR Passenger Kilometres'!AN319,'CAR Passenger Kilometres'!AN348)/1000000</f>
        <v>209.64033923810274</v>
      </c>
      <c r="H15" s="1565">
        <f>SUM('CAR Passenger Kilometres'!AO261,'CAR Passenger Kilometres'!AO290,'CAR Passenger Kilometres'!AO319,'CAR Passenger Kilometres'!AO348)/1000000</f>
        <v>192.25266803314511</v>
      </c>
      <c r="I15" s="1565">
        <f>SUM('CAR Passenger Kilometres'!AP261,'CAR Passenger Kilometres'!AP290,'CAR Passenger Kilometres'!AP319,'CAR Passenger Kilometres'!AP348)/1000000</f>
        <v>165.82822362739097</v>
      </c>
      <c r="J15" s="1565">
        <f>SUM('CAR Passenger Kilometres'!AQ261,'CAR Passenger Kilometres'!AQ290,'CAR Passenger Kilometres'!AQ319,'CAR Passenger Kilometres'!AQ348)/1000000</f>
        <v>132.14882357995057</v>
      </c>
      <c r="K15" s="1565">
        <f>SUM('CAR Passenger Kilometres'!AR261,'CAR Passenger Kilometres'!AR290,'CAR Passenger Kilometres'!AR319,'CAR Passenger Kilometres'!AR348)/1000000</f>
        <v>96.203859771798591</v>
      </c>
      <c r="L15" s="1565">
        <f>SUM('CAR Passenger Kilometres'!AS261,'CAR Passenger Kilometres'!AS290,'CAR Passenger Kilometres'!AS319,'CAR Passenger Kilometres'!AS348)/1000000</f>
        <v>62.649020307777484</v>
      </c>
      <c r="M15" s="1565">
        <f>SUM('CAR Passenger Kilometres'!AT261,'CAR Passenger Kilometres'!AT290,'CAR Passenger Kilometres'!AT319,'CAR Passenger Kilometres'!AT348)/1000000</f>
        <v>35.710236512000854</v>
      </c>
      <c r="N15" s="1565">
        <f>SUM('CAR Passenger Kilometres'!AU261,'CAR Passenger Kilometres'!AU290,'CAR Passenger Kilometres'!AU319,'CAR Passenger Kilometres'!AU348)/1000000</f>
        <v>17.321680170713787</v>
      </c>
      <c r="O15" s="1565">
        <f>SUM('CAR Passenger Kilometres'!AV261,'CAR Passenger Kilometres'!AV290,'CAR Passenger Kilometres'!AV319,'CAR Passenger Kilometres'!AV348)/1000000</f>
        <v>6.9048415867565005</v>
      </c>
      <c r="P15" s="1565">
        <f>SUM('CAR Passenger Kilometres'!AW261,'CAR Passenger Kilometres'!AW290,'CAR Passenger Kilometres'!AW319,'CAR Passenger Kilometres'!AW348)/1000000</f>
        <v>2.2409335940591677</v>
      </c>
      <c r="Q15" s="1565">
        <f>SUM('CAR Passenger Kilometres'!AX261,'CAR Passenger Kilometres'!AX290,'CAR Passenger Kilometres'!AX319,'CAR Passenger Kilometres'!AX348)/1000000</f>
        <v>0.57737172713462248</v>
      </c>
      <c r="R15" s="1565">
        <f>SUM('CAR Passenger Kilometres'!AY261,'CAR Passenger Kilometres'!AY290,'CAR Passenger Kilometres'!AY319,'CAR Passenger Kilometres'!AY348)/1000000</f>
        <v>0.13445917802600965</v>
      </c>
      <c r="S15" s="1565">
        <f>SUM('CAR Passenger Kilometres'!AZ261,'CAR Passenger Kilometres'!AZ290,'CAR Passenger Kilometres'!AZ319,'CAR Passenger Kilometres'!AZ348)/1000000</f>
        <v>2.8279042270253872E-2</v>
      </c>
      <c r="T15" s="1565">
        <f>SUM('CAR Passenger Kilometres'!BA261,'CAR Passenger Kilometres'!BA290,'CAR Passenger Kilometres'!BA319,'CAR Passenger Kilometres'!BA348)/1000000</f>
        <v>5.2133148049088472E-3</v>
      </c>
      <c r="U15" s="1565">
        <f>SUM('CAR Passenger Kilometres'!BB261,'CAR Passenger Kilometres'!BB290,'CAR Passenger Kilometres'!BB319,'CAR Passenger Kilometres'!BB348)/1000000</f>
        <v>8.2535477266380548E-4</v>
      </c>
      <c r="V15" s="1565">
        <f>SUM('CAR Passenger Kilometres'!BC261,'CAR Passenger Kilometres'!BC290,'CAR Passenger Kilometres'!BC319,'CAR Passenger Kilometres'!BC348)/1000000</f>
        <v>1.0911132260115104E-4</v>
      </c>
      <c r="W15" s="1565">
        <f>SUM('CAR Passenger Kilometres'!BD261,'CAR Passenger Kilometres'!BD290,'CAR Passenger Kilometres'!BD319,'CAR Passenger Kilometres'!BD348)/1000000</f>
        <v>1.1564712157917662E-5</v>
      </c>
      <c r="X15" s="1565">
        <f>SUM('CAR Passenger Kilometres'!BE261,'CAR Passenger Kilometres'!BE290,'CAR Passenger Kilometres'!BE319,'CAR Passenger Kilometres'!BE348)/1000000</f>
        <v>9.2145488162247488E-7</v>
      </c>
      <c r="Y15" s="1565">
        <f>SUM('CAR Passenger Kilometres'!BF261,'CAR Passenger Kilometres'!BF290,'CAR Passenger Kilometres'!BF319,'CAR Passenger Kilometres'!BF348)/1000000</f>
        <v>4.9069475771655813E-8</v>
      </c>
      <c r="Z15" s="1565">
        <f>SUM('CAR Passenger Kilometres'!BG261,'CAR Passenger Kilometres'!BG290,'CAR Passenger Kilometres'!BG319,'CAR Passenger Kilometres'!BG348)/1000000</f>
        <v>1.3100895581864382E-9</v>
      </c>
      <c r="AA15" s="1565">
        <f>SUM('CAR Passenger Kilometres'!BH261,'CAR Passenger Kilometres'!BH290,'CAR Passenger Kilometres'!BH319,'CAR Passenger Kilometres'!BH348)/1000000</f>
        <v>0</v>
      </c>
      <c r="AB15" s="1565">
        <f>SUM('CAR Passenger Kilometres'!BI261,'CAR Passenger Kilometres'!BI290,'CAR Passenger Kilometres'!BI319,'CAR Passenger Kilometres'!BI348)/1000000</f>
        <v>0</v>
      </c>
      <c r="AC15" s="1565">
        <f>SUM('CAR Passenger Kilometres'!BJ261,'CAR Passenger Kilometres'!BJ290,'CAR Passenger Kilometres'!BJ319,'CAR Passenger Kilometres'!BJ348)/1000000</f>
        <v>0</v>
      </c>
      <c r="AD15" s="1566">
        <f>SUM('CAR Passenger Kilometres'!BK261,'CAR Passenger Kilometres'!BK290,'CAR Passenger Kilometres'!BK319,'CAR Passenger Kilometres'!BK348)/1000000</f>
        <v>0</v>
      </c>
    </row>
    <row r="16" spans="1:30">
      <c r="A16" s="1562" t="s">
        <v>648</v>
      </c>
      <c r="B16" s="1567">
        <f>(1+$O$55)*SUMPRODUCT('CAR SEC'!AH38:AH41,'CAR SEC'!AH56:AH59)/SUM('CAR SEC'!AH56:AH59)</f>
        <v>1.3914987880177303</v>
      </c>
      <c r="C16" s="1567">
        <f>SUMPRODUCT('CAR SEC'!AI38:AI41,'CAR SEC'!AI56:AI59)/SUM('CAR SEC'!AI56:AI59)</f>
        <v>1.0588574145901466</v>
      </c>
      <c r="D16" s="1567">
        <f>SUMPRODUCT('CAR SEC'!AJ38:AJ41,'CAR SEC'!AJ56:AJ59)/SUM('CAR SEC'!AJ56:AJ59)</f>
        <v>1.0588581186667858</v>
      </c>
      <c r="E16" s="1567">
        <f>SUMPRODUCT('CAR SEC'!AK38:AK41,'CAR SEC'!AK56:AK59)/SUM('CAR SEC'!AK56:AK59)</f>
        <v>1.058767814286065</v>
      </c>
      <c r="F16" s="1567">
        <f>SUMPRODUCT('CAR SEC'!AL38:AL41,'CAR SEC'!AL56:AL59)/SUM('CAR SEC'!AL56:AL59)</f>
        <v>1.0578417750578237</v>
      </c>
      <c r="G16" s="1567">
        <f>SUMPRODUCT('CAR SEC'!AM38:AM41,'CAR SEC'!AM56:AM59)/SUM('CAR SEC'!AM56:AM59)</f>
        <v>1.0537447358864858</v>
      </c>
      <c r="H16" s="1567">
        <f>SUMPRODUCT('CAR SEC'!AN38:AN41,'CAR SEC'!AN56:AN59)/SUM('CAR SEC'!AN56:AN59)</f>
        <v>1.0428028435283827</v>
      </c>
      <c r="I16" s="1567">
        <f>SUMPRODUCT('CAR SEC'!AO38:AO41,'CAR SEC'!AO56:AO59)/SUM('CAR SEC'!AO56:AO59)</f>
        <v>1.0244718460559921</v>
      </c>
      <c r="J16" s="1567">
        <f>SUMPRODUCT('CAR SEC'!AP38:AP41,'CAR SEC'!AP56:AP59)/SUM('CAR SEC'!AP56:AP59)</f>
        <v>1.0002787783381364</v>
      </c>
      <c r="K16" s="1567">
        <f>SUMPRODUCT('CAR SEC'!AQ38:AQ41,'CAR SEC'!AQ56:AQ59)/SUM('CAR SEC'!AQ56:AQ59)</f>
        <v>0.97321977933656922</v>
      </c>
      <c r="L16" s="1567">
        <f>SUMPRODUCT('CAR SEC'!AR38:AR41,'CAR SEC'!AR56:AR59)/SUM('CAR SEC'!AR56:AR59)</f>
        <v>0.94595295807419455</v>
      </c>
      <c r="M16" s="1567">
        <f>SUMPRODUCT('CAR SEC'!AS38:AS41,'CAR SEC'!AS56:AS59)/SUM('CAR SEC'!AS56:AS59)</f>
        <v>0.91980317649494781</v>
      </c>
      <c r="N16" s="1567">
        <f>SUMPRODUCT('CAR SEC'!AT38:AT41,'CAR SEC'!AT56:AT59)/SUM('CAR SEC'!AT56:AT59)</f>
        <v>0.89691213635639255</v>
      </c>
      <c r="O16" s="1567">
        <f>SUMPRODUCT('CAR SEC'!AU38:AU41,'CAR SEC'!AU56:AU59)/SUM('CAR SEC'!AU56:AU59)</f>
        <v>0.87591945084367051</v>
      </c>
      <c r="P16" s="1567">
        <f>SUMPRODUCT('CAR SEC'!AV38:AV41,'CAR SEC'!AV56:AV59)/SUM('CAR SEC'!AV56:AV59)</f>
        <v>0.86017766410206697</v>
      </c>
      <c r="Q16" s="1567">
        <f>SUMPRODUCT('CAR SEC'!AW38:AW41,'CAR SEC'!AW56:AW59)/SUM('CAR SEC'!AW56:AW59)</f>
        <v>0.85372123079140472</v>
      </c>
      <c r="R16" s="1567">
        <f>SUMPRODUCT('CAR SEC'!AX38:AX41,'CAR SEC'!AX56:AX59)/SUM('CAR SEC'!AX56:AX59)</f>
        <v>0.84733266204130919</v>
      </c>
      <c r="S16" s="1567">
        <f>SUMPRODUCT('CAR SEC'!AY38:AY41,'CAR SEC'!AY56:AY59)/SUM('CAR SEC'!AY56:AY59)</f>
        <v>0.84106427471200251</v>
      </c>
      <c r="T16" s="1567">
        <f>SUMPRODUCT('CAR SEC'!AZ38:AZ41,'CAR SEC'!AZ56:AZ59)/SUM('CAR SEC'!AZ56:AZ59)</f>
        <v>0.83496194518814271</v>
      </c>
      <c r="U16" s="1567">
        <f>SUMPRODUCT('CAR SEC'!BA38:BA41,'CAR SEC'!BA56:BA59)/SUM('CAR SEC'!BA56:BA59)</f>
        <v>0.82906357556432153</v>
      </c>
      <c r="V16" s="1567">
        <f>SUMPRODUCT('CAR SEC'!BB38:BB41,'CAR SEC'!BB56:BB59)/SUM('CAR SEC'!BB56:BB59)</f>
        <v>0.82339903298722705</v>
      </c>
      <c r="W16" s="1567">
        <f>SUMPRODUCT('CAR SEC'!BC38:BC41,'CAR SEC'!BC56:BC59)/SUM('CAR SEC'!BC56:BC59)</f>
        <v>0.81799252537763945</v>
      </c>
      <c r="X16" s="1567">
        <f>SUMPRODUCT('CAR SEC'!BD38:BD41,'CAR SEC'!BD56:BD59)/SUM('CAR SEC'!BD56:BD59)</f>
        <v>0.81286859701038694</v>
      </c>
      <c r="Y16" s="1567">
        <f>SUMPRODUCT('CAR SEC'!BE38:BE41,'CAR SEC'!BE56:BE59)/SUM('CAR SEC'!BE56:BE59)</f>
        <v>0.80806311702513378</v>
      </c>
      <c r="Z16" s="1567">
        <f>SUMPRODUCT('CAR SEC'!BF38:BF41,'CAR SEC'!BF56:BF59)/SUM('CAR SEC'!BF56:BF59)</f>
        <v>0.80364074995078372</v>
      </c>
      <c r="AA16" s="1567" t="e">
        <f>SUMPRODUCT('CAR SEC'!BG38:BG41,'CAR SEC'!BG56:BG59)/SUM('CAR SEC'!BG56:BG59)</f>
        <v>#DIV/0!</v>
      </c>
      <c r="AB16" s="1567" t="e">
        <f>SUMPRODUCT('CAR SEC'!BH38:BH41,'CAR SEC'!BH56:BH59)/SUM('CAR SEC'!BH56:BH59)</f>
        <v>#DIV/0!</v>
      </c>
      <c r="AC16" s="1567" t="e">
        <f>SUMPRODUCT('CAR SEC'!BI38:BI41,'CAR SEC'!BI56:BI59)/SUM('CAR SEC'!BI56:BI59)</f>
        <v>#DIV/0!</v>
      </c>
      <c r="AD16" s="1568" t="e">
        <f>SUMPRODUCT('CAR SEC'!BJ38:BJ41,'CAR SEC'!BJ56:BJ59)/SUM('CAR SEC'!BJ56:BJ59)</f>
        <v>#DIV/0!</v>
      </c>
    </row>
    <row r="17" spans="1:30" ht="15.75" thickBot="1">
      <c r="A17" s="1569" t="s">
        <v>232</v>
      </c>
      <c r="B17" s="1570">
        <f>B16*B15</f>
        <v>332.97453032076129</v>
      </c>
      <c r="C17" s="1570">
        <f t="shared" ref="C17" si="29">C16*C15/$I$58</f>
        <v>166.42307869017418</v>
      </c>
      <c r="D17" s="1570">
        <f t="shared" ref="D17" si="30">D16*D15/$I$58</f>
        <v>163.08563573058433</v>
      </c>
      <c r="E17" s="1570">
        <f t="shared" ref="E17" si="31">E16*E15/$I$58</f>
        <v>159.71440373765012</v>
      </c>
      <c r="F17" s="1570">
        <f t="shared" ref="F17" si="32">F16*F15/$I$58</f>
        <v>155.55187697028396</v>
      </c>
      <c r="G17" s="1570">
        <f t="shared" ref="G17" si="33">G16*G15/$I$58</f>
        <v>148.06011918892037</v>
      </c>
      <c r="H17" s="1570">
        <f t="shared" ref="H17" si="34">H16*H15/$I$58</f>
        <v>134.37002719689033</v>
      </c>
      <c r="I17" s="1570">
        <f t="shared" ref="I17" si="35">I16*I15/$I$58</f>
        <v>113.86396404324313</v>
      </c>
      <c r="J17" s="1570">
        <f t="shared" ref="J17" si="36">J16*J15/$I$58</f>
        <v>88.595605185780514</v>
      </c>
      <c r="K17" s="1570">
        <f t="shared" ref="K17" si="37">K16*K15/$I$58</f>
        <v>62.75253089250981</v>
      </c>
      <c r="L17" s="1570">
        <f t="shared" ref="L17" si="38">L16*L15/$I$58</f>
        <v>39.720220101345106</v>
      </c>
      <c r="M17" s="1570">
        <f t="shared" ref="M17" si="39">M16*M15/$I$58</f>
        <v>22.014835994563331</v>
      </c>
      <c r="N17" s="1570">
        <f t="shared" ref="N17" si="40">N16*N15/$I$58</f>
        <v>10.412805081905731</v>
      </c>
      <c r="O17" s="1570">
        <f t="shared" ref="O17" si="41">O16*O15/$I$58</f>
        <v>4.0536450009167631</v>
      </c>
      <c r="P17" s="1570">
        <f t="shared" ref="P17" si="42">P16*P15/$I$58</f>
        <v>1.2919478133038114</v>
      </c>
      <c r="Q17" s="1570">
        <f t="shared" ref="Q17" si="43">Q16*Q15/$I$58</f>
        <v>0.33036909834197364</v>
      </c>
      <c r="R17" s="1570">
        <f t="shared" ref="R17" si="44">R16*R15/$I$58</f>
        <v>7.6361108147799658E-2</v>
      </c>
      <c r="S17" s="1570">
        <f t="shared" ref="S17" si="45">S16*S15/$I$58</f>
        <v>1.594122552850713E-2</v>
      </c>
      <c r="T17" s="1570">
        <f t="shared" ref="T17" si="46">T16*T15/$I$58</f>
        <v>2.9174838154904402E-3</v>
      </c>
      <c r="U17" s="1570">
        <f t="shared" ref="U17" si="47">U16*U15/$I$58</f>
        <v>4.5862352164368421E-4</v>
      </c>
      <c r="V17" s="1570">
        <f t="shared" ref="V17" si="48">V16*V15/$I$58</f>
        <v>6.0215458220639057E-5</v>
      </c>
      <c r="W17" s="1570">
        <f t="shared" ref="W17" si="49">W16*W15/$I$58</f>
        <v>6.3403317994292449E-6</v>
      </c>
      <c r="X17" s="1570">
        <f t="shared" ref="X17" si="50">X16*X15/$I$58</f>
        <v>5.0202141563329592E-7</v>
      </c>
      <c r="Y17" s="1570">
        <f t="shared" ref="Y17" si="51">Y16*Y15/$I$58</f>
        <v>2.6575688549372847E-8</v>
      </c>
      <c r="Z17" s="1570">
        <f t="shared" ref="Z17" si="52">Z16*Z15/$I$58</f>
        <v>7.0565229486023225E-10</v>
      </c>
      <c r="AA17" s="1570" t="e">
        <f t="shared" ref="AA17" si="53">AA16*AA15/$I$58</f>
        <v>#DIV/0!</v>
      </c>
      <c r="AB17" s="1570" t="e">
        <f t="shared" ref="AB17" si="54">AB16*AB15/$I$58</f>
        <v>#DIV/0!</v>
      </c>
      <c r="AC17" s="1570" t="e">
        <f t="shared" ref="AC17" si="55">AC16*AC15/$I$58</f>
        <v>#DIV/0!</v>
      </c>
      <c r="AD17" s="1571" t="e">
        <f t="shared" ref="AD17" si="56">AD16*AD15/$I$58</f>
        <v>#DIV/0!</v>
      </c>
    </row>
    <row r="18" spans="1:30" ht="15.75" thickBot="1">
      <c r="A18" s="1572"/>
      <c r="B18" s="1574"/>
      <c r="C18" s="1574"/>
      <c r="D18" s="1574"/>
      <c r="E18" s="1574"/>
      <c r="F18" s="1574"/>
      <c r="G18" s="1574"/>
      <c r="H18" s="1574"/>
      <c r="I18" s="1574"/>
      <c r="J18" s="1574"/>
      <c r="K18" s="1574"/>
      <c r="L18" s="1574"/>
      <c r="M18" s="1574"/>
      <c r="N18" s="1574"/>
      <c r="O18" s="1574"/>
      <c r="P18" s="1574"/>
      <c r="Q18" s="1574"/>
      <c r="R18" s="1574"/>
      <c r="S18" s="1574"/>
      <c r="T18" s="1574"/>
      <c r="U18" s="1574"/>
      <c r="V18" s="1574"/>
      <c r="W18" s="1574"/>
      <c r="X18" s="1574"/>
      <c r="Y18" s="1574"/>
      <c r="Z18" s="1574"/>
      <c r="AA18" s="1574"/>
      <c r="AB18" s="1574"/>
      <c r="AC18" s="1574"/>
      <c r="AD18" s="1574"/>
    </row>
    <row r="19" spans="1:30">
      <c r="A19" s="1558" t="s">
        <v>189</v>
      </c>
      <c r="B19" s="1559">
        <v>2012</v>
      </c>
      <c r="C19" s="1559">
        <v>2013</v>
      </c>
      <c r="D19" s="1559">
        <v>2014</v>
      </c>
      <c r="E19" s="1559">
        <v>2015</v>
      </c>
      <c r="F19" s="1559">
        <v>2016</v>
      </c>
      <c r="G19" s="1559">
        <v>2017</v>
      </c>
      <c r="H19" s="1559">
        <v>2018</v>
      </c>
      <c r="I19" s="1559">
        <v>2019</v>
      </c>
      <c r="J19" s="1559">
        <v>2020</v>
      </c>
      <c r="K19" s="1559">
        <v>2021</v>
      </c>
      <c r="L19" s="1559">
        <v>2022</v>
      </c>
      <c r="M19" s="1559">
        <v>2023</v>
      </c>
      <c r="N19" s="1559">
        <v>2024</v>
      </c>
      <c r="O19" s="1559">
        <v>2025</v>
      </c>
      <c r="P19" s="1559">
        <v>2026</v>
      </c>
      <c r="Q19" s="1559">
        <v>2027</v>
      </c>
      <c r="R19" s="1559">
        <v>2028</v>
      </c>
      <c r="S19" s="1559">
        <v>2029</v>
      </c>
      <c r="T19" s="1559">
        <v>2030</v>
      </c>
      <c r="U19" s="1559">
        <v>2031</v>
      </c>
      <c r="V19" s="1559">
        <v>2032</v>
      </c>
      <c r="W19" s="1559">
        <v>2033</v>
      </c>
      <c r="X19" s="1559">
        <v>2034</v>
      </c>
      <c r="Y19" s="1559">
        <v>2035</v>
      </c>
      <c r="Z19" s="1559">
        <v>2036</v>
      </c>
      <c r="AA19" s="1559">
        <v>2037</v>
      </c>
      <c r="AB19" s="1559">
        <v>2038</v>
      </c>
      <c r="AC19" s="1559">
        <v>2039</v>
      </c>
      <c r="AD19" s="1560">
        <v>2040</v>
      </c>
    </row>
    <row r="20" spans="1:30">
      <c r="A20" s="1562" t="s">
        <v>89</v>
      </c>
      <c r="B20" s="1563">
        <f>SUM('CAR Stock'!C427,'CAR Stock'!C456,'CAR Stock'!C485,'CAR Stock'!C514)</f>
        <v>6534</v>
      </c>
      <c r="C20" s="1563">
        <f>SUM('CAR Stock'!D427,'CAR Stock'!D456,'CAR Stock'!D485,'CAR Stock'!D514)</f>
        <v>6480.7197063745116</v>
      </c>
      <c r="D20" s="1563">
        <f>SUM('CAR Stock'!E427,'CAR Stock'!E456,'CAR Stock'!E485,'CAR Stock'!E514)</f>
        <v>6388.0219833546325</v>
      </c>
      <c r="E20" s="1563">
        <f>SUM('CAR Stock'!F427,'CAR Stock'!F456,'CAR Stock'!F485,'CAR Stock'!F514)</f>
        <v>6219.2152165896496</v>
      </c>
      <c r="F20" s="1563">
        <f>SUM('CAR Stock'!G427,'CAR Stock'!G456,'CAR Stock'!G485,'CAR Stock'!G514)</f>
        <v>5911.7211959995238</v>
      </c>
      <c r="G20" s="1563">
        <f>SUM('CAR Stock'!H427,'CAR Stock'!H456,'CAR Stock'!H485,'CAR Stock'!H514)</f>
        <v>5402.1597764768703</v>
      </c>
      <c r="H20" s="1563">
        <f>SUM('CAR Stock'!I427,'CAR Stock'!I456,'CAR Stock'!I485,'CAR Stock'!I514)</f>
        <v>4685.145607839062</v>
      </c>
      <c r="I20" s="1563">
        <f>SUM('CAR Stock'!J427,'CAR Stock'!J456,'CAR Stock'!J485,'CAR Stock'!J514)</f>
        <v>3825.2082235430189</v>
      </c>
      <c r="J20" s="1563">
        <f>SUM('CAR Stock'!K427,'CAR Stock'!K456,'CAR Stock'!K485,'CAR Stock'!K514)</f>
        <v>2922.4478810580235</v>
      </c>
      <c r="K20" s="1563">
        <f>SUM('CAR Stock'!L427,'CAR Stock'!L456,'CAR Stock'!L485,'CAR Stock'!L514)</f>
        <v>2076.8678473009927</v>
      </c>
      <c r="L20" s="1563">
        <f>SUM('CAR Stock'!M427,'CAR Stock'!M456,'CAR Stock'!M485,'CAR Stock'!M514)</f>
        <v>1351.9838093084609</v>
      </c>
      <c r="M20" s="1563">
        <f>SUM('CAR Stock'!N427,'CAR Stock'!N456,'CAR Stock'!N485,'CAR Stock'!N514)</f>
        <v>786.45305118775241</v>
      </c>
      <c r="N20" s="1563">
        <f>SUM('CAR Stock'!O427,'CAR Stock'!O456,'CAR Stock'!O485,'CAR Stock'!O514)</f>
        <v>393.42974824537077</v>
      </c>
      <c r="O20" s="1563">
        <f>SUM('CAR Stock'!P427,'CAR Stock'!P456,'CAR Stock'!P485,'CAR Stock'!P514)</f>
        <v>162.85274794332494</v>
      </c>
      <c r="P20" s="1563">
        <f>SUM('CAR Stock'!Q427,'CAR Stock'!Q456,'CAR Stock'!Q485,'CAR Stock'!Q514)</f>
        <v>54.168198652600736</v>
      </c>
      <c r="Q20" s="1563">
        <f>SUM('CAR Stock'!R427,'CAR Stock'!R456,'CAR Stock'!R485,'CAR Stock'!R514)</f>
        <v>14.323189432048196</v>
      </c>
      <c r="R20" s="1563">
        <f>SUM('CAR Stock'!S427,'CAR Stock'!S456,'CAR Stock'!S485,'CAR Stock'!S514)</f>
        <v>3.4237417248728303</v>
      </c>
      <c r="S20" s="1563">
        <f>SUM('CAR Stock'!T427,'CAR Stock'!T456,'CAR Stock'!T485,'CAR Stock'!T514)</f>
        <v>0.73076244094156428</v>
      </c>
      <c r="T20" s="1563">
        <f>SUM('CAR Stock'!U427,'CAR Stock'!U456,'CAR Stock'!U485,'CAR Stock'!U514)</f>
        <v>0.13710715228439313</v>
      </c>
      <c r="U20" s="1563">
        <f>SUM('CAR Stock'!V427,'CAR Stock'!V456,'CAR Stock'!V485,'CAR Stock'!V514)</f>
        <v>2.2152631487669279E-2</v>
      </c>
      <c r="V20" s="1563">
        <f>SUM('CAR Stock'!W427,'CAR Stock'!W456,'CAR Stock'!W485,'CAR Stock'!W514)</f>
        <v>2.9968259940691324E-3</v>
      </c>
      <c r="W20" s="1563">
        <f>SUM('CAR Stock'!X427,'CAR Stock'!X456,'CAR Stock'!X485,'CAR Stock'!X514)</f>
        <v>3.2588537468004213E-4</v>
      </c>
      <c r="X20" s="1563">
        <f>SUM('CAR Stock'!Y427,'CAR Stock'!Y456,'CAR Stock'!Y485,'CAR Stock'!Y514)</f>
        <v>2.6707741494875998E-5</v>
      </c>
      <c r="Y20" s="1563">
        <f>SUM('CAR Stock'!Z427,'CAR Stock'!Z456,'CAR Stock'!Z485,'CAR Stock'!Z514)</f>
        <v>1.4664501327955103E-6</v>
      </c>
      <c r="Z20" s="1563">
        <f>SUM('CAR Stock'!AA427,'CAR Stock'!AA456,'CAR Stock'!AA485,'CAR Stock'!AA514)</f>
        <v>4.0464499904202359E-8</v>
      </c>
      <c r="AA20" s="1563">
        <f>SUM('CAR Stock'!AB427,'CAR Stock'!AB456,'CAR Stock'!AB485,'CAR Stock'!AB514)</f>
        <v>0</v>
      </c>
      <c r="AB20" s="1563">
        <f>SUM('CAR Stock'!AC427,'CAR Stock'!AC456,'CAR Stock'!AC485,'CAR Stock'!AC514)</f>
        <v>0</v>
      </c>
      <c r="AC20" s="1563">
        <f>SUM('CAR Stock'!AD427,'CAR Stock'!AD456,'CAR Stock'!AD485,'CAR Stock'!AD514)</f>
        <v>0</v>
      </c>
      <c r="AD20" s="1564">
        <f>SUM('CAR Stock'!AE427,'CAR Stock'!AE456,'CAR Stock'!AE485,'CAR Stock'!AE514)</f>
        <v>0</v>
      </c>
    </row>
    <row r="21" spans="1:30">
      <c r="A21" s="1562" t="s">
        <v>186</v>
      </c>
      <c r="B21" s="1565">
        <f>SUM('CAR Passenger Kilometres'!AI377,'CAR Passenger Kilometres'!AI406,'CAR Passenger Kilometres'!AI435,'CAR Passenger Kilometres'!AI464)/1000000</f>
        <v>162.30458697082653</v>
      </c>
      <c r="C21" s="1565">
        <f>SUM('CAR Passenger Kilometres'!AJ377,'CAR Passenger Kilometres'!AJ406,'CAR Passenger Kilometres'!AJ435,'CAR Passenger Kilometres'!AJ464)/1000000</f>
        <v>157.95355996397251</v>
      </c>
      <c r="D21" s="1565">
        <f>SUM('CAR Passenger Kilometres'!AK377,'CAR Passenger Kilometres'!AK406,'CAR Passenger Kilometres'!AK435,'CAR Passenger Kilometres'!AK464)/1000000</f>
        <v>152.85635038637923</v>
      </c>
      <c r="E21" s="1565">
        <f>SUM('CAR Passenger Kilometres'!AL377,'CAR Passenger Kilometres'!AL406,'CAR Passenger Kilometres'!AL435,'CAR Passenger Kilometres'!AL464)/1000000</f>
        <v>146.26219913264231</v>
      </c>
      <c r="F21" s="1565">
        <f>SUM('CAR Passenger Kilometres'!AM377,'CAR Passenger Kilometres'!AM406,'CAR Passenger Kilometres'!AM435,'CAR Passenger Kilometres'!AM464)/1000000</f>
        <v>136.8683948721193</v>
      </c>
      <c r="G21" s="1565">
        <f>SUM('CAR Passenger Kilometres'!AN377,'CAR Passenger Kilometres'!AN406,'CAR Passenger Kilometres'!AN435,'CAR Passenger Kilometres'!AN464)/1000000</f>
        <v>123.40332965884136</v>
      </c>
      <c r="H21" s="1565">
        <f>SUM('CAR Passenger Kilometres'!AO377,'CAR Passenger Kilometres'!AO406,'CAR Passenger Kilometres'!AO435,'CAR Passenger Kilometres'!AO464)/1000000</f>
        <v>105.90590978075636</v>
      </c>
      <c r="I21" s="1565">
        <f>SUM('CAR Passenger Kilometres'!AP377,'CAR Passenger Kilometres'!AP406,'CAR Passenger Kilometres'!AP435,'CAR Passenger Kilometres'!AP464)/1000000</f>
        <v>85.857000313149769</v>
      </c>
      <c r="J21" s="1565">
        <f>SUM('CAR Passenger Kilometres'!AQ377,'CAR Passenger Kilometres'!AQ406,'CAR Passenger Kilometres'!AQ435,'CAR Passenger Kilometres'!AQ464)/1000000</f>
        <v>65.345012566191997</v>
      </c>
      <c r="K21" s="1565">
        <f>SUM('CAR Passenger Kilometres'!AR377,'CAR Passenger Kilometres'!AR406,'CAR Passenger Kilometres'!AR435,'CAR Passenger Kilometres'!AR464)/1000000</f>
        <v>46.329537944228136</v>
      </c>
      <c r="L21" s="1565">
        <f>SUM('CAR Passenger Kilometres'!AS377,'CAR Passenger Kilometres'!AS406,'CAR Passenger Kilometres'!AS435,'CAR Passenger Kilometres'!AS464)/1000000</f>
        <v>30.055087359049793</v>
      </c>
      <c r="M21" s="1565">
        <f>SUM('CAR Passenger Kilometres'!AT377,'CAR Passenger Kilometres'!AT406,'CAR Passenger Kilometres'!AT435,'CAR Passenger Kilometres'!AT464)/1000000</f>
        <v>17.368899575988404</v>
      </c>
      <c r="N21" s="1565">
        <f>SUM('CAR Passenger Kilometres'!AU377,'CAR Passenger Kilometres'!AU406,'CAR Passenger Kilometres'!AU435,'CAR Passenger Kilometres'!AU464)/1000000</f>
        <v>8.5959317464766638</v>
      </c>
      <c r="O21" s="1565">
        <f>SUM('CAR Passenger Kilometres'!AV377,'CAR Passenger Kilometres'!AV406,'CAR Passenger Kilometres'!AV435,'CAR Passenger Kilometres'!AV464)/1000000</f>
        <v>3.5093639085135973</v>
      </c>
      <c r="P21" s="1565">
        <f>SUM('CAR Passenger Kilometres'!AW377,'CAR Passenger Kilometres'!AW406,'CAR Passenger Kilometres'!AW435,'CAR Passenger Kilometres'!AW464)/1000000</f>
        <v>1.1479646366126535</v>
      </c>
      <c r="Q21" s="1565">
        <f>SUM('CAR Passenger Kilometres'!AX377,'CAR Passenger Kilometres'!AX406,'CAR Passenger Kilometres'!AX435,'CAR Passenger Kilometres'!AX464)/1000000</f>
        <v>0.29806567107128001</v>
      </c>
      <c r="R21" s="1565">
        <f>SUM('CAR Passenger Kilometres'!AY377,'CAR Passenger Kilometres'!AY406,'CAR Passenger Kilometres'!AY435,'CAR Passenger Kilometres'!AY464)/1000000</f>
        <v>7.0159138758600248E-2</v>
      </c>
      <c r="S21" s="1565">
        <f>SUM('CAR Passenger Kilometres'!AZ377,'CAR Passenger Kilometres'!AZ406,'CAR Passenger Kilometres'!AZ435,'CAR Passenger Kilometres'!AZ464)/1000000</f>
        <v>1.4967735715031594E-2</v>
      </c>
      <c r="T21" s="1565">
        <f>SUM('CAR Passenger Kilometres'!BA377,'CAR Passenger Kilometres'!BA406,'CAR Passenger Kilometres'!BA435,'CAR Passenger Kilometres'!BA464)/1000000</f>
        <v>2.8066806493928908E-3</v>
      </c>
      <c r="U21" s="1565">
        <f>SUM('CAR Passenger Kilometres'!BB377,'CAR Passenger Kilometres'!BB406,'CAR Passenger Kilometres'!BB435,'CAR Passenger Kilometres'!BB464)/1000000</f>
        <v>4.531833312303337E-4</v>
      </c>
      <c r="V21" s="1565">
        <f>SUM('CAR Passenger Kilometres'!BC377,'CAR Passenger Kilometres'!BC406,'CAR Passenger Kilometres'!BC435,'CAR Passenger Kilometres'!BC464)/1000000</f>
        <v>6.1262551408973681E-5</v>
      </c>
      <c r="W21" s="1565">
        <f>SUM('CAR Passenger Kilometres'!BD377,'CAR Passenger Kilometres'!BD406,'CAR Passenger Kilometres'!BD435,'CAR Passenger Kilometres'!BD464)/1000000</f>
        <v>6.6567005130098033E-6</v>
      </c>
      <c r="X21" s="1565">
        <f>SUM('CAR Passenger Kilometres'!BE377,'CAR Passenger Kilometres'!BE406,'CAR Passenger Kilometres'!BE435,'CAR Passenger Kilometres'!BE464)/1000000</f>
        <v>5.4509676617292379E-7</v>
      </c>
      <c r="Y21" s="1565">
        <f>SUM('CAR Passenger Kilometres'!BF377,'CAR Passenger Kilometres'!BF406,'CAR Passenger Kilometres'!BF435,'CAR Passenger Kilometres'!BF464)/1000000</f>
        <v>2.9904270809752216E-8</v>
      </c>
      <c r="Z21" s="1565">
        <f>SUM('CAR Passenger Kilometres'!BG377,'CAR Passenger Kilometres'!BG406,'CAR Passenger Kilometres'!BG435,'CAR Passenger Kilometres'!BG464)/1000000</f>
        <v>8.2444469652654861E-10</v>
      </c>
      <c r="AA21" s="1565">
        <f>SUM('CAR Passenger Kilometres'!BH377,'CAR Passenger Kilometres'!BH406,'CAR Passenger Kilometres'!BH435,'CAR Passenger Kilometres'!BH464)/1000000</f>
        <v>0</v>
      </c>
      <c r="AB21" s="1565">
        <f>SUM('CAR Passenger Kilometres'!BI377,'CAR Passenger Kilometres'!BI406,'CAR Passenger Kilometres'!BI435,'CAR Passenger Kilometres'!BI464)/1000000</f>
        <v>0</v>
      </c>
      <c r="AC21" s="1565">
        <f>SUM('CAR Passenger Kilometres'!BJ377,'CAR Passenger Kilometres'!BJ406,'CAR Passenger Kilometres'!BJ435,'CAR Passenger Kilometres'!BJ464)/1000000</f>
        <v>0</v>
      </c>
      <c r="AD21" s="1566">
        <f>SUM('CAR Passenger Kilometres'!BK377,'CAR Passenger Kilometres'!BK406,'CAR Passenger Kilometres'!BK435,'CAR Passenger Kilometres'!BK464)/1000000</f>
        <v>0</v>
      </c>
    </row>
    <row r="22" spans="1:30">
      <c r="A22" s="1562" t="s">
        <v>648</v>
      </c>
      <c r="B22" s="1567">
        <f>(1+$O$55)*SUMPRODUCT('CAR SEC'!AH42:AH45,'CAR SEC'!AH60:AH63)/SUM('CAR SEC'!AH60:AH63)</f>
        <v>1.895361027338879</v>
      </c>
      <c r="C22" s="1567">
        <f>SUMPRODUCT('CAR SEC'!AI42:AI45,'CAR SEC'!AI60:AI63)/SUM('CAR SEC'!AI60:AI63)</f>
        <v>1.4431459252689989</v>
      </c>
      <c r="D22" s="1567">
        <f>SUMPRODUCT('CAR SEC'!AJ42:AJ45,'CAR SEC'!AJ60:AJ63)/SUM('CAR SEC'!AJ60:AJ63)</f>
        <v>1.4447632514239197</v>
      </c>
      <c r="E22" s="1567">
        <f>SUMPRODUCT('CAR SEC'!AK42:AK45,'CAR SEC'!AK60:AK63)/SUM('CAR SEC'!AK60:AK63)</f>
        <v>1.4472147841693541</v>
      </c>
      <c r="F22" s="1567">
        <f>SUMPRODUCT('CAR SEC'!AL42:AL45,'CAR SEC'!AL60:AL63)/SUM('CAR SEC'!AL60:AL63)</f>
        <v>1.4497022825285413</v>
      </c>
      <c r="G22" s="1567">
        <f>SUMPRODUCT('CAR SEC'!AM42:AM45,'CAR SEC'!AM60:AM63)/SUM('CAR SEC'!AM60:AM63)</f>
        <v>1.4515153845660822</v>
      </c>
      <c r="H22" s="1567">
        <f>SUMPRODUCT('CAR SEC'!AN42:AN45,'CAR SEC'!AN60:AN63)/SUM('CAR SEC'!AN60:AN63)</f>
        <v>1.4526927810326944</v>
      </c>
      <c r="I22" s="1567">
        <f>SUMPRODUCT('CAR SEC'!AO42:AO45,'CAR SEC'!AO60:AO63)/SUM('CAR SEC'!AO60:AO63)</f>
        <v>1.4548643552866323</v>
      </c>
      <c r="J22" s="1567">
        <f>SUMPRODUCT('CAR SEC'!AP42:AP45,'CAR SEC'!AP60:AP63)/SUM('CAR SEC'!AP60:AP63)</f>
        <v>1.4600168889828677</v>
      </c>
      <c r="K22" s="1567">
        <f>SUMPRODUCT('CAR SEC'!AQ42:AQ45,'CAR SEC'!AQ60:AQ63)/SUM('CAR SEC'!AQ60:AQ63)</f>
        <v>1.4684575081917544</v>
      </c>
      <c r="L22" s="1567">
        <f>SUMPRODUCT('CAR SEC'!AR42:AR45,'CAR SEC'!AR60:AR63)/SUM('CAR SEC'!AR60:AR63)</f>
        <v>1.4786003161888783</v>
      </c>
      <c r="M22" s="1567">
        <f>SUMPRODUCT('CAR SEC'!AS42:AS45,'CAR SEC'!AS60:AS63)/SUM('CAR SEC'!AS60:AS63)</f>
        <v>1.4882429076252652</v>
      </c>
      <c r="N22" s="1567">
        <f>SUMPRODUCT('CAR SEC'!AT42:AT45,'CAR SEC'!AT60:AT63)/SUM('CAR SEC'!AT60:AT63)</f>
        <v>1.4957186326736041</v>
      </c>
      <c r="O22" s="1567">
        <f>SUMPRODUCT('CAR SEC'!AU42:AU45,'CAR SEC'!AU60:AU63)/SUM('CAR SEC'!AU60:AU63)</f>
        <v>1.5012862020599027</v>
      </c>
      <c r="P22" s="1567">
        <f>SUMPRODUCT('CAR SEC'!AV42:AV45,'CAR SEC'!AV60:AV63)/SUM('CAR SEC'!AV60:AV63)</f>
        <v>1.5057689702260095</v>
      </c>
      <c r="Q22" s="1567">
        <f>SUMPRODUCT('CAR SEC'!AW42:AW45,'CAR SEC'!AW60:AW63)/SUM('CAR SEC'!AW60:AW63)</f>
        <v>1.510343049766514</v>
      </c>
      <c r="R22" s="1567">
        <f>SUMPRODUCT('CAR SEC'!AX42:AX45,'CAR SEC'!AX60:AX63)/SUM('CAR SEC'!AX60:AX63)</f>
        <v>1.5150359425591888</v>
      </c>
      <c r="S22" s="1567">
        <f>SUMPRODUCT('CAR SEC'!AY42:AY45,'CAR SEC'!AY60:AY63)/SUM('CAR SEC'!AY60:AY63)</f>
        <v>1.5198450100483398</v>
      </c>
      <c r="T22" s="1567">
        <f>SUMPRODUCT('CAR SEC'!AZ42:AZ45,'CAR SEC'!AZ60:AZ63)/SUM('CAR SEC'!AZ60:AZ63)</f>
        <v>1.5247623872408385</v>
      </c>
      <c r="U22" s="1567">
        <f>SUMPRODUCT('CAR SEC'!BA42:BA45,'CAR SEC'!BA60:BA63)/SUM('CAR SEC'!BA60:BA63)</f>
        <v>1.5297750947401438</v>
      </c>
      <c r="V22" s="1567">
        <f>SUMPRODUCT('CAR SEC'!BB42:BB45,'CAR SEC'!BB60:BB63)/SUM('CAR SEC'!BB60:BB63)</f>
        <v>1.5348654888280029</v>
      </c>
      <c r="W22" s="1567">
        <f>SUMPRODUCT('CAR SEC'!BC42:BC45,'CAR SEC'!BC60:BC63)/SUM('CAR SEC'!BC60:BC63)</f>
        <v>1.5400120326915372</v>
      </c>
      <c r="X22" s="1567">
        <f>SUMPRODUCT('CAR SEC'!BD42:BD45,'CAR SEC'!BD60:BD63)/SUM('CAR SEC'!BD60:BD63)</f>
        <v>1.5451903598104231</v>
      </c>
      <c r="Y22" s="1567">
        <f>SUMPRODUCT('CAR SEC'!BE42:BE45,'CAR SEC'!BE60:BE63)/SUM('CAR SEC'!BE60:BE63)</f>
        <v>1.5503746008032293</v>
      </c>
      <c r="Z22" s="1567">
        <f>SUMPRODUCT('CAR SEC'!BF42:BF45,'CAR SEC'!BF60:BF63)/SUM('CAR SEC'!BF60:BF63)</f>
        <v>1.5555389566823354</v>
      </c>
      <c r="AA22" s="1567" t="e">
        <f>SUMPRODUCT('CAR SEC'!BG42:BG45,'CAR SEC'!BG60:BG63)/SUM('CAR SEC'!BG60:BG63)</f>
        <v>#DIV/0!</v>
      </c>
      <c r="AB22" s="1567" t="e">
        <f>SUMPRODUCT('CAR SEC'!BH42:BH45,'CAR SEC'!BH60:BH63)/SUM('CAR SEC'!BH60:BH63)</f>
        <v>#DIV/0!</v>
      </c>
      <c r="AC22" s="1567" t="e">
        <f>SUMPRODUCT('CAR SEC'!BI42:BI45,'CAR SEC'!BI60:BI63)/SUM('CAR SEC'!BI60:BI63)</f>
        <v>#DIV/0!</v>
      </c>
      <c r="AD22" s="1568" t="e">
        <f>SUMPRODUCT('CAR SEC'!BJ42:BJ45,'CAR SEC'!BJ60:BJ63)/SUM('CAR SEC'!BJ60:BJ63)</f>
        <v>#DIV/0!</v>
      </c>
    </row>
    <row r="23" spans="1:30" ht="15.75" thickBot="1">
      <c r="A23" s="1569" t="s">
        <v>232</v>
      </c>
      <c r="B23" s="1570">
        <f>B22*B21</f>
        <v>307.62578870283824</v>
      </c>
      <c r="C23" s="1570">
        <f t="shared" ref="C23" si="57">C22*C21/$I$58</f>
        <v>152.78034583218943</v>
      </c>
      <c r="D23" s="1570">
        <f t="shared" ref="D23" si="58">D22*D21/$I$58</f>
        <v>148.01577226828593</v>
      </c>
      <c r="E23" s="1570">
        <f t="shared" ref="E23" si="59">E22*E21/$I$58</f>
        <v>141.87076554760031</v>
      </c>
      <c r="F23" s="1570">
        <f t="shared" ref="F23" si="60">F22*F21/$I$58</f>
        <v>132.98719307183075</v>
      </c>
      <c r="G23" s="1570">
        <f t="shared" ref="G23" si="61">G22*G21/$I$58</f>
        <v>120.05391966853546</v>
      </c>
      <c r="H23" s="1570">
        <f t="shared" ref="H23" si="62">H22*H21/$I$58</f>
        <v>103.11498822427383</v>
      </c>
      <c r="I23" s="1570">
        <f t="shared" ref="I23" si="63">I22*I21/$I$58</f>
        <v>83.719386543624708</v>
      </c>
      <c r="J23" s="1570">
        <f t="shared" ref="J23" si="64">J22*J21/$I$58</f>
        <v>63.943756799149966</v>
      </c>
      <c r="K23" s="1570">
        <f t="shared" ref="K23" si="65">K22*K21/$I$58</f>
        <v>45.598145057329013</v>
      </c>
      <c r="L23" s="1570">
        <f t="shared" ref="L23" si="66">L22*L21/$I$58</f>
        <v>29.784931947343644</v>
      </c>
      <c r="M23" s="1570">
        <f t="shared" ref="M23" si="67">M22*M21/$I$58</f>
        <v>17.325028132605972</v>
      </c>
      <c r="N23" s="1570">
        <f t="shared" ref="N23" si="68">N22*N21/$I$58</f>
        <v>8.6172895327240653</v>
      </c>
      <c r="O23" s="1570">
        <f t="shared" ref="O23" si="69">O22*O21/$I$58</f>
        <v>3.5311789039413917</v>
      </c>
      <c r="P23" s="1570">
        <f t="shared" ref="P23" si="70">P22*P21/$I$58</f>
        <v>1.1585497177985584</v>
      </c>
      <c r="Q23" s="1570">
        <f t="shared" ref="Q23" si="71">Q22*Q21/$I$58</f>
        <v>0.30172784042732664</v>
      </c>
      <c r="R23" s="1570">
        <f t="shared" ref="R23" si="72">R22*R21/$I$58</f>
        <v>7.1241820382585044E-2</v>
      </c>
      <c r="S23" s="1570">
        <f t="shared" ref="S23" si="73">S22*S21/$I$58</f>
        <v>1.5246958947775542E-2</v>
      </c>
      <c r="T23" s="1570">
        <f t="shared" ref="T23" si="74">T22*T21/$I$58</f>
        <v>2.8682895686158645E-3</v>
      </c>
      <c r="U23" s="1570">
        <f t="shared" ref="U23" si="75">U22*U21/$I$58</f>
        <v>4.6465363226691443E-4</v>
      </c>
      <c r="V23" s="1570">
        <f t="shared" ref="V23" si="76">V22*V21/$I$58</f>
        <v>6.3022151287924497E-5</v>
      </c>
      <c r="W23" s="1570">
        <f t="shared" ref="W23" si="77">W22*W21/$I$58</f>
        <v>6.8708577187174029E-6</v>
      </c>
      <c r="X23" s="1570">
        <f t="shared" ref="X23" si="78">X22*X21/$I$58</f>
        <v>5.6452531053918324E-7</v>
      </c>
      <c r="Y23" s="1570">
        <f t="shared" ref="Y23" si="79">Y22*Y21/$I$58</f>
        <v>3.1074037438403355E-8</v>
      </c>
      <c r="Z23" s="1570">
        <f t="shared" ref="Z23" si="80">Z22*Z21/$I$58</f>
        <v>8.5954821625222314E-10</v>
      </c>
      <c r="AA23" s="1570" t="e">
        <f t="shared" ref="AA23" si="81">AA22*AA21/$I$58</f>
        <v>#DIV/0!</v>
      </c>
      <c r="AB23" s="1570" t="e">
        <f t="shared" ref="AB23" si="82">AB22*AB21/$I$58</f>
        <v>#DIV/0!</v>
      </c>
      <c r="AC23" s="1570" t="e">
        <f t="shared" ref="AC23" si="83">AC22*AC21/$I$58</f>
        <v>#DIV/0!</v>
      </c>
      <c r="AD23" s="1571" t="e">
        <f t="shared" ref="AD23" si="84">AD22*AD21/$I$58</f>
        <v>#DIV/0!</v>
      </c>
    </row>
    <row r="24" spans="1:30" ht="15.75" thickBot="1">
      <c r="B24" s="1573"/>
    </row>
    <row r="25" spans="1:30" ht="15.75" thickBot="1">
      <c r="A25" s="1696" t="s">
        <v>40</v>
      </c>
      <c r="B25" s="1699" t="s">
        <v>40</v>
      </c>
      <c r="C25" s="1700"/>
      <c r="D25" s="1700"/>
      <c r="E25" s="1700"/>
      <c r="F25" s="1700"/>
      <c r="G25" s="1700"/>
      <c r="H25" s="1700"/>
      <c r="I25" s="1700"/>
      <c r="J25" s="1700"/>
      <c r="K25" s="1700"/>
      <c r="L25" s="1701"/>
      <c r="N25" s="1573"/>
      <c r="O25" s="1575" t="s">
        <v>243</v>
      </c>
      <c r="P25" s="1576" t="s">
        <v>630</v>
      </c>
      <c r="Q25" s="1577" t="s">
        <v>245</v>
      </c>
      <c r="R25" s="1578"/>
    </row>
    <row r="26" spans="1:30" ht="46.5" thickTop="1" thickBot="1">
      <c r="A26" s="1696"/>
      <c r="B26" s="1579" t="s">
        <v>10</v>
      </c>
      <c r="C26" s="1580" t="s">
        <v>41</v>
      </c>
      <c r="D26" s="1581" t="s">
        <v>42</v>
      </c>
      <c r="E26" s="1581" t="s">
        <v>43</v>
      </c>
      <c r="F26" s="1582" t="s">
        <v>44</v>
      </c>
      <c r="G26" s="1583"/>
      <c r="H26" s="1579" t="s">
        <v>10</v>
      </c>
      <c r="I26" s="1580" t="s">
        <v>45</v>
      </c>
      <c r="J26" s="1580" t="s">
        <v>46</v>
      </c>
      <c r="K26" s="1580" t="s">
        <v>47</v>
      </c>
      <c r="L26" s="1584" t="s">
        <v>48</v>
      </c>
      <c r="N26" s="1585" t="s">
        <v>542</v>
      </c>
      <c r="O26" s="1586">
        <f>(B5+B11+B17+B23)/41.868</f>
        <v>2218.4805151019164</v>
      </c>
      <c r="P26" s="1587">
        <v>1858</v>
      </c>
      <c r="Q26" s="1588">
        <f>(O26-P26)/O26</f>
        <v>0.1624898270000609</v>
      </c>
    </row>
    <row r="27" spans="1:30" ht="15.75" thickTop="1">
      <c r="A27" s="1696"/>
      <c r="B27" s="1589">
        <v>0</v>
      </c>
      <c r="C27" s="1590">
        <f>'CAR Survival Profiles'!AE22</f>
        <v>100</v>
      </c>
      <c r="D27" s="1591">
        <f>'CAR Survival Profiles'!BK22</f>
        <v>100</v>
      </c>
      <c r="E27" s="1591">
        <f>'CAR Survival Profiles'!CQ22</f>
        <v>100</v>
      </c>
      <c r="F27" s="1592">
        <f>'CAR Survival Profiles'!DW22</f>
        <v>100</v>
      </c>
      <c r="G27" s="1593"/>
      <c r="H27" s="1594">
        <v>0</v>
      </c>
      <c r="I27" s="1590">
        <f>'CAR Survival Profiles'!AE60</f>
        <v>100</v>
      </c>
      <c r="J27" s="1591">
        <f>'CAR Survival Profiles'!BK60</f>
        <v>100</v>
      </c>
      <c r="K27" s="1591">
        <f>'CAR Survival Profiles'!CQ60</f>
        <v>100</v>
      </c>
      <c r="L27" s="1592">
        <f>'CAR Survival Profiles'!DW60</f>
        <v>100</v>
      </c>
      <c r="O27" s="1573"/>
    </row>
    <row r="28" spans="1:30">
      <c r="A28" s="1696"/>
      <c r="B28" s="1589">
        <v>1</v>
      </c>
      <c r="C28" s="1595">
        <f>'CAR Survival Profiles'!AE23</f>
        <v>103.52114747423099</v>
      </c>
      <c r="D28" s="1596">
        <f>'CAR Survival Profiles'!BK23</f>
        <v>102.51850860673888</v>
      </c>
      <c r="E28" s="1596">
        <f>'CAR Survival Profiles'!CQ23</f>
        <v>101.48657584890506</v>
      </c>
      <c r="F28" s="1597">
        <f>'CAR Survival Profiles'!DW23</f>
        <v>101.19488411066528</v>
      </c>
      <c r="G28" s="1593"/>
      <c r="H28" s="1594">
        <v>1</v>
      </c>
      <c r="I28" s="1595">
        <f>'CAR Survival Profiles'!AE61</f>
        <v>132.27746197683899</v>
      </c>
      <c r="J28" s="1596">
        <f>'CAR Survival Profiles'!BK61</f>
        <v>101.16551239984135</v>
      </c>
      <c r="K28" s="1596">
        <f>'CAR Survival Profiles'!CQ61</f>
        <v>106.80410432995811</v>
      </c>
      <c r="L28" s="1597">
        <f>'CAR Survival Profiles'!DW61</f>
        <v>107.390190484282</v>
      </c>
    </row>
    <row r="29" spans="1:30">
      <c r="A29" s="1696"/>
      <c r="B29" s="1589">
        <v>2</v>
      </c>
      <c r="C29" s="1595">
        <f>'CAR Survival Profiles'!AE24</f>
        <v>104.04003354265024</v>
      </c>
      <c r="D29" s="1596">
        <f>'CAR Survival Profiles'!BK24</f>
        <v>103.24042390214461</v>
      </c>
      <c r="E29" s="1596">
        <f>'CAR Survival Profiles'!CQ24</f>
        <v>103.26243512816728</v>
      </c>
      <c r="F29" s="1597">
        <f>'CAR Survival Profiles'!DW24</f>
        <v>103.01573841426529</v>
      </c>
      <c r="G29" s="1593"/>
      <c r="H29" s="1594">
        <v>2</v>
      </c>
      <c r="I29" s="1595">
        <f>'CAR Survival Profiles'!AE62</f>
        <v>178.81483151694829</v>
      </c>
      <c r="J29" s="1596">
        <f>'CAR Survival Profiles'!BK62</f>
        <v>105.35762664839667</v>
      </c>
      <c r="K29" s="1596">
        <f>'CAR Survival Profiles'!CQ62</f>
        <v>113.35290388111407</v>
      </c>
      <c r="L29" s="1597">
        <f>'CAR Survival Profiles'!DW62</f>
        <v>114.47518940949476</v>
      </c>
    </row>
    <row r="30" spans="1:30">
      <c r="A30" s="1696"/>
      <c r="B30" s="1589">
        <v>3</v>
      </c>
      <c r="C30" s="1595">
        <f>'CAR Survival Profiles'!AE25</f>
        <v>104.51851081061655</v>
      </c>
      <c r="D30" s="1596">
        <f>'CAR Survival Profiles'!BK25</f>
        <v>103.36269781999431</v>
      </c>
      <c r="E30" s="1596">
        <f>'CAR Survival Profiles'!CQ25</f>
        <v>103.36069592851933</v>
      </c>
      <c r="F30" s="1597">
        <f>'CAR Survival Profiles'!DW25</f>
        <v>104.02428706528669</v>
      </c>
      <c r="G30" s="1593"/>
      <c r="H30" s="1594">
        <v>3</v>
      </c>
      <c r="I30" s="1595">
        <f>'CAR Survival Profiles'!AE63</f>
        <v>216.38142045707866</v>
      </c>
      <c r="J30" s="1596">
        <f>'CAR Survival Profiles'!BK63</f>
        <v>115.21617827642123</v>
      </c>
      <c r="K30" s="1596">
        <f>'CAR Survival Profiles'!CQ63</f>
        <v>126.86940305747993</v>
      </c>
      <c r="L30" s="1597">
        <f>'CAR Survival Profiles'!DW63</f>
        <v>125.10656461697191</v>
      </c>
    </row>
    <row r="31" spans="1:30">
      <c r="A31" s="1696"/>
      <c r="B31" s="1589">
        <v>4</v>
      </c>
      <c r="C31" s="1595">
        <f>'CAR Survival Profiles'!AE26</f>
        <v>104.9718835907284</v>
      </c>
      <c r="D31" s="1596">
        <f>'CAR Survival Profiles'!BK26</f>
        <v>103.81147478646119</v>
      </c>
      <c r="E31" s="1596">
        <f>'CAR Survival Profiles'!CQ26</f>
        <v>103.97681176483128</v>
      </c>
      <c r="F31" s="1597">
        <f>'CAR Survival Profiles'!DW26</f>
        <v>105.20952137012409</v>
      </c>
      <c r="G31" s="1593"/>
      <c r="H31" s="1594">
        <v>4</v>
      </c>
      <c r="I31" s="1595">
        <f>'CAR Survival Profiles'!AE64</f>
        <v>207.82834093799502</v>
      </c>
      <c r="J31" s="1596">
        <f>'CAR Survival Profiles'!BK64</f>
        <v>123.90115928095136</v>
      </c>
      <c r="K31" s="1596">
        <f>'CAR Survival Profiles'!CQ64</f>
        <v>138.80809710921091</v>
      </c>
      <c r="L31" s="1597">
        <f>'CAR Survival Profiles'!DW64</f>
        <v>133.23420850509956</v>
      </c>
    </row>
    <row r="32" spans="1:30">
      <c r="A32" s="1696"/>
      <c r="B32" s="1589">
        <v>5</v>
      </c>
      <c r="C32" s="1595">
        <f>'CAR Survival Profiles'!AE27</f>
        <v>105.34736466121124</v>
      </c>
      <c r="D32" s="1596">
        <f>'CAR Survival Profiles'!BK27</f>
        <v>103.78119575125203</v>
      </c>
      <c r="E32" s="1596">
        <f>'CAR Survival Profiles'!CQ27</f>
        <v>104.48150531612453</v>
      </c>
      <c r="F32" s="1597">
        <f>'CAR Survival Profiles'!DW27</f>
        <v>106.19872605956945</v>
      </c>
      <c r="G32" s="1593"/>
      <c r="H32" s="1594">
        <v>5</v>
      </c>
      <c r="I32" s="1595">
        <f>'CAR Survival Profiles'!AE65</f>
        <v>284.76474345262966</v>
      </c>
      <c r="J32" s="1596">
        <f>'CAR Survival Profiles'!BK65</f>
        <v>131.71181271300591</v>
      </c>
      <c r="K32" s="1596">
        <f>'CAR Survival Profiles'!CQ65</f>
        <v>145.56947464653601</v>
      </c>
      <c r="L32" s="1597">
        <f>'CAR Survival Profiles'!DW65</f>
        <v>136.79672154133746</v>
      </c>
    </row>
    <row r="33" spans="1:12">
      <c r="A33" s="1696"/>
      <c r="B33" s="1589">
        <v>6</v>
      </c>
      <c r="C33" s="1595">
        <f>'CAR Survival Profiles'!AE28</f>
        <v>104.97396567694477</v>
      </c>
      <c r="D33" s="1596">
        <f>'CAR Survival Profiles'!BK28</f>
        <v>103.2779713149679</v>
      </c>
      <c r="E33" s="1596">
        <f>'CAR Survival Profiles'!CQ28</f>
        <v>104.14499101310277</v>
      </c>
      <c r="F33" s="1597">
        <f>'CAR Survival Profiles'!DW28</f>
        <v>106.04025924119294</v>
      </c>
      <c r="G33" s="1593"/>
      <c r="H33" s="1594">
        <v>6</v>
      </c>
      <c r="I33" s="1595">
        <f>'CAR Survival Profiles'!AE66</f>
        <v>264.9746311222849</v>
      </c>
      <c r="J33" s="1596">
        <f>'CAR Survival Profiles'!BK66</f>
        <v>139.21088358811016</v>
      </c>
      <c r="K33" s="1596">
        <f>'CAR Survival Profiles'!CQ66</f>
        <v>148.90217484794152</v>
      </c>
      <c r="L33" s="1597">
        <f>'CAR Survival Profiles'!DW66</f>
        <v>137.43752127991979</v>
      </c>
    </row>
    <row r="34" spans="1:12">
      <c r="A34" s="1696"/>
      <c r="B34" s="1589">
        <v>7</v>
      </c>
      <c r="C34" s="1595">
        <f>'CAR Survival Profiles'!AE29</f>
        <v>104.13040690574888</v>
      </c>
      <c r="D34" s="1596">
        <f>'CAR Survival Profiles'!BK29</f>
        <v>101.73472015475453</v>
      </c>
      <c r="E34" s="1596">
        <f>'CAR Survival Profiles'!CQ29</f>
        <v>102.73822114502322</v>
      </c>
      <c r="F34" s="1597">
        <f>'CAR Survival Profiles'!DW29</f>
        <v>105.52744296834845</v>
      </c>
      <c r="G34" s="1593"/>
      <c r="H34" s="1594">
        <v>7</v>
      </c>
      <c r="I34" s="1595">
        <f>'CAR Survival Profiles'!AE67</f>
        <v>243.57353555533743</v>
      </c>
      <c r="J34" s="1596">
        <f>'CAR Survival Profiles'!BK67</f>
        <v>147.798702972694</v>
      </c>
      <c r="K34" s="1596">
        <f>'CAR Survival Profiles'!CQ67</f>
        <v>150.68403303145115</v>
      </c>
      <c r="L34" s="1597">
        <f>'CAR Survival Profiles'!DW67</f>
        <v>136.34416656176364</v>
      </c>
    </row>
    <row r="35" spans="1:12">
      <c r="A35" s="1696"/>
      <c r="B35" s="1589">
        <v>8</v>
      </c>
      <c r="C35" s="1595">
        <f>'CAR Survival Profiles'!AE30</f>
        <v>101.75245951496584</v>
      </c>
      <c r="D35" s="1596">
        <f>'CAR Survival Profiles'!BK30</f>
        <v>98.533121623782989</v>
      </c>
      <c r="E35" s="1596">
        <f>'CAR Survival Profiles'!CQ30</f>
        <v>99.500013160770862</v>
      </c>
      <c r="F35" s="1597">
        <f>'CAR Survival Profiles'!DW30</f>
        <v>102.41578139757931</v>
      </c>
      <c r="G35" s="1593"/>
      <c r="H35" s="1594">
        <v>8</v>
      </c>
      <c r="I35" s="1595">
        <f>'CAR Survival Profiles'!AE68</f>
        <v>221.48087144448675</v>
      </c>
      <c r="J35" s="1596">
        <f>'CAR Survival Profiles'!BK68</f>
        <v>154.32309972985686</v>
      </c>
      <c r="K35" s="1596">
        <f>'CAR Survival Profiles'!CQ68</f>
        <v>149.84568744851393</v>
      </c>
      <c r="L35" s="1597">
        <f>'CAR Survival Profiles'!DW68</f>
        <v>132.7595778522664</v>
      </c>
    </row>
    <row r="36" spans="1:12">
      <c r="A36" s="1696"/>
      <c r="B36" s="1589">
        <v>9</v>
      </c>
      <c r="C36" s="1595">
        <f>'CAR Survival Profiles'!AE31</f>
        <v>98.643404396646076</v>
      </c>
      <c r="D36" s="1596">
        <f>'CAR Survival Profiles'!BK31</f>
        <v>93.456283037576554</v>
      </c>
      <c r="E36" s="1596">
        <f>'CAR Survival Profiles'!CQ31</f>
        <v>94.51696891250019</v>
      </c>
      <c r="F36" s="1597">
        <f>'CAR Survival Profiles'!DW31</f>
        <v>97.296978558345245</v>
      </c>
      <c r="G36" s="1593"/>
      <c r="H36" s="1594">
        <v>9</v>
      </c>
      <c r="I36" s="1595">
        <f>'CAR Survival Profiles'!AE69</f>
        <v>203.1196131672591</v>
      </c>
      <c r="J36" s="1596">
        <f>'CAR Survival Profiles'!BK69</f>
        <v>157.39541476603611</v>
      </c>
      <c r="K36" s="1596">
        <f>'CAR Survival Profiles'!CQ69</f>
        <v>145.18543956295144</v>
      </c>
      <c r="L36" s="1597">
        <f>'CAR Survival Profiles'!DW69</f>
        <v>125.6351903433613</v>
      </c>
    </row>
    <row r="37" spans="1:12">
      <c r="A37" s="1696"/>
      <c r="B37" s="1589">
        <v>10</v>
      </c>
      <c r="C37" s="1595">
        <f>'CAR Survival Profiles'!AE32</f>
        <v>92.357046763317939</v>
      </c>
      <c r="D37" s="1596">
        <f>'CAR Survival Profiles'!BK32</f>
        <v>85.086088339458314</v>
      </c>
      <c r="E37" s="1596">
        <f>'CAR Survival Profiles'!CQ32</f>
        <v>85.577662656543978</v>
      </c>
      <c r="F37" s="1597">
        <f>'CAR Survival Profiles'!DW32</f>
        <v>88.235324994745866</v>
      </c>
      <c r="G37" s="1593"/>
      <c r="H37" s="1594">
        <v>10</v>
      </c>
      <c r="I37" s="1595">
        <f>'CAR Survival Profiles'!AE70</f>
        <v>170.27207307933841</v>
      </c>
      <c r="J37" s="1596">
        <f>'CAR Survival Profiles'!BK70</f>
        <v>154.83522432629758</v>
      </c>
      <c r="K37" s="1596">
        <f>'CAR Survival Profiles'!CQ70</f>
        <v>134.74672602439469</v>
      </c>
      <c r="L37" s="1597">
        <f>'CAR Survival Profiles'!DW70</f>
        <v>112.7429791141456</v>
      </c>
    </row>
    <row r="38" spans="1:12">
      <c r="A38" s="1696"/>
      <c r="B38" s="1589">
        <v>11</v>
      </c>
      <c r="C38" s="1595">
        <f>'CAR Survival Profiles'!AE33</f>
        <v>83.469918262339462</v>
      </c>
      <c r="D38" s="1596">
        <f>'CAR Survival Profiles'!BK33</f>
        <v>74.592573056790755</v>
      </c>
      <c r="E38" s="1596">
        <f>'CAR Survival Profiles'!CQ33</f>
        <v>73.985928068878891</v>
      </c>
      <c r="F38" s="1597">
        <f>'CAR Survival Profiles'!DW33</f>
        <v>76.652253249760463</v>
      </c>
      <c r="G38" s="1593"/>
      <c r="H38" s="1594">
        <v>11</v>
      </c>
      <c r="I38" s="1595">
        <f>'CAR Survival Profiles'!AE71</f>
        <v>134.46941463478166</v>
      </c>
      <c r="J38" s="1596">
        <f>'CAR Survival Profiles'!BK71</f>
        <v>144.01511198846543</v>
      </c>
      <c r="K38" s="1596">
        <f>'CAR Survival Profiles'!CQ71</f>
        <v>118.73496559303427</v>
      </c>
      <c r="L38" s="1597">
        <f>'CAR Survival Profiles'!DW71</f>
        <v>95.162932763738908</v>
      </c>
    </row>
    <row r="39" spans="1:12">
      <c r="A39" s="1696"/>
      <c r="B39" s="1589">
        <v>12</v>
      </c>
      <c r="C39" s="1595">
        <f>'CAR Survival Profiles'!AE34</f>
        <v>72.545709377816962</v>
      </c>
      <c r="D39" s="1596">
        <f>'CAR Survival Profiles'!BK34</f>
        <v>61.710127421614381</v>
      </c>
      <c r="E39" s="1596">
        <f>'CAR Survival Profiles'!CQ34</f>
        <v>59.982485119157381</v>
      </c>
      <c r="F39" s="1597">
        <f>'CAR Survival Profiles'!DW34</f>
        <v>63.587935620257532</v>
      </c>
      <c r="G39" s="1593"/>
      <c r="H39" s="1594">
        <v>12</v>
      </c>
      <c r="I39" s="1595">
        <f>'CAR Survival Profiles'!AE72</f>
        <v>97.224221275824249</v>
      </c>
      <c r="J39" s="1596">
        <f>'CAR Survival Profiles'!BK72</f>
        <v>116.34182333233674</v>
      </c>
      <c r="K39" s="1596">
        <f>'CAR Survival Profiles'!CQ72</f>
        <v>98.503061527386336</v>
      </c>
      <c r="L39" s="1597">
        <f>'CAR Survival Profiles'!DW72</f>
        <v>76.451633857582166</v>
      </c>
    </row>
    <row r="40" spans="1:12">
      <c r="A40" s="1696"/>
      <c r="B40" s="1589">
        <v>13</v>
      </c>
      <c r="C40" s="1595">
        <f>'CAR Survival Profiles'!AE35</f>
        <v>60.711786745538035</v>
      </c>
      <c r="D40" s="1596">
        <f>'CAR Survival Profiles'!BK35</f>
        <v>49.197484361100457</v>
      </c>
      <c r="E40" s="1596">
        <f>'CAR Survival Profiles'!CQ35</f>
        <v>47.390986071051927</v>
      </c>
      <c r="F40" s="1597">
        <f>'CAR Survival Profiles'!DW35</f>
        <v>51.298847143152962</v>
      </c>
      <c r="G40" s="1593"/>
      <c r="H40" s="1594">
        <v>13</v>
      </c>
      <c r="I40" s="1595">
        <f>'CAR Survival Profiles'!AE73</f>
        <v>74.080402670118843</v>
      </c>
      <c r="J40" s="1596">
        <f>'CAR Survival Profiles'!BK73</f>
        <v>87.461017790360245</v>
      </c>
      <c r="K40" s="1596">
        <f>'CAR Survival Profiles'!CQ73</f>
        <v>76.968389119090844</v>
      </c>
      <c r="L40" s="1597">
        <f>'CAR Survival Profiles'!DW73</f>
        <v>59.135345341506337</v>
      </c>
    </row>
    <row r="41" spans="1:12">
      <c r="A41" s="1696"/>
      <c r="B41" s="1589">
        <v>14</v>
      </c>
      <c r="C41" s="1595">
        <f>'CAR Survival Profiles'!AE36</f>
        <v>47.955664275695725</v>
      </c>
      <c r="D41" s="1596">
        <f>'CAR Survival Profiles'!BK36</f>
        <v>37.896117707075504</v>
      </c>
      <c r="E41" s="1596">
        <f>'CAR Survival Profiles'!CQ36</f>
        <v>35.952784773317248</v>
      </c>
      <c r="F41" s="1597">
        <f>'CAR Survival Profiles'!DW36</f>
        <v>40.327091612622844</v>
      </c>
      <c r="G41" s="1593"/>
      <c r="H41" s="1594">
        <v>14</v>
      </c>
      <c r="I41" s="1595">
        <f>'CAR Survival Profiles'!AE74</f>
        <v>49.983305183754553</v>
      </c>
      <c r="J41" s="1596">
        <f>'CAR Survival Profiles'!BK74</f>
        <v>62.730385606891893</v>
      </c>
      <c r="K41" s="1596">
        <f>'CAR Survival Profiles'!CQ74</f>
        <v>58.185539733870414</v>
      </c>
      <c r="L41" s="1597">
        <f>'CAR Survival Profiles'!DW74</f>
        <v>43.858091262931957</v>
      </c>
    </row>
    <row r="42" spans="1:12">
      <c r="A42" s="1696"/>
      <c r="B42" s="1589">
        <v>15</v>
      </c>
      <c r="C42" s="1595">
        <f>'CAR Survival Profiles'!AE37</f>
        <v>34.712314716287672</v>
      </c>
      <c r="D42" s="1596">
        <f>'CAR Survival Profiles'!BK37</f>
        <v>27.512659131795175</v>
      </c>
      <c r="E42" s="1596">
        <f>'CAR Survival Profiles'!CQ37</f>
        <v>26.413892318621482</v>
      </c>
      <c r="F42" s="1597">
        <f>'CAR Survival Profiles'!DW37</f>
        <v>30.561372806824473</v>
      </c>
      <c r="G42" s="1593"/>
      <c r="H42" s="1594">
        <v>15</v>
      </c>
      <c r="I42" s="1595">
        <f>'CAR Survival Profiles'!AE75</f>
        <v>33.923607628179511</v>
      </c>
      <c r="J42" s="1596">
        <f>'CAR Survival Profiles'!BK75</f>
        <v>45.118319655025104</v>
      </c>
      <c r="K42" s="1596">
        <f>'CAR Survival Profiles'!CQ75</f>
        <v>40.997153845093131</v>
      </c>
      <c r="L42" s="1597">
        <f>'CAR Survival Profiles'!DW75</f>
        <v>31.324817462562773</v>
      </c>
    </row>
    <row r="43" spans="1:12">
      <c r="A43" s="1696"/>
      <c r="B43" s="1589">
        <v>16</v>
      </c>
      <c r="C43" s="1595">
        <f t="shared" ref="C43:C51" si="85">C42-C$42/10</f>
        <v>31.241083244658906</v>
      </c>
      <c r="D43" s="1596">
        <f t="shared" ref="D43:D51" si="86">D42-D$42/10</f>
        <v>24.761393218615659</v>
      </c>
      <c r="E43" s="1596">
        <f t="shared" ref="E43:E51" si="87">E42-E$42/10</f>
        <v>23.772503086759333</v>
      </c>
      <c r="F43" s="1597">
        <f t="shared" ref="F43:F51" si="88">F42-F$42/10</f>
        <v>27.505235526142027</v>
      </c>
      <c r="G43" s="1593"/>
      <c r="H43" s="1594">
        <v>16</v>
      </c>
      <c r="I43" s="1595">
        <f t="shared" ref="I43:I51" si="89">I42-I$42/10</f>
        <v>30.53124686536156</v>
      </c>
      <c r="J43" s="1596">
        <f t="shared" ref="J43:J51" si="90">J42-J$42/10</f>
        <v>40.606487689522595</v>
      </c>
      <c r="K43" s="1596">
        <f t="shared" ref="K43:K51" si="91">K42-K$42/10</f>
        <v>36.897438460583814</v>
      </c>
      <c r="L43" s="1597">
        <f t="shared" ref="L43:L51" si="92">L42-L$42/10</f>
        <v>28.192335716306495</v>
      </c>
    </row>
    <row r="44" spans="1:12">
      <c r="A44" s="1696"/>
      <c r="B44" s="1589">
        <v>17</v>
      </c>
      <c r="C44" s="1595">
        <f t="shared" si="85"/>
        <v>27.76985177303014</v>
      </c>
      <c r="D44" s="1596">
        <f t="shared" si="86"/>
        <v>22.010127305436143</v>
      </c>
      <c r="E44" s="1596">
        <f t="shared" si="87"/>
        <v>21.131113854897183</v>
      </c>
      <c r="F44" s="1597">
        <f t="shared" si="88"/>
        <v>24.449098245459581</v>
      </c>
      <c r="G44" s="1593"/>
      <c r="H44" s="1594">
        <v>17</v>
      </c>
      <c r="I44" s="1595">
        <f t="shared" si="89"/>
        <v>27.138886102543609</v>
      </c>
      <c r="J44" s="1596">
        <f t="shared" si="90"/>
        <v>36.094655724020086</v>
      </c>
      <c r="K44" s="1596">
        <f t="shared" si="91"/>
        <v>32.797723076074504</v>
      </c>
      <c r="L44" s="1597">
        <f t="shared" si="92"/>
        <v>25.059853970050217</v>
      </c>
    </row>
    <row r="45" spans="1:12">
      <c r="A45" s="1696"/>
      <c r="B45" s="1589">
        <v>18</v>
      </c>
      <c r="C45" s="1595">
        <f t="shared" si="85"/>
        <v>24.298620301401375</v>
      </c>
      <c r="D45" s="1596">
        <f t="shared" si="86"/>
        <v>19.258861392256627</v>
      </c>
      <c r="E45" s="1596">
        <f t="shared" si="87"/>
        <v>18.489724623035034</v>
      </c>
      <c r="F45" s="1597">
        <f t="shared" si="88"/>
        <v>21.392960964777135</v>
      </c>
      <c r="G45" s="1593"/>
      <c r="H45" s="1594">
        <v>18</v>
      </c>
      <c r="I45" s="1595">
        <f t="shared" si="89"/>
        <v>23.746525339725657</v>
      </c>
      <c r="J45" s="1596">
        <f t="shared" si="90"/>
        <v>31.582823758517577</v>
      </c>
      <c r="K45" s="1596">
        <f t="shared" si="91"/>
        <v>28.698007691565191</v>
      </c>
      <c r="L45" s="1597">
        <f t="shared" si="92"/>
        <v>21.927372223793938</v>
      </c>
    </row>
    <row r="46" spans="1:12">
      <c r="A46" s="1696"/>
      <c r="B46" s="1589">
        <v>19</v>
      </c>
      <c r="C46" s="1595">
        <f t="shared" si="85"/>
        <v>20.827388829772609</v>
      </c>
      <c r="D46" s="1596">
        <f t="shared" si="86"/>
        <v>16.507595479077111</v>
      </c>
      <c r="E46" s="1596">
        <f t="shared" si="87"/>
        <v>15.848335391172885</v>
      </c>
      <c r="F46" s="1597">
        <f t="shared" si="88"/>
        <v>18.336823684094689</v>
      </c>
      <c r="G46" s="1593"/>
      <c r="H46" s="1594">
        <v>19</v>
      </c>
      <c r="I46" s="1595">
        <f t="shared" si="89"/>
        <v>20.354164576907706</v>
      </c>
      <c r="J46" s="1596">
        <f t="shared" si="90"/>
        <v>27.070991793015068</v>
      </c>
      <c r="K46" s="1596">
        <f t="shared" si="91"/>
        <v>24.598292307055878</v>
      </c>
      <c r="L46" s="1597">
        <f t="shared" si="92"/>
        <v>18.79489047753766</v>
      </c>
    </row>
    <row r="47" spans="1:12">
      <c r="A47" s="1696"/>
      <c r="B47" s="1589">
        <v>20</v>
      </c>
      <c r="C47" s="1595">
        <f>C46-C$42/10</f>
        <v>17.356157358143843</v>
      </c>
      <c r="D47" s="1596">
        <f t="shared" si="86"/>
        <v>13.756329565897593</v>
      </c>
      <c r="E47" s="1596">
        <f>E46-E$42/10</f>
        <v>13.206946159310736</v>
      </c>
      <c r="F47" s="1597">
        <f t="shared" si="88"/>
        <v>15.280686403412242</v>
      </c>
      <c r="G47" s="1593"/>
      <c r="H47" s="1594">
        <v>20</v>
      </c>
      <c r="I47" s="1595">
        <f t="shared" si="89"/>
        <v>16.961803814089755</v>
      </c>
      <c r="J47" s="1596">
        <f t="shared" si="90"/>
        <v>22.559159827512559</v>
      </c>
      <c r="K47" s="1596">
        <f t="shared" si="91"/>
        <v>20.498576922546565</v>
      </c>
      <c r="L47" s="1597">
        <f t="shared" si="92"/>
        <v>15.662408731281381</v>
      </c>
    </row>
    <row r="48" spans="1:12">
      <c r="A48" s="1696"/>
      <c r="B48" s="1589">
        <v>21</v>
      </c>
      <c r="C48" s="1595">
        <f t="shared" si="85"/>
        <v>13.884925886515076</v>
      </c>
      <c r="D48" s="1596">
        <f t="shared" si="86"/>
        <v>11.005063652718075</v>
      </c>
      <c r="E48" s="1596">
        <f>E47-E$42/10</f>
        <v>10.565556927448586</v>
      </c>
      <c r="F48" s="1597">
        <f t="shared" si="88"/>
        <v>12.224549122729794</v>
      </c>
      <c r="G48" s="1593"/>
      <c r="H48" s="1594">
        <v>21</v>
      </c>
      <c r="I48" s="1595">
        <f t="shared" si="89"/>
        <v>13.569443051271804</v>
      </c>
      <c r="J48" s="1596">
        <f t="shared" si="90"/>
        <v>18.04732786201005</v>
      </c>
      <c r="K48" s="1596">
        <f t="shared" si="91"/>
        <v>16.398861538037252</v>
      </c>
      <c r="L48" s="1597">
        <f t="shared" si="92"/>
        <v>12.529926985025103</v>
      </c>
    </row>
    <row r="49" spans="1:16">
      <c r="A49" s="1696"/>
      <c r="B49" s="1589">
        <v>22</v>
      </c>
      <c r="C49" s="1595">
        <f t="shared" si="85"/>
        <v>10.413694414886308</v>
      </c>
      <c r="D49" s="1596">
        <f t="shared" si="86"/>
        <v>8.2537977395385571</v>
      </c>
      <c r="E49" s="1596">
        <f>E48-E$42/10</f>
        <v>7.924167695586438</v>
      </c>
      <c r="F49" s="1597">
        <f t="shared" si="88"/>
        <v>9.1684118420473464</v>
      </c>
      <c r="G49" s="1593"/>
      <c r="H49" s="1594">
        <v>22</v>
      </c>
      <c r="I49" s="1595">
        <f t="shared" si="89"/>
        <v>10.177082288453853</v>
      </c>
      <c r="J49" s="1596">
        <f t="shared" si="90"/>
        <v>13.535495896507539</v>
      </c>
      <c r="K49" s="1596">
        <f t="shared" si="91"/>
        <v>12.299146153527939</v>
      </c>
      <c r="L49" s="1597">
        <f t="shared" si="92"/>
        <v>9.3974452387688245</v>
      </c>
    </row>
    <row r="50" spans="1:16">
      <c r="A50" s="1696"/>
      <c r="B50" s="1589">
        <v>23</v>
      </c>
      <c r="C50" s="1595">
        <f t="shared" si="85"/>
        <v>6.9424629432575404</v>
      </c>
      <c r="D50" s="1596">
        <f t="shared" si="86"/>
        <v>5.5025318263590393</v>
      </c>
      <c r="E50" s="1596">
        <f t="shared" si="87"/>
        <v>5.2827784637242896</v>
      </c>
      <c r="F50" s="1597">
        <f t="shared" si="88"/>
        <v>6.1122745613648988</v>
      </c>
      <c r="G50" s="1593"/>
      <c r="H50" s="1594">
        <v>23</v>
      </c>
      <c r="I50" s="1595">
        <f t="shared" si="89"/>
        <v>6.7847215256359021</v>
      </c>
      <c r="J50" s="1596">
        <f t="shared" si="90"/>
        <v>9.0236639310050286</v>
      </c>
      <c r="K50" s="1596">
        <f t="shared" si="91"/>
        <v>8.1994307690186261</v>
      </c>
      <c r="L50" s="1597">
        <f t="shared" si="92"/>
        <v>6.264963492512547</v>
      </c>
    </row>
    <row r="51" spans="1:16">
      <c r="A51" s="1696"/>
      <c r="B51" s="1589">
        <v>24</v>
      </c>
      <c r="C51" s="1595">
        <f t="shared" si="85"/>
        <v>3.4712314716287733</v>
      </c>
      <c r="D51" s="1596">
        <f t="shared" si="86"/>
        <v>2.7512659131795218</v>
      </c>
      <c r="E51" s="1596">
        <f t="shared" si="87"/>
        <v>2.6413892318621413</v>
      </c>
      <c r="F51" s="1597">
        <f t="shared" si="88"/>
        <v>3.0561372806824516</v>
      </c>
      <c r="G51" s="1593"/>
      <c r="H51" s="1594">
        <v>24</v>
      </c>
      <c r="I51" s="1595">
        <f t="shared" si="89"/>
        <v>3.3923607628179511</v>
      </c>
      <c r="J51" s="1596">
        <f t="shared" si="90"/>
        <v>4.5118319655025179</v>
      </c>
      <c r="K51" s="1596">
        <f t="shared" si="91"/>
        <v>4.0997153845093131</v>
      </c>
      <c r="L51" s="1597">
        <f t="shared" si="92"/>
        <v>3.1324817462562695</v>
      </c>
    </row>
    <row r="52" spans="1:16" ht="15.75" thickBot="1">
      <c r="A52" s="1696"/>
      <c r="B52" s="1598">
        <v>25</v>
      </c>
      <c r="C52" s="1599">
        <v>0</v>
      </c>
      <c r="D52" s="1600">
        <v>0</v>
      </c>
      <c r="E52" s="1600">
        <v>0</v>
      </c>
      <c r="F52" s="1601">
        <v>0</v>
      </c>
      <c r="G52" s="1602"/>
      <c r="H52" s="1603">
        <v>25</v>
      </c>
      <c r="I52" s="1599">
        <v>0</v>
      </c>
      <c r="J52" s="1600">
        <v>0</v>
      </c>
      <c r="K52" s="1600">
        <v>0</v>
      </c>
      <c r="L52" s="1601">
        <v>0</v>
      </c>
    </row>
    <row r="53" spans="1:16" ht="15.75" thickBot="1"/>
    <row r="54" spans="1:16" ht="15.75" thickBot="1">
      <c r="B54" s="1604" t="s">
        <v>92</v>
      </c>
      <c r="C54" s="1605">
        <v>2001</v>
      </c>
      <c r="D54" s="1605">
        <v>2002</v>
      </c>
      <c r="E54" s="1605">
        <v>2003</v>
      </c>
      <c r="F54" s="1605">
        <v>2004</v>
      </c>
      <c r="G54" s="1605">
        <v>2005</v>
      </c>
      <c r="H54" s="1605">
        <v>2006</v>
      </c>
      <c r="I54" s="1605">
        <v>2007</v>
      </c>
      <c r="J54" s="1605">
        <v>2008</v>
      </c>
      <c r="K54" s="1605">
        <v>2009</v>
      </c>
      <c r="L54" s="1605">
        <v>2010</v>
      </c>
      <c r="M54" s="1605">
        <v>2011</v>
      </c>
      <c r="N54" s="1605">
        <v>2012</v>
      </c>
      <c r="O54" s="1606">
        <v>2013</v>
      </c>
      <c r="P54" s="1607" t="s">
        <v>1288</v>
      </c>
    </row>
    <row r="55" spans="1:16" ht="16.5" thickTop="1" thickBot="1">
      <c r="B55" s="1608" t="s">
        <v>91</v>
      </c>
      <c r="C55" s="1609">
        <f>AVERAGE('CAR On-Road Factor'!B2:B3)</f>
        <v>8.4377497988873729E-2</v>
      </c>
      <c r="D55" s="1610">
        <f>AVERAGE('CAR On-Road Factor'!C2:C3)</f>
        <v>9.3714792590756879E-2</v>
      </c>
      <c r="E55" s="1610">
        <f>AVERAGE('CAR On-Road Factor'!D2:D3)</f>
        <v>9.0659551846320685E-2</v>
      </c>
      <c r="F55" s="1610">
        <f>AVERAGE('CAR On-Road Factor'!E2:E3)</f>
        <v>0.11558983601977002</v>
      </c>
      <c r="G55" s="1610">
        <f>AVERAGE('CAR On-Road Factor'!F2:F3)</f>
        <v>0.12187333021835101</v>
      </c>
      <c r="H55" s="1610">
        <f>AVERAGE('CAR On-Road Factor'!G2:G3)</f>
        <v>0.12287103856788295</v>
      </c>
      <c r="I55" s="1610">
        <f>AVERAGE('CAR On-Road Factor'!H2:H3)</f>
        <v>0.13424513604541199</v>
      </c>
      <c r="J55" s="1610">
        <f>AVERAGE('CAR On-Road Factor'!I2:I3)</f>
        <v>0.16778284319958003</v>
      </c>
      <c r="K55" s="1610">
        <f>AVERAGE('CAR On-Road Factor'!J2:J3)</f>
        <v>0.1742414709030935</v>
      </c>
      <c r="L55" s="1610">
        <f>AVERAGE('CAR On-Road Factor'!K2:K3)</f>
        <v>0.21471442930551299</v>
      </c>
      <c r="M55" s="1610">
        <f>AVERAGE('CAR On-Road Factor'!L2:L3)</f>
        <v>0.24927475077338201</v>
      </c>
      <c r="N55" s="1610">
        <f>AVERAGE('CAR On-Road Factor'!M2:M3)</f>
        <v>0.23813538629049602</v>
      </c>
      <c r="O55" s="1611">
        <f>AVERAGE('CAR On-Road Factor'!N2:N3)</f>
        <v>0.3141545199079655</v>
      </c>
      <c r="P55" s="1612">
        <f>O55</f>
        <v>0.3141545199079655</v>
      </c>
    </row>
    <row r="56" spans="1:16" ht="15.75" thickBot="1"/>
    <row r="57" spans="1:16">
      <c r="B57" s="1604" t="s">
        <v>86</v>
      </c>
      <c r="C57" s="1606" t="s">
        <v>87</v>
      </c>
      <c r="E57" s="1613" t="s">
        <v>4</v>
      </c>
      <c r="F57" s="1614" t="s">
        <v>5</v>
      </c>
      <c r="H57" s="1697" t="s">
        <v>116</v>
      </c>
      <c r="I57" s="1698"/>
      <c r="N57" s="1561" t="s">
        <v>1286</v>
      </c>
    </row>
    <row r="58" spans="1:16" ht="15.75" thickBot="1">
      <c r="B58" s="1615" t="s">
        <v>75</v>
      </c>
      <c r="C58" s="1616" t="s">
        <v>82</v>
      </c>
      <c r="E58" s="1617" t="s">
        <v>0</v>
      </c>
      <c r="F58" s="1618" t="s">
        <v>6</v>
      </c>
      <c r="H58" s="1608">
        <v>2012</v>
      </c>
      <c r="I58" s="1619">
        <f>'CAR Occupancy'!P7</f>
        <v>1.49201152283105</v>
      </c>
      <c r="N58" s="1561" t="s">
        <v>1287</v>
      </c>
    </row>
    <row r="59" spans="1:16">
      <c r="B59" s="1615" t="s">
        <v>76</v>
      </c>
      <c r="C59" s="1616" t="s">
        <v>83</v>
      </c>
      <c r="E59" s="1617" t="s">
        <v>1</v>
      </c>
      <c r="F59" s="1618" t="s">
        <v>7</v>
      </c>
    </row>
    <row r="60" spans="1:16">
      <c r="B60" s="1615" t="s">
        <v>77</v>
      </c>
      <c r="C60" s="1616" t="s">
        <v>81</v>
      </c>
      <c r="E60" s="1617" t="s">
        <v>2</v>
      </c>
      <c r="F60" s="1618" t="s">
        <v>8</v>
      </c>
    </row>
    <row r="61" spans="1:16" ht="15.75" thickBot="1">
      <c r="B61" s="1615" t="s">
        <v>78</v>
      </c>
      <c r="C61" s="1616" t="s">
        <v>84</v>
      </c>
      <c r="E61" s="1620" t="s">
        <v>3</v>
      </c>
      <c r="F61" s="1621" t="s">
        <v>9</v>
      </c>
    </row>
    <row r="62" spans="1:16">
      <c r="B62" s="1615" t="s">
        <v>79</v>
      </c>
      <c r="C62" s="1616" t="s">
        <v>85</v>
      </c>
    </row>
    <row r="63" spans="1:16" ht="15.75" thickBot="1">
      <c r="B63" s="1622" t="s">
        <v>80</v>
      </c>
      <c r="C63" s="1623" t="s">
        <v>88</v>
      </c>
    </row>
    <row r="66" spans="1:19" ht="21">
      <c r="A66" s="1624" t="s">
        <v>781</v>
      </c>
      <c r="B66" s="1625"/>
    </row>
    <row r="68" spans="1:19">
      <c r="A68" s="1626" t="s">
        <v>719</v>
      </c>
      <c r="B68" s="1626"/>
      <c r="C68" s="1627"/>
      <c r="D68" s="1627"/>
      <c r="E68" s="1627"/>
      <c r="F68" s="1627"/>
      <c r="G68" s="1627"/>
      <c r="H68" s="1627"/>
      <c r="L68" s="1628"/>
    </row>
    <row r="69" spans="1:19" ht="15.75" thickBot="1">
      <c r="A69" s="1629" t="s">
        <v>728</v>
      </c>
      <c r="B69" s="1629" t="s">
        <v>729</v>
      </c>
      <c r="C69" s="1629" t="s">
        <v>730</v>
      </c>
      <c r="D69" s="1629" t="s">
        <v>731</v>
      </c>
      <c r="E69" s="1629" t="s">
        <v>732</v>
      </c>
      <c r="F69" s="1629" t="s">
        <v>733</v>
      </c>
      <c r="G69" s="1629" t="s">
        <v>734</v>
      </c>
      <c r="H69" s="1629" t="s">
        <v>10</v>
      </c>
      <c r="J69" s="1630" t="s">
        <v>1090</v>
      </c>
      <c r="P69" s="1561" t="s">
        <v>1284</v>
      </c>
    </row>
    <row r="70" spans="1:19">
      <c r="A70" s="1631" t="s">
        <v>755</v>
      </c>
      <c r="B70" s="1632"/>
      <c r="C70" s="1632"/>
      <c r="D70" s="1632"/>
      <c r="E70" s="1633"/>
      <c r="F70" s="1633"/>
      <c r="G70" s="1633"/>
      <c r="H70" s="1633"/>
      <c r="J70" s="1634"/>
      <c r="K70" s="1635"/>
      <c r="L70" s="1636">
        <v>2012</v>
      </c>
      <c r="M70" s="1636" t="s">
        <v>954</v>
      </c>
      <c r="N70" s="1637" t="s">
        <v>1091</v>
      </c>
      <c r="O70" s="1638" t="s">
        <v>1089</v>
      </c>
      <c r="P70" s="1639">
        <v>2012</v>
      </c>
      <c r="Q70" s="1640" t="s">
        <v>954</v>
      </c>
      <c r="R70" s="1641" t="s">
        <v>1091</v>
      </c>
      <c r="S70" s="1638" t="s">
        <v>1089</v>
      </c>
    </row>
    <row r="71" spans="1:19">
      <c r="A71" s="1561" t="s">
        <v>778</v>
      </c>
      <c r="B71" s="1561" t="s">
        <v>1342</v>
      </c>
      <c r="C71" s="1561" t="s">
        <v>1176</v>
      </c>
      <c r="D71" s="1561" t="s">
        <v>898</v>
      </c>
      <c r="E71" s="1561" t="s">
        <v>735</v>
      </c>
      <c r="J71" s="1642" t="str">
        <f>B71</f>
        <v>TCarGSL_Small_00</v>
      </c>
      <c r="K71" s="1643"/>
      <c r="L71" s="1644">
        <f>E99*F151*E177*E151</f>
        <v>2552.8321783987371</v>
      </c>
      <c r="M71" s="1694">
        <f>B3</f>
        <v>27628.34814019885</v>
      </c>
      <c r="N71" s="1645" t="s">
        <v>777</v>
      </c>
      <c r="O71" s="1692">
        <f>SUM(L71:L74)-M71</f>
        <v>0</v>
      </c>
      <c r="P71" s="1646">
        <f>E99*F151*E177/E125/0.041868</f>
        <v>91.71142297719517</v>
      </c>
      <c r="Q71" s="1694">
        <f>'EB2012'!AM48</f>
        <v>2025.5182316360697</v>
      </c>
      <c r="R71" s="1645" t="s">
        <v>1285</v>
      </c>
      <c r="S71" s="1692">
        <f>SUM(P71:P89)-Q71</f>
        <v>77.494459772379741</v>
      </c>
    </row>
    <row r="72" spans="1:19">
      <c r="B72" s="1561" t="s">
        <v>1343</v>
      </c>
      <c r="C72" s="1561" t="s">
        <v>1177</v>
      </c>
      <c r="D72" s="1561" t="s">
        <v>898</v>
      </c>
      <c r="E72" s="1561" t="s">
        <v>735</v>
      </c>
      <c r="J72" s="1642" t="str">
        <f>B72</f>
        <v>TCarGSL_LM_00</v>
      </c>
      <c r="K72" s="1643"/>
      <c r="L72" s="1644">
        <f>E100*F152*E178*E152</f>
        <v>15013.276524215127</v>
      </c>
      <c r="M72" s="1694"/>
      <c r="N72" s="1645" t="s">
        <v>777</v>
      </c>
      <c r="O72" s="1692"/>
      <c r="P72" s="1646">
        <f t="shared" ref="P72:P74" si="93">E100*F152*E178/E126/0.041868</f>
        <v>613.252699540854</v>
      </c>
      <c r="Q72" s="1694"/>
      <c r="R72" s="1645" t="s">
        <v>1285</v>
      </c>
      <c r="S72" s="1692"/>
    </row>
    <row r="73" spans="1:19">
      <c r="B73" s="1561" t="s">
        <v>1344</v>
      </c>
      <c r="C73" s="1561" t="s">
        <v>1178</v>
      </c>
      <c r="D73" s="1561" t="s">
        <v>898</v>
      </c>
      <c r="E73" s="1561" t="s">
        <v>735</v>
      </c>
      <c r="J73" s="1642" t="str">
        <f>B73</f>
        <v>TCarGSL_HM_00</v>
      </c>
      <c r="K73" s="1643"/>
      <c r="L73" s="1644">
        <f>E101*F153*E179*E153</f>
        <v>7890.0160323073269</v>
      </c>
      <c r="M73" s="1694"/>
      <c r="N73" s="1645" t="s">
        <v>777</v>
      </c>
      <c r="O73" s="1692"/>
      <c r="P73" s="1646">
        <f t="shared" si="93"/>
        <v>374.30952845573904</v>
      </c>
      <c r="Q73" s="1694"/>
      <c r="R73" s="1645" t="s">
        <v>1285</v>
      </c>
      <c r="S73" s="1692"/>
    </row>
    <row r="74" spans="1:19">
      <c r="B74" s="1561" t="s">
        <v>1345</v>
      </c>
      <c r="C74" s="1561" t="s">
        <v>1179</v>
      </c>
      <c r="D74" s="1561" t="s">
        <v>898</v>
      </c>
      <c r="E74" s="1561" t="s">
        <v>735</v>
      </c>
      <c r="J74" s="1642" t="str">
        <f>B74</f>
        <v>TCarGSL_Large_00</v>
      </c>
      <c r="K74" s="1643"/>
      <c r="L74" s="1644">
        <f>E102*F154*E180*E154</f>
        <v>2172.2234052776603</v>
      </c>
      <c r="M74" s="1694"/>
      <c r="N74" s="1645" t="s">
        <v>777</v>
      </c>
      <c r="O74" s="1692"/>
      <c r="P74" s="1646">
        <f t="shared" si="93"/>
        <v>125.49232041712563</v>
      </c>
      <c r="Q74" s="1694"/>
      <c r="R74" s="1645" t="s">
        <v>1285</v>
      </c>
      <c r="S74" s="1692"/>
    </row>
    <row r="75" spans="1:19">
      <c r="A75" s="1647" t="s">
        <v>756</v>
      </c>
      <c r="B75" s="1632"/>
      <c r="C75" s="1632"/>
      <c r="D75" s="1632"/>
      <c r="E75" s="1633"/>
      <c r="F75" s="1633"/>
      <c r="G75" s="1633"/>
      <c r="H75" s="1633"/>
      <c r="J75" s="1642"/>
      <c r="K75" s="1643"/>
      <c r="L75" s="1648"/>
      <c r="M75" s="1644"/>
      <c r="N75" s="1645"/>
      <c r="O75" s="1649"/>
      <c r="P75" s="1650"/>
      <c r="Q75" s="1694"/>
      <c r="R75" s="1645"/>
      <c r="S75" s="1692"/>
    </row>
    <row r="76" spans="1:19">
      <c r="B76" s="1561" t="s">
        <v>1346</v>
      </c>
      <c r="C76" s="1561" t="s">
        <v>1180</v>
      </c>
      <c r="D76" s="1561" t="s">
        <v>898</v>
      </c>
      <c r="E76" s="1561" t="s">
        <v>735</v>
      </c>
      <c r="J76" s="1642" t="str">
        <f t="shared" ref="J76:J79" si="94">B76</f>
        <v>TCarDST_Small_00</v>
      </c>
      <c r="K76" s="1643"/>
      <c r="L76" s="1644">
        <f>E104*F156*E182*E156</f>
        <v>2.5001652720683394</v>
      </c>
      <c r="M76" s="1694">
        <f>B9</f>
        <v>21969.04585280535</v>
      </c>
      <c r="N76" s="1645" t="s">
        <v>777</v>
      </c>
      <c r="O76" s="1692">
        <f>SUM(L76:L79)-M76</f>
        <v>0</v>
      </c>
      <c r="P76" s="1646">
        <f t="shared" ref="P76:P79" si="95">E104*F156*E182/E130/0.041868</f>
        <v>8.4719108752900757E-2</v>
      </c>
      <c r="Q76" s="1694"/>
      <c r="R76" s="1645" t="s">
        <v>1285</v>
      </c>
      <c r="S76" s="1692"/>
    </row>
    <row r="77" spans="1:19">
      <c r="B77" s="1561" t="s">
        <v>1347</v>
      </c>
      <c r="C77" s="1561" t="s">
        <v>1181</v>
      </c>
      <c r="D77" s="1561" t="s">
        <v>898</v>
      </c>
      <c r="E77" s="1561" t="s">
        <v>735</v>
      </c>
      <c r="J77" s="1642" t="str">
        <f t="shared" si="94"/>
        <v>TCarDST_LM_00</v>
      </c>
      <c r="K77" s="1643"/>
      <c r="L77" s="1644">
        <f>E105*F157*E183*E157</f>
        <v>3018.9814686547816</v>
      </c>
      <c r="M77" s="1694"/>
      <c r="N77" s="1645" t="s">
        <v>777</v>
      </c>
      <c r="O77" s="1703"/>
      <c r="P77" s="1646">
        <f t="shared" si="95"/>
        <v>100.22063017415471</v>
      </c>
      <c r="Q77" s="1694"/>
      <c r="R77" s="1645" t="s">
        <v>1285</v>
      </c>
      <c r="S77" s="1692"/>
    </row>
    <row r="78" spans="1:19">
      <c r="B78" s="1561" t="s">
        <v>1348</v>
      </c>
      <c r="C78" s="1561" t="s">
        <v>1182</v>
      </c>
      <c r="D78" s="1561" t="s">
        <v>898</v>
      </c>
      <c r="E78" s="1561" t="s">
        <v>735</v>
      </c>
      <c r="J78" s="1642" t="str">
        <f t="shared" si="94"/>
        <v>TCarDST_HM_00</v>
      </c>
      <c r="K78" s="1643"/>
      <c r="L78" s="1644">
        <f>E106*F158*E184*E158</f>
        <v>9440.3045615821284</v>
      </c>
      <c r="M78" s="1694"/>
      <c r="N78" s="1645" t="s">
        <v>777</v>
      </c>
      <c r="O78" s="1703"/>
      <c r="P78" s="1646">
        <f t="shared" si="95"/>
        <v>348.1838705281703</v>
      </c>
      <c r="Q78" s="1694"/>
      <c r="R78" s="1645" t="s">
        <v>1285</v>
      </c>
      <c r="S78" s="1692"/>
    </row>
    <row r="79" spans="1:19">
      <c r="B79" s="1561" t="s">
        <v>1349</v>
      </c>
      <c r="C79" s="1561" t="s">
        <v>1183</v>
      </c>
      <c r="D79" s="1561" t="s">
        <v>898</v>
      </c>
      <c r="E79" s="1561" t="s">
        <v>735</v>
      </c>
      <c r="J79" s="1642" t="str">
        <f t="shared" si="94"/>
        <v>TCarDST_Large_00</v>
      </c>
      <c r="K79" s="1643"/>
      <c r="L79" s="1644">
        <f>E107*F159*E185*E159</f>
        <v>9507.2596572963685</v>
      </c>
      <c r="M79" s="1694"/>
      <c r="N79" s="1645" t="s">
        <v>777</v>
      </c>
      <c r="O79" s="1703"/>
      <c r="P79" s="1646">
        <f t="shared" si="95"/>
        <v>435.28456857907383</v>
      </c>
      <c r="Q79" s="1694"/>
      <c r="R79" s="1645" t="s">
        <v>1285</v>
      </c>
      <c r="S79" s="1692"/>
    </row>
    <row r="80" spans="1:19">
      <c r="A80" s="1647" t="s">
        <v>757</v>
      </c>
      <c r="B80" s="1632"/>
      <c r="C80" s="1632"/>
      <c r="D80" s="1632"/>
      <c r="E80" s="1633"/>
      <c r="F80" s="1633"/>
      <c r="G80" s="1633"/>
      <c r="H80" s="1633"/>
      <c r="J80" s="1642"/>
      <c r="K80" s="1643"/>
      <c r="L80" s="1648"/>
      <c r="M80" s="1644"/>
      <c r="N80" s="1645"/>
      <c r="O80" s="1649"/>
      <c r="P80" s="1650"/>
      <c r="Q80" s="1694"/>
      <c r="R80" s="1645"/>
      <c r="S80" s="1692"/>
    </row>
    <row r="81" spans="1:34">
      <c r="B81" s="1628" t="s">
        <v>1350</v>
      </c>
      <c r="C81" s="1561" t="s">
        <v>1184</v>
      </c>
      <c r="D81" s="1561" t="s">
        <v>898</v>
      </c>
      <c r="E81" s="1561" t="s">
        <v>735</v>
      </c>
      <c r="J81" s="1642" t="str">
        <f t="shared" ref="J81:J84" si="96">B81</f>
        <v>*TCarE85_Small_00</v>
      </c>
      <c r="K81" s="1643"/>
      <c r="L81" s="1644">
        <f>E109*F161*E187*E161</f>
        <v>0</v>
      </c>
      <c r="M81" s="1694">
        <f>B15</f>
        <v>239.29200168050636</v>
      </c>
      <c r="N81" s="1645" t="s">
        <v>777</v>
      </c>
      <c r="O81" s="1692">
        <f>SUM(L81:L84)-M81</f>
        <v>0</v>
      </c>
      <c r="P81" s="1646"/>
      <c r="Q81" s="1694"/>
      <c r="R81" s="1645" t="s">
        <v>1285</v>
      </c>
      <c r="S81" s="1692"/>
    </row>
    <row r="82" spans="1:34">
      <c r="B82" s="1561" t="s">
        <v>1351</v>
      </c>
      <c r="C82" s="1561" t="s">
        <v>1185</v>
      </c>
      <c r="D82" s="1561" t="s">
        <v>898</v>
      </c>
      <c r="E82" s="1561" t="s">
        <v>735</v>
      </c>
      <c r="J82" s="1642" t="str">
        <f t="shared" si="96"/>
        <v>TCarE85_LM_00</v>
      </c>
      <c r="K82" s="1643"/>
      <c r="L82" s="1644">
        <f>E110*F162*E188*E162</f>
        <v>147.24875475972772</v>
      </c>
      <c r="M82" s="1694"/>
      <c r="N82" s="1645" t="s">
        <v>777</v>
      </c>
      <c r="O82" s="1703"/>
      <c r="P82" s="1646">
        <f t="shared" ref="P82:P84" si="97">E110*F162*E188/E136/0.041868</f>
        <v>4.1050918506248957</v>
      </c>
      <c r="Q82" s="1694"/>
      <c r="R82" s="1645" t="s">
        <v>1285</v>
      </c>
      <c r="S82" s="1692"/>
    </row>
    <row r="83" spans="1:34">
      <c r="B83" s="1561" t="s">
        <v>1352</v>
      </c>
      <c r="C83" s="1561" t="s">
        <v>1186</v>
      </c>
      <c r="D83" s="1561" t="s">
        <v>898</v>
      </c>
      <c r="E83" s="1561" t="s">
        <v>735</v>
      </c>
      <c r="J83" s="1642" t="str">
        <f t="shared" si="96"/>
        <v>TCarE85_HM_00</v>
      </c>
      <c r="K83" s="1643"/>
      <c r="L83" s="1644">
        <f>E111*F163*E189*E163</f>
        <v>55.673009654916626</v>
      </c>
      <c r="M83" s="1694"/>
      <c r="N83" s="1645" t="s">
        <v>777</v>
      </c>
      <c r="O83" s="1703"/>
      <c r="P83" s="1646">
        <f t="shared" si="97"/>
        <v>1.5032841935977017</v>
      </c>
      <c r="Q83" s="1694"/>
      <c r="R83" s="1645" t="s">
        <v>1285</v>
      </c>
      <c r="S83" s="1692"/>
    </row>
    <row r="84" spans="1:34">
      <c r="B84" s="1561" t="s">
        <v>1353</v>
      </c>
      <c r="C84" s="1561" t="s">
        <v>1187</v>
      </c>
      <c r="D84" s="1561" t="s">
        <v>898</v>
      </c>
      <c r="E84" s="1561" t="s">
        <v>735</v>
      </c>
      <c r="J84" s="1642" t="str">
        <f t="shared" si="96"/>
        <v>TCarE85_Large_00</v>
      </c>
      <c r="K84" s="1643"/>
      <c r="L84" s="1644">
        <f>E112*F164*E190*E164</f>
        <v>36.370237265862045</v>
      </c>
      <c r="M84" s="1694"/>
      <c r="N84" s="1645" t="s">
        <v>777</v>
      </c>
      <c r="O84" s="1703"/>
      <c r="P84" s="1646">
        <f t="shared" si="97"/>
        <v>1.887720140082831</v>
      </c>
      <c r="Q84" s="1694"/>
      <c r="R84" s="1645" t="s">
        <v>1285</v>
      </c>
      <c r="S84" s="1692"/>
    </row>
    <row r="85" spans="1:34">
      <c r="A85" s="1647" t="s">
        <v>758</v>
      </c>
      <c r="B85" s="1632"/>
      <c r="C85" s="1632"/>
      <c r="D85" s="1632"/>
      <c r="E85" s="1633"/>
      <c r="F85" s="1633"/>
      <c r="G85" s="1633"/>
      <c r="H85" s="1633"/>
      <c r="J85" s="1642"/>
      <c r="K85" s="1643"/>
      <c r="L85" s="1648"/>
      <c r="M85" s="1644"/>
      <c r="N85" s="1645"/>
      <c r="O85" s="1649"/>
      <c r="P85" s="1650"/>
      <c r="Q85" s="1694"/>
      <c r="R85" s="1645"/>
      <c r="S85" s="1692"/>
    </row>
    <row r="86" spans="1:34">
      <c r="B86" s="1561" t="s">
        <v>1357</v>
      </c>
      <c r="C86" s="1561" t="s">
        <v>1188</v>
      </c>
      <c r="D86" s="1561" t="s">
        <v>898</v>
      </c>
      <c r="E86" s="1561" t="s">
        <v>735</v>
      </c>
      <c r="J86" s="1642" t="str">
        <f t="shared" ref="J86:J89" si="98">B86</f>
        <v>TCarPHG_Small_00</v>
      </c>
      <c r="K86" s="1643"/>
      <c r="L86" s="1644">
        <f>E114*F166*E192*E166</f>
        <v>5.0848433680605098E-2</v>
      </c>
      <c r="M86" s="1694">
        <f>B21</f>
        <v>162.30458697082653</v>
      </c>
      <c r="N86" s="1645" t="s">
        <v>777</v>
      </c>
      <c r="O86" s="1692">
        <f>SUM(L86:L89)-M86</f>
        <v>0</v>
      </c>
      <c r="P86" s="1646">
        <f t="shared" ref="P86:P88" si="99">E114*F166*E192/E140/0.041868</f>
        <v>1.826748443736296E-3</v>
      </c>
      <c r="Q86" s="1694"/>
      <c r="R86" s="1645" t="s">
        <v>1285</v>
      </c>
      <c r="S86" s="1692"/>
    </row>
    <row r="87" spans="1:34">
      <c r="B87" s="1561" t="s">
        <v>1358</v>
      </c>
      <c r="C87" s="1561" t="s">
        <v>1189</v>
      </c>
      <c r="D87" s="1561" t="s">
        <v>898</v>
      </c>
      <c r="E87" s="1561" t="s">
        <v>735</v>
      </c>
      <c r="J87" s="1642" t="str">
        <f t="shared" si="98"/>
        <v>TCarPHG_LM_00</v>
      </c>
      <c r="K87" s="1643"/>
      <c r="L87" s="1644">
        <f>E115*F167*E193*E167</f>
        <v>86.912909882033105</v>
      </c>
      <c r="M87" s="1694"/>
      <c r="N87" s="1645" t="s">
        <v>777</v>
      </c>
      <c r="O87" s="1703"/>
      <c r="P87" s="1646">
        <f t="shared" si="99"/>
        <v>3.2577639375359291</v>
      </c>
      <c r="Q87" s="1694"/>
      <c r="R87" s="1645" t="s">
        <v>1285</v>
      </c>
      <c r="S87" s="1692"/>
    </row>
    <row r="88" spans="1:34">
      <c r="B88" s="1561" t="s">
        <v>1359</v>
      </c>
      <c r="C88" s="1561" t="s">
        <v>1190</v>
      </c>
      <c r="D88" s="1561" t="s">
        <v>898</v>
      </c>
      <c r="E88" s="1561" t="s">
        <v>735</v>
      </c>
      <c r="J88" s="1642" t="str">
        <f t="shared" si="98"/>
        <v>TCarPHG_HM_00</v>
      </c>
      <c r="K88" s="1643"/>
      <c r="L88" s="1644">
        <f>E116*F168*E194*E168</f>
        <v>35.136281673632311</v>
      </c>
      <c r="M88" s="1694"/>
      <c r="N88" s="1645" t="s">
        <v>777</v>
      </c>
      <c r="O88" s="1703"/>
      <c r="P88" s="1646">
        <f t="shared" si="99"/>
        <v>1.5567143617065711</v>
      </c>
      <c r="Q88" s="1694"/>
      <c r="R88" s="1645" t="s">
        <v>1285</v>
      </c>
      <c r="S88" s="1692"/>
    </row>
    <row r="89" spans="1:34">
      <c r="B89" s="1561" t="s">
        <v>1360</v>
      </c>
      <c r="C89" s="1561" t="s">
        <v>1191</v>
      </c>
      <c r="D89" s="1561" t="s">
        <v>898</v>
      </c>
      <c r="E89" s="1561" t="s">
        <v>735</v>
      </c>
      <c r="J89" s="1651" t="str">
        <f t="shared" si="98"/>
        <v>TCarPHG_Large_00</v>
      </c>
      <c r="K89" s="1652"/>
      <c r="L89" s="1653">
        <f>E117*F169*E195*E169</f>
        <v>40.20454698148054</v>
      </c>
      <c r="M89" s="1702"/>
      <c r="N89" s="1654" t="s">
        <v>777</v>
      </c>
      <c r="O89" s="1704"/>
      <c r="P89" s="1655">
        <f>E117*F169*E195/E143/0.041868</f>
        <v>2.1605303953922421</v>
      </c>
      <c r="Q89" s="1695"/>
      <c r="R89" s="1654" t="s">
        <v>1285</v>
      </c>
      <c r="S89" s="1693"/>
    </row>
    <row r="91" spans="1:34">
      <c r="L91" s="1656">
        <f>SUM(L71:L89)</f>
        <v>49998.990581655526</v>
      </c>
      <c r="M91" s="1657">
        <f>SUM(M86,M81,M76,M71)</f>
        <v>49998.990581655533</v>
      </c>
      <c r="O91" s="1561" t="s">
        <v>1290</v>
      </c>
      <c r="P91" s="1656">
        <f>SUM(P71:P89)</f>
        <v>2103.0126914084494</v>
      </c>
      <c r="Q91" s="1658">
        <f>P91/Q71-1</f>
        <v>3.8259077880422376E-2</v>
      </c>
    </row>
    <row r="92" spans="1:34">
      <c r="E92" s="1659"/>
      <c r="F92" s="1659"/>
      <c r="G92" s="1659"/>
      <c r="H92" s="1659"/>
      <c r="I92" s="1659"/>
      <c r="J92" s="1659"/>
      <c r="K92" s="1659"/>
      <c r="L92" s="1659"/>
      <c r="M92" s="1659"/>
      <c r="N92" s="1659"/>
      <c r="O92" s="1660" t="s">
        <v>1289</v>
      </c>
      <c r="P92" s="1656">
        <f>P91+MOTO!O5</f>
        <v>2107.6196124212584</v>
      </c>
      <c r="Q92" s="1658">
        <f>P92/Q71-1</f>
        <v>4.0533518535092572E-2</v>
      </c>
      <c r="R92" s="1659"/>
      <c r="S92" s="1659"/>
      <c r="T92" s="1659"/>
      <c r="U92" s="1659"/>
      <c r="V92" s="1659"/>
      <c r="W92" s="1659"/>
      <c r="X92" s="1659"/>
      <c r="Y92" s="1659"/>
      <c r="Z92" s="1659"/>
      <c r="AA92" s="1659"/>
      <c r="AB92" s="1659"/>
      <c r="AC92" s="1659"/>
      <c r="AD92" s="1659"/>
      <c r="AE92" s="1659"/>
      <c r="AF92" s="1659"/>
      <c r="AG92" s="1659"/>
      <c r="AH92" s="1661"/>
    </row>
    <row r="93" spans="1:34">
      <c r="E93" s="1661"/>
      <c r="F93" s="1661"/>
      <c r="G93" s="1661"/>
      <c r="H93" s="1661"/>
      <c r="I93" s="1661"/>
      <c r="J93" s="1661"/>
      <c r="K93" s="1661"/>
      <c r="L93" s="1661"/>
      <c r="M93" s="1661"/>
      <c r="N93" s="1661"/>
      <c r="O93" s="1661"/>
      <c r="P93" s="1661"/>
      <c r="Q93" s="1661"/>
      <c r="R93" s="1661"/>
      <c r="S93" s="1661"/>
      <c r="T93" s="1661"/>
      <c r="U93" s="1661"/>
      <c r="V93" s="1661"/>
      <c r="W93" s="1661"/>
      <c r="X93" s="1661"/>
      <c r="Y93" s="1661"/>
      <c r="Z93" s="1661"/>
      <c r="AA93" s="1661"/>
      <c r="AB93" s="1661"/>
      <c r="AC93" s="1661"/>
      <c r="AD93" s="1661"/>
      <c r="AE93" s="1661"/>
      <c r="AF93" s="1661"/>
      <c r="AG93" s="1661"/>
      <c r="AH93" s="1661"/>
    </row>
    <row r="94" spans="1:34" ht="21">
      <c r="A94" s="1624" t="s">
        <v>752</v>
      </c>
      <c r="B94" s="1625"/>
    </row>
    <row r="95" spans="1:34">
      <c r="A95" s="1662"/>
      <c r="B95" s="1662"/>
      <c r="C95" s="1662"/>
      <c r="D95" s="1663" t="s">
        <v>817</v>
      </c>
    </row>
    <row r="96" spans="1:34">
      <c r="A96" s="1664" t="s">
        <v>729</v>
      </c>
      <c r="B96" s="1664" t="s">
        <v>737</v>
      </c>
      <c r="C96" s="1664" t="s">
        <v>738</v>
      </c>
      <c r="D96" s="1664" t="s">
        <v>739</v>
      </c>
      <c r="E96" s="1665">
        <v>2012</v>
      </c>
      <c r="F96" s="1665">
        <v>2013</v>
      </c>
      <c r="G96" s="1665">
        <v>2014</v>
      </c>
      <c r="H96" s="1665">
        <v>2015</v>
      </c>
      <c r="I96" s="1665">
        <v>2016</v>
      </c>
      <c r="J96" s="1665">
        <v>2017</v>
      </c>
      <c r="K96" s="1665">
        <v>2018</v>
      </c>
      <c r="L96" s="1665">
        <v>2019</v>
      </c>
      <c r="M96" s="1665">
        <v>2020</v>
      </c>
      <c r="N96" s="1665">
        <v>2021</v>
      </c>
      <c r="O96" s="1665">
        <v>2022</v>
      </c>
      <c r="P96" s="1665">
        <v>2023</v>
      </c>
      <c r="Q96" s="1665">
        <v>2024</v>
      </c>
      <c r="R96" s="1665">
        <v>2025</v>
      </c>
      <c r="S96" s="1665">
        <v>2026</v>
      </c>
      <c r="T96" s="1665">
        <v>2027</v>
      </c>
      <c r="U96" s="1665">
        <v>2028</v>
      </c>
      <c r="V96" s="1665">
        <v>2029</v>
      </c>
      <c r="W96" s="1665">
        <v>2030</v>
      </c>
      <c r="X96" s="1665">
        <v>2031</v>
      </c>
      <c r="Y96" s="1665">
        <v>2032</v>
      </c>
      <c r="Z96" s="1665">
        <v>2033</v>
      </c>
      <c r="AA96" s="1665">
        <v>2034</v>
      </c>
      <c r="AB96" s="1665">
        <v>2035</v>
      </c>
      <c r="AC96" s="1665">
        <v>2036</v>
      </c>
      <c r="AD96" s="1665">
        <v>2037</v>
      </c>
      <c r="AE96" s="1665">
        <v>2038</v>
      </c>
      <c r="AF96" s="1665">
        <v>2039</v>
      </c>
      <c r="AG96" s="1665">
        <v>2040</v>
      </c>
    </row>
    <row r="97" spans="1:33" ht="26.25" thickBot="1">
      <c r="A97" s="1666" t="s">
        <v>740</v>
      </c>
      <c r="B97" s="1666" t="s">
        <v>741</v>
      </c>
      <c r="C97" s="1666" t="s">
        <v>742</v>
      </c>
      <c r="D97" s="1666" t="s">
        <v>743</v>
      </c>
      <c r="E97" s="1667" t="s">
        <v>735</v>
      </c>
      <c r="F97" s="1667" t="s">
        <v>735</v>
      </c>
      <c r="G97" s="1667" t="s">
        <v>735</v>
      </c>
      <c r="H97" s="1667" t="s">
        <v>735</v>
      </c>
      <c r="I97" s="1667" t="s">
        <v>735</v>
      </c>
      <c r="J97" s="1667" t="s">
        <v>735</v>
      </c>
      <c r="K97" s="1667" t="s">
        <v>735</v>
      </c>
      <c r="L97" s="1667" t="s">
        <v>735</v>
      </c>
      <c r="M97" s="1667" t="s">
        <v>735</v>
      </c>
      <c r="N97" s="1667" t="s">
        <v>735</v>
      </c>
      <c r="O97" s="1667" t="s">
        <v>735</v>
      </c>
      <c r="P97" s="1667" t="s">
        <v>735</v>
      </c>
      <c r="Q97" s="1667" t="s">
        <v>735</v>
      </c>
      <c r="R97" s="1667" t="s">
        <v>735</v>
      </c>
      <c r="S97" s="1667" t="s">
        <v>735</v>
      </c>
      <c r="T97" s="1667" t="s">
        <v>735</v>
      </c>
      <c r="U97" s="1667" t="s">
        <v>735</v>
      </c>
      <c r="V97" s="1667" t="s">
        <v>735</v>
      </c>
      <c r="W97" s="1667" t="s">
        <v>735</v>
      </c>
      <c r="X97" s="1667" t="s">
        <v>735</v>
      </c>
      <c r="Y97" s="1667" t="s">
        <v>735</v>
      </c>
      <c r="Z97" s="1667" t="s">
        <v>735</v>
      </c>
      <c r="AA97" s="1667" t="s">
        <v>735</v>
      </c>
      <c r="AB97" s="1667" t="s">
        <v>735</v>
      </c>
      <c r="AC97" s="1667" t="s">
        <v>735</v>
      </c>
      <c r="AD97" s="1667" t="s">
        <v>735</v>
      </c>
      <c r="AE97" s="1667" t="s">
        <v>735</v>
      </c>
      <c r="AF97" s="1667" t="s">
        <v>735</v>
      </c>
      <c r="AG97" s="1667" t="s">
        <v>735</v>
      </c>
    </row>
    <row r="98" spans="1:33">
      <c r="A98" s="1631" t="s">
        <v>755</v>
      </c>
      <c r="B98" s="1632"/>
      <c r="C98" s="1632"/>
      <c r="D98" s="1632"/>
      <c r="E98" s="1633"/>
      <c r="F98" s="1633"/>
      <c r="G98" s="1633"/>
      <c r="H98" s="1633"/>
      <c r="I98" s="1633"/>
      <c r="J98" s="1633"/>
      <c r="K98" s="1633"/>
      <c r="L98" s="1633"/>
      <c r="M98" s="1633"/>
      <c r="N98" s="1633"/>
      <c r="O98" s="1633"/>
      <c r="P98" s="1633"/>
      <c r="Q98" s="1633"/>
      <c r="R98" s="1633"/>
      <c r="S98" s="1633"/>
      <c r="T98" s="1633"/>
      <c r="U98" s="1633"/>
      <c r="V98" s="1633"/>
      <c r="W98" s="1633"/>
      <c r="X98" s="1633"/>
      <c r="Y98" s="1633"/>
      <c r="Z98" s="1633"/>
      <c r="AA98" s="1633"/>
      <c r="AB98" s="1633"/>
      <c r="AC98" s="1633"/>
      <c r="AD98" s="1633"/>
      <c r="AE98" s="1633"/>
      <c r="AF98" s="1633"/>
      <c r="AG98" s="1633"/>
    </row>
    <row r="99" spans="1:33">
      <c r="A99" s="1561" t="str">
        <f t="shared" ref="A99:B102" si="100">B71</f>
        <v>TCarGSL_Small_00</v>
      </c>
      <c r="B99" s="1561" t="str">
        <f t="shared" si="100"/>
        <v>Existing Private Car - Small Gasoline</v>
      </c>
      <c r="C99" s="1561" t="str">
        <f>Commodities!$B$16</f>
        <v>TRAGSLE</v>
      </c>
      <c r="D99" s="1561" t="s">
        <v>745</v>
      </c>
      <c r="E99" s="1656">
        <f>'CAR Stock'!C79/1000</f>
        <v>143.54199999999992</v>
      </c>
      <c r="F99" s="1656">
        <f>'CAR Stock'!D79/1000</f>
        <v>108.34767019605859</v>
      </c>
      <c r="G99" s="1656">
        <f>'CAR Stock'!E79/1000</f>
        <v>83.525650841679294</v>
      </c>
      <c r="H99" s="1656">
        <f>'CAR Stock'!F79/1000</f>
        <v>65.893141306445884</v>
      </c>
      <c r="I99" s="1656">
        <f>'CAR Stock'!G79/1000</f>
        <v>52.931907333460607</v>
      </c>
      <c r="J99" s="1656">
        <f>'CAR Stock'!H79/1000</f>
        <v>42.448952157088783</v>
      </c>
      <c r="K99" s="1656">
        <f>'CAR Stock'!I79/1000</f>
        <v>33.402402162861357</v>
      </c>
      <c r="L99" s="1656">
        <f>'CAR Stock'!J79/1000</f>
        <v>25.643628225400146</v>
      </c>
      <c r="M99" s="1656">
        <f>'CAR Stock'!K79/1000</f>
        <v>19.207443222285235</v>
      </c>
      <c r="N99" s="1656">
        <f>'CAR Stock'!L79/1000</f>
        <v>14.016156383111278</v>
      </c>
      <c r="O99" s="1656">
        <f>'CAR Stock'!M79/1000</f>
        <v>9.833996868396305</v>
      </c>
      <c r="P99" s="1656">
        <f>'CAR Stock'!N79/1000</f>
        <v>6.4555271936159713</v>
      </c>
      <c r="Q99" s="1656">
        <f>'CAR Stock'!O79/1000</f>
        <v>3.8135588834301948</v>
      </c>
      <c r="R99" s="1656">
        <f>'CAR Stock'!P79/1000</f>
        <v>1.9282330725932562</v>
      </c>
      <c r="S99" s="1656">
        <f>'CAR Stock'!Q79/1000</f>
        <v>0.798906546746461</v>
      </c>
      <c r="T99" s="1656">
        <f>'CAR Stock'!R79/1000</f>
        <v>0.26372610036618405</v>
      </c>
      <c r="U99" s="1656">
        <f>'CAR Stock'!S79/1000</f>
        <v>7.852263523830709E-2</v>
      </c>
      <c r="V99" s="1656">
        <f>'CAR Stock'!T79/1000</f>
        <v>2.082074642911461E-2</v>
      </c>
      <c r="W99" s="1656">
        <f>'CAR Stock'!U79/1000</f>
        <v>4.8385347919228374E-3</v>
      </c>
      <c r="X99" s="1656">
        <f>'CAR Stock'!V79/1000</f>
        <v>9.6518885112261657E-4</v>
      </c>
      <c r="Y99" s="1656">
        <f>'CAR Stock'!W79/1000</f>
        <v>1.6065647385714023E-4</v>
      </c>
      <c r="Z99" s="1656">
        <f>'CAR Stock'!X79/1000</f>
        <v>2.1419217548852772E-5</v>
      </c>
      <c r="AA99" s="1656">
        <f>'CAR Stock'!Y79/1000</f>
        <v>2.1442639488994897E-6</v>
      </c>
      <c r="AB99" s="1656">
        <f>'CAR Stock'!Z79/1000</f>
        <v>1.4327308223593385E-7</v>
      </c>
      <c r="AC99" s="1656">
        <f>'CAR Stock'!AA79/1000</f>
        <v>4.7921920428307702E-9</v>
      </c>
      <c r="AD99" s="1656">
        <f>'CAR Stock'!AB79/1000</f>
        <v>0</v>
      </c>
      <c r="AE99" s="1656">
        <f>'CAR Stock'!AC79/1000</f>
        <v>0</v>
      </c>
      <c r="AF99" s="1656">
        <f>'CAR Stock'!AD79/1000</f>
        <v>0</v>
      </c>
      <c r="AG99" s="1656">
        <f>'CAR Stock'!AE79/1000</f>
        <v>0</v>
      </c>
    </row>
    <row r="100" spans="1:33">
      <c r="A100" s="1561" t="str">
        <f t="shared" si="100"/>
        <v>TCarGSL_LM_00</v>
      </c>
      <c r="B100" s="1561" t="str">
        <f t="shared" si="100"/>
        <v>Existing Private Car - Light Medium Gasoline</v>
      </c>
      <c r="C100" s="1561" t="str">
        <f>Commodities!$B$16</f>
        <v>TRAGSLE</v>
      </c>
      <c r="D100" s="1561" t="s">
        <v>745</v>
      </c>
      <c r="E100" s="1656">
        <f>'CAR Stock'!C108/1000</f>
        <v>689.16700000000003</v>
      </c>
      <c r="F100" s="1656">
        <f>'CAR Stock'!D108/1000</f>
        <v>545.78134343845807</v>
      </c>
      <c r="G100" s="1656">
        <f>'CAR Stock'!E108/1000</f>
        <v>449.24458179028062</v>
      </c>
      <c r="H100" s="1656">
        <f>'CAR Stock'!F108/1000</f>
        <v>373.5184220186635</v>
      </c>
      <c r="I100" s="1656">
        <f>'CAR Stock'!G108/1000</f>
        <v>306.38434098177879</v>
      </c>
      <c r="J100" s="1656">
        <f>'CAR Stock'!H108/1000</f>
        <v>242.98804880903657</v>
      </c>
      <c r="K100" s="1656">
        <f>'CAR Stock'!I108/1000</f>
        <v>183.86203511399378</v>
      </c>
      <c r="L100" s="1656">
        <f>'CAR Stock'!J108/1000</f>
        <v>131.79139954124034</v>
      </c>
      <c r="M100" s="1656">
        <f>'CAR Stock'!K108/1000</f>
        <v>89.379499150478978</v>
      </c>
      <c r="N100" s="1656">
        <f>'CAR Stock'!L108/1000</f>
        <v>57.52514104613455</v>
      </c>
      <c r="O100" s="1656">
        <f>'CAR Stock'!M108/1000</f>
        <v>34.859279417441812</v>
      </c>
      <c r="P100" s="1656">
        <f>'CAR Stock'!N108/1000</f>
        <v>19.371567996460893</v>
      </c>
      <c r="Q100" s="1656">
        <f>'CAR Stock'!O108/1000</f>
        <v>9.4465316732589333</v>
      </c>
      <c r="R100" s="1656">
        <f>'CAR Stock'!P108/1000</f>
        <v>3.843414694653426</v>
      </c>
      <c r="S100" s="1656">
        <f>'CAR Stock'!Q108/1000</f>
        <v>1.2624407760882213</v>
      </c>
      <c r="T100" s="1656">
        <f>'CAR Stock'!R108/1000</f>
        <v>0.33067111833551438</v>
      </c>
      <c r="U100" s="1656">
        <f>'CAR Stock'!S108/1000</f>
        <v>7.8098175885659399E-2</v>
      </c>
      <c r="V100" s="1656">
        <f>'CAR Stock'!T108/1000</f>
        <v>1.6422768018090447E-2</v>
      </c>
      <c r="W100" s="1656">
        <f>'CAR Stock'!U108/1000</f>
        <v>3.0261077102991434E-3</v>
      </c>
      <c r="X100" s="1656">
        <f>'CAR Stock'!V108/1000</f>
        <v>4.7854950531236301E-4</v>
      </c>
      <c r="Y100" s="1656">
        <f>'CAR Stock'!W108/1000</f>
        <v>6.3136784189580906E-5</v>
      </c>
      <c r="Z100" s="1656">
        <f>'CAR Stock'!X108/1000</f>
        <v>6.6708675813836686E-6</v>
      </c>
      <c r="AA100" s="1656">
        <f>'CAR Stock'!Y108/1000</f>
        <v>5.2914525836386259E-7</v>
      </c>
      <c r="AB100" s="1656">
        <f>'CAR Stock'!Z108/1000</f>
        <v>2.8009305702463866E-8</v>
      </c>
      <c r="AC100" s="1656">
        <f>'CAR Stock'!AA108/1000</f>
        <v>7.4205844107366648E-10</v>
      </c>
      <c r="AD100" s="1656">
        <f>'CAR Stock'!AB108/1000</f>
        <v>0</v>
      </c>
      <c r="AE100" s="1656">
        <f>'CAR Stock'!AC108/1000</f>
        <v>0</v>
      </c>
      <c r="AF100" s="1656">
        <f>'CAR Stock'!AD108/1000</f>
        <v>0</v>
      </c>
      <c r="AG100" s="1656">
        <f>'CAR Stock'!AE108/1000</f>
        <v>0</v>
      </c>
    </row>
    <row r="101" spans="1:33">
      <c r="A101" s="1561" t="str">
        <f t="shared" si="100"/>
        <v>TCarGSL_HM_00</v>
      </c>
      <c r="B101" s="1561" t="str">
        <f t="shared" si="100"/>
        <v>Existing Private Car - Heavy Medium Gasoline</v>
      </c>
      <c r="C101" s="1561" t="str">
        <f>Commodities!$B$16</f>
        <v>TRAGSLE</v>
      </c>
      <c r="D101" s="1561" t="s">
        <v>745</v>
      </c>
      <c r="E101" s="1656">
        <f>'CAR Stock'!C137/1000</f>
        <v>319.00599999999997</v>
      </c>
      <c r="F101" s="1656">
        <f>'CAR Stock'!D137/1000</f>
        <v>263.53601623464345</v>
      </c>
      <c r="G101" s="1656">
        <f>'CAR Stock'!E137/1000</f>
        <v>222.19548494593172</v>
      </c>
      <c r="H101" s="1656">
        <f>'CAR Stock'!F137/1000</f>
        <v>185.51853683318731</v>
      </c>
      <c r="I101" s="1656">
        <f>'CAR Stock'!G137/1000</f>
        <v>149.37036965890968</v>
      </c>
      <c r="J101" s="1656">
        <f>'CAR Stock'!H137/1000</f>
        <v>113.03906152225079</v>
      </c>
      <c r="K101" s="1656">
        <f>'CAR Stock'!I137/1000</f>
        <v>78.63342791810733</v>
      </c>
      <c r="L101" s="1656">
        <f>'CAR Stock'!J137/1000</f>
        <v>49.323081002899578</v>
      </c>
      <c r="M101" s="1656">
        <f>'CAR Stock'!K137/1000</f>
        <v>27.605763240113934</v>
      </c>
      <c r="N101" s="1656">
        <f>'CAR Stock'!L137/1000</f>
        <v>13.926552465308127</v>
      </c>
      <c r="O101" s="1656">
        <f>'CAR Stock'!M137/1000</f>
        <v>6.5054186164915162</v>
      </c>
      <c r="P101" s="1656">
        <f>'CAR Stock'!N137/1000</f>
        <v>2.8975533049683819</v>
      </c>
      <c r="Q101" s="1656">
        <f>'CAR Stock'!O137/1000</f>
        <v>1.2156503245946852</v>
      </c>
      <c r="R101" s="1656">
        <f>'CAR Stock'!P137/1000</f>
        <v>0.44845216168792762</v>
      </c>
      <c r="S101" s="1656">
        <f>'CAR Stock'!Q137/1000</f>
        <v>0.13658114773176505</v>
      </c>
      <c r="T101" s="1656">
        <f>'CAR Stock'!R137/1000</f>
        <v>3.3832711234337794E-2</v>
      </c>
      <c r="U101" s="1656">
        <f>'CAR Stock'!S137/1000</f>
        <v>7.5886937573506983E-3</v>
      </c>
      <c r="V101" s="1656">
        <f>'CAR Stock'!T137/1000</f>
        <v>1.5207625537896916E-3</v>
      </c>
      <c r="W101" s="1656">
        <f>'CAR Stock'!U137/1000</f>
        <v>2.6777437577161795E-4</v>
      </c>
      <c r="X101" s="1656">
        <f>'CAR Stock'!V137/1000</f>
        <v>4.0546751945613015E-5</v>
      </c>
      <c r="Y101" s="1656">
        <f>'CAR Stock'!W137/1000</f>
        <v>5.1292718066187387E-6</v>
      </c>
      <c r="Z101" s="1656">
        <f>'CAR Stock'!X137/1000</f>
        <v>5.2007096607602315E-7</v>
      </c>
      <c r="AA101" s="1656">
        <f>'CAR Stock'!Y137/1000</f>
        <v>3.9603440342654925E-8</v>
      </c>
      <c r="AB101" s="1656">
        <f>'CAR Stock'!Z137/1000</f>
        <v>2.0126275088331143E-9</v>
      </c>
      <c r="AC101" s="1656">
        <f>'CAR Stock'!AA137/1000</f>
        <v>5.1183535588731787E-11</v>
      </c>
      <c r="AD101" s="1656">
        <f>'CAR Stock'!AB137/1000</f>
        <v>0</v>
      </c>
      <c r="AE101" s="1656">
        <f>'CAR Stock'!AC137/1000</f>
        <v>0</v>
      </c>
      <c r="AF101" s="1656">
        <f>'CAR Stock'!AD137/1000</f>
        <v>0</v>
      </c>
      <c r="AG101" s="1656">
        <f>'CAR Stock'!AE137/1000</f>
        <v>0</v>
      </c>
    </row>
    <row r="102" spans="1:33">
      <c r="A102" s="1561" t="str">
        <f t="shared" si="100"/>
        <v>TCarGSL_Large_00</v>
      </c>
      <c r="B102" s="1561" t="str">
        <f t="shared" si="100"/>
        <v>Existing Private Car - Large Gasoline</v>
      </c>
      <c r="C102" s="1561" t="str">
        <f>Commodities!$B$16</f>
        <v>TRAGSLE</v>
      </c>
      <c r="D102" s="1561" t="s">
        <v>745</v>
      </c>
      <c r="E102" s="1656">
        <f>'CAR Stock'!C166/1000</f>
        <v>93.488000000000014</v>
      </c>
      <c r="F102" s="1656">
        <f>'CAR Stock'!D166/1000</f>
        <v>73.007618939415778</v>
      </c>
      <c r="G102" s="1656">
        <f>'CAR Stock'!E166/1000</f>
        <v>58.582822920848876</v>
      </c>
      <c r="H102" s="1656">
        <f>'CAR Stock'!F166/1000</f>
        <v>46.965713956118648</v>
      </c>
      <c r="I102" s="1656">
        <f>'CAR Stock'!G166/1000</f>
        <v>36.735462376249686</v>
      </c>
      <c r="J102" s="1656">
        <f>'CAR Stock'!H166/1000</f>
        <v>27.275239609181831</v>
      </c>
      <c r="K102" s="1656">
        <f>'CAR Stock'!I166/1000</f>
        <v>18.680454514846762</v>
      </c>
      <c r="L102" s="1656">
        <f>'CAR Stock'!J166/1000</f>
        <v>11.522038379856074</v>
      </c>
      <c r="M102" s="1656">
        <f>'CAR Stock'!K166/1000</f>
        <v>6.2983145045156643</v>
      </c>
      <c r="N102" s="1656">
        <f>'CAR Stock'!L166/1000</f>
        <v>3.0417138445470293</v>
      </c>
      <c r="O102" s="1656">
        <f>'CAR Stock'!M166/1000</f>
        <v>1.3146923719848902</v>
      </c>
      <c r="P102" s="1656">
        <f>'CAR Stock'!N166/1000</f>
        <v>0.52407222800033593</v>
      </c>
      <c r="Q102" s="1656">
        <f>'CAR Stock'!O166/1000</f>
        <v>0.197526160901206</v>
      </c>
      <c r="R102" s="1656">
        <f>'CAR Stock'!P166/1000</f>
        <v>6.8093275067121539E-2</v>
      </c>
      <c r="S102" s="1656">
        <f>'CAR Stock'!Q166/1000</f>
        <v>2.0821524758327811E-2</v>
      </c>
      <c r="T102" s="1656">
        <f>'CAR Stock'!R166/1000</f>
        <v>5.5373908315595787E-3</v>
      </c>
      <c r="U102" s="1656">
        <f>'CAR Stock'!S166/1000</f>
        <v>1.3456059799900422E-3</v>
      </c>
      <c r="V102" s="1656">
        <f>'CAR Stock'!T166/1000</f>
        <v>2.9474555555295429E-4</v>
      </c>
      <c r="W102" s="1656">
        <f>'CAR Stock'!U166/1000</f>
        <v>5.7188633837623123E-5</v>
      </c>
      <c r="X102" s="1656">
        <f>'CAR Stock'!V166/1000</f>
        <v>9.609233353819421E-6</v>
      </c>
      <c r="Y102" s="1656">
        <f>'CAR Stock'!W166/1000</f>
        <v>1.3567234925885907E-6</v>
      </c>
      <c r="Z102" s="1656">
        <f>'CAR Stock'!X166/1000</f>
        <v>1.5425407093211268E-7</v>
      </c>
      <c r="AA102" s="1656">
        <f>'CAR Stock'!Y166/1000</f>
        <v>1.3222901561378289E-8</v>
      </c>
      <c r="AB102" s="1656">
        <f>'CAR Stock'!Z166/1000</f>
        <v>7.5905525812910744E-10</v>
      </c>
      <c r="AC102" s="1656">
        <f>'CAR Stock'!AA166/1000</f>
        <v>2.1880825263131456E-11</v>
      </c>
      <c r="AD102" s="1656">
        <f>'CAR Stock'!AB166/1000</f>
        <v>0</v>
      </c>
      <c r="AE102" s="1656">
        <f>'CAR Stock'!AC166/1000</f>
        <v>0</v>
      </c>
      <c r="AF102" s="1656">
        <f>'CAR Stock'!AD166/1000</f>
        <v>0</v>
      </c>
      <c r="AG102" s="1656">
        <f>'CAR Stock'!AE166/1000</f>
        <v>0</v>
      </c>
    </row>
    <row r="103" spans="1:33">
      <c r="A103" s="1631" t="s">
        <v>756</v>
      </c>
      <c r="B103" s="1632"/>
      <c r="C103" s="1632"/>
      <c r="D103" s="1632"/>
      <c r="E103" s="1633"/>
      <c r="F103" s="1633"/>
      <c r="G103" s="1633"/>
      <c r="H103" s="1633"/>
      <c r="I103" s="1633"/>
      <c r="J103" s="1633"/>
      <c r="K103" s="1633"/>
      <c r="L103" s="1633"/>
      <c r="M103" s="1633"/>
      <c r="N103" s="1633"/>
      <c r="O103" s="1633"/>
      <c r="P103" s="1633"/>
      <c r="Q103" s="1633"/>
      <c r="R103" s="1633"/>
      <c r="S103" s="1633"/>
      <c r="T103" s="1633"/>
      <c r="U103" s="1633"/>
      <c r="V103" s="1633"/>
      <c r="W103" s="1633"/>
      <c r="X103" s="1633"/>
      <c r="Y103" s="1633"/>
      <c r="Z103" s="1633"/>
      <c r="AA103" s="1633"/>
      <c r="AB103" s="1633"/>
      <c r="AC103" s="1633"/>
      <c r="AD103" s="1633"/>
      <c r="AE103" s="1633"/>
      <c r="AF103" s="1633"/>
      <c r="AG103" s="1633"/>
    </row>
    <row r="104" spans="1:33">
      <c r="A104" s="1561" t="str">
        <f t="shared" ref="A104:B107" si="101">B76</f>
        <v>TCarDST_Small_00</v>
      </c>
      <c r="B104" s="1561" t="str">
        <f t="shared" si="101"/>
        <v>Existing Private Car - Small Diesel</v>
      </c>
      <c r="C104" s="1561" t="str">
        <f>Commodities!$B$17</f>
        <v>TRADSTB</v>
      </c>
      <c r="D104" s="1561" t="s">
        <v>745</v>
      </c>
      <c r="E104" s="1668">
        <f>'CAR Stock'!C195/1000</f>
        <v>0.13899999999999998</v>
      </c>
      <c r="F104" s="1668">
        <f>'CAR Stock'!D195/1000</f>
        <v>0.10889354446941552</v>
      </c>
      <c r="G104" s="1668">
        <f>'CAR Stock'!E195/1000</f>
        <v>9.8669418984196566E-2</v>
      </c>
      <c r="H104" s="1668">
        <f>'CAR Stock'!F195/1000</f>
        <v>9.3943513738228443E-2</v>
      </c>
      <c r="I104" s="1668">
        <f>'CAR Stock'!G195/1000</f>
        <v>9.1153102839907602E-2</v>
      </c>
      <c r="J104" s="1668">
        <f>'CAR Stock'!H195/1000</f>
        <v>8.9207165737195365E-2</v>
      </c>
      <c r="K104" s="1668">
        <f>'CAR Stock'!I195/1000</f>
        <v>8.7136005039553863E-2</v>
      </c>
      <c r="L104" s="1668">
        <f>'CAR Stock'!J195/1000</f>
        <v>8.2626496648627507E-2</v>
      </c>
      <c r="M104" s="1668">
        <f>'CAR Stock'!K195/1000</f>
        <v>7.2365270267757978E-2</v>
      </c>
      <c r="N104" s="1668">
        <f>'CAR Stock'!L195/1000</f>
        <v>5.7599368828837899E-2</v>
      </c>
      <c r="O104" s="1668">
        <f>'CAR Stock'!M195/1000</f>
        <v>4.15928631343895E-2</v>
      </c>
      <c r="P104" s="1668">
        <f>'CAR Stock'!N195/1000</f>
        <v>2.6184089866282484E-2</v>
      </c>
      <c r="Q104" s="1668">
        <f>'CAR Stock'!O195/1000</f>
        <v>1.37067955403522E-2</v>
      </c>
      <c r="R104" s="1668">
        <f>'CAR Stock'!P195/1000</f>
        <v>5.8786714426567917E-3</v>
      </c>
      <c r="S104" s="1668">
        <f>'CAR Stock'!Q195/1000</f>
        <v>2.0994843619225874E-3</v>
      </c>
      <c r="T104" s="1668">
        <f>'CAR Stock'!R195/1000</f>
        <v>6.3019146736085726E-4</v>
      </c>
      <c r="U104" s="1668">
        <f>'CAR Stock'!S195/1000</f>
        <v>1.7054124272500675E-4</v>
      </c>
      <c r="V104" s="1668">
        <f>'CAR Stock'!T195/1000</f>
        <v>4.1111483204647071E-5</v>
      </c>
      <c r="W104" s="1668">
        <f>'CAR Stock'!U195/1000</f>
        <v>8.6947770028662889E-6</v>
      </c>
      <c r="X104" s="1668">
        <f>'CAR Stock'!V195/1000</f>
        <v>1.581403210352659E-6</v>
      </c>
      <c r="Y104" s="1668">
        <f>'CAR Stock'!W195/1000</f>
        <v>2.4067300782796274E-7</v>
      </c>
      <c r="Z104" s="1668">
        <f>'CAR Stock'!X195/1000</f>
        <v>2.9450695778561E-8</v>
      </c>
      <c r="AA104" s="1668">
        <f>'CAR Stock'!Y195/1000</f>
        <v>2.7194992858583277E-9</v>
      </c>
      <c r="AB104" s="1668">
        <f>'CAR Stock'!Z195/1000</f>
        <v>1.6864263392450812E-10</v>
      </c>
      <c r="AC104" s="1668">
        <f>'CAR Stock'!AA195/1000</f>
        <v>5.2737084980542564E-12</v>
      </c>
      <c r="AD104" s="1668">
        <f>'CAR Stock'!AB195/1000</f>
        <v>0</v>
      </c>
      <c r="AE104" s="1668">
        <f>'CAR Stock'!AC195/1000</f>
        <v>0</v>
      </c>
      <c r="AF104" s="1668">
        <f>'CAR Stock'!AD195/1000</f>
        <v>0</v>
      </c>
      <c r="AG104" s="1668">
        <f>'CAR Stock'!AE195/1000</f>
        <v>0</v>
      </c>
    </row>
    <row r="105" spans="1:33">
      <c r="A105" s="1561" t="str">
        <f t="shared" si="101"/>
        <v>TCarDST_LM_00</v>
      </c>
      <c r="B105" s="1561" t="str">
        <f t="shared" si="101"/>
        <v>Existing Private Car - Light Medium Diesel</v>
      </c>
      <c r="C105" s="1561" t="str">
        <f>Commodities!$B$17</f>
        <v>TRADSTB</v>
      </c>
      <c r="D105" s="1561" t="s">
        <v>745</v>
      </c>
      <c r="E105" s="1656">
        <f>'CAR Stock'!C224/1000</f>
        <v>93.094999999999999</v>
      </c>
      <c r="F105" s="1656">
        <f>'CAR Stock'!D224/1000</f>
        <v>93.011619398625243</v>
      </c>
      <c r="G105" s="1656">
        <f>'CAR Stock'!E224/1000</f>
        <v>92.939592834961175</v>
      </c>
      <c r="H105" s="1656">
        <f>'CAR Stock'!F224/1000</f>
        <v>92.691580657104225</v>
      </c>
      <c r="I105" s="1656">
        <f>'CAR Stock'!G224/1000</f>
        <v>91.879634658115819</v>
      </c>
      <c r="J105" s="1656">
        <f>'CAR Stock'!H224/1000</f>
        <v>90.186490329766542</v>
      </c>
      <c r="K105" s="1656">
        <f>'CAR Stock'!I224/1000</f>
        <v>87.369979942810744</v>
      </c>
      <c r="L105" s="1656">
        <f>'CAR Stock'!J224/1000</f>
        <v>83.272485676757938</v>
      </c>
      <c r="M105" s="1656">
        <f>'CAR Stock'!K224/1000</f>
        <v>78.017563970582813</v>
      </c>
      <c r="N105" s="1656">
        <f>'CAR Stock'!L224/1000</f>
        <v>71.109895555692646</v>
      </c>
      <c r="O105" s="1656">
        <f>'CAR Stock'!M224/1000</f>
        <v>62.173078399274388</v>
      </c>
      <c r="P105" s="1656">
        <f>'CAR Stock'!N224/1000</f>
        <v>51.64039206993538</v>
      </c>
      <c r="Q105" s="1656">
        <f>'CAR Stock'!O224/1000</f>
        <v>39.121038416842786</v>
      </c>
      <c r="R105" s="1656">
        <f>'CAR Stock'!P224/1000</f>
        <v>25.080974205306106</v>
      </c>
      <c r="S105" s="1656">
        <f>'CAR Stock'!Q224/1000</f>
        <v>12.84593246113541</v>
      </c>
      <c r="T105" s="1656">
        <f>'CAR Stock'!R224/1000</f>
        <v>5.391029248693564</v>
      </c>
      <c r="U105" s="1656">
        <f>'CAR Stock'!S224/1000</f>
        <v>2.0400612545072234</v>
      </c>
      <c r="V105" s="1656">
        <f>'CAR Stock'!T224/1000</f>
        <v>0.68739218050999962</v>
      </c>
      <c r="W105" s="1656">
        <f>'CAR Stock'!U224/1000</f>
        <v>0.20297568935053531</v>
      </c>
      <c r="X105" s="1656">
        <f>'CAR Stock'!V224/1000</f>
        <v>5.1445067381786891E-2</v>
      </c>
      <c r="Y105" s="1656">
        <f>'CAR Stock'!W224/1000</f>
        <v>1.0879714014029462E-2</v>
      </c>
      <c r="Z105" s="1656">
        <f>'CAR Stock'!X224/1000</f>
        <v>1.8428841152440594E-3</v>
      </c>
      <c r="AA105" s="1656">
        <f>'CAR Stock'!Y224/1000</f>
        <v>2.3438742931370605E-4</v>
      </c>
      <c r="AB105" s="1656">
        <f>'CAR Stock'!Z224/1000</f>
        <v>1.9896235526131879E-5</v>
      </c>
      <c r="AC105" s="1656">
        <f>'CAR Stock'!AA224/1000</f>
        <v>8.4545299780983492E-7</v>
      </c>
      <c r="AD105" s="1656">
        <f>'CAR Stock'!AB224/1000</f>
        <v>0</v>
      </c>
      <c r="AE105" s="1656">
        <f>'CAR Stock'!AC224/1000</f>
        <v>0</v>
      </c>
      <c r="AF105" s="1656">
        <f>'CAR Stock'!AD224/1000</f>
        <v>0</v>
      </c>
      <c r="AG105" s="1656">
        <f>'CAR Stock'!AE224/1000</f>
        <v>0</v>
      </c>
    </row>
    <row r="106" spans="1:33">
      <c r="A106" s="1561" t="str">
        <f t="shared" si="101"/>
        <v>TCarDST_HM_00</v>
      </c>
      <c r="B106" s="1561" t="str">
        <f t="shared" si="101"/>
        <v>Existing Private Car - Heavy Medium Diesel</v>
      </c>
      <c r="C106" s="1561" t="str">
        <f>Commodities!$B$17</f>
        <v>TRADSTB</v>
      </c>
      <c r="D106" s="1561" t="s">
        <v>745</v>
      </c>
      <c r="E106" s="1656">
        <f>'CAR Stock'!C253/1000</f>
        <v>264.37799999999999</v>
      </c>
      <c r="F106" s="1656">
        <f>'CAR Stock'!D253/1000</f>
        <v>255.67086473383151</v>
      </c>
      <c r="G106" s="1656">
        <f>'CAR Stock'!E253/1000</f>
        <v>247.29452996125599</v>
      </c>
      <c r="H106" s="1656">
        <f>'CAR Stock'!F253/1000</f>
        <v>237.11367170793599</v>
      </c>
      <c r="I106" s="1656">
        <f>'CAR Stock'!G253/1000</f>
        <v>224.36725535801227</v>
      </c>
      <c r="J106" s="1656">
        <f>'CAR Stock'!H253/1000</f>
        <v>209.24669845801253</v>
      </c>
      <c r="K106" s="1656">
        <f>'CAR Stock'!I253/1000</f>
        <v>192.34156902864231</v>
      </c>
      <c r="L106" s="1656">
        <f>'CAR Stock'!J253/1000</f>
        <v>173.87302446925679</v>
      </c>
      <c r="M106" s="1656">
        <f>'CAR Stock'!K253/1000</f>
        <v>153.6964940305935</v>
      </c>
      <c r="N106" s="1656">
        <f>'CAR Stock'!L253/1000</f>
        <v>130.10669465961411</v>
      </c>
      <c r="O106" s="1656">
        <f>'CAR Stock'!M253/1000</f>
        <v>106.15217656124078</v>
      </c>
      <c r="P106" s="1656">
        <f>'CAR Stock'!N253/1000</f>
        <v>82.502776853030895</v>
      </c>
      <c r="Q106" s="1656">
        <f>'CAR Stock'!O253/1000</f>
        <v>59.094469662789948</v>
      </c>
      <c r="R106" s="1656">
        <f>'CAR Stock'!P253/1000</f>
        <v>35.451792050654454</v>
      </c>
      <c r="S106" s="1656">
        <f>'CAR Stock'!Q253/1000</f>
        <v>17.200138694625434</v>
      </c>
      <c r="T106" s="1656">
        <f>'CAR Stock'!R253/1000</f>
        <v>6.6409820945593347</v>
      </c>
      <c r="U106" s="1656">
        <f>'CAR Stock'!S253/1000</f>
        <v>2.3137741012087618</v>
      </c>
      <c r="V106" s="1656">
        <f>'CAR Stock'!T253/1000</f>
        <v>0.71825920822877087</v>
      </c>
      <c r="W106" s="1656">
        <f>'CAR Stock'!U253/1000</f>
        <v>0.19550848073890198</v>
      </c>
      <c r="X106" s="1656">
        <f>'CAR Stock'!V253/1000</f>
        <v>4.5701077006067105E-2</v>
      </c>
      <c r="Y106" s="1656">
        <f>'CAR Stock'!W253/1000</f>
        <v>8.9177070556577202E-3</v>
      </c>
      <c r="Z106" s="1656">
        <f>'CAR Stock'!X253/1000</f>
        <v>1.3943113047040383E-3</v>
      </c>
      <c r="AA106" s="1656">
        <f>'CAR Stock'!Y253/1000</f>
        <v>1.6374974011827291E-4</v>
      </c>
      <c r="AB106" s="1656">
        <f>'CAR Stock'!Z253/1000</f>
        <v>1.2839537010029291E-5</v>
      </c>
      <c r="AC106" s="1656">
        <f>'CAR Stock'!AA253/1000</f>
        <v>5.04125192495978E-7</v>
      </c>
      <c r="AD106" s="1656">
        <f>'CAR Stock'!AB253/1000</f>
        <v>0</v>
      </c>
      <c r="AE106" s="1656">
        <f>'CAR Stock'!AC253/1000</f>
        <v>0</v>
      </c>
      <c r="AF106" s="1656">
        <f>'CAR Stock'!AD253/1000</f>
        <v>0</v>
      </c>
      <c r="AG106" s="1656">
        <f>'CAR Stock'!AE253/1000</f>
        <v>0</v>
      </c>
    </row>
    <row r="107" spans="1:33">
      <c r="A107" s="1561" t="str">
        <f t="shared" si="101"/>
        <v>TCarDST_Large_00</v>
      </c>
      <c r="B107" s="1561" t="str">
        <f t="shared" si="101"/>
        <v>Existing Private Car - Large Diesel</v>
      </c>
      <c r="C107" s="1561" t="str">
        <f>Commodities!$B$17</f>
        <v>TRADSTB</v>
      </c>
      <c r="D107" s="1561" t="s">
        <v>745</v>
      </c>
      <c r="E107" s="1656">
        <f>'CAR Stock'!C282/1000</f>
        <v>263.49299999999994</v>
      </c>
      <c r="F107" s="1656">
        <f>'CAR Stock'!D282/1000</f>
        <v>252.05080905900323</v>
      </c>
      <c r="G107" s="1656">
        <f>'CAR Stock'!E282/1000</f>
        <v>242.13379180956198</v>
      </c>
      <c r="H107" s="1656">
        <f>'CAR Stock'!F282/1000</f>
        <v>231.20376992601854</v>
      </c>
      <c r="I107" s="1656">
        <f>'CAR Stock'!G282/1000</f>
        <v>217.73628592430182</v>
      </c>
      <c r="J107" s="1656">
        <f>'CAR Stock'!H282/1000</f>
        <v>200.44924750597758</v>
      </c>
      <c r="K107" s="1656">
        <f>'CAR Stock'!I282/1000</f>
        <v>179.15181119701595</v>
      </c>
      <c r="L107" s="1656">
        <f>'CAR Stock'!J282/1000</f>
        <v>154.48341756903963</v>
      </c>
      <c r="M107" s="1656">
        <f>'CAR Stock'!K282/1000</f>
        <v>127.37160455343295</v>
      </c>
      <c r="N107" s="1656">
        <f>'CAR Stock'!L282/1000</f>
        <v>100.41740237764928</v>
      </c>
      <c r="O107" s="1656">
        <f>'CAR Stock'!M282/1000</f>
        <v>75.00523184989531</v>
      </c>
      <c r="P107" s="1656">
        <f>'CAR Stock'!N282/1000</f>
        <v>51.289541286957387</v>
      </c>
      <c r="Q107" s="1656">
        <f>'CAR Stock'!O282/1000</f>
        <v>30.118325400871214</v>
      </c>
      <c r="R107" s="1656">
        <f>'CAR Stock'!P282/1000</f>
        <v>14.493883648050163</v>
      </c>
      <c r="S107" s="1656">
        <f>'CAR Stock'!Q282/1000</f>
        <v>5.5019362744040112</v>
      </c>
      <c r="T107" s="1656">
        <f>'CAR Stock'!R282/1000</f>
        <v>1.6445522340569225</v>
      </c>
      <c r="U107" s="1656">
        <f>'CAR Stock'!S282/1000</f>
        <v>0.44311604166902974</v>
      </c>
      <c r="V107" s="1656">
        <f>'CAR Stock'!T282/1000</f>
        <v>0.10628411710057985</v>
      </c>
      <c r="W107" s="1656">
        <f>'CAR Stock'!U282/1000</f>
        <v>2.2335960554881396E-2</v>
      </c>
      <c r="X107" s="1656">
        <f>'CAR Stock'!V282/1000</f>
        <v>4.0282895321603236E-3</v>
      </c>
      <c r="Y107" s="1656">
        <f>'CAR Stock'!W282/1000</f>
        <v>6.0609005224497212E-4</v>
      </c>
      <c r="Z107" s="1656">
        <f>'CAR Stock'!X282/1000</f>
        <v>7.3027525677887983E-5</v>
      </c>
      <c r="AA107" s="1656">
        <f>'CAR Stock'!Y282/1000</f>
        <v>6.6055356638003521E-6</v>
      </c>
      <c r="AB107" s="1656">
        <f>'CAR Stock'!Z282/1000</f>
        <v>3.9867929757018956E-7</v>
      </c>
      <c r="AC107" s="1656">
        <f>'CAR Stock'!AA282/1000</f>
        <v>1.2041393862522362E-8</v>
      </c>
      <c r="AD107" s="1656">
        <f>'CAR Stock'!AB282/1000</f>
        <v>0</v>
      </c>
      <c r="AE107" s="1656">
        <f>'CAR Stock'!AC282/1000</f>
        <v>0</v>
      </c>
      <c r="AF107" s="1656">
        <f>'CAR Stock'!AD282/1000</f>
        <v>0</v>
      </c>
      <c r="AG107" s="1656">
        <f>'CAR Stock'!AE282/1000</f>
        <v>0</v>
      </c>
    </row>
    <row r="108" spans="1:33">
      <c r="A108" s="1631" t="s">
        <v>757</v>
      </c>
      <c r="B108" s="1632"/>
      <c r="C108" s="1632"/>
      <c r="D108" s="1632"/>
      <c r="E108" s="1633"/>
      <c r="F108" s="1633"/>
      <c r="G108" s="1633"/>
      <c r="H108" s="1633"/>
      <c r="I108" s="1633"/>
      <c r="J108" s="1633"/>
      <c r="K108" s="1633"/>
      <c r="L108" s="1633"/>
      <c r="M108" s="1633"/>
      <c r="N108" s="1633"/>
      <c r="O108" s="1633"/>
      <c r="P108" s="1633"/>
      <c r="Q108" s="1633"/>
      <c r="R108" s="1633"/>
      <c r="S108" s="1633"/>
      <c r="T108" s="1633"/>
      <c r="U108" s="1633"/>
      <c r="V108" s="1633"/>
      <c r="W108" s="1633"/>
      <c r="X108" s="1633"/>
      <c r="Y108" s="1633"/>
      <c r="Z108" s="1633"/>
      <c r="AA108" s="1633"/>
      <c r="AB108" s="1633"/>
      <c r="AC108" s="1633"/>
      <c r="AD108" s="1633"/>
      <c r="AE108" s="1633"/>
      <c r="AF108" s="1633"/>
      <c r="AG108" s="1633"/>
    </row>
    <row r="109" spans="1:33">
      <c r="A109" s="1561" t="str">
        <f t="shared" ref="A109:B112" si="102">B81</f>
        <v>*TCarE85_Small_00</v>
      </c>
      <c r="B109" s="1561" t="str">
        <f t="shared" si="102"/>
        <v>Existing Private Car - Small Petrol and Ethanol</v>
      </c>
      <c r="C109" s="1561" t="str">
        <f>Commodities!$B$16</f>
        <v>TRAGSLE</v>
      </c>
      <c r="D109" s="1561" t="s">
        <v>745</v>
      </c>
      <c r="E109" s="1656">
        <f>'CAR Stock'!C311/1000</f>
        <v>0</v>
      </c>
      <c r="F109" s="1656">
        <f>'CAR Stock'!D311/1000</f>
        <v>0</v>
      </c>
      <c r="G109" s="1656">
        <f>'CAR Stock'!E311/1000</f>
        <v>0</v>
      </c>
      <c r="H109" s="1656">
        <f>'CAR Stock'!F311/1000</f>
        <v>0</v>
      </c>
      <c r="I109" s="1656">
        <f>'CAR Stock'!G311/1000</f>
        <v>0</v>
      </c>
      <c r="J109" s="1656">
        <f>'CAR Stock'!H311/1000</f>
        <v>0</v>
      </c>
      <c r="K109" s="1656">
        <f>'CAR Stock'!I311/1000</f>
        <v>0</v>
      </c>
      <c r="L109" s="1656">
        <f>'CAR Stock'!J311/1000</f>
        <v>0</v>
      </c>
      <c r="M109" s="1656">
        <f>'CAR Stock'!K311/1000</f>
        <v>0</v>
      </c>
      <c r="N109" s="1656">
        <f>'CAR Stock'!L311/1000</f>
        <v>0</v>
      </c>
      <c r="O109" s="1656">
        <f>'CAR Stock'!M311/1000</f>
        <v>0</v>
      </c>
      <c r="P109" s="1656">
        <f>'CAR Stock'!N311/1000</f>
        <v>0</v>
      </c>
      <c r="Q109" s="1656">
        <f>'CAR Stock'!O311/1000</f>
        <v>0</v>
      </c>
      <c r="R109" s="1656">
        <f>'CAR Stock'!P311/1000</f>
        <v>0</v>
      </c>
      <c r="S109" s="1656">
        <f>'CAR Stock'!Q311/1000</f>
        <v>0</v>
      </c>
      <c r="T109" s="1656">
        <f>'CAR Stock'!R311/1000</f>
        <v>0</v>
      </c>
      <c r="U109" s="1656">
        <f>'CAR Stock'!S311/1000</f>
        <v>0</v>
      </c>
      <c r="V109" s="1656">
        <f>'CAR Stock'!T311/1000</f>
        <v>0</v>
      </c>
      <c r="W109" s="1656">
        <f>'CAR Stock'!U311/1000</f>
        <v>0</v>
      </c>
      <c r="X109" s="1656">
        <f>'CAR Stock'!V311/1000</f>
        <v>0</v>
      </c>
      <c r="Y109" s="1656">
        <f>'CAR Stock'!W311/1000</f>
        <v>0</v>
      </c>
      <c r="Z109" s="1656">
        <f>'CAR Stock'!X311/1000</f>
        <v>0</v>
      </c>
      <c r="AA109" s="1656">
        <f>'CAR Stock'!Y311/1000</f>
        <v>0</v>
      </c>
      <c r="AB109" s="1656">
        <f>'CAR Stock'!Z311/1000</f>
        <v>0</v>
      </c>
      <c r="AC109" s="1656">
        <f>'CAR Stock'!AA311/1000</f>
        <v>0</v>
      </c>
      <c r="AD109" s="1656">
        <f>'CAR Stock'!AB311/1000</f>
        <v>0</v>
      </c>
      <c r="AE109" s="1656">
        <f>'CAR Stock'!AC311/1000</f>
        <v>0</v>
      </c>
      <c r="AF109" s="1656">
        <f>'CAR Stock'!AD311/1000</f>
        <v>0</v>
      </c>
      <c r="AG109" s="1656">
        <f>'CAR Stock'!AE311/1000</f>
        <v>0</v>
      </c>
    </row>
    <row r="110" spans="1:33">
      <c r="A110" s="1561" t="str">
        <f t="shared" si="102"/>
        <v>TCarE85_LM_00</v>
      </c>
      <c r="B110" s="1561" t="str">
        <f t="shared" si="102"/>
        <v>Existing Private Car - Light Medium Petrol and Ethanol</v>
      </c>
      <c r="C110" s="1561" t="str">
        <f>Commodities!$B$16</f>
        <v>TRAGSLE</v>
      </c>
      <c r="D110" s="1561" t="s">
        <v>745</v>
      </c>
      <c r="E110" s="1656">
        <f>'CAR Stock'!C340/1000</f>
        <v>5.923</v>
      </c>
      <c r="F110" s="1656">
        <f>'CAR Stock'!D340/1000</f>
        <v>5.9228508608833943</v>
      </c>
      <c r="G110" s="1656">
        <f>'CAR Stock'!E340/1000</f>
        <v>5.922634679026058</v>
      </c>
      <c r="H110" s="1656">
        <f>'CAR Stock'!F340/1000</f>
        <v>5.9223916612356993</v>
      </c>
      <c r="I110" s="1656">
        <f>'CAR Stock'!G340/1000</f>
        <v>5.9205497836938186</v>
      </c>
      <c r="J110" s="1656">
        <f>'CAR Stock'!H340/1000</f>
        <v>5.90663704614109</v>
      </c>
      <c r="K110" s="1656">
        <f>'CAR Stock'!I340/1000</f>
        <v>5.8195718968573917</v>
      </c>
      <c r="L110" s="1656">
        <f>'CAR Stock'!J340/1000</f>
        <v>5.5290276332853452</v>
      </c>
      <c r="M110" s="1656">
        <f>'CAR Stock'!K340/1000</f>
        <v>4.9147670646007349</v>
      </c>
      <c r="N110" s="1656">
        <f>'CAR Stock'!L340/1000</f>
        <v>3.9625768768875309</v>
      </c>
      <c r="O110" s="1656">
        <f>'CAR Stock'!M340/1000</f>
        <v>2.8006384998021683</v>
      </c>
      <c r="P110" s="1656">
        <f>'CAR Stock'!N340/1000</f>
        <v>1.6928585113172718</v>
      </c>
      <c r="Q110" s="1656">
        <f>'CAR Stock'!O340/1000</f>
        <v>0.85256733062989243</v>
      </c>
      <c r="R110" s="1656">
        <f>'CAR Stock'!P340/1000</f>
        <v>0.34905940305971028</v>
      </c>
      <c r="S110" s="1656">
        <f>'CAR Stock'!Q340/1000</f>
        <v>0.11589417545437417</v>
      </c>
      <c r="T110" s="1656">
        <f>'CAR Stock'!R340/1000</f>
        <v>3.0458355828868661E-2</v>
      </c>
      <c r="U110" s="1656">
        <f>'CAR Stock'!S340/1000</f>
        <v>7.2109726549992089E-3</v>
      </c>
      <c r="V110" s="1656">
        <f>'CAR Stock'!T340/1000</f>
        <v>1.5191793999725571E-3</v>
      </c>
      <c r="W110" s="1656">
        <f>'CAR Stock'!U340/1000</f>
        <v>2.8041371454286468E-4</v>
      </c>
      <c r="X110" s="1656">
        <f>'CAR Stock'!V340/1000</f>
        <v>4.4432624298646E-5</v>
      </c>
      <c r="Y110" s="1656">
        <f>'CAR Stock'!W340/1000</f>
        <v>5.8773322051270578E-6</v>
      </c>
      <c r="Z110" s="1656">
        <f>'CAR Stock'!X340/1000</f>
        <v>6.2317046300768992E-7</v>
      </c>
      <c r="AA110" s="1656">
        <f>'CAR Stock'!Y340/1000</f>
        <v>4.9665790909609209E-8</v>
      </c>
      <c r="AB110" s="1656">
        <f>'CAR Stock'!Z340/1000</f>
        <v>2.6453579394058349E-9</v>
      </c>
      <c r="AC110" s="1656">
        <f>'CAR Stock'!AA340/1000</f>
        <v>7.064047097980239E-11</v>
      </c>
      <c r="AD110" s="1656">
        <f>'CAR Stock'!AB340/1000</f>
        <v>0</v>
      </c>
      <c r="AE110" s="1656">
        <f>'CAR Stock'!AC340/1000</f>
        <v>0</v>
      </c>
      <c r="AF110" s="1656">
        <f>'CAR Stock'!AD340/1000</f>
        <v>0</v>
      </c>
      <c r="AG110" s="1656">
        <f>'CAR Stock'!AE340/1000</f>
        <v>0</v>
      </c>
    </row>
    <row r="111" spans="1:33">
      <c r="A111" s="1561" t="str">
        <f t="shared" si="102"/>
        <v>TCarE85_HM_00</v>
      </c>
      <c r="B111" s="1561" t="str">
        <f t="shared" si="102"/>
        <v>Existing Private Car - Heavy Medium Petrol and Ethanol</v>
      </c>
      <c r="C111" s="1561" t="str">
        <f>Commodities!$B$16</f>
        <v>TRAGSLE</v>
      </c>
      <c r="D111" s="1561" t="s">
        <v>745</v>
      </c>
      <c r="E111" s="1656">
        <f>'CAR Stock'!C369/1000</f>
        <v>2.0830000000000002</v>
      </c>
      <c r="F111" s="1656">
        <f>'CAR Stock'!D369/1000</f>
        <v>2.082995000131608</v>
      </c>
      <c r="G111" s="1656">
        <f>'CAR Stock'!E369/1000</f>
        <v>2.082680450808672</v>
      </c>
      <c r="H111" s="1656">
        <f>'CAR Stock'!F369/1000</f>
        <v>2.0777829468165621</v>
      </c>
      <c r="I111" s="1656">
        <f>'CAR Stock'!G369/1000</f>
        <v>2.0423166803113357</v>
      </c>
      <c r="J111" s="1656">
        <f>'CAR Stock'!H369/1000</f>
        <v>1.8995465302448182</v>
      </c>
      <c r="K111" s="1656">
        <f>'CAR Stock'!I369/1000</f>
        <v>1.6014516738223308</v>
      </c>
      <c r="L111" s="1656">
        <f>'CAR Stock'!J369/1000</f>
        <v>1.1731391902576598</v>
      </c>
      <c r="M111" s="1656">
        <f>'CAR Stock'!K369/1000</f>
        <v>0.71142824320801579</v>
      </c>
      <c r="N111" s="1656">
        <f>'CAR Stock'!L369/1000</f>
        <v>0.34885141201636971</v>
      </c>
      <c r="O111" s="1656">
        <f>'CAR Stock'!M369/1000</f>
        <v>0.13473080902588436</v>
      </c>
      <c r="P111" s="1656">
        <f>'CAR Stock'!N369/1000</f>
        <v>4.0604376370994948E-2</v>
      </c>
      <c r="Q111" s="1656">
        <f>'CAR Stock'!O369/1000</f>
        <v>1.0549405512659406E-2</v>
      </c>
      <c r="R111" s="1656">
        <f>'CAR Stock'!P369/1000</f>
        <v>2.3969103538375573E-3</v>
      </c>
      <c r="S111" s="1656">
        <f>'CAR Stock'!Q369/1000</f>
        <v>4.862332383849926E-4</v>
      </c>
      <c r="T111" s="1656">
        <f>'CAR Stock'!R369/1000</f>
        <v>8.6960186593946817E-5</v>
      </c>
      <c r="U111" s="1656">
        <f>'CAR Stock'!S369/1000</f>
        <v>1.3499346742038289E-5</v>
      </c>
      <c r="V111" s="1656">
        <f>'CAR Stock'!T369/1000</f>
        <v>1.7833618928048162E-6</v>
      </c>
      <c r="W111" s="1656">
        <f>'CAR Stock'!U369/1000</f>
        <v>1.9532566152749964E-7</v>
      </c>
      <c r="X111" s="1656">
        <f>'CAR Stock'!V369/1000</f>
        <v>1.709587281210008E-8</v>
      </c>
      <c r="Y111" s="1656">
        <f>'CAR Stock'!W369/1000</f>
        <v>1.1288957029037863E-9</v>
      </c>
      <c r="Z111" s="1656">
        <f>'CAR Stock'!X369/1000</f>
        <v>5.0544059012615834E-11</v>
      </c>
      <c r="AA111" s="1656">
        <f>'CAR Stock'!Y369/1000</f>
        <v>1.1682404699282577E-12</v>
      </c>
      <c r="AB111" s="1656">
        <f>'CAR Stock'!Z369/1000</f>
        <v>0</v>
      </c>
      <c r="AC111" s="1656">
        <f>'CAR Stock'!AA369/1000</f>
        <v>0</v>
      </c>
      <c r="AD111" s="1656">
        <f>'CAR Stock'!AB369/1000</f>
        <v>0</v>
      </c>
      <c r="AE111" s="1656">
        <f>'CAR Stock'!AC369/1000</f>
        <v>0</v>
      </c>
      <c r="AF111" s="1656">
        <f>'CAR Stock'!AD369/1000</f>
        <v>0</v>
      </c>
      <c r="AG111" s="1656">
        <f>'CAR Stock'!AE369/1000</f>
        <v>0</v>
      </c>
    </row>
    <row r="112" spans="1:33">
      <c r="A112" s="1561" t="str">
        <f t="shared" si="102"/>
        <v>TCarE85_Large_00</v>
      </c>
      <c r="B112" s="1561" t="str">
        <f t="shared" si="102"/>
        <v>Existing Private Car - Large Petrol and Ethanol</v>
      </c>
      <c r="C112" s="1561" t="str">
        <f>Commodities!$B$16</f>
        <v>TRAGSLE</v>
      </c>
      <c r="D112" s="1561" t="s">
        <v>745</v>
      </c>
      <c r="E112" s="1656">
        <f>'CAR Stock'!C398/1000</f>
        <v>1.4239999999999999</v>
      </c>
      <c r="F112" s="1656">
        <f>'CAR Stock'!D398/1000</f>
        <v>1.4239999999999999</v>
      </c>
      <c r="G112" s="1656">
        <f>'CAR Stock'!E398/1000</f>
        <v>1.4239729697855834</v>
      </c>
      <c r="H112" s="1656">
        <f>'CAR Stock'!F398/1000</f>
        <v>1.4235071102649952</v>
      </c>
      <c r="I112" s="1656">
        <f>'CAR Stock'!G398/1000</f>
        <v>1.4116552409946017</v>
      </c>
      <c r="J112" s="1656">
        <f>'CAR Stock'!H398/1000</f>
        <v>1.3397403043625546</v>
      </c>
      <c r="K112" s="1656">
        <f>'CAR Stock'!I398/1000</f>
        <v>1.1492023967334064</v>
      </c>
      <c r="L112" s="1656">
        <f>'CAR Stock'!J398/1000</f>
        <v>0.85619413384642462</v>
      </c>
      <c r="M112" s="1656">
        <f>'CAR Stock'!K398/1000</f>
        <v>0.53398519990565296</v>
      </c>
      <c r="N112" s="1656">
        <f>'CAR Stock'!L398/1000</f>
        <v>0.27236297523138597</v>
      </c>
      <c r="O112" s="1656">
        <f>'CAR Stock'!M398/1000</f>
        <v>0.11136820532480084</v>
      </c>
      <c r="P112" s="1656">
        <f>'CAR Stock'!N398/1000</f>
        <v>3.6199133134781888E-2</v>
      </c>
      <c r="Q112" s="1656">
        <f>'CAR Stock'!O398/1000</f>
        <v>1.0477162460434251E-2</v>
      </c>
      <c r="R112" s="1656">
        <f>'CAR Stock'!P398/1000</f>
        <v>2.7051179094072912E-3</v>
      </c>
      <c r="S112" s="1656">
        <f>'CAR Stock'!Q398/1000</f>
        <v>6.1804483704822641E-4</v>
      </c>
      <c r="T112" s="1656">
        <f>'CAR Stock'!R398/1000</f>
        <v>1.2463559351724956E-4</v>
      </c>
      <c r="U112" s="1656">
        <f>'CAR Stock'!S398/1000</f>
        <v>2.1932479330898079E-5</v>
      </c>
      <c r="V112" s="1656">
        <f>'CAR Stock'!T398/1000</f>
        <v>3.3296402781056352E-6</v>
      </c>
      <c r="W112" s="1656">
        <f>'CAR Stock'!U398/1000</f>
        <v>4.3163241252917925E-7</v>
      </c>
      <c r="X112" s="1656">
        <f>'CAR Stock'!V398/1000</f>
        <v>4.7352700242032846E-8</v>
      </c>
      <c r="Y112" s="1656">
        <f>'CAR Stock'!W398/1000</f>
        <v>4.3364311197724895E-9</v>
      </c>
      <c r="Z112" s="1656">
        <f>'CAR Stock'!X398/1000</f>
        <v>3.1819990470327128E-10</v>
      </c>
      <c r="AA112" s="1656">
        <f>'CAR Stock'!Y398/1000</f>
        <v>1.6620962091193075E-11</v>
      </c>
      <c r="AB112" s="1656">
        <f>'CAR Stock'!Z398/1000</f>
        <v>4.4654745434962166E-13</v>
      </c>
      <c r="AC112" s="1656">
        <f>'CAR Stock'!AA398/1000</f>
        <v>0</v>
      </c>
      <c r="AD112" s="1656">
        <f>'CAR Stock'!AB398/1000</f>
        <v>0</v>
      </c>
      <c r="AE112" s="1656">
        <f>'CAR Stock'!AC398/1000</f>
        <v>0</v>
      </c>
      <c r="AF112" s="1656">
        <f>'CAR Stock'!AD398/1000</f>
        <v>0</v>
      </c>
      <c r="AG112" s="1656">
        <f>'CAR Stock'!AE398/1000</f>
        <v>0</v>
      </c>
    </row>
    <row r="113" spans="1:33">
      <c r="A113" s="1631" t="s">
        <v>758</v>
      </c>
      <c r="B113" s="1632"/>
      <c r="C113" s="1632"/>
      <c r="D113" s="1632"/>
      <c r="E113" s="1633"/>
      <c r="F113" s="1633"/>
      <c r="G113" s="1633"/>
      <c r="H113" s="1633"/>
      <c r="I113" s="1633"/>
      <c r="J113" s="1633"/>
      <c r="K113" s="1633"/>
      <c r="L113" s="1633"/>
      <c r="M113" s="1633"/>
      <c r="N113" s="1633"/>
      <c r="O113" s="1633"/>
      <c r="P113" s="1633"/>
      <c r="Q113" s="1633"/>
      <c r="R113" s="1633"/>
      <c r="S113" s="1633"/>
      <c r="T113" s="1633"/>
      <c r="U113" s="1633"/>
      <c r="V113" s="1633"/>
      <c r="W113" s="1633"/>
      <c r="X113" s="1633"/>
      <c r="Y113" s="1633"/>
      <c r="Z113" s="1633"/>
      <c r="AA113" s="1633"/>
      <c r="AB113" s="1633"/>
      <c r="AC113" s="1633"/>
      <c r="AD113" s="1633"/>
      <c r="AE113" s="1633"/>
      <c r="AF113" s="1633"/>
      <c r="AG113" s="1633"/>
    </row>
    <row r="114" spans="1:33">
      <c r="A114" s="1561" t="str">
        <f t="shared" ref="A114:B117" si="103">B86</f>
        <v>TCarPHG_Small_00</v>
      </c>
      <c r="B114" s="1561" t="str">
        <f t="shared" si="103"/>
        <v>Existing Private Car - Small Petrol and Electric</v>
      </c>
      <c r="C114" s="1561" t="str">
        <f>Commodities!$B$10&amp;","&amp;Commodities!$B$16</f>
        <v>TRAELC,TRAGSLE</v>
      </c>
      <c r="D114" s="1561" t="s">
        <v>745</v>
      </c>
      <c r="E114" s="1669">
        <f>IF('CAR Stock'!C427/1000=0,"",'CAR Stock'!C427/1000)</f>
        <v>3.0000000000000001E-3</v>
      </c>
      <c r="F114" s="1670"/>
      <c r="G114" s="1670"/>
      <c r="H114" s="1670"/>
      <c r="I114" s="1670"/>
      <c r="J114" s="1671"/>
      <c r="K114" s="1670"/>
      <c r="L114" s="1670"/>
      <c r="M114" s="1670"/>
      <c r="N114" s="1670"/>
      <c r="O114" s="1670"/>
      <c r="P114" s="1670"/>
      <c r="Q114" s="1670"/>
      <c r="R114" s="1669"/>
      <c r="S114" s="1670" t="str">
        <f>IF('CAR Stock'!Q427/1000=0,"",'CAR Stock'!Q427/1000)</f>
        <v/>
      </c>
      <c r="T114" s="1670" t="str">
        <f>IF('CAR Stock'!R427/1000=0,"",'CAR Stock'!R427/1000)</f>
        <v/>
      </c>
      <c r="U114" s="1670" t="str">
        <f>IF('CAR Stock'!S427/1000=0,"",'CAR Stock'!S427/1000)</f>
        <v/>
      </c>
      <c r="V114" s="1670" t="str">
        <f>IF('CAR Stock'!T427/1000=0,"",'CAR Stock'!T427/1000)</f>
        <v/>
      </c>
      <c r="W114" s="1670" t="str">
        <f>IF('CAR Stock'!U427/1000=0,"",'CAR Stock'!U427/1000)</f>
        <v/>
      </c>
      <c r="X114" s="1670" t="str">
        <f>IF('CAR Stock'!V427/1000=0,"",'CAR Stock'!V427/1000)</f>
        <v/>
      </c>
      <c r="Y114" s="1670" t="str">
        <f>IF('CAR Stock'!W427/1000=0,"",'CAR Stock'!W427/1000)</f>
        <v/>
      </c>
      <c r="Z114" s="1670" t="str">
        <f>IF('CAR Stock'!X427/1000=0,"",'CAR Stock'!X427/1000)</f>
        <v/>
      </c>
      <c r="AA114" s="1670" t="str">
        <f>IF('CAR Stock'!Y427/1000=0,"",'CAR Stock'!Y427/1000)</f>
        <v/>
      </c>
      <c r="AB114" s="1670" t="str">
        <f>IF('CAR Stock'!Z427/1000=0,"",'CAR Stock'!Z427/1000)</f>
        <v/>
      </c>
      <c r="AC114" s="1670" t="str">
        <f>IF('CAR Stock'!AA427/1000=0,"",'CAR Stock'!AA427/1000)</f>
        <v/>
      </c>
      <c r="AD114" s="1670" t="str">
        <f>IF('CAR Stock'!AB427/1000=0,"",'CAR Stock'!AB427/1000)</f>
        <v/>
      </c>
      <c r="AE114" s="1670" t="str">
        <f>IF('CAR Stock'!AC427/1000=0,"",'CAR Stock'!AC427/1000)</f>
        <v/>
      </c>
      <c r="AF114" s="1670" t="str">
        <f>IF('CAR Stock'!AD427/1000=0,"",'CAR Stock'!AD427/1000)</f>
        <v/>
      </c>
      <c r="AG114" s="1670" t="str">
        <f>IF('CAR Stock'!AE427/1000=0,"",'CAR Stock'!AE427/1000)</f>
        <v/>
      </c>
    </row>
    <row r="115" spans="1:33">
      <c r="A115" s="1561" t="str">
        <f t="shared" si="103"/>
        <v>TCarPHG_LM_00</v>
      </c>
      <c r="B115" s="1561" t="str">
        <f t="shared" si="103"/>
        <v>Existing Private Car - Light Medium Petrol and Electric</v>
      </c>
      <c r="C115" s="1561" t="str">
        <f>Commodities!$B$10&amp;","&amp;Commodities!$B$16</f>
        <v>TRAELC,TRAGSLE</v>
      </c>
      <c r="D115" s="1561" t="s">
        <v>745</v>
      </c>
      <c r="E115" s="1656">
        <f>'CAR Stock'!C456/1000</f>
        <v>3.73</v>
      </c>
      <c r="F115" s="1656">
        <f>'CAR Stock'!D456/1000</f>
        <v>3.6829479587811678</v>
      </c>
      <c r="G115" s="1656">
        <f>'CAR Stock'!E456/1000</f>
        <v>3.5984906779089898</v>
      </c>
      <c r="H115" s="1656">
        <f>'CAR Stock'!F456/1000</f>
        <v>3.447511528008826</v>
      </c>
      <c r="I115" s="1656">
        <f>'CAR Stock'!G456/1000</f>
        <v>3.1933555586795093</v>
      </c>
      <c r="J115" s="1656">
        <f>'CAR Stock'!H456/1000</f>
        <v>2.8061293350987784</v>
      </c>
      <c r="K115" s="1656">
        <f>'CAR Stock'!I456/1000</f>
        <v>2.2922779158566771</v>
      </c>
      <c r="L115" s="1656">
        <f>'CAR Stock'!J456/1000</f>
        <v>1.704192700853262</v>
      </c>
      <c r="M115" s="1656">
        <f>'CAR Stock'!K456/1000</f>
        <v>1.1280702485577574</v>
      </c>
      <c r="N115" s="1656">
        <f>'CAR Stock'!L456/1000</f>
        <v>0.65735985833230304</v>
      </c>
      <c r="O115" s="1656">
        <f>'CAR Stock'!M456/1000</f>
        <v>0.33650568583365298</v>
      </c>
      <c r="P115" s="1656">
        <f>'CAR Stock'!N456/1000</f>
        <v>0.15212988299361674</v>
      </c>
      <c r="Q115" s="1656">
        <f>'CAR Stock'!O456/1000</f>
        <v>6.1510445526769986E-2</v>
      </c>
      <c r="R115" s="1656">
        <f>'CAR Stock'!P456/1000</f>
        <v>2.1724921865896796E-2</v>
      </c>
      <c r="S115" s="1656">
        <f>'CAR Stock'!Q456/1000</f>
        <v>6.5458892524518902E-3</v>
      </c>
      <c r="T115" s="1656">
        <f>'CAR Stock'!R456/1000</f>
        <v>1.6385572409074269E-3</v>
      </c>
      <c r="U115" s="1656">
        <f>'CAR Stock'!S456/1000</f>
        <v>3.7144401508295855E-4</v>
      </c>
      <c r="V115" s="1656">
        <f>'CAR Stock'!T456/1000</f>
        <v>7.5312906363642003E-5</v>
      </c>
      <c r="W115" s="1656">
        <f>'CAR Stock'!U456/1000</f>
        <v>1.3442873384104938E-5</v>
      </c>
      <c r="X115" s="1656">
        <f>'CAR Stock'!V456/1000</f>
        <v>2.0687061650907401E-6</v>
      </c>
      <c r="Y115" s="1656">
        <f>'CAR Stock'!W456/1000</f>
        <v>2.6675456082806126E-7</v>
      </c>
      <c r="Z115" s="1656">
        <f>'CAR Stock'!X456/1000</f>
        <v>2.765934347418662E-8</v>
      </c>
      <c r="AA115" s="1656">
        <f>'CAR Stock'!Y456/1000</f>
        <v>2.1612363155587759E-9</v>
      </c>
      <c r="AB115" s="1656">
        <f>'CAR Stock'!Z456/1000</f>
        <v>1.1308528797508028E-10</v>
      </c>
      <c r="AC115" s="1656">
        <f>'CAR Stock'!AA456/1000</f>
        <v>2.9711442729702299E-12</v>
      </c>
      <c r="AD115" s="1656">
        <f>'CAR Stock'!AB456/1000</f>
        <v>0</v>
      </c>
      <c r="AE115" s="1656">
        <f>'CAR Stock'!AC456/1000</f>
        <v>0</v>
      </c>
      <c r="AF115" s="1656">
        <f>'CAR Stock'!AD456/1000</f>
        <v>0</v>
      </c>
      <c r="AG115" s="1656">
        <f>'CAR Stock'!AE456/1000</f>
        <v>0</v>
      </c>
    </row>
    <row r="116" spans="1:33">
      <c r="A116" s="1561" t="str">
        <f t="shared" si="103"/>
        <v>TCarPHG_HM_00</v>
      </c>
      <c r="B116" s="1561" t="str">
        <f t="shared" si="103"/>
        <v>Existing Private Car - Heavy Medium Petrol and Electric</v>
      </c>
      <c r="C116" s="1561" t="str">
        <f>Commodities!$B$10&amp;","&amp;Commodities!$B$16</f>
        <v>TRAELC,TRAGSLE</v>
      </c>
      <c r="D116" s="1561" t="s">
        <v>745</v>
      </c>
      <c r="E116" s="1656">
        <f>'CAR Stock'!C485/1000</f>
        <v>1.2350000000000001</v>
      </c>
      <c r="F116" s="1656">
        <f>'CAR Stock'!D485/1000</f>
        <v>1.2350000000000001</v>
      </c>
      <c r="G116" s="1656">
        <f>'CAR Stock'!E485/1000</f>
        <v>1.2350000000000001</v>
      </c>
      <c r="H116" s="1656">
        <f>'CAR Stock'!F485/1000</f>
        <v>1.2350000000000001</v>
      </c>
      <c r="I116" s="1656">
        <f>'CAR Stock'!G485/1000</f>
        <v>1.2349950001316077</v>
      </c>
      <c r="J116" s="1656">
        <f>'CAR Stock'!H485/1000</f>
        <v>1.2347404492293792</v>
      </c>
      <c r="K116" s="1656">
        <f>'CAR Stock'!I485/1000</f>
        <v>1.2303976218678641</v>
      </c>
      <c r="L116" s="1656">
        <f>'CAR Stock'!J485/1000</f>
        <v>1.2009526956722718</v>
      </c>
      <c r="M116" s="1656">
        <f>'CAR Stock'!K485/1000</f>
        <v>1.1164653823170811</v>
      </c>
      <c r="N116" s="1656">
        <f>'CAR Stock'!L485/1000</f>
        <v>0.95109930352319993</v>
      </c>
      <c r="O116" s="1656">
        <f>'CAR Stock'!M485/1000</f>
        <v>0.71466581744240942</v>
      </c>
      <c r="P116" s="1656">
        <f>'CAR Stock'!N485/1000</f>
        <v>0.45907789327803822</v>
      </c>
      <c r="Q116" s="1656">
        <f>'CAR Stock'!O485/1000</f>
        <v>0.24264516337652153</v>
      </c>
      <c r="R116" s="1656">
        <f>'CAR Stock'!P485/1000</f>
        <v>0.10302830371058068</v>
      </c>
      <c r="S116" s="1656">
        <f>'CAR Stock'!Q485/1000</f>
        <v>3.4234735736638808E-2</v>
      </c>
      <c r="T116" s="1656">
        <f>'CAR Stock'!R485/1000</f>
        <v>8.8127638979834822E-3</v>
      </c>
      <c r="U116" s="1656">
        <f>'CAR Stock'!S485/1000</f>
        <v>2.0426427197184609E-3</v>
      </c>
      <c r="V116" s="1656">
        <f>'CAR Stock'!T485/1000</f>
        <v>4.2104792661209757E-4</v>
      </c>
      <c r="W116" s="1656">
        <f>'CAR Stock'!U485/1000</f>
        <v>7.5981783384295587E-5</v>
      </c>
      <c r="X116" s="1656">
        <f>'CAR Stock'!V485/1000</f>
        <v>1.1759568991418001E-5</v>
      </c>
      <c r="Y116" s="1656">
        <f>'CAR Stock'!W485/1000</f>
        <v>1.5176210327210971E-6</v>
      </c>
      <c r="Z116" s="1656">
        <f>'CAR Stock'!X485/1000</f>
        <v>1.5678966300551822E-7</v>
      </c>
      <c r="AA116" s="1656">
        <f>'CAR Stock'!Y485/1000</f>
        <v>1.2157553196911233E-8</v>
      </c>
      <c r="AB116" s="1656">
        <f>'CAR Stock'!Z485/1000</f>
        <v>6.289534369602162E-10</v>
      </c>
      <c r="AC116" s="1656">
        <f>'CAR Stock'!AA485/1000</f>
        <v>1.6282351549625096E-11</v>
      </c>
      <c r="AD116" s="1656">
        <f>'CAR Stock'!AB485/1000</f>
        <v>0</v>
      </c>
      <c r="AE116" s="1656">
        <f>'CAR Stock'!AC485/1000</f>
        <v>0</v>
      </c>
      <c r="AF116" s="1656">
        <f>'CAR Stock'!AD485/1000</f>
        <v>0</v>
      </c>
      <c r="AG116" s="1656">
        <f>'CAR Stock'!AE485/1000</f>
        <v>0</v>
      </c>
    </row>
    <row r="117" spans="1:33">
      <c r="A117" s="1561" t="str">
        <f t="shared" si="103"/>
        <v>TCarPHG_Large_00</v>
      </c>
      <c r="B117" s="1561" t="str">
        <f t="shared" si="103"/>
        <v>Existing Private Car - Large Petrol and Electric</v>
      </c>
      <c r="C117" s="1561" t="str">
        <f>Commodities!$B$10&amp;","&amp;Commodities!$B$16</f>
        <v>TRAELC,TRAGSLE</v>
      </c>
      <c r="D117" s="1561" t="s">
        <v>745</v>
      </c>
      <c r="E117" s="1656">
        <f>'CAR Stock'!C514/1000</f>
        <v>1.5660000000000001</v>
      </c>
      <c r="F117" s="1656">
        <f>'CAR Stock'!D514/1000</f>
        <v>1.5608320547646544</v>
      </c>
      <c r="G117" s="1656">
        <f>'CAR Stock'!E514/1000</f>
        <v>1.5535085726693889</v>
      </c>
      <c r="H117" s="1656">
        <f>'CAR Stock'!F514/1000</f>
        <v>1.5362903456216974</v>
      </c>
      <c r="I117" s="1656">
        <f>'CAR Stock'!G514/1000</f>
        <v>1.4832341726106018</v>
      </c>
      <c r="J117" s="1656">
        <f>'CAR Stock'!H514/1000</f>
        <v>1.3612495511141769</v>
      </c>
      <c r="K117" s="1656">
        <f>'CAR Stock'!I514/1000</f>
        <v>1.1624594484081645</v>
      </c>
      <c r="L117" s="1656">
        <f>'CAR Stock'!J514/1000</f>
        <v>0.92006039399727457</v>
      </c>
      <c r="M117" s="1656">
        <f>'CAR Stock'!K514/1000</f>
        <v>0.67791177425395621</v>
      </c>
      <c r="N117" s="1656">
        <f>'CAR Stock'!L514/1000</f>
        <v>0.46840860818908908</v>
      </c>
      <c r="O117" s="1656">
        <f>'CAR Stock'!M514/1000</f>
        <v>0.30081229604777948</v>
      </c>
      <c r="P117" s="1656">
        <f>'CAR Stock'!N514/1000</f>
        <v>0.17524527395363845</v>
      </c>
      <c r="Q117" s="1656">
        <f>'CAR Stock'!O514/1000</f>
        <v>8.9274139280628009E-2</v>
      </c>
      <c r="R117" s="1656">
        <f>'CAR Stock'!P514/1000</f>
        <v>3.8099522364900669E-2</v>
      </c>
      <c r="S117" s="1656">
        <f>'CAR Stock'!Q514/1000</f>
        <v>1.3387573663510035E-2</v>
      </c>
      <c r="T117" s="1656">
        <f>'CAR Stock'!R514/1000</f>
        <v>3.871868293157288E-3</v>
      </c>
      <c r="U117" s="1656">
        <f>'CAR Stock'!S514/1000</f>
        <v>1.0096549900714105E-3</v>
      </c>
      <c r="V117" s="1656">
        <f>'CAR Stock'!T514/1000</f>
        <v>2.344016079658247E-4</v>
      </c>
      <c r="W117" s="1656">
        <f>'CAR Stock'!U514/1000</f>
        <v>4.7682495515992593E-5</v>
      </c>
      <c r="X117" s="1656">
        <f>'CAR Stock'!V514/1000</f>
        <v>8.3243563311605402E-6</v>
      </c>
      <c r="Y117" s="1656">
        <f>'CAR Stock'!W514/1000</f>
        <v>1.2124504005199742E-6</v>
      </c>
      <c r="Z117" s="1656">
        <f>'CAR Stock'!X514/1000</f>
        <v>1.4143636820033728E-7</v>
      </c>
      <c r="AA117" s="1656">
        <f>'CAR Stock'!Y514/1000</f>
        <v>1.2388951982405986E-8</v>
      </c>
      <c r="AB117" s="1656">
        <f>'CAR Stock'!Z514/1000</f>
        <v>7.2441140786021379E-10</v>
      </c>
      <c r="AC117" s="1656">
        <f>'CAR Stock'!AA514/1000</f>
        <v>2.121100408160703E-11</v>
      </c>
      <c r="AD117" s="1656">
        <f>'CAR Stock'!AB514/1000</f>
        <v>0</v>
      </c>
      <c r="AE117" s="1656">
        <f>'CAR Stock'!AC514/1000</f>
        <v>0</v>
      </c>
      <c r="AF117" s="1656">
        <f>'CAR Stock'!AD514/1000</f>
        <v>0</v>
      </c>
      <c r="AG117" s="1656">
        <f>'CAR Stock'!AE514/1000</f>
        <v>0</v>
      </c>
    </row>
    <row r="120" spans="1:33" ht="21">
      <c r="A120" s="1624" t="s">
        <v>751</v>
      </c>
      <c r="B120" s="1625"/>
    </row>
    <row r="121" spans="1:33">
      <c r="A121" s="1662"/>
      <c r="B121" s="1662"/>
      <c r="C121" s="1662"/>
      <c r="D121" s="1663" t="s">
        <v>818</v>
      </c>
    </row>
    <row r="122" spans="1:33">
      <c r="A122" s="1664" t="s">
        <v>729</v>
      </c>
      <c r="B122" s="1664" t="s">
        <v>737</v>
      </c>
      <c r="C122" s="1664" t="s">
        <v>738</v>
      </c>
      <c r="D122" s="1664" t="s">
        <v>739</v>
      </c>
      <c r="E122" s="1665">
        <v>2012</v>
      </c>
      <c r="F122" s="1665">
        <v>2013</v>
      </c>
      <c r="G122" s="1665">
        <v>2014</v>
      </c>
      <c r="H122" s="1665">
        <v>2015</v>
      </c>
      <c r="I122" s="1665">
        <v>2016</v>
      </c>
      <c r="J122" s="1665">
        <v>2017</v>
      </c>
      <c r="K122" s="1665">
        <v>2018</v>
      </c>
      <c r="L122" s="1665">
        <v>2019</v>
      </c>
      <c r="M122" s="1665">
        <v>2020</v>
      </c>
      <c r="N122" s="1665">
        <v>2021</v>
      </c>
      <c r="O122" s="1665">
        <v>2022</v>
      </c>
      <c r="P122" s="1665">
        <v>2023</v>
      </c>
      <c r="Q122" s="1665">
        <v>2024</v>
      </c>
      <c r="R122" s="1665">
        <v>2025</v>
      </c>
      <c r="S122" s="1665">
        <v>2026</v>
      </c>
      <c r="T122" s="1665">
        <v>2027</v>
      </c>
      <c r="U122" s="1665">
        <v>2028</v>
      </c>
      <c r="V122" s="1665">
        <v>2029</v>
      </c>
      <c r="W122" s="1665">
        <v>2030</v>
      </c>
      <c r="X122" s="1665">
        <v>2031</v>
      </c>
      <c r="Y122" s="1665">
        <v>2032</v>
      </c>
      <c r="Z122" s="1665">
        <v>2033</v>
      </c>
      <c r="AA122" s="1665">
        <v>2034</v>
      </c>
      <c r="AB122" s="1665">
        <v>2035</v>
      </c>
      <c r="AC122" s="1665">
        <v>2036</v>
      </c>
      <c r="AD122" s="1665">
        <v>2037</v>
      </c>
      <c r="AE122" s="1665">
        <v>2038</v>
      </c>
      <c r="AF122" s="1665">
        <v>2039</v>
      </c>
      <c r="AG122" s="1665">
        <v>2040</v>
      </c>
    </row>
    <row r="123" spans="1:33" ht="39" thickBot="1">
      <c r="A123" s="1666" t="s">
        <v>740</v>
      </c>
      <c r="B123" s="1666" t="s">
        <v>741</v>
      </c>
      <c r="C123" s="1666" t="s">
        <v>742</v>
      </c>
      <c r="D123" s="1666" t="s">
        <v>743</v>
      </c>
      <c r="E123" s="1667" t="s">
        <v>749</v>
      </c>
      <c r="F123" s="1667" t="s">
        <v>749</v>
      </c>
      <c r="G123" s="1667" t="s">
        <v>749</v>
      </c>
      <c r="H123" s="1667" t="s">
        <v>749</v>
      </c>
      <c r="I123" s="1667" t="s">
        <v>749</v>
      </c>
      <c r="J123" s="1667" t="s">
        <v>749</v>
      </c>
      <c r="K123" s="1667" t="s">
        <v>749</v>
      </c>
      <c r="L123" s="1667" t="s">
        <v>749</v>
      </c>
      <c r="M123" s="1667" t="s">
        <v>749</v>
      </c>
      <c r="N123" s="1667" t="s">
        <v>749</v>
      </c>
      <c r="O123" s="1667" t="s">
        <v>749</v>
      </c>
      <c r="P123" s="1667" t="s">
        <v>749</v>
      </c>
      <c r="Q123" s="1667" t="s">
        <v>749</v>
      </c>
      <c r="R123" s="1667" t="s">
        <v>749</v>
      </c>
      <c r="S123" s="1667" t="s">
        <v>749</v>
      </c>
      <c r="T123" s="1667" t="s">
        <v>749</v>
      </c>
      <c r="U123" s="1667" t="s">
        <v>749</v>
      </c>
      <c r="V123" s="1667" t="s">
        <v>749</v>
      </c>
      <c r="W123" s="1667" t="s">
        <v>749</v>
      </c>
      <c r="X123" s="1667" t="s">
        <v>749</v>
      </c>
      <c r="Y123" s="1667" t="s">
        <v>749</v>
      </c>
      <c r="Z123" s="1667" t="s">
        <v>749</v>
      </c>
      <c r="AA123" s="1667" t="s">
        <v>749</v>
      </c>
      <c r="AB123" s="1667" t="s">
        <v>749</v>
      </c>
      <c r="AC123" s="1667" t="s">
        <v>749</v>
      </c>
      <c r="AD123" s="1667" t="s">
        <v>749</v>
      </c>
      <c r="AE123" s="1667" t="s">
        <v>749</v>
      </c>
      <c r="AF123" s="1667" t="s">
        <v>749</v>
      </c>
      <c r="AG123" s="1667" t="s">
        <v>749</v>
      </c>
    </row>
    <row r="124" spans="1:33">
      <c r="A124" s="1631" t="s">
        <v>755</v>
      </c>
      <c r="B124" s="1632"/>
      <c r="C124" s="1632"/>
      <c r="D124" s="1632"/>
      <c r="E124" s="1633"/>
      <c r="F124" s="1633"/>
      <c r="G124" s="1633"/>
      <c r="H124" s="1633"/>
      <c r="I124" s="1633"/>
      <c r="J124" s="1633"/>
      <c r="K124" s="1633"/>
      <c r="L124" s="1633"/>
      <c r="M124" s="1633"/>
      <c r="N124" s="1633"/>
      <c r="O124" s="1633"/>
      <c r="P124" s="1633"/>
      <c r="Q124" s="1633"/>
      <c r="R124" s="1633"/>
      <c r="S124" s="1633"/>
      <c r="T124" s="1633"/>
      <c r="U124" s="1633"/>
      <c r="V124" s="1633"/>
      <c r="W124" s="1633"/>
      <c r="X124" s="1633"/>
      <c r="Y124" s="1633"/>
      <c r="Z124" s="1633"/>
      <c r="AA124" s="1633"/>
      <c r="AB124" s="1633"/>
      <c r="AC124" s="1633"/>
      <c r="AD124" s="1633"/>
      <c r="AE124" s="1633"/>
      <c r="AF124" s="1633"/>
      <c r="AG124" s="1633"/>
    </row>
    <row r="125" spans="1:33">
      <c r="A125" s="1561" t="str">
        <f t="shared" ref="A125:B128" si="104">B71</f>
        <v>TCarGSL_Small_00</v>
      </c>
      <c r="B125" s="1561" t="str">
        <f t="shared" si="104"/>
        <v>Existing Private Car - Small Gasoline</v>
      </c>
      <c r="C125" s="1561" t="str">
        <f>Commodities!$B$16</f>
        <v>TRAGSLE</v>
      </c>
      <c r="D125" s="1561" t="s">
        <v>745</v>
      </c>
      <c r="E125" s="1656">
        <f>IFERROR(1/((1+$N$55)*'CAR SEC'!C56)*1000,"")</f>
        <v>445.5992393917121</v>
      </c>
      <c r="F125" s="1656">
        <f>IFERROR(1/((1+$O$55)*'CAR SEC'!D56)*1000,"")</f>
        <v>426.22993117107501</v>
      </c>
      <c r="G125" s="1656">
        <f>IFERROR(1/((1+$P$55)*'CAR SEC'!E56)*1000,"")</f>
        <v>432.76354445646604</v>
      </c>
      <c r="H125" s="1656">
        <f>IFERROR(1/((1+$P$55)*'CAR SEC'!F56)*1000,"")</f>
        <v>439.16552940989493</v>
      </c>
      <c r="I125" s="1656">
        <f>IFERROR(1/((1+$P$55)*'CAR SEC'!G56)*1000,"")</f>
        <v>444.94919570585819</v>
      </c>
      <c r="J125" s="1656">
        <f>IFERROR(1/((1+$P$55)*'CAR SEC'!H56)*1000,"")</f>
        <v>450.19251733312251</v>
      </c>
      <c r="K125" s="1656">
        <f>IFERROR(1/((1+$P$55)*'CAR SEC'!I56)*1000,"")</f>
        <v>455.32299527766196</v>
      </c>
      <c r="L125" s="1656">
        <f>IFERROR(1/((1+$P$55)*'CAR SEC'!J56)*1000,"")</f>
        <v>460.7985683174013</v>
      </c>
      <c r="M125" s="1656">
        <f>IFERROR(1/((1+$P$55)*'CAR SEC'!K56)*1000,"")</f>
        <v>466.83797434726051</v>
      </c>
      <c r="N125" s="1656">
        <f>IFERROR(1/((1+$P$55)*'CAR SEC'!L56)*1000,"")</f>
        <v>473.2056652566697</v>
      </c>
      <c r="O125" s="1656">
        <f>IFERROR(1/((1+$P$55)*'CAR SEC'!M56)*1000,"")</f>
        <v>479.15857635802558</v>
      </c>
      <c r="P125" s="1656">
        <f>IFERROR(1/((1+$P$55)*'CAR SEC'!N56)*1000,"")</f>
        <v>484.05987350604875</v>
      </c>
      <c r="Q125" s="1656">
        <f>IFERROR(1/((1+$P$55)*'CAR SEC'!O56)*1000,"")</f>
        <v>487.62732569428357</v>
      </c>
      <c r="R125" s="1656">
        <f>IFERROR(1/((1+$P$55)*'CAR SEC'!P56)*1000,"")</f>
        <v>490.2335222905179</v>
      </c>
      <c r="S125" s="1656">
        <f>IFERROR(1/((1+$P$55)*'CAR SEC'!Q56)*1000,"")</f>
        <v>492.14311819931174</v>
      </c>
      <c r="T125" s="1656">
        <f>IFERROR(1/((1+$P$55)*'CAR SEC'!R56)*1000,"")</f>
        <v>492.95439779776621</v>
      </c>
      <c r="U125" s="1656">
        <f>IFERROR(1/((1+$P$55)*'CAR SEC'!S56)*1000,"")</f>
        <v>493.69023288079222</v>
      </c>
      <c r="V125" s="1656">
        <f>IFERROR(1/((1+$P$55)*'CAR SEC'!T56)*1000,"")</f>
        <v>494.36633584544859</v>
      </c>
      <c r="W125" s="1656">
        <f>IFERROR(1/((1+$P$55)*'CAR SEC'!U56)*1000,"")</f>
        <v>494.99650593847804</v>
      </c>
      <c r="X125" s="1656">
        <f>IFERROR(1/((1+$P$55)*'CAR SEC'!V56)*1000,"")</f>
        <v>495.59258613921224</v>
      </c>
      <c r="Y125" s="1656">
        <f>IFERROR(1/((1+$P$55)*'CAR SEC'!W56)*1000,"")</f>
        <v>496.16446969812586</v>
      </c>
      <c r="Z125" s="1656">
        <f>IFERROR(1/((1+$P$55)*'CAR SEC'!X56)*1000,"")</f>
        <v>496.7201294962062</v>
      </c>
      <c r="AA125" s="1656">
        <f>IFERROR(1/((1+$P$55)*'CAR SEC'!Y56)*1000,"")</f>
        <v>497.26564927820743</v>
      </c>
      <c r="AB125" s="1656">
        <f>IFERROR(1/((1+$P$55)*'CAR SEC'!Z56)*1000,"")</f>
        <v>497.80524115991994</v>
      </c>
      <c r="AC125" s="1656">
        <f>IFERROR(1/((1+$P$55)*'CAR SEC'!AA56)*1000,"")</f>
        <v>498.34123837944259</v>
      </c>
      <c r="AD125" s="1656" t="str">
        <f>IFERROR(1/((1+$P$55)*'CAR SEC'!AB56)*1000,"")</f>
        <v/>
      </c>
      <c r="AE125" s="1656" t="str">
        <f>IFERROR(1/((1+$P$55)*'CAR SEC'!AC56)*1000,"")</f>
        <v/>
      </c>
      <c r="AF125" s="1656" t="str">
        <f>IFERROR(1/((1+$P$55)*'CAR SEC'!AD56)*1000,"")</f>
        <v/>
      </c>
      <c r="AG125" s="1656" t="str">
        <f>IFERROR(1/((1+$P$55)*'CAR SEC'!AE56)*1000,"")</f>
        <v/>
      </c>
    </row>
    <row r="126" spans="1:33">
      <c r="A126" s="1561" t="str">
        <f t="shared" si="104"/>
        <v>TCarGSL_LM_00</v>
      </c>
      <c r="B126" s="1561" t="str">
        <f t="shared" si="104"/>
        <v>Existing Private Car - Light Medium Gasoline</v>
      </c>
      <c r="C126" s="1561" t="str">
        <f>Commodities!$B$16</f>
        <v>TRAGSLE</v>
      </c>
      <c r="D126" s="1561" t="s">
        <v>745</v>
      </c>
      <c r="E126" s="1656">
        <f>IFERROR(1/((1+$N$55)*'CAR SEC'!C85)*1000,"")</f>
        <v>391.90573825355608</v>
      </c>
      <c r="F126" s="1656">
        <f>IFERROR(1/((1+$O$55)*'CAR SEC'!D85)*1000,"")</f>
        <v>373.22600464852638</v>
      </c>
      <c r="G126" s="1656">
        <f>IFERROR(1/((1+$P$55)*'CAR SEC'!E85)*1000,"")</f>
        <v>376.52472363542353</v>
      </c>
      <c r="H126" s="1656">
        <f>IFERROR(1/((1+$P$55)*'CAR SEC'!F85)*1000,"")</f>
        <v>379.63638138879122</v>
      </c>
      <c r="I126" s="1656">
        <f>IFERROR(1/((1+$P$55)*'CAR SEC'!G85)*1000,"")</f>
        <v>383.04437378585123</v>
      </c>
      <c r="J126" s="1656">
        <f>IFERROR(1/((1+$P$55)*'CAR SEC'!H85)*1000,"")</f>
        <v>387.22896088271341</v>
      </c>
      <c r="K126" s="1656">
        <f>IFERROR(1/((1+$P$55)*'CAR SEC'!I85)*1000,"")</f>
        <v>392.67536851567849</v>
      </c>
      <c r="L126" s="1656">
        <f>IFERROR(1/((1+$P$55)*'CAR SEC'!J85)*1000,"")</f>
        <v>399.78903768896589</v>
      </c>
      <c r="M126" s="1656">
        <f>IFERROR(1/((1+$P$55)*'CAR SEC'!K85)*1000,"")</f>
        <v>408.52986952825387</v>
      </c>
      <c r="N126" s="1656">
        <f>IFERROR(1/((1+$P$55)*'CAR SEC'!L85)*1000,"")</f>
        <v>418.00473702008782</v>
      </c>
      <c r="O126" s="1656">
        <f>IFERROR(1/((1+$P$55)*'CAR SEC'!M85)*1000,"")</f>
        <v>426.62400826667022</v>
      </c>
      <c r="P126" s="1656">
        <f>IFERROR(1/((1+$P$55)*'CAR SEC'!N85)*1000,"")</f>
        <v>433.09771423353993</v>
      </c>
      <c r="Q126" s="1656">
        <f>IFERROR(1/((1+$P$55)*'CAR SEC'!O85)*1000,"")</f>
        <v>437.24022842253709</v>
      </c>
      <c r="R126" s="1656">
        <f>IFERROR(1/((1+$P$55)*'CAR SEC'!P85)*1000,"")</f>
        <v>439.92259912806702</v>
      </c>
      <c r="S126" s="1656">
        <f>IFERROR(1/((1+$P$55)*'CAR SEC'!Q85)*1000,"")</f>
        <v>441.62164713936954</v>
      </c>
      <c r="T126" s="1656">
        <f>IFERROR(1/((1+$P$55)*'CAR SEC'!R85)*1000,"")</f>
        <v>442.37959128629365</v>
      </c>
      <c r="U126" s="1656">
        <f>IFERROR(1/((1+$P$55)*'CAR SEC'!S85)*1000,"")</f>
        <v>443.04266436227306</v>
      </c>
      <c r="V126" s="1656">
        <f>IFERROR(1/((1+$P$55)*'CAR SEC'!T85)*1000,"")</f>
        <v>443.62880424407126</v>
      </c>
      <c r="W126" s="1656">
        <f>IFERROR(1/((1+$P$55)*'CAR SEC'!U85)*1000,"")</f>
        <v>444.15422223969267</v>
      </c>
      <c r="X126" s="1656">
        <f>IFERROR(1/((1+$P$55)*'CAR SEC'!V85)*1000,"")</f>
        <v>444.63299793371704</v>
      </c>
      <c r="Y126" s="1656">
        <f>IFERROR(1/((1+$P$55)*'CAR SEC'!W85)*1000,"")</f>
        <v>445.07680087370176</v>
      </c>
      <c r="Z126" s="1656">
        <f>IFERROR(1/((1+$P$55)*'CAR SEC'!X85)*1000,"")</f>
        <v>445.49471396543913</v>
      </c>
      <c r="AA126" s="1656">
        <f>IFERROR(1/((1+$P$55)*'CAR SEC'!Y85)*1000,"")</f>
        <v>445.89313543362505</v>
      </c>
      <c r="AB126" s="1656">
        <f>IFERROR(1/((1+$P$55)*'CAR SEC'!Z85)*1000,"")</f>
        <v>446.27574113224694</v>
      </c>
      <c r="AC126" s="1656">
        <f>IFERROR(1/((1+$P$55)*'CAR SEC'!AA85)*1000,"")</f>
        <v>446.64349573981917</v>
      </c>
      <c r="AD126" s="1656" t="str">
        <f>IFERROR(1/((1+$P$55)*'CAR SEC'!AB85)*1000,"")</f>
        <v/>
      </c>
      <c r="AE126" s="1656" t="str">
        <f>IFERROR(1/((1+$P$55)*'CAR SEC'!AC85)*1000,"")</f>
        <v/>
      </c>
      <c r="AF126" s="1656" t="str">
        <f>IFERROR(1/((1+$P$55)*'CAR SEC'!AD85)*1000,"")</f>
        <v/>
      </c>
      <c r="AG126" s="1656" t="str">
        <f>IFERROR(1/((1+$P$55)*'CAR SEC'!AE85)*1000,"")</f>
        <v/>
      </c>
    </row>
    <row r="127" spans="1:33">
      <c r="A127" s="1561" t="str">
        <f t="shared" si="104"/>
        <v>TCarGSL_HM_00</v>
      </c>
      <c r="B127" s="1561" t="str">
        <f t="shared" si="104"/>
        <v>Existing Private Car - Heavy Medium Gasoline</v>
      </c>
      <c r="C127" s="1561" t="str">
        <f>Commodities!$B$16</f>
        <v>TRAGSLE</v>
      </c>
      <c r="D127" s="1561" t="s">
        <v>745</v>
      </c>
      <c r="E127" s="1656">
        <f>IFERROR(1/((1+$N$55)*'CAR SEC'!C114)*1000,"")</f>
        <v>337.43692928474485</v>
      </c>
      <c r="F127" s="1656">
        <f>IFERROR(1/((1+$O$55)*'CAR SEC'!D114)*1000,"")</f>
        <v>319.67068729493866</v>
      </c>
      <c r="G127" s="1656">
        <f>IFERROR(1/((1+$P$55)*'CAR SEC'!E114)*1000,"")</f>
        <v>321.4370943322499</v>
      </c>
      <c r="H127" s="1656">
        <f>IFERROR(1/((1+$P$55)*'CAR SEC'!F114)*1000,"")</f>
        <v>323.46212172486611</v>
      </c>
      <c r="I127" s="1656">
        <f>IFERROR(1/((1+$P$55)*'CAR SEC'!G114)*1000,"")</f>
        <v>325.81967016150304</v>
      </c>
      <c r="J127" s="1656">
        <f>IFERROR(1/((1+$P$55)*'CAR SEC'!H114)*1000,"")</f>
        <v>328.46412021493541</v>
      </c>
      <c r="K127" s="1656">
        <f>IFERROR(1/((1+$P$55)*'CAR SEC'!I114)*1000,"")</f>
        <v>331.52241527857348</v>
      </c>
      <c r="L127" s="1656">
        <f>IFERROR(1/((1+$P$55)*'CAR SEC'!J114)*1000,"")</f>
        <v>335.38620120629628</v>
      </c>
      <c r="M127" s="1656">
        <f>IFERROR(1/((1+$P$55)*'CAR SEC'!K114)*1000,"")</f>
        <v>340.79572611886215</v>
      </c>
      <c r="N127" s="1656">
        <f>IFERROR(1/((1+$P$55)*'CAR SEC'!L114)*1000,"")</f>
        <v>348.75120523796386</v>
      </c>
      <c r="O127" s="1656">
        <f>IFERROR(1/((1+$P$55)*'CAR SEC'!M114)*1000,"")</f>
        <v>359.52636395557528</v>
      </c>
      <c r="P127" s="1656">
        <f>IFERROR(1/((1+$P$55)*'CAR SEC'!N114)*1000,"")</f>
        <v>371.09669303945395</v>
      </c>
      <c r="Q127" s="1656">
        <f>IFERROR(1/((1+$P$55)*'CAR SEC'!O114)*1000,"")</f>
        <v>379.8466980410322</v>
      </c>
      <c r="R127" s="1656">
        <f>IFERROR(1/((1+$P$55)*'CAR SEC'!P114)*1000,"")</f>
        <v>385.08944885168455</v>
      </c>
      <c r="S127" s="1656">
        <f>IFERROR(1/((1+$P$55)*'CAR SEC'!Q114)*1000,"")</f>
        <v>387.9370690449806</v>
      </c>
      <c r="T127" s="1656">
        <f>IFERROR(1/((1+$P$55)*'CAR SEC'!R114)*1000,"")</f>
        <v>389.48853680080174</v>
      </c>
      <c r="U127" s="1656">
        <f>IFERROR(1/((1+$P$55)*'CAR SEC'!S114)*1000,"")</f>
        <v>390.67916617320986</v>
      </c>
      <c r="V127" s="1656">
        <f>IFERROR(1/((1+$P$55)*'CAR SEC'!T114)*1000,"")</f>
        <v>391.55723486549681</v>
      </c>
      <c r="W127" s="1656">
        <f>IFERROR(1/((1+$P$55)*'CAR SEC'!U114)*1000,"")</f>
        <v>392.17878260951079</v>
      </c>
      <c r="X127" s="1656">
        <f>IFERROR(1/((1+$P$55)*'CAR SEC'!V114)*1000,"")</f>
        <v>392.60119448467771</v>
      </c>
      <c r="Y127" s="1656">
        <f>IFERROR(1/((1+$P$55)*'CAR SEC'!W114)*1000,"")</f>
        <v>392.87821614995363</v>
      </c>
      <c r="Z127" s="1656">
        <f>IFERROR(1/((1+$P$55)*'CAR SEC'!X114)*1000,"")</f>
        <v>393.05654963647902</v>
      </c>
      <c r="AA127" s="1656">
        <f>IFERROR(1/((1+$P$55)*'CAR SEC'!Y114)*1000,"")</f>
        <v>393.17383297143925</v>
      </c>
      <c r="AB127" s="1656">
        <f>IFERROR(1/((1+$P$55)*'CAR SEC'!Z114)*1000,"")</f>
        <v>393.25764938020205</v>
      </c>
      <c r="AC127" s="1656">
        <f>IFERROR(1/((1+$P$55)*'CAR SEC'!AA114)*1000,"")</f>
        <v>393.32519810256849</v>
      </c>
      <c r="AD127" s="1656" t="str">
        <f>IFERROR(1/((1+$P$55)*'CAR SEC'!AB114)*1000,"")</f>
        <v/>
      </c>
      <c r="AE127" s="1656" t="str">
        <f>IFERROR(1/((1+$P$55)*'CAR SEC'!AC114)*1000,"")</f>
        <v/>
      </c>
      <c r="AF127" s="1656" t="str">
        <f>IFERROR(1/((1+$P$55)*'CAR SEC'!AD114)*1000,"")</f>
        <v/>
      </c>
      <c r="AG127" s="1656" t="str">
        <f>IFERROR(1/((1+$P$55)*'CAR SEC'!AE114)*1000,"")</f>
        <v/>
      </c>
    </row>
    <row r="128" spans="1:33">
      <c r="A128" s="1561" t="str">
        <f t="shared" si="104"/>
        <v>TCarGSL_Large_00</v>
      </c>
      <c r="B128" s="1561" t="str">
        <f t="shared" si="104"/>
        <v>Existing Private Car - Large Gasoline</v>
      </c>
      <c r="C128" s="1561" t="str">
        <f>Commodities!$B$16</f>
        <v>TRAGSLE</v>
      </c>
      <c r="D128" s="1561" t="s">
        <v>745</v>
      </c>
      <c r="E128" s="1656">
        <f>IFERROR(1/((1+$N$55)*'CAR SEC'!C143)*1000,"")</f>
        <v>277.09771620492177</v>
      </c>
      <c r="F128" s="1656">
        <f>IFERROR(1/((1+$O$55)*'CAR SEC'!D143)*1000,"")</f>
        <v>264.88548180975403</v>
      </c>
      <c r="G128" s="1656">
        <f>IFERROR(1/((1+$P$55)*'CAR SEC'!E143)*1000,"")</f>
        <v>268.01067122683287</v>
      </c>
      <c r="H128" s="1656">
        <f>IFERROR(1/((1+$P$55)*'CAR SEC'!F143)*1000,"")</f>
        <v>270.95238601523852</v>
      </c>
      <c r="I128" s="1656">
        <f>IFERROR(1/((1+$P$55)*'CAR SEC'!G143)*1000,"")</f>
        <v>273.98827984465538</v>
      </c>
      <c r="J128" s="1656">
        <f>IFERROR(1/((1+$P$55)*'CAR SEC'!H143)*1000,"")</f>
        <v>277.17182152289649</v>
      </c>
      <c r="K128" s="1656">
        <f>IFERROR(1/((1+$P$55)*'CAR SEC'!I143)*1000,"")</f>
        <v>280.45902770618801</v>
      </c>
      <c r="L128" s="1656">
        <f>IFERROR(1/((1+$P$55)*'CAR SEC'!J143)*1000,"")</f>
        <v>283.83889240670413</v>
      </c>
      <c r="M128" s="1656">
        <f>IFERROR(1/((1+$P$55)*'CAR SEC'!K143)*1000,"")</f>
        <v>287.29950864940781</v>
      </c>
      <c r="N128" s="1656">
        <f>IFERROR(1/((1+$P$55)*'CAR SEC'!L143)*1000,"")</f>
        <v>290.93577785270219</v>
      </c>
      <c r="O128" s="1656">
        <f>IFERROR(1/((1+$P$55)*'CAR SEC'!M143)*1000,"")</f>
        <v>294.72443596470492</v>
      </c>
      <c r="P128" s="1656">
        <f>IFERROR(1/((1+$P$55)*'CAR SEC'!N143)*1000,"")</f>
        <v>298.69892385355109</v>
      </c>
      <c r="Q128" s="1656">
        <f>IFERROR(1/((1+$P$55)*'CAR SEC'!O143)*1000,"")</f>
        <v>302.92386199160143</v>
      </c>
      <c r="R128" s="1656">
        <f>IFERROR(1/((1+$P$55)*'CAR SEC'!P143)*1000,"")</f>
        <v>307.10666658853603</v>
      </c>
      <c r="S128" s="1656">
        <f>IFERROR(1/((1+$P$55)*'CAR SEC'!Q143)*1000,"")</f>
        <v>310.6446730088519</v>
      </c>
      <c r="T128" s="1656">
        <f>IFERROR(1/((1+$P$55)*'CAR SEC'!R143)*1000,"")</f>
        <v>312.92943347240157</v>
      </c>
      <c r="U128" s="1656">
        <f>IFERROR(1/((1+$P$55)*'CAR SEC'!S143)*1000,"")</f>
        <v>315.0830196665313</v>
      </c>
      <c r="V128" s="1656">
        <f>IFERROR(1/((1+$P$55)*'CAR SEC'!T143)*1000,"")</f>
        <v>317.09134580094189</v>
      </c>
      <c r="W128" s="1656">
        <f>IFERROR(1/((1+$P$55)*'CAR SEC'!U143)*1000,"")</f>
        <v>318.95913875712705</v>
      </c>
      <c r="X128" s="1656">
        <f>IFERROR(1/((1+$P$55)*'CAR SEC'!V143)*1000,"")</f>
        <v>320.70500813242239</v>
      </c>
      <c r="Y128" s="1656">
        <f>IFERROR(1/((1+$P$55)*'CAR SEC'!W143)*1000,"")</f>
        <v>322.35384215056649</v>
      </c>
      <c r="Z128" s="1656">
        <f>IFERROR(1/((1+$P$55)*'CAR SEC'!X143)*1000,"")</f>
        <v>323.92886762998444</v>
      </c>
      <c r="AA128" s="1656">
        <f>IFERROR(1/((1+$P$55)*'CAR SEC'!Y143)*1000,"")</f>
        <v>325.4448621349261</v>
      </c>
      <c r="AB128" s="1656">
        <f>IFERROR(1/((1+$P$55)*'CAR SEC'!Z143)*1000,"")</f>
        <v>326.90297536417461</v>
      </c>
      <c r="AC128" s="1656">
        <f>IFERROR(1/((1+$P$55)*'CAR SEC'!AA143)*1000,"")</f>
        <v>328.28702272985379</v>
      </c>
      <c r="AD128" s="1656" t="str">
        <f>IFERROR(1/((1+$P$55)*'CAR SEC'!AB143)*1000,"")</f>
        <v/>
      </c>
      <c r="AE128" s="1656" t="str">
        <f>IFERROR(1/((1+$P$55)*'CAR SEC'!AC143)*1000,"")</f>
        <v/>
      </c>
      <c r="AF128" s="1656" t="str">
        <f>IFERROR(1/((1+$P$55)*'CAR SEC'!AD143)*1000,"")</f>
        <v/>
      </c>
      <c r="AG128" s="1656" t="str">
        <f>IFERROR(1/((1+$P$55)*'CAR SEC'!AE143)*1000,"")</f>
        <v/>
      </c>
    </row>
    <row r="129" spans="1:33">
      <c r="A129" s="1631" t="s">
        <v>756</v>
      </c>
      <c r="B129" s="1632"/>
      <c r="C129" s="1632"/>
      <c r="D129" s="1632"/>
      <c r="E129" s="1633"/>
      <c r="F129" s="1633"/>
      <c r="G129" s="1633"/>
      <c r="H129" s="1633"/>
      <c r="I129" s="1633"/>
      <c r="J129" s="1633"/>
      <c r="K129" s="1633"/>
      <c r="L129" s="1633"/>
      <c r="M129" s="1633"/>
      <c r="N129" s="1633"/>
      <c r="O129" s="1633"/>
      <c r="P129" s="1633"/>
      <c r="Q129" s="1633"/>
      <c r="R129" s="1633"/>
      <c r="S129" s="1633"/>
      <c r="T129" s="1633"/>
      <c r="U129" s="1633"/>
      <c r="V129" s="1633"/>
      <c r="W129" s="1633"/>
      <c r="X129" s="1633"/>
      <c r="Y129" s="1633"/>
      <c r="Z129" s="1633"/>
      <c r="AA129" s="1633"/>
      <c r="AB129" s="1633"/>
      <c r="AC129" s="1633"/>
      <c r="AD129" s="1633"/>
      <c r="AE129" s="1633"/>
      <c r="AF129" s="1633"/>
      <c r="AG129" s="1633"/>
    </row>
    <row r="130" spans="1:33">
      <c r="A130" s="1561" t="str">
        <f t="shared" ref="A130:B133" si="105">B76</f>
        <v>TCarDST_Small_00</v>
      </c>
      <c r="B130" s="1561" t="str">
        <f t="shared" si="105"/>
        <v>Existing Private Car - Small Diesel</v>
      </c>
      <c r="C130" s="1561" t="str">
        <f>Commodities!$B$17</f>
        <v>TRADSTB</v>
      </c>
      <c r="D130" s="1561" t="s">
        <v>745</v>
      </c>
      <c r="E130" s="1656">
        <f>IFERROR(1/((1+$N$55)*'CAR SEC'!C172)*1000,"")</f>
        <v>472.42508227711238</v>
      </c>
      <c r="F130" s="1656">
        <f>IFERROR(1/((1+$O$55)*'CAR SEC'!D172)*1000,"")</f>
        <v>465.10969708004751</v>
      </c>
      <c r="G130" s="1656">
        <f>IFERROR(1/((1+$P$55)*'CAR SEC'!E172)*1000,"")</f>
        <v>474.28218961395044</v>
      </c>
      <c r="H130" s="1656">
        <f>IFERROR(1/((1+$P$55)*'CAR SEC'!F172)*1000,"")</f>
        <v>477.96302082565114</v>
      </c>
      <c r="I130" s="1656">
        <f>IFERROR(1/((1+$P$55)*'CAR SEC'!G172)*1000,"")</f>
        <v>479.98362387602202</v>
      </c>
      <c r="J130" s="1656">
        <f>IFERROR(1/((1+$P$55)*'CAR SEC'!H172)*1000,"")</f>
        <v>483.75812418210131</v>
      </c>
      <c r="K130" s="1656">
        <f>IFERROR(1/((1+$P$55)*'CAR SEC'!I172)*1000,"")</f>
        <v>488.99343794644494</v>
      </c>
      <c r="L130" s="1656">
        <f>IFERROR(1/((1+$P$55)*'CAR SEC'!J172)*1000,"")</f>
        <v>494.79241047280829</v>
      </c>
      <c r="M130" s="1656">
        <f>IFERROR(1/((1+$P$55)*'CAR SEC'!K172)*1000,"")</f>
        <v>504.49383017229098</v>
      </c>
      <c r="N130" s="1656">
        <f>IFERROR(1/((1+$P$55)*'CAR SEC'!L172)*1000,"")</f>
        <v>522.35981009029194</v>
      </c>
      <c r="O130" s="1656">
        <f>IFERROR(1/((1+$P$55)*'CAR SEC'!M172)*1000,"")</f>
        <v>545.01318398912019</v>
      </c>
      <c r="P130" s="1656">
        <f>IFERROR(1/((1+$P$55)*'CAR SEC'!N172)*1000,"")</f>
        <v>558.60642922798479</v>
      </c>
      <c r="Q130" s="1656">
        <f>IFERROR(1/((1+$P$55)*'CAR SEC'!O172)*1000,"")</f>
        <v>554.36904879644908</v>
      </c>
      <c r="R130" s="1656">
        <f>IFERROR(1/((1+$P$55)*'CAR SEC'!P172)*1000,"")</f>
        <v>538.24066259335518</v>
      </c>
      <c r="S130" s="1656">
        <f>IFERROR(1/((1+$P$55)*'CAR SEC'!Q172)*1000,"")</f>
        <v>525.62747148058099</v>
      </c>
      <c r="T130" s="1656">
        <f>IFERROR(1/((1+$P$55)*'CAR SEC'!R172)*1000,"")</f>
        <v>519.84532474150421</v>
      </c>
      <c r="U130" s="1656">
        <f>IFERROR(1/((1+$P$55)*'CAR SEC'!S172)*1000,"")</f>
        <v>513.1919552842154</v>
      </c>
      <c r="V130" s="1656">
        <f>IFERROR(1/((1+$P$55)*'CAR SEC'!T172)*1000,"")</f>
        <v>505.78846314351608</v>
      </c>
      <c r="W130" s="1656">
        <f>IFERROR(1/((1+$P$55)*'CAR SEC'!U172)*1000,"")</f>
        <v>497.79952852294218</v>
      </c>
      <c r="X130" s="1656">
        <f>IFERROR(1/((1+$P$55)*'CAR SEC'!V172)*1000,"")</f>
        <v>489.43391896974072</v>
      </c>
      <c r="Y130" s="1656">
        <f>IFERROR(1/((1+$P$55)*'CAR SEC'!W172)*1000,"")</f>
        <v>480.943025410156</v>
      </c>
      <c r="Z130" s="1656">
        <f>IFERROR(1/((1+$P$55)*'CAR SEC'!X172)*1000,"")</f>
        <v>472.61673175674952</v>
      </c>
      <c r="AA130" s="1656">
        <f>IFERROR(1/((1+$P$55)*'CAR SEC'!Y172)*1000,"")</f>
        <v>464.77577435011256</v>
      </c>
      <c r="AB130" s="1656">
        <f>IFERROR(1/((1+$P$55)*'CAR SEC'!Z172)*1000,"")</f>
        <v>457.75980268972722</v>
      </c>
      <c r="AC130" s="1656">
        <f>IFERROR(1/((1+$P$55)*'CAR SEC'!AA172)*1000,"")</f>
        <v>451.91077255744597</v>
      </c>
      <c r="AD130" s="1656" t="str">
        <f>IFERROR(1/((1+$P$55)*'CAR SEC'!AB172)*1000,"")</f>
        <v/>
      </c>
      <c r="AE130" s="1656" t="str">
        <f>IFERROR(1/((1+$P$55)*'CAR SEC'!AC172)*1000,"")</f>
        <v/>
      </c>
      <c r="AF130" s="1656" t="str">
        <f>IFERROR(1/((1+$P$55)*'CAR SEC'!AD172)*1000,"")</f>
        <v/>
      </c>
      <c r="AG130" s="1656" t="str">
        <f>IFERROR(1/((1+$P$55)*'CAR SEC'!AE172)*1000,"")</f>
        <v/>
      </c>
    </row>
    <row r="131" spans="1:33">
      <c r="A131" s="1561" t="str">
        <f t="shared" si="105"/>
        <v>TCarDST_LM_00</v>
      </c>
      <c r="B131" s="1561" t="str">
        <f t="shared" si="105"/>
        <v>Existing Private Car - Light Medium Diesel</v>
      </c>
      <c r="C131" s="1561" t="str">
        <f>Commodities!$B$17</f>
        <v>TRADSTB</v>
      </c>
      <c r="D131" s="1561" t="s">
        <v>745</v>
      </c>
      <c r="E131" s="1656">
        <f>IFERROR(1/((1+$N$55)*'CAR SEC'!C201)*1000,"")</f>
        <v>482.2241156381715</v>
      </c>
      <c r="F131" s="1656">
        <f>IFERROR(1/((1+$O$55)*'CAR SEC'!D201)*1000,"")</f>
        <v>454.30126239861295</v>
      </c>
      <c r="G131" s="1656">
        <f>IFERROR(1/((1+$P$55)*'CAR SEC'!E201)*1000,"")</f>
        <v>454.28496723842227</v>
      </c>
      <c r="H131" s="1656">
        <f>IFERROR(1/((1+$P$55)*'CAR SEC'!F201)*1000,"")</f>
        <v>454.24571569498517</v>
      </c>
      <c r="I131" s="1656">
        <f>IFERROR(1/((1+$P$55)*'CAR SEC'!G201)*1000,"")</f>
        <v>454.14509019025326</v>
      </c>
      <c r="J131" s="1656">
        <f>IFERROR(1/((1+$P$55)*'CAR SEC'!H201)*1000,"")</f>
        <v>454.14331296061226</v>
      </c>
      <c r="K131" s="1656">
        <f>IFERROR(1/((1+$P$55)*'CAR SEC'!I201)*1000,"")</f>
        <v>454.51611374410129</v>
      </c>
      <c r="L131" s="1656">
        <f>IFERROR(1/((1+$P$55)*'CAR SEC'!J201)*1000,"")</f>
        <v>455.37831837043956</v>
      </c>
      <c r="M131" s="1656">
        <f>IFERROR(1/((1+$P$55)*'CAR SEC'!K201)*1000,"")</f>
        <v>456.89611771755358</v>
      </c>
      <c r="N131" s="1656">
        <f>IFERROR(1/((1+$P$55)*'CAR SEC'!L201)*1000,"")</f>
        <v>459.44345495113055</v>
      </c>
      <c r="O131" s="1656">
        <f>IFERROR(1/((1+$P$55)*'CAR SEC'!M201)*1000,"")</f>
        <v>463.20750954385647</v>
      </c>
      <c r="P131" s="1656">
        <f>IFERROR(1/((1+$P$55)*'CAR SEC'!N201)*1000,"")</f>
        <v>467.56289568895579</v>
      </c>
      <c r="Q131" s="1656">
        <f>IFERROR(1/((1+$P$55)*'CAR SEC'!O201)*1000,"")</f>
        <v>471.66428445491874</v>
      </c>
      <c r="R131" s="1656">
        <f>IFERROR(1/((1+$P$55)*'CAR SEC'!P201)*1000,"")</f>
        <v>475.04600225585125</v>
      </c>
      <c r="S131" s="1656">
        <f>IFERROR(1/((1+$P$55)*'CAR SEC'!Q201)*1000,"")</f>
        <v>477.18139295631642</v>
      </c>
      <c r="T131" s="1656">
        <f>IFERROR(1/((1+$P$55)*'CAR SEC'!R201)*1000,"")</f>
        <v>478.21867127674</v>
      </c>
      <c r="U131" s="1656">
        <f>IFERROR(1/((1+$P$55)*'CAR SEC'!S201)*1000,"")</f>
        <v>479.1899834993115</v>
      </c>
      <c r="V131" s="1656">
        <f>IFERROR(1/((1+$P$55)*'CAR SEC'!T201)*1000,"")</f>
        <v>480.10257319757295</v>
      </c>
      <c r="W131" s="1656">
        <f>IFERROR(1/((1+$P$55)*'CAR SEC'!U201)*1000,"")</f>
        <v>480.96411840537178</v>
      </c>
      <c r="X131" s="1656">
        <f>IFERROR(1/((1+$P$55)*'CAR SEC'!V201)*1000,"")</f>
        <v>481.78236708521467</v>
      </c>
      <c r="Y131" s="1656">
        <f>IFERROR(1/((1+$P$55)*'CAR SEC'!W201)*1000,"")</f>
        <v>482.56473693877439</v>
      </c>
      <c r="Z131" s="1656">
        <f>IFERROR(1/((1+$P$55)*'CAR SEC'!X201)*1000,"")</f>
        <v>483.31786726123823</v>
      </c>
      <c r="AA131" s="1656">
        <f>IFERROR(1/((1+$P$55)*'CAR SEC'!Y201)*1000,"")</f>
        <v>484.04710941281041</v>
      </c>
      <c r="AB131" s="1656">
        <f>IFERROR(1/((1+$P$55)*'CAR SEC'!Z201)*1000,"")</f>
        <v>484.75594151561353</v>
      </c>
      <c r="AC131" s="1656">
        <f>IFERROR(1/((1+$P$55)*'CAR SEC'!AA201)*1000,"")</f>
        <v>485.44529308054371</v>
      </c>
      <c r="AD131" s="1656" t="str">
        <f>IFERROR(1/((1+$P$55)*'CAR SEC'!AB201)*1000,"")</f>
        <v/>
      </c>
      <c r="AE131" s="1656" t="str">
        <f>IFERROR(1/((1+$P$55)*'CAR SEC'!AC201)*1000,"")</f>
        <v/>
      </c>
      <c r="AF131" s="1656" t="str">
        <f>IFERROR(1/((1+$P$55)*'CAR SEC'!AD201)*1000,"")</f>
        <v/>
      </c>
      <c r="AG131" s="1656" t="str">
        <f>IFERROR(1/((1+$P$55)*'CAR SEC'!AE201)*1000,"")</f>
        <v/>
      </c>
    </row>
    <row r="132" spans="1:33">
      <c r="A132" s="1561" t="str">
        <f t="shared" si="105"/>
        <v>TCarDST_HM_00</v>
      </c>
      <c r="B132" s="1561" t="str">
        <f t="shared" si="105"/>
        <v>Existing Private Car - Heavy Medium Diesel</v>
      </c>
      <c r="C132" s="1561" t="str">
        <f>Commodities!$B$17</f>
        <v>TRADSTB</v>
      </c>
      <c r="D132" s="1561" t="s">
        <v>745</v>
      </c>
      <c r="E132" s="1656">
        <f>IFERROR(1/((1+$N$55)*'CAR SEC'!C230)*1000,"")</f>
        <v>434.0332134387441</v>
      </c>
      <c r="F132" s="1656">
        <f>IFERROR(1/((1+$O$55)*'CAR SEC'!D230)*1000,"")</f>
        <v>410.34410560207846</v>
      </c>
      <c r="G132" s="1656">
        <f>IFERROR(1/((1+$P$55)*'CAR SEC'!E230)*1000,"")</f>
        <v>411.79001593326007</v>
      </c>
      <c r="H132" s="1656">
        <f>IFERROR(1/((1+$P$55)*'CAR SEC'!F230)*1000,"")</f>
        <v>413.53173373530302</v>
      </c>
      <c r="I132" s="1656">
        <f>IFERROR(1/((1+$P$55)*'CAR SEC'!G230)*1000,"")</f>
        <v>415.89752716954348</v>
      </c>
      <c r="J132" s="1656">
        <f>IFERROR(1/((1+$P$55)*'CAR SEC'!H230)*1000,"")</f>
        <v>419.11103306748981</v>
      </c>
      <c r="K132" s="1656">
        <f>IFERROR(1/((1+$P$55)*'CAR SEC'!I230)*1000,"")</f>
        <v>423.2947175896951</v>
      </c>
      <c r="L132" s="1656">
        <f>IFERROR(1/((1+$P$55)*'CAR SEC'!J230)*1000,"")</f>
        <v>428.50431947869004</v>
      </c>
      <c r="M132" s="1656">
        <f>IFERROR(1/((1+$P$55)*'CAR SEC'!K230)*1000,"")</f>
        <v>434.85287748565713</v>
      </c>
      <c r="N132" s="1656">
        <f>IFERROR(1/((1+$P$55)*'CAR SEC'!L230)*1000,"")</f>
        <v>442.64465762623593</v>
      </c>
      <c r="O132" s="1656">
        <f>IFERROR(1/((1+$P$55)*'CAR SEC'!M230)*1000,"")</f>
        <v>450.94227671947112</v>
      </c>
      <c r="P132" s="1656">
        <f>IFERROR(1/((1+$P$55)*'CAR SEC'!N230)*1000,"")</f>
        <v>458.17136259368522</v>
      </c>
      <c r="Q132" s="1656">
        <f>IFERROR(1/((1+$P$55)*'CAR SEC'!O230)*1000,"")</f>
        <v>463.28761606646816</v>
      </c>
      <c r="R132" s="1656">
        <f>IFERROR(1/((1+$P$55)*'CAR SEC'!P230)*1000,"")</f>
        <v>466.61291788890043</v>
      </c>
      <c r="S132" s="1656">
        <f>IFERROR(1/((1+$P$55)*'CAR SEC'!Q230)*1000,"")</f>
        <v>468.82204711093033</v>
      </c>
      <c r="T132" s="1656">
        <f>IFERROR(1/((1+$P$55)*'CAR SEC'!R230)*1000,"")</f>
        <v>469.77765484763921</v>
      </c>
      <c r="U132" s="1656">
        <f>IFERROR(1/((1+$P$55)*'CAR SEC'!S230)*1000,"")</f>
        <v>470.61628484582729</v>
      </c>
      <c r="V132" s="1656">
        <f>IFERROR(1/((1+$P$55)*'CAR SEC'!T230)*1000,"")</f>
        <v>471.36231576728665</v>
      </c>
      <c r="W132" s="1656">
        <f>IFERROR(1/((1+$P$55)*'CAR SEC'!U230)*1000,"")</f>
        <v>472.03812755293251</v>
      </c>
      <c r="X132" s="1656">
        <f>IFERROR(1/((1+$P$55)*'CAR SEC'!V230)*1000,"")</f>
        <v>472.6635566233366</v>
      </c>
      <c r="Y132" s="1656">
        <f>IFERROR(1/((1+$P$55)*'CAR SEC'!W230)*1000,"")</f>
        <v>473.25540805690196</v>
      </c>
      <c r="Z132" s="1656">
        <f>IFERROR(1/((1+$P$55)*'CAR SEC'!X230)*1000,"")</f>
        <v>473.82699739523451</v>
      </c>
      <c r="AA132" s="1656">
        <f>IFERROR(1/((1+$P$55)*'CAR SEC'!Y230)*1000,"")</f>
        <v>474.38769449321387</v>
      </c>
      <c r="AB132" s="1656">
        <f>IFERROR(1/((1+$P$55)*'CAR SEC'!Z230)*1000,"")</f>
        <v>474.94244610458315</v>
      </c>
      <c r="AC132" s="1656">
        <f>IFERROR(1/((1+$P$55)*'CAR SEC'!AA230)*1000,"")</f>
        <v>475.49126383703452</v>
      </c>
      <c r="AD132" s="1656" t="str">
        <f>IFERROR(1/((1+$P$55)*'CAR SEC'!AB230)*1000,"")</f>
        <v/>
      </c>
      <c r="AE132" s="1656" t="str">
        <f>IFERROR(1/((1+$P$55)*'CAR SEC'!AC230)*1000,"")</f>
        <v/>
      </c>
      <c r="AF132" s="1656" t="str">
        <f>IFERROR(1/((1+$P$55)*'CAR SEC'!AD230)*1000,"")</f>
        <v/>
      </c>
      <c r="AG132" s="1656" t="str">
        <f>IFERROR(1/((1+$P$55)*'CAR SEC'!AE230)*1000,"")</f>
        <v/>
      </c>
    </row>
    <row r="133" spans="1:33">
      <c r="A133" s="1561" t="str">
        <f t="shared" si="105"/>
        <v>TCarDST_Large_00</v>
      </c>
      <c r="B133" s="1561" t="str">
        <f t="shared" si="105"/>
        <v>Existing Private Car - Large Diesel</v>
      </c>
      <c r="C133" s="1561" t="str">
        <f>Commodities!$B$17</f>
        <v>TRADSTB</v>
      </c>
      <c r="D133" s="1561" t="s">
        <v>745</v>
      </c>
      <c r="E133" s="1656">
        <f>IFERROR(1/((1+$N$55)*'CAR SEC'!C259)*1000,"")</f>
        <v>349.64529736907696</v>
      </c>
      <c r="F133" s="1656">
        <f>IFERROR(1/((1+$O$55)*'CAR SEC'!D259)*1000,"")</f>
        <v>330.48374984186205</v>
      </c>
      <c r="G133" s="1656">
        <f>IFERROR(1/((1+$P$55)*'CAR SEC'!E259)*1000,"")</f>
        <v>331.76224710031164</v>
      </c>
      <c r="H133" s="1656">
        <f>IFERROR(1/((1+$P$55)*'CAR SEC'!F259)*1000,"")</f>
        <v>333.56732491356826</v>
      </c>
      <c r="I133" s="1656">
        <f>IFERROR(1/((1+$P$55)*'CAR SEC'!G259)*1000,"")</f>
        <v>336.23173859352488</v>
      </c>
      <c r="J133" s="1656">
        <f>IFERROR(1/((1+$P$55)*'CAR SEC'!H259)*1000,"")</f>
        <v>340.55083026620616</v>
      </c>
      <c r="K133" s="1656">
        <f>IFERROR(1/((1+$P$55)*'CAR SEC'!I259)*1000,"")</f>
        <v>347.51905845643398</v>
      </c>
      <c r="L133" s="1656">
        <f>IFERROR(1/((1+$P$55)*'CAR SEC'!J259)*1000,"")</f>
        <v>357.12209756994065</v>
      </c>
      <c r="M133" s="1656">
        <f>IFERROR(1/((1+$P$55)*'CAR SEC'!K259)*1000,"")</f>
        <v>367.60739696099756</v>
      </c>
      <c r="N133" s="1656">
        <f>IFERROR(1/((1+$P$55)*'CAR SEC'!L259)*1000,"")</f>
        <v>377.38379389071343</v>
      </c>
      <c r="O133" s="1656">
        <f>IFERROR(1/((1+$P$55)*'CAR SEC'!M259)*1000,"")</f>
        <v>385.48634561615825</v>
      </c>
      <c r="P133" s="1656">
        <f>IFERROR(1/((1+$P$55)*'CAR SEC'!N259)*1000,"")</f>
        <v>391.65706667292653</v>
      </c>
      <c r="Q133" s="1656">
        <f>IFERROR(1/((1+$P$55)*'CAR SEC'!O259)*1000,"")</f>
        <v>396.03506386903649</v>
      </c>
      <c r="R133" s="1656">
        <f>IFERROR(1/((1+$P$55)*'CAR SEC'!P259)*1000,"")</f>
        <v>399.02578755919734</v>
      </c>
      <c r="S133" s="1656">
        <f>IFERROR(1/((1+$P$55)*'CAR SEC'!Q259)*1000,"")</f>
        <v>400.80256893897757</v>
      </c>
      <c r="T133" s="1656">
        <f>IFERROR(1/((1+$P$55)*'CAR SEC'!R259)*1000,"")</f>
        <v>401.56150692738908</v>
      </c>
      <c r="U133" s="1656">
        <f>IFERROR(1/((1+$P$55)*'CAR SEC'!S259)*1000,"")</f>
        <v>402.25027354578981</v>
      </c>
      <c r="V133" s="1656">
        <f>IFERROR(1/((1+$P$55)*'CAR SEC'!T259)*1000,"")</f>
        <v>402.8783368221105</v>
      </c>
      <c r="W133" s="1656">
        <f>IFERROR(1/((1+$P$55)*'CAR SEC'!U259)*1000,"")</f>
        <v>403.45341041685674</v>
      </c>
      <c r="X133" s="1656">
        <f>IFERROR(1/((1+$P$55)*'CAR SEC'!V259)*1000,"")</f>
        <v>403.98160217205958</v>
      </c>
      <c r="Y133" s="1656">
        <f>IFERROR(1/((1+$P$55)*'CAR SEC'!W259)*1000,"")</f>
        <v>404.46761519123095</v>
      </c>
      <c r="Z133" s="1656">
        <f>IFERROR(1/((1+$P$55)*'CAR SEC'!X259)*1000,"")</f>
        <v>404.91498332385248</v>
      </c>
      <c r="AA133" s="1656">
        <f>IFERROR(1/((1+$P$55)*'CAR SEC'!Y259)*1000,"")</f>
        <v>405.32632580501428</v>
      </c>
      <c r="AB133" s="1656">
        <f>IFERROR(1/((1+$P$55)*'CAR SEC'!Z259)*1000,"")</f>
        <v>405.70360882928281</v>
      </c>
      <c r="AC133" s="1656">
        <f>IFERROR(1/((1+$P$55)*'CAR SEC'!AA259)*1000,"")</f>
        <v>406.04840477556013</v>
      </c>
      <c r="AD133" s="1656" t="str">
        <f>IFERROR(1/((1+$P$55)*'CAR SEC'!AB259)*1000,"")</f>
        <v/>
      </c>
      <c r="AE133" s="1656" t="str">
        <f>IFERROR(1/((1+$P$55)*'CAR SEC'!AC259)*1000,"")</f>
        <v/>
      </c>
      <c r="AF133" s="1656" t="str">
        <f>IFERROR(1/((1+$P$55)*'CAR SEC'!AD259)*1000,"")</f>
        <v/>
      </c>
      <c r="AG133" s="1656" t="str">
        <f>IFERROR(1/((1+$P$55)*'CAR SEC'!AE259)*1000,"")</f>
        <v/>
      </c>
    </row>
    <row r="134" spans="1:33">
      <c r="A134" s="1631" t="s">
        <v>757</v>
      </c>
      <c r="B134" s="1632"/>
      <c r="C134" s="1632"/>
      <c r="D134" s="1632"/>
      <c r="E134" s="1633"/>
      <c r="F134" s="1633"/>
      <c r="G134" s="1633"/>
      <c r="H134" s="1633"/>
      <c r="I134" s="1633"/>
      <c r="J134" s="1633"/>
      <c r="K134" s="1633"/>
      <c r="L134" s="1633"/>
      <c r="M134" s="1633"/>
      <c r="N134" s="1633"/>
      <c r="O134" s="1633"/>
      <c r="P134" s="1633"/>
      <c r="Q134" s="1633"/>
      <c r="R134" s="1633"/>
      <c r="S134" s="1633"/>
      <c r="T134" s="1633"/>
      <c r="U134" s="1633"/>
      <c r="V134" s="1633"/>
      <c r="W134" s="1633"/>
      <c r="X134" s="1633"/>
      <c r="Y134" s="1633"/>
      <c r="Z134" s="1633"/>
      <c r="AA134" s="1633"/>
      <c r="AB134" s="1633"/>
      <c r="AC134" s="1633"/>
      <c r="AD134" s="1633"/>
      <c r="AE134" s="1633"/>
      <c r="AF134" s="1633"/>
      <c r="AG134" s="1633"/>
    </row>
    <row r="135" spans="1:33">
      <c r="A135" s="1561" t="str">
        <f t="shared" ref="A135:B138" si="106">B81</f>
        <v>*TCarE85_Small_00</v>
      </c>
      <c r="B135" s="1561" t="str">
        <f t="shared" si="106"/>
        <v>Existing Private Car - Small Petrol and Ethanol</v>
      </c>
      <c r="C135" s="1561" t="str">
        <f>Commodities!$B$16</f>
        <v>TRAGSLE</v>
      </c>
      <c r="D135" s="1561" t="s">
        <v>745</v>
      </c>
      <c r="E135" s="1656" t="str">
        <f>IFERROR(1/'CAR SEC'!C288*1000,"")</f>
        <v/>
      </c>
      <c r="F135" s="1656" t="str">
        <f>IFERROR(1/'CAR SEC'!D288*1000,"")</f>
        <v/>
      </c>
      <c r="G135" s="1656" t="str">
        <f>IFERROR(1/'CAR SEC'!E288*1000,"")</f>
        <v/>
      </c>
      <c r="H135" s="1656" t="str">
        <f>IFERROR(1/'CAR SEC'!F288*1000,"")</f>
        <v/>
      </c>
      <c r="I135" s="1656" t="str">
        <f>IFERROR(1/'CAR SEC'!G288*1000,"")</f>
        <v/>
      </c>
      <c r="J135" s="1656" t="str">
        <f>IFERROR(1/'CAR SEC'!H288*1000,"")</f>
        <v/>
      </c>
      <c r="K135" s="1656" t="str">
        <f>IFERROR(1/'CAR SEC'!I288*1000,"")</f>
        <v/>
      </c>
      <c r="L135" s="1656" t="str">
        <f>IFERROR(1/'CAR SEC'!J288*1000,"")</f>
        <v/>
      </c>
      <c r="M135" s="1656" t="str">
        <f>IFERROR(1/'CAR SEC'!K288*1000,"")</f>
        <v/>
      </c>
      <c r="N135" s="1656" t="str">
        <f>IFERROR(1/'CAR SEC'!L288*1000,"")</f>
        <v/>
      </c>
      <c r="O135" s="1656" t="str">
        <f>IFERROR(1/'CAR SEC'!M288*1000,"")</f>
        <v/>
      </c>
      <c r="P135" s="1656" t="str">
        <f>IFERROR(1/'CAR SEC'!N288*1000,"")</f>
        <v/>
      </c>
      <c r="Q135" s="1656" t="str">
        <f>IFERROR(1/'CAR SEC'!O288*1000,"")</f>
        <v/>
      </c>
      <c r="R135" s="1656" t="str">
        <f>IFERROR(1/'CAR SEC'!P288*1000,"")</f>
        <v/>
      </c>
      <c r="S135" s="1656" t="str">
        <f>IFERROR(1/'CAR SEC'!Q288*1000,"")</f>
        <v/>
      </c>
      <c r="T135" s="1656" t="str">
        <f>IFERROR(1/'CAR SEC'!R288*1000,"")</f>
        <v/>
      </c>
      <c r="U135" s="1656" t="str">
        <f>IFERROR(1/'CAR SEC'!S288*1000,"")</f>
        <v/>
      </c>
      <c r="V135" s="1656" t="str">
        <f>IFERROR(1/'CAR SEC'!T288*1000,"")</f>
        <v/>
      </c>
      <c r="W135" s="1656" t="str">
        <f>IFERROR(1/'CAR SEC'!U288*1000,"")</f>
        <v/>
      </c>
      <c r="X135" s="1656" t="str">
        <f>IFERROR(1/'CAR SEC'!V288*1000,"")</f>
        <v/>
      </c>
      <c r="Y135" s="1656" t="str">
        <f>IFERROR(1/'CAR SEC'!W288*1000,"")</f>
        <v/>
      </c>
      <c r="Z135" s="1656" t="str">
        <f>IFERROR(1/'CAR SEC'!X288*1000,"")</f>
        <v/>
      </c>
      <c r="AA135" s="1656" t="str">
        <f>IFERROR(1/'CAR SEC'!Y288*1000,"")</f>
        <v/>
      </c>
      <c r="AB135" s="1656" t="str">
        <f>IFERROR(1/'CAR SEC'!Z288*1000,"")</f>
        <v/>
      </c>
      <c r="AC135" s="1656" t="str">
        <f>IFERROR(1/'CAR SEC'!AA288*1000,"")</f>
        <v/>
      </c>
      <c r="AD135" s="1656" t="str">
        <f>IFERROR(1/'CAR SEC'!AB288*1000,"")</f>
        <v/>
      </c>
      <c r="AE135" s="1656" t="str">
        <f>IFERROR(1/'CAR SEC'!AC288*1000,"")</f>
        <v/>
      </c>
      <c r="AF135" s="1656" t="str">
        <f>IFERROR(1/'CAR SEC'!AD288*1000,"")</f>
        <v/>
      </c>
      <c r="AG135" s="1656" t="str">
        <f>IFERROR(1/'CAR SEC'!AE288*1000,"")</f>
        <v/>
      </c>
    </row>
    <row r="136" spans="1:33">
      <c r="A136" s="1561" t="str">
        <f t="shared" si="106"/>
        <v>TCarE85_LM_00</v>
      </c>
      <c r="B136" s="1561" t="str">
        <f t="shared" si="106"/>
        <v>Existing Private Car - Light Medium Petrol and Ethanol</v>
      </c>
      <c r="C136" s="1561" t="str">
        <f>Commodities!$B$16</f>
        <v>TRAGSLE</v>
      </c>
      <c r="D136" s="1561" t="s">
        <v>745</v>
      </c>
      <c r="E136" s="1656">
        <f>IFERROR(1/((1+$N$55)*'CAR SEC'!C317)*1000,"")</f>
        <v>574.21476997529965</v>
      </c>
      <c r="F136" s="1656">
        <f>IFERROR(1/((1+$O$55)*'CAR SEC'!D317)*1000,"")</f>
        <v>540.99828053317935</v>
      </c>
      <c r="G136" s="1656">
        <f>IFERROR(1/((1+$P$55)*'CAR SEC'!E317)*1000,"")</f>
        <v>540.99796018512086</v>
      </c>
      <c r="H136" s="1656">
        <f>IFERROR(1/((1+$P$55)*'CAR SEC'!F317)*1000,"")</f>
        <v>540.99760004289351</v>
      </c>
      <c r="I136" s="1656">
        <f>IFERROR(1/((1+$P$55)*'CAR SEC'!G317)*1000,"")</f>
        <v>541.00016737960016</v>
      </c>
      <c r="J136" s="1656">
        <f>IFERROR(1/((1+$P$55)*'CAR SEC'!H317)*1000,"")</f>
        <v>541.03779000863096</v>
      </c>
      <c r="K136" s="1656">
        <f>IFERROR(1/((1+$P$55)*'CAR SEC'!I317)*1000,"")</f>
        <v>541.37244701993723</v>
      </c>
      <c r="L136" s="1656">
        <f>IFERROR(1/((1+$P$55)*'CAR SEC'!J317)*1000,"")</f>
        <v>542.60112068052911</v>
      </c>
      <c r="M136" s="1656">
        <f>IFERROR(1/((1+$P$55)*'CAR SEC'!K317)*1000,"")</f>
        <v>545.22917514299638</v>
      </c>
      <c r="N136" s="1656">
        <f>IFERROR(1/((1+$P$55)*'CAR SEC'!L317)*1000,"")</f>
        <v>549.48150324102028</v>
      </c>
      <c r="O136" s="1656">
        <f>IFERROR(1/((1+$P$55)*'CAR SEC'!M317)*1000,"")</f>
        <v>555.84888152087353</v>
      </c>
      <c r="P136" s="1656">
        <f>IFERROR(1/((1+$P$55)*'CAR SEC'!N317)*1000,"")</f>
        <v>564.60977210045223</v>
      </c>
      <c r="Q136" s="1656">
        <f>IFERROR(1/((1+$P$55)*'CAR SEC'!O317)*1000,"")</f>
        <v>575.08816257584203</v>
      </c>
      <c r="R136" s="1656">
        <f>IFERROR(1/((1+$P$55)*'CAR SEC'!P317)*1000,"")</f>
        <v>586.71676978721382</v>
      </c>
      <c r="S136" s="1656">
        <f>IFERROR(1/((1+$P$55)*'CAR SEC'!Q317)*1000,"")</f>
        <v>596.1824632526658</v>
      </c>
      <c r="T136" s="1656">
        <f>IFERROR(1/((1+$P$55)*'CAR SEC'!R317)*1000,"")</f>
        <v>599.95883914449405</v>
      </c>
      <c r="U136" s="1656">
        <f>IFERROR(1/((1+$P$55)*'CAR SEC'!S317)*1000,"")</f>
        <v>603.84169314131645</v>
      </c>
      <c r="V136" s="1656">
        <f>IFERROR(1/((1+$P$55)*'CAR SEC'!T317)*1000,"")</f>
        <v>607.80857283450575</v>
      </c>
      <c r="W136" s="1656">
        <f>IFERROR(1/((1+$P$55)*'CAR SEC'!U317)*1000,"")</f>
        <v>611.83072935899133</v>
      </c>
      <c r="X136" s="1656">
        <f>IFERROR(1/((1+$P$55)*'CAR SEC'!V317)*1000,"")</f>
        <v>615.87252840990402</v>
      </c>
      <c r="Y136" s="1656">
        <f>IFERROR(1/((1+$P$55)*'CAR SEC'!W317)*1000,"")</f>
        <v>619.89106430156232</v>
      </c>
      <c r="Z136" s="1656">
        <f>IFERROR(1/((1+$P$55)*'CAR SEC'!X317)*1000,"")</f>
        <v>623.83608238107524</v>
      </c>
      <c r="AA136" s="1656">
        <f>IFERROR(1/((1+$P$55)*'CAR SEC'!Y317)*1000,"")</f>
        <v>627.65032396813581</v>
      </c>
      <c r="AB136" s="1656">
        <f>IFERROR(1/((1+$P$55)*'CAR SEC'!Z317)*1000,"")</f>
        <v>631.27040380214328</v>
      </c>
      <c r="AC136" s="1656">
        <f>IFERROR(1/((1+$P$55)*'CAR SEC'!AA317)*1000,"")</f>
        <v>634.62830688583801</v>
      </c>
      <c r="AD136" s="1656" t="str">
        <f>IFERROR(1/((1+$P$55)*'CAR SEC'!AB317)*1000,"")</f>
        <v/>
      </c>
      <c r="AE136" s="1656" t="str">
        <f>IFERROR(1/((1+$P$55)*'CAR SEC'!AC317)*1000,"")</f>
        <v/>
      </c>
      <c r="AF136" s="1656" t="str">
        <f>IFERROR(1/((1+$P$55)*'CAR SEC'!AD317)*1000,"")</f>
        <v/>
      </c>
      <c r="AG136" s="1656" t="str">
        <f>IFERROR(1/((1+$P$55)*'CAR SEC'!AE317)*1000,"")</f>
        <v/>
      </c>
    </row>
    <row r="137" spans="1:33">
      <c r="A137" s="1561" t="str">
        <f t="shared" si="106"/>
        <v>TCarE85_HM_00</v>
      </c>
      <c r="B137" s="1561" t="str">
        <f t="shared" si="106"/>
        <v>Existing Private Car - Heavy Medium Petrol and Ethanol</v>
      </c>
      <c r="C137" s="1561" t="str">
        <f>Commodities!$B$16</f>
        <v>TRAGSLE</v>
      </c>
      <c r="D137" s="1561" t="s">
        <v>745</v>
      </c>
      <c r="E137" s="1656">
        <f>IFERROR(1/((1+$N$55)*'CAR SEC'!C346)*1000,"")</f>
        <v>592.85599509782094</v>
      </c>
      <c r="F137" s="1656">
        <f>IFERROR(1/((1+$O$55)*'CAR SEC'!D346)*1000,"")</f>
        <v>558.56005778877432</v>
      </c>
      <c r="G137" s="1656">
        <f>IFERROR(1/((1+$P$55)*'CAR SEC'!E346)*1000,"")</f>
        <v>558.57452234974255</v>
      </c>
      <c r="H137" s="1656">
        <f>IFERROR(1/((1+$P$55)*'CAR SEC'!F346)*1000,"")</f>
        <v>558.95028851223697</v>
      </c>
      <c r="I137" s="1656">
        <f>IFERROR(1/((1+$P$55)*'CAR SEC'!G346)*1000,"")</f>
        <v>560.64367222724741</v>
      </c>
      <c r="J137" s="1656">
        <f>IFERROR(1/((1+$P$55)*'CAR SEC'!H346)*1000,"")</f>
        <v>563.59480185012148</v>
      </c>
      <c r="K137" s="1656">
        <f>IFERROR(1/((1+$P$55)*'CAR SEC'!I346)*1000,"")</f>
        <v>567.50665811188958</v>
      </c>
      <c r="L137" s="1656">
        <f>IFERROR(1/((1+$P$55)*'CAR SEC'!J346)*1000,"")</f>
        <v>572.13005195260575</v>
      </c>
      <c r="M137" s="1656">
        <f>IFERROR(1/((1+$P$55)*'CAR SEC'!K346)*1000,"")</f>
        <v>576.47779547977996</v>
      </c>
      <c r="N137" s="1656">
        <f>IFERROR(1/((1+$P$55)*'CAR SEC'!L346)*1000,"")</f>
        <v>580.40232248945097</v>
      </c>
      <c r="O137" s="1656">
        <f>IFERROR(1/((1+$P$55)*'CAR SEC'!M346)*1000,"")</f>
        <v>583.52522255756128</v>
      </c>
      <c r="P137" s="1656">
        <f>IFERROR(1/((1+$P$55)*'CAR SEC'!N346)*1000,"")</f>
        <v>584.76173862170765</v>
      </c>
      <c r="Q137" s="1656">
        <f>IFERROR(1/((1+$P$55)*'CAR SEC'!O346)*1000,"")</f>
        <v>585.52064360360487</v>
      </c>
      <c r="R137" s="1656">
        <f>IFERROR(1/((1+$P$55)*'CAR SEC'!P346)*1000,"")</f>
        <v>586.20154248192807</v>
      </c>
      <c r="S137" s="1656">
        <f>IFERROR(1/((1+$P$55)*'CAR SEC'!Q346)*1000,"")</f>
        <v>586.79497550347639</v>
      </c>
      <c r="T137" s="1656">
        <f>IFERROR(1/((1+$P$55)*'CAR SEC'!R346)*1000,"")</f>
        <v>587.27416599994626</v>
      </c>
      <c r="U137" s="1656">
        <f>IFERROR(1/((1+$P$55)*'CAR SEC'!S346)*1000,"")</f>
        <v>587.60521298999856</v>
      </c>
      <c r="V137" s="1656">
        <f>IFERROR(1/((1+$P$55)*'CAR SEC'!T346)*1000,"")</f>
        <v>587.74731860758732</v>
      </c>
      <c r="W137" s="1656">
        <f>IFERROR(1/((1+$P$55)*'CAR SEC'!U346)*1000,"")</f>
        <v>587.65661692456831</v>
      </c>
      <c r="X137" s="1656">
        <f>IFERROR(1/((1+$P$55)*'CAR SEC'!V346)*1000,"")</f>
        <v>587.29835748141375</v>
      </c>
      <c r="Y137" s="1656">
        <f>IFERROR(1/((1+$P$55)*'CAR SEC'!W346)*1000,"")</f>
        <v>586.67487210831609</v>
      </c>
      <c r="Z137" s="1656">
        <f>IFERROR(1/((1+$P$55)*'CAR SEC'!X346)*1000,"")</f>
        <v>585.87459974901105</v>
      </c>
      <c r="AA137" s="1656">
        <f>IFERROR(1/((1+$P$55)*'CAR SEC'!Y346)*1000,"")</f>
        <v>585.12707070125259</v>
      </c>
      <c r="AB137" s="1656" t="str">
        <f>IFERROR(1/((1+$P$55)*'CAR SEC'!Z346)*1000,"")</f>
        <v/>
      </c>
      <c r="AC137" s="1656" t="str">
        <f>IFERROR(1/((1+$P$55)*'CAR SEC'!AA346)*1000,"")</f>
        <v/>
      </c>
      <c r="AD137" s="1656" t="str">
        <f>IFERROR(1/((1+$P$55)*'CAR SEC'!AB346)*1000,"")</f>
        <v/>
      </c>
      <c r="AE137" s="1656" t="str">
        <f>IFERROR(1/((1+$P$55)*'CAR SEC'!AC346)*1000,"")</f>
        <v/>
      </c>
      <c r="AF137" s="1656" t="str">
        <f>IFERROR(1/((1+$P$55)*'CAR SEC'!AD346)*1000,"")</f>
        <v/>
      </c>
      <c r="AG137" s="1656" t="str">
        <f>IFERROR(1/((1+$P$55)*'CAR SEC'!AE346)*1000,"")</f>
        <v/>
      </c>
    </row>
    <row r="138" spans="1:33">
      <c r="A138" s="1561" t="str">
        <f t="shared" si="106"/>
        <v>TCarE85_Large_00</v>
      </c>
      <c r="B138" s="1561" t="str">
        <f t="shared" si="106"/>
        <v>Existing Private Car - Large Petrol and Ethanol</v>
      </c>
      <c r="C138" s="1561" t="str">
        <f>Commodities!$B$16</f>
        <v>TRAGSLE</v>
      </c>
      <c r="D138" s="1561" t="s">
        <v>745</v>
      </c>
      <c r="E138" s="1656">
        <f>IFERROR(1/((1+$N$55)*'CAR SEC'!C375)*1000,"")</f>
        <v>308.42823755502002</v>
      </c>
      <c r="F138" s="1656">
        <f>IFERROR(1/((1+$O$55)*'CAR SEC'!D375)*1000,"")</f>
        <v>290.58676834656069</v>
      </c>
      <c r="G138" s="1656">
        <f>IFERROR(1/((1+$P$55)*'CAR SEC'!E375)*1000,"")</f>
        <v>290.58671725716272</v>
      </c>
      <c r="H138" s="1656">
        <f>IFERROR(1/((1+$P$55)*'CAR SEC'!F375)*1000,"")</f>
        <v>290.58639414763007</v>
      </c>
      <c r="I138" s="1656">
        <f>IFERROR(1/((1+$P$55)*'CAR SEC'!G375)*1000,"")</f>
        <v>290.60706098405257</v>
      </c>
      <c r="J138" s="1656">
        <f>IFERROR(1/((1+$P$55)*'CAR SEC'!H375)*1000,"")</f>
        <v>290.68781075321419</v>
      </c>
      <c r="K138" s="1656">
        <f>IFERROR(1/((1+$P$55)*'CAR SEC'!I375)*1000,"")</f>
        <v>290.81843937198198</v>
      </c>
      <c r="L138" s="1656">
        <f>IFERROR(1/((1+$P$55)*'CAR SEC'!J375)*1000,"")</f>
        <v>290.99771529512191</v>
      </c>
      <c r="M138" s="1656">
        <f>IFERROR(1/((1+$P$55)*'CAR SEC'!K375)*1000,"")</f>
        <v>291.21989178770497</v>
      </c>
      <c r="N138" s="1656">
        <f>IFERROR(1/((1+$P$55)*'CAR SEC'!L375)*1000,"")</f>
        <v>291.49385797487878</v>
      </c>
      <c r="O138" s="1656">
        <f>IFERROR(1/((1+$P$55)*'CAR SEC'!M375)*1000,"")</f>
        <v>291.85132419315465</v>
      </c>
      <c r="P138" s="1656">
        <f>IFERROR(1/((1+$P$55)*'CAR SEC'!N375)*1000,"")</f>
        <v>292.28660799572367</v>
      </c>
      <c r="Q138" s="1656">
        <f>IFERROR(1/((1+$P$55)*'CAR SEC'!O375)*1000,"")</f>
        <v>292.72596869745468</v>
      </c>
      <c r="R138" s="1656">
        <f>IFERROR(1/((1+$P$55)*'CAR SEC'!P375)*1000,"")</f>
        <v>293.17397845313258</v>
      </c>
      <c r="S138" s="1656">
        <f>IFERROR(1/((1+$P$55)*'CAR SEC'!Q375)*1000,"")</f>
        <v>293.64350307236361</v>
      </c>
      <c r="T138" s="1656">
        <f>IFERROR(1/((1+$P$55)*'CAR SEC'!R375)*1000,"")</f>
        <v>294.25632466924435</v>
      </c>
      <c r="U138" s="1656">
        <f>IFERROR(1/((1+$P$55)*'CAR SEC'!S375)*1000,"")</f>
        <v>295.06566598784906</v>
      </c>
      <c r="V138" s="1656">
        <f>IFERROR(1/((1+$P$55)*'CAR SEC'!T375)*1000,"")</f>
        <v>296.1323794889866</v>
      </c>
      <c r="W138" s="1656">
        <f>IFERROR(1/((1+$P$55)*'CAR SEC'!U375)*1000,"")</f>
        <v>297.49717755524802</v>
      </c>
      <c r="X138" s="1656">
        <f>IFERROR(1/((1+$P$55)*'CAR SEC'!V375)*1000,"")</f>
        <v>299.10897398404256</v>
      </c>
      <c r="Y138" s="1656">
        <f>IFERROR(1/((1+$P$55)*'CAR SEC'!W375)*1000,"")</f>
        <v>300.72913557705908</v>
      </c>
      <c r="Z138" s="1656">
        <f>IFERROR(1/((1+$P$55)*'CAR SEC'!X375)*1000,"")</f>
        <v>301.97516890555573</v>
      </c>
      <c r="AA138" s="1656">
        <f>IFERROR(1/((1+$P$55)*'CAR SEC'!Y375)*1000,"")</f>
        <v>302.66676352119003</v>
      </c>
      <c r="AB138" s="1656">
        <f>IFERROR(1/((1+$P$55)*'CAR SEC'!Z375)*1000,"")</f>
        <v>303.1607162341175</v>
      </c>
      <c r="AC138" s="1656" t="str">
        <f>IFERROR(1/((1+$P$55)*'CAR SEC'!AA375)*1000,"")</f>
        <v/>
      </c>
      <c r="AD138" s="1656" t="str">
        <f>IFERROR(1/((1+$P$55)*'CAR SEC'!AB375)*1000,"")</f>
        <v/>
      </c>
      <c r="AE138" s="1656" t="str">
        <f>IFERROR(1/((1+$P$55)*'CAR SEC'!AC375)*1000,"")</f>
        <v/>
      </c>
      <c r="AF138" s="1656" t="str">
        <f>IFERROR(1/((1+$P$55)*'CAR SEC'!AD375)*1000,"")</f>
        <v/>
      </c>
      <c r="AG138" s="1656" t="str">
        <f>IFERROR(1/((1+$P$55)*'CAR SEC'!AE375)*1000,"")</f>
        <v/>
      </c>
    </row>
    <row r="139" spans="1:33">
      <c r="A139" s="1631" t="s">
        <v>758</v>
      </c>
      <c r="B139" s="1632"/>
      <c r="C139" s="1632"/>
      <c r="D139" s="1632"/>
      <c r="E139" s="1633"/>
      <c r="F139" s="1633"/>
      <c r="G139" s="1633"/>
      <c r="H139" s="1633"/>
      <c r="I139" s="1633"/>
      <c r="J139" s="1633"/>
      <c r="K139" s="1633"/>
      <c r="L139" s="1633"/>
      <c r="M139" s="1633"/>
      <c r="N139" s="1633"/>
      <c r="O139" s="1633"/>
      <c r="P139" s="1633"/>
      <c r="Q139" s="1633"/>
      <c r="R139" s="1633"/>
      <c r="S139" s="1633"/>
      <c r="T139" s="1633"/>
      <c r="U139" s="1633"/>
      <c r="V139" s="1633"/>
      <c r="W139" s="1633"/>
      <c r="X139" s="1633"/>
      <c r="Y139" s="1633"/>
      <c r="Z139" s="1633"/>
      <c r="AA139" s="1633"/>
      <c r="AB139" s="1633"/>
      <c r="AC139" s="1633"/>
      <c r="AD139" s="1633"/>
      <c r="AE139" s="1633"/>
      <c r="AF139" s="1633"/>
      <c r="AG139" s="1633"/>
    </row>
    <row r="140" spans="1:33">
      <c r="A140" s="1561" t="str">
        <f t="shared" ref="A140:B143" si="107">B86</f>
        <v>TCarPHG_Small_00</v>
      </c>
      <c r="B140" s="1561" t="str">
        <f t="shared" si="107"/>
        <v>Existing Private Car - Small Petrol and Electric</v>
      </c>
      <c r="C140" s="1561" t="str">
        <f>Commodities!$B$10&amp;","&amp;Commodities!$B$16</f>
        <v>TRAELC,TRAGSLE</v>
      </c>
      <c r="D140" s="1561" t="s">
        <v>745</v>
      </c>
      <c r="E140" s="1672">
        <f>E125</f>
        <v>445.5992393917121</v>
      </c>
      <c r="F140" s="1672" t="str">
        <f>IFERROR(1/'CAR SEC'!D404*1000,"")</f>
        <v/>
      </c>
      <c r="G140" s="1672" t="str">
        <f>IFERROR(1/'CAR SEC'!E404*1000,"")</f>
        <v/>
      </c>
      <c r="H140" s="1672" t="str">
        <f>IFERROR(1/'CAR SEC'!F404*1000,"")</f>
        <v/>
      </c>
      <c r="I140" s="1672" t="str">
        <f>IFERROR(1/'CAR SEC'!G404*1000,"")</f>
        <v/>
      </c>
      <c r="J140" s="1672" t="str">
        <f>IFERROR(1/'CAR SEC'!H404*1000,"")</f>
        <v/>
      </c>
      <c r="K140" s="1672" t="str">
        <f>IFERROR(1/'CAR SEC'!I404*1000,"")</f>
        <v/>
      </c>
      <c r="L140" s="1672" t="str">
        <f>IFERROR(1/'CAR SEC'!J404*1000,"")</f>
        <v/>
      </c>
      <c r="M140" s="1672" t="str">
        <f>IFERROR(1/'CAR SEC'!K404*1000,"")</f>
        <v/>
      </c>
      <c r="N140" s="1672" t="str">
        <f>IFERROR(1/'CAR SEC'!L404*1000,"")</f>
        <v/>
      </c>
      <c r="O140" s="1672" t="str">
        <f>IFERROR(1/'CAR SEC'!M404*1000,"")</f>
        <v/>
      </c>
      <c r="P140" s="1672" t="str">
        <f>IFERROR(1/'CAR SEC'!N404*1000,"")</f>
        <v/>
      </c>
      <c r="Q140" s="1672" t="str">
        <f>IFERROR(1/'CAR SEC'!O404*1000,"")</f>
        <v/>
      </c>
      <c r="R140" s="1672" t="str">
        <f>IFERROR(1/'CAR SEC'!P404*1000,"")</f>
        <v/>
      </c>
      <c r="S140" s="1672" t="str">
        <f>IFERROR(1/'CAR SEC'!Q404*1000,"")</f>
        <v/>
      </c>
      <c r="T140" s="1672" t="str">
        <f>IFERROR(1/'CAR SEC'!R404*1000,"")</f>
        <v/>
      </c>
      <c r="U140" s="1672" t="str">
        <f>IFERROR(1/'CAR SEC'!S404*1000,"")</f>
        <v/>
      </c>
      <c r="V140" s="1672" t="str">
        <f>IFERROR(1/'CAR SEC'!T404*1000,"")</f>
        <v/>
      </c>
      <c r="W140" s="1672" t="str">
        <f>IFERROR(1/'CAR SEC'!U404*1000,"")</f>
        <v/>
      </c>
      <c r="X140" s="1672" t="str">
        <f>IFERROR(1/'CAR SEC'!V404*1000,"")</f>
        <v/>
      </c>
      <c r="Y140" s="1672" t="str">
        <f>IFERROR(1/'CAR SEC'!W404*1000,"")</f>
        <v/>
      </c>
      <c r="Z140" s="1672" t="str">
        <f>IFERROR(1/'CAR SEC'!X404*1000,"")</f>
        <v/>
      </c>
      <c r="AA140" s="1672" t="str">
        <f>IFERROR(1/'CAR SEC'!Y404*1000,"")</f>
        <v/>
      </c>
      <c r="AB140" s="1672" t="str">
        <f>IFERROR(1/'CAR SEC'!Z404*1000,"")</f>
        <v/>
      </c>
      <c r="AC140" s="1672" t="str">
        <f>IFERROR(1/'CAR SEC'!AA404*1000,"")</f>
        <v/>
      </c>
      <c r="AD140" s="1672" t="str">
        <f>IFERROR(1/'CAR SEC'!AB404*1000,"")</f>
        <v/>
      </c>
      <c r="AE140" s="1672" t="str">
        <f>IFERROR(1/'CAR SEC'!AC404*1000,"")</f>
        <v/>
      </c>
      <c r="AF140" s="1672" t="str">
        <f>IFERROR(1/'CAR SEC'!AD404*1000,"")</f>
        <v/>
      </c>
      <c r="AG140" s="1672" t="str">
        <f>IFERROR(1/'CAR SEC'!AE404*1000,"")</f>
        <v/>
      </c>
    </row>
    <row r="141" spans="1:33">
      <c r="A141" s="1561" t="str">
        <f t="shared" si="107"/>
        <v>TCarPHG_LM_00</v>
      </c>
      <c r="B141" s="1561" t="str">
        <f t="shared" si="107"/>
        <v>Existing Private Car - Light Medium Petrol and Electric</v>
      </c>
      <c r="C141" s="1561" t="str">
        <f>Commodities!$B$10&amp;","&amp;Commodities!$B$16</f>
        <v>TRAELC,TRAGSLE</v>
      </c>
      <c r="D141" s="1561" t="s">
        <v>745</v>
      </c>
      <c r="E141" s="1656">
        <f>IFERROR(1/((1+$N$55)*'CAR SEC'!C433)*1000,"")</f>
        <v>427.08103481230853</v>
      </c>
      <c r="F141" s="1656">
        <f>IFERROR(1/((1+$O$55)*'CAR SEC'!D433)*1000,"")</f>
        <v>402.39628473668529</v>
      </c>
      <c r="G141" s="1656">
        <f>IFERROR(1/((1+$P$55)*'CAR SEC'!E433)*1000,"")</f>
        <v>402.43416894086971</v>
      </c>
      <c r="H141" s="1656">
        <f>IFERROR(1/((1+$P$55)*'CAR SEC'!F433)*1000,"")</f>
        <v>402.50653699248119</v>
      </c>
      <c r="I141" s="1656">
        <f>IFERROR(1/((1+$P$55)*'CAR SEC'!G433)*1000,"")</f>
        <v>402.62304013465956</v>
      </c>
      <c r="J141" s="1656">
        <f>IFERROR(1/((1+$P$55)*'CAR SEC'!H433)*1000,"")</f>
        <v>402.77228252027123</v>
      </c>
      <c r="K141" s="1656">
        <f>IFERROR(1/((1+$P$55)*'CAR SEC'!I433)*1000,"")</f>
        <v>402.93834303545685</v>
      </c>
      <c r="L141" s="1656">
        <f>IFERROR(1/((1+$P$55)*'CAR SEC'!J433)*1000,"")</f>
        <v>403.1098623096276</v>
      </c>
      <c r="M141" s="1656">
        <f>IFERROR(1/((1+$P$55)*'CAR SEC'!K433)*1000,"")</f>
        <v>403.25605599280937</v>
      </c>
      <c r="N141" s="1656">
        <f>IFERROR(1/((1+$P$55)*'CAR SEC'!L433)*1000,"")</f>
        <v>403.38398896390055</v>
      </c>
      <c r="O141" s="1656">
        <f>IFERROR(1/((1+$P$55)*'CAR SEC'!M433)*1000,"")</f>
        <v>403.5011245536142</v>
      </c>
      <c r="P141" s="1656">
        <f>IFERROR(1/((1+$P$55)*'CAR SEC'!N433)*1000,"")</f>
        <v>403.56252151204728</v>
      </c>
      <c r="Q141" s="1656">
        <f>IFERROR(1/((1+$P$55)*'CAR SEC'!O433)*1000,"")</f>
        <v>403.57271616433621</v>
      </c>
      <c r="R141" s="1656">
        <f>IFERROR(1/((1+$P$55)*'CAR SEC'!P433)*1000,"")</f>
        <v>403.38727818523603</v>
      </c>
      <c r="S141" s="1656">
        <f>IFERROR(1/((1+$P$55)*'CAR SEC'!Q433)*1000,"")</f>
        <v>403.04323739918732</v>
      </c>
      <c r="T141" s="1656">
        <f>IFERROR(1/((1+$P$55)*'CAR SEC'!R433)*1000,"")</f>
        <v>402.9165373473258</v>
      </c>
      <c r="U141" s="1656">
        <f>IFERROR(1/((1+$P$55)*'CAR SEC'!S433)*1000,"")</f>
        <v>402.76664724745302</v>
      </c>
      <c r="V141" s="1656">
        <f>IFERROR(1/((1+$P$55)*'CAR SEC'!T433)*1000,"")</f>
        <v>402.59311562628221</v>
      </c>
      <c r="W141" s="1656">
        <f>IFERROR(1/((1+$P$55)*'CAR SEC'!U433)*1000,"")</f>
        <v>402.39598065652314</v>
      </c>
      <c r="X141" s="1656">
        <f>IFERROR(1/((1+$P$55)*'CAR SEC'!V433)*1000,"")</f>
        <v>402.17578545048377</v>
      </c>
      <c r="Y141" s="1656">
        <f>IFERROR(1/((1+$P$55)*'CAR SEC'!W433)*1000,"")</f>
        <v>401.93359652039891</v>
      </c>
      <c r="Z141" s="1656">
        <f>IFERROR(1/((1+$P$55)*'CAR SEC'!X433)*1000,"")</f>
        <v>401.67104988394806</v>
      </c>
      <c r="AA141" s="1656">
        <f>IFERROR(1/((1+$P$55)*'CAR SEC'!Y433)*1000,"")</f>
        <v>401.39044943537647</v>
      </c>
      <c r="AB141" s="1656">
        <f>IFERROR(1/((1+$P$55)*'CAR SEC'!Z433)*1000,"")</f>
        <v>401.09493702399277</v>
      </c>
      <c r="AC141" s="1656">
        <f>IFERROR(1/((1+$P$55)*'CAR SEC'!AA433)*1000,"")</f>
        <v>400.78874349595191</v>
      </c>
      <c r="AD141" s="1656" t="str">
        <f>IFERROR(1/((1+$P$55)*'CAR SEC'!AB433)*1000,"")</f>
        <v/>
      </c>
      <c r="AE141" s="1656" t="str">
        <f>IFERROR(1/((1+$P$55)*'CAR SEC'!AC433)*1000,"")</f>
        <v/>
      </c>
      <c r="AF141" s="1656" t="str">
        <f>IFERROR(1/((1+$P$55)*'CAR SEC'!AD433)*1000,"")</f>
        <v/>
      </c>
      <c r="AG141" s="1656" t="str">
        <f>IFERROR(1/((1+$P$55)*'CAR SEC'!AE433)*1000,"")</f>
        <v/>
      </c>
    </row>
    <row r="142" spans="1:33">
      <c r="A142" s="1561" t="str">
        <f t="shared" si="107"/>
        <v>TCarPHG_HM_00</v>
      </c>
      <c r="B142" s="1561" t="str">
        <f t="shared" si="107"/>
        <v>Existing Private Car - Heavy Medium Petrol and Electric</v>
      </c>
      <c r="C142" s="1561" t="str">
        <f>Commodities!$B$10&amp;","&amp;Commodities!$B$16</f>
        <v>TRAELC,TRAGSLE</v>
      </c>
      <c r="D142" s="1561" t="s">
        <v>745</v>
      </c>
      <c r="E142" s="1656">
        <f>IFERROR(1/((1+$N$55)*'CAR SEC'!C462)*1000,"")</f>
        <v>361.32039407252245</v>
      </c>
      <c r="F142" s="1656">
        <f>IFERROR(1/((1+$O$55)*'CAR SEC'!D462)*1000,"")</f>
        <v>340.41930299105707</v>
      </c>
      <c r="G142" s="1656">
        <f>IFERROR(1/((1+$P$55)*'CAR SEC'!E462)*1000,"")</f>
        <v>340.41930299105707</v>
      </c>
      <c r="H142" s="1656">
        <f>IFERROR(1/((1+$P$55)*'CAR SEC'!F462)*1000,"")</f>
        <v>340.41930299105707</v>
      </c>
      <c r="I142" s="1656">
        <f>IFERROR(1/((1+$P$55)*'CAR SEC'!G462)*1000,"")</f>
        <v>340.41927078060604</v>
      </c>
      <c r="J142" s="1656">
        <f>IFERROR(1/((1+$P$55)*'CAR SEC'!H462)*1000,"")</f>
        <v>340.41892028121981</v>
      </c>
      <c r="K142" s="1656">
        <f>IFERROR(1/((1+$P$55)*'CAR SEC'!I462)*1000,"")</f>
        <v>340.41806392629491</v>
      </c>
      <c r="L142" s="1656">
        <f>IFERROR(1/((1+$P$55)*'CAR SEC'!J462)*1000,"")</f>
        <v>340.41680350628593</v>
      </c>
      <c r="M142" s="1656">
        <f>IFERROR(1/((1+$P$55)*'CAR SEC'!K462)*1000,"")</f>
        <v>340.4154028622923</v>
      </c>
      <c r="N142" s="1656">
        <f>IFERROR(1/((1+$P$55)*'CAR SEC'!L462)*1000,"")</f>
        <v>340.41427268300657</v>
      </c>
      <c r="O142" s="1656">
        <f>IFERROR(1/((1+$P$55)*'CAR SEC'!M462)*1000,"")</f>
        <v>340.41353366167237</v>
      </c>
      <c r="P142" s="1656">
        <f>IFERROR(1/((1+$P$55)*'CAR SEC'!N462)*1000,"")</f>
        <v>340.41313445032085</v>
      </c>
      <c r="Q142" s="1656">
        <f>IFERROR(1/((1+$P$55)*'CAR SEC'!O462)*1000,"")</f>
        <v>340.41298105026789</v>
      </c>
      <c r="R142" s="1656">
        <f>IFERROR(1/((1+$P$55)*'CAR SEC'!P462)*1000,"")</f>
        <v>340.412918061516</v>
      </c>
      <c r="S142" s="1656">
        <f>IFERROR(1/((1+$P$55)*'CAR SEC'!Q462)*1000,"")</f>
        <v>340.41289038205787</v>
      </c>
      <c r="T142" s="1656">
        <f>IFERROR(1/((1+$P$55)*'CAR SEC'!R462)*1000,"")</f>
        <v>340.41287703619173</v>
      </c>
      <c r="U142" s="1656">
        <f>IFERROR(1/((1+$P$55)*'CAR SEC'!S462)*1000,"")</f>
        <v>340.41286783939569</v>
      </c>
      <c r="V142" s="1656">
        <f>IFERROR(1/((1+$P$55)*'CAR SEC'!T462)*1000,"")</f>
        <v>340.41286190194501</v>
      </c>
      <c r="W142" s="1656">
        <f>IFERROR(1/((1+$P$55)*'CAR SEC'!U462)*1000,"")</f>
        <v>340.41285839993873</v>
      </c>
      <c r="X142" s="1656">
        <f>IFERROR(1/((1+$P$55)*'CAR SEC'!V462)*1000,"")</f>
        <v>340.41285659408913</v>
      </c>
      <c r="Y142" s="1656">
        <f>IFERROR(1/((1+$P$55)*'CAR SEC'!W462)*1000,"")</f>
        <v>340.41285584979755</v>
      </c>
      <c r="Z142" s="1656">
        <f>IFERROR(1/((1+$P$55)*'CAR SEC'!X462)*1000,"")</f>
        <v>340.41285565825831</v>
      </c>
      <c r="AA142" s="1656">
        <f>IFERROR(1/((1+$P$55)*'CAR SEC'!Y462)*1000,"")</f>
        <v>340.41285565825831</v>
      </c>
      <c r="AB142" s="1656">
        <f>IFERROR(1/((1+$P$55)*'CAR SEC'!Z462)*1000,"")</f>
        <v>340.41285565825837</v>
      </c>
      <c r="AC142" s="1656">
        <f>IFERROR(1/((1+$P$55)*'CAR SEC'!AA462)*1000,"")</f>
        <v>340.41285565825837</v>
      </c>
      <c r="AD142" s="1656" t="str">
        <f>IFERROR(1/((1+$P$55)*'CAR SEC'!AB462)*1000,"")</f>
        <v/>
      </c>
      <c r="AE142" s="1656" t="str">
        <f>IFERROR(1/((1+$P$55)*'CAR SEC'!AC462)*1000,"")</f>
        <v/>
      </c>
      <c r="AF142" s="1656" t="str">
        <f>IFERROR(1/((1+$P$55)*'CAR SEC'!AD462)*1000,"")</f>
        <v/>
      </c>
      <c r="AG142" s="1656" t="str">
        <f>IFERROR(1/((1+$P$55)*'CAR SEC'!AE462)*1000,"")</f>
        <v/>
      </c>
    </row>
    <row r="143" spans="1:33">
      <c r="A143" s="1561" t="str">
        <f t="shared" si="107"/>
        <v>TCarPHG_Large_00</v>
      </c>
      <c r="B143" s="1561" t="str">
        <f t="shared" si="107"/>
        <v>Existing Private Car - Large Petrol and Electric</v>
      </c>
      <c r="C143" s="1561" t="str">
        <f>Commodities!$B$10&amp;","&amp;Commodities!$B$16</f>
        <v>TRAELC,TRAGSLE</v>
      </c>
      <c r="D143" s="1561" t="s">
        <v>745</v>
      </c>
      <c r="E143" s="1656">
        <f>IFERROR(1/((1+$N$55)*'CAR SEC'!C491)*1000,"")</f>
        <v>297.89306964177075</v>
      </c>
      <c r="F143" s="1656">
        <f>IFERROR(1/((1+$O$55)*'CAR SEC'!D491)*1000,"")</f>
        <v>280.84708297324994</v>
      </c>
      <c r="G143" s="1656">
        <f>IFERROR(1/((1+$P$55)*'CAR SEC'!E491)*1000,"")</f>
        <v>281.11329764711775</v>
      </c>
      <c r="H143" s="1656">
        <f>IFERROR(1/((1+$P$55)*'CAR SEC'!F491)*1000,"")</f>
        <v>281.64645967712505</v>
      </c>
      <c r="I143" s="1656">
        <f>IFERROR(1/((1+$P$55)*'CAR SEC'!G491)*1000,"")</f>
        <v>282.80590435828219</v>
      </c>
      <c r="J143" s="1656">
        <f>IFERROR(1/((1+$P$55)*'CAR SEC'!H491)*1000,"")</f>
        <v>284.7457476838826</v>
      </c>
      <c r="K143" s="1656">
        <f>IFERROR(1/((1+$P$55)*'CAR SEC'!I491)*1000,"")</f>
        <v>287.62161017495259</v>
      </c>
      <c r="L143" s="1656">
        <f>IFERROR(1/((1+$P$55)*'CAR SEC'!J491)*1000,"")</f>
        <v>291.500367305998</v>
      </c>
      <c r="M143" s="1656">
        <f>IFERROR(1/((1+$P$55)*'CAR SEC'!K491)*1000,"")</f>
        <v>296.1625976935062</v>
      </c>
      <c r="N143" s="1656">
        <f>IFERROR(1/((1+$P$55)*'CAR SEC'!L491)*1000,"")</f>
        <v>300.98148684543128</v>
      </c>
      <c r="O143" s="1656">
        <f>IFERROR(1/((1+$P$55)*'CAR SEC'!M491)*1000,"")</f>
        <v>305.01454591624292</v>
      </c>
      <c r="P143" s="1656">
        <f>IFERROR(1/((1+$P$55)*'CAR SEC'!N491)*1000,"")</f>
        <v>307.79884268281853</v>
      </c>
      <c r="Q143" s="1656">
        <f>IFERROR(1/((1+$P$55)*'CAR SEC'!O491)*1000,"")</f>
        <v>309.33249726303416</v>
      </c>
      <c r="R143" s="1656">
        <f>IFERROR(1/((1+$P$55)*'CAR SEC'!P491)*1000,"")</f>
        <v>310.09532225363495</v>
      </c>
      <c r="S143" s="1656">
        <f>IFERROR(1/((1+$P$55)*'CAR SEC'!Q491)*1000,"")</f>
        <v>310.49115856809374</v>
      </c>
      <c r="T143" s="1656">
        <f>IFERROR(1/((1+$P$55)*'CAR SEC'!R491)*1000,"")</f>
        <v>310.7135104008471</v>
      </c>
      <c r="U143" s="1656">
        <f>IFERROR(1/((1+$P$55)*'CAR SEC'!S491)*1000,"")</f>
        <v>310.874655804996</v>
      </c>
      <c r="V143" s="1656">
        <f>IFERROR(1/((1+$P$55)*'CAR SEC'!T491)*1000,"")</f>
        <v>310.98614996065425</v>
      </c>
      <c r="W143" s="1656">
        <f>IFERROR(1/((1+$P$55)*'CAR SEC'!U491)*1000,"")</f>
        <v>311.05881612969887</v>
      </c>
      <c r="X143" s="1656">
        <f>IFERROR(1/((1+$P$55)*'CAR SEC'!V491)*1000,"")</f>
        <v>311.10246165797759</v>
      </c>
      <c r="Y143" s="1656">
        <f>IFERROR(1/((1+$P$55)*'CAR SEC'!W491)*1000,"")</f>
        <v>311.12569073524332</v>
      </c>
      <c r="Z143" s="1656">
        <f>IFERROR(1/((1+$P$55)*'CAR SEC'!X491)*1000,"")</f>
        <v>311.13578623840647</v>
      </c>
      <c r="AA143" s="1656">
        <f>IFERROR(1/((1+$P$55)*'CAR SEC'!Y491)*1000,"")</f>
        <v>311.13862981922591</v>
      </c>
      <c r="AB143" s="1656">
        <f>IFERROR(1/((1+$P$55)*'CAR SEC'!Z491)*1000,"")</f>
        <v>311.13862981922591</v>
      </c>
      <c r="AC143" s="1656">
        <f>IFERROR(1/((1+$P$55)*'CAR SEC'!AA491)*1000,"")</f>
        <v>311.13862981922591</v>
      </c>
      <c r="AD143" s="1656" t="str">
        <f>IFERROR(1/((1+$P$55)*'CAR SEC'!AB491)*1000,"")</f>
        <v/>
      </c>
      <c r="AE143" s="1656" t="str">
        <f>IFERROR(1/((1+$P$55)*'CAR SEC'!AC491)*1000,"")</f>
        <v/>
      </c>
      <c r="AF143" s="1656" t="str">
        <f>IFERROR(1/((1+$P$55)*'CAR SEC'!AD491)*1000,"")</f>
        <v/>
      </c>
      <c r="AG143" s="1656" t="str">
        <f>IFERROR(1/((1+$P$55)*'CAR SEC'!AE491)*1000,"")</f>
        <v/>
      </c>
    </row>
    <row r="146" spans="1:28" ht="21">
      <c r="A146" s="1624" t="s">
        <v>754</v>
      </c>
      <c r="B146" s="1625"/>
      <c r="I146" s="1624" t="s">
        <v>1086</v>
      </c>
      <c r="J146" s="1625"/>
    </row>
    <row r="147" spans="1:28">
      <c r="A147" s="1662"/>
      <c r="B147" s="1662"/>
      <c r="C147" s="1662"/>
      <c r="D147" s="1663" t="s">
        <v>736</v>
      </c>
      <c r="K147" s="1663" t="s">
        <v>736</v>
      </c>
    </row>
    <row r="148" spans="1:28" ht="15.75" thickBot="1">
      <c r="A148" s="1664" t="s">
        <v>729</v>
      </c>
      <c r="B148" s="1664" t="s">
        <v>737</v>
      </c>
      <c r="C148" s="1664" t="s">
        <v>738</v>
      </c>
      <c r="D148" s="1664" t="s">
        <v>739</v>
      </c>
      <c r="E148" s="1665" t="s">
        <v>747</v>
      </c>
      <c r="F148" s="1665" t="s">
        <v>790</v>
      </c>
      <c r="G148" s="1665" t="s">
        <v>1031</v>
      </c>
      <c r="I148" s="1673" t="s">
        <v>729</v>
      </c>
      <c r="J148" s="1673" t="s">
        <v>738</v>
      </c>
      <c r="K148" s="1673" t="s">
        <v>807</v>
      </c>
      <c r="L148" s="1674">
        <v>2012</v>
      </c>
      <c r="M148" s="1674">
        <v>2015</v>
      </c>
      <c r="N148" s="1674">
        <v>2020</v>
      </c>
      <c r="O148" s="1674">
        <v>2025</v>
      </c>
      <c r="P148" s="1674">
        <v>2030</v>
      </c>
      <c r="Q148" s="1674">
        <v>2035</v>
      </c>
      <c r="R148" s="1674">
        <v>2040</v>
      </c>
      <c r="V148" s="1675"/>
      <c r="W148" s="1675"/>
      <c r="X148" s="1675"/>
      <c r="Y148" s="1675"/>
      <c r="Z148" s="1675"/>
      <c r="AA148" s="1675"/>
      <c r="AB148" s="1675"/>
    </row>
    <row r="149" spans="1:28" ht="26.25" thickBot="1">
      <c r="A149" s="1666" t="s">
        <v>740</v>
      </c>
      <c r="B149" s="1666" t="s">
        <v>741</v>
      </c>
      <c r="C149" s="1666" t="s">
        <v>742</v>
      </c>
      <c r="D149" s="1666" t="s">
        <v>743</v>
      </c>
      <c r="E149" s="1667" t="s">
        <v>748</v>
      </c>
      <c r="F149" s="1667"/>
      <c r="G149" s="1667"/>
      <c r="I149" s="1666" t="s">
        <v>740</v>
      </c>
      <c r="J149" s="1666" t="s">
        <v>742</v>
      </c>
      <c r="K149" s="1666"/>
      <c r="L149" s="1666"/>
      <c r="M149" s="1666"/>
      <c r="N149" s="1666"/>
      <c r="O149" s="1666"/>
      <c r="P149" s="1666"/>
      <c r="Q149" s="1666"/>
      <c r="R149" s="1666"/>
    </row>
    <row r="150" spans="1:28">
      <c r="A150" s="1631" t="s">
        <v>755</v>
      </c>
      <c r="B150" s="1632"/>
      <c r="C150" s="1632"/>
      <c r="D150" s="1632"/>
      <c r="E150" s="1633"/>
      <c r="F150" s="1633"/>
      <c r="G150" s="1633"/>
      <c r="I150" s="1647" t="s">
        <v>758</v>
      </c>
      <c r="J150" s="1632"/>
      <c r="K150" s="1631"/>
      <c r="L150" s="1631"/>
      <c r="M150" s="1631"/>
      <c r="N150" s="1631"/>
      <c r="O150" s="1631"/>
      <c r="P150" s="1631"/>
      <c r="Q150" s="1631"/>
      <c r="R150" s="1631"/>
    </row>
    <row r="151" spans="1:28">
      <c r="A151" s="1561" t="str">
        <f t="shared" ref="A151:B154" si="108">B71</f>
        <v>TCarGSL_Small_00</v>
      </c>
      <c r="B151" s="1561" t="str">
        <f t="shared" si="108"/>
        <v>Existing Private Car - Small Gasoline</v>
      </c>
      <c r="C151" s="1561" t="str">
        <f>Commodities!$B$16</f>
        <v>TRAGSLE</v>
      </c>
      <c r="D151" s="1561" t="s">
        <v>745</v>
      </c>
      <c r="E151" s="1668">
        <f>$I$58</f>
        <v>1.49201152283105</v>
      </c>
      <c r="F151" s="1676">
        <v>1E-3</v>
      </c>
      <c r="G151" s="1676"/>
      <c r="I151" s="1561" t="str">
        <f>B86</f>
        <v>TCarPHG_Small_00</v>
      </c>
      <c r="J151" s="1561" t="str">
        <f>Commodities!$B$10</f>
        <v>TRAELC</v>
      </c>
      <c r="K151" s="1561" t="s">
        <v>1087</v>
      </c>
      <c r="L151" s="1677">
        <f>'CAR Fuel Blending'!$E$16</f>
        <v>0.4</v>
      </c>
      <c r="M151" s="1672"/>
      <c r="N151" s="1672"/>
      <c r="O151" s="1672"/>
      <c r="P151" s="1672"/>
      <c r="Q151" s="1672"/>
      <c r="R151" s="1672"/>
    </row>
    <row r="152" spans="1:28">
      <c r="A152" s="1561" t="str">
        <f t="shared" si="108"/>
        <v>TCarGSL_LM_00</v>
      </c>
      <c r="B152" s="1561" t="str">
        <f t="shared" si="108"/>
        <v>Existing Private Car - Light Medium Gasoline</v>
      </c>
      <c r="C152" s="1561" t="str">
        <f>Commodities!$B$16</f>
        <v>TRAGSLE</v>
      </c>
      <c r="D152" s="1561" t="s">
        <v>745</v>
      </c>
      <c r="E152" s="1668">
        <f t="shared" ref="E152:E154" si="109">$I$58</f>
        <v>1.49201152283105</v>
      </c>
      <c r="F152" s="1676">
        <v>1E-3</v>
      </c>
      <c r="G152" s="1676"/>
      <c r="I152" s="1561" t="str">
        <f>B87</f>
        <v>TCarPHG_LM_00</v>
      </c>
      <c r="J152" s="1561" t="str">
        <f>Commodities!$B$10</f>
        <v>TRAELC</v>
      </c>
      <c r="K152" s="1561" t="s">
        <v>1087</v>
      </c>
      <c r="L152" s="1677">
        <f>'CAR Fuel Blending'!$E$16</f>
        <v>0.4</v>
      </c>
      <c r="M152" s="1672"/>
      <c r="N152" s="1672"/>
      <c r="O152" s="1672"/>
      <c r="P152" s="1672"/>
      <c r="Q152" s="1672"/>
      <c r="R152" s="1672"/>
    </row>
    <row r="153" spans="1:28">
      <c r="A153" s="1561" t="str">
        <f t="shared" si="108"/>
        <v>TCarGSL_HM_00</v>
      </c>
      <c r="B153" s="1561" t="str">
        <f t="shared" si="108"/>
        <v>Existing Private Car - Heavy Medium Gasoline</v>
      </c>
      <c r="C153" s="1561" t="str">
        <f>Commodities!$B$16</f>
        <v>TRAGSLE</v>
      </c>
      <c r="D153" s="1561" t="s">
        <v>745</v>
      </c>
      <c r="E153" s="1668">
        <f t="shared" si="109"/>
        <v>1.49201152283105</v>
      </c>
      <c r="F153" s="1676">
        <v>1E-3</v>
      </c>
      <c r="G153" s="1676"/>
      <c r="I153" s="1561" t="str">
        <f>B88</f>
        <v>TCarPHG_HM_00</v>
      </c>
      <c r="J153" s="1561" t="str">
        <f>Commodities!$B$10</f>
        <v>TRAELC</v>
      </c>
      <c r="K153" s="1561" t="s">
        <v>1087</v>
      </c>
      <c r="L153" s="1677">
        <f>'CAR Fuel Blending'!$E$16</f>
        <v>0.4</v>
      </c>
      <c r="M153" s="1656"/>
      <c r="N153" s="1656"/>
      <c r="O153" s="1656"/>
      <c r="P153" s="1656"/>
      <c r="Q153" s="1656"/>
      <c r="R153" s="1656"/>
    </row>
    <row r="154" spans="1:28">
      <c r="A154" s="1561" t="str">
        <f t="shared" si="108"/>
        <v>TCarGSL_Large_00</v>
      </c>
      <c r="B154" s="1561" t="str">
        <f t="shared" si="108"/>
        <v>Existing Private Car - Large Gasoline</v>
      </c>
      <c r="C154" s="1561" t="str">
        <f>Commodities!$B$16</f>
        <v>TRAGSLE</v>
      </c>
      <c r="D154" s="1561" t="s">
        <v>745</v>
      </c>
      <c r="E154" s="1668">
        <f t="shared" si="109"/>
        <v>1.49201152283105</v>
      </c>
      <c r="F154" s="1676">
        <v>1E-3</v>
      </c>
      <c r="G154" s="1676"/>
      <c r="I154" s="1561" t="str">
        <f>B89</f>
        <v>TCarPHG_Large_00</v>
      </c>
      <c r="J154" s="1561" t="str">
        <f>Commodities!$B$10</f>
        <v>TRAELC</v>
      </c>
      <c r="K154" s="1561" t="s">
        <v>1087</v>
      </c>
      <c r="L154" s="1677">
        <f>'CAR Fuel Blending'!$E$16</f>
        <v>0.4</v>
      </c>
    </row>
    <row r="155" spans="1:28" s="1628" customFormat="1">
      <c r="A155" s="1631" t="s">
        <v>756</v>
      </c>
      <c r="B155" s="1632"/>
      <c r="C155" s="1632"/>
      <c r="D155" s="1632"/>
      <c r="E155" s="1633"/>
      <c r="F155" s="1633"/>
      <c r="G155" s="1633"/>
      <c r="L155" s="1678"/>
      <c r="M155" s="1678"/>
      <c r="N155" s="1678"/>
      <c r="O155" s="1678"/>
      <c r="P155" s="1678"/>
      <c r="Q155" s="1678"/>
      <c r="R155" s="1678"/>
      <c r="S155" s="1678"/>
      <c r="T155" s="1678"/>
      <c r="U155" s="1678"/>
      <c r="V155" s="1678"/>
    </row>
    <row r="156" spans="1:28" s="1628" customFormat="1">
      <c r="A156" s="1561" t="str">
        <f t="shared" ref="A156:B159" si="110">B76</f>
        <v>TCarDST_Small_00</v>
      </c>
      <c r="B156" s="1561" t="str">
        <f t="shared" si="110"/>
        <v>Existing Private Car - Small Diesel</v>
      </c>
      <c r="C156" s="1561" t="str">
        <f>Commodities!$B$17</f>
        <v>TRADSTB</v>
      </c>
      <c r="D156" s="1561" t="s">
        <v>745</v>
      </c>
      <c r="E156" s="1668">
        <f>$I$58</f>
        <v>1.49201152283105</v>
      </c>
      <c r="F156" s="1676">
        <v>1E-3</v>
      </c>
      <c r="G156" s="1676"/>
      <c r="L156" s="1672"/>
      <c r="M156" s="1672"/>
      <c r="N156" s="1672"/>
      <c r="O156" s="1672"/>
      <c r="P156" s="1672"/>
      <c r="Q156" s="1672"/>
      <c r="R156" s="1672"/>
      <c r="S156" s="1672"/>
      <c r="T156" s="1672"/>
      <c r="U156" s="1672"/>
      <c r="V156" s="1672"/>
    </row>
    <row r="157" spans="1:28" s="1628" customFormat="1">
      <c r="A157" s="1561" t="str">
        <f t="shared" si="110"/>
        <v>TCarDST_LM_00</v>
      </c>
      <c r="B157" s="1561" t="str">
        <f t="shared" si="110"/>
        <v>Existing Private Car - Light Medium Diesel</v>
      </c>
      <c r="C157" s="1561" t="str">
        <f>Commodities!$B$17</f>
        <v>TRADSTB</v>
      </c>
      <c r="D157" s="1561" t="s">
        <v>745</v>
      </c>
      <c r="E157" s="1668">
        <f t="shared" ref="E157:E159" si="111">$I$58</f>
        <v>1.49201152283105</v>
      </c>
      <c r="F157" s="1676">
        <v>1E-3</v>
      </c>
      <c r="G157" s="1676"/>
      <c r="L157" s="1672"/>
      <c r="M157" s="1672"/>
      <c r="N157" s="1672"/>
      <c r="O157" s="1672"/>
      <c r="P157" s="1672"/>
      <c r="Q157" s="1672"/>
      <c r="R157" s="1672"/>
      <c r="S157" s="1672"/>
      <c r="T157" s="1672"/>
      <c r="U157" s="1672"/>
      <c r="V157" s="1672"/>
    </row>
    <row r="158" spans="1:28" s="1628" customFormat="1">
      <c r="A158" s="1561" t="str">
        <f t="shared" si="110"/>
        <v>TCarDST_HM_00</v>
      </c>
      <c r="B158" s="1561" t="str">
        <f t="shared" si="110"/>
        <v>Existing Private Car - Heavy Medium Diesel</v>
      </c>
      <c r="C158" s="1561" t="str">
        <f>Commodities!$B$17</f>
        <v>TRADSTB</v>
      </c>
      <c r="D158" s="1561" t="s">
        <v>745</v>
      </c>
      <c r="E158" s="1668">
        <f t="shared" si="111"/>
        <v>1.49201152283105</v>
      </c>
      <c r="F158" s="1676">
        <v>1E-3</v>
      </c>
      <c r="G158" s="1676"/>
      <c r="L158" s="1672"/>
      <c r="M158" s="1672"/>
      <c r="N158" s="1672"/>
      <c r="O158" s="1672"/>
      <c r="P158" s="1672"/>
      <c r="Q158" s="1672"/>
      <c r="R158" s="1672"/>
      <c r="S158" s="1672"/>
      <c r="T158" s="1672"/>
      <c r="U158" s="1672"/>
      <c r="V158" s="1672"/>
    </row>
    <row r="159" spans="1:28" s="1628" customFormat="1">
      <c r="A159" s="1561" t="str">
        <f t="shared" si="110"/>
        <v>TCarDST_Large_00</v>
      </c>
      <c r="B159" s="1561" t="str">
        <f t="shared" si="110"/>
        <v>Existing Private Car - Large Diesel</v>
      </c>
      <c r="C159" s="1561" t="str">
        <f>Commodities!$B$17</f>
        <v>TRADSTB</v>
      </c>
      <c r="D159" s="1561" t="s">
        <v>745</v>
      </c>
      <c r="E159" s="1668">
        <f t="shared" si="111"/>
        <v>1.49201152283105</v>
      </c>
      <c r="F159" s="1676">
        <v>1E-3</v>
      </c>
      <c r="G159" s="1676"/>
      <c r="L159" s="1672"/>
      <c r="M159" s="1672"/>
      <c r="N159" s="1672"/>
      <c r="O159" s="1672"/>
      <c r="P159" s="1672"/>
      <c r="Q159" s="1672"/>
      <c r="R159" s="1672"/>
      <c r="S159" s="1672"/>
      <c r="T159" s="1672"/>
      <c r="U159" s="1672"/>
      <c r="V159" s="1672"/>
    </row>
    <row r="160" spans="1:28" s="1628" customFormat="1">
      <c r="A160" s="1631" t="s">
        <v>757</v>
      </c>
      <c r="B160" s="1632"/>
      <c r="C160" s="1632"/>
      <c r="D160" s="1632"/>
      <c r="E160" s="1633"/>
      <c r="F160" s="1633"/>
      <c r="G160" s="1633"/>
      <c r="L160" s="1678"/>
      <c r="M160" s="1678"/>
      <c r="N160" s="1678"/>
      <c r="O160" s="1678"/>
      <c r="P160" s="1678"/>
      <c r="Q160" s="1678"/>
      <c r="R160" s="1678"/>
      <c r="S160" s="1678"/>
      <c r="T160" s="1678"/>
      <c r="U160" s="1678"/>
      <c r="V160" s="1678"/>
    </row>
    <row r="161" spans="1:33" s="1628" customFormat="1">
      <c r="A161" s="1561" t="str">
        <f t="shared" ref="A161:B164" si="112">B81</f>
        <v>*TCarE85_Small_00</v>
      </c>
      <c r="B161" s="1561" t="str">
        <f t="shared" si="112"/>
        <v>Existing Private Car - Small Petrol and Ethanol</v>
      </c>
      <c r="C161" s="1561" t="str">
        <f>Commodities!$B$16</f>
        <v>TRAGSLE</v>
      </c>
      <c r="D161" s="1561" t="s">
        <v>745</v>
      </c>
      <c r="E161" s="1668">
        <f>$I$58</f>
        <v>1.49201152283105</v>
      </c>
      <c r="F161" s="1676">
        <v>1E-3</v>
      </c>
      <c r="G161" s="1676"/>
      <c r="L161" s="1672"/>
      <c r="M161" s="1672"/>
      <c r="N161" s="1672"/>
      <c r="O161" s="1672"/>
      <c r="P161" s="1672"/>
      <c r="Q161" s="1672"/>
      <c r="R161" s="1672"/>
      <c r="S161" s="1672"/>
      <c r="T161" s="1672"/>
      <c r="U161" s="1672"/>
      <c r="V161" s="1672"/>
    </row>
    <row r="162" spans="1:33" s="1628" customFormat="1">
      <c r="A162" s="1561" t="str">
        <f t="shared" si="112"/>
        <v>TCarE85_LM_00</v>
      </c>
      <c r="B162" s="1561" t="str">
        <f t="shared" si="112"/>
        <v>Existing Private Car - Light Medium Petrol and Ethanol</v>
      </c>
      <c r="C162" s="1561" t="str">
        <f>Commodities!$B$16</f>
        <v>TRAGSLE</v>
      </c>
      <c r="D162" s="1561" t="s">
        <v>745</v>
      </c>
      <c r="E162" s="1668">
        <f t="shared" ref="E162:E164" si="113">$I$58</f>
        <v>1.49201152283105</v>
      </c>
      <c r="F162" s="1676">
        <v>1E-3</v>
      </c>
      <c r="G162" s="1676"/>
      <c r="L162" s="1672"/>
      <c r="M162" s="1672"/>
      <c r="N162" s="1672"/>
      <c r="O162" s="1672"/>
      <c r="P162" s="1672"/>
      <c r="Q162" s="1672"/>
      <c r="R162" s="1672"/>
      <c r="S162" s="1672"/>
      <c r="T162" s="1672"/>
      <c r="U162" s="1672"/>
      <c r="V162" s="1672"/>
    </row>
    <row r="163" spans="1:33" s="1628" customFormat="1">
      <c r="A163" s="1561" t="str">
        <f t="shared" si="112"/>
        <v>TCarE85_HM_00</v>
      </c>
      <c r="B163" s="1561" t="str">
        <f t="shared" si="112"/>
        <v>Existing Private Car - Heavy Medium Petrol and Ethanol</v>
      </c>
      <c r="C163" s="1561" t="str">
        <f>Commodities!$B$16</f>
        <v>TRAGSLE</v>
      </c>
      <c r="D163" s="1561" t="s">
        <v>745</v>
      </c>
      <c r="E163" s="1668">
        <f t="shared" si="113"/>
        <v>1.49201152283105</v>
      </c>
      <c r="F163" s="1676">
        <v>1E-3</v>
      </c>
      <c r="G163" s="1676"/>
      <c r="L163" s="1672"/>
      <c r="M163" s="1672"/>
      <c r="N163" s="1672"/>
      <c r="O163" s="1672"/>
      <c r="P163" s="1672"/>
      <c r="Q163" s="1672"/>
      <c r="R163" s="1672"/>
      <c r="S163" s="1672"/>
      <c r="T163" s="1672"/>
      <c r="U163" s="1672"/>
      <c r="V163" s="1672"/>
    </row>
    <row r="164" spans="1:33" s="1628" customFormat="1">
      <c r="A164" s="1561" t="str">
        <f t="shared" si="112"/>
        <v>TCarE85_Large_00</v>
      </c>
      <c r="B164" s="1561" t="str">
        <f t="shared" si="112"/>
        <v>Existing Private Car - Large Petrol and Ethanol</v>
      </c>
      <c r="C164" s="1561" t="str">
        <f>Commodities!$B$16</f>
        <v>TRAGSLE</v>
      </c>
      <c r="D164" s="1561" t="s">
        <v>745</v>
      </c>
      <c r="E164" s="1668">
        <f t="shared" si="113"/>
        <v>1.49201152283105</v>
      </c>
      <c r="F164" s="1676">
        <v>1E-3</v>
      </c>
      <c r="G164" s="1676"/>
      <c r="L164" s="1672"/>
      <c r="M164" s="1672"/>
      <c r="N164" s="1672"/>
      <c r="O164" s="1672"/>
      <c r="P164" s="1672"/>
      <c r="Q164" s="1672"/>
      <c r="R164" s="1672"/>
      <c r="S164" s="1672"/>
      <c r="T164" s="1672"/>
      <c r="U164" s="1672"/>
      <c r="V164" s="1672"/>
    </row>
    <row r="165" spans="1:33" s="1628" customFormat="1">
      <c r="A165" s="1631" t="s">
        <v>758</v>
      </c>
      <c r="B165" s="1632"/>
      <c r="C165" s="1632"/>
      <c r="D165" s="1632"/>
      <c r="E165" s="1633"/>
      <c r="F165" s="1633"/>
      <c r="G165" s="1633"/>
      <c r="L165" s="1678"/>
      <c r="M165" s="1678"/>
      <c r="N165" s="1678"/>
      <c r="O165" s="1678"/>
      <c r="P165" s="1678"/>
      <c r="Q165" s="1678"/>
      <c r="R165" s="1678"/>
      <c r="S165" s="1678"/>
      <c r="T165" s="1678"/>
      <c r="U165" s="1678"/>
      <c r="V165" s="1678"/>
    </row>
    <row r="166" spans="1:33" s="1628" customFormat="1">
      <c r="A166" s="1561" t="str">
        <f t="shared" ref="A166:B169" si="114">B86</f>
        <v>TCarPHG_Small_00</v>
      </c>
      <c r="B166" s="1561" t="str">
        <f t="shared" si="114"/>
        <v>Existing Private Car - Small Petrol and Electric</v>
      </c>
      <c r="C166" s="1561" t="str">
        <f>Commodities!$B$10&amp;","&amp;Commodities!$B$16</f>
        <v>TRAELC,TRAGSLE</v>
      </c>
      <c r="D166" s="1561" t="s">
        <v>745</v>
      </c>
      <c r="E166" s="1668">
        <f>$I$58</f>
        <v>1.49201152283105</v>
      </c>
      <c r="F166" s="1676">
        <v>1E-3</v>
      </c>
      <c r="G166" s="1676">
        <v>10</v>
      </c>
      <c r="V166" s="1672"/>
      <c r="W166" s="1672"/>
      <c r="X166" s="1672"/>
      <c r="Y166" s="1672"/>
      <c r="Z166" s="1672"/>
      <c r="AA166" s="1672"/>
      <c r="AB166" s="1672"/>
      <c r="AC166" s="1672"/>
      <c r="AD166" s="1672"/>
      <c r="AE166" s="1672"/>
      <c r="AF166" s="1672"/>
    </row>
    <row r="167" spans="1:33" s="1628" customFormat="1">
      <c r="A167" s="1561" t="str">
        <f t="shared" si="114"/>
        <v>TCarPHG_LM_00</v>
      </c>
      <c r="B167" s="1561" t="str">
        <f t="shared" si="114"/>
        <v>Existing Private Car - Light Medium Petrol and Electric</v>
      </c>
      <c r="C167" s="1561" t="str">
        <f>Commodities!$B$10&amp;","&amp;Commodities!$B$16</f>
        <v>TRAELC,TRAGSLE</v>
      </c>
      <c r="D167" s="1561" t="s">
        <v>745</v>
      </c>
      <c r="E167" s="1668">
        <f t="shared" ref="E167:E169" si="115">$I$58</f>
        <v>1.49201152283105</v>
      </c>
      <c r="F167" s="1676">
        <v>1E-3</v>
      </c>
      <c r="G167" s="1677"/>
      <c r="V167" s="1672"/>
      <c r="W167" s="1672"/>
      <c r="X167" s="1672"/>
      <c r="Y167" s="1672"/>
      <c r="Z167" s="1672"/>
      <c r="AA167" s="1672"/>
      <c r="AB167" s="1672"/>
      <c r="AC167" s="1672"/>
      <c r="AD167" s="1672"/>
      <c r="AE167" s="1672"/>
      <c r="AF167" s="1672"/>
    </row>
    <row r="168" spans="1:33">
      <c r="A168" s="1561" t="str">
        <f t="shared" si="114"/>
        <v>TCarPHG_HM_00</v>
      </c>
      <c r="B168" s="1561" t="str">
        <f t="shared" si="114"/>
        <v>Existing Private Car - Heavy Medium Petrol and Electric</v>
      </c>
      <c r="C168" s="1561" t="str">
        <f>Commodities!$B$10&amp;","&amp;Commodities!$B$16</f>
        <v>TRAELC,TRAGSLE</v>
      </c>
      <c r="D168" s="1561" t="s">
        <v>745</v>
      </c>
      <c r="E168" s="1668">
        <f t="shared" si="115"/>
        <v>1.49201152283105</v>
      </c>
      <c r="F168" s="1676">
        <v>1E-3</v>
      </c>
      <c r="G168" s="1677"/>
      <c r="V168" s="1656"/>
      <c r="W168" s="1656"/>
      <c r="X168" s="1656"/>
      <c r="Y168" s="1656"/>
      <c r="Z168" s="1656"/>
      <c r="AA168" s="1656"/>
      <c r="AB168" s="1656"/>
      <c r="AC168" s="1656"/>
      <c r="AD168" s="1656"/>
      <c r="AE168" s="1656"/>
      <c r="AF168" s="1656"/>
    </row>
    <row r="169" spans="1:33">
      <c r="A169" s="1561" t="str">
        <f t="shared" si="114"/>
        <v>TCarPHG_Large_00</v>
      </c>
      <c r="B169" s="1561" t="str">
        <f t="shared" si="114"/>
        <v>Existing Private Car - Large Petrol and Electric</v>
      </c>
      <c r="C169" s="1561" t="str">
        <f>Commodities!$B$10&amp;","&amp;Commodities!$B$16</f>
        <v>TRAELC,TRAGSLE</v>
      </c>
      <c r="D169" s="1561" t="s">
        <v>745</v>
      </c>
      <c r="E169" s="1668">
        <f t="shared" si="115"/>
        <v>1.49201152283105</v>
      </c>
      <c r="F169" s="1676">
        <v>1E-3</v>
      </c>
      <c r="G169" s="1677"/>
    </row>
    <row r="170" spans="1:33">
      <c r="I170" s="1656"/>
    </row>
    <row r="172" spans="1:33" ht="21">
      <c r="A172" s="1624" t="s">
        <v>753</v>
      </c>
      <c r="B172" s="1625"/>
    </row>
    <row r="173" spans="1:33">
      <c r="A173" s="1662"/>
      <c r="B173" s="1662"/>
      <c r="C173" s="1662"/>
      <c r="D173" s="1663" t="s">
        <v>819</v>
      </c>
    </row>
    <row r="174" spans="1:33">
      <c r="A174" s="1664" t="s">
        <v>729</v>
      </c>
      <c r="B174" s="1664" t="s">
        <v>737</v>
      </c>
      <c r="C174" s="1664" t="s">
        <v>738</v>
      </c>
      <c r="D174" s="1664" t="s">
        <v>739</v>
      </c>
      <c r="E174" s="1665">
        <v>2012</v>
      </c>
      <c r="F174" s="1665">
        <v>2013</v>
      </c>
      <c r="G174" s="1665">
        <v>2014</v>
      </c>
      <c r="H174" s="1665">
        <v>2015</v>
      </c>
      <c r="I174" s="1665">
        <v>2016</v>
      </c>
      <c r="J174" s="1665">
        <v>2017</v>
      </c>
      <c r="K174" s="1665">
        <v>2018</v>
      </c>
      <c r="L174" s="1665">
        <v>2019</v>
      </c>
      <c r="M174" s="1665">
        <v>2020</v>
      </c>
      <c r="N174" s="1665">
        <v>2021</v>
      </c>
      <c r="O174" s="1665">
        <v>2022</v>
      </c>
      <c r="P174" s="1665">
        <v>2023</v>
      </c>
      <c r="Q174" s="1665">
        <v>2024</v>
      </c>
      <c r="R174" s="1665">
        <v>2025</v>
      </c>
      <c r="S174" s="1665">
        <v>2026</v>
      </c>
      <c r="T174" s="1665">
        <v>2027</v>
      </c>
      <c r="U174" s="1665">
        <v>2028</v>
      </c>
      <c r="V174" s="1665">
        <v>2029</v>
      </c>
      <c r="W174" s="1665">
        <v>2030</v>
      </c>
      <c r="X174" s="1665">
        <v>2031</v>
      </c>
      <c r="Y174" s="1665">
        <v>2032</v>
      </c>
      <c r="Z174" s="1665">
        <v>2033</v>
      </c>
      <c r="AA174" s="1665">
        <v>2034</v>
      </c>
      <c r="AB174" s="1665">
        <v>2035</v>
      </c>
      <c r="AC174" s="1665">
        <v>2036</v>
      </c>
      <c r="AD174" s="1665">
        <v>2037</v>
      </c>
      <c r="AE174" s="1665">
        <v>2038</v>
      </c>
      <c r="AF174" s="1665">
        <v>2039</v>
      </c>
      <c r="AG174" s="1665">
        <v>2040</v>
      </c>
    </row>
    <row r="175" spans="1:33" ht="26.25" thickBot="1">
      <c r="A175" s="1666" t="s">
        <v>740</v>
      </c>
      <c r="B175" s="1666" t="s">
        <v>741</v>
      </c>
      <c r="C175" s="1666" t="s">
        <v>742</v>
      </c>
      <c r="D175" s="1666" t="s">
        <v>743</v>
      </c>
      <c r="E175" s="1667" t="s">
        <v>750</v>
      </c>
      <c r="F175" s="1667" t="s">
        <v>750</v>
      </c>
      <c r="G175" s="1667" t="s">
        <v>750</v>
      </c>
      <c r="H175" s="1667" t="s">
        <v>750</v>
      </c>
      <c r="I175" s="1667" t="s">
        <v>750</v>
      </c>
      <c r="J175" s="1667" t="s">
        <v>750</v>
      </c>
      <c r="K175" s="1667" t="s">
        <v>750</v>
      </c>
      <c r="L175" s="1667" t="s">
        <v>750</v>
      </c>
      <c r="M175" s="1667" t="s">
        <v>750</v>
      </c>
      <c r="N175" s="1667" t="s">
        <v>750</v>
      </c>
      <c r="O175" s="1667" t="s">
        <v>750</v>
      </c>
      <c r="P175" s="1667" t="s">
        <v>750</v>
      </c>
      <c r="Q175" s="1667" t="s">
        <v>750</v>
      </c>
      <c r="R175" s="1667" t="s">
        <v>750</v>
      </c>
      <c r="S175" s="1667" t="s">
        <v>750</v>
      </c>
      <c r="T175" s="1667" t="s">
        <v>750</v>
      </c>
      <c r="U175" s="1667" t="s">
        <v>750</v>
      </c>
      <c r="V175" s="1667" t="s">
        <v>750</v>
      </c>
      <c r="W175" s="1667" t="s">
        <v>750</v>
      </c>
      <c r="X175" s="1667" t="s">
        <v>750</v>
      </c>
      <c r="Y175" s="1667" t="s">
        <v>750</v>
      </c>
      <c r="Z175" s="1667" t="s">
        <v>750</v>
      </c>
      <c r="AA175" s="1667" t="s">
        <v>750</v>
      </c>
      <c r="AB175" s="1667" t="s">
        <v>750</v>
      </c>
      <c r="AC175" s="1667" t="s">
        <v>750</v>
      </c>
      <c r="AD175" s="1667" t="s">
        <v>750</v>
      </c>
      <c r="AE175" s="1667" t="s">
        <v>750</v>
      </c>
      <c r="AF175" s="1667" t="s">
        <v>750</v>
      </c>
      <c r="AG175" s="1667" t="s">
        <v>750</v>
      </c>
    </row>
    <row r="176" spans="1:33">
      <c r="A176" s="1631" t="s">
        <v>755</v>
      </c>
      <c r="B176" s="1632"/>
      <c r="C176" s="1632"/>
      <c r="D176" s="1632"/>
      <c r="E176" s="1633"/>
      <c r="F176" s="1633"/>
      <c r="G176" s="1633"/>
      <c r="H176" s="1633"/>
      <c r="I176" s="1633"/>
      <c r="J176" s="1633"/>
      <c r="K176" s="1633"/>
      <c r="L176" s="1633"/>
      <c r="M176" s="1633"/>
      <c r="N176" s="1633"/>
      <c r="O176" s="1633"/>
      <c r="P176" s="1633"/>
      <c r="Q176" s="1633"/>
      <c r="R176" s="1633"/>
      <c r="S176" s="1633"/>
      <c r="T176" s="1633"/>
      <c r="U176" s="1633"/>
      <c r="V176" s="1633"/>
      <c r="W176" s="1633"/>
      <c r="X176" s="1633"/>
      <c r="Y176" s="1633"/>
      <c r="Z176" s="1633"/>
      <c r="AA176" s="1633"/>
      <c r="AB176" s="1633"/>
      <c r="AC176" s="1633"/>
      <c r="AD176" s="1633"/>
      <c r="AE176" s="1633"/>
      <c r="AF176" s="1633"/>
      <c r="AG176" s="1633"/>
    </row>
    <row r="177" spans="1:33">
      <c r="A177" s="1561" t="str">
        <f t="shared" ref="A177:B180" si="116">B71</f>
        <v>TCarGSL_Small_00</v>
      </c>
      <c r="B177" s="1561" t="str">
        <f t="shared" si="116"/>
        <v>Existing Private Car - Small Gasoline</v>
      </c>
      <c r="C177" s="1561" t="str">
        <f>Commodities!$B$16</f>
        <v>TRAGSLE</v>
      </c>
      <c r="D177" s="1561" t="s">
        <v>745</v>
      </c>
      <c r="E177" s="1679">
        <f>'CAR Mileage'!C50</f>
        <v>11919.858370432377</v>
      </c>
      <c r="F177" s="1679">
        <f>'CAR Mileage'!D50</f>
        <v>11950.783772560646</v>
      </c>
      <c r="G177" s="1679">
        <f>'CAR Mileage'!E50</f>
        <v>11963.109467589578</v>
      </c>
      <c r="H177" s="1679">
        <f>'CAR Mileage'!F50</f>
        <v>11949.046405304705</v>
      </c>
      <c r="I177" s="1679">
        <f>'CAR Mileage'!G50</f>
        <v>11899.282775338499</v>
      </c>
      <c r="J177" s="1679">
        <f>'CAR Mileage'!H50</f>
        <v>11825.043605899642</v>
      </c>
      <c r="K177" s="1679">
        <f>'CAR Mileage'!I50</f>
        <v>11741.868119075838</v>
      </c>
      <c r="L177" s="1679">
        <f>'CAR Mileage'!J50</f>
        <v>11659.994461482434</v>
      </c>
      <c r="M177" s="1679">
        <f>'CAR Mileage'!K50</f>
        <v>11580.358596465972</v>
      </c>
      <c r="N177" s="1679">
        <f>'CAR Mileage'!L50</f>
        <v>11493.463782195708</v>
      </c>
      <c r="O177" s="1679">
        <f>'CAR Mileage'!M50</f>
        <v>11384.361088875541</v>
      </c>
      <c r="P177" s="1679">
        <f>'CAR Mileage'!N50</f>
        <v>11249.346065652095</v>
      </c>
      <c r="Q177" s="1679">
        <f>'CAR Mileage'!O50</f>
        <v>11091.621183922849</v>
      </c>
      <c r="R177" s="1679">
        <f>'CAR Mileage'!P50</f>
        <v>10921.366407246273</v>
      </c>
      <c r="S177" s="1679">
        <f>'CAR Mileage'!Q50</f>
        <v>10738.965289720176</v>
      </c>
      <c r="T177" s="1679">
        <f>'CAR Mileage'!R50</f>
        <v>10552.793304766128</v>
      </c>
      <c r="U177" s="1679">
        <f>'CAR Mileage'!S50</f>
        <v>10407.443689743324</v>
      </c>
      <c r="V177" s="1679">
        <f>'CAR Mileage'!T50</f>
        <v>10407.443689743326</v>
      </c>
      <c r="W177" s="1679">
        <f>'CAR Mileage'!U50</f>
        <v>10407.443689743324</v>
      </c>
      <c r="X177" s="1679">
        <f>'CAR Mileage'!V50</f>
        <v>10407.443689743324</v>
      </c>
      <c r="Y177" s="1679">
        <f>'CAR Mileage'!W50</f>
        <v>10407.443689743326</v>
      </c>
      <c r="Z177" s="1679">
        <f>'CAR Mileage'!X50</f>
        <v>10407.443689743322</v>
      </c>
      <c r="AA177" s="1679">
        <f>'CAR Mileage'!Y50</f>
        <v>10407.443689743324</v>
      </c>
      <c r="AB177" s="1679">
        <f>'CAR Mileage'!Z50</f>
        <v>10407.443689743324</v>
      </c>
      <c r="AC177" s="1679">
        <f>'CAR Mileage'!AA50</f>
        <v>10407.443689743324</v>
      </c>
      <c r="AD177" s="1679"/>
      <c r="AE177" s="1679"/>
      <c r="AF177" s="1679"/>
      <c r="AG177" s="1679"/>
    </row>
    <row r="178" spans="1:33">
      <c r="A178" s="1561" t="str">
        <f t="shared" si="116"/>
        <v>TCarGSL_LM_00</v>
      </c>
      <c r="B178" s="1561" t="str">
        <f t="shared" si="116"/>
        <v>Existing Private Car - Light Medium Gasoline</v>
      </c>
      <c r="C178" s="1561" t="str">
        <f>Commodities!$B$16</f>
        <v>TRAGSLE</v>
      </c>
      <c r="D178" s="1561" t="s">
        <v>745</v>
      </c>
      <c r="E178" s="1679">
        <f>'CAR Mileage'!C79</f>
        <v>14600.873321885019</v>
      </c>
      <c r="F178" s="1679">
        <f>'CAR Mileage'!D79</f>
        <v>14626.487523785148</v>
      </c>
      <c r="G178" s="1679">
        <f>'CAR Mileage'!E79</f>
        <v>14569.035892697577</v>
      </c>
      <c r="H178" s="1679">
        <f>'CAR Mileage'!F79</f>
        <v>14462.848190171686</v>
      </c>
      <c r="I178" s="1679">
        <f>'CAR Mileage'!G79</f>
        <v>14331.861347644934</v>
      </c>
      <c r="J178" s="1679">
        <f>'CAR Mileage'!H79</f>
        <v>14193.829495957772</v>
      </c>
      <c r="K178" s="1679">
        <f>'CAR Mileage'!I79</f>
        <v>14060.370250130436</v>
      </c>
      <c r="L178" s="1679">
        <f>'CAR Mileage'!J79</f>
        <v>13938.97852725373</v>
      </c>
      <c r="M178" s="1679">
        <f>'CAR Mileage'!K79</f>
        <v>13829.591199314038</v>
      </c>
      <c r="N178" s="1679">
        <f>'CAR Mileage'!L79</f>
        <v>13720.787016431364</v>
      </c>
      <c r="O178" s="1679">
        <f>'CAR Mileage'!M79</f>
        <v>13594.626541769516</v>
      </c>
      <c r="P178" s="1679">
        <f>'CAR Mileage'!N79</f>
        <v>13438.513712489639</v>
      </c>
      <c r="Q178" s="1679">
        <f>'CAR Mileage'!O79</f>
        <v>13251.911986915595</v>
      </c>
      <c r="R178" s="1679">
        <f>'CAR Mileage'!P79</f>
        <v>13047.751502686473</v>
      </c>
      <c r="S178" s="1679">
        <f>'CAR Mileage'!Q79</f>
        <v>12827.825249791542</v>
      </c>
      <c r="T178" s="1679">
        <f>'CAR Mileage'!R79</f>
        <v>12603.803165873687</v>
      </c>
      <c r="U178" s="1679">
        <f>'CAR Mileage'!S79</f>
        <v>12430.117152516248</v>
      </c>
      <c r="V178" s="1679">
        <f>'CAR Mileage'!T79</f>
        <v>12430.117152516244</v>
      </c>
      <c r="W178" s="1679">
        <f>'CAR Mileage'!U79</f>
        <v>12430.117152516248</v>
      </c>
      <c r="X178" s="1679">
        <f>'CAR Mileage'!V79</f>
        <v>12430.117152516248</v>
      </c>
      <c r="Y178" s="1679">
        <f>'CAR Mileage'!W79</f>
        <v>12430.117152516244</v>
      </c>
      <c r="Z178" s="1679">
        <f>'CAR Mileage'!X79</f>
        <v>12430.11715251625</v>
      </c>
      <c r="AA178" s="1679">
        <f>'CAR Mileage'!Y79</f>
        <v>12430.117152516244</v>
      </c>
      <c r="AB178" s="1679">
        <f>'CAR Mileage'!Z79</f>
        <v>12430.117152516248</v>
      </c>
      <c r="AC178" s="1679">
        <f>'CAR Mileage'!AA79</f>
        <v>12430.117152516246</v>
      </c>
      <c r="AD178" s="1679"/>
      <c r="AE178" s="1679"/>
      <c r="AF178" s="1679"/>
      <c r="AG178" s="1679"/>
    </row>
    <row r="179" spans="1:33">
      <c r="A179" s="1561" t="str">
        <f t="shared" si="116"/>
        <v>TCarGSL_HM_00</v>
      </c>
      <c r="B179" s="1561" t="str">
        <f t="shared" si="116"/>
        <v>Existing Private Car - Heavy Medium Gasoline</v>
      </c>
      <c r="C179" s="1561" t="str">
        <f>Commodities!$B$16</f>
        <v>TRAGSLE</v>
      </c>
      <c r="D179" s="1561" t="s">
        <v>745</v>
      </c>
      <c r="E179" s="1679">
        <f>'CAR Mileage'!C108</f>
        <v>16577.035096181775</v>
      </c>
      <c r="F179" s="1679">
        <f>'CAR Mileage'!D108</f>
        <v>16521.030687861032</v>
      </c>
      <c r="G179" s="1679">
        <f>'CAR Mileage'!E108</f>
        <v>16389.69431867337</v>
      </c>
      <c r="H179" s="1679">
        <f>'CAR Mileage'!F108</f>
        <v>16222.118992158787</v>
      </c>
      <c r="I179" s="1679">
        <f>'CAR Mileage'!G108</f>
        <v>16039.368551314874</v>
      </c>
      <c r="J179" s="1679">
        <f>'CAR Mileage'!H108</f>
        <v>15851.804622767655</v>
      </c>
      <c r="K179" s="1679">
        <f>'CAR Mileage'!I108</f>
        <v>15665.837418789622</v>
      </c>
      <c r="L179" s="1679">
        <f>'CAR Mileage'!J108</f>
        <v>15489.294365060401</v>
      </c>
      <c r="M179" s="1679">
        <f>'CAR Mileage'!K108</f>
        <v>15334.126618785418</v>
      </c>
      <c r="N179" s="1679">
        <f>'CAR Mileage'!L108</f>
        <v>15214.713952582664</v>
      </c>
      <c r="O179" s="1679">
        <f>'CAR Mileage'!M108</f>
        <v>15131.709782389049</v>
      </c>
      <c r="P179" s="1679">
        <f>'CAR Mileage'!N108</f>
        <v>15049.349499743515</v>
      </c>
      <c r="Q179" s="1679">
        <f>'CAR Mileage'!O108</f>
        <v>14919.491284753805</v>
      </c>
      <c r="R179" s="1679">
        <f>'CAR Mileage'!P108</f>
        <v>14743.209253790421</v>
      </c>
      <c r="S179" s="1679">
        <f>'CAR Mileage'!Q108</f>
        <v>14523.067776430102</v>
      </c>
      <c r="T179" s="1679">
        <f>'CAR Mileage'!R108</f>
        <v>14282.267360851523</v>
      </c>
      <c r="U179" s="1679">
        <f>'CAR Mileage'!S108</f>
        <v>14090.720107705578</v>
      </c>
      <c r="V179" s="1679">
        <f>'CAR Mileage'!T108</f>
        <v>14090.72010770558</v>
      </c>
      <c r="W179" s="1679">
        <f>'CAR Mileage'!U108</f>
        <v>14090.720107705574</v>
      </c>
      <c r="X179" s="1679">
        <f>'CAR Mileage'!V108</f>
        <v>14090.720107705578</v>
      </c>
      <c r="Y179" s="1679">
        <f>'CAR Mileage'!W108</f>
        <v>14090.720107705576</v>
      </c>
      <c r="Z179" s="1679">
        <f>'CAR Mileage'!X108</f>
        <v>14090.720107705582</v>
      </c>
      <c r="AA179" s="1679">
        <f>'CAR Mileage'!Y108</f>
        <v>14090.720107705578</v>
      </c>
      <c r="AB179" s="1679">
        <f>'CAR Mileage'!Z108</f>
        <v>14090.720107705578</v>
      </c>
      <c r="AC179" s="1679">
        <f>'CAR Mileage'!AA108</f>
        <v>14090.72010770558</v>
      </c>
      <c r="AD179" s="1679"/>
      <c r="AE179" s="1679"/>
      <c r="AF179" s="1679"/>
      <c r="AG179" s="1679"/>
    </row>
    <row r="180" spans="1:33">
      <c r="A180" s="1561" t="str">
        <f t="shared" si="116"/>
        <v>TCarGSL_Large_00</v>
      </c>
      <c r="B180" s="1561" t="str">
        <f t="shared" si="116"/>
        <v>Existing Private Car - Large Gasoline</v>
      </c>
      <c r="C180" s="1561" t="str">
        <f>Commodities!$B$16</f>
        <v>TRAGSLE</v>
      </c>
      <c r="D180" s="1561" t="s">
        <v>745</v>
      </c>
      <c r="E180" s="1679">
        <f>'CAR Mileage'!C137</f>
        <v>15573.149136360043</v>
      </c>
      <c r="F180" s="1679">
        <f>'CAR Mileage'!D137</f>
        <v>15569.895463736655</v>
      </c>
      <c r="G180" s="1679">
        <f>'CAR Mileage'!E137</f>
        <v>15488.479277490504</v>
      </c>
      <c r="H180" s="1679">
        <f>'CAR Mileage'!F137</f>
        <v>15366.751651521041</v>
      </c>
      <c r="I180" s="1679">
        <f>'CAR Mileage'!G137</f>
        <v>15219.716472824488</v>
      </c>
      <c r="J180" s="1679">
        <f>'CAR Mileage'!H137</f>
        <v>15054.326421802683</v>
      </c>
      <c r="K180" s="1679">
        <f>'CAR Mileage'!I137</f>
        <v>14876.82216040793</v>
      </c>
      <c r="L180" s="1679">
        <f>'CAR Mileage'!J137</f>
        <v>14696.364771548187</v>
      </c>
      <c r="M180" s="1679">
        <f>'CAR Mileage'!K137</f>
        <v>14522.626170045482</v>
      </c>
      <c r="N180" s="1679">
        <f>'CAR Mileage'!L137</f>
        <v>14367.791057604534</v>
      </c>
      <c r="O180" s="1679">
        <f>'CAR Mileage'!M137</f>
        <v>14240.727816935323</v>
      </c>
      <c r="P180" s="1679">
        <f>'CAR Mileage'!N137</f>
        <v>14139.013400010912</v>
      </c>
      <c r="Q180" s="1679">
        <f>'CAR Mileage'!O137</f>
        <v>14043.50491148419</v>
      </c>
      <c r="R180" s="1679">
        <f>'CAR Mileage'!P137</f>
        <v>13938.098306554419</v>
      </c>
      <c r="S180" s="1679">
        <f>'CAR Mileage'!Q137</f>
        <v>13787.725910507783</v>
      </c>
      <c r="T180" s="1679">
        <f>'CAR Mileage'!R137</f>
        <v>13622.443455299794</v>
      </c>
      <c r="U180" s="1679">
        <f>'CAR Mileage'!S137</f>
        <v>13493.509119816041</v>
      </c>
      <c r="V180" s="1679">
        <f>'CAR Mileage'!T137</f>
        <v>13493.509119816044</v>
      </c>
      <c r="W180" s="1679">
        <f>'CAR Mileage'!U137</f>
        <v>13493.509119816043</v>
      </c>
      <c r="X180" s="1679">
        <f>'CAR Mileage'!V137</f>
        <v>13493.509119816046</v>
      </c>
      <c r="Y180" s="1679">
        <f>'CAR Mileage'!W137</f>
        <v>13493.509119816043</v>
      </c>
      <c r="Z180" s="1679">
        <f>'CAR Mileage'!X137</f>
        <v>13493.509119816041</v>
      </c>
      <c r="AA180" s="1679">
        <f>'CAR Mileage'!Y137</f>
        <v>13493.509119816046</v>
      </c>
      <c r="AB180" s="1679">
        <f>'CAR Mileage'!Z137</f>
        <v>13493.509119816044</v>
      </c>
      <c r="AC180" s="1679">
        <f>'CAR Mileage'!AA137</f>
        <v>13493.509119816044</v>
      </c>
      <c r="AD180" s="1679"/>
      <c r="AE180" s="1679"/>
      <c r="AF180" s="1679"/>
      <c r="AG180" s="1679"/>
    </row>
    <row r="181" spans="1:33">
      <c r="A181" s="1631" t="s">
        <v>756</v>
      </c>
      <c r="B181" s="1632"/>
      <c r="C181" s="1632"/>
      <c r="D181" s="1632"/>
      <c r="E181" s="1633"/>
      <c r="F181" s="1633"/>
      <c r="G181" s="1633"/>
      <c r="H181" s="1633"/>
      <c r="I181" s="1633"/>
      <c r="J181" s="1633"/>
      <c r="K181" s="1633"/>
      <c r="L181" s="1633"/>
      <c r="M181" s="1633"/>
      <c r="N181" s="1633"/>
      <c r="O181" s="1633"/>
      <c r="P181" s="1633"/>
      <c r="Q181" s="1633"/>
      <c r="R181" s="1633"/>
      <c r="S181" s="1633"/>
      <c r="T181" s="1633"/>
      <c r="U181" s="1633"/>
      <c r="V181" s="1633"/>
      <c r="W181" s="1633"/>
      <c r="X181" s="1633"/>
      <c r="Y181" s="1633"/>
      <c r="Z181" s="1633"/>
      <c r="AA181" s="1633"/>
      <c r="AB181" s="1633"/>
      <c r="AC181" s="1633"/>
      <c r="AD181" s="1633"/>
      <c r="AE181" s="1633"/>
      <c r="AF181" s="1633"/>
      <c r="AG181" s="1633"/>
    </row>
    <row r="182" spans="1:33">
      <c r="A182" s="1561" t="str">
        <f t="shared" ref="A182:B185" si="117">B76</f>
        <v>TCarDST_Small_00</v>
      </c>
      <c r="B182" s="1561" t="str">
        <f t="shared" si="117"/>
        <v>Existing Private Car - Small Diesel</v>
      </c>
      <c r="C182" s="1561" t="str">
        <f>Commodities!$B$17</f>
        <v>TRADSTB</v>
      </c>
      <c r="D182" s="1561" t="s">
        <v>745</v>
      </c>
      <c r="E182" s="1656">
        <f>'CAR Mileage'!C166</f>
        <v>12055.403221248462</v>
      </c>
      <c r="F182" s="1656">
        <f>'CAR Mileage'!D166</f>
        <v>12329.508134934818</v>
      </c>
      <c r="G182" s="1656">
        <f>'CAR Mileage'!E166</f>
        <v>12289.994530109416</v>
      </c>
      <c r="H182" s="1656">
        <f>'CAR Mileage'!F166</f>
        <v>12132.248820388068</v>
      </c>
      <c r="I182" s="1656">
        <f>'CAR Mileage'!G166</f>
        <v>11936.002214693366</v>
      </c>
      <c r="J182" s="1656">
        <f>'CAR Mileage'!H166</f>
        <v>11724.54216401773</v>
      </c>
      <c r="K182" s="1656">
        <f>'CAR Mileage'!I166</f>
        <v>11512.060106966872</v>
      </c>
      <c r="L182" s="1656">
        <f>'CAR Mileage'!J166</f>
        <v>11313.564032705202</v>
      </c>
      <c r="M182" s="1656">
        <f>'CAR Mileage'!K166</f>
        <v>11145.087771140126</v>
      </c>
      <c r="N182" s="1656">
        <f>'CAR Mileage'!L166</f>
        <v>11006.816336318365</v>
      </c>
      <c r="O182" s="1656">
        <f>'CAR Mileage'!M166</f>
        <v>10882.756462158761</v>
      </c>
      <c r="P182" s="1656">
        <f>'CAR Mileage'!N166</f>
        <v>10756.470814162063</v>
      </c>
      <c r="Q182" s="1656">
        <f>'CAR Mileage'!O166</f>
        <v>10629.491381956319</v>
      </c>
      <c r="R182" s="1656">
        <f>'CAR Mileage'!P166</f>
        <v>10495.396640048455</v>
      </c>
      <c r="S182" s="1656">
        <f>'CAR Mileage'!Q166</f>
        <v>10351.111266020489</v>
      </c>
      <c r="T182" s="1656">
        <f>'CAR Mileage'!R166</f>
        <v>10227.655512598763</v>
      </c>
      <c r="U182" s="1656">
        <f>'CAR Mileage'!S166</f>
        <v>10147.391544784952</v>
      </c>
      <c r="V182" s="1656">
        <f>'CAR Mileage'!T166</f>
        <v>10147.391544784952</v>
      </c>
      <c r="W182" s="1656">
        <f>'CAR Mileage'!U166</f>
        <v>10147.391544784954</v>
      </c>
      <c r="X182" s="1656">
        <f>'CAR Mileage'!V166</f>
        <v>10147.391544784954</v>
      </c>
      <c r="Y182" s="1656">
        <f>'CAR Mileage'!W166</f>
        <v>10147.391544784954</v>
      </c>
      <c r="Z182" s="1656">
        <f>'CAR Mileage'!X166</f>
        <v>10147.391544784956</v>
      </c>
      <c r="AA182" s="1656">
        <f>'CAR Mileage'!Y166</f>
        <v>10147.391544784956</v>
      </c>
      <c r="AB182" s="1656">
        <f>'CAR Mileage'!Z166</f>
        <v>10147.391544784954</v>
      </c>
      <c r="AC182" s="1656">
        <f>'CAR Mileage'!AA166</f>
        <v>10147.391544784954</v>
      </c>
      <c r="AD182" s="1656"/>
      <c r="AE182" s="1656"/>
      <c r="AF182" s="1656"/>
      <c r="AG182" s="1656"/>
    </row>
    <row r="183" spans="1:33">
      <c r="A183" s="1561" t="str">
        <f t="shared" si="117"/>
        <v>TCarDST_LM_00</v>
      </c>
      <c r="B183" s="1561" t="str">
        <f t="shared" si="117"/>
        <v>Existing Private Car - Light Medium Diesel</v>
      </c>
      <c r="C183" s="1561" t="str">
        <f>Commodities!$B$17</f>
        <v>TRADSTB</v>
      </c>
      <c r="D183" s="1561" t="s">
        <v>745</v>
      </c>
      <c r="E183" s="1656">
        <f>'CAR Mileage'!C195</f>
        <v>21735.113566341472</v>
      </c>
      <c r="F183" s="1656">
        <f>'CAR Mileage'!D195</f>
        <v>21304.594916392492</v>
      </c>
      <c r="G183" s="1656">
        <f>'CAR Mileage'!E195</f>
        <v>20881.389527524669</v>
      </c>
      <c r="H183" s="1656">
        <f>'CAR Mileage'!F195</f>
        <v>20471.294809316867</v>
      </c>
      <c r="I183" s="1656">
        <f>'CAR Mileage'!G195</f>
        <v>20083.686886276759</v>
      </c>
      <c r="J183" s="1656">
        <f>'CAR Mileage'!H195</f>
        <v>19723.315528050141</v>
      </c>
      <c r="K183" s="1656">
        <f>'CAR Mileage'!I195</f>
        <v>19390.131225273461</v>
      </c>
      <c r="L183" s="1656">
        <f>'CAR Mileage'!J195</f>
        <v>19082.587186829576</v>
      </c>
      <c r="M183" s="1656">
        <f>'CAR Mileage'!K195</f>
        <v>18793.835005256551</v>
      </c>
      <c r="N183" s="1656">
        <f>'CAR Mileage'!L195</f>
        <v>18522.283441001458</v>
      </c>
      <c r="O183" s="1656">
        <f>'CAR Mileage'!M195</f>
        <v>18271.993942945464</v>
      </c>
      <c r="P183" s="1656">
        <f>'CAR Mileage'!N195</f>
        <v>18032.684007527892</v>
      </c>
      <c r="Q183" s="1656">
        <f>'CAR Mileage'!O195</f>
        <v>17792.385525059766</v>
      </c>
      <c r="R183" s="1656">
        <f>'CAR Mileage'!P195</f>
        <v>17541.950942351352</v>
      </c>
      <c r="S183" s="1656">
        <f>'CAR Mileage'!Q195</f>
        <v>17262.667666018624</v>
      </c>
      <c r="T183" s="1656">
        <f>'CAR Mileage'!R195</f>
        <v>16984.717376678771</v>
      </c>
      <c r="U183" s="1656">
        <f>'CAR Mileage'!S195</f>
        <v>16793.545148395388</v>
      </c>
      <c r="V183" s="1656">
        <f>'CAR Mileage'!T195</f>
        <v>16793.545148395391</v>
      </c>
      <c r="W183" s="1656">
        <f>'CAR Mileage'!U195</f>
        <v>16793.545148395388</v>
      </c>
      <c r="X183" s="1656">
        <f>'CAR Mileage'!V195</f>
        <v>16793.545148395388</v>
      </c>
      <c r="Y183" s="1656">
        <f>'CAR Mileage'!W195</f>
        <v>16793.545148395391</v>
      </c>
      <c r="Z183" s="1656">
        <f>'CAR Mileage'!X195</f>
        <v>16793.545148395388</v>
      </c>
      <c r="AA183" s="1656">
        <f>'CAR Mileage'!Y195</f>
        <v>16793.545148395388</v>
      </c>
      <c r="AB183" s="1656">
        <f>'CAR Mileage'!Z195</f>
        <v>16793.545148395391</v>
      </c>
      <c r="AC183" s="1656">
        <f>'CAR Mileage'!AA195</f>
        <v>16793.545148395388</v>
      </c>
      <c r="AD183" s="1656"/>
      <c r="AE183" s="1656"/>
      <c r="AF183" s="1656"/>
      <c r="AG183" s="1656"/>
    </row>
    <row r="184" spans="1:33">
      <c r="A184" s="1561" t="str">
        <f t="shared" si="117"/>
        <v>TCarDST_HM_00</v>
      </c>
      <c r="B184" s="1561" t="str">
        <f t="shared" si="117"/>
        <v>Existing Private Car - Heavy Medium Diesel</v>
      </c>
      <c r="C184" s="1561" t="str">
        <f>Commodities!$B$17</f>
        <v>TRADSTB</v>
      </c>
      <c r="D184" s="1561" t="s">
        <v>745</v>
      </c>
      <c r="E184" s="1656">
        <f>'CAR Mileage'!C224</f>
        <v>23932.524688240166</v>
      </c>
      <c r="F184" s="1656">
        <f>'CAR Mileage'!D224</f>
        <v>23582.701740625358</v>
      </c>
      <c r="G184" s="1656">
        <f>'CAR Mileage'!E224</f>
        <v>23220.123530748402</v>
      </c>
      <c r="H184" s="1656">
        <f>'CAR Mileage'!F224</f>
        <v>22873.114379120896</v>
      </c>
      <c r="I184" s="1656">
        <f>'CAR Mileage'!G224</f>
        <v>22551.147284335893</v>
      </c>
      <c r="J184" s="1656">
        <f>'CAR Mileage'!H224</f>
        <v>22252.209100218468</v>
      </c>
      <c r="K184" s="1656">
        <f>'CAR Mileage'!I224</f>
        <v>21968.873227693231</v>
      </c>
      <c r="L184" s="1656">
        <f>'CAR Mileage'!J224</f>
        <v>21697.076001165453</v>
      </c>
      <c r="M184" s="1656">
        <f>'CAR Mileage'!K224</f>
        <v>21434.906988515064</v>
      </c>
      <c r="N184" s="1656">
        <f>'CAR Mileage'!L224</f>
        <v>21190.85749093624</v>
      </c>
      <c r="O184" s="1656">
        <f>'CAR Mileage'!M224</f>
        <v>20960.903571241219</v>
      </c>
      <c r="P184" s="1656">
        <f>'CAR Mileage'!N224</f>
        <v>20730.935295047024</v>
      </c>
      <c r="Q184" s="1656">
        <f>'CAR Mileage'!O224</f>
        <v>20477.917793300279</v>
      </c>
      <c r="R184" s="1656">
        <f>'CAR Mileage'!P224</f>
        <v>20189.50206914706</v>
      </c>
      <c r="S184" s="1656">
        <f>'CAR Mileage'!Q224</f>
        <v>19867.518885377467</v>
      </c>
      <c r="T184" s="1656">
        <f>'CAR Mileage'!R224</f>
        <v>19535.719046030263</v>
      </c>
      <c r="U184" s="1656">
        <f>'CAR Mileage'!S224</f>
        <v>19284.088862728917</v>
      </c>
      <c r="V184" s="1656">
        <f>'CAR Mileage'!T224</f>
        <v>19284.088862728917</v>
      </c>
      <c r="W184" s="1656">
        <f>'CAR Mileage'!U224</f>
        <v>19284.088862728921</v>
      </c>
      <c r="X184" s="1656">
        <f>'CAR Mileage'!V224</f>
        <v>19284.088862728924</v>
      </c>
      <c r="Y184" s="1656">
        <f>'CAR Mileage'!W224</f>
        <v>19284.088862728913</v>
      </c>
      <c r="Z184" s="1656">
        <f>'CAR Mileage'!X224</f>
        <v>19284.088862728921</v>
      </c>
      <c r="AA184" s="1656">
        <f>'CAR Mileage'!Y224</f>
        <v>19284.088862728917</v>
      </c>
      <c r="AB184" s="1656">
        <f>'CAR Mileage'!Z224</f>
        <v>19284.088862728921</v>
      </c>
      <c r="AC184" s="1656">
        <f>'CAR Mileage'!AA224</f>
        <v>19284.088862728921</v>
      </c>
      <c r="AD184" s="1656"/>
      <c r="AE184" s="1656"/>
      <c r="AF184" s="1656"/>
      <c r="AG184" s="1656"/>
    </row>
    <row r="185" spans="1:33">
      <c r="A185" s="1561" t="str">
        <f t="shared" si="117"/>
        <v>TCarDST_Large_00</v>
      </c>
      <c r="B185" s="1561" t="str">
        <f t="shared" si="117"/>
        <v>Existing Private Car - Large Diesel</v>
      </c>
      <c r="C185" s="1561" t="str">
        <f>Commodities!$B$17</f>
        <v>TRADSTB</v>
      </c>
      <c r="D185" s="1561" t="s">
        <v>745</v>
      </c>
      <c r="E185" s="1656">
        <f>'CAR Mileage'!C253</f>
        <v>24183.218282696154</v>
      </c>
      <c r="F185" s="1656">
        <f>'CAR Mileage'!D253</f>
        <v>23860.824208234986</v>
      </c>
      <c r="G185" s="1656">
        <f>'CAR Mileage'!E253</f>
        <v>23503.384589125664</v>
      </c>
      <c r="H185" s="1656">
        <f>'CAR Mileage'!F253</f>
        <v>23148.281227510499</v>
      </c>
      <c r="I185" s="1656">
        <f>'CAR Mileage'!G253</f>
        <v>22810.622065383512</v>
      </c>
      <c r="J185" s="1656">
        <f>'CAR Mileage'!H253</f>
        <v>22499.15503229251</v>
      </c>
      <c r="K185" s="1656">
        <f>'CAR Mileage'!I253</f>
        <v>22215.968124202634</v>
      </c>
      <c r="L185" s="1656">
        <f>'CAR Mileage'!J253</f>
        <v>21957.929150277669</v>
      </c>
      <c r="M185" s="1656">
        <f>'CAR Mileage'!K253</f>
        <v>21721.4836111818</v>
      </c>
      <c r="N185" s="1656">
        <f>'CAR Mileage'!L253</f>
        <v>21498.379784588378</v>
      </c>
      <c r="O185" s="1656">
        <f>'CAR Mileage'!M253</f>
        <v>21274.275398724571</v>
      </c>
      <c r="P185" s="1656">
        <f>'CAR Mileage'!N253</f>
        <v>21028.040619526688</v>
      </c>
      <c r="Q185" s="1656">
        <f>'CAR Mileage'!O253</f>
        <v>20739.221574466559</v>
      </c>
      <c r="R185" s="1656">
        <f>'CAR Mileage'!P253</f>
        <v>20420.355494021078</v>
      </c>
      <c r="S185" s="1656">
        <f>'CAR Mileage'!Q253</f>
        <v>20076.67209603317</v>
      </c>
      <c r="T185" s="1656">
        <f>'CAR Mileage'!R253</f>
        <v>19723.079929804877</v>
      </c>
      <c r="U185" s="1656">
        <f>'CAR Mileage'!S253</f>
        <v>19447.318974948426</v>
      </c>
      <c r="V185" s="1656">
        <f>'CAR Mileage'!T253</f>
        <v>19447.318974948419</v>
      </c>
      <c r="W185" s="1656">
        <f>'CAR Mileage'!U253</f>
        <v>19447.318974948426</v>
      </c>
      <c r="X185" s="1656">
        <f>'CAR Mileage'!V253</f>
        <v>19447.318974948423</v>
      </c>
      <c r="Y185" s="1656">
        <f>'CAR Mileage'!W253</f>
        <v>19447.318974948423</v>
      </c>
      <c r="Z185" s="1656">
        <f>'CAR Mileage'!X253</f>
        <v>19447.318974948423</v>
      </c>
      <c r="AA185" s="1656">
        <f>'CAR Mileage'!Y253</f>
        <v>19447.318974948423</v>
      </c>
      <c r="AB185" s="1656">
        <f>'CAR Mileage'!Z253</f>
        <v>19447.318974948423</v>
      </c>
      <c r="AC185" s="1656">
        <f>'CAR Mileage'!AA253</f>
        <v>19447.318974948423</v>
      </c>
      <c r="AD185" s="1656"/>
      <c r="AE185" s="1656"/>
      <c r="AF185" s="1656"/>
      <c r="AG185" s="1656"/>
    </row>
    <row r="186" spans="1:33">
      <c r="A186" s="1631" t="s">
        <v>757</v>
      </c>
      <c r="B186" s="1632"/>
      <c r="C186" s="1632"/>
      <c r="D186" s="1632"/>
      <c r="E186" s="1633"/>
      <c r="F186" s="1633"/>
      <c r="G186" s="1633"/>
      <c r="H186" s="1633"/>
      <c r="I186" s="1633"/>
      <c r="J186" s="1633"/>
      <c r="K186" s="1633"/>
      <c r="L186" s="1633"/>
      <c r="M186" s="1633"/>
      <c r="N186" s="1633"/>
      <c r="O186" s="1633"/>
      <c r="P186" s="1633"/>
      <c r="Q186" s="1633"/>
      <c r="R186" s="1633"/>
      <c r="S186" s="1633"/>
      <c r="T186" s="1633"/>
      <c r="U186" s="1633"/>
      <c r="V186" s="1633"/>
      <c r="W186" s="1633"/>
      <c r="X186" s="1633"/>
      <c r="Y186" s="1633"/>
      <c r="Z186" s="1633"/>
      <c r="AA186" s="1633"/>
      <c r="AB186" s="1633"/>
      <c r="AC186" s="1633"/>
      <c r="AD186" s="1633"/>
      <c r="AE186" s="1633"/>
      <c r="AF186" s="1633"/>
      <c r="AG186" s="1633"/>
    </row>
    <row r="187" spans="1:33">
      <c r="A187" s="1561" t="str">
        <f t="shared" ref="A187:B190" si="118">B81</f>
        <v>*TCarE85_Small_00</v>
      </c>
      <c r="B187" s="1561" t="str">
        <f t="shared" si="118"/>
        <v>Existing Private Car - Small Petrol and Ethanol</v>
      </c>
      <c r="C187" s="1561" t="str">
        <f>Commodities!$B$16</f>
        <v>TRAGSLE</v>
      </c>
      <c r="D187" s="1561" t="s">
        <v>745</v>
      </c>
      <c r="E187" s="1656">
        <f>'CAR Mileage'!C282</f>
        <v>0</v>
      </c>
      <c r="F187" s="1656">
        <f>'CAR Mileage'!D282</f>
        <v>0</v>
      </c>
      <c r="G187" s="1656">
        <f>'CAR Mileage'!E282</f>
        <v>0</v>
      </c>
      <c r="H187" s="1656">
        <f>'CAR Mileage'!F282</f>
        <v>0</v>
      </c>
      <c r="I187" s="1656">
        <f>'CAR Mileage'!G282</f>
        <v>0</v>
      </c>
      <c r="J187" s="1656">
        <f>'CAR Mileage'!H282</f>
        <v>0</v>
      </c>
      <c r="K187" s="1656">
        <f>'CAR Mileage'!I282</f>
        <v>0</v>
      </c>
      <c r="L187" s="1656">
        <f>'CAR Mileage'!J282</f>
        <v>0</v>
      </c>
      <c r="M187" s="1656">
        <f>'CAR Mileage'!K282</f>
        <v>0</v>
      </c>
      <c r="N187" s="1656">
        <f>'CAR Mileage'!L282</f>
        <v>0</v>
      </c>
      <c r="O187" s="1656">
        <f>'CAR Mileage'!M282</f>
        <v>0</v>
      </c>
      <c r="P187" s="1656">
        <f>'CAR Mileage'!N282</f>
        <v>0</v>
      </c>
      <c r="Q187" s="1656">
        <f>'CAR Mileage'!O282</f>
        <v>0</v>
      </c>
      <c r="R187" s="1656">
        <f>'CAR Mileage'!P282</f>
        <v>0</v>
      </c>
      <c r="S187" s="1656">
        <f>'CAR Mileage'!Q282</f>
        <v>0</v>
      </c>
      <c r="T187" s="1656">
        <f>'CAR Mileage'!R282</f>
        <v>0</v>
      </c>
      <c r="U187" s="1656">
        <f>'CAR Mileage'!S282</f>
        <v>0</v>
      </c>
      <c r="V187" s="1656">
        <f>'CAR Mileage'!T282</f>
        <v>0</v>
      </c>
      <c r="W187" s="1656">
        <f>'CAR Mileage'!U282</f>
        <v>0</v>
      </c>
      <c r="X187" s="1656">
        <f>'CAR Mileage'!V282</f>
        <v>0</v>
      </c>
      <c r="Y187" s="1656">
        <f>'CAR Mileage'!W282</f>
        <v>0</v>
      </c>
      <c r="Z187" s="1656">
        <f>'CAR Mileage'!X282</f>
        <v>0</v>
      </c>
      <c r="AA187" s="1656">
        <f>'CAR Mileage'!Y282</f>
        <v>0</v>
      </c>
      <c r="AB187" s="1656">
        <f>'CAR Mileage'!Z282</f>
        <v>0</v>
      </c>
      <c r="AC187" s="1656">
        <f>'CAR Mileage'!AA282</f>
        <v>0</v>
      </c>
      <c r="AD187" s="1656"/>
      <c r="AE187" s="1656"/>
      <c r="AF187" s="1656"/>
      <c r="AG187" s="1656"/>
    </row>
    <row r="188" spans="1:33">
      <c r="A188" s="1561" t="str">
        <f t="shared" si="118"/>
        <v>TCarE85_LM_00</v>
      </c>
      <c r="B188" s="1561" t="str">
        <f t="shared" si="118"/>
        <v>Existing Private Car - Light Medium Petrol and Ethanol</v>
      </c>
      <c r="C188" s="1561" t="str">
        <f>Commodities!$B$16</f>
        <v>TRAGSLE</v>
      </c>
      <c r="D188" s="1561" t="s">
        <v>745</v>
      </c>
      <c r="E188" s="1656">
        <f>'CAR Mileage'!C311</f>
        <v>16662.406327474131</v>
      </c>
      <c r="F188" s="1656">
        <f>'CAR Mileage'!D311</f>
        <v>16329.216044697507</v>
      </c>
      <c r="G188" s="1656">
        <f>'CAR Mileage'!E311</f>
        <v>16002.713898319149</v>
      </c>
      <c r="H188" s="1656">
        <f>'CAR Mileage'!F311</f>
        <v>15682.750155189869</v>
      </c>
      <c r="I188" s="1656">
        <f>'CAR Mileage'!G311</f>
        <v>15369.378311181403</v>
      </c>
      <c r="J188" s="1656">
        <f>'CAR Mileage'!H311</f>
        <v>15063.445131586672</v>
      </c>
      <c r="K188" s="1656">
        <f>'CAR Mileage'!I311</f>
        <v>14767.441801892739</v>
      </c>
      <c r="L188" s="1656">
        <f>'CAR Mileage'!J311</f>
        <v>14484.656120540907</v>
      </c>
      <c r="M188" s="1656">
        <f>'CAR Mileage'!K311</f>
        <v>14216.429742573497</v>
      </c>
      <c r="N188" s="1656">
        <f>'CAR Mileage'!L311</f>
        <v>13962.09002784835</v>
      </c>
      <c r="O188" s="1656">
        <f>'CAR Mileage'!M311</f>
        <v>13721.964133897733</v>
      </c>
      <c r="P188" s="1656">
        <f>'CAR Mileage'!N311</f>
        <v>13494.137380426169</v>
      </c>
      <c r="Q188" s="1656">
        <f>'CAR Mileage'!O311</f>
        <v>13273.355782567631</v>
      </c>
      <c r="R188" s="1656">
        <f>'CAR Mileage'!P311</f>
        <v>13055.911382262226</v>
      </c>
      <c r="S188" s="1656">
        <f>'CAR Mileage'!Q311</f>
        <v>12828.505570659358</v>
      </c>
      <c r="T188" s="1656">
        <f>'CAR Mileage'!R311</f>
        <v>12609.619499581206</v>
      </c>
      <c r="U188" s="1656">
        <f>'CAR Mileage'!S311</f>
        <v>12430.117152516248</v>
      </c>
      <c r="V188" s="1656">
        <f>'CAR Mileage'!T311</f>
        <v>12430.11715251625</v>
      </c>
      <c r="W188" s="1656">
        <f>'CAR Mileage'!U311</f>
        <v>12430.117152516244</v>
      </c>
      <c r="X188" s="1656">
        <f>'CAR Mileage'!V311</f>
        <v>12430.117152516248</v>
      </c>
      <c r="Y188" s="1656">
        <f>'CAR Mileage'!W311</f>
        <v>12430.117152516248</v>
      </c>
      <c r="Z188" s="1656">
        <f>'CAR Mileage'!X311</f>
        <v>12430.117152516246</v>
      </c>
      <c r="AA188" s="1656">
        <f>'CAR Mileage'!Y311</f>
        <v>12430.117152516244</v>
      </c>
      <c r="AB188" s="1656">
        <f>'CAR Mileage'!Z311</f>
        <v>12430.117152516246</v>
      </c>
      <c r="AC188" s="1656">
        <f>'CAR Mileage'!AA311</f>
        <v>12430.117152516246</v>
      </c>
      <c r="AD188" s="1656"/>
      <c r="AE188" s="1656"/>
      <c r="AF188" s="1656"/>
      <c r="AG188" s="1656"/>
    </row>
    <row r="189" spans="1:33">
      <c r="A189" s="1561" t="str">
        <f t="shared" si="118"/>
        <v>TCarE85_HM_00</v>
      </c>
      <c r="B189" s="1561" t="str">
        <f t="shared" si="118"/>
        <v>Existing Private Car - Heavy Medium Petrol and Ethanol</v>
      </c>
      <c r="C189" s="1561" t="str">
        <f>Commodities!$B$16</f>
        <v>TRAGSLE</v>
      </c>
      <c r="D189" s="1561" t="s">
        <v>745</v>
      </c>
      <c r="E189" s="1656">
        <f>'CAR Mileage'!C340</f>
        <v>17913.615677046884</v>
      </c>
      <c r="F189" s="1656">
        <f>'CAR Mileage'!D340</f>
        <v>17555.345746774103</v>
      </c>
      <c r="G189" s="1656">
        <f>'CAR Mileage'!E340</f>
        <v>17204.34443895995</v>
      </c>
      <c r="H189" s="1656">
        <f>'CAR Mileage'!F340</f>
        <v>16861.4545948499</v>
      </c>
      <c r="I189" s="1656">
        <f>'CAR Mileage'!G340</f>
        <v>16529.333273145814</v>
      </c>
      <c r="J189" s="1656">
        <f>'CAR Mileage'!H340</f>
        <v>16208.884075061416</v>
      </c>
      <c r="K189" s="1656">
        <f>'CAR Mileage'!I340</f>
        <v>15899.652426169094</v>
      </c>
      <c r="L189" s="1656">
        <f>'CAR Mileage'!J340</f>
        <v>15601.468343991281</v>
      </c>
      <c r="M189" s="1656">
        <f>'CAR Mileage'!K340</f>
        <v>15313.924368583212</v>
      </c>
      <c r="N189" s="1656">
        <f>'CAR Mileage'!L340</f>
        <v>15037.437283821651</v>
      </c>
      <c r="O189" s="1656">
        <f>'CAR Mileage'!M340</f>
        <v>14773.777064698648</v>
      </c>
      <c r="P189" s="1656">
        <f>'CAR Mileage'!N340</f>
        <v>14522.734181033944</v>
      </c>
      <c r="Q189" s="1656">
        <f>'CAR Mileage'!O340</f>
        <v>14273.77152787926</v>
      </c>
      <c r="R189" s="1656">
        <f>'CAR Mileage'!P340</f>
        <v>14152.431153132498</v>
      </c>
      <c r="S189" s="1656">
        <f>'CAR Mileage'!Q340</f>
        <v>14090.720107705582</v>
      </c>
      <c r="T189" s="1656">
        <f>'CAR Mileage'!R340</f>
        <v>14090.72010770558</v>
      </c>
      <c r="U189" s="1656">
        <f>'CAR Mileage'!S340</f>
        <v>14090.720107705578</v>
      </c>
      <c r="V189" s="1656">
        <f>'CAR Mileage'!T340</f>
        <v>14090.72010770558</v>
      </c>
      <c r="W189" s="1656">
        <f>'CAR Mileage'!U340</f>
        <v>14090.720107705582</v>
      </c>
      <c r="X189" s="1656">
        <f>'CAR Mileage'!V340</f>
        <v>14090.720107705583</v>
      </c>
      <c r="Y189" s="1656">
        <f>'CAR Mileage'!W340</f>
        <v>14090.720107705582</v>
      </c>
      <c r="Z189" s="1656">
        <f>'CAR Mileage'!X340</f>
        <v>14090.72010770558</v>
      </c>
      <c r="AA189" s="1656">
        <f>'CAR Mileage'!Y340</f>
        <v>14090.72010770558</v>
      </c>
      <c r="AB189" s="1656">
        <f>'CAR Mileage'!Z340</f>
        <v>0</v>
      </c>
      <c r="AC189" s="1656">
        <f>'CAR Mileage'!AA340</f>
        <v>0</v>
      </c>
      <c r="AD189" s="1656"/>
      <c r="AE189" s="1656"/>
      <c r="AF189" s="1656"/>
      <c r="AG189" s="1656"/>
    </row>
    <row r="190" spans="1:33">
      <c r="A190" s="1561" t="str">
        <f t="shared" si="118"/>
        <v>TCarE85_Large_00</v>
      </c>
      <c r="B190" s="1561" t="str">
        <f t="shared" si="118"/>
        <v>Existing Private Car - Large Petrol and Ethanol</v>
      </c>
      <c r="C190" s="1561" t="str">
        <f>Commodities!$B$16</f>
        <v>TRAGSLE</v>
      </c>
      <c r="D190" s="1561" t="s">
        <v>745</v>
      </c>
      <c r="E190" s="1656">
        <f>'CAR Mileage'!C369</f>
        <v>17118.431436709459</v>
      </c>
      <c r="F190" s="1656">
        <f>'CAR Mileage'!D369</f>
        <v>16776.062807975271</v>
      </c>
      <c r="G190" s="1656">
        <f>'CAR Mileage'!E369</f>
        <v>16440.558584060454</v>
      </c>
      <c r="H190" s="1656">
        <f>'CAR Mileage'!F369</f>
        <v>16111.958450731605</v>
      </c>
      <c r="I190" s="1656">
        <f>'CAR Mileage'!G369</f>
        <v>15792.203495595511</v>
      </c>
      <c r="J190" s="1656">
        <f>'CAR Mileage'!H369</f>
        <v>15484.115065437325</v>
      </c>
      <c r="K190" s="1656">
        <f>'CAR Mileage'!I369</f>
        <v>15186.155398345938</v>
      </c>
      <c r="L190" s="1656">
        <f>'CAR Mileage'!J369</f>
        <v>14897.679433739268</v>
      </c>
      <c r="M190" s="1656">
        <f>'CAR Mileage'!K369</f>
        <v>14617.848116212672</v>
      </c>
      <c r="N190" s="1656">
        <f>'CAR Mileage'!L369</f>
        <v>14347.083944833003</v>
      </c>
      <c r="O190" s="1656">
        <f>'CAR Mileage'!M369</f>
        <v>14087.429311126547</v>
      </c>
      <c r="P190" s="1656">
        <f>'CAR Mileage'!N369</f>
        <v>13838.401704288006</v>
      </c>
      <c r="Q190" s="1656">
        <f>'CAR Mileage'!O369</f>
        <v>13611.150418680865</v>
      </c>
      <c r="R190" s="1656">
        <f>'CAR Mileage'!P369</f>
        <v>13553.356355479918</v>
      </c>
      <c r="S190" s="1656">
        <f>'CAR Mileage'!Q369</f>
        <v>13517.084445482385</v>
      </c>
      <c r="T190" s="1656">
        <f>'CAR Mileage'!R369</f>
        <v>13493.509119816048</v>
      </c>
      <c r="U190" s="1656">
        <f>'CAR Mileage'!S369</f>
        <v>13493.509119816044</v>
      </c>
      <c r="V190" s="1656">
        <f>'CAR Mileage'!T369</f>
        <v>13493.509119816046</v>
      </c>
      <c r="W190" s="1656">
        <f>'CAR Mileage'!U369</f>
        <v>13493.509119816044</v>
      </c>
      <c r="X190" s="1656">
        <f>'CAR Mileage'!V369</f>
        <v>13493.509119816044</v>
      </c>
      <c r="Y190" s="1656">
        <f>'CAR Mileage'!W369</f>
        <v>13493.509119816044</v>
      </c>
      <c r="Z190" s="1656">
        <f>'CAR Mileage'!X369</f>
        <v>13493.509119816046</v>
      </c>
      <c r="AA190" s="1656">
        <f>'CAR Mileage'!Y369</f>
        <v>13493.509119816044</v>
      </c>
      <c r="AB190" s="1656">
        <f>'CAR Mileage'!Z369</f>
        <v>13493.509119816044</v>
      </c>
      <c r="AC190" s="1656">
        <f>'CAR Mileage'!AA369</f>
        <v>0</v>
      </c>
      <c r="AD190" s="1656"/>
      <c r="AE190" s="1656"/>
      <c r="AF190" s="1656"/>
      <c r="AG190" s="1656"/>
    </row>
    <row r="191" spans="1:33">
      <c r="A191" s="1631" t="s">
        <v>758</v>
      </c>
      <c r="B191" s="1632"/>
      <c r="C191" s="1632"/>
      <c r="D191" s="1632"/>
      <c r="E191" s="1633"/>
      <c r="F191" s="1633"/>
      <c r="G191" s="1633"/>
      <c r="H191" s="1633"/>
      <c r="I191" s="1633"/>
      <c r="J191" s="1633"/>
      <c r="K191" s="1633"/>
      <c r="L191" s="1633"/>
      <c r="M191" s="1633"/>
      <c r="N191" s="1633"/>
      <c r="O191" s="1633"/>
      <c r="P191" s="1633"/>
      <c r="Q191" s="1633"/>
      <c r="R191" s="1633"/>
      <c r="S191" s="1633"/>
      <c r="T191" s="1633"/>
      <c r="U191" s="1633"/>
      <c r="V191" s="1633"/>
      <c r="W191" s="1633"/>
      <c r="X191" s="1633"/>
      <c r="Y191" s="1633"/>
      <c r="Z191" s="1633"/>
      <c r="AA191" s="1633"/>
      <c r="AB191" s="1633"/>
      <c r="AC191" s="1633"/>
      <c r="AD191" s="1633"/>
      <c r="AE191" s="1633"/>
      <c r="AF191" s="1633"/>
      <c r="AG191" s="1633"/>
    </row>
    <row r="192" spans="1:33">
      <c r="A192" s="1561" t="str">
        <f t="shared" ref="A192:B195" si="119">B86</f>
        <v>TCarPHG_Small_00</v>
      </c>
      <c r="B192" s="1561" t="str">
        <f t="shared" si="119"/>
        <v>Existing Private Car - Small Petrol and Electric</v>
      </c>
      <c r="C192" s="1561" t="str">
        <f>Commodities!$B$10&amp;","&amp;Commodities!$B$16</f>
        <v>TRAELC,TRAGSLE</v>
      </c>
      <c r="D192" s="1561" t="s">
        <v>745</v>
      </c>
      <c r="E192" s="1656">
        <f>'CAR Mileage'!C398</f>
        <v>11360.152139692511</v>
      </c>
      <c r="F192" s="1656">
        <f>'CAR Mileage'!D398</f>
        <v>11142.127650935754</v>
      </c>
      <c r="G192" s="1656">
        <f>'CAR Mileage'!E398</f>
        <v>10931.811724340681</v>
      </c>
      <c r="H192" s="1656">
        <f>'CAR Mileage'!F398</f>
        <v>10730.588534164172</v>
      </c>
      <c r="I192" s="1656">
        <f>'CAR Mileage'!G398</f>
        <v>10521.556995249346</v>
      </c>
      <c r="J192" s="1656">
        <f>'CAR Mileage'!H398</f>
        <v>10407.443689743324</v>
      </c>
      <c r="K192" s="1656">
        <f>'CAR Mileage'!I398</f>
        <v>10407.443689743326</v>
      </c>
      <c r="L192" s="1656">
        <f>'CAR Mileage'!J398</f>
        <v>10407.443689743324</v>
      </c>
      <c r="M192" s="1656">
        <f>'CAR Mileage'!K398</f>
        <v>10407.443689743324</v>
      </c>
      <c r="N192" s="1656">
        <f>'CAR Mileage'!L398</f>
        <v>10407.443689743324</v>
      </c>
      <c r="O192" s="1656">
        <f>'CAR Mileage'!M398</f>
        <v>10407.443689743324</v>
      </c>
      <c r="P192" s="1656">
        <f>'CAR Mileage'!N398</f>
        <v>10407.443689743324</v>
      </c>
      <c r="Q192" s="1656">
        <f>'CAR Mileage'!O398</f>
        <v>10407.443689743324</v>
      </c>
      <c r="R192" s="1656">
        <f>'CAR Mileage'!P398</f>
        <v>10407.443689743324</v>
      </c>
      <c r="S192" s="1656">
        <f>'CAR Mileage'!Q398</f>
        <v>0</v>
      </c>
      <c r="T192" s="1656">
        <f>'CAR Mileage'!R398</f>
        <v>0</v>
      </c>
      <c r="U192" s="1656">
        <f>'CAR Mileage'!S398</f>
        <v>0</v>
      </c>
      <c r="V192" s="1656">
        <f>'CAR Mileage'!T398</f>
        <v>0</v>
      </c>
      <c r="W192" s="1656">
        <f>'CAR Mileage'!U398</f>
        <v>0</v>
      </c>
      <c r="X192" s="1656">
        <f>'CAR Mileage'!V398</f>
        <v>0</v>
      </c>
      <c r="Y192" s="1656">
        <f>'CAR Mileage'!W398</f>
        <v>0</v>
      </c>
      <c r="Z192" s="1656">
        <f>'CAR Mileage'!X398</f>
        <v>0</v>
      </c>
      <c r="AA192" s="1656">
        <f>'CAR Mileage'!Y398</f>
        <v>0</v>
      </c>
      <c r="AB192" s="1656">
        <f>'CAR Mileage'!Z398</f>
        <v>0</v>
      </c>
      <c r="AC192" s="1656">
        <f>'CAR Mileage'!AA398</f>
        <v>0</v>
      </c>
      <c r="AD192" s="1656"/>
      <c r="AE192" s="1656"/>
      <c r="AF192" s="1656"/>
      <c r="AG192" s="1656"/>
    </row>
    <row r="193" spans="1:33">
      <c r="A193" s="1561" t="str">
        <f t="shared" si="119"/>
        <v>TCarPHG_LM_00</v>
      </c>
      <c r="B193" s="1561" t="str">
        <f t="shared" si="119"/>
        <v>Existing Private Car - Light Medium Petrol and Electric</v>
      </c>
      <c r="C193" s="1561" t="str">
        <f>Commodities!$B$10&amp;","&amp;Commodities!$B$16</f>
        <v>TRAELC,TRAGSLE</v>
      </c>
      <c r="D193" s="1561" t="s">
        <v>745</v>
      </c>
      <c r="E193" s="1656">
        <f>'CAR Mileage'!C427</f>
        <v>15617.20393521697</v>
      </c>
      <c r="F193" s="1656">
        <f>'CAR Mileage'!D427</f>
        <v>15323.436196055312</v>
      </c>
      <c r="G193" s="1656">
        <f>'CAR Mileage'!E427</f>
        <v>15041.289018642721</v>
      </c>
      <c r="H193" s="1656">
        <f>'CAR Mileage'!F427</f>
        <v>14775.608707146146</v>
      </c>
      <c r="I193" s="1656">
        <f>'CAR Mileage'!G427</f>
        <v>14527.970757188654</v>
      </c>
      <c r="J193" s="1656">
        <f>'CAR Mileage'!H427</f>
        <v>14296.214797753366</v>
      </c>
      <c r="K193" s="1656">
        <f>'CAR Mileage'!I427</f>
        <v>14077.403701859874</v>
      </c>
      <c r="L193" s="1656">
        <f>'CAR Mileage'!J427</f>
        <v>13871.243951369084</v>
      </c>
      <c r="M193" s="1656">
        <f>'CAR Mileage'!K427</f>
        <v>13680.345500478998</v>
      </c>
      <c r="N193" s="1656">
        <f>'CAR Mileage'!L427</f>
        <v>13508.65351387983</v>
      </c>
      <c r="O193" s="1656">
        <f>'CAR Mileage'!M427</f>
        <v>13357.511677171244</v>
      </c>
      <c r="P193" s="1656">
        <f>'CAR Mileage'!N427</f>
        <v>13220.451237885</v>
      </c>
      <c r="Q193" s="1656">
        <f>'CAR Mileage'!O427</f>
        <v>13075.879315203192</v>
      </c>
      <c r="R193" s="1656">
        <f>'CAR Mileage'!P427</f>
        <v>12922.367514175579</v>
      </c>
      <c r="S193" s="1656">
        <f>'CAR Mileage'!Q427</f>
        <v>12748.319168078788</v>
      </c>
      <c r="T193" s="1656">
        <f>'CAR Mileage'!R427</f>
        <v>12570.458332805565</v>
      </c>
      <c r="U193" s="1656">
        <f>'CAR Mileage'!S427</f>
        <v>12430.117152516248</v>
      </c>
      <c r="V193" s="1656">
        <f>'CAR Mileage'!T427</f>
        <v>12430.117152516248</v>
      </c>
      <c r="W193" s="1656">
        <f>'CAR Mileage'!U427</f>
        <v>12430.11715251625</v>
      </c>
      <c r="X193" s="1656">
        <f>'CAR Mileage'!V427</f>
        <v>12430.117152516243</v>
      </c>
      <c r="Y193" s="1656">
        <f>'CAR Mileage'!W427</f>
        <v>12430.117152516243</v>
      </c>
      <c r="Z193" s="1656">
        <f>'CAR Mileage'!X427</f>
        <v>12430.117152516248</v>
      </c>
      <c r="AA193" s="1656">
        <f>'CAR Mileage'!Y427</f>
        <v>12430.117152516248</v>
      </c>
      <c r="AB193" s="1656">
        <f>'CAR Mileage'!Z427</f>
        <v>12430.117152516246</v>
      </c>
      <c r="AC193" s="1656">
        <f>'CAR Mileage'!AA427</f>
        <v>12430.117152516246</v>
      </c>
      <c r="AD193" s="1656"/>
      <c r="AE193" s="1656"/>
      <c r="AF193" s="1656"/>
      <c r="AG193" s="1656"/>
    </row>
    <row r="194" spans="1:33">
      <c r="A194" s="1561" t="str">
        <f t="shared" si="119"/>
        <v>TCarPHG_HM_00</v>
      </c>
      <c r="B194" s="1561" t="str">
        <f t="shared" si="119"/>
        <v>Existing Private Car - Heavy Medium Petrol and Electric</v>
      </c>
      <c r="C194" s="1561" t="str">
        <f>Commodities!$B$10&amp;","&amp;Commodities!$B$16</f>
        <v>TRAELC,TRAGSLE</v>
      </c>
      <c r="D194" s="1561" t="s">
        <v>745</v>
      </c>
      <c r="E194" s="1656">
        <f>'CAR Mileage'!C456</f>
        <v>19068.505885920731</v>
      </c>
      <c r="F194" s="1656">
        <f>'CAR Mileage'!D456</f>
        <v>18687.135768202319</v>
      </c>
      <c r="G194" s="1656">
        <f>'CAR Mileage'!E456</f>
        <v>18313.393052838273</v>
      </c>
      <c r="H194" s="1656">
        <f>'CAR Mileage'!F456</f>
        <v>17947.125191781506</v>
      </c>
      <c r="I194" s="1656">
        <f>'CAR Mileage'!G456</f>
        <v>17588.186840616898</v>
      </c>
      <c r="J194" s="1656">
        <f>'CAR Mileage'!H456</f>
        <v>17236.576684350377</v>
      </c>
      <c r="K194" s="1656">
        <f>'CAR Mileage'!I456</f>
        <v>16893.667595305516</v>
      </c>
      <c r="L194" s="1656">
        <f>'CAR Mileage'!J456</f>
        <v>16564.858144219328</v>
      </c>
      <c r="M194" s="1656">
        <f>'CAR Mileage'!K456</f>
        <v>16254.074939733509</v>
      </c>
      <c r="N194" s="1656">
        <f>'CAR Mileage'!L456</f>
        <v>15959.445367265473</v>
      </c>
      <c r="O194" s="1656">
        <f>'CAR Mileage'!M456</f>
        <v>15679.19957966997</v>
      </c>
      <c r="P194" s="1656">
        <f>'CAR Mileage'!N456</f>
        <v>15408.166964898362</v>
      </c>
      <c r="Q194" s="1656">
        <f>'CAR Mileage'!O456</f>
        <v>15139.725608186303</v>
      </c>
      <c r="R194" s="1656">
        <f>'CAR Mileage'!P456</f>
        <v>14871.707157304769</v>
      </c>
      <c r="S194" s="1656">
        <f>'CAR Mileage'!Q456</f>
        <v>14597.64823369929</v>
      </c>
      <c r="T194" s="1656">
        <f>'CAR Mileage'!R456</f>
        <v>14324.650926215032</v>
      </c>
      <c r="U194" s="1656">
        <f>'CAR Mileage'!S456</f>
        <v>14090.720107705583</v>
      </c>
      <c r="V194" s="1656">
        <f>'CAR Mileage'!T456</f>
        <v>14090.72010770558</v>
      </c>
      <c r="W194" s="1656">
        <f>'CAR Mileage'!U456</f>
        <v>14090.72010770558</v>
      </c>
      <c r="X194" s="1656">
        <f>'CAR Mileage'!V456</f>
        <v>14090.72010770558</v>
      </c>
      <c r="Y194" s="1656">
        <f>'CAR Mileage'!W456</f>
        <v>14090.72010770558</v>
      </c>
      <c r="Z194" s="1656">
        <f>'CAR Mileage'!X456</f>
        <v>14090.72010770558</v>
      </c>
      <c r="AA194" s="1656">
        <f>'CAR Mileage'!Y456</f>
        <v>14090.720107705582</v>
      </c>
      <c r="AB194" s="1656">
        <f>'CAR Mileage'!Z456</f>
        <v>14090.720107705578</v>
      </c>
      <c r="AC194" s="1656">
        <f>'CAR Mileage'!AA456</f>
        <v>14090.72010770558</v>
      </c>
      <c r="AD194" s="1656"/>
      <c r="AE194" s="1656"/>
      <c r="AF194" s="1656"/>
      <c r="AG194" s="1656"/>
    </row>
    <row r="195" spans="1:33">
      <c r="A195" s="1561" t="str">
        <f t="shared" si="119"/>
        <v>TCarPHG_Large_00</v>
      </c>
      <c r="B195" s="1561" t="str">
        <f t="shared" si="119"/>
        <v>Existing Private Car - Large Petrol and Electric</v>
      </c>
      <c r="C195" s="1561" t="str">
        <f>Commodities!$B$10&amp;","&amp;Commodities!$B$16</f>
        <v>TRAELC,TRAGSLE</v>
      </c>
      <c r="D195" s="1561" t="s">
        <v>745</v>
      </c>
      <c r="E195" s="1656">
        <f>'CAR Mileage'!C485</f>
        <v>17207.240866170017</v>
      </c>
      <c r="F195" s="1656">
        <f>'CAR Mileage'!D485</f>
        <v>16869.55144420241</v>
      </c>
      <c r="G195" s="1656">
        <f>'CAR Mileage'!E485</f>
        <v>16540.42156732221</v>
      </c>
      <c r="H195" s="1656">
        <f>'CAR Mileage'!F485</f>
        <v>16222.188185967776</v>
      </c>
      <c r="I195" s="1656">
        <f>'CAR Mileage'!G485</f>
        <v>15923.585279464087</v>
      </c>
      <c r="J195" s="1656">
        <f>'CAR Mileage'!H485</f>
        <v>15654.161747519469</v>
      </c>
      <c r="K195" s="1656">
        <f>'CAR Mileage'!I485</f>
        <v>15421.272962394301</v>
      </c>
      <c r="L195" s="1656">
        <f>'CAR Mileage'!J485</f>
        <v>15228.94908885977</v>
      </c>
      <c r="M195" s="1656">
        <f>'CAR Mileage'!K485</f>
        <v>15071.399792691114</v>
      </c>
      <c r="N195" s="1656">
        <f>'CAR Mileage'!L485</f>
        <v>14928.556941013378</v>
      </c>
      <c r="O195" s="1656">
        <f>'CAR Mileage'!M485</f>
        <v>14772.461753323714</v>
      </c>
      <c r="P195" s="1656">
        <f>'CAR Mileage'!N485</f>
        <v>14588.063345021816</v>
      </c>
      <c r="Q195" s="1656">
        <f>'CAR Mileage'!O485</f>
        <v>14376.162170244896</v>
      </c>
      <c r="R195" s="1656">
        <f>'CAR Mileage'!P485</f>
        <v>14151.312060969423</v>
      </c>
      <c r="S195" s="1656">
        <f>'CAR Mileage'!Q485</f>
        <v>13909.289518664784</v>
      </c>
      <c r="T195" s="1656">
        <f>'CAR Mileage'!R485</f>
        <v>13672.261040675379</v>
      </c>
      <c r="U195" s="1656">
        <f>'CAR Mileage'!S485</f>
        <v>13493.509119816048</v>
      </c>
      <c r="V195" s="1656">
        <f>'CAR Mileage'!T485</f>
        <v>13493.509119816046</v>
      </c>
      <c r="W195" s="1656">
        <f>'CAR Mileage'!U485</f>
        <v>13493.509119816044</v>
      </c>
      <c r="X195" s="1656">
        <f>'CAR Mileage'!V485</f>
        <v>13493.509119816046</v>
      </c>
      <c r="Y195" s="1656">
        <f>'CAR Mileage'!W485</f>
        <v>13493.509119816044</v>
      </c>
      <c r="Z195" s="1656">
        <f>'CAR Mileage'!X485</f>
        <v>13493.509119816044</v>
      </c>
      <c r="AA195" s="1656">
        <f>'CAR Mileage'!Y485</f>
        <v>13493.509119816044</v>
      </c>
      <c r="AB195" s="1656">
        <f>'CAR Mileage'!Z485</f>
        <v>13493.509119816043</v>
      </c>
      <c r="AC195" s="1656">
        <f>'CAR Mileage'!AA485</f>
        <v>13493.509119816044</v>
      </c>
      <c r="AD195" s="1656"/>
      <c r="AE195" s="1656"/>
      <c r="AF195" s="1656"/>
      <c r="AG195" s="1656"/>
    </row>
    <row r="200" spans="1:33">
      <c r="F200" s="1680"/>
    </row>
    <row r="201" spans="1:33">
      <c r="F201" s="1680"/>
    </row>
    <row r="202" spans="1:33">
      <c r="F202" s="1680"/>
    </row>
    <row r="203" spans="1:33">
      <c r="F203" s="1680"/>
    </row>
  </sheetData>
  <mergeCells count="13">
    <mergeCell ref="S71:S89"/>
    <mergeCell ref="Q71:Q89"/>
    <mergeCell ref="A25:A52"/>
    <mergeCell ref="H57:I57"/>
    <mergeCell ref="B25:L25"/>
    <mergeCell ref="M71:M74"/>
    <mergeCell ref="M76:M79"/>
    <mergeCell ref="M81:M84"/>
    <mergeCell ref="M86:M89"/>
    <mergeCell ref="O71:O74"/>
    <mergeCell ref="O76:O79"/>
    <mergeCell ref="O81:O84"/>
    <mergeCell ref="O86:O89"/>
  </mergeCells>
  <pageMargins left="0.7" right="0.7" top="0.75" bottom="0.75" header="0.3" footer="0.3"/>
  <pageSetup paperSize="9" orientation="portrait" horizontalDpi="4294967293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7030A0"/>
  </sheetPr>
  <dimension ref="A1:AG29"/>
  <sheetViews>
    <sheetView workbookViewId="0">
      <selection activeCell="O5" sqref="O5"/>
    </sheetView>
  </sheetViews>
  <sheetFormatPr defaultRowHeight="15"/>
  <cols>
    <col min="1" max="1" width="13.7109375" style="1127" customWidth="1"/>
    <col min="2" max="2" width="12.140625" style="1127" customWidth="1"/>
    <col min="3" max="3" width="28.140625" style="1127" bestFit="1" customWidth="1"/>
    <col min="4" max="4" width="11.140625" style="1127" customWidth="1"/>
    <col min="5" max="5" width="10.5703125" style="1127" customWidth="1"/>
    <col min="6" max="16384" width="9.140625" style="1127"/>
  </cols>
  <sheetData>
    <row r="1" spans="1:33" ht="21">
      <c r="A1" s="645" t="s">
        <v>781</v>
      </c>
      <c r="B1" s="644"/>
    </row>
    <row r="3" spans="1:33">
      <c r="A3" s="651" t="s">
        <v>719</v>
      </c>
      <c r="B3" s="651"/>
      <c r="C3" s="652"/>
      <c r="D3" s="652"/>
      <c r="E3" s="652"/>
      <c r="F3" s="652"/>
      <c r="G3" s="652"/>
      <c r="H3" s="652"/>
    </row>
    <row r="4" spans="1:33" ht="15.75" thickBot="1">
      <c r="A4" s="1121" t="s">
        <v>728</v>
      </c>
      <c r="B4" s="1121" t="s">
        <v>729</v>
      </c>
      <c r="C4" s="1121" t="s">
        <v>730</v>
      </c>
      <c r="D4" s="1121" t="s">
        <v>731</v>
      </c>
      <c r="E4" s="1121" t="s">
        <v>732</v>
      </c>
      <c r="F4" s="1121" t="s">
        <v>733</v>
      </c>
      <c r="G4" s="1121" t="s">
        <v>734</v>
      </c>
      <c r="H4" s="1121" t="s">
        <v>10</v>
      </c>
      <c r="L4" s="1496" t="s">
        <v>809</v>
      </c>
      <c r="M4" s="1497"/>
      <c r="O4" s="1496" t="s">
        <v>1284</v>
      </c>
      <c r="P4" s="1497"/>
    </row>
    <row r="5" spans="1:33">
      <c r="A5" s="640" t="s">
        <v>1129</v>
      </c>
      <c r="B5" s="642"/>
      <c r="C5" s="642"/>
      <c r="D5" s="642"/>
      <c r="E5" s="649"/>
      <c r="F5" s="649"/>
      <c r="G5" s="649"/>
      <c r="H5" s="649"/>
      <c r="L5" s="1500">
        <f>E14*G21*H21*F21</f>
        <v>147.63231828526051</v>
      </c>
      <c r="M5" s="1498" t="s">
        <v>777</v>
      </c>
      <c r="O5" s="1499">
        <f>E14*G21*H21/E21/0.041868</f>
        <v>4.6069210128088462</v>
      </c>
      <c r="P5" s="1498" t="s">
        <v>1285</v>
      </c>
    </row>
    <row r="6" spans="1:33">
      <c r="A6" s="1127" t="s">
        <v>778</v>
      </c>
      <c r="B6" s="1127" t="s">
        <v>1192</v>
      </c>
      <c r="C6" s="1127" t="s">
        <v>1140</v>
      </c>
      <c r="D6" s="1127" t="s">
        <v>1130</v>
      </c>
      <c r="E6" s="1127" t="s">
        <v>735</v>
      </c>
    </row>
    <row r="9" spans="1:33" ht="21">
      <c r="A9" s="645" t="s">
        <v>752</v>
      </c>
      <c r="B9" s="644"/>
    </row>
    <row r="10" spans="1:33">
      <c r="A10" s="654"/>
      <c r="B10" s="654"/>
      <c r="C10" s="654"/>
      <c r="D10" s="657" t="s">
        <v>817</v>
      </c>
    </row>
    <row r="11" spans="1:33">
      <c r="A11" s="1129" t="s">
        <v>729</v>
      </c>
      <c r="B11" s="1129" t="s">
        <v>737</v>
      </c>
      <c r="C11" s="1129" t="s">
        <v>738</v>
      </c>
      <c r="D11" s="1129" t="s">
        <v>739</v>
      </c>
      <c r="E11" s="1130">
        <v>2012</v>
      </c>
      <c r="F11" s="1130">
        <v>2013</v>
      </c>
      <c r="G11" s="1130">
        <v>2014</v>
      </c>
      <c r="H11" s="1130">
        <v>2015</v>
      </c>
      <c r="I11" s="1130">
        <v>2016</v>
      </c>
      <c r="J11" s="1130">
        <v>2017</v>
      </c>
      <c r="K11" s="1130">
        <v>2018</v>
      </c>
      <c r="L11" s="1130">
        <v>2019</v>
      </c>
      <c r="M11" s="1130">
        <v>2020</v>
      </c>
      <c r="N11" s="1130">
        <v>2021</v>
      </c>
      <c r="O11" s="1130">
        <v>2022</v>
      </c>
      <c r="P11" s="1130">
        <v>2023</v>
      </c>
      <c r="Q11" s="1130">
        <v>2024</v>
      </c>
      <c r="R11" s="1130">
        <v>2025</v>
      </c>
      <c r="S11" s="1130">
        <v>2026</v>
      </c>
      <c r="T11" s="1130">
        <v>2027</v>
      </c>
      <c r="U11" s="1130">
        <v>2028</v>
      </c>
      <c r="V11" s="1130">
        <v>2029</v>
      </c>
      <c r="W11" s="1130">
        <v>2030</v>
      </c>
      <c r="X11" s="1130">
        <v>2031</v>
      </c>
      <c r="Y11" s="1130">
        <v>2032</v>
      </c>
      <c r="Z11" s="1130">
        <v>2033</v>
      </c>
      <c r="AA11" s="1130">
        <v>2034</v>
      </c>
      <c r="AB11" s="1130">
        <v>2035</v>
      </c>
      <c r="AC11" s="1130">
        <v>2036</v>
      </c>
      <c r="AD11" s="1130">
        <v>2037</v>
      </c>
      <c r="AE11" s="1130">
        <v>2038</v>
      </c>
      <c r="AF11" s="1130">
        <v>2039</v>
      </c>
      <c r="AG11" s="1130">
        <v>2040</v>
      </c>
    </row>
    <row r="12" spans="1:33" ht="26.25" thickBot="1">
      <c r="A12" s="1131" t="s">
        <v>740</v>
      </c>
      <c r="B12" s="1131" t="s">
        <v>741</v>
      </c>
      <c r="C12" s="1131" t="s">
        <v>742</v>
      </c>
      <c r="D12" s="1131" t="s">
        <v>743</v>
      </c>
      <c r="E12" s="1132" t="s">
        <v>735</v>
      </c>
      <c r="F12" s="1132" t="s">
        <v>735</v>
      </c>
      <c r="G12" s="1132" t="s">
        <v>735</v>
      </c>
      <c r="H12" s="1132" t="s">
        <v>735</v>
      </c>
      <c r="I12" s="1132" t="s">
        <v>735</v>
      </c>
      <c r="J12" s="1132" t="s">
        <v>735</v>
      </c>
      <c r="K12" s="1132" t="s">
        <v>735</v>
      </c>
      <c r="L12" s="1132" t="s">
        <v>735</v>
      </c>
      <c r="M12" s="1132" t="s">
        <v>735</v>
      </c>
      <c r="N12" s="1132" t="s">
        <v>735</v>
      </c>
      <c r="O12" s="1132" t="s">
        <v>735</v>
      </c>
      <c r="P12" s="1132" t="s">
        <v>735</v>
      </c>
      <c r="Q12" s="1132" t="s">
        <v>735</v>
      </c>
      <c r="R12" s="1132" t="s">
        <v>735</v>
      </c>
      <c r="S12" s="1132" t="s">
        <v>735</v>
      </c>
      <c r="T12" s="1132" t="s">
        <v>735</v>
      </c>
      <c r="U12" s="1132" t="s">
        <v>735</v>
      </c>
      <c r="V12" s="1132" t="s">
        <v>735</v>
      </c>
      <c r="W12" s="1132" t="s">
        <v>735</v>
      </c>
      <c r="X12" s="1132" t="s">
        <v>735</v>
      </c>
      <c r="Y12" s="1132" t="s">
        <v>735</v>
      </c>
      <c r="Z12" s="1132" t="s">
        <v>735</v>
      </c>
      <c r="AA12" s="1132" t="s">
        <v>735</v>
      </c>
      <c r="AB12" s="1132" t="s">
        <v>735</v>
      </c>
      <c r="AC12" s="1132" t="s">
        <v>735</v>
      </c>
      <c r="AD12" s="1132" t="s">
        <v>735</v>
      </c>
      <c r="AE12" s="1132" t="s">
        <v>735</v>
      </c>
      <c r="AF12" s="1132" t="s">
        <v>735</v>
      </c>
      <c r="AG12" s="1132" t="s">
        <v>735</v>
      </c>
    </row>
    <row r="13" spans="1:33">
      <c r="A13" s="640" t="s">
        <v>1129</v>
      </c>
      <c r="B13" s="642"/>
      <c r="C13" s="642"/>
      <c r="D13" s="642"/>
      <c r="E13" s="649"/>
      <c r="F13" s="649"/>
      <c r="G13" s="649"/>
      <c r="H13" s="649"/>
      <c r="I13" s="649"/>
      <c r="J13" s="649"/>
      <c r="K13" s="649"/>
      <c r="L13" s="649"/>
      <c r="M13" s="649"/>
      <c r="N13" s="649"/>
      <c r="O13" s="649"/>
      <c r="P13" s="649"/>
      <c r="Q13" s="649"/>
      <c r="R13" s="649"/>
      <c r="S13" s="649"/>
      <c r="T13" s="649"/>
      <c r="U13" s="649"/>
      <c r="V13" s="649"/>
      <c r="W13" s="649"/>
      <c r="X13" s="649"/>
      <c r="Y13" s="649"/>
      <c r="Z13" s="649"/>
      <c r="AA13" s="649"/>
      <c r="AB13" s="649"/>
      <c r="AC13" s="649"/>
      <c r="AD13" s="649"/>
      <c r="AE13" s="649"/>
      <c r="AF13" s="649"/>
      <c r="AG13" s="649"/>
    </row>
    <row r="14" spans="1:33">
      <c r="A14" s="1127" t="str">
        <f>$B$6</f>
        <v>TMotGSL_00</v>
      </c>
      <c r="B14" s="1127" t="str">
        <f>$C$6</f>
        <v>Motorcycle Existing - Gasoline</v>
      </c>
      <c r="C14" s="1127" t="str">
        <f>Commodities!$B$16</f>
        <v>TRAGSLE</v>
      </c>
      <c r="D14" s="1127" t="str">
        <f>Commodities!$B$23</f>
        <v>TMOT</v>
      </c>
      <c r="E14" s="1152">
        <f>'MOTO Registrations'!F7/1000</f>
        <v>35.106000000000002</v>
      </c>
      <c r="F14" s="1152">
        <f>IF($E$14*CAR!F99/CAR!$E$99=0,"",$E$14*CAR!F99/CAR!$E$99)</f>
        <v>26.498539172526751</v>
      </c>
      <c r="G14" s="1152">
        <f>IF($E$14*CAR!G99/CAR!$E$99=0,"",$E$14*CAR!G99/CAR!$E$99)</f>
        <v>20.427829474634567</v>
      </c>
      <c r="H14" s="1152">
        <f>IF($E$14*CAR!H99/CAR!$E$99=0,"",$E$14*CAR!H99/CAR!$E$99)</f>
        <v>16.115454840423642</v>
      </c>
      <c r="I14" s="1152">
        <f>IF($E$14*CAR!I99/CAR!$E$99=0,"",$E$14*CAR!I99/CAR!$E$99)</f>
        <v>12.945531892048802</v>
      </c>
      <c r="J14" s="1152">
        <f>IF($E$14*CAR!J99/CAR!$E$99=0,"",$E$14*CAR!J99/CAR!$E$99)</f>
        <v>10.381720433230413</v>
      </c>
      <c r="K14" s="1152">
        <f>IF($E$14*CAR!K99/CAR!$E$99=0,"",$E$14*CAR!K99/CAR!$E$99)</f>
        <v>8.1692099199496422</v>
      </c>
      <c r="L14" s="1152">
        <f>IF($E$14*CAR!L99/CAR!$E$99=0,"",$E$14*CAR!L99/CAR!$E$99)</f>
        <v>6.2716501963251039</v>
      </c>
      <c r="M14" s="1152">
        <f>IF($E$14*CAR!M99/CAR!$E$99=0,"",$E$14*CAR!M99/CAR!$E$99)</f>
        <v>4.6975554315917707</v>
      </c>
      <c r="N14" s="1152">
        <f>IF($E$14*CAR!N99/CAR!$E$99=0,"",$E$14*CAR!N99/CAR!$E$99)</f>
        <v>3.4279248302622567</v>
      </c>
      <c r="O14" s="1152">
        <f>IF($E$14*CAR!O99/CAR!$E$99=0,"",$E$14*CAR!O99/CAR!$E$99)</f>
        <v>2.4050960280748552</v>
      </c>
      <c r="P14" s="1152">
        <f>IF($E$14*CAR!P99/CAR!$E$99=0,"",$E$14*CAR!P99/CAR!$E$99)</f>
        <v>1.578825275244057</v>
      </c>
      <c r="Q14" s="1152">
        <f>IF($E$14*CAR!Q99/CAR!$E$99=0,"",$E$14*CAR!Q99/CAR!$E$99)</f>
        <v>0.93268031768890292</v>
      </c>
      <c r="R14" s="1152">
        <f>IF($E$14*CAR!R99/CAR!$E$99=0,"",$E$14*CAR!R99/CAR!$E$99)</f>
        <v>0.47158706334354328</v>
      </c>
      <c r="S14" s="1152">
        <f>IF($E$14*CAR!S99/CAR!$E$99=0,"",$E$14*CAR!S99/CAR!$E$99)</f>
        <v>0.19538820157223166</v>
      </c>
      <c r="T14" s="1152">
        <f>IF($E$14*CAR!T99/CAR!$E$99=0,"",$E$14*CAR!T99/CAR!$E$99)</f>
        <v>6.4499369379382082E-2</v>
      </c>
      <c r="U14" s="1152">
        <f>IF($E$14*CAR!U99/CAR!$E$99=0,"",$E$14*CAR!U99/CAR!$E$99)</f>
        <v>1.9204244281645865E-2</v>
      </c>
      <c r="V14" s="1152">
        <f>IF($E$14*CAR!V99/CAR!$E$99=0,"",$E$14*CAR!V99/CAR!$E$99)</f>
        <v>5.0921202445312029E-3</v>
      </c>
      <c r="W14" s="1152">
        <f>IF($E$14*CAR!W99/CAR!$E$99=0,"",$E$14*CAR!W99/CAR!$E$99)</f>
        <v>1.1833581976372297E-3</v>
      </c>
      <c r="X14" s="1152">
        <f>IF($E$14*CAR!X99/CAR!$E$99=0,"",$E$14*CAR!X99/CAR!$E$99)</f>
        <v>2.3605578720869571E-4</v>
      </c>
      <c r="Y14" s="1152">
        <f>IF($E$14*CAR!Y99/CAR!$E$99=0,"",$E$14*CAR!Y99/CAR!$E$99)</f>
        <v>3.9291678890002707E-5</v>
      </c>
      <c r="Z14" s="1152">
        <f>IF($E$14*CAR!Z99/CAR!$E$99=0,"",$E$14*CAR!Z99/CAR!$E$99)</f>
        <v>5.238488047191943E-6</v>
      </c>
      <c r="AA14" s="1152">
        <f>IF($E$14*CAR!AA99/CAR!$E$99=0,"",$E$14*CAR!AA99/CAR!$E$99)</f>
        <v>5.2442163401698135E-7</v>
      </c>
      <c r="AB14" s="1152">
        <f>IF($E$14*CAR!AB99/CAR!$E$99=0,"",$E$14*CAR!AB99/CAR!$E$99)</f>
        <v>3.5040230907850643E-8</v>
      </c>
      <c r="AC14" s="1152">
        <f>IF($E$14*CAR!AC99/CAR!$E$99=0,"",$E$14*CAR!AC99/CAR!$E$99)</f>
        <v>1.1720241731034619E-9</v>
      </c>
      <c r="AD14" s="1152" t="str">
        <f>IF($E$14*CAR!AD99/CAR!$E$99=0,"",$E$14*CAR!AD99/CAR!$E$99)</f>
        <v/>
      </c>
      <c r="AE14" s="1152" t="str">
        <f>IF($E$14*CAR!AE99/CAR!$E$99=0,"",$E$14*CAR!AE99/CAR!$E$99)</f>
        <v/>
      </c>
      <c r="AF14" s="1152" t="str">
        <f>IF($E$14*CAR!AF99/CAR!$E$99=0,"",$E$14*CAR!AF99/CAR!$E$99)</f>
        <v/>
      </c>
      <c r="AG14" s="1152" t="str">
        <f>IF($E$14*CAR!AG99/CAR!$E$99=0,"",$E$14*CAR!AG99/CAR!$E$99)</f>
        <v/>
      </c>
    </row>
    <row r="15" spans="1:33">
      <c r="F15" s="647"/>
    </row>
    <row r="16" spans="1:33" ht="21">
      <c r="A16" s="645" t="s">
        <v>1142</v>
      </c>
      <c r="B16" s="644"/>
    </row>
    <row r="17" spans="1:8">
      <c r="A17" s="654"/>
      <c r="B17" s="654"/>
      <c r="C17" s="654"/>
      <c r="D17" s="657" t="s">
        <v>736</v>
      </c>
    </row>
    <row r="18" spans="1:8">
      <c r="A18" s="1129" t="s">
        <v>729</v>
      </c>
      <c r="B18" s="1129" t="s">
        <v>737</v>
      </c>
      <c r="C18" s="1129" t="s">
        <v>738</v>
      </c>
      <c r="D18" s="1129" t="s">
        <v>739</v>
      </c>
      <c r="E18" s="1130" t="s">
        <v>746</v>
      </c>
      <c r="F18" s="1130" t="s">
        <v>747</v>
      </c>
      <c r="G18" s="1130" t="s">
        <v>790</v>
      </c>
      <c r="H18" s="1130" t="s">
        <v>1141</v>
      </c>
    </row>
    <row r="19" spans="1:8" ht="26.25" thickBot="1">
      <c r="A19" s="1131" t="s">
        <v>740</v>
      </c>
      <c r="B19" s="1131" t="s">
        <v>741</v>
      </c>
      <c r="C19" s="1131" t="s">
        <v>742</v>
      </c>
      <c r="D19" s="1131" t="s">
        <v>743</v>
      </c>
      <c r="E19" s="1132" t="s">
        <v>749</v>
      </c>
      <c r="F19" s="1132" t="s">
        <v>748</v>
      </c>
      <c r="G19" s="1132"/>
      <c r="H19" s="1132" t="s">
        <v>750</v>
      </c>
    </row>
    <row r="20" spans="1:8">
      <c r="A20" s="640" t="s">
        <v>1129</v>
      </c>
      <c r="B20" s="642"/>
      <c r="C20" s="642"/>
      <c r="D20" s="642"/>
      <c r="E20" s="649"/>
      <c r="F20" s="649"/>
      <c r="G20" s="649"/>
      <c r="H20" s="649"/>
    </row>
    <row r="21" spans="1:8">
      <c r="A21" s="1127" t="str">
        <f>$B$6</f>
        <v>TMotGSL_00</v>
      </c>
      <c r="B21" s="1127" t="str">
        <f>$C$6</f>
        <v>Motorcycle Existing - Gasoline</v>
      </c>
      <c r="C21" s="1127" t="str">
        <f>Commodities!$B$16</f>
        <v>TRAGSLE</v>
      </c>
      <c r="D21" s="1127" t="str">
        <f>Commodities!$B$23</f>
        <v>TMOT</v>
      </c>
      <c r="E21" s="639">
        <f>1000*'MOTO Efficiency'!F6</f>
        <v>765.4</v>
      </c>
      <c r="F21" s="648">
        <v>1</v>
      </c>
      <c r="G21" s="639">
        <v>1E-3</v>
      </c>
      <c r="H21" s="646">
        <f>'MOTO Mileages'!F6</f>
        <v>4205.3300941508714</v>
      </c>
    </row>
    <row r="24" spans="1:8">
      <c r="F24" s="647"/>
    </row>
    <row r="25" spans="1:8">
      <c r="F25" s="647"/>
    </row>
    <row r="26" spans="1:8">
      <c r="F26" s="647"/>
    </row>
    <row r="27" spans="1:8">
      <c r="F27" s="647"/>
    </row>
    <row r="28" spans="1:8">
      <c r="F28" s="647"/>
    </row>
    <row r="29" spans="1:8">
      <c r="F29" s="64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2">
    <tabColor theme="5"/>
  </sheetPr>
  <dimension ref="A1:AG172"/>
  <sheetViews>
    <sheetView topLeftCell="A34" zoomScale="85" zoomScaleNormal="85" workbookViewId="0">
      <selection activeCell="B58" sqref="B58"/>
    </sheetView>
  </sheetViews>
  <sheetFormatPr defaultRowHeight="15"/>
  <cols>
    <col min="1" max="1" width="19.28515625" bestFit="1" customWidth="1"/>
    <col min="2" max="2" width="24.85546875" bestFit="1" customWidth="1"/>
    <col min="3" max="4" width="12.85546875" bestFit="1" customWidth="1"/>
    <col min="5" max="5" width="17" bestFit="1" customWidth="1"/>
    <col min="6" max="6" width="12.85546875" bestFit="1" customWidth="1"/>
    <col min="7" max="7" width="13.5703125" bestFit="1" customWidth="1"/>
    <col min="8" max="8" width="15" customWidth="1"/>
    <col min="9" max="9" width="13.5703125" bestFit="1" customWidth="1"/>
    <col min="10" max="10" width="17.140625" bestFit="1" customWidth="1"/>
    <col min="11" max="12" width="11.5703125" bestFit="1" customWidth="1"/>
    <col min="13" max="13" width="12.85546875" bestFit="1" customWidth="1"/>
    <col min="14" max="23" width="11.42578125" bestFit="1" customWidth="1"/>
    <col min="24" max="29" width="9.140625" bestFit="1" customWidth="1"/>
    <col min="30" max="30" width="8.5703125" bestFit="1" customWidth="1"/>
    <col min="31" max="33" width="9.42578125" bestFit="1" customWidth="1"/>
  </cols>
  <sheetData>
    <row r="1" spans="1:30">
      <c r="A1" s="168" t="s">
        <v>191</v>
      </c>
      <c r="B1" s="169">
        <v>2012</v>
      </c>
      <c r="C1" s="169">
        <v>2013</v>
      </c>
      <c r="D1" s="169">
        <v>2014</v>
      </c>
      <c r="E1" s="169">
        <v>2015</v>
      </c>
      <c r="F1" s="169">
        <v>2016</v>
      </c>
      <c r="G1" s="169">
        <v>2017</v>
      </c>
      <c r="H1" s="169">
        <v>2018</v>
      </c>
      <c r="I1" s="169">
        <v>2019</v>
      </c>
      <c r="J1" s="169">
        <v>2020</v>
      </c>
      <c r="K1" s="169">
        <v>2021</v>
      </c>
      <c r="L1" s="169">
        <v>2022</v>
      </c>
      <c r="M1" s="169">
        <v>2023</v>
      </c>
      <c r="N1" s="169">
        <v>2024</v>
      </c>
      <c r="O1" s="169">
        <v>2025</v>
      </c>
      <c r="P1" s="169">
        <v>2026</v>
      </c>
      <c r="Q1" s="169">
        <v>2027</v>
      </c>
      <c r="R1" s="169">
        <v>2028</v>
      </c>
      <c r="S1" s="169">
        <v>2029</v>
      </c>
      <c r="T1" s="169">
        <v>2030</v>
      </c>
      <c r="U1" s="169">
        <v>2031</v>
      </c>
      <c r="V1" s="169">
        <v>2032</v>
      </c>
      <c r="W1" s="169">
        <v>2033</v>
      </c>
      <c r="X1" s="169">
        <v>2034</v>
      </c>
      <c r="Y1" s="169">
        <v>2035</v>
      </c>
      <c r="Z1" s="169">
        <v>2036</v>
      </c>
      <c r="AA1" s="169">
        <v>2037</v>
      </c>
      <c r="AB1" s="169">
        <v>2038</v>
      </c>
      <c r="AC1" s="169">
        <v>2039</v>
      </c>
      <c r="AD1" s="170">
        <v>2040</v>
      </c>
    </row>
    <row r="2" spans="1:30">
      <c r="A2" s="171" t="s">
        <v>89</v>
      </c>
      <c r="B2" s="338">
        <f>'FREH Stock'!C82+'FREH Stock'!C111+'FREH Stock'!C140</f>
        <v>636.94887523882767</v>
      </c>
      <c r="C2" s="338">
        <f>'FREH Stock'!D82+'FREH Stock'!D111+'FREH Stock'!D140</f>
        <v>424.43078533743915</v>
      </c>
      <c r="D2" s="338">
        <f>'FREH Stock'!E82+'FREH Stock'!E111+'FREH Stock'!E140</f>
        <v>321.16180266043978</v>
      </c>
      <c r="E2" s="338">
        <f>'FREH Stock'!F82+'FREH Stock'!F111+'FREH Stock'!F140</f>
        <v>252.17608040303111</v>
      </c>
      <c r="F2" s="338">
        <f>'FREH Stock'!G82+'FREH Stock'!G111+'FREH Stock'!G140</f>
        <v>196.8236998472444</v>
      </c>
      <c r="G2" s="338">
        <f>'FREH Stock'!H82+'FREH Stock'!H111+'FREH Stock'!H140</f>
        <v>149.27508040525512</v>
      </c>
      <c r="H2" s="338">
        <f>'FREH Stock'!I82+'FREH Stock'!I111+'FREH Stock'!I140</f>
        <v>108.6533282054026</v>
      </c>
      <c r="I2" s="338">
        <f>'FREH Stock'!J82+'FREH Stock'!J111+'FREH Stock'!J140</f>
        <v>75.316189322738126</v>
      </c>
      <c r="J2" s="338">
        <f>'FREH Stock'!K82+'FREH Stock'!K111+'FREH Stock'!K140</f>
        <v>49.476524150428745</v>
      </c>
      <c r="K2" s="338">
        <f>'FREH Stock'!L82+'FREH Stock'!L111+'FREH Stock'!L140</f>
        <v>30.583472576918936</v>
      </c>
      <c r="L2" s="338">
        <f>'FREH Stock'!M82+'FREH Stock'!M111+'FREH Stock'!M140</f>
        <v>17.525387480288444</v>
      </c>
      <c r="M2" s="338">
        <f>'FREH Stock'!N82+'FREH Stock'!N111+'FREH Stock'!N140</f>
        <v>9.1662523393823747</v>
      </c>
      <c r="N2" s="338">
        <f>'FREH Stock'!O82+'FREH Stock'!O111+'FREH Stock'!O140</f>
        <v>4.3246944178324815</v>
      </c>
      <c r="O2" s="338">
        <f>'FREH Stock'!P82+'FREH Stock'!P111+'FREH Stock'!P140</f>
        <v>1.8259723659494893</v>
      </c>
      <c r="P2" s="338">
        <f>'FREH Stock'!Q82+'FREH Stock'!Q111+'FREH Stock'!Q140</f>
        <v>0.69959237736520008</v>
      </c>
      <c r="Q2" s="338">
        <f>'FREH Stock'!R82+'FREH Stock'!R111+'FREH Stock'!R140</f>
        <v>0.24589367446479643</v>
      </c>
      <c r="R2" s="338">
        <f>'FREH Stock'!S82+'FREH Stock'!S111+'FREH Stock'!S140</f>
        <v>7.874624663744885E-2</v>
      </c>
      <c r="S2" s="338">
        <f>'FREH Stock'!T82+'FREH Stock'!T111+'FREH Stock'!T140</f>
        <v>2.2573918458667044E-2</v>
      </c>
      <c r="T2" s="338">
        <f>'FREH Stock'!U82+'FREH Stock'!U111+'FREH Stock'!U140</f>
        <v>5.6700054941810412E-3</v>
      </c>
      <c r="U2" s="338">
        <f>'FREH Stock'!V82+'FREH Stock'!V111+'FREH Stock'!V140</f>
        <v>1.2147572912119483E-3</v>
      </c>
      <c r="V2" s="338">
        <f>'FREH Stock'!W82+'FREH Stock'!W111+'FREH Stock'!W140</f>
        <v>2.1422478386333565E-4</v>
      </c>
      <c r="W2" s="338">
        <f>'FREH Stock'!X82+'FREH Stock'!X111+'FREH Stock'!X140</f>
        <v>2.956345179360147E-5</v>
      </c>
      <c r="X2" s="338">
        <f>'FREH Stock'!Y82+'FREH Stock'!Y111+'FREH Stock'!Y140</f>
        <v>2.9495647490421967E-6</v>
      </c>
      <c r="Y2" s="338">
        <f>'FREH Stock'!Z82+'FREH Stock'!Z111+'FREH Stock'!Z140</f>
        <v>1.8431177536278762E-7</v>
      </c>
      <c r="Z2" s="338">
        <f>'FREH Stock'!AA82+'FREH Stock'!AA111+'FREH Stock'!AA140</f>
        <v>5.1153891008939785E-9</v>
      </c>
      <c r="AA2" s="338">
        <f>'FREH Stock'!AB82+'FREH Stock'!AB111+'FREH Stock'!AB140</f>
        <v>0</v>
      </c>
      <c r="AB2" s="338">
        <f>'FREH Stock'!AC82+'FREH Stock'!AC111+'FREH Stock'!AC140</f>
        <v>0</v>
      </c>
      <c r="AC2" s="338">
        <f>'FREH Stock'!AD82+'FREH Stock'!AD111+'FREH Stock'!AD140</f>
        <v>0</v>
      </c>
      <c r="AD2" s="342">
        <f>'FREH Stock'!AE82+'FREH Stock'!AE111+'FREH Stock'!AE140</f>
        <v>0</v>
      </c>
    </row>
    <row r="3" spans="1:30">
      <c r="A3" s="171" t="s">
        <v>192</v>
      </c>
      <c r="B3" s="339">
        <f>SUM('FREH LGV vkm'!AI70,'FREH LGV vkm'!AI99,'FREH LGV vkm'!AI128)/1000000</f>
        <v>8.4074959419564212</v>
      </c>
      <c r="C3" s="339">
        <f>SUM('FREH LGV vkm'!AJ70,'FREH LGV vkm'!AJ99,'FREH LGV vkm'!AJ128)/1000000</f>
        <v>5.6344295824585178</v>
      </c>
      <c r="D3" s="339">
        <f>SUM('FREH LGV vkm'!AK70,'FREH LGV vkm'!AK99,'FREH LGV vkm'!AK128)/1000000</f>
        <v>4.2906128156116381</v>
      </c>
      <c r="E3" s="339">
        <f>SUM('FREH LGV vkm'!AL70,'FREH LGV vkm'!AL99,'FREH LGV vkm'!AL128)/1000000</f>
        <v>3.3816605635362809</v>
      </c>
      <c r="F3" s="339">
        <f>SUM('FREH LGV vkm'!AM70,'FREH LGV vkm'!AM99,'FREH LGV vkm'!AM128)/1000000</f>
        <v>2.6099711513600043</v>
      </c>
      <c r="G3" s="339">
        <f>SUM('FREH LGV vkm'!AN70,'FREH LGV vkm'!AN99,'FREH LGV vkm'!AN128)/1000000</f>
        <v>1.947326034270257</v>
      </c>
      <c r="H3" s="339">
        <f>SUM('FREH LGV vkm'!AO70,'FREH LGV vkm'!AO99,'FREH LGV vkm'!AO128)/1000000</f>
        <v>1.4111467123743566</v>
      </c>
      <c r="I3" s="339">
        <f>SUM('FREH LGV vkm'!AP70,'FREH LGV vkm'!AP99,'FREH LGV vkm'!AP128)/1000000</f>
        <v>0.97582586591691778</v>
      </c>
      <c r="J3" s="339">
        <f>SUM('FREH LGV vkm'!AQ70,'FREH LGV vkm'!AQ99,'FREH LGV vkm'!AQ128)/1000000</f>
        <v>0.63945771484174607</v>
      </c>
      <c r="K3" s="339">
        <f>SUM('FREH LGV vkm'!AR70,'FREH LGV vkm'!AR99,'FREH LGV vkm'!AR128)/1000000</f>
        <v>0.39469085531336823</v>
      </c>
      <c r="L3" s="339">
        <f>SUM('FREH LGV vkm'!AS70,'FREH LGV vkm'!AS99,'FREH LGV vkm'!AS128)/1000000</f>
        <v>0.22633834567817335</v>
      </c>
      <c r="M3" s="339">
        <f>SUM('FREH LGV vkm'!AT70,'FREH LGV vkm'!AT99,'FREH LGV vkm'!AT128)/1000000</f>
        <v>0.11867754914290417</v>
      </c>
      <c r="N3" s="339">
        <f>SUM('FREH LGV vkm'!AU70,'FREH LGV vkm'!AU99,'FREH LGV vkm'!AU128)/1000000</f>
        <v>5.6194510742352294E-2</v>
      </c>
      <c r="O3" s="339">
        <f>SUM('FREH LGV vkm'!AV70,'FREH LGV vkm'!AV99,'FREH LGV vkm'!AV128)/1000000</f>
        <v>2.3858977988886771E-2</v>
      </c>
      <c r="P3" s="339">
        <f>SUM('FREH LGV vkm'!AW70,'FREH LGV vkm'!AW99,'FREH LGV vkm'!AW128)/1000000</f>
        <v>9.1889177582561501E-3</v>
      </c>
      <c r="Q3" s="339">
        <f>SUM('FREH LGV vkm'!AX70,'FREH LGV vkm'!AX99,'FREH LGV vkm'!AX128)/1000000</f>
        <v>3.2462422676745898E-3</v>
      </c>
      <c r="R3" s="339">
        <f>SUM('FREH LGV vkm'!AY70,'FREH LGV vkm'!AY99,'FREH LGV vkm'!AY128)/1000000</f>
        <v>1.0445887707059556E-3</v>
      </c>
      <c r="S3" s="339">
        <f>SUM('FREH LGV vkm'!AZ70,'FREH LGV vkm'!AZ99,'FREH LGV vkm'!AZ128)/1000000</f>
        <v>3.0073509409398418E-4</v>
      </c>
      <c r="T3" s="339">
        <f>SUM('FREH LGV vkm'!BA70,'FREH LGV vkm'!BA99,'FREH LGV vkm'!BA128)/1000000</f>
        <v>7.581509083005152E-5</v>
      </c>
      <c r="U3" s="339">
        <f>SUM('FREH LGV vkm'!BB70,'FREH LGV vkm'!BB99,'FREH LGV vkm'!BB128)/1000000</f>
        <v>1.6292076571367064E-5</v>
      </c>
      <c r="V3" s="339">
        <f>SUM('FREH LGV vkm'!BC70,'FREH LGV vkm'!BC99,'FREH LGV vkm'!BC128)/1000000</f>
        <v>2.8800434108086654E-6</v>
      </c>
      <c r="W3" s="339">
        <f>SUM('FREH LGV vkm'!BD70,'FREH LGV vkm'!BD99,'FREH LGV vkm'!BD128)/1000000</f>
        <v>3.9817399071943484E-7</v>
      </c>
      <c r="X3" s="339">
        <f>SUM('FREH LGV vkm'!BE70,'FREH LGV vkm'!BE99,'FREH LGV vkm'!BE128)/1000000</f>
        <v>3.9776621796859296E-8</v>
      </c>
      <c r="Y3" s="339">
        <f>SUM('FREH LGV vkm'!BF70,'FREH LGV vkm'!BF99,'FREH LGV vkm'!BF128)/1000000</f>
        <v>2.487365555407824E-9</v>
      </c>
      <c r="Z3" s="339">
        <f>SUM('FREH LGV vkm'!BG70,'FREH LGV vkm'!BG99,'FREH LGV vkm'!BG128)/1000000</f>
        <v>6.9036589638557742E-11</v>
      </c>
      <c r="AA3" s="339">
        <f>SUM('FREH LGV vkm'!BH70,'FREH LGV vkm'!BH99,'FREH LGV vkm'!BH128)/1000000</f>
        <v>0</v>
      </c>
      <c r="AB3" s="339">
        <f>SUM('FREH LGV vkm'!BI70,'FREH LGV vkm'!BI99,'FREH LGV vkm'!BI128)/1000000</f>
        <v>0</v>
      </c>
      <c r="AC3" s="339">
        <f>SUM('FREH LGV vkm'!BJ70,'FREH LGV vkm'!BJ99,'FREH LGV vkm'!BJ128)/1000000</f>
        <v>0</v>
      </c>
      <c r="AD3" s="343">
        <f>SUM('FREH LGV vkm'!BK70,'FREH LGV vkm'!BK99,'FREH LGV vkm'!BK128)/1000000</f>
        <v>0</v>
      </c>
    </row>
    <row r="4" spans="1:30">
      <c r="A4" s="171" t="s">
        <v>190</v>
      </c>
      <c r="B4" s="377">
        <f>SUMPRODUCT('FREH LGV SEC'!AH3:AH5,'FREH LGV SEC'!AH11:AH13)/SUM('FREH LGV SEC'!AH11:AH13)</f>
        <v>3.4341197906183512</v>
      </c>
      <c r="C4" s="377">
        <f>SUMPRODUCT('FREH LGV SEC'!AI3:AI5,'FREH LGV SEC'!AI11:AI13)/SUM('FREH LGV SEC'!AI11:AI13)</f>
        <v>3.437030328831121</v>
      </c>
      <c r="D4" s="377">
        <f>SUMPRODUCT('FREH LGV SEC'!AJ3:AJ5,'FREH LGV SEC'!AJ11:AJ13)/SUM('FREH LGV SEC'!AJ11:AJ13)</f>
        <v>3.4234291638698249</v>
      </c>
      <c r="E4" s="377">
        <f>SUMPRODUCT('FREH LGV SEC'!AK3:AK5,'FREH LGV SEC'!AK11:AK13)/SUM('FREH LGV SEC'!AK11:AK13)</f>
        <v>3.4020693402083495</v>
      </c>
      <c r="F4" s="377">
        <f>SUMPRODUCT('FREH LGV SEC'!AL3:AL5,'FREH LGV SEC'!AL11:AL13)/SUM('FREH LGV SEC'!AL11:AL13)</f>
        <v>3.3749354242018414</v>
      </c>
      <c r="G4" s="377">
        <f>SUMPRODUCT('FREH LGV SEC'!AM3:AM5,'FREH LGV SEC'!AM11:AM13)/SUM('FREH LGV SEC'!AM11:AM13)</f>
        <v>3.3407055491760289</v>
      </c>
      <c r="H4" s="377">
        <f>SUMPRODUCT('FREH LGV SEC'!AN3:AN5,'FREH LGV SEC'!AN11:AN13)/SUM('FREH LGV SEC'!AN11:AN13)</f>
        <v>3.2979651323016195</v>
      </c>
      <c r="I4" s="377">
        <f>SUMPRODUCT('FREH LGV SEC'!AO3:AO5,'FREH LGV SEC'!AO11:AO13)/SUM('FREH LGV SEC'!AO11:AO13)</f>
        <v>3.2453173936214283</v>
      </c>
      <c r="J4" s="377">
        <f>SUMPRODUCT('FREH LGV SEC'!AP3:AP5,'FREH LGV SEC'!AP11:AP13)/SUM('FREH LGV SEC'!AP11:AP13)</f>
        <v>3.1842183721075621</v>
      </c>
      <c r="K4" s="377">
        <f>SUMPRODUCT('FREH LGV SEC'!AQ3:AQ5,'FREH LGV SEC'!AQ11:AQ13)/SUM('FREH LGV SEC'!AQ11:AQ13)</f>
        <v>3.1179490711880349</v>
      </c>
      <c r="L4" s="377">
        <f>SUMPRODUCT('FREH LGV SEC'!AR3:AR5,'FREH LGV SEC'!AR11:AR13)/SUM('FREH LGV SEC'!AR11:AR13)</f>
        <v>3.0501923078080826</v>
      </c>
      <c r="M4" s="377">
        <f>SUMPRODUCT('FREH LGV SEC'!AS3:AS5,'FREH LGV SEC'!AS11:AS13)/SUM('FREH LGV SEC'!AS11:AS13)</f>
        <v>2.9898890838487526</v>
      </c>
      <c r="N4" s="377">
        <f>SUMPRODUCT('FREH LGV SEC'!AT3:AT5,'FREH LGV SEC'!AT11:AT13)/SUM('FREH LGV SEC'!AT11:AT13)</f>
        <v>2.9451583278179263</v>
      </c>
      <c r="O4" s="377">
        <f>SUMPRODUCT('FREH LGV SEC'!AU3:AU5,'FREH LGV SEC'!AU11:AU13)/SUM('FREH LGV SEC'!AU11:AU13)</f>
        <v>2.9224027005061242</v>
      </c>
      <c r="P4" s="377">
        <f>SUMPRODUCT('FREH LGV SEC'!AV3:AV5,'FREH LGV SEC'!AV11:AV13)/SUM('FREH LGV SEC'!AV11:AV13)</f>
        <v>2.9218717257002744</v>
      </c>
      <c r="Q4" s="377">
        <f>SUMPRODUCT('FREH LGV SEC'!AW3:AW5,'FREH LGV SEC'!AW11:AW13)/SUM('FREH LGV SEC'!AW11:AW13)</f>
        <v>2.9248022752519032</v>
      </c>
      <c r="R4" s="377">
        <f>SUMPRODUCT('FREH LGV SEC'!AX3:AX5,'FREH LGV SEC'!AX11:AX13)/SUM('FREH LGV SEC'!AX11:AX13)</f>
        <v>2.922799501103476</v>
      </c>
      <c r="S4" s="377">
        <f>SUMPRODUCT('FREH LGV SEC'!AY3:AY5,'FREH LGV SEC'!AY11:AY13)/SUM('FREH LGV SEC'!AY11:AY13)</f>
        <v>2.9153390864726654</v>
      </c>
      <c r="T4" s="377">
        <f>SUMPRODUCT('FREH LGV SEC'!AZ3:AZ5,'FREH LGV SEC'!AZ11:AZ13)/SUM('FREH LGV SEC'!AZ11:AZ13)</f>
        <v>2.9023339661869256</v>
      </c>
      <c r="U4" s="377">
        <f>SUMPRODUCT('FREH LGV SEC'!BA3:BA5,'FREH LGV SEC'!BA11:BA13)/SUM('FREH LGV SEC'!BA11:BA13)</f>
        <v>2.8838924362691114</v>
      </c>
      <c r="V4" s="377">
        <f>SUMPRODUCT('FREH LGV SEC'!BB3:BB5,'FREH LGV SEC'!BB11:BB13)/SUM('FREH LGV SEC'!BB11:BB13)</f>
        <v>2.8600611357487002</v>
      </c>
      <c r="W4" s="377">
        <f>SUMPRODUCT('FREH LGV SEC'!BC3:BC5,'FREH LGV SEC'!BC11:BC13)/SUM('FREH LGV SEC'!BC11:BC13)</f>
        <v>2.8305246803774806</v>
      </c>
      <c r="X4" s="377">
        <f>SUMPRODUCT('FREH LGV SEC'!BD3:BD5,'FREH LGV SEC'!BD11:BD13)/SUM('FREH LGV SEC'!BD11:BD13)</f>
        <v>2.7941047951856084</v>
      </c>
      <c r="Y4" s="377">
        <v>0</v>
      </c>
      <c r="Z4" s="377">
        <v>0</v>
      </c>
      <c r="AA4" s="377">
        <v>0</v>
      </c>
      <c r="AB4" s="377">
        <v>0</v>
      </c>
      <c r="AC4" s="377">
        <v>0</v>
      </c>
      <c r="AD4" s="318">
        <v>0</v>
      </c>
    </row>
    <row r="5" spans="1:30" ht="15.75" thickBot="1">
      <c r="A5" s="378" t="s">
        <v>232</v>
      </c>
      <c r="B5" s="322">
        <f>B4*B3</f>
        <v>28.872348203816021</v>
      </c>
      <c r="C5" s="322">
        <f t="shared" ref="C5:AD5" si="0">C4*C3</f>
        <v>19.365705360573195</v>
      </c>
      <c r="D5" s="322">
        <f t="shared" si="0"/>
        <v>14.688609043838506</v>
      </c>
      <c r="E5" s="322">
        <f t="shared" si="0"/>
        <v>11.50464372219847</v>
      </c>
      <c r="F5" s="322">
        <f t="shared" si="0"/>
        <v>8.808484094869744</v>
      </c>
      <c r="G5" s="322">
        <f t="shared" si="0"/>
        <v>6.5054428887415972</v>
      </c>
      <c r="H5" s="322">
        <f t="shared" si="0"/>
        <v>4.6539126539726903</v>
      </c>
      <c r="I5" s="322">
        <f t="shared" si="0"/>
        <v>3.1668646558058651</v>
      </c>
      <c r="J5" s="322">
        <f t="shared" si="0"/>
        <v>2.0361730037850063</v>
      </c>
      <c r="K5" s="322">
        <f t="shared" si="0"/>
        <v>1.2306259857307276</v>
      </c>
      <c r="L5" s="322">
        <f t="shared" si="0"/>
        <v>0.69037548094957113</v>
      </c>
      <c r="M5" s="322">
        <f t="shared" si="0"/>
        <v>0.35483270868029304</v>
      </c>
      <c r="N5" s="322">
        <f t="shared" si="0"/>
        <v>0.16550173129049278</v>
      </c>
      <c r="O5" s="322">
        <f t="shared" si="0"/>
        <v>6.9725541706038868E-2</v>
      </c>
      <c r="P5" s="322">
        <f t="shared" si="0"/>
        <v>2.6848838987633794E-2</v>
      </c>
      <c r="Q5" s="322">
        <f t="shared" si="0"/>
        <v>9.4946167705135375E-3</v>
      </c>
      <c r="R5" s="322">
        <f t="shared" si="0"/>
        <v>3.0531235378776604E-3</v>
      </c>
      <c r="S5" s="322">
        <f t="shared" si="0"/>
        <v>8.7674477448622693E-4</v>
      </c>
      <c r="T5" s="322">
        <f t="shared" si="0"/>
        <v>2.2004071326560545E-4</v>
      </c>
      <c r="U5" s="322">
        <f t="shared" si="0"/>
        <v>4.6984596395282677E-5</v>
      </c>
      <c r="V5" s="322">
        <f t="shared" si="0"/>
        <v>8.2371002285229919E-6</v>
      </c>
      <c r="W5" s="322">
        <f t="shared" si="0"/>
        <v>1.1270413078157541E-6</v>
      </c>
      <c r="X5" s="322">
        <f t="shared" si="0"/>
        <v>1.1114004969888894E-7</v>
      </c>
      <c r="Y5" s="322">
        <f t="shared" si="0"/>
        <v>0</v>
      </c>
      <c r="Z5" s="322">
        <f t="shared" si="0"/>
        <v>0</v>
      </c>
      <c r="AA5" s="322">
        <f t="shared" si="0"/>
        <v>0</v>
      </c>
      <c r="AB5" s="322">
        <f t="shared" si="0"/>
        <v>0</v>
      </c>
      <c r="AC5" s="322">
        <f t="shared" si="0"/>
        <v>0</v>
      </c>
      <c r="AD5" s="323">
        <f t="shared" si="0"/>
        <v>0</v>
      </c>
    </row>
    <row r="6" spans="1:30" ht="15.75" thickBot="1">
      <c r="A6" s="340"/>
    </row>
    <row r="7" spans="1:30">
      <c r="A7" s="168" t="s">
        <v>193</v>
      </c>
      <c r="B7" s="169">
        <v>2012</v>
      </c>
      <c r="C7" s="169">
        <v>2013</v>
      </c>
      <c r="D7" s="169">
        <v>2014</v>
      </c>
      <c r="E7" s="169">
        <v>2015</v>
      </c>
      <c r="F7" s="169">
        <v>2016</v>
      </c>
      <c r="G7" s="169">
        <v>2017</v>
      </c>
      <c r="H7" s="169">
        <v>2018</v>
      </c>
      <c r="I7" s="169">
        <v>2019</v>
      </c>
      <c r="J7" s="169">
        <v>2020</v>
      </c>
      <c r="K7" s="169">
        <v>2021</v>
      </c>
      <c r="L7" s="169">
        <v>2022</v>
      </c>
      <c r="M7" s="169">
        <v>2023</v>
      </c>
      <c r="N7" s="169">
        <v>2024</v>
      </c>
      <c r="O7" s="169">
        <v>2025</v>
      </c>
      <c r="P7" s="169">
        <v>2026</v>
      </c>
      <c r="Q7" s="169">
        <v>2027</v>
      </c>
      <c r="R7" s="169">
        <v>2028</v>
      </c>
      <c r="S7" s="169">
        <v>2029</v>
      </c>
      <c r="T7" s="169">
        <v>2030</v>
      </c>
      <c r="U7" s="169">
        <v>2031</v>
      </c>
      <c r="V7" s="169">
        <v>2032</v>
      </c>
      <c r="W7" s="169">
        <v>2033</v>
      </c>
      <c r="X7" s="169">
        <v>2034</v>
      </c>
      <c r="Y7" s="169">
        <v>2035</v>
      </c>
      <c r="Z7" s="169">
        <v>2036</v>
      </c>
      <c r="AA7" s="169">
        <v>2037</v>
      </c>
      <c r="AB7" s="169">
        <v>2038</v>
      </c>
      <c r="AC7" s="169">
        <v>2039</v>
      </c>
      <c r="AD7" s="170">
        <v>2040</v>
      </c>
    </row>
    <row r="8" spans="1:30">
      <c r="A8" s="171" t="s">
        <v>89</v>
      </c>
      <c r="B8" s="338">
        <f>'FREH Stock'!C256+'FREH Stock'!C285+'FREH Stock'!C314</f>
        <v>232109.83712831367</v>
      </c>
      <c r="C8" s="338">
        <f>'FREH Stock'!D256+'FREH Stock'!D285+'FREH Stock'!D314</f>
        <v>191791.4641384818</v>
      </c>
      <c r="D8" s="338">
        <f>'FREH Stock'!E256+'FREH Stock'!E285+'FREH Stock'!E314</f>
        <v>160120.08858879178</v>
      </c>
      <c r="E8" s="338">
        <f>'FREH Stock'!F256+'FREH Stock'!F285+'FREH Stock'!F314</f>
        <v>132626.13384834217</v>
      </c>
      <c r="F8" s="338">
        <f>'FREH Stock'!G256+'FREH Stock'!G285+'FREH Stock'!G314</f>
        <v>107610.15169094235</v>
      </c>
      <c r="G8" s="338">
        <f>'FREH Stock'!H256+'FREH Stock'!H285+'FREH Stock'!H314</f>
        <v>84734.228285090328</v>
      </c>
      <c r="H8" s="338">
        <f>'FREH Stock'!I256+'FREH Stock'!I285+'FREH Stock'!I314</f>
        <v>64341.422468267832</v>
      </c>
      <c r="I8" s="338">
        <f>'FREH Stock'!J256+'FREH Stock'!J285+'FREH Stock'!J314</f>
        <v>46819.673460180617</v>
      </c>
      <c r="J8" s="338">
        <f>'FREH Stock'!K256+'FREH Stock'!K285+'FREH Stock'!K314</f>
        <v>32498.21469676603</v>
      </c>
      <c r="K8" s="338">
        <f>'FREH Stock'!L256+'FREH Stock'!L285+'FREH Stock'!L314</f>
        <v>21371.78384415865</v>
      </c>
      <c r="L8" s="338">
        <f>'FREH Stock'!M256+'FREH Stock'!M285+'FREH Stock'!M314</f>
        <v>13194.265944836579</v>
      </c>
      <c r="M8" s="338">
        <f>'FREH Stock'!N256+'FREH Stock'!N285+'FREH Stock'!N314</f>
        <v>7515.0014011975691</v>
      </c>
      <c r="N8" s="338">
        <f>'FREH Stock'!O256+'FREH Stock'!O285+'FREH Stock'!O314</f>
        <v>3850.801695611769</v>
      </c>
      <c r="O8" s="338">
        <f>'FREH Stock'!P256+'FREH Stock'!P285+'FREH Stock'!P314</f>
        <v>1745.1884355141542</v>
      </c>
      <c r="P8" s="338">
        <f>'FREH Stock'!Q256+'FREH Stock'!Q285+'FREH Stock'!Q314</f>
        <v>698.04963878649642</v>
      </c>
      <c r="Q8" s="338">
        <f>'FREH Stock'!R256+'FREH Stock'!R285+'FREH Stock'!R314</f>
        <v>249.56462110109894</v>
      </c>
      <c r="R8" s="338">
        <f>'FREH Stock'!S256+'FREH Stock'!S285+'FREH Stock'!S314</f>
        <v>82.474223563157963</v>
      </c>
      <c r="S8" s="338">
        <f>'FREH Stock'!T256+'FREH Stock'!T285+'FREH Stock'!T314</f>
        <v>24.836171182287746</v>
      </c>
      <c r="T8" s="338">
        <f>'FREH Stock'!U256+'FREH Stock'!U285+'FREH Stock'!U314</f>
        <v>6.6905294776780178</v>
      </c>
      <c r="U8" s="338">
        <f>'FREH Stock'!V256+'FREH Stock'!V285+'FREH Stock'!V314</f>
        <v>1.5743870179840691</v>
      </c>
      <c r="V8" s="338">
        <f>'FREH Stock'!W256+'FREH Stock'!W285+'FREH Stock'!W314</f>
        <v>0.31361457584691693</v>
      </c>
      <c r="W8" s="338">
        <f>'FREH Stock'!X256+'FREH Stock'!X285+'FREH Stock'!X314</f>
        <v>5.0615284399845105E-2</v>
      </c>
      <c r="X8" s="338">
        <f>'FREH Stock'!Y256+'FREH Stock'!Y285+'FREH Stock'!Y314</f>
        <v>6.1889381293249593E-3</v>
      </c>
      <c r="Y8" s="338">
        <f>'FREH Stock'!Z256+'FREH Stock'!Z285+'FREH Stock'!Z314</f>
        <v>5.0855469252351925E-4</v>
      </c>
      <c r="Z8" s="338">
        <f>'FREH Stock'!AA256+'FREH Stock'!AA285+'FREH Stock'!AA314</f>
        <v>2.1028618108807586E-5</v>
      </c>
      <c r="AA8" s="338">
        <f>'FREH Stock'!AB256+'FREH Stock'!AB285+'FREH Stock'!AB314</f>
        <v>0</v>
      </c>
      <c r="AB8" s="338">
        <f>'FREH Stock'!AC256+'FREH Stock'!AC285+'FREH Stock'!AC314</f>
        <v>0</v>
      </c>
      <c r="AC8" s="338">
        <f>'FREH Stock'!AD256+'FREH Stock'!AD285+'FREH Stock'!AD314</f>
        <v>0</v>
      </c>
      <c r="AD8" s="342">
        <f>'FREH Stock'!AE256+'FREH Stock'!AE285+'FREH Stock'!AE314</f>
        <v>0</v>
      </c>
    </row>
    <row r="9" spans="1:30">
      <c r="A9" s="171" t="s">
        <v>192</v>
      </c>
      <c r="B9" s="339">
        <f>SUM('FREH LGV vkm'!AI157,'FREH LGV vkm'!AI186,'FREH LGV vkm'!AI215)/1000000</f>
        <v>3972.1622656282166</v>
      </c>
      <c r="C9" s="339">
        <f>SUM('FREH LGV vkm'!AJ157,'FREH LGV vkm'!AJ186,'FREH LGV vkm'!AJ215)/1000000</f>
        <v>3291.964320498068</v>
      </c>
      <c r="D9" s="339">
        <f>SUM('FREH LGV vkm'!AK157,'FREH LGV vkm'!AK186,'FREH LGV vkm'!AK215)/1000000</f>
        <v>2763.2411374307808</v>
      </c>
      <c r="E9" s="339">
        <f>SUM('FREH LGV vkm'!AL157,'FREH LGV vkm'!AL186,'FREH LGV vkm'!AL215)/1000000</f>
        <v>2314.3678420830979</v>
      </c>
      <c r="F9" s="339">
        <f>SUM('FREH LGV vkm'!AM157,'FREH LGV vkm'!AM186,'FREH LGV vkm'!AM215)/1000000</f>
        <v>1898.9720060902255</v>
      </c>
      <c r="G9" s="339">
        <f>SUM('FREH LGV vkm'!AN157,'FREH LGV vkm'!AN186,'FREH LGV vkm'!AN215)/1000000</f>
        <v>1505.3541149739917</v>
      </c>
      <c r="H9" s="339">
        <f>SUM('FREH LGV vkm'!AO157,'FREH LGV vkm'!AO186,'FREH LGV vkm'!AO215)/1000000</f>
        <v>1138.6938427847058</v>
      </c>
      <c r="I9" s="339">
        <f>SUM('FREH LGV vkm'!AP157,'FREH LGV vkm'!AP186,'FREH LGV vkm'!AP215)/1000000</f>
        <v>831.56809176533966</v>
      </c>
      <c r="J9" s="339">
        <f>SUM('FREH LGV vkm'!AQ157,'FREH LGV vkm'!AQ186,'FREH LGV vkm'!AQ215)/1000000</f>
        <v>579.33009525292368</v>
      </c>
      <c r="K9" s="339">
        <f>SUM('FREH LGV vkm'!AR157,'FREH LGV vkm'!AR186,'FREH LGV vkm'!AR215)/1000000</f>
        <v>382.20194300513447</v>
      </c>
      <c r="L9" s="339">
        <f>SUM('FREH LGV vkm'!AS157,'FREH LGV vkm'!AS186,'FREH LGV vkm'!AS215)/1000000</f>
        <v>236.43449680662243</v>
      </c>
      <c r="M9" s="339">
        <f>SUM('FREH LGV vkm'!AT157,'FREH LGV vkm'!AT186,'FREH LGV vkm'!AT215)/1000000</f>
        <v>134.66347208872395</v>
      </c>
      <c r="N9" s="339">
        <f>SUM('FREH LGV vkm'!AU157,'FREH LGV vkm'!AU186,'FREH LGV vkm'!AU215)/1000000</f>
        <v>68.792595859086504</v>
      </c>
      <c r="O9" s="339">
        <f>SUM('FREH LGV vkm'!AV157,'FREH LGV vkm'!AV186,'FREH LGV vkm'!AV215)/1000000</f>
        <v>30.955465493644468</v>
      </c>
      <c r="P9" s="339">
        <f>SUM('FREH LGV vkm'!AW157,'FREH LGV vkm'!AW186,'FREH LGV vkm'!AW215)/1000000</f>
        <v>12.244981208090197</v>
      </c>
      <c r="Q9" s="339">
        <f>SUM('FREH LGV vkm'!AX157,'FREH LGV vkm'!AX186,'FREH LGV vkm'!AX215)/1000000</f>
        <v>4.3113577968136889</v>
      </c>
      <c r="R9" s="339">
        <f>SUM('FREH LGV vkm'!AY157,'FREH LGV vkm'!AY186,'FREH LGV vkm'!AY215)/1000000</f>
        <v>1.4040625637227222</v>
      </c>
      <c r="S9" s="339">
        <f>SUM('FREH LGV vkm'!AZ157,'FREH LGV vkm'!AZ186,'FREH LGV vkm'!AZ215)/1000000</f>
        <v>0.41718152320464957</v>
      </c>
      <c r="T9" s="339">
        <f>SUM('FREH LGV vkm'!BA157,'FREH LGV vkm'!BA186,'FREH LGV vkm'!BA215)/1000000</f>
        <v>0.11106612596540263</v>
      </c>
      <c r="U9" s="339">
        <f>SUM('FREH LGV vkm'!BB157,'FREH LGV vkm'!BB186,'FREH LGV vkm'!BB215)/1000000</f>
        <v>2.5876029262256305E-2</v>
      </c>
      <c r="V9" s="339">
        <f>SUM('FREH LGV vkm'!BC157,'FREH LGV vkm'!BC186,'FREH LGV vkm'!BC215)/1000000</f>
        <v>5.1123636101214889E-3</v>
      </c>
      <c r="W9" s="339">
        <f>SUM('FREH LGV vkm'!BD157,'FREH LGV vkm'!BD186,'FREH LGV vkm'!BD215)/1000000</f>
        <v>8.1969434376125941E-4</v>
      </c>
      <c r="X9" s="339">
        <f>SUM('FREH LGV vkm'!BE157,'FREH LGV vkm'!BE186,'FREH LGV vkm'!BE215)/1000000</f>
        <v>9.970963338479202E-5</v>
      </c>
      <c r="Y9" s="339">
        <f>SUM('FREH LGV vkm'!BF157,'FREH LGV vkm'!BF186,'FREH LGV vkm'!BF215)/1000000</f>
        <v>8.1603359183916287E-6</v>
      </c>
      <c r="Z9" s="339">
        <f>SUM('FREH LGV vkm'!BG157,'FREH LGV vkm'!BG186,'FREH LGV vkm'!BG215)/1000000</f>
        <v>3.3637858138631218E-7</v>
      </c>
      <c r="AA9" s="339">
        <f>SUM('FREH LGV vkm'!BH157,'FREH LGV vkm'!BH186,'FREH LGV vkm'!BH215)/1000000</f>
        <v>0</v>
      </c>
      <c r="AB9" s="339">
        <f>SUM('FREH LGV vkm'!BI157,'FREH LGV vkm'!BI186,'FREH LGV vkm'!BI215)/1000000</f>
        <v>0</v>
      </c>
      <c r="AC9" s="339">
        <f>SUM('FREH LGV vkm'!BJ157,'FREH LGV vkm'!BJ186,'FREH LGV vkm'!BJ215)/1000000</f>
        <v>0</v>
      </c>
      <c r="AD9" s="343">
        <f>SUM('FREH LGV vkm'!BK157,'FREH LGV vkm'!BK186,'FREH LGV vkm'!BK215)/1000000</f>
        <v>0</v>
      </c>
    </row>
    <row r="10" spans="1:30">
      <c r="A10" s="171" t="s">
        <v>190</v>
      </c>
      <c r="B10" s="377">
        <f>SUMPRODUCT('FREH LGV SEC'!AH6:AH8,'FREH LGV SEC'!AH14:AH16)/SUM('FREH LGV SEC'!AH14:AH16)</f>
        <v>3.4833860973459676</v>
      </c>
      <c r="C10" s="377">
        <f>SUMPRODUCT('FREH LGV SEC'!AI6:AI8,'FREH LGV SEC'!AI14:AI16)/SUM('FREH LGV SEC'!AI14:AI16)</f>
        <v>3.4647387471389162</v>
      </c>
      <c r="D10" s="377">
        <f>SUMPRODUCT('FREH LGV SEC'!AJ6:AJ8,'FREH LGV SEC'!AJ14:AJ16)/SUM('FREH LGV SEC'!AJ14:AJ16)</f>
        <v>3.4384057908208785</v>
      </c>
      <c r="E10" s="377">
        <f>SUMPRODUCT('FREH LGV SEC'!AK6:AK8,'FREH LGV SEC'!AK14:AK16)/SUM('FREH LGV SEC'!AK14:AK16)</f>
        <v>3.4034284401424646</v>
      </c>
      <c r="F10" s="377">
        <f>SUMPRODUCT('FREH LGV SEC'!AL6:AL8,'FREH LGV SEC'!AL14:AL16)/SUM('FREH LGV SEC'!AL14:AL16)</f>
        <v>3.357271476176741</v>
      </c>
      <c r="G10" s="377">
        <f>SUMPRODUCT('FREH LGV SEC'!AM6:AM8,'FREH LGV SEC'!AM14:AM16)/SUM('FREH LGV SEC'!AM14:AM16)</f>
        <v>3.2961504647491511</v>
      </c>
      <c r="H10" s="377">
        <f>SUMPRODUCT('FREH LGV SEC'!AN6:AN8,'FREH LGV SEC'!AN14:AN16)/SUM('FREH LGV SEC'!AN14:AN16)</f>
        <v>3.2170246611297406</v>
      </c>
      <c r="I10" s="377">
        <f>SUMPRODUCT('FREH LGV SEC'!AO6:AO8,'FREH LGV SEC'!AO14:AO16)/SUM('FREH LGV SEC'!AO14:AO16)</f>
        <v>3.1189101989687362</v>
      </c>
      <c r="J10" s="377">
        <f>SUMPRODUCT('FREH LGV SEC'!AP6:AP8,'FREH LGV SEC'!AP14:AP16)/SUM('FREH LGV SEC'!AP14:AP16)</f>
        <v>3.0047205790175515</v>
      </c>
      <c r="K10" s="377">
        <f>SUMPRODUCT('FREH LGV SEC'!AQ6:AQ8,'FREH LGV SEC'!AQ14:AQ16)/SUM('FREH LGV SEC'!AQ14:AQ16)</f>
        <v>2.8826286205557112</v>
      </c>
      <c r="L10" s="377">
        <f>SUMPRODUCT('FREH LGV SEC'!AR6:AR8,'FREH LGV SEC'!AR14:AR16)/SUM('FREH LGV SEC'!AR14:AR16)</f>
        <v>2.7618264253503177</v>
      </c>
      <c r="M10" s="377">
        <f>SUMPRODUCT('FREH LGV SEC'!AS6:AS8,'FREH LGV SEC'!AS14:AS16)/SUM('FREH LGV SEC'!AS14:AS16)</f>
        <v>2.6570868461729469</v>
      </c>
      <c r="N10" s="377">
        <f>SUMPRODUCT('FREH LGV SEC'!AT6:AT8,'FREH LGV SEC'!AT14:AT16)/SUM('FREH LGV SEC'!AT14:AT16)</f>
        <v>2.5834646137919064</v>
      </c>
      <c r="O10" s="377">
        <f>SUMPRODUCT('FREH LGV SEC'!AU6:AU8,'FREH LGV SEC'!AU14:AU16)/SUM('FREH LGV SEC'!AU14:AU16)</f>
        <v>2.5471046970982121</v>
      </c>
      <c r="P10" s="377">
        <f>SUMPRODUCT('FREH LGV SEC'!AV6:AV8,'FREH LGV SEC'!AV14:AV16)/SUM('FREH LGV SEC'!AV14:AV16)</f>
        <v>2.5462028547535516</v>
      </c>
      <c r="Q10" s="377">
        <f>SUMPRODUCT('FREH LGV SEC'!AW6:AW8,'FREH LGV SEC'!AW14:AW16)/SUM('FREH LGV SEC'!AW14:AW16)</f>
        <v>2.5709099562924482</v>
      </c>
      <c r="R10" s="377">
        <f>SUMPRODUCT('FREH LGV SEC'!AX6:AX8,'FREH LGV SEC'!AX14:AX16)/SUM('FREH LGV SEC'!AX14:AX16)</f>
        <v>2.5937073946324829</v>
      </c>
      <c r="S10" s="377">
        <f>SUMPRODUCT('FREH LGV SEC'!AY6:AY8,'FREH LGV SEC'!AY14:AY16)/SUM('FREH LGV SEC'!AY14:AY16)</f>
        <v>2.613153643596914</v>
      </c>
      <c r="T10" s="377">
        <f>SUMPRODUCT('FREH LGV SEC'!AZ6:AZ8,'FREH LGV SEC'!AZ14:AZ16)/SUM('FREH LGV SEC'!AZ14:AZ16)</f>
        <v>2.6285130975696331</v>
      </c>
      <c r="U10" s="377">
        <f>SUMPRODUCT('FREH LGV SEC'!BA6:BA8,'FREH LGV SEC'!BA14:BA16)/SUM('FREH LGV SEC'!BA14:BA16)</f>
        <v>2.6397305305168102</v>
      </c>
      <c r="V10" s="377">
        <f>SUMPRODUCT('FREH LGV SEC'!BB6:BB8,'FREH LGV SEC'!BB14:BB16)/SUM('FREH LGV SEC'!BB14:BB16)</f>
        <v>2.6472736782081419</v>
      </c>
      <c r="W10" s="377">
        <f>SUMPRODUCT('FREH LGV SEC'!BC6:BC8,'FREH LGV SEC'!BC14:BC16)/SUM('FREH LGV SEC'!BC14:BC16)</f>
        <v>2.6519334696872212</v>
      </c>
      <c r="X10" s="377">
        <f>SUMPRODUCT('FREH LGV SEC'!BD6:BD8,'FREH LGV SEC'!BD14:BD16)/SUM('FREH LGV SEC'!BD14:BD16)</f>
        <v>2.6546518405586101</v>
      </c>
      <c r="Y10" s="377">
        <v>0</v>
      </c>
      <c r="Z10" s="377">
        <v>0</v>
      </c>
      <c r="AA10" s="377">
        <v>0</v>
      </c>
      <c r="AB10" s="377">
        <v>0</v>
      </c>
      <c r="AC10" s="377">
        <v>0</v>
      </c>
      <c r="AD10" s="318">
        <v>0</v>
      </c>
    </row>
    <row r="11" spans="1:30" ht="15.75" thickBot="1">
      <c r="A11" s="378" t="s">
        <v>232</v>
      </c>
      <c r="B11" s="322">
        <f>B10*B9</f>
        <v>13836.57481249159</v>
      </c>
      <c r="C11" s="322">
        <f t="shared" ref="C11" si="1">C10*C9</f>
        <v>11405.796335428489</v>
      </c>
      <c r="D11" s="322">
        <f t="shared" ref="D11" si="2">D10*D9</f>
        <v>9501.1443283764675</v>
      </c>
      <c r="E11" s="322">
        <f t="shared" ref="E11" si="3">E10*E9</f>
        <v>7876.7853346967595</v>
      </c>
      <c r="F11" s="322">
        <f t="shared" ref="F11" si="4">F10*F9</f>
        <v>6375.3645501048386</v>
      </c>
      <c r="G11" s="322">
        <f t="shared" ref="G11" si="5">G10*G9</f>
        <v>4961.8736656835699</v>
      </c>
      <c r="H11" s="322">
        <f t="shared" ref="H11" si="6">H10*H9</f>
        <v>3663.2061737149902</v>
      </c>
      <c r="I11" s="322">
        <f t="shared" ref="I11" si="7">I10*I9</f>
        <v>2593.5862025438878</v>
      </c>
      <c r="J11" s="322">
        <f t="shared" ref="J11" si="8">J10*J9</f>
        <v>1740.7250592506582</v>
      </c>
      <c r="K11" s="322">
        <f t="shared" ref="K11" si="9">K10*K9</f>
        <v>1101.7462597386034</v>
      </c>
      <c r="L11" s="322">
        <f t="shared" ref="L11" si="10">L10*L9</f>
        <v>652.99104114493514</v>
      </c>
      <c r="M11" s="322">
        <f t="shared" ref="M11" si="11">M10*M9</f>
        <v>357.8125403469262</v>
      </c>
      <c r="N11" s="322">
        <f t="shared" ref="N11" si="12">N10*N9</f>
        <v>177.72323709283762</v>
      </c>
      <c r="O11" s="322">
        <f t="shared" ref="O11" si="13">O10*O9</f>
        <v>78.846811559723449</v>
      </c>
      <c r="P11" s="322">
        <f t="shared" ref="P11" si="14">P10*P9</f>
        <v>31.178206108442851</v>
      </c>
      <c r="Q11" s="322">
        <f t="shared" ref="Q11" si="15">Q10*Q9</f>
        <v>11.084112684967387</v>
      </c>
      <c r="R11" s="322">
        <f t="shared" ref="R11" si="16">R10*R9</f>
        <v>3.6417274540542661</v>
      </c>
      <c r="S11" s="322">
        <f t="shared" ref="S11" si="17">S10*S9</f>
        <v>1.0901594174035405</v>
      </c>
      <c r="T11" s="322">
        <f t="shared" ref="T11" si="18">T10*T9</f>
        <v>0.29193876679637953</v>
      </c>
      <c r="U11" s="322">
        <f t="shared" ref="U11" si="19">U10*U9</f>
        <v>6.830574445212434E-2</v>
      </c>
      <c r="V11" s="322">
        <f t="shared" ref="V11" si="20">V10*V9</f>
        <v>1.3533825618503768E-2</v>
      </c>
      <c r="W11" s="322">
        <f t="shared" ref="W11" si="21">W10*W9</f>
        <v>2.1737748651337865E-3</v>
      </c>
      <c r="X11" s="322">
        <f t="shared" ref="X11" si="22">X10*X9</f>
        <v>2.6469436178636237E-4</v>
      </c>
      <c r="Y11" s="322">
        <f t="shared" ref="Y11" si="23">Y10*Y9</f>
        <v>0</v>
      </c>
      <c r="Z11" s="322">
        <f t="shared" ref="Z11" si="24">Z10*Z9</f>
        <v>0</v>
      </c>
      <c r="AA11" s="322">
        <f t="shared" ref="AA11" si="25">AA10*AA9</f>
        <v>0</v>
      </c>
      <c r="AB11" s="322">
        <f t="shared" ref="AB11" si="26">AB10*AB9</f>
        <v>0</v>
      </c>
      <c r="AC11" s="322">
        <f t="shared" ref="AC11" si="27">AC10*AC9</f>
        <v>0</v>
      </c>
      <c r="AD11" s="323">
        <f t="shared" ref="AD11" si="28">AD10*AD9</f>
        <v>0</v>
      </c>
    </row>
    <row r="12" spans="1:30" ht="15.75" thickBot="1"/>
    <row r="13" spans="1:30">
      <c r="A13" s="168" t="s">
        <v>228</v>
      </c>
      <c r="B13" s="169">
        <v>2012</v>
      </c>
      <c r="C13" s="169">
        <v>2013</v>
      </c>
      <c r="D13" s="169">
        <v>2014</v>
      </c>
      <c r="E13" s="169">
        <v>2015</v>
      </c>
      <c r="F13" s="169">
        <v>2016</v>
      </c>
      <c r="G13" s="169">
        <v>2017</v>
      </c>
      <c r="H13" s="169">
        <v>2018</v>
      </c>
      <c r="I13" s="169">
        <v>2019</v>
      </c>
      <c r="J13" s="169">
        <v>2020</v>
      </c>
      <c r="K13" s="169">
        <v>2021</v>
      </c>
      <c r="L13" s="169">
        <v>2022</v>
      </c>
      <c r="M13" s="169">
        <v>2023</v>
      </c>
      <c r="N13" s="169">
        <v>2024</v>
      </c>
      <c r="O13" s="169">
        <v>2025</v>
      </c>
      <c r="P13" s="169">
        <v>2026</v>
      </c>
      <c r="Q13" s="169">
        <v>2027</v>
      </c>
      <c r="R13" s="169">
        <v>2028</v>
      </c>
      <c r="S13" s="169">
        <v>2029</v>
      </c>
      <c r="T13" s="169">
        <v>2030</v>
      </c>
      <c r="U13" s="169">
        <v>2031</v>
      </c>
      <c r="V13" s="169">
        <v>2032</v>
      </c>
      <c r="W13" s="169">
        <v>2033</v>
      </c>
      <c r="X13" s="169">
        <v>2034</v>
      </c>
      <c r="Y13" s="169">
        <v>2035</v>
      </c>
      <c r="Z13" s="169">
        <v>2036</v>
      </c>
      <c r="AA13" s="169">
        <v>2037</v>
      </c>
      <c r="AB13" s="169">
        <v>2038</v>
      </c>
      <c r="AC13" s="169">
        <v>2039</v>
      </c>
      <c r="AD13" s="170">
        <v>2040</v>
      </c>
    </row>
    <row r="14" spans="1:30">
      <c r="A14" s="171" t="s">
        <v>89</v>
      </c>
      <c r="B14" s="338">
        <f>'FREH Stock'!C169+'FREH Stock'!C198+'FREH Stock'!C227</f>
        <v>125.99740043587259</v>
      </c>
      <c r="C14" s="338">
        <f>'FREH Stock'!D169+'FREH Stock'!D198+'FREH Stock'!D227</f>
        <v>112.19402049568298</v>
      </c>
      <c r="D14" s="338">
        <f>'FREH Stock'!E169+'FREH Stock'!E198+'FREH Stock'!E227</f>
        <v>102.27364692785693</v>
      </c>
      <c r="E14" s="338">
        <f>'FREH Stock'!F169+'FREH Stock'!F198+'FREH Stock'!F227</f>
        <v>92.497161502802811</v>
      </c>
      <c r="F14" s="338">
        <f>'FREH Stock'!G169+'FREH Stock'!G198+'FREH Stock'!G227</f>
        <v>81.588230861670382</v>
      </c>
      <c r="G14" s="338">
        <f>'FREH Stock'!H169+'FREH Stock'!H198+'FREH Stock'!H227</f>
        <v>69.280787177000221</v>
      </c>
      <c r="H14" s="338">
        <f>'FREH Stock'!I169+'FREH Stock'!I198+'FREH Stock'!I227</f>
        <v>55.917648204390083</v>
      </c>
      <c r="I14" s="338">
        <f>'FREH Stock'!J169+'FREH Stock'!J198+'FREH Stock'!J227</f>
        <v>42.500863374615726</v>
      </c>
      <c r="J14" s="338">
        <f>'FREH Stock'!K169+'FREH Stock'!K198+'FREH Stock'!K227</f>
        <v>30.12643745190444</v>
      </c>
      <c r="K14" s="338">
        <f>'FREH Stock'!L169+'FREH Stock'!L198+'FREH Stock'!L227</f>
        <v>19.834125649791133</v>
      </c>
      <c r="L14" s="338">
        <f>'FREH Stock'!M169+'FREH Stock'!M198+'FREH Stock'!M227</f>
        <v>12.083023489164491</v>
      </c>
      <c r="M14" s="338">
        <f>'FREH Stock'!N169+'FREH Stock'!N198+'FREH Stock'!N227</f>
        <v>6.7910607789441304</v>
      </c>
      <c r="N14" s="338">
        <f>'FREH Stock'!O169+'FREH Stock'!O198+'FREH Stock'!O227</f>
        <v>3.5085840793364351</v>
      </c>
      <c r="O14" s="338">
        <f>'FREH Stock'!P169+'FREH Stock'!P198+'FREH Stock'!P227</f>
        <v>1.653986854733793</v>
      </c>
      <c r="P14" s="338">
        <f>'FREH Stock'!Q169+'FREH Stock'!Q198+'FREH Stock'!Q227</f>
        <v>0.70593032243070308</v>
      </c>
      <c r="Q14" s="338">
        <f>'FREH Stock'!R169+'FREH Stock'!R198+'FREH Stock'!R227</f>
        <v>0.26556260593022302</v>
      </c>
      <c r="R14" s="338">
        <f>'FREH Stock'!S169+'FREH Stock'!S198+'FREH Stock'!S227</f>
        <v>9.0912178809239824E-2</v>
      </c>
      <c r="S14" s="338">
        <f>'FREH Stock'!T169+'FREH Stock'!T198+'FREH Stock'!T227</f>
        <v>2.7970340070237448E-2</v>
      </c>
      <c r="T14" s="338">
        <f>'FREH Stock'!U169+'FREH Stock'!U198+'FREH Stock'!U227</f>
        <v>7.6105228193294565E-3</v>
      </c>
      <c r="U14" s="338">
        <f>'FREH Stock'!V169+'FREH Stock'!V198+'FREH Stock'!V227</f>
        <v>1.7929990420323943E-3</v>
      </c>
      <c r="V14" s="338">
        <f>'FREH Stock'!W169+'FREH Stock'!W198+'FREH Stock'!W227</f>
        <v>3.553434328587188E-4</v>
      </c>
      <c r="W14" s="338">
        <f>'FREH Stock'!X169+'FREH Stock'!X198+'FREH Stock'!X227</f>
        <v>5.6824402337552018E-5</v>
      </c>
      <c r="X14" s="338">
        <f>'FREH Stock'!Y169+'FREH Stock'!Y198+'FREH Stock'!Y227</f>
        <v>6.8682154910119848E-6</v>
      </c>
      <c r="Y14" s="338">
        <f>'FREH Stock'!Z169+'FREH Stock'!Z198+'FREH Stock'!Z227</f>
        <v>5.5728084413545848E-7</v>
      </c>
      <c r="Z14" s="338">
        <f>'FREH Stock'!AA169+'FREH Stock'!AA198+'FREH Stock'!AA227</f>
        <v>2.2750010022030234E-8</v>
      </c>
      <c r="AA14" s="338">
        <f>'FREH Stock'!AB169+'FREH Stock'!AB198+'FREH Stock'!AB227</f>
        <v>0</v>
      </c>
      <c r="AB14" s="338">
        <f>'FREH Stock'!AC169+'FREH Stock'!AC198+'FREH Stock'!AC227</f>
        <v>0</v>
      </c>
      <c r="AC14" s="338">
        <f>'FREH Stock'!AD169+'FREH Stock'!AD198+'FREH Stock'!AD227</f>
        <v>0</v>
      </c>
      <c r="AD14" s="342">
        <f>'FREH Stock'!AE169+'FREH Stock'!AE198+'FREH Stock'!AE227</f>
        <v>0</v>
      </c>
    </row>
    <row r="15" spans="1:30">
      <c r="A15" s="171" t="s">
        <v>229</v>
      </c>
      <c r="B15" s="339">
        <f>B14*$E$99*'FREH HGV SEC'!$AG$5/1000000</f>
        <v>10.497560968983132</v>
      </c>
      <c r="C15" s="339">
        <f>C14*$E$99*'FREH HGV SEC'!$AG$5/1000000</f>
        <v>9.3475227777275265</v>
      </c>
      <c r="D15" s="339">
        <f>D14*$E$99*'FREH HGV SEC'!$AG$5/1000000</f>
        <v>8.5209999605655522</v>
      </c>
      <c r="E15" s="339">
        <f>E14*$E$99*'FREH HGV SEC'!$AG$5/1000000</f>
        <v>7.7064652840020109</v>
      </c>
      <c r="F15" s="339">
        <f>F14*$E$99*'FREH HGV SEC'!$AG$5/1000000</f>
        <v>6.7975801473600024</v>
      </c>
      <c r="G15" s="339">
        <f>G14*$E$99*'FREH HGV SEC'!$AG$5/1000000</f>
        <v>5.7721769247125012</v>
      </c>
      <c r="H15" s="339">
        <f>H14*$E$99*'FREH HGV SEC'!$AG$5/1000000</f>
        <v>4.6588177155805131</v>
      </c>
      <c r="I15" s="339">
        <f>I14*$E$99*'FREH HGV SEC'!$AG$5/1000000</f>
        <v>3.5409889645820525</v>
      </c>
      <c r="J15" s="339">
        <f>J14*$E$99*'FREH HGV SEC'!$AG$5/1000000</f>
        <v>2.5100050702282846</v>
      </c>
      <c r="K15" s="339">
        <f>K14*$E$99*'FREH HGV SEC'!$AG$5/1000000</f>
        <v>1.6524939606283762</v>
      </c>
      <c r="L15" s="339">
        <f>L14*$E$99*'FREH HGV SEC'!$AG$5/1000000</f>
        <v>1.0067054981163437</v>
      </c>
      <c r="M15" s="339">
        <f>M14*$E$99*'FREH HGV SEC'!$AG$5/1000000</f>
        <v>0.56580194769430581</v>
      </c>
      <c r="N15" s="339">
        <f>N14*$E$99*'FREH HGV SEC'!$AG$5/1000000</f>
        <v>0.29232012057569007</v>
      </c>
      <c r="O15" s="339">
        <f>O14*$E$99*'FREH HGV SEC'!$AG$5/1000000</f>
        <v>0.13780306410608523</v>
      </c>
      <c r="P15" s="339">
        <f>P14*$E$99*'FREH HGV SEC'!$AG$5/1000000</f>
        <v>5.8815075342303472E-2</v>
      </c>
      <c r="Q15" s="339">
        <f>Q14*$E$99*'FREH HGV SEC'!$AG$5/1000000</f>
        <v>2.2125533044258405E-2</v>
      </c>
      <c r="R15" s="339">
        <f>R14*$E$99*'FREH HGV SEC'!$AG$5/1000000</f>
        <v>7.574411349532714E-3</v>
      </c>
      <c r="S15" s="339">
        <f>S14*$E$99*'FREH HGV SEC'!$AG$5/1000000</f>
        <v>2.3303683186697969E-3</v>
      </c>
      <c r="T15" s="339">
        <f>T14*$E$99*'FREH HGV SEC'!$AG$5/1000000</f>
        <v>6.3407599700765276E-4</v>
      </c>
      <c r="U15" s="339">
        <f>U14*$E$99*'FREH HGV SEC'!$AG$5/1000000</f>
        <v>1.4938496108610652E-4</v>
      </c>
      <c r="V15" s="339">
        <f>V14*$E$99*'FREH HGV SEC'!$AG$5/1000000</f>
        <v>2.9605685025705755E-5</v>
      </c>
      <c r="W15" s="339">
        <f>W14*$E$99*'FREH HGV SEC'!$AG$5/1000000</f>
        <v>4.7343645662600988E-6</v>
      </c>
      <c r="X15" s="339">
        <f>X14*$E$99*'FREH HGV SEC'!$AG$5/1000000</f>
        <v>5.7223014614264499E-7</v>
      </c>
      <c r="Y15" s="339">
        <f>Y14*$E$99*'FREH HGV SEC'!$AG$5/1000000</f>
        <v>4.643024076624353E-8</v>
      </c>
      <c r="Z15" s="339">
        <f>Z14*$E$99*'FREH HGV SEC'!$AG$5/1000000</f>
        <v>1.8954328932586894E-9</v>
      </c>
      <c r="AA15" s="339">
        <f>AA14*$E$99*'FREH HGV SEC'!$AG$5/1000000</f>
        <v>0</v>
      </c>
      <c r="AB15" s="339">
        <f>AB14*$E$99*'FREH HGV SEC'!$AG$5/1000000</f>
        <v>0</v>
      </c>
      <c r="AC15" s="339">
        <f>AC14*$E$99*'FREH HGV SEC'!$AG$5/1000000</f>
        <v>0</v>
      </c>
      <c r="AD15" s="339">
        <f>AD14*$E$99*'FREH HGV SEC'!$AG$5/1000000</f>
        <v>0</v>
      </c>
    </row>
    <row r="16" spans="1:30">
      <c r="A16" s="171" t="s">
        <v>237</v>
      </c>
      <c r="B16" s="377">
        <f>'FREH HGV SEC'!B11</f>
        <v>1.941343150144027</v>
      </c>
      <c r="C16" s="377">
        <f>'FREH HGV SEC'!C11</f>
        <v>1.9149992935720781</v>
      </c>
      <c r="D16" s="377">
        <f>'FREH HGV SEC'!D11</f>
        <v>1.8997188225117307</v>
      </c>
      <c r="E16" s="377">
        <f>'FREH HGV SEC'!E11</f>
        <v>1.8915160054529534</v>
      </c>
      <c r="F16" s="377">
        <f>'FREH HGV SEC'!F11</f>
        <v>1.8912322818008231</v>
      </c>
      <c r="G16" s="377">
        <f>'FREH HGV SEC'!G11</f>
        <v>1.8996709614473015</v>
      </c>
      <c r="H16" s="377">
        <f>'FREH HGV SEC'!H11</f>
        <v>1.916833370340872</v>
      </c>
      <c r="I16" s="377">
        <f>'FREH HGV SEC'!I11</f>
        <v>1.9418825476812864</v>
      </c>
      <c r="J16" s="377">
        <f>'FREH HGV SEC'!J11</f>
        <v>1.9747412519087399</v>
      </c>
      <c r="K16" s="377">
        <f>'FREH HGV SEC'!K11</f>
        <v>2.0138815692359153</v>
      </c>
      <c r="L16" s="377">
        <f>'FREH HGV SEC'!L11</f>
        <v>2.0561744612392552</v>
      </c>
      <c r="M16" s="377">
        <f>'FREH HGV SEC'!M11</f>
        <v>2.0959964925327479</v>
      </c>
      <c r="N16" s="377">
        <f>'FREH HGV SEC'!N11</f>
        <v>2.1251960275501007</v>
      </c>
      <c r="O16" s="377">
        <f>'FREH HGV SEC'!O11</f>
        <v>2.1409341973669846</v>
      </c>
      <c r="P16" s="377">
        <f>'FREH HGV SEC'!P11</f>
        <v>2.1431610769963836</v>
      </c>
      <c r="Q16" s="377">
        <f>'FREH HGV SEC'!Q11</f>
        <v>2.1261270390686575</v>
      </c>
      <c r="R16" s="377">
        <f>'FREH HGV SEC'!R11</f>
        <v>2.107258517355088</v>
      </c>
      <c r="S16" s="377">
        <f>'FREH HGV SEC'!S11</f>
        <v>2.0873025976407167</v>
      </c>
      <c r="T16" s="377">
        <f>'FREH HGV SEC'!T11</f>
        <v>2.0667304220522587</v>
      </c>
      <c r="U16" s="377">
        <f>'FREH HGV SEC'!U11</f>
        <v>2.0455975627264102</v>
      </c>
      <c r="V16" s="377">
        <f>'FREH HGV SEC'!V11</f>
        <v>2.0235109070220503</v>
      </c>
      <c r="W16" s="377">
        <f>'FREH HGV SEC'!W11</f>
        <v>1.9995889482450289</v>
      </c>
      <c r="X16" s="377">
        <f>'FREH HGV SEC'!X11</f>
        <v>1.9722487361671219</v>
      </c>
      <c r="Y16" s="377">
        <f>'FREH HGV SEC'!Y11</f>
        <v>0</v>
      </c>
      <c r="Z16" s="377">
        <f>'FREH HGV SEC'!Z11</f>
        <v>0</v>
      </c>
      <c r="AA16" s="377">
        <f>'FREH HGV SEC'!AA11</f>
        <v>0</v>
      </c>
      <c r="AB16" s="377">
        <f>'FREH HGV SEC'!AB11</f>
        <v>0</v>
      </c>
      <c r="AC16" s="377">
        <f>'FREH HGV SEC'!AC11</f>
        <v>0</v>
      </c>
      <c r="AD16" s="318">
        <f>'FREH HGV SEC'!AD11</f>
        <v>0</v>
      </c>
    </row>
    <row r="17" spans="1:30" ht="15.75" thickBot="1">
      <c r="A17" s="378" t="s">
        <v>232</v>
      </c>
      <c r="B17" s="322">
        <f>B16*B15</f>
        <v>20.379368080354698</v>
      </c>
      <c r="C17" s="322">
        <f t="shared" ref="C17" si="29">C16*C15</f>
        <v>17.900499515997122</v>
      </c>
      <c r="D17" s="322">
        <f t="shared" ref="D17" si="30">D16*D15</f>
        <v>16.187504011708096</v>
      </c>
      <c r="E17" s="322">
        <f t="shared" ref="E17" si="31">E16*E15</f>
        <v>14.576902430157343</v>
      </c>
      <c r="F17" s="322">
        <f t="shared" ref="F17" si="32">F16*F15</f>
        <v>12.855803012815633</v>
      </c>
      <c r="G17" s="322">
        <f t="shared" ref="G17" si="33">G16*G15</f>
        <v>10.965236888212525</v>
      </c>
      <c r="H17" s="322">
        <f t="shared" ref="H17" si="34">H16*H15</f>
        <v>8.9301772635599566</v>
      </c>
      <c r="I17" s="322">
        <f t="shared" ref="I17" si="35">I16*I15</f>
        <v>6.8761846718539168</v>
      </c>
      <c r="J17" s="322">
        <f t="shared" ref="J17" si="36">J16*J15</f>
        <v>4.9566105546798873</v>
      </c>
      <c r="K17" s="322">
        <f t="shared" ref="K17" si="37">K16*K15</f>
        <v>3.3279271305831473</v>
      </c>
      <c r="L17" s="322">
        <f t="shared" ref="L17" si="38">L16*L15</f>
        <v>2.0699621352159689</v>
      </c>
      <c r="M17" s="322">
        <f t="shared" ref="M17" si="39">M16*M15</f>
        <v>1.1859188978354622</v>
      </c>
      <c r="N17" s="322">
        <f t="shared" ref="N17" si="40">N16*N15</f>
        <v>0.62123755902042299</v>
      </c>
      <c r="O17" s="322">
        <f t="shared" ref="O17" si="41">O16*O15</f>
        <v>0.2950272924466727</v>
      </c>
      <c r="P17" s="322">
        <f t="shared" ref="P17" si="42">P16*P15</f>
        <v>0.12605018021423456</v>
      </c>
      <c r="Q17" s="322">
        <f t="shared" ref="Q17" si="43">Q16*Q15</f>
        <v>4.7041694059204865E-2</v>
      </c>
      <c r="R17" s="322">
        <f t="shared" ref="R17" si="44">R16*R15</f>
        <v>1.5961242830253859E-2</v>
      </c>
      <c r="S17" s="322">
        <f t="shared" ref="S17" si="45">S16*S15</f>
        <v>4.8641838450190966E-3</v>
      </c>
      <c r="T17" s="322">
        <f t="shared" ref="T17" si="46">T16*T15</f>
        <v>1.3104641529088328E-3</v>
      </c>
      <c r="U17" s="322">
        <f t="shared" ref="U17" si="47">U16*U15</f>
        <v>3.0558151230571914E-4</v>
      </c>
      <c r="V17" s="322">
        <f t="shared" ref="V17" si="48">V16*V15</f>
        <v>5.9907426559374981E-5</v>
      </c>
      <c r="W17" s="322">
        <f t="shared" ref="W17" si="49">W16*W15</f>
        <v>9.466783063656563E-6</v>
      </c>
      <c r="X17" s="322">
        <f t="shared" ref="X17" si="50">X16*X15</f>
        <v>1.1285801825265591E-6</v>
      </c>
      <c r="Y17" s="322">
        <f t="shared" ref="Y17" si="51">Y16*Y15</f>
        <v>0</v>
      </c>
      <c r="Z17" s="322">
        <f t="shared" ref="Z17" si="52">Z16*Z15</f>
        <v>0</v>
      </c>
      <c r="AA17" s="322">
        <f t="shared" ref="AA17" si="53">AA16*AA15</f>
        <v>0</v>
      </c>
      <c r="AB17" s="322">
        <f t="shared" ref="AB17" si="54">AB16*AB15</f>
        <v>0</v>
      </c>
      <c r="AC17" s="322">
        <f t="shared" ref="AC17" si="55">AC16*AC15</f>
        <v>0</v>
      </c>
      <c r="AD17" s="323">
        <f t="shared" ref="AD17" si="56">AD16*AD15</f>
        <v>0</v>
      </c>
    </row>
    <row r="18" spans="1:30" ht="15.75" thickBot="1">
      <c r="A18" s="340"/>
    </row>
    <row r="19" spans="1:30">
      <c r="A19" s="168" t="s">
        <v>227</v>
      </c>
      <c r="B19" s="169">
        <v>2012</v>
      </c>
      <c r="C19" s="169">
        <v>2013</v>
      </c>
      <c r="D19" s="169">
        <v>2014</v>
      </c>
      <c r="E19" s="169">
        <v>2015</v>
      </c>
      <c r="F19" s="169">
        <v>2016</v>
      </c>
      <c r="G19" s="169">
        <v>2017</v>
      </c>
      <c r="H19" s="169">
        <v>2018</v>
      </c>
      <c r="I19" s="169">
        <v>2019</v>
      </c>
      <c r="J19" s="169">
        <v>2020</v>
      </c>
      <c r="K19" s="169">
        <v>2021</v>
      </c>
      <c r="L19" s="169">
        <v>2022</v>
      </c>
      <c r="M19" s="169">
        <v>2023</v>
      </c>
      <c r="N19" s="169">
        <v>2024</v>
      </c>
      <c r="O19" s="169">
        <v>2025</v>
      </c>
      <c r="P19" s="169">
        <v>2026</v>
      </c>
      <c r="Q19" s="169">
        <v>2027</v>
      </c>
      <c r="R19" s="169">
        <v>2028</v>
      </c>
      <c r="S19" s="169">
        <v>2029</v>
      </c>
      <c r="T19" s="169">
        <v>2030</v>
      </c>
      <c r="U19" s="169">
        <v>2031</v>
      </c>
      <c r="V19" s="169">
        <v>2032</v>
      </c>
      <c r="W19" s="169">
        <v>2033</v>
      </c>
      <c r="X19" s="169">
        <v>2034</v>
      </c>
      <c r="Y19" s="169">
        <v>2035</v>
      </c>
      <c r="Z19" s="169">
        <v>2036</v>
      </c>
      <c r="AA19" s="169">
        <v>2037</v>
      </c>
      <c r="AB19" s="169">
        <v>2038</v>
      </c>
      <c r="AC19" s="169">
        <v>2039</v>
      </c>
      <c r="AD19" s="170">
        <v>2040</v>
      </c>
    </row>
    <row r="20" spans="1:30">
      <c r="A20" s="171" t="s">
        <v>89</v>
      </c>
      <c r="B20" s="338">
        <f>'FREH Stock'!C343+'FREH Stock'!C372+'FREH Stock'!C401</f>
        <v>76258.813697904188</v>
      </c>
      <c r="C20" s="338">
        <f>'FREH Stock'!D343+'FREH Stock'!D372+'FREH Stock'!D401</f>
        <v>66906.281906493241</v>
      </c>
      <c r="D20" s="338">
        <f>'FREH Stock'!E343+'FREH Stock'!E372+'FREH Stock'!E401</f>
        <v>59201.420859848899</v>
      </c>
      <c r="E20" s="338">
        <f>'FREH Stock'!F343+'FREH Stock'!F372+'FREH Stock'!F401</f>
        <v>51850.873876875536</v>
      </c>
      <c r="F20" s="338">
        <f>'FREH Stock'!G343+'FREH Stock'!G372+'FREH Stock'!G401</f>
        <v>44386.655908855122</v>
      </c>
      <c r="G20" s="338">
        <f>'FREH Stock'!H343+'FREH Stock'!H372+'FREH Stock'!H401</f>
        <v>36785.129055781588</v>
      </c>
      <c r="H20" s="338">
        <f>'FREH Stock'!I343+'FREH Stock'!I372+'FREH Stock'!I401</f>
        <v>29272.090989449287</v>
      </c>
      <c r="I20" s="338">
        <f>'FREH Stock'!J343+'FREH Stock'!J372+'FREH Stock'!J401</f>
        <v>22198.540755505808</v>
      </c>
      <c r="J20" s="338">
        <f>'FREH Stock'!K343+'FREH Stock'!K372+'FREH Stock'!K401</f>
        <v>15933.034931860531</v>
      </c>
      <c r="K20" s="338">
        <f>'FREH Stock'!L343+'FREH Stock'!L372+'FREH Stock'!L401</f>
        <v>10798.172972176842</v>
      </c>
      <c r="L20" s="338">
        <f>'FREH Stock'!M343+'FREH Stock'!M372+'FREH Stock'!M401</f>
        <v>6883.1075475078569</v>
      </c>
      <c r="M20" s="338">
        <f>'FREH Stock'!N343+'FREH Stock'!N372+'FREH Stock'!N401</f>
        <v>4095.714460339218</v>
      </c>
      <c r="N20" s="338">
        <f>'FREH Stock'!O343+'FREH Stock'!O372+'FREH Stock'!O401</f>
        <v>2240.6033903499665</v>
      </c>
      <c r="O20" s="338">
        <f>'FREH Stock'!P343+'FREH Stock'!P372+'FREH Stock'!P401</f>
        <v>1107.9584365781254</v>
      </c>
      <c r="P20" s="338">
        <f>'FREH Stock'!Q343+'FREH Stock'!Q372+'FREH Stock'!Q401</f>
        <v>486.84112032920194</v>
      </c>
      <c r="Q20" s="338">
        <f>'FREH Stock'!R343+'FREH Stock'!R372+'FREH Stock'!R401</f>
        <v>187.69175880956377</v>
      </c>
      <c r="R20" s="338">
        <f>'FREH Stock'!S343+'FREH Stock'!S372+'FREH Stock'!S401</f>
        <v>65.558669452050111</v>
      </c>
      <c r="S20" s="338">
        <f>'FREH Stock'!T343+'FREH Stock'!T372+'FREH Stock'!T401</f>
        <v>20.468564765970079</v>
      </c>
      <c r="T20" s="338">
        <f>'FREH Stock'!U343+'FREH Stock'!U372+'FREH Stock'!U401</f>
        <v>5.6184050307809201</v>
      </c>
      <c r="U20" s="338">
        <f>'FREH Stock'!V343+'FREH Stock'!V372+'FREH Stock'!V401</f>
        <v>1.327227177101941</v>
      </c>
      <c r="V20" s="338">
        <f>'FREH Stock'!W343+'FREH Stock'!W372+'FREH Stock'!W401</f>
        <v>0.26217499218340928</v>
      </c>
      <c r="W20" s="338">
        <f>'FREH Stock'!X343+'FREH Stock'!X372+'FREH Stock'!X401</f>
        <v>4.1553856835608777E-2</v>
      </c>
      <c r="X20" s="338">
        <f>'FREH Stock'!Y343+'FREH Stock'!Y372+'FREH Stock'!Y401</f>
        <v>4.9523666727705586E-3</v>
      </c>
      <c r="Y20" s="338">
        <f>'FREH Stock'!Z343+'FREH Stock'!Z372+'FREH Stock'!Z401</f>
        <v>3.9438865716598235E-4</v>
      </c>
      <c r="Z20" s="338">
        <f>'FREH Stock'!AA343+'FREH Stock'!AA372+'FREH Stock'!AA401</f>
        <v>1.5737322077545134E-5</v>
      </c>
      <c r="AA20" s="338">
        <f>'FREH Stock'!AB343+'FREH Stock'!AB372+'FREH Stock'!AB401</f>
        <v>0</v>
      </c>
      <c r="AB20" s="338">
        <f>'FREH Stock'!AC343+'FREH Stock'!AC372+'FREH Stock'!AC401</f>
        <v>0</v>
      </c>
      <c r="AC20" s="338">
        <f>'FREH Stock'!AD343+'FREH Stock'!AD372+'FREH Stock'!AD401</f>
        <v>0</v>
      </c>
      <c r="AD20" s="342">
        <f>'FREH Stock'!AE343+'FREH Stock'!AE372+'FREH Stock'!AE401</f>
        <v>0</v>
      </c>
    </row>
    <row r="21" spans="1:30">
      <c r="A21" s="171" t="s">
        <v>229</v>
      </c>
      <c r="B21" s="339">
        <f>B20*$E$100*$E$86/1000000</f>
        <v>14036.494847144901</v>
      </c>
      <c r="C21" s="339">
        <f t="shared" ref="C21:AD21" si="57">C20*$E$100*$E$86/1000000</f>
        <v>12315.031347621481</v>
      </c>
      <c r="D21" s="339">
        <f t="shared" si="57"/>
        <v>10896.844555369255</v>
      </c>
      <c r="E21" s="339">
        <f t="shared" si="57"/>
        <v>9543.874192377134</v>
      </c>
      <c r="F21" s="339">
        <f t="shared" si="57"/>
        <v>8169.981104279379</v>
      </c>
      <c r="G21" s="339">
        <f t="shared" si="57"/>
        <v>6770.8144069546261</v>
      </c>
      <c r="H21" s="339">
        <f t="shared" si="57"/>
        <v>5387.9353010425048</v>
      </c>
      <c r="I21" s="339">
        <f t="shared" si="57"/>
        <v>4085.9500406489633</v>
      </c>
      <c r="J21" s="339">
        <f t="shared" si="57"/>
        <v>2932.6965877858447</v>
      </c>
      <c r="K21" s="339">
        <f t="shared" si="57"/>
        <v>1987.5538568298646</v>
      </c>
      <c r="L21" s="339">
        <f t="shared" si="57"/>
        <v>1266.9316363308894</v>
      </c>
      <c r="M21" s="339">
        <f t="shared" si="57"/>
        <v>753.87318698229728</v>
      </c>
      <c r="N21" s="339">
        <f t="shared" si="57"/>
        <v>412.41420392049764</v>
      </c>
      <c r="O21" s="339">
        <f t="shared" si="57"/>
        <v>203.93515361368634</v>
      </c>
      <c r="P21" s="339">
        <f t="shared" si="57"/>
        <v>89.609876491783126</v>
      </c>
      <c r="Q21" s="339">
        <f t="shared" si="57"/>
        <v>34.547277588379401</v>
      </c>
      <c r="R21" s="339">
        <f t="shared" si="57"/>
        <v>12.066984540236392</v>
      </c>
      <c r="S21" s="339">
        <f t="shared" si="57"/>
        <v>3.7675239088316252</v>
      </c>
      <c r="T21" s="339">
        <f t="shared" si="57"/>
        <v>1.0341455556355807</v>
      </c>
      <c r="U21" s="339">
        <f t="shared" si="57"/>
        <v>0.24429461368468763</v>
      </c>
      <c r="V21" s="339">
        <f t="shared" si="57"/>
        <v>4.8256952191925016E-2</v>
      </c>
      <c r="W21" s="339">
        <f t="shared" si="57"/>
        <v>7.6485650519377201E-3</v>
      </c>
      <c r="X21" s="339">
        <f t="shared" si="57"/>
        <v>9.1155193626394596E-4</v>
      </c>
      <c r="Y21" s="339">
        <f t="shared" si="57"/>
        <v>7.2592715328783673E-5</v>
      </c>
      <c r="Z21" s="339">
        <f t="shared" si="57"/>
        <v>2.8966729160565582E-6</v>
      </c>
      <c r="AA21" s="339">
        <f t="shared" si="57"/>
        <v>0</v>
      </c>
      <c r="AB21" s="339">
        <f t="shared" si="57"/>
        <v>0</v>
      </c>
      <c r="AC21" s="339">
        <f t="shared" si="57"/>
        <v>0</v>
      </c>
      <c r="AD21" s="339">
        <f t="shared" si="57"/>
        <v>0</v>
      </c>
    </row>
    <row r="22" spans="1:30">
      <c r="A22" s="171" t="s">
        <v>237</v>
      </c>
      <c r="B22" s="377">
        <f>SUMPRODUCT('FREH HGV SEC'!B8:B10,'FREH HGV SEC'!B15:B17)/SUM('FREH HGV SEC'!B15:B17)</f>
        <v>2.6660291465828414</v>
      </c>
      <c r="C22" s="377">
        <f>SUMPRODUCT('FREH HGV SEC'!C8:C10,'FREH HGV SEC'!C15:C17)/SUM('FREH HGV SEC'!C15:C17)</f>
        <v>2.7494909753119074</v>
      </c>
      <c r="D22" s="377">
        <f>SUMPRODUCT('FREH HGV SEC'!D8:D10,'FREH HGV SEC'!D15:D17)/SUM('FREH HGV SEC'!D15:D17)</f>
        <v>2.8212722696613941</v>
      </c>
      <c r="E22" s="377">
        <f>SUMPRODUCT('FREH HGV SEC'!E8:E10,'FREH HGV SEC'!E15:E17)/SUM('FREH HGV SEC'!E15:E17)</f>
        <v>2.8855910190314269</v>
      </c>
      <c r="F22" s="377">
        <f>SUMPRODUCT('FREH HGV SEC'!F8:F10,'FREH HGV SEC'!F15:F17)/SUM('FREH HGV SEC'!F15:F17)</f>
        <v>2.9420630920376531</v>
      </c>
      <c r="G22" s="377">
        <f>SUMPRODUCT('FREH HGV SEC'!G8:G10,'FREH HGV SEC'!G15:G17)/SUM('FREH HGV SEC'!G15:G17)</f>
        <v>2.9904829687718002</v>
      </c>
      <c r="H22" s="377">
        <f>SUMPRODUCT('FREH HGV SEC'!H8:H10,'FREH HGV SEC'!H15:H17)/SUM('FREH HGV SEC'!H15:H17)</f>
        <v>3.0311119760723146</v>
      </c>
      <c r="I22" s="377">
        <f>SUMPRODUCT('FREH HGV SEC'!I8:I10,'FREH HGV SEC'!I15:I17)/SUM('FREH HGV SEC'!I15:I17)</f>
        <v>3.0662176910447454</v>
      </c>
      <c r="J22" s="377">
        <f>SUMPRODUCT('FREH HGV SEC'!J8:J10,'FREH HGV SEC'!J15:J17)/SUM('FREH HGV SEC'!J15:J17)</f>
        <v>3.0995954518884141</v>
      </c>
      <c r="K22" s="377">
        <f>SUMPRODUCT('FREH HGV SEC'!K8:K10,'FREH HGV SEC'!K15:K17)/SUM('FREH HGV SEC'!K15:K17)</f>
        <v>3.1325130609271521</v>
      </c>
      <c r="L22" s="377">
        <f>SUMPRODUCT('FREH HGV SEC'!L8:L10,'FREH HGV SEC'!L15:L17)/SUM('FREH HGV SEC'!L15:L17)</f>
        <v>3.1625250400651304</v>
      </c>
      <c r="M22" s="377">
        <f>SUMPRODUCT('FREH HGV SEC'!M8:M10,'FREH HGV SEC'!M15:M17)/SUM('FREH HGV SEC'!M15:M17)</f>
        <v>3.1873008449803231</v>
      </c>
      <c r="N22" s="377">
        <f>SUMPRODUCT('FREH HGV SEC'!N8:N10,'FREH HGV SEC'!N15:N17)/SUM('FREH HGV SEC'!N15:N17)</f>
        <v>3.2059926687676898</v>
      </c>
      <c r="O22" s="377">
        <f>SUMPRODUCT('FREH HGV SEC'!O8:O10,'FREH HGV SEC'!O15:O17)/SUM('FREH HGV SEC'!O15:O17)</f>
        <v>3.2186492803795979</v>
      </c>
      <c r="P22" s="377">
        <f>SUMPRODUCT('FREH HGV SEC'!P8:P10,'FREH HGV SEC'!P15:P17)/SUM('FREH HGV SEC'!P15:P17)</f>
        <v>3.226385151926491</v>
      </c>
      <c r="Q22" s="377">
        <f>SUMPRODUCT('FREH HGV SEC'!Q8:Q10,'FREH HGV SEC'!Q15:Q17)/SUM('FREH HGV SEC'!Q15:Q17)</f>
        <v>3.2307112906373208</v>
      </c>
      <c r="R22" s="377">
        <f>SUMPRODUCT('FREH HGV SEC'!R8:R10,'FREH HGV SEC'!R15:R17)/SUM('FREH HGV SEC'!R15:R17)</f>
        <v>3.2334586599924209</v>
      </c>
      <c r="S22" s="377">
        <f>SUMPRODUCT('FREH HGV SEC'!S8:S10,'FREH HGV SEC'!S15:S17)/SUM('FREH HGV SEC'!S15:S17)</f>
        <v>3.2354219784410096</v>
      </c>
      <c r="T22" s="377">
        <f>SUMPRODUCT('FREH HGV SEC'!T8:T10,'FREH HGV SEC'!T15:T17)/SUM('FREH HGV SEC'!T15:T17)</f>
        <v>3.236926819554518</v>
      </c>
      <c r="U22" s="377">
        <f>SUMPRODUCT('FREH HGV SEC'!U8:U10,'FREH HGV SEC'!U15:U17)/SUM('FREH HGV SEC'!U15:U17)</f>
        <v>3.238125833053477</v>
      </c>
      <c r="V22" s="377">
        <f>SUMPRODUCT('FREH HGV SEC'!V8:V10,'FREH HGV SEC'!V15:V17)/SUM('FREH HGV SEC'!V15:V17)</f>
        <v>3.239103290783369</v>
      </c>
      <c r="W22" s="377">
        <f>SUMPRODUCT('FREH HGV SEC'!W8:W10,'FREH HGV SEC'!W15:W17)/SUM('FREH HGV SEC'!W15:W17)</f>
        <v>3.239912334487161</v>
      </c>
      <c r="X22" s="377">
        <f>SUMPRODUCT('FREH HGV SEC'!X8:X10,'FREH HGV SEC'!X15:X17)/SUM('FREH HGV SEC'!X15:X17)</f>
        <v>3.240588530169318</v>
      </c>
      <c r="Y22" s="377">
        <f>SUMPRODUCT('FREH HGV SEC'!Y8:Y10,'FREH HGV SEC'!Y15:Y17)/SUM('FREH HGV SEC'!Y15:Y17)</f>
        <v>3.2411552513243818</v>
      </c>
      <c r="Z22" s="377">
        <f>SUMPRODUCT('FREH HGV SEC'!Z8:Z10,'FREH HGV SEC'!Z15:Z17)/SUM('FREH HGV SEC'!Z15:Z17)</f>
        <v>3.2416264963486521</v>
      </c>
      <c r="AA22" s="377">
        <v>0</v>
      </c>
      <c r="AB22" s="377">
        <v>0</v>
      </c>
      <c r="AC22" s="377">
        <v>0</v>
      </c>
      <c r="AD22" s="318">
        <v>0</v>
      </c>
    </row>
    <row r="23" spans="1:30" ht="15.75" thickBot="1">
      <c r="A23" s="378" t="s">
        <v>232</v>
      </c>
      <c r="B23" s="322">
        <f>B22*B21</f>
        <v>37421.704378348171</v>
      </c>
      <c r="C23" s="322">
        <f t="shared" ref="C23" si="58">C22*C21</f>
        <v>33860.067550968502</v>
      </c>
      <c r="D23" s="322">
        <f t="shared" ref="D23" si="59">D22*D21</f>
        <v>30742.965370874022</v>
      </c>
      <c r="E23" s="322">
        <f t="shared" ref="E23" si="60">E22*E21</f>
        <v>27539.717656289271</v>
      </c>
      <c r="F23" s="322">
        <f t="shared" ref="F23" si="61">F22*F21</f>
        <v>24036.599869545389</v>
      </c>
      <c r="G23" s="322">
        <f t="shared" ref="G23" si="62">G22*G21</f>
        <v>20248.005168712545</v>
      </c>
      <c r="H23" s="322">
        <f t="shared" ref="H23" si="63">H22*H21</f>
        <v>16331.435217292728</v>
      </c>
      <c r="I23" s="322">
        <f t="shared" ref="I23" si="64">I22*I21</f>
        <v>12528.412299362848</v>
      </c>
      <c r="J23" s="322">
        <f t="shared" ref="J23" si="65">J22*J21</f>
        <v>9090.1730052696748</v>
      </c>
      <c r="K23" s="322">
        <f t="shared" ref="K23" si="66">K22*K21</f>
        <v>6226.0384158156858</v>
      </c>
      <c r="L23" s="322">
        <f t="shared" ref="L23" si="67">L22*L21</f>
        <v>4006.7030239471273</v>
      </c>
      <c r="M23" s="322">
        <f t="shared" ref="M23" si="68">M22*M21</f>
        <v>2402.8206458766854</v>
      </c>
      <c r="N23" s="322">
        <f t="shared" ref="N23" si="69">N22*N21</f>
        <v>1322.1969142647786</v>
      </c>
      <c r="O23" s="322">
        <f t="shared" ref="O23" si="70">O22*O21</f>
        <v>656.39573542279425</v>
      </c>
      <c r="P23" s="322">
        <f t="shared" ref="P23" si="71">P22*P21</f>
        <v>289.11597497905581</v>
      </c>
      <c r="Q23" s="322">
        <f t="shared" ref="Q23" si="72">Q22*Q21</f>
        <v>111.61227976555901</v>
      </c>
      <c r="R23" s="322">
        <f t="shared" ref="R23" si="73">R22*R21</f>
        <v>39.018095661622027</v>
      </c>
      <c r="S23" s="322">
        <f t="shared" ref="S23" si="74">S22*S21</f>
        <v>12.189529658935824</v>
      </c>
      <c r="T23" s="322">
        <f t="shared" ref="T23" si="75">T22*T21</f>
        <v>3.3474534843599204</v>
      </c>
      <c r="U23" s="322">
        <f t="shared" ref="U23" si="76">U22*U21</f>
        <v>0.79105669944820645</v>
      </c>
      <c r="V23" s="322">
        <f t="shared" ref="V23" si="77">V22*V21</f>
        <v>0.15630925264804002</v>
      </c>
      <c r="W23" s="322">
        <f t="shared" ref="W23" si="78">W22*W21</f>
        <v>2.4780680252900453E-2</v>
      </c>
      <c r="X23" s="322">
        <f t="shared" ref="X23" si="79">X22*X21</f>
        <v>2.9539647493105766E-3</v>
      </c>
      <c r="Y23" s="322">
        <f t="shared" ref="Y23" si="80">Y22*Y21</f>
        <v>2.3528426049578314E-4</v>
      </c>
      <c r="Z23" s="322">
        <f t="shared" ref="Z23" si="81">Z22*Z21</f>
        <v>9.3899316759444548E-6</v>
      </c>
      <c r="AA23" s="322">
        <f t="shared" ref="AA23" si="82">AA22*AA21</f>
        <v>0</v>
      </c>
      <c r="AB23" s="322">
        <f t="shared" ref="AB23" si="83">AB22*AB21</f>
        <v>0</v>
      </c>
      <c r="AC23" s="322">
        <f t="shared" ref="AC23" si="84">AC22*AC21</f>
        <v>0</v>
      </c>
      <c r="AD23" s="323">
        <f t="shared" ref="AD23" si="85">AD22*AD21</f>
        <v>0</v>
      </c>
    </row>
    <row r="24" spans="1:30" ht="15.75" thickBot="1"/>
    <row r="25" spans="1:30" ht="15.75" thickBot="1">
      <c r="A25" s="222" t="s">
        <v>4</v>
      </c>
      <c r="B25" s="223" t="s">
        <v>132</v>
      </c>
      <c r="D25" s="379"/>
      <c r="G25" s="447" t="s">
        <v>243</v>
      </c>
      <c r="H25" s="448" t="s">
        <v>244</v>
      </c>
      <c r="I25" s="449" t="s">
        <v>245</v>
      </c>
    </row>
    <row r="26" spans="1:30" ht="15.75" thickTop="1">
      <c r="A26" s="1" t="s">
        <v>117</v>
      </c>
      <c r="B26" s="2" t="s">
        <v>133</v>
      </c>
      <c r="D26" s="386"/>
      <c r="F26" s="452" t="s">
        <v>540</v>
      </c>
      <c r="G26" s="456">
        <f>(B5+B11)/41.868</f>
        <v>331.17051592374622</v>
      </c>
      <c r="H26" s="457">
        <v>323.8110271613192</v>
      </c>
      <c r="I26" s="450">
        <f>(G26-H26)/H26</f>
        <v>2.272772742467662E-2</v>
      </c>
      <c r="N26" s="379"/>
    </row>
    <row r="27" spans="1:30" ht="15.75" thickBot="1">
      <c r="A27" s="1" t="s">
        <v>118</v>
      </c>
      <c r="B27" s="2" t="s">
        <v>134</v>
      </c>
      <c r="D27" s="379"/>
      <c r="F27" s="453" t="s">
        <v>541</v>
      </c>
      <c r="G27" s="454">
        <f>((B15*B16*1000000)+(B22*B21*1000000))/41868000</f>
        <v>894.28880640175146</v>
      </c>
      <c r="H27" s="455">
        <v>633.51264940720239</v>
      </c>
      <c r="I27" s="451">
        <f>(G27-H27)/H27</f>
        <v>0.41163528027193375</v>
      </c>
    </row>
    <row r="28" spans="1:30" ht="15.75" thickBot="1">
      <c r="A28" s="1" t="s">
        <v>119</v>
      </c>
      <c r="B28" s="2" t="s">
        <v>135</v>
      </c>
    </row>
    <row r="29" spans="1:30">
      <c r="A29" s="1" t="s">
        <v>120</v>
      </c>
      <c r="B29" s="2" t="s">
        <v>136</v>
      </c>
      <c r="D29" s="379"/>
      <c r="E29" s="1512"/>
      <c r="F29" s="1513">
        <v>2012</v>
      </c>
      <c r="G29" s="1513">
        <v>2013</v>
      </c>
      <c r="H29" s="1514" t="s">
        <v>1288</v>
      </c>
    </row>
    <row r="30" spans="1:30" ht="15.75" thickBot="1">
      <c r="A30" s="258" t="s">
        <v>121</v>
      </c>
      <c r="B30" s="260" t="s">
        <v>137</v>
      </c>
      <c r="D30" s="379"/>
      <c r="E30" s="1515" t="s">
        <v>1294</v>
      </c>
      <c r="F30" s="1516">
        <f>G30</f>
        <v>0.3141545199079655</v>
      </c>
      <c r="G30" s="1516">
        <f>CAR!O55</f>
        <v>0.3141545199079655</v>
      </c>
      <c r="H30" s="1517">
        <f>CAR!P55</f>
        <v>0.3141545199079655</v>
      </c>
    </row>
    <row r="31" spans="1:30" ht="15.75" thickBot="1">
      <c r="A31" s="259" t="s">
        <v>131</v>
      </c>
      <c r="B31" s="261" t="s">
        <v>138</v>
      </c>
    </row>
    <row r="32" spans="1:30">
      <c r="D32" s="390"/>
      <c r="F32" s="379"/>
      <c r="G32" s="379"/>
    </row>
    <row r="34" spans="1:20">
      <c r="D34" s="379"/>
    </row>
    <row r="35" spans="1:20" ht="21">
      <c r="A35" s="645" t="s">
        <v>770</v>
      </c>
      <c r="B35" s="644"/>
      <c r="C35" s="650"/>
      <c r="D35" s="650"/>
      <c r="E35" s="650"/>
      <c r="F35" s="650"/>
      <c r="G35" s="650"/>
      <c r="H35" s="650"/>
      <c r="I35" s="650"/>
      <c r="J35" s="650"/>
      <c r="K35" s="650"/>
      <c r="L35" s="650"/>
      <c r="M35" s="650"/>
      <c r="N35" s="650"/>
      <c r="O35" s="650"/>
      <c r="P35" s="650"/>
      <c r="Q35" s="650"/>
      <c r="R35" s="650"/>
      <c r="S35" s="650"/>
    </row>
    <row r="36" spans="1:20">
      <c r="A36" s="650"/>
      <c r="B36" s="650"/>
      <c r="C36" s="650"/>
      <c r="D36" s="650"/>
      <c r="E36" s="650"/>
      <c r="F36" s="650"/>
      <c r="G36" s="650"/>
      <c r="H36" s="650"/>
      <c r="I36" s="650"/>
      <c r="J36" s="650"/>
      <c r="K36" s="650"/>
      <c r="L36" s="650"/>
      <c r="M36" s="650"/>
      <c r="N36" s="650"/>
      <c r="O36" s="650"/>
      <c r="P36" s="650"/>
      <c r="Q36" s="650"/>
      <c r="R36" s="650"/>
      <c r="S36" s="650"/>
    </row>
    <row r="37" spans="1:20">
      <c r="A37" s="651" t="s">
        <v>719</v>
      </c>
      <c r="B37" s="651"/>
      <c r="C37" s="652"/>
      <c r="D37" s="652"/>
      <c r="E37" s="652"/>
      <c r="F37" s="652"/>
      <c r="G37" s="652"/>
      <c r="H37" s="652"/>
      <c r="I37" s="650"/>
      <c r="J37" s="650"/>
      <c r="K37" s="650"/>
    </row>
    <row r="38" spans="1:20" ht="15.75" thickBot="1">
      <c r="A38" s="653" t="s">
        <v>728</v>
      </c>
      <c r="B38" s="653" t="s">
        <v>729</v>
      </c>
      <c r="C38" s="653" t="s">
        <v>730</v>
      </c>
      <c r="D38" s="653" t="s">
        <v>731</v>
      </c>
      <c r="E38" s="653" t="s">
        <v>732</v>
      </c>
      <c r="F38" s="653" t="s">
        <v>733</v>
      </c>
      <c r="G38" s="653" t="s">
        <v>734</v>
      </c>
      <c r="H38" s="653" t="s">
        <v>10</v>
      </c>
      <c r="I38" s="650"/>
      <c r="J38" s="909" t="s">
        <v>1090</v>
      </c>
      <c r="K38" s="650"/>
      <c r="L38" t="s">
        <v>1291</v>
      </c>
      <c r="Q38" t="s">
        <v>1292</v>
      </c>
    </row>
    <row r="39" spans="1:20">
      <c r="A39" s="641" t="s">
        <v>771</v>
      </c>
      <c r="B39" s="642"/>
      <c r="C39" s="642"/>
      <c r="D39" s="642"/>
      <c r="E39" s="649"/>
      <c r="F39" s="649"/>
      <c r="G39" s="649"/>
      <c r="H39" s="649"/>
      <c r="J39" s="899"/>
      <c r="K39" s="900"/>
      <c r="L39" s="900">
        <v>2012</v>
      </c>
      <c r="M39" s="900" t="s">
        <v>954</v>
      </c>
      <c r="N39" s="908" t="s">
        <v>1091</v>
      </c>
      <c r="O39" s="901" t="s">
        <v>1089</v>
      </c>
      <c r="Q39" s="1501">
        <v>2012</v>
      </c>
      <c r="R39" s="1502" t="s">
        <v>954</v>
      </c>
      <c r="S39" s="1503" t="s">
        <v>1091</v>
      </c>
      <c r="T39" s="1504" t="s">
        <v>1089</v>
      </c>
    </row>
    <row r="40" spans="1:20">
      <c r="A40" s="650" t="s">
        <v>778</v>
      </c>
      <c r="B40" t="s">
        <v>1203</v>
      </c>
      <c r="C40" t="s">
        <v>773</v>
      </c>
      <c r="D40" s="650" t="s">
        <v>898</v>
      </c>
      <c r="E40" s="650" t="s">
        <v>735</v>
      </c>
      <c r="J40" s="902" t="str">
        <f>B40</f>
        <v>TFreGSL_LGV_00</v>
      </c>
      <c r="K40" s="903"/>
      <c r="L40" s="903">
        <f>E54*F82*E96</f>
        <v>8.4074959419564212</v>
      </c>
      <c r="M40" s="903">
        <f>B3</f>
        <v>8.4074959419564212</v>
      </c>
      <c r="N40" s="911" t="s">
        <v>898</v>
      </c>
      <c r="O40" s="1116">
        <f>L40-M40</f>
        <v>0</v>
      </c>
      <c r="Q40" s="1505">
        <f>L40/E68/0.041868</f>
        <v>0.68960418944817081</v>
      </c>
      <c r="R40" s="903">
        <f>'EB2012'!AM47</f>
        <v>320.86007751296677</v>
      </c>
      <c r="S40" s="911" t="s">
        <v>1285</v>
      </c>
      <c r="T40" s="1705">
        <f>-R40+(Q40+Q41)</f>
        <v>10.310438410779454</v>
      </c>
    </row>
    <row r="41" spans="1:20">
      <c r="B41" s="650" t="s">
        <v>1204</v>
      </c>
      <c r="C41" s="650" t="s">
        <v>774</v>
      </c>
      <c r="D41" s="650" t="s">
        <v>898</v>
      </c>
      <c r="E41" s="650" t="s">
        <v>735</v>
      </c>
      <c r="J41" s="902" t="str">
        <f>B41</f>
        <v>TFreDST_LGV_00</v>
      </c>
      <c r="K41" s="903"/>
      <c r="L41" s="903">
        <f>E55*F83*E97</f>
        <v>3972.162265628217</v>
      </c>
      <c r="M41" s="903">
        <f>B9</f>
        <v>3972.1622656282166</v>
      </c>
      <c r="N41" s="911" t="s">
        <v>898</v>
      </c>
      <c r="O41" s="1116">
        <f>L41-M41</f>
        <v>0</v>
      </c>
      <c r="Q41" s="1505">
        <f>L41/E69/0.041868</f>
        <v>330.48091173429805</v>
      </c>
      <c r="R41" s="903"/>
      <c r="S41" s="911" t="s">
        <v>1285</v>
      </c>
      <c r="T41" s="1705"/>
    </row>
    <row r="42" spans="1:20">
      <c r="A42" s="641" t="s">
        <v>772</v>
      </c>
      <c r="B42" s="642"/>
      <c r="C42" s="642"/>
      <c r="D42" s="642"/>
      <c r="E42" s="649"/>
      <c r="F42" s="649"/>
      <c r="G42" s="649"/>
      <c r="H42" s="649"/>
      <c r="J42" s="904"/>
      <c r="K42" s="905"/>
      <c r="L42" s="905"/>
      <c r="M42" s="905"/>
      <c r="N42" s="912"/>
      <c r="O42" s="1116"/>
      <c r="Q42" s="1506"/>
      <c r="R42" s="905"/>
      <c r="S42" s="912"/>
      <c r="T42" s="1116"/>
    </row>
    <row r="43" spans="1:20">
      <c r="B43" s="650" t="s">
        <v>1205</v>
      </c>
      <c r="C43" s="650" t="s">
        <v>775</v>
      </c>
      <c r="D43" s="650" t="s">
        <v>898</v>
      </c>
      <c r="E43" s="650" t="s">
        <v>735</v>
      </c>
      <c r="J43" s="902" t="str">
        <f t="shared" ref="J43:J44" si="86">B43</f>
        <v>TFreGSL_HGV_00</v>
      </c>
      <c r="K43" s="903"/>
      <c r="L43" s="903">
        <f>E57*F85*E99*E85</f>
        <v>10.497560968983132</v>
      </c>
      <c r="M43" s="903">
        <f>B15</f>
        <v>10.497560968983132</v>
      </c>
      <c r="N43" s="911" t="s">
        <v>779</v>
      </c>
      <c r="O43" s="1116">
        <f>L43-M43</f>
        <v>0</v>
      </c>
      <c r="Q43" s="1505">
        <f>E57*F85*E99/E71/0.041868</f>
        <v>0.63966845026431274</v>
      </c>
      <c r="R43" s="903">
        <f>'EB2012'!AM46</f>
        <v>629.18748263783925</v>
      </c>
      <c r="S43" s="911" t="s">
        <v>1285</v>
      </c>
      <c r="T43" s="1705">
        <f>-R43+(Q43+Q44)</f>
        <v>3.6854445074225168</v>
      </c>
    </row>
    <row r="44" spans="1:20">
      <c r="B44" s="650" t="s">
        <v>1206</v>
      </c>
      <c r="C44" s="650" t="s">
        <v>776</v>
      </c>
      <c r="D44" s="650" t="s">
        <v>898</v>
      </c>
      <c r="E44" s="650" t="s">
        <v>735</v>
      </c>
      <c r="J44" s="902" t="str">
        <f t="shared" si="86"/>
        <v>TFreDST_HGV_00</v>
      </c>
      <c r="K44" s="903"/>
      <c r="L44" s="903">
        <f>E58*F86*E100*E86</f>
        <v>14036.494847144901</v>
      </c>
      <c r="M44" s="903">
        <f>B21</f>
        <v>14036.494847144901</v>
      </c>
      <c r="N44" s="911" t="s">
        <v>779</v>
      </c>
      <c r="O44" s="1116">
        <f>L44-M44</f>
        <v>0</v>
      </c>
      <c r="Q44" s="1505">
        <f>E58*F86*E100/E72/0.041868</f>
        <v>632.2332586949974</v>
      </c>
      <c r="R44" s="903"/>
      <c r="S44" s="911" t="s">
        <v>1285</v>
      </c>
      <c r="T44" s="1705"/>
    </row>
    <row r="45" spans="1:20">
      <c r="A45" s="641" t="s">
        <v>1011</v>
      </c>
      <c r="B45" s="642"/>
      <c r="C45" s="642"/>
      <c r="D45" s="642"/>
      <c r="E45" s="649"/>
      <c r="F45" s="649"/>
      <c r="G45" s="649"/>
      <c r="H45" s="649"/>
      <c r="J45" s="904"/>
      <c r="K45" s="905"/>
      <c r="L45" s="905"/>
      <c r="M45" s="905"/>
      <c r="N45" s="912"/>
      <c r="O45" s="1117"/>
      <c r="Q45" s="1506"/>
      <c r="R45" s="905"/>
      <c r="S45" s="912"/>
      <c r="T45" s="1117"/>
    </row>
    <row r="46" spans="1:20">
      <c r="B46" t="s">
        <v>1207</v>
      </c>
      <c r="C46" s="650" t="s">
        <v>1012</v>
      </c>
      <c r="D46" s="650" t="s">
        <v>898</v>
      </c>
      <c r="E46" s="650" t="s">
        <v>735</v>
      </c>
      <c r="J46" s="906" t="str">
        <f t="shared" ref="J46" si="87">B46</f>
        <v>TFreDST_RAIL_00</v>
      </c>
      <c r="K46" s="907"/>
      <c r="L46" s="907">
        <f>E60*F88*E102*E88</f>
        <v>90.838999999999999</v>
      </c>
      <c r="M46" s="907">
        <f>Demands!C11</f>
        <v>90.838999999999999</v>
      </c>
      <c r="N46" s="913" t="s">
        <v>779</v>
      </c>
      <c r="O46" s="1118">
        <f>L46-M46</f>
        <v>0</v>
      </c>
      <c r="Q46" s="1507">
        <f>E60*F88*E102/E74/0.041868</f>
        <v>2.4425142712742596</v>
      </c>
      <c r="R46" s="1508"/>
      <c r="S46" s="1509" t="s">
        <v>1285</v>
      </c>
      <c r="T46" s="1510"/>
    </row>
    <row r="47" spans="1:20" s="650" customFormat="1"/>
    <row r="49" spans="1:33" ht="21">
      <c r="A49" s="645" t="s">
        <v>752</v>
      </c>
      <c r="B49" s="644"/>
      <c r="C49" s="650"/>
      <c r="D49" s="650"/>
      <c r="E49" s="650"/>
      <c r="F49" s="650"/>
      <c r="G49" s="650"/>
      <c r="H49" s="650"/>
      <c r="I49" s="650"/>
      <c r="J49" s="650"/>
      <c r="K49" s="650"/>
      <c r="L49" s="650"/>
      <c r="M49" s="650"/>
      <c r="N49" s="650"/>
      <c r="O49" s="650"/>
      <c r="P49" s="650"/>
      <c r="Q49" s="650"/>
      <c r="R49" s="650"/>
      <c r="S49" s="650"/>
      <c r="T49" s="650"/>
      <c r="U49" s="650"/>
      <c r="V49" s="650"/>
      <c r="W49" s="650"/>
      <c r="X49" s="650"/>
      <c r="Y49" s="650"/>
      <c r="Z49" s="650"/>
      <c r="AA49" s="650"/>
      <c r="AB49" s="650"/>
      <c r="AC49" s="650"/>
      <c r="AD49" s="650"/>
      <c r="AE49" s="650"/>
      <c r="AF49" s="650"/>
      <c r="AG49" s="650"/>
    </row>
    <row r="50" spans="1:33">
      <c r="A50" s="654"/>
      <c r="B50" s="654"/>
      <c r="C50" s="654"/>
      <c r="D50" s="657" t="s">
        <v>817</v>
      </c>
      <c r="E50" s="650"/>
      <c r="F50" s="650"/>
      <c r="G50" s="650"/>
      <c r="H50" s="650"/>
      <c r="I50" s="650"/>
      <c r="J50" s="650"/>
      <c r="K50" s="650"/>
      <c r="L50" s="650"/>
      <c r="M50" s="650"/>
      <c r="N50" s="650"/>
      <c r="O50" s="650"/>
      <c r="P50" s="650"/>
      <c r="Q50" s="650"/>
      <c r="R50" s="650"/>
      <c r="S50" s="650"/>
      <c r="T50" s="650"/>
      <c r="U50" s="650"/>
      <c r="V50" s="650"/>
      <c r="W50" s="650"/>
      <c r="X50" s="650"/>
      <c r="Y50" s="650"/>
      <c r="Z50" s="650"/>
      <c r="AA50" s="650"/>
      <c r="AB50" s="650"/>
      <c r="AC50" s="650"/>
      <c r="AD50" s="650"/>
      <c r="AE50" s="650"/>
      <c r="AF50" s="650"/>
      <c r="AG50" s="650"/>
    </row>
    <row r="51" spans="1:33">
      <c r="A51" s="655" t="s">
        <v>729</v>
      </c>
      <c r="B51" s="655" t="s">
        <v>737</v>
      </c>
      <c r="C51" s="655" t="s">
        <v>738</v>
      </c>
      <c r="D51" s="655" t="s">
        <v>739</v>
      </c>
      <c r="E51" s="656">
        <v>2012</v>
      </c>
      <c r="F51" s="656">
        <v>2013</v>
      </c>
      <c r="G51" s="656">
        <v>2014</v>
      </c>
      <c r="H51" s="656">
        <v>2015</v>
      </c>
      <c r="I51" s="656">
        <v>2016</v>
      </c>
      <c r="J51" s="656">
        <v>2017</v>
      </c>
      <c r="K51" s="656">
        <v>2018</v>
      </c>
      <c r="L51" s="656">
        <v>2019</v>
      </c>
      <c r="M51" s="656">
        <v>2020</v>
      </c>
      <c r="N51" s="656">
        <v>2021</v>
      </c>
      <c r="O51" s="656">
        <v>2022</v>
      </c>
      <c r="P51" s="656">
        <v>2023</v>
      </c>
      <c r="Q51" s="656">
        <v>2024</v>
      </c>
      <c r="R51" s="656">
        <v>2025</v>
      </c>
      <c r="S51" s="656">
        <v>2026</v>
      </c>
      <c r="T51" s="656">
        <v>2027</v>
      </c>
      <c r="U51" s="656">
        <v>2028</v>
      </c>
      <c r="V51" s="656">
        <v>2029</v>
      </c>
      <c r="W51" s="656">
        <v>2030</v>
      </c>
      <c r="X51" s="656">
        <v>2031</v>
      </c>
      <c r="Y51" s="656">
        <v>2032</v>
      </c>
      <c r="Z51" s="656">
        <v>2033</v>
      </c>
      <c r="AA51" s="656">
        <v>2034</v>
      </c>
      <c r="AB51" s="656">
        <v>2035</v>
      </c>
      <c r="AC51" s="656">
        <v>2036</v>
      </c>
      <c r="AD51" s="656">
        <v>2037</v>
      </c>
      <c r="AE51" s="656">
        <v>2038</v>
      </c>
      <c r="AF51" s="656">
        <v>2039</v>
      </c>
      <c r="AG51" s="656">
        <v>2040</v>
      </c>
    </row>
    <row r="52" spans="1:33" ht="26.25" thickBot="1">
      <c r="A52" s="658" t="s">
        <v>740</v>
      </c>
      <c r="B52" s="658" t="s">
        <v>741</v>
      </c>
      <c r="C52" s="658" t="s">
        <v>742</v>
      </c>
      <c r="D52" s="658" t="s">
        <v>743</v>
      </c>
      <c r="E52" s="659" t="s">
        <v>735</v>
      </c>
      <c r="F52" s="659" t="s">
        <v>735</v>
      </c>
      <c r="G52" s="659" t="s">
        <v>735</v>
      </c>
      <c r="H52" s="659" t="s">
        <v>735</v>
      </c>
      <c r="I52" s="659" t="s">
        <v>735</v>
      </c>
      <c r="J52" s="659" t="s">
        <v>735</v>
      </c>
      <c r="K52" s="659" t="s">
        <v>735</v>
      </c>
      <c r="L52" s="659" t="s">
        <v>735</v>
      </c>
      <c r="M52" s="659" t="s">
        <v>735</v>
      </c>
      <c r="N52" s="659" t="s">
        <v>735</v>
      </c>
      <c r="O52" s="659" t="s">
        <v>735</v>
      </c>
      <c r="P52" s="659" t="s">
        <v>735</v>
      </c>
      <c r="Q52" s="659" t="s">
        <v>735</v>
      </c>
      <c r="R52" s="659" t="s">
        <v>735</v>
      </c>
      <c r="S52" s="659" t="s">
        <v>735</v>
      </c>
      <c r="T52" s="659" t="s">
        <v>735</v>
      </c>
      <c r="U52" s="659" t="s">
        <v>735</v>
      </c>
      <c r="V52" s="659" t="s">
        <v>735</v>
      </c>
      <c r="W52" s="659" t="s">
        <v>735</v>
      </c>
      <c r="X52" s="659" t="s">
        <v>735</v>
      </c>
      <c r="Y52" s="659" t="s">
        <v>735</v>
      </c>
      <c r="Z52" s="659" t="s">
        <v>735</v>
      </c>
      <c r="AA52" s="659" t="s">
        <v>735</v>
      </c>
      <c r="AB52" s="659" t="s">
        <v>735</v>
      </c>
      <c r="AC52" s="659" t="s">
        <v>735</v>
      </c>
      <c r="AD52" s="659" t="s">
        <v>735</v>
      </c>
      <c r="AE52" s="659" t="s">
        <v>735</v>
      </c>
      <c r="AF52" s="659" t="s">
        <v>735</v>
      </c>
      <c r="AG52" s="659" t="s">
        <v>735</v>
      </c>
    </row>
    <row r="53" spans="1:33">
      <c r="A53" s="641" t="s">
        <v>771</v>
      </c>
      <c r="B53" s="642"/>
      <c r="C53" s="642"/>
      <c r="D53" s="642"/>
      <c r="E53" s="649"/>
      <c r="F53" s="649"/>
      <c r="G53" s="649"/>
      <c r="H53" s="649"/>
      <c r="I53" s="649"/>
      <c r="J53" s="649"/>
      <c r="K53" s="649"/>
      <c r="L53" s="649"/>
      <c r="M53" s="649"/>
      <c r="N53" s="649"/>
      <c r="O53" s="649"/>
      <c r="P53" s="649"/>
      <c r="Q53" s="649"/>
      <c r="R53" s="649"/>
      <c r="S53" s="649"/>
      <c r="T53" s="649"/>
      <c r="U53" s="649"/>
      <c r="V53" s="649"/>
      <c r="W53" s="649"/>
      <c r="X53" s="649"/>
      <c r="Y53" s="649"/>
      <c r="Z53" s="649"/>
      <c r="AA53" s="649"/>
      <c r="AB53" s="649"/>
      <c r="AC53" s="649"/>
      <c r="AD53" s="649"/>
      <c r="AE53" s="649"/>
      <c r="AF53" s="649"/>
      <c r="AG53" s="649"/>
    </row>
    <row r="54" spans="1:33">
      <c r="A54" t="str">
        <f>B40</f>
        <v>TFreGSL_LGV_00</v>
      </c>
      <c r="B54" s="650" t="str">
        <f>C40</f>
        <v>Freight Transport - LGV Gasoline</v>
      </c>
      <c r="C54" s="650" t="str">
        <f>Commodities!$B$16</f>
        <v>TRAGSLE</v>
      </c>
      <c r="D54" t="str">
        <f>Commodities!$B$24</f>
        <v>TFLGV</v>
      </c>
      <c r="E54" s="819">
        <f>('FREH Stock'!C82+'FREH Stock'!C111+'FREH Stock'!C140)/1000</f>
        <v>0.63694887523882771</v>
      </c>
      <c r="F54" s="819">
        <f>('FREH Stock'!D82+'FREH Stock'!D111+'FREH Stock'!D140)/1000</f>
        <v>0.42443078533743916</v>
      </c>
      <c r="G54" s="819">
        <f>('FREH Stock'!E82+'FREH Stock'!E111+'FREH Stock'!E140)/1000</f>
        <v>0.32116180266043975</v>
      </c>
      <c r="H54" s="819">
        <f>('FREH Stock'!F82+'FREH Stock'!F111+'FREH Stock'!F140)/1000</f>
        <v>0.25217608040303113</v>
      </c>
      <c r="I54" s="819">
        <f>('FREH Stock'!G82+'FREH Stock'!G111+'FREH Stock'!G140)/1000</f>
        <v>0.1968236998472444</v>
      </c>
      <c r="J54" s="819">
        <f>('FREH Stock'!H82+'FREH Stock'!H111+'FREH Stock'!H140)/1000</f>
        <v>0.14927508040525511</v>
      </c>
      <c r="K54" s="819">
        <f>('FREH Stock'!I82+'FREH Stock'!I111+'FREH Stock'!I140)/1000</f>
        <v>0.10865332820540261</v>
      </c>
      <c r="L54" s="819">
        <f>('FREH Stock'!J82+'FREH Stock'!J111+'FREH Stock'!J140)/1000</f>
        <v>7.531618932273812E-2</v>
      </c>
      <c r="M54" s="819">
        <f>('FREH Stock'!K82+'FREH Stock'!K111+'FREH Stock'!K140)/1000</f>
        <v>4.9476524150428747E-2</v>
      </c>
      <c r="N54" s="819">
        <f>('FREH Stock'!L82+'FREH Stock'!L111+'FREH Stock'!L140)/1000</f>
        <v>3.0583472576918937E-2</v>
      </c>
      <c r="O54" s="819">
        <f>('FREH Stock'!M82+'FREH Stock'!M111+'FREH Stock'!M140)/1000</f>
        <v>1.7525387480288444E-2</v>
      </c>
      <c r="P54" s="819">
        <f>('FREH Stock'!N82+'FREH Stock'!N111+'FREH Stock'!N140)/1000</f>
        <v>9.1662523393823744E-3</v>
      </c>
      <c r="Q54" s="819">
        <f>('FREH Stock'!O82+'FREH Stock'!O111+'FREH Stock'!O140)/1000</f>
        <v>4.3246944178324817E-3</v>
      </c>
      <c r="R54" s="819">
        <f>('FREH Stock'!P82+'FREH Stock'!P111+'FREH Stock'!P140)/1000</f>
        <v>1.8259723659494894E-3</v>
      </c>
      <c r="S54" s="819">
        <f>('FREH Stock'!Q82+'FREH Stock'!Q111+'FREH Stock'!Q140)/1000</f>
        <v>6.9959237736520003E-4</v>
      </c>
      <c r="T54" s="819">
        <f>('FREH Stock'!R82+'FREH Stock'!R111+'FREH Stock'!R140)/1000</f>
        <v>2.4589367446479642E-4</v>
      </c>
      <c r="U54" s="819"/>
      <c r="V54" s="819"/>
      <c r="W54" s="819"/>
      <c r="X54" s="819"/>
      <c r="Y54" s="819"/>
      <c r="Z54" s="819"/>
      <c r="AA54" s="819"/>
      <c r="AB54" s="819"/>
      <c r="AC54" s="819"/>
      <c r="AD54" s="819"/>
      <c r="AE54" s="819"/>
      <c r="AF54" s="819"/>
      <c r="AG54" s="819"/>
    </row>
    <row r="55" spans="1:33">
      <c r="A55" s="650" t="str">
        <f>B41</f>
        <v>TFreDST_LGV_00</v>
      </c>
      <c r="B55" s="650" t="str">
        <f>C41</f>
        <v>Freight Transport - LGV Diesel</v>
      </c>
      <c r="C55" s="650" t="str">
        <f>Commodities!$B$17</f>
        <v>TRADSTB</v>
      </c>
      <c r="D55" s="650" t="str">
        <f>Commodities!$B$24</f>
        <v>TFLGV</v>
      </c>
      <c r="E55" s="819">
        <f>('FREH Stock'!C256+'FREH Stock'!C285+'FREH Stock'!C314)/1000</f>
        <v>232.10983712831367</v>
      </c>
      <c r="F55" s="819">
        <f>('FREH Stock'!D256+'FREH Stock'!D285+'FREH Stock'!D314)/1000</f>
        <v>191.79146413848179</v>
      </c>
      <c r="G55" s="819">
        <f>('FREH Stock'!E256+'FREH Stock'!E285+'FREH Stock'!E314)/1000</f>
        <v>160.12008858879179</v>
      </c>
      <c r="H55" s="819">
        <f>('FREH Stock'!F256+'FREH Stock'!F285+'FREH Stock'!F314)/1000</f>
        <v>132.62613384834216</v>
      </c>
      <c r="I55" s="819">
        <f>('FREH Stock'!G256+'FREH Stock'!G285+'FREH Stock'!G314)/1000</f>
        <v>107.61015169094235</v>
      </c>
      <c r="J55" s="819">
        <f>('FREH Stock'!H256+'FREH Stock'!H285+'FREH Stock'!H314)/1000</f>
        <v>84.734228285090325</v>
      </c>
      <c r="K55" s="819">
        <f>('FREH Stock'!I256+'FREH Stock'!I285+'FREH Stock'!I314)/1000</f>
        <v>64.341422468267837</v>
      </c>
      <c r="L55" s="819">
        <f>('FREH Stock'!J256+'FREH Stock'!J285+'FREH Stock'!J314)/1000</f>
        <v>46.819673460180617</v>
      </c>
      <c r="M55" s="819">
        <f>('FREH Stock'!K256+'FREH Stock'!K285+'FREH Stock'!K314)/1000</f>
        <v>32.498214696766027</v>
      </c>
      <c r="N55" s="819">
        <f>('FREH Stock'!L256+'FREH Stock'!L285+'FREH Stock'!L314)/1000</f>
        <v>21.371783844158649</v>
      </c>
      <c r="O55" s="819">
        <f>('FREH Stock'!M256+'FREH Stock'!M285+'FREH Stock'!M314)/1000</f>
        <v>13.19426594483658</v>
      </c>
      <c r="P55" s="819">
        <f>('FREH Stock'!N256+'FREH Stock'!N285+'FREH Stock'!N314)/1000</f>
        <v>7.5150014011975692</v>
      </c>
      <c r="Q55" s="819">
        <f>('FREH Stock'!O256+'FREH Stock'!O285+'FREH Stock'!O314)/1000</f>
        <v>3.8508016956117688</v>
      </c>
      <c r="R55" s="819">
        <f>('FREH Stock'!P256+'FREH Stock'!P285+'FREH Stock'!P314)/1000</f>
        <v>1.7451884355141543</v>
      </c>
      <c r="S55" s="819">
        <f>('FREH Stock'!Q256+'FREH Stock'!Q285+'FREH Stock'!Q314)/1000</f>
        <v>0.6980496387864964</v>
      </c>
      <c r="T55" s="819">
        <f>('FREH Stock'!R256+'FREH Stock'!R285+'FREH Stock'!R314)/1000</f>
        <v>0.24956462110109895</v>
      </c>
      <c r="U55" s="819">
        <f>('FREH Stock'!S256+'FREH Stock'!S285+'FREH Stock'!S314)/1000</f>
        <v>8.2474223563157964E-2</v>
      </c>
      <c r="V55" s="819">
        <f>('FREH Stock'!T256+'FREH Stock'!T285+'FREH Stock'!T314)/1000</f>
        <v>2.4836171182287745E-2</v>
      </c>
      <c r="W55" s="819">
        <f>('FREH Stock'!U256+'FREH Stock'!U285+'FREH Stock'!U314)/1000</f>
        <v>6.6905294776780175E-3</v>
      </c>
      <c r="X55" s="819">
        <f>('FREH Stock'!V256+'FREH Stock'!V285+'FREH Stock'!V314)/1000</f>
        <v>1.5743870179840691E-3</v>
      </c>
      <c r="Y55" s="837">
        <f>('FREH Stock'!W256+'FREH Stock'!W285+'FREH Stock'!W314)/1000</f>
        <v>3.1361457584691695E-4</v>
      </c>
      <c r="Z55" s="819"/>
      <c r="AA55" s="819"/>
      <c r="AB55" s="819"/>
      <c r="AC55" s="819"/>
      <c r="AD55" s="819"/>
      <c r="AE55" s="819"/>
      <c r="AF55" s="819"/>
      <c r="AG55" s="819"/>
    </row>
    <row r="56" spans="1:33">
      <c r="A56" s="641" t="s">
        <v>772</v>
      </c>
      <c r="B56" s="642"/>
      <c r="C56" s="642"/>
      <c r="D56" s="642"/>
      <c r="E56" s="649"/>
      <c r="F56" s="649"/>
      <c r="G56" s="649"/>
      <c r="H56" s="649"/>
      <c r="I56" s="649"/>
      <c r="J56" s="649"/>
      <c r="K56" s="649"/>
      <c r="L56" s="649"/>
      <c r="M56" s="649"/>
      <c r="N56" s="649"/>
      <c r="O56" s="649"/>
      <c r="P56" s="649"/>
      <c r="Q56" s="649"/>
      <c r="R56" s="649"/>
      <c r="S56" s="649"/>
      <c r="T56" s="649"/>
      <c r="U56" s="649"/>
      <c r="V56" s="649"/>
      <c r="W56" s="649"/>
      <c r="X56" s="649"/>
      <c r="Y56" s="649"/>
      <c r="Z56" s="649"/>
      <c r="AA56" s="649"/>
      <c r="AB56" s="649"/>
      <c r="AC56" s="649"/>
      <c r="AD56" s="649"/>
      <c r="AE56" s="649"/>
      <c r="AF56" s="649"/>
      <c r="AG56" s="649"/>
    </row>
    <row r="57" spans="1:33">
      <c r="A57" t="str">
        <f>B43</f>
        <v>TFreGSL_HGV_00</v>
      </c>
      <c r="B57" s="650" t="str">
        <f>C43</f>
        <v>Freight Transport - HGV Gasoline</v>
      </c>
      <c r="C57" s="650" t="str">
        <f>Commodities!$B$16</f>
        <v>TRAGSLE</v>
      </c>
      <c r="D57" s="650" t="str">
        <f>Commodities!$B$25</f>
        <v>TFHGV</v>
      </c>
      <c r="E57" s="819">
        <f>('FREH Stock'!C169+'FREH Stock'!C198+'FREH Stock'!C227)/1000</f>
        <v>0.1259974004358726</v>
      </c>
      <c r="F57" s="819">
        <f>('FREH Stock'!D169+'FREH Stock'!D198+'FREH Stock'!D227)/1000</f>
        <v>0.11219402049568297</v>
      </c>
      <c r="G57" s="819">
        <f>('FREH Stock'!E169+'FREH Stock'!E198+'FREH Stock'!E227)/1000</f>
        <v>0.10227364692785693</v>
      </c>
      <c r="H57" s="819">
        <f>('FREH Stock'!F169+'FREH Stock'!F198+'FREH Stock'!F227)/1000</f>
        <v>9.2497161502802808E-2</v>
      </c>
      <c r="I57" s="819">
        <f>('FREH Stock'!G169+'FREH Stock'!G198+'FREH Stock'!G227)/1000</f>
        <v>8.1588230861670386E-2</v>
      </c>
      <c r="J57" s="819">
        <f>('FREH Stock'!H169+'FREH Stock'!H198+'FREH Stock'!H227)/1000</f>
        <v>6.9280787177000216E-2</v>
      </c>
      <c r="K57" s="819">
        <f>('FREH Stock'!I169+'FREH Stock'!I198+'FREH Stock'!I227)/1000</f>
        <v>5.5917648204390082E-2</v>
      </c>
      <c r="L57" s="819">
        <f>('FREH Stock'!J169+'FREH Stock'!J198+'FREH Stock'!J227)/1000</f>
        <v>4.2500863374615727E-2</v>
      </c>
      <c r="M57" s="819">
        <f>('FREH Stock'!K169+'FREH Stock'!K198+'FREH Stock'!K227)/1000</f>
        <v>3.012643745190444E-2</v>
      </c>
      <c r="N57" s="819">
        <f>('FREH Stock'!L169+'FREH Stock'!L198+'FREH Stock'!L227)/1000</f>
        <v>1.9834125649791132E-2</v>
      </c>
      <c r="O57" s="819">
        <f>('FREH Stock'!M169+'FREH Stock'!M198+'FREH Stock'!M227)/1000</f>
        <v>1.208302348916449E-2</v>
      </c>
      <c r="P57" s="819">
        <f>('FREH Stock'!N169+'FREH Stock'!N198+'FREH Stock'!N227)/1000</f>
        <v>6.7910607789441304E-3</v>
      </c>
      <c r="Q57" s="819">
        <f>('FREH Stock'!O169+'FREH Stock'!O198+'FREH Stock'!O227)/1000</f>
        <v>3.5085840793364349E-3</v>
      </c>
      <c r="R57" s="819">
        <f>('FREH Stock'!P169+'FREH Stock'!P198+'FREH Stock'!P227)/1000</f>
        <v>1.6539868547337929E-3</v>
      </c>
      <c r="S57" s="819">
        <f>('FREH Stock'!Q169+'FREH Stock'!Q198+'FREH Stock'!Q227)/1000</f>
        <v>7.0593032243070313E-4</v>
      </c>
      <c r="T57" s="819">
        <f>('FREH Stock'!R169+'FREH Stock'!R198+'FREH Stock'!R227)/1000</f>
        <v>2.6556260593022299E-4</v>
      </c>
      <c r="U57" s="819"/>
      <c r="V57" s="819"/>
      <c r="W57" s="819"/>
      <c r="X57" s="819"/>
      <c r="Y57" s="819"/>
      <c r="Z57" s="819"/>
      <c r="AA57" s="819"/>
      <c r="AB57" s="819"/>
      <c r="AC57" s="819"/>
      <c r="AD57" s="819"/>
      <c r="AE57" s="819"/>
      <c r="AF57" s="819"/>
      <c r="AG57" s="819"/>
    </row>
    <row r="58" spans="1:33">
      <c r="A58" s="650" t="str">
        <f>B44</f>
        <v>TFreDST_HGV_00</v>
      </c>
      <c r="B58" s="650" t="str">
        <f>C44</f>
        <v>Freight Transport - HGV Diesel</v>
      </c>
      <c r="C58" s="650" t="str">
        <f>Commodities!$B$17</f>
        <v>TRADSTB</v>
      </c>
      <c r="D58" s="650" t="str">
        <f>Commodities!$B$25</f>
        <v>TFHGV</v>
      </c>
      <c r="E58" s="819">
        <f>('FREH Stock'!C343+'FREH Stock'!C372+'FREH Stock'!C401)/1000</f>
        <v>76.258813697904188</v>
      </c>
      <c r="F58" s="819">
        <f>('FREH Stock'!D343+'FREH Stock'!D372+'FREH Stock'!D401)/1000</f>
        <v>66.906281906493234</v>
      </c>
      <c r="G58" s="819">
        <f>('FREH Stock'!E343+'FREH Stock'!E372+'FREH Stock'!E401)/1000</f>
        <v>59.201420859848902</v>
      </c>
      <c r="H58" s="819">
        <f>('FREH Stock'!F343+'FREH Stock'!F372+'FREH Stock'!F401)/1000</f>
        <v>51.850873876875532</v>
      </c>
      <c r="I58" s="819">
        <f>('FREH Stock'!G343+'FREH Stock'!G372+'FREH Stock'!G401)/1000</f>
        <v>44.386655908855126</v>
      </c>
      <c r="J58" s="819">
        <f>('FREH Stock'!H343+'FREH Stock'!H372+'FREH Stock'!H401)/1000</f>
        <v>36.785129055781589</v>
      </c>
      <c r="K58" s="819">
        <f>('FREH Stock'!I343+'FREH Stock'!I372+'FREH Stock'!I401)/1000</f>
        <v>29.272090989449286</v>
      </c>
      <c r="L58" s="819">
        <f>('FREH Stock'!J343+'FREH Stock'!J372+'FREH Stock'!J401)/1000</f>
        <v>22.198540755505807</v>
      </c>
      <c r="M58" s="819">
        <f>('FREH Stock'!K343+'FREH Stock'!K372+'FREH Stock'!K401)/1000</f>
        <v>15.933034931860531</v>
      </c>
      <c r="N58" s="819">
        <f>('FREH Stock'!L343+'FREH Stock'!L372+'FREH Stock'!L401)/1000</f>
        <v>10.798172972176843</v>
      </c>
      <c r="O58" s="819">
        <f>('FREH Stock'!M343+'FREH Stock'!M372+'FREH Stock'!M401)/1000</f>
        <v>6.8831075475078567</v>
      </c>
      <c r="P58" s="819">
        <f>('FREH Stock'!N343+'FREH Stock'!N372+'FREH Stock'!N401)/1000</f>
        <v>4.0957144603392184</v>
      </c>
      <c r="Q58" s="819">
        <f>('FREH Stock'!O343+'FREH Stock'!O372+'FREH Stock'!O401)/1000</f>
        <v>2.2406033903499667</v>
      </c>
      <c r="R58" s="819">
        <f>('FREH Stock'!P343+'FREH Stock'!P372+'FREH Stock'!P401)/1000</f>
        <v>1.1079584365781254</v>
      </c>
      <c r="S58" s="819">
        <f>('FREH Stock'!Q343+'FREH Stock'!Q372+'FREH Stock'!Q401)/1000</f>
        <v>0.48684112032920196</v>
      </c>
      <c r="T58" s="819">
        <f>('FREH Stock'!R343+'FREH Stock'!R372+'FREH Stock'!R401)/1000</f>
        <v>0.18769175880956376</v>
      </c>
      <c r="U58" s="819">
        <f>('FREH Stock'!S343+'FREH Stock'!S372+'FREH Stock'!S401)/1000</f>
        <v>6.5558669452050106E-2</v>
      </c>
      <c r="V58" s="819">
        <f>('FREH Stock'!T343+'FREH Stock'!T372+'FREH Stock'!T401)/1000</f>
        <v>2.0468564765970081E-2</v>
      </c>
      <c r="W58" s="819">
        <f>('FREH Stock'!U343+'FREH Stock'!U372+'FREH Stock'!U401)/1000</f>
        <v>5.6184050307809203E-3</v>
      </c>
      <c r="X58" s="819">
        <f>('FREH Stock'!V343+'FREH Stock'!V372+'FREH Stock'!V401)/1000</f>
        <v>1.327227177101941E-3</v>
      </c>
      <c r="Y58" s="819">
        <f>('FREH Stock'!W343+'FREH Stock'!W372+'FREH Stock'!W401)/1000</f>
        <v>2.6217499218340927E-4</v>
      </c>
      <c r="Z58" s="819"/>
      <c r="AA58" s="819"/>
      <c r="AB58" s="819"/>
      <c r="AC58" s="819"/>
      <c r="AD58" s="819"/>
      <c r="AE58" s="819"/>
      <c r="AF58" s="819"/>
      <c r="AG58" s="819"/>
    </row>
    <row r="59" spans="1:33" s="650" customFormat="1">
      <c r="A59" s="641" t="s">
        <v>1011</v>
      </c>
      <c r="B59" s="642"/>
      <c r="C59" s="642"/>
      <c r="D59" s="642"/>
      <c r="E59" s="649"/>
      <c r="F59" s="649"/>
      <c r="G59" s="649"/>
      <c r="H59" s="649"/>
      <c r="I59" s="649"/>
      <c r="J59" s="649"/>
      <c r="K59" s="649"/>
      <c r="L59" s="649"/>
      <c r="M59" s="649"/>
      <c r="N59" s="649"/>
      <c r="O59" s="649"/>
      <c r="P59" s="649"/>
      <c r="Q59" s="649"/>
      <c r="R59" s="649"/>
      <c r="S59" s="649"/>
      <c r="T59" s="649"/>
      <c r="U59" s="649"/>
      <c r="V59" s="649"/>
      <c r="W59" s="649"/>
      <c r="X59" s="649"/>
      <c r="Y59" s="649"/>
      <c r="Z59" s="649"/>
      <c r="AA59" s="649"/>
      <c r="AB59" s="649"/>
      <c r="AC59" s="649"/>
      <c r="AD59" s="649"/>
      <c r="AE59" s="649"/>
      <c r="AF59" s="649"/>
      <c r="AG59" s="649"/>
    </row>
    <row r="60" spans="1:33" s="409" customFormat="1">
      <c r="A60" s="650" t="str">
        <f>$B$46</f>
        <v>TFreDST_RAIL_00</v>
      </c>
      <c r="B60" s="650" t="str">
        <f>$C$46</f>
        <v>Freight Transport - Rail Diesel</v>
      </c>
      <c r="C60" s="650" t="str">
        <f>Commodities!$B$17</f>
        <v>TRADSTB</v>
      </c>
      <c r="D60" s="650" t="str">
        <f>Commodities!$B$26</f>
        <v>TFRAIL</v>
      </c>
      <c r="E60" s="819">
        <f>14/1000</f>
        <v>1.4E-2</v>
      </c>
      <c r="F60" s="825">
        <f>E60-$E$60/12</f>
        <v>1.2833333333333334E-2</v>
      </c>
      <c r="G60" s="825">
        <f>F60-$E$60/12</f>
        <v>1.1666666666666667E-2</v>
      </c>
      <c r="H60" s="825">
        <f t="shared" ref="H60:Q60" si="88">G60-$E$60/12</f>
        <v>1.0500000000000001E-2</v>
      </c>
      <c r="I60" s="825">
        <f t="shared" si="88"/>
        <v>9.3333333333333341E-3</v>
      </c>
      <c r="J60" s="825">
        <f t="shared" si="88"/>
        <v>8.1666666666666676E-3</v>
      </c>
      <c r="K60" s="825">
        <f t="shared" si="88"/>
        <v>7.000000000000001E-3</v>
      </c>
      <c r="L60" s="825">
        <f t="shared" si="88"/>
        <v>5.8333333333333345E-3</v>
      </c>
      <c r="M60" s="825">
        <f t="shared" si="88"/>
        <v>4.6666666666666679E-3</v>
      </c>
      <c r="N60" s="825">
        <f t="shared" si="88"/>
        <v>3.5000000000000014E-3</v>
      </c>
      <c r="O60" s="825">
        <f t="shared" si="88"/>
        <v>2.3333333333333348E-3</v>
      </c>
      <c r="P60" s="825">
        <f t="shared" si="88"/>
        <v>1.1666666666666681E-3</v>
      </c>
      <c r="Q60" s="825">
        <f t="shared" si="88"/>
        <v>0</v>
      </c>
      <c r="R60" s="825"/>
      <c r="S60" s="825"/>
      <c r="T60" s="825"/>
      <c r="U60" s="824"/>
      <c r="V60" s="824"/>
      <c r="W60" s="824"/>
      <c r="X60" s="824"/>
      <c r="Y60" s="824"/>
      <c r="Z60" s="824"/>
      <c r="AA60" s="824"/>
      <c r="AB60" s="824"/>
      <c r="AC60" s="824"/>
      <c r="AD60" s="824"/>
      <c r="AE60" s="824"/>
      <c r="AF60" s="824"/>
      <c r="AG60" s="824"/>
    </row>
    <row r="62" spans="1:33" s="650" customFormat="1"/>
    <row r="63" spans="1:33" ht="21">
      <c r="A63" s="645" t="s">
        <v>751</v>
      </c>
      <c r="B63" s="644"/>
      <c r="C63" s="650"/>
      <c r="D63" s="650"/>
      <c r="E63" s="379"/>
    </row>
    <row r="64" spans="1:33">
      <c r="A64" s="654"/>
      <c r="B64" s="654"/>
      <c r="C64" s="654"/>
      <c r="D64" s="657" t="s">
        <v>818</v>
      </c>
      <c r="E64" s="379"/>
      <c r="F64" s="650"/>
      <c r="G64" s="650"/>
      <c r="H64" s="650"/>
      <c r="I64" s="650"/>
      <c r="J64" s="650"/>
      <c r="K64" s="650"/>
      <c r="L64" s="650"/>
      <c r="M64" s="650"/>
      <c r="N64" s="650"/>
      <c r="O64" s="650"/>
      <c r="P64" s="650"/>
      <c r="Q64" s="650"/>
      <c r="R64" s="650"/>
      <c r="S64" s="650"/>
      <c r="T64" s="650"/>
      <c r="U64" s="650"/>
      <c r="V64" s="650"/>
      <c r="W64" s="650"/>
      <c r="X64" s="650"/>
      <c r="Y64" s="650"/>
      <c r="Z64" s="650"/>
      <c r="AA64" s="650"/>
      <c r="AB64" s="650"/>
      <c r="AC64" s="650"/>
      <c r="AD64" s="650"/>
      <c r="AE64" s="650"/>
      <c r="AF64" s="650"/>
      <c r="AG64" s="650"/>
    </row>
    <row r="65" spans="1:33">
      <c r="A65" s="655" t="s">
        <v>729</v>
      </c>
      <c r="B65" s="655" t="s">
        <v>737</v>
      </c>
      <c r="C65" s="655" t="s">
        <v>738</v>
      </c>
      <c r="D65" s="655" t="s">
        <v>739</v>
      </c>
      <c r="E65" s="656">
        <v>2012</v>
      </c>
      <c r="F65" s="656">
        <v>2013</v>
      </c>
      <c r="G65" s="656">
        <v>2014</v>
      </c>
      <c r="H65" s="656">
        <v>2015</v>
      </c>
      <c r="I65" s="656">
        <v>2016</v>
      </c>
      <c r="J65" s="656">
        <v>2017</v>
      </c>
      <c r="K65" s="656">
        <v>2018</v>
      </c>
      <c r="L65" s="656">
        <v>2019</v>
      </c>
      <c r="M65" s="656">
        <v>2020</v>
      </c>
      <c r="N65" s="656">
        <v>2021</v>
      </c>
      <c r="O65" s="656">
        <v>2022</v>
      </c>
      <c r="P65" s="656">
        <v>2023</v>
      </c>
      <c r="Q65" s="656">
        <v>2024</v>
      </c>
      <c r="R65" s="656">
        <v>2025</v>
      </c>
      <c r="S65" s="656">
        <v>2026</v>
      </c>
      <c r="T65" s="656">
        <v>2027</v>
      </c>
      <c r="U65" s="656">
        <v>2028</v>
      </c>
      <c r="V65" s="656">
        <v>2029</v>
      </c>
      <c r="W65" s="656">
        <v>2030</v>
      </c>
      <c r="X65" s="656">
        <v>2031</v>
      </c>
      <c r="Y65" s="656">
        <v>2032</v>
      </c>
      <c r="Z65" s="656">
        <v>2033</v>
      </c>
      <c r="AA65" s="656">
        <v>2034</v>
      </c>
      <c r="AB65" s="656">
        <v>2035</v>
      </c>
      <c r="AC65" s="656">
        <v>2036</v>
      </c>
      <c r="AD65" s="656">
        <v>2037</v>
      </c>
      <c r="AE65" s="656">
        <v>2038</v>
      </c>
      <c r="AF65" s="656">
        <v>2039</v>
      </c>
      <c r="AG65" s="656">
        <v>2040</v>
      </c>
    </row>
    <row r="66" spans="1:33" ht="39" thickBot="1">
      <c r="A66" s="658" t="s">
        <v>740</v>
      </c>
      <c r="B66" s="658" t="s">
        <v>741</v>
      </c>
      <c r="C66" s="658" t="s">
        <v>742</v>
      </c>
      <c r="D66" s="658" t="s">
        <v>743</v>
      </c>
      <c r="E66" s="659" t="s">
        <v>749</v>
      </c>
      <c r="F66" s="659" t="s">
        <v>749</v>
      </c>
      <c r="G66" s="659" t="s">
        <v>749</v>
      </c>
      <c r="H66" s="659" t="s">
        <v>749</v>
      </c>
      <c r="I66" s="659" t="s">
        <v>749</v>
      </c>
      <c r="J66" s="659" t="s">
        <v>749</v>
      </c>
      <c r="K66" s="659" t="s">
        <v>749</v>
      </c>
      <c r="L66" s="659" t="s">
        <v>749</v>
      </c>
      <c r="M66" s="659" t="s">
        <v>749</v>
      </c>
      <c r="N66" s="659" t="s">
        <v>749</v>
      </c>
      <c r="O66" s="659" t="s">
        <v>749</v>
      </c>
      <c r="P66" s="659" t="s">
        <v>749</v>
      </c>
      <c r="Q66" s="659" t="s">
        <v>749</v>
      </c>
      <c r="R66" s="659" t="s">
        <v>749</v>
      </c>
      <c r="S66" s="659" t="s">
        <v>749</v>
      </c>
      <c r="T66" s="659" t="s">
        <v>749</v>
      </c>
      <c r="U66" s="659" t="s">
        <v>749</v>
      </c>
      <c r="V66" s="659" t="s">
        <v>749</v>
      </c>
      <c r="W66" s="659" t="s">
        <v>749</v>
      </c>
      <c r="X66" s="659" t="s">
        <v>749</v>
      </c>
      <c r="Y66" s="659" t="s">
        <v>749</v>
      </c>
      <c r="Z66" s="659" t="s">
        <v>749</v>
      </c>
      <c r="AA66" s="659" t="s">
        <v>749</v>
      </c>
      <c r="AB66" s="659" t="s">
        <v>749</v>
      </c>
      <c r="AC66" s="659" t="s">
        <v>749</v>
      </c>
      <c r="AD66" s="659" t="s">
        <v>749</v>
      </c>
      <c r="AE66" s="659" t="s">
        <v>749</v>
      </c>
      <c r="AF66" s="659" t="s">
        <v>749</v>
      </c>
      <c r="AG66" s="659" t="s">
        <v>749</v>
      </c>
    </row>
    <row r="67" spans="1:33">
      <c r="A67" s="641" t="s">
        <v>771</v>
      </c>
      <c r="B67" s="642"/>
      <c r="C67" s="642"/>
      <c r="D67" s="642"/>
      <c r="E67" s="649"/>
      <c r="F67" s="649"/>
      <c r="G67" s="649"/>
      <c r="H67" s="649"/>
      <c r="I67" s="649"/>
      <c r="J67" s="649"/>
      <c r="K67" s="649"/>
      <c r="L67" s="649"/>
      <c r="M67" s="649"/>
      <c r="N67" s="649"/>
      <c r="O67" s="649"/>
      <c r="P67" s="649"/>
      <c r="Q67" s="649"/>
      <c r="R67" s="649"/>
      <c r="S67" s="649"/>
      <c r="T67" s="649"/>
      <c r="U67" s="649"/>
      <c r="V67" s="649"/>
      <c r="W67" s="649"/>
      <c r="X67" s="649"/>
      <c r="Y67" s="649"/>
      <c r="Z67" s="649"/>
      <c r="AA67" s="649"/>
      <c r="AB67" s="649"/>
      <c r="AC67" s="649"/>
      <c r="AD67" s="649"/>
      <c r="AE67" s="649"/>
      <c r="AF67" s="649"/>
      <c r="AG67" s="649"/>
    </row>
    <row r="68" spans="1:33">
      <c r="A68" s="650" t="str">
        <f>B40</f>
        <v>TFreGSL_LGV_00</v>
      </c>
      <c r="B68" s="650" t="str">
        <f>C40</f>
        <v>Freight Transport - LGV Gasoline</v>
      </c>
      <c r="C68" s="650" t="str">
        <f>Commodities!$B$16</f>
        <v>TRAGSLE</v>
      </c>
      <c r="D68" s="650" t="str">
        <f>Commodities!$B$24</f>
        <v>TFLGV</v>
      </c>
      <c r="E68" s="379">
        <f>IFERROR(1/(B4)*1000,"")</f>
        <v>291.19543317384949</v>
      </c>
      <c r="F68" s="379">
        <f t="shared" ref="F68:AG68" si="89">IFERROR(1/(C4)*1000,"")</f>
        <v>290.94884371884029</v>
      </c>
      <c r="G68" s="379">
        <f t="shared" si="89"/>
        <v>292.10477335234407</v>
      </c>
      <c r="H68" s="379">
        <f t="shared" si="89"/>
        <v>293.93874727396297</v>
      </c>
      <c r="I68" s="379">
        <f t="shared" si="89"/>
        <v>296.30196561064452</v>
      </c>
      <c r="J68" s="379">
        <f t="shared" si="89"/>
        <v>299.33796477413154</v>
      </c>
      <c r="K68" s="379">
        <f t="shared" si="89"/>
        <v>303.21727486006171</v>
      </c>
      <c r="L68" s="379">
        <f t="shared" si="89"/>
        <v>308.13627103637668</v>
      </c>
      <c r="M68" s="379">
        <f t="shared" si="89"/>
        <v>314.04881297073939</v>
      </c>
      <c r="N68" s="379">
        <f t="shared" si="89"/>
        <v>320.72364787503381</v>
      </c>
      <c r="O68" s="379">
        <f t="shared" si="89"/>
        <v>327.84818106062829</v>
      </c>
      <c r="P68" s="379">
        <f t="shared" si="89"/>
        <v>334.46056758491653</v>
      </c>
      <c r="Q68" s="379">
        <f t="shared" si="89"/>
        <v>339.54031963398791</v>
      </c>
      <c r="R68" s="379">
        <f t="shared" si="89"/>
        <v>342.18418968296612</v>
      </c>
      <c r="S68" s="379">
        <f t="shared" si="89"/>
        <v>342.2463728315567</v>
      </c>
      <c r="T68" s="379">
        <f t="shared" si="89"/>
        <v>341.90345393993289</v>
      </c>
      <c r="U68" s="379">
        <f t="shared" si="89"/>
        <v>342.13773460083706</v>
      </c>
      <c r="V68" s="379">
        <f t="shared" si="89"/>
        <v>343.01327232912814</v>
      </c>
      <c r="W68" s="379">
        <f t="shared" si="89"/>
        <v>344.55028664871259</v>
      </c>
      <c r="X68" s="379">
        <f t="shared" si="89"/>
        <v>346.75357077245883</v>
      </c>
      <c r="Y68" s="379">
        <f t="shared" si="89"/>
        <v>349.64287563672036</v>
      </c>
      <c r="Z68" s="379">
        <f t="shared" si="89"/>
        <v>353.29139043812876</v>
      </c>
      <c r="AA68" s="379">
        <f t="shared" si="89"/>
        <v>357.8963830286728</v>
      </c>
      <c r="AB68" s="379" t="str">
        <f t="shared" si="89"/>
        <v/>
      </c>
      <c r="AC68" s="379" t="str">
        <f t="shared" si="89"/>
        <v/>
      </c>
      <c r="AD68" s="379" t="str">
        <f t="shared" si="89"/>
        <v/>
      </c>
      <c r="AE68" s="379" t="str">
        <f t="shared" si="89"/>
        <v/>
      </c>
      <c r="AF68" s="379" t="str">
        <f t="shared" si="89"/>
        <v/>
      </c>
      <c r="AG68" s="379" t="str">
        <f t="shared" si="89"/>
        <v/>
      </c>
    </row>
    <row r="69" spans="1:33">
      <c r="A69" s="650" t="str">
        <f>B41</f>
        <v>TFreDST_LGV_00</v>
      </c>
      <c r="B69" s="650" t="str">
        <f>C41</f>
        <v>Freight Transport - LGV Diesel</v>
      </c>
      <c r="C69" s="650" t="str">
        <f>Commodities!$B$17</f>
        <v>TRADSTB</v>
      </c>
      <c r="D69" s="650" t="str">
        <f>Commodities!$B$24</f>
        <v>TFLGV</v>
      </c>
      <c r="E69" s="379">
        <f>IFERROR(1/(B10)*1000,"")</f>
        <v>287.07699119598362</v>
      </c>
      <c r="F69" s="379">
        <f t="shared" ref="F69:AG69" si="90">IFERROR(1/(C10)*1000,"")</f>
        <v>288.62205002491805</v>
      </c>
      <c r="G69" s="379">
        <f t="shared" si="90"/>
        <v>290.83245574724964</v>
      </c>
      <c r="H69" s="379">
        <f t="shared" si="90"/>
        <v>293.82136794923792</v>
      </c>
      <c r="I69" s="379">
        <f t="shared" si="90"/>
        <v>297.86092876194795</v>
      </c>
      <c r="J69" s="379">
        <f t="shared" si="90"/>
        <v>303.38420854707664</v>
      </c>
      <c r="K69" s="379">
        <f t="shared" si="90"/>
        <v>310.84623381432971</v>
      </c>
      <c r="L69" s="379">
        <f t="shared" si="90"/>
        <v>320.62481322182623</v>
      </c>
      <c r="M69" s="379">
        <f t="shared" si="90"/>
        <v>332.80964858534981</v>
      </c>
      <c r="N69" s="379">
        <f t="shared" si="90"/>
        <v>346.90559611776166</v>
      </c>
      <c r="O69" s="379">
        <f t="shared" si="90"/>
        <v>362.07923525576274</v>
      </c>
      <c r="P69" s="379">
        <f t="shared" si="90"/>
        <v>376.35201929523646</v>
      </c>
      <c r="Q69" s="379">
        <f t="shared" si="90"/>
        <v>387.07710361561328</v>
      </c>
      <c r="R69" s="379">
        <f t="shared" si="90"/>
        <v>392.60262883549683</v>
      </c>
      <c r="S69" s="379">
        <f t="shared" si="90"/>
        <v>392.74168518548402</v>
      </c>
      <c r="T69" s="379">
        <f t="shared" si="90"/>
        <v>388.96733724665978</v>
      </c>
      <c r="U69" s="379">
        <f t="shared" si="90"/>
        <v>385.5485017583087</v>
      </c>
      <c r="V69" s="379">
        <f t="shared" si="90"/>
        <v>382.67937380962229</v>
      </c>
      <c r="W69" s="379">
        <f t="shared" si="90"/>
        <v>380.44322507832152</v>
      </c>
      <c r="X69" s="379">
        <f t="shared" si="90"/>
        <v>378.82654628547203</v>
      </c>
      <c r="Y69" s="379">
        <f t="shared" si="90"/>
        <v>377.7471170554868</v>
      </c>
      <c r="Z69" s="379">
        <f t="shared" si="90"/>
        <v>377.08336631761114</v>
      </c>
      <c r="AA69" s="379">
        <f t="shared" si="90"/>
        <v>376.69723190125495</v>
      </c>
      <c r="AB69" s="379" t="str">
        <f t="shared" si="90"/>
        <v/>
      </c>
      <c r="AC69" s="379" t="str">
        <f t="shared" si="90"/>
        <v/>
      </c>
      <c r="AD69" s="379" t="str">
        <f t="shared" si="90"/>
        <v/>
      </c>
      <c r="AE69" s="379" t="str">
        <f t="shared" si="90"/>
        <v/>
      </c>
      <c r="AF69" s="379" t="str">
        <f t="shared" si="90"/>
        <v/>
      </c>
      <c r="AG69" s="379" t="str">
        <f t="shared" si="90"/>
        <v/>
      </c>
    </row>
    <row r="70" spans="1:33">
      <c r="A70" s="641" t="s">
        <v>772</v>
      </c>
      <c r="B70" s="642"/>
      <c r="C70" s="642"/>
      <c r="D70" s="642"/>
      <c r="E70" s="649"/>
      <c r="F70" s="649"/>
      <c r="G70" s="649"/>
      <c r="H70" s="649"/>
      <c r="I70" s="649"/>
      <c r="J70" s="649"/>
      <c r="K70" s="649"/>
      <c r="L70" s="649"/>
      <c r="M70" s="649"/>
      <c r="N70" s="649"/>
      <c r="O70" s="649"/>
      <c r="P70" s="649"/>
      <c r="Q70" s="649"/>
      <c r="R70" s="649"/>
      <c r="S70" s="649"/>
      <c r="T70" s="649"/>
      <c r="U70" s="649"/>
      <c r="V70" s="649"/>
      <c r="W70" s="649"/>
      <c r="X70" s="649"/>
      <c r="Y70" s="649"/>
      <c r="Z70" s="649"/>
      <c r="AA70" s="649"/>
      <c r="AB70" s="649"/>
      <c r="AC70" s="649"/>
      <c r="AD70" s="649"/>
      <c r="AE70" s="649"/>
      <c r="AF70" s="649"/>
      <c r="AG70" s="649"/>
    </row>
    <row r="71" spans="1:33">
      <c r="A71" s="650" t="str">
        <f t="shared" ref="A71:B71" si="91">B43</f>
        <v>TFreGSL_HGV_00</v>
      </c>
      <c r="B71" s="650" t="str">
        <f t="shared" si="91"/>
        <v>Freight Transport - HGV Gasoline</v>
      </c>
      <c r="C71" s="650" t="str">
        <f>Commodities!$B$16</f>
        <v>TRAGSLE</v>
      </c>
      <c r="D71" s="650" t="str">
        <f>Commodities!$B$25</f>
        <v>TFHGV</v>
      </c>
      <c r="E71" s="367">
        <f>IFERROR(1/((1+$F$30)*'FREH HGV SEC'!B5)*1000,"")</f>
        <v>180.10492099010335</v>
      </c>
      <c r="F71" s="367">
        <f>IFERROR(1/((1+$G$30)*'FREH HGV SEC'!C5)*1000,"")</f>
        <v>182.58255021032892</v>
      </c>
      <c r="G71" s="367">
        <f>IFERROR(1/((1+$H$30)*'FREH HGV SEC'!D5)*1000,"")</f>
        <v>184.0511609023705</v>
      </c>
      <c r="H71" s="367">
        <f>IFERROR(1/((1+$H$30)*'FREH HGV SEC'!E5)*1000,"")</f>
        <v>184.84932385631083</v>
      </c>
      <c r="I71" s="367">
        <f>IFERROR(1/((1+$H$30)*'FREH HGV SEC'!F5)*1000,"")</f>
        <v>184.87705504817077</v>
      </c>
      <c r="J71" s="367">
        <f>IFERROR(1/((1+$H$30)*'FREH HGV SEC'!G5)*1000,"")</f>
        <v>184.05579796039211</v>
      </c>
      <c r="K71" s="367">
        <f>IFERROR(1/((1+$H$30)*'FREH HGV SEC'!H5)*1000,"")</f>
        <v>182.40785040652264</v>
      </c>
      <c r="L71" s="367">
        <f>IFERROR(1/((1+$H$30)*'FREH HGV SEC'!I5)*1000,"")</f>
        <v>180.05489316996238</v>
      </c>
      <c r="M71" s="367">
        <f>IFERROR(1/((1+$H$30)*'FREH HGV SEC'!J5)*1000,"")</f>
        <v>177.05887003343301</v>
      </c>
      <c r="N71" s="367">
        <f>IFERROR(1/((1+$H$30)*'FREH HGV SEC'!K5)*1000,"")</f>
        <v>173.61768438251659</v>
      </c>
      <c r="O71" s="367">
        <f>IFERROR(1/((1+$H$30)*'FREH HGV SEC'!L5)*1000,"")</f>
        <v>170.04658955866873</v>
      </c>
      <c r="P71" s="367">
        <f>IFERROR(1/((1+$H$30)*'FREH HGV SEC'!M5)*1000,"")</f>
        <v>166.81585867010008</v>
      </c>
      <c r="Q71" s="367">
        <f>IFERROR(1/((1+$H$30)*'FREH HGV SEC'!N5)*1000,"")</f>
        <v>164.52386045273917</v>
      </c>
      <c r="R71" s="367">
        <f>IFERROR(1/((1+$H$30)*'FREH HGV SEC'!O5)*1000,"")</f>
        <v>163.31443306449015</v>
      </c>
      <c r="S71" s="367">
        <f>IFERROR(1/((1+$H$30)*'FREH HGV SEC'!P5)*1000,"")</f>
        <v>163.14473906058083</v>
      </c>
      <c r="T71" s="367">
        <f>IFERROR(1/((1+$H$30)*'FREH HGV SEC'!Q5)*1000,"")</f>
        <v>164.45181696411206</v>
      </c>
      <c r="U71" s="367">
        <f>IFERROR(1/((1+$H$30)*'FREH HGV SEC'!R5)*1000,"")</f>
        <v>165.92432859648545</v>
      </c>
      <c r="V71" s="367">
        <f>IFERROR(1/((1+$H$30)*'FREH HGV SEC'!S5)*1000,"")</f>
        <v>167.51066906474102</v>
      </c>
      <c r="W71" s="367">
        <f>IFERROR(1/((1+$H$30)*'FREH HGV SEC'!T5)*1000,"")</f>
        <v>169.1780654799532</v>
      </c>
      <c r="X71" s="367">
        <f>IFERROR(1/((1+$H$30)*'FREH HGV SEC'!U5)*1000,"")</f>
        <v>170.9258267815662</v>
      </c>
      <c r="Y71" s="367">
        <f>IFERROR(1/((1+$H$30)*'FREH HGV SEC'!V5)*1000,"")</f>
        <v>172.79148506589112</v>
      </c>
      <c r="Z71" s="367">
        <f>IFERROR(1/((1+$H$30)*'FREH HGV SEC'!W5)*1000,"")</f>
        <v>174.85866531630927</v>
      </c>
      <c r="AA71" s="367">
        <f>IFERROR(1/((1+$H$30)*'FREH HGV SEC'!X5)*1000,"")</f>
        <v>177.28263593712379</v>
      </c>
      <c r="AB71" s="367" t="str">
        <f>IFERROR(1/((1+$H$30)*'FREH HGV SEC'!Y5)*1000,"")</f>
        <v/>
      </c>
      <c r="AC71" s="367" t="str">
        <f>IFERROR(1/((1+$H$30)*'FREH HGV SEC'!Z5)*1000,"")</f>
        <v/>
      </c>
      <c r="AD71" s="367" t="str">
        <f>IFERROR(1/((1+$H$30)*'FREH HGV SEC'!AA5)*1000,"")</f>
        <v/>
      </c>
      <c r="AE71" s="367" t="str">
        <f>IFERROR(1/((1+$H$30)*'FREH HGV SEC'!AB5)*1000,"")</f>
        <v/>
      </c>
      <c r="AF71" s="367" t="str">
        <f>IFERROR(1/((1+$H$30)*'FREH HGV SEC'!AC5)*1000,"")</f>
        <v/>
      </c>
      <c r="AG71" s="367" t="str">
        <f>IFERROR(1/((1+$H$30)*'FREH HGV SEC'!AD5)*1000,"")</f>
        <v/>
      </c>
    </row>
    <row r="72" spans="1:33">
      <c r="A72" s="650" t="str">
        <f t="shared" ref="A72:B72" si="92">B44</f>
        <v>TFreDST_HGV_00</v>
      </c>
      <c r="B72" s="650" t="str">
        <f t="shared" si="92"/>
        <v>Freight Transport - HGV Diesel</v>
      </c>
      <c r="C72" s="650" t="str">
        <f>Commodities!$B$17</f>
        <v>TRADSTB</v>
      </c>
      <c r="D72" s="650" t="str">
        <f>Commodities!$B$25</f>
        <v>TFHGV</v>
      </c>
      <c r="E72" s="367">
        <f>IFERROR(1/((1+$F$30)*(SUMPRODUCT('FREH HGV SEC'!B2:B4,'FREH HGV SEC'!B15:B17)/SUM('FREH HGV SEC'!B15:B17)))*1000,"")</f>
        <v>165.45082754743243</v>
      </c>
      <c r="F72" s="367">
        <f>IFERROR(1/((1+$G$30)*(SUMPRODUCT('FREH HGV SEC'!C2:C4,'FREH HGV SEC'!C15:C17)/SUM('FREH HGV SEC'!C15:C17)))*1000,"")</f>
        <v>170.10993974309514</v>
      </c>
      <c r="G72" s="367">
        <f>IFERROR(1/((1+$H$30)*(SUMPRODUCT('FREH HGV SEC'!D2:D4,'FREH HGV SEC'!D15:D17)/SUM('FREH HGV SEC'!D15:D17)))*1000,"")</f>
        <v>173.70725965088457</v>
      </c>
      <c r="H72" s="367">
        <f>IFERROR(1/((1+$H$30)*(SUMPRODUCT('FREH HGV SEC'!E2:E4,'FREH HGV SEC'!E15:E17)/SUM('FREH HGV SEC'!E15:E17)))*1000,"")</f>
        <v>176.6846528224402</v>
      </c>
      <c r="I72" s="367">
        <f>IFERROR(1/((1+$H$30)*(SUMPRODUCT('FREH HGV SEC'!F2:F4,'FREH HGV SEC'!F15:F17)/SUM('FREH HGV SEC'!F15:F17)))*1000,"")</f>
        <v>179.13293156503138</v>
      </c>
      <c r="J72" s="367">
        <f>IFERROR(1/((1+$H$30)*(SUMPRODUCT('FREH HGV SEC'!G2:G4,'FREH HGV SEC'!G15:G17)/SUM('FREH HGV SEC'!G15:G17)))*1000,"")</f>
        <v>181.10327180112887</v>
      </c>
      <c r="K72" s="367">
        <f>IFERROR(1/((1+$H$30)*(SUMPRODUCT('FREH HGV SEC'!H2:H4,'FREH HGV SEC'!H15:H17)/SUM('FREH HGV SEC'!H15:H17)))*1000,"")</f>
        <v>182.59370125537714</v>
      </c>
      <c r="L72" s="367">
        <f>IFERROR(1/((1+$H$30)*(SUMPRODUCT('FREH HGV SEC'!I2:I4,'FREH HGV SEC'!I15:I17)/SUM('FREH HGV SEC'!I15:I17)))*1000,"")</f>
        <v>183.70867137942241</v>
      </c>
      <c r="M72" s="367">
        <f>IFERROR(1/((1+$H$30)*(SUMPRODUCT('FREH HGV SEC'!J2:J4,'FREH HGV SEC'!J15:J17)/SUM('FREH HGV SEC'!J15:J17)))*1000,"")</f>
        <v>184.66244565729014</v>
      </c>
      <c r="N72" s="367">
        <f>IFERROR(1/((1+$H$30)*(SUMPRODUCT('FREH HGV SEC'!K2:K4,'FREH HGV SEC'!K15:K17)/SUM('FREH HGV SEC'!K15:K17)))*1000,"")</f>
        <v>185.53994747509384</v>
      </c>
      <c r="O72" s="367">
        <f>IFERROR(1/((1+$H$30)*(SUMPRODUCT('FREH HGV SEC'!L2:L4,'FREH HGV SEC'!L15:L17)/SUM('FREH HGV SEC'!L15:L17)))*1000,"")</f>
        <v>186.2445641013733</v>
      </c>
      <c r="P72" s="367">
        <f>IFERROR(1/((1+$H$30)*(SUMPRODUCT('FREH HGV SEC'!M2:M4,'FREH HGV SEC'!M15:M17)/SUM('FREH HGV SEC'!M15:M17)))*1000,"")</f>
        <v>186.72948528758425</v>
      </c>
      <c r="Q72" s="367">
        <f>IFERROR(1/((1+$H$30)*(SUMPRODUCT('FREH HGV SEC'!N2:N4,'FREH HGV SEC'!N15:N17)/SUM('FREH HGV SEC'!N15:N17)))*1000,"")</f>
        <v>187.01634628099094</v>
      </c>
      <c r="R72" s="367">
        <f>IFERROR(1/((1+$H$30)*(SUMPRODUCT('FREH HGV SEC'!O2:O4,'FREH HGV SEC'!O15:O17)/SUM('FREH HGV SEC'!O15:O17)))*1000,"")</f>
        <v>187.12265541493451</v>
      </c>
      <c r="S72" s="367">
        <f>IFERROR(1/((1+$H$30)*(SUMPRODUCT('FREH HGV SEC'!P2:P4,'FREH HGV SEC'!P15:P17)/SUM('FREH HGV SEC'!P15:P17)))*1000,"")</f>
        <v>187.11118841254756</v>
      </c>
      <c r="T72" s="367">
        <f>IFERROR(1/((1+$H$30)*(SUMPRODUCT('FREH HGV SEC'!Q2:Q4,'FREH HGV SEC'!Q15:Q17)/SUM('FREH HGV SEC'!Q15:Q17)))*1000,"")</f>
        <v>187.05319630742127</v>
      </c>
      <c r="U72" s="367">
        <f>IFERROR(1/((1+$H$30)*(SUMPRODUCT('FREH HGV SEC'!R2:R4,'FREH HGV SEC'!R15:R17)/SUM('FREH HGV SEC'!R15:R17)))*1000,"")</f>
        <v>186.96429731693362</v>
      </c>
      <c r="V72" s="367">
        <f>IFERROR(1/((1+$H$30)*(SUMPRODUCT('FREH HGV SEC'!S2:S4,'FREH HGV SEC'!S15:S17)/SUM('FREH HGV SEC'!S15:S17)))*1000,"")</f>
        <v>186.87701139766077</v>
      </c>
      <c r="W72" s="367">
        <f>IFERROR(1/((1+$H$30)*(SUMPRODUCT('FREH HGV SEC'!T2:T4,'FREH HGV SEC'!T15:T17)/SUM('FREH HGV SEC'!T15:T17)))*1000,"")</f>
        <v>186.80017131470885</v>
      </c>
      <c r="X72" s="367">
        <f>IFERROR(1/((1+$H$30)*(SUMPRODUCT('FREH HGV SEC'!U2:U4,'FREH HGV SEC'!U15:U17)/SUM('FREH HGV SEC'!U15:U17)))*1000,"")</f>
        <v>186.73494622803193</v>
      </c>
      <c r="Y72" s="367">
        <f>IFERROR(1/((1+$H$30)*(SUMPRODUCT('FREH HGV SEC'!V2:V4,'FREH HGV SEC'!V15:V17)/SUM('FREH HGV SEC'!V15:V17)))*1000,"")</f>
        <v>186.6801755291759</v>
      </c>
      <c r="Z72" s="367">
        <f>IFERROR(1/((1+$H$30)*(SUMPRODUCT('FREH HGV SEC'!W2:W4,'FREH HGV SEC'!W15:W17)/SUM('FREH HGV SEC'!W15:W17)))*1000,"")</f>
        <v>186.63420232648588</v>
      </c>
      <c r="AA72" s="367">
        <f>IFERROR(1/((1+$H$30)*(SUMPRODUCT('FREH HGV SEC'!X2:X4,'FREH HGV SEC'!X15:X17)/SUM('FREH HGV SEC'!X15:X17)))*1000,"")</f>
        <v>186.59552319349137</v>
      </c>
      <c r="AB72" s="367">
        <f>IFERROR(1/((1+$H$30)*(SUMPRODUCT('FREH HGV SEC'!Y2:Y4,'FREH HGV SEC'!Y15:Y17)/SUM('FREH HGV SEC'!Y15:Y17)))*1000,"")</f>
        <v>186.56300664551378</v>
      </c>
      <c r="AC72" s="367">
        <f>IFERROR(1/((1+$H$30)*(SUMPRODUCT('FREH HGV SEC'!Z2:Z4,'FREH HGV SEC'!Z15:Z17)/SUM('FREH HGV SEC'!Z15:Z17)))*1000,"")</f>
        <v>186.53593136462803</v>
      </c>
      <c r="AD72" s="367" t="str">
        <f>IFERROR(1/((1+$H$30)*(SUMPRODUCT('FREH HGV SEC'!AA2:AA4,'FREH HGV SEC'!AA15:AA17)/SUM('FREH HGV SEC'!AA15:AA17)))*1000,"")</f>
        <v/>
      </c>
      <c r="AE72" s="367" t="str">
        <f>IFERROR(1/((1+$H$30)*(SUMPRODUCT('FREH HGV SEC'!AB2:AB4,'FREH HGV SEC'!AB15:AB17)/SUM('FREH HGV SEC'!AB15:AB17)))*1000,"")</f>
        <v/>
      </c>
      <c r="AF72" s="367" t="str">
        <f>IFERROR(1/((1+$H$30)*(SUMPRODUCT('FREH HGV SEC'!AC2:AC4,'FREH HGV SEC'!AC15:AC17)/SUM('FREH HGV SEC'!AC15:AC17)))*1000,"")</f>
        <v/>
      </c>
      <c r="AG72" s="367" t="str">
        <f>IFERROR(1/((1+$H$30)*(SUMPRODUCT('FREH HGV SEC'!AD2:AD4,'FREH HGV SEC'!AD15:AD17)/SUM('FREH HGV SEC'!AD15:AD17)))*1000,"")</f>
        <v/>
      </c>
    </row>
    <row r="73" spans="1:33" s="650" customFormat="1">
      <c r="A73" s="641" t="s">
        <v>1011</v>
      </c>
      <c r="B73" s="642"/>
      <c r="C73" s="642"/>
      <c r="D73" s="642"/>
      <c r="E73" s="649"/>
      <c r="F73" s="649"/>
      <c r="G73" s="649"/>
      <c r="H73" s="649"/>
      <c r="I73" s="649"/>
      <c r="J73" s="649"/>
      <c r="K73" s="649"/>
      <c r="L73" s="649"/>
      <c r="M73" s="649"/>
      <c r="N73" s="649"/>
      <c r="O73" s="649"/>
      <c r="P73" s="649"/>
      <c r="Q73" s="649"/>
      <c r="R73" s="649"/>
      <c r="S73" s="649"/>
      <c r="T73" s="649"/>
      <c r="U73" s="649"/>
      <c r="V73" s="649"/>
      <c r="W73" s="649"/>
      <c r="X73" s="649"/>
      <c r="Y73" s="649"/>
      <c r="Z73" s="649"/>
      <c r="AA73" s="649"/>
      <c r="AB73" s="649"/>
      <c r="AC73" s="649"/>
      <c r="AD73" s="649"/>
      <c r="AE73" s="649"/>
      <c r="AF73" s="649"/>
      <c r="AG73" s="649"/>
    </row>
    <row r="74" spans="1:33" s="409" customFormat="1">
      <c r="A74" s="650" t="str">
        <f>$B$46</f>
        <v>TFreDST_RAIL_00</v>
      </c>
      <c r="B74" s="650" t="str">
        <f>$C$46</f>
        <v>Freight Transport - Rail Diesel</v>
      </c>
      <c r="C74" s="650" t="str">
        <f>Commodities!$B$17</f>
        <v>TRADSTB</v>
      </c>
      <c r="D74" s="650" t="str">
        <f>Commodities!$B$26</f>
        <v>TFRAIL</v>
      </c>
      <c r="E74" s="819">
        <f>PUB!E94</f>
        <v>5.3889968953653931</v>
      </c>
      <c r="F74" s="819"/>
      <c r="G74" s="819"/>
      <c r="H74" s="819"/>
      <c r="I74" s="819"/>
      <c r="J74" s="819"/>
      <c r="K74" s="819"/>
      <c r="L74" s="819"/>
      <c r="M74" s="819"/>
      <c r="N74" s="819"/>
      <c r="O74" s="819"/>
      <c r="P74" s="819"/>
      <c r="Q74" s="819"/>
      <c r="R74" s="824"/>
      <c r="S74" s="824"/>
      <c r="T74" s="824"/>
      <c r="U74" s="824"/>
      <c r="V74" s="824"/>
      <c r="W74" s="824"/>
      <c r="X74" s="824"/>
      <c r="Y74" s="824"/>
      <c r="Z74" s="824"/>
      <c r="AA74" s="824"/>
      <c r="AB74" s="824"/>
      <c r="AC74" s="824"/>
      <c r="AD74" s="824"/>
      <c r="AE74" s="824"/>
      <c r="AF74" s="824"/>
      <c r="AG74" s="824"/>
    </row>
    <row r="75" spans="1:33" s="650" customFormat="1"/>
    <row r="77" spans="1:33" ht="21">
      <c r="A77" s="645" t="s">
        <v>782</v>
      </c>
      <c r="B77" s="644"/>
      <c r="C77" s="650"/>
      <c r="D77" s="650"/>
    </row>
    <row r="78" spans="1:33">
      <c r="A78" s="654"/>
      <c r="B78" s="654"/>
      <c r="C78" s="654"/>
      <c r="D78" s="657" t="s">
        <v>736</v>
      </c>
    </row>
    <row r="79" spans="1:33">
      <c r="A79" s="655" t="s">
        <v>729</v>
      </c>
      <c r="B79" s="655" t="s">
        <v>737</v>
      </c>
      <c r="C79" s="655" t="s">
        <v>738</v>
      </c>
      <c r="D79" s="655" t="s">
        <v>739</v>
      </c>
      <c r="E79" s="656" t="s">
        <v>747</v>
      </c>
      <c r="F79" s="656" t="s">
        <v>790</v>
      </c>
    </row>
    <row r="80" spans="1:33" ht="26.25" thickBot="1">
      <c r="A80" s="658" t="s">
        <v>740</v>
      </c>
      <c r="B80" s="658" t="s">
        <v>741</v>
      </c>
      <c r="C80" s="658" t="s">
        <v>742</v>
      </c>
      <c r="D80" s="658" t="s">
        <v>743</v>
      </c>
      <c r="E80" s="659" t="s">
        <v>783</v>
      </c>
      <c r="F80" s="659"/>
    </row>
    <row r="81" spans="1:33">
      <c r="A81" s="641" t="s">
        <v>771</v>
      </c>
      <c r="B81" s="642"/>
      <c r="C81" s="642"/>
      <c r="D81" s="642"/>
      <c r="E81" s="649"/>
      <c r="F81" s="649"/>
    </row>
    <row r="82" spans="1:33">
      <c r="A82" s="650" t="str">
        <f>B40</f>
        <v>TFreGSL_LGV_00</v>
      </c>
      <c r="B82" s="650" t="str">
        <f>C40</f>
        <v>Freight Transport - LGV Gasoline</v>
      </c>
      <c r="C82" s="650" t="str">
        <f>Commodities!$B$16</f>
        <v>TRAGSLE</v>
      </c>
      <c r="D82" s="650" t="str">
        <f>Commodities!$B$24</f>
        <v>TFLGV</v>
      </c>
      <c r="E82" s="826"/>
      <c r="F82" s="826">
        <v>1E-3</v>
      </c>
    </row>
    <row r="83" spans="1:33">
      <c r="A83" s="650" t="str">
        <f>B41</f>
        <v>TFreDST_LGV_00</v>
      </c>
      <c r="B83" s="650" t="str">
        <f>C41</f>
        <v>Freight Transport - LGV Diesel</v>
      </c>
      <c r="C83" s="650" t="str">
        <f>Commodities!$B$17</f>
        <v>TRADSTB</v>
      </c>
      <c r="D83" s="650" t="str">
        <f>Commodities!$B$24</f>
        <v>TFLGV</v>
      </c>
      <c r="E83" s="826"/>
      <c r="F83" s="826">
        <v>1E-3</v>
      </c>
      <c r="G83" s="409"/>
      <c r="I83" s="409"/>
      <c r="J83" s="409"/>
      <c r="K83" s="409"/>
      <c r="L83" s="409"/>
      <c r="M83" s="409"/>
      <c r="O83" s="409"/>
      <c r="P83" s="409"/>
      <c r="Q83" s="409"/>
      <c r="R83" s="409"/>
      <c r="S83" s="409"/>
      <c r="T83" s="409"/>
      <c r="U83" s="409"/>
      <c r="V83" s="409"/>
    </row>
    <row r="84" spans="1:33">
      <c r="A84" s="641" t="s">
        <v>772</v>
      </c>
      <c r="B84" s="642"/>
      <c r="C84" s="642"/>
      <c r="D84" s="642"/>
      <c r="E84" s="827"/>
      <c r="F84" s="827"/>
      <c r="G84" s="660"/>
      <c r="H84" s="660"/>
      <c r="I84" s="660"/>
      <c r="J84" s="660"/>
      <c r="K84" s="660"/>
      <c r="L84" s="660"/>
      <c r="M84" s="660"/>
      <c r="O84" s="660"/>
      <c r="P84" s="660"/>
      <c r="Q84" s="660"/>
      <c r="R84" s="660"/>
      <c r="S84" s="660"/>
      <c r="T84" s="660"/>
      <c r="U84" s="660"/>
      <c r="V84" s="660"/>
    </row>
    <row r="85" spans="1:33">
      <c r="A85" s="650" t="str">
        <f>B43</f>
        <v>TFreGSL_HGV_00</v>
      </c>
      <c r="B85" s="650" t="str">
        <f>C43</f>
        <v>Freight Transport - HGV Gasoline</v>
      </c>
      <c r="C85" s="650" t="str">
        <f>Commodities!$B$16</f>
        <v>TRAGSLE</v>
      </c>
      <c r="D85" s="650" t="str">
        <f>Commodities!$B$25</f>
        <v>TFHGV</v>
      </c>
      <c r="E85" s="828">
        <f>'FREH HGV SEC'!AG5</f>
        <v>2.1763346670457842</v>
      </c>
      <c r="F85" s="826">
        <v>1E-3</v>
      </c>
      <c r="G85" s="828"/>
    </row>
    <row r="86" spans="1:33">
      <c r="A86" s="650" t="str">
        <f>B44</f>
        <v>TFreDST_HGV_00</v>
      </c>
      <c r="B86" s="650" t="str">
        <f>C44</f>
        <v>Freight Transport - HGV Diesel</v>
      </c>
      <c r="C86" s="650" t="str">
        <f>Commodities!$B$17</f>
        <v>TRADSTB</v>
      </c>
      <c r="D86" s="650" t="str">
        <f>Commodities!$B$25</f>
        <v>TFHGV</v>
      </c>
      <c r="E86" s="828">
        <f>SUMPRODUCT('FREH HGV SEC'!AG2:AG4,'FREH HGV SEC'!B15:B17)/SUM('FREH HGV SEC'!B15:B17)</f>
        <v>3.2050157873754039</v>
      </c>
      <c r="F86" s="826">
        <v>1E-3</v>
      </c>
      <c r="G86" s="828"/>
    </row>
    <row r="87" spans="1:33" s="650" customFormat="1">
      <c r="A87" s="641" t="s">
        <v>1011</v>
      </c>
      <c r="B87" s="642"/>
      <c r="C87" s="642"/>
      <c r="D87" s="642"/>
      <c r="E87" s="827"/>
      <c r="F87" s="827"/>
    </row>
    <row r="88" spans="1:33" s="650" customFormat="1">
      <c r="A88" s="650" t="str">
        <f>$B$46</f>
        <v>TFreDST_RAIL_00</v>
      </c>
      <c r="B88" s="650" t="str">
        <f>$C$46</f>
        <v>Freight Transport - Rail Diesel</v>
      </c>
      <c r="C88" s="650" t="str">
        <f>Commodities!$B$17</f>
        <v>TRADSTB</v>
      </c>
      <c r="D88" s="650" t="str">
        <f>Commodities!$B$26</f>
        <v>TFRAIL</v>
      </c>
      <c r="E88" s="828">
        <f>('PUB Rail Statistics'!F15*1000)/(E102*E60*1000)</f>
        <v>164.83335026928157</v>
      </c>
      <c r="F88" s="826">
        <v>1E-3</v>
      </c>
    </row>
    <row r="89" spans="1:33" s="650" customFormat="1"/>
    <row r="91" spans="1:33" ht="21">
      <c r="A91" s="645" t="s">
        <v>753</v>
      </c>
      <c r="B91" s="644"/>
      <c r="C91" s="650"/>
      <c r="D91" s="650"/>
      <c r="K91" s="650"/>
    </row>
    <row r="92" spans="1:33">
      <c r="A92" s="654"/>
      <c r="B92" s="654"/>
      <c r="C92" s="654"/>
      <c r="D92" s="657" t="s">
        <v>819</v>
      </c>
      <c r="E92" s="650"/>
      <c r="F92" s="650"/>
      <c r="G92" s="650"/>
      <c r="H92" s="650"/>
      <c r="I92" s="650"/>
      <c r="J92" s="650"/>
      <c r="K92" s="650"/>
      <c r="L92" s="650"/>
      <c r="M92" s="650"/>
      <c r="N92" s="650"/>
      <c r="O92" s="650"/>
      <c r="P92" s="650"/>
      <c r="Q92" s="650"/>
      <c r="R92" s="650"/>
      <c r="S92" s="650"/>
      <c r="T92" s="650"/>
      <c r="U92" s="650"/>
      <c r="V92" s="650"/>
      <c r="W92" s="650"/>
      <c r="X92" s="650"/>
      <c r="Y92" s="650"/>
      <c r="Z92" s="650"/>
      <c r="AA92" s="650"/>
      <c r="AB92" s="650"/>
      <c r="AC92" s="650"/>
      <c r="AD92" s="650"/>
      <c r="AE92" s="650"/>
      <c r="AF92" s="650"/>
      <c r="AG92" s="650"/>
    </row>
    <row r="93" spans="1:33">
      <c r="A93" s="655" t="s">
        <v>729</v>
      </c>
      <c r="B93" s="655" t="s">
        <v>737</v>
      </c>
      <c r="C93" s="655" t="s">
        <v>738</v>
      </c>
      <c r="D93" s="655" t="s">
        <v>739</v>
      </c>
      <c r="E93" s="656">
        <v>2012</v>
      </c>
      <c r="F93" s="656">
        <v>2013</v>
      </c>
      <c r="G93" s="656">
        <v>2014</v>
      </c>
      <c r="H93" s="656">
        <v>2015</v>
      </c>
      <c r="I93" s="656">
        <v>2016</v>
      </c>
      <c r="J93" s="656">
        <v>2017</v>
      </c>
      <c r="K93" s="656">
        <v>2018</v>
      </c>
      <c r="L93" s="656">
        <v>2019</v>
      </c>
      <c r="M93" s="656">
        <v>2020</v>
      </c>
      <c r="N93" s="656">
        <v>2021</v>
      </c>
      <c r="O93" s="656">
        <v>2022</v>
      </c>
      <c r="P93" s="656">
        <v>2023</v>
      </c>
      <c r="Q93" s="656">
        <v>2024</v>
      </c>
      <c r="R93" s="656">
        <v>2025</v>
      </c>
      <c r="S93" s="656">
        <v>2026</v>
      </c>
      <c r="T93" s="656">
        <v>2027</v>
      </c>
      <c r="U93" s="656">
        <v>2028</v>
      </c>
      <c r="V93" s="656">
        <v>2029</v>
      </c>
      <c r="W93" s="656">
        <v>2030</v>
      </c>
      <c r="X93" s="656">
        <v>2031</v>
      </c>
      <c r="Y93" s="656">
        <v>2032</v>
      </c>
      <c r="Z93" s="656">
        <v>2033</v>
      </c>
      <c r="AA93" s="656">
        <v>2034</v>
      </c>
      <c r="AB93" s="656">
        <v>2035</v>
      </c>
      <c r="AC93" s="656">
        <v>2036</v>
      </c>
      <c r="AD93" s="656">
        <v>2037</v>
      </c>
      <c r="AE93" s="656">
        <v>2038</v>
      </c>
      <c r="AF93" s="656">
        <v>2039</v>
      </c>
      <c r="AG93" s="656">
        <v>2040</v>
      </c>
    </row>
    <row r="94" spans="1:33" ht="26.25" thickBot="1">
      <c r="A94" s="658" t="s">
        <v>740</v>
      </c>
      <c r="B94" s="658" t="s">
        <v>741</v>
      </c>
      <c r="C94" s="658" t="s">
        <v>742</v>
      </c>
      <c r="D94" s="658" t="s">
        <v>743</v>
      </c>
      <c r="E94" s="659" t="s">
        <v>750</v>
      </c>
      <c r="F94" s="659" t="s">
        <v>750</v>
      </c>
      <c r="G94" s="659" t="s">
        <v>750</v>
      </c>
      <c r="H94" s="659" t="s">
        <v>750</v>
      </c>
      <c r="I94" s="659" t="s">
        <v>750</v>
      </c>
      <c r="J94" s="659" t="s">
        <v>750</v>
      </c>
      <c r="K94" s="659" t="s">
        <v>750</v>
      </c>
      <c r="L94" s="659" t="s">
        <v>750</v>
      </c>
      <c r="M94" s="659" t="s">
        <v>750</v>
      </c>
      <c r="N94" s="659" t="s">
        <v>750</v>
      </c>
      <c r="O94" s="659" t="s">
        <v>750</v>
      </c>
      <c r="P94" s="659" t="s">
        <v>750</v>
      </c>
      <c r="Q94" s="659" t="s">
        <v>750</v>
      </c>
      <c r="R94" s="659" t="s">
        <v>750</v>
      </c>
      <c r="S94" s="659" t="s">
        <v>750</v>
      </c>
      <c r="T94" s="659" t="s">
        <v>750</v>
      </c>
      <c r="U94" s="659" t="s">
        <v>750</v>
      </c>
      <c r="V94" s="659" t="s">
        <v>750</v>
      </c>
      <c r="W94" s="659" t="s">
        <v>750</v>
      </c>
      <c r="X94" s="659" t="s">
        <v>750</v>
      </c>
      <c r="Y94" s="659" t="s">
        <v>750</v>
      </c>
      <c r="Z94" s="659" t="s">
        <v>750</v>
      </c>
      <c r="AA94" s="659" t="s">
        <v>750</v>
      </c>
      <c r="AB94" s="659" t="s">
        <v>750</v>
      </c>
      <c r="AC94" s="659" t="s">
        <v>750</v>
      </c>
      <c r="AD94" s="659" t="s">
        <v>750</v>
      </c>
      <c r="AE94" s="659" t="s">
        <v>750</v>
      </c>
      <c r="AF94" s="659" t="s">
        <v>750</v>
      </c>
      <c r="AG94" s="659" t="s">
        <v>750</v>
      </c>
    </row>
    <row r="95" spans="1:33">
      <c r="A95" s="641" t="s">
        <v>771</v>
      </c>
      <c r="B95" s="642"/>
      <c r="C95" s="642"/>
      <c r="D95" s="642"/>
      <c r="E95" s="649"/>
      <c r="F95" s="649"/>
      <c r="G95" s="649"/>
      <c r="H95" s="649"/>
      <c r="I95" s="649"/>
      <c r="J95" s="649"/>
      <c r="K95" s="649"/>
      <c r="L95" s="649"/>
      <c r="M95" s="649"/>
      <c r="N95" s="649"/>
      <c r="O95" s="649"/>
      <c r="P95" s="649"/>
      <c r="Q95" s="649"/>
      <c r="R95" s="649"/>
      <c r="S95" s="649"/>
      <c r="T95" s="649"/>
      <c r="U95" s="649"/>
      <c r="V95" s="649"/>
      <c r="W95" s="649"/>
      <c r="X95" s="649"/>
      <c r="Y95" s="649"/>
      <c r="Z95" s="649"/>
      <c r="AA95" s="649"/>
      <c r="AB95" s="649"/>
      <c r="AC95" s="649"/>
      <c r="AD95" s="649"/>
      <c r="AE95" s="649"/>
      <c r="AF95" s="649"/>
      <c r="AG95" s="649"/>
    </row>
    <row r="96" spans="1:33">
      <c r="A96" s="650" t="str">
        <f>B40</f>
        <v>TFreGSL_LGV_00</v>
      </c>
      <c r="B96" s="650" t="str">
        <f>C40</f>
        <v>Freight Transport - LGV Gasoline</v>
      </c>
      <c r="C96" s="650" t="str">
        <f>Commodities!$B$16</f>
        <v>TRAGSLE</v>
      </c>
      <c r="D96" s="650" t="str">
        <f>Commodities!$B$24</f>
        <v>TFLGV</v>
      </c>
      <c r="E96" s="267">
        <f>IFERROR(SUMPRODUCT('FREH LGV vkm'!B27:B29,'FREH LGV vkm'!B35:B37)/SUM('FREH LGV vkm'!B35:B37),"")</f>
        <v>13199.64014192502</v>
      </c>
      <c r="F96" s="267">
        <f>IFERROR(SUMPRODUCT('FREH LGV vkm'!C27:C29,'FREH LGV vkm'!C35:C37)/SUM('FREH LGV vkm'!C35:C37),"")</f>
        <v>13275.261307868901</v>
      </c>
      <c r="G96" s="267">
        <f>IFERROR(SUMPRODUCT('FREH LGV vkm'!D27:D29,'FREH LGV vkm'!D35:D37)/SUM('FREH LGV vkm'!D35:D37),"")</f>
        <v>13359.661018430786</v>
      </c>
      <c r="H96" s="267">
        <f>IFERROR(SUMPRODUCT('FREH LGV vkm'!E27:E29,'FREH LGV vkm'!E35:E37)/SUM('FREH LGV vkm'!E35:E37),"")</f>
        <v>13409.91801495077</v>
      </c>
      <c r="I96" s="267">
        <f>IFERROR(SUMPRODUCT('FREH LGV vkm'!F27:F29,'FREH LGV vkm'!F35:F37)/SUM('FREH LGV vkm'!F35:F37),"")</f>
        <v>13260.451629481675</v>
      </c>
      <c r="J96" s="267">
        <f>IFERROR(SUMPRODUCT('FREH LGV vkm'!G27:G29,'FREH LGV vkm'!G35:G37)/SUM('FREH LGV vkm'!G35:G37),"")</f>
        <v>13045.218458322819</v>
      </c>
      <c r="K96" s="267">
        <f>IFERROR(SUMPRODUCT('FREH LGV vkm'!H27:H29,'FREH LGV vkm'!H35:H37)/SUM('FREH LGV vkm'!H35:H37),"")</f>
        <v>12987.606874836529</v>
      </c>
      <c r="L96" s="267">
        <f>IFERROR(SUMPRODUCT('FREH LGV vkm'!I27:I29,'FREH LGV vkm'!I35:I37)/SUM('FREH LGV vkm'!I35:I37),"")</f>
        <v>12956.389252985133</v>
      </c>
      <c r="M96" s="267">
        <f>IFERROR(SUMPRODUCT('FREH LGV vkm'!J27:J29,'FREH LGV vkm'!J35:J37)/SUM('FREH LGV vkm'!J35:J37),"")</f>
        <v>12924.467226063307</v>
      </c>
      <c r="N96" s="267">
        <f>IFERROR(SUMPRODUCT('FREH LGV vkm'!K27:K29,'FREH LGV vkm'!K35:K37)/SUM('FREH LGV vkm'!K35:K37),"")</f>
        <v>12905.364304877456</v>
      </c>
      <c r="O96" s="267">
        <f>IFERROR(SUMPRODUCT('FREH LGV vkm'!L27:L29,'FREH LGV vkm'!L35:L37)/SUM('FREH LGV vkm'!L35:L37),"")</f>
        <v>12914.883960925019</v>
      </c>
      <c r="P96" s="267">
        <f>IFERROR(SUMPRODUCT('FREH LGV vkm'!M27:M29,'FREH LGV vkm'!M35:M37)/SUM('FREH LGV vkm'!M35:M37),"")</f>
        <v>12947.226930793911</v>
      </c>
      <c r="Q96" s="267">
        <f>IFERROR(SUMPRODUCT('FREH LGV vkm'!N27:N29,'FREH LGV vkm'!N35:N37)/SUM('FREH LGV vkm'!N35:N37),"")</f>
        <v>12993.868540315674</v>
      </c>
      <c r="R96" s="267">
        <f>IFERROR(SUMPRODUCT('FREH LGV vkm'!O27:O29,'FREH LGV vkm'!O35:O37)/SUM('FREH LGV vkm'!O35:O37),"")</f>
        <v>13066.450749094614</v>
      </c>
      <c r="S96" s="267">
        <f>IFERROR(SUMPRODUCT('FREH LGV vkm'!P27:P29,'FREH LGV vkm'!P35:P37)/SUM('FREH LGV vkm'!P35:P37),"")</f>
        <v>13134.67392664195</v>
      </c>
      <c r="T96" s="267">
        <f>IFERROR(SUMPRODUCT('FREH LGV vkm'!Q27:Q29,'FREH LGV vkm'!Q35:Q37)/SUM('FREH LGV vkm'!Q35:Q37),"")</f>
        <v>13201.812835325054</v>
      </c>
      <c r="U96" s="267">
        <f>IFERROR(SUMPRODUCT('FREH LGV vkm'!R27:R29,'FREH LGV vkm'!R35:R37)/SUM('FREH LGV vkm'!R35:R37),"")</f>
        <v>13265.251555611123</v>
      </c>
      <c r="V96" s="267">
        <f>IFERROR(SUMPRODUCT('FREH LGV vkm'!S27:S29,'FREH LGV vkm'!S35:S37)/SUM('FREH LGV vkm'!S35:S37),"")</f>
        <v>13322.237104941776</v>
      </c>
      <c r="W96" s="267">
        <f>IFERROR(SUMPRODUCT('FREH LGV vkm'!T27:T29,'FREH LGV vkm'!T35:T37)/SUM('FREH LGV vkm'!T35:T37),"")</f>
        <v>13371.255267364078</v>
      </c>
      <c r="X96" s="267">
        <f>IFERROR(SUMPRODUCT('FREH LGV vkm'!U27:U29,'FREH LGV vkm'!U35:U37)/SUM('FREH LGV vkm'!U35:U37),"")</f>
        <v>13411.795664229072</v>
      </c>
      <c r="Y96" s="267">
        <f>IFERROR(SUMPRODUCT('FREH LGV vkm'!V27:V29,'FREH LGV vkm'!V35:V37)/SUM('FREH LGV vkm'!V35:V37),"")</f>
        <v>13444.025284422667</v>
      </c>
      <c r="Z96" s="755">
        <f>IFERROR(SUMPRODUCT('FREH LGV vkm'!W27:W29,'FREH LGV vkm'!W35:W37)/SUM('FREH LGV vkm'!W35:W37),"")</f>
        <v>13468.454005280031</v>
      </c>
      <c r="AA96" s="755">
        <f>IFERROR(SUMPRODUCT('FREH LGV vkm'!X27:X29,'FREH LGV vkm'!X35:X37)/SUM('FREH LGV vkm'!X35:X37),"")</f>
        <v>13485.590309477302</v>
      </c>
      <c r="AB96" s="755">
        <f>IFERROR(SUMPRODUCT('FREH LGV vkm'!Y27:Y29,'FREH LGV vkm'!Y35:Y37)/SUM('FREH LGV vkm'!Y35:Y37),"")</f>
        <v>13495.423992915543</v>
      </c>
      <c r="AC96" s="755">
        <f>IFERROR(SUMPRODUCT('FREH LGV vkm'!Z27:Z29,'FREH LGV vkm'!Z35:Z37)/SUM('FREH LGV vkm'!Z35:Z37),"")</f>
        <v>13495.862832114321</v>
      </c>
      <c r="AD96" s="367" t="str">
        <f>IFERROR(SUMPRODUCT('FREH LGV vkm'!AA27:AA29,'FREH LGV vkm'!AA35:AA37)/SUM('FREH LGV vkm'!AA35:AA37),"")</f>
        <v/>
      </c>
      <c r="AE96" s="367" t="str">
        <f>IFERROR(SUMPRODUCT('FREH LGV vkm'!AB27:AB29,'FREH LGV vkm'!AB35:AB37)/SUM('FREH LGV vkm'!AB35:AB37),"")</f>
        <v/>
      </c>
      <c r="AF96" s="367" t="str">
        <f>IFERROR(SUMPRODUCT('FREH LGV vkm'!AC27:AC29,'FREH LGV vkm'!AC35:AC37)/SUM('FREH LGV vkm'!AC35:AC37),"")</f>
        <v/>
      </c>
      <c r="AG96" s="367" t="str">
        <f>IFERROR(SUMPRODUCT('FREH LGV vkm'!AD27:AD29,'FREH LGV vkm'!AD35:AD37)/SUM('FREH LGV vkm'!AD35:AD37),"")</f>
        <v/>
      </c>
    </row>
    <row r="97" spans="1:33">
      <c r="A97" s="650" t="str">
        <f>B41</f>
        <v>TFreDST_LGV_00</v>
      </c>
      <c r="B97" s="650" t="str">
        <f>C41</f>
        <v>Freight Transport - LGV Diesel</v>
      </c>
      <c r="C97" s="650" t="str">
        <f>Commodities!$B$17</f>
        <v>TRADSTB</v>
      </c>
      <c r="D97" s="650" t="str">
        <f>Commodities!$B$24</f>
        <v>TFLGV</v>
      </c>
      <c r="E97" s="267">
        <f>IFERROR(SUMPRODUCT('FREH LGV vkm'!B30:B32,'FREH LGV vkm'!B38:B40)/SUM('FREH LGV vkm'!B38:B40),"")</f>
        <v>17113.287031571817</v>
      </c>
      <c r="F97" s="267">
        <f>IFERROR(SUMPRODUCT('FREH LGV vkm'!C30:C32,'FREH LGV vkm'!C38:C40)/SUM('FREH LGV vkm'!C38:C40),"")</f>
        <v>17164.290054749916</v>
      </c>
      <c r="G97" s="267">
        <f>IFERROR(SUMPRODUCT('FREH LGV vkm'!D30:D32,'FREH LGV vkm'!D38:D40)/SUM('FREH LGV vkm'!D38:D40),"")</f>
        <v>17257.304575487255</v>
      </c>
      <c r="H97" s="267">
        <f>IFERROR(SUMPRODUCT('FREH LGV vkm'!E30:E32,'FREH LGV vkm'!E38:E40)/SUM('FREH LGV vkm'!E38:E40),"")</f>
        <v>17450.315220147899</v>
      </c>
      <c r="I97" s="267">
        <f>IFERROR(SUMPRODUCT('FREH LGV vkm'!F30:F32,'FREH LGV vkm'!F38:F40)/SUM('FREH LGV vkm'!F38:F40),"")</f>
        <v>17646.773805728815</v>
      </c>
      <c r="J97" s="267">
        <f>IFERROR(SUMPRODUCT('FREH LGV vkm'!G30:G32,'FREH LGV vkm'!G38:G40)/SUM('FREH LGV vkm'!G38:G40),"")</f>
        <v>17765.596565170712</v>
      </c>
      <c r="K97" s="267">
        <f>IFERROR(SUMPRODUCT('FREH LGV vkm'!H30:H32,'FREH LGV vkm'!H38:H40)/SUM('FREH LGV vkm'!H38:H40),"")</f>
        <v>17697.679023902394</v>
      </c>
      <c r="L97" s="267">
        <f>IFERROR(SUMPRODUCT('FREH LGV vkm'!I30:I32,'FREH LGV vkm'!I38:I40)/SUM('FREH LGV vkm'!I38:I40),"")</f>
        <v>17761.082688297152</v>
      </c>
      <c r="M97" s="267">
        <f>IFERROR(SUMPRODUCT('FREH LGV vkm'!J30:J32,'FREH LGV vkm'!J38:J40)/SUM('FREH LGV vkm'!J38:J40),"")</f>
        <v>17826.520646088728</v>
      </c>
      <c r="N97" s="267">
        <f>IFERROR(SUMPRODUCT('FREH LGV vkm'!K30:K32,'FREH LGV vkm'!K38:K40)/SUM('FREH LGV vkm'!K38:K40),"")</f>
        <v>17883.483465494537</v>
      </c>
      <c r="O97" s="267">
        <f>IFERROR(SUMPRODUCT('FREH LGV vkm'!L30:L32,'FREH LGV vkm'!L38:L40)/SUM('FREH LGV vkm'!L38:L40),"")</f>
        <v>17919.488495617923</v>
      </c>
      <c r="P97" s="267">
        <f>IFERROR(SUMPRODUCT('FREH LGV vkm'!M30:M32,'FREH LGV vkm'!M38:M40)/SUM('FREH LGV vkm'!M38:M40),"")</f>
        <v>17919.287688657565</v>
      </c>
      <c r="Q97" s="267">
        <f>IFERROR(SUMPRODUCT('FREH LGV vkm'!N30:N32,'FREH LGV vkm'!N38:N40)/SUM('FREH LGV vkm'!N38:N40),"")</f>
        <v>17864.486747650495</v>
      </c>
      <c r="R97" s="267">
        <f>IFERROR(SUMPRODUCT('FREH LGV vkm'!O30:O32,'FREH LGV vkm'!O38:O40)/SUM('FREH LGV vkm'!O38:O40),"")</f>
        <v>17737.606360269405</v>
      </c>
      <c r="S97" s="267">
        <f>IFERROR(SUMPRODUCT('FREH LGV vkm'!P30:P32,'FREH LGV vkm'!P38:P40)/SUM('FREH LGV vkm'!P38:P40),"")</f>
        <v>17541.705528817576</v>
      </c>
      <c r="T97" s="267">
        <f>IFERROR(SUMPRODUCT('FREH LGV vkm'!Q30:Q32,'FREH LGV vkm'!Q38:Q40)/SUM('FREH LGV vkm'!Q38:Q40),"")</f>
        <v>17275.516769130321</v>
      </c>
      <c r="U97" s="267">
        <f>IFERROR(SUMPRODUCT('FREH LGV vkm'!R30:R32,'FREH LGV vkm'!R38:R40)/SUM('FREH LGV vkm'!R38:R40),"")</f>
        <v>17024.259254135381</v>
      </c>
      <c r="V97" s="267">
        <f>IFERROR(SUMPRODUCT('FREH LGV vkm'!S30:S32,'FREH LGV vkm'!S38:S40)/SUM('FREH LGV vkm'!S38:S40),"")</f>
        <v>16797.336438966417</v>
      </c>
      <c r="W97" s="267">
        <f>IFERROR(SUMPRODUCT('FREH LGV vkm'!T30:T32,'FREH LGV vkm'!T38:T40)/SUM('FREH LGV vkm'!T38:T40),"")</f>
        <v>16600.498710297692</v>
      </c>
      <c r="X97" s="267">
        <f>IFERROR(SUMPRODUCT('FREH LGV vkm'!U30:U32,'FREH LGV vkm'!U38:U40)/SUM('FREH LGV vkm'!U38:U40),"")</f>
        <v>16435.62158902287</v>
      </c>
      <c r="Y97" s="267">
        <f>IFERROR(SUMPRODUCT('FREH LGV vkm'!V30:V32,'FREH LGV vkm'!V38:V40)/SUM('FREH LGV vkm'!V38:V40),"")</f>
        <v>16301.422203721044</v>
      </c>
      <c r="Z97" s="755">
        <f>IFERROR(SUMPRODUCT('FREH LGV vkm'!W30:W32,'FREH LGV vkm'!W38:W40)/SUM('FREH LGV vkm'!W38:W40),"")</f>
        <v>16194.601166041613</v>
      </c>
      <c r="AA97" s="755">
        <f>IFERROR(SUMPRODUCT('FREH LGV vkm'!X30:X32,'FREH LGV vkm'!X38:X40)/SUM('FREH LGV vkm'!X38:X40),"")</f>
        <v>16110.943638673531</v>
      </c>
      <c r="AB97" s="755">
        <f>IFERROR(SUMPRODUCT('FREH LGV vkm'!Y30:Y32,'FREH LGV vkm'!Y38:Y40)/SUM('FREH LGV vkm'!Y38:Y40),"")</f>
        <v>16046.132379388548</v>
      </c>
      <c r="AC97" s="755"/>
      <c r="AD97" s="367" t="str">
        <f>IFERROR(SUMPRODUCT('FREH LGV vkm'!AA30:AA32,'FREH LGV vkm'!AA38:AA40)/SUM('FREH LGV vkm'!AA38:AA40),"")</f>
        <v/>
      </c>
      <c r="AE97" s="367" t="str">
        <f>IFERROR(SUMPRODUCT('FREH LGV vkm'!AB30:AB32,'FREH LGV vkm'!AB38:AB40)/SUM('FREH LGV vkm'!AB38:AB40),"")</f>
        <v/>
      </c>
      <c r="AF97" s="367" t="str">
        <f>IFERROR(SUMPRODUCT('FREH LGV vkm'!AC30:AC32,'FREH LGV vkm'!AC38:AC40)/SUM('FREH LGV vkm'!AC38:AC40),"")</f>
        <v/>
      </c>
      <c r="AG97" s="367" t="str">
        <f>IFERROR(SUMPRODUCT('FREH LGV vkm'!AD30:AD32,'FREH LGV vkm'!AD38:AD40)/SUM('FREH LGV vkm'!AD38:AD40),"")</f>
        <v/>
      </c>
    </row>
    <row r="98" spans="1:33">
      <c r="A98" s="641" t="s">
        <v>772</v>
      </c>
      <c r="B98" s="642"/>
      <c r="C98" s="642"/>
      <c r="D98" s="642"/>
      <c r="E98" s="649"/>
      <c r="F98" s="649"/>
      <c r="G98" s="649"/>
      <c r="H98" s="649"/>
      <c r="I98" s="649"/>
      <c r="J98" s="649"/>
      <c r="K98" s="649"/>
      <c r="L98" s="649"/>
      <c r="M98" s="649"/>
      <c r="N98" s="649"/>
      <c r="O98" s="649"/>
      <c r="P98" s="649"/>
      <c r="Q98" s="649"/>
      <c r="R98" s="649"/>
      <c r="S98" s="649"/>
      <c r="T98" s="649"/>
      <c r="U98" s="649"/>
      <c r="V98" s="649"/>
      <c r="W98" s="649"/>
      <c r="X98" s="649"/>
      <c r="Y98" s="649"/>
      <c r="Z98" s="649"/>
      <c r="AA98" s="649"/>
      <c r="AB98" s="649"/>
      <c r="AC98" s="649"/>
      <c r="AD98" s="649"/>
      <c r="AE98" s="649"/>
      <c r="AF98" s="649"/>
      <c r="AG98" s="649"/>
    </row>
    <row r="99" spans="1:33">
      <c r="A99" s="650" t="str">
        <f>B43</f>
        <v>TFreGSL_HGV_00</v>
      </c>
      <c r="B99" s="650" t="str">
        <f>C43</f>
        <v>Freight Transport - HGV Gasoline</v>
      </c>
      <c r="C99" s="650" t="str">
        <f>Commodities!$B$16</f>
        <v>TRAGSLE</v>
      </c>
      <c r="D99" s="650" t="str">
        <f>Commodities!$B$25</f>
        <v>TFHGV</v>
      </c>
      <c r="E99" s="267">
        <v>38282.574886307499</v>
      </c>
      <c r="F99" s="267"/>
      <c r="G99" s="267"/>
      <c r="H99" s="267"/>
      <c r="I99" s="267"/>
      <c r="J99" s="267"/>
      <c r="K99" s="267"/>
      <c r="L99" s="267"/>
      <c r="M99" s="267"/>
      <c r="N99" s="267"/>
      <c r="O99" s="267"/>
      <c r="P99" s="267"/>
      <c r="Q99" s="267"/>
      <c r="R99" s="267"/>
      <c r="S99" s="267"/>
      <c r="T99" s="267"/>
      <c r="U99" s="267"/>
      <c r="V99" s="267"/>
      <c r="W99" s="267"/>
      <c r="X99" s="267"/>
      <c r="Y99" s="267"/>
      <c r="Z99" s="267"/>
      <c r="AA99" s="267"/>
      <c r="AB99" s="267"/>
      <c r="AC99" s="267"/>
    </row>
    <row r="100" spans="1:33">
      <c r="A100" s="650" t="str">
        <f>B44</f>
        <v>TFreDST_HGV_00</v>
      </c>
      <c r="B100" s="650" t="str">
        <f>C44</f>
        <v>Freight Transport - HGV Diesel</v>
      </c>
      <c r="C100" s="650" t="str">
        <f>Commodities!$B$17</f>
        <v>TRADSTB</v>
      </c>
      <c r="D100" s="650" t="str">
        <f>Commodities!$B$25</f>
        <v>TFHGV</v>
      </c>
      <c r="E100" s="267">
        <v>57429.951888953998</v>
      </c>
      <c r="F100" s="267"/>
      <c r="G100" s="267"/>
      <c r="H100" s="267"/>
      <c r="I100" s="267"/>
      <c r="J100" s="267"/>
      <c r="K100" s="267"/>
      <c r="L100" s="267"/>
      <c r="M100" s="267"/>
      <c r="N100" s="267"/>
      <c r="O100" s="267"/>
      <c r="P100" s="267"/>
      <c r="Q100" s="267"/>
      <c r="R100" s="267"/>
      <c r="S100" s="267"/>
      <c r="T100" s="267"/>
      <c r="U100" s="267"/>
      <c r="V100" s="267"/>
      <c r="W100" s="267"/>
      <c r="X100" s="267"/>
      <c r="Y100" s="267"/>
      <c r="Z100" s="267"/>
      <c r="AA100" s="267"/>
      <c r="AB100" s="267"/>
      <c r="AC100" s="267"/>
    </row>
    <row r="101" spans="1:33" s="650" customFormat="1">
      <c r="A101" s="641" t="s">
        <v>1011</v>
      </c>
      <c r="B101" s="642"/>
      <c r="C101" s="642"/>
      <c r="D101" s="642"/>
      <c r="E101" s="649"/>
      <c r="F101" s="649"/>
      <c r="G101" s="649"/>
      <c r="H101" s="649"/>
      <c r="I101" s="649"/>
      <c r="J101" s="649"/>
      <c r="K101" s="649"/>
      <c r="L101" s="649"/>
      <c r="M101" s="649"/>
      <c r="N101" s="649"/>
      <c r="O101" s="649"/>
      <c r="P101" s="649"/>
      <c r="Q101" s="649"/>
      <c r="R101" s="649"/>
      <c r="S101" s="649"/>
      <c r="T101" s="649"/>
      <c r="U101" s="649"/>
      <c r="V101" s="649"/>
      <c r="W101" s="649"/>
      <c r="X101" s="649"/>
      <c r="Y101" s="649"/>
      <c r="Z101" s="649"/>
      <c r="AA101" s="649"/>
      <c r="AB101" s="649"/>
      <c r="AC101" s="649"/>
      <c r="AD101" s="649"/>
      <c r="AE101" s="649"/>
      <c r="AF101" s="649"/>
      <c r="AG101" s="649"/>
    </row>
    <row r="102" spans="1:33" s="650" customFormat="1">
      <c r="A102" s="650" t="str">
        <f>$B$46</f>
        <v>TFreDST_RAIL_00</v>
      </c>
      <c r="B102" s="650" t="str">
        <f>$C$46</f>
        <v>Freight Transport - Rail Diesel</v>
      </c>
      <c r="C102" s="650" t="str">
        <f>Commodities!$B$17</f>
        <v>TRADSTB</v>
      </c>
      <c r="D102" s="650" t="str">
        <f>Commodities!$B$26</f>
        <v>TFRAIL</v>
      </c>
      <c r="E102" s="267">
        <f>SUM('PUB Rail Statistics'!AG3:AG6)/14</f>
        <v>39364</v>
      </c>
      <c r="F102" s="823"/>
      <c r="G102" s="823"/>
      <c r="H102" s="823"/>
      <c r="I102" s="823"/>
      <c r="J102" s="823"/>
      <c r="K102" s="823"/>
      <c r="L102" s="823"/>
      <c r="M102" s="823"/>
      <c r="N102" s="823"/>
      <c r="O102" s="823"/>
      <c r="P102" s="823"/>
      <c r="Q102" s="823"/>
      <c r="R102" s="824"/>
      <c r="S102" s="824"/>
      <c r="T102" s="824"/>
      <c r="U102" s="824"/>
      <c r="V102" s="824"/>
      <c r="W102" s="824"/>
      <c r="X102" s="824"/>
      <c r="Y102" s="824"/>
      <c r="Z102" s="824"/>
      <c r="AA102" s="824"/>
      <c r="AB102" s="824"/>
      <c r="AC102" s="824"/>
      <c r="AD102" s="824"/>
      <c r="AE102" s="824"/>
      <c r="AF102" s="824"/>
      <c r="AG102" s="824"/>
    </row>
    <row r="103" spans="1:33" s="650" customFormat="1"/>
    <row r="105" spans="1:33">
      <c r="E105" s="341"/>
      <c r="F105" s="341">
        <f>AVERAGE(F96:F97)</f>
        <v>15219.775681309409</v>
      </c>
    </row>
    <row r="106" spans="1:33">
      <c r="E106" s="379"/>
      <c r="F106" s="379"/>
    </row>
    <row r="107" spans="1:33">
      <c r="F107" s="650"/>
    </row>
    <row r="108" spans="1:33">
      <c r="F108" s="650"/>
    </row>
    <row r="109" spans="1:33">
      <c r="F109" s="650"/>
    </row>
    <row r="110" spans="1:33">
      <c r="D110" t="s">
        <v>750</v>
      </c>
      <c r="F110" s="650"/>
    </row>
    <row r="111" spans="1:33">
      <c r="D111" t="s">
        <v>1295</v>
      </c>
      <c r="E111" s="267">
        <v>26015.208929528853</v>
      </c>
      <c r="F111" s="650"/>
    </row>
    <row r="112" spans="1:33">
      <c r="D112" t="s">
        <v>1296</v>
      </c>
      <c r="E112" s="267">
        <v>38282.574886307499</v>
      </c>
      <c r="F112" s="650"/>
    </row>
    <row r="113" spans="4:6">
      <c r="D113" s="1168" t="s">
        <v>1297</v>
      </c>
      <c r="E113" s="267">
        <v>57429.951888953998</v>
      </c>
      <c r="F113" s="650"/>
    </row>
    <row r="114" spans="4:6">
      <c r="F114" s="650"/>
    </row>
    <row r="115" spans="4:6">
      <c r="F115" s="650"/>
    </row>
    <row r="116" spans="4:6">
      <c r="F116" s="650"/>
    </row>
    <row r="117" spans="4:6">
      <c r="F117" s="650"/>
    </row>
    <row r="118" spans="4:6">
      <c r="F118" s="650"/>
    </row>
    <row r="119" spans="4:6">
      <c r="F119" s="650"/>
    </row>
    <row r="120" spans="4:6">
      <c r="F120" s="650"/>
    </row>
    <row r="121" spans="4:6">
      <c r="F121" s="650"/>
    </row>
    <row r="122" spans="4:6">
      <c r="F122" s="650"/>
    </row>
    <row r="123" spans="4:6">
      <c r="F123" s="650"/>
    </row>
    <row r="124" spans="4:6">
      <c r="F124" s="650"/>
    </row>
    <row r="125" spans="4:6">
      <c r="F125" s="650"/>
    </row>
    <row r="126" spans="4:6">
      <c r="F126" s="650"/>
    </row>
    <row r="127" spans="4:6">
      <c r="F127" s="650"/>
    </row>
    <row r="128" spans="4:6">
      <c r="F128" s="650"/>
    </row>
    <row r="129" spans="6:6">
      <c r="F129" s="650"/>
    </row>
    <row r="130" spans="6:6">
      <c r="F130" s="650"/>
    </row>
    <row r="131" spans="6:6">
      <c r="F131" s="650"/>
    </row>
    <row r="132" spans="6:6">
      <c r="F132" s="650"/>
    </row>
    <row r="133" spans="6:6">
      <c r="F133" s="650"/>
    </row>
    <row r="134" spans="6:6">
      <c r="F134" s="650"/>
    </row>
    <row r="135" spans="6:6">
      <c r="F135" s="650"/>
    </row>
    <row r="136" spans="6:6">
      <c r="F136" s="650"/>
    </row>
    <row r="137" spans="6:6">
      <c r="F137" s="650"/>
    </row>
    <row r="138" spans="6:6">
      <c r="F138" s="650"/>
    </row>
    <row r="139" spans="6:6">
      <c r="F139" s="650"/>
    </row>
    <row r="140" spans="6:6">
      <c r="F140" s="650"/>
    </row>
    <row r="141" spans="6:6">
      <c r="F141" s="650"/>
    </row>
    <row r="142" spans="6:6">
      <c r="F142" s="650"/>
    </row>
    <row r="143" spans="6:6">
      <c r="F143" s="650"/>
    </row>
    <row r="144" spans="6:6">
      <c r="F144" s="650"/>
    </row>
    <row r="145" spans="6:6">
      <c r="F145" s="650"/>
    </row>
    <row r="146" spans="6:6">
      <c r="F146" s="650"/>
    </row>
    <row r="147" spans="6:6">
      <c r="F147" s="650"/>
    </row>
    <row r="148" spans="6:6">
      <c r="F148" s="650"/>
    </row>
    <row r="149" spans="6:6">
      <c r="F149" s="650"/>
    </row>
    <row r="150" spans="6:6">
      <c r="F150" s="650"/>
    </row>
    <row r="151" spans="6:6">
      <c r="F151" s="650"/>
    </row>
    <row r="152" spans="6:6">
      <c r="F152" s="650"/>
    </row>
    <row r="153" spans="6:6">
      <c r="F153" s="650"/>
    </row>
    <row r="154" spans="6:6">
      <c r="F154" s="650"/>
    </row>
    <row r="155" spans="6:6">
      <c r="F155" s="650"/>
    </row>
    <row r="156" spans="6:6">
      <c r="F156" s="650"/>
    </row>
    <row r="157" spans="6:6">
      <c r="F157" s="650"/>
    </row>
    <row r="158" spans="6:6">
      <c r="F158" s="650"/>
    </row>
    <row r="159" spans="6:6">
      <c r="F159" s="650"/>
    </row>
    <row r="160" spans="6:6">
      <c r="F160" s="650"/>
    </row>
    <row r="161" spans="6:6">
      <c r="F161" s="650"/>
    </row>
    <row r="162" spans="6:6">
      <c r="F162" s="650"/>
    </row>
    <row r="163" spans="6:6">
      <c r="F163" s="650"/>
    </row>
    <row r="164" spans="6:6">
      <c r="F164" s="650"/>
    </row>
    <row r="165" spans="6:6">
      <c r="F165" s="650"/>
    </row>
    <row r="166" spans="6:6">
      <c r="F166" s="650"/>
    </row>
    <row r="167" spans="6:6">
      <c r="F167" s="650"/>
    </row>
    <row r="168" spans="6:6">
      <c r="F168" s="650"/>
    </row>
    <row r="169" spans="6:6">
      <c r="F169" s="650"/>
    </row>
    <row r="170" spans="6:6">
      <c r="F170" s="650"/>
    </row>
    <row r="171" spans="6:6">
      <c r="F171" s="650"/>
    </row>
    <row r="172" spans="6:6">
      <c r="F172" s="650"/>
    </row>
  </sheetData>
  <mergeCells count="2">
    <mergeCell ref="T40:T41"/>
    <mergeCell ref="T43:T44"/>
  </mergeCells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5">
    <tabColor rgb="FFFF0000"/>
  </sheetPr>
  <dimension ref="A1:AG134"/>
  <sheetViews>
    <sheetView topLeftCell="A38" zoomScale="70" zoomScaleNormal="70" workbookViewId="0">
      <selection activeCell="B64" sqref="B64"/>
    </sheetView>
  </sheetViews>
  <sheetFormatPr defaultRowHeight="15"/>
  <cols>
    <col min="1" max="1" width="45.7109375" bestFit="1" customWidth="1"/>
    <col min="2" max="2" width="42.7109375" customWidth="1"/>
    <col min="3" max="3" width="37.7109375" bestFit="1" customWidth="1"/>
    <col min="4" max="4" width="13.28515625" bestFit="1" customWidth="1"/>
    <col min="5" max="5" width="13.42578125" bestFit="1" customWidth="1"/>
    <col min="6" max="6" width="13.140625" bestFit="1" customWidth="1"/>
    <col min="7" max="7" width="14.42578125" customWidth="1"/>
    <col min="8" max="8" width="13.42578125" bestFit="1" customWidth="1"/>
    <col min="9" max="9" width="19" bestFit="1" customWidth="1"/>
    <col min="10" max="10" width="13.7109375" bestFit="1" customWidth="1"/>
    <col min="11" max="11" width="15" bestFit="1" customWidth="1"/>
    <col min="12" max="12" width="18.28515625" bestFit="1" customWidth="1"/>
    <col min="13" max="21" width="13.140625" bestFit="1" customWidth="1"/>
    <col min="22" max="31" width="11" bestFit="1" customWidth="1"/>
  </cols>
  <sheetData>
    <row r="1" spans="1:15">
      <c r="A1" s="181" t="s">
        <v>616</v>
      </c>
      <c r="B1" s="187">
        <v>2006</v>
      </c>
      <c r="C1" s="187">
        <v>2007</v>
      </c>
      <c r="D1" s="187">
        <v>2008</v>
      </c>
      <c r="E1" s="187">
        <v>2009</v>
      </c>
      <c r="F1" s="187">
        <v>2010</v>
      </c>
      <c r="G1" s="187">
        <v>2011</v>
      </c>
      <c r="H1" s="187">
        <v>2012</v>
      </c>
      <c r="I1" s="187">
        <v>2013</v>
      </c>
      <c r="J1" s="182">
        <v>2014</v>
      </c>
      <c r="K1" s="181"/>
    </row>
    <row r="2" spans="1:15">
      <c r="A2" s="3" t="s">
        <v>921</v>
      </c>
      <c r="B2" s="551">
        <f>'PUB Bus Statistics'!B19+'PUB Bus Statistics'!B20</f>
        <v>68096</v>
      </c>
      <c r="C2" s="551">
        <f>'PUB Bus Statistics'!C19+'PUB Bus Statistics'!C20</f>
        <v>71763</v>
      </c>
      <c r="D2" s="551">
        <f>'PUB Bus Statistics'!D19+'PUB Bus Statistics'!D20</f>
        <v>76433</v>
      </c>
      <c r="E2" s="551">
        <f>'PUB Bus Statistics'!E19+'PUB Bus Statistics'!E20</f>
        <v>73640</v>
      </c>
      <c r="F2" s="551">
        <f>'PUB Bus Statistics'!F19+'PUB Bus Statistics'!F20</f>
        <v>70034</v>
      </c>
      <c r="G2" s="551">
        <f>'PUB Bus Statistics'!G19+'PUB Bus Statistics'!G20</f>
        <v>68147</v>
      </c>
      <c r="H2" s="551">
        <f>'PUB Bus Statistics'!H19+'PUB Bus Statistics'!H20</f>
        <v>65177</v>
      </c>
      <c r="I2" s="551">
        <f>'PUB Bus Statistics'!I19+'PUB Bus Statistics'!I20</f>
        <v>57801</v>
      </c>
      <c r="J2" s="551">
        <f>'PUB Bus Statistics'!J19+'PUB Bus Statistics'!J20</f>
        <v>56660</v>
      </c>
      <c r="K2" s="3"/>
      <c r="L2" s="517"/>
      <c r="M2" s="517"/>
      <c r="N2" s="517"/>
      <c r="O2" s="517"/>
    </row>
    <row r="3" spans="1:15">
      <c r="A3" s="3" t="s">
        <v>922</v>
      </c>
      <c r="B3" s="551">
        <f>'PUB Bus Statistics'!B21</f>
        <v>83401</v>
      </c>
      <c r="C3" s="551">
        <f>'PUB Bus Statistics'!C21</f>
        <v>84400</v>
      </c>
      <c r="D3" s="551">
        <f>'PUB Bus Statistics'!D21</f>
        <v>87007</v>
      </c>
      <c r="E3" s="551">
        <f>'PUB Bus Statistics'!E21</f>
        <v>85341</v>
      </c>
      <c r="F3" s="551">
        <f>'PUB Bus Statistics'!F21</f>
        <v>82779</v>
      </c>
      <c r="G3" s="551">
        <f>'PUB Bus Statistics'!G21</f>
        <v>82409</v>
      </c>
      <c r="H3" s="551">
        <f>'PUB Bus Statistics'!H21</f>
        <v>82633</v>
      </c>
      <c r="I3" s="551">
        <f>'PUB Bus Statistics'!I21</f>
        <v>71171</v>
      </c>
      <c r="J3" s="551">
        <f>'PUB Bus Statistics'!J21</f>
        <v>70804</v>
      </c>
      <c r="K3" s="3"/>
      <c r="L3" s="517"/>
      <c r="M3" s="517"/>
      <c r="N3" s="517"/>
      <c r="O3" s="517"/>
    </row>
    <row r="4" spans="1:15">
      <c r="A4" s="3" t="s">
        <v>923</v>
      </c>
      <c r="B4" s="551">
        <f>4000*'PUB Bus Statistics'!$B$54*2*365/1000</f>
        <v>23885.599999999999</v>
      </c>
      <c r="C4" s="551">
        <f>4000*'PUB Bus Statistics'!$B$54*2*365/1000</f>
        <v>23885.599999999999</v>
      </c>
      <c r="D4" s="551">
        <f>4000*'PUB Bus Statistics'!$B$54*2*365/1000</f>
        <v>23885.599999999999</v>
      </c>
      <c r="E4" s="551">
        <f>4000*'PUB Bus Statistics'!$B$54*2*365/1000</f>
        <v>23885.599999999999</v>
      </c>
      <c r="F4" s="551">
        <f>4000*'PUB Bus Statistics'!$B$54*2*365/1000</f>
        <v>23885.599999999999</v>
      </c>
      <c r="G4" s="551">
        <f>4000*'PUB Bus Statistics'!$B$54*2*365/1000</f>
        <v>23885.599999999999</v>
      </c>
      <c r="H4" s="551">
        <f>4000*'PUB Bus Statistics'!$B$54*2*365/1000</f>
        <v>23885.599999999999</v>
      </c>
      <c r="I4" s="551">
        <f>4000*'PUB Bus Statistics'!$B$54*2*365/1000</f>
        <v>23885.599999999999</v>
      </c>
      <c r="J4" s="551">
        <f>4000*'PUB Bus Statistics'!$B$54*2*365/1000</f>
        <v>23885.599999999999</v>
      </c>
      <c r="K4" s="3"/>
      <c r="L4" s="517"/>
      <c r="M4" s="267"/>
      <c r="N4" s="267"/>
      <c r="O4" s="267"/>
    </row>
    <row r="5" spans="1:15">
      <c r="A5" s="3" t="s">
        <v>544</v>
      </c>
      <c r="B5" s="551">
        <f>('PUB Luas Statistics'!B9+'PUB Luas Statistics'!C9)/1000</f>
        <v>2660</v>
      </c>
      <c r="C5" s="551">
        <f>('PUB Luas Statistics'!F9+'PUB Luas Statistics'!G9)/1000</f>
        <v>2757</v>
      </c>
      <c r="D5" s="551">
        <f>('PUB Luas Statistics'!J9+'PUB Luas Statistics'!K9)/1000</f>
        <v>2744</v>
      </c>
      <c r="E5" s="551">
        <f>('PUB Luas Statistics'!N9+'PUB Luas Statistics'!O9)/1000</f>
        <v>2687</v>
      </c>
      <c r="F5" s="551">
        <f>('PUB Luas Statistics'!R9+'PUB Luas Statistics'!S9)/1000</f>
        <v>3003</v>
      </c>
      <c r="G5" s="551">
        <f>('PUB Luas Statistics'!V9+'PUB Luas Statistics'!W9)/1000</f>
        <v>3847</v>
      </c>
      <c r="H5" s="551">
        <f>('PUB Luas Statistics'!AA9+'PUB Luas Statistics'!Z9)/1000</f>
        <v>3990.498</v>
      </c>
      <c r="I5" s="551">
        <f>('PUB Luas Statistics'!AD9+'PUB Luas Statistics'!AE9)/1000</f>
        <v>3880.0949999999998</v>
      </c>
      <c r="J5" s="552">
        <f>('PUB Luas Statistics'!AH9+'PUB Luas Statistics'!AI9)/1000</f>
        <v>3878.85</v>
      </c>
      <c r="K5" s="3"/>
      <c r="L5" s="517"/>
      <c r="M5" s="267"/>
      <c r="N5" s="267"/>
    </row>
    <row r="6" spans="1:15">
      <c r="A6" s="3" t="s">
        <v>545</v>
      </c>
      <c r="B6" s="551">
        <f>'PUB Rail Statistics'!K13*1000</f>
        <v>18200</v>
      </c>
      <c r="C6" s="551">
        <f>'PUB Rail Statistics'!L13*1000</f>
        <v>17000</v>
      </c>
      <c r="D6" s="551">
        <f>'PUB Rail Statistics'!M13*1000</f>
        <v>20000</v>
      </c>
      <c r="E6" s="551">
        <f>'PUB Rail Statistics'!N13*1000</f>
        <v>18000</v>
      </c>
      <c r="F6" s="551">
        <f>'PUB Rail Statistics'!O13*1000</f>
        <v>18000</v>
      </c>
      <c r="G6" s="551">
        <f>'PUB Rail Statistics'!P13*1000</f>
        <v>18100</v>
      </c>
      <c r="H6" s="551">
        <f>'PUB Rail Statistics'!Q13*1000</f>
        <v>18400</v>
      </c>
      <c r="I6" s="551">
        <f>'PUB Rail Statistics'!R13*1000</f>
        <v>18300</v>
      </c>
      <c r="J6" s="552">
        <f>'PUB Rail Statistics'!S13*1000</f>
        <v>18400</v>
      </c>
      <c r="K6" s="3"/>
      <c r="L6" s="517"/>
      <c r="M6" s="267"/>
      <c r="N6" s="267"/>
    </row>
    <row r="7" spans="1:15" s="650" customFormat="1">
      <c r="A7" s="586" t="s">
        <v>691</v>
      </c>
      <c r="B7" s="551">
        <f>'PUB PSV'!V39*'PUB PSV'!V4/1000</f>
        <v>508764.80845091189</v>
      </c>
      <c r="C7" s="551">
        <f>'PUB PSV'!W39*'PUB PSV'!W4/1000</f>
        <v>598364.84308368678</v>
      </c>
      <c r="D7" s="551">
        <f>'PUB PSV'!X39*'PUB PSV'!X4/1000</f>
        <v>675435.8395313276</v>
      </c>
      <c r="E7" s="551">
        <f>'PUB PSV'!Y39*'PUB PSV'!Y4/1000</f>
        <v>677952.81852043502</v>
      </c>
      <c r="F7" s="551">
        <f>'PUB PSV'!Z39*'PUB PSV'!Z4/1000</f>
        <v>665958.29019442049</v>
      </c>
      <c r="G7" s="551">
        <f>'PUB PSV'!AA39*'PUB PSV'!AA4/1000</f>
        <v>686684.76368796208</v>
      </c>
      <c r="H7" s="551">
        <f>'PUB PSV'!AB39*'PUB PSV'!AB4/1000</f>
        <v>750720.57062732195</v>
      </c>
      <c r="I7" s="551">
        <f>'PUB PSV'!AC39*'PUB PSV'!AC4/1000</f>
        <v>758229.3047426889</v>
      </c>
      <c r="J7" s="552">
        <f>I7</f>
        <v>758229.3047426889</v>
      </c>
      <c r="K7" s="4"/>
      <c r="L7" s="596"/>
      <c r="M7" s="596"/>
      <c r="N7" s="596"/>
    </row>
    <row r="8" spans="1:15" s="519" customFormat="1" ht="15.75" thickBot="1">
      <c r="A8" s="807" t="s">
        <v>692</v>
      </c>
      <c r="B8" s="808">
        <f>'PUB PSV'!V3*'PUB PSV'!V40/1000</f>
        <v>347185.45325537713</v>
      </c>
      <c r="C8" s="808">
        <f>'PUB PSV'!W3*'PUB PSV'!W40/1000</f>
        <v>387092.45458994532</v>
      </c>
      <c r="D8" s="808">
        <f>'PUB PSV'!X3*'PUB PSV'!X40/1000</f>
        <v>439397.83129681181</v>
      </c>
      <c r="E8" s="808">
        <f>'PUB PSV'!Y3*'PUB PSV'!Y40/1000</f>
        <v>420898.37479938508</v>
      </c>
      <c r="F8" s="808">
        <f>'PUB PSV'!Z3*'PUB PSV'!Z40/1000</f>
        <v>374915.3093110795</v>
      </c>
      <c r="G8" s="808">
        <f>'PUB PSV'!AA3*'PUB PSV'!AA40/1000</f>
        <v>336757.5812903911</v>
      </c>
      <c r="H8" s="808">
        <f>'PUB PSV'!AB3*'PUB PSV'!AB40/1000</f>
        <v>298145.76011647558</v>
      </c>
      <c r="I8" s="808">
        <f>'PUB PSV'!AC3*'PUB PSV'!AC40/1000</f>
        <v>246532.60223017979</v>
      </c>
      <c r="J8" s="809">
        <f>I8</f>
        <v>246532.60223017979</v>
      </c>
      <c r="K8" s="4"/>
      <c r="L8" s="596"/>
      <c r="M8" s="596"/>
      <c r="N8" s="596"/>
    </row>
    <row r="9" spans="1:15" ht="15.75" thickBot="1">
      <c r="A9" s="519"/>
    </row>
    <row r="10" spans="1:15">
      <c r="A10" s="181" t="s">
        <v>617</v>
      </c>
      <c r="B10" s="187">
        <v>2006</v>
      </c>
      <c r="C10" s="187">
        <v>2007</v>
      </c>
      <c r="D10" s="187">
        <v>2008</v>
      </c>
      <c r="E10" s="187">
        <v>2009</v>
      </c>
      <c r="F10" s="187">
        <v>2010</v>
      </c>
      <c r="G10" s="187">
        <v>2011</v>
      </c>
      <c r="H10" s="187">
        <v>2012</v>
      </c>
      <c r="I10" s="187">
        <v>2013</v>
      </c>
      <c r="J10" s="182">
        <v>2014</v>
      </c>
    </row>
    <row r="11" spans="1:15">
      <c r="A11" s="3" t="s">
        <v>921</v>
      </c>
      <c r="B11" s="551">
        <f>'PUB Bus Statistics'!B13+'PUB Bus Statistics'!B14</f>
        <v>2714041.3756898362</v>
      </c>
      <c r="C11" s="551">
        <f>'PUB Bus Statistics'!C13+'PUB Bus Statistics'!C14</f>
        <v>2860193.7153963479</v>
      </c>
      <c r="D11" s="551">
        <f>'PUB Bus Statistics'!D13+'PUB Bus Statistics'!D14</f>
        <v>3046321.7291485732</v>
      </c>
      <c r="E11" s="551">
        <f>'PUB Bus Statistics'!E13+'PUB Bus Statistics'!E14</f>
        <v>2935003.6258487948</v>
      </c>
      <c r="F11" s="551">
        <f>'PUB Bus Statistics'!F13+'PUB Bus Statistics'!F14</f>
        <v>2791282.5085917232</v>
      </c>
      <c r="G11" s="551">
        <f>'PUB Bus Statistics'!G13+'PUB Bus Statistics'!G14</f>
        <v>2716074.0370819909</v>
      </c>
      <c r="H11" s="551">
        <f>'PUB Bus Statistics'!H13+'PUB Bus Statistics'!H14</f>
        <v>2597701.4030682631</v>
      </c>
      <c r="I11" s="551">
        <f>'PUB Bus Statistics'!I13+'PUB Bus Statistics'!I14</f>
        <v>2303722.767214641</v>
      </c>
      <c r="J11" s="552">
        <f>'PUB Bus Statistics'!J13+'PUB Bus Statistics'!J14</f>
        <v>2258246.9505783906</v>
      </c>
    </row>
    <row r="12" spans="1:15">
      <c r="A12" s="3" t="s">
        <v>922</v>
      </c>
      <c r="B12" s="551">
        <f>'PUB Bus Statistics'!B15</f>
        <v>3324039.0738649555</v>
      </c>
      <c r="C12" s="551">
        <f>'PUB Bus Statistics'!C15</f>
        <v>3363855.3234877549</v>
      </c>
      <c r="D12" s="551">
        <f>'PUB Bus Statistics'!D15</f>
        <v>3467760.1911220271</v>
      </c>
      <c r="E12" s="551">
        <f>'PUB Bus Statistics'!E15</f>
        <v>3401359.9189782995</v>
      </c>
      <c r="F12" s="551">
        <f>'PUB Bus Statistics'!F15</f>
        <v>3299248.5761018111</v>
      </c>
      <c r="G12" s="551">
        <f>'PUB Bus Statistics'!G15</f>
        <v>3284501.8169822558</v>
      </c>
      <c r="H12" s="551">
        <f>'PUB Bus Statistics'!H15</f>
        <v>3293429.5846654461</v>
      </c>
      <c r="I12" s="551">
        <f>'PUB Bus Statistics'!I15</f>
        <v>2836598.9008050594</v>
      </c>
      <c r="J12" s="552">
        <f>'PUB Bus Statistics'!J15</f>
        <v>2821971.7100026896</v>
      </c>
    </row>
    <row r="13" spans="1:15">
      <c r="A13" s="3" t="s">
        <v>923</v>
      </c>
      <c r="B13" s="551">
        <f>'PUB Bus Statistics'!B16</f>
        <v>693124.12</v>
      </c>
      <c r="C13" s="551">
        <f>'PUB Bus Statistics'!C16</f>
        <v>744494.52</v>
      </c>
      <c r="D13" s="551">
        <f>'PUB Bus Statistics'!D16</f>
        <v>747799.24</v>
      </c>
      <c r="E13" s="551">
        <f>'PUB Bus Statistics'!E16</f>
        <v>693467.67999999993</v>
      </c>
      <c r="F13" s="551">
        <f>'PUB Bus Statistics'!F16</f>
        <v>692469.72</v>
      </c>
      <c r="G13" s="551">
        <f>'PUB Bus Statistics'!G16</f>
        <v>684077.03999999992</v>
      </c>
      <c r="H13" s="551">
        <f>'PUB Bus Statistics'!H16</f>
        <v>660911.28</v>
      </c>
      <c r="I13" s="551">
        <f>'PUB Bus Statistics'!I16</f>
        <v>672657.76</v>
      </c>
      <c r="J13" s="552">
        <f>'PUB Bus Statistics'!J16</f>
        <v>718858.4</v>
      </c>
    </row>
    <row r="14" spans="1:15">
      <c r="A14" s="3" t="s">
        <v>544</v>
      </c>
      <c r="B14" s="551">
        <f>('PUB Luas Statistics'!B10+'PUB Luas Statistics'!C10)/1000</f>
        <v>113110</v>
      </c>
      <c r="C14" s="551">
        <f>('PUB Luas Statistics'!F10+'PUB Luas Statistics'!G10)/1000</f>
        <v>175000</v>
      </c>
      <c r="D14" s="551">
        <f>('PUB Luas Statistics'!J10+'PUB Luas Statistics'!K10)/1000</f>
        <v>141000</v>
      </c>
      <c r="E14" s="551">
        <f>('PUB Luas Statistics'!N10+'PUB Luas Statistics'!O10)/1000</f>
        <v>132000</v>
      </c>
      <c r="F14" s="551">
        <f>('PUB Luas Statistics'!R10+'PUB Luas Statistics'!S10)/1000</f>
        <v>131000</v>
      </c>
      <c r="G14" s="551">
        <f>('PUB Luas Statistics'!V10+'PUB Luas Statistics'!W10)/1000</f>
        <v>138000</v>
      </c>
      <c r="H14" s="551">
        <f>('PUB Luas Statistics'!AA10+'PUB Luas Statistics'!Z10)/1000</f>
        <v>144000</v>
      </c>
      <c r="I14" s="551">
        <f>('PUB Luas Statistics'!AD10+'PUB Luas Statistics'!AE10)/1000</f>
        <v>149824.73000000001</v>
      </c>
      <c r="J14" s="552">
        <f>('PUB Luas Statistics'!AH10+'PUB Luas Statistics'!AI10)/1000</f>
        <v>160072.93400000001</v>
      </c>
    </row>
    <row r="15" spans="1:15">
      <c r="A15" s="3" t="s">
        <v>545</v>
      </c>
      <c r="B15" s="551">
        <f>'PUB Rail Statistics'!K10*1000</f>
        <v>1872000</v>
      </c>
      <c r="C15" s="551">
        <f>'PUB Rail Statistics'!L10*1000</f>
        <v>2007000</v>
      </c>
      <c r="D15" s="551">
        <f>'PUB Rail Statistics'!M10*1000</f>
        <v>1976000</v>
      </c>
      <c r="E15" s="551">
        <f>'PUB Rail Statistics'!N10*1000</f>
        <v>1681000</v>
      </c>
      <c r="F15" s="551">
        <f>'PUB Rail Statistics'!O10*1000</f>
        <v>1678000</v>
      </c>
      <c r="G15" s="551">
        <f>'PUB Rail Statistics'!P10*1000</f>
        <v>1639000</v>
      </c>
      <c r="H15" s="551">
        <f>'PUB Rail Statistics'!Q10*1000</f>
        <v>1583000</v>
      </c>
      <c r="I15" s="551">
        <f>'PUB Rail Statistics'!R10*1000</f>
        <v>1568000</v>
      </c>
      <c r="J15" s="552">
        <f>'PUB Rail Statistics'!S10*1000</f>
        <v>1803000</v>
      </c>
    </row>
    <row r="16" spans="1:15" s="650" customFormat="1">
      <c r="A16" s="586" t="s">
        <v>691</v>
      </c>
      <c r="B16" s="551">
        <f>B7*CAR!$I$58</f>
        <v>759082.9566196925</v>
      </c>
      <c r="C16" s="551">
        <f>C7*CAR!$I$58</f>
        <v>892767.2407378538</v>
      </c>
      <c r="D16" s="551">
        <f>D7*CAR!$I$58</f>
        <v>1007758.0555138048</v>
      </c>
      <c r="E16" s="551">
        <f>E7*CAR!$I$58</f>
        <v>1011513.4171682767</v>
      </c>
      <c r="F16" s="551">
        <f>F7*CAR!$I$58</f>
        <v>993617.44269493967</v>
      </c>
      <c r="G16" s="551">
        <f>G7*CAR!$I$58</f>
        <v>1024541.579974956</v>
      </c>
      <c r="H16" s="551">
        <f>H7*CAR!$I$58</f>
        <v>1120083.7418022654</v>
      </c>
      <c r="I16" s="551">
        <f>I7*CAR!$I$58</f>
        <v>1131286.8596242676</v>
      </c>
      <c r="J16" s="552">
        <f>J7*CAR!$I$58</f>
        <v>1131286.8596242676</v>
      </c>
    </row>
    <row r="17" spans="1:23" s="519" customFormat="1" ht="15.75" thickBot="1">
      <c r="A17" s="807" t="s">
        <v>692</v>
      </c>
      <c r="B17" s="808">
        <f>B8*CAR!$I$58</f>
        <v>518004.69681634352</v>
      </c>
      <c r="C17" s="808">
        <f>C8*CAR!$I$58</f>
        <v>577546.40264915337</v>
      </c>
      <c r="D17" s="808">
        <f>D8*CAR!$I$58</f>
        <v>655586.62740181701</v>
      </c>
      <c r="E17" s="808">
        <f>E8*CAR!$I$58</f>
        <v>627985.22514154459</v>
      </c>
      <c r="F17" s="808">
        <f>F8*CAR!$I$58</f>
        <v>559377.96157789789</v>
      </c>
      <c r="G17" s="808">
        <f>G8*CAR!$I$58</f>
        <v>502446.19168597751</v>
      </c>
      <c r="H17" s="808">
        <f>H8*CAR!$I$58</f>
        <v>444836.90957700368</v>
      </c>
      <c r="I17" s="808">
        <f>I8*CAR!$I$58</f>
        <v>367829.48328095209</v>
      </c>
      <c r="J17" s="809">
        <f>J8*CAR!$I$58</f>
        <v>367829.48328095209</v>
      </c>
    </row>
    <row r="18" spans="1:23" ht="15.75" thickBot="1">
      <c r="A18" s="519"/>
    </row>
    <row r="19" spans="1:23">
      <c r="A19" s="181" t="s">
        <v>619</v>
      </c>
      <c r="B19" s="187">
        <v>2006</v>
      </c>
      <c r="C19" s="187">
        <v>2007</v>
      </c>
      <c r="D19" s="187">
        <v>2008</v>
      </c>
      <c r="E19" s="187">
        <v>2009</v>
      </c>
      <c r="F19" s="187">
        <v>2010</v>
      </c>
      <c r="G19" s="187">
        <v>2011</v>
      </c>
      <c r="H19" s="187">
        <v>2012</v>
      </c>
      <c r="I19" s="187">
        <v>2013</v>
      </c>
      <c r="J19" s="182">
        <v>2014</v>
      </c>
    </row>
    <row r="20" spans="1:23">
      <c r="A20" s="3" t="s">
        <v>921</v>
      </c>
      <c r="B20" s="551">
        <v>168232</v>
      </c>
      <c r="C20" s="551">
        <v>169617</v>
      </c>
      <c r="D20" s="551">
        <v>164700</v>
      </c>
      <c r="E20" s="551">
        <v>146612</v>
      </c>
      <c r="F20" s="551">
        <v>135597</v>
      </c>
      <c r="G20" s="551">
        <v>133347</v>
      </c>
      <c r="H20" s="551">
        <v>131926</v>
      </c>
      <c r="I20" s="551">
        <v>131919</v>
      </c>
      <c r="J20" s="552">
        <v>134903</v>
      </c>
    </row>
    <row r="21" spans="1:23">
      <c r="A21" s="3" t="s">
        <v>922</v>
      </c>
      <c r="B21" s="551">
        <v>27783</v>
      </c>
      <c r="C21" s="551">
        <v>28136</v>
      </c>
      <c r="D21" s="551">
        <v>26948</v>
      </c>
      <c r="E21" s="551">
        <v>23929</v>
      </c>
      <c r="F21" s="551">
        <v>20640</v>
      </c>
      <c r="G21" s="551">
        <v>20112</v>
      </c>
      <c r="H21" s="551">
        <v>20046</v>
      </c>
      <c r="I21" s="551">
        <v>18076</v>
      </c>
      <c r="J21" s="552">
        <v>18547</v>
      </c>
    </row>
    <row r="22" spans="1:23">
      <c r="A22" s="3" t="s">
        <v>923</v>
      </c>
      <c r="B22" s="551">
        <v>84734</v>
      </c>
      <c r="C22" s="551">
        <v>91014</v>
      </c>
      <c r="D22" s="551">
        <v>91418</v>
      </c>
      <c r="E22" s="551">
        <v>84776</v>
      </c>
      <c r="F22" s="551">
        <v>84654</v>
      </c>
      <c r="G22" s="551">
        <v>83628</v>
      </c>
      <c r="H22" s="551">
        <v>80796</v>
      </c>
      <c r="I22" s="551">
        <v>82232</v>
      </c>
      <c r="J22" s="552">
        <v>87880</v>
      </c>
    </row>
    <row r="23" spans="1:23">
      <c r="A23" s="3" t="s">
        <v>544</v>
      </c>
      <c r="B23" s="551">
        <f>('PUB Luas Statistics'!B8+'PUB Luas Statistics'!C8)/1000</f>
        <v>25770.47</v>
      </c>
      <c r="C23" s="551">
        <f>('PUB Luas Statistics'!F8+'PUB Luas Statistics'!G8)/1000</f>
        <v>28445.487000000001</v>
      </c>
      <c r="D23" s="551">
        <f>('PUB Luas Statistics'!J8+'PUB Luas Statistics'!K8)/1000</f>
        <v>27491.326000000001</v>
      </c>
      <c r="E23" s="551">
        <f>('PUB Luas Statistics'!N8+'PUB Luas Statistics'!O8)/1000</f>
        <v>25418.71</v>
      </c>
      <c r="F23" s="551">
        <f>('PUB Luas Statistics'!R8+'PUB Luas Statistics'!S8)/1000</f>
        <v>27571.49</v>
      </c>
      <c r="G23" s="551">
        <f>('PUB Luas Statistics'!V8+'PUB Luas Statistics'!W8)/1000</f>
        <v>29065.989000000001</v>
      </c>
      <c r="H23" s="551">
        <f>('PUB Luas Statistics'!AA8+'PUB Luas Statistics'!Z8)/1000</f>
        <v>29307.879000000001</v>
      </c>
      <c r="I23" s="551">
        <f>('PUB Luas Statistics'!AD8+'PUB Luas Statistics'!AE8)/1000</f>
        <v>30512.080999999998</v>
      </c>
      <c r="J23" s="552">
        <f>('PUB Luas Statistics'!AH8+'PUB Luas Statistics'!AI8)/1000</f>
        <v>32612.285</v>
      </c>
    </row>
    <row r="24" spans="1:23" ht="15.75" thickBot="1">
      <c r="A24" s="553" t="s">
        <v>545</v>
      </c>
      <c r="B24" s="805">
        <v>0</v>
      </c>
      <c r="C24" s="805">
        <v>0</v>
      </c>
      <c r="D24" s="805">
        <v>44647</v>
      </c>
      <c r="E24" s="805">
        <v>38812</v>
      </c>
      <c r="F24" s="805">
        <v>38070</v>
      </c>
      <c r="G24" s="805">
        <v>37222</v>
      </c>
      <c r="H24" s="805">
        <v>36837</v>
      </c>
      <c r="I24" s="805">
        <v>36739</v>
      </c>
      <c r="J24" s="806"/>
      <c r="K24" s="580"/>
      <c r="L24" s="267"/>
      <c r="M24" s="267"/>
      <c r="N24" s="267"/>
      <c r="O24" s="267"/>
      <c r="P24" s="267"/>
      <c r="Q24" s="267"/>
      <c r="R24" s="267"/>
      <c r="S24" s="267"/>
      <c r="T24" s="267"/>
      <c r="U24" s="267"/>
    </row>
    <row r="25" spans="1:23" ht="15.75" thickBot="1">
      <c r="A25" s="519"/>
    </row>
    <row r="26" spans="1:23">
      <c r="A26" s="585" t="s">
        <v>628</v>
      </c>
      <c r="B26" s="187">
        <v>2006</v>
      </c>
      <c r="C26" s="187">
        <v>2007</v>
      </c>
      <c r="D26" s="187">
        <v>2008</v>
      </c>
      <c r="E26" s="187">
        <v>2009</v>
      </c>
      <c r="F26" s="187">
        <v>2010</v>
      </c>
      <c r="G26" s="187">
        <v>2011</v>
      </c>
      <c r="H26" s="187">
        <v>2012</v>
      </c>
      <c r="I26" s="187">
        <v>2013</v>
      </c>
      <c r="J26" s="182">
        <v>2014</v>
      </c>
    </row>
    <row r="27" spans="1:23">
      <c r="A27" s="586" t="s">
        <v>937</v>
      </c>
      <c r="B27" s="589">
        <f>C27</f>
        <v>6.5507830756205282E-3</v>
      </c>
      <c r="C27" s="589">
        <f>D27</f>
        <v>6.5507830756205282E-3</v>
      </c>
      <c r="D27" s="589">
        <f>(D36/(D11/1000))</f>
        <v>6.5507830756205282E-3</v>
      </c>
      <c r="E27" s="589">
        <f t="shared" ref="E27:J27" si="0">1000*E36/(SUM(E11))</f>
        <v>6.6309601585389337E-3</v>
      </c>
      <c r="F27" s="589">
        <f t="shared" si="0"/>
        <v>6.6057414620177531E-3</v>
      </c>
      <c r="G27" s="589">
        <f t="shared" si="0"/>
        <v>6.8810992562169156E-3</v>
      </c>
      <c r="H27" s="589">
        <f t="shared" si="0"/>
        <v>7.3064690122582321E-3</v>
      </c>
      <c r="I27" s="589">
        <f t="shared" si="0"/>
        <v>7.7961992125108112E-3</v>
      </c>
      <c r="J27" s="590">
        <f t="shared" si="0"/>
        <v>7.8285333235529851E-3</v>
      </c>
      <c r="R27" s="519"/>
      <c r="S27" s="519"/>
      <c r="T27" s="519"/>
      <c r="U27" s="519"/>
      <c r="V27" s="519"/>
      <c r="W27" s="519"/>
    </row>
    <row r="28" spans="1:23" s="650" customFormat="1">
      <c r="A28" s="586" t="s">
        <v>938</v>
      </c>
      <c r="B28" s="589"/>
      <c r="C28" s="589"/>
      <c r="D28" s="589">
        <f>1000*D37/(SUM(D12))</f>
        <v>9.3069435213980287E-3</v>
      </c>
      <c r="E28" s="589">
        <f t="shared" ref="E28:J28" si="1">1000*E37/(SUM(E12))</f>
        <v>9.0780023366543467E-3</v>
      </c>
      <c r="F28" s="589">
        <f t="shared" si="1"/>
        <v>8.6957114503036885E-3</v>
      </c>
      <c r="G28" s="589">
        <f t="shared" si="1"/>
        <v>8.3953643866877883E-3</v>
      </c>
      <c r="H28" s="589">
        <f t="shared" si="1"/>
        <v>7.8261196827766194E-3</v>
      </c>
      <c r="I28" s="589">
        <f t="shared" si="1"/>
        <v>8.9669293984701564E-3</v>
      </c>
      <c r="J28" s="590">
        <f t="shared" si="1"/>
        <v>8.9327753668699186E-3</v>
      </c>
    </row>
    <row r="29" spans="1:23" s="650" customFormat="1">
      <c r="A29" s="586" t="s">
        <v>939</v>
      </c>
      <c r="B29" s="589"/>
      <c r="C29" s="589"/>
      <c r="D29" s="589">
        <f>1000*D38/(SUM(D13))</f>
        <v>5.7546634502845034E-3</v>
      </c>
      <c r="E29" s="589">
        <f t="shared" ref="E29:J29" si="2">1000*E38/(SUM(E13))</f>
        <v>5.7217973315851368E-3</v>
      </c>
      <c r="F29" s="589">
        <f t="shared" si="2"/>
        <v>5.5886939628523096E-3</v>
      </c>
      <c r="G29" s="589">
        <f t="shared" si="2"/>
        <v>5.6902312977152279E-3</v>
      </c>
      <c r="H29" s="589">
        <f t="shared" si="2"/>
        <v>5.76299699650206E-3</v>
      </c>
      <c r="I29" s="589">
        <f t="shared" si="2"/>
        <v>6.3316253907116284E-3</v>
      </c>
      <c r="J29" s="590">
        <f t="shared" si="2"/>
        <v>6.2646841719749156E-3</v>
      </c>
    </row>
    <row r="30" spans="1:23" s="519" customFormat="1">
      <c r="A30" s="586" t="s">
        <v>650</v>
      </c>
      <c r="B30" s="589">
        <f>(23.8845897*1/$E$92)/$E$109</f>
        <v>7.1063428581727761E-2</v>
      </c>
      <c r="C30" s="589">
        <f t="shared" ref="C30:J30" si="3">(23.8845897*1/$E$92)/$E$109</f>
        <v>7.1063428581727761E-2</v>
      </c>
      <c r="D30" s="589">
        <f t="shared" si="3"/>
        <v>7.1063428581727761E-2</v>
      </c>
      <c r="E30" s="589">
        <f t="shared" si="3"/>
        <v>7.1063428581727761E-2</v>
      </c>
      <c r="F30" s="589">
        <f t="shared" si="3"/>
        <v>7.1063428581727761E-2</v>
      </c>
      <c r="G30" s="589">
        <f t="shared" si="3"/>
        <v>7.1063428581727761E-2</v>
      </c>
      <c r="H30" s="589">
        <f t="shared" si="3"/>
        <v>7.1063428581727761E-2</v>
      </c>
      <c r="I30" s="589">
        <f t="shared" si="3"/>
        <v>7.1063428581727761E-2</v>
      </c>
      <c r="J30" s="590">
        <f t="shared" si="3"/>
        <v>7.1063428581727761E-2</v>
      </c>
    </row>
    <row r="31" spans="1:23">
      <c r="A31" s="586" t="s">
        <v>649</v>
      </c>
      <c r="B31" s="589">
        <f>'PUB Rail Statistics'!K11*0.0000859845228*100</f>
        <v>3.4651762688399999E-2</v>
      </c>
      <c r="C31" s="589">
        <f>'PUB Rail Statistics'!L11*0.0000859845228*100</f>
        <v>3.3963886505999998E-2</v>
      </c>
      <c r="D31" s="589">
        <f>'PUB Rail Statistics'!M11*0.0000859845228*100</f>
        <v>2.9750644888799995E-2</v>
      </c>
      <c r="E31" s="589">
        <f>'PUB Rail Statistics'!N11*0.0000859845228*100</f>
        <v>2.88907996608E-2</v>
      </c>
      <c r="F31" s="589">
        <f>'PUB Rail Statistics'!O11*0.0000859845228*100</f>
        <v>2.8116938955599999E-2</v>
      </c>
      <c r="G31" s="589">
        <f>'PUB Rail Statistics'!P11*0.0000859845228*100</f>
        <v>2.8546861569599999E-2</v>
      </c>
      <c r="H31" s="589">
        <f>'PUB Rail Statistics'!Q11*0.0000859845228*100</f>
        <v>2.8632846092400001E-2</v>
      </c>
      <c r="I31" s="589">
        <f>'PUB Rail Statistics'!R11*0.0000859845228*100</f>
        <v>2.9406706797600001E-2</v>
      </c>
      <c r="J31" s="590">
        <f>'PUB Rail Statistics'!S11*0.0000859845228*100</f>
        <v>2.3645743770000002E-2</v>
      </c>
    </row>
    <row r="32" spans="1:23" s="650" customFormat="1">
      <c r="A32" s="586" t="s">
        <v>940</v>
      </c>
      <c r="B32" s="589">
        <f>1000*B42/B16</f>
        <v>5.5375776435073867E-2</v>
      </c>
      <c r="C32" s="589">
        <f t="shared" ref="C32:J32" si="4">1000*C42/C16</f>
        <v>5.5945393024359073E-2</v>
      </c>
      <c r="D32" s="589">
        <f t="shared" si="4"/>
        <v>5.5552124367453597E-2</v>
      </c>
      <c r="E32" s="589">
        <f t="shared" si="4"/>
        <v>5.1038483879753405E-2</v>
      </c>
      <c r="F32" s="589">
        <f t="shared" si="4"/>
        <v>5.0519633021913334E-2</v>
      </c>
      <c r="G32" s="589">
        <f t="shared" si="4"/>
        <v>5.2351436642064771E-2</v>
      </c>
      <c r="H32" s="589">
        <f t="shared" si="4"/>
        <v>5.2127566946512383E-2</v>
      </c>
      <c r="I32" s="589">
        <f t="shared" si="4"/>
        <v>5.6483480318987693E-2</v>
      </c>
      <c r="J32" s="590">
        <f t="shared" si="4"/>
        <v>5.6483480318987693E-2</v>
      </c>
    </row>
    <row r="33" spans="1:13" ht="15.75" thickBot="1">
      <c r="A33" s="553" t="s">
        <v>940</v>
      </c>
      <c r="B33" s="587">
        <f>1000*B43/B17</f>
        <v>7.0690847686224939E-2</v>
      </c>
      <c r="C33" s="587">
        <f t="shared" ref="C33:J33" si="5">1000*C43/C17</f>
        <v>6.9169727485946006E-2</v>
      </c>
      <c r="D33" s="587">
        <f t="shared" si="5"/>
        <v>7.1153068871941449E-2</v>
      </c>
      <c r="E33" s="587">
        <f t="shared" si="5"/>
        <v>7.0386954706004978E-2</v>
      </c>
      <c r="F33" s="587">
        <f t="shared" si="5"/>
        <v>7.0772129980036097E-2</v>
      </c>
      <c r="G33" s="587">
        <f t="shared" si="5"/>
        <v>6.8523682904762614E-2</v>
      </c>
      <c r="H33" s="587">
        <f t="shared" si="5"/>
        <v>5.6530547435075788E-2</v>
      </c>
      <c r="I33" s="587">
        <f t="shared" si="5"/>
        <v>6.2746772614690013E-2</v>
      </c>
      <c r="J33" s="588">
        <f t="shared" si="5"/>
        <v>6.2746772614690013E-2</v>
      </c>
      <c r="L33" s="379"/>
    </row>
    <row r="34" spans="1:13" ht="15.75" thickBot="1">
      <c r="L34" s="615"/>
    </row>
    <row r="35" spans="1:13">
      <c r="A35" s="585" t="s">
        <v>629</v>
      </c>
      <c r="B35" s="187">
        <v>2006</v>
      </c>
      <c r="C35" s="187">
        <v>2007</v>
      </c>
      <c r="D35" s="187">
        <v>2008</v>
      </c>
      <c r="E35" s="187">
        <v>2009</v>
      </c>
      <c r="F35" s="187">
        <v>2010</v>
      </c>
      <c r="G35" s="187">
        <v>2011</v>
      </c>
      <c r="H35" s="187">
        <v>2012</v>
      </c>
      <c r="I35" s="187">
        <v>2013</v>
      </c>
      <c r="J35" s="182">
        <v>2014</v>
      </c>
    </row>
    <row r="36" spans="1:13">
      <c r="A36" s="586" t="s">
        <v>921</v>
      </c>
      <c r="B36" s="589">
        <f>C36</f>
        <v>19.955792826201538</v>
      </c>
      <c r="C36" s="589">
        <f>D36</f>
        <v>19.955792826201538</v>
      </c>
      <c r="D36" s="589">
        <f>('PUB Bus Statistics'!D28*('PUB Bus Statistics'!D15/SUM('PUB Bus Statistics'!D14:D16)*35.86*0.0238845897/1000))</f>
        <v>19.955792826201538</v>
      </c>
      <c r="E36" s="589">
        <f>('PUB Bus Statistics'!E28*('PUB Bus Statistics'!E15/SUM('PUB Bus Statistics'!E14:E16)*35.86*0.0238845897/1000))</f>
        <v>19.46189210817067</v>
      </c>
      <c r="F36" s="589">
        <f>('PUB Bus Statistics'!F28*('PUB Bus Statistics'!F15/SUM('PUB Bus Statistics'!F14:F16)*35.86*0.0238845897/1000))</f>
        <v>18.43849059920927</v>
      </c>
      <c r="G36" s="589">
        <f>('PUB Bus Statistics'!G28*('PUB Bus Statistics'!G15/SUM('PUB Bus Statistics'!G14:G16)*35.86*0.0238845897/1000))</f>
        <v>18.689575036394963</v>
      </c>
      <c r="H36" s="589">
        <f>('PUB Bus Statistics'!H28*('PUB Bus Statistics'!H15/SUM('PUB Bus Statistics'!H14:H16)*35.86*0.0238845897/1000))</f>
        <v>18.980024804617994</v>
      </c>
      <c r="I36" s="589">
        <f>('PUB Bus Statistics'!I28*('PUB Bus Statistics'!I15/SUM('PUB Bus Statistics'!I14:I16)*35.86*0.0238845897/1000))</f>
        <v>17.960281623602011</v>
      </c>
      <c r="J36" s="590">
        <f>('PUB Bus Statistics'!J28*('PUB Bus Statistics'!J15/SUM('PUB Bus Statistics'!J14:J16)*35.86*0.0238845897/1000))</f>
        <v>17.67876150541484</v>
      </c>
      <c r="M36" s="367"/>
    </row>
    <row r="37" spans="1:13" s="650" customFormat="1">
      <c r="A37" s="586" t="s">
        <v>922</v>
      </c>
      <c r="B37" s="589"/>
      <c r="C37" s="589"/>
      <c r="D37" s="589">
        <f>('PUB Bus Statistics'!D27+('PUB Bus Statistics'!D28*('PUB Bus Statistics'!D14/SUM('PUB Bus Statistics'!D14:D16))))*35.86*0.0238845897/1000</f>
        <v>32.27424824452514</v>
      </c>
      <c r="E37" s="589">
        <f>('PUB Bus Statistics'!E27+('PUB Bus Statistics'!E28*('PUB Bus Statistics'!E14/SUM('PUB Bus Statistics'!E14:E16))))*35.86*0.0238845897/1000</f>
        <v>30.877553292287441</v>
      </c>
      <c r="F37" s="589">
        <f>('PUB Bus Statistics'!F27+('PUB Bus Statistics'!F28*('PUB Bus Statistics'!F14/SUM('PUB Bus Statistics'!F14:F16))))*35.86*0.0238845897/1000</f>
        <v>28.689313620606658</v>
      </c>
      <c r="G37" s="589">
        <f>('PUB Bus Statistics'!G27+('PUB Bus Statistics'!G28*('PUB Bus Statistics'!G14/SUM('PUB Bus Statistics'!G14:G16))))*35.86*0.0238845897/1000</f>
        <v>27.574589582304164</v>
      </c>
      <c r="H37" s="589">
        <f>('PUB Bus Statistics'!H27+('PUB Bus Statistics'!H28*('PUB Bus Statistics'!H14/SUM('PUB Bus Statistics'!H14:H16))))*35.86*0.0238845897/1000</f>
        <v>25.774774096389073</v>
      </c>
      <c r="I37" s="589">
        <f>('PUB Bus Statistics'!I27+('PUB Bus Statistics'!I28*('PUB Bus Statistics'!I14/SUM('PUB Bus Statistics'!I14:I16))))*35.86*0.0238845897/1000</f>
        <v>25.435582075297017</v>
      </c>
      <c r="J37" s="590">
        <f>('PUB Bus Statistics'!J27+('PUB Bus Statistics'!J28*('PUB Bus Statistics'!J14/SUM('PUB Bus Statistics'!J14:J16))))*35.86*0.0238845897/1000</f>
        <v>25.20803937711581</v>
      </c>
    </row>
    <row r="38" spans="1:13" s="650" customFormat="1">
      <c r="A38" s="586" t="s">
        <v>923</v>
      </c>
      <c r="B38" s="589"/>
      <c r="C38" s="589"/>
      <c r="D38" s="589">
        <f>('PUB Bus Statistics'!D28*('PUB Bus Statistics'!D16/SUM('PUB Bus Statistics'!D14:D16)*35.86*0.0238845897/1000))</f>
        <v>4.3033329545785293</v>
      </c>
      <c r="E38" s="589">
        <f>('PUB Bus Statistics'!E28*('PUB Bus Statistics'!E16/SUM('PUB Bus Statistics'!E14:E16)*35.86*0.0238845897/1000))</f>
        <v>3.9678815209645353</v>
      </c>
      <c r="F38" s="589">
        <f>('PUB Bus Statistics'!F28*('PUB Bus Statistics'!F16/SUM('PUB Bus Statistics'!F14:F16)*35.86*0.0238845897/1000))</f>
        <v>3.8700013436220293</v>
      </c>
      <c r="G38" s="589">
        <f>('PUB Bus Statistics'!G28*('PUB Bus Statistics'!G16/SUM('PUB Bus Statistics'!G14:G16)*35.86*0.0238845897/1000))</f>
        <v>3.8925565830563915</v>
      </c>
      <c r="H38" s="589">
        <f>('PUB Bus Statistics'!H28*('PUB Bus Statistics'!H16/SUM('PUB Bus Statistics'!H14:H16)*35.86*0.0238845897/1000))</f>
        <v>3.8088297215943321</v>
      </c>
      <c r="I38" s="589">
        <f>('PUB Bus Statistics'!I28*('PUB Bus Statistics'!I16/SUM('PUB Bus Statistics'!I14:I16)*35.86*0.0238845897/1000))</f>
        <v>4.2590169524752088</v>
      </c>
      <c r="J38" s="590">
        <f>('PUB Bus Statistics'!J28*('PUB Bus Statistics'!J16/SUM('PUB Bus Statistics'!J14:J16)*35.86*0.0238845897/1000))</f>
        <v>4.5034208403712128</v>
      </c>
    </row>
    <row r="39" spans="1:13" s="519" customFormat="1">
      <c r="A39" s="586" t="s">
        <v>544</v>
      </c>
      <c r="B39" s="589">
        <f t="shared" ref="B39:J39" si="6">B14*B30/1000</f>
        <v>8.037984406879227</v>
      </c>
      <c r="C39" s="589">
        <f>C14*C30/1000</f>
        <v>12.436100001802359</v>
      </c>
      <c r="D39" s="589">
        <f t="shared" si="6"/>
        <v>10.019943430023613</v>
      </c>
      <c r="E39" s="589">
        <f t="shared" si="6"/>
        <v>9.3803725727880654</v>
      </c>
      <c r="F39" s="589">
        <f t="shared" si="6"/>
        <v>9.3093091442063365</v>
      </c>
      <c r="G39" s="589">
        <f t="shared" si="6"/>
        <v>9.8067531442784315</v>
      </c>
      <c r="H39" s="589">
        <f t="shared" si="6"/>
        <v>10.233133715768798</v>
      </c>
      <c r="I39" s="589">
        <f t="shared" si="6"/>
        <v>10.647059000131645</v>
      </c>
      <c r="J39" s="590">
        <f t="shared" si="6"/>
        <v>11.37533151317662</v>
      </c>
      <c r="L39" s="379"/>
    </row>
    <row r="40" spans="1:13">
      <c r="A40" s="586" t="s">
        <v>689</v>
      </c>
      <c r="B40" s="589">
        <f>(('PUB Rail Statistics'!K3+(SUM('PUB Rail Statistics'!K$5:K$7)/2))*0.0000859845)</f>
        <v>60.339622875000003</v>
      </c>
      <c r="C40" s="589">
        <f>('PUB Rail Statistics'!L8)*0.0000859845</f>
        <v>68.220102300000008</v>
      </c>
      <c r="D40" s="589">
        <f>('PUB Rail Statistics'!M8)*0.0000859845</f>
        <v>58.796201100000005</v>
      </c>
      <c r="E40" s="589">
        <f>('PUB Rail Statistics'!N8)*0.0000859845</f>
        <v>48.615636299999998</v>
      </c>
      <c r="F40" s="589">
        <f>('PUB Rail Statistics'!O8)*0.0000859845</f>
        <v>47.11090755</v>
      </c>
      <c r="G40" s="589">
        <f>('PUB Rail Statistics'!P8)*0.0000859845</f>
        <v>48.220107599999999</v>
      </c>
      <c r="H40" s="589">
        <f>('PUB Rail Statistics'!Q8)*0.0000859845</f>
        <v>46.689583500000005</v>
      </c>
      <c r="I40" s="589">
        <f>('PUB Rail Statistics'!R8)*0.0000859845</f>
        <v>46.122085800000001</v>
      </c>
      <c r="J40" s="590">
        <f>('PUB Rail Statistics'!S8)*0.0000859845</f>
        <v>42.579524400000004</v>
      </c>
    </row>
    <row r="41" spans="1:13">
      <c r="A41" s="586" t="s">
        <v>690</v>
      </c>
      <c r="B41" s="589">
        <f>(('PUB Rail Statistics'!K4+(SUM('PUB Rail Statistics'!K$5:K$7)/2))*0.0000859845)</f>
        <v>5.748063825</v>
      </c>
      <c r="C41" s="589">
        <f>(('PUB Rail Statistics'!L4+(SUM('PUB Rail Statistics'!L$5:L$7)/2))*0.0000859845)</f>
        <v>5.7764387099999999</v>
      </c>
      <c r="D41" s="589">
        <f>(('PUB Rail Statistics'!M4+(SUM('PUB Rail Statistics'!M$5:M$7)/2))*0.0000859845)</f>
        <v>5.8177112700000002</v>
      </c>
      <c r="E41" s="589">
        <f>(('PUB Rail Statistics'!N4+(SUM('PUB Rail Statistics'!N$5:N$7)/2))*0.0000859845)</f>
        <v>5.4806520299999999</v>
      </c>
      <c r="F41" s="589">
        <f>(('PUB Rail Statistics'!O4+(SUM('PUB Rail Statistics'!O$5:O$7)/2))*0.0000859845)</f>
        <v>5.362853265</v>
      </c>
      <c r="G41" s="589">
        <f>(('PUB Rail Statistics'!P4+(SUM('PUB Rail Statistics'!P$5:P$7)/2))*0.0000859845)</f>
        <v>5.0515893749999998</v>
      </c>
      <c r="H41" s="589">
        <f>(('PUB Rail Statistics'!Q4+(SUM('PUB Rail Statistics'!Q$5:Q$7)/2))*0.0000859845)</f>
        <v>4.7936358750000005</v>
      </c>
      <c r="I41" s="589">
        <f>(('PUB Rail Statistics'!R4+(SUM('PUB Rail Statistics'!R$5:R$7)/2))*0.0000859845)</f>
        <v>4.5829738500000001</v>
      </c>
      <c r="J41" s="590">
        <f>(('PUB Rail Statistics'!S4+(SUM('PUB Rail Statistics'!S$5:S$7)/2))*0.0000859845)</f>
        <v>4.2777288750000002</v>
      </c>
    </row>
    <row r="42" spans="1:13">
      <c r="A42" s="586" t="s">
        <v>691</v>
      </c>
      <c r="B42" s="589">
        <f>('PUB PSV'!V75/(1.2))*(1+CAR!H55)</f>
        <v>42.034808101446963</v>
      </c>
      <c r="C42" s="589">
        <f>('PUB PSV'!W75/(1.2))*(1+CAR!I55)</f>
        <v>49.946214162351822</v>
      </c>
      <c r="D42" s="589">
        <f>('PUB PSV'!X75/(1.2))*(1+CAR!J55)</f>
        <v>55.983100832206091</v>
      </c>
      <c r="E42" s="589">
        <f>('PUB PSV'!Y75/(1.2))*(1+CAR!K55)</f>
        <v>51.626111236297369</v>
      </c>
      <c r="F42" s="589">
        <f>('PUB PSV'!Z75/(1.2))*(1+CAR!L55)</f>
        <v>50.197188569120357</v>
      </c>
      <c r="G42" s="589">
        <f>('PUB PSV'!AA75/(1.2))*(1+CAR!M55)</f>
        <v>53.636223611219847</v>
      </c>
      <c r="H42" s="589">
        <f>'PUB PSV Projections'!B19*(1+CAR!$N$55)</f>
        <v>58.387240236497682</v>
      </c>
      <c r="I42" s="589">
        <f>('PUB PSV'!AC75/(1.2))*(1+CAR!O55)</f>
        <v>63.899019070716705</v>
      </c>
      <c r="J42" s="590">
        <f>I42</f>
        <v>63.899019070716705</v>
      </c>
    </row>
    <row r="43" spans="1:13" ht="15.75" thickBot="1">
      <c r="A43" s="586" t="s">
        <v>692</v>
      </c>
      <c r="B43" s="589">
        <f>('PUB PSV'!V76/1.2)*(1+CAR!H55)</f>
        <v>36.618191123393267</v>
      </c>
      <c r="C43" s="589">
        <f>('PUB PSV'!W76/1.2)*(1+CAR!I55)</f>
        <v>39.948727281730385</v>
      </c>
      <c r="D43" s="589">
        <f>('PUB PSV'!X76/1.2)*(1+CAR!J55)</f>
        <v>46.647000451045308</v>
      </c>
      <c r="E43" s="589">
        <f>('PUB PSV'!Y76/1.2)*(1+CAR!K55)</f>
        <v>44.201967598078234</v>
      </c>
      <c r="F43" s="589">
        <f>('PUB PSV'!Z76/1.2)*(1+CAR!L55)</f>
        <v>39.588369804758628</v>
      </c>
      <c r="G43" s="589">
        <f>('PUB PSV'!AA76/1.2)*(1+CAR!M55)</f>
        <v>34.429463515795497</v>
      </c>
      <c r="H43" s="589">
        <f>'PUB PSV Projections'!B18*(1+CAR!$N$55)</f>
        <v>25.146874017715326</v>
      </c>
      <c r="I43" s="589">
        <f>('PUB PSV'!AC76/1.2)*(1+CAR!O55)</f>
        <v>23.080112948408825</v>
      </c>
      <c r="J43" s="792">
        <f>I43</f>
        <v>23.080112948408825</v>
      </c>
    </row>
    <row r="44" spans="1:13" ht="16.5" thickTop="1" thickBot="1">
      <c r="A44" s="612" t="s">
        <v>39</v>
      </c>
      <c r="B44" s="613">
        <f>SUM(B36:B43)</f>
        <v>172.734463157921</v>
      </c>
      <c r="C44" s="613">
        <f t="shared" ref="C44:J44" si="7">SUM(C36:C43)</f>
        <v>196.28337528208613</v>
      </c>
      <c r="D44" s="613">
        <f t="shared" si="7"/>
        <v>233.79733110858024</v>
      </c>
      <c r="E44" s="613">
        <f t="shared" si="7"/>
        <v>213.61206665858631</v>
      </c>
      <c r="F44" s="613">
        <f t="shared" si="7"/>
        <v>202.56643389652328</v>
      </c>
      <c r="G44" s="613">
        <f t="shared" si="7"/>
        <v>201.3008584480493</v>
      </c>
      <c r="H44" s="613">
        <f t="shared" si="7"/>
        <v>193.81409596758323</v>
      </c>
      <c r="I44" s="613">
        <f t="shared" si="7"/>
        <v>195.98613132063144</v>
      </c>
      <c r="J44" s="614">
        <f t="shared" si="7"/>
        <v>192.601938530204</v>
      </c>
    </row>
    <row r="45" spans="1:13" s="519" customFormat="1" ht="15.75" thickBot="1">
      <c r="A45"/>
      <c r="B45"/>
      <c r="C45"/>
      <c r="D45"/>
      <c r="E45"/>
      <c r="F45"/>
      <c r="G45"/>
      <c r="H45" s="367"/>
      <c r="I45"/>
      <c r="J45" s="367"/>
    </row>
    <row r="46" spans="1:13" ht="15.75" thickBot="1">
      <c r="G46" s="379"/>
      <c r="H46" s="447" t="s">
        <v>243</v>
      </c>
      <c r="I46" s="448" t="s">
        <v>630</v>
      </c>
      <c r="J46" s="449" t="s">
        <v>245</v>
      </c>
    </row>
    <row r="47" spans="1:13" s="519" customFormat="1" ht="16.5" thickTop="1" thickBot="1">
      <c r="A47"/>
      <c r="B47"/>
      <c r="C47"/>
      <c r="D47"/>
      <c r="E47"/>
      <c r="F47"/>
      <c r="G47" s="595" t="s">
        <v>1032</v>
      </c>
      <c r="H47" s="460">
        <f>H44</f>
        <v>193.81409596758323</v>
      </c>
      <c r="I47" s="458">
        <f>'EB2012'!AM49+'EB2012'!AM50</f>
        <v>191.83290694922704</v>
      </c>
      <c r="J47" s="459">
        <f>(H47-I47)/H47</f>
        <v>1.0222110050692896E-2</v>
      </c>
    </row>
    <row r="50" spans="1:19" ht="21">
      <c r="A50" s="645" t="s">
        <v>781</v>
      </c>
      <c r="B50" s="644"/>
      <c r="C50" s="650"/>
      <c r="D50" s="650"/>
      <c r="E50" s="650"/>
      <c r="F50" s="650"/>
      <c r="G50" s="650"/>
      <c r="H50" s="650"/>
      <c r="K50" s="367"/>
    </row>
    <row r="51" spans="1:19">
      <c r="A51" s="650"/>
      <c r="B51" s="650"/>
      <c r="C51" s="650"/>
      <c r="D51" s="650"/>
      <c r="E51" s="650"/>
      <c r="F51" s="650"/>
      <c r="G51" s="650"/>
      <c r="H51" s="650"/>
    </row>
    <row r="52" spans="1:19">
      <c r="A52" s="651" t="s">
        <v>719</v>
      </c>
      <c r="B52" s="651"/>
      <c r="C52" s="652"/>
      <c r="D52" s="652"/>
      <c r="E52" s="652"/>
      <c r="F52" s="652"/>
      <c r="G52" s="652"/>
      <c r="H52" s="652"/>
      <c r="K52" s="910"/>
      <c r="L52" s="909" t="s">
        <v>1090</v>
      </c>
      <c r="M52" s="409"/>
      <c r="N52" s="409" t="s">
        <v>1094</v>
      </c>
      <c r="O52" s="409" t="s">
        <v>1095</v>
      </c>
    </row>
    <row r="53" spans="1:19" ht="15.75" thickBot="1">
      <c r="A53" s="653" t="s">
        <v>728</v>
      </c>
      <c r="B53" s="653" t="s">
        <v>729</v>
      </c>
      <c r="C53" s="653" t="s">
        <v>730</v>
      </c>
      <c r="D53" s="653" t="s">
        <v>731</v>
      </c>
      <c r="E53" s="653" t="s">
        <v>732</v>
      </c>
      <c r="F53" s="653" t="s">
        <v>733</v>
      </c>
      <c r="G53" s="653" t="s">
        <v>734</v>
      </c>
      <c r="H53" s="653" t="s">
        <v>10</v>
      </c>
      <c r="K53" s="643"/>
      <c r="L53" s="919"/>
      <c r="M53" s="920"/>
      <c r="N53" s="945">
        <v>2012</v>
      </c>
      <c r="O53" s="920"/>
      <c r="P53" s="945" t="s">
        <v>954</v>
      </c>
      <c r="Q53" s="921"/>
      <c r="R53" s="939" t="s">
        <v>1089</v>
      </c>
      <c r="S53" s="940"/>
    </row>
    <row r="54" spans="1:19">
      <c r="A54" s="641" t="s">
        <v>941</v>
      </c>
      <c r="B54" s="642"/>
      <c r="C54" s="642"/>
      <c r="D54" s="642"/>
      <c r="E54" s="649"/>
      <c r="F54" s="649"/>
      <c r="G54" s="649"/>
      <c r="H54" s="649"/>
      <c r="K54" s="643"/>
      <c r="L54" s="922"/>
      <c r="M54" s="914"/>
      <c r="N54" s="943" t="s">
        <v>952</v>
      </c>
      <c r="O54" s="943" t="s">
        <v>953</v>
      </c>
      <c r="P54" s="943" t="s">
        <v>952</v>
      </c>
      <c r="Q54" s="944" t="s">
        <v>953</v>
      </c>
      <c r="R54" s="941" t="s">
        <v>952</v>
      </c>
      <c r="S54" s="942" t="s">
        <v>953</v>
      </c>
    </row>
    <row r="55" spans="1:19">
      <c r="A55" s="650" t="s">
        <v>778</v>
      </c>
      <c r="B55" s="650" t="s">
        <v>1354</v>
      </c>
      <c r="C55" s="650" t="s">
        <v>944</v>
      </c>
      <c r="D55" s="650" t="s">
        <v>777</v>
      </c>
      <c r="E55" s="650" t="s">
        <v>735</v>
      </c>
      <c r="F55" s="650"/>
      <c r="G55" s="650"/>
      <c r="H55" s="650"/>
      <c r="K55" s="643"/>
      <c r="L55" s="923" t="str">
        <f>B55</f>
        <v>TPubDST_UBUS_00</v>
      </c>
      <c r="M55" s="812"/>
      <c r="N55" s="915">
        <f>E71*H105*E122</f>
        <v>65.176999999999992</v>
      </c>
      <c r="O55" s="915">
        <f>N55*E105</f>
        <v>2597.7014030682626</v>
      </c>
      <c r="P55" s="916">
        <f>H2/1000</f>
        <v>65.177000000000007</v>
      </c>
      <c r="Q55" s="924">
        <f>H11/1000</f>
        <v>2597.7014030682631</v>
      </c>
      <c r="R55" s="931">
        <f t="shared" ref="R55:S57" si="8">N55-P55</f>
        <v>0</v>
      </c>
      <c r="S55" s="932">
        <f t="shared" si="8"/>
        <v>0</v>
      </c>
    </row>
    <row r="56" spans="1:19" s="650" customFormat="1">
      <c r="B56" s="650" t="s">
        <v>1355</v>
      </c>
      <c r="C56" s="650" t="s">
        <v>946</v>
      </c>
      <c r="D56" s="650" t="s">
        <v>777</v>
      </c>
      <c r="E56" s="650" t="s">
        <v>735</v>
      </c>
      <c r="K56" s="643"/>
      <c r="L56" s="923" t="str">
        <f>B56</f>
        <v>TPubDST_RBUS_00</v>
      </c>
      <c r="M56" s="812"/>
      <c r="N56" s="915">
        <f>E72*H106*E123</f>
        <v>82.632999999999996</v>
      </c>
      <c r="O56" s="915">
        <f>N56*E106</f>
        <v>3293.4295846654459</v>
      </c>
      <c r="P56" s="916">
        <f>H3/1000</f>
        <v>82.632999999999996</v>
      </c>
      <c r="Q56" s="924">
        <f>H12/1000</f>
        <v>3293.4295846654459</v>
      </c>
      <c r="R56" s="931">
        <f t="shared" si="8"/>
        <v>0</v>
      </c>
      <c r="S56" s="932">
        <f t="shared" si="8"/>
        <v>0</v>
      </c>
    </row>
    <row r="57" spans="1:19">
      <c r="A57" s="650"/>
      <c r="B57" s="650" t="s">
        <v>1356</v>
      </c>
      <c r="C57" s="650" t="s">
        <v>945</v>
      </c>
      <c r="D57" s="650" t="s">
        <v>777</v>
      </c>
      <c r="E57" s="650" t="s">
        <v>735</v>
      </c>
      <c r="F57" s="650"/>
      <c r="G57" s="650"/>
      <c r="H57" s="650"/>
      <c r="K57" s="643"/>
      <c r="L57" s="923" t="str">
        <f>B57</f>
        <v>TPubDST_SBUS_00</v>
      </c>
      <c r="M57" s="812"/>
      <c r="N57" s="915">
        <f>E73*H107*E124</f>
        <v>23.8856</v>
      </c>
      <c r="O57" s="915">
        <f>N57*E107</f>
        <v>660.91128000000015</v>
      </c>
      <c r="P57" s="916">
        <f>H4/1000</f>
        <v>23.8856</v>
      </c>
      <c r="Q57" s="924">
        <f>H13/1000</f>
        <v>660.91128000000003</v>
      </c>
      <c r="R57" s="931">
        <f t="shared" si="8"/>
        <v>0</v>
      </c>
      <c r="S57" s="932">
        <f t="shared" si="8"/>
        <v>0</v>
      </c>
    </row>
    <row r="58" spans="1:19">
      <c r="A58" s="641" t="s">
        <v>942</v>
      </c>
      <c r="B58" s="642"/>
      <c r="C58" s="642"/>
      <c r="D58" s="642"/>
      <c r="E58" s="649"/>
      <c r="F58" s="649"/>
      <c r="G58" s="649"/>
      <c r="H58" s="649"/>
      <c r="K58" s="643"/>
      <c r="L58" s="923"/>
      <c r="M58" s="812"/>
      <c r="N58" s="915"/>
      <c r="O58" s="915"/>
      <c r="P58" s="917"/>
      <c r="Q58" s="925"/>
      <c r="R58" s="933"/>
      <c r="S58" s="934"/>
    </row>
    <row r="59" spans="1:19">
      <c r="A59" s="650" t="s">
        <v>778</v>
      </c>
      <c r="B59" s="650" t="s">
        <v>1198</v>
      </c>
      <c r="C59" s="650" t="s">
        <v>1008</v>
      </c>
      <c r="D59" s="650" t="s">
        <v>777</v>
      </c>
      <c r="E59" s="650" t="s">
        <v>735</v>
      </c>
      <c r="F59" s="650"/>
      <c r="G59" s="650"/>
      <c r="H59" s="650"/>
      <c r="K59" s="643"/>
      <c r="L59" s="923" t="str">
        <f>B59</f>
        <v>TPubELC_LRAIL_00</v>
      </c>
      <c r="M59" s="812"/>
      <c r="N59" s="915">
        <f t="shared" ref="N59:N61" si="9">E75*H109*E126</f>
        <v>3.9904980000000001</v>
      </c>
      <c r="O59" s="915">
        <f t="shared" ref="O59:O61" si="10">N59*E109</f>
        <v>144</v>
      </c>
      <c r="P59" s="918">
        <f>H5/1000</f>
        <v>3.9904980000000001</v>
      </c>
      <c r="Q59" s="925">
        <f>H14/1000</f>
        <v>144</v>
      </c>
      <c r="R59" s="931">
        <f t="shared" ref="R59:S59" si="11">N59-P59</f>
        <v>0</v>
      </c>
      <c r="S59" s="932">
        <f t="shared" si="11"/>
        <v>0</v>
      </c>
    </row>
    <row r="60" spans="1:19" s="650" customFormat="1">
      <c r="B60" s="650" t="s">
        <v>1199</v>
      </c>
      <c r="C60" s="650" t="s">
        <v>1010</v>
      </c>
      <c r="D60" s="650" t="s">
        <v>777</v>
      </c>
      <c r="E60" s="650" t="s">
        <v>735</v>
      </c>
      <c r="K60" s="643"/>
      <c r="L60" s="923" t="str">
        <f>B60</f>
        <v>TPubELC_HRAIL_00</v>
      </c>
      <c r="M60" s="812"/>
      <c r="N60" s="915">
        <f t="shared" si="9"/>
        <v>7.8655916605586782</v>
      </c>
      <c r="O60" s="915">
        <f t="shared" si="10"/>
        <v>676.69736949262972</v>
      </c>
      <c r="P60" s="1706">
        <f>H6/1000</f>
        <v>18.399999999999999</v>
      </c>
      <c r="Q60" s="1709">
        <f>H15/1000</f>
        <v>1583</v>
      </c>
      <c r="R60" s="1707">
        <f>N60+N61-P60</f>
        <v>0</v>
      </c>
      <c r="S60" s="1708">
        <f>O60+O61-Q60</f>
        <v>0</v>
      </c>
    </row>
    <row r="61" spans="1:19">
      <c r="A61" s="650"/>
      <c r="B61" s="650" t="s">
        <v>1200</v>
      </c>
      <c r="C61" s="650" t="s">
        <v>1009</v>
      </c>
      <c r="D61" s="650" t="s">
        <v>777</v>
      </c>
      <c r="E61" s="650" t="s">
        <v>735</v>
      </c>
      <c r="F61" s="650"/>
      <c r="G61" s="650"/>
      <c r="H61" s="650"/>
      <c r="K61" s="643"/>
      <c r="L61" s="923" t="str">
        <f>B61</f>
        <v>TPubDST_HRAIL_00</v>
      </c>
      <c r="M61" s="812"/>
      <c r="N61" s="915">
        <f t="shared" si="9"/>
        <v>10.534408339441322</v>
      </c>
      <c r="O61" s="915">
        <f t="shared" si="10"/>
        <v>906.30263050737028</v>
      </c>
      <c r="P61" s="1706"/>
      <c r="Q61" s="1709"/>
      <c r="R61" s="1707"/>
      <c r="S61" s="1708"/>
    </row>
    <row r="62" spans="1:19">
      <c r="A62" s="641" t="s">
        <v>943</v>
      </c>
      <c r="B62" s="642"/>
      <c r="C62" s="642"/>
      <c r="D62" s="642"/>
      <c r="E62" s="649"/>
      <c r="F62" s="649"/>
      <c r="G62" s="649"/>
      <c r="H62" s="649"/>
      <c r="J62" s="379"/>
      <c r="L62" s="923"/>
      <c r="M62" s="812"/>
      <c r="N62" s="915"/>
      <c r="O62" s="915"/>
      <c r="P62" s="917"/>
      <c r="Q62" s="925"/>
      <c r="R62" s="933"/>
      <c r="S62" s="934"/>
    </row>
    <row r="63" spans="1:19">
      <c r="A63" s="650" t="s">
        <v>778</v>
      </c>
      <c r="B63" t="s">
        <v>1201</v>
      </c>
      <c r="C63" s="650" t="s">
        <v>947</v>
      </c>
      <c r="D63" s="650" t="s">
        <v>777</v>
      </c>
      <c r="E63" s="650" t="s">
        <v>735</v>
      </c>
      <c r="L63" s="923" t="str">
        <f>B63</f>
        <v>TPubDST_PSV_00</v>
      </c>
      <c r="M63" s="812"/>
      <c r="N63" s="915">
        <f>E79*H113*E130</f>
        <v>750.72057062732188</v>
      </c>
      <c r="O63" s="915">
        <f t="shared" ref="O63:O64" si="12">N63*E113</f>
        <v>1120.0837418022654</v>
      </c>
      <c r="P63" s="915">
        <f>H7/1000</f>
        <v>750.72057062732199</v>
      </c>
      <c r="Q63" s="924">
        <f>H16/1000</f>
        <v>1120.0837418022654</v>
      </c>
      <c r="R63" s="935">
        <f>N63-P63</f>
        <v>0</v>
      </c>
      <c r="S63" s="936">
        <f t="shared" ref="S63:S64" si="13">O63-Q63</f>
        <v>0</v>
      </c>
    </row>
    <row r="64" spans="1:19">
      <c r="B64" s="650" t="s">
        <v>1202</v>
      </c>
      <c r="C64" s="650" t="s">
        <v>948</v>
      </c>
      <c r="D64" s="650" t="s">
        <v>777</v>
      </c>
      <c r="E64" s="650" t="s">
        <v>735</v>
      </c>
      <c r="L64" s="926" t="str">
        <f>B64</f>
        <v>TPubGSL_PSV_00</v>
      </c>
      <c r="M64" s="927"/>
      <c r="N64" s="928">
        <f>E80*H114*E131</f>
        <v>298.14576011647557</v>
      </c>
      <c r="O64" s="928">
        <f t="shared" si="12"/>
        <v>444.83690957700367</v>
      </c>
      <c r="P64" s="929">
        <f>H8/1000</f>
        <v>298.14576011647557</v>
      </c>
      <c r="Q64" s="930">
        <f>H17/1000</f>
        <v>444.83690957700367</v>
      </c>
      <c r="R64" s="937">
        <f>N64-P64</f>
        <v>0</v>
      </c>
      <c r="S64" s="938">
        <f t="shared" si="13"/>
        <v>0</v>
      </c>
    </row>
    <row r="65" spans="1:33">
      <c r="D65" s="650"/>
      <c r="E65" s="650"/>
      <c r="R65" s="367"/>
    </row>
    <row r="66" spans="1:33" ht="21">
      <c r="A66" s="645" t="s">
        <v>752</v>
      </c>
      <c r="B66" s="644"/>
      <c r="C66" s="650"/>
      <c r="D66" s="650"/>
      <c r="E66" s="650"/>
      <c r="F66" s="650"/>
      <c r="G66" s="650"/>
      <c r="H66" s="650"/>
      <c r="I66" s="650"/>
      <c r="J66" s="650"/>
      <c r="K66" s="650"/>
      <c r="L66" s="650"/>
      <c r="M66" s="650"/>
      <c r="N66" s="650"/>
      <c r="O66" s="650"/>
      <c r="P66" s="650"/>
      <c r="Q66" s="650"/>
      <c r="R66" s="650"/>
      <c r="S66" s="650"/>
      <c r="T66" s="650"/>
      <c r="U66" s="650"/>
      <c r="V66" s="650"/>
      <c r="W66" s="650"/>
      <c r="X66" s="650"/>
      <c r="Y66" s="650"/>
      <c r="Z66" s="650"/>
      <c r="AA66" s="650"/>
      <c r="AB66" s="650"/>
      <c r="AC66" s="650"/>
      <c r="AD66" s="650"/>
      <c r="AE66" s="650"/>
      <c r="AF66" s="650"/>
      <c r="AG66" s="650"/>
    </row>
    <row r="67" spans="1:33">
      <c r="A67" s="654"/>
      <c r="B67" s="654"/>
      <c r="C67" s="654"/>
      <c r="D67" s="657" t="s">
        <v>817</v>
      </c>
      <c r="E67" s="650"/>
      <c r="F67" s="650"/>
      <c r="G67" s="650"/>
      <c r="H67" s="650"/>
      <c r="I67" s="650"/>
      <c r="J67" s="650"/>
      <c r="K67" s="650"/>
      <c r="L67" s="650"/>
      <c r="M67" s="650"/>
      <c r="N67" s="650"/>
      <c r="O67" s="650"/>
      <c r="P67" s="650"/>
      <c r="Q67" s="650"/>
      <c r="R67" s="650"/>
      <c r="S67" s="650"/>
      <c r="T67" s="650"/>
      <c r="U67" s="650"/>
      <c r="V67" s="650"/>
      <c r="W67" s="650"/>
      <c r="X67" s="650"/>
      <c r="Y67" s="650"/>
      <c r="Z67" s="650"/>
      <c r="AA67" s="650"/>
      <c r="AB67" s="650"/>
      <c r="AC67" s="650"/>
      <c r="AD67" s="650"/>
      <c r="AE67" s="650"/>
      <c r="AF67" s="650"/>
      <c r="AG67" s="650"/>
    </row>
    <row r="68" spans="1:33">
      <c r="A68" s="655" t="s">
        <v>729</v>
      </c>
      <c r="B68" s="655" t="s">
        <v>737</v>
      </c>
      <c r="C68" s="655" t="s">
        <v>738</v>
      </c>
      <c r="D68" s="655" t="s">
        <v>739</v>
      </c>
      <c r="E68" s="656">
        <v>2012</v>
      </c>
      <c r="F68" s="656">
        <v>2013</v>
      </c>
      <c r="G68" s="656">
        <v>2014</v>
      </c>
      <c r="H68" s="656">
        <v>2015</v>
      </c>
      <c r="I68" s="656">
        <v>2016</v>
      </c>
      <c r="J68" s="656">
        <v>2017</v>
      </c>
      <c r="K68" s="656">
        <v>2018</v>
      </c>
      <c r="L68" s="656">
        <v>2019</v>
      </c>
      <c r="M68" s="656">
        <v>2020</v>
      </c>
      <c r="N68" s="656">
        <v>2021</v>
      </c>
      <c r="O68" s="656">
        <v>2022</v>
      </c>
      <c r="P68" s="656">
        <v>2023</v>
      </c>
      <c r="Q68" s="656">
        <v>2024</v>
      </c>
      <c r="R68" s="656">
        <v>2025</v>
      </c>
      <c r="S68" s="656">
        <v>2026</v>
      </c>
      <c r="T68" s="656">
        <v>2027</v>
      </c>
      <c r="U68" s="656">
        <v>2028</v>
      </c>
      <c r="V68" s="656">
        <v>2029</v>
      </c>
      <c r="W68" s="656">
        <v>2030</v>
      </c>
      <c r="X68" s="656">
        <v>2031</v>
      </c>
      <c r="Y68" s="656">
        <v>2032</v>
      </c>
      <c r="Z68" s="656">
        <v>2033</v>
      </c>
      <c r="AA68" s="656">
        <v>2034</v>
      </c>
      <c r="AB68" s="656">
        <v>2035</v>
      </c>
      <c r="AC68" s="656">
        <v>2036</v>
      </c>
      <c r="AD68" s="656">
        <v>2037</v>
      </c>
      <c r="AE68" s="656">
        <v>2038</v>
      </c>
      <c r="AF68" s="656">
        <v>2039</v>
      </c>
      <c r="AG68" s="656">
        <v>2040</v>
      </c>
    </row>
    <row r="69" spans="1:33" ht="26.25" thickBot="1">
      <c r="A69" s="658" t="s">
        <v>740</v>
      </c>
      <c r="B69" s="658" t="s">
        <v>741</v>
      </c>
      <c r="C69" s="658" t="s">
        <v>742</v>
      </c>
      <c r="D69" s="658" t="s">
        <v>743</v>
      </c>
      <c r="E69" s="659" t="s">
        <v>735</v>
      </c>
      <c r="F69" s="659" t="s">
        <v>735</v>
      </c>
      <c r="G69" s="659" t="s">
        <v>735</v>
      </c>
      <c r="H69" s="659" t="s">
        <v>735</v>
      </c>
      <c r="I69" s="659" t="s">
        <v>735</v>
      </c>
      <c r="J69" s="659" t="s">
        <v>735</v>
      </c>
      <c r="K69" s="659" t="s">
        <v>735</v>
      </c>
      <c r="L69" s="659" t="s">
        <v>735</v>
      </c>
      <c r="M69" s="659" t="s">
        <v>735</v>
      </c>
      <c r="N69" s="659" t="s">
        <v>735</v>
      </c>
      <c r="O69" s="659" t="s">
        <v>735</v>
      </c>
      <c r="P69" s="659" t="s">
        <v>735</v>
      </c>
      <c r="Q69" s="659" t="s">
        <v>735</v>
      </c>
      <c r="R69" s="659" t="s">
        <v>735</v>
      </c>
      <c r="S69" s="659" t="s">
        <v>735</v>
      </c>
      <c r="T69" s="659" t="s">
        <v>735</v>
      </c>
      <c r="U69" s="659" t="s">
        <v>735</v>
      </c>
      <c r="V69" s="659" t="s">
        <v>735</v>
      </c>
      <c r="W69" s="659" t="s">
        <v>735</v>
      </c>
      <c r="X69" s="659" t="s">
        <v>735</v>
      </c>
      <c r="Y69" s="659" t="s">
        <v>735</v>
      </c>
      <c r="Z69" s="659" t="s">
        <v>735</v>
      </c>
      <c r="AA69" s="659" t="s">
        <v>735</v>
      </c>
      <c r="AB69" s="659" t="s">
        <v>735</v>
      </c>
      <c r="AC69" s="659" t="s">
        <v>735</v>
      </c>
      <c r="AD69" s="659" t="s">
        <v>735</v>
      </c>
      <c r="AE69" s="659" t="s">
        <v>735</v>
      </c>
      <c r="AF69" s="659" t="s">
        <v>735</v>
      </c>
      <c r="AG69" s="659" t="s">
        <v>735</v>
      </c>
    </row>
    <row r="70" spans="1:33">
      <c r="A70" s="641" t="s">
        <v>941</v>
      </c>
      <c r="B70" s="642"/>
      <c r="C70" s="642"/>
      <c r="D70" s="642"/>
      <c r="E70" s="649"/>
      <c r="F70" s="649"/>
      <c r="G70" s="649"/>
      <c r="H70" s="649"/>
      <c r="I70" s="649"/>
      <c r="J70" s="649"/>
      <c r="K70" s="649"/>
      <c r="L70" s="649"/>
      <c r="M70" s="649"/>
      <c r="N70" s="649"/>
      <c r="O70" s="649"/>
      <c r="P70" s="649"/>
      <c r="Q70" s="649"/>
      <c r="R70" s="649"/>
      <c r="S70" s="649"/>
      <c r="T70" s="649"/>
      <c r="U70" s="649"/>
      <c r="V70" s="649"/>
      <c r="W70" s="649"/>
      <c r="X70" s="649"/>
      <c r="Y70" s="649"/>
      <c r="Z70" s="649"/>
      <c r="AA70" s="649"/>
      <c r="AB70" s="649"/>
      <c r="AC70" s="649"/>
      <c r="AD70" s="649"/>
      <c r="AE70" s="649"/>
      <c r="AF70" s="649"/>
      <c r="AG70" s="649"/>
    </row>
    <row r="71" spans="1:33">
      <c r="A71" s="650" t="str">
        <f>$B$56</f>
        <v>TPubDST_RBUS_00</v>
      </c>
      <c r="B71" s="650" t="str">
        <f>$C$56</f>
        <v>Public Transport - RURAL Diesel</v>
      </c>
      <c r="C71" s="650" t="str">
        <f>Commodities!$B$17</f>
        <v>TRADSTB</v>
      </c>
      <c r="D71" t="str">
        <f>Commodities!$B$27</f>
        <v>TPBR</v>
      </c>
      <c r="E71">
        <f>'PUB Bus Statistics'!B36/1000</f>
        <v>0.40500000000000003</v>
      </c>
      <c r="F71" s="650">
        <f>'PUB Bus Statistics'!C36/1000</f>
        <v>0.33</v>
      </c>
      <c r="G71" s="650">
        <f>'PUB Bus Statistics'!D36/1000</f>
        <v>0.255</v>
      </c>
      <c r="H71" s="650">
        <f>'PUB Bus Statistics'!E36/1000</f>
        <v>0.18</v>
      </c>
      <c r="I71" s="650">
        <f>'PUB Bus Statistics'!F36/1000</f>
        <v>0.105</v>
      </c>
      <c r="J71" s="650">
        <f>'PUB Bus Statistics'!G36/1000</f>
        <v>0.03</v>
      </c>
      <c r="K71" s="650"/>
      <c r="L71" s="650"/>
      <c r="M71" s="366"/>
      <c r="N71" s="650"/>
      <c r="O71" s="650"/>
      <c r="P71" s="650"/>
      <c r="Q71" s="650"/>
      <c r="R71" s="650"/>
      <c r="S71" s="650"/>
      <c r="T71" s="650"/>
      <c r="U71" s="650"/>
      <c r="V71" s="650"/>
      <c r="W71" s="650"/>
      <c r="X71" s="650"/>
      <c r="Y71" s="650"/>
      <c r="Z71" s="650"/>
      <c r="AA71" s="650"/>
      <c r="AB71" s="650"/>
    </row>
    <row r="72" spans="1:33">
      <c r="A72" t="str">
        <f>$B$55</f>
        <v>TPubDST_UBUS_00</v>
      </c>
      <c r="B72" s="650" t="str">
        <f>$C$55</f>
        <v>Public Transport - URBAN Diesel</v>
      </c>
      <c r="C72" s="650" t="str">
        <f>Commodities!$B$17</f>
        <v>TRADSTB</v>
      </c>
      <c r="D72" t="str">
        <f>Commodities!$B$28</f>
        <v>TPBU</v>
      </c>
      <c r="E72">
        <f>('PUB Bus Statistics'!B37+'PUB Bus Statistics'!B35)/1000</f>
        <v>0.95199999999999996</v>
      </c>
      <c r="F72" s="650">
        <f>('PUB Bus Statistics'!C37+'PUB Bus Statistics'!C35)/1000</f>
        <v>0.82299999999999995</v>
      </c>
      <c r="G72" s="650">
        <f>('PUB Bus Statistics'!D37+'PUB Bus Statistics'!D35)/1000</f>
        <v>0.69399999999999995</v>
      </c>
      <c r="H72" s="650">
        <f>('PUB Bus Statistics'!E37+'PUB Bus Statistics'!E35)/1000</f>
        <v>0.56499999999999995</v>
      </c>
      <c r="I72" s="650">
        <f>('PUB Bus Statistics'!F37+'PUB Bus Statistics'!F35)/1000</f>
        <v>0.436</v>
      </c>
      <c r="J72" s="650">
        <f>('PUB Bus Statistics'!G37+'PUB Bus Statistics'!G35)/1000</f>
        <v>0.307</v>
      </c>
      <c r="K72" s="650">
        <f>('PUB Bus Statistics'!H37+'PUB Bus Statistics'!H35)/1000</f>
        <v>0.182</v>
      </c>
      <c r="L72" s="650">
        <f>('PUB Bus Statistics'!I37+'PUB Bus Statistics'!I35)/1000</f>
        <v>0.06</v>
      </c>
      <c r="M72" s="366"/>
      <c r="N72" s="650"/>
      <c r="O72" s="650"/>
      <c r="P72" s="650"/>
      <c r="Q72" s="650"/>
      <c r="R72" s="650"/>
      <c r="S72" s="650"/>
      <c r="T72" s="650"/>
      <c r="U72" s="650"/>
      <c r="V72" s="650"/>
      <c r="W72" s="650"/>
      <c r="X72" s="650"/>
      <c r="Y72" s="650"/>
      <c r="Z72" s="650"/>
      <c r="AA72" s="650"/>
      <c r="AB72" s="650"/>
    </row>
    <row r="73" spans="1:33">
      <c r="A73" s="650" t="str">
        <f>$B$57</f>
        <v>TPubDST_SBUS_00</v>
      </c>
      <c r="B73" s="650" t="str">
        <f>$C$57</f>
        <v>Public Transport - SCHOOL Diesel</v>
      </c>
      <c r="C73" s="650" t="str">
        <f>Commodities!$B$17</f>
        <v>TRADSTB</v>
      </c>
      <c r="D73" t="str">
        <f>Commodities!$B$29</f>
        <v>TPBS</v>
      </c>
      <c r="E73">
        <f>'PUB Bus Statistics'!B38/1000</f>
        <v>4</v>
      </c>
      <c r="F73" s="650">
        <f>'PUB Bus Statistics'!C38/1000</f>
        <v>3.2730000000000001</v>
      </c>
      <c r="G73" s="650">
        <f>'PUB Bus Statistics'!D38/1000</f>
        <v>2.5459999999999998</v>
      </c>
      <c r="H73" s="650">
        <f>'PUB Bus Statistics'!E38/1000</f>
        <v>1.819</v>
      </c>
      <c r="I73" s="650">
        <f>'PUB Bus Statistics'!F38/1000</f>
        <v>1.0920000000000001</v>
      </c>
      <c r="J73" s="650">
        <f>'PUB Bus Statistics'!G38/1000</f>
        <v>0.36499999999999999</v>
      </c>
      <c r="K73" s="650"/>
      <c r="L73" s="650"/>
      <c r="M73" s="366"/>
      <c r="N73" s="650"/>
      <c r="O73" s="650"/>
      <c r="P73" s="650"/>
      <c r="Q73" s="650"/>
      <c r="R73" s="650"/>
      <c r="S73" s="650"/>
      <c r="T73" s="650"/>
      <c r="U73" s="650"/>
      <c r="V73" s="650"/>
      <c r="W73" s="650"/>
      <c r="X73" s="650"/>
      <c r="Y73" s="650"/>
      <c r="Z73" s="650"/>
      <c r="AA73" s="650"/>
      <c r="AB73" s="650"/>
    </row>
    <row r="74" spans="1:33">
      <c r="A74" s="641" t="s">
        <v>942</v>
      </c>
      <c r="B74" s="642"/>
      <c r="C74" s="642"/>
      <c r="D74" s="642"/>
      <c r="E74" s="649"/>
      <c r="F74" s="649"/>
      <c r="G74" s="649"/>
      <c r="H74" s="649"/>
      <c r="I74" s="649"/>
      <c r="J74" s="649"/>
      <c r="K74" s="649"/>
      <c r="L74" s="649"/>
      <c r="M74" s="649"/>
      <c r="N74" s="649"/>
      <c r="O74" s="649"/>
      <c r="P74" s="649"/>
      <c r="Q74" s="649"/>
      <c r="R74" s="649"/>
      <c r="S74" s="649"/>
      <c r="T74" s="649"/>
      <c r="U74" s="649"/>
      <c r="V74" s="649"/>
      <c r="W74" s="649"/>
      <c r="X74" s="649"/>
      <c r="Y74" s="649"/>
      <c r="Z74" s="649"/>
      <c r="AA74" s="649"/>
      <c r="AB74" s="649"/>
      <c r="AC74" s="649"/>
      <c r="AD74" s="649"/>
      <c r="AE74" s="649"/>
      <c r="AF74" s="649"/>
      <c r="AG74" s="649"/>
    </row>
    <row r="75" spans="1:33">
      <c r="A75" t="str">
        <f>$B$59</f>
        <v>TPubELC_LRAIL_00</v>
      </c>
      <c r="B75" s="650" t="str">
        <f>$C$59</f>
        <v>Public Transport - LIGHT RAIL Electric</v>
      </c>
      <c r="C75" t="str">
        <f>Commodities!$B$10</f>
        <v>TRAELC</v>
      </c>
      <c r="D75" s="650" t="str">
        <f>Commodities!$B$30</f>
        <v>TPRL</v>
      </c>
      <c r="E75" s="409">
        <f>('PUB Luas Statistics'!Z5+'PUB Luas Statistics'!AA5)/1000</f>
        <v>6.6000000000000003E-2</v>
      </c>
      <c r="F75" s="825">
        <f>E75-($E$75/25)</f>
        <v>6.336E-2</v>
      </c>
      <c r="G75" s="825">
        <f t="shared" ref="G75:AD75" si="14">F75-($E$75/25)</f>
        <v>6.0719999999999996E-2</v>
      </c>
      <c r="H75" s="825">
        <f t="shared" si="14"/>
        <v>5.8079999999999993E-2</v>
      </c>
      <c r="I75" s="825">
        <f t="shared" si="14"/>
        <v>5.5439999999999989E-2</v>
      </c>
      <c r="J75" s="825">
        <f t="shared" si="14"/>
        <v>5.2799999999999986E-2</v>
      </c>
      <c r="K75" s="825">
        <f t="shared" si="14"/>
        <v>5.0159999999999982E-2</v>
      </c>
      <c r="L75" s="825">
        <f t="shared" si="14"/>
        <v>4.7519999999999979E-2</v>
      </c>
      <c r="M75" s="825">
        <f t="shared" si="14"/>
        <v>4.4879999999999975E-2</v>
      </c>
      <c r="N75" s="825">
        <f t="shared" si="14"/>
        <v>4.2239999999999972E-2</v>
      </c>
      <c r="O75" s="825">
        <f t="shared" si="14"/>
        <v>3.9599999999999969E-2</v>
      </c>
      <c r="P75" s="825">
        <f t="shared" si="14"/>
        <v>3.6959999999999965E-2</v>
      </c>
      <c r="Q75" s="825">
        <f t="shared" si="14"/>
        <v>3.4319999999999962E-2</v>
      </c>
      <c r="R75" s="825">
        <f t="shared" si="14"/>
        <v>3.1679999999999958E-2</v>
      </c>
      <c r="S75" s="825">
        <f t="shared" si="14"/>
        <v>2.9039999999999958E-2</v>
      </c>
      <c r="T75" s="825">
        <f t="shared" si="14"/>
        <v>2.6399999999999958E-2</v>
      </c>
      <c r="U75" s="825">
        <f t="shared" si="14"/>
        <v>2.3759999999999958E-2</v>
      </c>
      <c r="V75" s="825">
        <f t="shared" si="14"/>
        <v>2.1119999999999958E-2</v>
      </c>
      <c r="W75" s="825">
        <f t="shared" si="14"/>
        <v>1.8479999999999958E-2</v>
      </c>
      <c r="X75" s="825">
        <f t="shared" si="14"/>
        <v>1.5839999999999958E-2</v>
      </c>
      <c r="Y75" s="825">
        <f t="shared" si="14"/>
        <v>1.3199999999999958E-2</v>
      </c>
      <c r="Z75" s="825">
        <f t="shared" si="14"/>
        <v>1.0559999999999958E-2</v>
      </c>
      <c r="AA75" s="825">
        <f t="shared" si="14"/>
        <v>7.9199999999999583E-3</v>
      </c>
      <c r="AB75" s="825">
        <f t="shared" si="14"/>
        <v>5.2799999999999583E-3</v>
      </c>
      <c r="AC75" s="825">
        <f t="shared" si="14"/>
        <v>2.6399999999999584E-3</v>
      </c>
      <c r="AD75" s="825">
        <f t="shared" si="14"/>
        <v>-4.163336342344337E-17</v>
      </c>
      <c r="AE75" s="825"/>
      <c r="AF75" s="825"/>
      <c r="AG75" s="825"/>
    </row>
    <row r="76" spans="1:33" s="650" customFormat="1">
      <c r="A76" s="650" t="str">
        <f>$B$60</f>
        <v>TPubELC_HRAIL_00</v>
      </c>
      <c r="B76" s="650" t="str">
        <f>$C$60</f>
        <v>Public Transport - HEAVY RAIL Electric</v>
      </c>
      <c r="C76" s="650" t="str">
        <f>Commodities!$B$10</f>
        <v>TRAELC</v>
      </c>
      <c r="D76" s="650" t="str">
        <f>Commodities!$B$31</f>
        <v>TPRH</v>
      </c>
      <c r="E76" s="409">
        <f>('PUB Rail Statistics'!X13+'PUB Rail Statistics'!X14+'PUB Rail Statistics'!X15+'PUB Rail Statistics'!X16)/1000</f>
        <v>5.1999999999999998E-2</v>
      </c>
      <c r="F76" s="825">
        <f>E76-($E$76/12)</f>
        <v>4.7666666666666663E-2</v>
      </c>
      <c r="G76" s="825">
        <f>F76-($E$76/12)</f>
        <v>4.3333333333333328E-2</v>
      </c>
      <c r="H76" s="825">
        <f>G76-($E$76/12)</f>
        <v>3.8999999999999993E-2</v>
      </c>
      <c r="I76" s="825">
        <f t="shared" ref="I76:O76" si="15">H76-($E$76/12)</f>
        <v>3.4666666666666658E-2</v>
      </c>
      <c r="J76" s="825">
        <f t="shared" si="15"/>
        <v>3.0333333333333323E-2</v>
      </c>
      <c r="K76" s="825">
        <f t="shared" si="15"/>
        <v>2.5999999999999988E-2</v>
      </c>
      <c r="L76" s="825">
        <f t="shared" si="15"/>
        <v>2.1666666666666654E-2</v>
      </c>
      <c r="M76" s="825">
        <f t="shared" si="15"/>
        <v>1.7333333333333319E-2</v>
      </c>
      <c r="N76" s="825">
        <f t="shared" si="15"/>
        <v>1.2999999999999986E-2</v>
      </c>
      <c r="O76" s="825">
        <f t="shared" si="15"/>
        <v>8.6666666666666524E-3</v>
      </c>
      <c r="P76" s="825">
        <f>O76-($E$76/12)</f>
        <v>4.3333333333333193E-3</v>
      </c>
      <c r="Q76" s="825"/>
      <c r="R76" s="409"/>
      <c r="S76" s="409"/>
      <c r="T76" s="409"/>
      <c r="U76" s="409"/>
      <c r="V76" s="409"/>
      <c r="W76" s="409"/>
      <c r="X76" s="409"/>
      <c r="Y76" s="409"/>
      <c r="Z76" s="409"/>
      <c r="AA76" s="409"/>
      <c r="AB76" s="409"/>
      <c r="AC76" s="409"/>
      <c r="AD76" s="409"/>
      <c r="AE76" s="409"/>
      <c r="AF76" s="409"/>
      <c r="AG76" s="409"/>
    </row>
    <row r="77" spans="1:33">
      <c r="A77" t="str">
        <f>$B$61</f>
        <v>TPubDST_HRAIL_00</v>
      </c>
      <c r="B77" s="650" t="str">
        <f>$C$61</f>
        <v>Public Transport - HEAVY RAIL Diesel</v>
      </c>
      <c r="C77" s="650" t="str">
        <f>Commodities!$B$17</f>
        <v>TRADSTB</v>
      </c>
      <c r="D77" s="650" t="str">
        <f>Commodities!$B$31</f>
        <v>TPRH</v>
      </c>
      <c r="E77" s="409">
        <f>SUM('PUB Rail Statistics'!X2:X12)/1000</f>
        <v>0.14399999999999999</v>
      </c>
      <c r="F77" s="409">
        <f>E77-($E$77/12)</f>
        <v>0.13199999999999998</v>
      </c>
      <c r="G77" s="409">
        <f t="shared" ref="G77:P77" si="16">F77-($E$77/12)</f>
        <v>0.11999999999999998</v>
      </c>
      <c r="H77" s="409">
        <f t="shared" si="16"/>
        <v>0.10799999999999998</v>
      </c>
      <c r="I77" s="409">
        <f t="shared" si="16"/>
        <v>9.5999999999999988E-2</v>
      </c>
      <c r="J77" s="409">
        <f t="shared" si="16"/>
        <v>8.3999999999999991E-2</v>
      </c>
      <c r="K77" s="409">
        <f t="shared" si="16"/>
        <v>7.1999999999999995E-2</v>
      </c>
      <c r="L77" s="409">
        <f t="shared" si="16"/>
        <v>0.06</v>
      </c>
      <c r="M77" s="409">
        <f t="shared" si="16"/>
        <v>4.8000000000000001E-2</v>
      </c>
      <c r="N77" s="409">
        <f t="shared" si="16"/>
        <v>3.6000000000000004E-2</v>
      </c>
      <c r="O77" s="409">
        <f t="shared" si="16"/>
        <v>2.4000000000000007E-2</v>
      </c>
      <c r="P77" s="409">
        <f t="shared" si="16"/>
        <v>1.2000000000000009E-2</v>
      </c>
      <c r="Q77" s="409"/>
      <c r="R77" s="409"/>
      <c r="S77" s="409"/>
      <c r="T77" s="409"/>
      <c r="U77" s="409"/>
      <c r="V77" s="409"/>
      <c r="W77" s="409"/>
      <c r="X77" s="409"/>
      <c r="Y77" s="409"/>
      <c r="Z77" s="409"/>
      <c r="AA77" s="409"/>
      <c r="AB77" s="409"/>
      <c r="AC77" s="409"/>
      <c r="AD77" s="409"/>
      <c r="AE77" s="409"/>
      <c r="AF77" s="409"/>
      <c r="AG77" s="409"/>
    </row>
    <row r="78" spans="1:33">
      <c r="A78" s="641" t="s">
        <v>943</v>
      </c>
      <c r="B78" s="642"/>
      <c r="C78" s="642"/>
      <c r="D78" s="642"/>
      <c r="E78" s="649"/>
      <c r="F78" s="649"/>
      <c r="G78" s="649"/>
      <c r="H78" s="649"/>
      <c r="I78" s="649"/>
      <c r="J78" s="649"/>
      <c r="K78" s="649"/>
      <c r="L78" s="649"/>
      <c r="M78" s="649"/>
      <c r="N78" s="649"/>
      <c r="O78" s="649"/>
      <c r="P78" s="649"/>
      <c r="Q78" s="649"/>
      <c r="R78" s="649"/>
      <c r="S78" s="649"/>
      <c r="T78" s="649"/>
      <c r="U78" s="649"/>
      <c r="V78" s="649"/>
      <c r="W78" s="649"/>
      <c r="X78" s="649"/>
      <c r="Y78" s="649"/>
      <c r="Z78" s="649"/>
      <c r="AA78" s="649"/>
      <c r="AB78" s="649"/>
      <c r="AC78" s="649"/>
      <c r="AD78" s="649"/>
      <c r="AE78" s="649"/>
      <c r="AF78" s="649"/>
      <c r="AG78" s="649"/>
    </row>
    <row r="79" spans="1:33">
      <c r="A79" t="str">
        <f>$B$63</f>
        <v>TPubDST_PSV_00</v>
      </c>
      <c r="B79" s="650" t="str">
        <f>$C$63</f>
        <v>Public Transport - PSV Diesel</v>
      </c>
      <c r="C79" s="650" t="str">
        <f>Commodities!$B$17</f>
        <v>TRADSTB</v>
      </c>
      <c r="D79" t="str">
        <f>Commodities!$B$32</f>
        <v>TPSV</v>
      </c>
      <c r="E79">
        <f>'PUB PSV Projections'!B3/1000</f>
        <v>16.061</v>
      </c>
      <c r="F79" s="650">
        <f>'PUB PSV Projections'!D81/1000</f>
        <v>15.541</v>
      </c>
      <c r="G79" s="650">
        <f>'PUB PSV Projections'!E81/1000</f>
        <v>15.052</v>
      </c>
      <c r="H79" s="650">
        <f>'PUB PSV Projections'!F81/1000</f>
        <v>14.48</v>
      </c>
      <c r="I79" s="650">
        <f>'PUB PSV Projections'!G81/1000</f>
        <v>13.771000000000001</v>
      </c>
      <c r="J79" s="650">
        <f>'PUB PSV Projections'!H81/1000</f>
        <v>12.898</v>
      </c>
      <c r="K79" s="650">
        <f>'PUB PSV Projections'!I81/1000</f>
        <v>11.848000000000001</v>
      </c>
      <c r="L79" s="650">
        <f>'PUB PSV Projections'!J81/1000</f>
        <v>10.616</v>
      </c>
      <c r="M79" s="650">
        <f>'PUB PSV Projections'!K81/1000</f>
        <v>9.218</v>
      </c>
      <c r="N79" s="650">
        <f>'PUB PSV Projections'!L81/1000</f>
        <v>7.6710000000000003</v>
      </c>
      <c r="O79" s="650">
        <f>'PUB PSV Projections'!M81/1000</f>
        <v>6.0970000000000004</v>
      </c>
      <c r="P79" s="650">
        <f>'PUB PSV Projections'!N81/1000</f>
        <v>4.5369999999999999</v>
      </c>
      <c r="Q79" s="650">
        <f>'PUB PSV Projections'!O81/1000</f>
        <v>3.012</v>
      </c>
      <c r="R79" s="650">
        <f>'PUB PSV Projections'!P81/1000</f>
        <v>1.651</v>
      </c>
      <c r="S79" s="650">
        <f>'PUB PSV Projections'!Q81/1000</f>
        <v>0.71599999999999997</v>
      </c>
      <c r="T79" s="650">
        <f>'PUB PSV Projections'!R81/1000</f>
        <v>0.247</v>
      </c>
      <c r="U79" s="650">
        <f>'PUB PSV Projections'!S81/1000</f>
        <v>7.6999999999999999E-2</v>
      </c>
      <c r="V79" s="650">
        <f>'PUB PSV Projections'!T81/1000</f>
        <v>2.1000000000000001E-2</v>
      </c>
      <c r="W79" s="650">
        <f>'PUB PSV Projections'!U81/1000</f>
        <v>5.0000000000000001E-3</v>
      </c>
      <c r="X79" s="650">
        <f>'PUB PSV Projections'!V81/1000</f>
        <v>1E-3</v>
      </c>
      <c r="Y79" s="650"/>
      <c r="Z79" s="650"/>
      <c r="AA79" s="650"/>
    </row>
    <row r="80" spans="1:33">
      <c r="A80" t="str">
        <f>$B$64</f>
        <v>TPubGSL_PSV_00</v>
      </c>
      <c r="B80" s="650" t="str">
        <f>$C$64</f>
        <v>Public Transport - PSV Gasoline</v>
      </c>
      <c r="C80" s="650" t="str">
        <f>Commodities!$B$16</f>
        <v>TRAGSLE</v>
      </c>
      <c r="D80" s="650" t="str">
        <f>Commodities!$B$32</f>
        <v>TPSV</v>
      </c>
      <c r="E80">
        <f>'PUB PSV Projections'!B2/1000</f>
        <v>7.992</v>
      </c>
      <c r="F80" s="650">
        <f>'PUB PSV Projections'!D52/1000</f>
        <v>6.3689999999999998</v>
      </c>
      <c r="G80" s="650">
        <f>'PUB PSV Projections'!E52/1000</f>
        <v>5.2350000000000003</v>
      </c>
      <c r="H80" s="650">
        <f>'PUB PSV Projections'!F52/1000</f>
        <v>4.3319999999999999</v>
      </c>
      <c r="I80" s="650">
        <f>'PUB PSV Projections'!G52/1000</f>
        <v>3.528</v>
      </c>
      <c r="J80" s="650">
        <f>'PUB PSV Projections'!H52/1000</f>
        <v>2.7679999999999998</v>
      </c>
      <c r="K80" s="650">
        <f>'PUB PSV Projections'!I52/1000</f>
        <v>2.0579999999999998</v>
      </c>
      <c r="L80" s="650">
        <f>'PUB PSV Projections'!J52/1000</f>
        <v>1.44</v>
      </c>
      <c r="M80" s="650">
        <f>'PUB PSV Projections'!K52/1000</f>
        <v>0.94599999999999995</v>
      </c>
      <c r="N80" s="650">
        <f>'PUB PSV Projections'!L52/1000</f>
        <v>0.58699999999999997</v>
      </c>
      <c r="O80" s="650">
        <f>'PUB PSV Projections'!M52/1000</f>
        <v>0.34599999999999997</v>
      </c>
      <c r="P80" s="650">
        <f>'PUB PSV Projections'!N52/1000</f>
        <v>0.191</v>
      </c>
      <c r="Q80" s="650">
        <f>'PUB PSV Projections'!O52/1000</f>
        <v>9.4E-2</v>
      </c>
      <c r="R80" s="650">
        <f>'PUB PSV Projections'!P52/1000</f>
        <v>0.04</v>
      </c>
      <c r="S80" s="650">
        <f>'PUB PSV Projections'!Q52/1000</f>
        <v>1.2999999999999999E-2</v>
      </c>
      <c r="T80" s="650">
        <f>'PUB PSV Projections'!R52/1000</f>
        <v>4.0000000000000001E-3</v>
      </c>
      <c r="U80" s="650">
        <f>'PUB PSV Projections'!S52/1000</f>
        <v>1E-3</v>
      </c>
      <c r="V80" s="650"/>
      <c r="W80" s="650"/>
      <c r="X80" s="650"/>
      <c r="Y80" s="650"/>
      <c r="Z80" s="650"/>
      <c r="AA80" s="650"/>
    </row>
    <row r="83" spans="1:33" s="650" customFormat="1" ht="21">
      <c r="A83" s="645" t="s">
        <v>751</v>
      </c>
      <c r="B83" s="644"/>
    </row>
    <row r="84" spans="1:33" s="650" customFormat="1">
      <c r="A84" s="654"/>
      <c r="B84" s="654"/>
      <c r="C84" s="654"/>
      <c r="D84" s="657" t="s">
        <v>818</v>
      </c>
    </row>
    <row r="85" spans="1:33" s="650" customFormat="1">
      <c r="A85" s="655" t="s">
        <v>729</v>
      </c>
      <c r="B85" s="655" t="s">
        <v>737</v>
      </c>
      <c r="C85" s="655" t="s">
        <v>738</v>
      </c>
      <c r="D85" s="655" t="s">
        <v>739</v>
      </c>
      <c r="E85" s="656">
        <v>2012</v>
      </c>
      <c r="F85" s="656">
        <v>2013</v>
      </c>
      <c r="G85" s="656">
        <v>2014</v>
      </c>
      <c r="H85" s="656">
        <v>2015</v>
      </c>
      <c r="I85" s="656">
        <v>2016</v>
      </c>
      <c r="J85" s="656">
        <v>2017</v>
      </c>
      <c r="K85" s="656">
        <v>2018</v>
      </c>
      <c r="L85" s="656">
        <v>2019</v>
      </c>
      <c r="M85" s="656">
        <v>2020</v>
      </c>
      <c r="N85" s="656">
        <v>2021</v>
      </c>
      <c r="O85" s="656">
        <v>2022</v>
      </c>
      <c r="P85" s="656">
        <v>2023</v>
      </c>
      <c r="Q85" s="656">
        <v>2024</v>
      </c>
      <c r="R85" s="656">
        <v>2025</v>
      </c>
      <c r="S85" s="656">
        <v>2026</v>
      </c>
      <c r="T85" s="656">
        <v>2027</v>
      </c>
      <c r="U85" s="656">
        <v>2028</v>
      </c>
      <c r="V85" s="656">
        <v>2029</v>
      </c>
      <c r="W85" s="656">
        <v>2030</v>
      </c>
      <c r="X85" s="656">
        <v>2031</v>
      </c>
      <c r="Y85" s="656">
        <v>2032</v>
      </c>
      <c r="Z85" s="656">
        <v>2033</v>
      </c>
      <c r="AA85" s="656">
        <v>2034</v>
      </c>
      <c r="AB85" s="656">
        <v>2035</v>
      </c>
      <c r="AC85" s="656">
        <v>2036</v>
      </c>
      <c r="AD85" s="656">
        <v>2037</v>
      </c>
      <c r="AE85" s="656">
        <v>2038</v>
      </c>
      <c r="AF85" s="656">
        <v>2039</v>
      </c>
      <c r="AG85" s="656">
        <v>2040</v>
      </c>
    </row>
    <row r="86" spans="1:33" s="650" customFormat="1" ht="39" thickBot="1">
      <c r="A86" s="658" t="s">
        <v>740</v>
      </c>
      <c r="B86" s="658" t="s">
        <v>741</v>
      </c>
      <c r="C86" s="658" t="s">
        <v>742</v>
      </c>
      <c r="D86" s="658" t="s">
        <v>743</v>
      </c>
      <c r="E86" s="659" t="s">
        <v>749</v>
      </c>
      <c r="F86" s="659" t="s">
        <v>749</v>
      </c>
      <c r="G86" s="659" t="s">
        <v>749</v>
      </c>
      <c r="H86" s="659" t="s">
        <v>749</v>
      </c>
      <c r="I86" s="659" t="s">
        <v>749</v>
      </c>
      <c r="J86" s="659" t="s">
        <v>749</v>
      </c>
      <c r="K86" s="659" t="s">
        <v>749</v>
      </c>
      <c r="L86" s="659" t="s">
        <v>749</v>
      </c>
      <c r="M86" s="659" t="s">
        <v>749</v>
      </c>
      <c r="N86" s="659" t="s">
        <v>749</v>
      </c>
      <c r="O86" s="659" t="s">
        <v>749</v>
      </c>
      <c r="P86" s="659" t="s">
        <v>749</v>
      </c>
      <c r="Q86" s="659" t="s">
        <v>749</v>
      </c>
      <c r="R86" s="659" t="s">
        <v>749</v>
      </c>
      <c r="S86" s="659" t="s">
        <v>749</v>
      </c>
      <c r="T86" s="659" t="s">
        <v>749</v>
      </c>
      <c r="U86" s="659" t="s">
        <v>749</v>
      </c>
      <c r="V86" s="659" t="s">
        <v>749</v>
      </c>
      <c r="W86" s="659" t="s">
        <v>749</v>
      </c>
      <c r="X86" s="659" t="s">
        <v>749</v>
      </c>
      <c r="Y86" s="659" t="s">
        <v>749</v>
      </c>
      <c r="Z86" s="659" t="s">
        <v>749</v>
      </c>
      <c r="AA86" s="659" t="s">
        <v>749</v>
      </c>
      <c r="AB86" s="659" t="s">
        <v>749</v>
      </c>
      <c r="AC86" s="659" t="s">
        <v>749</v>
      </c>
      <c r="AD86" s="659" t="s">
        <v>749</v>
      </c>
      <c r="AE86" s="659" t="s">
        <v>749</v>
      </c>
      <c r="AF86" s="659" t="s">
        <v>749</v>
      </c>
      <c r="AG86" s="659" t="s">
        <v>749</v>
      </c>
    </row>
    <row r="87" spans="1:33" s="650" customFormat="1">
      <c r="A87" s="641" t="s">
        <v>941</v>
      </c>
      <c r="B87" s="642"/>
      <c r="C87" s="642"/>
      <c r="D87" s="642"/>
      <c r="E87" s="649"/>
      <c r="F87" s="649"/>
      <c r="G87" s="649"/>
      <c r="H87" s="649"/>
      <c r="I87" s="649"/>
      <c r="J87" s="649"/>
      <c r="K87" s="649"/>
      <c r="L87" s="649"/>
      <c r="M87" s="649"/>
      <c r="N87" s="649"/>
      <c r="O87" s="649"/>
      <c r="P87" s="649"/>
      <c r="Q87" s="649"/>
      <c r="R87" s="649"/>
      <c r="S87" s="649"/>
      <c r="T87" s="649"/>
      <c r="U87" s="649"/>
      <c r="V87" s="649"/>
      <c r="W87" s="649"/>
      <c r="X87" s="649"/>
      <c r="Y87" s="649"/>
      <c r="Z87" s="649"/>
      <c r="AA87" s="649"/>
      <c r="AB87" s="649"/>
      <c r="AC87" s="649"/>
      <c r="AD87" s="649"/>
      <c r="AE87" s="649"/>
      <c r="AF87" s="649"/>
      <c r="AG87" s="649"/>
    </row>
    <row r="88" spans="1:33">
      <c r="A88" s="650" t="str">
        <f>$B$56</f>
        <v>TPubDST_RBUS_00</v>
      </c>
      <c r="B88" s="650" t="str">
        <f>$C$56</f>
        <v>Public Transport - RURAL Diesel</v>
      </c>
      <c r="C88" s="650" t="str">
        <f>Commodities!$B$17</f>
        <v>TRADSTB</v>
      </c>
      <c r="D88" s="650" t="str">
        <f>Commodities!$B$27</f>
        <v>TPBR</v>
      </c>
      <c r="E88" s="367">
        <f>(H2/1000)/(H36*0.041868)</f>
        <v>82.019171021855911</v>
      </c>
      <c r="F88" s="367">
        <f t="shared" ref="F88" si="17">(I2/1000)/(I36*0.041868)</f>
        <v>76.867011109802036</v>
      </c>
      <c r="G88" s="367">
        <f>(J2/1000)/(J36*0.041868)</f>
        <v>76.549528080736209</v>
      </c>
      <c r="H88" s="367"/>
      <c r="I88" s="367"/>
      <c r="J88" s="367"/>
      <c r="K88" s="367"/>
      <c r="L88" s="367"/>
      <c r="M88" s="367"/>
      <c r="N88" s="367"/>
      <c r="O88" s="367"/>
      <c r="P88" s="367"/>
      <c r="Q88" s="367"/>
      <c r="R88" s="367"/>
      <c r="S88" s="367"/>
      <c r="T88" s="367"/>
      <c r="U88" s="367"/>
      <c r="V88" s="367"/>
      <c r="W88" s="367"/>
      <c r="X88" s="367"/>
      <c r="Y88" s="367"/>
      <c r="Z88" s="367"/>
      <c r="AA88" s="367"/>
      <c r="AB88" s="367"/>
      <c r="AC88" s="367"/>
      <c r="AD88" s="367"/>
      <c r="AE88" s="367"/>
      <c r="AF88" s="367"/>
      <c r="AG88" s="367"/>
    </row>
    <row r="89" spans="1:33">
      <c r="A89" s="650" t="str">
        <f>$B$55</f>
        <v>TPubDST_UBUS_00</v>
      </c>
      <c r="B89" s="650" t="str">
        <f>$C$55</f>
        <v>Public Transport - URBAN Diesel</v>
      </c>
      <c r="C89" s="650" t="str">
        <f>Commodities!$B$17</f>
        <v>TRADSTB</v>
      </c>
      <c r="D89" s="650" t="str">
        <f>Commodities!$B$28</f>
        <v>TPBU</v>
      </c>
      <c r="E89" s="367">
        <f>(H3/1000)/(H37*0.041868)</f>
        <v>76.573136595540007</v>
      </c>
      <c r="F89" s="367">
        <f t="shared" ref="F89:G89" si="18">(I3/1000)/(I37*0.041868)</f>
        <v>66.831186558080816</v>
      </c>
      <c r="G89" s="367">
        <f t="shared" si="18"/>
        <v>67.086712345290422</v>
      </c>
      <c r="H89" s="367"/>
      <c r="I89" s="367"/>
      <c r="J89" s="367"/>
      <c r="K89" s="367"/>
      <c r="L89" s="367"/>
      <c r="M89" s="367"/>
      <c r="N89" s="367"/>
      <c r="O89" s="367"/>
      <c r="P89" s="367"/>
      <c r="Q89" s="367"/>
      <c r="R89" s="367"/>
      <c r="S89" s="367"/>
      <c r="T89" s="367"/>
      <c r="U89" s="367"/>
      <c r="V89" s="367"/>
      <c r="W89" s="367"/>
      <c r="X89" s="367"/>
      <c r="Y89" s="367"/>
      <c r="Z89" s="367"/>
      <c r="AA89" s="367"/>
      <c r="AB89" s="367"/>
      <c r="AC89" s="367"/>
      <c r="AD89" s="367"/>
      <c r="AE89" s="367"/>
      <c r="AF89" s="367"/>
      <c r="AG89" s="367"/>
    </row>
    <row r="90" spans="1:33">
      <c r="A90" s="650" t="str">
        <f>$B$57</f>
        <v>TPubDST_SBUS_00</v>
      </c>
      <c r="B90" s="650" t="str">
        <f>$C$57</f>
        <v>Public Transport - SCHOOL Diesel</v>
      </c>
      <c r="C90" s="650" t="str">
        <f>Commodities!$B$17</f>
        <v>TRADSTB</v>
      </c>
      <c r="D90" s="650" t="str">
        <f>Commodities!$B$29</f>
        <v>TPBS</v>
      </c>
      <c r="E90" s="367">
        <f>(H4/1000)/(H38*0.041868)</f>
        <v>149.78295081402797</v>
      </c>
      <c r="F90" s="367">
        <f t="shared" ref="F90:G90" si="19">(I4/1000)/(I38*0.041868)</f>
        <v>133.95057150852992</v>
      </c>
      <c r="G90" s="367">
        <f t="shared" si="19"/>
        <v>126.68097765465464</v>
      </c>
      <c r="H90" s="367"/>
      <c r="I90" s="367"/>
      <c r="J90" s="367"/>
      <c r="K90" s="367"/>
      <c r="L90" s="367"/>
      <c r="M90" s="367"/>
      <c r="N90" s="367"/>
      <c r="O90" s="367"/>
      <c r="P90" s="367"/>
      <c r="Q90" s="367"/>
      <c r="R90" s="367"/>
      <c r="S90" s="367"/>
      <c r="T90" s="367"/>
      <c r="U90" s="367"/>
      <c r="V90" s="367"/>
      <c r="W90" s="367"/>
      <c r="X90" s="367"/>
      <c r="Y90" s="367"/>
      <c r="Z90" s="367"/>
      <c r="AA90" s="367"/>
      <c r="AB90" s="367"/>
      <c r="AC90" s="367"/>
      <c r="AD90" s="367"/>
      <c r="AE90" s="367"/>
      <c r="AF90" s="367"/>
      <c r="AG90" s="367"/>
    </row>
    <row r="91" spans="1:33">
      <c r="A91" s="641" t="s">
        <v>942</v>
      </c>
      <c r="B91" s="642"/>
      <c r="C91" s="642"/>
      <c r="D91" s="642"/>
      <c r="E91" s="649"/>
      <c r="F91" s="649"/>
      <c r="G91" s="649"/>
      <c r="H91" s="649"/>
      <c r="I91" s="649"/>
      <c r="J91" s="649"/>
      <c r="K91" s="649"/>
      <c r="L91" s="649"/>
      <c r="M91" s="649"/>
      <c r="N91" s="649"/>
      <c r="O91" s="649"/>
      <c r="P91" s="649"/>
      <c r="Q91" s="649"/>
      <c r="R91" s="649"/>
      <c r="S91" s="649"/>
      <c r="T91" s="649"/>
      <c r="U91" s="649"/>
      <c r="V91" s="649"/>
      <c r="W91" s="649"/>
      <c r="X91" s="649"/>
      <c r="Y91" s="649"/>
      <c r="Z91" s="649"/>
      <c r="AA91" s="649"/>
      <c r="AB91" s="649"/>
      <c r="AC91" s="649"/>
      <c r="AD91" s="649"/>
      <c r="AE91" s="649"/>
      <c r="AF91" s="649"/>
      <c r="AG91" s="649"/>
    </row>
    <row r="92" spans="1:33">
      <c r="A92" s="650" t="str">
        <f>$B$59</f>
        <v>TPubELC_LRAIL_00</v>
      </c>
      <c r="B92" s="650" t="str">
        <f>$C$59</f>
        <v>Public Transport - LIGHT RAIL Electric</v>
      </c>
      <c r="C92" s="650" t="str">
        <f>Commodities!$B$10</f>
        <v>TRAELC</v>
      </c>
      <c r="D92" s="650" t="str">
        <f>Commodities!$B$30</f>
        <v>TPRL</v>
      </c>
      <c r="E92" s="820">
        <v>9.3140000000000001</v>
      </c>
      <c r="F92" s="820"/>
      <c r="G92" s="820"/>
      <c r="H92" s="820"/>
      <c r="I92" s="820"/>
      <c r="J92" s="820"/>
      <c r="K92" s="820"/>
      <c r="L92" s="820"/>
      <c r="M92" s="820"/>
      <c r="N92" s="820"/>
      <c r="O92" s="820"/>
      <c r="P92" s="820"/>
      <c r="Q92" s="820"/>
      <c r="R92" s="820"/>
      <c r="S92" s="820"/>
      <c r="T92" s="820"/>
      <c r="U92" s="820"/>
      <c r="V92" s="820"/>
      <c r="W92" s="820"/>
      <c r="X92" s="820"/>
      <c r="Y92" s="820"/>
      <c r="Z92" s="820"/>
      <c r="AA92" s="820"/>
      <c r="AB92" s="820"/>
      <c r="AC92" s="820"/>
      <c r="AD92" s="820"/>
      <c r="AE92" s="820"/>
      <c r="AF92" s="820"/>
      <c r="AG92" s="820"/>
    </row>
    <row r="93" spans="1:33" s="650" customFormat="1">
      <c r="A93" s="650" t="str">
        <f>$B$60</f>
        <v>TPubELC_HRAIL_00</v>
      </c>
      <c r="B93" s="650" t="str">
        <f>$C$60</f>
        <v>Public Transport - HEAVY RAIL Electric</v>
      </c>
      <c r="C93" s="650" t="str">
        <f>Commodities!$B$10</f>
        <v>TRAELC</v>
      </c>
      <c r="D93" s="650" t="str">
        <f>Commodities!$B$31</f>
        <v>TPRH</v>
      </c>
      <c r="E93" s="820">
        <f>(H6/1000)*('PUB Rail Statistics'!F6/SUM('PUB Rail Statistics'!F4:F7))/(H41*0.041868)</f>
        <v>39.190800921479912</v>
      </c>
      <c r="F93" s="820">
        <f>(I6/1000)*('PUB Rail Statistics'!G6/SUM('PUB Rail Statistics'!G4:G7))/(I41*0.041868)</f>
        <v>41.496054423389396</v>
      </c>
      <c r="G93" s="820"/>
      <c r="H93" s="820"/>
      <c r="I93" s="820"/>
      <c r="J93" s="820"/>
      <c r="K93" s="820"/>
      <c r="L93" s="820"/>
      <c r="M93" s="820"/>
      <c r="N93" s="820"/>
      <c r="O93" s="820"/>
      <c r="P93" s="820"/>
      <c r="Q93" s="820"/>
      <c r="R93" s="820"/>
      <c r="S93" s="820"/>
      <c r="T93" s="820"/>
      <c r="U93" s="820"/>
      <c r="V93" s="820"/>
      <c r="W93" s="820"/>
      <c r="X93" s="820"/>
      <c r="Y93" s="820"/>
      <c r="Z93" s="820"/>
      <c r="AA93" s="820"/>
      <c r="AB93" s="820"/>
      <c r="AC93" s="820"/>
      <c r="AD93" s="820"/>
      <c r="AE93" s="820"/>
      <c r="AF93" s="820"/>
      <c r="AG93" s="820"/>
    </row>
    <row r="94" spans="1:33">
      <c r="A94" s="650" t="str">
        <f>$B$61</f>
        <v>TPubDST_HRAIL_00</v>
      </c>
      <c r="B94" s="650" t="str">
        <f>$C$61</f>
        <v>Public Transport - HEAVY RAIL Diesel</v>
      </c>
      <c r="C94" s="650" t="str">
        <f>Commodities!$B$17</f>
        <v>TRADSTB</v>
      </c>
      <c r="D94" s="650" t="str">
        <f>Commodities!$B$31</f>
        <v>TPRH</v>
      </c>
      <c r="E94" s="820">
        <f>(H6/1000)*(('PUB Rail Statistics'!F4+'PUB Rail Statistics'!F5+'PUB Rail Statistics'!F7)/SUM('PUB Rail Statistics'!F4:F7))/(H40*0.041868)</f>
        <v>5.3889968953653931</v>
      </c>
      <c r="F94" s="820">
        <f>(I6/1000)*(('PUB Rail Statistics'!G4+'PUB Rail Statistics'!G5+'PUB Rail Statistics'!G7)/SUM('PUB Rail Statistics'!G4:G7))/(I40*0.041868)</f>
        <v>5.3534582021818968</v>
      </c>
      <c r="G94" s="820"/>
      <c r="H94" s="820"/>
      <c r="I94" s="820"/>
      <c r="J94" s="820"/>
      <c r="K94" s="820"/>
      <c r="L94" s="820"/>
      <c r="M94" s="820"/>
      <c r="N94" s="820"/>
      <c r="O94" s="820"/>
      <c r="P94" s="820"/>
      <c r="Q94" s="820"/>
      <c r="R94" s="820"/>
      <c r="S94" s="820"/>
      <c r="T94" s="820"/>
      <c r="U94" s="820"/>
      <c r="V94" s="820"/>
      <c r="W94" s="820"/>
      <c r="X94" s="820"/>
      <c r="Y94" s="820"/>
      <c r="Z94" s="820"/>
      <c r="AA94" s="820"/>
      <c r="AB94" s="820"/>
      <c r="AC94" s="820"/>
      <c r="AD94" s="820"/>
      <c r="AE94" s="820"/>
      <c r="AF94" s="820"/>
      <c r="AG94" s="820"/>
    </row>
    <row r="95" spans="1:33">
      <c r="A95" s="641" t="s">
        <v>943</v>
      </c>
      <c r="B95" s="642"/>
      <c r="C95" s="642"/>
      <c r="D95" s="642"/>
      <c r="E95" s="649"/>
      <c r="F95" s="649"/>
      <c r="G95" s="649"/>
      <c r="H95" s="649"/>
      <c r="I95" s="649"/>
      <c r="J95" s="649"/>
      <c r="K95" s="649"/>
      <c r="L95" s="649"/>
      <c r="M95" s="649"/>
      <c r="N95" s="649"/>
      <c r="O95" s="649"/>
      <c r="P95" s="649"/>
      <c r="Q95" s="649"/>
      <c r="R95" s="649"/>
      <c r="S95" s="649"/>
      <c r="T95" s="649"/>
      <c r="U95" s="649"/>
      <c r="V95" s="649"/>
      <c r="W95" s="649"/>
      <c r="X95" s="649"/>
      <c r="Y95" s="649"/>
      <c r="Z95" s="649"/>
      <c r="AA95" s="649"/>
      <c r="AB95" s="649"/>
      <c r="AC95" s="649"/>
      <c r="AD95" s="649"/>
      <c r="AE95" s="649"/>
      <c r="AF95" s="649"/>
      <c r="AG95" s="649"/>
    </row>
    <row r="96" spans="1:33">
      <c r="A96" s="650" t="str">
        <f>$B$63</f>
        <v>TPubDST_PSV_00</v>
      </c>
      <c r="B96" s="650" t="str">
        <f>$C$63</f>
        <v>Public Transport - PSV Diesel</v>
      </c>
      <c r="C96" s="650" t="str">
        <f>Commodities!$B$17</f>
        <v>TRADSTB</v>
      </c>
      <c r="D96" s="650" t="str">
        <f>Commodities!$B$32</f>
        <v>TPSV</v>
      </c>
      <c r="E96" s="367">
        <f>(H7/1000)/(H42*0.041868)</f>
        <v>307.09882344482543</v>
      </c>
      <c r="F96" s="367">
        <f t="shared" ref="F96:G96" si="20">(I7/1000)/(I42*0.041868)</f>
        <v>283.41586580552672</v>
      </c>
      <c r="G96" s="367">
        <f t="shared" si="20"/>
        <v>283.41586580552672</v>
      </c>
      <c r="H96" s="367"/>
      <c r="I96" s="367"/>
      <c r="J96" s="367"/>
      <c r="K96" s="367"/>
      <c r="L96" s="367"/>
      <c r="M96" s="367"/>
      <c r="N96" s="367"/>
      <c r="O96" s="367"/>
      <c r="P96" s="367"/>
      <c r="Q96" s="367"/>
      <c r="R96" s="367"/>
      <c r="S96" s="367"/>
      <c r="T96" s="367"/>
      <c r="U96" s="367"/>
      <c r="V96" s="367"/>
      <c r="W96" s="367"/>
      <c r="X96" s="367"/>
      <c r="Y96" s="367"/>
      <c r="Z96" s="367"/>
      <c r="AA96" s="367"/>
      <c r="AB96" s="367"/>
      <c r="AC96" s="367"/>
      <c r="AD96" s="367"/>
      <c r="AE96" s="367"/>
      <c r="AF96" s="367"/>
      <c r="AG96" s="367"/>
    </row>
    <row r="97" spans="1:33">
      <c r="A97" s="650" t="str">
        <f>$B$64</f>
        <v>TPubGSL_PSV_00</v>
      </c>
      <c r="B97" s="650" t="str">
        <f>$C$64</f>
        <v>Public Transport - PSV Gasoline</v>
      </c>
      <c r="C97" s="650" t="str">
        <f>Commodities!$B$16</f>
        <v>TRAGSLE</v>
      </c>
      <c r="D97" s="650" t="str">
        <f>Commodities!$B$32</f>
        <v>TPSV</v>
      </c>
      <c r="E97" s="367">
        <f>(H8/1000)/(H43*0.041868)</f>
        <v>283.17989484712763</v>
      </c>
      <c r="F97" s="367">
        <f t="shared" ref="F97:G97" si="21">(I8/1000)/(I43*0.041868)</f>
        <v>255.12570306392973</v>
      </c>
      <c r="G97" s="367">
        <f t="shared" si="21"/>
        <v>255.12570306392973</v>
      </c>
      <c r="H97" s="367"/>
      <c r="I97" s="367"/>
      <c r="J97" s="367"/>
      <c r="K97" s="367"/>
      <c r="L97" s="367"/>
      <c r="M97" s="367"/>
      <c r="N97" s="367"/>
      <c r="O97" s="367"/>
      <c r="P97" s="367"/>
      <c r="Q97" s="367"/>
      <c r="R97" s="367"/>
      <c r="S97" s="367"/>
      <c r="T97" s="367"/>
      <c r="U97" s="367"/>
      <c r="V97" s="367"/>
      <c r="W97" s="367"/>
      <c r="X97" s="367"/>
      <c r="Y97" s="367"/>
      <c r="Z97" s="367"/>
      <c r="AA97" s="367"/>
      <c r="AB97" s="367"/>
      <c r="AC97" s="367"/>
      <c r="AD97" s="367"/>
      <c r="AE97" s="367"/>
      <c r="AF97" s="367"/>
      <c r="AG97" s="367"/>
    </row>
    <row r="100" spans="1:33" ht="21">
      <c r="A100" s="645" t="s">
        <v>754</v>
      </c>
      <c r="B100" s="644"/>
      <c r="C100" s="650"/>
      <c r="D100" s="650"/>
      <c r="E100" s="650"/>
      <c r="F100" s="650"/>
      <c r="G100" s="650"/>
    </row>
    <row r="101" spans="1:33">
      <c r="A101" s="654"/>
      <c r="B101" s="654"/>
      <c r="C101" s="654"/>
      <c r="D101" s="657" t="s">
        <v>736</v>
      </c>
      <c r="E101" s="650"/>
      <c r="F101" s="650"/>
      <c r="G101" s="650"/>
    </row>
    <row r="102" spans="1:33">
      <c r="A102" s="655" t="s">
        <v>729</v>
      </c>
      <c r="B102" s="655" t="s">
        <v>737</v>
      </c>
      <c r="C102" s="655" t="s">
        <v>738</v>
      </c>
      <c r="D102" s="655" t="s">
        <v>739</v>
      </c>
      <c r="E102" s="656" t="s">
        <v>747</v>
      </c>
      <c r="F102" s="656" t="s">
        <v>955</v>
      </c>
      <c r="G102" s="656" t="s">
        <v>956</v>
      </c>
      <c r="H102" s="656" t="s">
        <v>790</v>
      </c>
    </row>
    <row r="103" spans="1:33" ht="26.25" thickBot="1">
      <c r="A103" s="658" t="s">
        <v>740</v>
      </c>
      <c r="B103" s="658" t="s">
        <v>741</v>
      </c>
      <c r="C103" s="658" t="s">
        <v>742</v>
      </c>
      <c r="D103" s="658" t="s">
        <v>743</v>
      </c>
      <c r="E103" s="659" t="s">
        <v>748</v>
      </c>
      <c r="F103" s="659" t="s">
        <v>748</v>
      </c>
      <c r="G103" s="659" t="s">
        <v>748</v>
      </c>
      <c r="H103" s="659"/>
    </row>
    <row r="104" spans="1:33">
      <c r="A104" s="641" t="s">
        <v>941</v>
      </c>
      <c r="B104" s="642"/>
      <c r="C104" s="642"/>
      <c r="D104" s="642"/>
      <c r="E104" s="649"/>
      <c r="F104" s="649"/>
      <c r="G104" s="649"/>
      <c r="H104" s="649"/>
    </row>
    <row r="105" spans="1:33">
      <c r="A105" s="650" t="str">
        <f>$B$56</f>
        <v>TPubDST_RBUS_00</v>
      </c>
      <c r="B105" s="650" t="str">
        <f>$C$56</f>
        <v>Public Transport - RURAL Diesel</v>
      </c>
      <c r="C105" s="650" t="str">
        <f>Commodities!$B$17</f>
        <v>TRADSTB</v>
      </c>
      <c r="D105" s="650" t="str">
        <f>Commodities!$B$27</f>
        <v>TPBR</v>
      </c>
      <c r="E105" s="368">
        <f>'CAR Occupancy'!$AD$10</f>
        <v>39.856105728527901</v>
      </c>
      <c r="F105" s="368"/>
      <c r="G105" s="368"/>
      <c r="H105" s="639">
        <v>1E-3</v>
      </c>
    </row>
    <row r="106" spans="1:33">
      <c r="A106" s="650" t="str">
        <f>$B$55</f>
        <v>TPubDST_UBUS_00</v>
      </c>
      <c r="B106" s="650" t="str">
        <f>$C$55</f>
        <v>Public Transport - URBAN Diesel</v>
      </c>
      <c r="C106" s="650" t="str">
        <f>Commodities!$B$17</f>
        <v>TRADSTB</v>
      </c>
      <c r="D106" s="650" t="str">
        <f>Commodities!$B$28</f>
        <v>TPBU</v>
      </c>
      <c r="E106" s="368">
        <f>'CAR Occupancy'!$AD$10</f>
        <v>39.856105728527901</v>
      </c>
      <c r="F106" s="368"/>
      <c r="G106" s="368"/>
      <c r="H106" s="639">
        <v>1E-3</v>
      </c>
    </row>
    <row r="107" spans="1:33">
      <c r="A107" s="650" t="str">
        <f>$B$57</f>
        <v>TPubDST_SBUS_00</v>
      </c>
      <c r="B107" s="650" t="str">
        <f>$C$57</f>
        <v>Public Transport - SCHOOL Diesel</v>
      </c>
      <c r="C107" s="650" t="str">
        <f>Commodities!$B$17</f>
        <v>TRADSTB</v>
      </c>
      <c r="D107" s="650" t="str">
        <f>Commodities!$B$29</f>
        <v>TPBS</v>
      </c>
      <c r="E107" s="829">
        <f>H13/H4</f>
        <v>27.669863013698635</v>
      </c>
      <c r="F107" s="829">
        <f>I13/I4</f>
        <v>28.161643835616442</v>
      </c>
      <c r="G107" s="829">
        <f>J13/J4</f>
        <v>30.095890410958908</v>
      </c>
      <c r="H107" s="830">
        <v>1E-3</v>
      </c>
    </row>
    <row r="108" spans="1:33">
      <c r="A108" s="641" t="s">
        <v>942</v>
      </c>
      <c r="B108" s="642"/>
      <c r="C108" s="642"/>
      <c r="D108" s="642"/>
      <c r="E108" s="649"/>
      <c r="F108" s="649"/>
      <c r="G108" s="649"/>
      <c r="H108" s="649"/>
    </row>
    <row r="109" spans="1:33" s="409" customFormat="1">
      <c r="A109" s="650" t="str">
        <f>$B$59</f>
        <v>TPubELC_LRAIL_00</v>
      </c>
      <c r="B109" s="650" t="str">
        <f>$C$59</f>
        <v>Public Transport - LIGHT RAIL Electric</v>
      </c>
      <c r="C109" s="650" t="str">
        <f>Commodities!$B$10</f>
        <v>TRAELC</v>
      </c>
      <c r="D109" s="650" t="str">
        <f>Commodities!$B$30</f>
        <v>TPRL</v>
      </c>
      <c r="E109" s="831">
        <f>H14/H5</f>
        <v>36.085721631736192</v>
      </c>
      <c r="F109" s="831">
        <f t="shared" ref="F109:G110" si="22">I14/I5</f>
        <v>38.613675696084762</v>
      </c>
      <c r="G109" s="831">
        <f t="shared" si="22"/>
        <v>41.268142361782488</v>
      </c>
      <c r="H109" s="639">
        <v>1E-3</v>
      </c>
    </row>
    <row r="110" spans="1:33" s="409" customFormat="1">
      <c r="A110" s="650" t="str">
        <f>$B$60</f>
        <v>TPubELC_HRAIL_00</v>
      </c>
      <c r="B110" s="650" t="str">
        <f>$C$60</f>
        <v>Public Transport - HEAVY RAIL Electric</v>
      </c>
      <c r="C110" s="650" t="str">
        <f>Commodities!$B$10</f>
        <v>TRAELC</v>
      </c>
      <c r="D110" s="650" t="str">
        <f>Commodities!$B$31</f>
        <v>TPRH</v>
      </c>
      <c r="E110" s="831">
        <f>H15/H6</f>
        <v>86.032608695652172</v>
      </c>
      <c r="F110" s="831">
        <f t="shared" si="22"/>
        <v>85.683060109289613</v>
      </c>
      <c r="G110" s="831">
        <f t="shared" si="22"/>
        <v>97.989130434782609</v>
      </c>
      <c r="H110" s="639">
        <v>1E-3</v>
      </c>
    </row>
    <row r="111" spans="1:33" s="409" customFormat="1">
      <c r="A111" s="650" t="str">
        <f>$B$61</f>
        <v>TPubDST_HRAIL_00</v>
      </c>
      <c r="B111" s="650" t="str">
        <f>$C$61</f>
        <v>Public Transport - HEAVY RAIL Diesel</v>
      </c>
      <c r="C111" s="650" t="str">
        <f>Commodities!$B$17</f>
        <v>TRADSTB</v>
      </c>
      <c r="D111" s="650" t="str">
        <f>Commodities!$B$31</f>
        <v>TPRH</v>
      </c>
      <c r="E111" s="831">
        <f>H15/H6</f>
        <v>86.032608695652172</v>
      </c>
      <c r="F111" s="831">
        <f t="shared" ref="F111:G111" si="23">I15/I6</f>
        <v>85.683060109289613</v>
      </c>
      <c r="G111" s="831">
        <f t="shared" si="23"/>
        <v>97.989130434782609</v>
      </c>
      <c r="H111" s="639">
        <v>1E-3</v>
      </c>
    </row>
    <row r="112" spans="1:33">
      <c r="A112" s="641" t="s">
        <v>943</v>
      </c>
      <c r="B112" s="642"/>
      <c r="C112" s="642"/>
      <c r="D112" s="642"/>
      <c r="E112" s="649"/>
      <c r="F112" s="649"/>
      <c r="G112" s="649"/>
      <c r="H112" s="649"/>
    </row>
    <row r="113" spans="1:19">
      <c r="A113" s="650" t="str">
        <f>$B$63</f>
        <v>TPubDST_PSV_00</v>
      </c>
      <c r="B113" s="650" t="str">
        <f>$C$63</f>
        <v>Public Transport - PSV Diesel</v>
      </c>
      <c r="C113" s="650" t="str">
        <f>Commodities!$B$17</f>
        <v>TRADSTB</v>
      </c>
      <c r="D113" s="650" t="str">
        <f>Commodities!$B$32</f>
        <v>TPSV</v>
      </c>
      <c r="E113" s="367">
        <f>CAR!$I$58</f>
        <v>1.49201152283105</v>
      </c>
      <c r="F113" s="367"/>
      <c r="G113" s="367"/>
      <c r="H113" s="639">
        <v>1E-3</v>
      </c>
    </row>
    <row r="114" spans="1:19">
      <c r="A114" s="650" t="str">
        <f>$B$64</f>
        <v>TPubGSL_PSV_00</v>
      </c>
      <c r="B114" s="650" t="str">
        <f>$C$64</f>
        <v>Public Transport - PSV Gasoline</v>
      </c>
      <c r="C114" s="650" t="str">
        <f>Commodities!$B$16</f>
        <v>TRAGSLE</v>
      </c>
      <c r="D114" s="650" t="str">
        <f>Commodities!$B$32</f>
        <v>TPSV</v>
      </c>
      <c r="E114" s="367">
        <f>CAR!$I$58</f>
        <v>1.49201152283105</v>
      </c>
      <c r="F114" s="367"/>
      <c r="G114" s="367"/>
      <c r="H114" s="639">
        <v>1E-3</v>
      </c>
    </row>
    <row r="115" spans="1:19">
      <c r="F115" s="639"/>
      <c r="I115" s="672"/>
      <c r="Q115" s="672"/>
      <c r="R115" s="672"/>
      <c r="S115" s="672"/>
    </row>
    <row r="117" spans="1:19" s="650" customFormat="1" ht="21">
      <c r="A117" s="645" t="s">
        <v>753</v>
      </c>
      <c r="B117" s="644"/>
    </row>
    <row r="118" spans="1:19" s="650" customFormat="1">
      <c r="A118" s="654"/>
      <c r="B118" s="654"/>
      <c r="C118" s="654"/>
      <c r="D118" s="657" t="s">
        <v>819</v>
      </c>
    </row>
    <row r="119" spans="1:19" s="650" customFormat="1">
      <c r="A119" s="655" t="s">
        <v>729</v>
      </c>
      <c r="B119" s="655" t="s">
        <v>737</v>
      </c>
      <c r="C119" s="655" t="s">
        <v>738</v>
      </c>
      <c r="D119" s="655" t="s">
        <v>739</v>
      </c>
      <c r="E119" s="656">
        <v>2012</v>
      </c>
    </row>
    <row r="120" spans="1:19" s="650" customFormat="1" ht="26.25" thickBot="1">
      <c r="A120" s="658" t="s">
        <v>740</v>
      </c>
      <c r="B120" s="658" t="s">
        <v>741</v>
      </c>
      <c r="C120" s="658" t="s">
        <v>742</v>
      </c>
      <c r="D120" s="658" t="s">
        <v>743</v>
      </c>
      <c r="E120" s="659" t="s">
        <v>750</v>
      </c>
    </row>
    <row r="121" spans="1:19" s="650" customFormat="1">
      <c r="A121" s="641" t="s">
        <v>941</v>
      </c>
      <c r="B121" s="642"/>
      <c r="C121" s="642"/>
      <c r="D121" s="642"/>
      <c r="E121" s="649"/>
    </row>
    <row r="122" spans="1:19">
      <c r="A122" s="650" t="str">
        <f>$B$56</f>
        <v>TPubDST_RBUS_00</v>
      </c>
      <c r="B122" s="650" t="str">
        <f>$C$56</f>
        <v>Public Transport - RURAL Diesel</v>
      </c>
      <c r="C122" s="650" t="str">
        <f>Commodities!$B$17</f>
        <v>TRADSTB</v>
      </c>
      <c r="D122" s="650" t="str">
        <f>Commodities!$B$27</f>
        <v>TPBR</v>
      </c>
      <c r="E122" s="763">
        <f>H2/E71</f>
        <v>160930.86419753084</v>
      </c>
    </row>
    <row r="123" spans="1:19">
      <c r="A123" s="650" t="str">
        <f>$B$55</f>
        <v>TPubDST_UBUS_00</v>
      </c>
      <c r="B123" s="650" t="str">
        <f>$C$55</f>
        <v>Public Transport - URBAN Diesel</v>
      </c>
      <c r="C123" s="650" t="str">
        <f>Commodities!$B$17</f>
        <v>TRADSTB</v>
      </c>
      <c r="D123" s="650" t="str">
        <f>Commodities!$B$28</f>
        <v>TPBU</v>
      </c>
      <c r="E123" s="763">
        <f>H3/E72</f>
        <v>86799.369747899167</v>
      </c>
    </row>
    <row r="124" spans="1:19">
      <c r="A124" s="650" t="str">
        <f>$B$57</f>
        <v>TPubDST_SBUS_00</v>
      </c>
      <c r="B124" s="650" t="str">
        <f>$C$57</f>
        <v>Public Transport - SCHOOL Diesel</v>
      </c>
      <c r="C124" s="650" t="str">
        <f>Commodities!$B$17</f>
        <v>TRADSTB</v>
      </c>
      <c r="D124" s="650" t="str">
        <f>Commodities!$B$29</f>
        <v>TPBS</v>
      </c>
      <c r="E124" s="763">
        <f>$H$4/E73</f>
        <v>5971.4</v>
      </c>
    </row>
    <row r="125" spans="1:19">
      <c r="A125" s="641" t="s">
        <v>942</v>
      </c>
      <c r="B125" s="642"/>
      <c r="C125" s="642"/>
      <c r="D125" s="642"/>
      <c r="E125" s="649"/>
    </row>
    <row r="126" spans="1:19">
      <c r="A126" s="650" t="str">
        <f>$B$59</f>
        <v>TPubELC_LRAIL_00</v>
      </c>
      <c r="B126" s="650" t="str">
        <f>$C$59</f>
        <v>Public Transport - LIGHT RAIL Electric</v>
      </c>
      <c r="C126" s="650" t="str">
        <f>Commodities!$B$10</f>
        <v>TRAELC</v>
      </c>
      <c r="D126" s="650" t="str">
        <f>Commodities!$B$30</f>
        <v>TPRL</v>
      </c>
      <c r="E126" s="823">
        <f>H5/E75</f>
        <v>60462.090909090904</v>
      </c>
    </row>
    <row r="127" spans="1:19" s="650" customFormat="1">
      <c r="A127" s="650" t="str">
        <f>$B$60</f>
        <v>TPubELC_HRAIL_00</v>
      </c>
      <c r="B127" s="650" t="str">
        <f>$C$60</f>
        <v>Public Transport - HEAVY RAIL Electric</v>
      </c>
      <c r="C127" s="650" t="str">
        <f>Commodities!$B$10</f>
        <v>TRAELC</v>
      </c>
      <c r="D127" s="650" t="str">
        <f>Commodities!$B$31</f>
        <v>TPRH</v>
      </c>
      <c r="E127" s="823">
        <f>H6*('PUB Rail Statistics'!F6/SUM('PUB Rail Statistics'!F4:F7))/E76</f>
        <v>151261.3780876669</v>
      </c>
    </row>
    <row r="128" spans="1:19">
      <c r="A128" s="650" t="str">
        <f>$B$61</f>
        <v>TPubDST_HRAIL_00</v>
      </c>
      <c r="B128" s="650" t="str">
        <f>$C$61</f>
        <v>Public Transport - HEAVY RAIL Diesel</v>
      </c>
      <c r="C128" s="650" t="str">
        <f>Commodities!$B$17</f>
        <v>TRADSTB</v>
      </c>
      <c r="D128" s="650" t="str">
        <f>Commodities!$B$31</f>
        <v>TPRH</v>
      </c>
      <c r="E128" s="823">
        <f>H6*(SUM('PUB Rail Statistics'!F4,'PUB Rail Statistics'!F5,'PUB Rail Statistics'!F7)/SUM('PUB Rail Statistics'!F4:F7))/E77</f>
        <v>73155.613468342519</v>
      </c>
    </row>
    <row r="129" spans="1:5">
      <c r="A129" s="641" t="s">
        <v>943</v>
      </c>
      <c r="B129" s="642"/>
      <c r="C129" s="642"/>
      <c r="D129" s="642"/>
      <c r="E129" s="649"/>
    </row>
    <row r="130" spans="1:5">
      <c r="A130" s="650" t="str">
        <f>$B$63</f>
        <v>TPubDST_PSV_00</v>
      </c>
      <c r="B130" s="650" t="str">
        <f>$C$63</f>
        <v>Public Transport - PSV Diesel</v>
      </c>
      <c r="C130" s="650" t="str">
        <f>Commodities!$B$17</f>
        <v>TRADSTB</v>
      </c>
      <c r="D130" s="650" t="str">
        <f>Commodities!$B$32</f>
        <v>TPSV</v>
      </c>
      <c r="E130" s="763">
        <f>IF(E80=0,"",'PUB PSV Projections'!B7/'PUB PSV Projections'!B3)</f>
        <v>46741.832428075584</v>
      </c>
    </row>
    <row r="131" spans="1:5">
      <c r="A131" s="650" t="str">
        <f>$B$64</f>
        <v>TPubGSL_PSV_00</v>
      </c>
      <c r="B131" s="650" t="str">
        <f>$C$64</f>
        <v>Public Transport - PSV Gasoline</v>
      </c>
      <c r="C131" s="650" t="str">
        <f>Commodities!$B$16</f>
        <v>TRAGSLE</v>
      </c>
      <c r="D131" s="650" t="str">
        <f>Commodities!$B$32</f>
        <v>TPSV</v>
      </c>
      <c r="E131" s="763">
        <f>IF(E79=0,"",'PUB PSV Projections'!B6/'PUB PSV Projections'!B2)</f>
        <v>37305.525540099545</v>
      </c>
    </row>
    <row r="134" spans="1:5">
      <c r="E134" s="386">
        <f>AVERAGE(E130:E131)</f>
        <v>42023.678984087564</v>
      </c>
    </row>
  </sheetData>
  <mergeCells count="4">
    <mergeCell ref="P60:P61"/>
    <mergeCell ref="R60:R61"/>
    <mergeCell ref="S60:S61"/>
    <mergeCell ref="Q60:Q61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3">
    <tabColor theme="7" tint="0.39997558519241921"/>
  </sheetPr>
  <dimension ref="A1:AQ39"/>
  <sheetViews>
    <sheetView topLeftCell="A10" workbookViewId="0">
      <selection activeCell="N31" sqref="N31"/>
    </sheetView>
  </sheetViews>
  <sheetFormatPr defaultRowHeight="15"/>
  <cols>
    <col min="1" max="1" width="9.140625" style="673"/>
    <col min="2" max="2" width="15.42578125" style="673" customWidth="1"/>
    <col min="3" max="3" width="23.140625" style="673" bestFit="1" customWidth="1"/>
    <col min="4" max="8" width="11.42578125" style="673" customWidth="1"/>
    <col min="9" max="40" width="9.140625" style="673"/>
    <col min="41" max="16384" width="9.140625" style="850"/>
  </cols>
  <sheetData>
    <row r="1" spans="1:40">
      <c r="A1" s="898" t="s">
        <v>1088</v>
      </c>
    </row>
    <row r="2" spans="1:40" ht="65.25" thickBot="1">
      <c r="A2" s="839" t="s">
        <v>92</v>
      </c>
      <c r="B2" s="839" t="s">
        <v>1073</v>
      </c>
      <c r="C2" s="840" t="s">
        <v>1035</v>
      </c>
      <c r="D2" s="842" t="s">
        <v>1036</v>
      </c>
      <c r="E2" s="843" t="s">
        <v>1037</v>
      </c>
      <c r="F2" s="844" t="s">
        <v>1038</v>
      </c>
      <c r="G2" s="845" t="s">
        <v>1039</v>
      </c>
      <c r="H2" s="845" t="s">
        <v>1040</v>
      </c>
      <c r="I2" s="846" t="s">
        <v>1041</v>
      </c>
      <c r="J2" s="843" t="s">
        <v>1042</v>
      </c>
      <c r="K2" s="844" t="s">
        <v>1043</v>
      </c>
      <c r="L2" s="844" t="s">
        <v>1044</v>
      </c>
      <c r="M2" s="846" t="s">
        <v>1045</v>
      </c>
      <c r="N2" s="843" t="s">
        <v>1046</v>
      </c>
      <c r="O2" s="844" t="s">
        <v>1047</v>
      </c>
      <c r="P2" s="844" t="s">
        <v>1048</v>
      </c>
      <c r="Q2" s="844" t="s">
        <v>1049</v>
      </c>
      <c r="R2" s="844" t="s">
        <v>1050</v>
      </c>
      <c r="S2" s="844" t="s">
        <v>1051</v>
      </c>
      <c r="T2" s="844" t="s">
        <v>1052</v>
      </c>
      <c r="U2" s="844" t="s">
        <v>1053</v>
      </c>
      <c r="V2" s="844" t="s">
        <v>1054</v>
      </c>
      <c r="W2" s="845" t="s">
        <v>1055</v>
      </c>
      <c r="X2" s="845" t="s">
        <v>1056</v>
      </c>
      <c r="Y2" s="845" t="s">
        <v>1057</v>
      </c>
      <c r="Z2" s="844" t="s">
        <v>1058</v>
      </c>
      <c r="AA2" s="846" t="s">
        <v>1059</v>
      </c>
      <c r="AB2" s="847" t="s">
        <v>1060</v>
      </c>
      <c r="AC2" s="848" t="s">
        <v>1061</v>
      </c>
      <c r="AD2" s="844" t="s">
        <v>1062</v>
      </c>
      <c r="AE2" s="844" t="s">
        <v>1063</v>
      </c>
      <c r="AF2" s="844" t="s">
        <v>1064</v>
      </c>
      <c r="AG2" s="844" t="s">
        <v>1065</v>
      </c>
      <c r="AH2" s="844" t="s">
        <v>1066</v>
      </c>
      <c r="AI2" s="844" t="s">
        <v>1067</v>
      </c>
      <c r="AJ2" s="845" t="s">
        <v>1068</v>
      </c>
      <c r="AK2" s="846" t="s">
        <v>1069</v>
      </c>
      <c r="AL2" s="846" t="s">
        <v>1070</v>
      </c>
      <c r="AM2" s="847" t="s">
        <v>1071</v>
      </c>
      <c r="AN2" s="849" t="s">
        <v>1072</v>
      </c>
    </row>
    <row r="3" spans="1:40">
      <c r="A3" s="851">
        <v>2012</v>
      </c>
      <c r="B3" s="852" t="s">
        <v>1074</v>
      </c>
      <c r="C3" s="853"/>
      <c r="D3" s="854">
        <v>0</v>
      </c>
      <c r="E3" s="855"/>
      <c r="F3" s="856"/>
      <c r="G3" s="857"/>
      <c r="H3" s="857"/>
      <c r="I3" s="858">
        <v>0</v>
      </c>
      <c r="J3" s="855"/>
      <c r="K3" s="856"/>
      <c r="L3" s="856"/>
      <c r="M3" s="858">
        <v>249.12189701239748</v>
      </c>
      <c r="N3" s="856"/>
      <c r="O3" s="856"/>
      <c r="P3" s="856">
        <v>41.928499579713105</v>
      </c>
      <c r="Q3" s="856"/>
      <c r="R3" s="856"/>
      <c r="S3" s="856"/>
      <c r="T3" s="856"/>
      <c r="U3" s="856">
        <v>207.19339743268438</v>
      </c>
      <c r="V3" s="856"/>
      <c r="W3" s="857"/>
      <c r="X3" s="857"/>
      <c r="Y3" s="857"/>
      <c r="Z3" s="856"/>
      <c r="AA3" s="859"/>
      <c r="AB3" s="860">
        <v>6.4168515729606517</v>
      </c>
      <c r="AC3" s="861"/>
      <c r="AD3" s="856"/>
      <c r="AE3" s="856"/>
      <c r="AF3" s="856"/>
      <c r="AG3" s="856"/>
      <c r="AH3" s="856">
        <v>6.4168515729606517</v>
      </c>
      <c r="AI3" s="856"/>
      <c r="AJ3" s="856"/>
      <c r="AK3" s="859"/>
      <c r="AL3" s="862"/>
      <c r="AM3" s="860"/>
      <c r="AN3" s="863">
        <v>255.53874858535812</v>
      </c>
    </row>
    <row r="4" spans="1:40">
      <c r="A4" s="864"/>
      <c r="B4" s="865" t="s">
        <v>1034</v>
      </c>
      <c r="C4" s="866"/>
      <c r="D4" s="854">
        <v>0</v>
      </c>
      <c r="E4" s="855"/>
      <c r="F4" s="856"/>
      <c r="G4" s="857"/>
      <c r="H4" s="857"/>
      <c r="I4" s="858">
        <v>0</v>
      </c>
      <c r="J4" s="855"/>
      <c r="K4" s="856"/>
      <c r="L4" s="856"/>
      <c r="M4" s="858">
        <v>59.201897215234432</v>
      </c>
      <c r="N4" s="856"/>
      <c r="O4" s="856"/>
      <c r="P4" s="856"/>
      <c r="Q4" s="856"/>
      <c r="R4" s="856"/>
      <c r="S4" s="856"/>
      <c r="T4" s="856"/>
      <c r="U4" s="856">
        <v>59.201897215234432</v>
      </c>
      <c r="V4" s="856"/>
      <c r="W4" s="857"/>
      <c r="X4" s="857"/>
      <c r="Y4" s="857"/>
      <c r="Z4" s="856"/>
      <c r="AA4" s="859"/>
      <c r="AB4" s="860">
        <v>0</v>
      </c>
      <c r="AC4" s="861"/>
      <c r="AD4" s="856"/>
      <c r="AE4" s="856"/>
      <c r="AF4" s="856"/>
      <c r="AG4" s="856"/>
      <c r="AH4" s="856"/>
      <c r="AI4" s="856"/>
      <c r="AJ4" s="856"/>
      <c r="AK4" s="859"/>
      <c r="AL4" s="862"/>
      <c r="AM4" s="860"/>
      <c r="AN4" s="863">
        <v>59.201897215234432</v>
      </c>
    </row>
    <row r="5" spans="1:40" ht="15.75" thickBot="1">
      <c r="A5" s="867"/>
      <c r="B5" s="868" t="s">
        <v>1075</v>
      </c>
      <c r="C5" s="869"/>
      <c r="D5" s="870">
        <v>0</v>
      </c>
      <c r="E5" s="871"/>
      <c r="F5" s="872"/>
      <c r="G5" s="873"/>
      <c r="H5" s="873"/>
      <c r="I5" s="874">
        <v>0</v>
      </c>
      <c r="J5" s="871"/>
      <c r="K5" s="872"/>
      <c r="L5" s="872"/>
      <c r="M5" s="874">
        <v>33.050247676123917</v>
      </c>
      <c r="N5" s="872"/>
      <c r="O5" s="872"/>
      <c r="P5" s="872">
        <v>29.375414615789989</v>
      </c>
      <c r="Q5" s="872"/>
      <c r="R5" s="872"/>
      <c r="S5" s="872">
        <v>0</v>
      </c>
      <c r="T5" s="872"/>
      <c r="U5" s="872">
        <v>3.6748330603339263</v>
      </c>
      <c r="V5" s="872"/>
      <c r="W5" s="873"/>
      <c r="X5" s="873"/>
      <c r="Y5" s="873"/>
      <c r="Z5" s="872"/>
      <c r="AA5" s="875"/>
      <c r="AB5" s="876">
        <v>0.75754577323625383</v>
      </c>
      <c r="AC5" s="877"/>
      <c r="AD5" s="872"/>
      <c r="AE5" s="872"/>
      <c r="AF5" s="872"/>
      <c r="AG5" s="872"/>
      <c r="AH5" s="872">
        <v>0.75754577323625383</v>
      </c>
      <c r="AI5" s="872"/>
      <c r="AJ5" s="872"/>
      <c r="AK5" s="875"/>
      <c r="AL5" s="875"/>
      <c r="AM5" s="876"/>
      <c r="AN5" s="878">
        <v>33.807793449360169</v>
      </c>
    </row>
    <row r="6" spans="1:40">
      <c r="A6" s="851">
        <v>2013</v>
      </c>
      <c r="B6" s="852" t="s">
        <v>1074</v>
      </c>
      <c r="C6" s="879"/>
      <c r="D6" s="880">
        <v>0</v>
      </c>
      <c r="E6" s="881"/>
      <c r="F6" s="882"/>
      <c r="G6" s="883"/>
      <c r="H6" s="883"/>
      <c r="I6" s="884">
        <v>0</v>
      </c>
      <c r="J6" s="881"/>
      <c r="K6" s="882"/>
      <c r="L6" s="882"/>
      <c r="M6" s="884">
        <v>221.73602063406656</v>
      </c>
      <c r="N6" s="882"/>
      <c r="O6" s="882"/>
      <c r="P6" s="882">
        <v>28.289175697845717</v>
      </c>
      <c r="Q6" s="882"/>
      <c r="R6" s="882"/>
      <c r="S6" s="882"/>
      <c r="T6" s="882"/>
      <c r="U6" s="882">
        <v>193.44684493622086</v>
      </c>
      <c r="V6" s="882"/>
      <c r="W6" s="883"/>
      <c r="X6" s="883"/>
      <c r="Y6" s="883"/>
      <c r="Z6" s="882"/>
      <c r="AA6" s="885"/>
      <c r="AB6" s="886">
        <v>6.9455496254404601</v>
      </c>
      <c r="AC6" s="887"/>
      <c r="AD6" s="882"/>
      <c r="AE6" s="882"/>
      <c r="AF6" s="882"/>
      <c r="AG6" s="882"/>
      <c r="AH6" s="882">
        <v>6.9455496254404601</v>
      </c>
      <c r="AI6" s="882"/>
      <c r="AJ6" s="882"/>
      <c r="AK6" s="885"/>
      <c r="AL6" s="862"/>
      <c r="AM6" s="886"/>
      <c r="AN6" s="888">
        <v>228.68157025950703</v>
      </c>
    </row>
    <row r="7" spans="1:40">
      <c r="A7" s="864"/>
      <c r="B7" s="865" t="s">
        <v>1034</v>
      </c>
      <c r="C7" s="866"/>
      <c r="D7" s="854">
        <v>0</v>
      </c>
      <c r="E7" s="855"/>
      <c r="F7" s="856"/>
      <c r="G7" s="857"/>
      <c r="H7" s="857"/>
      <c r="I7" s="858">
        <v>0</v>
      </c>
      <c r="J7" s="855"/>
      <c r="K7" s="856"/>
      <c r="L7" s="856"/>
      <c r="M7" s="858">
        <v>57.908261168535745</v>
      </c>
      <c r="N7" s="856"/>
      <c r="O7" s="856"/>
      <c r="P7" s="856"/>
      <c r="Q7" s="856"/>
      <c r="R7" s="856"/>
      <c r="S7" s="856"/>
      <c r="T7" s="856"/>
      <c r="U7" s="856">
        <v>57.908261168535745</v>
      </c>
      <c r="V7" s="856"/>
      <c r="W7" s="857"/>
      <c r="X7" s="857"/>
      <c r="Y7" s="857"/>
      <c r="Z7" s="856"/>
      <c r="AA7" s="859"/>
      <c r="AB7" s="860">
        <v>0</v>
      </c>
      <c r="AC7" s="861"/>
      <c r="AD7" s="856"/>
      <c r="AE7" s="856"/>
      <c r="AF7" s="856"/>
      <c r="AG7" s="856"/>
      <c r="AH7" s="856"/>
      <c r="AI7" s="856"/>
      <c r="AJ7" s="856"/>
      <c r="AK7" s="859"/>
      <c r="AL7" s="862"/>
      <c r="AM7" s="860"/>
      <c r="AN7" s="863">
        <v>57.908261168535745</v>
      </c>
    </row>
    <row r="8" spans="1:40" ht="15.75" thickBot="1">
      <c r="A8" s="867"/>
      <c r="B8" s="868" t="s">
        <v>1075</v>
      </c>
      <c r="C8" s="869"/>
      <c r="D8" s="870">
        <v>0</v>
      </c>
      <c r="E8" s="871"/>
      <c r="F8" s="872"/>
      <c r="G8" s="873"/>
      <c r="H8" s="873"/>
      <c r="I8" s="874">
        <v>0</v>
      </c>
      <c r="J8" s="871"/>
      <c r="K8" s="872"/>
      <c r="L8" s="872"/>
      <c r="M8" s="874">
        <v>177.32909588279878</v>
      </c>
      <c r="N8" s="872"/>
      <c r="O8" s="872"/>
      <c r="P8" s="872">
        <v>28.550047410672505</v>
      </c>
      <c r="Q8" s="872"/>
      <c r="R8" s="872"/>
      <c r="S8" s="872">
        <v>0</v>
      </c>
      <c r="T8" s="872"/>
      <c r="U8" s="872">
        <v>148.77904847212628</v>
      </c>
      <c r="V8" s="872"/>
      <c r="W8" s="873"/>
      <c r="X8" s="873"/>
      <c r="Y8" s="873"/>
      <c r="Z8" s="872"/>
      <c r="AA8" s="875"/>
      <c r="AB8" s="876">
        <v>5.5038673449220017</v>
      </c>
      <c r="AC8" s="877"/>
      <c r="AD8" s="872"/>
      <c r="AE8" s="872"/>
      <c r="AF8" s="872"/>
      <c r="AG8" s="872"/>
      <c r="AH8" s="872">
        <v>5.5038673449220017</v>
      </c>
      <c r="AI8" s="872"/>
      <c r="AJ8" s="872"/>
      <c r="AK8" s="875"/>
      <c r="AL8" s="875"/>
      <c r="AM8" s="876"/>
      <c r="AN8" s="878">
        <v>182.8329632277208</v>
      </c>
    </row>
    <row r="9" spans="1:40">
      <c r="A9" s="851">
        <v>2014</v>
      </c>
      <c r="B9" s="852" t="s">
        <v>1074</v>
      </c>
      <c r="C9" s="879"/>
      <c r="D9" s="880">
        <v>0</v>
      </c>
      <c r="E9" s="881"/>
      <c r="F9" s="882"/>
      <c r="G9" s="883"/>
      <c r="H9" s="883"/>
      <c r="I9" s="884">
        <v>0</v>
      </c>
      <c r="J9" s="881"/>
      <c r="K9" s="882"/>
      <c r="L9" s="882"/>
      <c r="M9" s="884">
        <v>310.02643510258548</v>
      </c>
      <c r="N9" s="882"/>
      <c r="O9" s="882"/>
      <c r="P9" s="882">
        <v>47.695396040602795</v>
      </c>
      <c r="Q9" s="882"/>
      <c r="R9" s="882"/>
      <c r="S9" s="882"/>
      <c r="T9" s="882"/>
      <c r="U9" s="882">
        <v>262.33103906198266</v>
      </c>
      <c r="V9" s="882"/>
      <c r="W9" s="883"/>
      <c r="X9" s="883"/>
      <c r="Y9" s="883"/>
      <c r="Z9" s="882"/>
      <c r="AA9" s="885"/>
      <c r="AB9" s="886">
        <v>10.86556788307805</v>
      </c>
      <c r="AC9" s="887"/>
      <c r="AD9" s="882"/>
      <c r="AE9" s="882"/>
      <c r="AF9" s="882"/>
      <c r="AG9" s="882"/>
      <c r="AH9" s="882">
        <v>10.86556788307805</v>
      </c>
      <c r="AI9" s="882"/>
      <c r="AJ9" s="882"/>
      <c r="AK9" s="885"/>
      <c r="AL9" s="862"/>
      <c r="AM9" s="886"/>
      <c r="AN9" s="888">
        <v>320.89200298566351</v>
      </c>
    </row>
    <row r="10" spans="1:40">
      <c r="A10" s="864"/>
      <c r="B10" s="865" t="s">
        <v>1034</v>
      </c>
      <c r="C10" s="866"/>
      <c r="D10" s="854">
        <v>0</v>
      </c>
      <c r="E10" s="855"/>
      <c r="F10" s="856"/>
      <c r="G10" s="857"/>
      <c r="H10" s="857"/>
      <c r="I10" s="858">
        <v>0</v>
      </c>
      <c r="J10" s="855"/>
      <c r="K10" s="856"/>
      <c r="L10" s="856"/>
      <c r="M10" s="858">
        <v>72.491976217242637</v>
      </c>
      <c r="N10" s="856"/>
      <c r="O10" s="856"/>
      <c r="P10" s="856"/>
      <c r="Q10" s="856"/>
      <c r="R10" s="856"/>
      <c r="S10" s="856"/>
      <c r="T10" s="856"/>
      <c r="U10" s="856">
        <v>72.491976217242637</v>
      </c>
      <c r="V10" s="856"/>
      <c r="W10" s="857"/>
      <c r="X10" s="857"/>
      <c r="Y10" s="857"/>
      <c r="Z10" s="856"/>
      <c r="AA10" s="859"/>
      <c r="AB10" s="860">
        <v>0</v>
      </c>
      <c r="AC10" s="861"/>
      <c r="AD10" s="856"/>
      <c r="AE10" s="856"/>
      <c r="AF10" s="856"/>
      <c r="AG10" s="856"/>
      <c r="AH10" s="856"/>
      <c r="AI10" s="856"/>
      <c r="AJ10" s="856"/>
      <c r="AK10" s="859"/>
      <c r="AL10" s="862"/>
      <c r="AM10" s="860"/>
      <c r="AN10" s="863">
        <v>72.491976217242637</v>
      </c>
    </row>
    <row r="11" spans="1:40" ht="15.75" thickBot="1">
      <c r="A11" s="867"/>
      <c r="B11" s="868" t="s">
        <v>1075</v>
      </c>
      <c r="C11" s="869"/>
      <c r="D11" s="870">
        <v>0</v>
      </c>
      <c r="E11" s="871"/>
      <c r="F11" s="872"/>
      <c r="G11" s="873"/>
      <c r="H11" s="873"/>
      <c r="I11" s="874">
        <v>0</v>
      </c>
      <c r="J11" s="871"/>
      <c r="K11" s="872"/>
      <c r="L11" s="872"/>
      <c r="M11" s="874">
        <v>136.97982000591765</v>
      </c>
      <c r="N11" s="872"/>
      <c r="O11" s="872"/>
      <c r="P11" s="872">
        <v>26.613862732319959</v>
      </c>
      <c r="Q11" s="872"/>
      <c r="R11" s="872"/>
      <c r="S11" s="872">
        <v>0</v>
      </c>
      <c r="T11" s="872"/>
      <c r="U11" s="872">
        <v>110.36595727359767</v>
      </c>
      <c r="V11" s="872"/>
      <c r="W11" s="873"/>
      <c r="X11" s="873"/>
      <c r="Y11" s="873"/>
      <c r="Z11" s="872"/>
      <c r="AA11" s="875"/>
      <c r="AB11" s="876">
        <v>4.7251058797119381</v>
      </c>
      <c r="AC11" s="877"/>
      <c r="AD11" s="872"/>
      <c r="AE11" s="872"/>
      <c r="AF11" s="872"/>
      <c r="AG11" s="872"/>
      <c r="AH11" s="872">
        <v>4.7251058797119381</v>
      </c>
      <c r="AI11" s="872"/>
      <c r="AJ11" s="872"/>
      <c r="AK11" s="875"/>
      <c r="AL11" s="875"/>
      <c r="AM11" s="876"/>
      <c r="AN11" s="878">
        <v>141.70492588562959</v>
      </c>
    </row>
    <row r="14" spans="1:40" ht="21">
      <c r="A14" s="889" t="s">
        <v>781</v>
      </c>
      <c r="B14" s="890"/>
    </row>
    <row r="16" spans="1:40">
      <c r="A16" s="665" t="s">
        <v>719</v>
      </c>
      <c r="B16" s="665"/>
      <c r="C16" s="891"/>
      <c r="D16" s="891"/>
      <c r="E16" s="891"/>
      <c r="F16" s="891"/>
      <c r="G16" s="891"/>
      <c r="H16" s="891"/>
    </row>
    <row r="17" spans="1:43" ht="15.75" thickBot="1">
      <c r="A17" s="653" t="s">
        <v>728</v>
      </c>
      <c r="B17" s="653" t="s">
        <v>729</v>
      </c>
      <c r="C17" s="653" t="s">
        <v>730</v>
      </c>
      <c r="D17" s="653" t="s">
        <v>731</v>
      </c>
      <c r="E17" s="653" t="s">
        <v>732</v>
      </c>
      <c r="F17" s="653" t="s">
        <v>733</v>
      </c>
      <c r="G17" s="653" t="s">
        <v>734</v>
      </c>
      <c r="H17" s="653" t="s">
        <v>10</v>
      </c>
    </row>
    <row r="18" spans="1:43">
      <c r="A18" s="673" t="s">
        <v>778</v>
      </c>
      <c r="B18" s="673" t="s">
        <v>1196</v>
      </c>
      <c r="C18" s="673" t="s">
        <v>1076</v>
      </c>
      <c r="D18" s="673" t="s">
        <v>765</v>
      </c>
      <c r="E18" s="673" t="s">
        <v>787</v>
      </c>
    </row>
    <row r="19" spans="1:43">
      <c r="B19" s="673" t="s">
        <v>1197</v>
      </c>
      <c r="C19" s="673" t="s">
        <v>1077</v>
      </c>
      <c r="D19" s="673" t="s">
        <v>765</v>
      </c>
      <c r="E19" s="673" t="s">
        <v>787</v>
      </c>
    </row>
    <row r="23" spans="1:43" ht="21">
      <c r="A23" s="889" t="s">
        <v>791</v>
      </c>
      <c r="B23" s="890"/>
    </row>
    <row r="24" spans="1:43">
      <c r="A24" s="654"/>
      <c r="B24" s="654"/>
      <c r="C24" s="654"/>
      <c r="D24" s="657" t="s">
        <v>736</v>
      </c>
    </row>
    <row r="25" spans="1:43" ht="30">
      <c r="B25" s="655" t="s">
        <v>729</v>
      </c>
      <c r="C25" s="655" t="s">
        <v>738</v>
      </c>
      <c r="D25" s="655" t="s">
        <v>739</v>
      </c>
      <c r="E25" s="946" t="s">
        <v>1087</v>
      </c>
      <c r="F25" s="946" t="s">
        <v>1092</v>
      </c>
      <c r="G25" s="946" t="s">
        <v>1093</v>
      </c>
      <c r="H25" s="656" t="s">
        <v>790</v>
      </c>
      <c r="I25" s="656" t="s">
        <v>746</v>
      </c>
      <c r="AO25" s="673"/>
      <c r="AP25" s="673"/>
    </row>
    <row r="26" spans="1:43" ht="30.75" thickBot="1">
      <c r="B26" s="832" t="s">
        <v>740</v>
      </c>
      <c r="C26" s="832" t="s">
        <v>742</v>
      </c>
      <c r="D26" s="832" t="s">
        <v>743</v>
      </c>
      <c r="E26" s="896"/>
      <c r="F26" s="896"/>
      <c r="G26" s="896"/>
      <c r="H26" s="833"/>
      <c r="I26" s="833"/>
      <c r="AO26" s="673"/>
      <c r="AP26" s="673"/>
    </row>
    <row r="27" spans="1:43">
      <c r="B27" s="834" t="str">
        <f>B18</f>
        <v>TNav_00_ROI</v>
      </c>
      <c r="C27" s="834" t="str">
        <f>Commodities!$B$19</f>
        <v>TRAGSLN</v>
      </c>
      <c r="E27" s="841"/>
      <c r="F27" s="841"/>
      <c r="G27" s="841"/>
      <c r="H27" s="892">
        <v>1</v>
      </c>
      <c r="I27" s="892">
        <v>1</v>
      </c>
      <c r="AO27" s="673"/>
      <c r="AP27" s="673"/>
    </row>
    <row r="28" spans="1:43">
      <c r="C28" s="834" t="str">
        <f>Commodities!$B$20</f>
        <v>TRADSTN</v>
      </c>
      <c r="E28" s="841">
        <f>SUM(U4/AN4)</f>
        <v>1</v>
      </c>
      <c r="F28" s="841">
        <f>1-F27</f>
        <v>1</v>
      </c>
      <c r="G28" s="841">
        <f>1-G27</f>
        <v>1</v>
      </c>
      <c r="H28" s="892"/>
      <c r="I28" s="892"/>
      <c r="AO28" s="673"/>
      <c r="AP28" s="673"/>
    </row>
    <row r="29" spans="1:43">
      <c r="B29" s="834"/>
      <c r="D29" s="834" t="str">
        <f>Commodities!$B$33</f>
        <v>TNAV</v>
      </c>
      <c r="E29" s="897"/>
      <c r="F29" s="897"/>
      <c r="G29" s="897"/>
      <c r="H29" s="892"/>
      <c r="I29" s="892"/>
      <c r="J29" s="892"/>
      <c r="AO29" s="673"/>
      <c r="AP29" s="673"/>
      <c r="AQ29" s="673"/>
    </row>
    <row r="30" spans="1:43">
      <c r="B30" s="834" t="str">
        <f>B19</f>
        <v>TOth_00_ROI</v>
      </c>
      <c r="C30" s="834" t="str">
        <f>Commodities!$B$19</f>
        <v>TRAGSLN</v>
      </c>
      <c r="E30" s="893">
        <f>SUM(P3,P5)/SUM(AN$3,AN$5)</f>
        <v>0.24643084964515469</v>
      </c>
      <c r="F30" s="893">
        <f>SUM(P6,P8)/SUM(AN6,AN8)</f>
        <v>0.13812203089610284</v>
      </c>
      <c r="G30" s="893">
        <f>SUM(P9,P11)/SUM(AN9,AN11)</f>
        <v>0.16063500238584072</v>
      </c>
      <c r="H30" s="892">
        <v>1</v>
      </c>
      <c r="I30" s="892">
        <v>1</v>
      </c>
      <c r="AO30" s="673"/>
      <c r="AP30" s="673"/>
      <c r="AQ30" s="673"/>
    </row>
    <row r="31" spans="1:43">
      <c r="C31" s="834" t="str">
        <f>Commodities!$B$20</f>
        <v>TRADSTN</v>
      </c>
      <c r="E31" s="893">
        <f>SUM(U3,U5)/SUM(AN3,AN5)</f>
        <v>0.72877397811692701</v>
      </c>
      <c r="F31" s="893">
        <f>SUM(U6,U8)/SUM(AN6,AN8)</f>
        <v>0.83162529038350186</v>
      </c>
      <c r="G31" s="893">
        <f>SUM(U9,U11)/SUM(AN9,AN11)</f>
        <v>0.80566249595503614</v>
      </c>
      <c r="H31" s="115"/>
      <c r="I31" s="115"/>
      <c r="AO31" s="673"/>
      <c r="AP31" s="673"/>
      <c r="AQ31" s="673"/>
    </row>
    <row r="32" spans="1:43">
      <c r="C32" s="673" t="str">
        <f>Commodities!$B$7</f>
        <v>TRAETH</v>
      </c>
      <c r="D32" s="850"/>
      <c r="E32" s="893">
        <f>SUM(AH3,AH5)/SUM(AN3,AN5)/2</f>
        <v>1.2397586118959147E-2</v>
      </c>
      <c r="F32" s="895">
        <f>SUM(AH6,AH8)/SUM(AN6,AN8)/2</f>
        <v>1.5126339360197657E-2</v>
      </c>
      <c r="G32" s="895">
        <f>SUM(AH9,AH11)/SUM(AN9,AN11)/2</f>
        <v>1.6851250829561529E-2</v>
      </c>
      <c r="H32" s="115"/>
      <c r="I32" s="115"/>
      <c r="AO32" s="673"/>
      <c r="AP32" s="673"/>
      <c r="AQ32" s="673"/>
    </row>
    <row r="33" spans="2:43">
      <c r="C33" s="673" t="str">
        <f>Commodities!$B$8</f>
        <v>TRABDL</v>
      </c>
      <c r="E33" s="895">
        <f>E32</f>
        <v>1.2397586118959147E-2</v>
      </c>
      <c r="F33" s="895">
        <f>F32</f>
        <v>1.5126339360197657E-2</v>
      </c>
      <c r="G33" s="895">
        <f>G32</f>
        <v>1.6851250829561529E-2</v>
      </c>
      <c r="H33" s="115"/>
      <c r="I33" s="115"/>
      <c r="AO33" s="673"/>
      <c r="AP33" s="673"/>
      <c r="AQ33" s="673"/>
    </row>
    <row r="34" spans="2:43">
      <c r="D34" s="834" t="str">
        <f>Commodities!$B$34</f>
        <v>TOTH</v>
      </c>
      <c r="E34" s="850"/>
      <c r="F34" s="850"/>
      <c r="AO34" s="673"/>
    </row>
    <row r="35" spans="2:43">
      <c r="E35" s="893"/>
      <c r="F35" s="850"/>
    </row>
    <row r="36" spans="2:43">
      <c r="F36" s="895"/>
    </row>
    <row r="39" spans="2:43">
      <c r="B39" s="834"/>
      <c r="C39" s="835"/>
      <c r="D39" s="834"/>
    </row>
  </sheetData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4">
    <tabColor theme="9"/>
  </sheetPr>
  <dimension ref="A1:Y32"/>
  <sheetViews>
    <sheetView workbookViewId="0">
      <selection activeCell="C32" sqref="C32"/>
    </sheetView>
  </sheetViews>
  <sheetFormatPr defaultRowHeight="15"/>
  <cols>
    <col min="1" max="1" width="30.7109375" bestFit="1" customWidth="1"/>
    <col min="22" max="22" width="10.28515625" bestFit="1" customWidth="1"/>
    <col min="24" max="24" width="25.85546875" bestFit="1" customWidth="1"/>
    <col min="25" max="25" width="13.5703125" bestFit="1" customWidth="1"/>
  </cols>
  <sheetData>
    <row r="1" spans="1:25">
      <c r="A1" s="419" t="s">
        <v>532</v>
      </c>
      <c r="B1" s="418">
        <v>1990</v>
      </c>
      <c r="C1" s="414">
        <v>1991</v>
      </c>
      <c r="D1" s="414">
        <v>1992</v>
      </c>
      <c r="E1" s="414">
        <v>1993</v>
      </c>
      <c r="F1" s="414">
        <v>1994</v>
      </c>
      <c r="G1" s="414">
        <v>1995</v>
      </c>
      <c r="H1" s="414">
        <v>1996</v>
      </c>
      <c r="I1" s="414">
        <v>1997</v>
      </c>
      <c r="J1" s="414">
        <v>1998</v>
      </c>
      <c r="K1" s="414">
        <v>1999</v>
      </c>
      <c r="L1" s="414">
        <v>2000</v>
      </c>
      <c r="M1" s="414">
        <v>2001</v>
      </c>
      <c r="N1" s="414">
        <v>2002</v>
      </c>
      <c r="O1" s="414">
        <v>2003</v>
      </c>
      <c r="P1" s="414">
        <v>2004</v>
      </c>
      <c r="Q1" s="414">
        <v>2005</v>
      </c>
      <c r="R1" s="414">
        <v>2006</v>
      </c>
      <c r="S1" s="414">
        <v>2007</v>
      </c>
      <c r="T1" s="414">
        <v>2008</v>
      </c>
      <c r="U1" s="414">
        <v>2009</v>
      </c>
      <c r="V1" s="414">
        <v>2010</v>
      </c>
      <c r="W1" s="414">
        <v>2011</v>
      </c>
      <c r="X1" s="414">
        <v>2012</v>
      </c>
      <c r="Y1" s="415">
        <v>2013</v>
      </c>
    </row>
    <row r="2" spans="1:25">
      <c r="A2" s="417" t="s">
        <v>537</v>
      </c>
      <c r="B2" s="426">
        <v>7847</v>
      </c>
      <c r="C2" s="425">
        <v>7467</v>
      </c>
      <c r="D2" s="425">
        <v>8164</v>
      </c>
      <c r="E2" s="425">
        <v>8371</v>
      </c>
      <c r="F2" s="425">
        <v>9316</v>
      </c>
      <c r="G2" s="425">
        <v>10570</v>
      </c>
      <c r="H2" s="425">
        <v>11956</v>
      </c>
      <c r="I2" s="425">
        <v>13351</v>
      </c>
      <c r="J2" s="425">
        <v>14794</v>
      </c>
      <c r="K2" s="425">
        <v>16493</v>
      </c>
      <c r="L2" s="425">
        <v>17931</v>
      </c>
      <c r="M2" s="425">
        <v>18512</v>
      </c>
      <c r="N2" s="425">
        <v>19311</v>
      </c>
      <c r="O2" s="425">
        <v>20520</v>
      </c>
      <c r="P2" s="425">
        <v>21874.716</v>
      </c>
      <c r="Q2" s="425">
        <v>24495</v>
      </c>
      <c r="R2" s="425">
        <v>27859</v>
      </c>
      <c r="S2" s="425">
        <v>28469.067999999999</v>
      </c>
      <c r="T2" s="425">
        <v>29896.252</v>
      </c>
      <c r="U2" s="425">
        <v>26067.287999999993</v>
      </c>
      <c r="V2" s="425">
        <f>'AVI Passenger Kilometers'!I3/1000</f>
        <v>19967.234</v>
      </c>
      <c r="W2" s="425">
        <f>'AVI Passenger Kilometers'!J3/1000</f>
        <v>20320.145</v>
      </c>
      <c r="X2" s="425">
        <f>'AVI Passenger Kilometers'!K3/1000</f>
        <v>20464.425999999999</v>
      </c>
      <c r="Y2" s="424">
        <f>'AVI Passenger Kilometers'!L3/1000</f>
        <v>21344.1</v>
      </c>
    </row>
    <row r="3" spans="1:25">
      <c r="A3" s="417" t="s">
        <v>256</v>
      </c>
      <c r="B3" s="425">
        <f t="shared" ref="B3:T3" si="0">C3</f>
        <v>1344.2056326379509</v>
      </c>
      <c r="C3" s="425">
        <f t="shared" si="0"/>
        <v>1344.2056326379509</v>
      </c>
      <c r="D3" s="425">
        <f t="shared" si="0"/>
        <v>1344.2056326379509</v>
      </c>
      <c r="E3" s="425">
        <f t="shared" si="0"/>
        <v>1344.2056326379509</v>
      </c>
      <c r="F3" s="425">
        <f t="shared" si="0"/>
        <v>1344.2056326379509</v>
      </c>
      <c r="G3" s="425">
        <f t="shared" si="0"/>
        <v>1344.2056326379509</v>
      </c>
      <c r="H3" s="425">
        <f t="shared" si="0"/>
        <v>1344.2056326379509</v>
      </c>
      <c r="I3" s="425">
        <f t="shared" si="0"/>
        <v>1344.2056326379509</v>
      </c>
      <c r="J3" s="425">
        <f t="shared" si="0"/>
        <v>1344.2056326379509</v>
      </c>
      <c r="K3" s="425">
        <f t="shared" si="0"/>
        <v>1344.2056326379509</v>
      </c>
      <c r="L3" s="425">
        <f t="shared" si="0"/>
        <v>1344.2056326379509</v>
      </c>
      <c r="M3" s="425">
        <f t="shared" si="0"/>
        <v>1344.2056326379509</v>
      </c>
      <c r="N3" s="425">
        <f t="shared" si="0"/>
        <v>1344.2056326379509</v>
      </c>
      <c r="O3" s="425">
        <f t="shared" si="0"/>
        <v>1344.2056326379509</v>
      </c>
      <c r="P3" s="425">
        <f t="shared" si="0"/>
        <v>1344.2056326379509</v>
      </c>
      <c r="Q3" s="425">
        <f t="shared" si="0"/>
        <v>1344.2056326379509</v>
      </c>
      <c r="R3" s="425">
        <f t="shared" si="0"/>
        <v>1344.2056326379509</v>
      </c>
      <c r="S3" s="425">
        <f t="shared" si="0"/>
        <v>1344.2056326379509</v>
      </c>
      <c r="T3" s="425">
        <f t="shared" si="0"/>
        <v>1344.2056326379509</v>
      </c>
      <c r="U3" s="425">
        <f>V3</f>
        <v>1344.2056326379509</v>
      </c>
      <c r="V3" s="425">
        <f>'AVI Passenger Kilometers'!I4</f>
        <v>1344.2056326379509</v>
      </c>
      <c r="W3" s="425">
        <f>'AVI Passenger Kilometers'!J4</f>
        <v>1380.8295723775593</v>
      </c>
      <c r="X3" s="425">
        <f>'AVI Passenger Kilometers'!K4</f>
        <v>1429.1821072333032</v>
      </c>
      <c r="Y3" s="424">
        <f>'AVI Passenger Kilometers'!L4</f>
        <v>1488.8488549528909</v>
      </c>
    </row>
    <row r="4" spans="1:25">
      <c r="A4" s="417" t="s">
        <v>538</v>
      </c>
      <c r="B4" s="426">
        <f>(B2/1000)*B3</f>
        <v>10547.981599310002</v>
      </c>
      <c r="C4" s="426">
        <f t="shared" ref="C4:Y4" si="1">(C2/1000)*C3</f>
        <v>10037.183458907579</v>
      </c>
      <c r="D4" s="426">
        <f t="shared" si="1"/>
        <v>10974.09478485623</v>
      </c>
      <c r="E4" s="426">
        <f t="shared" si="1"/>
        <v>11252.345350812288</v>
      </c>
      <c r="F4" s="426">
        <f t="shared" si="1"/>
        <v>12522.619673655152</v>
      </c>
      <c r="G4" s="426">
        <f t="shared" si="1"/>
        <v>14208.253536983142</v>
      </c>
      <c r="H4" s="426">
        <f t="shared" si="1"/>
        <v>16071.32254381934</v>
      </c>
      <c r="I4" s="426">
        <f t="shared" si="1"/>
        <v>17946.489401349285</v>
      </c>
      <c r="J4" s="426">
        <f t="shared" si="1"/>
        <v>19886.178129245847</v>
      </c>
      <c r="K4" s="426">
        <f t="shared" si="1"/>
        <v>22169.983499097722</v>
      </c>
      <c r="L4" s="426">
        <f t="shared" si="1"/>
        <v>24102.951198831099</v>
      </c>
      <c r="M4" s="426">
        <f t="shared" si="1"/>
        <v>24883.934671393748</v>
      </c>
      <c r="N4" s="426">
        <f t="shared" si="1"/>
        <v>25957.95497187147</v>
      </c>
      <c r="O4" s="426">
        <f t="shared" si="1"/>
        <v>27583.099581730752</v>
      </c>
      <c r="P4" s="426">
        <f t="shared" si="1"/>
        <v>29404.116459555506</v>
      </c>
      <c r="Q4" s="426">
        <f t="shared" si="1"/>
        <v>32926.316971466607</v>
      </c>
      <c r="R4" s="426">
        <f t="shared" si="1"/>
        <v>37448.224719660677</v>
      </c>
      <c r="S4" s="426">
        <f t="shared" si="1"/>
        <v>38268.281561552845</v>
      </c>
      <c r="T4" s="426">
        <f t="shared" si="1"/>
        <v>40186.710333163603</v>
      </c>
      <c r="U4" s="426">
        <f t="shared" si="1"/>
        <v>35039.79535719566</v>
      </c>
      <c r="V4" s="426">
        <f t="shared" si="1"/>
        <v>26840.068411000004</v>
      </c>
      <c r="W4" s="426">
        <f t="shared" si="1"/>
        <v>28058.657131</v>
      </c>
      <c r="X4" s="426">
        <f t="shared" si="1"/>
        <v>29247.391473999996</v>
      </c>
      <c r="Y4" s="424">
        <f t="shared" si="1"/>
        <v>31778.138844999994</v>
      </c>
    </row>
    <row r="5" spans="1:25" ht="15.75" thickBot="1">
      <c r="A5" s="443" t="s">
        <v>533</v>
      </c>
      <c r="B5" s="444">
        <v>246777</v>
      </c>
      <c r="C5" s="445">
        <v>240857</v>
      </c>
      <c r="D5" s="445">
        <v>214499</v>
      </c>
      <c r="E5" s="445">
        <v>191879</v>
      </c>
      <c r="F5" s="445">
        <v>199653</v>
      </c>
      <c r="G5" s="445">
        <v>204850</v>
      </c>
      <c r="H5" s="445">
        <v>228167</v>
      </c>
      <c r="I5" s="445">
        <v>230398</v>
      </c>
      <c r="J5" s="445">
        <v>245604</v>
      </c>
      <c r="K5" s="445">
        <v>264947</v>
      </c>
      <c r="L5" s="445">
        <v>284456</v>
      </c>
      <c r="M5" s="445">
        <v>284267</v>
      </c>
      <c r="N5" s="445">
        <v>263653</v>
      </c>
      <c r="O5" s="445">
        <v>269689</v>
      </c>
      <c r="P5" s="445">
        <v>271137</v>
      </c>
      <c r="Q5" s="445">
        <v>294805</v>
      </c>
      <c r="R5" s="445">
        <v>308338</v>
      </c>
      <c r="S5" s="445">
        <v>288040</v>
      </c>
      <c r="T5" s="445">
        <v>316125</v>
      </c>
      <c r="U5" s="445"/>
      <c r="V5" s="445"/>
      <c r="W5" s="445"/>
      <c r="X5" s="445"/>
      <c r="Y5" s="446"/>
    </row>
    <row r="6" spans="1:25" ht="15.75" thickBot="1"/>
    <row r="7" spans="1:25">
      <c r="A7" s="439" t="s">
        <v>539</v>
      </c>
      <c r="B7" s="440">
        <v>17.12442005654863</v>
      </c>
      <c r="C7" s="441">
        <v>15.531673599660776</v>
      </c>
      <c r="D7" s="441">
        <v>15.400536073045437</v>
      </c>
      <c r="E7" s="441">
        <v>13.243347845890961</v>
      </c>
      <c r="F7" s="441">
        <v>13.759545720627028</v>
      </c>
      <c r="G7" s="441">
        <v>16.180127396428162</v>
      </c>
      <c r="H7" s="441">
        <v>17.313103659944986</v>
      </c>
      <c r="I7" s="441">
        <v>18.190350624129334</v>
      </c>
      <c r="J7" s="441">
        <v>20.103856964125004</v>
      </c>
      <c r="K7" s="441">
        <v>22.772993480425967</v>
      </c>
      <c r="L7" s="441">
        <v>24.641261682047727</v>
      </c>
      <c r="M7" s="441">
        <v>24.484672685852871</v>
      </c>
      <c r="N7" s="441">
        <v>24.264155132964728</v>
      </c>
      <c r="O7" s="441">
        <v>25.186587675048475</v>
      </c>
      <c r="P7" s="441">
        <v>23.805675833152158</v>
      </c>
      <c r="Q7" s="441">
        <v>21.652840503388937</v>
      </c>
      <c r="R7" s="441">
        <v>25.606516105920335</v>
      </c>
      <c r="S7" s="441">
        <v>23.678872546134876</v>
      </c>
      <c r="T7" s="441">
        <v>22.252674629050365</v>
      </c>
      <c r="U7" s="441">
        <v>18.276543764301767</v>
      </c>
      <c r="V7" s="441">
        <v>13.566162061777245</v>
      </c>
      <c r="W7" s="441">
        <v>6.3945616062082875</v>
      </c>
      <c r="X7" s="441">
        <v>3.8016493273529495</v>
      </c>
      <c r="Y7" s="442">
        <v>3.3492872386419079</v>
      </c>
    </row>
    <row r="8" spans="1:25">
      <c r="A8" s="417" t="s">
        <v>716</v>
      </c>
      <c r="B8" s="426">
        <f>'AVI SEAI Data'!B$5*'AVI Passenger Kilometers'!$I$15</f>
        <v>221.27857028333247</v>
      </c>
      <c r="C8" s="426">
        <f>'AVI SEAI Data'!C$5*'AVI Passenger Kilometers'!$I$15</f>
        <v>214.48660792031311</v>
      </c>
      <c r="D8" s="426">
        <f>'AVI SEAI Data'!D$5*'AVI Passenger Kilometers'!$I$15</f>
        <v>186.60745729300859</v>
      </c>
      <c r="E8" s="426">
        <f>'AVI SEAI Data'!E$5*'AVI Passenger Kilometers'!$I$15</f>
        <v>277.01898453043054</v>
      </c>
      <c r="F8" s="426">
        <f>'AVI SEAI Data'!F$5*'AVI Passenger Kilometers'!$I$15</f>
        <v>245.34705912570968</v>
      </c>
      <c r="G8" s="426">
        <f>'AVI SEAI Data'!G$5*'AVI Passenger Kilometers'!$I$15</f>
        <v>238.110326485408</v>
      </c>
      <c r="H8" s="426">
        <f>'AVI SEAI Data'!H$5*'AVI Passenger Kilometers'!$I$15</f>
        <v>218.4830366248506</v>
      </c>
      <c r="I8" s="426">
        <f>'AVI SEAI Data'!I$5*'AVI Passenger Kilometers'!$I$15</f>
        <v>264.28176929919147</v>
      </c>
      <c r="J8" s="426">
        <f>'AVI SEAI Data'!J$5*'AVI Passenger Kilometers'!$I$15</f>
        <v>272.09372440474999</v>
      </c>
      <c r="K8" s="426">
        <f>'AVI SEAI Data'!K$5*'AVI Passenger Kilometers'!$I$15</f>
        <v>322.18814242512173</v>
      </c>
      <c r="L8" s="426">
        <f>'AVI SEAI Data'!L$5*'AVI Passenger Kilometers'!$I$15</f>
        <v>374.56218026247365</v>
      </c>
      <c r="M8" s="426">
        <f>'AVI SEAI Data'!M$5*'AVI Passenger Kilometers'!$I$15</f>
        <v>452.88312523547097</v>
      </c>
      <c r="N8" s="426">
        <f>'AVI SEAI Data'!N$5*'AVI Passenger Kilometers'!$I$15</f>
        <v>481.57652111082865</v>
      </c>
      <c r="O8" s="426">
        <f>'AVI SEAI Data'!O$5*'AVI Passenger Kilometers'!$I$15</f>
        <v>470.06873694874002</v>
      </c>
      <c r="P8" s="426">
        <f>'AVI SEAI Data'!P$5*'AVI Passenger Kilometers'!$I$15</f>
        <v>445.55217008337854</v>
      </c>
      <c r="Q8" s="426">
        <f>'AVI SEAI Data'!Q$5*'AVI Passenger Kilometers'!$I$15</f>
        <v>517.63515339198466</v>
      </c>
      <c r="R8" s="426">
        <f>'AVI SEAI Data'!R$5*'AVI Passenger Kilometers'!$I$15</f>
        <v>596.14984379264638</v>
      </c>
      <c r="S8" s="426">
        <f>'AVI SEAI Data'!S$5*'AVI Passenger Kilometers'!$I$15</f>
        <v>631.60487365472068</v>
      </c>
      <c r="T8" s="426">
        <f>'AVI SEAI Data'!T$5*'AVI Passenger Kilometers'!$I$15</f>
        <v>587.26181795006096</v>
      </c>
      <c r="U8" s="426">
        <f>'AVI SEAI Data'!U$5*'AVI Passenger Kilometers'!$I$15</f>
        <v>463.55418452964068</v>
      </c>
      <c r="V8" s="426">
        <f>'AVI SEAI Data'!V$5*'AVI Passenger Kilometers'!$I$15</f>
        <v>478.98411770208639</v>
      </c>
      <c r="W8" s="426">
        <f>'AVI SEAI Data'!W$5*'AVI Passenger Kilometers'!J15</f>
        <v>422.73898325264292</v>
      </c>
      <c r="X8" s="426">
        <f>'AVI SEAI Data'!X$5*'AVI Passenger Kilometers'!K15</f>
        <v>339.64833036862484</v>
      </c>
      <c r="Y8" s="424">
        <f>'AVI SEAI Data'!Y$5*'AVI Passenger Kilometers'!L15</f>
        <v>333.42252979730807</v>
      </c>
    </row>
    <row r="9" spans="1:25" s="519" customFormat="1" ht="15.75" thickBot="1">
      <c r="A9" s="632" t="s">
        <v>717</v>
      </c>
      <c r="B9" s="634">
        <f>'AVI SEAI Data'!B$5*'AVI Passenger Kilometers'!$I$16</f>
        <v>136.50177592515075</v>
      </c>
      <c r="C9" s="426">
        <f>'AVI SEAI Data'!C$5*'AVI Passenger Kilometers'!$I$16</f>
        <v>132.3119670187491</v>
      </c>
      <c r="D9" s="426">
        <f>'AVI SEAI Data'!D$5*'AVI Passenger Kilometers'!$I$16</f>
        <v>115.11394568736085</v>
      </c>
      <c r="E9" s="426">
        <f>'AVI SEAI Data'!E$5*'AVI Passenger Kilometers'!$I$16</f>
        <v>170.88678449507267</v>
      </c>
      <c r="F9" s="426">
        <f>'AVI SEAI Data'!F$5*'AVI Passenger Kilometers'!$I$16</f>
        <v>151.34908566062327</v>
      </c>
      <c r="G9" s="426">
        <f>'AVI SEAI Data'!G$5*'AVI Passenger Kilometers'!$I$16</f>
        <v>146.88490796808017</v>
      </c>
      <c r="H9" s="426">
        <f>'AVI SEAI Data'!H$5*'AVI Passenger Kilometers'!$I$16</f>
        <v>134.77727405154997</v>
      </c>
      <c r="I9" s="426">
        <f>'AVI SEAI Data'!I$5*'AVI Passenger Kilometers'!$I$16</f>
        <v>163.02948273657532</v>
      </c>
      <c r="J9" s="426">
        <f>'AVI SEAI Data'!J$5*'AVI Passenger Kilometers'!$I$16</f>
        <v>167.84850223760924</v>
      </c>
      <c r="K9" s="426">
        <f>'AVI SEAI Data'!K$5*'AVI Passenger Kilometers'!$I$16</f>
        <v>198.75062265063451</v>
      </c>
      <c r="L9" s="426">
        <f>'AVI SEAI Data'!L$5*'AVI Passenger Kilometers'!$I$16</f>
        <v>231.05898928557602</v>
      </c>
      <c r="M9" s="426">
        <f>'AVI SEAI Data'!M$5*'AVI Passenger Kilometers'!$I$16</f>
        <v>279.3734196764679</v>
      </c>
      <c r="N9" s="426">
        <f>'AVI SEAI Data'!N$5*'AVI Passenger Kilometers'!$I$16</f>
        <v>297.07373059810232</v>
      </c>
      <c r="O9" s="426">
        <f>'AVI SEAI Data'!O$5*'AVI Passenger Kilometers'!$I$16</f>
        <v>289.9748372299959</v>
      </c>
      <c r="P9" s="426">
        <f>'AVI SEAI Data'!P$5*'AVI Passenger Kilometers'!$I$16</f>
        <v>274.85111823441258</v>
      </c>
      <c r="Q9" s="426">
        <f>'AVI SEAI Data'!Q$5*'AVI Passenger Kilometers'!$I$16</f>
        <v>319.31749029660079</v>
      </c>
      <c r="R9" s="426">
        <f>'AVI SEAI Data'!R$5*'AVI Passenger Kilometers'!$I$16</f>
        <v>367.751437886649</v>
      </c>
      <c r="S9" s="426">
        <f>'AVI SEAI Data'!S$5*'AVI Passenger Kilometers'!$I$16</f>
        <v>389.62284882109014</v>
      </c>
      <c r="T9" s="426">
        <f>'AVI SEAI Data'!T$5*'AVI Passenger Kilometers'!$I$16</f>
        <v>362.26861453675076</v>
      </c>
      <c r="U9" s="426">
        <f>'AVI SEAI Data'!U$5*'AVI Passenger Kilometers'!$I$16</f>
        <v>285.95615628214847</v>
      </c>
      <c r="V9" s="426">
        <f>'AVI SEAI Data'!V$5*'AVI Passenger Kilometers'!$I$16</f>
        <v>295.47453520943623</v>
      </c>
      <c r="W9" s="426">
        <f>'AVI SEAI Data'!W$5*'AVI Passenger Kilometers'!J16</f>
        <v>271.13397335776017</v>
      </c>
      <c r="X9" s="426">
        <f>'AVI SEAI Data'!X$5*'AVI Passenger Kilometers'!K16</f>
        <v>242.9703869404116</v>
      </c>
      <c r="Y9" s="424">
        <f>'AVI SEAI Data'!Y$5*'AVI Passenger Kilometers'!L16</f>
        <v>269.80317599660106</v>
      </c>
    </row>
    <row r="10" spans="1:25" ht="16.5" thickTop="1" thickBot="1">
      <c r="A10" s="420" t="s">
        <v>534</v>
      </c>
      <c r="B10" s="437">
        <v>374.90476626503187</v>
      </c>
      <c r="C10" s="437">
        <v>362.33024853872303</v>
      </c>
      <c r="D10" s="437">
        <v>317.12193905341491</v>
      </c>
      <c r="E10" s="437">
        <v>461.1491168713942</v>
      </c>
      <c r="F10" s="437">
        <v>410.45569050696002</v>
      </c>
      <c r="G10" s="437">
        <v>401.17536184991638</v>
      </c>
      <c r="H10" s="437">
        <v>370.57341433634559</v>
      </c>
      <c r="I10" s="437">
        <v>445.50160265989615</v>
      </c>
      <c r="J10" s="437">
        <v>460.04608360648422</v>
      </c>
      <c r="K10" s="437">
        <v>543.71175855618219</v>
      </c>
      <c r="L10" s="437">
        <v>630.26243123009738</v>
      </c>
      <c r="M10" s="437">
        <v>756.74121759779177</v>
      </c>
      <c r="N10" s="437">
        <v>802.9144068418957</v>
      </c>
      <c r="O10" s="437">
        <v>785.23016185378447</v>
      </c>
      <c r="P10" s="437">
        <v>744.2089641509433</v>
      </c>
      <c r="Q10" s="437">
        <v>858.60548419197437</v>
      </c>
      <c r="R10" s="437">
        <v>989.50779778521587</v>
      </c>
      <c r="S10" s="437">
        <v>1044.9065950219458</v>
      </c>
      <c r="T10" s="437">
        <v>971.78310711586209</v>
      </c>
      <c r="U10" s="437">
        <v>767.78688457609098</v>
      </c>
      <c r="V10" s="437">
        <f>SUM(V7:V9)</f>
        <v>788.02481497329984</v>
      </c>
      <c r="W10" s="437">
        <f t="shared" ref="W10:Y10" si="2">SUM(W7:W9)</f>
        <v>700.26751821661139</v>
      </c>
      <c r="X10" s="437">
        <f t="shared" si="2"/>
        <v>586.42036663638942</v>
      </c>
      <c r="Y10" s="438">
        <f t="shared" si="2"/>
        <v>606.57499303255099</v>
      </c>
    </row>
    <row r="11" spans="1:25" ht="15.75" thickBot="1"/>
    <row r="12" spans="1:25" ht="15.75" thickBot="1">
      <c r="V12" s="379"/>
      <c r="W12" s="447" t="s">
        <v>243</v>
      </c>
      <c r="X12" s="448" t="s">
        <v>630</v>
      </c>
      <c r="Y12" s="449" t="s">
        <v>245</v>
      </c>
    </row>
    <row r="13" spans="1:25" ht="31.5" thickTop="1" thickBot="1">
      <c r="V13" s="595" t="s">
        <v>1033</v>
      </c>
      <c r="W13" s="460">
        <f>X10</f>
        <v>586.42036663638942</v>
      </c>
      <c r="X13" s="458">
        <v>586.42036663638942</v>
      </c>
      <c r="Y13" s="616">
        <f>(W13-X13)/W13</f>
        <v>0</v>
      </c>
    </row>
    <row r="16" spans="1:25" ht="21">
      <c r="A16" s="645" t="s">
        <v>781</v>
      </c>
      <c r="B16" s="644"/>
      <c r="C16" s="650"/>
      <c r="D16" s="650"/>
      <c r="E16" s="650"/>
      <c r="F16" s="650"/>
      <c r="G16" s="650"/>
      <c r="H16" s="650"/>
    </row>
    <row r="17" spans="1:8">
      <c r="A17" s="650"/>
      <c r="B17" s="650"/>
      <c r="C17" s="650"/>
      <c r="D17" s="650"/>
      <c r="E17" s="650"/>
      <c r="F17" s="650"/>
      <c r="G17" s="650"/>
      <c r="H17" s="650"/>
    </row>
    <row r="18" spans="1:8">
      <c r="A18" s="651" t="s">
        <v>719</v>
      </c>
      <c r="B18" s="651"/>
      <c r="C18" s="652"/>
      <c r="D18" s="652"/>
      <c r="E18" s="652"/>
      <c r="F18" s="652"/>
      <c r="G18" s="652"/>
      <c r="H18" s="652"/>
    </row>
    <row r="19" spans="1:8" ht="15.75" thickBot="1">
      <c r="A19" s="653" t="s">
        <v>728</v>
      </c>
      <c r="B19" s="653" t="s">
        <v>729</v>
      </c>
      <c r="C19" s="653" t="s">
        <v>730</v>
      </c>
      <c r="D19" s="653" t="s">
        <v>731</v>
      </c>
      <c r="E19" s="653" t="s">
        <v>732</v>
      </c>
      <c r="F19" s="653" t="s">
        <v>733</v>
      </c>
      <c r="G19" s="653" t="s">
        <v>734</v>
      </c>
      <c r="H19" s="653" t="s">
        <v>10</v>
      </c>
    </row>
    <row r="20" spans="1:8">
      <c r="A20" s="650" t="s">
        <v>778</v>
      </c>
      <c r="B20" t="s">
        <v>1193</v>
      </c>
      <c r="C20" t="s">
        <v>784</v>
      </c>
      <c r="D20" t="s">
        <v>765</v>
      </c>
      <c r="E20" t="s">
        <v>787</v>
      </c>
    </row>
    <row r="21" spans="1:8">
      <c r="B21" s="650" t="s">
        <v>1194</v>
      </c>
      <c r="C21" s="650" t="s">
        <v>785</v>
      </c>
      <c r="D21" s="650" t="s">
        <v>765</v>
      </c>
      <c r="E21" s="650" t="s">
        <v>787</v>
      </c>
    </row>
    <row r="22" spans="1:8">
      <c r="B22" s="650" t="s">
        <v>1195</v>
      </c>
      <c r="C22" s="650" t="s">
        <v>786</v>
      </c>
      <c r="D22" s="650" t="s">
        <v>765</v>
      </c>
      <c r="E22" s="650" t="s">
        <v>787</v>
      </c>
    </row>
    <row r="25" spans="1:8" ht="21">
      <c r="A25" s="645" t="s">
        <v>791</v>
      </c>
      <c r="B25" s="644"/>
      <c r="C25" s="650"/>
      <c r="D25" s="650"/>
    </row>
    <row r="26" spans="1:8">
      <c r="A26" s="654"/>
      <c r="B26" s="654"/>
      <c r="C26" s="654"/>
      <c r="D26" s="657" t="s">
        <v>736</v>
      </c>
    </row>
    <row r="27" spans="1:8">
      <c r="A27" s="655" t="s">
        <v>729</v>
      </c>
      <c r="B27" s="655" t="s">
        <v>737</v>
      </c>
      <c r="C27" s="655" t="s">
        <v>738</v>
      </c>
      <c r="D27" s="655" t="s">
        <v>739</v>
      </c>
      <c r="E27" s="656" t="s">
        <v>790</v>
      </c>
      <c r="F27" s="656" t="s">
        <v>746</v>
      </c>
    </row>
    <row r="28" spans="1:8" ht="60.75" thickBot="1">
      <c r="A28" s="832" t="s">
        <v>740</v>
      </c>
      <c r="B28" s="832" t="s">
        <v>741</v>
      </c>
      <c r="C28" s="832" t="s">
        <v>742</v>
      </c>
      <c r="D28" s="832" t="s">
        <v>743</v>
      </c>
      <c r="E28" s="833"/>
      <c r="F28" s="833"/>
    </row>
    <row r="29" spans="1:8">
      <c r="A29" s="834" t="str">
        <f t="shared" ref="A29:B31" si="3">B20</f>
        <v>TAvi_00_ROI</v>
      </c>
      <c r="B29" s="835" t="str">
        <f t="shared" si="3"/>
        <v>Aviation Existing - Domestic</v>
      </c>
      <c r="C29" s="834" t="str">
        <f>Commodities!$B$11</f>
        <v>TRAKER</v>
      </c>
      <c r="D29" s="834" t="str">
        <f>Commodities!B35</f>
        <v>TAVI-D</v>
      </c>
      <c r="E29" s="836">
        <v>1</v>
      </c>
      <c r="F29" s="836">
        <v>1</v>
      </c>
    </row>
    <row r="30" spans="1:8">
      <c r="A30" s="834" t="str">
        <f t="shared" si="3"/>
        <v>TAvi_00_EU</v>
      </c>
      <c r="B30" s="835" t="str">
        <f t="shared" si="3"/>
        <v>Aviation Existing - International EU</v>
      </c>
      <c r="C30" s="834" t="str">
        <f>Commodities!$B$11</f>
        <v>TRAKER</v>
      </c>
      <c r="D30" s="834" t="str">
        <f>Commodities!B36</f>
        <v>TAVI-EU</v>
      </c>
      <c r="E30" s="836">
        <v>1</v>
      </c>
      <c r="F30" s="836">
        <v>1</v>
      </c>
    </row>
    <row r="31" spans="1:8" ht="30">
      <c r="A31" s="834" t="str">
        <f t="shared" si="3"/>
        <v>TAvi_00_Non-EU</v>
      </c>
      <c r="B31" s="835" t="str">
        <f t="shared" si="3"/>
        <v>Aviation Existing - International Non-EU</v>
      </c>
      <c r="C31" s="834" t="str">
        <f>Commodities!B21</f>
        <v>TRAKERI</v>
      </c>
      <c r="D31" s="834" t="str">
        <f>Commodities!B37</f>
        <v>TAVI-NEU</v>
      </c>
      <c r="E31" s="836">
        <v>1</v>
      </c>
      <c r="F31" s="836">
        <v>1</v>
      </c>
    </row>
    <row r="32" spans="1:8">
      <c r="A32" s="668"/>
      <c r="B32" s="668"/>
      <c r="C32" s="668"/>
      <c r="D32" s="668"/>
      <c r="E32" s="668"/>
      <c r="F32" s="668"/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7">
    <tabColor theme="4"/>
  </sheetPr>
  <dimension ref="A1:AE514"/>
  <sheetViews>
    <sheetView workbookViewId="0">
      <selection activeCell="C5" sqref="C5"/>
    </sheetView>
  </sheetViews>
  <sheetFormatPr defaultRowHeight="15"/>
  <cols>
    <col min="1" max="5" width="13.85546875" customWidth="1"/>
    <col min="6" max="6" width="16.7109375" bestFit="1" customWidth="1"/>
    <col min="7" max="31" width="13.85546875" customWidth="1"/>
  </cols>
  <sheetData>
    <row r="1" spans="1:27" ht="15.75" thickBot="1">
      <c r="A1" s="650" t="s">
        <v>222</v>
      </c>
      <c r="B1" s="650"/>
    </row>
    <row r="2" spans="1:27">
      <c r="A2" s="1713" t="s">
        <v>35</v>
      </c>
      <c r="B2" s="1714"/>
      <c r="C2" s="1714"/>
      <c r="D2" s="1714"/>
      <c r="E2" s="1714"/>
      <c r="F2" s="1715"/>
      <c r="G2" s="123"/>
      <c r="H2" s="1713" t="s">
        <v>36</v>
      </c>
      <c r="I2" s="1714"/>
      <c r="J2" s="1714"/>
      <c r="K2" s="1714"/>
      <c r="L2" s="1714"/>
      <c r="M2" s="1715"/>
      <c r="N2" s="123"/>
      <c r="O2" s="1713" t="s">
        <v>37</v>
      </c>
      <c r="P2" s="1714"/>
      <c r="Q2" s="1714"/>
      <c r="R2" s="1714"/>
      <c r="S2" s="1714"/>
      <c r="T2" s="1715"/>
      <c r="U2" s="123"/>
      <c r="V2" s="1713" t="s">
        <v>38</v>
      </c>
      <c r="W2" s="1714"/>
      <c r="X2" s="1714"/>
      <c r="Y2" s="1714"/>
      <c r="Z2" s="1714"/>
      <c r="AA2" s="1715"/>
    </row>
    <row r="3" spans="1:27" ht="32.25" customHeight="1" thickBot="1">
      <c r="A3" s="38" t="s">
        <v>10</v>
      </c>
      <c r="B3" s="312" t="s">
        <v>0</v>
      </c>
      <c r="C3" s="312" t="s">
        <v>1</v>
      </c>
      <c r="D3" s="312" t="s">
        <v>2</v>
      </c>
      <c r="E3" s="312" t="s">
        <v>3</v>
      </c>
      <c r="F3" s="117" t="s">
        <v>39</v>
      </c>
      <c r="G3" s="123"/>
      <c r="H3" s="38" t="s">
        <v>10</v>
      </c>
      <c r="I3" s="312" t="s">
        <v>0</v>
      </c>
      <c r="J3" s="312" t="s">
        <v>1</v>
      </c>
      <c r="K3" s="312" t="s">
        <v>2</v>
      </c>
      <c r="L3" s="312" t="s">
        <v>3</v>
      </c>
      <c r="M3" s="117" t="s">
        <v>39</v>
      </c>
      <c r="N3" s="123"/>
      <c r="O3" s="38" t="s">
        <v>10</v>
      </c>
      <c r="P3" s="312" t="s">
        <v>0</v>
      </c>
      <c r="Q3" s="312" t="s">
        <v>1</v>
      </c>
      <c r="R3" s="312" t="s">
        <v>2</v>
      </c>
      <c r="S3" s="312" t="s">
        <v>3</v>
      </c>
      <c r="T3" s="117" t="s">
        <v>39</v>
      </c>
      <c r="U3" s="123"/>
      <c r="V3" s="38" t="s">
        <v>10</v>
      </c>
      <c r="W3" s="312" t="s">
        <v>0</v>
      </c>
      <c r="X3" s="312" t="s">
        <v>1</v>
      </c>
      <c r="Y3" s="312" t="s">
        <v>2</v>
      </c>
      <c r="Z3" s="312" t="s">
        <v>3</v>
      </c>
      <c r="AA3" s="117" t="s">
        <v>39</v>
      </c>
    </row>
    <row r="4" spans="1:27" ht="15.75" thickTop="1">
      <c r="A4" s="118">
        <v>0</v>
      </c>
      <c r="B4" s="120">
        <v>3237</v>
      </c>
      <c r="C4" s="121">
        <v>12238</v>
      </c>
      <c r="D4" s="121">
        <v>1402</v>
      </c>
      <c r="E4" s="121">
        <v>98</v>
      </c>
      <c r="F4" s="122">
        <v>16975</v>
      </c>
      <c r="G4" s="123"/>
      <c r="H4" s="118">
        <v>0</v>
      </c>
      <c r="I4" s="120">
        <v>2</v>
      </c>
      <c r="J4" s="121">
        <v>12148</v>
      </c>
      <c r="K4" s="121">
        <v>23478</v>
      </c>
      <c r="L4" s="121">
        <v>19332</v>
      </c>
      <c r="M4" s="122">
        <v>54960</v>
      </c>
      <c r="N4" s="123"/>
      <c r="O4" s="118">
        <v>0</v>
      </c>
      <c r="P4" s="120">
        <v>0</v>
      </c>
      <c r="Q4" s="121">
        <v>1165</v>
      </c>
      <c r="R4" s="121">
        <v>0</v>
      </c>
      <c r="S4" s="121">
        <v>0</v>
      </c>
      <c r="T4" s="122">
        <v>1165</v>
      </c>
      <c r="U4" s="123"/>
      <c r="V4" s="118">
        <v>0</v>
      </c>
      <c r="W4" s="120">
        <v>0</v>
      </c>
      <c r="X4" s="121">
        <v>49</v>
      </c>
      <c r="Y4" s="121">
        <v>446</v>
      </c>
      <c r="Z4" s="121">
        <v>95</v>
      </c>
      <c r="AA4" s="122">
        <v>590</v>
      </c>
    </row>
    <row r="5" spans="1:27">
      <c r="A5" s="118">
        <v>1</v>
      </c>
      <c r="B5" s="124">
        <v>3525</v>
      </c>
      <c r="C5" s="125">
        <v>17115</v>
      </c>
      <c r="D5" s="125">
        <v>2051</v>
      </c>
      <c r="E5" s="125">
        <v>193</v>
      </c>
      <c r="F5" s="126">
        <v>22884</v>
      </c>
      <c r="G5" s="123"/>
      <c r="H5" s="118">
        <v>1</v>
      </c>
      <c r="I5" s="124">
        <v>5</v>
      </c>
      <c r="J5" s="125">
        <v>16634</v>
      </c>
      <c r="K5" s="125">
        <v>25286</v>
      </c>
      <c r="L5" s="125">
        <v>22918</v>
      </c>
      <c r="M5" s="126">
        <v>64843</v>
      </c>
      <c r="N5" s="123"/>
      <c r="O5" s="118">
        <v>1</v>
      </c>
      <c r="P5" s="124">
        <v>0</v>
      </c>
      <c r="Q5" s="125">
        <v>1283</v>
      </c>
      <c r="R5" s="125">
        <v>0</v>
      </c>
      <c r="S5" s="125">
        <v>2</v>
      </c>
      <c r="T5" s="126">
        <v>1285</v>
      </c>
      <c r="U5" s="123"/>
      <c r="V5" s="118">
        <v>1</v>
      </c>
      <c r="W5" s="124">
        <v>0</v>
      </c>
      <c r="X5" s="125">
        <v>84</v>
      </c>
      <c r="Y5" s="125">
        <v>343</v>
      </c>
      <c r="Z5" s="125">
        <v>136</v>
      </c>
      <c r="AA5" s="126">
        <v>563</v>
      </c>
    </row>
    <row r="6" spans="1:27">
      <c r="A6" s="118">
        <v>2</v>
      </c>
      <c r="B6" s="124">
        <v>3630</v>
      </c>
      <c r="C6" s="125">
        <v>20771</v>
      </c>
      <c r="D6" s="125">
        <v>2415</v>
      </c>
      <c r="E6" s="125">
        <v>445</v>
      </c>
      <c r="F6" s="126">
        <v>27261</v>
      </c>
      <c r="G6" s="123"/>
      <c r="H6" s="118">
        <v>2</v>
      </c>
      <c r="I6" s="124">
        <v>15</v>
      </c>
      <c r="J6" s="125">
        <v>15356</v>
      </c>
      <c r="K6" s="125">
        <v>25027</v>
      </c>
      <c r="L6" s="125">
        <v>22553</v>
      </c>
      <c r="M6" s="126">
        <v>62951</v>
      </c>
      <c r="N6" s="123"/>
      <c r="O6" s="118">
        <v>2</v>
      </c>
      <c r="P6" s="124">
        <v>0</v>
      </c>
      <c r="Q6" s="125">
        <v>2914</v>
      </c>
      <c r="R6" s="125">
        <v>32</v>
      </c>
      <c r="S6" s="125">
        <v>9</v>
      </c>
      <c r="T6" s="126">
        <v>2955</v>
      </c>
      <c r="U6" s="123"/>
      <c r="V6" s="118">
        <v>2</v>
      </c>
      <c r="W6" s="124">
        <v>0</v>
      </c>
      <c r="X6" s="125">
        <v>223</v>
      </c>
      <c r="Y6" s="125">
        <v>405</v>
      </c>
      <c r="Z6" s="125">
        <v>181</v>
      </c>
      <c r="AA6" s="126">
        <v>809</v>
      </c>
    </row>
    <row r="7" spans="1:27">
      <c r="A7" s="118">
        <v>3</v>
      </c>
      <c r="B7" s="124">
        <v>2278</v>
      </c>
      <c r="C7" s="125">
        <v>15130</v>
      </c>
      <c r="D7" s="125">
        <v>4890</v>
      </c>
      <c r="E7" s="125">
        <v>783</v>
      </c>
      <c r="F7" s="126">
        <v>23081</v>
      </c>
      <c r="G7" s="123"/>
      <c r="H7" s="118">
        <v>3</v>
      </c>
      <c r="I7" s="124">
        <v>16</v>
      </c>
      <c r="J7" s="125">
        <v>9498</v>
      </c>
      <c r="K7" s="125">
        <v>15945</v>
      </c>
      <c r="L7" s="125">
        <v>21115</v>
      </c>
      <c r="M7" s="126">
        <v>46574</v>
      </c>
      <c r="N7" s="123"/>
      <c r="O7" s="118">
        <v>3</v>
      </c>
      <c r="P7" s="124">
        <v>0</v>
      </c>
      <c r="Q7" s="125">
        <v>448</v>
      </c>
      <c r="R7" s="125">
        <v>173</v>
      </c>
      <c r="S7" s="125">
        <v>60</v>
      </c>
      <c r="T7" s="126">
        <v>681</v>
      </c>
      <c r="U7" s="123"/>
      <c r="V7" s="118">
        <v>3</v>
      </c>
      <c r="W7" s="124">
        <v>0</v>
      </c>
      <c r="X7" s="125">
        <v>420</v>
      </c>
      <c r="Y7" s="125">
        <v>40</v>
      </c>
      <c r="Z7" s="125">
        <v>44</v>
      </c>
      <c r="AA7" s="126">
        <v>504</v>
      </c>
    </row>
    <row r="8" spans="1:27">
      <c r="A8" s="118">
        <v>4</v>
      </c>
      <c r="B8" s="124">
        <v>5139</v>
      </c>
      <c r="C8" s="125">
        <v>51682</v>
      </c>
      <c r="D8" s="125">
        <v>27217</v>
      </c>
      <c r="E8" s="125">
        <v>4918</v>
      </c>
      <c r="F8" s="126">
        <v>88956</v>
      </c>
      <c r="G8" s="123"/>
      <c r="H8" s="118">
        <v>4</v>
      </c>
      <c r="I8" s="124">
        <v>15</v>
      </c>
      <c r="J8" s="125">
        <v>12884</v>
      </c>
      <c r="K8" s="125">
        <v>33200</v>
      </c>
      <c r="L8" s="125">
        <v>32822</v>
      </c>
      <c r="M8" s="126">
        <v>78921</v>
      </c>
      <c r="N8" s="123"/>
      <c r="O8" s="118">
        <v>4</v>
      </c>
      <c r="P8" s="124">
        <v>0</v>
      </c>
      <c r="Q8" s="125">
        <v>112</v>
      </c>
      <c r="R8" s="125">
        <v>1440</v>
      </c>
      <c r="S8" s="125">
        <v>963</v>
      </c>
      <c r="T8" s="126">
        <v>2515</v>
      </c>
      <c r="U8" s="123"/>
      <c r="V8" s="118">
        <v>4</v>
      </c>
      <c r="W8" s="124">
        <v>0</v>
      </c>
      <c r="X8" s="125">
        <v>1171</v>
      </c>
      <c r="Y8" s="125">
        <v>1</v>
      </c>
      <c r="Z8" s="125">
        <v>363</v>
      </c>
      <c r="AA8" s="126">
        <v>1535</v>
      </c>
    </row>
    <row r="9" spans="1:27">
      <c r="A9" s="118">
        <v>5</v>
      </c>
      <c r="B9" s="124">
        <v>6920</v>
      </c>
      <c r="C9" s="125">
        <v>67082</v>
      </c>
      <c r="D9" s="125">
        <v>38958</v>
      </c>
      <c r="E9" s="125">
        <v>8765</v>
      </c>
      <c r="F9" s="126">
        <v>121725</v>
      </c>
      <c r="G9" s="123"/>
      <c r="H9" s="118">
        <v>5</v>
      </c>
      <c r="I9" s="124">
        <v>22</v>
      </c>
      <c r="J9" s="125">
        <v>7324</v>
      </c>
      <c r="K9" s="125">
        <v>22456</v>
      </c>
      <c r="L9" s="125">
        <v>27231</v>
      </c>
      <c r="M9" s="126">
        <v>57033</v>
      </c>
      <c r="N9" s="123"/>
      <c r="O9" s="118">
        <v>5</v>
      </c>
      <c r="P9" s="124">
        <v>0</v>
      </c>
      <c r="Q9" s="125">
        <v>0</v>
      </c>
      <c r="R9" s="125">
        <v>385</v>
      </c>
      <c r="S9" s="125">
        <v>376</v>
      </c>
      <c r="T9" s="126">
        <v>761</v>
      </c>
      <c r="U9" s="123"/>
      <c r="V9" s="118">
        <v>5</v>
      </c>
      <c r="W9" s="124">
        <v>0</v>
      </c>
      <c r="X9" s="125">
        <v>710</v>
      </c>
      <c r="Y9" s="125">
        <v>0</v>
      </c>
      <c r="Z9" s="125">
        <v>423</v>
      </c>
      <c r="AA9" s="126">
        <v>1133</v>
      </c>
    </row>
    <row r="10" spans="1:27">
      <c r="A10" s="118">
        <v>6</v>
      </c>
      <c r="B10" s="124">
        <v>9782</v>
      </c>
      <c r="C10" s="125">
        <v>64790</v>
      </c>
      <c r="D10" s="125">
        <v>37930</v>
      </c>
      <c r="E10" s="125">
        <v>9805</v>
      </c>
      <c r="F10" s="126">
        <v>122307</v>
      </c>
      <c r="G10" s="123"/>
      <c r="H10" s="118">
        <v>6</v>
      </c>
      <c r="I10" s="124">
        <v>10</v>
      </c>
      <c r="J10" s="125">
        <v>5886</v>
      </c>
      <c r="K10" s="125">
        <v>20674</v>
      </c>
      <c r="L10" s="125">
        <v>26790</v>
      </c>
      <c r="M10" s="126">
        <v>53360</v>
      </c>
      <c r="N10" s="123"/>
      <c r="O10" s="118">
        <v>6</v>
      </c>
      <c r="P10" s="124">
        <v>0</v>
      </c>
      <c r="Q10" s="125">
        <v>0</v>
      </c>
      <c r="R10" s="125">
        <v>52</v>
      </c>
      <c r="S10" s="125">
        <v>13</v>
      </c>
      <c r="T10" s="126">
        <v>65</v>
      </c>
      <c r="U10" s="123"/>
      <c r="V10" s="118">
        <v>6</v>
      </c>
      <c r="W10" s="124">
        <v>0</v>
      </c>
      <c r="X10" s="125">
        <v>393</v>
      </c>
      <c r="Y10" s="125">
        <v>0</v>
      </c>
      <c r="Z10" s="125">
        <v>259</v>
      </c>
      <c r="AA10" s="126">
        <v>652</v>
      </c>
    </row>
    <row r="11" spans="1:27">
      <c r="A11" s="118">
        <v>7</v>
      </c>
      <c r="B11" s="124">
        <v>8896</v>
      </c>
      <c r="C11" s="125">
        <v>64302</v>
      </c>
      <c r="D11" s="125">
        <v>39561</v>
      </c>
      <c r="E11" s="125">
        <v>9031</v>
      </c>
      <c r="F11" s="126">
        <v>121790</v>
      </c>
      <c r="G11" s="123"/>
      <c r="H11" s="118">
        <v>7</v>
      </c>
      <c r="I11" s="124">
        <v>2</v>
      </c>
      <c r="J11" s="125">
        <v>5680</v>
      </c>
      <c r="K11" s="125">
        <v>19079</v>
      </c>
      <c r="L11" s="125">
        <v>24729</v>
      </c>
      <c r="M11" s="126">
        <v>49490</v>
      </c>
      <c r="N11" s="123"/>
      <c r="O11" s="118">
        <v>7</v>
      </c>
      <c r="P11" s="124">
        <v>0</v>
      </c>
      <c r="Q11" s="125">
        <v>0</v>
      </c>
      <c r="R11" s="125">
        <v>1</v>
      </c>
      <c r="S11" s="125">
        <v>1</v>
      </c>
      <c r="T11" s="126">
        <v>2</v>
      </c>
      <c r="U11" s="123"/>
      <c r="V11" s="118">
        <v>7</v>
      </c>
      <c r="W11" s="124">
        <v>0</v>
      </c>
      <c r="X11" s="125">
        <v>337</v>
      </c>
      <c r="Y11" s="125">
        <v>0</v>
      </c>
      <c r="Z11" s="125">
        <v>42</v>
      </c>
      <c r="AA11" s="126">
        <v>379</v>
      </c>
    </row>
    <row r="12" spans="1:27">
      <c r="A12" s="118">
        <v>8</v>
      </c>
      <c r="B12" s="124">
        <v>9434</v>
      </c>
      <c r="C12" s="125">
        <v>59069</v>
      </c>
      <c r="D12" s="125">
        <v>35574</v>
      </c>
      <c r="E12" s="125">
        <v>9043</v>
      </c>
      <c r="F12" s="126">
        <v>113120</v>
      </c>
      <c r="G12" s="123"/>
      <c r="H12" s="118">
        <v>8</v>
      </c>
      <c r="I12" s="124">
        <v>2</v>
      </c>
      <c r="J12" s="125">
        <v>3465</v>
      </c>
      <c r="K12" s="125">
        <v>17797</v>
      </c>
      <c r="L12" s="125">
        <v>17791</v>
      </c>
      <c r="M12" s="126">
        <v>39055</v>
      </c>
      <c r="N12" s="123"/>
      <c r="O12" s="118">
        <v>8</v>
      </c>
      <c r="P12" s="124">
        <v>0</v>
      </c>
      <c r="Q12" s="125">
        <v>0</v>
      </c>
      <c r="R12" s="125">
        <v>0</v>
      </c>
      <c r="S12" s="125">
        <v>0</v>
      </c>
      <c r="T12" s="126">
        <v>0</v>
      </c>
      <c r="U12" s="123"/>
      <c r="V12" s="118">
        <v>8</v>
      </c>
      <c r="W12" s="124">
        <v>0</v>
      </c>
      <c r="X12" s="125">
        <v>264</v>
      </c>
      <c r="Y12" s="125">
        <v>0</v>
      </c>
      <c r="Z12" s="125">
        <v>0</v>
      </c>
      <c r="AA12" s="126">
        <v>264</v>
      </c>
    </row>
    <row r="13" spans="1:27">
      <c r="A13" s="118">
        <v>9</v>
      </c>
      <c r="B13" s="124">
        <v>10027</v>
      </c>
      <c r="C13" s="125">
        <v>57198</v>
      </c>
      <c r="D13" s="125">
        <v>29202</v>
      </c>
      <c r="E13" s="125">
        <v>8904</v>
      </c>
      <c r="F13" s="126">
        <v>105331</v>
      </c>
      <c r="G13" s="123"/>
      <c r="H13" s="118">
        <v>9</v>
      </c>
      <c r="I13" s="124">
        <v>1</v>
      </c>
      <c r="J13" s="125">
        <v>2551</v>
      </c>
      <c r="K13" s="125">
        <v>16470</v>
      </c>
      <c r="L13" s="125">
        <v>13085</v>
      </c>
      <c r="M13" s="126">
        <v>32107</v>
      </c>
      <c r="N13" s="123"/>
      <c r="O13" s="118">
        <v>9</v>
      </c>
      <c r="P13" s="124">
        <v>0</v>
      </c>
      <c r="Q13" s="125">
        <v>1</v>
      </c>
      <c r="R13" s="125">
        <v>0</v>
      </c>
      <c r="S13" s="125">
        <v>0</v>
      </c>
      <c r="T13" s="126">
        <v>1</v>
      </c>
      <c r="U13" s="123"/>
      <c r="V13" s="118">
        <v>9</v>
      </c>
      <c r="W13" s="124">
        <v>0</v>
      </c>
      <c r="X13" s="125">
        <v>33</v>
      </c>
      <c r="Y13" s="125">
        <v>0</v>
      </c>
      <c r="Z13" s="125">
        <v>4</v>
      </c>
      <c r="AA13" s="126">
        <v>37</v>
      </c>
    </row>
    <row r="14" spans="1:27">
      <c r="A14" s="118">
        <v>10</v>
      </c>
      <c r="B14" s="124">
        <v>10279</v>
      </c>
      <c r="C14" s="125">
        <v>55988</v>
      </c>
      <c r="D14" s="125">
        <v>24643</v>
      </c>
      <c r="E14" s="125">
        <v>10899</v>
      </c>
      <c r="F14" s="126">
        <v>101809</v>
      </c>
      <c r="G14" s="123"/>
      <c r="H14" s="118">
        <v>10</v>
      </c>
      <c r="I14" s="124">
        <v>2</v>
      </c>
      <c r="J14" s="125">
        <v>1325</v>
      </c>
      <c r="K14" s="125">
        <v>15171</v>
      </c>
      <c r="L14" s="125">
        <v>11641</v>
      </c>
      <c r="M14" s="126">
        <v>28139</v>
      </c>
      <c r="N14" s="123"/>
      <c r="O14" s="118">
        <v>10</v>
      </c>
      <c r="P14" s="124">
        <v>0</v>
      </c>
      <c r="Q14" s="125">
        <v>0</v>
      </c>
      <c r="R14" s="125">
        <v>0</v>
      </c>
      <c r="S14" s="125">
        <v>0</v>
      </c>
      <c r="T14" s="126">
        <v>0</v>
      </c>
      <c r="U14" s="123"/>
      <c r="V14" s="118">
        <v>10</v>
      </c>
      <c r="W14" s="124">
        <v>0</v>
      </c>
      <c r="X14" s="125">
        <v>16</v>
      </c>
      <c r="Y14" s="125">
        <v>0</v>
      </c>
      <c r="Z14" s="125">
        <v>17</v>
      </c>
      <c r="AA14" s="126">
        <v>33</v>
      </c>
    </row>
    <row r="15" spans="1:27">
      <c r="A15" s="118">
        <v>11</v>
      </c>
      <c r="B15" s="124">
        <v>15935</v>
      </c>
      <c r="C15" s="125">
        <v>49255</v>
      </c>
      <c r="D15" s="125">
        <v>22458</v>
      </c>
      <c r="E15" s="125">
        <v>9357</v>
      </c>
      <c r="F15" s="126">
        <v>97005</v>
      </c>
      <c r="G15" s="123"/>
      <c r="H15" s="118">
        <v>11</v>
      </c>
      <c r="I15" s="124">
        <v>5</v>
      </c>
      <c r="J15" s="125">
        <v>155</v>
      </c>
      <c r="K15" s="125">
        <v>9913</v>
      </c>
      <c r="L15" s="125">
        <v>7997</v>
      </c>
      <c r="M15" s="126">
        <v>18070</v>
      </c>
      <c r="N15" s="123"/>
      <c r="O15" s="118">
        <v>11</v>
      </c>
      <c r="P15" s="124">
        <v>0</v>
      </c>
      <c r="Q15" s="125">
        <v>0</v>
      </c>
      <c r="R15" s="125">
        <v>0</v>
      </c>
      <c r="S15" s="125">
        <v>0</v>
      </c>
      <c r="T15" s="126">
        <v>0</v>
      </c>
      <c r="U15" s="123"/>
      <c r="V15" s="118">
        <v>11</v>
      </c>
      <c r="W15" s="124">
        <v>1</v>
      </c>
      <c r="X15" s="125">
        <v>10</v>
      </c>
      <c r="Y15" s="125">
        <v>0</v>
      </c>
      <c r="Z15" s="125">
        <v>2</v>
      </c>
      <c r="AA15" s="126">
        <v>13</v>
      </c>
    </row>
    <row r="16" spans="1:27">
      <c r="A16" s="118">
        <v>12</v>
      </c>
      <c r="B16" s="124">
        <v>24004</v>
      </c>
      <c r="C16" s="125">
        <v>60733</v>
      </c>
      <c r="D16" s="125">
        <v>20851</v>
      </c>
      <c r="E16" s="125">
        <v>7165</v>
      </c>
      <c r="F16" s="126">
        <v>112753</v>
      </c>
      <c r="G16" s="123"/>
      <c r="H16" s="118">
        <v>12</v>
      </c>
      <c r="I16" s="124">
        <v>1</v>
      </c>
      <c r="J16" s="125">
        <v>68</v>
      </c>
      <c r="K16" s="125">
        <v>7637</v>
      </c>
      <c r="L16" s="125">
        <v>5448</v>
      </c>
      <c r="M16" s="126">
        <v>13154</v>
      </c>
      <c r="N16" s="123"/>
      <c r="O16" s="118">
        <v>12</v>
      </c>
      <c r="P16" s="124">
        <v>0</v>
      </c>
      <c r="Q16" s="125">
        <v>0</v>
      </c>
      <c r="R16" s="125">
        <v>0</v>
      </c>
      <c r="S16" s="125">
        <v>0</v>
      </c>
      <c r="T16" s="126">
        <v>0</v>
      </c>
      <c r="U16" s="123"/>
      <c r="V16" s="118">
        <v>12</v>
      </c>
      <c r="W16" s="124">
        <v>2</v>
      </c>
      <c r="X16" s="125">
        <v>10</v>
      </c>
      <c r="Y16" s="125">
        <v>0</v>
      </c>
      <c r="Z16" s="125">
        <v>0</v>
      </c>
      <c r="AA16" s="126">
        <v>12</v>
      </c>
    </row>
    <row r="17" spans="1:27">
      <c r="A17" s="118">
        <v>13</v>
      </c>
      <c r="B17" s="124">
        <v>13634</v>
      </c>
      <c r="C17" s="125">
        <v>36180</v>
      </c>
      <c r="D17" s="125">
        <v>13263</v>
      </c>
      <c r="E17" s="125">
        <v>4474</v>
      </c>
      <c r="F17" s="126">
        <v>67551</v>
      </c>
      <c r="G17" s="123"/>
      <c r="H17" s="118">
        <v>13</v>
      </c>
      <c r="I17" s="124">
        <v>3</v>
      </c>
      <c r="J17" s="125">
        <v>10</v>
      </c>
      <c r="K17" s="125">
        <v>4791</v>
      </c>
      <c r="L17" s="125">
        <v>3173</v>
      </c>
      <c r="M17" s="126">
        <v>7977</v>
      </c>
      <c r="N17" s="123"/>
      <c r="O17" s="118">
        <v>13</v>
      </c>
      <c r="P17" s="124">
        <v>0</v>
      </c>
      <c r="Q17" s="125">
        <v>0</v>
      </c>
      <c r="R17" s="125">
        <v>0</v>
      </c>
      <c r="S17" s="125">
        <v>0</v>
      </c>
      <c r="T17" s="126">
        <v>0</v>
      </c>
      <c r="U17" s="123"/>
      <c r="V17" s="118">
        <v>13</v>
      </c>
      <c r="W17" s="124">
        <v>0</v>
      </c>
      <c r="X17" s="125">
        <v>3</v>
      </c>
      <c r="Y17" s="125">
        <v>0</v>
      </c>
      <c r="Z17" s="125">
        <v>0</v>
      </c>
      <c r="AA17" s="126">
        <v>3</v>
      </c>
    </row>
    <row r="18" spans="1:27">
      <c r="A18" s="118">
        <v>14</v>
      </c>
      <c r="B18" s="124">
        <v>5985</v>
      </c>
      <c r="C18" s="125">
        <v>21667</v>
      </c>
      <c r="D18" s="125">
        <v>7919</v>
      </c>
      <c r="E18" s="125">
        <v>3337</v>
      </c>
      <c r="F18" s="126">
        <v>38908</v>
      </c>
      <c r="G18" s="123"/>
      <c r="H18" s="118">
        <v>14</v>
      </c>
      <c r="I18" s="124">
        <v>2</v>
      </c>
      <c r="J18" s="125">
        <v>16</v>
      </c>
      <c r="K18" s="125">
        <v>2700</v>
      </c>
      <c r="L18" s="125">
        <v>2640</v>
      </c>
      <c r="M18" s="126">
        <v>5358</v>
      </c>
      <c r="N18" s="123"/>
      <c r="O18" s="118">
        <v>14</v>
      </c>
      <c r="P18" s="124">
        <v>0</v>
      </c>
      <c r="Q18" s="125">
        <v>0</v>
      </c>
      <c r="R18" s="125">
        <v>0</v>
      </c>
      <c r="S18" s="125">
        <v>0</v>
      </c>
      <c r="T18" s="126">
        <v>0</v>
      </c>
      <c r="U18" s="123"/>
      <c r="V18" s="118">
        <v>14</v>
      </c>
      <c r="W18" s="124">
        <v>0</v>
      </c>
      <c r="X18" s="125">
        <v>7</v>
      </c>
      <c r="Y18" s="125">
        <v>0</v>
      </c>
      <c r="Z18" s="125">
        <v>0</v>
      </c>
      <c r="AA18" s="126">
        <v>7</v>
      </c>
    </row>
    <row r="19" spans="1:27">
      <c r="A19" s="118">
        <v>15</v>
      </c>
      <c r="B19" s="124">
        <v>4631</v>
      </c>
      <c r="C19" s="125">
        <v>15928</v>
      </c>
      <c r="D19" s="125">
        <v>3828</v>
      </c>
      <c r="E19" s="125">
        <v>1840</v>
      </c>
      <c r="F19" s="126">
        <v>26227</v>
      </c>
      <c r="G19" s="123"/>
      <c r="H19" s="118">
        <v>15</v>
      </c>
      <c r="I19" s="124">
        <v>1</v>
      </c>
      <c r="J19" s="125">
        <v>12</v>
      </c>
      <c r="K19" s="125">
        <v>1615</v>
      </c>
      <c r="L19" s="125">
        <v>1418</v>
      </c>
      <c r="M19" s="126">
        <v>3046</v>
      </c>
      <c r="N19" s="123"/>
      <c r="O19" s="118">
        <v>15</v>
      </c>
      <c r="P19" s="124">
        <v>0</v>
      </c>
      <c r="Q19" s="125">
        <v>0</v>
      </c>
      <c r="R19" s="125">
        <v>0</v>
      </c>
      <c r="S19" s="125">
        <v>0</v>
      </c>
      <c r="T19" s="126">
        <v>0</v>
      </c>
      <c r="U19" s="123"/>
      <c r="V19" s="118">
        <v>15</v>
      </c>
      <c r="W19" s="124">
        <v>0</v>
      </c>
      <c r="X19" s="125">
        <v>0</v>
      </c>
      <c r="Y19" s="125">
        <v>0</v>
      </c>
      <c r="Z19" s="125">
        <v>0</v>
      </c>
      <c r="AA19" s="126">
        <v>0</v>
      </c>
    </row>
    <row r="20" spans="1:27" ht="15.75" thickBot="1">
      <c r="A20" s="118" t="s">
        <v>34</v>
      </c>
      <c r="B20" s="124">
        <v>6206</v>
      </c>
      <c r="C20" s="125">
        <v>20039</v>
      </c>
      <c r="D20" s="125">
        <v>6844</v>
      </c>
      <c r="E20" s="125">
        <v>4431</v>
      </c>
      <c r="F20" s="126">
        <v>37520</v>
      </c>
      <c r="G20" s="123"/>
      <c r="H20" s="118" t="s">
        <v>34</v>
      </c>
      <c r="I20" s="124">
        <v>35</v>
      </c>
      <c r="J20" s="125">
        <v>83</v>
      </c>
      <c r="K20" s="125">
        <v>3139</v>
      </c>
      <c r="L20" s="125">
        <v>2810</v>
      </c>
      <c r="M20" s="126">
        <v>6067</v>
      </c>
      <c r="N20" s="123"/>
      <c r="O20" s="118" t="s">
        <v>34</v>
      </c>
      <c r="P20" s="124">
        <v>0</v>
      </c>
      <c r="Q20" s="125">
        <v>0</v>
      </c>
      <c r="R20" s="125">
        <v>0</v>
      </c>
      <c r="S20" s="125">
        <v>0</v>
      </c>
      <c r="T20" s="126">
        <v>0</v>
      </c>
      <c r="U20" s="123"/>
      <c r="V20" s="118" t="s">
        <v>34</v>
      </c>
      <c r="W20" s="124">
        <v>0</v>
      </c>
      <c r="X20" s="125">
        <v>0</v>
      </c>
      <c r="Y20" s="125">
        <v>0</v>
      </c>
      <c r="Z20" s="125">
        <v>0</v>
      </c>
      <c r="AA20" s="126">
        <v>0</v>
      </c>
    </row>
    <row r="21" spans="1:27" ht="16.5" thickTop="1" thickBot="1">
      <c r="A21" s="119" t="s">
        <v>39</v>
      </c>
      <c r="B21" s="127">
        <v>143542</v>
      </c>
      <c r="C21" s="128">
        <v>689167</v>
      </c>
      <c r="D21" s="128">
        <v>319006</v>
      </c>
      <c r="E21" s="128">
        <v>93488</v>
      </c>
      <c r="F21" s="129">
        <v>1245203</v>
      </c>
      <c r="G21" s="123"/>
      <c r="H21" s="119" t="s">
        <v>39</v>
      </c>
      <c r="I21" s="127">
        <v>139</v>
      </c>
      <c r="J21" s="128">
        <v>93095</v>
      </c>
      <c r="K21" s="128">
        <v>264378</v>
      </c>
      <c r="L21" s="128">
        <v>263493</v>
      </c>
      <c r="M21" s="129">
        <v>621105</v>
      </c>
      <c r="N21" s="123"/>
      <c r="O21" s="119" t="s">
        <v>39</v>
      </c>
      <c r="P21" s="127">
        <v>0</v>
      </c>
      <c r="Q21" s="128">
        <v>5923</v>
      </c>
      <c r="R21" s="128">
        <v>2083</v>
      </c>
      <c r="S21" s="128">
        <v>1424</v>
      </c>
      <c r="T21" s="129">
        <v>9430</v>
      </c>
      <c r="U21" s="123"/>
      <c r="V21" s="119" t="s">
        <v>39</v>
      </c>
      <c r="W21" s="127">
        <v>3</v>
      </c>
      <c r="X21" s="128">
        <v>3730</v>
      </c>
      <c r="Y21" s="128">
        <v>1235</v>
      </c>
      <c r="Z21" s="128">
        <v>1566</v>
      </c>
      <c r="AA21" s="129">
        <v>6534</v>
      </c>
    </row>
    <row r="22" spans="1:27" ht="15.75" thickBot="1"/>
    <row r="23" spans="1:27" ht="15.75" customHeight="1" thickBot="1">
      <c r="A23" s="1716" t="s">
        <v>40</v>
      </c>
      <c r="B23" s="1717" t="s">
        <v>40</v>
      </c>
      <c r="C23" s="1718"/>
      <c r="D23" s="1718"/>
      <c r="E23" s="1718"/>
      <c r="F23" s="1718"/>
      <c r="G23" s="1718"/>
      <c r="H23" s="1718"/>
      <c r="I23" s="1718"/>
      <c r="J23" s="1718"/>
      <c r="K23" s="1718"/>
      <c r="L23" s="1719"/>
    </row>
    <row r="24" spans="1:27" ht="45.75" thickBot="1">
      <c r="A24" s="1716"/>
      <c r="B24" s="130" t="s">
        <v>10</v>
      </c>
      <c r="C24" s="131" t="s">
        <v>41</v>
      </c>
      <c r="D24" s="188" t="s">
        <v>42</v>
      </c>
      <c r="E24" s="188" t="s">
        <v>43</v>
      </c>
      <c r="F24" s="189" t="s">
        <v>44</v>
      </c>
      <c r="G24" s="133"/>
      <c r="H24" s="130" t="s">
        <v>10</v>
      </c>
      <c r="I24" s="131" t="s">
        <v>45</v>
      </c>
      <c r="J24" s="131" t="s">
        <v>46</v>
      </c>
      <c r="K24" s="131" t="s">
        <v>47</v>
      </c>
      <c r="L24" s="132" t="s">
        <v>48</v>
      </c>
    </row>
    <row r="25" spans="1:27" ht="15.75" thickTop="1">
      <c r="A25" s="1716"/>
      <c r="B25" s="38">
        <v>0</v>
      </c>
      <c r="C25" s="303">
        <f>IF(CAR!C27/100 &gt; 1,1,CAR!C27/100)</f>
        <v>1</v>
      </c>
      <c r="D25" s="304">
        <f>IF(CAR!D27/100 &gt; 1,1,CAR!D27/100)</f>
        <v>1</v>
      </c>
      <c r="E25" s="304">
        <f>IF(CAR!E27/100 &gt; 1,1,CAR!E27/100)</f>
        <v>1</v>
      </c>
      <c r="F25" s="305">
        <f>IF(CAR!F27/100 &gt; 1,1,CAR!F27/100)</f>
        <v>1</v>
      </c>
      <c r="G25" s="134"/>
      <c r="H25" s="38">
        <v>0</v>
      </c>
      <c r="I25" s="303">
        <f>IF(CAR!I27/100 &gt; 1,1,CAR!I27/100)</f>
        <v>1</v>
      </c>
      <c r="J25" s="304">
        <f>IF(CAR!J27/100 &gt; 1,1,CAR!J27/100)</f>
        <v>1</v>
      </c>
      <c r="K25" s="304">
        <f>IF(CAR!K27/100 &gt; 1,1,CAR!K27/100)</f>
        <v>1</v>
      </c>
      <c r="L25" s="305">
        <f>IF(CAR!L27/100 &gt; 1,1,CAR!L27/100)</f>
        <v>1</v>
      </c>
    </row>
    <row r="26" spans="1:27">
      <c r="A26" s="1716"/>
      <c r="B26" s="38">
        <v>1</v>
      </c>
      <c r="C26" s="306">
        <f>IF(CAR!C28/100 &gt; 1,1,CAR!C28/100)</f>
        <v>1</v>
      </c>
      <c r="D26" s="307">
        <f>IF(CAR!D28/100 &gt; 1,1,CAR!D28/100)</f>
        <v>1</v>
      </c>
      <c r="E26" s="307">
        <f>IF(CAR!E28/100 &gt; 1,1,CAR!E28/100)</f>
        <v>1</v>
      </c>
      <c r="F26" s="308">
        <f>IF(CAR!F28/100 &gt; 1,1,CAR!F28/100)</f>
        <v>1</v>
      </c>
      <c r="G26" s="134"/>
      <c r="H26" s="38">
        <v>1</v>
      </c>
      <c r="I26" s="306">
        <f>IF(CAR!I28/100 &gt; 1,1,CAR!I28/100)</f>
        <v>1</v>
      </c>
      <c r="J26" s="307">
        <f>IF(CAR!J28/100 &gt; 1,1,CAR!J28/100)</f>
        <v>1</v>
      </c>
      <c r="K26" s="307">
        <f>IF(CAR!K28/100 &gt; 1,1,CAR!K28/100)</f>
        <v>1</v>
      </c>
      <c r="L26" s="308">
        <f>IF(CAR!L28/100 &gt; 1,1,CAR!L28/100)</f>
        <v>1</v>
      </c>
    </row>
    <row r="27" spans="1:27">
      <c r="A27" s="1716"/>
      <c r="B27" s="38">
        <v>2</v>
      </c>
      <c r="C27" s="306">
        <f>IF(CAR!C29/100 &gt; 1,1,CAR!C29/100)</f>
        <v>1</v>
      </c>
      <c r="D27" s="307">
        <f>IF(CAR!D29/100 &gt; 1,1,CAR!D29/100)</f>
        <v>1</v>
      </c>
      <c r="E27" s="307">
        <f>IF(CAR!E29/100 &gt; 1,1,CAR!E29/100)</f>
        <v>1</v>
      </c>
      <c r="F27" s="308">
        <f>IF(CAR!F29/100 &gt; 1,1,CAR!F29/100)</f>
        <v>1</v>
      </c>
      <c r="G27" s="134"/>
      <c r="H27" s="38">
        <v>2</v>
      </c>
      <c r="I27" s="306">
        <f>IF(CAR!I29/100 &gt; 1,1,CAR!I29/100)</f>
        <v>1</v>
      </c>
      <c r="J27" s="307">
        <f>IF(CAR!J29/100 &gt; 1,1,CAR!J29/100)</f>
        <v>1</v>
      </c>
      <c r="K27" s="307">
        <f>IF(CAR!K29/100 &gt; 1,1,CAR!K29/100)</f>
        <v>1</v>
      </c>
      <c r="L27" s="308">
        <f>IF(CAR!L29/100 &gt; 1,1,CAR!L29/100)</f>
        <v>1</v>
      </c>
    </row>
    <row r="28" spans="1:27">
      <c r="A28" s="1716"/>
      <c r="B28" s="38">
        <v>3</v>
      </c>
      <c r="C28" s="306">
        <f>IF(CAR!C30/100 &gt; 1,1,CAR!C30/100)</f>
        <v>1</v>
      </c>
      <c r="D28" s="307">
        <f>IF(CAR!D30/100 &gt; 1,1,CAR!D30/100)</f>
        <v>1</v>
      </c>
      <c r="E28" s="307">
        <f>IF(CAR!E30/100 &gt; 1,1,CAR!E30/100)</f>
        <v>1</v>
      </c>
      <c r="F28" s="308">
        <f>IF(CAR!F30/100 &gt; 1,1,CAR!F30/100)</f>
        <v>1</v>
      </c>
      <c r="G28" s="134"/>
      <c r="H28" s="38">
        <v>3</v>
      </c>
      <c r="I28" s="306">
        <f>IF(CAR!I30/100 &gt; 1,1,CAR!I30/100)</f>
        <v>1</v>
      </c>
      <c r="J28" s="307">
        <f>IF(CAR!J30/100 &gt; 1,1,CAR!J30/100)</f>
        <v>1</v>
      </c>
      <c r="K28" s="307">
        <f>IF(CAR!K30/100 &gt; 1,1,CAR!K30/100)</f>
        <v>1</v>
      </c>
      <c r="L28" s="308">
        <f>IF(CAR!L30/100 &gt; 1,1,CAR!L30/100)</f>
        <v>1</v>
      </c>
    </row>
    <row r="29" spans="1:27">
      <c r="A29" s="1716"/>
      <c r="B29" s="38">
        <v>4</v>
      </c>
      <c r="C29" s="306">
        <f>IF(CAR!C31/100 &gt; 1,1,CAR!C31/100)</f>
        <v>1</v>
      </c>
      <c r="D29" s="307">
        <f>IF(CAR!D31/100 &gt; 1,1,CAR!D31/100)</f>
        <v>1</v>
      </c>
      <c r="E29" s="307">
        <f>IF(CAR!E31/100 &gt; 1,1,CAR!E31/100)</f>
        <v>1</v>
      </c>
      <c r="F29" s="308">
        <f>IF(CAR!F31/100 &gt; 1,1,CAR!F31/100)</f>
        <v>1</v>
      </c>
      <c r="G29" s="134"/>
      <c r="H29" s="38">
        <v>4</v>
      </c>
      <c r="I29" s="306">
        <f>IF(CAR!I31/100 &gt; 1,1,CAR!I31/100)</f>
        <v>1</v>
      </c>
      <c r="J29" s="307">
        <f>IF(CAR!J31/100 &gt; 1,1,CAR!J31/100)</f>
        <v>1</v>
      </c>
      <c r="K29" s="307">
        <f>IF(CAR!K31/100 &gt; 1,1,CAR!K31/100)</f>
        <v>1</v>
      </c>
      <c r="L29" s="308">
        <f>IF(CAR!L31/100 &gt; 1,1,CAR!L31/100)</f>
        <v>1</v>
      </c>
    </row>
    <row r="30" spans="1:27">
      <c r="A30" s="1716"/>
      <c r="B30" s="38">
        <v>5</v>
      </c>
      <c r="C30" s="306">
        <f>IF(CAR!C32/100 &gt; 1,1,CAR!C32/100)</f>
        <v>1</v>
      </c>
      <c r="D30" s="307">
        <f>IF(CAR!D32/100 &gt; 1,1,CAR!D32/100)</f>
        <v>1</v>
      </c>
      <c r="E30" s="307">
        <f>IF(CAR!E32/100 &gt; 1,1,CAR!E32/100)</f>
        <v>1</v>
      </c>
      <c r="F30" s="308">
        <f>IF(CAR!F32/100 &gt; 1,1,CAR!F32/100)</f>
        <v>1</v>
      </c>
      <c r="G30" s="134"/>
      <c r="H30" s="38">
        <v>5</v>
      </c>
      <c r="I30" s="306">
        <f>IF(CAR!I32/100 &gt; 1,1,CAR!I32/100)</f>
        <v>1</v>
      </c>
      <c r="J30" s="307">
        <f>IF(CAR!J32/100 &gt; 1,1,CAR!J32/100)</f>
        <v>1</v>
      </c>
      <c r="K30" s="307">
        <f>IF(CAR!K32/100 &gt; 1,1,CAR!K32/100)</f>
        <v>1</v>
      </c>
      <c r="L30" s="308">
        <f>IF(CAR!L32/100 &gt; 1,1,CAR!L32/100)</f>
        <v>1</v>
      </c>
    </row>
    <row r="31" spans="1:27">
      <c r="A31" s="1716"/>
      <c r="B31" s="38">
        <v>6</v>
      </c>
      <c r="C31" s="306">
        <f>IF(CAR!C33/100 &gt; 1,1,CAR!C33/100)</f>
        <v>1</v>
      </c>
      <c r="D31" s="307">
        <f>IF(CAR!D33/100 &gt; 1,1,CAR!D33/100)</f>
        <v>1</v>
      </c>
      <c r="E31" s="307">
        <f>IF(CAR!E33/100 &gt; 1,1,CAR!E33/100)</f>
        <v>1</v>
      </c>
      <c r="F31" s="308">
        <f>IF(CAR!F33/100 &gt; 1,1,CAR!F33/100)</f>
        <v>1</v>
      </c>
      <c r="G31" s="134"/>
      <c r="H31" s="38">
        <v>6</v>
      </c>
      <c r="I31" s="306">
        <f>IF(CAR!I33/100 &gt; 1,1,CAR!I33/100)</f>
        <v>1</v>
      </c>
      <c r="J31" s="307">
        <f>IF(CAR!J33/100 &gt; 1,1,CAR!J33/100)</f>
        <v>1</v>
      </c>
      <c r="K31" s="307">
        <f>IF(CAR!K33/100 &gt; 1,1,CAR!K33/100)</f>
        <v>1</v>
      </c>
      <c r="L31" s="308">
        <f>IF(CAR!L33/100 &gt; 1,1,CAR!L33/100)</f>
        <v>1</v>
      </c>
    </row>
    <row r="32" spans="1:27">
      <c r="A32" s="1716"/>
      <c r="B32" s="38">
        <v>7</v>
      </c>
      <c r="C32" s="306">
        <f>IF(CAR!C34/100 &gt; 1,1,CAR!C34/100)</f>
        <v>1</v>
      </c>
      <c r="D32" s="307">
        <f>IF(CAR!D34/100 &gt; 1,1,CAR!D34/100)</f>
        <v>1</v>
      </c>
      <c r="E32" s="307">
        <f>IF(CAR!E34/100 &gt; 1,1,CAR!E34/100)</f>
        <v>1</v>
      </c>
      <c r="F32" s="308">
        <f>IF(CAR!F34/100 &gt; 1,1,CAR!F34/100)</f>
        <v>1</v>
      </c>
      <c r="G32" s="134"/>
      <c r="H32" s="38">
        <v>7</v>
      </c>
      <c r="I32" s="306">
        <f>IF(CAR!I34/100 &gt; 1,1,CAR!I34/100)</f>
        <v>1</v>
      </c>
      <c r="J32" s="307">
        <f>IF(CAR!J34/100 &gt; 1,1,CAR!J34/100)</f>
        <v>1</v>
      </c>
      <c r="K32" s="307">
        <f>IF(CAR!K34/100 &gt; 1,1,CAR!K34/100)</f>
        <v>1</v>
      </c>
      <c r="L32" s="308">
        <f>IF(CAR!L34/100 &gt; 1,1,CAR!L34/100)</f>
        <v>1</v>
      </c>
    </row>
    <row r="33" spans="1:12">
      <c r="A33" s="1716"/>
      <c r="B33" s="38">
        <v>8</v>
      </c>
      <c r="C33" s="306">
        <f>IF(CAR!C35/100 &gt; 1,1,CAR!C35/100)</f>
        <v>1</v>
      </c>
      <c r="D33" s="307">
        <f>IF(CAR!D35/100 &gt; 1,1,CAR!D35/100)</f>
        <v>0.98533121623782993</v>
      </c>
      <c r="E33" s="307">
        <f>IF(CAR!E35/100 &gt; 1,1,CAR!E35/100)</f>
        <v>0.99500013160770862</v>
      </c>
      <c r="F33" s="308">
        <f>IF(CAR!F35/100 &gt; 1,1,CAR!F35/100)</f>
        <v>1</v>
      </c>
      <c r="G33" s="134"/>
      <c r="H33" s="38">
        <v>8</v>
      </c>
      <c r="I33" s="306">
        <f>IF(CAR!I35/100 &gt; 1,1,CAR!I35/100)</f>
        <v>1</v>
      </c>
      <c r="J33" s="307">
        <f>IF(CAR!J35/100 &gt; 1,1,CAR!J35/100)</f>
        <v>1</v>
      </c>
      <c r="K33" s="307">
        <f>IF(CAR!K35/100 &gt; 1,1,CAR!K35/100)</f>
        <v>1</v>
      </c>
      <c r="L33" s="308">
        <f>IF(CAR!L35/100 &gt; 1,1,CAR!L35/100)</f>
        <v>1</v>
      </c>
    </row>
    <row r="34" spans="1:12">
      <c r="A34" s="1716"/>
      <c r="B34" s="38">
        <v>9</v>
      </c>
      <c r="C34" s="306">
        <f>IF(CAR!C36/100 &gt; 1,1,CAR!C36/100)</f>
        <v>0.98643404396646073</v>
      </c>
      <c r="D34" s="307">
        <f>IF(CAR!D36/100 &gt; 1,1,CAR!D36/100)</f>
        <v>0.9345628303757656</v>
      </c>
      <c r="E34" s="307">
        <f>IF(CAR!E36/100 &gt; 1,1,CAR!E36/100)</f>
        <v>0.94516968912500188</v>
      </c>
      <c r="F34" s="308">
        <f>IF(CAR!F36/100 &gt; 1,1,CAR!F36/100)</f>
        <v>0.97296978558345248</v>
      </c>
      <c r="G34" s="134"/>
      <c r="H34" s="38">
        <v>9</v>
      </c>
      <c r="I34" s="306">
        <f>IF(CAR!I36/100 &gt; 1,1,CAR!I36/100)</f>
        <v>1</v>
      </c>
      <c r="J34" s="307">
        <f>IF(CAR!J36/100 &gt; 1,1,CAR!J36/100)</f>
        <v>1</v>
      </c>
      <c r="K34" s="307">
        <f>IF(CAR!K36/100 &gt; 1,1,CAR!K36/100)</f>
        <v>1</v>
      </c>
      <c r="L34" s="308">
        <f>IF(CAR!L36/100 &gt; 1,1,CAR!L36/100)</f>
        <v>1</v>
      </c>
    </row>
    <row r="35" spans="1:12">
      <c r="A35" s="1716"/>
      <c r="B35" s="38">
        <v>10</v>
      </c>
      <c r="C35" s="306">
        <f>IF(CAR!C37/100 &gt; 1,1,CAR!C37/100)</f>
        <v>0.9235704676331794</v>
      </c>
      <c r="D35" s="307">
        <f>IF(CAR!D37/100 &gt; 1,1,CAR!D37/100)</f>
        <v>0.8508608833945831</v>
      </c>
      <c r="E35" s="307">
        <f>IF(CAR!E37/100 &gt; 1,1,CAR!E37/100)</f>
        <v>0.85577662656543974</v>
      </c>
      <c r="F35" s="308">
        <f>IF(CAR!F37/100 &gt; 1,1,CAR!F37/100)</f>
        <v>0.88235324994745867</v>
      </c>
      <c r="G35" s="134"/>
      <c r="H35" s="38">
        <v>10</v>
      </c>
      <c r="I35" s="306">
        <f>IF(CAR!I37/100 &gt; 1,1,CAR!I37/100)</f>
        <v>1</v>
      </c>
      <c r="J35" s="307">
        <f>IF(CAR!J37/100 &gt; 1,1,CAR!J37/100)</f>
        <v>1</v>
      </c>
      <c r="K35" s="307">
        <f>IF(CAR!K37/100 &gt; 1,1,CAR!K37/100)</f>
        <v>1</v>
      </c>
      <c r="L35" s="308">
        <f>IF(CAR!L37/100 &gt; 1,1,CAR!L37/100)</f>
        <v>1</v>
      </c>
    </row>
    <row r="36" spans="1:12">
      <c r="A36" s="1716"/>
      <c r="B36" s="38">
        <v>11</v>
      </c>
      <c r="C36" s="306">
        <f>IF(CAR!C38/100 &gt; 1,1,CAR!C38/100)</f>
        <v>0.8346991826233946</v>
      </c>
      <c r="D36" s="307">
        <f>IF(CAR!D38/100 &gt; 1,1,CAR!D38/100)</f>
        <v>0.74592573056790756</v>
      </c>
      <c r="E36" s="307">
        <f>IF(CAR!E38/100 &gt; 1,1,CAR!E38/100)</f>
        <v>0.73985928068878892</v>
      </c>
      <c r="F36" s="308">
        <f>IF(CAR!F38/100 &gt; 1,1,CAR!F38/100)</f>
        <v>0.7665225324976046</v>
      </c>
      <c r="G36" s="134"/>
      <c r="H36" s="38">
        <v>11</v>
      </c>
      <c r="I36" s="306">
        <f>IF(CAR!I38/100 &gt; 1,1,CAR!I38/100)</f>
        <v>1</v>
      </c>
      <c r="J36" s="307">
        <f>IF(CAR!J38/100 &gt; 1,1,CAR!J38/100)</f>
        <v>1</v>
      </c>
      <c r="K36" s="307">
        <f>IF(CAR!K38/100 &gt; 1,1,CAR!K38/100)</f>
        <v>1</v>
      </c>
      <c r="L36" s="308">
        <f>IF(CAR!L38/100 &gt; 1,1,CAR!L38/100)</f>
        <v>0.95162932763738906</v>
      </c>
    </row>
    <row r="37" spans="1:12">
      <c r="A37" s="1716"/>
      <c r="B37" s="38">
        <v>12</v>
      </c>
      <c r="C37" s="306">
        <f>IF(CAR!C39/100 &gt; 1,1,CAR!C39/100)</f>
        <v>0.72545709377816958</v>
      </c>
      <c r="D37" s="307">
        <f>IF(CAR!D39/100 &gt; 1,1,CAR!D39/100)</f>
        <v>0.6171012742161438</v>
      </c>
      <c r="E37" s="307">
        <f>IF(CAR!E39/100 &gt; 1,1,CAR!E39/100)</f>
        <v>0.5998248511915738</v>
      </c>
      <c r="F37" s="308">
        <f>IF(CAR!F39/100 &gt; 1,1,CAR!F39/100)</f>
        <v>0.6358793562025753</v>
      </c>
      <c r="G37" s="134"/>
      <c r="H37" s="38">
        <v>12</v>
      </c>
      <c r="I37" s="306">
        <f>IF(CAR!I39/100 &gt; 1,1,CAR!I39/100)</f>
        <v>0.97224221275824252</v>
      </c>
      <c r="J37" s="307">
        <f>IF(CAR!J39/100 &gt; 1,1,CAR!J39/100)</f>
        <v>1</v>
      </c>
      <c r="K37" s="307">
        <f>IF(CAR!K39/100 &gt; 1,1,CAR!K39/100)</f>
        <v>0.98503061527386337</v>
      </c>
      <c r="L37" s="308">
        <f>IF(CAR!L39/100 &gt; 1,1,CAR!L39/100)</f>
        <v>0.76451633857582169</v>
      </c>
    </row>
    <row r="38" spans="1:12">
      <c r="A38" s="1716"/>
      <c r="B38" s="38">
        <v>13</v>
      </c>
      <c r="C38" s="306">
        <f>IF(CAR!C40/100 &gt; 1,1,CAR!C40/100)</f>
        <v>0.60711786745538032</v>
      </c>
      <c r="D38" s="307">
        <f>IF(CAR!D40/100 &gt; 1,1,CAR!D40/100)</f>
        <v>0.49197484361100458</v>
      </c>
      <c r="E38" s="307">
        <f>IF(CAR!E40/100 &gt; 1,1,CAR!E40/100)</f>
        <v>0.47390986071051927</v>
      </c>
      <c r="F38" s="308">
        <f>IF(CAR!F40/100 &gt; 1,1,CAR!F40/100)</f>
        <v>0.51298847143152959</v>
      </c>
      <c r="G38" s="134"/>
      <c r="H38" s="38">
        <v>13</v>
      </c>
      <c r="I38" s="306">
        <f>IF(CAR!I40/100 &gt; 1,1,CAR!I40/100)</f>
        <v>0.74080402670118839</v>
      </c>
      <c r="J38" s="307">
        <f>IF(CAR!J40/100 &gt; 1,1,CAR!J40/100)</f>
        <v>0.8746101779036024</v>
      </c>
      <c r="K38" s="307">
        <f>IF(CAR!K40/100 &gt; 1,1,CAR!K40/100)</f>
        <v>0.76968389119090841</v>
      </c>
      <c r="L38" s="308">
        <f>IF(CAR!L40/100 &gt; 1,1,CAR!L40/100)</f>
        <v>0.5913534534150634</v>
      </c>
    </row>
    <row r="39" spans="1:12">
      <c r="A39" s="1716"/>
      <c r="B39" s="38">
        <v>14</v>
      </c>
      <c r="C39" s="306">
        <f>IF(CAR!C41/100 &gt; 1,1,CAR!C41/100)</f>
        <v>0.47955664275695725</v>
      </c>
      <c r="D39" s="307">
        <f>IF(CAR!D41/100 &gt; 1,1,CAR!D41/100)</f>
        <v>0.37896117707075505</v>
      </c>
      <c r="E39" s="307">
        <f>IF(CAR!E41/100 &gt; 1,1,CAR!E41/100)</f>
        <v>0.35952784773317248</v>
      </c>
      <c r="F39" s="308">
        <f>IF(CAR!F41/100 &gt; 1,1,CAR!F41/100)</f>
        <v>0.40327091612622845</v>
      </c>
      <c r="G39" s="134"/>
      <c r="H39" s="38">
        <v>14</v>
      </c>
      <c r="I39" s="306">
        <f>IF(CAR!I41/100 &gt; 1,1,CAR!I41/100)</f>
        <v>0.49983305183754551</v>
      </c>
      <c r="J39" s="307">
        <f>IF(CAR!J41/100 &gt; 1,1,CAR!J41/100)</f>
        <v>0.62730385606891892</v>
      </c>
      <c r="K39" s="307">
        <f>IF(CAR!K41/100 &gt; 1,1,CAR!K41/100)</f>
        <v>0.58185539733870417</v>
      </c>
      <c r="L39" s="308">
        <f>IF(CAR!L41/100 &gt; 1,1,CAR!L41/100)</f>
        <v>0.43858091262931959</v>
      </c>
    </row>
    <row r="40" spans="1:12">
      <c r="A40" s="1716"/>
      <c r="B40" s="38">
        <v>15</v>
      </c>
      <c r="C40" s="306">
        <f>IF(CAR!C42/100 &gt; 1,1,CAR!C42/100)</f>
        <v>0.34712314716287673</v>
      </c>
      <c r="D40" s="307">
        <f>IF(CAR!D42/100 &gt; 1,1,CAR!D42/100)</f>
        <v>0.27512659131795175</v>
      </c>
      <c r="E40" s="307">
        <f>IF(CAR!E42/100 &gt; 1,1,CAR!E42/100)</f>
        <v>0.26413892318621479</v>
      </c>
      <c r="F40" s="308">
        <f>IF(CAR!F42/100 &gt; 1,1,CAR!F42/100)</f>
        <v>0.30561372806824472</v>
      </c>
      <c r="G40" s="134"/>
      <c r="H40" s="38">
        <v>15</v>
      </c>
      <c r="I40" s="306">
        <f>IF(CAR!I42/100 &gt; 1,1,CAR!I42/100)</f>
        <v>0.33923607628179508</v>
      </c>
      <c r="J40" s="307">
        <f>IF(CAR!J42/100 &gt; 1,1,CAR!J42/100)</f>
        <v>0.45118319655025102</v>
      </c>
      <c r="K40" s="307">
        <f>IF(CAR!K42/100 &gt; 1,1,CAR!K42/100)</f>
        <v>0.40997153845093132</v>
      </c>
      <c r="L40" s="308">
        <f>IF(CAR!L42/100 &gt; 1,1,CAR!L42/100)</f>
        <v>0.31324817462562771</v>
      </c>
    </row>
    <row r="41" spans="1:12">
      <c r="A41" s="1716"/>
      <c r="B41" s="38">
        <v>16</v>
      </c>
      <c r="C41" s="306">
        <f>IF(CAR!C43/100 &gt; 1,1,CAR!C43/100)</f>
        <v>0.31241083244658907</v>
      </c>
      <c r="D41" s="307">
        <f>IF(CAR!D43/100 &gt; 1,1,CAR!D43/100)</f>
        <v>0.2476139321861566</v>
      </c>
      <c r="E41" s="307">
        <f>IF(CAR!E43/100 &gt; 1,1,CAR!E43/100)</f>
        <v>0.23772503086759333</v>
      </c>
      <c r="F41" s="308">
        <f>IF(CAR!F43/100 &gt; 1,1,CAR!F43/100)</f>
        <v>0.27505235526142024</v>
      </c>
      <c r="G41" s="134"/>
      <c r="H41" s="38">
        <v>16</v>
      </c>
      <c r="I41" s="306">
        <f>IF(CAR!I43/100 &gt; 1,1,CAR!I43/100)</f>
        <v>0.30531246865361561</v>
      </c>
      <c r="J41" s="307">
        <f>IF(CAR!J43/100 &gt; 1,1,CAR!J43/100)</f>
        <v>0.40606487689522597</v>
      </c>
      <c r="K41" s="307">
        <f>IF(CAR!K43/100 &gt; 1,1,CAR!K43/100)</f>
        <v>0.36897438460583815</v>
      </c>
      <c r="L41" s="308">
        <f>IF(CAR!L43/100 &gt; 1,1,CAR!L43/100)</f>
        <v>0.28192335716306494</v>
      </c>
    </row>
    <row r="42" spans="1:12">
      <c r="A42" s="1716"/>
      <c r="B42" s="38">
        <v>17</v>
      </c>
      <c r="C42" s="306">
        <f>IF(CAR!C44/100 &gt; 1,1,CAR!C44/100)</f>
        <v>0.27769851773030141</v>
      </c>
      <c r="D42" s="307">
        <f>IF(CAR!D44/100 &gt; 1,1,CAR!D44/100)</f>
        <v>0.22010127305436142</v>
      </c>
      <c r="E42" s="307">
        <f>IF(CAR!E44/100 &gt; 1,1,CAR!E44/100)</f>
        <v>0.21131113854897182</v>
      </c>
      <c r="F42" s="308">
        <f>IF(CAR!F44/100 &gt; 1,1,CAR!F44/100)</f>
        <v>0.2444909824545958</v>
      </c>
      <c r="G42" s="134"/>
      <c r="H42" s="38">
        <v>17</v>
      </c>
      <c r="I42" s="306">
        <f>IF(CAR!I44/100 &gt; 1,1,CAR!I44/100)</f>
        <v>0.27138886102543608</v>
      </c>
      <c r="J42" s="307">
        <f>IF(CAR!J44/100 &gt; 1,1,CAR!J44/100)</f>
        <v>0.36094655724020086</v>
      </c>
      <c r="K42" s="307">
        <f>IF(CAR!K44/100 &gt; 1,1,CAR!K44/100)</f>
        <v>0.32797723076074503</v>
      </c>
      <c r="L42" s="308">
        <f>IF(CAR!L44/100 &gt; 1,1,CAR!L44/100)</f>
        <v>0.25059853970050217</v>
      </c>
    </row>
    <row r="43" spans="1:12">
      <c r="A43" s="1716"/>
      <c r="B43" s="38">
        <v>18</v>
      </c>
      <c r="C43" s="306">
        <f>IF(CAR!C45/100 &gt; 1,1,CAR!C45/100)</f>
        <v>0.24298620301401375</v>
      </c>
      <c r="D43" s="307">
        <f>IF(CAR!D45/100 &gt; 1,1,CAR!D45/100)</f>
        <v>0.19258861392256627</v>
      </c>
      <c r="E43" s="307">
        <f>IF(CAR!E45/100 &gt; 1,1,CAR!E45/100)</f>
        <v>0.18489724623035034</v>
      </c>
      <c r="F43" s="308">
        <f>IF(CAR!F45/100 &gt; 1,1,CAR!F45/100)</f>
        <v>0.21392960964777136</v>
      </c>
      <c r="G43" s="134"/>
      <c r="H43" s="38">
        <v>18</v>
      </c>
      <c r="I43" s="306">
        <f>IF(CAR!I45/100 &gt; 1,1,CAR!I45/100)</f>
        <v>0.23746525339725658</v>
      </c>
      <c r="J43" s="307">
        <f>IF(CAR!J45/100 &gt; 1,1,CAR!J45/100)</f>
        <v>0.31582823758517575</v>
      </c>
      <c r="K43" s="307">
        <f>IF(CAR!K45/100 &gt; 1,1,CAR!K45/100)</f>
        <v>0.28698007691565192</v>
      </c>
      <c r="L43" s="308">
        <f>IF(CAR!L45/100 &gt; 1,1,CAR!L45/100)</f>
        <v>0.21927372223793939</v>
      </c>
    </row>
    <row r="44" spans="1:12">
      <c r="A44" s="1716"/>
      <c r="B44" s="38">
        <v>19</v>
      </c>
      <c r="C44" s="306">
        <f>IF(CAR!C46/100 &gt; 1,1,CAR!C46/100)</f>
        <v>0.20827388829772608</v>
      </c>
      <c r="D44" s="307">
        <f>IF(CAR!D46/100 &gt; 1,1,CAR!D46/100)</f>
        <v>0.16507595479077111</v>
      </c>
      <c r="E44" s="307">
        <f>IF(CAR!E46/100 &gt; 1,1,CAR!E46/100)</f>
        <v>0.15848335391172885</v>
      </c>
      <c r="F44" s="308">
        <f>IF(CAR!F46/100 &gt; 1,1,CAR!F46/100)</f>
        <v>0.18336823684094689</v>
      </c>
      <c r="G44" s="134"/>
      <c r="H44" s="38">
        <v>19</v>
      </c>
      <c r="I44" s="306">
        <f>IF(CAR!I46/100 &gt; 1,1,CAR!I46/100)</f>
        <v>0.20354164576907707</v>
      </c>
      <c r="J44" s="307">
        <f>IF(CAR!J46/100 &gt; 1,1,CAR!J46/100)</f>
        <v>0.2707099179301507</v>
      </c>
      <c r="K44" s="307">
        <f>IF(CAR!K46/100 &gt; 1,1,CAR!K46/100)</f>
        <v>0.24598292307055877</v>
      </c>
      <c r="L44" s="308">
        <f>IF(CAR!L46/100 &gt; 1,1,CAR!L46/100)</f>
        <v>0.1879489047753766</v>
      </c>
    </row>
    <row r="45" spans="1:12">
      <c r="A45" s="1716"/>
      <c r="B45" s="38">
        <v>20</v>
      </c>
      <c r="C45" s="306">
        <f>IF(CAR!C47/100 &gt; 1,1,CAR!C47/100)</f>
        <v>0.17356157358143842</v>
      </c>
      <c r="D45" s="307">
        <f>IF(CAR!D47/100 &gt; 1,1,CAR!D47/100)</f>
        <v>0.13756329565897593</v>
      </c>
      <c r="E45" s="307">
        <f>IF(CAR!E47/100 &gt; 1,1,CAR!E47/100)</f>
        <v>0.13206946159310737</v>
      </c>
      <c r="F45" s="308">
        <f>IF(CAR!F47/100 &gt; 1,1,CAR!F47/100)</f>
        <v>0.15280686403412241</v>
      </c>
      <c r="G45" s="134"/>
      <c r="H45" s="38">
        <v>20</v>
      </c>
      <c r="I45" s="306">
        <f>IF(CAR!I47/100 &gt; 1,1,CAR!I47/100)</f>
        <v>0.16961803814089754</v>
      </c>
      <c r="J45" s="307">
        <f>IF(CAR!J47/100 &gt; 1,1,CAR!J47/100)</f>
        <v>0.22559159827512559</v>
      </c>
      <c r="K45" s="307">
        <f>IF(CAR!K47/100 &gt; 1,1,CAR!K47/100)</f>
        <v>0.20498576922546566</v>
      </c>
      <c r="L45" s="308">
        <f>IF(CAR!L47/100 &gt; 1,1,CAR!L47/100)</f>
        <v>0.15662408731281383</v>
      </c>
    </row>
    <row r="46" spans="1:12">
      <c r="A46" s="1716"/>
      <c r="B46" s="38">
        <v>21</v>
      </c>
      <c r="C46" s="306">
        <f>IF(CAR!C48/100 &gt; 1,1,CAR!C48/100)</f>
        <v>0.13884925886515076</v>
      </c>
      <c r="D46" s="307">
        <f>IF(CAR!D48/100 &gt; 1,1,CAR!D48/100)</f>
        <v>0.11005063652718075</v>
      </c>
      <c r="E46" s="307">
        <f>IF(CAR!E48/100 &gt; 1,1,CAR!E48/100)</f>
        <v>0.10565556927448587</v>
      </c>
      <c r="F46" s="308">
        <f>IF(CAR!F48/100 &gt; 1,1,CAR!F48/100)</f>
        <v>0.12224549122729794</v>
      </c>
      <c r="G46" s="134"/>
      <c r="H46" s="38">
        <v>21</v>
      </c>
      <c r="I46" s="306">
        <f>IF(CAR!I48/100 &gt; 1,1,CAR!I48/100)</f>
        <v>0.13569443051271804</v>
      </c>
      <c r="J46" s="307">
        <f>IF(CAR!J48/100 &gt; 1,1,CAR!J48/100)</f>
        <v>0.18047327862010051</v>
      </c>
      <c r="K46" s="307">
        <f>IF(CAR!K48/100 &gt; 1,1,CAR!K48/100)</f>
        <v>0.16398861538037252</v>
      </c>
      <c r="L46" s="308">
        <f>IF(CAR!L48/100 &gt; 1,1,CAR!L48/100)</f>
        <v>0.12529926985025103</v>
      </c>
    </row>
    <row r="47" spans="1:12">
      <c r="A47" s="1716"/>
      <c r="B47" s="38">
        <v>22</v>
      </c>
      <c r="C47" s="306">
        <f>IF(CAR!C49/100 &gt; 1,1,CAR!C49/100)</f>
        <v>0.10413694414886308</v>
      </c>
      <c r="D47" s="307">
        <f>IF(CAR!D49/100 &gt; 1,1,CAR!D49/100)</f>
        <v>8.253797739538557E-2</v>
      </c>
      <c r="E47" s="307">
        <f>IF(CAR!E49/100 &gt; 1,1,CAR!E49/100)</f>
        <v>7.9241676955864385E-2</v>
      </c>
      <c r="F47" s="308">
        <f>IF(CAR!F49/100 &gt; 1,1,CAR!F49/100)</f>
        <v>9.168411842047347E-2</v>
      </c>
      <c r="G47" s="134"/>
      <c r="H47" s="38">
        <v>22</v>
      </c>
      <c r="I47" s="306">
        <f>IF(CAR!I49/100 &gt; 1,1,CAR!I49/100)</f>
        <v>0.10177082288453854</v>
      </c>
      <c r="J47" s="307">
        <f>IF(CAR!J49/100 &gt; 1,1,CAR!J49/100)</f>
        <v>0.13535495896507541</v>
      </c>
      <c r="K47" s="307">
        <f>IF(CAR!K49/100 &gt; 1,1,CAR!K49/100)</f>
        <v>0.12299146153527939</v>
      </c>
      <c r="L47" s="308">
        <f>IF(CAR!L49/100 &gt; 1,1,CAR!L49/100)</f>
        <v>9.3974452387688243E-2</v>
      </c>
    </row>
    <row r="48" spans="1:12">
      <c r="A48" s="1716"/>
      <c r="B48" s="38">
        <v>23</v>
      </c>
      <c r="C48" s="306">
        <f>IF(CAR!C50/100 &gt; 1,1,CAR!C50/100)</f>
        <v>6.9424629432575408E-2</v>
      </c>
      <c r="D48" s="307">
        <f>IF(CAR!D50/100 &gt; 1,1,CAR!D50/100)</f>
        <v>5.5025318263590389E-2</v>
      </c>
      <c r="E48" s="307">
        <f>IF(CAR!E50/100 &gt; 1,1,CAR!E50/100)</f>
        <v>5.2827784637242893E-2</v>
      </c>
      <c r="F48" s="308">
        <f>IF(CAR!F50/100 &gt; 1,1,CAR!F50/100)</f>
        <v>6.1122745613648985E-2</v>
      </c>
      <c r="G48" s="134"/>
      <c r="H48" s="38">
        <v>23</v>
      </c>
      <c r="I48" s="306">
        <f>IF(CAR!I50/100 &gt; 1,1,CAR!I50/100)</f>
        <v>6.784721525635902E-2</v>
      </c>
      <c r="J48" s="307">
        <f>IF(CAR!J50/100 &gt; 1,1,CAR!J50/100)</f>
        <v>9.0236639310050284E-2</v>
      </c>
      <c r="K48" s="307">
        <f>IF(CAR!K50/100 &gt; 1,1,CAR!K50/100)</f>
        <v>8.1994307690186258E-2</v>
      </c>
      <c r="L48" s="308">
        <f>IF(CAR!L50/100 &gt; 1,1,CAR!L50/100)</f>
        <v>6.2649634925125472E-2</v>
      </c>
    </row>
    <row r="49" spans="1:31">
      <c r="A49" s="1716"/>
      <c r="B49" s="38">
        <v>24</v>
      </c>
      <c r="C49" s="306">
        <f>IF(CAR!C51/100 &gt; 1,1,CAR!C51/100)</f>
        <v>3.4712314716287732E-2</v>
      </c>
      <c r="D49" s="307">
        <f>IF(CAR!D51/100 &gt; 1,1,CAR!D51/100)</f>
        <v>2.7512659131795219E-2</v>
      </c>
      <c r="E49" s="307">
        <f>IF(CAR!E51/100 &gt; 1,1,CAR!E51/100)</f>
        <v>2.6413892318621412E-2</v>
      </c>
      <c r="F49" s="308">
        <f>IF(CAR!F51/100 &gt; 1,1,CAR!F51/100)</f>
        <v>3.0561372806824517E-2</v>
      </c>
      <c r="G49" s="134"/>
      <c r="H49" s="38">
        <v>24</v>
      </c>
      <c r="I49" s="306">
        <f>IF(CAR!I51/100 &gt; 1,1,CAR!I51/100)</f>
        <v>3.392360762817951E-2</v>
      </c>
      <c r="J49" s="307">
        <f>IF(CAR!J51/100 &gt; 1,1,CAR!J51/100)</f>
        <v>4.5118319655025177E-2</v>
      </c>
      <c r="K49" s="307">
        <f>IF(CAR!K51/100 &gt; 1,1,CAR!K51/100)</f>
        <v>4.0997153845093129E-2</v>
      </c>
      <c r="L49" s="308">
        <f>IF(CAR!L51/100 &gt; 1,1,CAR!L51/100)</f>
        <v>3.1324817462562694E-2</v>
      </c>
    </row>
    <row r="50" spans="1:31" ht="15.75" thickBot="1">
      <c r="A50" s="1716"/>
      <c r="B50" s="186">
        <v>25</v>
      </c>
      <c r="C50" s="309">
        <f>IF(CAR!C52/100 &gt; 1,1,CAR!C52/100)</f>
        <v>0</v>
      </c>
      <c r="D50" s="310">
        <f>IF(CAR!D52/100 &gt; 1,1,CAR!D52/100)</f>
        <v>0</v>
      </c>
      <c r="E50" s="310">
        <f>IF(CAR!E52/100 &gt; 1,1,CAR!E52/100)</f>
        <v>0</v>
      </c>
      <c r="F50" s="311">
        <f>IF(CAR!F52/100 &gt; 1,1,CAR!F52/100)</f>
        <v>0</v>
      </c>
      <c r="G50" s="135"/>
      <c r="H50" s="186">
        <v>25</v>
      </c>
      <c r="I50" s="309">
        <f>IF(CAR!I52/100 &gt; 1,1,CAR!I52/100)</f>
        <v>0</v>
      </c>
      <c r="J50" s="310">
        <f>IF(CAR!J52/100 &gt; 1,1,CAR!J52/100)</f>
        <v>0</v>
      </c>
      <c r="K50" s="310">
        <f>IF(CAR!K52/100 &gt; 1,1,CAR!K52/100)</f>
        <v>0</v>
      </c>
      <c r="L50" s="311">
        <f>IF(CAR!L52/100 &gt; 1,1,CAR!L52/100)</f>
        <v>0</v>
      </c>
    </row>
    <row r="51" spans="1:31" ht="15.75" thickBot="1"/>
    <row r="52" spans="1:31" ht="15.75" customHeight="1" thickBot="1">
      <c r="A52" s="1710" t="s">
        <v>41</v>
      </c>
      <c r="B52" s="169" t="s">
        <v>10</v>
      </c>
      <c r="C52" s="288">
        <v>2012</v>
      </c>
      <c r="D52" s="289">
        <v>2013</v>
      </c>
      <c r="E52" s="289">
        <v>2014</v>
      </c>
      <c r="F52" s="289">
        <v>2015</v>
      </c>
      <c r="G52" s="288">
        <v>2016</v>
      </c>
      <c r="H52" s="289">
        <v>2017</v>
      </c>
      <c r="I52" s="289">
        <v>2018</v>
      </c>
      <c r="J52" s="289">
        <v>2019</v>
      </c>
      <c r="K52" s="288">
        <v>2020</v>
      </c>
      <c r="L52" s="289">
        <v>2021</v>
      </c>
      <c r="M52" s="289">
        <v>2022</v>
      </c>
      <c r="N52" s="289">
        <v>2023</v>
      </c>
      <c r="O52" s="288">
        <v>2024</v>
      </c>
      <c r="P52" s="289">
        <v>2025</v>
      </c>
      <c r="Q52" s="289">
        <v>2026</v>
      </c>
      <c r="R52" s="289">
        <v>2027</v>
      </c>
      <c r="S52" s="288">
        <v>2028</v>
      </c>
      <c r="T52" s="289">
        <v>2029</v>
      </c>
      <c r="U52" s="289">
        <v>2030</v>
      </c>
      <c r="V52" s="289">
        <v>2031</v>
      </c>
      <c r="W52" s="288">
        <v>2032</v>
      </c>
      <c r="X52" s="289">
        <v>2033</v>
      </c>
      <c r="Y52" s="289">
        <v>2034</v>
      </c>
      <c r="Z52" s="289">
        <v>2035</v>
      </c>
      <c r="AA52" s="288">
        <v>2036</v>
      </c>
      <c r="AB52" s="289">
        <v>2037</v>
      </c>
      <c r="AC52" s="289">
        <v>2038</v>
      </c>
      <c r="AD52" s="289">
        <v>2039</v>
      </c>
      <c r="AE52" s="290">
        <v>2040</v>
      </c>
    </row>
    <row r="53" spans="1:31" ht="15" customHeight="1">
      <c r="A53" s="1711"/>
      <c r="B53" s="116">
        <v>0</v>
      </c>
      <c r="C53" s="291">
        <f t="shared" ref="C53:C68" si="0">B4</f>
        <v>3237</v>
      </c>
      <c r="D53" s="292">
        <f>0</f>
        <v>0</v>
      </c>
      <c r="E53" s="292">
        <f>0</f>
        <v>0</v>
      </c>
      <c r="F53" s="292">
        <f>0</f>
        <v>0</v>
      </c>
      <c r="G53" s="292">
        <f>0</f>
        <v>0</v>
      </c>
      <c r="H53" s="292">
        <f>0</f>
        <v>0</v>
      </c>
      <c r="I53" s="292">
        <f>0</f>
        <v>0</v>
      </c>
      <c r="J53" s="292">
        <f>0</f>
        <v>0</v>
      </c>
      <c r="K53" s="292">
        <f>0</f>
        <v>0</v>
      </c>
      <c r="L53" s="292">
        <f>0</f>
        <v>0</v>
      </c>
      <c r="M53" s="292">
        <f>0</f>
        <v>0</v>
      </c>
      <c r="N53" s="292">
        <f>0</f>
        <v>0</v>
      </c>
      <c r="O53" s="292">
        <f>0</f>
        <v>0</v>
      </c>
      <c r="P53" s="292">
        <f>0</f>
        <v>0</v>
      </c>
      <c r="Q53" s="292">
        <f>0</f>
        <v>0</v>
      </c>
      <c r="R53" s="292">
        <f>0</f>
        <v>0</v>
      </c>
      <c r="S53" s="292">
        <f>0</f>
        <v>0</v>
      </c>
      <c r="T53" s="292">
        <f>0</f>
        <v>0</v>
      </c>
      <c r="U53" s="292">
        <f>0</f>
        <v>0</v>
      </c>
      <c r="V53" s="292">
        <f>0</f>
        <v>0</v>
      </c>
      <c r="W53" s="292">
        <f>0</f>
        <v>0</v>
      </c>
      <c r="X53" s="292">
        <f>0</f>
        <v>0</v>
      </c>
      <c r="Y53" s="292">
        <f>0</f>
        <v>0</v>
      </c>
      <c r="Z53" s="292">
        <f>0</f>
        <v>0</v>
      </c>
      <c r="AA53" s="292">
        <f>0</f>
        <v>0</v>
      </c>
      <c r="AB53" s="292">
        <f>0</f>
        <v>0</v>
      </c>
      <c r="AC53" s="292">
        <f>0</f>
        <v>0</v>
      </c>
      <c r="AD53" s="292">
        <f>0</f>
        <v>0</v>
      </c>
      <c r="AE53" s="293">
        <f>0</f>
        <v>0</v>
      </c>
    </row>
    <row r="54" spans="1:31" ht="15" customHeight="1">
      <c r="A54" s="1711"/>
      <c r="B54" s="116">
        <v>1</v>
      </c>
      <c r="C54" s="294">
        <f t="shared" si="0"/>
        <v>3525</v>
      </c>
      <c r="D54" s="295">
        <f>C53*$C$26</f>
        <v>3237</v>
      </c>
      <c r="E54" s="295">
        <f t="shared" ref="E54:AE63" si="1">D53*$C26</f>
        <v>0</v>
      </c>
      <c r="F54" s="295">
        <f t="shared" si="1"/>
        <v>0</v>
      </c>
      <c r="G54" s="295">
        <f t="shared" si="1"/>
        <v>0</v>
      </c>
      <c r="H54" s="295">
        <f t="shared" si="1"/>
        <v>0</v>
      </c>
      <c r="I54" s="295">
        <f t="shared" si="1"/>
        <v>0</v>
      </c>
      <c r="J54" s="295">
        <f t="shared" si="1"/>
        <v>0</v>
      </c>
      <c r="K54" s="295">
        <f t="shared" si="1"/>
        <v>0</v>
      </c>
      <c r="L54" s="295">
        <f t="shared" si="1"/>
        <v>0</v>
      </c>
      <c r="M54" s="295">
        <f t="shared" si="1"/>
        <v>0</v>
      </c>
      <c r="N54" s="295">
        <f t="shared" ref="N54:P78" si="2">M53*$C26</f>
        <v>0</v>
      </c>
      <c r="O54" s="295">
        <f t="shared" si="2"/>
        <v>0</v>
      </c>
      <c r="P54" s="295">
        <f t="shared" si="2"/>
        <v>0</v>
      </c>
      <c r="Q54" s="295">
        <f t="shared" si="1"/>
        <v>0</v>
      </c>
      <c r="R54" s="295">
        <f t="shared" si="1"/>
        <v>0</v>
      </c>
      <c r="S54" s="295">
        <f t="shared" si="1"/>
        <v>0</v>
      </c>
      <c r="T54" s="295">
        <f t="shared" si="1"/>
        <v>0</v>
      </c>
      <c r="U54" s="295">
        <f t="shared" si="1"/>
        <v>0</v>
      </c>
      <c r="V54" s="295">
        <f t="shared" si="1"/>
        <v>0</v>
      </c>
      <c r="W54" s="295">
        <f t="shared" si="1"/>
        <v>0</v>
      </c>
      <c r="X54" s="295">
        <f t="shared" si="1"/>
        <v>0</v>
      </c>
      <c r="Y54" s="295">
        <f t="shared" si="1"/>
        <v>0</v>
      </c>
      <c r="Z54" s="295">
        <f t="shared" si="1"/>
        <v>0</v>
      </c>
      <c r="AA54" s="295">
        <f t="shared" si="1"/>
        <v>0</v>
      </c>
      <c r="AB54" s="295">
        <f t="shared" si="1"/>
        <v>0</v>
      </c>
      <c r="AC54" s="295">
        <f t="shared" si="1"/>
        <v>0</v>
      </c>
      <c r="AD54" s="295">
        <f t="shared" si="1"/>
        <v>0</v>
      </c>
      <c r="AE54" s="296">
        <f t="shared" si="1"/>
        <v>0</v>
      </c>
    </row>
    <row r="55" spans="1:31" ht="15" customHeight="1">
      <c r="A55" s="1711"/>
      <c r="B55" s="116">
        <v>2</v>
      </c>
      <c r="C55" s="294">
        <f t="shared" si="0"/>
        <v>3630</v>
      </c>
      <c r="D55" s="295">
        <f t="shared" ref="D55:S70" si="3">C54*$C27</f>
        <v>3525</v>
      </c>
      <c r="E55" s="295">
        <f t="shared" si="1"/>
        <v>3237</v>
      </c>
      <c r="F55" s="295">
        <f t="shared" si="1"/>
        <v>0</v>
      </c>
      <c r="G55" s="295">
        <f t="shared" si="1"/>
        <v>0</v>
      </c>
      <c r="H55" s="295">
        <f t="shared" si="1"/>
        <v>0</v>
      </c>
      <c r="I55" s="295">
        <f t="shared" si="1"/>
        <v>0</v>
      </c>
      <c r="J55" s="295">
        <f t="shared" si="1"/>
        <v>0</v>
      </c>
      <c r="K55" s="295">
        <f t="shared" si="1"/>
        <v>0</v>
      </c>
      <c r="L55" s="295">
        <f t="shared" si="1"/>
        <v>0</v>
      </c>
      <c r="M55" s="295">
        <f t="shared" si="1"/>
        <v>0</v>
      </c>
      <c r="N55" s="295">
        <f t="shared" si="2"/>
        <v>0</v>
      </c>
      <c r="O55" s="295">
        <f t="shared" si="2"/>
        <v>0</v>
      </c>
      <c r="P55" s="295">
        <f t="shared" si="2"/>
        <v>0</v>
      </c>
      <c r="Q55" s="295">
        <f t="shared" si="1"/>
        <v>0</v>
      </c>
      <c r="R55" s="295">
        <f t="shared" si="1"/>
        <v>0</v>
      </c>
      <c r="S55" s="295">
        <f t="shared" si="1"/>
        <v>0</v>
      </c>
      <c r="T55" s="295">
        <f t="shared" si="1"/>
        <v>0</v>
      </c>
      <c r="U55" s="295">
        <f t="shared" si="1"/>
        <v>0</v>
      </c>
      <c r="V55" s="295">
        <f t="shared" si="1"/>
        <v>0</v>
      </c>
      <c r="W55" s="295">
        <f t="shared" si="1"/>
        <v>0</v>
      </c>
      <c r="X55" s="295">
        <f t="shared" si="1"/>
        <v>0</v>
      </c>
      <c r="Y55" s="295">
        <f t="shared" si="1"/>
        <v>0</v>
      </c>
      <c r="Z55" s="295">
        <f t="shared" si="1"/>
        <v>0</v>
      </c>
      <c r="AA55" s="295">
        <f t="shared" si="1"/>
        <v>0</v>
      </c>
      <c r="AB55" s="295">
        <f t="shared" si="1"/>
        <v>0</v>
      </c>
      <c r="AC55" s="295">
        <f t="shared" si="1"/>
        <v>0</v>
      </c>
      <c r="AD55" s="295">
        <f t="shared" si="1"/>
        <v>0</v>
      </c>
      <c r="AE55" s="296">
        <f t="shared" si="1"/>
        <v>0</v>
      </c>
    </row>
    <row r="56" spans="1:31" ht="15" customHeight="1">
      <c r="A56" s="1711"/>
      <c r="B56" s="116">
        <v>3</v>
      </c>
      <c r="C56" s="294">
        <f t="shared" si="0"/>
        <v>2278</v>
      </c>
      <c r="D56" s="295">
        <f t="shared" si="3"/>
        <v>3630</v>
      </c>
      <c r="E56" s="295">
        <f t="shared" si="1"/>
        <v>3525</v>
      </c>
      <c r="F56" s="295">
        <f t="shared" si="1"/>
        <v>3237</v>
      </c>
      <c r="G56" s="295">
        <f t="shared" si="1"/>
        <v>0</v>
      </c>
      <c r="H56" s="295">
        <f t="shared" si="1"/>
        <v>0</v>
      </c>
      <c r="I56" s="295">
        <f t="shared" si="1"/>
        <v>0</v>
      </c>
      <c r="J56" s="295">
        <f t="shared" si="1"/>
        <v>0</v>
      </c>
      <c r="K56" s="295">
        <f t="shared" si="1"/>
        <v>0</v>
      </c>
      <c r="L56" s="295">
        <f t="shared" si="1"/>
        <v>0</v>
      </c>
      <c r="M56" s="295">
        <f t="shared" si="1"/>
        <v>0</v>
      </c>
      <c r="N56" s="295">
        <f t="shared" si="2"/>
        <v>0</v>
      </c>
      <c r="O56" s="295">
        <f t="shared" si="2"/>
        <v>0</v>
      </c>
      <c r="P56" s="295">
        <f t="shared" si="2"/>
        <v>0</v>
      </c>
      <c r="Q56" s="295">
        <f t="shared" si="1"/>
        <v>0</v>
      </c>
      <c r="R56" s="295">
        <f t="shared" si="1"/>
        <v>0</v>
      </c>
      <c r="S56" s="295">
        <f t="shared" si="1"/>
        <v>0</v>
      </c>
      <c r="T56" s="295">
        <f t="shared" si="1"/>
        <v>0</v>
      </c>
      <c r="U56" s="295">
        <f t="shared" si="1"/>
        <v>0</v>
      </c>
      <c r="V56" s="295">
        <f t="shared" si="1"/>
        <v>0</v>
      </c>
      <c r="W56" s="295">
        <f t="shared" si="1"/>
        <v>0</v>
      </c>
      <c r="X56" s="295">
        <f t="shared" si="1"/>
        <v>0</v>
      </c>
      <c r="Y56" s="295">
        <f t="shared" si="1"/>
        <v>0</v>
      </c>
      <c r="Z56" s="295">
        <f t="shared" si="1"/>
        <v>0</v>
      </c>
      <c r="AA56" s="295">
        <f t="shared" si="1"/>
        <v>0</v>
      </c>
      <c r="AB56" s="295">
        <f t="shared" si="1"/>
        <v>0</v>
      </c>
      <c r="AC56" s="295">
        <f t="shared" si="1"/>
        <v>0</v>
      </c>
      <c r="AD56" s="295">
        <f t="shared" si="1"/>
        <v>0</v>
      </c>
      <c r="AE56" s="296">
        <f t="shared" si="1"/>
        <v>0</v>
      </c>
    </row>
    <row r="57" spans="1:31" ht="15" customHeight="1">
      <c r="A57" s="1711"/>
      <c r="B57" s="116">
        <v>4</v>
      </c>
      <c r="C57" s="294">
        <f t="shared" si="0"/>
        <v>5139</v>
      </c>
      <c r="D57" s="295">
        <f t="shared" si="3"/>
        <v>2278</v>
      </c>
      <c r="E57" s="295">
        <f t="shared" si="1"/>
        <v>3630</v>
      </c>
      <c r="F57" s="295">
        <f t="shared" si="1"/>
        <v>3525</v>
      </c>
      <c r="G57" s="295">
        <f t="shared" si="1"/>
        <v>3237</v>
      </c>
      <c r="H57" s="295">
        <f t="shared" si="1"/>
        <v>0</v>
      </c>
      <c r="I57" s="295">
        <f t="shared" si="1"/>
        <v>0</v>
      </c>
      <c r="J57" s="295">
        <f t="shared" si="1"/>
        <v>0</v>
      </c>
      <c r="K57" s="295">
        <f t="shared" si="1"/>
        <v>0</v>
      </c>
      <c r="L57" s="295">
        <f t="shared" si="1"/>
        <v>0</v>
      </c>
      <c r="M57" s="295">
        <f t="shared" si="1"/>
        <v>0</v>
      </c>
      <c r="N57" s="295">
        <f t="shared" si="2"/>
        <v>0</v>
      </c>
      <c r="O57" s="295">
        <f t="shared" si="2"/>
        <v>0</v>
      </c>
      <c r="P57" s="295">
        <f t="shared" si="2"/>
        <v>0</v>
      </c>
      <c r="Q57" s="295">
        <f t="shared" si="1"/>
        <v>0</v>
      </c>
      <c r="R57" s="295">
        <f t="shared" si="1"/>
        <v>0</v>
      </c>
      <c r="S57" s="295">
        <f t="shared" si="1"/>
        <v>0</v>
      </c>
      <c r="T57" s="295">
        <f t="shared" si="1"/>
        <v>0</v>
      </c>
      <c r="U57" s="295">
        <f t="shared" si="1"/>
        <v>0</v>
      </c>
      <c r="V57" s="295">
        <f t="shared" si="1"/>
        <v>0</v>
      </c>
      <c r="W57" s="295">
        <f t="shared" si="1"/>
        <v>0</v>
      </c>
      <c r="X57" s="295">
        <f t="shared" si="1"/>
        <v>0</v>
      </c>
      <c r="Y57" s="295">
        <f t="shared" si="1"/>
        <v>0</v>
      </c>
      <c r="Z57" s="295">
        <f t="shared" si="1"/>
        <v>0</v>
      </c>
      <c r="AA57" s="295">
        <f t="shared" si="1"/>
        <v>0</v>
      </c>
      <c r="AB57" s="295">
        <f t="shared" si="1"/>
        <v>0</v>
      </c>
      <c r="AC57" s="295">
        <f t="shared" si="1"/>
        <v>0</v>
      </c>
      <c r="AD57" s="295">
        <f t="shared" si="1"/>
        <v>0</v>
      </c>
      <c r="AE57" s="296">
        <f t="shared" si="1"/>
        <v>0</v>
      </c>
    </row>
    <row r="58" spans="1:31" ht="15" customHeight="1">
      <c r="A58" s="1711"/>
      <c r="B58" s="116">
        <v>5</v>
      </c>
      <c r="C58" s="294">
        <f t="shared" si="0"/>
        <v>6920</v>
      </c>
      <c r="D58" s="295">
        <f t="shared" si="3"/>
        <v>5139</v>
      </c>
      <c r="E58" s="295">
        <f t="shared" si="1"/>
        <v>2278</v>
      </c>
      <c r="F58" s="295">
        <f t="shared" si="1"/>
        <v>3630</v>
      </c>
      <c r="G58" s="295">
        <f t="shared" si="1"/>
        <v>3525</v>
      </c>
      <c r="H58" s="295">
        <f t="shared" si="1"/>
        <v>3237</v>
      </c>
      <c r="I58" s="295">
        <f t="shared" si="1"/>
        <v>0</v>
      </c>
      <c r="J58" s="295">
        <f t="shared" si="1"/>
        <v>0</v>
      </c>
      <c r="K58" s="295">
        <f t="shared" si="1"/>
        <v>0</v>
      </c>
      <c r="L58" s="295">
        <f t="shared" si="1"/>
        <v>0</v>
      </c>
      <c r="M58" s="295">
        <f t="shared" si="1"/>
        <v>0</v>
      </c>
      <c r="N58" s="295">
        <f t="shared" si="2"/>
        <v>0</v>
      </c>
      <c r="O58" s="295">
        <f t="shared" si="2"/>
        <v>0</v>
      </c>
      <c r="P58" s="295">
        <f t="shared" si="2"/>
        <v>0</v>
      </c>
      <c r="Q58" s="295">
        <f t="shared" si="1"/>
        <v>0</v>
      </c>
      <c r="R58" s="295">
        <f t="shared" si="1"/>
        <v>0</v>
      </c>
      <c r="S58" s="295">
        <f t="shared" si="1"/>
        <v>0</v>
      </c>
      <c r="T58" s="295">
        <f t="shared" si="1"/>
        <v>0</v>
      </c>
      <c r="U58" s="295">
        <f t="shared" si="1"/>
        <v>0</v>
      </c>
      <c r="V58" s="295">
        <f t="shared" si="1"/>
        <v>0</v>
      </c>
      <c r="W58" s="295">
        <f t="shared" si="1"/>
        <v>0</v>
      </c>
      <c r="X58" s="295">
        <f t="shared" si="1"/>
        <v>0</v>
      </c>
      <c r="Y58" s="295">
        <f t="shared" si="1"/>
        <v>0</v>
      </c>
      <c r="Z58" s="295">
        <f t="shared" si="1"/>
        <v>0</v>
      </c>
      <c r="AA58" s="295">
        <f t="shared" si="1"/>
        <v>0</v>
      </c>
      <c r="AB58" s="295">
        <f t="shared" si="1"/>
        <v>0</v>
      </c>
      <c r="AC58" s="295">
        <f t="shared" si="1"/>
        <v>0</v>
      </c>
      <c r="AD58" s="295">
        <f t="shared" si="1"/>
        <v>0</v>
      </c>
      <c r="AE58" s="296">
        <f t="shared" si="1"/>
        <v>0</v>
      </c>
    </row>
    <row r="59" spans="1:31" ht="15" customHeight="1">
      <c r="A59" s="1711"/>
      <c r="B59" s="116">
        <v>6</v>
      </c>
      <c r="C59" s="294">
        <f t="shared" si="0"/>
        <v>9782</v>
      </c>
      <c r="D59" s="295">
        <f t="shared" si="3"/>
        <v>6920</v>
      </c>
      <c r="E59" s="295">
        <f t="shared" si="1"/>
        <v>5139</v>
      </c>
      <c r="F59" s="295">
        <f t="shared" si="1"/>
        <v>2278</v>
      </c>
      <c r="G59" s="295">
        <f t="shared" si="1"/>
        <v>3630</v>
      </c>
      <c r="H59" s="295">
        <f t="shared" si="1"/>
        <v>3525</v>
      </c>
      <c r="I59" s="295">
        <f t="shared" si="1"/>
        <v>3237</v>
      </c>
      <c r="J59" s="295">
        <f t="shared" si="1"/>
        <v>0</v>
      </c>
      <c r="K59" s="295">
        <f t="shared" si="1"/>
        <v>0</v>
      </c>
      <c r="L59" s="295">
        <f t="shared" si="1"/>
        <v>0</v>
      </c>
      <c r="M59" s="295">
        <f t="shared" si="1"/>
        <v>0</v>
      </c>
      <c r="N59" s="295">
        <f t="shared" si="2"/>
        <v>0</v>
      </c>
      <c r="O59" s="295">
        <f t="shared" si="2"/>
        <v>0</v>
      </c>
      <c r="P59" s="295">
        <f t="shared" si="2"/>
        <v>0</v>
      </c>
      <c r="Q59" s="295">
        <f t="shared" si="1"/>
        <v>0</v>
      </c>
      <c r="R59" s="295">
        <f t="shared" si="1"/>
        <v>0</v>
      </c>
      <c r="S59" s="295">
        <f t="shared" si="1"/>
        <v>0</v>
      </c>
      <c r="T59" s="295">
        <f t="shared" si="1"/>
        <v>0</v>
      </c>
      <c r="U59" s="295">
        <f t="shared" si="1"/>
        <v>0</v>
      </c>
      <c r="V59" s="295">
        <f t="shared" si="1"/>
        <v>0</v>
      </c>
      <c r="W59" s="295">
        <f t="shared" si="1"/>
        <v>0</v>
      </c>
      <c r="X59" s="295">
        <f t="shared" si="1"/>
        <v>0</v>
      </c>
      <c r="Y59" s="295">
        <f t="shared" si="1"/>
        <v>0</v>
      </c>
      <c r="Z59" s="295">
        <f t="shared" si="1"/>
        <v>0</v>
      </c>
      <c r="AA59" s="295">
        <f t="shared" si="1"/>
        <v>0</v>
      </c>
      <c r="AB59" s="295">
        <f t="shared" si="1"/>
        <v>0</v>
      </c>
      <c r="AC59" s="295">
        <f t="shared" si="1"/>
        <v>0</v>
      </c>
      <c r="AD59" s="295">
        <f t="shared" si="1"/>
        <v>0</v>
      </c>
      <c r="AE59" s="296">
        <f t="shared" si="1"/>
        <v>0</v>
      </c>
    </row>
    <row r="60" spans="1:31" ht="15" customHeight="1">
      <c r="A60" s="1711"/>
      <c r="B60" s="116">
        <v>7</v>
      </c>
      <c r="C60" s="294">
        <f t="shared" si="0"/>
        <v>8896</v>
      </c>
      <c r="D60" s="295">
        <f t="shared" si="3"/>
        <v>9782</v>
      </c>
      <c r="E60" s="295">
        <f t="shared" si="1"/>
        <v>6920</v>
      </c>
      <c r="F60" s="295">
        <f t="shared" si="1"/>
        <v>5139</v>
      </c>
      <c r="G60" s="295">
        <f t="shared" si="1"/>
        <v>2278</v>
      </c>
      <c r="H60" s="295">
        <f t="shared" si="1"/>
        <v>3630</v>
      </c>
      <c r="I60" s="295">
        <f t="shared" si="1"/>
        <v>3525</v>
      </c>
      <c r="J60" s="295">
        <f t="shared" si="1"/>
        <v>3237</v>
      </c>
      <c r="K60" s="295">
        <f t="shared" si="1"/>
        <v>0</v>
      </c>
      <c r="L60" s="295">
        <f t="shared" si="1"/>
        <v>0</v>
      </c>
      <c r="M60" s="295">
        <f t="shared" si="1"/>
        <v>0</v>
      </c>
      <c r="N60" s="295">
        <f t="shared" si="2"/>
        <v>0</v>
      </c>
      <c r="O60" s="295">
        <f t="shared" si="2"/>
        <v>0</v>
      </c>
      <c r="P60" s="295">
        <f t="shared" si="2"/>
        <v>0</v>
      </c>
      <c r="Q60" s="295">
        <f t="shared" si="1"/>
        <v>0</v>
      </c>
      <c r="R60" s="295">
        <f t="shared" si="1"/>
        <v>0</v>
      </c>
      <c r="S60" s="295">
        <f t="shared" si="1"/>
        <v>0</v>
      </c>
      <c r="T60" s="295">
        <f t="shared" si="1"/>
        <v>0</v>
      </c>
      <c r="U60" s="295">
        <f t="shared" si="1"/>
        <v>0</v>
      </c>
      <c r="V60" s="295">
        <f t="shared" si="1"/>
        <v>0</v>
      </c>
      <c r="W60" s="295">
        <f t="shared" si="1"/>
        <v>0</v>
      </c>
      <c r="X60" s="295">
        <f t="shared" si="1"/>
        <v>0</v>
      </c>
      <c r="Y60" s="295">
        <f t="shared" si="1"/>
        <v>0</v>
      </c>
      <c r="Z60" s="295">
        <f t="shared" si="1"/>
        <v>0</v>
      </c>
      <c r="AA60" s="295">
        <f t="shared" si="1"/>
        <v>0</v>
      </c>
      <c r="AB60" s="295">
        <f t="shared" si="1"/>
        <v>0</v>
      </c>
      <c r="AC60" s="295">
        <f t="shared" si="1"/>
        <v>0</v>
      </c>
      <c r="AD60" s="295">
        <f t="shared" si="1"/>
        <v>0</v>
      </c>
      <c r="AE60" s="296">
        <f t="shared" si="1"/>
        <v>0</v>
      </c>
    </row>
    <row r="61" spans="1:31" ht="15" customHeight="1">
      <c r="A61" s="1711"/>
      <c r="B61" s="116">
        <v>8</v>
      </c>
      <c r="C61" s="294">
        <f t="shared" si="0"/>
        <v>9434</v>
      </c>
      <c r="D61" s="295">
        <f t="shared" si="3"/>
        <v>8896</v>
      </c>
      <c r="E61" s="295">
        <f t="shared" si="1"/>
        <v>9782</v>
      </c>
      <c r="F61" s="295">
        <f t="shared" si="1"/>
        <v>6920</v>
      </c>
      <c r="G61" s="295">
        <f t="shared" si="1"/>
        <v>5139</v>
      </c>
      <c r="H61" s="295">
        <f t="shared" si="1"/>
        <v>2278</v>
      </c>
      <c r="I61" s="295">
        <f t="shared" si="1"/>
        <v>3630</v>
      </c>
      <c r="J61" s="295">
        <f t="shared" si="1"/>
        <v>3525</v>
      </c>
      <c r="K61" s="295">
        <f t="shared" si="1"/>
        <v>3237</v>
      </c>
      <c r="L61" s="295">
        <f t="shared" si="1"/>
        <v>0</v>
      </c>
      <c r="M61" s="295">
        <f t="shared" si="1"/>
        <v>0</v>
      </c>
      <c r="N61" s="295">
        <f t="shared" si="2"/>
        <v>0</v>
      </c>
      <c r="O61" s="295">
        <f t="shared" si="2"/>
        <v>0</v>
      </c>
      <c r="P61" s="295">
        <f t="shared" si="2"/>
        <v>0</v>
      </c>
      <c r="Q61" s="295">
        <f t="shared" si="1"/>
        <v>0</v>
      </c>
      <c r="R61" s="295">
        <f t="shared" si="1"/>
        <v>0</v>
      </c>
      <c r="S61" s="295">
        <f t="shared" si="1"/>
        <v>0</v>
      </c>
      <c r="T61" s="295">
        <f t="shared" si="1"/>
        <v>0</v>
      </c>
      <c r="U61" s="295">
        <f t="shared" si="1"/>
        <v>0</v>
      </c>
      <c r="V61" s="295">
        <f t="shared" si="1"/>
        <v>0</v>
      </c>
      <c r="W61" s="295">
        <f t="shared" si="1"/>
        <v>0</v>
      </c>
      <c r="X61" s="295">
        <f t="shared" si="1"/>
        <v>0</v>
      </c>
      <c r="Y61" s="295">
        <f t="shared" si="1"/>
        <v>0</v>
      </c>
      <c r="Z61" s="295">
        <f t="shared" si="1"/>
        <v>0</v>
      </c>
      <c r="AA61" s="295">
        <f t="shared" si="1"/>
        <v>0</v>
      </c>
      <c r="AB61" s="295">
        <f t="shared" si="1"/>
        <v>0</v>
      </c>
      <c r="AC61" s="295">
        <f t="shared" si="1"/>
        <v>0</v>
      </c>
      <c r="AD61" s="295">
        <f t="shared" si="1"/>
        <v>0</v>
      </c>
      <c r="AE61" s="296">
        <f t="shared" si="1"/>
        <v>0</v>
      </c>
    </row>
    <row r="62" spans="1:31" ht="15" customHeight="1">
      <c r="A62" s="1711"/>
      <c r="B62" s="116">
        <v>9</v>
      </c>
      <c r="C62" s="294">
        <f t="shared" si="0"/>
        <v>10027</v>
      </c>
      <c r="D62" s="295">
        <f t="shared" si="3"/>
        <v>9306.0187707795903</v>
      </c>
      <c r="E62" s="295">
        <f t="shared" si="1"/>
        <v>8775.3172551256339</v>
      </c>
      <c r="F62" s="295">
        <f t="shared" si="1"/>
        <v>9649.2978180799182</v>
      </c>
      <c r="G62" s="295">
        <f t="shared" si="1"/>
        <v>6826.1235842479082</v>
      </c>
      <c r="H62" s="295">
        <f t="shared" si="1"/>
        <v>5069.2845519436414</v>
      </c>
      <c r="I62" s="295">
        <f t="shared" si="1"/>
        <v>2247.0967521555976</v>
      </c>
      <c r="J62" s="295">
        <f t="shared" si="1"/>
        <v>3580.7555795982526</v>
      </c>
      <c r="K62" s="295">
        <f t="shared" si="1"/>
        <v>3477.1800049817739</v>
      </c>
      <c r="L62" s="295">
        <f t="shared" si="1"/>
        <v>3193.0870003194332</v>
      </c>
      <c r="M62" s="295">
        <f t="shared" si="1"/>
        <v>0</v>
      </c>
      <c r="N62" s="295">
        <f t="shared" si="2"/>
        <v>0</v>
      </c>
      <c r="O62" s="295">
        <f t="shared" si="2"/>
        <v>0</v>
      </c>
      <c r="P62" s="295">
        <f t="shared" si="2"/>
        <v>0</v>
      </c>
      <c r="Q62" s="295">
        <f t="shared" si="1"/>
        <v>0</v>
      </c>
      <c r="R62" s="295">
        <f t="shared" si="1"/>
        <v>0</v>
      </c>
      <c r="S62" s="295">
        <f t="shared" si="1"/>
        <v>0</v>
      </c>
      <c r="T62" s="295">
        <f t="shared" si="1"/>
        <v>0</v>
      </c>
      <c r="U62" s="295">
        <f t="shared" si="1"/>
        <v>0</v>
      </c>
      <c r="V62" s="295">
        <f t="shared" si="1"/>
        <v>0</v>
      </c>
      <c r="W62" s="295">
        <f t="shared" si="1"/>
        <v>0</v>
      </c>
      <c r="X62" s="295">
        <f t="shared" si="1"/>
        <v>0</v>
      </c>
      <c r="Y62" s="295">
        <f t="shared" si="1"/>
        <v>0</v>
      </c>
      <c r="Z62" s="295">
        <f t="shared" si="1"/>
        <v>0</v>
      </c>
      <c r="AA62" s="295">
        <f t="shared" si="1"/>
        <v>0</v>
      </c>
      <c r="AB62" s="295">
        <f t="shared" si="1"/>
        <v>0</v>
      </c>
      <c r="AC62" s="295">
        <f t="shared" si="1"/>
        <v>0</v>
      </c>
      <c r="AD62" s="295">
        <f t="shared" si="1"/>
        <v>0</v>
      </c>
      <c r="AE62" s="296">
        <f t="shared" si="1"/>
        <v>0</v>
      </c>
    </row>
    <row r="63" spans="1:31" ht="15" customHeight="1">
      <c r="A63" s="1711"/>
      <c r="B63" s="116">
        <v>10</v>
      </c>
      <c r="C63" s="294">
        <f t="shared" si="0"/>
        <v>10279</v>
      </c>
      <c r="D63" s="295">
        <f t="shared" si="3"/>
        <v>9260.6410789578895</v>
      </c>
      <c r="E63" s="295">
        <f t="shared" si="1"/>
        <v>8594.764107932051</v>
      </c>
      <c r="F63" s="295">
        <f t="shared" si="1"/>
        <v>8104.6238609458896</v>
      </c>
      <c r="G63" s="295">
        <f t="shared" si="1"/>
        <v>8911.8064981758871</v>
      </c>
      <c r="H63" s="295">
        <f t="shared" si="1"/>
        <v>6304.4061508257155</v>
      </c>
      <c r="I63" s="295">
        <f t="shared" si="1"/>
        <v>4681.8415042042416</v>
      </c>
      <c r="J63" s="295">
        <f t="shared" si="1"/>
        <v>2075.3521982053439</v>
      </c>
      <c r="K63" s="295">
        <f t="shared" si="1"/>
        <v>3307.0801051296744</v>
      </c>
      <c r="L63" s="295">
        <f t="shared" si="1"/>
        <v>3211.4207632457578</v>
      </c>
      <c r="M63" s="295">
        <f t="shared" si="1"/>
        <v>2949.0408540784451</v>
      </c>
      <c r="N63" s="295">
        <f t="shared" si="2"/>
        <v>0</v>
      </c>
      <c r="O63" s="295">
        <f t="shared" si="2"/>
        <v>0</v>
      </c>
      <c r="P63" s="295">
        <f t="shared" si="2"/>
        <v>0</v>
      </c>
      <c r="Q63" s="295">
        <f t="shared" ref="Q63:AE70" si="4">P62*$C35</f>
        <v>0</v>
      </c>
      <c r="R63" s="295">
        <f t="shared" si="4"/>
        <v>0</v>
      </c>
      <c r="S63" s="295">
        <f t="shared" si="4"/>
        <v>0</v>
      </c>
      <c r="T63" s="295">
        <f t="shared" si="4"/>
        <v>0</v>
      </c>
      <c r="U63" s="295">
        <f t="shared" si="4"/>
        <v>0</v>
      </c>
      <c r="V63" s="295">
        <f t="shared" si="4"/>
        <v>0</v>
      </c>
      <c r="W63" s="295">
        <f t="shared" si="4"/>
        <v>0</v>
      </c>
      <c r="X63" s="295">
        <f t="shared" si="4"/>
        <v>0</v>
      </c>
      <c r="Y63" s="295">
        <f t="shared" si="4"/>
        <v>0</v>
      </c>
      <c r="Z63" s="295">
        <f t="shared" si="4"/>
        <v>0</v>
      </c>
      <c r="AA63" s="295">
        <f t="shared" si="4"/>
        <v>0</v>
      </c>
      <c r="AB63" s="295">
        <f t="shared" si="4"/>
        <v>0</v>
      </c>
      <c r="AC63" s="295">
        <f t="shared" si="4"/>
        <v>0</v>
      </c>
      <c r="AD63" s="295">
        <f t="shared" si="4"/>
        <v>0</v>
      </c>
      <c r="AE63" s="296">
        <f t="shared" si="4"/>
        <v>0</v>
      </c>
    </row>
    <row r="64" spans="1:31" ht="15" customHeight="1">
      <c r="A64" s="1711"/>
      <c r="B64" s="116">
        <v>11</v>
      </c>
      <c r="C64" s="294">
        <f t="shared" si="0"/>
        <v>15935</v>
      </c>
      <c r="D64" s="295">
        <f t="shared" si="3"/>
        <v>8579.8728981858731</v>
      </c>
      <c r="E64" s="295">
        <f t="shared" si="3"/>
        <v>7729.8495391747811</v>
      </c>
      <c r="F64" s="295">
        <f t="shared" si="3"/>
        <v>7174.0425757317726</v>
      </c>
      <c r="G64" s="295">
        <f t="shared" si="3"/>
        <v>6764.922912201595</v>
      </c>
      <c r="H64" s="295">
        <f t="shared" si="3"/>
        <v>7438.6775997252698</v>
      </c>
      <c r="I64" s="295">
        <f t="shared" si="3"/>
        <v>5262.2826610201264</v>
      </c>
      <c r="J64" s="295">
        <f t="shared" si="3"/>
        <v>3907.9292767315646</v>
      </c>
      <c r="K64" s="295">
        <f t="shared" si="3"/>
        <v>1732.2947834976658</v>
      </c>
      <c r="L64" s="295">
        <f t="shared" si="3"/>
        <v>2760.417060621829</v>
      </c>
      <c r="M64" s="295">
        <f t="shared" si="3"/>
        <v>2680.5702861410323</v>
      </c>
      <c r="N64" s="295">
        <f t="shared" si="2"/>
        <v>2461.5619904222758</v>
      </c>
      <c r="O64" s="295">
        <f t="shared" si="2"/>
        <v>0</v>
      </c>
      <c r="P64" s="295">
        <f t="shared" si="2"/>
        <v>0</v>
      </c>
      <c r="Q64" s="295">
        <f t="shared" si="3"/>
        <v>0</v>
      </c>
      <c r="R64" s="295">
        <f t="shared" si="3"/>
        <v>0</v>
      </c>
      <c r="S64" s="295">
        <f t="shared" si="3"/>
        <v>0</v>
      </c>
      <c r="T64" s="295">
        <f t="shared" si="4"/>
        <v>0</v>
      </c>
      <c r="U64" s="295">
        <f t="shared" si="4"/>
        <v>0</v>
      </c>
      <c r="V64" s="295">
        <f t="shared" si="4"/>
        <v>0</v>
      </c>
      <c r="W64" s="295">
        <f t="shared" si="4"/>
        <v>0</v>
      </c>
      <c r="X64" s="295">
        <f t="shared" si="4"/>
        <v>0</v>
      </c>
      <c r="Y64" s="295">
        <f t="shared" si="4"/>
        <v>0</v>
      </c>
      <c r="Z64" s="295">
        <f t="shared" si="4"/>
        <v>0</v>
      </c>
      <c r="AA64" s="295">
        <f t="shared" si="4"/>
        <v>0</v>
      </c>
      <c r="AB64" s="295">
        <f t="shared" si="4"/>
        <v>0</v>
      </c>
      <c r="AC64" s="295">
        <f t="shared" si="4"/>
        <v>0</v>
      </c>
      <c r="AD64" s="295">
        <f t="shared" si="4"/>
        <v>0</v>
      </c>
      <c r="AE64" s="296">
        <f t="shared" si="4"/>
        <v>0</v>
      </c>
    </row>
    <row r="65" spans="1:31" ht="15" customHeight="1">
      <c r="A65" s="1711"/>
      <c r="B65" s="116">
        <v>12</v>
      </c>
      <c r="C65" s="294">
        <f t="shared" si="0"/>
        <v>24004</v>
      </c>
      <c r="D65" s="295">
        <f t="shared" si="3"/>
        <v>11560.158789355131</v>
      </c>
      <c r="E65" s="295">
        <f t="shared" si="3"/>
        <v>6224.3296577040046</v>
      </c>
      <c r="F65" s="295">
        <f t="shared" si="3"/>
        <v>5607.6741820322604</v>
      </c>
      <c r="G65" s="295">
        <f t="shared" si="3"/>
        <v>5204.4600776312254</v>
      </c>
      <c r="H65" s="295">
        <f t="shared" si="3"/>
        <v>4907.6613155191208</v>
      </c>
      <c r="I65" s="295">
        <f t="shared" si="3"/>
        <v>5396.4414330494646</v>
      </c>
      <c r="J65" s="295">
        <f t="shared" si="3"/>
        <v>3817.5602859029136</v>
      </c>
      <c r="K65" s="295">
        <f t="shared" si="3"/>
        <v>2835.0350157883049</v>
      </c>
      <c r="L65" s="295">
        <f t="shared" si="3"/>
        <v>1256.7055392033001</v>
      </c>
      <c r="M65" s="295">
        <f t="shared" si="3"/>
        <v>2002.5641384143894</v>
      </c>
      <c r="N65" s="295">
        <f t="shared" si="2"/>
        <v>1944.6387294519898</v>
      </c>
      <c r="O65" s="295">
        <f t="shared" si="2"/>
        <v>1785.7576077265508</v>
      </c>
      <c r="P65" s="295">
        <f t="shared" si="2"/>
        <v>0</v>
      </c>
      <c r="Q65" s="295">
        <f t="shared" si="3"/>
        <v>0</v>
      </c>
      <c r="R65" s="295">
        <f t="shared" si="3"/>
        <v>0</v>
      </c>
      <c r="S65" s="295">
        <f t="shared" si="3"/>
        <v>0</v>
      </c>
      <c r="T65" s="295">
        <f t="shared" si="4"/>
        <v>0</v>
      </c>
      <c r="U65" s="295">
        <f t="shared" si="4"/>
        <v>0</v>
      </c>
      <c r="V65" s="295">
        <f t="shared" si="4"/>
        <v>0</v>
      </c>
      <c r="W65" s="295">
        <f t="shared" si="4"/>
        <v>0</v>
      </c>
      <c r="X65" s="295">
        <f t="shared" si="4"/>
        <v>0</v>
      </c>
      <c r="Y65" s="295">
        <f t="shared" si="4"/>
        <v>0</v>
      </c>
      <c r="Z65" s="295">
        <f t="shared" si="4"/>
        <v>0</v>
      </c>
      <c r="AA65" s="295">
        <f t="shared" si="4"/>
        <v>0</v>
      </c>
      <c r="AB65" s="295">
        <f t="shared" si="4"/>
        <v>0</v>
      </c>
      <c r="AC65" s="295">
        <f t="shared" si="4"/>
        <v>0</v>
      </c>
      <c r="AD65" s="295">
        <f t="shared" si="4"/>
        <v>0</v>
      </c>
      <c r="AE65" s="296">
        <f t="shared" si="4"/>
        <v>0</v>
      </c>
    </row>
    <row r="66" spans="1:31" ht="15" customHeight="1">
      <c r="A66" s="1711"/>
      <c r="B66" s="116">
        <v>13</v>
      </c>
      <c r="C66" s="294">
        <f t="shared" si="0"/>
        <v>13634</v>
      </c>
      <c r="D66" s="295">
        <f t="shared" si="3"/>
        <v>14573.257290398949</v>
      </c>
      <c r="E66" s="295">
        <f t="shared" si="3"/>
        <v>7018.3789516388588</v>
      </c>
      <c r="F66" s="295">
        <f t="shared" si="3"/>
        <v>3778.9017481245328</v>
      </c>
      <c r="G66" s="295">
        <f t="shared" si="3"/>
        <v>3404.5191907800204</v>
      </c>
      <c r="H66" s="295">
        <f t="shared" si="3"/>
        <v>3159.7207035881329</v>
      </c>
      <c r="I66" s="295">
        <f t="shared" si="3"/>
        <v>2979.5288720712351</v>
      </c>
      <c r="J66" s="295">
        <f t="shared" si="3"/>
        <v>3276.2760146808473</v>
      </c>
      <c r="K66" s="295">
        <f t="shared" si="3"/>
        <v>2317.7090596597291</v>
      </c>
      <c r="L66" s="295">
        <f t="shared" si="3"/>
        <v>1721.2004129467261</v>
      </c>
      <c r="M66" s="295">
        <f t="shared" si="3"/>
        <v>762.96838698047145</v>
      </c>
      <c r="N66" s="295">
        <f t="shared" si="2"/>
        <v>1215.7924691567653</v>
      </c>
      <c r="O66" s="295">
        <f t="shared" si="2"/>
        <v>1180.6249183960324</v>
      </c>
      <c r="P66" s="295">
        <f t="shared" si="2"/>
        <v>1084.1653505951651</v>
      </c>
      <c r="Q66" s="295">
        <f t="shared" si="3"/>
        <v>0</v>
      </c>
      <c r="R66" s="295">
        <f t="shared" si="3"/>
        <v>0</v>
      </c>
      <c r="S66" s="295">
        <f t="shared" si="3"/>
        <v>0</v>
      </c>
      <c r="T66" s="295">
        <f t="shared" si="4"/>
        <v>0</v>
      </c>
      <c r="U66" s="295">
        <f t="shared" si="4"/>
        <v>0</v>
      </c>
      <c r="V66" s="295">
        <f t="shared" si="4"/>
        <v>0</v>
      </c>
      <c r="W66" s="295">
        <f t="shared" si="4"/>
        <v>0</v>
      </c>
      <c r="X66" s="295">
        <f t="shared" si="4"/>
        <v>0</v>
      </c>
      <c r="Y66" s="295">
        <f t="shared" si="4"/>
        <v>0</v>
      </c>
      <c r="Z66" s="295">
        <f t="shared" si="4"/>
        <v>0</v>
      </c>
      <c r="AA66" s="295">
        <f t="shared" si="4"/>
        <v>0</v>
      </c>
      <c r="AB66" s="295">
        <f t="shared" si="4"/>
        <v>0</v>
      </c>
      <c r="AC66" s="295">
        <f t="shared" si="4"/>
        <v>0</v>
      </c>
      <c r="AD66" s="295">
        <f t="shared" si="4"/>
        <v>0</v>
      </c>
      <c r="AE66" s="296">
        <f t="shared" si="4"/>
        <v>0</v>
      </c>
    </row>
    <row r="67" spans="1:31" ht="15" customHeight="1">
      <c r="A67" s="1711"/>
      <c r="B67" s="116">
        <v>14</v>
      </c>
      <c r="C67" s="294">
        <f t="shared" si="0"/>
        <v>5985</v>
      </c>
      <c r="D67" s="295">
        <f t="shared" si="3"/>
        <v>6538.2752673483556</v>
      </c>
      <c r="E67" s="295">
        <f t="shared" si="3"/>
        <v>6988.7023402170717</v>
      </c>
      <c r="F67" s="295">
        <f t="shared" si="3"/>
        <v>3365.7102476440245</v>
      </c>
      <c r="G67" s="295">
        <f t="shared" si="3"/>
        <v>1812.1974356389978</v>
      </c>
      <c r="H67" s="295">
        <f t="shared" si="3"/>
        <v>1632.6597933320995</v>
      </c>
      <c r="I67" s="295">
        <f t="shared" si="3"/>
        <v>1515.2650526623759</v>
      </c>
      <c r="J67" s="295">
        <f t="shared" si="3"/>
        <v>1428.8528628879051</v>
      </c>
      <c r="K67" s="295">
        <f t="shared" si="3"/>
        <v>1571.1599263454907</v>
      </c>
      <c r="L67" s="295">
        <f t="shared" si="3"/>
        <v>1111.472775537804</v>
      </c>
      <c r="M67" s="295">
        <f t="shared" si="3"/>
        <v>825.41309154462044</v>
      </c>
      <c r="N67" s="295">
        <f t="shared" si="2"/>
        <v>365.88655819004589</v>
      </c>
      <c r="O67" s="295">
        <f t="shared" si="2"/>
        <v>583.04135479800982</v>
      </c>
      <c r="P67" s="295">
        <f t="shared" si="2"/>
        <v>566.17652222120796</v>
      </c>
      <c r="Q67" s="295">
        <f t="shared" si="3"/>
        <v>519.91869572483688</v>
      </c>
      <c r="R67" s="295">
        <f t="shared" si="3"/>
        <v>0</v>
      </c>
      <c r="S67" s="295">
        <f t="shared" si="3"/>
        <v>0</v>
      </c>
      <c r="T67" s="295">
        <f t="shared" si="4"/>
        <v>0</v>
      </c>
      <c r="U67" s="295">
        <f t="shared" si="4"/>
        <v>0</v>
      </c>
      <c r="V67" s="295">
        <f t="shared" si="4"/>
        <v>0</v>
      </c>
      <c r="W67" s="295">
        <f t="shared" si="4"/>
        <v>0</v>
      </c>
      <c r="X67" s="295">
        <f t="shared" si="4"/>
        <v>0</v>
      </c>
      <c r="Y67" s="295">
        <f t="shared" si="4"/>
        <v>0</v>
      </c>
      <c r="Z67" s="295">
        <f t="shared" si="4"/>
        <v>0</v>
      </c>
      <c r="AA67" s="295">
        <f t="shared" si="4"/>
        <v>0</v>
      </c>
      <c r="AB67" s="295">
        <f t="shared" si="4"/>
        <v>0</v>
      </c>
      <c r="AC67" s="295">
        <f t="shared" si="4"/>
        <v>0</v>
      </c>
      <c r="AD67" s="295">
        <f t="shared" si="4"/>
        <v>0</v>
      </c>
      <c r="AE67" s="296">
        <f t="shared" si="4"/>
        <v>0</v>
      </c>
    </row>
    <row r="68" spans="1:31" ht="15" customHeight="1">
      <c r="A68" s="1711"/>
      <c r="B68" s="116">
        <v>15</v>
      </c>
      <c r="C68" s="294">
        <f t="shared" si="0"/>
        <v>4631</v>
      </c>
      <c r="D68" s="295">
        <f t="shared" si="3"/>
        <v>2077.5320357698174</v>
      </c>
      <c r="E68" s="295">
        <f t="shared" si="3"/>
        <v>2269.5866878191605</v>
      </c>
      <c r="F68" s="295">
        <f t="shared" si="3"/>
        <v>2425.9403509207114</v>
      </c>
      <c r="G68" s="295">
        <f t="shared" si="3"/>
        <v>1168.315933600539</v>
      </c>
      <c r="H68" s="295">
        <f t="shared" si="3"/>
        <v>629.0556771395037</v>
      </c>
      <c r="I68" s="295">
        <f t="shared" si="3"/>
        <v>566.73400570773026</v>
      </c>
      <c r="J68" s="295">
        <f t="shared" si="3"/>
        <v>525.98357386608609</v>
      </c>
      <c r="K68" s="295">
        <f t="shared" si="3"/>
        <v>495.98790259833601</v>
      </c>
      <c r="L68" s="295">
        <f t="shared" si="3"/>
        <v>545.38597832924029</v>
      </c>
      <c r="M68" s="295">
        <f t="shared" si="3"/>
        <v>385.81792783054016</v>
      </c>
      <c r="N68" s="295">
        <f t="shared" si="2"/>
        <v>286.51999004640834</v>
      </c>
      <c r="O68" s="295">
        <f t="shared" si="2"/>
        <v>127.00769358352176</v>
      </c>
      <c r="P68" s="295">
        <f t="shared" si="2"/>
        <v>202.38715000359258</v>
      </c>
      <c r="Q68" s="295">
        <f t="shared" si="3"/>
        <v>196.53297624315812</v>
      </c>
      <c r="R68" s="295">
        <f t="shared" si="3"/>
        <v>180.47581392882347</v>
      </c>
      <c r="S68" s="295">
        <f t="shared" si="3"/>
        <v>0</v>
      </c>
      <c r="T68" s="295">
        <f t="shared" si="4"/>
        <v>0</v>
      </c>
      <c r="U68" s="295">
        <f t="shared" si="4"/>
        <v>0</v>
      </c>
      <c r="V68" s="295">
        <f t="shared" si="4"/>
        <v>0</v>
      </c>
      <c r="W68" s="295">
        <f t="shared" si="4"/>
        <v>0</v>
      </c>
      <c r="X68" s="295">
        <f t="shared" si="4"/>
        <v>0</v>
      </c>
      <c r="Y68" s="295">
        <f t="shared" si="4"/>
        <v>0</v>
      </c>
      <c r="Z68" s="295">
        <f t="shared" si="4"/>
        <v>0</v>
      </c>
      <c r="AA68" s="295">
        <f t="shared" si="4"/>
        <v>0</v>
      </c>
      <c r="AB68" s="295">
        <f t="shared" si="4"/>
        <v>0</v>
      </c>
      <c r="AC68" s="295">
        <f t="shared" si="4"/>
        <v>0</v>
      </c>
      <c r="AD68" s="295">
        <f t="shared" si="4"/>
        <v>0</v>
      </c>
      <c r="AE68" s="296">
        <f t="shared" si="4"/>
        <v>0</v>
      </c>
    </row>
    <row r="69" spans="1:31" ht="15" customHeight="1">
      <c r="A69" s="1711"/>
      <c r="B69" s="116">
        <v>16</v>
      </c>
      <c r="C69" s="294">
        <f>(EXP(15-B69)*$B$20/(EXP(-1)+EXP(-2)+EXP(-3)+EXP(-4)+EXP(-5)+EXP(-6)+EXP(-7)+EXP(-8)+EXP(-9)+EXP(-10)))</f>
        <v>3923.1182973851796</v>
      </c>
      <c r="D69" s="295">
        <f t="shared" si="3"/>
        <v>1446.7745650601539</v>
      </c>
      <c r="E69" s="295">
        <f t="shared" si="3"/>
        <v>649.04351272930558</v>
      </c>
      <c r="F69" s="295">
        <f t="shared" si="3"/>
        <v>709.04346645128078</v>
      </c>
      <c r="G69" s="295">
        <f t="shared" si="3"/>
        <v>757.89004449690981</v>
      </c>
      <c r="H69" s="295">
        <f t="shared" si="3"/>
        <v>364.99455337675829</v>
      </c>
      <c r="I69" s="295">
        <f t="shared" si="3"/>
        <v>196.52380775040513</v>
      </c>
      <c r="J69" s="295">
        <f t="shared" si="3"/>
        <v>177.05384249894198</v>
      </c>
      <c r="K69" s="295">
        <f t="shared" si="3"/>
        <v>164.32296616473593</v>
      </c>
      <c r="L69" s="295">
        <f t="shared" si="3"/>
        <v>154.95199353418388</v>
      </c>
      <c r="M69" s="295">
        <f t="shared" si="3"/>
        <v>170.38448749453534</v>
      </c>
      <c r="N69" s="295">
        <f t="shared" si="2"/>
        <v>120.53370000635708</v>
      </c>
      <c r="O69" s="295">
        <f t="shared" si="2"/>
        <v>89.511948602986848</v>
      </c>
      <c r="P69" s="295">
        <f t="shared" si="2"/>
        <v>39.678579279549339</v>
      </c>
      <c r="Q69" s="295">
        <f t="shared" si="3"/>
        <v>63.22793800911505</v>
      </c>
      <c r="R69" s="295">
        <f t="shared" si="3"/>
        <v>61.399030711330738</v>
      </c>
      <c r="S69" s="295">
        <f t="shared" si="3"/>
        <v>56.382599265979458</v>
      </c>
      <c r="T69" s="295">
        <f t="shared" si="4"/>
        <v>0</v>
      </c>
      <c r="U69" s="295">
        <f t="shared" si="4"/>
        <v>0</v>
      </c>
      <c r="V69" s="295">
        <f t="shared" si="4"/>
        <v>0</v>
      </c>
      <c r="W69" s="295">
        <f t="shared" si="4"/>
        <v>0</v>
      </c>
      <c r="X69" s="295">
        <f t="shared" si="4"/>
        <v>0</v>
      </c>
      <c r="Y69" s="295">
        <f t="shared" si="4"/>
        <v>0</v>
      </c>
      <c r="Z69" s="295">
        <f t="shared" si="4"/>
        <v>0</v>
      </c>
      <c r="AA69" s="295">
        <f t="shared" si="4"/>
        <v>0</v>
      </c>
      <c r="AB69" s="295">
        <f t="shared" si="4"/>
        <v>0</v>
      </c>
      <c r="AC69" s="295">
        <f t="shared" si="4"/>
        <v>0</v>
      </c>
      <c r="AD69" s="295">
        <f t="shared" si="4"/>
        <v>0</v>
      </c>
      <c r="AE69" s="296">
        <f t="shared" si="4"/>
        <v>0</v>
      </c>
    </row>
    <row r="70" spans="1:31" ht="15" customHeight="1">
      <c r="A70" s="1711"/>
      <c r="B70" s="116">
        <v>17</v>
      </c>
      <c r="C70" s="294">
        <f t="shared" ref="C70:C78" si="5">(EXP(15-B70)*$B$20/(EXP(-1)+EXP(-2)+EXP(-3)+EXP(-4)+EXP(-5)+EXP(-6)+EXP(-7)+EXP(-8)+EXP(-9)+EXP(-10)))</f>
        <v>1443.2345668915204</v>
      </c>
      <c r="D70" s="295">
        <f t="shared" si="3"/>
        <v>1089.4441360644882</v>
      </c>
      <c r="E70" s="295">
        <f t="shared" si="3"/>
        <v>401.76715220710628</v>
      </c>
      <c r="F70" s="295">
        <f t="shared" si="3"/>
        <v>180.23842142739616</v>
      </c>
      <c r="G70" s="295">
        <f t="shared" si="3"/>
        <v>196.90031963987536</v>
      </c>
      <c r="H70" s="295">
        <f t="shared" si="3"/>
        <v>210.46494195934403</v>
      </c>
      <c r="I70" s="295">
        <f t="shared" si="3"/>
        <v>101.35844645235916</v>
      </c>
      <c r="J70" s="295">
        <f t="shared" si="3"/>
        <v>54.574370111002224</v>
      </c>
      <c r="K70" s="295">
        <f t="shared" si="3"/>
        <v>49.167589620410432</v>
      </c>
      <c r="L70" s="295">
        <f t="shared" si="3"/>
        <v>45.632244132993641</v>
      </c>
      <c r="M70" s="295">
        <f t="shared" si="3"/>
        <v>43.029938923798113</v>
      </c>
      <c r="N70" s="295">
        <f t="shared" si="2"/>
        <v>47.315519621469541</v>
      </c>
      <c r="O70" s="295">
        <f t="shared" si="2"/>
        <v>33.472029828314184</v>
      </c>
      <c r="P70" s="295">
        <f t="shared" si="2"/>
        <v>24.85733544620037</v>
      </c>
      <c r="Q70" s="295">
        <f t="shared" si="3"/>
        <v>11.018682651575102</v>
      </c>
      <c r="R70" s="295">
        <f t="shared" si="3"/>
        <v>17.558304664274633</v>
      </c>
      <c r="S70" s="295">
        <f t="shared" si="3"/>
        <v>17.050419818613801</v>
      </c>
      <c r="T70" s="295">
        <f t="shared" si="4"/>
        <v>15.657364241944075</v>
      </c>
      <c r="U70" s="295">
        <f t="shared" si="4"/>
        <v>0</v>
      </c>
      <c r="V70" s="295">
        <f t="shared" si="4"/>
        <v>0</v>
      </c>
      <c r="W70" s="295">
        <f t="shared" si="4"/>
        <v>0</v>
      </c>
      <c r="X70" s="295">
        <f t="shared" si="4"/>
        <v>0</v>
      </c>
      <c r="Y70" s="295">
        <f t="shared" si="4"/>
        <v>0</v>
      </c>
      <c r="Z70" s="295">
        <f t="shared" si="4"/>
        <v>0</v>
      </c>
      <c r="AA70" s="295">
        <f t="shared" si="4"/>
        <v>0</v>
      </c>
      <c r="AB70" s="295">
        <f t="shared" si="4"/>
        <v>0</v>
      </c>
      <c r="AC70" s="295">
        <f t="shared" si="4"/>
        <v>0</v>
      </c>
      <c r="AD70" s="295">
        <f t="shared" si="4"/>
        <v>0</v>
      </c>
      <c r="AE70" s="296">
        <f t="shared" si="4"/>
        <v>0</v>
      </c>
    </row>
    <row r="71" spans="1:31" ht="15" customHeight="1">
      <c r="A71" s="1711"/>
      <c r="B71" s="116">
        <v>18</v>
      </c>
      <c r="C71" s="294">
        <f t="shared" si="5"/>
        <v>530.93632594736107</v>
      </c>
      <c r="D71" s="295">
        <f t="shared" ref="D71:AE78" si="6">C70*$C43</f>
        <v>350.68608746754518</v>
      </c>
      <c r="E71" s="295">
        <f t="shared" si="6"/>
        <v>264.71989401819258</v>
      </c>
      <c r="F71" s="295">
        <f t="shared" si="6"/>
        <v>97.623874810558092</v>
      </c>
      <c r="G71" s="295">
        <f t="shared" si="6"/>
        <v>43.795449659882649</v>
      </c>
      <c r="H71" s="295">
        <f t="shared" si="6"/>
        <v>47.84406104153895</v>
      </c>
      <c r="I71" s="295">
        <f t="shared" si="6"/>
        <v>51.140077114265786</v>
      </c>
      <c r="J71" s="295">
        <f t="shared" si="6"/>
        <v>24.628704046857983</v>
      </c>
      <c r="K71" s="295">
        <f t="shared" si="6"/>
        <v>13.26081897515391</v>
      </c>
      <c r="L71" s="295">
        <f t="shared" si="6"/>
        <v>11.947045913214764</v>
      </c>
      <c r="M71" s="295">
        <f t="shared" si="6"/>
        <v>11.088005736884631</v>
      </c>
      <c r="N71" s="295">
        <f t="shared" si="2"/>
        <v>10.45568147501862</v>
      </c>
      <c r="O71" s="295">
        <f t="shared" si="2"/>
        <v>11.497018456455949</v>
      </c>
      <c r="P71" s="295">
        <f t="shared" si="2"/>
        <v>8.1332414351538738</v>
      </c>
      <c r="Q71" s="295">
        <f t="shared" si="6"/>
        <v>6.0399895571178828</v>
      </c>
      <c r="R71" s="295">
        <f t="shared" si="6"/>
        <v>2.6773878597226188</v>
      </c>
      <c r="S71" s="295">
        <f t="shared" si="6"/>
        <v>4.2664257817353404</v>
      </c>
      <c r="T71" s="295">
        <f t="shared" si="6"/>
        <v>4.1430167715198563</v>
      </c>
      <c r="U71" s="295">
        <f t="shared" si="6"/>
        <v>3.8045234863573825</v>
      </c>
      <c r="V71" s="295">
        <f t="shared" si="6"/>
        <v>0</v>
      </c>
      <c r="W71" s="295">
        <f t="shared" si="6"/>
        <v>0</v>
      </c>
      <c r="X71" s="295">
        <f t="shared" si="6"/>
        <v>0</v>
      </c>
      <c r="Y71" s="295">
        <f t="shared" si="6"/>
        <v>0</v>
      </c>
      <c r="Z71" s="295">
        <f t="shared" si="6"/>
        <v>0</v>
      </c>
      <c r="AA71" s="295">
        <f t="shared" si="6"/>
        <v>0</v>
      </c>
      <c r="AB71" s="295">
        <f t="shared" si="6"/>
        <v>0</v>
      </c>
      <c r="AC71" s="295">
        <f t="shared" si="6"/>
        <v>0</v>
      </c>
      <c r="AD71" s="295">
        <f t="shared" si="6"/>
        <v>0</v>
      </c>
      <c r="AE71" s="296">
        <f t="shared" si="6"/>
        <v>0</v>
      </c>
    </row>
    <row r="72" spans="1:31" ht="15.75" customHeight="1">
      <c r="A72" s="1711"/>
      <c r="B72" s="116">
        <v>19</v>
      </c>
      <c r="C72" s="294">
        <f t="shared" si="5"/>
        <v>195.32055888713393</v>
      </c>
      <c r="D72" s="295">
        <f t="shared" si="6"/>
        <v>110.58017304356576</v>
      </c>
      <c r="E72" s="295">
        <f t="shared" si="6"/>
        <v>73.038755008782104</v>
      </c>
      <c r="F72" s="295">
        <f t="shared" si="6"/>
        <v>55.13424163693093</v>
      </c>
      <c r="G72" s="295">
        <f t="shared" si="6"/>
        <v>20.332503997485372</v>
      </c>
      <c r="H72" s="295">
        <f t="shared" si="6"/>
        <v>9.1214485904110845</v>
      </c>
      <c r="I72" s="295">
        <f t="shared" si="6"/>
        <v>9.9646686250750722</v>
      </c>
      <c r="J72" s="295">
        <f t="shared" si="6"/>
        <v>10.65114270843369</v>
      </c>
      <c r="K72" s="295">
        <f t="shared" si="6"/>
        <v>5.1295159555730541</v>
      </c>
      <c r="L72" s="295">
        <f t="shared" si="6"/>
        <v>2.7618823299675719</v>
      </c>
      <c r="M72" s="295">
        <f t="shared" si="6"/>
        <v>2.4882577060166966</v>
      </c>
      <c r="N72" s="295">
        <f t="shared" si="2"/>
        <v>2.3093420682884553</v>
      </c>
      <c r="O72" s="295">
        <f t="shared" si="2"/>
        <v>2.177645435604632</v>
      </c>
      <c r="P72" s="295">
        <f t="shared" si="2"/>
        <v>2.3945287377568016</v>
      </c>
      <c r="Q72" s="295">
        <f t="shared" si="6"/>
        <v>1.6939418181636754</v>
      </c>
      <c r="R72" s="295">
        <f t="shared" si="6"/>
        <v>1.2579721103386019</v>
      </c>
      <c r="S72" s="295">
        <f t="shared" si="6"/>
        <v>0.55762998002555664</v>
      </c>
      <c r="T72" s="295">
        <f t="shared" si="6"/>
        <v>0.88858508669568492</v>
      </c>
      <c r="U72" s="295">
        <f t="shared" si="6"/>
        <v>0.86288221228713224</v>
      </c>
      <c r="V72" s="295">
        <f t="shared" si="6"/>
        <v>0.79238289962367292</v>
      </c>
      <c r="W72" s="295">
        <f t="shared" si="6"/>
        <v>0</v>
      </c>
      <c r="X72" s="295">
        <f t="shared" si="6"/>
        <v>0</v>
      </c>
      <c r="Y72" s="295">
        <f t="shared" si="6"/>
        <v>0</v>
      </c>
      <c r="Z72" s="295">
        <f t="shared" si="6"/>
        <v>0</v>
      </c>
      <c r="AA72" s="295">
        <f t="shared" si="6"/>
        <v>0</v>
      </c>
      <c r="AB72" s="295">
        <f t="shared" si="6"/>
        <v>0</v>
      </c>
      <c r="AC72" s="295">
        <f t="shared" si="6"/>
        <v>0</v>
      </c>
      <c r="AD72" s="295">
        <f t="shared" si="6"/>
        <v>0</v>
      </c>
      <c r="AE72" s="296">
        <f t="shared" si="6"/>
        <v>0</v>
      </c>
    </row>
    <row r="73" spans="1:31">
      <c r="A73" s="1711"/>
      <c r="B73" s="116">
        <v>20</v>
      </c>
      <c r="C73" s="294">
        <f t="shared" si="5"/>
        <v>71.854418052692623</v>
      </c>
      <c r="D73" s="295">
        <f t="shared" si="6"/>
        <v>33.900143553256974</v>
      </c>
      <c r="E73" s="295">
        <f t="shared" si="6"/>
        <v>19.192468840349033</v>
      </c>
      <c r="F73" s="295">
        <f t="shared" si="6"/>
        <v>12.676721251753388</v>
      </c>
      <c r="G73" s="295">
        <f t="shared" si="6"/>
        <v>9.5691857367249931</v>
      </c>
      <c r="H73" s="295">
        <f t="shared" si="6"/>
        <v>3.5289413886544483</v>
      </c>
      <c r="I73" s="295">
        <f t="shared" si="6"/>
        <v>1.5831329706939412</v>
      </c>
      <c r="J73" s="295">
        <f t="shared" si="6"/>
        <v>1.7294835667856179</v>
      </c>
      <c r="K73" s="295">
        <f t="shared" si="6"/>
        <v>1.8486290889162154</v>
      </c>
      <c r="L73" s="295">
        <f t="shared" si="6"/>
        <v>0.89028686096035503</v>
      </c>
      <c r="M73" s="295">
        <f t="shared" si="6"/>
        <v>0.47935664323594129</v>
      </c>
      <c r="N73" s="295">
        <f t="shared" si="2"/>
        <v>0.43186592293239806</v>
      </c>
      <c r="O73" s="295">
        <f t="shared" si="2"/>
        <v>0.40081304330995793</v>
      </c>
      <c r="P73" s="295">
        <f t="shared" si="2"/>
        <v>0.37795556850597684</v>
      </c>
      <c r="Q73" s="295">
        <f t="shared" si="6"/>
        <v>0.41559817571104601</v>
      </c>
      <c r="R73" s="295">
        <f t="shared" si="6"/>
        <v>0.29400320751589032</v>
      </c>
      <c r="S73" s="295">
        <f t="shared" si="6"/>
        <v>0.21833561899193063</v>
      </c>
      <c r="T73" s="295">
        <f t="shared" si="6"/>
        <v>9.6783136809421688E-2</v>
      </c>
      <c r="U73" s="295">
        <f t="shared" si="6"/>
        <v>0.15422422590790197</v>
      </c>
      <c r="V73" s="295">
        <f t="shared" si="6"/>
        <v>0.14976319457998746</v>
      </c>
      <c r="W73" s="295">
        <f t="shared" si="6"/>
        <v>0.13752722293770764</v>
      </c>
      <c r="X73" s="295">
        <f t="shared" si="6"/>
        <v>0</v>
      </c>
      <c r="Y73" s="295">
        <f t="shared" si="6"/>
        <v>0</v>
      </c>
      <c r="Z73" s="295">
        <f t="shared" si="6"/>
        <v>0</v>
      </c>
      <c r="AA73" s="295">
        <f t="shared" si="6"/>
        <v>0</v>
      </c>
      <c r="AB73" s="295">
        <f t="shared" si="6"/>
        <v>0</v>
      </c>
      <c r="AC73" s="295">
        <f t="shared" si="6"/>
        <v>0</v>
      </c>
      <c r="AD73" s="295">
        <f t="shared" si="6"/>
        <v>0</v>
      </c>
      <c r="AE73" s="296">
        <f t="shared" si="6"/>
        <v>0</v>
      </c>
    </row>
    <row r="74" spans="1:31" ht="15.75" customHeight="1">
      <c r="A74" s="1711"/>
      <c r="B74" s="116">
        <v>21</v>
      </c>
      <c r="C74" s="294">
        <f t="shared" si="5"/>
        <v>26.43376315892376</v>
      </c>
      <c r="D74" s="295">
        <f t="shared" si="6"/>
        <v>9.9769326928030804</v>
      </c>
      <c r="E74" s="295">
        <f t="shared" si="6"/>
        <v>4.7070098077919491</v>
      </c>
      <c r="F74" s="295">
        <f t="shared" si="6"/>
        <v>2.6648600742749626</v>
      </c>
      <c r="G74" s="295">
        <f t="shared" si="6"/>
        <v>1.7601533506460643</v>
      </c>
      <c r="H74" s="295">
        <f t="shared" si="6"/>
        <v>1.3286743474872369</v>
      </c>
      <c r="I74" s="295">
        <f t="shared" si="6"/>
        <v>0.48999089639322607</v>
      </c>
      <c r="J74" s="295">
        <f t="shared" si="6"/>
        <v>0.21981683966583818</v>
      </c>
      <c r="K74" s="295">
        <f t="shared" si="6"/>
        <v>0.24013751146764051</v>
      </c>
      <c r="L74" s="295">
        <f t="shared" si="6"/>
        <v>0.2566807789125754</v>
      </c>
      <c r="M74" s="295">
        <f t="shared" si="6"/>
        <v>0.12361567082172682</v>
      </c>
      <c r="N74" s="295">
        <f t="shared" si="2"/>
        <v>6.6558314645396938E-2</v>
      </c>
      <c r="O74" s="295">
        <f t="shared" si="2"/>
        <v>5.9964263328277784E-2</v>
      </c>
      <c r="P74" s="295">
        <f t="shared" si="2"/>
        <v>5.5652594007073231E-2</v>
      </c>
      <c r="Q74" s="295">
        <f t="shared" si="6"/>
        <v>5.24788505710116E-2</v>
      </c>
      <c r="R74" s="295">
        <f t="shared" si="6"/>
        <v>5.7705498683187438E-2</v>
      </c>
      <c r="S74" s="295">
        <f t="shared" si="6"/>
        <v>4.0822127467558492E-2</v>
      </c>
      <c r="T74" s="295">
        <f t="shared" si="6"/>
        <v>3.0315738880893502E-2</v>
      </c>
      <c r="U74" s="295">
        <f t="shared" si="6"/>
        <v>1.3438266816632693E-2</v>
      </c>
      <c r="V74" s="295">
        <f t="shared" si="6"/>
        <v>2.1413919466363771E-2</v>
      </c>
      <c r="W74" s="295">
        <f t="shared" si="6"/>
        <v>2.0794508572708623E-2</v>
      </c>
      <c r="X74" s="295">
        <f t="shared" si="6"/>
        <v>1.9095552978683067E-2</v>
      </c>
      <c r="Y74" s="295">
        <f t="shared" si="6"/>
        <v>0</v>
      </c>
      <c r="Z74" s="295">
        <f t="shared" si="6"/>
        <v>0</v>
      </c>
      <c r="AA74" s="295">
        <f t="shared" si="6"/>
        <v>0</v>
      </c>
      <c r="AB74" s="295">
        <f t="shared" si="6"/>
        <v>0</v>
      </c>
      <c r="AC74" s="295">
        <f t="shared" si="6"/>
        <v>0</v>
      </c>
      <c r="AD74" s="295">
        <f t="shared" si="6"/>
        <v>0</v>
      </c>
      <c r="AE74" s="296">
        <f t="shared" si="6"/>
        <v>0</v>
      </c>
    </row>
    <row r="75" spans="1:31" ht="15" customHeight="1">
      <c r="A75" s="1711"/>
      <c r="B75" s="116">
        <v>22</v>
      </c>
      <c r="C75" s="294">
        <f t="shared" si="5"/>
        <v>9.7244380189631343</v>
      </c>
      <c r="D75" s="295">
        <f t="shared" si="6"/>
        <v>2.752731317725118</v>
      </c>
      <c r="E75" s="295">
        <f t="shared" si="6"/>
        <v>1.0389672826074006</v>
      </c>
      <c r="F75" s="295">
        <f t="shared" si="6"/>
        <v>0.49017361746218097</v>
      </c>
      <c r="G75" s="295">
        <f t="shared" si="6"/>
        <v>0.27751038471930689</v>
      </c>
      <c r="H75" s="295">
        <f t="shared" si="6"/>
        <v>0.18329699116966341</v>
      </c>
      <c r="I75" s="295">
        <f t="shared" si="6"/>
        <v>0.13836408631630548</v>
      </c>
      <c r="J75" s="295">
        <f t="shared" si="6"/>
        <v>5.1026154611152744E-2</v>
      </c>
      <c r="K75" s="295">
        <f t="shared" si="6"/>
        <v>2.2891053955260983E-2</v>
      </c>
      <c r="L75" s="295">
        <f t="shared" si="6"/>
        <v>2.5007186619752649E-2</v>
      </c>
      <c r="M75" s="295">
        <f t="shared" si="6"/>
        <v>2.6729951937705537E-2</v>
      </c>
      <c r="N75" s="295">
        <f t="shared" si="2"/>
        <v>1.2872958208286409E-2</v>
      </c>
      <c r="O75" s="295">
        <f t="shared" si="2"/>
        <v>6.931179494870157E-3</v>
      </c>
      <c r="P75" s="295">
        <f t="shared" si="2"/>
        <v>6.2444951411445822E-3</v>
      </c>
      <c r="Q75" s="295">
        <f t="shared" si="6"/>
        <v>5.7954910738539376E-3</v>
      </c>
      <c r="R75" s="295">
        <f t="shared" si="6"/>
        <v>5.4649871309099662E-3</v>
      </c>
      <c r="S75" s="295">
        <f t="shared" si="6"/>
        <v>6.0092742934533825E-3</v>
      </c>
      <c r="T75" s="295">
        <f t="shared" si="6"/>
        <v>4.2510916081269084E-3</v>
      </c>
      <c r="U75" s="295">
        <f t="shared" si="6"/>
        <v>3.1569884066711238E-3</v>
      </c>
      <c r="V75" s="295">
        <f t="shared" si="6"/>
        <v>1.3994200409411987E-3</v>
      </c>
      <c r="W75" s="295">
        <f t="shared" si="6"/>
        <v>2.2299801354769759E-3</v>
      </c>
      <c r="X75" s="295">
        <f t="shared" si="6"/>
        <v>2.1654765778392126E-3</v>
      </c>
      <c r="Y75" s="295">
        <f t="shared" si="6"/>
        <v>1.9885525340327748E-3</v>
      </c>
      <c r="Z75" s="295">
        <f t="shared" si="6"/>
        <v>0</v>
      </c>
      <c r="AA75" s="295">
        <f t="shared" si="6"/>
        <v>0</v>
      </c>
      <c r="AB75" s="295">
        <f t="shared" si="6"/>
        <v>0</v>
      </c>
      <c r="AC75" s="295">
        <f t="shared" si="6"/>
        <v>0</v>
      </c>
      <c r="AD75" s="295">
        <f t="shared" si="6"/>
        <v>0</v>
      </c>
      <c r="AE75" s="296">
        <f t="shared" si="6"/>
        <v>0</v>
      </c>
    </row>
    <row r="76" spans="1:31" ht="15" customHeight="1">
      <c r="A76" s="1711"/>
      <c r="B76" s="116">
        <v>23</v>
      </c>
      <c r="C76" s="294">
        <f t="shared" si="5"/>
        <v>3.5774208241224854</v>
      </c>
      <c r="D76" s="295">
        <f t="shared" si="6"/>
        <v>0.67511550590656333</v>
      </c>
      <c r="E76" s="295">
        <f t="shared" si="6"/>
        <v>0.19110735166051132</v>
      </c>
      <c r="F76" s="295">
        <f t="shared" si="6"/>
        <v>7.2129918587588632E-2</v>
      </c>
      <c r="G76" s="295">
        <f t="shared" si="6"/>
        <v>3.4030121749936887E-2</v>
      </c>
      <c r="H76" s="295">
        <f t="shared" si="6"/>
        <v>1.9266055622829317E-2</v>
      </c>
      <c r="I76" s="295">
        <f t="shared" si="6"/>
        <v>1.2725325688059929E-2</v>
      </c>
      <c r="J76" s="295">
        <f t="shared" si="6"/>
        <v>9.605875419286385E-3</v>
      </c>
      <c r="K76" s="295">
        <f t="shared" si="6"/>
        <v>3.5424718752485782E-3</v>
      </c>
      <c r="L76" s="295">
        <f t="shared" si="6"/>
        <v>1.5892029381650832E-3</v>
      </c>
      <c r="M76" s="295">
        <f t="shared" si="6"/>
        <v>1.7361146642275857E-3</v>
      </c>
      <c r="N76" s="295">
        <f t="shared" si="2"/>
        <v>1.8557170080257578E-3</v>
      </c>
      <c r="O76" s="295">
        <f t="shared" si="2"/>
        <v>8.9370035331131378E-4</v>
      </c>
      <c r="P76" s="295">
        <f t="shared" si="2"/>
        <v>4.8119456796202583E-4</v>
      </c>
      <c r="Q76" s="295">
        <f t="shared" si="6"/>
        <v>4.3352176116748031E-4</v>
      </c>
      <c r="R76" s="295">
        <f t="shared" si="6"/>
        <v>4.0234982018210814E-4</v>
      </c>
      <c r="S76" s="295">
        <f t="shared" si="6"/>
        <v>3.7940470641721787E-4</v>
      </c>
      <c r="T76" s="295">
        <f t="shared" si="6"/>
        <v>4.1719164098170247E-4</v>
      </c>
      <c r="U76" s="295">
        <f t="shared" si="6"/>
        <v>2.9513045957814171E-4</v>
      </c>
      <c r="V76" s="295">
        <f t="shared" si="6"/>
        <v>2.1917275025607944E-4</v>
      </c>
      <c r="W76" s="295">
        <f t="shared" si="6"/>
        <v>9.7154217762862225E-5</v>
      </c>
      <c r="X76" s="295">
        <f t="shared" si="6"/>
        <v>1.5481554454749335E-4</v>
      </c>
      <c r="Y76" s="295">
        <f t="shared" si="6"/>
        <v>1.5033740896140888E-4</v>
      </c>
      <c r="Z76" s="295">
        <f t="shared" si="6"/>
        <v>1.3805452278243418E-4</v>
      </c>
      <c r="AA76" s="295">
        <f t="shared" si="6"/>
        <v>0</v>
      </c>
      <c r="AB76" s="295">
        <f t="shared" si="6"/>
        <v>0</v>
      </c>
      <c r="AC76" s="295">
        <f t="shared" si="6"/>
        <v>0</v>
      </c>
      <c r="AD76" s="295">
        <f t="shared" si="6"/>
        <v>0</v>
      </c>
      <c r="AE76" s="296">
        <f t="shared" si="6"/>
        <v>0</v>
      </c>
    </row>
    <row r="77" spans="1:31" ht="15" customHeight="1">
      <c r="A77" s="1711"/>
      <c r="B77" s="116">
        <v>24</v>
      </c>
      <c r="C77" s="294">
        <f t="shared" si="5"/>
        <v>1.3160595736132605</v>
      </c>
      <c r="D77" s="295">
        <f t="shared" si="6"/>
        <v>0.12418055751954113</v>
      </c>
      <c r="E77" s="295">
        <f t="shared" si="6"/>
        <v>2.3434821910874436E-2</v>
      </c>
      <c r="F77" s="295">
        <f t="shared" si="6"/>
        <v>6.633778535435942E-3</v>
      </c>
      <c r="G77" s="295">
        <f t="shared" si="6"/>
        <v>2.503796434472589E-3</v>
      </c>
      <c r="H77" s="295">
        <f t="shared" si="6"/>
        <v>1.1812642960173975E-3</v>
      </c>
      <c r="I77" s="295">
        <f t="shared" si="6"/>
        <v>6.6876938612115604E-4</v>
      </c>
      <c r="J77" s="295">
        <f t="shared" si="6"/>
        <v>4.4172551015119697E-4</v>
      </c>
      <c r="K77" s="295">
        <f t="shared" si="6"/>
        <v>3.3344217067972137E-4</v>
      </c>
      <c r="L77" s="295">
        <f t="shared" si="6"/>
        <v>1.2296739860722663E-4</v>
      </c>
      <c r="M77" s="295">
        <f t="shared" si="6"/>
        <v>5.5164912537635519E-5</v>
      </c>
      <c r="N77" s="295">
        <f t="shared" si="2"/>
        <v>6.0264558608230159E-5</v>
      </c>
      <c r="O77" s="295">
        <f t="shared" si="2"/>
        <v>6.4416232806957944E-5</v>
      </c>
      <c r="P77" s="295">
        <f t="shared" si="2"/>
        <v>3.1022407926199861E-5</v>
      </c>
      <c r="Q77" s="295">
        <f t="shared" si="6"/>
        <v>1.6703377282865945E-5</v>
      </c>
      <c r="R77" s="295">
        <f t="shared" si="6"/>
        <v>1.5048543810004901E-5</v>
      </c>
      <c r="S77" s="295">
        <f t="shared" si="6"/>
        <v>1.3966493584203115E-5</v>
      </c>
      <c r="T77" s="295">
        <f t="shared" si="6"/>
        <v>1.3170015573995218E-5</v>
      </c>
      <c r="U77" s="295">
        <f t="shared" si="6"/>
        <v>1.4481687538761379E-5</v>
      </c>
      <c r="V77" s="295">
        <f t="shared" si="6"/>
        <v>1.024466139523909E-5</v>
      </c>
      <c r="W77" s="295">
        <f t="shared" si="6"/>
        <v>7.6079934841233622E-6</v>
      </c>
      <c r="X77" s="295">
        <f t="shared" si="6"/>
        <v>3.3724477829992253E-6</v>
      </c>
      <c r="Y77" s="295">
        <f t="shared" si="6"/>
        <v>5.3740059053060519E-6</v>
      </c>
      <c r="Z77" s="295">
        <f t="shared" si="6"/>
        <v>5.2185594534996805E-6</v>
      </c>
      <c r="AA77" s="295">
        <f t="shared" si="6"/>
        <v>4.7921920428307701E-6</v>
      </c>
      <c r="AB77" s="295">
        <f t="shared" si="6"/>
        <v>0</v>
      </c>
      <c r="AC77" s="295">
        <f t="shared" si="6"/>
        <v>0</v>
      </c>
      <c r="AD77" s="295">
        <f t="shared" si="6"/>
        <v>0</v>
      </c>
      <c r="AE77" s="296">
        <f t="shared" si="6"/>
        <v>0</v>
      </c>
    </row>
    <row r="78" spans="1:31" ht="15.75" customHeight="1" thickBot="1">
      <c r="A78" s="1711"/>
      <c r="B78" s="116">
        <v>25</v>
      </c>
      <c r="C78" s="297">
        <f t="shared" si="5"/>
        <v>0.48415126048917295</v>
      </c>
      <c r="D78" s="298">
        <f t="shared" si="6"/>
        <v>0</v>
      </c>
      <c r="E78" s="298">
        <f t="shared" si="6"/>
        <v>0</v>
      </c>
      <c r="F78" s="298">
        <f t="shared" si="6"/>
        <v>0</v>
      </c>
      <c r="G78" s="298">
        <f t="shared" si="6"/>
        <v>0</v>
      </c>
      <c r="H78" s="298">
        <f t="shared" si="6"/>
        <v>0</v>
      </c>
      <c r="I78" s="298">
        <f t="shared" si="6"/>
        <v>0</v>
      </c>
      <c r="J78" s="298">
        <f t="shared" si="6"/>
        <v>0</v>
      </c>
      <c r="K78" s="298">
        <f t="shared" si="6"/>
        <v>0</v>
      </c>
      <c r="L78" s="298">
        <f t="shared" si="6"/>
        <v>0</v>
      </c>
      <c r="M78" s="298">
        <f t="shared" si="6"/>
        <v>0</v>
      </c>
      <c r="N78" s="298">
        <f t="shared" si="2"/>
        <v>0</v>
      </c>
      <c r="O78" s="298">
        <f t="shared" si="2"/>
        <v>0</v>
      </c>
      <c r="P78" s="298">
        <f t="shared" si="2"/>
        <v>0</v>
      </c>
      <c r="Q78" s="298">
        <f t="shared" si="6"/>
        <v>0</v>
      </c>
      <c r="R78" s="298">
        <f t="shared" si="6"/>
        <v>0</v>
      </c>
      <c r="S78" s="298">
        <f t="shared" si="6"/>
        <v>0</v>
      </c>
      <c r="T78" s="298">
        <f t="shared" si="6"/>
        <v>0</v>
      </c>
      <c r="U78" s="298">
        <f t="shared" si="6"/>
        <v>0</v>
      </c>
      <c r="V78" s="298">
        <f t="shared" si="6"/>
        <v>0</v>
      </c>
      <c r="W78" s="298">
        <f t="shared" si="6"/>
        <v>0</v>
      </c>
      <c r="X78" s="298">
        <f t="shared" si="6"/>
        <v>0</v>
      </c>
      <c r="Y78" s="298">
        <f t="shared" si="6"/>
        <v>0</v>
      </c>
      <c r="Z78" s="298">
        <f t="shared" si="6"/>
        <v>0</v>
      </c>
      <c r="AA78" s="298">
        <f t="shared" si="6"/>
        <v>0</v>
      </c>
      <c r="AB78" s="298">
        <f t="shared" si="6"/>
        <v>0</v>
      </c>
      <c r="AC78" s="298">
        <f t="shared" si="6"/>
        <v>0</v>
      </c>
      <c r="AD78" s="298">
        <f t="shared" si="6"/>
        <v>0</v>
      </c>
      <c r="AE78" s="299">
        <f t="shared" si="6"/>
        <v>0</v>
      </c>
    </row>
    <row r="79" spans="1:31" ht="16.5" customHeight="1" thickTop="1" thickBot="1">
      <c r="A79" s="1712"/>
      <c r="B79" s="300" t="s">
        <v>39</v>
      </c>
      <c r="C79" s="301">
        <f>SUM(C53:C78)</f>
        <v>143541.99999999991</v>
      </c>
      <c r="D79" s="301">
        <f t="shared" ref="D79:AE79" si="7">SUM(D53:D78)</f>
        <v>108347.67019605859</v>
      </c>
      <c r="E79" s="301">
        <f t="shared" si="7"/>
        <v>83525.650841679293</v>
      </c>
      <c r="F79" s="301">
        <f t="shared" si="7"/>
        <v>65893.14130644589</v>
      </c>
      <c r="G79" s="301">
        <f t="shared" si="7"/>
        <v>52931.907333460607</v>
      </c>
      <c r="H79" s="301">
        <f t="shared" si="7"/>
        <v>42448.952157088781</v>
      </c>
      <c r="I79" s="301">
        <f t="shared" si="7"/>
        <v>33402.402162861355</v>
      </c>
      <c r="J79" s="301">
        <f t="shared" si="7"/>
        <v>25643.628225400145</v>
      </c>
      <c r="K79" s="301">
        <f t="shared" si="7"/>
        <v>19207.443222285234</v>
      </c>
      <c r="L79" s="301">
        <f t="shared" si="7"/>
        <v>14016.156383111278</v>
      </c>
      <c r="M79" s="301">
        <f t="shared" si="7"/>
        <v>9833.9968683963052</v>
      </c>
      <c r="N79" s="301">
        <f t="shared" si="7"/>
        <v>6455.5271936159716</v>
      </c>
      <c r="O79" s="301">
        <f t="shared" si="7"/>
        <v>3813.5588834301948</v>
      </c>
      <c r="P79" s="301">
        <f t="shared" si="7"/>
        <v>1928.2330725932561</v>
      </c>
      <c r="Q79" s="301">
        <f t="shared" si="7"/>
        <v>798.906546746461</v>
      </c>
      <c r="R79" s="301">
        <f t="shared" si="7"/>
        <v>263.72610036618403</v>
      </c>
      <c r="S79" s="301">
        <f t="shared" si="7"/>
        <v>78.522635238307089</v>
      </c>
      <c r="T79" s="301">
        <f t="shared" si="7"/>
        <v>20.82074642911461</v>
      </c>
      <c r="U79" s="301">
        <f t="shared" si="7"/>
        <v>4.8385347919228376</v>
      </c>
      <c r="V79" s="301">
        <f t="shared" si="7"/>
        <v>0.96518885112261654</v>
      </c>
      <c r="W79" s="301">
        <f t="shared" si="7"/>
        <v>0.16065647385714021</v>
      </c>
      <c r="X79" s="301">
        <f t="shared" si="7"/>
        <v>2.1419217548852773E-2</v>
      </c>
      <c r="Y79" s="301">
        <f t="shared" si="7"/>
        <v>2.1442639488994898E-3</v>
      </c>
      <c r="Z79" s="301">
        <f t="shared" si="7"/>
        <v>1.4327308223593385E-4</v>
      </c>
      <c r="AA79" s="301">
        <f t="shared" si="7"/>
        <v>4.7921920428307701E-6</v>
      </c>
      <c r="AB79" s="301">
        <f t="shared" si="7"/>
        <v>0</v>
      </c>
      <c r="AC79" s="301">
        <f t="shared" si="7"/>
        <v>0</v>
      </c>
      <c r="AD79" s="301">
        <f t="shared" si="7"/>
        <v>0</v>
      </c>
      <c r="AE79" s="302">
        <f t="shared" si="7"/>
        <v>0</v>
      </c>
    </row>
    <row r="80" spans="1:31" ht="15.75" thickBot="1"/>
    <row r="81" spans="1:31" ht="15.75" customHeight="1" thickBot="1">
      <c r="A81" s="1710" t="s">
        <v>42</v>
      </c>
      <c r="B81" s="169" t="s">
        <v>10</v>
      </c>
      <c r="C81" s="288">
        <v>2012</v>
      </c>
      <c r="D81" s="289">
        <v>2013</v>
      </c>
      <c r="E81" s="289">
        <v>2014</v>
      </c>
      <c r="F81" s="289">
        <v>2015</v>
      </c>
      <c r="G81" s="288">
        <v>2016</v>
      </c>
      <c r="H81" s="289">
        <v>2017</v>
      </c>
      <c r="I81" s="289">
        <v>2018</v>
      </c>
      <c r="J81" s="289">
        <v>2019</v>
      </c>
      <c r="K81" s="288">
        <v>2020</v>
      </c>
      <c r="L81" s="289">
        <v>2021</v>
      </c>
      <c r="M81" s="289">
        <v>2022</v>
      </c>
      <c r="N81" s="289">
        <v>2023</v>
      </c>
      <c r="O81" s="288">
        <v>2024</v>
      </c>
      <c r="P81" s="289">
        <v>2025</v>
      </c>
      <c r="Q81" s="289">
        <v>2026</v>
      </c>
      <c r="R81" s="289">
        <v>2027</v>
      </c>
      <c r="S81" s="288">
        <v>2028</v>
      </c>
      <c r="T81" s="289">
        <v>2029</v>
      </c>
      <c r="U81" s="289">
        <v>2030</v>
      </c>
      <c r="V81" s="289">
        <v>2031</v>
      </c>
      <c r="W81" s="288">
        <v>2032</v>
      </c>
      <c r="X81" s="289">
        <v>2033</v>
      </c>
      <c r="Y81" s="289">
        <v>2034</v>
      </c>
      <c r="Z81" s="289">
        <v>2035</v>
      </c>
      <c r="AA81" s="288">
        <v>2036</v>
      </c>
      <c r="AB81" s="289">
        <v>2037</v>
      </c>
      <c r="AC81" s="289">
        <v>2038</v>
      </c>
      <c r="AD81" s="289">
        <v>2039</v>
      </c>
      <c r="AE81" s="290">
        <v>2040</v>
      </c>
    </row>
    <row r="82" spans="1:31">
      <c r="A82" s="1711"/>
      <c r="B82" s="116">
        <v>0</v>
      </c>
      <c r="C82" s="291">
        <f t="shared" ref="C82:C97" si="8">C4</f>
        <v>12238</v>
      </c>
      <c r="D82" s="292"/>
      <c r="E82" s="292"/>
      <c r="F82" s="292"/>
      <c r="G82" s="292"/>
      <c r="H82" s="292"/>
      <c r="I82" s="292"/>
      <c r="J82" s="292"/>
      <c r="K82" s="292"/>
      <c r="L82" s="292"/>
      <c r="M82" s="292"/>
      <c r="N82" s="292"/>
      <c r="O82" s="292"/>
      <c r="P82" s="292"/>
      <c r="Q82" s="292"/>
      <c r="R82" s="292"/>
      <c r="S82" s="292"/>
      <c r="T82" s="292"/>
      <c r="U82" s="292"/>
      <c r="V82" s="292"/>
      <c r="W82" s="292"/>
      <c r="X82" s="292"/>
      <c r="Y82" s="292"/>
      <c r="Z82" s="292"/>
      <c r="AA82" s="292"/>
      <c r="AB82" s="292"/>
      <c r="AC82" s="292"/>
      <c r="AD82" s="292"/>
      <c r="AE82" s="293"/>
    </row>
    <row r="83" spans="1:31" ht="15" customHeight="1">
      <c r="A83" s="1711"/>
      <c r="B83" s="116">
        <v>1</v>
      </c>
      <c r="C83" s="294">
        <f t="shared" si="8"/>
        <v>17115</v>
      </c>
      <c r="D83" s="295">
        <f t="shared" ref="D83:AE92" si="9">C82*$D26</f>
        <v>12238</v>
      </c>
      <c r="E83" s="295">
        <f t="shared" si="9"/>
        <v>0</v>
      </c>
      <c r="F83" s="295">
        <f t="shared" si="9"/>
        <v>0</v>
      </c>
      <c r="G83" s="295">
        <f t="shared" si="9"/>
        <v>0</v>
      </c>
      <c r="H83" s="295">
        <f t="shared" si="9"/>
        <v>0</v>
      </c>
      <c r="I83" s="295">
        <f t="shared" si="9"/>
        <v>0</v>
      </c>
      <c r="J83" s="295">
        <f t="shared" si="9"/>
        <v>0</v>
      </c>
      <c r="K83" s="295">
        <f t="shared" si="9"/>
        <v>0</v>
      </c>
      <c r="L83" s="295">
        <f t="shared" si="9"/>
        <v>0</v>
      </c>
      <c r="M83" s="295">
        <f t="shared" si="9"/>
        <v>0</v>
      </c>
      <c r="N83" s="295">
        <f t="shared" ref="N83:P107" si="10">M82*$D26</f>
        <v>0</v>
      </c>
      <c r="O83" s="295">
        <f t="shared" si="10"/>
        <v>0</v>
      </c>
      <c r="P83" s="295">
        <f t="shared" si="10"/>
        <v>0</v>
      </c>
      <c r="Q83" s="295">
        <f t="shared" si="9"/>
        <v>0</v>
      </c>
      <c r="R83" s="295">
        <f t="shared" si="9"/>
        <v>0</v>
      </c>
      <c r="S83" s="295">
        <f t="shared" si="9"/>
        <v>0</v>
      </c>
      <c r="T83" s="295">
        <f t="shared" si="9"/>
        <v>0</v>
      </c>
      <c r="U83" s="295">
        <f t="shared" si="9"/>
        <v>0</v>
      </c>
      <c r="V83" s="295">
        <f t="shared" si="9"/>
        <v>0</v>
      </c>
      <c r="W83" s="295">
        <f t="shared" si="9"/>
        <v>0</v>
      </c>
      <c r="X83" s="295">
        <f t="shared" si="9"/>
        <v>0</v>
      </c>
      <c r="Y83" s="295">
        <f t="shared" si="9"/>
        <v>0</v>
      </c>
      <c r="Z83" s="295">
        <f t="shared" si="9"/>
        <v>0</v>
      </c>
      <c r="AA83" s="295">
        <f t="shared" si="9"/>
        <v>0</v>
      </c>
      <c r="AB83" s="295">
        <f t="shared" si="9"/>
        <v>0</v>
      </c>
      <c r="AC83" s="295">
        <f t="shared" si="9"/>
        <v>0</v>
      </c>
      <c r="AD83" s="295">
        <f t="shared" si="9"/>
        <v>0</v>
      </c>
      <c r="AE83" s="296">
        <f t="shared" si="9"/>
        <v>0</v>
      </c>
    </row>
    <row r="84" spans="1:31" ht="15" customHeight="1">
      <c r="A84" s="1711"/>
      <c r="B84" s="116">
        <v>2</v>
      </c>
      <c r="C84" s="294">
        <f t="shared" si="8"/>
        <v>20771</v>
      </c>
      <c r="D84" s="295">
        <f t="shared" si="9"/>
        <v>17115</v>
      </c>
      <c r="E84" s="295">
        <f t="shared" si="9"/>
        <v>12238</v>
      </c>
      <c r="F84" s="295">
        <f t="shared" si="9"/>
        <v>0</v>
      </c>
      <c r="G84" s="295">
        <f t="shared" si="9"/>
        <v>0</v>
      </c>
      <c r="H84" s="295">
        <f t="shared" si="9"/>
        <v>0</v>
      </c>
      <c r="I84" s="295">
        <f t="shared" si="9"/>
        <v>0</v>
      </c>
      <c r="J84" s="295">
        <f t="shared" si="9"/>
        <v>0</v>
      </c>
      <c r="K84" s="295">
        <f t="shared" si="9"/>
        <v>0</v>
      </c>
      <c r="L84" s="295">
        <f t="shared" si="9"/>
        <v>0</v>
      </c>
      <c r="M84" s="295">
        <f t="shared" si="9"/>
        <v>0</v>
      </c>
      <c r="N84" s="295">
        <f t="shared" si="10"/>
        <v>0</v>
      </c>
      <c r="O84" s="295">
        <f t="shared" si="10"/>
        <v>0</v>
      </c>
      <c r="P84" s="295">
        <f t="shared" si="10"/>
        <v>0</v>
      </c>
      <c r="Q84" s="295">
        <f t="shared" si="9"/>
        <v>0</v>
      </c>
      <c r="R84" s="295">
        <f t="shared" si="9"/>
        <v>0</v>
      </c>
      <c r="S84" s="295">
        <f t="shared" si="9"/>
        <v>0</v>
      </c>
      <c r="T84" s="295">
        <f t="shared" si="9"/>
        <v>0</v>
      </c>
      <c r="U84" s="295">
        <f t="shared" si="9"/>
        <v>0</v>
      </c>
      <c r="V84" s="295">
        <f t="shared" si="9"/>
        <v>0</v>
      </c>
      <c r="W84" s="295">
        <f t="shared" si="9"/>
        <v>0</v>
      </c>
      <c r="X84" s="295">
        <f t="shared" si="9"/>
        <v>0</v>
      </c>
      <c r="Y84" s="295">
        <f t="shared" si="9"/>
        <v>0</v>
      </c>
      <c r="Z84" s="295">
        <f t="shared" si="9"/>
        <v>0</v>
      </c>
      <c r="AA84" s="295">
        <f t="shared" si="9"/>
        <v>0</v>
      </c>
      <c r="AB84" s="295">
        <f t="shared" si="9"/>
        <v>0</v>
      </c>
      <c r="AC84" s="295">
        <f t="shared" si="9"/>
        <v>0</v>
      </c>
      <c r="AD84" s="295">
        <f t="shared" si="9"/>
        <v>0</v>
      </c>
      <c r="AE84" s="296">
        <f t="shared" si="9"/>
        <v>0</v>
      </c>
    </row>
    <row r="85" spans="1:31" ht="15" customHeight="1">
      <c r="A85" s="1711"/>
      <c r="B85" s="116">
        <v>3</v>
      </c>
      <c r="C85" s="294">
        <f t="shared" si="8"/>
        <v>15130</v>
      </c>
      <c r="D85" s="295">
        <f t="shared" si="9"/>
        <v>20771</v>
      </c>
      <c r="E85" s="295">
        <f t="shared" si="9"/>
        <v>17115</v>
      </c>
      <c r="F85" s="295">
        <f t="shared" si="9"/>
        <v>12238</v>
      </c>
      <c r="G85" s="295">
        <f t="shared" si="9"/>
        <v>0</v>
      </c>
      <c r="H85" s="295">
        <f t="shared" si="9"/>
        <v>0</v>
      </c>
      <c r="I85" s="295">
        <f t="shared" si="9"/>
        <v>0</v>
      </c>
      <c r="J85" s="295">
        <f t="shared" si="9"/>
        <v>0</v>
      </c>
      <c r="K85" s="295">
        <f t="shared" si="9"/>
        <v>0</v>
      </c>
      <c r="L85" s="295">
        <f t="shared" si="9"/>
        <v>0</v>
      </c>
      <c r="M85" s="295">
        <f t="shared" si="9"/>
        <v>0</v>
      </c>
      <c r="N85" s="295">
        <f t="shared" si="10"/>
        <v>0</v>
      </c>
      <c r="O85" s="295">
        <f t="shared" si="10"/>
        <v>0</v>
      </c>
      <c r="P85" s="295">
        <f t="shared" si="10"/>
        <v>0</v>
      </c>
      <c r="Q85" s="295">
        <f t="shared" si="9"/>
        <v>0</v>
      </c>
      <c r="R85" s="295">
        <f t="shared" si="9"/>
        <v>0</v>
      </c>
      <c r="S85" s="295">
        <f t="shared" si="9"/>
        <v>0</v>
      </c>
      <c r="T85" s="295">
        <f t="shared" si="9"/>
        <v>0</v>
      </c>
      <c r="U85" s="295">
        <f t="shared" si="9"/>
        <v>0</v>
      </c>
      <c r="V85" s="295">
        <f t="shared" si="9"/>
        <v>0</v>
      </c>
      <c r="W85" s="295">
        <f t="shared" si="9"/>
        <v>0</v>
      </c>
      <c r="X85" s="295">
        <f t="shared" si="9"/>
        <v>0</v>
      </c>
      <c r="Y85" s="295">
        <f t="shared" si="9"/>
        <v>0</v>
      </c>
      <c r="Z85" s="295">
        <f t="shared" si="9"/>
        <v>0</v>
      </c>
      <c r="AA85" s="295">
        <f t="shared" si="9"/>
        <v>0</v>
      </c>
      <c r="AB85" s="295">
        <f t="shared" si="9"/>
        <v>0</v>
      </c>
      <c r="AC85" s="295">
        <f t="shared" si="9"/>
        <v>0</v>
      </c>
      <c r="AD85" s="295">
        <f t="shared" si="9"/>
        <v>0</v>
      </c>
      <c r="AE85" s="296">
        <f t="shared" si="9"/>
        <v>0</v>
      </c>
    </row>
    <row r="86" spans="1:31" ht="15" customHeight="1">
      <c r="A86" s="1711"/>
      <c r="B86" s="116">
        <v>4</v>
      </c>
      <c r="C86" s="294">
        <f t="shared" si="8"/>
        <v>51682</v>
      </c>
      <c r="D86" s="295">
        <f t="shared" si="9"/>
        <v>15130</v>
      </c>
      <c r="E86" s="295">
        <f t="shared" si="9"/>
        <v>20771</v>
      </c>
      <c r="F86" s="295">
        <f t="shared" si="9"/>
        <v>17115</v>
      </c>
      <c r="G86" s="295">
        <f t="shared" si="9"/>
        <v>12238</v>
      </c>
      <c r="H86" s="295">
        <f t="shared" si="9"/>
        <v>0</v>
      </c>
      <c r="I86" s="295">
        <f t="shared" si="9"/>
        <v>0</v>
      </c>
      <c r="J86" s="295">
        <f t="shared" si="9"/>
        <v>0</v>
      </c>
      <c r="K86" s="295">
        <f t="shared" si="9"/>
        <v>0</v>
      </c>
      <c r="L86" s="295">
        <f t="shared" si="9"/>
        <v>0</v>
      </c>
      <c r="M86" s="295">
        <f t="shared" si="9"/>
        <v>0</v>
      </c>
      <c r="N86" s="295">
        <f t="shared" si="10"/>
        <v>0</v>
      </c>
      <c r="O86" s="295">
        <f t="shared" si="10"/>
        <v>0</v>
      </c>
      <c r="P86" s="295">
        <f t="shared" si="10"/>
        <v>0</v>
      </c>
      <c r="Q86" s="295">
        <f t="shared" si="9"/>
        <v>0</v>
      </c>
      <c r="R86" s="295">
        <f t="shared" si="9"/>
        <v>0</v>
      </c>
      <c r="S86" s="295">
        <f t="shared" si="9"/>
        <v>0</v>
      </c>
      <c r="T86" s="295">
        <f t="shared" si="9"/>
        <v>0</v>
      </c>
      <c r="U86" s="295">
        <f t="shared" si="9"/>
        <v>0</v>
      </c>
      <c r="V86" s="295">
        <f t="shared" si="9"/>
        <v>0</v>
      </c>
      <c r="W86" s="295">
        <f t="shared" si="9"/>
        <v>0</v>
      </c>
      <c r="X86" s="295">
        <f t="shared" si="9"/>
        <v>0</v>
      </c>
      <c r="Y86" s="295">
        <f t="shared" si="9"/>
        <v>0</v>
      </c>
      <c r="Z86" s="295">
        <f t="shared" si="9"/>
        <v>0</v>
      </c>
      <c r="AA86" s="295">
        <f t="shared" si="9"/>
        <v>0</v>
      </c>
      <c r="AB86" s="295">
        <f t="shared" si="9"/>
        <v>0</v>
      </c>
      <c r="AC86" s="295">
        <f t="shared" si="9"/>
        <v>0</v>
      </c>
      <c r="AD86" s="295">
        <f t="shared" si="9"/>
        <v>0</v>
      </c>
      <c r="AE86" s="296">
        <f t="shared" si="9"/>
        <v>0</v>
      </c>
    </row>
    <row r="87" spans="1:31" ht="15" customHeight="1">
      <c r="A87" s="1711"/>
      <c r="B87" s="116">
        <v>5</v>
      </c>
      <c r="C87" s="294">
        <f t="shared" si="8"/>
        <v>67082</v>
      </c>
      <c r="D87" s="295">
        <f t="shared" si="9"/>
        <v>51682</v>
      </c>
      <c r="E87" s="295">
        <f t="shared" si="9"/>
        <v>15130</v>
      </c>
      <c r="F87" s="295">
        <f t="shared" si="9"/>
        <v>20771</v>
      </c>
      <c r="G87" s="295">
        <f t="shared" si="9"/>
        <v>17115</v>
      </c>
      <c r="H87" s="295">
        <f t="shared" si="9"/>
        <v>12238</v>
      </c>
      <c r="I87" s="295">
        <f t="shared" si="9"/>
        <v>0</v>
      </c>
      <c r="J87" s="295">
        <f t="shared" si="9"/>
        <v>0</v>
      </c>
      <c r="K87" s="295">
        <f t="shared" si="9"/>
        <v>0</v>
      </c>
      <c r="L87" s="295">
        <f t="shared" si="9"/>
        <v>0</v>
      </c>
      <c r="M87" s="295">
        <f t="shared" si="9"/>
        <v>0</v>
      </c>
      <c r="N87" s="295">
        <f t="shared" si="10"/>
        <v>0</v>
      </c>
      <c r="O87" s="295">
        <f t="shared" si="10"/>
        <v>0</v>
      </c>
      <c r="P87" s="295">
        <f t="shared" si="10"/>
        <v>0</v>
      </c>
      <c r="Q87" s="295">
        <f t="shared" si="9"/>
        <v>0</v>
      </c>
      <c r="R87" s="295">
        <f t="shared" si="9"/>
        <v>0</v>
      </c>
      <c r="S87" s="295">
        <f t="shared" si="9"/>
        <v>0</v>
      </c>
      <c r="T87" s="295">
        <f t="shared" si="9"/>
        <v>0</v>
      </c>
      <c r="U87" s="295">
        <f t="shared" si="9"/>
        <v>0</v>
      </c>
      <c r="V87" s="295">
        <f t="shared" si="9"/>
        <v>0</v>
      </c>
      <c r="W87" s="295">
        <f t="shared" si="9"/>
        <v>0</v>
      </c>
      <c r="X87" s="295">
        <f t="shared" si="9"/>
        <v>0</v>
      </c>
      <c r="Y87" s="295">
        <f t="shared" si="9"/>
        <v>0</v>
      </c>
      <c r="Z87" s="295">
        <f t="shared" si="9"/>
        <v>0</v>
      </c>
      <c r="AA87" s="295">
        <f t="shared" si="9"/>
        <v>0</v>
      </c>
      <c r="AB87" s="295">
        <f t="shared" si="9"/>
        <v>0</v>
      </c>
      <c r="AC87" s="295">
        <f t="shared" si="9"/>
        <v>0</v>
      </c>
      <c r="AD87" s="295">
        <f t="shared" si="9"/>
        <v>0</v>
      </c>
      <c r="AE87" s="296">
        <f t="shared" si="9"/>
        <v>0</v>
      </c>
    </row>
    <row r="88" spans="1:31" ht="15" customHeight="1">
      <c r="A88" s="1711"/>
      <c r="B88" s="116">
        <v>6</v>
      </c>
      <c r="C88" s="294">
        <f t="shared" si="8"/>
        <v>64790</v>
      </c>
      <c r="D88" s="295">
        <f t="shared" si="9"/>
        <v>67082</v>
      </c>
      <c r="E88" s="295">
        <f t="shared" si="9"/>
        <v>51682</v>
      </c>
      <c r="F88" s="295">
        <f t="shared" si="9"/>
        <v>15130</v>
      </c>
      <c r="G88" s="295">
        <f t="shared" si="9"/>
        <v>20771</v>
      </c>
      <c r="H88" s="295">
        <f t="shared" si="9"/>
        <v>17115</v>
      </c>
      <c r="I88" s="295">
        <f t="shared" si="9"/>
        <v>12238</v>
      </c>
      <c r="J88" s="295">
        <f t="shared" si="9"/>
        <v>0</v>
      </c>
      <c r="K88" s="295">
        <f t="shared" si="9"/>
        <v>0</v>
      </c>
      <c r="L88" s="295">
        <f t="shared" si="9"/>
        <v>0</v>
      </c>
      <c r="M88" s="295">
        <f t="shared" si="9"/>
        <v>0</v>
      </c>
      <c r="N88" s="295">
        <f t="shared" si="10"/>
        <v>0</v>
      </c>
      <c r="O88" s="295">
        <f t="shared" si="10"/>
        <v>0</v>
      </c>
      <c r="P88" s="295">
        <f t="shared" si="10"/>
        <v>0</v>
      </c>
      <c r="Q88" s="295">
        <f t="shared" si="9"/>
        <v>0</v>
      </c>
      <c r="R88" s="295">
        <f t="shared" si="9"/>
        <v>0</v>
      </c>
      <c r="S88" s="295">
        <f t="shared" si="9"/>
        <v>0</v>
      </c>
      <c r="T88" s="295">
        <f t="shared" si="9"/>
        <v>0</v>
      </c>
      <c r="U88" s="295">
        <f t="shared" si="9"/>
        <v>0</v>
      </c>
      <c r="V88" s="295">
        <f t="shared" si="9"/>
        <v>0</v>
      </c>
      <c r="W88" s="295">
        <f t="shared" si="9"/>
        <v>0</v>
      </c>
      <c r="X88" s="295">
        <f t="shared" si="9"/>
        <v>0</v>
      </c>
      <c r="Y88" s="295">
        <f t="shared" si="9"/>
        <v>0</v>
      </c>
      <c r="Z88" s="295">
        <f t="shared" si="9"/>
        <v>0</v>
      </c>
      <c r="AA88" s="295">
        <f t="shared" si="9"/>
        <v>0</v>
      </c>
      <c r="AB88" s="295">
        <f t="shared" si="9"/>
        <v>0</v>
      </c>
      <c r="AC88" s="295">
        <f t="shared" si="9"/>
        <v>0</v>
      </c>
      <c r="AD88" s="295">
        <f t="shared" si="9"/>
        <v>0</v>
      </c>
      <c r="AE88" s="296">
        <f t="shared" si="9"/>
        <v>0</v>
      </c>
    </row>
    <row r="89" spans="1:31" ht="15" customHeight="1">
      <c r="A89" s="1711"/>
      <c r="B89" s="116">
        <v>7</v>
      </c>
      <c r="C89" s="294">
        <f t="shared" si="8"/>
        <v>64302</v>
      </c>
      <c r="D89" s="295">
        <f t="shared" si="9"/>
        <v>64790</v>
      </c>
      <c r="E89" s="295">
        <f t="shared" si="9"/>
        <v>67082</v>
      </c>
      <c r="F89" s="295">
        <f t="shared" si="9"/>
        <v>51682</v>
      </c>
      <c r="G89" s="295">
        <f t="shared" si="9"/>
        <v>15130</v>
      </c>
      <c r="H89" s="295">
        <f t="shared" si="9"/>
        <v>20771</v>
      </c>
      <c r="I89" s="295">
        <f t="shared" si="9"/>
        <v>17115</v>
      </c>
      <c r="J89" s="295">
        <f t="shared" si="9"/>
        <v>12238</v>
      </c>
      <c r="K89" s="295">
        <f t="shared" si="9"/>
        <v>0</v>
      </c>
      <c r="L89" s="295">
        <f t="shared" si="9"/>
        <v>0</v>
      </c>
      <c r="M89" s="295">
        <f t="shared" si="9"/>
        <v>0</v>
      </c>
      <c r="N89" s="295">
        <f t="shared" si="10"/>
        <v>0</v>
      </c>
      <c r="O89" s="295">
        <f t="shared" si="10"/>
        <v>0</v>
      </c>
      <c r="P89" s="295">
        <f t="shared" si="10"/>
        <v>0</v>
      </c>
      <c r="Q89" s="295">
        <f t="shared" si="9"/>
        <v>0</v>
      </c>
      <c r="R89" s="295">
        <f t="shared" si="9"/>
        <v>0</v>
      </c>
      <c r="S89" s="295">
        <f t="shared" si="9"/>
        <v>0</v>
      </c>
      <c r="T89" s="295">
        <f t="shared" si="9"/>
        <v>0</v>
      </c>
      <c r="U89" s="295">
        <f t="shared" si="9"/>
        <v>0</v>
      </c>
      <c r="V89" s="295">
        <f t="shared" si="9"/>
        <v>0</v>
      </c>
      <c r="W89" s="295">
        <f t="shared" si="9"/>
        <v>0</v>
      </c>
      <c r="X89" s="295">
        <f t="shared" si="9"/>
        <v>0</v>
      </c>
      <c r="Y89" s="295">
        <f t="shared" si="9"/>
        <v>0</v>
      </c>
      <c r="Z89" s="295">
        <f t="shared" si="9"/>
        <v>0</v>
      </c>
      <c r="AA89" s="295">
        <f t="shared" si="9"/>
        <v>0</v>
      </c>
      <c r="AB89" s="295">
        <f t="shared" si="9"/>
        <v>0</v>
      </c>
      <c r="AC89" s="295">
        <f t="shared" si="9"/>
        <v>0</v>
      </c>
      <c r="AD89" s="295">
        <f t="shared" si="9"/>
        <v>0</v>
      </c>
      <c r="AE89" s="296">
        <f t="shared" si="9"/>
        <v>0</v>
      </c>
    </row>
    <row r="90" spans="1:31" ht="15" customHeight="1">
      <c r="A90" s="1711"/>
      <c r="B90" s="116">
        <v>8</v>
      </c>
      <c r="C90" s="294">
        <f t="shared" si="8"/>
        <v>59069</v>
      </c>
      <c r="D90" s="295">
        <f t="shared" si="9"/>
        <v>63358.76786652494</v>
      </c>
      <c r="E90" s="295">
        <f t="shared" si="9"/>
        <v>63839.609500049002</v>
      </c>
      <c r="F90" s="295">
        <f t="shared" si="9"/>
        <v>66097.988647666105</v>
      </c>
      <c r="G90" s="295">
        <f t="shared" si="9"/>
        <v>50923.887917603526</v>
      </c>
      <c r="H90" s="295">
        <f t="shared" si="9"/>
        <v>14908.061301678366</v>
      </c>
      <c r="I90" s="295">
        <f t="shared" si="9"/>
        <v>20466.314692475964</v>
      </c>
      <c r="J90" s="295">
        <f t="shared" si="9"/>
        <v>16863.943765910459</v>
      </c>
      <c r="K90" s="295">
        <f t="shared" si="9"/>
        <v>12058.483424318563</v>
      </c>
      <c r="L90" s="295">
        <f t="shared" si="9"/>
        <v>0</v>
      </c>
      <c r="M90" s="295">
        <f t="shared" si="9"/>
        <v>0</v>
      </c>
      <c r="N90" s="295">
        <f t="shared" si="10"/>
        <v>0</v>
      </c>
      <c r="O90" s="295">
        <f t="shared" si="10"/>
        <v>0</v>
      </c>
      <c r="P90" s="295">
        <f t="shared" si="10"/>
        <v>0</v>
      </c>
      <c r="Q90" s="295">
        <f t="shared" si="9"/>
        <v>0</v>
      </c>
      <c r="R90" s="295">
        <f t="shared" si="9"/>
        <v>0</v>
      </c>
      <c r="S90" s="295">
        <f t="shared" si="9"/>
        <v>0</v>
      </c>
      <c r="T90" s="295">
        <f t="shared" si="9"/>
        <v>0</v>
      </c>
      <c r="U90" s="295">
        <f t="shared" si="9"/>
        <v>0</v>
      </c>
      <c r="V90" s="295">
        <f t="shared" si="9"/>
        <v>0</v>
      </c>
      <c r="W90" s="295">
        <f t="shared" si="9"/>
        <v>0</v>
      </c>
      <c r="X90" s="295">
        <f t="shared" si="9"/>
        <v>0</v>
      </c>
      <c r="Y90" s="295">
        <f t="shared" si="9"/>
        <v>0</v>
      </c>
      <c r="Z90" s="295">
        <f t="shared" si="9"/>
        <v>0</v>
      </c>
      <c r="AA90" s="295">
        <f t="shared" si="9"/>
        <v>0</v>
      </c>
      <c r="AB90" s="295">
        <f t="shared" si="9"/>
        <v>0</v>
      </c>
      <c r="AC90" s="295">
        <f t="shared" si="9"/>
        <v>0</v>
      </c>
      <c r="AD90" s="295">
        <f t="shared" si="9"/>
        <v>0</v>
      </c>
      <c r="AE90" s="296">
        <f t="shared" si="9"/>
        <v>0</v>
      </c>
    </row>
    <row r="91" spans="1:31" ht="15" customHeight="1">
      <c r="A91" s="1711"/>
      <c r="B91" s="116">
        <v>9</v>
      </c>
      <c r="C91" s="294">
        <f t="shared" si="8"/>
        <v>57198</v>
      </c>
      <c r="D91" s="295">
        <f t="shared" si="9"/>
        <v>55203.6918274661</v>
      </c>
      <c r="E91" s="295">
        <f t="shared" si="9"/>
        <v>59212.749426460658</v>
      </c>
      <c r="F91" s="295">
        <f t="shared" si="9"/>
        <v>59662.126144449408</v>
      </c>
      <c r="G91" s="295">
        <f t="shared" si="9"/>
        <v>61772.723352708061</v>
      </c>
      <c r="H91" s="295">
        <f t="shared" si="9"/>
        <v>47591.572826013806</v>
      </c>
      <c r="I91" s="295">
        <f t="shared" si="9"/>
        <v>13932.519965511954</v>
      </c>
      <c r="J91" s="295">
        <f t="shared" si="9"/>
        <v>19127.056986361455</v>
      </c>
      <c r="K91" s="295">
        <f t="shared" si="9"/>
        <v>15760.415017167026</v>
      </c>
      <c r="L91" s="295">
        <f t="shared" si="9"/>
        <v>11269.41039907041</v>
      </c>
      <c r="M91" s="295">
        <f t="shared" si="9"/>
        <v>0</v>
      </c>
      <c r="N91" s="295">
        <f t="shared" si="10"/>
        <v>0</v>
      </c>
      <c r="O91" s="295">
        <f t="shared" si="10"/>
        <v>0</v>
      </c>
      <c r="P91" s="295">
        <f t="shared" si="10"/>
        <v>0</v>
      </c>
      <c r="Q91" s="295">
        <f t="shared" si="9"/>
        <v>0</v>
      </c>
      <c r="R91" s="295">
        <f t="shared" si="9"/>
        <v>0</v>
      </c>
      <c r="S91" s="295">
        <f t="shared" si="9"/>
        <v>0</v>
      </c>
      <c r="T91" s="295">
        <f t="shared" si="9"/>
        <v>0</v>
      </c>
      <c r="U91" s="295">
        <f t="shared" si="9"/>
        <v>0</v>
      </c>
      <c r="V91" s="295">
        <f t="shared" si="9"/>
        <v>0</v>
      </c>
      <c r="W91" s="295">
        <f t="shared" si="9"/>
        <v>0</v>
      </c>
      <c r="X91" s="295">
        <f t="shared" si="9"/>
        <v>0</v>
      </c>
      <c r="Y91" s="295">
        <f t="shared" si="9"/>
        <v>0</v>
      </c>
      <c r="Z91" s="295">
        <f t="shared" si="9"/>
        <v>0</v>
      </c>
      <c r="AA91" s="295">
        <f t="shared" si="9"/>
        <v>0</v>
      </c>
      <c r="AB91" s="295">
        <f t="shared" si="9"/>
        <v>0</v>
      </c>
      <c r="AC91" s="295">
        <f t="shared" si="9"/>
        <v>0</v>
      </c>
      <c r="AD91" s="295">
        <f t="shared" si="9"/>
        <v>0</v>
      </c>
      <c r="AE91" s="296">
        <f t="shared" si="9"/>
        <v>0</v>
      </c>
    </row>
    <row r="92" spans="1:31" ht="15" customHeight="1">
      <c r="A92" s="1711"/>
      <c r="B92" s="116">
        <v>10</v>
      </c>
      <c r="C92" s="294">
        <f t="shared" si="8"/>
        <v>55988</v>
      </c>
      <c r="D92" s="295">
        <f t="shared" si="9"/>
        <v>48667.540808403362</v>
      </c>
      <c r="E92" s="295">
        <f t="shared" si="9"/>
        <v>46970.66199496013</v>
      </c>
      <c r="F92" s="295">
        <f t="shared" si="9"/>
        <v>50381.812285220411</v>
      </c>
      <c r="G92" s="295">
        <f t="shared" ref="G92:AE92" si="11">F91*$D35</f>
        <v>50764.169356465274</v>
      </c>
      <c r="H92" s="295">
        <f t="shared" si="11"/>
        <v>52559.993961574371</v>
      </c>
      <c r="I92" s="295">
        <f t="shared" si="11"/>
        <v>40493.80769687974</v>
      </c>
      <c r="J92" s="295">
        <f t="shared" si="11"/>
        <v>11854.636245768168</v>
      </c>
      <c r="K92" s="295">
        <f t="shared" si="11"/>
        <v>16274.46460415404</v>
      </c>
      <c r="L92" s="295">
        <f t="shared" si="11"/>
        <v>13409.920644171989</v>
      </c>
      <c r="M92" s="295">
        <f t="shared" si="11"/>
        <v>9588.70048748915</v>
      </c>
      <c r="N92" s="295">
        <f t="shared" si="10"/>
        <v>0</v>
      </c>
      <c r="O92" s="295">
        <f t="shared" si="10"/>
        <v>0</v>
      </c>
      <c r="P92" s="295">
        <f t="shared" si="10"/>
        <v>0</v>
      </c>
      <c r="Q92" s="295">
        <f t="shared" si="11"/>
        <v>0</v>
      </c>
      <c r="R92" s="295">
        <f t="shared" si="11"/>
        <v>0</v>
      </c>
      <c r="S92" s="295">
        <f t="shared" si="11"/>
        <v>0</v>
      </c>
      <c r="T92" s="295">
        <f t="shared" si="11"/>
        <v>0</v>
      </c>
      <c r="U92" s="295">
        <f t="shared" si="11"/>
        <v>0</v>
      </c>
      <c r="V92" s="295">
        <f t="shared" si="11"/>
        <v>0</v>
      </c>
      <c r="W92" s="295">
        <f t="shared" si="11"/>
        <v>0</v>
      </c>
      <c r="X92" s="295">
        <f t="shared" si="11"/>
        <v>0</v>
      </c>
      <c r="Y92" s="295">
        <f t="shared" si="11"/>
        <v>0</v>
      </c>
      <c r="Z92" s="295">
        <f t="shared" si="11"/>
        <v>0</v>
      </c>
      <c r="AA92" s="295">
        <f t="shared" si="11"/>
        <v>0</v>
      </c>
      <c r="AB92" s="295">
        <f t="shared" si="11"/>
        <v>0</v>
      </c>
      <c r="AC92" s="295">
        <f t="shared" si="11"/>
        <v>0</v>
      </c>
      <c r="AD92" s="295">
        <f t="shared" si="11"/>
        <v>0</v>
      </c>
      <c r="AE92" s="296">
        <f t="shared" si="11"/>
        <v>0</v>
      </c>
    </row>
    <row r="93" spans="1:31" ht="15" customHeight="1">
      <c r="A93" s="1711"/>
      <c r="B93" s="116">
        <v>11</v>
      </c>
      <c r="C93" s="294">
        <f t="shared" si="8"/>
        <v>49255</v>
      </c>
      <c r="D93" s="295">
        <f t="shared" ref="D93:AE102" si="12">C92*$D36</f>
        <v>41762.889803036007</v>
      </c>
      <c r="E93" s="295">
        <f t="shared" si="12"/>
        <v>36302.370932451733</v>
      </c>
      <c r="F93" s="295">
        <f t="shared" si="12"/>
        <v>35036.625363848885</v>
      </c>
      <c r="G93" s="295">
        <f t="shared" si="12"/>
        <v>37581.090136188213</v>
      </c>
      <c r="H93" s="295">
        <f t="shared" si="12"/>
        <v>37866.300113894344</v>
      </c>
      <c r="I93" s="295">
        <f t="shared" si="12"/>
        <v>39205.85189443217</v>
      </c>
      <c r="J93" s="295">
        <f t="shared" si="12"/>
        <v>30205.373089771379</v>
      </c>
      <c r="K93" s="295">
        <f t="shared" si="12"/>
        <v>8842.6782022414172</v>
      </c>
      <c r="L93" s="295">
        <f t="shared" si="12"/>
        <v>12139.541899455155</v>
      </c>
      <c r="M93" s="295">
        <f t="shared" si="12"/>
        <v>10002.804853361657</v>
      </c>
      <c r="N93" s="295">
        <f t="shared" si="10"/>
        <v>7152.4584163271957</v>
      </c>
      <c r="O93" s="295">
        <f t="shared" si="10"/>
        <v>0</v>
      </c>
      <c r="P93" s="295">
        <f t="shared" si="10"/>
        <v>0</v>
      </c>
      <c r="Q93" s="295">
        <f t="shared" si="12"/>
        <v>0</v>
      </c>
      <c r="R93" s="295">
        <f t="shared" si="12"/>
        <v>0</v>
      </c>
      <c r="S93" s="295">
        <f t="shared" si="12"/>
        <v>0</v>
      </c>
      <c r="T93" s="295">
        <f t="shared" si="12"/>
        <v>0</v>
      </c>
      <c r="U93" s="295">
        <f t="shared" si="12"/>
        <v>0</v>
      </c>
      <c r="V93" s="295">
        <f t="shared" si="12"/>
        <v>0</v>
      </c>
      <c r="W93" s="295">
        <f t="shared" si="12"/>
        <v>0</v>
      </c>
      <c r="X93" s="295">
        <f t="shared" si="12"/>
        <v>0</v>
      </c>
      <c r="Y93" s="295">
        <f t="shared" si="12"/>
        <v>0</v>
      </c>
      <c r="Z93" s="295">
        <f t="shared" si="12"/>
        <v>0</v>
      </c>
      <c r="AA93" s="295">
        <f t="shared" si="12"/>
        <v>0</v>
      </c>
      <c r="AB93" s="295">
        <f t="shared" si="12"/>
        <v>0</v>
      </c>
      <c r="AC93" s="295">
        <f t="shared" si="12"/>
        <v>0</v>
      </c>
      <c r="AD93" s="295">
        <f t="shared" si="12"/>
        <v>0</v>
      </c>
      <c r="AE93" s="296">
        <f t="shared" si="12"/>
        <v>0</v>
      </c>
    </row>
    <row r="94" spans="1:31" ht="15" customHeight="1">
      <c r="A94" s="1711"/>
      <c r="B94" s="116">
        <v>12</v>
      </c>
      <c r="C94" s="294">
        <f t="shared" si="8"/>
        <v>60733</v>
      </c>
      <c r="D94" s="295">
        <f t="shared" si="12"/>
        <v>30395.323261516161</v>
      </c>
      <c r="E94" s="295">
        <f t="shared" si="12"/>
        <v>25771.93251240192</v>
      </c>
      <c r="F94" s="295">
        <f t="shared" si="12"/>
        <v>22402.239359483065</v>
      </c>
      <c r="G94" s="295">
        <f t="shared" si="12"/>
        <v>21621.146156264811</v>
      </c>
      <c r="H94" s="295">
        <f t="shared" si="12"/>
        <v>23191.3386094735</v>
      </c>
      <c r="I94" s="295">
        <f t="shared" si="12"/>
        <v>23367.34205013511</v>
      </c>
      <c r="J94" s="295">
        <f t="shared" si="12"/>
        <v>24193.981160783507</v>
      </c>
      <c r="K94" s="295">
        <f t="shared" si="12"/>
        <v>18639.77422187194</v>
      </c>
      <c r="L94" s="295">
        <f t="shared" si="12"/>
        <v>5456.8279860864986</v>
      </c>
      <c r="M94" s="295">
        <f t="shared" si="12"/>
        <v>7491.3267745540425</v>
      </c>
      <c r="N94" s="295">
        <f t="shared" si="10"/>
        <v>6172.7436207449055</v>
      </c>
      <c r="O94" s="295">
        <f t="shared" si="10"/>
        <v>4413.791202493494</v>
      </c>
      <c r="P94" s="295">
        <f t="shared" si="10"/>
        <v>0</v>
      </c>
      <c r="Q94" s="295">
        <f t="shared" si="12"/>
        <v>0</v>
      </c>
      <c r="R94" s="295">
        <f t="shared" si="12"/>
        <v>0</v>
      </c>
      <c r="S94" s="295">
        <f t="shared" si="12"/>
        <v>0</v>
      </c>
      <c r="T94" s="295">
        <f t="shared" si="12"/>
        <v>0</v>
      </c>
      <c r="U94" s="295">
        <f t="shared" si="12"/>
        <v>0</v>
      </c>
      <c r="V94" s="295">
        <f t="shared" si="12"/>
        <v>0</v>
      </c>
      <c r="W94" s="295">
        <f t="shared" si="12"/>
        <v>0</v>
      </c>
      <c r="X94" s="295">
        <f t="shared" si="12"/>
        <v>0</v>
      </c>
      <c r="Y94" s="295">
        <f t="shared" si="12"/>
        <v>0</v>
      </c>
      <c r="Z94" s="295">
        <f t="shared" si="12"/>
        <v>0</v>
      </c>
      <c r="AA94" s="295">
        <f t="shared" si="12"/>
        <v>0</v>
      </c>
      <c r="AB94" s="295">
        <f t="shared" si="12"/>
        <v>0</v>
      </c>
      <c r="AC94" s="295">
        <f t="shared" si="12"/>
        <v>0</v>
      </c>
      <c r="AD94" s="295">
        <f t="shared" si="12"/>
        <v>0</v>
      </c>
      <c r="AE94" s="296">
        <f t="shared" si="12"/>
        <v>0</v>
      </c>
    </row>
    <row r="95" spans="1:31" ht="15" customHeight="1">
      <c r="A95" s="1711"/>
      <c r="B95" s="116">
        <v>13</v>
      </c>
      <c r="C95" s="294">
        <f t="shared" si="8"/>
        <v>36180</v>
      </c>
      <c r="D95" s="295">
        <f t="shared" si="12"/>
        <v>29879.108177027141</v>
      </c>
      <c r="E95" s="295">
        <f t="shared" si="12"/>
        <v>14953.734408090342</v>
      </c>
      <c r="F95" s="295">
        <f t="shared" si="12"/>
        <v>12679.142467342299</v>
      </c>
      <c r="G95" s="295">
        <f t="shared" si="12"/>
        <v>11021.338205417973</v>
      </c>
      <c r="H95" s="295">
        <f t="shared" si="12"/>
        <v>10637.059998919052</v>
      </c>
      <c r="I95" s="295">
        <f t="shared" si="12"/>
        <v>11409.555185525578</v>
      </c>
      <c r="J95" s="295">
        <f t="shared" si="12"/>
        <v>11496.144450720072</v>
      </c>
      <c r="K95" s="295">
        <f t="shared" si="12"/>
        <v>11902.830097904058</v>
      </c>
      <c r="L95" s="295">
        <f t="shared" si="12"/>
        <v>9170.3000077498818</v>
      </c>
      <c r="M95" s="295">
        <f t="shared" si="12"/>
        <v>2684.6220950670581</v>
      </c>
      <c r="N95" s="295">
        <f t="shared" si="10"/>
        <v>3685.5443183501566</v>
      </c>
      <c r="O95" s="295">
        <f t="shared" si="10"/>
        <v>3036.834577466801</v>
      </c>
      <c r="P95" s="295">
        <f t="shared" si="10"/>
        <v>2171.4742365783645</v>
      </c>
      <c r="Q95" s="295">
        <f t="shared" si="12"/>
        <v>0</v>
      </c>
      <c r="R95" s="295">
        <f t="shared" si="12"/>
        <v>0</v>
      </c>
      <c r="S95" s="295">
        <f t="shared" si="12"/>
        <v>0</v>
      </c>
      <c r="T95" s="295">
        <f t="shared" si="12"/>
        <v>0</v>
      </c>
      <c r="U95" s="295">
        <f t="shared" si="12"/>
        <v>0</v>
      </c>
      <c r="V95" s="295">
        <f t="shared" si="12"/>
        <v>0</v>
      </c>
      <c r="W95" s="295">
        <f t="shared" si="12"/>
        <v>0</v>
      </c>
      <c r="X95" s="295">
        <f t="shared" si="12"/>
        <v>0</v>
      </c>
      <c r="Y95" s="295">
        <f t="shared" si="12"/>
        <v>0</v>
      </c>
      <c r="Z95" s="295">
        <f t="shared" si="12"/>
        <v>0</v>
      </c>
      <c r="AA95" s="295">
        <f t="shared" si="12"/>
        <v>0</v>
      </c>
      <c r="AB95" s="295">
        <f t="shared" si="12"/>
        <v>0</v>
      </c>
      <c r="AC95" s="295">
        <f t="shared" si="12"/>
        <v>0</v>
      </c>
      <c r="AD95" s="295">
        <f t="shared" si="12"/>
        <v>0</v>
      </c>
      <c r="AE95" s="296">
        <f t="shared" si="12"/>
        <v>0</v>
      </c>
    </row>
    <row r="96" spans="1:31" ht="15" customHeight="1">
      <c r="A96" s="1711"/>
      <c r="B96" s="116">
        <v>14</v>
      </c>
      <c r="C96" s="294">
        <f t="shared" si="8"/>
        <v>21667</v>
      </c>
      <c r="D96" s="295">
        <f t="shared" si="12"/>
        <v>13710.815386419918</v>
      </c>
      <c r="E96" s="295">
        <f t="shared" si="12"/>
        <v>11323.022004590628</v>
      </c>
      <c r="F96" s="295">
        <f t="shared" si="12"/>
        <v>5666.8847928933665</v>
      </c>
      <c r="G96" s="295">
        <f t="shared" si="12"/>
        <v>4804.9027536718349</v>
      </c>
      <c r="H96" s="295">
        <f t="shared" si="12"/>
        <v>4176.6592992200785</v>
      </c>
      <c r="I96" s="295">
        <f t="shared" si="12"/>
        <v>4031.0327777626085</v>
      </c>
      <c r="J96" s="295">
        <f t="shared" si="12"/>
        <v>4323.7784629605103</v>
      </c>
      <c r="K96" s="295">
        <f t="shared" si="12"/>
        <v>4356.5924328203073</v>
      </c>
      <c r="L96" s="295">
        <f t="shared" si="12"/>
        <v>4510.7105043749325</v>
      </c>
      <c r="M96" s="295">
        <f t="shared" si="12"/>
        <v>3475.1876850288495</v>
      </c>
      <c r="N96" s="295">
        <f t="shared" si="10"/>
        <v>1017.3675491367688</v>
      </c>
      <c r="O96" s="295">
        <f t="shared" si="10"/>
        <v>1396.6782130284089</v>
      </c>
      <c r="P96" s="295">
        <f t="shared" si="10"/>
        <v>1150.8424060459879</v>
      </c>
      <c r="Q96" s="295">
        <f t="shared" si="12"/>
        <v>822.90443267255625</v>
      </c>
      <c r="R96" s="295">
        <f t="shared" si="12"/>
        <v>0</v>
      </c>
      <c r="S96" s="295">
        <f t="shared" si="12"/>
        <v>0</v>
      </c>
      <c r="T96" s="295">
        <f t="shared" si="12"/>
        <v>0</v>
      </c>
      <c r="U96" s="295">
        <f t="shared" si="12"/>
        <v>0</v>
      </c>
      <c r="V96" s="295">
        <f t="shared" si="12"/>
        <v>0</v>
      </c>
      <c r="W96" s="295">
        <f t="shared" si="12"/>
        <v>0</v>
      </c>
      <c r="X96" s="295">
        <f t="shared" si="12"/>
        <v>0</v>
      </c>
      <c r="Y96" s="295">
        <f t="shared" si="12"/>
        <v>0</v>
      </c>
      <c r="Z96" s="295">
        <f t="shared" si="12"/>
        <v>0</v>
      </c>
      <c r="AA96" s="295">
        <f t="shared" si="12"/>
        <v>0</v>
      </c>
      <c r="AB96" s="295">
        <f t="shared" si="12"/>
        <v>0</v>
      </c>
      <c r="AC96" s="295">
        <f t="shared" si="12"/>
        <v>0</v>
      </c>
      <c r="AD96" s="295">
        <f t="shared" si="12"/>
        <v>0</v>
      </c>
      <c r="AE96" s="296">
        <f t="shared" si="12"/>
        <v>0</v>
      </c>
    </row>
    <row r="97" spans="1:31" ht="15" customHeight="1">
      <c r="A97" s="1711"/>
      <c r="B97" s="116">
        <v>15</v>
      </c>
      <c r="C97" s="294">
        <f t="shared" si="8"/>
        <v>15928</v>
      </c>
      <c r="D97" s="295">
        <f t="shared" si="12"/>
        <v>5961.1678540860603</v>
      </c>
      <c r="E97" s="295">
        <f t="shared" si="12"/>
        <v>3772.2099014554374</v>
      </c>
      <c r="F97" s="295">
        <f t="shared" si="12"/>
        <v>3115.2644475411807</v>
      </c>
      <c r="G97" s="295">
        <f t="shared" si="12"/>
        <v>1559.1106964602889</v>
      </c>
      <c r="H97" s="295">
        <f t="shared" si="12"/>
        <v>1321.9565162319718</v>
      </c>
      <c r="I97" s="295">
        <f t="shared" si="12"/>
        <v>1149.1100360908454</v>
      </c>
      <c r="J97" s="295">
        <f t="shared" si="12"/>
        <v>1109.044307636761</v>
      </c>
      <c r="K97" s="295">
        <f t="shared" si="12"/>
        <v>1189.5864301282979</v>
      </c>
      <c r="L97" s="295">
        <f t="shared" si="12"/>
        <v>1198.614425803434</v>
      </c>
      <c r="M97" s="295">
        <f t="shared" si="12"/>
        <v>1241.0164054907541</v>
      </c>
      <c r="N97" s="295">
        <f t="shared" si="10"/>
        <v>956.11654197211112</v>
      </c>
      <c r="O97" s="295">
        <f t="shared" si="10"/>
        <v>279.90486591149801</v>
      </c>
      <c r="P97" s="295">
        <f t="shared" si="10"/>
        <v>384.26331591855421</v>
      </c>
      <c r="Q97" s="295">
        <f t="shared" si="12"/>
        <v>316.62734831958278</v>
      </c>
      <c r="R97" s="295">
        <f t="shared" si="12"/>
        <v>226.40289154163332</v>
      </c>
      <c r="S97" s="295">
        <f t="shared" si="12"/>
        <v>0</v>
      </c>
      <c r="T97" s="295">
        <f t="shared" si="12"/>
        <v>0</v>
      </c>
      <c r="U97" s="295">
        <f t="shared" si="12"/>
        <v>0</v>
      </c>
      <c r="V97" s="295">
        <f t="shared" si="12"/>
        <v>0</v>
      </c>
      <c r="W97" s="295">
        <f t="shared" si="12"/>
        <v>0</v>
      </c>
      <c r="X97" s="295">
        <f t="shared" si="12"/>
        <v>0</v>
      </c>
      <c r="Y97" s="295">
        <f t="shared" si="12"/>
        <v>0</v>
      </c>
      <c r="Z97" s="295">
        <f t="shared" si="12"/>
        <v>0</v>
      </c>
      <c r="AA97" s="295">
        <f t="shared" si="12"/>
        <v>0</v>
      </c>
      <c r="AB97" s="295">
        <f t="shared" si="12"/>
        <v>0</v>
      </c>
      <c r="AC97" s="295">
        <f t="shared" si="12"/>
        <v>0</v>
      </c>
      <c r="AD97" s="295">
        <f t="shared" si="12"/>
        <v>0</v>
      </c>
      <c r="AE97" s="296">
        <f t="shared" si="12"/>
        <v>0</v>
      </c>
    </row>
    <row r="98" spans="1:31" ht="15" customHeight="1">
      <c r="A98" s="1711"/>
      <c r="B98" s="116">
        <v>16</v>
      </c>
      <c r="C98" s="294">
        <f>(EXP(15-B98)*$C$20/(EXP(-1)+EXP(-2)+EXP(-3)+EXP(-4)+EXP(-5)+EXP(-6)+EXP(-7)+EXP(-8)+EXP(-9)+EXP(-10)))</f>
        <v>12667.638988285793</v>
      </c>
      <c r="D98" s="295">
        <f t="shared" si="12"/>
        <v>3943.9947118611021</v>
      </c>
      <c r="E98" s="295">
        <f t="shared" si="12"/>
        <v>1476.0682127719624</v>
      </c>
      <c r="F98" s="295">
        <f t="shared" si="12"/>
        <v>934.05172673093512</v>
      </c>
      <c r="G98" s="295">
        <f t="shared" si="12"/>
        <v>771.38287965540655</v>
      </c>
      <c r="H98" s="295">
        <f t="shared" si="12"/>
        <v>386.05753026402937</v>
      </c>
      <c r="I98" s="295">
        <f t="shared" si="12"/>
        <v>327.33485116331127</v>
      </c>
      <c r="J98" s="295">
        <f t="shared" si="12"/>
        <v>284.53565455103058</v>
      </c>
      <c r="K98" s="295">
        <f t="shared" si="12"/>
        <v>274.61482198261194</v>
      </c>
      <c r="L98" s="295">
        <f t="shared" si="12"/>
        <v>294.55817363936046</v>
      </c>
      <c r="M98" s="295">
        <f t="shared" si="12"/>
        <v>296.79363114824054</v>
      </c>
      <c r="N98" s="295">
        <f t="shared" si="10"/>
        <v>307.29295207109539</v>
      </c>
      <c r="O98" s="295">
        <f t="shared" si="10"/>
        <v>236.74777658594488</v>
      </c>
      <c r="P98" s="295">
        <f t="shared" si="10"/>
        <v>69.308344486384925</v>
      </c>
      <c r="Q98" s="295">
        <f t="shared" si="12"/>
        <v>95.148950649484547</v>
      </c>
      <c r="R98" s="295">
        <f t="shared" si="12"/>
        <v>78.401342755087754</v>
      </c>
      <c r="S98" s="295">
        <f t="shared" si="12"/>
        <v>56.060510232939762</v>
      </c>
      <c r="T98" s="295">
        <f t="shared" si="12"/>
        <v>0</v>
      </c>
      <c r="U98" s="295">
        <f t="shared" si="12"/>
        <v>0</v>
      </c>
      <c r="V98" s="295">
        <f t="shared" si="12"/>
        <v>0</v>
      </c>
      <c r="W98" s="295">
        <f t="shared" si="12"/>
        <v>0</v>
      </c>
      <c r="X98" s="295">
        <f t="shared" si="12"/>
        <v>0</v>
      </c>
      <c r="Y98" s="295">
        <f t="shared" si="12"/>
        <v>0</v>
      </c>
      <c r="Z98" s="295">
        <f t="shared" si="12"/>
        <v>0</v>
      </c>
      <c r="AA98" s="295">
        <f t="shared" si="12"/>
        <v>0</v>
      </c>
      <c r="AB98" s="295">
        <f t="shared" si="12"/>
        <v>0</v>
      </c>
      <c r="AC98" s="295">
        <f t="shared" si="12"/>
        <v>0</v>
      </c>
      <c r="AD98" s="295">
        <f t="shared" si="12"/>
        <v>0</v>
      </c>
      <c r="AE98" s="296">
        <f t="shared" si="12"/>
        <v>0</v>
      </c>
    </row>
    <row r="99" spans="1:31" ht="15" customHeight="1">
      <c r="A99" s="1711"/>
      <c r="B99" s="116">
        <v>17</v>
      </c>
      <c r="C99" s="294">
        <f t="shared" ref="C99:C107" si="13">(EXP(15-B99)*$C$20/(EXP(-1)+EXP(-2)+EXP(-3)+EXP(-4)+EXP(-5)+EXP(-6)+EXP(-7)+EXP(-8)+EXP(-9)+EXP(-10)))</f>
        <v>4660.163951972153</v>
      </c>
      <c r="D99" s="295">
        <f t="shared" si="12"/>
        <v>2788.163467914766</v>
      </c>
      <c r="E99" s="295">
        <f t="shared" si="12"/>
        <v>868.07825700029798</v>
      </c>
      <c r="F99" s="295">
        <f t="shared" si="12"/>
        <v>324.88449274618495</v>
      </c>
      <c r="G99" s="295">
        <f t="shared" si="12"/>
        <v>205.58597415210332</v>
      </c>
      <c r="H99" s="295">
        <f t="shared" si="12"/>
        <v>169.78235382449427</v>
      </c>
      <c r="I99" s="295">
        <f t="shared" si="12"/>
        <v>84.971753883335523</v>
      </c>
      <c r="J99" s="295">
        <f t="shared" si="12"/>
        <v>72.046817456104733</v>
      </c>
      <c r="K99" s="295">
        <f t="shared" si="12"/>
        <v>62.626659796037835</v>
      </c>
      <c r="L99" s="295">
        <f t="shared" si="12"/>
        <v>60.443071917969725</v>
      </c>
      <c r="M99" s="295">
        <f t="shared" si="12"/>
        <v>64.832629006590878</v>
      </c>
      <c r="N99" s="295">
        <f t="shared" si="10"/>
        <v>65.324656050154317</v>
      </c>
      <c r="O99" s="295">
        <f t="shared" si="10"/>
        <v>67.63556995148096</v>
      </c>
      <c r="P99" s="295">
        <f t="shared" si="10"/>
        <v>52.108487019356005</v>
      </c>
      <c r="Q99" s="295">
        <f t="shared" si="12"/>
        <v>15.254854854743552</v>
      </c>
      <c r="R99" s="295">
        <f t="shared" si="12"/>
        <v>20.942405167738158</v>
      </c>
      <c r="S99" s="295">
        <f t="shared" si="12"/>
        <v>17.25623534956615</v>
      </c>
      <c r="T99" s="295">
        <f t="shared" si="12"/>
        <v>12.338989670347097</v>
      </c>
      <c r="U99" s="295">
        <f t="shared" si="12"/>
        <v>0</v>
      </c>
      <c r="V99" s="295">
        <f t="shared" si="12"/>
        <v>0</v>
      </c>
      <c r="W99" s="295">
        <f t="shared" si="12"/>
        <v>0</v>
      </c>
      <c r="X99" s="295">
        <f t="shared" si="12"/>
        <v>0</v>
      </c>
      <c r="Y99" s="295">
        <f t="shared" si="12"/>
        <v>0</v>
      </c>
      <c r="Z99" s="295">
        <f t="shared" si="12"/>
        <v>0</v>
      </c>
      <c r="AA99" s="295">
        <f t="shared" si="12"/>
        <v>0</v>
      </c>
      <c r="AB99" s="295">
        <f t="shared" si="12"/>
        <v>0</v>
      </c>
      <c r="AC99" s="295">
        <f t="shared" si="12"/>
        <v>0</v>
      </c>
      <c r="AD99" s="295">
        <f t="shared" si="12"/>
        <v>0</v>
      </c>
      <c r="AE99" s="296">
        <f t="shared" si="12"/>
        <v>0</v>
      </c>
    </row>
    <row r="100" spans="1:31" ht="15.75" customHeight="1">
      <c r="A100" s="1711"/>
      <c r="B100" s="116">
        <v>18</v>
      </c>
      <c r="C100" s="294">
        <f t="shared" si="13"/>
        <v>1714.3785104188155</v>
      </c>
      <c r="D100" s="295">
        <f t="shared" si="12"/>
        <v>897.49451616222564</v>
      </c>
      <c r="E100" s="295">
        <f t="shared" si="12"/>
        <v>536.96853767524033</v>
      </c>
      <c r="F100" s="295">
        <f t="shared" si="12"/>
        <v>167.18198829200463</v>
      </c>
      <c r="G100" s="295">
        <f t="shared" si="12"/>
        <v>62.56905414292379</v>
      </c>
      <c r="H100" s="295">
        <f t="shared" si="12"/>
        <v>39.593517803874114</v>
      </c>
      <c r="I100" s="295">
        <f t="shared" si="12"/>
        <v>32.69814819157007</v>
      </c>
      <c r="J100" s="295">
        <f t="shared" si="12"/>
        <v>16.364592302961025</v>
      </c>
      <c r="K100" s="295">
        <f t="shared" si="12"/>
        <v>13.875396711403363</v>
      </c>
      <c r="L100" s="295">
        <f t="shared" si="12"/>
        <v>12.061181604719033</v>
      </c>
      <c r="M100" s="295">
        <f t="shared" si="12"/>
        <v>11.640647441903779</v>
      </c>
      <c r="N100" s="295">
        <f t="shared" si="10"/>
        <v>12.486026157335301</v>
      </c>
      <c r="O100" s="295">
        <f t="shared" si="10"/>
        <v>12.580784963667602</v>
      </c>
      <c r="P100" s="295">
        <f t="shared" si="10"/>
        <v>13.025840668818491</v>
      </c>
      <c r="Q100" s="295">
        <f t="shared" si="12"/>
        <v>10.035501288659809</v>
      </c>
      <c r="R100" s="295">
        <f t="shared" si="12"/>
        <v>2.9379113520649915</v>
      </c>
      <c r="S100" s="295">
        <f t="shared" si="12"/>
        <v>4.0332687834594809</v>
      </c>
      <c r="T100" s="295">
        <f t="shared" si="12"/>
        <v>3.3233544474945358</v>
      </c>
      <c r="U100" s="295">
        <f t="shared" si="12"/>
        <v>2.3763489178170101</v>
      </c>
      <c r="V100" s="295">
        <f t="shared" si="12"/>
        <v>0</v>
      </c>
      <c r="W100" s="295">
        <f t="shared" si="12"/>
        <v>0</v>
      </c>
      <c r="X100" s="295">
        <f t="shared" si="12"/>
        <v>0</v>
      </c>
      <c r="Y100" s="295">
        <f t="shared" si="12"/>
        <v>0</v>
      </c>
      <c r="Z100" s="295">
        <f t="shared" si="12"/>
        <v>0</v>
      </c>
      <c r="AA100" s="295">
        <f t="shared" si="12"/>
        <v>0</v>
      </c>
      <c r="AB100" s="295">
        <f t="shared" si="12"/>
        <v>0</v>
      </c>
      <c r="AC100" s="295">
        <f t="shared" si="12"/>
        <v>0</v>
      </c>
      <c r="AD100" s="295">
        <f t="shared" si="12"/>
        <v>0</v>
      </c>
      <c r="AE100" s="296">
        <f t="shared" si="12"/>
        <v>0</v>
      </c>
    </row>
    <row r="101" spans="1:31" ht="16.5" customHeight="1">
      <c r="A101" s="1711"/>
      <c r="B101" s="116">
        <v>19</v>
      </c>
      <c r="C101" s="294">
        <f t="shared" si="13"/>
        <v>630.68460836920349</v>
      </c>
      <c r="D101" s="295">
        <f t="shared" si="12"/>
        <v>283.00266948016593</v>
      </c>
      <c r="E101" s="295">
        <f t="shared" si="12"/>
        <v>148.15476417496055</v>
      </c>
      <c r="F101" s="295">
        <f t="shared" si="12"/>
        <v>88.640594049344443</v>
      </c>
      <c r="G101" s="295">
        <f t="shared" si="12"/>
        <v>27.597726341122183</v>
      </c>
      <c r="H101" s="295">
        <f t="shared" si="12"/>
        <v>10.328646352998598</v>
      </c>
      <c r="I101" s="295">
        <f t="shared" si="12"/>
        <v>6.5359377549999147</v>
      </c>
      <c r="J101" s="295">
        <f t="shared" si="12"/>
        <v>5.3976780326135554</v>
      </c>
      <c r="K101" s="295">
        <f t="shared" si="12"/>
        <v>2.7014006991729951</v>
      </c>
      <c r="L101" s="295">
        <f t="shared" si="12"/>
        <v>2.2904943602356358</v>
      </c>
      <c r="M101" s="295">
        <f t="shared" si="12"/>
        <v>1.9910110693038794</v>
      </c>
      <c r="N101" s="295">
        <f t="shared" si="10"/>
        <v>1.9215909908550135</v>
      </c>
      <c r="O101" s="295">
        <f t="shared" si="10"/>
        <v>2.0611426894646678</v>
      </c>
      <c r="P101" s="295">
        <f t="shared" si="10"/>
        <v>2.0767850898948059</v>
      </c>
      <c r="Q101" s="295">
        <f t="shared" si="12"/>
        <v>2.1502530853576691</v>
      </c>
      <c r="R101" s="295">
        <f t="shared" si="12"/>
        <v>1.6566199570295319</v>
      </c>
      <c r="S101" s="295">
        <f t="shared" si="12"/>
        <v>0.48497852153277377</v>
      </c>
      <c r="T101" s="295">
        <f t="shared" si="12"/>
        <v>0.6657956953573857</v>
      </c>
      <c r="U101" s="295">
        <f t="shared" si="12"/>
        <v>0.54860590852831614</v>
      </c>
      <c r="V101" s="295">
        <f t="shared" si="12"/>
        <v>0.39227806652465863</v>
      </c>
      <c r="W101" s="295">
        <f t="shared" si="12"/>
        <v>0</v>
      </c>
      <c r="X101" s="295">
        <f t="shared" si="12"/>
        <v>0</v>
      </c>
      <c r="Y101" s="295">
        <f t="shared" si="12"/>
        <v>0</v>
      </c>
      <c r="Z101" s="295">
        <f t="shared" si="12"/>
        <v>0</v>
      </c>
      <c r="AA101" s="295">
        <f t="shared" si="12"/>
        <v>0</v>
      </c>
      <c r="AB101" s="295">
        <f t="shared" si="12"/>
        <v>0</v>
      </c>
      <c r="AC101" s="295">
        <f t="shared" si="12"/>
        <v>0</v>
      </c>
      <c r="AD101" s="295">
        <f t="shared" si="12"/>
        <v>0</v>
      </c>
      <c r="AE101" s="296">
        <f t="shared" si="12"/>
        <v>0</v>
      </c>
    </row>
    <row r="102" spans="1:31">
      <c r="A102" s="1711"/>
      <c r="B102" s="116">
        <v>20</v>
      </c>
      <c r="C102" s="294">
        <f t="shared" si="13"/>
        <v>232.01590128229253</v>
      </c>
      <c r="D102" s="295">
        <f t="shared" si="12"/>
        <v>86.759053248658191</v>
      </c>
      <c r="E102" s="295">
        <f t="shared" si="12"/>
        <v>38.930779893979512</v>
      </c>
      <c r="F102" s="295">
        <f t="shared" si="12"/>
        <v>20.380657627485952</v>
      </c>
      <c r="G102" s="295">
        <f t="shared" ref="G102:AE102" si="14">F101*$D45</f>
        <v>12.193692246597232</v>
      </c>
      <c r="H102" s="295">
        <f t="shared" si="14"/>
        <v>3.7964341881792989</v>
      </c>
      <c r="I102" s="295">
        <f t="shared" si="14"/>
        <v>1.4208426320145497</v>
      </c>
      <c r="J102" s="295">
        <f t="shared" si="14"/>
        <v>0.89910513779971668</v>
      </c>
      <c r="K102" s="295">
        <f t="shared" si="14"/>
        <v>0.74252237907237806</v>
      </c>
      <c r="L102" s="295">
        <f t="shared" si="14"/>
        <v>0.37161358307369902</v>
      </c>
      <c r="M102" s="295">
        <f t="shared" si="14"/>
        <v>0.31508795288231167</v>
      </c>
      <c r="N102" s="295">
        <f t="shared" si="10"/>
        <v>0.27389004438694337</v>
      </c>
      <c r="O102" s="295">
        <f t="shared" si="10"/>
        <v>0.26434038961061274</v>
      </c>
      <c r="P102" s="295">
        <f t="shared" si="10"/>
        <v>0.2835375811861649</v>
      </c>
      <c r="Q102" s="295">
        <f t="shared" si="14"/>
        <v>0.28568940134135212</v>
      </c>
      <c r="R102" s="295">
        <f t="shared" si="14"/>
        <v>0.29579590092268226</v>
      </c>
      <c r="S102" s="295">
        <f t="shared" si="14"/>
        <v>0.2278901009434135</v>
      </c>
      <c r="T102" s="295">
        <f t="shared" si="14"/>
        <v>6.6715243745865987E-2</v>
      </c>
      <c r="U102" s="295">
        <f t="shared" si="14"/>
        <v>9.1589050088921514E-2</v>
      </c>
      <c r="V102" s="295">
        <f t="shared" si="14"/>
        <v>7.5468036795141857E-2</v>
      </c>
      <c r="W102" s="295">
        <f t="shared" si="14"/>
        <v>5.3963063645863042E-2</v>
      </c>
      <c r="X102" s="295">
        <f t="shared" si="14"/>
        <v>0</v>
      </c>
      <c r="Y102" s="295">
        <f t="shared" si="14"/>
        <v>0</v>
      </c>
      <c r="Z102" s="295">
        <f t="shared" si="14"/>
        <v>0</v>
      </c>
      <c r="AA102" s="295">
        <f t="shared" si="14"/>
        <v>0</v>
      </c>
      <c r="AB102" s="295">
        <f t="shared" si="14"/>
        <v>0</v>
      </c>
      <c r="AC102" s="295">
        <f t="shared" si="14"/>
        <v>0</v>
      </c>
      <c r="AD102" s="295">
        <f t="shared" si="14"/>
        <v>0</v>
      </c>
      <c r="AE102" s="296">
        <f t="shared" si="14"/>
        <v>0</v>
      </c>
    </row>
    <row r="103" spans="1:31" ht="15.75" customHeight="1">
      <c r="A103" s="1711"/>
      <c r="B103" s="116">
        <v>21</v>
      </c>
      <c r="C103" s="294">
        <f t="shared" si="13"/>
        <v>85.35388010661832</v>
      </c>
      <c r="D103" s="295">
        <f t="shared" ref="D103:AE107" si="15">C102*$D46</f>
        <v>25.533497620543827</v>
      </c>
      <c r="E103" s="295">
        <f t="shared" si="15"/>
        <v>9.5478890345104031</v>
      </c>
      <c r="F103" s="295">
        <f t="shared" si="15"/>
        <v>4.2843571078320153</v>
      </c>
      <c r="G103" s="295">
        <f t="shared" si="15"/>
        <v>2.2429043447473704</v>
      </c>
      <c r="H103" s="295">
        <f t="shared" si="15"/>
        <v>1.3419235933545741</v>
      </c>
      <c r="I103" s="295">
        <f t="shared" si="15"/>
        <v>0.41779999894268255</v>
      </c>
      <c r="J103" s="295">
        <f t="shared" si="15"/>
        <v>0.15636463605815604</v>
      </c>
      <c r="K103" s="295">
        <f t="shared" si="15"/>
        <v>9.8947092719717383E-2</v>
      </c>
      <c r="L103" s="295">
        <f t="shared" si="15"/>
        <v>8.1715060452591803E-2</v>
      </c>
      <c r="M103" s="295">
        <f t="shared" si="15"/>
        <v>4.0896311359406939E-2</v>
      </c>
      <c r="N103" s="295">
        <f t="shared" si="10"/>
        <v>3.4675629776744737E-2</v>
      </c>
      <c r="O103" s="295">
        <f t="shared" si="10"/>
        <v>3.0141773723240908E-2</v>
      </c>
      <c r="P103" s="295">
        <f t="shared" si="10"/>
        <v>2.9090828136490891E-2</v>
      </c>
      <c r="Q103" s="295">
        <f t="shared" si="15"/>
        <v>3.1203491288914635E-2</v>
      </c>
      <c r="R103" s="295">
        <f t="shared" si="15"/>
        <v>3.1440300466685007E-2</v>
      </c>
      <c r="S103" s="295">
        <f t="shared" si="15"/>
        <v>3.2552527178672075E-2</v>
      </c>
      <c r="T103" s="295">
        <f t="shared" si="15"/>
        <v>2.5079450667066131E-2</v>
      </c>
      <c r="U103" s="295">
        <f t="shared" si="15"/>
        <v>7.3420550402985667E-3</v>
      </c>
      <c r="V103" s="295">
        <f t="shared" si="15"/>
        <v>1.0079433261205653E-2</v>
      </c>
      <c r="W103" s="295">
        <f t="shared" si="15"/>
        <v>8.3053054867620602E-3</v>
      </c>
      <c r="X103" s="295">
        <f t="shared" si="15"/>
        <v>5.9386695031839951E-3</v>
      </c>
      <c r="Y103" s="295">
        <f t="shared" si="15"/>
        <v>0</v>
      </c>
      <c r="Z103" s="295">
        <f t="shared" si="15"/>
        <v>0</v>
      </c>
      <c r="AA103" s="295">
        <f t="shared" si="15"/>
        <v>0</v>
      </c>
      <c r="AB103" s="295">
        <f t="shared" si="15"/>
        <v>0</v>
      </c>
      <c r="AC103" s="295">
        <f t="shared" si="15"/>
        <v>0</v>
      </c>
      <c r="AD103" s="295">
        <f t="shared" si="15"/>
        <v>0</v>
      </c>
      <c r="AE103" s="296">
        <f t="shared" si="15"/>
        <v>0</v>
      </c>
    </row>
    <row r="104" spans="1:31" ht="15" customHeight="1">
      <c r="A104" s="1711"/>
      <c r="B104" s="116">
        <v>22</v>
      </c>
      <c r="C104" s="294">
        <f t="shared" si="13"/>
        <v>31.39993771543703</v>
      </c>
      <c r="D104" s="295">
        <f t="shared" si="15"/>
        <v>7.0449366268485125</v>
      </c>
      <c r="E104" s="295">
        <f t="shared" si="15"/>
        <v>2.1074832494295777</v>
      </c>
      <c r="F104" s="295">
        <f t="shared" si="15"/>
        <v>0.78806344930406935</v>
      </c>
      <c r="G104" s="295">
        <f t="shared" si="15"/>
        <v>0.35362217011999836</v>
      </c>
      <c r="H104" s="295">
        <f t="shared" si="15"/>
        <v>0.18512478810677055</v>
      </c>
      <c r="I104" s="295">
        <f t="shared" si="15"/>
        <v>0.11075965921463442</v>
      </c>
      <c r="J104" s="295">
        <f t="shared" si="15"/>
        <v>3.4484366868523249E-2</v>
      </c>
      <c r="K104" s="295">
        <f t="shared" si="15"/>
        <v>1.2906020796405774E-2</v>
      </c>
      <c r="L104" s="295">
        <f t="shared" si="15"/>
        <v>8.1668929022391534E-3</v>
      </c>
      <c r="M104" s="295">
        <f t="shared" si="15"/>
        <v>6.7445958124985874E-3</v>
      </c>
      <c r="N104" s="295">
        <f t="shared" si="10"/>
        <v>3.37549882253738E-3</v>
      </c>
      <c r="O104" s="295">
        <f t="shared" si="10"/>
        <v>2.862056346683716E-3</v>
      </c>
      <c r="P104" s="295">
        <f t="shared" si="10"/>
        <v>2.487841038225685E-3</v>
      </c>
      <c r="Q104" s="295">
        <f t="shared" si="15"/>
        <v>2.4010981151427317E-3</v>
      </c>
      <c r="R104" s="295">
        <f t="shared" si="15"/>
        <v>2.5754730586615465E-3</v>
      </c>
      <c r="S104" s="295">
        <f t="shared" si="15"/>
        <v>2.5950188092233777E-3</v>
      </c>
      <c r="T104" s="295">
        <f t="shared" si="15"/>
        <v>2.68681975243591E-3</v>
      </c>
      <c r="U104" s="295">
        <f t="shared" si="15"/>
        <v>2.070007132246992E-3</v>
      </c>
      <c r="V104" s="295">
        <f t="shared" si="15"/>
        <v>6.0599837295183983E-4</v>
      </c>
      <c r="W104" s="295">
        <f t="shared" si="15"/>
        <v>8.319360346716897E-4</v>
      </c>
      <c r="X104" s="295">
        <f t="shared" si="15"/>
        <v>6.8550311652813866E-4</v>
      </c>
      <c r="Y104" s="295">
        <f t="shared" si="15"/>
        <v>4.9016576921246627E-4</v>
      </c>
      <c r="Z104" s="295">
        <f t="shared" si="15"/>
        <v>0</v>
      </c>
      <c r="AA104" s="295">
        <f t="shared" si="15"/>
        <v>0</v>
      </c>
      <c r="AB104" s="295">
        <f t="shared" si="15"/>
        <v>0</v>
      </c>
      <c r="AC104" s="295">
        <f t="shared" si="15"/>
        <v>0</v>
      </c>
      <c r="AD104" s="295">
        <f t="shared" si="15"/>
        <v>0</v>
      </c>
      <c r="AE104" s="296">
        <f t="shared" si="15"/>
        <v>0</v>
      </c>
    </row>
    <row r="105" spans="1:31" ht="15" customHeight="1">
      <c r="A105" s="1711"/>
      <c r="B105" s="116">
        <v>23</v>
      </c>
      <c r="C105" s="294">
        <f t="shared" si="13"/>
        <v>11.551391539573071</v>
      </c>
      <c r="D105" s="295">
        <f t="shared" si="15"/>
        <v>1.7277915662488379</v>
      </c>
      <c r="E105" s="295">
        <f t="shared" si="15"/>
        <v>0.38764988003916434</v>
      </c>
      <c r="F105" s="295">
        <f t="shared" si="15"/>
        <v>0.11596493653504816</v>
      </c>
      <c r="G105" s="295">
        <f t="shared" si="15"/>
        <v>4.3363442109859249E-2</v>
      </c>
      <c r="H105" s="295">
        <f t="shared" si="15"/>
        <v>1.9458172455914413E-2</v>
      </c>
      <c r="I105" s="295">
        <f t="shared" si="15"/>
        <v>1.0186550384054782E-2</v>
      </c>
      <c r="J105" s="295">
        <f t="shared" si="15"/>
        <v>6.094585499052071E-3</v>
      </c>
      <c r="K105" s="295">
        <f t="shared" si="15"/>
        <v>1.8975132620589036E-3</v>
      </c>
      <c r="L105" s="295">
        <f t="shared" si="15"/>
        <v>7.1015790183874398E-4</v>
      </c>
      <c r="M105" s="295">
        <f t="shared" si="15"/>
        <v>4.4938588117036682E-4</v>
      </c>
      <c r="N105" s="295">
        <f t="shared" si="10"/>
        <v>3.7112353114201378E-4</v>
      </c>
      <c r="O105" s="295">
        <f t="shared" si="10"/>
        <v>1.8573789700849396E-4</v>
      </c>
      <c r="P105" s="295">
        <f t="shared" si="10"/>
        <v>1.5748556136460027E-4</v>
      </c>
      <c r="Q105" s="295">
        <f t="shared" si="15"/>
        <v>1.3689424491758944E-4</v>
      </c>
      <c r="R105" s="295">
        <f t="shared" si="15"/>
        <v>1.3212118796783581E-4</v>
      </c>
      <c r="S105" s="295">
        <f t="shared" si="15"/>
        <v>1.417162247321542E-4</v>
      </c>
      <c r="T105" s="295">
        <f t="shared" si="15"/>
        <v>1.427917358775197E-4</v>
      </c>
      <c r="U105" s="295">
        <f t="shared" si="15"/>
        <v>1.4784311199468708E-4</v>
      </c>
      <c r="V105" s="295">
        <f t="shared" si="15"/>
        <v>1.1390280125979278E-4</v>
      </c>
      <c r="W105" s="295">
        <f t="shared" si="15"/>
        <v>3.3345253338892934E-5</v>
      </c>
      <c r="X105" s="295">
        <f t="shared" si="15"/>
        <v>4.5777545082759093E-5</v>
      </c>
      <c r="Y105" s="295">
        <f t="shared" si="15"/>
        <v>3.7720027157643916E-5</v>
      </c>
      <c r="Z105" s="295">
        <f t="shared" si="15"/>
        <v>2.6971527452833552E-5</v>
      </c>
      <c r="AA105" s="295">
        <f t="shared" si="15"/>
        <v>0</v>
      </c>
      <c r="AB105" s="295">
        <f t="shared" si="15"/>
        <v>0</v>
      </c>
      <c r="AC105" s="295">
        <f t="shared" si="15"/>
        <v>0</v>
      </c>
      <c r="AD105" s="295">
        <f t="shared" si="15"/>
        <v>0</v>
      </c>
      <c r="AE105" s="296">
        <f t="shared" si="15"/>
        <v>0</v>
      </c>
    </row>
    <row r="106" spans="1:31" ht="15" customHeight="1">
      <c r="A106" s="1711"/>
      <c r="B106" s="116">
        <v>24</v>
      </c>
      <c r="C106" s="294">
        <f t="shared" si="13"/>
        <v>4.2495194643306684</v>
      </c>
      <c r="D106" s="295">
        <f t="shared" si="15"/>
        <v>0.31780949792617708</v>
      </c>
      <c r="E106" s="295">
        <f t="shared" si="15"/>
        <v>4.7536140412994851E-2</v>
      </c>
      <c r="F106" s="295">
        <f t="shared" si="15"/>
        <v>1.0665279011998836E-2</v>
      </c>
      <c r="G106" s="295">
        <f t="shared" si="15"/>
        <v>3.190503770129046E-3</v>
      </c>
      <c r="H106" s="295">
        <f t="shared" si="15"/>
        <v>1.1930436015498923E-3</v>
      </c>
      <c r="I106" s="295">
        <f t="shared" si="15"/>
        <v>5.3534606610725988E-4</v>
      </c>
      <c r="J106" s="295">
        <f t="shared" si="15"/>
        <v>2.8025908844535687E-4</v>
      </c>
      <c r="K106" s="295">
        <f t="shared" si="15"/>
        <v>1.6767825338500169E-4</v>
      </c>
      <c r="L106" s="295">
        <f t="shared" si="15"/>
        <v>5.2205635577087433E-5</v>
      </c>
      <c r="M106" s="295">
        <f t="shared" si="15"/>
        <v>1.9538332283040254E-5</v>
      </c>
      <c r="N106" s="295">
        <f t="shared" si="10"/>
        <v>1.2363800567281734E-5</v>
      </c>
      <c r="O106" s="295">
        <f t="shared" si="10"/>
        <v>1.0210595208098412E-5</v>
      </c>
      <c r="P106" s="295">
        <f t="shared" si="10"/>
        <v>5.1101434482511813E-6</v>
      </c>
      <c r="Q106" s="295">
        <f t="shared" si="15"/>
        <v>4.3328465680036657E-6</v>
      </c>
      <c r="R106" s="295">
        <f t="shared" si="15"/>
        <v>3.7663246975221284E-6</v>
      </c>
      <c r="S106" s="295">
        <f t="shared" si="15"/>
        <v>3.6350052086469106E-6</v>
      </c>
      <c r="T106" s="295">
        <f t="shared" si="15"/>
        <v>3.8989901845006458E-6</v>
      </c>
      <c r="U106" s="295">
        <f t="shared" si="15"/>
        <v>3.9285803560355333E-6</v>
      </c>
      <c r="V106" s="295">
        <f t="shared" si="15"/>
        <v>4.0675571452936508E-6</v>
      </c>
      <c r="W106" s="295">
        <f t="shared" si="15"/>
        <v>3.1337689452172939E-6</v>
      </c>
      <c r="X106" s="295">
        <f t="shared" si="15"/>
        <v>9.1741658877631769E-7</v>
      </c>
      <c r="Y106" s="295">
        <f t="shared" si="15"/>
        <v>1.2594619937523394E-6</v>
      </c>
      <c r="Z106" s="295">
        <f t="shared" si="15"/>
        <v>1.0377782496303156E-6</v>
      </c>
      <c r="AA106" s="295">
        <f t="shared" si="15"/>
        <v>7.4205844107366643E-7</v>
      </c>
      <c r="AB106" s="295">
        <f t="shared" si="15"/>
        <v>0</v>
      </c>
      <c r="AC106" s="295">
        <f t="shared" si="15"/>
        <v>0</v>
      </c>
      <c r="AD106" s="295">
        <f t="shared" si="15"/>
        <v>0</v>
      </c>
      <c r="AE106" s="296">
        <f t="shared" si="15"/>
        <v>0</v>
      </c>
    </row>
    <row r="107" spans="1:31" ht="15.75" customHeight="1" thickBot="1">
      <c r="A107" s="1711"/>
      <c r="B107" s="116">
        <v>25</v>
      </c>
      <c r="C107" s="297">
        <f t="shared" si="13"/>
        <v>1.563310845785133</v>
      </c>
      <c r="D107" s="298">
        <f t="shared" si="15"/>
        <v>0</v>
      </c>
      <c r="E107" s="298">
        <f t="shared" si="15"/>
        <v>0</v>
      </c>
      <c r="F107" s="298">
        <f t="shared" si="15"/>
        <v>0</v>
      </c>
      <c r="G107" s="298">
        <f t="shared" si="15"/>
        <v>0</v>
      </c>
      <c r="H107" s="298">
        <f t="shared" si="15"/>
        <v>0</v>
      </c>
      <c r="I107" s="298">
        <f t="shared" si="15"/>
        <v>0</v>
      </c>
      <c r="J107" s="298">
        <f t="shared" si="15"/>
        <v>0</v>
      </c>
      <c r="K107" s="298">
        <f t="shared" si="15"/>
        <v>0</v>
      </c>
      <c r="L107" s="298">
        <f t="shared" si="15"/>
        <v>0</v>
      </c>
      <c r="M107" s="298">
        <f t="shared" si="15"/>
        <v>0</v>
      </c>
      <c r="N107" s="298">
        <f t="shared" si="10"/>
        <v>0</v>
      </c>
      <c r="O107" s="298">
        <f t="shared" si="10"/>
        <v>0</v>
      </c>
      <c r="P107" s="298">
        <f t="shared" si="10"/>
        <v>0</v>
      </c>
      <c r="Q107" s="298">
        <f t="shared" si="15"/>
        <v>0</v>
      </c>
      <c r="R107" s="298">
        <f t="shared" si="15"/>
        <v>0</v>
      </c>
      <c r="S107" s="298">
        <f t="shared" si="15"/>
        <v>0</v>
      </c>
      <c r="T107" s="298">
        <f t="shared" si="15"/>
        <v>0</v>
      </c>
      <c r="U107" s="298">
        <f t="shared" si="15"/>
        <v>0</v>
      </c>
      <c r="V107" s="298">
        <f t="shared" si="15"/>
        <v>0</v>
      </c>
      <c r="W107" s="298">
        <f t="shared" si="15"/>
        <v>0</v>
      </c>
      <c r="X107" s="298">
        <f t="shared" si="15"/>
        <v>0</v>
      </c>
      <c r="Y107" s="298">
        <f t="shared" si="15"/>
        <v>0</v>
      </c>
      <c r="Z107" s="298">
        <f t="shared" si="15"/>
        <v>0</v>
      </c>
      <c r="AA107" s="298">
        <f t="shared" si="15"/>
        <v>0</v>
      </c>
      <c r="AB107" s="298">
        <f t="shared" si="15"/>
        <v>0</v>
      </c>
      <c r="AC107" s="298">
        <f t="shared" si="15"/>
        <v>0</v>
      </c>
      <c r="AD107" s="298">
        <f t="shared" si="15"/>
        <v>0</v>
      </c>
      <c r="AE107" s="299">
        <f t="shared" si="15"/>
        <v>0</v>
      </c>
    </row>
    <row r="108" spans="1:31" ht="16.5" customHeight="1" thickTop="1" thickBot="1">
      <c r="A108" s="1712"/>
      <c r="B108" s="300" t="s">
        <v>39</v>
      </c>
      <c r="C108" s="301">
        <f>SUM(C82:C107)</f>
        <v>689167</v>
      </c>
      <c r="D108" s="301">
        <f>SUM(D82:D107)</f>
        <v>545781.34343845805</v>
      </c>
      <c r="E108" s="301">
        <f t="shared" ref="E108:AB108" si="16">SUM(E82:E107)</f>
        <v>449244.58179028064</v>
      </c>
      <c r="F108" s="301">
        <f t="shared" si="16"/>
        <v>373518.42201866349</v>
      </c>
      <c r="G108" s="301">
        <f t="shared" si="16"/>
        <v>306384.34098177881</v>
      </c>
      <c r="H108" s="301">
        <f t="shared" si="16"/>
        <v>242988.04880903658</v>
      </c>
      <c r="I108" s="301">
        <f t="shared" si="16"/>
        <v>183862.03511399377</v>
      </c>
      <c r="J108" s="301">
        <f t="shared" si="16"/>
        <v>131791.39954124033</v>
      </c>
      <c r="K108" s="301">
        <f t="shared" si="16"/>
        <v>89379.49915047898</v>
      </c>
      <c r="L108" s="301">
        <f t="shared" si="16"/>
        <v>57525.141046134551</v>
      </c>
      <c r="M108" s="301">
        <f t="shared" si="16"/>
        <v>34859.279417441809</v>
      </c>
      <c r="N108" s="301">
        <f t="shared" si="16"/>
        <v>19371.567996460893</v>
      </c>
      <c r="O108" s="301">
        <f t="shared" si="16"/>
        <v>9446.5316732589326</v>
      </c>
      <c r="P108" s="301">
        <f t="shared" si="16"/>
        <v>3843.4146946534261</v>
      </c>
      <c r="Q108" s="301">
        <f t="shared" si="16"/>
        <v>1262.4407760882214</v>
      </c>
      <c r="R108" s="301">
        <f t="shared" si="16"/>
        <v>330.67111833551439</v>
      </c>
      <c r="S108" s="301">
        <f t="shared" si="16"/>
        <v>78.098175885659401</v>
      </c>
      <c r="T108" s="301">
        <f t="shared" si="16"/>
        <v>16.422768018090448</v>
      </c>
      <c r="U108" s="301">
        <f t="shared" si="16"/>
        <v>3.0261077102991436</v>
      </c>
      <c r="V108" s="301">
        <f t="shared" si="16"/>
        <v>0.47854950531236301</v>
      </c>
      <c r="W108" s="301">
        <f t="shared" si="16"/>
        <v>6.3136784189580908E-2</v>
      </c>
      <c r="X108" s="301">
        <f t="shared" si="16"/>
        <v>6.6708675813836682E-3</v>
      </c>
      <c r="Y108" s="301">
        <f t="shared" si="16"/>
        <v>5.291452583638626E-4</v>
      </c>
      <c r="Z108" s="301">
        <f t="shared" si="16"/>
        <v>2.8009305702463868E-5</v>
      </c>
      <c r="AA108" s="301">
        <f t="shared" si="16"/>
        <v>7.4205844107366643E-7</v>
      </c>
      <c r="AB108" s="301">
        <f t="shared" si="16"/>
        <v>0</v>
      </c>
      <c r="AC108" s="301">
        <f>SUM(AC82:AC107)</f>
        <v>0</v>
      </c>
      <c r="AD108" s="301">
        <f t="shared" ref="AD108:AE108" si="17">SUM(AD82:AD107)</f>
        <v>0</v>
      </c>
      <c r="AE108" s="302">
        <f t="shared" si="17"/>
        <v>0</v>
      </c>
    </row>
    <row r="109" spans="1:31" ht="15.75" thickBot="1"/>
    <row r="110" spans="1:31" ht="15.75" customHeight="1" thickBot="1">
      <c r="A110" s="1710" t="s">
        <v>43</v>
      </c>
      <c r="B110" s="169" t="s">
        <v>10</v>
      </c>
      <c r="C110" s="288">
        <v>2012</v>
      </c>
      <c r="D110" s="289">
        <v>2013</v>
      </c>
      <c r="E110" s="289">
        <v>2014</v>
      </c>
      <c r="F110" s="289">
        <v>2015</v>
      </c>
      <c r="G110" s="288">
        <v>2016</v>
      </c>
      <c r="H110" s="289">
        <v>2017</v>
      </c>
      <c r="I110" s="289">
        <v>2018</v>
      </c>
      <c r="J110" s="289">
        <v>2019</v>
      </c>
      <c r="K110" s="288">
        <v>2020</v>
      </c>
      <c r="L110" s="289">
        <v>2021</v>
      </c>
      <c r="M110" s="289">
        <v>2022</v>
      </c>
      <c r="N110" s="289">
        <v>2023</v>
      </c>
      <c r="O110" s="288">
        <v>2024</v>
      </c>
      <c r="P110" s="289">
        <v>2025</v>
      </c>
      <c r="Q110" s="289">
        <v>2026</v>
      </c>
      <c r="R110" s="289">
        <v>2027</v>
      </c>
      <c r="S110" s="288">
        <v>2028</v>
      </c>
      <c r="T110" s="289">
        <v>2029</v>
      </c>
      <c r="U110" s="289">
        <v>2030</v>
      </c>
      <c r="V110" s="289">
        <v>2031</v>
      </c>
      <c r="W110" s="288">
        <v>2032</v>
      </c>
      <c r="X110" s="289">
        <v>2033</v>
      </c>
      <c r="Y110" s="289">
        <v>2034</v>
      </c>
      <c r="Z110" s="289">
        <v>2035</v>
      </c>
      <c r="AA110" s="288">
        <v>2036</v>
      </c>
      <c r="AB110" s="289">
        <v>2037</v>
      </c>
      <c r="AC110" s="289">
        <v>2038</v>
      </c>
      <c r="AD110" s="289">
        <v>2039</v>
      </c>
      <c r="AE110" s="290">
        <v>2040</v>
      </c>
    </row>
    <row r="111" spans="1:31">
      <c r="A111" s="1711"/>
      <c r="B111" s="116">
        <v>0</v>
      </c>
      <c r="C111" s="291">
        <f t="shared" ref="C111:C126" si="18">D4</f>
        <v>1402</v>
      </c>
      <c r="D111" s="292"/>
      <c r="E111" s="292"/>
      <c r="F111" s="292"/>
      <c r="G111" s="292"/>
      <c r="H111" s="292"/>
      <c r="I111" s="292"/>
      <c r="J111" s="292"/>
      <c r="K111" s="292"/>
      <c r="L111" s="292"/>
      <c r="M111" s="292"/>
      <c r="N111" s="292"/>
      <c r="O111" s="292"/>
      <c r="P111" s="292"/>
      <c r="Q111" s="292"/>
      <c r="R111" s="292"/>
      <c r="S111" s="292"/>
      <c r="T111" s="292"/>
      <c r="U111" s="292"/>
      <c r="V111" s="292"/>
      <c r="W111" s="292"/>
      <c r="X111" s="292"/>
      <c r="Y111" s="292"/>
      <c r="Z111" s="292"/>
      <c r="AA111" s="292"/>
      <c r="AB111" s="292"/>
      <c r="AC111" s="292"/>
      <c r="AD111" s="292"/>
      <c r="AE111" s="293"/>
    </row>
    <row r="112" spans="1:31" ht="15" customHeight="1">
      <c r="A112" s="1711"/>
      <c r="B112" s="116">
        <v>1</v>
      </c>
      <c r="C112" s="294">
        <f t="shared" si="18"/>
        <v>2051</v>
      </c>
      <c r="D112" s="295">
        <f t="shared" ref="D112:AE121" si="19">C111*$E26</f>
        <v>1402</v>
      </c>
      <c r="E112" s="295">
        <f t="shared" si="19"/>
        <v>0</v>
      </c>
      <c r="F112" s="295">
        <f t="shared" si="19"/>
        <v>0</v>
      </c>
      <c r="G112" s="295">
        <f t="shared" si="19"/>
        <v>0</v>
      </c>
      <c r="H112" s="295">
        <f t="shared" si="19"/>
        <v>0</v>
      </c>
      <c r="I112" s="295">
        <f t="shared" si="19"/>
        <v>0</v>
      </c>
      <c r="J112" s="295">
        <f t="shared" si="19"/>
        <v>0</v>
      </c>
      <c r="K112" s="295">
        <f t="shared" si="19"/>
        <v>0</v>
      </c>
      <c r="L112" s="295">
        <f t="shared" si="19"/>
        <v>0</v>
      </c>
      <c r="M112" s="295">
        <f t="shared" si="19"/>
        <v>0</v>
      </c>
      <c r="N112" s="295">
        <f t="shared" ref="N112:P136" si="20">M111*$E26</f>
        <v>0</v>
      </c>
      <c r="O112" s="295">
        <f t="shared" si="20"/>
        <v>0</v>
      </c>
      <c r="P112" s="295">
        <f t="shared" si="20"/>
        <v>0</v>
      </c>
      <c r="Q112" s="295">
        <f t="shared" si="19"/>
        <v>0</v>
      </c>
      <c r="R112" s="295">
        <f t="shared" si="19"/>
        <v>0</v>
      </c>
      <c r="S112" s="295">
        <f t="shared" si="19"/>
        <v>0</v>
      </c>
      <c r="T112" s="295">
        <f t="shared" si="19"/>
        <v>0</v>
      </c>
      <c r="U112" s="295">
        <f t="shared" si="19"/>
        <v>0</v>
      </c>
      <c r="V112" s="295">
        <f t="shared" si="19"/>
        <v>0</v>
      </c>
      <c r="W112" s="295">
        <f t="shared" si="19"/>
        <v>0</v>
      </c>
      <c r="X112" s="295">
        <f t="shared" si="19"/>
        <v>0</v>
      </c>
      <c r="Y112" s="295">
        <f t="shared" si="19"/>
        <v>0</v>
      </c>
      <c r="Z112" s="295">
        <f t="shared" si="19"/>
        <v>0</v>
      </c>
      <c r="AA112" s="295">
        <f t="shared" si="19"/>
        <v>0</v>
      </c>
      <c r="AB112" s="295">
        <f t="shared" si="19"/>
        <v>0</v>
      </c>
      <c r="AC112" s="295">
        <f t="shared" si="19"/>
        <v>0</v>
      </c>
      <c r="AD112" s="295">
        <f t="shared" si="19"/>
        <v>0</v>
      </c>
      <c r="AE112" s="296">
        <f t="shared" si="19"/>
        <v>0</v>
      </c>
    </row>
    <row r="113" spans="1:31" ht="15" customHeight="1">
      <c r="A113" s="1711"/>
      <c r="B113" s="116">
        <v>2</v>
      </c>
      <c r="C113" s="294">
        <f t="shared" si="18"/>
        <v>2415</v>
      </c>
      <c r="D113" s="295">
        <f t="shared" si="19"/>
        <v>2051</v>
      </c>
      <c r="E113" s="295">
        <f t="shared" si="19"/>
        <v>1402</v>
      </c>
      <c r="F113" s="295">
        <f t="shared" si="19"/>
        <v>0</v>
      </c>
      <c r="G113" s="295">
        <f t="shared" si="19"/>
        <v>0</v>
      </c>
      <c r="H113" s="295">
        <f t="shared" si="19"/>
        <v>0</v>
      </c>
      <c r="I113" s="295">
        <f t="shared" si="19"/>
        <v>0</v>
      </c>
      <c r="J113" s="295">
        <f t="shared" si="19"/>
        <v>0</v>
      </c>
      <c r="K113" s="295">
        <f t="shared" si="19"/>
        <v>0</v>
      </c>
      <c r="L113" s="295">
        <f t="shared" si="19"/>
        <v>0</v>
      </c>
      <c r="M113" s="295">
        <f t="shared" si="19"/>
        <v>0</v>
      </c>
      <c r="N113" s="295">
        <f t="shared" si="20"/>
        <v>0</v>
      </c>
      <c r="O113" s="295">
        <f t="shared" si="20"/>
        <v>0</v>
      </c>
      <c r="P113" s="295">
        <f t="shared" si="20"/>
        <v>0</v>
      </c>
      <c r="Q113" s="295">
        <f t="shared" si="19"/>
        <v>0</v>
      </c>
      <c r="R113" s="295">
        <f t="shared" si="19"/>
        <v>0</v>
      </c>
      <c r="S113" s="295">
        <f t="shared" si="19"/>
        <v>0</v>
      </c>
      <c r="T113" s="295">
        <f t="shared" si="19"/>
        <v>0</v>
      </c>
      <c r="U113" s="295">
        <f t="shared" si="19"/>
        <v>0</v>
      </c>
      <c r="V113" s="295">
        <f t="shared" si="19"/>
        <v>0</v>
      </c>
      <c r="W113" s="295">
        <f t="shared" si="19"/>
        <v>0</v>
      </c>
      <c r="X113" s="295">
        <f t="shared" si="19"/>
        <v>0</v>
      </c>
      <c r="Y113" s="295">
        <f t="shared" si="19"/>
        <v>0</v>
      </c>
      <c r="Z113" s="295">
        <f t="shared" si="19"/>
        <v>0</v>
      </c>
      <c r="AA113" s="295">
        <f t="shared" si="19"/>
        <v>0</v>
      </c>
      <c r="AB113" s="295">
        <f t="shared" si="19"/>
        <v>0</v>
      </c>
      <c r="AC113" s="295">
        <f t="shared" si="19"/>
        <v>0</v>
      </c>
      <c r="AD113" s="295">
        <f t="shared" si="19"/>
        <v>0</v>
      </c>
      <c r="AE113" s="296">
        <f t="shared" si="19"/>
        <v>0</v>
      </c>
    </row>
    <row r="114" spans="1:31" ht="15" customHeight="1">
      <c r="A114" s="1711"/>
      <c r="B114" s="116">
        <v>3</v>
      </c>
      <c r="C114" s="294">
        <f t="shared" si="18"/>
        <v>4890</v>
      </c>
      <c r="D114" s="295">
        <f t="shared" si="19"/>
        <v>2415</v>
      </c>
      <c r="E114" s="295">
        <f t="shared" si="19"/>
        <v>2051</v>
      </c>
      <c r="F114" s="295">
        <f t="shared" si="19"/>
        <v>1402</v>
      </c>
      <c r="G114" s="295">
        <f t="shared" si="19"/>
        <v>0</v>
      </c>
      <c r="H114" s="295">
        <f t="shared" si="19"/>
        <v>0</v>
      </c>
      <c r="I114" s="295">
        <f t="shared" si="19"/>
        <v>0</v>
      </c>
      <c r="J114" s="295">
        <f t="shared" si="19"/>
        <v>0</v>
      </c>
      <c r="K114" s="295">
        <f t="shared" si="19"/>
        <v>0</v>
      </c>
      <c r="L114" s="295">
        <f t="shared" si="19"/>
        <v>0</v>
      </c>
      <c r="M114" s="295">
        <f t="shared" si="19"/>
        <v>0</v>
      </c>
      <c r="N114" s="295">
        <f t="shared" si="20"/>
        <v>0</v>
      </c>
      <c r="O114" s="295">
        <f t="shared" si="20"/>
        <v>0</v>
      </c>
      <c r="P114" s="295">
        <f t="shared" si="20"/>
        <v>0</v>
      </c>
      <c r="Q114" s="295">
        <f t="shared" si="19"/>
        <v>0</v>
      </c>
      <c r="R114" s="295">
        <f t="shared" si="19"/>
        <v>0</v>
      </c>
      <c r="S114" s="295">
        <f t="shared" si="19"/>
        <v>0</v>
      </c>
      <c r="T114" s="295">
        <f t="shared" si="19"/>
        <v>0</v>
      </c>
      <c r="U114" s="295">
        <f t="shared" si="19"/>
        <v>0</v>
      </c>
      <c r="V114" s="295">
        <f t="shared" si="19"/>
        <v>0</v>
      </c>
      <c r="W114" s="295">
        <f t="shared" si="19"/>
        <v>0</v>
      </c>
      <c r="X114" s="295">
        <f t="shared" si="19"/>
        <v>0</v>
      </c>
      <c r="Y114" s="295">
        <f t="shared" si="19"/>
        <v>0</v>
      </c>
      <c r="Z114" s="295">
        <f t="shared" si="19"/>
        <v>0</v>
      </c>
      <c r="AA114" s="295">
        <f t="shared" si="19"/>
        <v>0</v>
      </c>
      <c r="AB114" s="295">
        <f t="shared" si="19"/>
        <v>0</v>
      </c>
      <c r="AC114" s="295">
        <f t="shared" si="19"/>
        <v>0</v>
      </c>
      <c r="AD114" s="295">
        <f t="shared" si="19"/>
        <v>0</v>
      </c>
      <c r="AE114" s="296">
        <f t="shared" si="19"/>
        <v>0</v>
      </c>
    </row>
    <row r="115" spans="1:31" ht="15" customHeight="1">
      <c r="A115" s="1711"/>
      <c r="B115" s="116">
        <v>4</v>
      </c>
      <c r="C115" s="294">
        <f t="shared" si="18"/>
        <v>27217</v>
      </c>
      <c r="D115" s="295">
        <f t="shared" si="19"/>
        <v>4890</v>
      </c>
      <c r="E115" s="295">
        <f t="shared" si="19"/>
        <v>2415</v>
      </c>
      <c r="F115" s="295">
        <f t="shared" si="19"/>
        <v>2051</v>
      </c>
      <c r="G115" s="295">
        <f t="shared" si="19"/>
        <v>1402</v>
      </c>
      <c r="H115" s="295">
        <f t="shared" si="19"/>
        <v>0</v>
      </c>
      <c r="I115" s="295">
        <f t="shared" si="19"/>
        <v>0</v>
      </c>
      <c r="J115" s="295">
        <f t="shared" si="19"/>
        <v>0</v>
      </c>
      <c r="K115" s="295">
        <f t="shared" si="19"/>
        <v>0</v>
      </c>
      <c r="L115" s="295">
        <f t="shared" si="19"/>
        <v>0</v>
      </c>
      <c r="M115" s="295">
        <f t="shared" si="19"/>
        <v>0</v>
      </c>
      <c r="N115" s="295">
        <f t="shared" si="20"/>
        <v>0</v>
      </c>
      <c r="O115" s="295">
        <f t="shared" si="20"/>
        <v>0</v>
      </c>
      <c r="P115" s="295">
        <f t="shared" si="20"/>
        <v>0</v>
      </c>
      <c r="Q115" s="295">
        <f t="shared" si="19"/>
        <v>0</v>
      </c>
      <c r="R115" s="295">
        <f t="shared" si="19"/>
        <v>0</v>
      </c>
      <c r="S115" s="295">
        <f t="shared" si="19"/>
        <v>0</v>
      </c>
      <c r="T115" s="295">
        <f t="shared" si="19"/>
        <v>0</v>
      </c>
      <c r="U115" s="295">
        <f t="shared" si="19"/>
        <v>0</v>
      </c>
      <c r="V115" s="295">
        <f t="shared" si="19"/>
        <v>0</v>
      </c>
      <c r="W115" s="295">
        <f t="shared" si="19"/>
        <v>0</v>
      </c>
      <c r="X115" s="295">
        <f t="shared" si="19"/>
        <v>0</v>
      </c>
      <c r="Y115" s="295">
        <f t="shared" si="19"/>
        <v>0</v>
      </c>
      <c r="Z115" s="295">
        <f t="shared" si="19"/>
        <v>0</v>
      </c>
      <c r="AA115" s="295">
        <f t="shared" si="19"/>
        <v>0</v>
      </c>
      <c r="AB115" s="295">
        <f t="shared" si="19"/>
        <v>0</v>
      </c>
      <c r="AC115" s="295">
        <f t="shared" si="19"/>
        <v>0</v>
      </c>
      <c r="AD115" s="295">
        <f t="shared" si="19"/>
        <v>0</v>
      </c>
      <c r="AE115" s="296">
        <f t="shared" si="19"/>
        <v>0</v>
      </c>
    </row>
    <row r="116" spans="1:31" ht="15" customHeight="1">
      <c r="A116" s="1711"/>
      <c r="B116" s="116">
        <v>5</v>
      </c>
      <c r="C116" s="294">
        <f t="shared" si="18"/>
        <v>38958</v>
      </c>
      <c r="D116" s="295">
        <f t="shared" si="19"/>
        <v>27217</v>
      </c>
      <c r="E116" s="295">
        <f t="shared" si="19"/>
        <v>4890</v>
      </c>
      <c r="F116" s="295">
        <f t="shared" si="19"/>
        <v>2415</v>
      </c>
      <c r="G116" s="295">
        <f t="shared" si="19"/>
        <v>2051</v>
      </c>
      <c r="H116" s="295">
        <f t="shared" si="19"/>
        <v>1402</v>
      </c>
      <c r="I116" s="295">
        <f t="shared" si="19"/>
        <v>0</v>
      </c>
      <c r="J116" s="295">
        <f t="shared" si="19"/>
        <v>0</v>
      </c>
      <c r="K116" s="295">
        <f t="shared" si="19"/>
        <v>0</v>
      </c>
      <c r="L116" s="295">
        <f t="shared" si="19"/>
        <v>0</v>
      </c>
      <c r="M116" s="295">
        <f t="shared" si="19"/>
        <v>0</v>
      </c>
      <c r="N116" s="295">
        <f t="shared" si="20"/>
        <v>0</v>
      </c>
      <c r="O116" s="295">
        <f t="shared" si="20"/>
        <v>0</v>
      </c>
      <c r="P116" s="295">
        <f t="shared" si="20"/>
        <v>0</v>
      </c>
      <c r="Q116" s="295">
        <f t="shared" si="19"/>
        <v>0</v>
      </c>
      <c r="R116" s="295">
        <f t="shared" si="19"/>
        <v>0</v>
      </c>
      <c r="S116" s="295">
        <f t="shared" si="19"/>
        <v>0</v>
      </c>
      <c r="T116" s="295">
        <f t="shared" si="19"/>
        <v>0</v>
      </c>
      <c r="U116" s="295">
        <f t="shared" si="19"/>
        <v>0</v>
      </c>
      <c r="V116" s="295">
        <f t="shared" si="19"/>
        <v>0</v>
      </c>
      <c r="W116" s="295">
        <f t="shared" si="19"/>
        <v>0</v>
      </c>
      <c r="X116" s="295">
        <f t="shared" si="19"/>
        <v>0</v>
      </c>
      <c r="Y116" s="295">
        <f t="shared" si="19"/>
        <v>0</v>
      </c>
      <c r="Z116" s="295">
        <f t="shared" si="19"/>
        <v>0</v>
      </c>
      <c r="AA116" s="295">
        <f t="shared" si="19"/>
        <v>0</v>
      </c>
      <c r="AB116" s="295">
        <f t="shared" si="19"/>
        <v>0</v>
      </c>
      <c r="AC116" s="295">
        <f t="shared" si="19"/>
        <v>0</v>
      </c>
      <c r="AD116" s="295">
        <f t="shared" si="19"/>
        <v>0</v>
      </c>
      <c r="AE116" s="296">
        <f t="shared" si="19"/>
        <v>0</v>
      </c>
    </row>
    <row r="117" spans="1:31" ht="15" customHeight="1">
      <c r="A117" s="1711"/>
      <c r="B117" s="116">
        <v>6</v>
      </c>
      <c r="C117" s="294">
        <f t="shared" si="18"/>
        <v>37930</v>
      </c>
      <c r="D117" s="295">
        <f t="shared" si="19"/>
        <v>38958</v>
      </c>
      <c r="E117" s="295">
        <f t="shared" si="19"/>
        <v>27217</v>
      </c>
      <c r="F117" s="295">
        <f t="shared" si="19"/>
        <v>4890</v>
      </c>
      <c r="G117" s="295">
        <f t="shared" si="19"/>
        <v>2415</v>
      </c>
      <c r="H117" s="295">
        <f t="shared" si="19"/>
        <v>2051</v>
      </c>
      <c r="I117" s="295">
        <f t="shared" si="19"/>
        <v>1402</v>
      </c>
      <c r="J117" s="295">
        <f t="shared" si="19"/>
        <v>0</v>
      </c>
      <c r="K117" s="295">
        <f t="shared" si="19"/>
        <v>0</v>
      </c>
      <c r="L117" s="295">
        <f t="shared" si="19"/>
        <v>0</v>
      </c>
      <c r="M117" s="295">
        <f t="shared" si="19"/>
        <v>0</v>
      </c>
      <c r="N117" s="295">
        <f t="shared" si="20"/>
        <v>0</v>
      </c>
      <c r="O117" s="295">
        <f t="shared" si="20"/>
        <v>0</v>
      </c>
      <c r="P117" s="295">
        <f t="shared" si="20"/>
        <v>0</v>
      </c>
      <c r="Q117" s="295">
        <f t="shared" si="19"/>
        <v>0</v>
      </c>
      <c r="R117" s="295">
        <f t="shared" si="19"/>
        <v>0</v>
      </c>
      <c r="S117" s="295">
        <f t="shared" si="19"/>
        <v>0</v>
      </c>
      <c r="T117" s="295">
        <f t="shared" si="19"/>
        <v>0</v>
      </c>
      <c r="U117" s="295">
        <f t="shared" si="19"/>
        <v>0</v>
      </c>
      <c r="V117" s="295">
        <f t="shared" si="19"/>
        <v>0</v>
      </c>
      <c r="W117" s="295">
        <f t="shared" si="19"/>
        <v>0</v>
      </c>
      <c r="X117" s="295">
        <f t="shared" si="19"/>
        <v>0</v>
      </c>
      <c r="Y117" s="295">
        <f t="shared" si="19"/>
        <v>0</v>
      </c>
      <c r="Z117" s="295">
        <f t="shared" si="19"/>
        <v>0</v>
      </c>
      <c r="AA117" s="295">
        <f t="shared" si="19"/>
        <v>0</v>
      </c>
      <c r="AB117" s="295">
        <f t="shared" si="19"/>
        <v>0</v>
      </c>
      <c r="AC117" s="295">
        <f t="shared" si="19"/>
        <v>0</v>
      </c>
      <c r="AD117" s="295">
        <f t="shared" si="19"/>
        <v>0</v>
      </c>
      <c r="AE117" s="296">
        <f t="shared" si="19"/>
        <v>0</v>
      </c>
    </row>
    <row r="118" spans="1:31" ht="15" customHeight="1">
      <c r="A118" s="1711"/>
      <c r="B118" s="116">
        <v>7</v>
      </c>
      <c r="C118" s="294">
        <f t="shared" si="18"/>
        <v>39561</v>
      </c>
      <c r="D118" s="295">
        <f t="shared" si="19"/>
        <v>37930</v>
      </c>
      <c r="E118" s="295">
        <f t="shared" si="19"/>
        <v>38958</v>
      </c>
      <c r="F118" s="295">
        <f t="shared" si="19"/>
        <v>27217</v>
      </c>
      <c r="G118" s="295">
        <f t="shared" si="19"/>
        <v>4890</v>
      </c>
      <c r="H118" s="295">
        <f t="shared" si="19"/>
        <v>2415</v>
      </c>
      <c r="I118" s="295">
        <f t="shared" si="19"/>
        <v>2051</v>
      </c>
      <c r="J118" s="295">
        <f t="shared" si="19"/>
        <v>1402</v>
      </c>
      <c r="K118" s="295">
        <f t="shared" si="19"/>
        <v>0</v>
      </c>
      <c r="L118" s="295">
        <f t="shared" si="19"/>
        <v>0</v>
      </c>
      <c r="M118" s="295">
        <f t="shared" si="19"/>
        <v>0</v>
      </c>
      <c r="N118" s="295">
        <f t="shared" si="20"/>
        <v>0</v>
      </c>
      <c r="O118" s="295">
        <f t="shared" si="20"/>
        <v>0</v>
      </c>
      <c r="P118" s="295">
        <f t="shared" si="20"/>
        <v>0</v>
      </c>
      <c r="Q118" s="295">
        <f t="shared" si="19"/>
        <v>0</v>
      </c>
      <c r="R118" s="295">
        <f t="shared" si="19"/>
        <v>0</v>
      </c>
      <c r="S118" s="295">
        <f t="shared" si="19"/>
        <v>0</v>
      </c>
      <c r="T118" s="295">
        <f t="shared" si="19"/>
        <v>0</v>
      </c>
      <c r="U118" s="295">
        <f t="shared" si="19"/>
        <v>0</v>
      </c>
      <c r="V118" s="295">
        <f t="shared" si="19"/>
        <v>0</v>
      </c>
      <c r="W118" s="295">
        <f t="shared" si="19"/>
        <v>0</v>
      </c>
      <c r="X118" s="295">
        <f t="shared" si="19"/>
        <v>0</v>
      </c>
      <c r="Y118" s="295">
        <f t="shared" si="19"/>
        <v>0</v>
      </c>
      <c r="Z118" s="295">
        <f t="shared" si="19"/>
        <v>0</v>
      </c>
      <c r="AA118" s="295">
        <f t="shared" si="19"/>
        <v>0</v>
      </c>
      <c r="AB118" s="295">
        <f t="shared" si="19"/>
        <v>0</v>
      </c>
      <c r="AC118" s="295">
        <f t="shared" si="19"/>
        <v>0</v>
      </c>
      <c r="AD118" s="295">
        <f t="shared" si="19"/>
        <v>0</v>
      </c>
      <c r="AE118" s="296">
        <f t="shared" si="19"/>
        <v>0</v>
      </c>
    </row>
    <row r="119" spans="1:31" ht="15" customHeight="1">
      <c r="A119" s="1711"/>
      <c r="B119" s="116">
        <v>8</v>
      </c>
      <c r="C119" s="294">
        <f t="shared" si="18"/>
        <v>35574</v>
      </c>
      <c r="D119" s="295">
        <f t="shared" si="19"/>
        <v>39363.200206532558</v>
      </c>
      <c r="E119" s="295">
        <f t="shared" si="19"/>
        <v>37740.354991880391</v>
      </c>
      <c r="F119" s="295">
        <f t="shared" si="19"/>
        <v>38763.215127173113</v>
      </c>
      <c r="G119" s="295">
        <f t="shared" si="19"/>
        <v>27080.918581967006</v>
      </c>
      <c r="H119" s="295">
        <f t="shared" si="19"/>
        <v>4865.5506435616953</v>
      </c>
      <c r="I119" s="295">
        <f t="shared" si="19"/>
        <v>2402.9253178326162</v>
      </c>
      <c r="J119" s="295">
        <f t="shared" si="19"/>
        <v>2040.7452699274104</v>
      </c>
      <c r="K119" s="295">
        <f t="shared" si="19"/>
        <v>1394.9901845140075</v>
      </c>
      <c r="L119" s="295">
        <f t="shared" si="19"/>
        <v>0</v>
      </c>
      <c r="M119" s="295">
        <f t="shared" si="19"/>
        <v>0</v>
      </c>
      <c r="N119" s="295">
        <f t="shared" si="20"/>
        <v>0</v>
      </c>
      <c r="O119" s="295">
        <f t="shared" si="20"/>
        <v>0</v>
      </c>
      <c r="P119" s="295">
        <f t="shared" si="20"/>
        <v>0</v>
      </c>
      <c r="Q119" s="295">
        <f t="shared" si="19"/>
        <v>0</v>
      </c>
      <c r="R119" s="295">
        <f t="shared" si="19"/>
        <v>0</v>
      </c>
      <c r="S119" s="295">
        <f t="shared" si="19"/>
        <v>0</v>
      </c>
      <c r="T119" s="295">
        <f t="shared" si="19"/>
        <v>0</v>
      </c>
      <c r="U119" s="295">
        <f t="shared" si="19"/>
        <v>0</v>
      </c>
      <c r="V119" s="295">
        <f t="shared" si="19"/>
        <v>0</v>
      </c>
      <c r="W119" s="295">
        <f t="shared" si="19"/>
        <v>0</v>
      </c>
      <c r="X119" s="295">
        <f t="shared" si="19"/>
        <v>0</v>
      </c>
      <c r="Y119" s="295">
        <f t="shared" si="19"/>
        <v>0</v>
      </c>
      <c r="Z119" s="295">
        <f t="shared" si="19"/>
        <v>0</v>
      </c>
      <c r="AA119" s="295">
        <f t="shared" si="19"/>
        <v>0</v>
      </c>
      <c r="AB119" s="295">
        <f t="shared" si="19"/>
        <v>0</v>
      </c>
      <c r="AC119" s="295">
        <f t="shared" si="19"/>
        <v>0</v>
      </c>
      <c r="AD119" s="295">
        <f t="shared" si="19"/>
        <v>0</v>
      </c>
      <c r="AE119" s="296">
        <f t="shared" si="19"/>
        <v>0</v>
      </c>
    </row>
    <row r="120" spans="1:31" ht="15" customHeight="1">
      <c r="A120" s="1711"/>
      <c r="B120" s="116">
        <v>9</v>
      </c>
      <c r="C120" s="294">
        <f t="shared" si="18"/>
        <v>29202</v>
      </c>
      <c r="D120" s="295">
        <f t="shared" si="19"/>
        <v>33623.466520932816</v>
      </c>
      <c r="E120" s="295">
        <f t="shared" si="19"/>
        <v>37204.903702173586</v>
      </c>
      <c r="F120" s="295">
        <f t="shared" si="19"/>
        <v>35671.0395951428</v>
      </c>
      <c r="G120" s="295">
        <f t="shared" si="19"/>
        <v>36637.815991235781</v>
      </c>
      <c r="H120" s="295">
        <f t="shared" si="19"/>
        <v>25596.063397337242</v>
      </c>
      <c r="I120" s="295">
        <f t="shared" si="19"/>
        <v>4598.7709891971608</v>
      </c>
      <c r="J120" s="295">
        <f t="shared" si="19"/>
        <v>2271.1721756464503</v>
      </c>
      <c r="K120" s="295">
        <f t="shared" si="19"/>
        <v>1928.8505723606086</v>
      </c>
      <c r="L120" s="295">
        <f t="shared" si="19"/>
        <v>1318.5024390295334</v>
      </c>
      <c r="M120" s="295">
        <f t="shared" si="19"/>
        <v>0</v>
      </c>
      <c r="N120" s="295">
        <f t="shared" si="20"/>
        <v>0</v>
      </c>
      <c r="O120" s="295">
        <f t="shared" si="20"/>
        <v>0</v>
      </c>
      <c r="P120" s="295">
        <f t="shared" si="20"/>
        <v>0</v>
      </c>
      <c r="Q120" s="295">
        <f t="shared" si="19"/>
        <v>0</v>
      </c>
      <c r="R120" s="295">
        <f t="shared" si="19"/>
        <v>0</v>
      </c>
      <c r="S120" s="295">
        <f t="shared" si="19"/>
        <v>0</v>
      </c>
      <c r="T120" s="295">
        <f t="shared" si="19"/>
        <v>0</v>
      </c>
      <c r="U120" s="295">
        <f t="shared" si="19"/>
        <v>0</v>
      </c>
      <c r="V120" s="295">
        <f t="shared" si="19"/>
        <v>0</v>
      </c>
      <c r="W120" s="295">
        <f t="shared" si="19"/>
        <v>0</v>
      </c>
      <c r="X120" s="295">
        <f t="shared" si="19"/>
        <v>0</v>
      </c>
      <c r="Y120" s="295">
        <f t="shared" si="19"/>
        <v>0</v>
      </c>
      <c r="Z120" s="295">
        <f t="shared" si="19"/>
        <v>0</v>
      </c>
      <c r="AA120" s="295">
        <f t="shared" si="19"/>
        <v>0</v>
      </c>
      <c r="AB120" s="295">
        <f t="shared" si="19"/>
        <v>0</v>
      </c>
      <c r="AC120" s="295">
        <f t="shared" si="19"/>
        <v>0</v>
      </c>
      <c r="AD120" s="295">
        <f t="shared" si="19"/>
        <v>0</v>
      </c>
      <c r="AE120" s="296">
        <f t="shared" si="19"/>
        <v>0</v>
      </c>
    </row>
    <row r="121" spans="1:31" ht="15" customHeight="1">
      <c r="A121" s="1711"/>
      <c r="B121" s="116">
        <v>10</v>
      </c>
      <c r="C121" s="294">
        <f t="shared" si="18"/>
        <v>24643</v>
      </c>
      <c r="D121" s="295">
        <f t="shared" si="19"/>
        <v>24990.389048963971</v>
      </c>
      <c r="E121" s="295">
        <f t="shared" si="19"/>
        <v>28774.176752719886</v>
      </c>
      <c r="F121" s="295">
        <f t="shared" si="19"/>
        <v>31839.086981938151</v>
      </c>
      <c r="G121" s="295">
        <f t="shared" ref="G121:AE121" si="21">F120*$E35</f>
        <v>30526.441930813533</v>
      </c>
      <c r="H121" s="295">
        <f t="shared" si="21"/>
        <v>31353.786573705078</v>
      </c>
      <c r="I121" s="295">
        <f t="shared" si="21"/>
        <v>21904.512787528394</v>
      </c>
      <c r="J121" s="295">
        <f t="shared" si="21"/>
        <v>3935.5207234821564</v>
      </c>
      <c r="K121" s="295">
        <f t="shared" si="21"/>
        <v>1943.6160628240095</v>
      </c>
      <c r="L121" s="295">
        <f t="shared" si="21"/>
        <v>1650.6652359635791</v>
      </c>
      <c r="M121" s="295">
        <f t="shared" si="21"/>
        <v>1128.3435693909985</v>
      </c>
      <c r="N121" s="295">
        <f t="shared" si="20"/>
        <v>0</v>
      </c>
      <c r="O121" s="295">
        <f t="shared" si="20"/>
        <v>0</v>
      </c>
      <c r="P121" s="295">
        <f t="shared" si="20"/>
        <v>0</v>
      </c>
      <c r="Q121" s="295">
        <f t="shared" si="21"/>
        <v>0</v>
      </c>
      <c r="R121" s="295">
        <f t="shared" si="21"/>
        <v>0</v>
      </c>
      <c r="S121" s="295">
        <f t="shared" si="21"/>
        <v>0</v>
      </c>
      <c r="T121" s="295">
        <f t="shared" si="21"/>
        <v>0</v>
      </c>
      <c r="U121" s="295">
        <f t="shared" si="21"/>
        <v>0</v>
      </c>
      <c r="V121" s="295">
        <f t="shared" si="21"/>
        <v>0</v>
      </c>
      <c r="W121" s="295">
        <f t="shared" si="21"/>
        <v>0</v>
      </c>
      <c r="X121" s="295">
        <f t="shared" si="21"/>
        <v>0</v>
      </c>
      <c r="Y121" s="295">
        <f t="shared" si="21"/>
        <v>0</v>
      </c>
      <c r="Z121" s="295">
        <f t="shared" si="21"/>
        <v>0</v>
      </c>
      <c r="AA121" s="295">
        <f t="shared" si="21"/>
        <v>0</v>
      </c>
      <c r="AB121" s="295">
        <f t="shared" si="21"/>
        <v>0</v>
      </c>
      <c r="AC121" s="295">
        <f t="shared" si="21"/>
        <v>0</v>
      </c>
      <c r="AD121" s="295">
        <f t="shared" si="21"/>
        <v>0</v>
      </c>
      <c r="AE121" s="296">
        <f t="shared" si="21"/>
        <v>0</v>
      </c>
    </row>
    <row r="122" spans="1:31" ht="15" customHeight="1">
      <c r="A122" s="1711"/>
      <c r="B122" s="116">
        <v>11</v>
      </c>
      <c r="C122" s="294">
        <f t="shared" si="18"/>
        <v>22458</v>
      </c>
      <c r="D122" s="295">
        <f t="shared" ref="D122:AE131" si="22">C121*$E36</f>
        <v>18232.352254013826</v>
      </c>
      <c r="E122" s="295">
        <f t="shared" si="22"/>
        <v>18489.37126589947</v>
      </c>
      <c r="F122" s="295">
        <f t="shared" si="22"/>
        <v>21288.841714679409</v>
      </c>
      <c r="G122" s="295">
        <f t="shared" si="22"/>
        <v>23556.443992244545</v>
      </c>
      <c r="H122" s="295">
        <f t="shared" si="22"/>
        <v>22585.271368919784</v>
      </c>
      <c r="I122" s="295">
        <f t="shared" si="22"/>
        <v>23197.389981291246</v>
      </c>
      <c r="J122" s="295">
        <f t="shared" si="22"/>
        <v>16206.257074819137</v>
      </c>
      <c r="K122" s="295">
        <f t="shared" si="22"/>
        <v>2911.7315316113304</v>
      </c>
      <c r="L122" s="295">
        <f t="shared" si="22"/>
        <v>1438.0023821761476</v>
      </c>
      <c r="M122" s="295">
        <f t="shared" si="22"/>
        <v>1221.2599941380038</v>
      </c>
      <c r="N122" s="295">
        <f t="shared" si="20"/>
        <v>834.8154616194447</v>
      </c>
      <c r="O122" s="295">
        <f t="shared" si="20"/>
        <v>0</v>
      </c>
      <c r="P122" s="295">
        <f t="shared" si="20"/>
        <v>0</v>
      </c>
      <c r="Q122" s="295">
        <f t="shared" si="22"/>
        <v>0</v>
      </c>
      <c r="R122" s="295">
        <f t="shared" si="22"/>
        <v>0</v>
      </c>
      <c r="S122" s="295">
        <f t="shared" si="22"/>
        <v>0</v>
      </c>
      <c r="T122" s="295">
        <f t="shared" si="22"/>
        <v>0</v>
      </c>
      <c r="U122" s="295">
        <f t="shared" si="22"/>
        <v>0</v>
      </c>
      <c r="V122" s="295">
        <f t="shared" si="22"/>
        <v>0</v>
      </c>
      <c r="W122" s="295">
        <f t="shared" si="22"/>
        <v>0</v>
      </c>
      <c r="X122" s="295">
        <f t="shared" si="22"/>
        <v>0</v>
      </c>
      <c r="Y122" s="295">
        <f t="shared" si="22"/>
        <v>0</v>
      </c>
      <c r="Z122" s="295">
        <f t="shared" si="22"/>
        <v>0</v>
      </c>
      <c r="AA122" s="295">
        <f t="shared" si="22"/>
        <v>0</v>
      </c>
      <c r="AB122" s="295">
        <f t="shared" si="22"/>
        <v>0</v>
      </c>
      <c r="AC122" s="295">
        <f t="shared" si="22"/>
        <v>0</v>
      </c>
      <c r="AD122" s="295">
        <f t="shared" si="22"/>
        <v>0</v>
      </c>
      <c r="AE122" s="296">
        <f t="shared" si="22"/>
        <v>0</v>
      </c>
    </row>
    <row r="123" spans="1:31" ht="15" customHeight="1">
      <c r="A123" s="1711"/>
      <c r="B123" s="116">
        <v>12</v>
      </c>
      <c r="C123" s="294">
        <f t="shared" si="18"/>
        <v>20851</v>
      </c>
      <c r="D123" s="295">
        <f t="shared" si="22"/>
        <v>13470.866508060364</v>
      </c>
      <c r="E123" s="295">
        <f t="shared" si="22"/>
        <v>10936.217977636199</v>
      </c>
      <c r="F123" s="295">
        <f t="shared" si="22"/>
        <v>11090.384368193911</v>
      </c>
      <c r="G123" s="295">
        <f t="shared" si="22"/>
        <v>12769.576313548545</v>
      </c>
      <c r="H123" s="295">
        <f t="shared" si="22"/>
        <v>14129.740512250728</v>
      </c>
      <c r="I123" s="295">
        <f t="shared" si="22"/>
        <v>13547.207037983622</v>
      </c>
      <c r="J123" s="295">
        <f t="shared" si="22"/>
        <v>13914.370993560926</v>
      </c>
      <c r="K123" s="295">
        <f t="shared" si="22"/>
        <v>9720.9157382757785</v>
      </c>
      <c r="L123" s="295">
        <f t="shared" si="22"/>
        <v>1746.5289326585796</v>
      </c>
      <c r="M123" s="295">
        <f t="shared" si="22"/>
        <v>862.54956490193638</v>
      </c>
      <c r="N123" s="295">
        <f t="shared" si="20"/>
        <v>732.54209425005047</v>
      </c>
      <c r="O123" s="295">
        <f t="shared" si="20"/>
        <v>500.74306003830839</v>
      </c>
      <c r="P123" s="295">
        <f t="shared" si="20"/>
        <v>0</v>
      </c>
      <c r="Q123" s="295">
        <f t="shared" si="22"/>
        <v>0</v>
      </c>
      <c r="R123" s="295">
        <f t="shared" si="22"/>
        <v>0</v>
      </c>
      <c r="S123" s="295">
        <f t="shared" si="22"/>
        <v>0</v>
      </c>
      <c r="T123" s="295">
        <f t="shared" si="22"/>
        <v>0</v>
      </c>
      <c r="U123" s="295">
        <f t="shared" si="22"/>
        <v>0</v>
      </c>
      <c r="V123" s="295">
        <f t="shared" si="22"/>
        <v>0</v>
      </c>
      <c r="W123" s="295">
        <f t="shared" si="22"/>
        <v>0</v>
      </c>
      <c r="X123" s="295">
        <f t="shared" si="22"/>
        <v>0</v>
      </c>
      <c r="Y123" s="295">
        <f t="shared" si="22"/>
        <v>0</v>
      </c>
      <c r="Z123" s="295">
        <f t="shared" si="22"/>
        <v>0</v>
      </c>
      <c r="AA123" s="295">
        <f t="shared" si="22"/>
        <v>0</v>
      </c>
      <c r="AB123" s="295">
        <f t="shared" si="22"/>
        <v>0</v>
      </c>
      <c r="AC123" s="295">
        <f t="shared" si="22"/>
        <v>0</v>
      </c>
      <c r="AD123" s="295">
        <f t="shared" si="22"/>
        <v>0</v>
      </c>
      <c r="AE123" s="296">
        <f t="shared" si="22"/>
        <v>0</v>
      </c>
    </row>
    <row r="124" spans="1:31" ht="15" customHeight="1">
      <c r="A124" s="1711"/>
      <c r="B124" s="116">
        <v>13</v>
      </c>
      <c r="C124" s="294">
        <f t="shared" si="18"/>
        <v>13263</v>
      </c>
      <c r="D124" s="295">
        <f t="shared" si="22"/>
        <v>9881.4945056750366</v>
      </c>
      <c r="E124" s="295">
        <f t="shared" si="22"/>
        <v>6383.9764704848867</v>
      </c>
      <c r="F124" s="295">
        <f t="shared" si="22"/>
        <v>5182.7815384814476</v>
      </c>
      <c r="G124" s="295">
        <f t="shared" si="22"/>
        <v>5255.8425111568968</v>
      </c>
      <c r="H124" s="295">
        <f t="shared" si="22"/>
        <v>6051.6281320861372</v>
      </c>
      <c r="I124" s="295">
        <f t="shared" si="22"/>
        <v>6696.2233580365237</v>
      </c>
      <c r="J124" s="295">
        <f t="shared" si="22"/>
        <v>6420.1550003873845</v>
      </c>
      <c r="K124" s="295">
        <f t="shared" si="22"/>
        <v>6594.1576194329482</v>
      </c>
      <c r="L124" s="295">
        <f t="shared" si="22"/>
        <v>4606.8378235049686</v>
      </c>
      <c r="M124" s="295">
        <f t="shared" si="22"/>
        <v>827.69728320311935</v>
      </c>
      <c r="N124" s="295">
        <f t="shared" si="20"/>
        <v>408.77074415859568</v>
      </c>
      <c r="O124" s="295">
        <f t="shared" si="20"/>
        <v>347.15892185063348</v>
      </c>
      <c r="P124" s="295">
        <f t="shared" si="20"/>
        <v>237.30707383451391</v>
      </c>
      <c r="Q124" s="295">
        <f t="shared" si="22"/>
        <v>0</v>
      </c>
      <c r="R124" s="295">
        <f t="shared" si="22"/>
        <v>0</v>
      </c>
      <c r="S124" s="295">
        <f t="shared" si="22"/>
        <v>0</v>
      </c>
      <c r="T124" s="295">
        <f t="shared" si="22"/>
        <v>0</v>
      </c>
      <c r="U124" s="295">
        <f t="shared" si="22"/>
        <v>0</v>
      </c>
      <c r="V124" s="295">
        <f t="shared" si="22"/>
        <v>0</v>
      </c>
      <c r="W124" s="295">
        <f t="shared" si="22"/>
        <v>0</v>
      </c>
      <c r="X124" s="295">
        <f t="shared" si="22"/>
        <v>0</v>
      </c>
      <c r="Y124" s="295">
        <f t="shared" si="22"/>
        <v>0</v>
      </c>
      <c r="Z124" s="295">
        <f t="shared" si="22"/>
        <v>0</v>
      </c>
      <c r="AA124" s="295">
        <f t="shared" si="22"/>
        <v>0</v>
      </c>
      <c r="AB124" s="295">
        <f t="shared" si="22"/>
        <v>0</v>
      </c>
      <c r="AC124" s="295">
        <f t="shared" si="22"/>
        <v>0</v>
      </c>
      <c r="AD124" s="295">
        <f t="shared" si="22"/>
        <v>0</v>
      </c>
      <c r="AE124" s="296">
        <f t="shared" si="22"/>
        <v>0</v>
      </c>
    </row>
    <row r="125" spans="1:31" ht="15" customHeight="1">
      <c r="A125" s="1711"/>
      <c r="B125" s="116">
        <v>14</v>
      </c>
      <c r="C125" s="294">
        <f t="shared" si="18"/>
        <v>7919</v>
      </c>
      <c r="D125" s="295">
        <f t="shared" si="22"/>
        <v>4768.4178444850668</v>
      </c>
      <c r="E125" s="295">
        <f t="shared" si="22"/>
        <v>3552.6724520125149</v>
      </c>
      <c r="F125" s="295">
        <f t="shared" si="22"/>
        <v>2295.2173204126461</v>
      </c>
      <c r="G125" s="295">
        <f t="shared" si="22"/>
        <v>1863.3542918014552</v>
      </c>
      <c r="H125" s="295">
        <f t="shared" si="22"/>
        <v>1889.6217460607515</v>
      </c>
      <c r="I125" s="295">
        <f t="shared" si="22"/>
        <v>2175.7288376104475</v>
      </c>
      <c r="J125" s="295">
        <f t="shared" si="22"/>
        <v>2407.478771855468</v>
      </c>
      <c r="K125" s="295">
        <f t="shared" si="22"/>
        <v>2308.2245094026416</v>
      </c>
      <c r="L125" s="295">
        <f t="shared" si="22"/>
        <v>2370.7832965280281</v>
      </c>
      <c r="M125" s="295">
        <f t="shared" si="22"/>
        <v>1656.2864875405141</v>
      </c>
      <c r="N125" s="295">
        <f t="shared" si="20"/>
        <v>297.58022280461165</v>
      </c>
      <c r="O125" s="295">
        <f t="shared" si="20"/>
        <v>146.9644658636272</v>
      </c>
      <c r="P125" s="295">
        <f t="shared" si="20"/>
        <v>124.81329999432688</v>
      </c>
      <c r="Q125" s="295">
        <f t="shared" si="22"/>
        <v>85.318501507579839</v>
      </c>
      <c r="R125" s="295">
        <f t="shared" si="22"/>
        <v>0</v>
      </c>
      <c r="S125" s="295">
        <f t="shared" si="22"/>
        <v>0</v>
      </c>
      <c r="T125" s="295">
        <f t="shared" si="22"/>
        <v>0</v>
      </c>
      <c r="U125" s="295">
        <f t="shared" si="22"/>
        <v>0</v>
      </c>
      <c r="V125" s="295">
        <f t="shared" si="22"/>
        <v>0</v>
      </c>
      <c r="W125" s="295">
        <f t="shared" si="22"/>
        <v>0</v>
      </c>
      <c r="X125" s="295">
        <f t="shared" si="22"/>
        <v>0</v>
      </c>
      <c r="Y125" s="295">
        <f t="shared" si="22"/>
        <v>0</v>
      </c>
      <c r="Z125" s="295">
        <f t="shared" si="22"/>
        <v>0</v>
      </c>
      <c r="AA125" s="295">
        <f t="shared" si="22"/>
        <v>0</v>
      </c>
      <c r="AB125" s="295">
        <f t="shared" si="22"/>
        <v>0</v>
      </c>
      <c r="AC125" s="295">
        <f t="shared" si="22"/>
        <v>0</v>
      </c>
      <c r="AD125" s="295">
        <f t="shared" si="22"/>
        <v>0</v>
      </c>
      <c r="AE125" s="296">
        <f t="shared" si="22"/>
        <v>0</v>
      </c>
    </row>
    <row r="126" spans="1:31" ht="15" customHeight="1">
      <c r="A126" s="1711"/>
      <c r="B126" s="116">
        <v>15</v>
      </c>
      <c r="C126" s="294">
        <f t="shared" si="18"/>
        <v>3828</v>
      </c>
      <c r="D126" s="295">
        <f t="shared" si="22"/>
        <v>2091.7161327116351</v>
      </c>
      <c r="E126" s="295">
        <f t="shared" si="22"/>
        <v>1259.524754744217</v>
      </c>
      <c r="F126" s="295">
        <f t="shared" si="22"/>
        <v>938.39907590791506</v>
      </c>
      <c r="G126" s="295">
        <f t="shared" si="22"/>
        <v>606.25623149214573</v>
      </c>
      <c r="H126" s="295">
        <f t="shared" si="22"/>
        <v>492.18439615084827</v>
      </c>
      <c r="I126" s="295">
        <f t="shared" si="22"/>
        <v>499.12265323374191</v>
      </c>
      <c r="J126" s="295">
        <f t="shared" si="22"/>
        <v>574.69467231161843</v>
      </c>
      <c r="K126" s="295">
        <f t="shared" si="22"/>
        <v>635.90885039157422</v>
      </c>
      <c r="L126" s="295">
        <f t="shared" si="22"/>
        <v>609.69193638564263</v>
      </c>
      <c r="M126" s="295">
        <f t="shared" si="22"/>
        <v>626.21614705277796</v>
      </c>
      <c r="N126" s="295">
        <f t="shared" si="20"/>
        <v>437.48972930682936</v>
      </c>
      <c r="O126" s="295">
        <f t="shared" si="20"/>
        <v>78.602519613124002</v>
      </c>
      <c r="P126" s="295">
        <f t="shared" si="20"/>
        <v>38.819035759855709</v>
      </c>
      <c r="Q126" s="295">
        <f t="shared" si="22"/>
        <v>32.96805065981949</v>
      </c>
      <c r="R126" s="295">
        <f t="shared" si="22"/>
        <v>22.535937116073583</v>
      </c>
      <c r="S126" s="295">
        <f t="shared" si="22"/>
        <v>0</v>
      </c>
      <c r="T126" s="295">
        <f t="shared" si="22"/>
        <v>0</v>
      </c>
      <c r="U126" s="295">
        <f t="shared" si="22"/>
        <v>0</v>
      </c>
      <c r="V126" s="295">
        <f t="shared" si="22"/>
        <v>0</v>
      </c>
      <c r="W126" s="295">
        <f t="shared" si="22"/>
        <v>0</v>
      </c>
      <c r="X126" s="295">
        <f t="shared" si="22"/>
        <v>0</v>
      </c>
      <c r="Y126" s="295">
        <f t="shared" si="22"/>
        <v>0</v>
      </c>
      <c r="Z126" s="295">
        <f t="shared" si="22"/>
        <v>0</v>
      </c>
      <c r="AA126" s="295">
        <f t="shared" si="22"/>
        <v>0</v>
      </c>
      <c r="AB126" s="295">
        <f t="shared" si="22"/>
        <v>0</v>
      </c>
      <c r="AC126" s="295">
        <f t="shared" si="22"/>
        <v>0</v>
      </c>
      <c r="AD126" s="295">
        <f t="shared" si="22"/>
        <v>0</v>
      </c>
      <c r="AE126" s="296">
        <f t="shared" si="22"/>
        <v>0</v>
      </c>
    </row>
    <row r="127" spans="1:31" ht="15" customHeight="1">
      <c r="A127" s="1711"/>
      <c r="B127" s="116">
        <v>16</v>
      </c>
      <c r="C127" s="294">
        <f>(EXP(15-B127)*$D$20/(EXP(-1)+EXP(-2)+EXP(-3)+EXP(-4)+EXP(-5)+EXP(-6)+EXP(-7)+EXP(-8)+EXP(-9)+EXP(-10)))</f>
        <v>4326.4295242191702</v>
      </c>
      <c r="D127" s="295">
        <f t="shared" si="22"/>
        <v>910.01141816114728</v>
      </c>
      <c r="E127" s="295">
        <f t="shared" si="22"/>
        <v>497.25328221511637</v>
      </c>
      <c r="F127" s="295">
        <f t="shared" si="22"/>
        <v>299.42056120006691</v>
      </c>
      <c r="G127" s="295">
        <f t="shared" si="22"/>
        <v>223.08094928633017</v>
      </c>
      <c r="H127" s="295">
        <f t="shared" si="22"/>
        <v>144.12228134514115</v>
      </c>
      <c r="I127" s="295">
        <f t="shared" si="22"/>
        <v>117.00455076750819</v>
      </c>
      <c r="J127" s="295">
        <f t="shared" si="22"/>
        <v>118.65394814670638</v>
      </c>
      <c r="K127" s="295">
        <f t="shared" si="22"/>
        <v>136.61930871472092</v>
      </c>
      <c r="L127" s="295">
        <f t="shared" si="22"/>
        <v>151.17145108831278</v>
      </c>
      <c r="M127" s="295">
        <f t="shared" si="22"/>
        <v>144.93903439699966</v>
      </c>
      <c r="N127" s="295">
        <f t="shared" si="20"/>
        <v>148.867252887907</v>
      </c>
      <c r="O127" s="295">
        <f t="shared" si="20"/>
        <v>104.00225940372106</v>
      </c>
      <c r="P127" s="295">
        <f t="shared" si="20"/>
        <v>18.685786401300515</v>
      </c>
      <c r="Q127" s="295">
        <f t="shared" si="22"/>
        <v>9.228256474261908</v>
      </c>
      <c r="R127" s="295">
        <f t="shared" si="22"/>
        <v>7.8373308607499688</v>
      </c>
      <c r="S127" s="295">
        <f t="shared" si="22"/>
        <v>5.3573563465487348</v>
      </c>
      <c r="T127" s="295">
        <f t="shared" si="22"/>
        <v>0</v>
      </c>
      <c r="U127" s="295">
        <f t="shared" si="22"/>
        <v>0</v>
      </c>
      <c r="V127" s="295">
        <f t="shared" si="22"/>
        <v>0</v>
      </c>
      <c r="W127" s="295">
        <f t="shared" si="22"/>
        <v>0</v>
      </c>
      <c r="X127" s="295">
        <f t="shared" si="22"/>
        <v>0</v>
      </c>
      <c r="Y127" s="295">
        <f t="shared" si="22"/>
        <v>0</v>
      </c>
      <c r="Z127" s="295">
        <f t="shared" si="22"/>
        <v>0</v>
      </c>
      <c r="AA127" s="295">
        <f t="shared" si="22"/>
        <v>0</v>
      </c>
      <c r="AB127" s="295">
        <f t="shared" si="22"/>
        <v>0</v>
      </c>
      <c r="AC127" s="295">
        <f t="shared" si="22"/>
        <v>0</v>
      </c>
      <c r="AD127" s="295">
        <f t="shared" si="22"/>
        <v>0</v>
      </c>
      <c r="AE127" s="296">
        <f t="shared" si="22"/>
        <v>0</v>
      </c>
    </row>
    <row r="128" spans="1:31" ht="15" customHeight="1">
      <c r="A128" s="1711"/>
      <c r="B128" s="116">
        <v>17</v>
      </c>
      <c r="C128" s="294">
        <f t="shared" ref="C128:C136" si="23">(EXP(15-B128)*$D$20/(EXP(-1)+EXP(-2)+EXP(-3)+EXP(-4)+EXP(-5)+EXP(-6)+EXP(-7)+EXP(-8)+EXP(-9)+EXP(-10)))</f>
        <v>1591.6044756373776</v>
      </c>
      <c r="D128" s="295">
        <f t="shared" si="22"/>
        <v>914.22274861463927</v>
      </c>
      <c r="E128" s="295">
        <f t="shared" si="22"/>
        <v>192.29554886419652</v>
      </c>
      <c r="F128" s="295">
        <f t="shared" si="22"/>
        <v>105.07515721208944</v>
      </c>
      <c r="G128" s="295">
        <f t="shared" si="22"/>
        <v>63.270899692158238</v>
      </c>
      <c r="H128" s="295">
        <f t="shared" si="22"/>
        <v>47.139489382279869</v>
      </c>
      <c r="I128" s="295">
        <f t="shared" si="22"/>
        <v>30.454643361317018</v>
      </c>
      <c r="J128" s="295">
        <f t="shared" si="22"/>
        <v>24.72436483809313</v>
      </c>
      <c r="K128" s="295">
        <f t="shared" si="22"/>
        <v>25.07290087621119</v>
      </c>
      <c r="L128" s="295">
        <f t="shared" si="22"/>
        <v>28.869181672281144</v>
      </c>
      <c r="M128" s="295">
        <f t="shared" si="22"/>
        <v>31.944211445571579</v>
      </c>
      <c r="N128" s="295">
        <f t="shared" si="20"/>
        <v>30.627232378618586</v>
      </c>
      <c r="O128" s="295">
        <f t="shared" si="20"/>
        <v>31.457308700401342</v>
      </c>
      <c r="P128" s="295">
        <f t="shared" si="20"/>
        <v>21.976835846265807</v>
      </c>
      <c r="Q128" s="295">
        <f t="shared" si="22"/>
        <v>3.9485147991417069</v>
      </c>
      <c r="R128" s="295">
        <f t="shared" si="22"/>
        <v>1.9500333823982043</v>
      </c>
      <c r="S128" s="295">
        <f t="shared" si="22"/>
        <v>1.6561153073700692</v>
      </c>
      <c r="T128" s="295">
        <f t="shared" si="22"/>
        <v>1.1320690692017732</v>
      </c>
      <c r="U128" s="295">
        <f t="shared" si="22"/>
        <v>0</v>
      </c>
      <c r="V128" s="295">
        <f t="shared" si="22"/>
        <v>0</v>
      </c>
      <c r="W128" s="295">
        <f t="shared" si="22"/>
        <v>0</v>
      </c>
      <c r="X128" s="295">
        <f t="shared" si="22"/>
        <v>0</v>
      </c>
      <c r="Y128" s="295">
        <f t="shared" si="22"/>
        <v>0</v>
      </c>
      <c r="Z128" s="295">
        <f t="shared" si="22"/>
        <v>0</v>
      </c>
      <c r="AA128" s="295">
        <f t="shared" si="22"/>
        <v>0</v>
      </c>
      <c r="AB128" s="295">
        <f t="shared" si="22"/>
        <v>0</v>
      </c>
      <c r="AC128" s="295">
        <f t="shared" si="22"/>
        <v>0</v>
      </c>
      <c r="AD128" s="295">
        <f t="shared" si="22"/>
        <v>0</v>
      </c>
      <c r="AE128" s="296">
        <f t="shared" si="22"/>
        <v>0</v>
      </c>
    </row>
    <row r="129" spans="1:31" ht="15.75" customHeight="1">
      <c r="A129" s="1711"/>
      <c r="B129" s="116">
        <v>18</v>
      </c>
      <c r="C129" s="294">
        <f t="shared" si="23"/>
        <v>585.51856506344495</v>
      </c>
      <c r="D129" s="295">
        <f t="shared" si="22"/>
        <v>294.28328463325187</v>
      </c>
      <c r="E129" s="295">
        <f t="shared" si="22"/>
        <v>169.03726865998863</v>
      </c>
      <c r="F129" s="295">
        <f t="shared" si="22"/>
        <v>35.554917447343712</v>
      </c>
      <c r="G129" s="295">
        <f t="shared" si="22"/>
        <v>19.428107215736471</v>
      </c>
      <c r="H129" s="295">
        <f t="shared" si="22"/>
        <v>11.698615119596779</v>
      </c>
      <c r="I129" s="295">
        <f t="shared" si="22"/>
        <v>8.7159617754883865</v>
      </c>
      <c r="J129" s="295">
        <f t="shared" si="22"/>
        <v>5.6309796924349369</v>
      </c>
      <c r="K129" s="295">
        <f t="shared" si="22"/>
        <v>4.5714669733579214</v>
      </c>
      <c r="L129" s="295">
        <f t="shared" si="22"/>
        <v>4.6359103270179869</v>
      </c>
      <c r="M129" s="295">
        <f t="shared" si="22"/>
        <v>5.3378321921284835</v>
      </c>
      <c r="N129" s="295">
        <f t="shared" si="20"/>
        <v>5.9063967292862234</v>
      </c>
      <c r="O129" s="295">
        <f t="shared" si="20"/>
        <v>5.6628909264635992</v>
      </c>
      <c r="P129" s="295">
        <f t="shared" si="20"/>
        <v>5.8163697525222489</v>
      </c>
      <c r="Q129" s="295">
        <f t="shared" si="22"/>
        <v>4.0634564288309987</v>
      </c>
      <c r="R129" s="295">
        <f t="shared" si="22"/>
        <v>0.73006951306108647</v>
      </c>
      <c r="S129" s="295">
        <f t="shared" si="22"/>
        <v>0.36055580246268371</v>
      </c>
      <c r="T129" s="295">
        <f t="shared" si="22"/>
        <v>0.30621115977265601</v>
      </c>
      <c r="U129" s="295">
        <f t="shared" si="22"/>
        <v>0.20931645343796376</v>
      </c>
      <c r="V129" s="295">
        <f t="shared" si="22"/>
        <v>0</v>
      </c>
      <c r="W129" s="295">
        <f t="shared" si="22"/>
        <v>0</v>
      </c>
      <c r="X129" s="295">
        <f t="shared" si="22"/>
        <v>0</v>
      </c>
      <c r="Y129" s="295">
        <f t="shared" si="22"/>
        <v>0</v>
      </c>
      <c r="Z129" s="295">
        <f t="shared" si="22"/>
        <v>0</v>
      </c>
      <c r="AA129" s="295">
        <f t="shared" si="22"/>
        <v>0</v>
      </c>
      <c r="AB129" s="295">
        <f t="shared" si="22"/>
        <v>0</v>
      </c>
      <c r="AC129" s="295">
        <f t="shared" si="22"/>
        <v>0</v>
      </c>
      <c r="AD129" s="295">
        <f t="shared" si="22"/>
        <v>0</v>
      </c>
      <c r="AE129" s="296">
        <f t="shared" si="22"/>
        <v>0</v>
      </c>
    </row>
    <row r="130" spans="1:31" ht="16.5" customHeight="1">
      <c r="A130" s="1711"/>
      <c r="B130" s="116">
        <v>19</v>
      </c>
      <c r="C130" s="294">
        <f t="shared" si="23"/>
        <v>215.40024251104489</v>
      </c>
      <c r="D130" s="295">
        <f t="shared" si="22"/>
        <v>92.794945968837581</v>
      </c>
      <c r="E130" s="295">
        <f t="shared" si="22"/>
        <v>46.639001948837695</v>
      </c>
      <c r="F130" s="295">
        <f t="shared" si="22"/>
        <v>26.78959327331297</v>
      </c>
      <c r="G130" s="295">
        <f t="shared" si="22"/>
        <v>5.6348625651096764</v>
      </c>
      <c r="H130" s="295">
        <f t="shared" si="22"/>
        <v>3.0790315917065763</v>
      </c>
      <c r="I130" s="295">
        <f t="shared" si="22"/>
        <v>1.8540357602761586</v>
      </c>
      <c r="J130" s="295">
        <f t="shared" si="22"/>
        <v>1.3813348547458266</v>
      </c>
      <c r="K130" s="295">
        <f t="shared" si="22"/>
        <v>0.89241654746592414</v>
      </c>
      <c r="L130" s="295">
        <f t="shared" si="22"/>
        <v>0.72450141823446335</v>
      </c>
      <c r="M130" s="295">
        <f t="shared" si="22"/>
        <v>0.73471461705983021</v>
      </c>
      <c r="N130" s="295">
        <f t="shared" si="20"/>
        <v>0.84595754842651794</v>
      </c>
      <c r="O130" s="295">
        <f t="shared" si="20"/>
        <v>0.93606556319054635</v>
      </c>
      <c r="P130" s="295">
        <f t="shared" si="20"/>
        <v>0.89747394686224868</v>
      </c>
      <c r="Q130" s="295">
        <f t="shared" si="22"/>
        <v>0.92179778597045836</v>
      </c>
      <c r="R130" s="295">
        <f t="shared" si="22"/>
        <v>0.64399020331531298</v>
      </c>
      <c r="S130" s="295">
        <f t="shared" si="22"/>
        <v>0.11570386501862372</v>
      </c>
      <c r="T130" s="295">
        <f t="shared" si="22"/>
        <v>5.7142092846620897E-2</v>
      </c>
      <c r="U130" s="295">
        <f t="shared" si="22"/>
        <v>4.8529371605970789E-2</v>
      </c>
      <c r="V130" s="295">
        <f t="shared" si="22"/>
        <v>3.3173173569756721E-2</v>
      </c>
      <c r="W130" s="295">
        <f t="shared" si="22"/>
        <v>0</v>
      </c>
      <c r="X130" s="295">
        <f t="shared" si="22"/>
        <v>0</v>
      </c>
      <c r="Y130" s="295">
        <f t="shared" si="22"/>
        <v>0</v>
      </c>
      <c r="Z130" s="295">
        <f t="shared" si="22"/>
        <v>0</v>
      </c>
      <c r="AA130" s="295">
        <f t="shared" si="22"/>
        <v>0</v>
      </c>
      <c r="AB130" s="295">
        <f t="shared" si="22"/>
        <v>0</v>
      </c>
      <c r="AC130" s="295">
        <f t="shared" si="22"/>
        <v>0</v>
      </c>
      <c r="AD130" s="295">
        <f t="shared" si="22"/>
        <v>0</v>
      </c>
      <c r="AE130" s="296">
        <f t="shared" si="22"/>
        <v>0</v>
      </c>
    </row>
    <row r="131" spans="1:31">
      <c r="A131" s="1711"/>
      <c r="B131" s="116">
        <v>20</v>
      </c>
      <c r="C131" s="294">
        <f t="shared" si="23"/>
        <v>79.241320843156345</v>
      </c>
      <c r="D131" s="295">
        <f t="shared" si="22"/>
        <v>28.447794055458456</v>
      </c>
      <c r="E131" s="295">
        <f t="shared" si="22"/>
        <v>12.255378552665869</v>
      </c>
      <c r="F131" s="295">
        <f t="shared" si="22"/>
        <v>6.1595878766228793</v>
      </c>
      <c r="G131" s="295">
        <f t="shared" ref="G131:AE131" si="24">F130*$E45</f>
        <v>3.5380871599047747</v>
      </c>
      <c r="H131" s="295">
        <f t="shared" si="24"/>
        <v>0.74419326512519091</v>
      </c>
      <c r="I131" s="295">
        <f t="shared" si="24"/>
        <v>0.40664604454485592</v>
      </c>
      <c r="J131" s="295">
        <f t="shared" si="24"/>
        <v>0.24486150463403974</v>
      </c>
      <c r="K131" s="295">
        <f t="shared" si="24"/>
        <v>0.18243215054607451</v>
      </c>
      <c r="L131" s="295">
        <f t="shared" si="24"/>
        <v>0.11786097294060435</v>
      </c>
      <c r="M131" s="295">
        <f t="shared" si="24"/>
        <v>9.568451222966827E-2</v>
      </c>
      <c r="N131" s="295">
        <f t="shared" si="20"/>
        <v>9.703336389967783E-2</v>
      </c>
      <c r="O131" s="295">
        <f t="shared" si="20"/>
        <v>0.11172515795131528</v>
      </c>
      <c r="P131" s="295">
        <f t="shared" si="20"/>
        <v>0.12362567494642428</v>
      </c>
      <c r="Q131" s="295">
        <f t="shared" si="24"/>
        <v>0.11852890095593824</v>
      </c>
      <c r="R131" s="295">
        <f t="shared" si="24"/>
        <v>0.12174133729083686</v>
      </c>
      <c r="S131" s="295">
        <f t="shared" si="24"/>
        <v>8.505143942308914E-2</v>
      </c>
      <c r="T131" s="295">
        <f t="shared" si="24"/>
        <v>1.5280947157251205E-2</v>
      </c>
      <c r="U131" s="295">
        <f t="shared" si="24"/>
        <v>7.5467254365565737E-3</v>
      </c>
      <c r="V131" s="295">
        <f t="shared" si="24"/>
        <v>6.4092479794523941E-3</v>
      </c>
      <c r="W131" s="295">
        <f t="shared" si="24"/>
        <v>4.3811631726924701E-3</v>
      </c>
      <c r="X131" s="295">
        <f t="shared" si="24"/>
        <v>0</v>
      </c>
      <c r="Y131" s="295">
        <f t="shared" si="24"/>
        <v>0</v>
      </c>
      <c r="Z131" s="295">
        <f t="shared" si="24"/>
        <v>0</v>
      </c>
      <c r="AA131" s="295">
        <f t="shared" si="24"/>
        <v>0</v>
      </c>
      <c r="AB131" s="295">
        <f t="shared" si="24"/>
        <v>0</v>
      </c>
      <c r="AC131" s="295">
        <f t="shared" si="24"/>
        <v>0</v>
      </c>
      <c r="AD131" s="295">
        <f t="shared" si="24"/>
        <v>0</v>
      </c>
      <c r="AE131" s="296">
        <f t="shared" si="24"/>
        <v>0</v>
      </c>
    </row>
    <row r="132" spans="1:31" ht="15.75" customHeight="1">
      <c r="A132" s="1711"/>
      <c r="B132" s="116">
        <v>21</v>
      </c>
      <c r="C132" s="294">
        <f t="shared" si="23"/>
        <v>29.151252829467325</v>
      </c>
      <c r="D132" s="295">
        <f t="shared" ref="D132:AE136" si="25">C131*$E46</f>
        <v>8.3722868637458667</v>
      </c>
      <c r="E132" s="295">
        <f t="shared" si="25"/>
        <v>3.0056678755327981</v>
      </c>
      <c r="F132" s="295">
        <f t="shared" si="25"/>
        <v>1.2948489976562372</v>
      </c>
      <c r="G132" s="295">
        <f t="shared" si="25"/>
        <v>0.6507947636008119</v>
      </c>
      <c r="H132" s="295">
        <f t="shared" si="25"/>
        <v>0.37381861302248787</v>
      </c>
      <c r="I132" s="295">
        <f t="shared" si="25"/>
        <v>7.8628163077040431E-2</v>
      </c>
      <c r="J132" s="295">
        <f t="shared" si="25"/>
        <v>4.2964419329604694E-2</v>
      </c>
      <c r="K132" s="295">
        <f t="shared" si="25"/>
        <v>2.5870981665516629E-2</v>
      </c>
      <c r="L132" s="295">
        <f t="shared" si="25"/>
        <v>1.9274972719914209E-2</v>
      </c>
      <c r="M132" s="295">
        <f t="shared" si="25"/>
        <v>1.2452668191284327E-2</v>
      </c>
      <c r="N132" s="295">
        <f t="shared" si="20"/>
        <v>1.0109601610377106E-2</v>
      </c>
      <c r="O132" s="295">
        <f t="shared" si="20"/>
        <v>1.0252115301438807E-2</v>
      </c>
      <c r="P132" s="295">
        <f t="shared" si="20"/>
        <v>1.1804385165628067E-2</v>
      </c>
      <c r="Q132" s="295">
        <f t="shared" si="25"/>
        <v>1.3061741063407002E-2</v>
      </c>
      <c r="R132" s="295">
        <f t="shared" si="25"/>
        <v>1.2523238505978807E-2</v>
      </c>
      <c r="S132" s="295">
        <f t="shared" si="25"/>
        <v>1.2862650295700565E-2</v>
      </c>
      <c r="T132" s="295">
        <f t="shared" si="25"/>
        <v>8.9861582498609333E-3</v>
      </c>
      <c r="U132" s="295">
        <f t="shared" si="25"/>
        <v>1.6145171709527125E-3</v>
      </c>
      <c r="V132" s="295">
        <f t="shared" si="25"/>
        <v>7.9735357215762769E-4</v>
      </c>
      <c r="W132" s="295">
        <f t="shared" si="25"/>
        <v>6.7717274389039099E-4</v>
      </c>
      <c r="X132" s="295">
        <f t="shared" si="25"/>
        <v>4.6289428909523559E-4</v>
      </c>
      <c r="Y132" s="295">
        <f t="shared" si="25"/>
        <v>0</v>
      </c>
      <c r="Z132" s="295">
        <f t="shared" si="25"/>
        <v>0</v>
      </c>
      <c r="AA132" s="295">
        <f t="shared" si="25"/>
        <v>0</v>
      </c>
      <c r="AB132" s="295">
        <f t="shared" si="25"/>
        <v>0</v>
      </c>
      <c r="AC132" s="295">
        <f t="shared" si="25"/>
        <v>0</v>
      </c>
      <c r="AD132" s="295">
        <f t="shared" si="25"/>
        <v>0</v>
      </c>
      <c r="AE132" s="296">
        <f t="shared" si="25"/>
        <v>0</v>
      </c>
    </row>
    <row r="133" spans="1:31" ht="15" customHeight="1">
      <c r="A133" s="1711"/>
      <c r="B133" s="116">
        <v>22</v>
      </c>
      <c r="C133" s="294">
        <f t="shared" si="23"/>
        <v>10.724146600351865</v>
      </c>
      <c r="D133" s="295">
        <f t="shared" si="25"/>
        <v>2.3099941595713775</v>
      </c>
      <c r="E133" s="295">
        <f t="shared" si="25"/>
        <v>0.66343405103877695</v>
      </c>
      <c r="F133" s="295">
        <f t="shared" si="25"/>
        <v>0.2381741628295892</v>
      </c>
      <c r="G133" s="295">
        <f t="shared" si="25"/>
        <v>0.10260600597890035</v>
      </c>
      <c r="H133" s="295">
        <f t="shared" si="25"/>
        <v>5.1570068421823663E-2</v>
      </c>
      <c r="I133" s="295">
        <f t="shared" si="25"/>
        <v>2.9622013773217264E-2</v>
      </c>
      <c r="J133" s="295">
        <f t="shared" si="25"/>
        <v>6.2306274981838612E-3</v>
      </c>
      <c r="K133" s="295">
        <f t="shared" si="25"/>
        <v>3.4045726371128306E-3</v>
      </c>
      <c r="L133" s="295">
        <f t="shared" si="25"/>
        <v>2.0500599716699592E-3</v>
      </c>
      <c r="M133" s="295">
        <f t="shared" si="25"/>
        <v>1.5273811616045405E-3</v>
      </c>
      <c r="N133" s="295">
        <f t="shared" si="20"/>
        <v>9.8677031005232072E-4</v>
      </c>
      <c r="O133" s="295">
        <f t="shared" si="20"/>
        <v>8.0110178496198899E-4</v>
      </c>
      <c r="P133" s="295">
        <f t="shared" si="20"/>
        <v>8.1239480883088815E-4</v>
      </c>
      <c r="Q133" s="295">
        <f t="shared" si="25"/>
        <v>9.3539927595729701E-4</v>
      </c>
      <c r="R133" s="295">
        <f t="shared" si="25"/>
        <v>1.0350342658276461E-3</v>
      </c>
      <c r="S133" s="295">
        <f t="shared" si="25"/>
        <v>9.9236242013201435E-4</v>
      </c>
      <c r="T133" s="295">
        <f t="shared" si="25"/>
        <v>1.0192579795281576E-3</v>
      </c>
      <c r="U133" s="295">
        <f t="shared" si="25"/>
        <v>7.1207824910975571E-4</v>
      </c>
      <c r="V133" s="295">
        <f t="shared" si="25"/>
        <v>1.2793704810033091E-4</v>
      </c>
      <c r="W133" s="295">
        <f t="shared" si="25"/>
        <v>6.3183634184519238E-5</v>
      </c>
      <c r="X133" s="295">
        <f t="shared" si="25"/>
        <v>5.3660303814678654E-5</v>
      </c>
      <c r="Y133" s="295">
        <f t="shared" si="25"/>
        <v>3.6680519721199157E-5</v>
      </c>
      <c r="Z133" s="295">
        <f t="shared" si="25"/>
        <v>0</v>
      </c>
      <c r="AA133" s="295">
        <f t="shared" si="25"/>
        <v>0</v>
      </c>
      <c r="AB133" s="295">
        <f t="shared" si="25"/>
        <v>0</v>
      </c>
      <c r="AC133" s="295">
        <f t="shared" si="25"/>
        <v>0</v>
      </c>
      <c r="AD133" s="295">
        <f t="shared" si="25"/>
        <v>0</v>
      </c>
      <c r="AE133" s="296">
        <f t="shared" si="25"/>
        <v>0</v>
      </c>
    </row>
    <row r="134" spans="1:31" ht="15" customHeight="1">
      <c r="A134" s="1711"/>
      <c r="B134" s="116">
        <v>23</v>
      </c>
      <c r="C134" s="294">
        <f t="shared" si="23"/>
        <v>3.9451930583780679</v>
      </c>
      <c r="D134" s="295">
        <f t="shared" si="25"/>
        <v>0.56653290702160886</v>
      </c>
      <c r="E134" s="295">
        <f t="shared" si="25"/>
        <v>0.12203187397512563</v>
      </c>
      <c r="F134" s="295">
        <f t="shared" si="25"/>
        <v>3.5047751169290119E-2</v>
      </c>
      <c r="G134" s="295">
        <f t="shared" si="25"/>
        <v>1.258221338011716E-2</v>
      </c>
      <c r="H134" s="295">
        <f t="shared" si="25"/>
        <v>5.4204479863410046E-3</v>
      </c>
      <c r="I134" s="295">
        <f t="shared" si="25"/>
        <v>2.7243324683159809E-3</v>
      </c>
      <c r="J134" s="295">
        <f t="shared" si="25"/>
        <v>1.5648653641329644E-3</v>
      </c>
      <c r="K134" s="295">
        <f t="shared" si="25"/>
        <v>3.2915024762894052E-4</v>
      </c>
      <c r="L134" s="295">
        <f t="shared" si="25"/>
        <v>1.7985603005524672E-4</v>
      </c>
      <c r="M134" s="295">
        <f t="shared" si="25"/>
        <v>1.0830012667681287E-4</v>
      </c>
      <c r="N134" s="295">
        <f t="shared" si="20"/>
        <v>8.0688163064226548E-5</v>
      </c>
      <c r="O134" s="295">
        <f t="shared" si="20"/>
        <v>5.2128889425869394E-5</v>
      </c>
      <c r="P134" s="295">
        <f t="shared" si="20"/>
        <v>4.2320432568482825E-5</v>
      </c>
      <c r="Q134" s="295">
        <f t="shared" si="25"/>
        <v>4.2917018001332273E-5</v>
      </c>
      <c r="R134" s="295">
        <f t="shared" si="25"/>
        <v>4.9415071500105018E-5</v>
      </c>
      <c r="S134" s="295">
        <f t="shared" si="25"/>
        <v>5.4678567287309698E-5</v>
      </c>
      <c r="T134" s="295">
        <f t="shared" si="25"/>
        <v>5.2424308212827207E-5</v>
      </c>
      <c r="U134" s="295">
        <f t="shared" si="25"/>
        <v>5.3845141032304836E-5</v>
      </c>
      <c r="V134" s="295">
        <f t="shared" si="25"/>
        <v>3.7617516388835171E-5</v>
      </c>
      <c r="W134" s="295">
        <f t="shared" si="25"/>
        <v>6.7586308241688662E-6</v>
      </c>
      <c r="X134" s="295">
        <f t="shared" si="25"/>
        <v>3.3378514192981203E-6</v>
      </c>
      <c r="Y134" s="295">
        <f t="shared" si="25"/>
        <v>2.834754973490867E-6</v>
      </c>
      <c r="Z134" s="295">
        <f t="shared" si="25"/>
        <v>1.9377505962136499E-6</v>
      </c>
      <c r="AA134" s="295">
        <f t="shared" si="25"/>
        <v>0</v>
      </c>
      <c r="AB134" s="295">
        <f t="shared" si="25"/>
        <v>0</v>
      </c>
      <c r="AC134" s="295">
        <f t="shared" si="25"/>
        <v>0</v>
      </c>
      <c r="AD134" s="295">
        <f t="shared" si="25"/>
        <v>0</v>
      </c>
      <c r="AE134" s="296">
        <f t="shared" si="25"/>
        <v>0</v>
      </c>
    </row>
    <row r="135" spans="1:31" ht="15" customHeight="1">
      <c r="A135" s="1711"/>
      <c r="B135" s="116">
        <v>24</v>
      </c>
      <c r="C135" s="294">
        <f t="shared" si="23"/>
        <v>1.4513554176295769</v>
      </c>
      <c r="D135" s="295">
        <f t="shared" si="25"/>
        <v>0.10420790462017096</v>
      </c>
      <c r="E135" s="295">
        <f t="shared" si="25"/>
        <v>1.4964339201024333E-2</v>
      </c>
      <c r="F135" s="295">
        <f t="shared" si="25"/>
        <v>3.2233367786185471E-3</v>
      </c>
      <c r="G135" s="295">
        <f t="shared" si="25"/>
        <v>9.2574752539546692E-4</v>
      </c>
      <c r="H135" s="295">
        <f t="shared" si="25"/>
        <v>3.3234522935233221E-4</v>
      </c>
      <c r="I135" s="295">
        <f t="shared" si="25"/>
        <v>1.4317512942989958E-4</v>
      </c>
      <c r="J135" s="295">
        <f t="shared" si="25"/>
        <v>7.1960224458222403E-5</v>
      </c>
      <c r="K135" s="295">
        <f t="shared" si="25"/>
        <v>4.1334185221348405E-5</v>
      </c>
      <c r="L135" s="295">
        <f t="shared" si="25"/>
        <v>8.6941391975184071E-6</v>
      </c>
      <c r="M135" s="295">
        <f t="shared" si="25"/>
        <v>4.7506978107340231E-6</v>
      </c>
      <c r="N135" s="295">
        <f t="shared" si="20"/>
        <v>2.8606278841343933E-6</v>
      </c>
      <c r="O135" s="295">
        <f t="shared" si="20"/>
        <v>2.1312884505658456E-6</v>
      </c>
      <c r="P135" s="295">
        <f t="shared" si="20"/>
        <v>1.3769268719842365E-6</v>
      </c>
      <c r="Q135" s="295">
        <f t="shared" si="25"/>
        <v>1.1178473487413839E-6</v>
      </c>
      <c r="R135" s="295">
        <f t="shared" si="25"/>
        <v>1.1336054921235273E-6</v>
      </c>
      <c r="S135" s="295">
        <f t="shared" si="25"/>
        <v>1.3052443775207518E-6</v>
      </c>
      <c r="T135" s="295">
        <f t="shared" si="25"/>
        <v>1.4442737884634935E-6</v>
      </c>
      <c r="U135" s="295">
        <f t="shared" si="25"/>
        <v>1.3847300320118379E-6</v>
      </c>
      <c r="V135" s="295">
        <f t="shared" si="25"/>
        <v>1.4222597571082834E-6</v>
      </c>
      <c r="W135" s="295">
        <f t="shared" si="25"/>
        <v>9.9362502718866849E-7</v>
      </c>
      <c r="X135" s="295">
        <f t="shared" si="25"/>
        <v>1.7852174681091191E-7</v>
      </c>
      <c r="Y135" s="295">
        <f t="shared" si="25"/>
        <v>8.8165647964898204E-8</v>
      </c>
      <c r="Z135" s="295">
        <f t="shared" si="25"/>
        <v>7.4876912619464259E-8</v>
      </c>
      <c r="AA135" s="295">
        <f t="shared" si="25"/>
        <v>5.1183535588731789E-8</v>
      </c>
      <c r="AB135" s="295">
        <f t="shared" si="25"/>
        <v>0</v>
      </c>
      <c r="AC135" s="295">
        <f t="shared" si="25"/>
        <v>0</v>
      </c>
      <c r="AD135" s="295">
        <f t="shared" si="25"/>
        <v>0</v>
      </c>
      <c r="AE135" s="296">
        <f t="shared" si="25"/>
        <v>0</v>
      </c>
    </row>
    <row r="136" spans="1:31" ht="15.75" customHeight="1" thickBot="1">
      <c r="A136" s="1711"/>
      <c r="B136" s="116">
        <v>25</v>
      </c>
      <c r="C136" s="297">
        <f t="shared" si="23"/>
        <v>0.53392381997871408</v>
      </c>
      <c r="D136" s="298">
        <f t="shared" si="25"/>
        <v>0</v>
      </c>
      <c r="E136" s="298">
        <f t="shared" si="25"/>
        <v>0</v>
      </c>
      <c r="F136" s="298">
        <f t="shared" si="25"/>
        <v>0</v>
      </c>
      <c r="G136" s="298">
        <f t="shared" si="25"/>
        <v>0</v>
      </c>
      <c r="H136" s="298">
        <f t="shared" si="25"/>
        <v>0</v>
      </c>
      <c r="I136" s="298">
        <f t="shared" si="25"/>
        <v>0</v>
      </c>
      <c r="J136" s="298">
        <f t="shared" si="25"/>
        <v>0</v>
      </c>
      <c r="K136" s="298">
        <f t="shared" si="25"/>
        <v>0</v>
      </c>
      <c r="L136" s="298">
        <f t="shared" si="25"/>
        <v>0</v>
      </c>
      <c r="M136" s="298">
        <f t="shared" si="25"/>
        <v>0</v>
      </c>
      <c r="N136" s="298">
        <f t="shared" si="20"/>
        <v>0</v>
      </c>
      <c r="O136" s="298">
        <f t="shared" si="20"/>
        <v>0</v>
      </c>
      <c r="P136" s="298">
        <f t="shared" si="20"/>
        <v>0</v>
      </c>
      <c r="Q136" s="298">
        <f t="shared" si="25"/>
        <v>0</v>
      </c>
      <c r="R136" s="298">
        <f t="shared" si="25"/>
        <v>0</v>
      </c>
      <c r="S136" s="298">
        <f t="shared" si="25"/>
        <v>0</v>
      </c>
      <c r="T136" s="298">
        <f t="shared" si="25"/>
        <v>0</v>
      </c>
      <c r="U136" s="298">
        <f t="shared" si="25"/>
        <v>0</v>
      </c>
      <c r="V136" s="298">
        <f t="shared" si="25"/>
        <v>0</v>
      </c>
      <c r="W136" s="298">
        <f t="shared" si="25"/>
        <v>0</v>
      </c>
      <c r="X136" s="298">
        <f t="shared" si="25"/>
        <v>0</v>
      </c>
      <c r="Y136" s="298">
        <f t="shared" si="25"/>
        <v>0</v>
      </c>
      <c r="Z136" s="298">
        <f t="shared" si="25"/>
        <v>0</v>
      </c>
      <c r="AA136" s="298">
        <f t="shared" si="25"/>
        <v>0</v>
      </c>
      <c r="AB136" s="298">
        <f t="shared" si="25"/>
        <v>0</v>
      </c>
      <c r="AC136" s="298">
        <f t="shared" si="25"/>
        <v>0</v>
      </c>
      <c r="AD136" s="298">
        <f t="shared" si="25"/>
        <v>0</v>
      </c>
      <c r="AE136" s="299">
        <f t="shared" si="25"/>
        <v>0</v>
      </c>
    </row>
    <row r="137" spans="1:31" ht="16.5" customHeight="1" thickTop="1" thickBot="1">
      <c r="A137" s="1712"/>
      <c r="B137" s="300" t="s">
        <v>39</v>
      </c>
      <c r="C137" s="301">
        <f>SUM(C111:C136)</f>
        <v>319006</v>
      </c>
      <c r="D137" s="301">
        <f>SUM(D111:D136)</f>
        <v>263536.01623464347</v>
      </c>
      <c r="E137" s="301">
        <f t="shared" ref="E137:AB137" si="26">SUM(E111:E136)</f>
        <v>222195.48494593173</v>
      </c>
      <c r="F137" s="301">
        <f t="shared" si="26"/>
        <v>185518.5368331873</v>
      </c>
      <c r="G137" s="301">
        <f t="shared" si="26"/>
        <v>149370.36965890968</v>
      </c>
      <c r="H137" s="301">
        <f t="shared" si="26"/>
        <v>113039.06152225079</v>
      </c>
      <c r="I137" s="301">
        <f t="shared" si="26"/>
        <v>78633.427918107336</v>
      </c>
      <c r="J137" s="301">
        <f t="shared" si="26"/>
        <v>49323.081002899577</v>
      </c>
      <c r="K137" s="301">
        <f t="shared" si="26"/>
        <v>27605.763240113934</v>
      </c>
      <c r="L137" s="301">
        <f t="shared" si="26"/>
        <v>13926.552465308127</v>
      </c>
      <c r="M137" s="301">
        <f t="shared" si="26"/>
        <v>6505.4186164915163</v>
      </c>
      <c r="N137" s="301">
        <f t="shared" si="26"/>
        <v>2897.5533049683818</v>
      </c>
      <c r="O137" s="301">
        <f t="shared" si="26"/>
        <v>1215.6503245946853</v>
      </c>
      <c r="P137" s="301">
        <f t="shared" si="26"/>
        <v>448.45216168792763</v>
      </c>
      <c r="Q137" s="301">
        <f t="shared" si="26"/>
        <v>136.58114773176504</v>
      </c>
      <c r="R137" s="301">
        <f t="shared" si="26"/>
        <v>33.832711234337793</v>
      </c>
      <c r="S137" s="301">
        <f t="shared" si="26"/>
        <v>7.5886937573506987</v>
      </c>
      <c r="T137" s="301">
        <f t="shared" si="26"/>
        <v>1.5207625537896916</v>
      </c>
      <c r="U137" s="301">
        <f t="shared" si="26"/>
        <v>0.26777437577161795</v>
      </c>
      <c r="V137" s="301">
        <f t="shared" si="26"/>
        <v>4.0546751945613017E-2</v>
      </c>
      <c r="W137" s="301">
        <f t="shared" si="26"/>
        <v>5.1292718066187383E-3</v>
      </c>
      <c r="X137" s="301">
        <f t="shared" si="26"/>
        <v>5.2007096607602319E-4</v>
      </c>
      <c r="Y137" s="301">
        <f t="shared" si="26"/>
        <v>3.9603440342654924E-5</v>
      </c>
      <c r="Z137" s="301">
        <f t="shared" si="26"/>
        <v>2.0126275088331143E-6</v>
      </c>
      <c r="AA137" s="301">
        <f t="shared" si="26"/>
        <v>5.1183535588731789E-8</v>
      </c>
      <c r="AB137" s="301">
        <f t="shared" si="26"/>
        <v>0</v>
      </c>
      <c r="AC137" s="301">
        <f>SUM(AC111:AC136)</f>
        <v>0</v>
      </c>
      <c r="AD137" s="301">
        <f t="shared" ref="AD137:AE137" si="27">SUM(AD111:AD136)</f>
        <v>0</v>
      </c>
      <c r="AE137" s="302">
        <f t="shared" si="27"/>
        <v>0</v>
      </c>
    </row>
    <row r="138" spans="1:31" ht="15.75" thickBot="1"/>
    <row r="139" spans="1:31" ht="15.75" customHeight="1" thickBot="1">
      <c r="A139" s="1710" t="s">
        <v>44</v>
      </c>
      <c r="B139" s="169" t="s">
        <v>10</v>
      </c>
      <c r="C139" s="288">
        <v>2012</v>
      </c>
      <c r="D139" s="289">
        <v>2013</v>
      </c>
      <c r="E139" s="289">
        <v>2014</v>
      </c>
      <c r="F139" s="289">
        <v>2015</v>
      </c>
      <c r="G139" s="288">
        <v>2016</v>
      </c>
      <c r="H139" s="289">
        <v>2017</v>
      </c>
      <c r="I139" s="289">
        <v>2018</v>
      </c>
      <c r="J139" s="289">
        <v>2019</v>
      </c>
      <c r="K139" s="288">
        <v>2020</v>
      </c>
      <c r="L139" s="289">
        <v>2021</v>
      </c>
      <c r="M139" s="289">
        <v>2022</v>
      </c>
      <c r="N139" s="289">
        <v>2023</v>
      </c>
      <c r="O139" s="288">
        <v>2024</v>
      </c>
      <c r="P139" s="289">
        <v>2025</v>
      </c>
      <c r="Q139" s="289">
        <v>2026</v>
      </c>
      <c r="R139" s="289">
        <v>2027</v>
      </c>
      <c r="S139" s="288">
        <v>2028</v>
      </c>
      <c r="T139" s="289">
        <v>2029</v>
      </c>
      <c r="U139" s="289">
        <v>2030</v>
      </c>
      <c r="V139" s="289">
        <v>2031</v>
      </c>
      <c r="W139" s="288">
        <v>2032</v>
      </c>
      <c r="X139" s="289">
        <v>2033</v>
      </c>
      <c r="Y139" s="289">
        <v>2034</v>
      </c>
      <c r="Z139" s="289">
        <v>2035</v>
      </c>
      <c r="AA139" s="288">
        <v>2036</v>
      </c>
      <c r="AB139" s="289">
        <v>2037</v>
      </c>
      <c r="AC139" s="289">
        <v>2038</v>
      </c>
      <c r="AD139" s="289">
        <v>2039</v>
      </c>
      <c r="AE139" s="290">
        <v>2040</v>
      </c>
    </row>
    <row r="140" spans="1:31" ht="15" customHeight="1">
      <c r="A140" s="1711" t="s">
        <v>41</v>
      </c>
      <c r="B140" s="116">
        <v>0</v>
      </c>
      <c r="C140" s="291">
        <f t="shared" ref="C140:C155" si="28">E4</f>
        <v>98</v>
      </c>
      <c r="D140" s="292"/>
      <c r="E140" s="292"/>
      <c r="F140" s="292"/>
      <c r="G140" s="292"/>
      <c r="H140" s="292"/>
      <c r="I140" s="292"/>
      <c r="J140" s="292"/>
      <c r="K140" s="292"/>
      <c r="L140" s="292"/>
      <c r="M140" s="292"/>
      <c r="N140" s="292"/>
      <c r="O140" s="292"/>
      <c r="P140" s="292"/>
      <c r="Q140" s="292"/>
      <c r="R140" s="292"/>
      <c r="S140" s="292"/>
      <c r="T140" s="292"/>
      <c r="U140" s="292"/>
      <c r="V140" s="292"/>
      <c r="W140" s="292"/>
      <c r="X140" s="292"/>
      <c r="Y140" s="292"/>
      <c r="Z140" s="292"/>
      <c r="AA140" s="292"/>
      <c r="AB140" s="292"/>
      <c r="AC140" s="292"/>
      <c r="AD140" s="292"/>
      <c r="AE140" s="293"/>
    </row>
    <row r="141" spans="1:31" ht="15" customHeight="1">
      <c r="A141" s="1711"/>
      <c r="B141" s="116">
        <v>1</v>
      </c>
      <c r="C141" s="294">
        <f t="shared" si="28"/>
        <v>193</v>
      </c>
      <c r="D141" s="295">
        <f t="shared" ref="D141:AE150" si="29">C140*$F26</f>
        <v>98</v>
      </c>
      <c r="E141" s="295">
        <f t="shared" si="29"/>
        <v>0</v>
      </c>
      <c r="F141" s="295">
        <f t="shared" si="29"/>
        <v>0</v>
      </c>
      <c r="G141" s="295">
        <f t="shared" si="29"/>
        <v>0</v>
      </c>
      <c r="H141" s="295">
        <f t="shared" si="29"/>
        <v>0</v>
      </c>
      <c r="I141" s="295">
        <f t="shared" si="29"/>
        <v>0</v>
      </c>
      <c r="J141" s="295">
        <f t="shared" si="29"/>
        <v>0</v>
      </c>
      <c r="K141" s="295">
        <f t="shared" si="29"/>
        <v>0</v>
      </c>
      <c r="L141" s="295">
        <f t="shared" si="29"/>
        <v>0</v>
      </c>
      <c r="M141" s="295">
        <f t="shared" si="29"/>
        <v>0</v>
      </c>
      <c r="N141" s="295">
        <f t="shared" ref="N141:P165" si="30">M140*$F26</f>
        <v>0</v>
      </c>
      <c r="O141" s="295">
        <f t="shared" si="30"/>
        <v>0</v>
      </c>
      <c r="P141" s="295">
        <f t="shared" si="30"/>
        <v>0</v>
      </c>
      <c r="Q141" s="295">
        <f t="shared" si="29"/>
        <v>0</v>
      </c>
      <c r="R141" s="295">
        <f t="shared" si="29"/>
        <v>0</v>
      </c>
      <c r="S141" s="295">
        <f t="shared" si="29"/>
        <v>0</v>
      </c>
      <c r="T141" s="295">
        <f t="shared" si="29"/>
        <v>0</v>
      </c>
      <c r="U141" s="295">
        <f t="shared" si="29"/>
        <v>0</v>
      </c>
      <c r="V141" s="295">
        <f t="shared" si="29"/>
        <v>0</v>
      </c>
      <c r="W141" s="295">
        <f t="shared" si="29"/>
        <v>0</v>
      </c>
      <c r="X141" s="295">
        <f t="shared" si="29"/>
        <v>0</v>
      </c>
      <c r="Y141" s="295">
        <f t="shared" si="29"/>
        <v>0</v>
      </c>
      <c r="Z141" s="295">
        <f t="shared" si="29"/>
        <v>0</v>
      </c>
      <c r="AA141" s="295">
        <f t="shared" si="29"/>
        <v>0</v>
      </c>
      <c r="AB141" s="295">
        <f t="shared" si="29"/>
        <v>0</v>
      </c>
      <c r="AC141" s="295">
        <f t="shared" si="29"/>
        <v>0</v>
      </c>
      <c r="AD141" s="295">
        <f t="shared" si="29"/>
        <v>0</v>
      </c>
      <c r="AE141" s="296">
        <f t="shared" si="29"/>
        <v>0</v>
      </c>
    </row>
    <row r="142" spans="1:31" ht="15" customHeight="1">
      <c r="A142" s="1711"/>
      <c r="B142" s="116">
        <v>2</v>
      </c>
      <c r="C142" s="294">
        <f t="shared" si="28"/>
        <v>445</v>
      </c>
      <c r="D142" s="295">
        <f t="shared" si="29"/>
        <v>193</v>
      </c>
      <c r="E142" s="295">
        <f t="shared" si="29"/>
        <v>98</v>
      </c>
      <c r="F142" s="295">
        <f t="shared" si="29"/>
        <v>0</v>
      </c>
      <c r="G142" s="295">
        <f t="shared" si="29"/>
        <v>0</v>
      </c>
      <c r="H142" s="295">
        <f t="shared" si="29"/>
        <v>0</v>
      </c>
      <c r="I142" s="295">
        <f t="shared" si="29"/>
        <v>0</v>
      </c>
      <c r="J142" s="295">
        <f t="shared" si="29"/>
        <v>0</v>
      </c>
      <c r="K142" s="295">
        <f t="shared" si="29"/>
        <v>0</v>
      </c>
      <c r="L142" s="295">
        <f t="shared" si="29"/>
        <v>0</v>
      </c>
      <c r="M142" s="295">
        <f t="shared" si="29"/>
        <v>0</v>
      </c>
      <c r="N142" s="295">
        <f t="shared" si="30"/>
        <v>0</v>
      </c>
      <c r="O142" s="295">
        <f t="shared" si="30"/>
        <v>0</v>
      </c>
      <c r="P142" s="295">
        <f t="shared" si="30"/>
        <v>0</v>
      </c>
      <c r="Q142" s="295">
        <f t="shared" si="29"/>
        <v>0</v>
      </c>
      <c r="R142" s="295">
        <f t="shared" si="29"/>
        <v>0</v>
      </c>
      <c r="S142" s="295">
        <f t="shared" si="29"/>
        <v>0</v>
      </c>
      <c r="T142" s="295">
        <f t="shared" si="29"/>
        <v>0</v>
      </c>
      <c r="U142" s="295">
        <f t="shared" si="29"/>
        <v>0</v>
      </c>
      <c r="V142" s="295">
        <f t="shared" si="29"/>
        <v>0</v>
      </c>
      <c r="W142" s="295">
        <f t="shared" si="29"/>
        <v>0</v>
      </c>
      <c r="X142" s="295">
        <f t="shared" si="29"/>
        <v>0</v>
      </c>
      <c r="Y142" s="295">
        <f t="shared" si="29"/>
        <v>0</v>
      </c>
      <c r="Z142" s="295">
        <f t="shared" si="29"/>
        <v>0</v>
      </c>
      <c r="AA142" s="295">
        <f t="shared" si="29"/>
        <v>0</v>
      </c>
      <c r="AB142" s="295">
        <f t="shared" si="29"/>
        <v>0</v>
      </c>
      <c r="AC142" s="295">
        <f t="shared" si="29"/>
        <v>0</v>
      </c>
      <c r="AD142" s="295">
        <f t="shared" si="29"/>
        <v>0</v>
      </c>
      <c r="AE142" s="296">
        <f t="shared" si="29"/>
        <v>0</v>
      </c>
    </row>
    <row r="143" spans="1:31" ht="15" customHeight="1">
      <c r="A143" s="1711"/>
      <c r="B143" s="116">
        <v>3</v>
      </c>
      <c r="C143" s="294">
        <f t="shared" si="28"/>
        <v>783</v>
      </c>
      <c r="D143" s="295">
        <f t="shared" si="29"/>
        <v>445</v>
      </c>
      <c r="E143" s="295">
        <f t="shared" si="29"/>
        <v>193</v>
      </c>
      <c r="F143" s="295">
        <f t="shared" si="29"/>
        <v>98</v>
      </c>
      <c r="G143" s="295">
        <f t="shared" si="29"/>
        <v>0</v>
      </c>
      <c r="H143" s="295">
        <f t="shared" si="29"/>
        <v>0</v>
      </c>
      <c r="I143" s="295">
        <f t="shared" si="29"/>
        <v>0</v>
      </c>
      <c r="J143" s="295">
        <f t="shared" si="29"/>
        <v>0</v>
      </c>
      <c r="K143" s="295">
        <f t="shared" si="29"/>
        <v>0</v>
      </c>
      <c r="L143" s="295">
        <f t="shared" si="29"/>
        <v>0</v>
      </c>
      <c r="M143" s="295">
        <f t="shared" si="29"/>
        <v>0</v>
      </c>
      <c r="N143" s="295">
        <f t="shared" si="30"/>
        <v>0</v>
      </c>
      <c r="O143" s="295">
        <f t="shared" si="30"/>
        <v>0</v>
      </c>
      <c r="P143" s="295">
        <f t="shared" si="30"/>
        <v>0</v>
      </c>
      <c r="Q143" s="295">
        <f t="shared" si="29"/>
        <v>0</v>
      </c>
      <c r="R143" s="295">
        <f t="shared" si="29"/>
        <v>0</v>
      </c>
      <c r="S143" s="295">
        <f t="shared" si="29"/>
        <v>0</v>
      </c>
      <c r="T143" s="295">
        <f t="shared" si="29"/>
        <v>0</v>
      </c>
      <c r="U143" s="295">
        <f t="shared" si="29"/>
        <v>0</v>
      </c>
      <c r="V143" s="295">
        <f t="shared" si="29"/>
        <v>0</v>
      </c>
      <c r="W143" s="295">
        <f t="shared" si="29"/>
        <v>0</v>
      </c>
      <c r="X143" s="295">
        <f t="shared" si="29"/>
        <v>0</v>
      </c>
      <c r="Y143" s="295">
        <f t="shared" si="29"/>
        <v>0</v>
      </c>
      <c r="Z143" s="295">
        <f t="shared" si="29"/>
        <v>0</v>
      </c>
      <c r="AA143" s="295">
        <f t="shared" si="29"/>
        <v>0</v>
      </c>
      <c r="AB143" s="295">
        <f t="shared" si="29"/>
        <v>0</v>
      </c>
      <c r="AC143" s="295">
        <f t="shared" si="29"/>
        <v>0</v>
      </c>
      <c r="AD143" s="295">
        <f t="shared" si="29"/>
        <v>0</v>
      </c>
      <c r="AE143" s="296">
        <f t="shared" si="29"/>
        <v>0</v>
      </c>
    </row>
    <row r="144" spans="1:31" ht="15" customHeight="1">
      <c r="A144" s="1711"/>
      <c r="B144" s="116">
        <v>4</v>
      </c>
      <c r="C144" s="294">
        <f t="shared" si="28"/>
        <v>4918</v>
      </c>
      <c r="D144" s="295">
        <f t="shared" si="29"/>
        <v>783</v>
      </c>
      <c r="E144" s="295">
        <f t="shared" si="29"/>
        <v>445</v>
      </c>
      <c r="F144" s="295">
        <f t="shared" si="29"/>
        <v>193</v>
      </c>
      <c r="G144" s="295">
        <f t="shared" si="29"/>
        <v>98</v>
      </c>
      <c r="H144" s="295">
        <f t="shared" si="29"/>
        <v>0</v>
      </c>
      <c r="I144" s="295">
        <f t="shared" si="29"/>
        <v>0</v>
      </c>
      <c r="J144" s="295">
        <f t="shared" si="29"/>
        <v>0</v>
      </c>
      <c r="K144" s="295">
        <f t="shared" si="29"/>
        <v>0</v>
      </c>
      <c r="L144" s="295">
        <f t="shared" si="29"/>
        <v>0</v>
      </c>
      <c r="M144" s="295">
        <f t="shared" si="29"/>
        <v>0</v>
      </c>
      <c r="N144" s="295">
        <f t="shared" si="30"/>
        <v>0</v>
      </c>
      <c r="O144" s="295">
        <f t="shared" si="30"/>
        <v>0</v>
      </c>
      <c r="P144" s="295">
        <f t="shared" si="30"/>
        <v>0</v>
      </c>
      <c r="Q144" s="295">
        <f t="shared" si="29"/>
        <v>0</v>
      </c>
      <c r="R144" s="295">
        <f t="shared" si="29"/>
        <v>0</v>
      </c>
      <c r="S144" s="295">
        <f t="shared" si="29"/>
        <v>0</v>
      </c>
      <c r="T144" s="295">
        <f t="shared" si="29"/>
        <v>0</v>
      </c>
      <c r="U144" s="295">
        <f t="shared" si="29"/>
        <v>0</v>
      </c>
      <c r="V144" s="295">
        <f t="shared" si="29"/>
        <v>0</v>
      </c>
      <c r="W144" s="295">
        <f t="shared" si="29"/>
        <v>0</v>
      </c>
      <c r="X144" s="295">
        <f t="shared" si="29"/>
        <v>0</v>
      </c>
      <c r="Y144" s="295">
        <f t="shared" si="29"/>
        <v>0</v>
      </c>
      <c r="Z144" s="295">
        <f t="shared" si="29"/>
        <v>0</v>
      </c>
      <c r="AA144" s="295">
        <f t="shared" si="29"/>
        <v>0</v>
      </c>
      <c r="AB144" s="295">
        <f t="shared" si="29"/>
        <v>0</v>
      </c>
      <c r="AC144" s="295">
        <f t="shared" si="29"/>
        <v>0</v>
      </c>
      <c r="AD144" s="295">
        <f t="shared" si="29"/>
        <v>0</v>
      </c>
      <c r="AE144" s="296">
        <f t="shared" si="29"/>
        <v>0</v>
      </c>
    </row>
    <row r="145" spans="1:31" ht="15" customHeight="1">
      <c r="A145" s="1711"/>
      <c r="B145" s="116">
        <v>5</v>
      </c>
      <c r="C145" s="294">
        <f t="shared" si="28"/>
        <v>8765</v>
      </c>
      <c r="D145" s="295">
        <f t="shared" si="29"/>
        <v>4918</v>
      </c>
      <c r="E145" s="295">
        <f t="shared" si="29"/>
        <v>783</v>
      </c>
      <c r="F145" s="295">
        <f t="shared" si="29"/>
        <v>445</v>
      </c>
      <c r="G145" s="295">
        <f t="shared" si="29"/>
        <v>193</v>
      </c>
      <c r="H145" s="295">
        <f t="shared" si="29"/>
        <v>98</v>
      </c>
      <c r="I145" s="295">
        <f t="shared" si="29"/>
        <v>0</v>
      </c>
      <c r="J145" s="295">
        <f t="shared" si="29"/>
        <v>0</v>
      </c>
      <c r="K145" s="295">
        <f t="shared" si="29"/>
        <v>0</v>
      </c>
      <c r="L145" s="295">
        <f t="shared" si="29"/>
        <v>0</v>
      </c>
      <c r="M145" s="295">
        <f t="shared" si="29"/>
        <v>0</v>
      </c>
      <c r="N145" s="295">
        <f t="shared" si="30"/>
        <v>0</v>
      </c>
      <c r="O145" s="295">
        <f t="shared" si="30"/>
        <v>0</v>
      </c>
      <c r="P145" s="295">
        <f t="shared" si="30"/>
        <v>0</v>
      </c>
      <c r="Q145" s="295">
        <f t="shared" si="29"/>
        <v>0</v>
      </c>
      <c r="R145" s="295">
        <f t="shared" si="29"/>
        <v>0</v>
      </c>
      <c r="S145" s="295">
        <f t="shared" si="29"/>
        <v>0</v>
      </c>
      <c r="T145" s="295">
        <f t="shared" si="29"/>
        <v>0</v>
      </c>
      <c r="U145" s="295">
        <f t="shared" si="29"/>
        <v>0</v>
      </c>
      <c r="V145" s="295">
        <f t="shared" si="29"/>
        <v>0</v>
      </c>
      <c r="W145" s="295">
        <f t="shared" si="29"/>
        <v>0</v>
      </c>
      <c r="X145" s="295">
        <f t="shared" si="29"/>
        <v>0</v>
      </c>
      <c r="Y145" s="295">
        <f t="shared" si="29"/>
        <v>0</v>
      </c>
      <c r="Z145" s="295">
        <f t="shared" si="29"/>
        <v>0</v>
      </c>
      <c r="AA145" s="295">
        <f t="shared" si="29"/>
        <v>0</v>
      </c>
      <c r="AB145" s="295">
        <f t="shared" si="29"/>
        <v>0</v>
      </c>
      <c r="AC145" s="295">
        <f t="shared" si="29"/>
        <v>0</v>
      </c>
      <c r="AD145" s="295">
        <f t="shared" si="29"/>
        <v>0</v>
      </c>
      <c r="AE145" s="296">
        <f t="shared" si="29"/>
        <v>0</v>
      </c>
    </row>
    <row r="146" spans="1:31" ht="15" customHeight="1">
      <c r="A146" s="1711"/>
      <c r="B146" s="116">
        <v>6</v>
      </c>
      <c r="C146" s="294">
        <f t="shared" si="28"/>
        <v>9805</v>
      </c>
      <c r="D146" s="295">
        <f t="shared" si="29"/>
        <v>8765</v>
      </c>
      <c r="E146" s="295">
        <f t="shared" si="29"/>
        <v>4918</v>
      </c>
      <c r="F146" s="295">
        <f t="shared" si="29"/>
        <v>783</v>
      </c>
      <c r="G146" s="295">
        <f t="shared" si="29"/>
        <v>445</v>
      </c>
      <c r="H146" s="295">
        <f t="shared" si="29"/>
        <v>193</v>
      </c>
      <c r="I146" s="295">
        <f t="shared" si="29"/>
        <v>98</v>
      </c>
      <c r="J146" s="295">
        <f t="shared" si="29"/>
        <v>0</v>
      </c>
      <c r="K146" s="295">
        <f t="shared" si="29"/>
        <v>0</v>
      </c>
      <c r="L146" s="295">
        <f t="shared" si="29"/>
        <v>0</v>
      </c>
      <c r="M146" s="295">
        <f t="shared" si="29"/>
        <v>0</v>
      </c>
      <c r="N146" s="295">
        <f t="shared" si="30"/>
        <v>0</v>
      </c>
      <c r="O146" s="295">
        <f t="shared" si="30"/>
        <v>0</v>
      </c>
      <c r="P146" s="295">
        <f t="shared" si="30"/>
        <v>0</v>
      </c>
      <c r="Q146" s="295">
        <f t="shared" si="29"/>
        <v>0</v>
      </c>
      <c r="R146" s="295">
        <f t="shared" si="29"/>
        <v>0</v>
      </c>
      <c r="S146" s="295">
        <f t="shared" si="29"/>
        <v>0</v>
      </c>
      <c r="T146" s="295">
        <f t="shared" si="29"/>
        <v>0</v>
      </c>
      <c r="U146" s="295">
        <f t="shared" si="29"/>
        <v>0</v>
      </c>
      <c r="V146" s="295">
        <f t="shared" si="29"/>
        <v>0</v>
      </c>
      <c r="W146" s="295">
        <f t="shared" si="29"/>
        <v>0</v>
      </c>
      <c r="X146" s="295">
        <f t="shared" si="29"/>
        <v>0</v>
      </c>
      <c r="Y146" s="295">
        <f t="shared" si="29"/>
        <v>0</v>
      </c>
      <c r="Z146" s="295">
        <f t="shared" si="29"/>
        <v>0</v>
      </c>
      <c r="AA146" s="295">
        <f t="shared" si="29"/>
        <v>0</v>
      </c>
      <c r="AB146" s="295">
        <f t="shared" si="29"/>
        <v>0</v>
      </c>
      <c r="AC146" s="295">
        <f t="shared" si="29"/>
        <v>0</v>
      </c>
      <c r="AD146" s="295">
        <f t="shared" si="29"/>
        <v>0</v>
      </c>
      <c r="AE146" s="296">
        <f t="shared" si="29"/>
        <v>0</v>
      </c>
    </row>
    <row r="147" spans="1:31" ht="15" customHeight="1">
      <c r="A147" s="1711"/>
      <c r="B147" s="116">
        <v>7</v>
      </c>
      <c r="C147" s="294">
        <f t="shared" si="28"/>
        <v>9031</v>
      </c>
      <c r="D147" s="295">
        <f t="shared" si="29"/>
        <v>9805</v>
      </c>
      <c r="E147" s="295">
        <f t="shared" si="29"/>
        <v>8765</v>
      </c>
      <c r="F147" s="295">
        <f t="shared" si="29"/>
        <v>4918</v>
      </c>
      <c r="G147" s="295">
        <f t="shared" si="29"/>
        <v>783</v>
      </c>
      <c r="H147" s="295">
        <f t="shared" si="29"/>
        <v>445</v>
      </c>
      <c r="I147" s="295">
        <f t="shared" si="29"/>
        <v>193</v>
      </c>
      <c r="J147" s="295">
        <f t="shared" si="29"/>
        <v>98</v>
      </c>
      <c r="K147" s="295">
        <f t="shared" si="29"/>
        <v>0</v>
      </c>
      <c r="L147" s="295">
        <f t="shared" si="29"/>
        <v>0</v>
      </c>
      <c r="M147" s="295">
        <f t="shared" si="29"/>
        <v>0</v>
      </c>
      <c r="N147" s="295">
        <f t="shared" si="30"/>
        <v>0</v>
      </c>
      <c r="O147" s="295">
        <f t="shared" si="30"/>
        <v>0</v>
      </c>
      <c r="P147" s="295">
        <f t="shared" si="30"/>
        <v>0</v>
      </c>
      <c r="Q147" s="295">
        <f t="shared" si="29"/>
        <v>0</v>
      </c>
      <c r="R147" s="295">
        <f t="shared" si="29"/>
        <v>0</v>
      </c>
      <c r="S147" s="295">
        <f t="shared" si="29"/>
        <v>0</v>
      </c>
      <c r="T147" s="295">
        <f t="shared" si="29"/>
        <v>0</v>
      </c>
      <c r="U147" s="295">
        <f t="shared" si="29"/>
        <v>0</v>
      </c>
      <c r="V147" s="295">
        <f t="shared" si="29"/>
        <v>0</v>
      </c>
      <c r="W147" s="295">
        <f t="shared" si="29"/>
        <v>0</v>
      </c>
      <c r="X147" s="295">
        <f t="shared" si="29"/>
        <v>0</v>
      </c>
      <c r="Y147" s="295">
        <f t="shared" si="29"/>
        <v>0</v>
      </c>
      <c r="Z147" s="295">
        <f t="shared" si="29"/>
        <v>0</v>
      </c>
      <c r="AA147" s="295">
        <f t="shared" si="29"/>
        <v>0</v>
      </c>
      <c r="AB147" s="295">
        <f t="shared" si="29"/>
        <v>0</v>
      </c>
      <c r="AC147" s="295">
        <f t="shared" si="29"/>
        <v>0</v>
      </c>
      <c r="AD147" s="295">
        <f t="shared" si="29"/>
        <v>0</v>
      </c>
      <c r="AE147" s="296">
        <f t="shared" si="29"/>
        <v>0</v>
      </c>
    </row>
    <row r="148" spans="1:31" ht="15" customHeight="1">
      <c r="A148" s="1711"/>
      <c r="B148" s="116">
        <v>8</v>
      </c>
      <c r="C148" s="294">
        <f t="shared" si="28"/>
        <v>9043</v>
      </c>
      <c r="D148" s="295">
        <f t="shared" si="29"/>
        <v>9031</v>
      </c>
      <c r="E148" s="295">
        <f t="shared" si="29"/>
        <v>9805</v>
      </c>
      <c r="F148" s="295">
        <f t="shared" si="29"/>
        <v>8765</v>
      </c>
      <c r="G148" s="295">
        <f t="shared" si="29"/>
        <v>4918</v>
      </c>
      <c r="H148" s="295">
        <f t="shared" si="29"/>
        <v>783</v>
      </c>
      <c r="I148" s="295">
        <f t="shared" si="29"/>
        <v>445</v>
      </c>
      <c r="J148" s="295">
        <f t="shared" si="29"/>
        <v>193</v>
      </c>
      <c r="K148" s="295">
        <f t="shared" si="29"/>
        <v>98</v>
      </c>
      <c r="L148" s="295">
        <f t="shared" si="29"/>
        <v>0</v>
      </c>
      <c r="M148" s="295">
        <f t="shared" si="29"/>
        <v>0</v>
      </c>
      <c r="N148" s="295">
        <f t="shared" si="30"/>
        <v>0</v>
      </c>
      <c r="O148" s="295">
        <f t="shared" si="30"/>
        <v>0</v>
      </c>
      <c r="P148" s="295">
        <f t="shared" si="30"/>
        <v>0</v>
      </c>
      <c r="Q148" s="295">
        <f t="shared" si="29"/>
        <v>0</v>
      </c>
      <c r="R148" s="295">
        <f t="shared" si="29"/>
        <v>0</v>
      </c>
      <c r="S148" s="295">
        <f t="shared" si="29"/>
        <v>0</v>
      </c>
      <c r="T148" s="295">
        <f t="shared" si="29"/>
        <v>0</v>
      </c>
      <c r="U148" s="295">
        <f t="shared" si="29"/>
        <v>0</v>
      </c>
      <c r="V148" s="295">
        <f t="shared" si="29"/>
        <v>0</v>
      </c>
      <c r="W148" s="295">
        <f t="shared" si="29"/>
        <v>0</v>
      </c>
      <c r="X148" s="295">
        <f t="shared" si="29"/>
        <v>0</v>
      </c>
      <c r="Y148" s="295">
        <f t="shared" si="29"/>
        <v>0</v>
      </c>
      <c r="Z148" s="295">
        <f t="shared" si="29"/>
        <v>0</v>
      </c>
      <c r="AA148" s="295">
        <f t="shared" si="29"/>
        <v>0</v>
      </c>
      <c r="AB148" s="295">
        <f t="shared" si="29"/>
        <v>0</v>
      </c>
      <c r="AC148" s="295">
        <f t="shared" si="29"/>
        <v>0</v>
      </c>
      <c r="AD148" s="295">
        <f t="shared" si="29"/>
        <v>0</v>
      </c>
      <c r="AE148" s="296">
        <f t="shared" si="29"/>
        <v>0</v>
      </c>
    </row>
    <row r="149" spans="1:31" ht="15" customHeight="1">
      <c r="A149" s="1711"/>
      <c r="B149" s="116">
        <v>9</v>
      </c>
      <c r="C149" s="294">
        <f t="shared" si="28"/>
        <v>8904</v>
      </c>
      <c r="D149" s="295">
        <f t="shared" si="29"/>
        <v>8798.5657710311607</v>
      </c>
      <c r="E149" s="295">
        <f t="shared" si="29"/>
        <v>8786.8901336041599</v>
      </c>
      <c r="F149" s="295">
        <f t="shared" si="29"/>
        <v>9539.9687476457511</v>
      </c>
      <c r="G149" s="295">
        <f t="shared" si="29"/>
        <v>8528.0801706389611</v>
      </c>
      <c r="H149" s="295">
        <f t="shared" si="29"/>
        <v>4785.0654054994193</v>
      </c>
      <c r="I149" s="295">
        <f t="shared" si="29"/>
        <v>761.83534211184326</v>
      </c>
      <c r="J149" s="295">
        <f t="shared" si="29"/>
        <v>432.97155458463635</v>
      </c>
      <c r="K149" s="295">
        <f t="shared" si="29"/>
        <v>187.78316861760632</v>
      </c>
      <c r="L149" s="295">
        <f t="shared" si="29"/>
        <v>95.351038987178342</v>
      </c>
      <c r="M149" s="295">
        <f t="shared" si="29"/>
        <v>0</v>
      </c>
      <c r="N149" s="295">
        <f t="shared" si="30"/>
        <v>0</v>
      </c>
      <c r="O149" s="295">
        <f t="shared" si="30"/>
        <v>0</v>
      </c>
      <c r="P149" s="295">
        <f t="shared" si="30"/>
        <v>0</v>
      </c>
      <c r="Q149" s="295">
        <f t="shared" si="29"/>
        <v>0</v>
      </c>
      <c r="R149" s="295">
        <f t="shared" si="29"/>
        <v>0</v>
      </c>
      <c r="S149" s="295">
        <f t="shared" si="29"/>
        <v>0</v>
      </c>
      <c r="T149" s="295">
        <f t="shared" si="29"/>
        <v>0</v>
      </c>
      <c r="U149" s="295">
        <f t="shared" si="29"/>
        <v>0</v>
      </c>
      <c r="V149" s="295">
        <f t="shared" si="29"/>
        <v>0</v>
      </c>
      <c r="W149" s="295">
        <f t="shared" si="29"/>
        <v>0</v>
      </c>
      <c r="X149" s="295">
        <f t="shared" si="29"/>
        <v>0</v>
      </c>
      <c r="Y149" s="295">
        <f t="shared" si="29"/>
        <v>0</v>
      </c>
      <c r="Z149" s="295">
        <f t="shared" si="29"/>
        <v>0</v>
      </c>
      <c r="AA149" s="295">
        <f t="shared" si="29"/>
        <v>0</v>
      </c>
      <c r="AB149" s="295">
        <f t="shared" si="29"/>
        <v>0</v>
      </c>
      <c r="AC149" s="295">
        <f t="shared" si="29"/>
        <v>0</v>
      </c>
      <c r="AD149" s="295">
        <f t="shared" si="29"/>
        <v>0</v>
      </c>
      <c r="AE149" s="296">
        <f t="shared" si="29"/>
        <v>0</v>
      </c>
    </row>
    <row r="150" spans="1:31" ht="15" customHeight="1">
      <c r="A150" s="1711"/>
      <c r="B150" s="116">
        <v>10</v>
      </c>
      <c r="C150" s="294">
        <f t="shared" si="28"/>
        <v>10899</v>
      </c>
      <c r="D150" s="295">
        <f t="shared" si="29"/>
        <v>7856.4733375321721</v>
      </c>
      <c r="E150" s="295">
        <f t="shared" si="29"/>
        <v>7763.4431029458119</v>
      </c>
      <c r="F150" s="295">
        <f t="shared" si="29"/>
        <v>7753.1410663168899</v>
      </c>
      <c r="G150" s="295">
        <f t="shared" ref="G150:AE150" si="31">F149*$F35</f>
        <v>8417.622428882416</v>
      </c>
      <c r="H150" s="295">
        <f t="shared" si="31"/>
        <v>7524.779254375765</v>
      </c>
      <c r="I150" s="295">
        <f t="shared" si="31"/>
        <v>4222.1180117535669</v>
      </c>
      <c r="J150" s="295">
        <f t="shared" si="31"/>
        <v>672.20789003721893</v>
      </c>
      <c r="K150" s="295">
        <f t="shared" si="31"/>
        <v>382.03385832255736</v>
      </c>
      <c r="L150" s="295">
        <f t="shared" si="31"/>
        <v>165.69108911517657</v>
      </c>
      <c r="M150" s="295">
        <f t="shared" si="31"/>
        <v>84.133299136203647</v>
      </c>
      <c r="N150" s="295">
        <f t="shared" si="30"/>
        <v>0</v>
      </c>
      <c r="O150" s="295">
        <f t="shared" si="30"/>
        <v>0</v>
      </c>
      <c r="P150" s="295">
        <f t="shared" si="30"/>
        <v>0</v>
      </c>
      <c r="Q150" s="295">
        <f t="shared" si="31"/>
        <v>0</v>
      </c>
      <c r="R150" s="295">
        <f t="shared" si="31"/>
        <v>0</v>
      </c>
      <c r="S150" s="295">
        <f t="shared" si="31"/>
        <v>0</v>
      </c>
      <c r="T150" s="295">
        <f t="shared" si="31"/>
        <v>0</v>
      </c>
      <c r="U150" s="295">
        <f t="shared" si="31"/>
        <v>0</v>
      </c>
      <c r="V150" s="295">
        <f t="shared" si="31"/>
        <v>0</v>
      </c>
      <c r="W150" s="295">
        <f t="shared" si="31"/>
        <v>0</v>
      </c>
      <c r="X150" s="295">
        <f t="shared" si="31"/>
        <v>0</v>
      </c>
      <c r="Y150" s="295">
        <f t="shared" si="31"/>
        <v>0</v>
      </c>
      <c r="Z150" s="295">
        <f t="shared" si="31"/>
        <v>0</v>
      </c>
      <c r="AA150" s="295">
        <f t="shared" si="31"/>
        <v>0</v>
      </c>
      <c r="AB150" s="295">
        <f t="shared" si="31"/>
        <v>0</v>
      </c>
      <c r="AC150" s="295">
        <f t="shared" si="31"/>
        <v>0</v>
      </c>
      <c r="AD150" s="295">
        <f t="shared" si="31"/>
        <v>0</v>
      </c>
      <c r="AE150" s="296">
        <f t="shared" si="31"/>
        <v>0</v>
      </c>
    </row>
    <row r="151" spans="1:31" ht="15" customHeight="1">
      <c r="A151" s="1711"/>
      <c r="B151" s="116">
        <v>11</v>
      </c>
      <c r="C151" s="294">
        <f t="shared" si="28"/>
        <v>9357</v>
      </c>
      <c r="D151" s="295">
        <f t="shared" ref="D151:AE160" si="32">C150*$F36</f>
        <v>8354.3290816913923</v>
      </c>
      <c r="E151" s="295">
        <f t="shared" si="32"/>
        <v>6022.1638391850684</v>
      </c>
      <c r="F151" s="295">
        <f t="shared" si="32"/>
        <v>5950.8540681710856</v>
      </c>
      <c r="G151" s="295">
        <f t="shared" si="32"/>
        <v>5942.9573249644009</v>
      </c>
      <c r="H151" s="295">
        <f t="shared" si="32"/>
        <v>6452.2972617955875</v>
      </c>
      <c r="I151" s="295">
        <f t="shared" si="32"/>
        <v>5767.9128505495482</v>
      </c>
      <c r="J151" s="295">
        <f t="shared" si="32"/>
        <v>3236.348590873095</v>
      </c>
      <c r="K151" s="295">
        <f t="shared" si="32"/>
        <v>515.26249423620038</v>
      </c>
      <c r="L151" s="295">
        <f t="shared" si="32"/>
        <v>292.83756058123777</v>
      </c>
      <c r="M151" s="295">
        <f t="shared" si="32"/>
        <v>127.00595324085143</v>
      </c>
      <c r="N151" s="295">
        <f t="shared" si="30"/>
        <v>64.490069521261347</v>
      </c>
      <c r="O151" s="295">
        <f t="shared" si="30"/>
        <v>0</v>
      </c>
      <c r="P151" s="295">
        <f t="shared" si="30"/>
        <v>0</v>
      </c>
      <c r="Q151" s="295">
        <f t="shared" si="32"/>
        <v>0</v>
      </c>
      <c r="R151" s="295">
        <f t="shared" si="32"/>
        <v>0</v>
      </c>
      <c r="S151" s="295">
        <f t="shared" si="32"/>
        <v>0</v>
      </c>
      <c r="T151" s="295">
        <f t="shared" si="32"/>
        <v>0</v>
      </c>
      <c r="U151" s="295">
        <f t="shared" si="32"/>
        <v>0</v>
      </c>
      <c r="V151" s="295">
        <f t="shared" si="32"/>
        <v>0</v>
      </c>
      <c r="W151" s="295">
        <f t="shared" si="32"/>
        <v>0</v>
      </c>
      <c r="X151" s="295">
        <f t="shared" si="32"/>
        <v>0</v>
      </c>
      <c r="Y151" s="295">
        <f t="shared" si="32"/>
        <v>0</v>
      </c>
      <c r="Z151" s="295">
        <f t="shared" si="32"/>
        <v>0</v>
      </c>
      <c r="AA151" s="295">
        <f t="shared" si="32"/>
        <v>0</v>
      </c>
      <c r="AB151" s="295">
        <f t="shared" si="32"/>
        <v>0</v>
      </c>
      <c r="AC151" s="295">
        <f t="shared" si="32"/>
        <v>0</v>
      </c>
      <c r="AD151" s="295">
        <f t="shared" si="32"/>
        <v>0</v>
      </c>
      <c r="AE151" s="296">
        <f t="shared" si="32"/>
        <v>0</v>
      </c>
    </row>
    <row r="152" spans="1:31" ht="15" customHeight="1">
      <c r="A152" s="1711"/>
      <c r="B152" s="116">
        <v>12</v>
      </c>
      <c r="C152" s="294">
        <f t="shared" si="28"/>
        <v>7165</v>
      </c>
      <c r="D152" s="295">
        <f t="shared" si="32"/>
        <v>5949.9231359874966</v>
      </c>
      <c r="E152" s="295">
        <f t="shared" si="32"/>
        <v>5312.3453979703745</v>
      </c>
      <c r="F152" s="295">
        <f t="shared" si="32"/>
        <v>3829.3696650074303</v>
      </c>
      <c r="G152" s="295">
        <f t="shared" si="32"/>
        <v>3784.0252537241058</v>
      </c>
      <c r="H152" s="295">
        <f t="shared" si="32"/>
        <v>3779.0038777377422</v>
      </c>
      <c r="I152" s="295">
        <f t="shared" si="32"/>
        <v>4102.8826288582177</v>
      </c>
      <c r="J152" s="295">
        <f t="shared" si="32"/>
        <v>3667.6967100400075</v>
      </c>
      <c r="K152" s="295">
        <f t="shared" si="32"/>
        <v>2057.9272584114956</v>
      </c>
      <c r="L152" s="295">
        <f t="shared" si="32"/>
        <v>327.64478311024828</v>
      </c>
      <c r="M152" s="295">
        <f t="shared" si="32"/>
        <v>186.2093594943301</v>
      </c>
      <c r="N152" s="295">
        <f t="shared" si="30"/>
        <v>80.76046378068699</v>
      </c>
      <c r="O152" s="295">
        <f t="shared" si="30"/>
        <v>41.007903888638985</v>
      </c>
      <c r="P152" s="295">
        <f t="shared" si="30"/>
        <v>0</v>
      </c>
      <c r="Q152" s="295">
        <f t="shared" si="32"/>
        <v>0</v>
      </c>
      <c r="R152" s="295">
        <f t="shared" si="32"/>
        <v>0</v>
      </c>
      <c r="S152" s="295">
        <f t="shared" si="32"/>
        <v>0</v>
      </c>
      <c r="T152" s="295">
        <f t="shared" si="32"/>
        <v>0</v>
      </c>
      <c r="U152" s="295">
        <f t="shared" si="32"/>
        <v>0</v>
      </c>
      <c r="V152" s="295">
        <f t="shared" si="32"/>
        <v>0</v>
      </c>
      <c r="W152" s="295">
        <f t="shared" si="32"/>
        <v>0</v>
      </c>
      <c r="X152" s="295">
        <f t="shared" si="32"/>
        <v>0</v>
      </c>
      <c r="Y152" s="295">
        <f t="shared" si="32"/>
        <v>0</v>
      </c>
      <c r="Z152" s="295">
        <f t="shared" si="32"/>
        <v>0</v>
      </c>
      <c r="AA152" s="295">
        <f t="shared" si="32"/>
        <v>0</v>
      </c>
      <c r="AB152" s="295">
        <f t="shared" si="32"/>
        <v>0</v>
      </c>
      <c r="AC152" s="295">
        <f t="shared" si="32"/>
        <v>0</v>
      </c>
      <c r="AD152" s="295">
        <f t="shared" si="32"/>
        <v>0</v>
      </c>
      <c r="AE152" s="296">
        <f t="shared" si="32"/>
        <v>0</v>
      </c>
    </row>
    <row r="153" spans="1:31" ht="15" customHeight="1">
      <c r="A153" s="1711"/>
      <c r="B153" s="116">
        <v>13</v>
      </c>
      <c r="C153" s="294">
        <f t="shared" si="28"/>
        <v>4474</v>
      </c>
      <c r="D153" s="295">
        <f t="shared" si="32"/>
        <v>3675.5623978069093</v>
      </c>
      <c r="E153" s="295">
        <f t="shared" si="32"/>
        <v>3052.241974665319</v>
      </c>
      <c r="F153" s="295">
        <f t="shared" si="32"/>
        <v>2725.1719454211429</v>
      </c>
      <c r="G153" s="295">
        <f t="shared" si="32"/>
        <v>1964.4224909984302</v>
      </c>
      <c r="H153" s="295">
        <f t="shared" si="32"/>
        <v>1941.1613307662349</v>
      </c>
      <c r="I153" s="295">
        <f t="shared" si="32"/>
        <v>1938.5854227745074</v>
      </c>
      <c r="J153" s="295">
        <f t="shared" si="32"/>
        <v>2104.7314882409528</v>
      </c>
      <c r="K153" s="295">
        <f t="shared" si="32"/>
        <v>1881.4861289578735</v>
      </c>
      <c r="L153" s="295">
        <f t="shared" si="32"/>
        <v>1055.6929586097915</v>
      </c>
      <c r="M153" s="295">
        <f t="shared" si="32"/>
        <v>168.07799646024131</v>
      </c>
      <c r="N153" s="295">
        <f t="shared" si="30"/>
        <v>95.523254693240574</v>
      </c>
      <c r="O153" s="295">
        <f t="shared" si="30"/>
        <v>41.42918686695603</v>
      </c>
      <c r="P153" s="295">
        <f t="shared" si="30"/>
        <v>21.03658193244399</v>
      </c>
      <c r="Q153" s="295">
        <f t="shared" si="32"/>
        <v>0</v>
      </c>
      <c r="R153" s="295">
        <f t="shared" si="32"/>
        <v>0</v>
      </c>
      <c r="S153" s="295">
        <f t="shared" si="32"/>
        <v>0</v>
      </c>
      <c r="T153" s="295">
        <f t="shared" si="32"/>
        <v>0</v>
      </c>
      <c r="U153" s="295">
        <f t="shared" si="32"/>
        <v>0</v>
      </c>
      <c r="V153" s="295">
        <f t="shared" si="32"/>
        <v>0</v>
      </c>
      <c r="W153" s="295">
        <f t="shared" si="32"/>
        <v>0</v>
      </c>
      <c r="X153" s="295">
        <f t="shared" si="32"/>
        <v>0</v>
      </c>
      <c r="Y153" s="295">
        <f t="shared" si="32"/>
        <v>0</v>
      </c>
      <c r="Z153" s="295">
        <f t="shared" si="32"/>
        <v>0</v>
      </c>
      <c r="AA153" s="295">
        <f t="shared" si="32"/>
        <v>0</v>
      </c>
      <c r="AB153" s="295">
        <f t="shared" si="32"/>
        <v>0</v>
      </c>
      <c r="AC153" s="295">
        <f t="shared" si="32"/>
        <v>0</v>
      </c>
      <c r="AD153" s="295">
        <f t="shared" si="32"/>
        <v>0</v>
      </c>
      <c r="AE153" s="296">
        <f t="shared" si="32"/>
        <v>0</v>
      </c>
    </row>
    <row r="154" spans="1:31" ht="15" customHeight="1">
      <c r="A154" s="1711"/>
      <c r="B154" s="116">
        <v>14</v>
      </c>
      <c r="C154" s="294">
        <f t="shared" si="28"/>
        <v>3337</v>
      </c>
      <c r="D154" s="295">
        <f t="shared" si="32"/>
        <v>1804.234078748746</v>
      </c>
      <c r="E154" s="295">
        <f t="shared" si="32"/>
        <v>1482.2474154427093</v>
      </c>
      <c r="F154" s="295">
        <f t="shared" si="32"/>
        <v>1230.8804173622118</v>
      </c>
      <c r="G154" s="295">
        <f t="shared" si="32"/>
        <v>1098.9825870314805</v>
      </c>
      <c r="H154" s="295">
        <f t="shared" si="32"/>
        <v>792.19445760390477</v>
      </c>
      <c r="I154" s="295">
        <f t="shared" si="32"/>
        <v>782.81390820690831</v>
      </c>
      <c r="J154" s="295">
        <f t="shared" si="32"/>
        <v>781.77511943122749</v>
      </c>
      <c r="K154" s="295">
        <f t="shared" si="32"/>
        <v>848.77699546264921</v>
      </c>
      <c r="L154" s="295">
        <f t="shared" si="32"/>
        <v>758.74863490363282</v>
      </c>
      <c r="M154" s="295">
        <f t="shared" si="32"/>
        <v>425.73026656657919</v>
      </c>
      <c r="N154" s="295">
        <f t="shared" si="30"/>
        <v>67.780967613182497</v>
      </c>
      <c r="O154" s="295">
        <f t="shared" si="30"/>
        <v>38.521750431502177</v>
      </c>
      <c r="P154" s="295">
        <f t="shared" si="30"/>
        <v>16.707186142202069</v>
      </c>
      <c r="Q154" s="295">
        <f t="shared" si="32"/>
        <v>8.483441668061154</v>
      </c>
      <c r="R154" s="295">
        <f t="shared" si="32"/>
        <v>0</v>
      </c>
      <c r="S154" s="295">
        <f t="shared" si="32"/>
        <v>0</v>
      </c>
      <c r="T154" s="295">
        <f t="shared" si="32"/>
        <v>0</v>
      </c>
      <c r="U154" s="295">
        <f t="shared" si="32"/>
        <v>0</v>
      </c>
      <c r="V154" s="295">
        <f t="shared" si="32"/>
        <v>0</v>
      </c>
      <c r="W154" s="295">
        <f t="shared" si="32"/>
        <v>0</v>
      </c>
      <c r="X154" s="295">
        <f t="shared" si="32"/>
        <v>0</v>
      </c>
      <c r="Y154" s="295">
        <f t="shared" si="32"/>
        <v>0</v>
      </c>
      <c r="Z154" s="295">
        <f t="shared" si="32"/>
        <v>0</v>
      </c>
      <c r="AA154" s="295">
        <f t="shared" si="32"/>
        <v>0</v>
      </c>
      <c r="AB154" s="295">
        <f t="shared" si="32"/>
        <v>0</v>
      </c>
      <c r="AC154" s="295">
        <f t="shared" si="32"/>
        <v>0</v>
      </c>
      <c r="AD154" s="295">
        <f t="shared" si="32"/>
        <v>0</v>
      </c>
      <c r="AE154" s="296">
        <f t="shared" si="32"/>
        <v>0</v>
      </c>
    </row>
    <row r="155" spans="1:31" ht="15" customHeight="1">
      <c r="A155" s="1711"/>
      <c r="B155" s="116">
        <v>15</v>
      </c>
      <c r="C155" s="294">
        <f t="shared" si="28"/>
        <v>1840</v>
      </c>
      <c r="D155" s="295">
        <f t="shared" si="32"/>
        <v>1019.8330105637326</v>
      </c>
      <c r="E155" s="295">
        <f t="shared" si="32"/>
        <v>551.39870311417928</v>
      </c>
      <c r="F155" s="295">
        <f t="shared" si="32"/>
        <v>452.9951585529667</v>
      </c>
      <c r="G155" s="295">
        <f t="shared" si="32"/>
        <v>376.17395315626254</v>
      </c>
      <c r="H155" s="295">
        <f t="shared" si="32"/>
        <v>335.86416550477497</v>
      </c>
      <c r="I155" s="295">
        <f t="shared" si="32"/>
        <v>242.10550154333038</v>
      </c>
      <c r="J155" s="295">
        <f t="shared" si="32"/>
        <v>239.23867687078595</v>
      </c>
      <c r="K155" s="295">
        <f t="shared" si="32"/>
        <v>238.9212087603747</v>
      </c>
      <c r="L155" s="295">
        <f t="shared" si="32"/>
        <v>259.39790188190386</v>
      </c>
      <c r="M155" s="295">
        <f t="shared" si="32"/>
        <v>231.88399897959073</v>
      </c>
      <c r="N155" s="295">
        <f t="shared" si="30"/>
        <v>130.10901391689987</v>
      </c>
      <c r="O155" s="295">
        <f t="shared" si="30"/>
        <v>20.714794204337657</v>
      </c>
      <c r="P155" s="295">
        <f t="shared" si="30"/>
        <v>11.772775761085894</v>
      </c>
      <c r="Q155" s="295">
        <f t="shared" si="32"/>
        <v>5.1059454424484896</v>
      </c>
      <c r="R155" s="295">
        <f t="shared" si="32"/>
        <v>2.5926562350256579</v>
      </c>
      <c r="S155" s="295">
        <f t="shared" si="32"/>
        <v>0</v>
      </c>
      <c r="T155" s="295">
        <f t="shared" si="32"/>
        <v>0</v>
      </c>
      <c r="U155" s="295">
        <f t="shared" si="32"/>
        <v>0</v>
      </c>
      <c r="V155" s="295">
        <f t="shared" si="32"/>
        <v>0</v>
      </c>
      <c r="W155" s="295">
        <f t="shared" si="32"/>
        <v>0</v>
      </c>
      <c r="X155" s="295">
        <f t="shared" si="32"/>
        <v>0</v>
      </c>
      <c r="Y155" s="295">
        <f t="shared" si="32"/>
        <v>0</v>
      </c>
      <c r="Z155" s="295">
        <f t="shared" si="32"/>
        <v>0</v>
      </c>
      <c r="AA155" s="295">
        <f t="shared" si="32"/>
        <v>0</v>
      </c>
      <c r="AB155" s="295">
        <f t="shared" si="32"/>
        <v>0</v>
      </c>
      <c r="AC155" s="295">
        <f t="shared" si="32"/>
        <v>0</v>
      </c>
      <c r="AD155" s="295">
        <f t="shared" si="32"/>
        <v>0</v>
      </c>
      <c r="AE155" s="296">
        <f t="shared" si="32"/>
        <v>0</v>
      </c>
    </row>
    <row r="156" spans="1:31" ht="15" customHeight="1">
      <c r="A156" s="1711"/>
      <c r="B156" s="116">
        <v>16</v>
      </c>
      <c r="C156" s="294">
        <f>(EXP(15-B156)*$E$20/(EXP(-1)+EXP(-2)+EXP(-3)+EXP(-4)+EXP(-5)+EXP(-6)+EXP(-7)+EXP(-8)+EXP(-9)+EXP(-10)))</f>
        <v>2801.0533637953163</v>
      </c>
      <c r="D156" s="295">
        <f t="shared" si="32"/>
        <v>506.09633368101328</v>
      </c>
      <c r="E156" s="295">
        <f t="shared" si="32"/>
        <v>280.50747152889954</v>
      </c>
      <c r="F156" s="295">
        <f t="shared" si="32"/>
        <v>151.66351197964764</v>
      </c>
      <c r="G156" s="295">
        <f t="shared" si="32"/>
        <v>124.59738528201399</v>
      </c>
      <c r="H156" s="295">
        <f t="shared" si="32"/>
        <v>103.46753180362919</v>
      </c>
      <c r="I156" s="295">
        <f t="shared" si="32"/>
        <v>92.380229769999815</v>
      </c>
      <c r="J156" s="295">
        <f t="shared" si="32"/>
        <v>66.591688421240434</v>
      </c>
      <c r="K156" s="295">
        <f t="shared" si="32"/>
        <v>65.803161542935541</v>
      </c>
      <c r="L156" s="295">
        <f t="shared" si="32"/>
        <v>65.715841191446529</v>
      </c>
      <c r="M156" s="295">
        <f t="shared" si="32"/>
        <v>71.348003862488454</v>
      </c>
      <c r="N156" s="295">
        <f t="shared" si="30"/>
        <v>63.780240066773196</v>
      </c>
      <c r="O156" s="295">
        <f t="shared" si="30"/>
        <v>35.786790718584214</v>
      </c>
      <c r="P156" s="295">
        <f t="shared" si="30"/>
        <v>5.6976529346586906</v>
      </c>
      <c r="Q156" s="295">
        <f t="shared" si="32"/>
        <v>3.2381297010512347</v>
      </c>
      <c r="R156" s="295">
        <f t="shared" si="32"/>
        <v>1.4044023197817714</v>
      </c>
      <c r="S156" s="295">
        <f t="shared" si="32"/>
        <v>0.71311620382701357</v>
      </c>
      <c r="T156" s="295">
        <f t="shared" si="32"/>
        <v>0</v>
      </c>
      <c r="U156" s="295">
        <f t="shared" si="32"/>
        <v>0</v>
      </c>
      <c r="V156" s="295">
        <f t="shared" si="32"/>
        <v>0</v>
      </c>
      <c r="W156" s="295">
        <f t="shared" si="32"/>
        <v>0</v>
      </c>
      <c r="X156" s="295">
        <f t="shared" si="32"/>
        <v>0</v>
      </c>
      <c r="Y156" s="295">
        <f t="shared" si="32"/>
        <v>0</v>
      </c>
      <c r="Z156" s="295">
        <f t="shared" si="32"/>
        <v>0</v>
      </c>
      <c r="AA156" s="295">
        <f t="shared" si="32"/>
        <v>0</v>
      </c>
      <c r="AB156" s="295">
        <f t="shared" si="32"/>
        <v>0</v>
      </c>
      <c r="AC156" s="295">
        <f t="shared" si="32"/>
        <v>0</v>
      </c>
      <c r="AD156" s="295">
        <f t="shared" si="32"/>
        <v>0</v>
      </c>
      <c r="AE156" s="296">
        <f t="shared" si="32"/>
        <v>0</v>
      </c>
    </row>
    <row r="157" spans="1:31" ht="15" customHeight="1">
      <c r="A157" s="1711"/>
      <c r="B157" s="116">
        <v>17</v>
      </c>
      <c r="C157" s="294">
        <f t="shared" ref="C157:C165" si="33">(EXP(15-B157)*$E$20/(EXP(-1)+EXP(-2)+EXP(-3)+EXP(-4)+EXP(-5)+EXP(-6)+EXP(-7)+EXP(-8)+EXP(-9)+EXP(-10)))</f>
        <v>1030.4499461644098</v>
      </c>
      <c r="D157" s="295">
        <f t="shared" si="32"/>
        <v>684.8322888220672</v>
      </c>
      <c r="E157" s="295">
        <f t="shared" si="32"/>
        <v>123.73598983833988</v>
      </c>
      <c r="F157" s="295">
        <f t="shared" si="32"/>
        <v>68.581547299955204</v>
      </c>
      <c r="G157" s="295">
        <f t="shared" si="32"/>
        <v>37.08036104641841</v>
      </c>
      <c r="H157" s="295">
        <f t="shared" si="32"/>
        <v>30.462937138873396</v>
      </c>
      <c r="I157" s="295">
        <f t="shared" si="32"/>
        <v>25.296878502821436</v>
      </c>
      <c r="J157" s="295">
        <f t="shared" si="32"/>
        <v>22.586133135848552</v>
      </c>
      <c r="K157" s="295">
        <f t="shared" si="32"/>
        <v>16.281067325419404</v>
      </c>
      <c r="L157" s="295">
        <f t="shared" si="32"/>
        <v>16.088279614250787</v>
      </c>
      <c r="M157" s="295">
        <f t="shared" si="32"/>
        <v>16.066930575726957</v>
      </c>
      <c r="N157" s="295">
        <f t="shared" si="30"/>
        <v>17.443943560514096</v>
      </c>
      <c r="O157" s="295">
        <f t="shared" si="30"/>
        <v>15.593693555115353</v>
      </c>
      <c r="P157" s="295">
        <f t="shared" si="30"/>
        <v>8.7495476216836643</v>
      </c>
      <c r="Q157" s="295">
        <f t="shared" si="32"/>
        <v>1.3930247636800142</v>
      </c>
      <c r="R157" s="295">
        <f t="shared" si="32"/>
        <v>0.79169351192542292</v>
      </c>
      <c r="S157" s="295">
        <f t="shared" si="32"/>
        <v>0.34336370292495871</v>
      </c>
      <c r="T157" s="295">
        <f t="shared" si="32"/>
        <v>0.17435048127795832</v>
      </c>
      <c r="U157" s="295">
        <f t="shared" si="32"/>
        <v>0</v>
      </c>
      <c r="V157" s="295">
        <f t="shared" si="32"/>
        <v>0</v>
      </c>
      <c r="W157" s="295">
        <f t="shared" si="32"/>
        <v>0</v>
      </c>
      <c r="X157" s="295">
        <f t="shared" si="32"/>
        <v>0</v>
      </c>
      <c r="Y157" s="295">
        <f t="shared" si="32"/>
        <v>0</v>
      </c>
      <c r="Z157" s="295">
        <f t="shared" si="32"/>
        <v>0</v>
      </c>
      <c r="AA157" s="295">
        <f t="shared" si="32"/>
        <v>0</v>
      </c>
      <c r="AB157" s="295">
        <f t="shared" si="32"/>
        <v>0</v>
      </c>
      <c r="AC157" s="295">
        <f t="shared" si="32"/>
        <v>0</v>
      </c>
      <c r="AD157" s="295">
        <f t="shared" si="32"/>
        <v>0</v>
      </c>
      <c r="AE157" s="296">
        <f t="shared" si="32"/>
        <v>0</v>
      </c>
    </row>
    <row r="158" spans="1:31" ht="15.75" customHeight="1">
      <c r="A158" s="1711"/>
      <c r="B158" s="116">
        <v>18</v>
      </c>
      <c r="C158" s="294">
        <f t="shared" si="33"/>
        <v>379.08135035010582</v>
      </c>
      <c r="D158" s="295">
        <f t="shared" si="32"/>
        <v>220.4437547445192</v>
      </c>
      <c r="E158" s="295">
        <f t="shared" si="32"/>
        <v>146.50590422189464</v>
      </c>
      <c r="F158" s="295">
        <f t="shared" si="32"/>
        <v>26.470792005496651</v>
      </c>
      <c r="G158" s="295">
        <f t="shared" si="32"/>
        <v>14.671623642919585</v>
      </c>
      <c r="H158" s="295">
        <f t="shared" si="32"/>
        <v>7.9325871642587176</v>
      </c>
      <c r="I158" s="295">
        <f t="shared" si="32"/>
        <v>6.5169242508437826</v>
      </c>
      <c r="J158" s="295">
        <f t="shared" si="32"/>
        <v>5.4117513434156885</v>
      </c>
      <c r="K158" s="295">
        <f t="shared" si="32"/>
        <v>4.8318426452046745</v>
      </c>
      <c r="L158" s="295">
        <f t="shared" si="32"/>
        <v>3.4830023775760579</v>
      </c>
      <c r="M158" s="295">
        <f t="shared" si="32"/>
        <v>3.4417593777808686</v>
      </c>
      <c r="N158" s="295">
        <f t="shared" si="30"/>
        <v>3.4371921863031103</v>
      </c>
      <c r="O158" s="295">
        <f t="shared" si="30"/>
        <v>3.7317760366185353</v>
      </c>
      <c r="P158" s="295">
        <f t="shared" si="30"/>
        <v>3.3359527752127955</v>
      </c>
      <c r="Q158" s="295">
        <f t="shared" si="32"/>
        <v>1.8717873073013727</v>
      </c>
      <c r="R158" s="295">
        <f t="shared" si="32"/>
        <v>0.29800924392374439</v>
      </c>
      <c r="S158" s="295">
        <f t="shared" si="32"/>
        <v>0.16936668396687896</v>
      </c>
      <c r="T158" s="295">
        <f t="shared" si="32"/>
        <v>7.3455662933949742E-2</v>
      </c>
      <c r="U158" s="295">
        <f t="shared" si="32"/>
        <v>3.7298730401694694E-2</v>
      </c>
      <c r="V158" s="295">
        <f t="shared" si="32"/>
        <v>0</v>
      </c>
      <c r="W158" s="295">
        <f t="shared" si="32"/>
        <v>0</v>
      </c>
      <c r="X158" s="295">
        <f t="shared" si="32"/>
        <v>0</v>
      </c>
      <c r="Y158" s="295">
        <f t="shared" si="32"/>
        <v>0</v>
      </c>
      <c r="Z158" s="295">
        <f t="shared" si="32"/>
        <v>0</v>
      </c>
      <c r="AA158" s="295">
        <f t="shared" si="32"/>
        <v>0</v>
      </c>
      <c r="AB158" s="295">
        <f t="shared" si="32"/>
        <v>0</v>
      </c>
      <c r="AC158" s="295">
        <f t="shared" si="32"/>
        <v>0</v>
      </c>
      <c r="AD158" s="295">
        <f t="shared" si="32"/>
        <v>0</v>
      </c>
      <c r="AE158" s="296">
        <f t="shared" si="32"/>
        <v>0</v>
      </c>
    </row>
    <row r="159" spans="1:31" ht="16.5" customHeight="1">
      <c r="A159" s="1711"/>
      <c r="B159" s="116">
        <v>19</v>
      </c>
      <c r="C159" s="294">
        <f t="shared" si="33"/>
        <v>139.45623532531266</v>
      </c>
      <c r="D159" s="295">
        <f t="shared" si="32"/>
        <v>69.511478832984167</v>
      </c>
      <c r="E159" s="295">
        <f t="shared" si="32"/>
        <v>40.422382630100607</v>
      </c>
      <c r="F159" s="295">
        <f t="shared" si="32"/>
        <v>26.864529343957457</v>
      </c>
      <c r="G159" s="295">
        <f t="shared" si="32"/>
        <v>4.853902457831353</v>
      </c>
      <c r="H159" s="295">
        <f t="shared" si="32"/>
        <v>2.6903097589961145</v>
      </c>
      <c r="I159" s="295">
        <f t="shared" si="32"/>
        <v>1.4545845218972477</v>
      </c>
      <c r="J159" s="295">
        <f t="shared" si="32"/>
        <v>1.1949969095032331</v>
      </c>
      <c r="K159" s="295">
        <f t="shared" si="32"/>
        <v>0.99234330206376042</v>
      </c>
      <c r="L159" s="295">
        <f t="shared" si="32"/>
        <v>0.88600646654407811</v>
      </c>
      <c r="M159" s="295">
        <f t="shared" si="32"/>
        <v>0.63867200488894771</v>
      </c>
      <c r="N159" s="295">
        <f t="shared" si="30"/>
        <v>0.63110934873447233</v>
      </c>
      <c r="O159" s="295">
        <f t="shared" si="30"/>
        <v>0.63027187088588077</v>
      </c>
      <c r="P159" s="295">
        <f t="shared" si="30"/>
        <v>0.68428919212003769</v>
      </c>
      <c r="Q159" s="295">
        <f t="shared" si="32"/>
        <v>0.6117077785754339</v>
      </c>
      <c r="R159" s="295">
        <f t="shared" si="32"/>
        <v>0.34322633828111632</v>
      </c>
      <c r="S159" s="295">
        <f t="shared" si="32"/>
        <v>5.464542962060067E-2</v>
      </c>
      <c r="T159" s="295">
        <f t="shared" si="32"/>
        <v>3.1056470218604464E-2</v>
      </c>
      <c r="U159" s="295">
        <f t="shared" si="32"/>
        <v>1.3469435398181259E-2</v>
      </c>
      <c r="V159" s="295">
        <f t="shared" si="32"/>
        <v>6.8394024301645789E-3</v>
      </c>
      <c r="W159" s="295">
        <f t="shared" si="32"/>
        <v>0</v>
      </c>
      <c r="X159" s="295">
        <f t="shared" si="32"/>
        <v>0</v>
      </c>
      <c r="Y159" s="295">
        <f t="shared" si="32"/>
        <v>0</v>
      </c>
      <c r="Z159" s="295">
        <f t="shared" si="32"/>
        <v>0</v>
      </c>
      <c r="AA159" s="295">
        <f t="shared" si="32"/>
        <v>0</v>
      </c>
      <c r="AB159" s="295">
        <f t="shared" si="32"/>
        <v>0</v>
      </c>
      <c r="AC159" s="295">
        <f t="shared" si="32"/>
        <v>0</v>
      </c>
      <c r="AD159" s="295">
        <f t="shared" si="32"/>
        <v>0</v>
      </c>
      <c r="AE159" s="296">
        <f t="shared" si="32"/>
        <v>0</v>
      </c>
    </row>
    <row r="160" spans="1:31">
      <c r="A160" s="1711"/>
      <c r="B160" s="116">
        <v>20</v>
      </c>
      <c r="C160" s="294">
        <f t="shared" si="33"/>
        <v>51.303081919349182</v>
      </c>
      <c r="D160" s="295">
        <f t="shared" si="32"/>
        <v>21.309869990065632</v>
      </c>
      <c r="E160" s="295">
        <f t="shared" si="32"/>
        <v>10.621831094842589</v>
      </c>
      <c r="F160" s="295">
        <f t="shared" si="32"/>
        <v>6.1768175264930552</v>
      </c>
      <c r="G160" s="295">
        <f t="shared" ref="G160:AE160" si="34">F159*$F45</f>
        <v>4.1050844828027993</v>
      </c>
      <c r="H160" s="295">
        <f t="shared" si="34"/>
        <v>0.74170961290872817</v>
      </c>
      <c r="I160" s="295">
        <f t="shared" si="34"/>
        <v>0.4110977975525919</v>
      </c>
      <c r="J160" s="295">
        <f t="shared" si="34"/>
        <v>0.22227049926369169</v>
      </c>
      <c r="K160" s="295">
        <f t="shared" si="34"/>
        <v>0.18260373027165702</v>
      </c>
      <c r="L160" s="295">
        <f t="shared" si="34"/>
        <v>0.15163686803362911</v>
      </c>
      <c r="M160" s="295">
        <f t="shared" si="34"/>
        <v>0.13538786966655417</v>
      </c>
      <c r="N160" s="295">
        <f t="shared" si="30"/>
        <v>9.7593466213465804E-2</v>
      </c>
      <c r="O160" s="295">
        <f t="shared" si="30"/>
        <v>9.6437840442732056E-2</v>
      </c>
      <c r="P160" s="295">
        <f t="shared" si="30"/>
        <v>9.6309868078990737E-2</v>
      </c>
      <c r="Q160" s="295">
        <f t="shared" si="34"/>
        <v>0.10456408554030606</v>
      </c>
      <c r="R160" s="295">
        <f t="shared" si="34"/>
        <v>9.3473147349391383E-2</v>
      </c>
      <c r="S160" s="295">
        <f t="shared" si="34"/>
        <v>5.2447340406652249E-2</v>
      </c>
      <c r="T160" s="295">
        <f t="shared" si="34"/>
        <v>8.3501967341213321E-3</v>
      </c>
      <c r="U160" s="295">
        <f t="shared" si="34"/>
        <v>4.7456418220740643E-3</v>
      </c>
      <c r="V160" s="295">
        <f t="shared" si="34"/>
        <v>2.0582221835062789E-3</v>
      </c>
      <c r="W160" s="295">
        <f t="shared" si="34"/>
        <v>1.0451076372208052E-3</v>
      </c>
      <c r="X160" s="295">
        <f t="shared" si="34"/>
        <v>0</v>
      </c>
      <c r="Y160" s="295">
        <f t="shared" si="34"/>
        <v>0</v>
      </c>
      <c r="Z160" s="295">
        <f t="shared" si="34"/>
        <v>0</v>
      </c>
      <c r="AA160" s="295">
        <f t="shared" si="34"/>
        <v>0</v>
      </c>
      <c r="AB160" s="295">
        <f t="shared" si="34"/>
        <v>0</v>
      </c>
      <c r="AC160" s="295">
        <f t="shared" si="34"/>
        <v>0</v>
      </c>
      <c r="AD160" s="295">
        <f t="shared" si="34"/>
        <v>0</v>
      </c>
      <c r="AE160" s="296">
        <f t="shared" si="34"/>
        <v>0</v>
      </c>
    </row>
    <row r="161" spans="1:31" ht="15.75" customHeight="1">
      <c r="A161" s="1711"/>
      <c r="B161" s="116">
        <v>21</v>
      </c>
      <c r="C161" s="294">
        <f t="shared" si="33"/>
        <v>18.873349106862904</v>
      </c>
      <c r="D161" s="295">
        <f t="shared" ref="D161:AE165" si="35">C160*$F46</f>
        <v>6.2715704507051484</v>
      </c>
      <c r="E161" s="295">
        <f t="shared" si="35"/>
        <v>2.605035524925428</v>
      </c>
      <c r="F161" s="295">
        <f t="shared" si="35"/>
        <v>1.2984709599224202</v>
      </c>
      <c r="G161" s="295">
        <f t="shared" si="35"/>
        <v>0.75508809274752697</v>
      </c>
      <c r="H161" s="295">
        <f t="shared" si="35"/>
        <v>0.5018280691297865</v>
      </c>
      <c r="I161" s="295">
        <f t="shared" si="35"/>
        <v>9.0670655978036488E-2</v>
      </c>
      <c r="J161" s="295">
        <f t="shared" si="35"/>
        <v>5.0254852204276876E-2</v>
      </c>
      <c r="K161" s="295">
        <f t="shared" si="35"/>
        <v>2.7171566367826756E-2</v>
      </c>
      <c r="L161" s="295">
        <f t="shared" si="35"/>
        <v>2.2322482706995727E-2</v>
      </c>
      <c r="M161" s="295">
        <f t="shared" si="35"/>
        <v>1.8536923420939943E-2</v>
      </c>
      <c r="N161" s="295">
        <f t="shared" si="30"/>
        <v>1.6550556633605305E-2</v>
      </c>
      <c r="O161" s="295">
        <f t="shared" si="30"/>
        <v>1.1930361217839832E-2</v>
      </c>
      <c r="P161" s="295">
        <f t="shared" si="30"/>
        <v>1.1789091177821561E-2</v>
      </c>
      <c r="Q161" s="295">
        <f t="shared" si="35"/>
        <v>1.1773447133352485E-2</v>
      </c>
      <c r="R161" s="295">
        <f t="shared" si="35"/>
        <v>1.2782488001607917E-2</v>
      </c>
      <c r="S161" s="295">
        <f t="shared" si="35"/>
        <v>1.1426670814287953E-2</v>
      </c>
      <c r="T161" s="295">
        <f t="shared" si="35"/>
        <v>6.4114508915765166E-3</v>
      </c>
      <c r="U161" s="295">
        <f t="shared" si="35"/>
        <v>1.0207739016072413E-3</v>
      </c>
      <c r="V161" s="295">
        <f t="shared" si="35"/>
        <v>5.8013331572825326E-4</v>
      </c>
      <c r="W161" s="295">
        <f t="shared" si="35"/>
        <v>2.5160838187764686E-4</v>
      </c>
      <c r="X161" s="295">
        <f t="shared" si="35"/>
        <v>1.2775969649745801E-4</v>
      </c>
      <c r="Y161" s="295">
        <f t="shared" si="35"/>
        <v>0</v>
      </c>
      <c r="Z161" s="295">
        <f t="shared" si="35"/>
        <v>0</v>
      </c>
      <c r="AA161" s="295">
        <f t="shared" si="35"/>
        <v>0</v>
      </c>
      <c r="AB161" s="295">
        <f t="shared" si="35"/>
        <v>0</v>
      </c>
      <c r="AC161" s="295">
        <f t="shared" si="35"/>
        <v>0</v>
      </c>
      <c r="AD161" s="295">
        <f t="shared" si="35"/>
        <v>0</v>
      </c>
      <c r="AE161" s="296">
        <f t="shared" si="35"/>
        <v>0</v>
      </c>
    </row>
    <row r="162" spans="1:31" ht="15" customHeight="1">
      <c r="A162" s="1711"/>
      <c r="B162" s="116">
        <v>22</v>
      </c>
      <c r="C162" s="294">
        <f t="shared" si="33"/>
        <v>6.9431171224662664</v>
      </c>
      <c r="D162" s="295">
        <f t="shared" si="35"/>
        <v>1.7303863745045556</v>
      </c>
      <c r="E162" s="295">
        <f t="shared" si="35"/>
        <v>0.57500340788479298</v>
      </c>
      <c r="F162" s="295">
        <f t="shared" si="35"/>
        <v>0.2388403855568032</v>
      </c>
      <c r="G162" s="295">
        <f t="shared" si="35"/>
        <v>0.11904916525507304</v>
      </c>
      <c r="H162" s="295">
        <f t="shared" si="35"/>
        <v>6.9229586113353725E-2</v>
      </c>
      <c r="I162" s="295">
        <f t="shared" si="35"/>
        <v>4.6009664116812891E-2</v>
      </c>
      <c r="J162" s="295">
        <f t="shared" si="35"/>
        <v>8.3130591599523077E-3</v>
      </c>
      <c r="K162" s="295">
        <f t="shared" si="35"/>
        <v>4.6075718207003137E-3</v>
      </c>
      <c r="L162" s="295">
        <f t="shared" si="35"/>
        <v>2.4912011085375827E-3</v>
      </c>
      <c r="M162" s="295">
        <f t="shared" si="35"/>
        <v>2.0466171479471672E-3</v>
      </c>
      <c r="N162" s="295">
        <f t="shared" si="30"/>
        <v>1.699541482076706E-3</v>
      </c>
      <c r="O162" s="295">
        <f t="shared" si="30"/>
        <v>1.5174231943202215E-3</v>
      </c>
      <c r="P162" s="295">
        <f t="shared" si="30"/>
        <v>1.0938246506954513E-3</v>
      </c>
      <c r="Q162" s="295">
        <f t="shared" si="35"/>
        <v>1.0808724316171512E-3</v>
      </c>
      <c r="R162" s="295">
        <f t="shared" si="35"/>
        <v>1.0794381211914731E-3</v>
      </c>
      <c r="S162" s="295">
        <f t="shared" si="35"/>
        <v>1.1719511436477014E-3</v>
      </c>
      <c r="T162" s="295">
        <f t="shared" si="35"/>
        <v>1.0476442400889447E-3</v>
      </c>
      <c r="U162" s="295">
        <f t="shared" si="35"/>
        <v>5.8782822279035158E-4</v>
      </c>
      <c r="V162" s="295">
        <f t="shared" si="35"/>
        <v>9.3588755275487049E-5</v>
      </c>
      <c r="W162" s="295">
        <f t="shared" si="35"/>
        <v>5.31890116188911E-5</v>
      </c>
      <c r="X162" s="295">
        <f t="shared" si="35"/>
        <v>2.3068492679653886E-5</v>
      </c>
      <c r="Y162" s="295">
        <f t="shared" si="35"/>
        <v>1.171353514303669E-5</v>
      </c>
      <c r="Z162" s="295">
        <f t="shared" si="35"/>
        <v>0</v>
      </c>
      <c r="AA162" s="295">
        <f t="shared" si="35"/>
        <v>0</v>
      </c>
      <c r="AB162" s="295">
        <f t="shared" si="35"/>
        <v>0</v>
      </c>
      <c r="AC162" s="295">
        <f t="shared" si="35"/>
        <v>0</v>
      </c>
      <c r="AD162" s="295">
        <f t="shared" si="35"/>
        <v>0</v>
      </c>
      <c r="AE162" s="296">
        <f t="shared" si="35"/>
        <v>0</v>
      </c>
    </row>
    <row r="163" spans="1:31" ht="15" customHeight="1">
      <c r="A163" s="1711"/>
      <c r="B163" s="116">
        <v>23</v>
      </c>
      <c r="C163" s="294">
        <f t="shared" si="33"/>
        <v>2.5542300470007624</v>
      </c>
      <c r="D163" s="295">
        <f t="shared" si="35"/>
        <v>0.42438238164227615</v>
      </c>
      <c r="E163" s="295">
        <f t="shared" si="35"/>
        <v>0.1057659661821663</v>
      </c>
      <c r="F163" s="295">
        <f t="shared" si="35"/>
        <v>3.5145787027123447E-2</v>
      </c>
      <c r="G163" s="295">
        <f t="shared" si="35"/>
        <v>1.4598580128654325E-2</v>
      </c>
      <c r="H163" s="295">
        <f t="shared" si="35"/>
        <v>7.2766118434030892E-3</v>
      </c>
      <c r="I163" s="295">
        <f t="shared" si="35"/>
        <v>4.2315023809447261E-3</v>
      </c>
      <c r="J163" s="295">
        <f t="shared" si="35"/>
        <v>2.8122369955813882E-3</v>
      </c>
      <c r="K163" s="295">
        <f t="shared" si="35"/>
        <v>5.0811700030497944E-4</v>
      </c>
      <c r="L163" s="295">
        <f t="shared" si="35"/>
        <v>2.8162744029328274E-4</v>
      </c>
      <c r="M163" s="295">
        <f t="shared" si="35"/>
        <v>1.5226905162958303E-4</v>
      </c>
      <c r="N163" s="295">
        <f t="shared" si="30"/>
        <v>1.250948593025065E-4</v>
      </c>
      <c r="O163" s="295">
        <f t="shared" si="30"/>
        <v>1.0388064166881848E-4</v>
      </c>
      <c r="P163" s="295">
        <f t="shared" si="30"/>
        <v>9.2749071894685547E-5</v>
      </c>
      <c r="Q163" s="295">
        <f t="shared" si="35"/>
        <v>6.6857565870396521E-5</v>
      </c>
      <c r="R163" s="295">
        <f t="shared" si="35"/>
        <v>6.6065890678541336E-5</v>
      </c>
      <c r="S163" s="295">
        <f t="shared" si="35"/>
        <v>6.5978221687261617E-5</v>
      </c>
      <c r="T163" s="295">
        <f t="shared" si="35"/>
        <v>7.1632871624803456E-5</v>
      </c>
      <c r="U163" s="295">
        <f t="shared" si="35"/>
        <v>6.4034892380561174E-5</v>
      </c>
      <c r="V163" s="295">
        <f t="shared" si="35"/>
        <v>3.5929674926138043E-5</v>
      </c>
      <c r="W163" s="295">
        <f t="shared" si="35"/>
        <v>5.7204016810016441E-6</v>
      </c>
      <c r="X163" s="295">
        <f t="shared" si="35"/>
        <v>3.2510584266229007E-6</v>
      </c>
      <c r="Y163" s="295">
        <f t="shared" si="35"/>
        <v>1.4100096097488083E-6</v>
      </c>
      <c r="Z163" s="295">
        <f t="shared" si="35"/>
        <v>7.1596342878436903E-7</v>
      </c>
      <c r="AA163" s="295">
        <f t="shared" si="35"/>
        <v>0</v>
      </c>
      <c r="AB163" s="295">
        <f t="shared" si="35"/>
        <v>0</v>
      </c>
      <c r="AC163" s="295">
        <f t="shared" si="35"/>
        <v>0</v>
      </c>
      <c r="AD163" s="295">
        <f t="shared" si="35"/>
        <v>0</v>
      </c>
      <c r="AE163" s="296">
        <f t="shared" si="35"/>
        <v>0</v>
      </c>
    </row>
    <row r="164" spans="1:31" ht="15" customHeight="1">
      <c r="A164" s="1711"/>
      <c r="B164" s="116">
        <v>24</v>
      </c>
      <c r="C164" s="294">
        <f t="shared" si="33"/>
        <v>0.93964872231394736</v>
      </c>
      <c r="D164" s="295">
        <f t="shared" si="35"/>
        <v>7.8060776700783208E-2</v>
      </c>
      <c r="E164" s="295">
        <f t="shared" si="35"/>
        <v>1.2969708178017682E-2</v>
      </c>
      <c r="F164" s="295">
        <f t="shared" si="35"/>
        <v>3.2323531227671787E-3</v>
      </c>
      <c r="G164" s="295">
        <f t="shared" si="35"/>
        <v>1.0741034999251764E-3</v>
      </c>
      <c r="H164" s="295">
        <f t="shared" si="35"/>
        <v>4.4615264976210502E-4</v>
      </c>
      <c r="I164" s="295">
        <f t="shared" si="35"/>
        <v>2.223832473167964E-4</v>
      </c>
      <c r="J164" s="295">
        <f t="shared" si="35"/>
        <v>1.2932052179701734E-4</v>
      </c>
      <c r="K164" s="295">
        <f t="shared" si="35"/>
        <v>8.5945823243106922E-5</v>
      </c>
      <c r="L164" s="295">
        <f t="shared" si="35"/>
        <v>1.5528753075805845E-5</v>
      </c>
      <c r="M164" s="295">
        <f t="shared" si="35"/>
        <v>8.6069211954347257E-6</v>
      </c>
      <c r="N164" s="295">
        <f t="shared" si="30"/>
        <v>4.6535512537932971E-6</v>
      </c>
      <c r="O164" s="295">
        <f t="shared" si="30"/>
        <v>3.823070631361161E-6</v>
      </c>
      <c r="P164" s="295">
        <f t="shared" si="30"/>
        <v>3.1747350174529108E-6</v>
      </c>
      <c r="Q164" s="295">
        <f t="shared" si="35"/>
        <v>2.834538963660455E-6</v>
      </c>
      <c r="R164" s="295">
        <f t="shared" si="35"/>
        <v>2.043258995522015E-6</v>
      </c>
      <c r="S164" s="295">
        <f t="shared" si="35"/>
        <v>2.0190643148418146E-6</v>
      </c>
      <c r="T164" s="295">
        <f t="shared" si="35"/>
        <v>2.016385030115717E-6</v>
      </c>
      <c r="U164" s="295">
        <f t="shared" si="35"/>
        <v>2.1891988949490197E-6</v>
      </c>
      <c r="V164" s="295">
        <f t="shared" si="35"/>
        <v>1.9569942186872165E-6</v>
      </c>
      <c r="W164" s="295">
        <f t="shared" si="35"/>
        <v>1.0980601902457199E-6</v>
      </c>
      <c r="X164" s="295">
        <f t="shared" si="35"/>
        <v>1.7482332837787691E-7</v>
      </c>
      <c r="Y164" s="295">
        <f t="shared" si="35"/>
        <v>9.9356808592790819E-8</v>
      </c>
      <c r="Z164" s="295">
        <f t="shared" si="35"/>
        <v>4.309182934473848E-8</v>
      </c>
      <c r="AA164" s="295">
        <f t="shared" si="35"/>
        <v>2.1880825263131456E-8</v>
      </c>
      <c r="AB164" s="295">
        <f t="shared" si="35"/>
        <v>0</v>
      </c>
      <c r="AC164" s="295">
        <f t="shared" si="35"/>
        <v>0</v>
      </c>
      <c r="AD164" s="295">
        <f t="shared" si="35"/>
        <v>0</v>
      </c>
      <c r="AE164" s="296">
        <f t="shared" si="35"/>
        <v>0</v>
      </c>
    </row>
    <row r="165" spans="1:31" ht="15.75" customHeight="1" thickBot="1">
      <c r="A165" s="1711"/>
      <c r="B165" s="116">
        <v>25</v>
      </c>
      <c r="C165" s="297">
        <f t="shared" si="33"/>
        <v>0.34567744686231472</v>
      </c>
      <c r="D165" s="298">
        <f t="shared" si="35"/>
        <v>0</v>
      </c>
      <c r="E165" s="298">
        <f t="shared" si="35"/>
        <v>0</v>
      </c>
      <c r="F165" s="298">
        <f t="shared" si="35"/>
        <v>0</v>
      </c>
      <c r="G165" s="298">
        <f t="shared" si="35"/>
        <v>0</v>
      </c>
      <c r="H165" s="298">
        <f t="shared" si="35"/>
        <v>0</v>
      </c>
      <c r="I165" s="298">
        <f t="shared" si="35"/>
        <v>0</v>
      </c>
      <c r="J165" s="298">
        <f t="shared" si="35"/>
        <v>0</v>
      </c>
      <c r="K165" s="298">
        <f t="shared" si="35"/>
        <v>0</v>
      </c>
      <c r="L165" s="298">
        <f t="shared" si="35"/>
        <v>0</v>
      </c>
      <c r="M165" s="298">
        <f t="shared" si="35"/>
        <v>0</v>
      </c>
      <c r="N165" s="298">
        <f t="shared" si="30"/>
        <v>0</v>
      </c>
      <c r="O165" s="298">
        <f t="shared" si="30"/>
        <v>0</v>
      </c>
      <c r="P165" s="298">
        <f t="shared" si="30"/>
        <v>0</v>
      </c>
      <c r="Q165" s="298">
        <f t="shared" si="35"/>
        <v>0</v>
      </c>
      <c r="R165" s="298">
        <f t="shared" si="35"/>
        <v>0</v>
      </c>
      <c r="S165" s="298">
        <f t="shared" si="35"/>
        <v>0</v>
      </c>
      <c r="T165" s="298">
        <f t="shared" si="35"/>
        <v>0</v>
      </c>
      <c r="U165" s="298">
        <f t="shared" si="35"/>
        <v>0</v>
      </c>
      <c r="V165" s="298">
        <f t="shared" si="35"/>
        <v>0</v>
      </c>
      <c r="W165" s="298">
        <f t="shared" si="35"/>
        <v>0</v>
      </c>
      <c r="X165" s="298">
        <f t="shared" si="35"/>
        <v>0</v>
      </c>
      <c r="Y165" s="298">
        <f t="shared" si="35"/>
        <v>0</v>
      </c>
      <c r="Z165" s="298">
        <f t="shared" si="35"/>
        <v>0</v>
      </c>
      <c r="AA165" s="298">
        <f t="shared" si="35"/>
        <v>0</v>
      </c>
      <c r="AB165" s="298">
        <f t="shared" si="35"/>
        <v>0</v>
      </c>
      <c r="AC165" s="298">
        <f t="shared" si="35"/>
        <v>0</v>
      </c>
      <c r="AD165" s="298">
        <f t="shared" si="35"/>
        <v>0</v>
      </c>
      <c r="AE165" s="299">
        <f t="shared" si="35"/>
        <v>0</v>
      </c>
    </row>
    <row r="166" spans="1:31" ht="16.5" customHeight="1" thickTop="1" thickBot="1">
      <c r="A166" s="1712"/>
      <c r="B166" s="300" t="s">
        <v>39</v>
      </c>
      <c r="C166" s="301">
        <f>SUM(C140:C165)</f>
        <v>93488.000000000015</v>
      </c>
      <c r="D166" s="301">
        <f>SUM(D140:D165)</f>
        <v>73007.618939415785</v>
      </c>
      <c r="E166" s="301">
        <f t="shared" ref="E166:AB166" si="36">SUM(E140:E165)</f>
        <v>58582.822920848877</v>
      </c>
      <c r="F166" s="301">
        <f t="shared" si="36"/>
        <v>46965.713956118649</v>
      </c>
      <c r="G166" s="301">
        <f t="shared" si="36"/>
        <v>36735.462376249685</v>
      </c>
      <c r="H166" s="301">
        <f t="shared" si="36"/>
        <v>27275.23960918183</v>
      </c>
      <c r="I166" s="301">
        <f t="shared" si="36"/>
        <v>18680.454514846762</v>
      </c>
      <c r="J166" s="301">
        <f t="shared" si="36"/>
        <v>11522.038379856074</v>
      </c>
      <c r="K166" s="301">
        <f t="shared" si="36"/>
        <v>6298.3145045156643</v>
      </c>
      <c r="L166" s="301">
        <f t="shared" si="36"/>
        <v>3041.7138445470291</v>
      </c>
      <c r="M166" s="301">
        <f t="shared" si="36"/>
        <v>1314.6923719848901</v>
      </c>
      <c r="N166" s="301">
        <f t="shared" si="36"/>
        <v>524.07222800033594</v>
      </c>
      <c r="O166" s="301">
        <f t="shared" si="36"/>
        <v>197.526160901206</v>
      </c>
      <c r="P166" s="301">
        <f t="shared" si="36"/>
        <v>68.093275067121539</v>
      </c>
      <c r="Q166" s="301">
        <f t="shared" si="36"/>
        <v>20.821524758327811</v>
      </c>
      <c r="R166" s="301">
        <f t="shared" si="36"/>
        <v>5.5373908315595788</v>
      </c>
      <c r="S166" s="301">
        <f t="shared" si="36"/>
        <v>1.3456059799900422</v>
      </c>
      <c r="T166" s="301">
        <f t="shared" si="36"/>
        <v>0.29474555555295429</v>
      </c>
      <c r="U166" s="301">
        <f t="shared" si="36"/>
        <v>5.7188633837623126E-2</v>
      </c>
      <c r="V166" s="301">
        <f t="shared" si="36"/>
        <v>9.6092333538194217E-3</v>
      </c>
      <c r="W166" s="301">
        <f t="shared" si="36"/>
        <v>1.3567234925885906E-3</v>
      </c>
      <c r="X166" s="301">
        <f t="shared" si="36"/>
        <v>1.5425407093211269E-4</v>
      </c>
      <c r="Y166" s="301">
        <f t="shared" si="36"/>
        <v>1.3222901561378288E-5</v>
      </c>
      <c r="Z166" s="301">
        <f t="shared" si="36"/>
        <v>7.5905525812910749E-7</v>
      </c>
      <c r="AA166" s="301">
        <f t="shared" si="36"/>
        <v>2.1880825263131456E-8</v>
      </c>
      <c r="AB166" s="301">
        <f t="shared" si="36"/>
        <v>0</v>
      </c>
      <c r="AC166" s="301">
        <f>SUM(AC140:AC165)</f>
        <v>0</v>
      </c>
      <c r="AD166" s="301">
        <f t="shared" ref="AD166:AE166" si="37">SUM(AD140:AD165)</f>
        <v>0</v>
      </c>
      <c r="AE166" s="302">
        <f t="shared" si="37"/>
        <v>0</v>
      </c>
    </row>
    <row r="167" spans="1:31" ht="15.75" thickBot="1"/>
    <row r="168" spans="1:31" ht="15.75" customHeight="1" thickBot="1">
      <c r="A168" s="1710" t="s">
        <v>45</v>
      </c>
      <c r="B168" s="169" t="s">
        <v>10</v>
      </c>
      <c r="C168" s="288">
        <v>2012</v>
      </c>
      <c r="D168" s="289">
        <v>2013</v>
      </c>
      <c r="E168" s="289">
        <v>2014</v>
      </c>
      <c r="F168" s="289">
        <v>2015</v>
      </c>
      <c r="G168" s="288">
        <v>2016</v>
      </c>
      <c r="H168" s="289">
        <v>2017</v>
      </c>
      <c r="I168" s="289">
        <v>2018</v>
      </c>
      <c r="J168" s="289">
        <v>2019</v>
      </c>
      <c r="K168" s="288">
        <v>2020</v>
      </c>
      <c r="L168" s="289">
        <v>2021</v>
      </c>
      <c r="M168" s="289">
        <v>2022</v>
      </c>
      <c r="N168" s="289">
        <v>2023</v>
      </c>
      <c r="O168" s="288">
        <v>2024</v>
      </c>
      <c r="P168" s="289">
        <v>2025</v>
      </c>
      <c r="Q168" s="289">
        <v>2026</v>
      </c>
      <c r="R168" s="289">
        <v>2027</v>
      </c>
      <c r="S168" s="288">
        <v>2028</v>
      </c>
      <c r="T168" s="289">
        <v>2029</v>
      </c>
      <c r="U168" s="289">
        <v>2030</v>
      </c>
      <c r="V168" s="289">
        <v>2031</v>
      </c>
      <c r="W168" s="288">
        <v>2032</v>
      </c>
      <c r="X168" s="289">
        <v>2033</v>
      </c>
      <c r="Y168" s="289">
        <v>2034</v>
      </c>
      <c r="Z168" s="289">
        <v>2035</v>
      </c>
      <c r="AA168" s="288">
        <v>2036</v>
      </c>
      <c r="AB168" s="289">
        <v>2037</v>
      </c>
      <c r="AC168" s="289">
        <v>2038</v>
      </c>
      <c r="AD168" s="289">
        <v>2039</v>
      </c>
      <c r="AE168" s="290">
        <v>2040</v>
      </c>
    </row>
    <row r="169" spans="1:31" ht="15" customHeight="1">
      <c r="A169" s="1711" t="s">
        <v>41</v>
      </c>
      <c r="B169" s="116">
        <v>0</v>
      </c>
      <c r="C169" s="291">
        <f t="shared" ref="C169:C184" si="38">I4</f>
        <v>2</v>
      </c>
      <c r="D169" s="292"/>
      <c r="E169" s="292"/>
      <c r="F169" s="292"/>
      <c r="G169" s="292"/>
      <c r="H169" s="292"/>
      <c r="I169" s="292"/>
      <c r="J169" s="292"/>
      <c r="K169" s="292"/>
      <c r="L169" s="292"/>
      <c r="M169" s="292"/>
      <c r="N169" s="292"/>
      <c r="O169" s="292"/>
      <c r="P169" s="292"/>
      <c r="Q169" s="292"/>
      <c r="R169" s="292"/>
      <c r="S169" s="292"/>
      <c r="T169" s="292"/>
      <c r="U169" s="292"/>
      <c r="V169" s="292"/>
      <c r="W169" s="292"/>
      <c r="X169" s="292"/>
      <c r="Y169" s="292"/>
      <c r="Z169" s="292"/>
      <c r="AA169" s="292"/>
      <c r="AB169" s="292"/>
      <c r="AC169" s="292"/>
      <c r="AD169" s="292"/>
      <c r="AE169" s="293"/>
    </row>
    <row r="170" spans="1:31" ht="15" customHeight="1">
      <c r="A170" s="1711"/>
      <c r="B170" s="116">
        <v>1</v>
      </c>
      <c r="C170" s="294">
        <f t="shared" si="38"/>
        <v>5</v>
      </c>
      <c r="D170" s="295">
        <f t="shared" ref="D170:AE179" si="39">C169*$I26</f>
        <v>2</v>
      </c>
      <c r="E170" s="295">
        <f t="shared" si="39"/>
        <v>0</v>
      </c>
      <c r="F170" s="295">
        <f t="shared" si="39"/>
        <v>0</v>
      </c>
      <c r="G170" s="295">
        <f t="shared" si="39"/>
        <v>0</v>
      </c>
      <c r="H170" s="295">
        <f t="shared" si="39"/>
        <v>0</v>
      </c>
      <c r="I170" s="295">
        <f t="shared" si="39"/>
        <v>0</v>
      </c>
      <c r="J170" s="295">
        <f t="shared" si="39"/>
        <v>0</v>
      </c>
      <c r="K170" s="295">
        <f t="shared" si="39"/>
        <v>0</v>
      </c>
      <c r="L170" s="295">
        <f t="shared" si="39"/>
        <v>0</v>
      </c>
      <c r="M170" s="295">
        <f t="shared" si="39"/>
        <v>0</v>
      </c>
      <c r="N170" s="295">
        <f t="shared" ref="N170:P194" si="40">M169*$I26</f>
        <v>0</v>
      </c>
      <c r="O170" s="295">
        <f t="shared" si="40"/>
        <v>0</v>
      </c>
      <c r="P170" s="295">
        <f t="shared" si="40"/>
        <v>0</v>
      </c>
      <c r="Q170" s="295">
        <f t="shared" si="39"/>
        <v>0</v>
      </c>
      <c r="R170" s="295">
        <f t="shared" si="39"/>
        <v>0</v>
      </c>
      <c r="S170" s="295">
        <f t="shared" si="39"/>
        <v>0</v>
      </c>
      <c r="T170" s="295">
        <f t="shared" si="39"/>
        <v>0</v>
      </c>
      <c r="U170" s="295">
        <f t="shared" si="39"/>
        <v>0</v>
      </c>
      <c r="V170" s="295">
        <f t="shared" si="39"/>
        <v>0</v>
      </c>
      <c r="W170" s="295">
        <f t="shared" si="39"/>
        <v>0</v>
      </c>
      <c r="X170" s="295">
        <f t="shared" si="39"/>
        <v>0</v>
      </c>
      <c r="Y170" s="295">
        <f t="shared" si="39"/>
        <v>0</v>
      </c>
      <c r="Z170" s="295">
        <f t="shared" si="39"/>
        <v>0</v>
      </c>
      <c r="AA170" s="295">
        <f t="shared" si="39"/>
        <v>0</v>
      </c>
      <c r="AB170" s="295">
        <f t="shared" si="39"/>
        <v>0</v>
      </c>
      <c r="AC170" s="295">
        <f t="shared" si="39"/>
        <v>0</v>
      </c>
      <c r="AD170" s="295">
        <f t="shared" si="39"/>
        <v>0</v>
      </c>
      <c r="AE170" s="296">
        <f t="shared" si="39"/>
        <v>0</v>
      </c>
    </row>
    <row r="171" spans="1:31" ht="15" customHeight="1">
      <c r="A171" s="1711"/>
      <c r="B171" s="116">
        <v>2</v>
      </c>
      <c r="C171" s="294">
        <f t="shared" si="38"/>
        <v>15</v>
      </c>
      <c r="D171" s="295">
        <f t="shared" si="39"/>
        <v>5</v>
      </c>
      <c r="E171" s="295">
        <f t="shared" si="39"/>
        <v>2</v>
      </c>
      <c r="F171" s="295">
        <f t="shared" si="39"/>
        <v>0</v>
      </c>
      <c r="G171" s="295">
        <f t="shared" si="39"/>
        <v>0</v>
      </c>
      <c r="H171" s="295">
        <f t="shared" si="39"/>
        <v>0</v>
      </c>
      <c r="I171" s="295">
        <f t="shared" si="39"/>
        <v>0</v>
      </c>
      <c r="J171" s="295">
        <f t="shared" si="39"/>
        <v>0</v>
      </c>
      <c r="K171" s="295">
        <f t="shared" si="39"/>
        <v>0</v>
      </c>
      <c r="L171" s="295">
        <f t="shared" si="39"/>
        <v>0</v>
      </c>
      <c r="M171" s="295">
        <f t="shared" si="39"/>
        <v>0</v>
      </c>
      <c r="N171" s="295">
        <f t="shared" si="40"/>
        <v>0</v>
      </c>
      <c r="O171" s="295">
        <f t="shared" si="40"/>
        <v>0</v>
      </c>
      <c r="P171" s="295">
        <f t="shared" si="40"/>
        <v>0</v>
      </c>
      <c r="Q171" s="295">
        <f t="shared" si="39"/>
        <v>0</v>
      </c>
      <c r="R171" s="295">
        <f t="shared" si="39"/>
        <v>0</v>
      </c>
      <c r="S171" s="295">
        <f t="shared" si="39"/>
        <v>0</v>
      </c>
      <c r="T171" s="295">
        <f t="shared" si="39"/>
        <v>0</v>
      </c>
      <c r="U171" s="295">
        <f t="shared" si="39"/>
        <v>0</v>
      </c>
      <c r="V171" s="295">
        <f t="shared" si="39"/>
        <v>0</v>
      </c>
      <c r="W171" s="295">
        <f t="shared" si="39"/>
        <v>0</v>
      </c>
      <c r="X171" s="295">
        <f t="shared" si="39"/>
        <v>0</v>
      </c>
      <c r="Y171" s="295">
        <f t="shared" si="39"/>
        <v>0</v>
      </c>
      <c r="Z171" s="295">
        <f t="shared" si="39"/>
        <v>0</v>
      </c>
      <c r="AA171" s="295">
        <f t="shared" si="39"/>
        <v>0</v>
      </c>
      <c r="AB171" s="295">
        <f t="shared" si="39"/>
        <v>0</v>
      </c>
      <c r="AC171" s="295">
        <f t="shared" si="39"/>
        <v>0</v>
      </c>
      <c r="AD171" s="295">
        <f t="shared" si="39"/>
        <v>0</v>
      </c>
      <c r="AE171" s="296">
        <f t="shared" si="39"/>
        <v>0</v>
      </c>
    </row>
    <row r="172" spans="1:31" ht="15" customHeight="1">
      <c r="A172" s="1711"/>
      <c r="B172" s="116">
        <v>3</v>
      </c>
      <c r="C172" s="294">
        <f t="shared" si="38"/>
        <v>16</v>
      </c>
      <c r="D172" s="295">
        <f t="shared" si="39"/>
        <v>15</v>
      </c>
      <c r="E172" s="295">
        <f t="shared" si="39"/>
        <v>5</v>
      </c>
      <c r="F172" s="295">
        <f t="shared" si="39"/>
        <v>2</v>
      </c>
      <c r="G172" s="295">
        <f t="shared" si="39"/>
        <v>0</v>
      </c>
      <c r="H172" s="295">
        <f t="shared" si="39"/>
        <v>0</v>
      </c>
      <c r="I172" s="295">
        <f t="shared" si="39"/>
        <v>0</v>
      </c>
      <c r="J172" s="295">
        <f t="shared" si="39"/>
        <v>0</v>
      </c>
      <c r="K172" s="295">
        <f t="shared" si="39"/>
        <v>0</v>
      </c>
      <c r="L172" s="295">
        <f t="shared" si="39"/>
        <v>0</v>
      </c>
      <c r="M172" s="295">
        <f t="shared" si="39"/>
        <v>0</v>
      </c>
      <c r="N172" s="295">
        <f t="shared" si="40"/>
        <v>0</v>
      </c>
      <c r="O172" s="295">
        <f t="shared" si="40"/>
        <v>0</v>
      </c>
      <c r="P172" s="295">
        <f t="shared" si="40"/>
        <v>0</v>
      </c>
      <c r="Q172" s="295">
        <f t="shared" si="39"/>
        <v>0</v>
      </c>
      <c r="R172" s="295">
        <f t="shared" si="39"/>
        <v>0</v>
      </c>
      <c r="S172" s="295">
        <f t="shared" si="39"/>
        <v>0</v>
      </c>
      <c r="T172" s="295">
        <f t="shared" si="39"/>
        <v>0</v>
      </c>
      <c r="U172" s="295">
        <f t="shared" si="39"/>
        <v>0</v>
      </c>
      <c r="V172" s="295">
        <f t="shared" si="39"/>
        <v>0</v>
      </c>
      <c r="W172" s="295">
        <f t="shared" si="39"/>
        <v>0</v>
      </c>
      <c r="X172" s="295">
        <f t="shared" si="39"/>
        <v>0</v>
      </c>
      <c r="Y172" s="295">
        <f t="shared" si="39"/>
        <v>0</v>
      </c>
      <c r="Z172" s="295">
        <f t="shared" si="39"/>
        <v>0</v>
      </c>
      <c r="AA172" s="295">
        <f t="shared" si="39"/>
        <v>0</v>
      </c>
      <c r="AB172" s="295">
        <f t="shared" si="39"/>
        <v>0</v>
      </c>
      <c r="AC172" s="295">
        <f t="shared" si="39"/>
        <v>0</v>
      </c>
      <c r="AD172" s="295">
        <f t="shared" si="39"/>
        <v>0</v>
      </c>
      <c r="AE172" s="296">
        <f t="shared" si="39"/>
        <v>0</v>
      </c>
    </row>
    <row r="173" spans="1:31" ht="15" customHeight="1">
      <c r="A173" s="1711"/>
      <c r="B173" s="116">
        <v>4</v>
      </c>
      <c r="C173" s="294">
        <f t="shared" si="38"/>
        <v>15</v>
      </c>
      <c r="D173" s="295">
        <f t="shared" si="39"/>
        <v>16</v>
      </c>
      <c r="E173" s="295">
        <f t="shared" si="39"/>
        <v>15</v>
      </c>
      <c r="F173" s="295">
        <f t="shared" si="39"/>
        <v>5</v>
      </c>
      <c r="G173" s="295">
        <f t="shared" si="39"/>
        <v>2</v>
      </c>
      <c r="H173" s="295">
        <f t="shared" si="39"/>
        <v>0</v>
      </c>
      <c r="I173" s="295">
        <f t="shared" si="39"/>
        <v>0</v>
      </c>
      <c r="J173" s="295">
        <f t="shared" si="39"/>
        <v>0</v>
      </c>
      <c r="K173" s="295">
        <f t="shared" si="39"/>
        <v>0</v>
      </c>
      <c r="L173" s="295">
        <f t="shared" si="39"/>
        <v>0</v>
      </c>
      <c r="M173" s="295">
        <f t="shared" si="39"/>
        <v>0</v>
      </c>
      <c r="N173" s="295">
        <f t="shared" si="40"/>
        <v>0</v>
      </c>
      <c r="O173" s="295">
        <f t="shared" si="40"/>
        <v>0</v>
      </c>
      <c r="P173" s="295">
        <f t="shared" si="40"/>
        <v>0</v>
      </c>
      <c r="Q173" s="295">
        <f t="shared" si="39"/>
        <v>0</v>
      </c>
      <c r="R173" s="295">
        <f t="shared" si="39"/>
        <v>0</v>
      </c>
      <c r="S173" s="295">
        <f t="shared" si="39"/>
        <v>0</v>
      </c>
      <c r="T173" s="295">
        <f t="shared" si="39"/>
        <v>0</v>
      </c>
      <c r="U173" s="295">
        <f t="shared" si="39"/>
        <v>0</v>
      </c>
      <c r="V173" s="295">
        <f t="shared" si="39"/>
        <v>0</v>
      </c>
      <c r="W173" s="295">
        <f t="shared" si="39"/>
        <v>0</v>
      </c>
      <c r="X173" s="295">
        <f t="shared" si="39"/>
        <v>0</v>
      </c>
      <c r="Y173" s="295">
        <f t="shared" si="39"/>
        <v>0</v>
      </c>
      <c r="Z173" s="295">
        <f t="shared" si="39"/>
        <v>0</v>
      </c>
      <c r="AA173" s="295">
        <f t="shared" si="39"/>
        <v>0</v>
      </c>
      <c r="AB173" s="295">
        <f t="shared" si="39"/>
        <v>0</v>
      </c>
      <c r="AC173" s="295">
        <f t="shared" si="39"/>
        <v>0</v>
      </c>
      <c r="AD173" s="295">
        <f t="shared" si="39"/>
        <v>0</v>
      </c>
      <c r="AE173" s="296">
        <f t="shared" si="39"/>
        <v>0</v>
      </c>
    </row>
    <row r="174" spans="1:31" ht="15" customHeight="1">
      <c r="A174" s="1711"/>
      <c r="B174" s="116">
        <v>5</v>
      </c>
      <c r="C174" s="294">
        <f t="shared" si="38"/>
        <v>22</v>
      </c>
      <c r="D174" s="295">
        <f t="shared" si="39"/>
        <v>15</v>
      </c>
      <c r="E174" s="295">
        <f t="shared" si="39"/>
        <v>16</v>
      </c>
      <c r="F174" s="295">
        <f t="shared" si="39"/>
        <v>15</v>
      </c>
      <c r="G174" s="295">
        <f t="shared" si="39"/>
        <v>5</v>
      </c>
      <c r="H174" s="295">
        <f t="shared" si="39"/>
        <v>2</v>
      </c>
      <c r="I174" s="295">
        <f t="shared" si="39"/>
        <v>0</v>
      </c>
      <c r="J174" s="295">
        <f t="shared" si="39"/>
        <v>0</v>
      </c>
      <c r="K174" s="295">
        <f t="shared" si="39"/>
        <v>0</v>
      </c>
      <c r="L174" s="295">
        <f t="shared" si="39"/>
        <v>0</v>
      </c>
      <c r="M174" s="295">
        <f t="shared" si="39"/>
        <v>0</v>
      </c>
      <c r="N174" s="295">
        <f t="shared" si="40"/>
        <v>0</v>
      </c>
      <c r="O174" s="295">
        <f t="shared" si="40"/>
        <v>0</v>
      </c>
      <c r="P174" s="295">
        <f t="shared" si="40"/>
        <v>0</v>
      </c>
      <c r="Q174" s="295">
        <f t="shared" si="39"/>
        <v>0</v>
      </c>
      <c r="R174" s="295">
        <f t="shared" si="39"/>
        <v>0</v>
      </c>
      <c r="S174" s="295">
        <f t="shared" si="39"/>
        <v>0</v>
      </c>
      <c r="T174" s="295">
        <f t="shared" si="39"/>
        <v>0</v>
      </c>
      <c r="U174" s="295">
        <f t="shared" si="39"/>
        <v>0</v>
      </c>
      <c r="V174" s="295">
        <f t="shared" si="39"/>
        <v>0</v>
      </c>
      <c r="W174" s="295">
        <f t="shared" si="39"/>
        <v>0</v>
      </c>
      <c r="X174" s="295">
        <f t="shared" si="39"/>
        <v>0</v>
      </c>
      <c r="Y174" s="295">
        <f t="shared" si="39"/>
        <v>0</v>
      </c>
      <c r="Z174" s="295">
        <f t="shared" si="39"/>
        <v>0</v>
      </c>
      <c r="AA174" s="295">
        <f t="shared" si="39"/>
        <v>0</v>
      </c>
      <c r="AB174" s="295">
        <f t="shared" si="39"/>
        <v>0</v>
      </c>
      <c r="AC174" s="295">
        <f t="shared" si="39"/>
        <v>0</v>
      </c>
      <c r="AD174" s="295">
        <f t="shared" si="39"/>
        <v>0</v>
      </c>
      <c r="AE174" s="296">
        <f t="shared" si="39"/>
        <v>0</v>
      </c>
    </row>
    <row r="175" spans="1:31" ht="15" customHeight="1">
      <c r="A175" s="1711"/>
      <c r="B175" s="116">
        <v>6</v>
      </c>
      <c r="C175" s="294">
        <f t="shared" si="38"/>
        <v>10</v>
      </c>
      <c r="D175" s="295">
        <f t="shared" si="39"/>
        <v>22</v>
      </c>
      <c r="E175" s="295">
        <f t="shared" si="39"/>
        <v>15</v>
      </c>
      <c r="F175" s="295">
        <f t="shared" si="39"/>
        <v>16</v>
      </c>
      <c r="G175" s="295">
        <f t="shared" si="39"/>
        <v>15</v>
      </c>
      <c r="H175" s="295">
        <f t="shared" si="39"/>
        <v>5</v>
      </c>
      <c r="I175" s="295">
        <f t="shared" si="39"/>
        <v>2</v>
      </c>
      <c r="J175" s="295">
        <f t="shared" si="39"/>
        <v>0</v>
      </c>
      <c r="K175" s="295">
        <f t="shared" si="39"/>
        <v>0</v>
      </c>
      <c r="L175" s="295">
        <f t="shared" si="39"/>
        <v>0</v>
      </c>
      <c r="M175" s="295">
        <f t="shared" si="39"/>
        <v>0</v>
      </c>
      <c r="N175" s="295">
        <f t="shared" si="40"/>
        <v>0</v>
      </c>
      <c r="O175" s="295">
        <f t="shared" si="40"/>
        <v>0</v>
      </c>
      <c r="P175" s="295">
        <f t="shared" si="40"/>
        <v>0</v>
      </c>
      <c r="Q175" s="295">
        <f t="shared" si="39"/>
        <v>0</v>
      </c>
      <c r="R175" s="295">
        <f t="shared" si="39"/>
        <v>0</v>
      </c>
      <c r="S175" s="295">
        <f t="shared" si="39"/>
        <v>0</v>
      </c>
      <c r="T175" s="295">
        <f t="shared" si="39"/>
        <v>0</v>
      </c>
      <c r="U175" s="295">
        <f t="shared" si="39"/>
        <v>0</v>
      </c>
      <c r="V175" s="295">
        <f t="shared" si="39"/>
        <v>0</v>
      </c>
      <c r="W175" s="295">
        <f t="shared" si="39"/>
        <v>0</v>
      </c>
      <c r="X175" s="295">
        <f t="shared" si="39"/>
        <v>0</v>
      </c>
      <c r="Y175" s="295">
        <f t="shared" si="39"/>
        <v>0</v>
      </c>
      <c r="Z175" s="295">
        <f t="shared" si="39"/>
        <v>0</v>
      </c>
      <c r="AA175" s="295">
        <f t="shared" si="39"/>
        <v>0</v>
      </c>
      <c r="AB175" s="295">
        <f t="shared" si="39"/>
        <v>0</v>
      </c>
      <c r="AC175" s="295">
        <f t="shared" si="39"/>
        <v>0</v>
      </c>
      <c r="AD175" s="295">
        <f t="shared" si="39"/>
        <v>0</v>
      </c>
      <c r="AE175" s="296">
        <f t="shared" si="39"/>
        <v>0</v>
      </c>
    </row>
    <row r="176" spans="1:31" ht="15" customHeight="1">
      <c r="A176" s="1711"/>
      <c r="B176" s="116">
        <v>7</v>
      </c>
      <c r="C176" s="294">
        <f t="shared" si="38"/>
        <v>2</v>
      </c>
      <c r="D176" s="295">
        <f t="shared" si="39"/>
        <v>10</v>
      </c>
      <c r="E176" s="295">
        <f t="shared" si="39"/>
        <v>22</v>
      </c>
      <c r="F176" s="295">
        <f t="shared" si="39"/>
        <v>15</v>
      </c>
      <c r="G176" s="295">
        <f t="shared" si="39"/>
        <v>16</v>
      </c>
      <c r="H176" s="295">
        <f t="shared" si="39"/>
        <v>15</v>
      </c>
      <c r="I176" s="295">
        <f t="shared" si="39"/>
        <v>5</v>
      </c>
      <c r="J176" s="295">
        <f t="shared" si="39"/>
        <v>2</v>
      </c>
      <c r="K176" s="295">
        <f t="shared" si="39"/>
        <v>0</v>
      </c>
      <c r="L176" s="295">
        <f t="shared" si="39"/>
        <v>0</v>
      </c>
      <c r="M176" s="295">
        <f t="shared" si="39"/>
        <v>0</v>
      </c>
      <c r="N176" s="295">
        <f t="shared" si="40"/>
        <v>0</v>
      </c>
      <c r="O176" s="295">
        <f t="shared" si="40"/>
        <v>0</v>
      </c>
      <c r="P176" s="295">
        <f t="shared" si="40"/>
        <v>0</v>
      </c>
      <c r="Q176" s="295">
        <f t="shared" si="39"/>
        <v>0</v>
      </c>
      <c r="R176" s="295">
        <f t="shared" si="39"/>
        <v>0</v>
      </c>
      <c r="S176" s="295">
        <f t="shared" si="39"/>
        <v>0</v>
      </c>
      <c r="T176" s="295">
        <f t="shared" si="39"/>
        <v>0</v>
      </c>
      <c r="U176" s="295">
        <f t="shared" si="39"/>
        <v>0</v>
      </c>
      <c r="V176" s="295">
        <f t="shared" si="39"/>
        <v>0</v>
      </c>
      <c r="W176" s="295">
        <f t="shared" si="39"/>
        <v>0</v>
      </c>
      <c r="X176" s="295">
        <f t="shared" si="39"/>
        <v>0</v>
      </c>
      <c r="Y176" s="295">
        <f t="shared" si="39"/>
        <v>0</v>
      </c>
      <c r="Z176" s="295">
        <f t="shared" si="39"/>
        <v>0</v>
      </c>
      <c r="AA176" s="295">
        <f t="shared" si="39"/>
        <v>0</v>
      </c>
      <c r="AB176" s="295">
        <f t="shared" si="39"/>
        <v>0</v>
      </c>
      <c r="AC176" s="295">
        <f t="shared" si="39"/>
        <v>0</v>
      </c>
      <c r="AD176" s="295">
        <f t="shared" si="39"/>
        <v>0</v>
      </c>
      <c r="AE176" s="296">
        <f t="shared" si="39"/>
        <v>0</v>
      </c>
    </row>
    <row r="177" spans="1:31" ht="15" customHeight="1">
      <c r="A177" s="1711"/>
      <c r="B177" s="116">
        <v>8</v>
      </c>
      <c r="C177" s="294">
        <f t="shared" si="38"/>
        <v>2</v>
      </c>
      <c r="D177" s="295">
        <f t="shared" si="39"/>
        <v>2</v>
      </c>
      <c r="E177" s="295">
        <f t="shared" si="39"/>
        <v>10</v>
      </c>
      <c r="F177" s="295">
        <f t="shared" si="39"/>
        <v>22</v>
      </c>
      <c r="G177" s="295">
        <f t="shared" si="39"/>
        <v>15</v>
      </c>
      <c r="H177" s="295">
        <f t="shared" si="39"/>
        <v>16</v>
      </c>
      <c r="I177" s="295">
        <f t="shared" si="39"/>
        <v>15</v>
      </c>
      <c r="J177" s="295">
        <f t="shared" si="39"/>
        <v>5</v>
      </c>
      <c r="K177" s="295">
        <f t="shared" si="39"/>
        <v>2</v>
      </c>
      <c r="L177" s="295">
        <f t="shared" si="39"/>
        <v>0</v>
      </c>
      <c r="M177" s="295">
        <f t="shared" si="39"/>
        <v>0</v>
      </c>
      <c r="N177" s="295">
        <f t="shared" si="40"/>
        <v>0</v>
      </c>
      <c r="O177" s="295">
        <f t="shared" si="40"/>
        <v>0</v>
      </c>
      <c r="P177" s="295">
        <f t="shared" si="40"/>
        <v>0</v>
      </c>
      <c r="Q177" s="295">
        <f t="shared" si="39"/>
        <v>0</v>
      </c>
      <c r="R177" s="295">
        <f t="shared" si="39"/>
        <v>0</v>
      </c>
      <c r="S177" s="295">
        <f t="shared" si="39"/>
        <v>0</v>
      </c>
      <c r="T177" s="295">
        <f t="shared" si="39"/>
        <v>0</v>
      </c>
      <c r="U177" s="295">
        <f t="shared" si="39"/>
        <v>0</v>
      </c>
      <c r="V177" s="295">
        <f t="shared" si="39"/>
        <v>0</v>
      </c>
      <c r="W177" s="295">
        <f t="shared" si="39"/>
        <v>0</v>
      </c>
      <c r="X177" s="295">
        <f t="shared" si="39"/>
        <v>0</v>
      </c>
      <c r="Y177" s="295">
        <f t="shared" si="39"/>
        <v>0</v>
      </c>
      <c r="Z177" s="295">
        <f t="shared" si="39"/>
        <v>0</v>
      </c>
      <c r="AA177" s="295">
        <f t="shared" si="39"/>
        <v>0</v>
      </c>
      <c r="AB177" s="295">
        <f t="shared" si="39"/>
        <v>0</v>
      </c>
      <c r="AC177" s="295">
        <f t="shared" si="39"/>
        <v>0</v>
      </c>
      <c r="AD177" s="295">
        <f t="shared" si="39"/>
        <v>0</v>
      </c>
      <c r="AE177" s="296">
        <f t="shared" si="39"/>
        <v>0</v>
      </c>
    </row>
    <row r="178" spans="1:31" ht="15" customHeight="1">
      <c r="A178" s="1711"/>
      <c r="B178" s="116">
        <v>9</v>
      </c>
      <c r="C178" s="294">
        <f t="shared" si="38"/>
        <v>1</v>
      </c>
      <c r="D178" s="295">
        <f t="shared" si="39"/>
        <v>2</v>
      </c>
      <c r="E178" s="295">
        <f t="shared" si="39"/>
        <v>2</v>
      </c>
      <c r="F178" s="295">
        <f t="shared" si="39"/>
        <v>10</v>
      </c>
      <c r="G178" s="295">
        <f t="shared" si="39"/>
        <v>22</v>
      </c>
      <c r="H178" s="295">
        <f t="shared" si="39"/>
        <v>15</v>
      </c>
      <c r="I178" s="295">
        <f t="shared" si="39"/>
        <v>16</v>
      </c>
      <c r="J178" s="295">
        <f t="shared" si="39"/>
        <v>15</v>
      </c>
      <c r="K178" s="295">
        <f t="shared" si="39"/>
        <v>5</v>
      </c>
      <c r="L178" s="295">
        <f t="shared" si="39"/>
        <v>2</v>
      </c>
      <c r="M178" s="295">
        <f t="shared" si="39"/>
        <v>0</v>
      </c>
      <c r="N178" s="295">
        <f t="shared" si="40"/>
        <v>0</v>
      </c>
      <c r="O178" s="295">
        <f t="shared" si="40"/>
        <v>0</v>
      </c>
      <c r="P178" s="295">
        <f t="shared" si="40"/>
        <v>0</v>
      </c>
      <c r="Q178" s="295">
        <f t="shared" si="39"/>
        <v>0</v>
      </c>
      <c r="R178" s="295">
        <f t="shared" si="39"/>
        <v>0</v>
      </c>
      <c r="S178" s="295">
        <f t="shared" si="39"/>
        <v>0</v>
      </c>
      <c r="T178" s="295">
        <f t="shared" si="39"/>
        <v>0</v>
      </c>
      <c r="U178" s="295">
        <f t="shared" si="39"/>
        <v>0</v>
      </c>
      <c r="V178" s="295">
        <f t="shared" si="39"/>
        <v>0</v>
      </c>
      <c r="W178" s="295">
        <f t="shared" si="39"/>
        <v>0</v>
      </c>
      <c r="X178" s="295">
        <f t="shared" si="39"/>
        <v>0</v>
      </c>
      <c r="Y178" s="295">
        <f t="shared" si="39"/>
        <v>0</v>
      </c>
      <c r="Z178" s="295">
        <f t="shared" si="39"/>
        <v>0</v>
      </c>
      <c r="AA178" s="295">
        <f t="shared" si="39"/>
        <v>0</v>
      </c>
      <c r="AB178" s="295">
        <f t="shared" si="39"/>
        <v>0</v>
      </c>
      <c r="AC178" s="295">
        <f t="shared" si="39"/>
        <v>0</v>
      </c>
      <c r="AD178" s="295">
        <f t="shared" si="39"/>
        <v>0</v>
      </c>
      <c r="AE178" s="296">
        <f t="shared" si="39"/>
        <v>0</v>
      </c>
    </row>
    <row r="179" spans="1:31" ht="15" customHeight="1">
      <c r="A179" s="1711"/>
      <c r="B179" s="116">
        <v>10</v>
      </c>
      <c r="C179" s="294">
        <f t="shared" si="38"/>
        <v>2</v>
      </c>
      <c r="D179" s="295">
        <f t="shared" si="39"/>
        <v>1</v>
      </c>
      <c r="E179" s="295">
        <f t="shared" si="39"/>
        <v>2</v>
      </c>
      <c r="F179" s="295">
        <f t="shared" si="39"/>
        <v>2</v>
      </c>
      <c r="G179" s="295">
        <f t="shared" ref="G179:AE179" si="41">F178*$I35</f>
        <v>10</v>
      </c>
      <c r="H179" s="295">
        <f t="shared" si="41"/>
        <v>22</v>
      </c>
      <c r="I179" s="295">
        <f t="shared" si="41"/>
        <v>15</v>
      </c>
      <c r="J179" s="295">
        <f t="shared" si="41"/>
        <v>16</v>
      </c>
      <c r="K179" s="295">
        <f t="shared" si="41"/>
        <v>15</v>
      </c>
      <c r="L179" s="295">
        <f t="shared" si="41"/>
        <v>5</v>
      </c>
      <c r="M179" s="295">
        <f t="shared" si="41"/>
        <v>2</v>
      </c>
      <c r="N179" s="295">
        <f t="shared" si="40"/>
        <v>0</v>
      </c>
      <c r="O179" s="295">
        <f t="shared" si="40"/>
        <v>0</v>
      </c>
      <c r="P179" s="295">
        <f t="shared" si="40"/>
        <v>0</v>
      </c>
      <c r="Q179" s="295">
        <f t="shared" si="41"/>
        <v>0</v>
      </c>
      <c r="R179" s="295">
        <f t="shared" si="41"/>
        <v>0</v>
      </c>
      <c r="S179" s="295">
        <f t="shared" si="41"/>
        <v>0</v>
      </c>
      <c r="T179" s="295">
        <f t="shared" si="41"/>
        <v>0</v>
      </c>
      <c r="U179" s="295">
        <f t="shared" si="41"/>
        <v>0</v>
      </c>
      <c r="V179" s="295">
        <f t="shared" si="41"/>
        <v>0</v>
      </c>
      <c r="W179" s="295">
        <f t="shared" si="41"/>
        <v>0</v>
      </c>
      <c r="X179" s="295">
        <f t="shared" si="41"/>
        <v>0</v>
      </c>
      <c r="Y179" s="295">
        <f t="shared" si="41"/>
        <v>0</v>
      </c>
      <c r="Z179" s="295">
        <f t="shared" si="41"/>
        <v>0</v>
      </c>
      <c r="AA179" s="295">
        <f t="shared" si="41"/>
        <v>0</v>
      </c>
      <c r="AB179" s="295">
        <f t="shared" si="41"/>
        <v>0</v>
      </c>
      <c r="AC179" s="295">
        <f t="shared" si="41"/>
        <v>0</v>
      </c>
      <c r="AD179" s="295">
        <f t="shared" si="41"/>
        <v>0</v>
      </c>
      <c r="AE179" s="296">
        <f t="shared" si="41"/>
        <v>0</v>
      </c>
    </row>
    <row r="180" spans="1:31" ht="15" customHeight="1">
      <c r="A180" s="1711"/>
      <c r="B180" s="116">
        <v>11</v>
      </c>
      <c r="C180" s="294">
        <f t="shared" si="38"/>
        <v>5</v>
      </c>
      <c r="D180" s="295">
        <f t="shared" ref="D180:AE189" si="42">C179*$I36</f>
        <v>2</v>
      </c>
      <c r="E180" s="295">
        <f t="shared" si="42"/>
        <v>1</v>
      </c>
      <c r="F180" s="295">
        <f t="shared" si="42"/>
        <v>2</v>
      </c>
      <c r="G180" s="295">
        <f t="shared" si="42"/>
        <v>2</v>
      </c>
      <c r="H180" s="295">
        <f t="shared" si="42"/>
        <v>10</v>
      </c>
      <c r="I180" s="295">
        <f t="shared" si="42"/>
        <v>22</v>
      </c>
      <c r="J180" s="295">
        <f t="shared" si="42"/>
        <v>15</v>
      </c>
      <c r="K180" s="295">
        <f t="shared" si="42"/>
        <v>16</v>
      </c>
      <c r="L180" s="295">
        <f t="shared" si="42"/>
        <v>15</v>
      </c>
      <c r="M180" s="295">
        <f t="shared" si="42"/>
        <v>5</v>
      </c>
      <c r="N180" s="295">
        <f t="shared" si="40"/>
        <v>2</v>
      </c>
      <c r="O180" s="295">
        <f t="shared" si="40"/>
        <v>0</v>
      </c>
      <c r="P180" s="295">
        <f t="shared" si="40"/>
        <v>0</v>
      </c>
      <c r="Q180" s="295">
        <f t="shared" si="42"/>
        <v>0</v>
      </c>
      <c r="R180" s="295">
        <f t="shared" si="42"/>
        <v>0</v>
      </c>
      <c r="S180" s="295">
        <f t="shared" si="42"/>
        <v>0</v>
      </c>
      <c r="T180" s="295">
        <f t="shared" si="42"/>
        <v>0</v>
      </c>
      <c r="U180" s="295">
        <f t="shared" si="42"/>
        <v>0</v>
      </c>
      <c r="V180" s="295">
        <f t="shared" si="42"/>
        <v>0</v>
      </c>
      <c r="W180" s="295">
        <f t="shared" si="42"/>
        <v>0</v>
      </c>
      <c r="X180" s="295">
        <f t="shared" si="42"/>
        <v>0</v>
      </c>
      <c r="Y180" s="295">
        <f t="shared" si="42"/>
        <v>0</v>
      </c>
      <c r="Z180" s="295">
        <f t="shared" si="42"/>
        <v>0</v>
      </c>
      <c r="AA180" s="295">
        <f t="shared" si="42"/>
        <v>0</v>
      </c>
      <c r="AB180" s="295">
        <f t="shared" si="42"/>
        <v>0</v>
      </c>
      <c r="AC180" s="295">
        <f t="shared" si="42"/>
        <v>0</v>
      </c>
      <c r="AD180" s="295">
        <f t="shared" si="42"/>
        <v>0</v>
      </c>
      <c r="AE180" s="296">
        <f t="shared" si="42"/>
        <v>0</v>
      </c>
    </row>
    <row r="181" spans="1:31" ht="15" customHeight="1">
      <c r="A181" s="1711"/>
      <c r="B181" s="116">
        <v>12</v>
      </c>
      <c r="C181" s="294">
        <f t="shared" si="38"/>
        <v>1</v>
      </c>
      <c r="D181" s="295">
        <f t="shared" si="42"/>
        <v>4.8612110637912123</v>
      </c>
      <c r="E181" s="295">
        <f t="shared" si="42"/>
        <v>1.944484425516485</v>
      </c>
      <c r="F181" s="295">
        <f t="shared" si="42"/>
        <v>0.97224221275824252</v>
      </c>
      <c r="G181" s="295">
        <f t="shared" si="42"/>
        <v>1.944484425516485</v>
      </c>
      <c r="H181" s="295">
        <f t="shared" si="42"/>
        <v>1.944484425516485</v>
      </c>
      <c r="I181" s="295">
        <f t="shared" si="42"/>
        <v>9.7224221275824245</v>
      </c>
      <c r="J181" s="295">
        <f t="shared" si="42"/>
        <v>21.389328680681334</v>
      </c>
      <c r="K181" s="295">
        <f t="shared" si="42"/>
        <v>14.583633191373638</v>
      </c>
      <c r="L181" s="295">
        <f t="shared" si="42"/>
        <v>15.55587540413188</v>
      </c>
      <c r="M181" s="295">
        <f t="shared" si="42"/>
        <v>14.583633191373638</v>
      </c>
      <c r="N181" s="295">
        <f t="shared" si="40"/>
        <v>4.8612110637912123</v>
      </c>
      <c r="O181" s="295">
        <f t="shared" si="40"/>
        <v>1.944484425516485</v>
      </c>
      <c r="P181" s="295">
        <f t="shared" si="40"/>
        <v>0</v>
      </c>
      <c r="Q181" s="295">
        <f t="shared" si="42"/>
        <v>0</v>
      </c>
      <c r="R181" s="295">
        <f t="shared" si="42"/>
        <v>0</v>
      </c>
      <c r="S181" s="295">
        <f t="shared" si="42"/>
        <v>0</v>
      </c>
      <c r="T181" s="295">
        <f t="shared" si="42"/>
        <v>0</v>
      </c>
      <c r="U181" s="295">
        <f t="shared" si="42"/>
        <v>0</v>
      </c>
      <c r="V181" s="295">
        <f t="shared" si="42"/>
        <v>0</v>
      </c>
      <c r="W181" s="295">
        <f t="shared" si="42"/>
        <v>0</v>
      </c>
      <c r="X181" s="295">
        <f t="shared" si="42"/>
        <v>0</v>
      </c>
      <c r="Y181" s="295">
        <f t="shared" si="42"/>
        <v>0</v>
      </c>
      <c r="Z181" s="295">
        <f t="shared" si="42"/>
        <v>0</v>
      </c>
      <c r="AA181" s="295">
        <f t="shared" si="42"/>
        <v>0</v>
      </c>
      <c r="AB181" s="295">
        <f t="shared" si="42"/>
        <v>0</v>
      </c>
      <c r="AC181" s="295">
        <f t="shared" si="42"/>
        <v>0</v>
      </c>
      <c r="AD181" s="295">
        <f t="shared" si="42"/>
        <v>0</v>
      </c>
      <c r="AE181" s="296">
        <f t="shared" si="42"/>
        <v>0</v>
      </c>
    </row>
    <row r="182" spans="1:31" ht="15" customHeight="1">
      <c r="A182" s="1711"/>
      <c r="B182" s="116">
        <v>13</v>
      </c>
      <c r="C182" s="294">
        <f t="shared" si="38"/>
        <v>3</v>
      </c>
      <c r="D182" s="295">
        <f t="shared" si="42"/>
        <v>0.74080402670118839</v>
      </c>
      <c r="E182" s="295">
        <f t="shared" si="42"/>
        <v>3.6012047307008976</v>
      </c>
      <c r="F182" s="295">
        <f t="shared" si="42"/>
        <v>1.4404818922803591</v>
      </c>
      <c r="G182" s="295">
        <f t="shared" si="42"/>
        <v>0.72024094614017953</v>
      </c>
      <c r="H182" s="295">
        <f t="shared" si="42"/>
        <v>1.4404818922803591</v>
      </c>
      <c r="I182" s="295">
        <f t="shared" si="42"/>
        <v>1.4404818922803591</v>
      </c>
      <c r="J182" s="295">
        <f t="shared" si="42"/>
        <v>7.2024094614017953</v>
      </c>
      <c r="K182" s="295">
        <f t="shared" si="42"/>
        <v>15.84530081508395</v>
      </c>
      <c r="L182" s="295">
        <f t="shared" si="42"/>
        <v>10.803614192102694</v>
      </c>
      <c r="M182" s="295">
        <f t="shared" si="42"/>
        <v>11.523855138242872</v>
      </c>
      <c r="N182" s="295">
        <f t="shared" si="40"/>
        <v>10.803614192102694</v>
      </c>
      <c r="O182" s="295">
        <f t="shared" si="40"/>
        <v>3.6012047307008976</v>
      </c>
      <c r="P182" s="295">
        <f t="shared" si="40"/>
        <v>1.4404818922803591</v>
      </c>
      <c r="Q182" s="295">
        <f t="shared" si="42"/>
        <v>0</v>
      </c>
      <c r="R182" s="295">
        <f t="shared" si="42"/>
        <v>0</v>
      </c>
      <c r="S182" s="295">
        <f t="shared" si="42"/>
        <v>0</v>
      </c>
      <c r="T182" s="295">
        <f t="shared" si="42"/>
        <v>0</v>
      </c>
      <c r="U182" s="295">
        <f t="shared" si="42"/>
        <v>0</v>
      </c>
      <c r="V182" s="295">
        <f t="shared" si="42"/>
        <v>0</v>
      </c>
      <c r="W182" s="295">
        <f t="shared" si="42"/>
        <v>0</v>
      </c>
      <c r="X182" s="295">
        <f t="shared" si="42"/>
        <v>0</v>
      </c>
      <c r="Y182" s="295">
        <f t="shared" si="42"/>
        <v>0</v>
      </c>
      <c r="Z182" s="295">
        <f t="shared" si="42"/>
        <v>0</v>
      </c>
      <c r="AA182" s="295">
        <f t="shared" si="42"/>
        <v>0</v>
      </c>
      <c r="AB182" s="295">
        <f t="shared" si="42"/>
        <v>0</v>
      </c>
      <c r="AC182" s="295">
        <f t="shared" si="42"/>
        <v>0</v>
      </c>
      <c r="AD182" s="295">
        <f t="shared" si="42"/>
        <v>0</v>
      </c>
      <c r="AE182" s="296">
        <f t="shared" si="42"/>
        <v>0</v>
      </c>
    </row>
    <row r="183" spans="1:31" ht="15" customHeight="1">
      <c r="A183" s="1711"/>
      <c r="B183" s="116">
        <v>14</v>
      </c>
      <c r="C183" s="294">
        <f t="shared" si="38"/>
        <v>2</v>
      </c>
      <c r="D183" s="295">
        <f t="shared" si="42"/>
        <v>1.4994991555126365</v>
      </c>
      <c r="E183" s="295">
        <f t="shared" si="42"/>
        <v>0.37027833747959754</v>
      </c>
      <c r="F183" s="295">
        <f t="shared" si="42"/>
        <v>1.8000011508380358</v>
      </c>
      <c r="G183" s="295">
        <f t="shared" si="42"/>
        <v>0.72000046033521437</v>
      </c>
      <c r="H183" s="295">
        <f t="shared" si="42"/>
        <v>0.36000023016760718</v>
      </c>
      <c r="I183" s="295">
        <f t="shared" si="42"/>
        <v>0.72000046033521437</v>
      </c>
      <c r="J183" s="295">
        <f t="shared" si="42"/>
        <v>0.72000046033521437</v>
      </c>
      <c r="K183" s="295">
        <f t="shared" si="42"/>
        <v>3.6000023016760716</v>
      </c>
      <c r="L183" s="295">
        <f t="shared" si="42"/>
        <v>7.9200050636873582</v>
      </c>
      <c r="M183" s="295">
        <f t="shared" si="42"/>
        <v>5.4000034525141078</v>
      </c>
      <c r="N183" s="295">
        <f t="shared" si="40"/>
        <v>5.7600036826817149</v>
      </c>
      <c r="O183" s="295">
        <f t="shared" si="40"/>
        <v>5.4000034525141078</v>
      </c>
      <c r="P183" s="295">
        <f t="shared" si="40"/>
        <v>1.8000011508380358</v>
      </c>
      <c r="Q183" s="295">
        <f t="shared" si="42"/>
        <v>0.72000046033521437</v>
      </c>
      <c r="R183" s="295">
        <f t="shared" si="42"/>
        <v>0</v>
      </c>
      <c r="S183" s="295">
        <f t="shared" si="42"/>
        <v>0</v>
      </c>
      <c r="T183" s="295">
        <f t="shared" si="42"/>
        <v>0</v>
      </c>
      <c r="U183" s="295">
        <f t="shared" si="42"/>
        <v>0</v>
      </c>
      <c r="V183" s="295">
        <f t="shared" si="42"/>
        <v>0</v>
      </c>
      <c r="W183" s="295">
        <f t="shared" si="42"/>
        <v>0</v>
      </c>
      <c r="X183" s="295">
        <f t="shared" si="42"/>
        <v>0</v>
      </c>
      <c r="Y183" s="295">
        <f t="shared" si="42"/>
        <v>0</v>
      </c>
      <c r="Z183" s="295">
        <f t="shared" si="42"/>
        <v>0</v>
      </c>
      <c r="AA183" s="295">
        <f t="shared" si="42"/>
        <v>0</v>
      </c>
      <c r="AB183" s="295">
        <f t="shared" si="42"/>
        <v>0</v>
      </c>
      <c r="AC183" s="295">
        <f t="shared" si="42"/>
        <v>0</v>
      </c>
      <c r="AD183" s="295">
        <f t="shared" si="42"/>
        <v>0</v>
      </c>
      <c r="AE183" s="296">
        <f t="shared" si="42"/>
        <v>0</v>
      </c>
    </row>
    <row r="184" spans="1:31" ht="15" customHeight="1">
      <c r="A184" s="1711"/>
      <c r="B184" s="116">
        <v>15</v>
      </c>
      <c r="C184" s="294">
        <f t="shared" si="38"/>
        <v>1</v>
      </c>
      <c r="D184" s="295">
        <f t="shared" si="42"/>
        <v>0.67847215256359017</v>
      </c>
      <c r="E184" s="295">
        <f t="shared" si="42"/>
        <v>0.50868420990397201</v>
      </c>
      <c r="F184" s="295">
        <f t="shared" si="42"/>
        <v>0.125611770338725</v>
      </c>
      <c r="G184" s="295">
        <f t="shared" si="42"/>
        <v>0.61062532771301081</v>
      </c>
      <c r="H184" s="295">
        <f t="shared" si="42"/>
        <v>0.24425013108520435</v>
      </c>
      <c r="I184" s="295">
        <f t="shared" si="42"/>
        <v>0.12212506554260218</v>
      </c>
      <c r="J184" s="295">
        <f t="shared" si="42"/>
        <v>0.24425013108520435</v>
      </c>
      <c r="K184" s="295">
        <f t="shared" si="42"/>
        <v>0.24425013108520435</v>
      </c>
      <c r="L184" s="295">
        <f t="shared" si="42"/>
        <v>1.2212506554260216</v>
      </c>
      <c r="M184" s="295">
        <f t="shared" si="42"/>
        <v>2.6867514419372478</v>
      </c>
      <c r="N184" s="295">
        <f t="shared" si="40"/>
        <v>1.8318759831390328</v>
      </c>
      <c r="O184" s="295">
        <f t="shared" si="40"/>
        <v>1.9540010486816348</v>
      </c>
      <c r="P184" s="295">
        <f t="shared" si="40"/>
        <v>1.8318759831390328</v>
      </c>
      <c r="Q184" s="295">
        <f t="shared" si="42"/>
        <v>0.61062532771301081</v>
      </c>
      <c r="R184" s="295">
        <f t="shared" si="42"/>
        <v>0.24425013108520435</v>
      </c>
      <c r="S184" s="295">
        <f t="shared" si="42"/>
        <v>0</v>
      </c>
      <c r="T184" s="295">
        <f t="shared" si="42"/>
        <v>0</v>
      </c>
      <c r="U184" s="295">
        <f t="shared" si="42"/>
        <v>0</v>
      </c>
      <c r="V184" s="295">
        <f t="shared" si="42"/>
        <v>0</v>
      </c>
      <c r="W184" s="295">
        <f t="shared" si="42"/>
        <v>0</v>
      </c>
      <c r="X184" s="295">
        <f t="shared" si="42"/>
        <v>0</v>
      </c>
      <c r="Y184" s="295">
        <f t="shared" si="42"/>
        <v>0</v>
      </c>
      <c r="Z184" s="295">
        <f t="shared" si="42"/>
        <v>0</v>
      </c>
      <c r="AA184" s="295">
        <f t="shared" si="42"/>
        <v>0</v>
      </c>
      <c r="AB184" s="295">
        <f t="shared" si="42"/>
        <v>0</v>
      </c>
      <c r="AC184" s="295">
        <f t="shared" si="42"/>
        <v>0</v>
      </c>
      <c r="AD184" s="295">
        <f t="shared" si="42"/>
        <v>0</v>
      </c>
      <c r="AE184" s="296">
        <f t="shared" si="42"/>
        <v>0</v>
      </c>
    </row>
    <row r="185" spans="1:31" ht="15" customHeight="1">
      <c r="A185" s="1711"/>
      <c r="B185" s="116">
        <v>16</v>
      </c>
      <c r="C185" s="294">
        <f>(EXP(15-B185)*$I$20/(EXP(-1)+EXP(-2)+EXP(-3)+EXP(-4)+EXP(-5)+EXP(-6)+EXP(-7)+EXP(-8)+EXP(-9)+EXP(-10)))</f>
        <v>22.125224042617031</v>
      </c>
      <c r="D185" s="295">
        <f t="shared" si="42"/>
        <v>0.30531246865361561</v>
      </c>
      <c r="E185" s="295">
        <f t="shared" si="42"/>
        <v>0.20714600781192224</v>
      </c>
      <c r="F185" s="295">
        <f t="shared" si="42"/>
        <v>0.15530763189089566</v>
      </c>
      <c r="G185" s="295">
        <f t="shared" si="42"/>
        <v>3.8350839694067142E-2</v>
      </c>
      <c r="H185" s="295">
        <f t="shared" si="42"/>
        <v>0.18643152622648237</v>
      </c>
      <c r="I185" s="295">
        <f t="shared" si="42"/>
        <v>7.4572610490592953E-2</v>
      </c>
      <c r="J185" s="295">
        <f t="shared" si="42"/>
        <v>3.7286305245296476E-2</v>
      </c>
      <c r="K185" s="295">
        <f t="shared" si="42"/>
        <v>7.4572610490592953E-2</v>
      </c>
      <c r="L185" s="295">
        <f t="shared" si="42"/>
        <v>7.4572610490592953E-2</v>
      </c>
      <c r="M185" s="295">
        <f t="shared" si="42"/>
        <v>0.37286305245296475</v>
      </c>
      <c r="N185" s="295">
        <f t="shared" si="40"/>
        <v>0.82029871539652255</v>
      </c>
      <c r="O185" s="295">
        <f t="shared" si="40"/>
        <v>0.55929457867944721</v>
      </c>
      <c r="P185" s="295">
        <f t="shared" si="40"/>
        <v>0.59658088392474362</v>
      </c>
      <c r="Q185" s="295">
        <f t="shared" si="42"/>
        <v>0.55929457867944721</v>
      </c>
      <c r="R185" s="295">
        <f t="shared" si="42"/>
        <v>0.18643152622648237</v>
      </c>
      <c r="S185" s="295">
        <f t="shared" si="42"/>
        <v>7.4572610490592953E-2</v>
      </c>
      <c r="T185" s="295">
        <f t="shared" si="42"/>
        <v>0</v>
      </c>
      <c r="U185" s="295">
        <f t="shared" si="42"/>
        <v>0</v>
      </c>
      <c r="V185" s="295">
        <f t="shared" si="42"/>
        <v>0</v>
      </c>
      <c r="W185" s="295">
        <f t="shared" si="42"/>
        <v>0</v>
      </c>
      <c r="X185" s="295">
        <f t="shared" si="42"/>
        <v>0</v>
      </c>
      <c r="Y185" s="295">
        <f t="shared" si="42"/>
        <v>0</v>
      </c>
      <c r="Z185" s="295">
        <f t="shared" si="42"/>
        <v>0</v>
      </c>
      <c r="AA185" s="295">
        <f t="shared" si="42"/>
        <v>0</v>
      </c>
      <c r="AB185" s="295">
        <f t="shared" si="42"/>
        <v>0</v>
      </c>
      <c r="AC185" s="295">
        <f t="shared" si="42"/>
        <v>0</v>
      </c>
      <c r="AD185" s="295">
        <f t="shared" si="42"/>
        <v>0</v>
      </c>
      <c r="AE185" s="296">
        <f t="shared" si="42"/>
        <v>0</v>
      </c>
    </row>
    <row r="186" spans="1:31" ht="15" customHeight="1">
      <c r="A186" s="1711"/>
      <c r="B186" s="116">
        <v>17</v>
      </c>
      <c r="C186" s="294">
        <f t="shared" ref="C186:C194" si="43">(EXP(15-B186)*$I$20/(EXP(-1)+EXP(-2)+EXP(-3)+EXP(-4)+EXP(-5)+EXP(-6)+EXP(-7)+EXP(-8)+EXP(-9)+EXP(-10)))</f>
        <v>8.1394150565909147</v>
      </c>
      <c r="D186" s="295">
        <f t="shared" si="42"/>
        <v>6.0045393528584308</v>
      </c>
      <c r="E186" s="295">
        <f t="shared" si="42"/>
        <v>8.2858403124768901E-2</v>
      </c>
      <c r="F186" s="295">
        <f t="shared" si="42"/>
        <v>5.6217119126043665E-2</v>
      </c>
      <c r="G186" s="295">
        <f t="shared" si="42"/>
        <v>4.2148761327427869E-2</v>
      </c>
      <c r="H186" s="295">
        <f t="shared" si="42"/>
        <v>1.0407990703941964E-2</v>
      </c>
      <c r="I186" s="295">
        <f t="shared" si="42"/>
        <v>5.0595439561838769E-2</v>
      </c>
      <c r="J186" s="295">
        <f t="shared" si="42"/>
        <v>2.0238175824735506E-2</v>
      </c>
      <c r="K186" s="295">
        <f t="shared" si="42"/>
        <v>1.0119087912367753E-2</v>
      </c>
      <c r="L186" s="295">
        <f t="shared" si="42"/>
        <v>2.0238175824735506E-2</v>
      </c>
      <c r="M186" s="295">
        <f t="shared" si="42"/>
        <v>2.0238175824735506E-2</v>
      </c>
      <c r="N186" s="295">
        <f t="shared" si="40"/>
        <v>0.10119087912367754</v>
      </c>
      <c r="O186" s="295">
        <f t="shared" si="40"/>
        <v>0.2226199340720906</v>
      </c>
      <c r="P186" s="295">
        <f t="shared" si="40"/>
        <v>0.15178631868551631</v>
      </c>
      <c r="Q186" s="295">
        <f t="shared" si="42"/>
        <v>0.16190540659788405</v>
      </c>
      <c r="R186" s="295">
        <f t="shared" si="42"/>
        <v>0.15178631868551631</v>
      </c>
      <c r="S186" s="295">
        <f t="shared" si="42"/>
        <v>5.0595439561838769E-2</v>
      </c>
      <c r="T186" s="295">
        <f t="shared" si="42"/>
        <v>2.0238175824735506E-2</v>
      </c>
      <c r="U186" s="295">
        <f t="shared" si="42"/>
        <v>0</v>
      </c>
      <c r="V186" s="295">
        <f t="shared" si="42"/>
        <v>0</v>
      </c>
      <c r="W186" s="295">
        <f t="shared" si="42"/>
        <v>0</v>
      </c>
      <c r="X186" s="295">
        <f t="shared" si="42"/>
        <v>0</v>
      </c>
      <c r="Y186" s="295">
        <f t="shared" si="42"/>
        <v>0</v>
      </c>
      <c r="Z186" s="295">
        <f t="shared" si="42"/>
        <v>0</v>
      </c>
      <c r="AA186" s="295">
        <f t="shared" si="42"/>
        <v>0</v>
      </c>
      <c r="AB186" s="295">
        <f t="shared" si="42"/>
        <v>0</v>
      </c>
      <c r="AC186" s="295">
        <f t="shared" si="42"/>
        <v>0</v>
      </c>
      <c r="AD186" s="295">
        <f t="shared" si="42"/>
        <v>0</v>
      </c>
      <c r="AE186" s="296">
        <f t="shared" si="42"/>
        <v>0</v>
      </c>
    </row>
    <row r="187" spans="1:31" ht="15.75" customHeight="1">
      <c r="A187" s="1711"/>
      <c r="B187" s="116">
        <v>18</v>
      </c>
      <c r="C187" s="294">
        <f t="shared" si="43"/>
        <v>2.9943234624810886</v>
      </c>
      <c r="D187" s="295">
        <f t="shared" si="42"/>
        <v>1.9328282589188071</v>
      </c>
      <c r="E187" s="295">
        <f t="shared" si="42"/>
        <v>1.4258694589603262</v>
      </c>
      <c r="F187" s="295">
        <f t="shared" si="42"/>
        <v>1.9675991694115283E-2</v>
      </c>
      <c r="G187" s="295">
        <f t="shared" si="42"/>
        <v>1.3349612438529718E-2</v>
      </c>
      <c r="H187" s="295">
        <f t="shared" si="42"/>
        <v>1.0008866288998148E-2</v>
      </c>
      <c r="I187" s="295">
        <f t="shared" si="42"/>
        <v>2.4715361498678693E-3</v>
      </c>
      <c r="J187" s="295">
        <f t="shared" si="42"/>
        <v>1.2014658876297624E-2</v>
      </c>
      <c r="K187" s="295">
        <f t="shared" si="42"/>
        <v>4.8058635505190492E-3</v>
      </c>
      <c r="L187" s="295">
        <f t="shared" si="42"/>
        <v>2.4029317752595246E-3</v>
      </c>
      <c r="M187" s="295">
        <f t="shared" si="42"/>
        <v>4.8058635505190492E-3</v>
      </c>
      <c r="N187" s="295">
        <f t="shared" si="40"/>
        <v>4.8058635505190492E-3</v>
      </c>
      <c r="O187" s="295">
        <f t="shared" si="40"/>
        <v>2.4029317752595248E-2</v>
      </c>
      <c r="P187" s="295">
        <f t="shared" si="40"/>
        <v>5.286449905570955E-2</v>
      </c>
      <c r="Q187" s="295">
        <f t="shared" si="42"/>
        <v>3.6043976628892874E-2</v>
      </c>
      <c r="R187" s="295">
        <f t="shared" si="42"/>
        <v>3.8446908404152394E-2</v>
      </c>
      <c r="S187" s="295">
        <f t="shared" si="42"/>
        <v>3.6043976628892874E-2</v>
      </c>
      <c r="T187" s="295">
        <f t="shared" si="42"/>
        <v>1.2014658876297624E-2</v>
      </c>
      <c r="U187" s="295">
        <f t="shared" si="42"/>
        <v>4.8058635505190492E-3</v>
      </c>
      <c r="V187" s="295">
        <f t="shared" si="42"/>
        <v>0</v>
      </c>
      <c r="W187" s="295">
        <f t="shared" si="42"/>
        <v>0</v>
      </c>
      <c r="X187" s="295">
        <f t="shared" si="42"/>
        <v>0</v>
      </c>
      <c r="Y187" s="295">
        <f t="shared" si="42"/>
        <v>0</v>
      </c>
      <c r="Z187" s="295">
        <f t="shared" si="42"/>
        <v>0</v>
      </c>
      <c r="AA187" s="295">
        <f t="shared" si="42"/>
        <v>0</v>
      </c>
      <c r="AB187" s="295">
        <f t="shared" si="42"/>
        <v>0</v>
      </c>
      <c r="AC187" s="295">
        <f t="shared" si="42"/>
        <v>0</v>
      </c>
      <c r="AD187" s="295">
        <f t="shared" si="42"/>
        <v>0</v>
      </c>
      <c r="AE187" s="296">
        <f t="shared" si="42"/>
        <v>0</v>
      </c>
    </row>
    <row r="188" spans="1:31" ht="16.5" customHeight="1">
      <c r="A188" s="1711"/>
      <c r="B188" s="116">
        <v>19</v>
      </c>
      <c r="C188" s="294">
        <f t="shared" si="43"/>
        <v>1.1015500420640811</v>
      </c>
      <c r="D188" s="295">
        <f t="shared" si="42"/>
        <v>0.60946952551836209</v>
      </c>
      <c r="E188" s="295">
        <f t="shared" si="42"/>
        <v>0.39341104480931383</v>
      </c>
      <c r="F188" s="295">
        <f t="shared" si="42"/>
        <v>0.2902238163286483</v>
      </c>
      <c r="G188" s="295">
        <f t="shared" si="42"/>
        <v>4.0048837315589158E-3</v>
      </c>
      <c r="H188" s="295">
        <f t="shared" si="42"/>
        <v>2.7172020861176809E-3</v>
      </c>
      <c r="I188" s="295">
        <f t="shared" si="42"/>
        <v>2.0372211167453179E-3</v>
      </c>
      <c r="J188" s="295">
        <f t="shared" si="42"/>
        <v>5.030605355218744E-4</v>
      </c>
      <c r="K188" s="295">
        <f t="shared" si="42"/>
        <v>2.4454834410356685E-3</v>
      </c>
      <c r="L188" s="295">
        <f t="shared" si="42"/>
        <v>9.7819337641426741E-4</v>
      </c>
      <c r="M188" s="295">
        <f t="shared" si="42"/>
        <v>4.890966882071337E-4</v>
      </c>
      <c r="N188" s="295">
        <f t="shared" si="40"/>
        <v>9.7819337641426741E-4</v>
      </c>
      <c r="O188" s="295">
        <f t="shared" si="40"/>
        <v>9.7819337641426741E-4</v>
      </c>
      <c r="P188" s="295">
        <f t="shared" si="40"/>
        <v>4.890966882071337E-3</v>
      </c>
      <c r="Q188" s="295">
        <f t="shared" si="42"/>
        <v>1.0760127140556942E-2</v>
      </c>
      <c r="R188" s="295">
        <f t="shared" si="42"/>
        <v>7.336450323107006E-3</v>
      </c>
      <c r="S188" s="295">
        <f t="shared" si="42"/>
        <v>7.8255470113141393E-3</v>
      </c>
      <c r="T188" s="295">
        <f t="shared" si="42"/>
        <v>7.336450323107006E-3</v>
      </c>
      <c r="U188" s="295">
        <f t="shared" si="42"/>
        <v>2.4454834410356685E-3</v>
      </c>
      <c r="V188" s="295">
        <f t="shared" si="42"/>
        <v>9.7819337641426741E-4</v>
      </c>
      <c r="W188" s="295">
        <f t="shared" si="42"/>
        <v>0</v>
      </c>
      <c r="X188" s="295">
        <f t="shared" si="42"/>
        <v>0</v>
      </c>
      <c r="Y188" s="295">
        <f t="shared" si="42"/>
        <v>0</v>
      </c>
      <c r="Z188" s="295">
        <f t="shared" si="42"/>
        <v>0</v>
      </c>
      <c r="AA188" s="295">
        <f t="shared" si="42"/>
        <v>0</v>
      </c>
      <c r="AB188" s="295">
        <f t="shared" si="42"/>
        <v>0</v>
      </c>
      <c r="AC188" s="295">
        <f t="shared" si="42"/>
        <v>0</v>
      </c>
      <c r="AD188" s="295">
        <f t="shared" si="42"/>
        <v>0</v>
      </c>
      <c r="AE188" s="296">
        <f t="shared" si="42"/>
        <v>0</v>
      </c>
    </row>
    <row r="189" spans="1:31">
      <c r="A189" s="1711"/>
      <c r="B189" s="116">
        <v>20</v>
      </c>
      <c r="C189" s="294">
        <f t="shared" si="43"/>
        <v>0.40523761389691298</v>
      </c>
      <c r="D189" s="295">
        <f t="shared" si="42"/>
        <v>0.18684275704893261</v>
      </c>
      <c r="E189" s="295">
        <f t="shared" si="42"/>
        <v>0.10337702522508826</v>
      </c>
      <c r="F189" s="295">
        <f t="shared" si="42"/>
        <v>6.6729609603516551E-2</v>
      </c>
      <c r="G189" s="295">
        <f t="shared" ref="G189:AE189" si="44">F188*$I45</f>
        <v>4.9227194347429511E-2</v>
      </c>
      <c r="H189" s="295">
        <f t="shared" si="44"/>
        <v>6.7930052152942021E-4</v>
      </c>
      <c r="I189" s="295">
        <f t="shared" si="44"/>
        <v>4.6088648707963518E-4</v>
      </c>
      <c r="J189" s="295">
        <f t="shared" si="44"/>
        <v>3.4554944908154925E-4</v>
      </c>
      <c r="K189" s="295">
        <f t="shared" si="44"/>
        <v>8.5328141101329629E-5</v>
      </c>
      <c r="L189" s="295">
        <f t="shared" si="44"/>
        <v>4.1479810357452138E-4</v>
      </c>
      <c r="M189" s="295">
        <f t="shared" si="44"/>
        <v>1.6591924142980857E-4</v>
      </c>
      <c r="N189" s="295">
        <f t="shared" si="40"/>
        <v>8.2959620714904284E-5</v>
      </c>
      <c r="O189" s="295">
        <f t="shared" si="40"/>
        <v>1.6591924142980857E-4</v>
      </c>
      <c r="P189" s="295">
        <f t="shared" si="40"/>
        <v>1.6591924142980857E-4</v>
      </c>
      <c r="Q189" s="295">
        <f t="shared" si="44"/>
        <v>8.2959620714904276E-4</v>
      </c>
      <c r="R189" s="295">
        <f t="shared" si="44"/>
        <v>1.8251116557278942E-3</v>
      </c>
      <c r="S189" s="295">
        <f t="shared" si="44"/>
        <v>1.2443943107235643E-3</v>
      </c>
      <c r="T189" s="295">
        <f t="shared" si="44"/>
        <v>1.3273539314384685E-3</v>
      </c>
      <c r="U189" s="295">
        <f t="shared" si="44"/>
        <v>1.2443943107235643E-3</v>
      </c>
      <c r="V189" s="295">
        <f t="shared" si="44"/>
        <v>4.1479810357452138E-4</v>
      </c>
      <c r="W189" s="295">
        <f t="shared" si="44"/>
        <v>1.6591924142980857E-4</v>
      </c>
      <c r="X189" s="295">
        <f t="shared" si="44"/>
        <v>0</v>
      </c>
      <c r="Y189" s="295">
        <f t="shared" si="44"/>
        <v>0</v>
      </c>
      <c r="Z189" s="295">
        <f t="shared" si="44"/>
        <v>0</v>
      </c>
      <c r="AA189" s="295">
        <f t="shared" si="44"/>
        <v>0</v>
      </c>
      <c r="AB189" s="295">
        <f t="shared" si="44"/>
        <v>0</v>
      </c>
      <c r="AC189" s="295">
        <f t="shared" si="44"/>
        <v>0</v>
      </c>
      <c r="AD189" s="295">
        <f t="shared" si="44"/>
        <v>0</v>
      </c>
      <c r="AE189" s="296">
        <f t="shared" si="44"/>
        <v>0</v>
      </c>
    </row>
    <row r="190" spans="1:31" ht="15.75" customHeight="1">
      <c r="A190" s="1711"/>
      <c r="B190" s="116">
        <v>21</v>
      </c>
      <c r="C190" s="294">
        <f t="shared" si="43"/>
        <v>0.14907858694204507</v>
      </c>
      <c r="D190" s="295">
        <f t="shared" ref="D190:AE194" si="45">C189*$I46</f>
        <v>5.4988487240074324E-2</v>
      </c>
      <c r="E190" s="295">
        <f t="shared" si="45"/>
        <v>2.5353521513181043E-2</v>
      </c>
      <c r="F190" s="295">
        <f t="shared" si="45"/>
        <v>1.4027686566017239E-2</v>
      </c>
      <c r="G190" s="295">
        <f t="shared" si="45"/>
        <v>9.0548363734851787E-3</v>
      </c>
      <c r="H190" s="295">
        <f t="shared" si="45"/>
        <v>6.6798561027133401E-3</v>
      </c>
      <c r="I190" s="295">
        <f t="shared" si="45"/>
        <v>9.2177297415927032E-5</v>
      </c>
      <c r="J190" s="295">
        <f t="shared" si="45"/>
        <v>6.2539729395278272E-5</v>
      </c>
      <c r="K190" s="295">
        <f t="shared" si="45"/>
        <v>4.6889135707104284E-5</v>
      </c>
      <c r="L190" s="295">
        <f t="shared" si="45"/>
        <v>1.1578553513453774E-5</v>
      </c>
      <c r="M190" s="295">
        <f t="shared" si="45"/>
        <v>5.6285792442300114E-5</v>
      </c>
      <c r="N190" s="295">
        <f t="shared" si="40"/>
        <v>2.2514316976920048E-5</v>
      </c>
      <c r="O190" s="295">
        <f t="shared" si="40"/>
        <v>1.1257158488460024E-5</v>
      </c>
      <c r="P190" s="295">
        <f t="shared" si="40"/>
        <v>2.2514316976920048E-5</v>
      </c>
      <c r="Q190" s="295">
        <f t="shared" si="45"/>
        <v>2.2514316976920048E-5</v>
      </c>
      <c r="R190" s="295">
        <f t="shared" si="45"/>
        <v>1.1257158488460023E-4</v>
      </c>
      <c r="S190" s="295">
        <f t="shared" si="45"/>
        <v>2.4765748674612049E-4</v>
      </c>
      <c r="T190" s="295">
        <f t="shared" si="45"/>
        <v>1.6885737732690034E-4</v>
      </c>
      <c r="U190" s="295">
        <f t="shared" si="45"/>
        <v>1.8011453581536039E-4</v>
      </c>
      <c r="V190" s="295">
        <f t="shared" si="45"/>
        <v>1.6885737732690034E-4</v>
      </c>
      <c r="W190" s="295">
        <f t="shared" si="45"/>
        <v>5.6285792442300114E-5</v>
      </c>
      <c r="X190" s="295">
        <f t="shared" si="45"/>
        <v>2.2514316976920048E-5</v>
      </c>
      <c r="Y190" s="295">
        <f t="shared" si="45"/>
        <v>0</v>
      </c>
      <c r="Z190" s="295">
        <f t="shared" si="45"/>
        <v>0</v>
      </c>
      <c r="AA190" s="295">
        <f t="shared" si="45"/>
        <v>0</v>
      </c>
      <c r="AB190" s="295">
        <f t="shared" si="45"/>
        <v>0</v>
      </c>
      <c r="AC190" s="295">
        <f t="shared" si="45"/>
        <v>0</v>
      </c>
      <c r="AD190" s="295">
        <f t="shared" si="45"/>
        <v>0</v>
      </c>
      <c r="AE190" s="296">
        <f t="shared" si="45"/>
        <v>0</v>
      </c>
    </row>
    <row r="191" spans="1:31" ht="15" customHeight="1">
      <c r="A191" s="1711"/>
      <c r="B191" s="116">
        <v>22</v>
      </c>
      <c r="C191" s="294">
        <f t="shared" si="43"/>
        <v>5.484294725486781E-2</v>
      </c>
      <c r="D191" s="295">
        <f t="shared" si="45"/>
        <v>1.5171850467556147E-2</v>
      </c>
      <c r="E191" s="295">
        <f t="shared" si="45"/>
        <v>5.5962235955983111E-3</v>
      </c>
      <c r="F191" s="295">
        <f t="shared" si="45"/>
        <v>2.5802487474172854E-3</v>
      </c>
      <c r="G191" s="295">
        <f t="shared" si="45"/>
        <v>1.427609204989961E-3</v>
      </c>
      <c r="H191" s="295">
        <f t="shared" si="45"/>
        <v>9.215181488144373E-4</v>
      </c>
      <c r="I191" s="295">
        <f t="shared" si="45"/>
        <v>6.7981445232344318E-4</v>
      </c>
      <c r="J191" s="295">
        <f t="shared" si="45"/>
        <v>9.3809594092917411E-6</v>
      </c>
      <c r="K191" s="295">
        <f t="shared" si="45"/>
        <v>6.3647197235338331E-6</v>
      </c>
      <c r="L191" s="295">
        <f t="shared" si="45"/>
        <v>4.7719459252568014E-6</v>
      </c>
      <c r="M191" s="295">
        <f t="shared" si="45"/>
        <v>1.1783589188768554E-6</v>
      </c>
      <c r="N191" s="295">
        <f t="shared" si="40"/>
        <v>5.7282514135612225E-6</v>
      </c>
      <c r="O191" s="295">
        <f t="shared" si="40"/>
        <v>2.2913005654244895E-6</v>
      </c>
      <c r="P191" s="295">
        <f t="shared" si="40"/>
        <v>1.1456502827122448E-6</v>
      </c>
      <c r="Q191" s="295">
        <f t="shared" si="45"/>
        <v>2.2913005654244895E-6</v>
      </c>
      <c r="R191" s="295">
        <f t="shared" si="45"/>
        <v>2.2913005654244895E-6</v>
      </c>
      <c r="S191" s="295">
        <f t="shared" si="45"/>
        <v>1.1456502827122445E-5</v>
      </c>
      <c r="T191" s="295">
        <f t="shared" si="45"/>
        <v>2.5204306219669377E-5</v>
      </c>
      <c r="U191" s="295">
        <f t="shared" si="45"/>
        <v>1.7184754240683669E-5</v>
      </c>
      <c r="V191" s="295">
        <f t="shared" si="45"/>
        <v>1.8330404523395916E-5</v>
      </c>
      <c r="W191" s="295">
        <f t="shared" si="45"/>
        <v>1.7184754240683669E-5</v>
      </c>
      <c r="X191" s="295">
        <f t="shared" si="45"/>
        <v>5.7282514135612225E-6</v>
      </c>
      <c r="Y191" s="295">
        <f t="shared" si="45"/>
        <v>2.2913005654244895E-6</v>
      </c>
      <c r="Z191" s="295">
        <f t="shared" si="45"/>
        <v>0</v>
      </c>
      <c r="AA191" s="295">
        <f t="shared" si="45"/>
        <v>0</v>
      </c>
      <c r="AB191" s="295">
        <f t="shared" si="45"/>
        <v>0</v>
      </c>
      <c r="AC191" s="295">
        <f t="shared" si="45"/>
        <v>0</v>
      </c>
      <c r="AD191" s="295">
        <f t="shared" si="45"/>
        <v>0</v>
      </c>
      <c r="AE191" s="296">
        <f t="shared" si="45"/>
        <v>0</v>
      </c>
    </row>
    <row r="192" spans="1:31" ht="15" customHeight="1">
      <c r="A192" s="1711"/>
      <c r="B192" s="116">
        <v>23</v>
      </c>
      <c r="C192" s="294">
        <f t="shared" si="43"/>
        <v>2.0175592788315658E-2</v>
      </c>
      <c r="D192" s="295">
        <f t="shared" si="45"/>
        <v>3.7209412476941605E-3</v>
      </c>
      <c r="E192" s="295">
        <f t="shared" si="45"/>
        <v>1.0293678045095731E-3</v>
      </c>
      <c r="F192" s="295">
        <f t="shared" si="45"/>
        <v>3.7968818691327407E-4</v>
      </c>
      <c r="G192" s="295">
        <f t="shared" si="45"/>
        <v>1.7506269218097131E-4</v>
      </c>
      <c r="H192" s="295">
        <f t="shared" si="45"/>
        <v>9.6859309032913451E-5</v>
      </c>
      <c r="I192" s="295">
        <f t="shared" si="45"/>
        <v>6.2522440205254608E-5</v>
      </c>
      <c r="J192" s="295">
        <f t="shared" si="45"/>
        <v>4.6123517481172468E-5</v>
      </c>
      <c r="K192" s="295">
        <f t="shared" si="45"/>
        <v>6.3647197235338335E-7</v>
      </c>
      <c r="L192" s="295">
        <f t="shared" si="45"/>
        <v>4.3182850912899387E-7</v>
      </c>
      <c r="M192" s="295">
        <f t="shared" si="45"/>
        <v>3.237632423826035E-7</v>
      </c>
      <c r="N192" s="295">
        <f t="shared" si="40"/>
        <v>7.9948371218288495E-8</v>
      </c>
      <c r="O192" s="295">
        <f t="shared" si="40"/>
        <v>3.8864590669843108E-7</v>
      </c>
      <c r="P192" s="295">
        <f t="shared" si="40"/>
        <v>1.5545836267937247E-7</v>
      </c>
      <c r="Q192" s="295">
        <f t="shared" si="45"/>
        <v>7.7729181339686234E-8</v>
      </c>
      <c r="R192" s="295">
        <f t="shared" si="45"/>
        <v>1.5545836267937247E-7</v>
      </c>
      <c r="S192" s="295">
        <f t="shared" si="45"/>
        <v>1.5545836267937247E-7</v>
      </c>
      <c r="T192" s="295">
        <f t="shared" si="45"/>
        <v>7.7729181339686215E-7</v>
      </c>
      <c r="U192" s="295">
        <f t="shared" si="45"/>
        <v>1.7100419894730968E-6</v>
      </c>
      <c r="V192" s="295">
        <f t="shared" si="45"/>
        <v>1.1659377200952935E-6</v>
      </c>
      <c r="W192" s="295">
        <f t="shared" si="45"/>
        <v>1.2436669014349797E-6</v>
      </c>
      <c r="X192" s="295">
        <f t="shared" si="45"/>
        <v>1.1659377200952935E-6</v>
      </c>
      <c r="Y192" s="295">
        <f t="shared" si="45"/>
        <v>3.8864590669843108E-7</v>
      </c>
      <c r="Z192" s="295">
        <f t="shared" si="45"/>
        <v>1.5545836267937247E-7</v>
      </c>
      <c r="AA192" s="295">
        <f t="shared" si="45"/>
        <v>0</v>
      </c>
      <c r="AB192" s="295">
        <f t="shared" si="45"/>
        <v>0</v>
      </c>
      <c r="AC192" s="295">
        <f t="shared" si="45"/>
        <v>0</v>
      </c>
      <c r="AD192" s="295">
        <f t="shared" si="45"/>
        <v>0</v>
      </c>
      <c r="AE192" s="296">
        <f t="shared" si="45"/>
        <v>0</v>
      </c>
    </row>
    <row r="193" spans="1:31" ht="15" customHeight="1">
      <c r="A193" s="1711"/>
      <c r="B193" s="116">
        <v>24</v>
      </c>
      <c r="C193" s="294">
        <f t="shared" si="43"/>
        <v>7.4221858002681464E-3</v>
      </c>
      <c r="D193" s="295">
        <f t="shared" si="45"/>
        <v>6.8442889341674862E-4</v>
      </c>
      <c r="E193" s="295">
        <f t="shared" si="45"/>
        <v>1.2622775089428541E-4</v>
      </c>
      <c r="F193" s="295">
        <f t="shared" si="45"/>
        <v>3.4919869505263352E-5</v>
      </c>
      <c r="G193" s="295">
        <f t="shared" si="45"/>
        <v>1.2880393073900793E-5</v>
      </c>
      <c r="H193" s="295">
        <f t="shared" si="45"/>
        <v>5.93875807988004E-6</v>
      </c>
      <c r="I193" s="295">
        <f t="shared" si="45"/>
        <v>3.2858171947691392E-6</v>
      </c>
      <c r="J193" s="295">
        <f t="shared" si="45"/>
        <v>2.1209867294793725E-6</v>
      </c>
      <c r="K193" s="295">
        <f t="shared" si="45"/>
        <v>1.5646761094627734E-6</v>
      </c>
      <c r="L193" s="295">
        <f t="shared" si="45"/>
        <v>2.1591425456449695E-8</v>
      </c>
      <c r="M193" s="295">
        <f t="shared" si="45"/>
        <v>1.4649180906353722E-8</v>
      </c>
      <c r="N193" s="295">
        <f t="shared" si="40"/>
        <v>1.0983217199014619E-8</v>
      </c>
      <c r="O193" s="295">
        <f t="shared" si="40"/>
        <v>2.7121371757212589E-9</v>
      </c>
      <c r="P193" s="295">
        <f t="shared" si="40"/>
        <v>1.3184271245135639E-8</v>
      </c>
      <c r="Q193" s="295">
        <f t="shared" si="45"/>
        <v>5.2737084980542565E-9</v>
      </c>
      <c r="R193" s="295">
        <f t="shared" si="45"/>
        <v>2.6368542490271282E-9</v>
      </c>
      <c r="S193" s="295">
        <f t="shared" si="45"/>
        <v>5.2737084980542565E-9</v>
      </c>
      <c r="T193" s="295">
        <f t="shared" si="45"/>
        <v>5.2737084980542565E-9</v>
      </c>
      <c r="U193" s="295">
        <f t="shared" si="45"/>
        <v>2.6368542490271278E-8</v>
      </c>
      <c r="V193" s="295">
        <f t="shared" si="45"/>
        <v>5.8010793478596809E-8</v>
      </c>
      <c r="W193" s="295">
        <f t="shared" si="45"/>
        <v>3.9552813735406922E-8</v>
      </c>
      <c r="X193" s="295">
        <f t="shared" si="45"/>
        <v>4.2189667984434052E-8</v>
      </c>
      <c r="Y193" s="295">
        <f t="shared" si="45"/>
        <v>3.9552813735406922E-8</v>
      </c>
      <c r="Z193" s="295">
        <f t="shared" si="45"/>
        <v>1.3184271245135639E-8</v>
      </c>
      <c r="AA193" s="295">
        <f t="shared" si="45"/>
        <v>5.2737084980542565E-9</v>
      </c>
      <c r="AB193" s="295">
        <f t="shared" si="45"/>
        <v>0</v>
      </c>
      <c r="AC193" s="295">
        <f t="shared" si="45"/>
        <v>0</v>
      </c>
      <c r="AD193" s="295">
        <f t="shared" si="45"/>
        <v>0</v>
      </c>
      <c r="AE193" s="296">
        <f t="shared" si="45"/>
        <v>0</v>
      </c>
    </row>
    <row r="194" spans="1:31" ht="15.75" customHeight="1" thickBot="1">
      <c r="A194" s="1711"/>
      <c r="B194" s="116">
        <v>25</v>
      </c>
      <c r="C194" s="297">
        <f t="shared" si="43"/>
        <v>2.7304695644732604E-3</v>
      </c>
      <c r="D194" s="298">
        <f t="shared" si="45"/>
        <v>0</v>
      </c>
      <c r="E194" s="298">
        <f t="shared" si="45"/>
        <v>0</v>
      </c>
      <c r="F194" s="298">
        <f t="shared" si="45"/>
        <v>0</v>
      </c>
      <c r="G194" s="298">
        <f t="shared" si="45"/>
        <v>0</v>
      </c>
      <c r="H194" s="298">
        <f t="shared" si="45"/>
        <v>0</v>
      </c>
      <c r="I194" s="298">
        <f t="shared" si="45"/>
        <v>0</v>
      </c>
      <c r="J194" s="298">
        <f t="shared" si="45"/>
        <v>0</v>
      </c>
      <c r="K194" s="298">
        <f t="shared" si="45"/>
        <v>0</v>
      </c>
      <c r="L194" s="298">
        <f t="shared" si="45"/>
        <v>0</v>
      </c>
      <c r="M194" s="298">
        <f t="shared" si="45"/>
        <v>0</v>
      </c>
      <c r="N194" s="298">
        <f t="shared" si="40"/>
        <v>0</v>
      </c>
      <c r="O194" s="298">
        <f t="shared" si="40"/>
        <v>0</v>
      </c>
      <c r="P194" s="298">
        <f t="shared" si="40"/>
        <v>0</v>
      </c>
      <c r="Q194" s="298">
        <f t="shared" si="45"/>
        <v>0</v>
      </c>
      <c r="R194" s="298">
        <f t="shared" si="45"/>
        <v>0</v>
      </c>
      <c r="S194" s="298">
        <f t="shared" si="45"/>
        <v>0</v>
      </c>
      <c r="T194" s="298">
        <f t="shared" si="45"/>
        <v>0</v>
      </c>
      <c r="U194" s="298">
        <f t="shared" si="45"/>
        <v>0</v>
      </c>
      <c r="V194" s="298">
        <f t="shared" si="45"/>
        <v>0</v>
      </c>
      <c r="W194" s="298">
        <f t="shared" si="45"/>
        <v>0</v>
      </c>
      <c r="X194" s="298">
        <f t="shared" si="45"/>
        <v>0</v>
      </c>
      <c r="Y194" s="298">
        <f t="shared" si="45"/>
        <v>0</v>
      </c>
      <c r="Z194" s="298">
        <f t="shared" si="45"/>
        <v>0</v>
      </c>
      <c r="AA194" s="298">
        <f t="shared" si="45"/>
        <v>0</v>
      </c>
      <c r="AB194" s="298">
        <f t="shared" si="45"/>
        <v>0</v>
      </c>
      <c r="AC194" s="298">
        <f t="shared" si="45"/>
        <v>0</v>
      </c>
      <c r="AD194" s="298">
        <f t="shared" si="45"/>
        <v>0</v>
      </c>
      <c r="AE194" s="299">
        <f t="shared" si="45"/>
        <v>0</v>
      </c>
    </row>
    <row r="195" spans="1:31" ht="16.5" customHeight="1" thickTop="1" thickBot="1">
      <c r="A195" s="1712"/>
      <c r="B195" s="300" t="s">
        <v>39</v>
      </c>
      <c r="C195" s="301">
        <f>SUM(C169:C194)</f>
        <v>138.99999999999997</v>
      </c>
      <c r="D195" s="301">
        <f>SUM(D169:D194)</f>
        <v>108.89354446941552</v>
      </c>
      <c r="E195" s="301">
        <f t="shared" ref="E195:AB195" si="46">SUM(E169:E194)</f>
        <v>98.669418984196568</v>
      </c>
      <c r="F195" s="301">
        <f t="shared" si="46"/>
        <v>93.943513738228447</v>
      </c>
      <c r="G195" s="301">
        <f t="shared" si="46"/>
        <v>91.153102839907604</v>
      </c>
      <c r="H195" s="301">
        <f t="shared" si="46"/>
        <v>89.207165737195368</v>
      </c>
      <c r="I195" s="301">
        <f t="shared" si="46"/>
        <v>87.136005039553865</v>
      </c>
      <c r="J195" s="301">
        <f t="shared" si="46"/>
        <v>82.626496648627509</v>
      </c>
      <c r="K195" s="301">
        <f t="shared" si="46"/>
        <v>72.365270267757978</v>
      </c>
      <c r="L195" s="301">
        <f t="shared" si="46"/>
        <v>57.599368828837896</v>
      </c>
      <c r="M195" s="301">
        <f t="shared" si="46"/>
        <v>41.592863134389503</v>
      </c>
      <c r="N195" s="301">
        <f t="shared" si="46"/>
        <v>26.184089866282484</v>
      </c>
      <c r="O195" s="301">
        <f t="shared" si="46"/>
        <v>13.7067955403522</v>
      </c>
      <c r="P195" s="301">
        <f t="shared" si="46"/>
        <v>5.8786714426567919</v>
      </c>
      <c r="Q195" s="301">
        <f t="shared" si="46"/>
        <v>2.0994843619225874</v>
      </c>
      <c r="R195" s="301">
        <f t="shared" si="46"/>
        <v>0.63019146736085729</v>
      </c>
      <c r="S195" s="301">
        <f t="shared" si="46"/>
        <v>0.17054124272500676</v>
      </c>
      <c r="T195" s="301">
        <f t="shared" si="46"/>
        <v>4.1111483204647074E-2</v>
      </c>
      <c r="U195" s="301">
        <f t="shared" si="46"/>
        <v>8.6947770028662896E-3</v>
      </c>
      <c r="V195" s="301">
        <f t="shared" si="46"/>
        <v>1.581403210352659E-3</v>
      </c>
      <c r="W195" s="301">
        <f t="shared" si="46"/>
        <v>2.4067300782796273E-4</v>
      </c>
      <c r="X195" s="301">
        <f t="shared" si="46"/>
        <v>2.9450695778560998E-5</v>
      </c>
      <c r="Y195" s="301">
        <f t="shared" si="46"/>
        <v>2.7194992858583275E-6</v>
      </c>
      <c r="Z195" s="301">
        <f t="shared" si="46"/>
        <v>1.6864263392450811E-7</v>
      </c>
      <c r="AA195" s="301">
        <f t="shared" si="46"/>
        <v>5.2737084980542565E-9</v>
      </c>
      <c r="AB195" s="301">
        <f t="shared" si="46"/>
        <v>0</v>
      </c>
      <c r="AC195" s="301">
        <f>SUM(AC169:AC194)</f>
        <v>0</v>
      </c>
      <c r="AD195" s="301">
        <f t="shared" ref="AD195:AE195" si="47">SUM(AD169:AD194)</f>
        <v>0</v>
      </c>
      <c r="AE195" s="302">
        <f t="shared" si="47"/>
        <v>0</v>
      </c>
    </row>
    <row r="196" spans="1:31" ht="15.75" thickBot="1"/>
    <row r="197" spans="1:31" ht="15.75" customHeight="1" thickBot="1">
      <c r="A197" s="1710" t="s">
        <v>46</v>
      </c>
      <c r="B197" s="169" t="s">
        <v>10</v>
      </c>
      <c r="C197" s="288">
        <v>2012</v>
      </c>
      <c r="D197" s="289">
        <v>2013</v>
      </c>
      <c r="E197" s="289">
        <v>2014</v>
      </c>
      <c r="F197" s="289">
        <v>2015</v>
      </c>
      <c r="G197" s="288">
        <v>2016</v>
      </c>
      <c r="H197" s="289">
        <v>2017</v>
      </c>
      <c r="I197" s="289">
        <v>2018</v>
      </c>
      <c r="J197" s="289">
        <v>2019</v>
      </c>
      <c r="K197" s="288">
        <v>2020</v>
      </c>
      <c r="L197" s="289">
        <v>2021</v>
      </c>
      <c r="M197" s="289">
        <v>2022</v>
      </c>
      <c r="N197" s="289">
        <v>2023</v>
      </c>
      <c r="O197" s="288">
        <v>2024</v>
      </c>
      <c r="P197" s="289">
        <v>2025</v>
      </c>
      <c r="Q197" s="289">
        <v>2026</v>
      </c>
      <c r="R197" s="289">
        <v>2027</v>
      </c>
      <c r="S197" s="288">
        <v>2028</v>
      </c>
      <c r="T197" s="289">
        <v>2029</v>
      </c>
      <c r="U197" s="289">
        <v>2030</v>
      </c>
      <c r="V197" s="289">
        <v>2031</v>
      </c>
      <c r="W197" s="288">
        <v>2032</v>
      </c>
      <c r="X197" s="289">
        <v>2033</v>
      </c>
      <c r="Y197" s="289">
        <v>2034</v>
      </c>
      <c r="Z197" s="289">
        <v>2035</v>
      </c>
      <c r="AA197" s="288">
        <v>2036</v>
      </c>
      <c r="AB197" s="289">
        <v>2037</v>
      </c>
      <c r="AC197" s="289">
        <v>2038</v>
      </c>
      <c r="AD197" s="289">
        <v>2039</v>
      </c>
      <c r="AE197" s="290">
        <v>2040</v>
      </c>
    </row>
    <row r="198" spans="1:31" ht="15" customHeight="1">
      <c r="A198" s="1711" t="s">
        <v>41</v>
      </c>
      <c r="B198" s="116">
        <v>0</v>
      </c>
      <c r="C198" s="291">
        <f t="shared" ref="C198:C213" si="48">J4</f>
        <v>12148</v>
      </c>
      <c r="D198" s="292"/>
      <c r="E198" s="292"/>
      <c r="F198" s="292"/>
      <c r="G198" s="292"/>
      <c r="H198" s="292"/>
      <c r="I198" s="292"/>
      <c r="J198" s="292"/>
      <c r="K198" s="292"/>
      <c r="L198" s="292"/>
      <c r="M198" s="292"/>
      <c r="N198" s="292"/>
      <c r="O198" s="292"/>
      <c r="P198" s="292"/>
      <c r="Q198" s="292"/>
      <c r="R198" s="292"/>
      <c r="S198" s="292"/>
      <c r="T198" s="292"/>
      <c r="U198" s="292"/>
      <c r="V198" s="292"/>
      <c r="W198" s="292"/>
      <c r="X198" s="292"/>
      <c r="Y198" s="292"/>
      <c r="Z198" s="292"/>
      <c r="AA198" s="292"/>
      <c r="AB198" s="292"/>
      <c r="AC198" s="292"/>
      <c r="AD198" s="292"/>
      <c r="AE198" s="293"/>
    </row>
    <row r="199" spans="1:31" ht="15" customHeight="1">
      <c r="A199" s="1711"/>
      <c r="B199" s="116">
        <v>1</v>
      </c>
      <c r="C199" s="294">
        <f t="shared" si="48"/>
        <v>16634</v>
      </c>
      <c r="D199" s="295">
        <f t="shared" ref="D199:AE208" si="49">C198*$J26</f>
        <v>12148</v>
      </c>
      <c r="E199" s="295">
        <f t="shared" si="49"/>
        <v>0</v>
      </c>
      <c r="F199" s="295">
        <f t="shared" si="49"/>
        <v>0</v>
      </c>
      <c r="G199" s="295">
        <f t="shared" si="49"/>
        <v>0</v>
      </c>
      <c r="H199" s="295">
        <f t="shared" si="49"/>
        <v>0</v>
      </c>
      <c r="I199" s="295">
        <f t="shared" si="49"/>
        <v>0</v>
      </c>
      <c r="J199" s="295">
        <f t="shared" si="49"/>
        <v>0</v>
      </c>
      <c r="K199" s="295">
        <f t="shared" si="49"/>
        <v>0</v>
      </c>
      <c r="L199" s="295">
        <f t="shared" si="49"/>
        <v>0</v>
      </c>
      <c r="M199" s="295">
        <f t="shared" si="49"/>
        <v>0</v>
      </c>
      <c r="N199" s="295">
        <f t="shared" ref="N199:P223" si="50">M198*$J26</f>
        <v>0</v>
      </c>
      <c r="O199" s="295">
        <f t="shared" si="50"/>
        <v>0</v>
      </c>
      <c r="P199" s="295">
        <f t="shared" si="50"/>
        <v>0</v>
      </c>
      <c r="Q199" s="295">
        <f t="shared" si="49"/>
        <v>0</v>
      </c>
      <c r="R199" s="295">
        <f t="shared" si="49"/>
        <v>0</v>
      </c>
      <c r="S199" s="295">
        <f t="shared" si="49"/>
        <v>0</v>
      </c>
      <c r="T199" s="295">
        <f t="shared" si="49"/>
        <v>0</v>
      </c>
      <c r="U199" s="295">
        <f t="shared" si="49"/>
        <v>0</v>
      </c>
      <c r="V199" s="295">
        <f t="shared" si="49"/>
        <v>0</v>
      </c>
      <c r="W199" s="295">
        <f t="shared" si="49"/>
        <v>0</v>
      </c>
      <c r="X199" s="295">
        <f t="shared" si="49"/>
        <v>0</v>
      </c>
      <c r="Y199" s="295">
        <f t="shared" si="49"/>
        <v>0</v>
      </c>
      <c r="Z199" s="295">
        <f t="shared" si="49"/>
        <v>0</v>
      </c>
      <c r="AA199" s="295">
        <f t="shared" si="49"/>
        <v>0</v>
      </c>
      <c r="AB199" s="295">
        <f t="shared" si="49"/>
        <v>0</v>
      </c>
      <c r="AC199" s="295">
        <f t="shared" si="49"/>
        <v>0</v>
      </c>
      <c r="AD199" s="295">
        <f t="shared" si="49"/>
        <v>0</v>
      </c>
      <c r="AE199" s="296">
        <f t="shared" si="49"/>
        <v>0</v>
      </c>
    </row>
    <row r="200" spans="1:31" ht="15" customHeight="1">
      <c r="A200" s="1711"/>
      <c r="B200" s="116">
        <v>2</v>
      </c>
      <c r="C200" s="294">
        <f t="shared" si="48"/>
        <v>15356</v>
      </c>
      <c r="D200" s="295">
        <f t="shared" si="49"/>
        <v>16634</v>
      </c>
      <c r="E200" s="295">
        <f t="shared" si="49"/>
        <v>12148</v>
      </c>
      <c r="F200" s="295">
        <f t="shared" si="49"/>
        <v>0</v>
      </c>
      <c r="G200" s="295">
        <f t="shared" si="49"/>
        <v>0</v>
      </c>
      <c r="H200" s="295">
        <f t="shared" si="49"/>
        <v>0</v>
      </c>
      <c r="I200" s="295">
        <f t="shared" si="49"/>
        <v>0</v>
      </c>
      <c r="J200" s="295">
        <f t="shared" si="49"/>
        <v>0</v>
      </c>
      <c r="K200" s="295">
        <f t="shared" si="49"/>
        <v>0</v>
      </c>
      <c r="L200" s="295">
        <f t="shared" si="49"/>
        <v>0</v>
      </c>
      <c r="M200" s="295">
        <f t="shared" si="49"/>
        <v>0</v>
      </c>
      <c r="N200" s="295">
        <f t="shared" si="50"/>
        <v>0</v>
      </c>
      <c r="O200" s="295">
        <f t="shared" si="50"/>
        <v>0</v>
      </c>
      <c r="P200" s="295">
        <f t="shared" si="50"/>
        <v>0</v>
      </c>
      <c r="Q200" s="295">
        <f t="shared" si="49"/>
        <v>0</v>
      </c>
      <c r="R200" s="295">
        <f t="shared" si="49"/>
        <v>0</v>
      </c>
      <c r="S200" s="295">
        <f t="shared" si="49"/>
        <v>0</v>
      </c>
      <c r="T200" s="295">
        <f t="shared" si="49"/>
        <v>0</v>
      </c>
      <c r="U200" s="295">
        <f t="shared" si="49"/>
        <v>0</v>
      </c>
      <c r="V200" s="295">
        <f t="shared" si="49"/>
        <v>0</v>
      </c>
      <c r="W200" s="295">
        <f t="shared" si="49"/>
        <v>0</v>
      </c>
      <c r="X200" s="295">
        <f t="shared" si="49"/>
        <v>0</v>
      </c>
      <c r="Y200" s="295">
        <f t="shared" si="49"/>
        <v>0</v>
      </c>
      <c r="Z200" s="295">
        <f t="shared" si="49"/>
        <v>0</v>
      </c>
      <c r="AA200" s="295">
        <f t="shared" si="49"/>
        <v>0</v>
      </c>
      <c r="AB200" s="295">
        <f t="shared" si="49"/>
        <v>0</v>
      </c>
      <c r="AC200" s="295">
        <f t="shared" si="49"/>
        <v>0</v>
      </c>
      <c r="AD200" s="295">
        <f t="shared" si="49"/>
        <v>0</v>
      </c>
      <c r="AE200" s="296">
        <f t="shared" si="49"/>
        <v>0</v>
      </c>
    </row>
    <row r="201" spans="1:31" ht="15" customHeight="1">
      <c r="A201" s="1711"/>
      <c r="B201" s="116">
        <v>3</v>
      </c>
      <c r="C201" s="294">
        <f t="shared" si="48"/>
        <v>9498</v>
      </c>
      <c r="D201" s="295">
        <f t="shared" si="49"/>
        <v>15356</v>
      </c>
      <c r="E201" s="295">
        <f t="shared" si="49"/>
        <v>16634</v>
      </c>
      <c r="F201" s="295">
        <f t="shared" si="49"/>
        <v>12148</v>
      </c>
      <c r="G201" s="295">
        <f t="shared" si="49"/>
        <v>0</v>
      </c>
      <c r="H201" s="295">
        <f t="shared" si="49"/>
        <v>0</v>
      </c>
      <c r="I201" s="295">
        <f t="shared" si="49"/>
        <v>0</v>
      </c>
      <c r="J201" s="295">
        <f t="shared" si="49"/>
        <v>0</v>
      </c>
      <c r="K201" s="295">
        <f t="shared" si="49"/>
        <v>0</v>
      </c>
      <c r="L201" s="295">
        <f t="shared" si="49"/>
        <v>0</v>
      </c>
      <c r="M201" s="295">
        <f t="shared" si="49"/>
        <v>0</v>
      </c>
      <c r="N201" s="295">
        <f t="shared" si="50"/>
        <v>0</v>
      </c>
      <c r="O201" s="295">
        <f t="shared" si="50"/>
        <v>0</v>
      </c>
      <c r="P201" s="295">
        <f t="shared" si="50"/>
        <v>0</v>
      </c>
      <c r="Q201" s="295">
        <f t="shared" si="49"/>
        <v>0</v>
      </c>
      <c r="R201" s="295">
        <f t="shared" si="49"/>
        <v>0</v>
      </c>
      <c r="S201" s="295">
        <f t="shared" si="49"/>
        <v>0</v>
      </c>
      <c r="T201" s="295">
        <f t="shared" si="49"/>
        <v>0</v>
      </c>
      <c r="U201" s="295">
        <f t="shared" si="49"/>
        <v>0</v>
      </c>
      <c r="V201" s="295">
        <f t="shared" si="49"/>
        <v>0</v>
      </c>
      <c r="W201" s="295">
        <f t="shared" si="49"/>
        <v>0</v>
      </c>
      <c r="X201" s="295">
        <f t="shared" si="49"/>
        <v>0</v>
      </c>
      <c r="Y201" s="295">
        <f t="shared" si="49"/>
        <v>0</v>
      </c>
      <c r="Z201" s="295">
        <f t="shared" si="49"/>
        <v>0</v>
      </c>
      <c r="AA201" s="295">
        <f t="shared" si="49"/>
        <v>0</v>
      </c>
      <c r="AB201" s="295">
        <f t="shared" si="49"/>
        <v>0</v>
      </c>
      <c r="AC201" s="295">
        <f t="shared" si="49"/>
        <v>0</v>
      </c>
      <c r="AD201" s="295">
        <f t="shared" si="49"/>
        <v>0</v>
      </c>
      <c r="AE201" s="296">
        <f t="shared" si="49"/>
        <v>0</v>
      </c>
    </row>
    <row r="202" spans="1:31" ht="15" customHeight="1">
      <c r="A202" s="1711"/>
      <c r="B202" s="116">
        <v>4</v>
      </c>
      <c r="C202" s="294">
        <f t="shared" si="48"/>
        <v>12884</v>
      </c>
      <c r="D202" s="295">
        <f t="shared" si="49"/>
        <v>9498</v>
      </c>
      <c r="E202" s="295">
        <f t="shared" si="49"/>
        <v>15356</v>
      </c>
      <c r="F202" s="295">
        <f t="shared" si="49"/>
        <v>16634</v>
      </c>
      <c r="G202" s="295">
        <f t="shared" si="49"/>
        <v>12148</v>
      </c>
      <c r="H202" s="295">
        <f t="shared" si="49"/>
        <v>0</v>
      </c>
      <c r="I202" s="295">
        <f t="shared" si="49"/>
        <v>0</v>
      </c>
      <c r="J202" s="295">
        <f t="shared" si="49"/>
        <v>0</v>
      </c>
      <c r="K202" s="295">
        <f t="shared" si="49"/>
        <v>0</v>
      </c>
      <c r="L202" s="295">
        <f t="shared" si="49"/>
        <v>0</v>
      </c>
      <c r="M202" s="295">
        <f t="shared" si="49"/>
        <v>0</v>
      </c>
      <c r="N202" s="295">
        <f t="shared" si="50"/>
        <v>0</v>
      </c>
      <c r="O202" s="295">
        <f t="shared" si="50"/>
        <v>0</v>
      </c>
      <c r="P202" s="295">
        <f t="shared" si="50"/>
        <v>0</v>
      </c>
      <c r="Q202" s="295">
        <f t="shared" si="49"/>
        <v>0</v>
      </c>
      <c r="R202" s="295">
        <f t="shared" si="49"/>
        <v>0</v>
      </c>
      <c r="S202" s="295">
        <f t="shared" si="49"/>
        <v>0</v>
      </c>
      <c r="T202" s="295">
        <f t="shared" si="49"/>
        <v>0</v>
      </c>
      <c r="U202" s="295">
        <f t="shared" si="49"/>
        <v>0</v>
      </c>
      <c r="V202" s="295">
        <f t="shared" si="49"/>
        <v>0</v>
      </c>
      <c r="W202" s="295">
        <f t="shared" si="49"/>
        <v>0</v>
      </c>
      <c r="X202" s="295">
        <f t="shared" si="49"/>
        <v>0</v>
      </c>
      <c r="Y202" s="295">
        <f t="shared" si="49"/>
        <v>0</v>
      </c>
      <c r="Z202" s="295">
        <f t="shared" si="49"/>
        <v>0</v>
      </c>
      <c r="AA202" s="295">
        <f t="shared" si="49"/>
        <v>0</v>
      </c>
      <c r="AB202" s="295">
        <f t="shared" si="49"/>
        <v>0</v>
      </c>
      <c r="AC202" s="295">
        <f t="shared" si="49"/>
        <v>0</v>
      </c>
      <c r="AD202" s="295">
        <f t="shared" si="49"/>
        <v>0</v>
      </c>
      <c r="AE202" s="296">
        <f t="shared" si="49"/>
        <v>0</v>
      </c>
    </row>
    <row r="203" spans="1:31" ht="15" customHeight="1">
      <c r="A203" s="1711"/>
      <c r="B203" s="116">
        <v>5</v>
      </c>
      <c r="C203" s="294">
        <f t="shared" si="48"/>
        <v>7324</v>
      </c>
      <c r="D203" s="295">
        <f t="shared" si="49"/>
        <v>12884</v>
      </c>
      <c r="E203" s="295">
        <f t="shared" si="49"/>
        <v>9498</v>
      </c>
      <c r="F203" s="295">
        <f t="shared" si="49"/>
        <v>15356</v>
      </c>
      <c r="G203" s="295">
        <f t="shared" si="49"/>
        <v>16634</v>
      </c>
      <c r="H203" s="295">
        <f t="shared" si="49"/>
        <v>12148</v>
      </c>
      <c r="I203" s="295">
        <f t="shared" si="49"/>
        <v>0</v>
      </c>
      <c r="J203" s="295">
        <f t="shared" si="49"/>
        <v>0</v>
      </c>
      <c r="K203" s="295">
        <f t="shared" si="49"/>
        <v>0</v>
      </c>
      <c r="L203" s="295">
        <f t="shared" si="49"/>
        <v>0</v>
      </c>
      <c r="M203" s="295">
        <f t="shared" si="49"/>
        <v>0</v>
      </c>
      <c r="N203" s="295">
        <f t="shared" si="50"/>
        <v>0</v>
      </c>
      <c r="O203" s="295">
        <f t="shared" si="50"/>
        <v>0</v>
      </c>
      <c r="P203" s="295">
        <f t="shared" si="50"/>
        <v>0</v>
      </c>
      <c r="Q203" s="295">
        <f t="shared" si="49"/>
        <v>0</v>
      </c>
      <c r="R203" s="295">
        <f t="shared" si="49"/>
        <v>0</v>
      </c>
      <c r="S203" s="295">
        <f t="shared" si="49"/>
        <v>0</v>
      </c>
      <c r="T203" s="295">
        <f t="shared" si="49"/>
        <v>0</v>
      </c>
      <c r="U203" s="295">
        <f t="shared" si="49"/>
        <v>0</v>
      </c>
      <c r="V203" s="295">
        <f t="shared" si="49"/>
        <v>0</v>
      </c>
      <c r="W203" s="295">
        <f t="shared" si="49"/>
        <v>0</v>
      </c>
      <c r="X203" s="295">
        <f t="shared" si="49"/>
        <v>0</v>
      </c>
      <c r="Y203" s="295">
        <f t="shared" si="49"/>
        <v>0</v>
      </c>
      <c r="Z203" s="295">
        <f t="shared" si="49"/>
        <v>0</v>
      </c>
      <c r="AA203" s="295">
        <f t="shared" si="49"/>
        <v>0</v>
      </c>
      <c r="AB203" s="295">
        <f t="shared" si="49"/>
        <v>0</v>
      </c>
      <c r="AC203" s="295">
        <f t="shared" si="49"/>
        <v>0</v>
      </c>
      <c r="AD203" s="295">
        <f t="shared" si="49"/>
        <v>0</v>
      </c>
      <c r="AE203" s="296">
        <f t="shared" si="49"/>
        <v>0</v>
      </c>
    </row>
    <row r="204" spans="1:31" ht="15" customHeight="1">
      <c r="A204" s="1711"/>
      <c r="B204" s="116">
        <v>6</v>
      </c>
      <c r="C204" s="294">
        <f t="shared" si="48"/>
        <v>5886</v>
      </c>
      <c r="D204" s="295">
        <f t="shared" si="49"/>
        <v>7324</v>
      </c>
      <c r="E204" s="295">
        <f t="shared" si="49"/>
        <v>12884</v>
      </c>
      <c r="F204" s="295">
        <f t="shared" si="49"/>
        <v>9498</v>
      </c>
      <c r="G204" s="295">
        <f t="shared" si="49"/>
        <v>15356</v>
      </c>
      <c r="H204" s="295">
        <f t="shared" si="49"/>
        <v>16634</v>
      </c>
      <c r="I204" s="295">
        <f t="shared" si="49"/>
        <v>12148</v>
      </c>
      <c r="J204" s="295">
        <f t="shared" si="49"/>
        <v>0</v>
      </c>
      <c r="K204" s="295">
        <f t="shared" si="49"/>
        <v>0</v>
      </c>
      <c r="L204" s="295">
        <f t="shared" si="49"/>
        <v>0</v>
      </c>
      <c r="M204" s="295">
        <f t="shared" si="49"/>
        <v>0</v>
      </c>
      <c r="N204" s="295">
        <f t="shared" si="50"/>
        <v>0</v>
      </c>
      <c r="O204" s="295">
        <f t="shared" si="50"/>
        <v>0</v>
      </c>
      <c r="P204" s="295">
        <f t="shared" si="50"/>
        <v>0</v>
      </c>
      <c r="Q204" s="295">
        <f t="shared" si="49"/>
        <v>0</v>
      </c>
      <c r="R204" s="295">
        <f t="shared" si="49"/>
        <v>0</v>
      </c>
      <c r="S204" s="295">
        <f t="shared" si="49"/>
        <v>0</v>
      </c>
      <c r="T204" s="295">
        <f t="shared" si="49"/>
        <v>0</v>
      </c>
      <c r="U204" s="295">
        <f t="shared" si="49"/>
        <v>0</v>
      </c>
      <c r="V204" s="295">
        <f t="shared" si="49"/>
        <v>0</v>
      </c>
      <c r="W204" s="295">
        <f t="shared" si="49"/>
        <v>0</v>
      </c>
      <c r="X204" s="295">
        <f t="shared" si="49"/>
        <v>0</v>
      </c>
      <c r="Y204" s="295">
        <f t="shared" si="49"/>
        <v>0</v>
      </c>
      <c r="Z204" s="295">
        <f t="shared" si="49"/>
        <v>0</v>
      </c>
      <c r="AA204" s="295">
        <f t="shared" si="49"/>
        <v>0</v>
      </c>
      <c r="AB204" s="295">
        <f t="shared" si="49"/>
        <v>0</v>
      </c>
      <c r="AC204" s="295">
        <f t="shared" si="49"/>
        <v>0</v>
      </c>
      <c r="AD204" s="295">
        <f t="shared" si="49"/>
        <v>0</v>
      </c>
      <c r="AE204" s="296">
        <f t="shared" si="49"/>
        <v>0</v>
      </c>
    </row>
    <row r="205" spans="1:31" ht="15" customHeight="1">
      <c r="A205" s="1711"/>
      <c r="B205" s="116">
        <v>7</v>
      </c>
      <c r="C205" s="294">
        <f t="shared" si="48"/>
        <v>5680</v>
      </c>
      <c r="D205" s="295">
        <f t="shared" si="49"/>
        <v>5886</v>
      </c>
      <c r="E205" s="295">
        <f t="shared" si="49"/>
        <v>7324</v>
      </c>
      <c r="F205" s="295">
        <f t="shared" si="49"/>
        <v>12884</v>
      </c>
      <c r="G205" s="295">
        <f t="shared" si="49"/>
        <v>9498</v>
      </c>
      <c r="H205" s="295">
        <f t="shared" si="49"/>
        <v>15356</v>
      </c>
      <c r="I205" s="295">
        <f t="shared" si="49"/>
        <v>16634</v>
      </c>
      <c r="J205" s="295">
        <f t="shared" si="49"/>
        <v>12148</v>
      </c>
      <c r="K205" s="295">
        <f t="shared" si="49"/>
        <v>0</v>
      </c>
      <c r="L205" s="295">
        <f t="shared" si="49"/>
        <v>0</v>
      </c>
      <c r="M205" s="295">
        <f t="shared" si="49"/>
        <v>0</v>
      </c>
      <c r="N205" s="295">
        <f t="shared" si="50"/>
        <v>0</v>
      </c>
      <c r="O205" s="295">
        <f t="shared" si="50"/>
        <v>0</v>
      </c>
      <c r="P205" s="295">
        <f t="shared" si="50"/>
        <v>0</v>
      </c>
      <c r="Q205" s="295">
        <f t="shared" si="49"/>
        <v>0</v>
      </c>
      <c r="R205" s="295">
        <f t="shared" si="49"/>
        <v>0</v>
      </c>
      <c r="S205" s="295">
        <f t="shared" si="49"/>
        <v>0</v>
      </c>
      <c r="T205" s="295">
        <f t="shared" si="49"/>
        <v>0</v>
      </c>
      <c r="U205" s="295">
        <f t="shared" si="49"/>
        <v>0</v>
      </c>
      <c r="V205" s="295">
        <f t="shared" si="49"/>
        <v>0</v>
      </c>
      <c r="W205" s="295">
        <f t="shared" si="49"/>
        <v>0</v>
      </c>
      <c r="X205" s="295">
        <f t="shared" si="49"/>
        <v>0</v>
      </c>
      <c r="Y205" s="295">
        <f t="shared" si="49"/>
        <v>0</v>
      </c>
      <c r="Z205" s="295">
        <f t="shared" si="49"/>
        <v>0</v>
      </c>
      <c r="AA205" s="295">
        <f t="shared" si="49"/>
        <v>0</v>
      </c>
      <c r="AB205" s="295">
        <f t="shared" si="49"/>
        <v>0</v>
      </c>
      <c r="AC205" s="295">
        <f t="shared" si="49"/>
        <v>0</v>
      </c>
      <c r="AD205" s="295">
        <f t="shared" si="49"/>
        <v>0</v>
      </c>
      <c r="AE205" s="296">
        <f t="shared" si="49"/>
        <v>0</v>
      </c>
    </row>
    <row r="206" spans="1:31" ht="15" customHeight="1">
      <c r="A206" s="1711"/>
      <c r="B206" s="116">
        <v>8</v>
      </c>
      <c r="C206" s="294">
        <f t="shared" si="48"/>
        <v>3465</v>
      </c>
      <c r="D206" s="295">
        <f t="shared" si="49"/>
        <v>5680</v>
      </c>
      <c r="E206" s="295">
        <f t="shared" si="49"/>
        <v>5886</v>
      </c>
      <c r="F206" s="295">
        <f t="shared" si="49"/>
        <v>7324</v>
      </c>
      <c r="G206" s="295">
        <f t="shared" si="49"/>
        <v>12884</v>
      </c>
      <c r="H206" s="295">
        <f t="shared" si="49"/>
        <v>9498</v>
      </c>
      <c r="I206" s="295">
        <f t="shared" si="49"/>
        <v>15356</v>
      </c>
      <c r="J206" s="295">
        <f t="shared" si="49"/>
        <v>16634</v>
      </c>
      <c r="K206" s="295">
        <f t="shared" si="49"/>
        <v>12148</v>
      </c>
      <c r="L206" s="295">
        <f t="shared" si="49"/>
        <v>0</v>
      </c>
      <c r="M206" s="295">
        <f t="shared" si="49"/>
        <v>0</v>
      </c>
      <c r="N206" s="295">
        <f t="shared" si="50"/>
        <v>0</v>
      </c>
      <c r="O206" s="295">
        <f t="shared" si="50"/>
        <v>0</v>
      </c>
      <c r="P206" s="295">
        <f t="shared" si="50"/>
        <v>0</v>
      </c>
      <c r="Q206" s="295">
        <f t="shared" si="49"/>
        <v>0</v>
      </c>
      <c r="R206" s="295">
        <f t="shared" si="49"/>
        <v>0</v>
      </c>
      <c r="S206" s="295">
        <f t="shared" si="49"/>
        <v>0</v>
      </c>
      <c r="T206" s="295">
        <f t="shared" si="49"/>
        <v>0</v>
      </c>
      <c r="U206" s="295">
        <f t="shared" si="49"/>
        <v>0</v>
      </c>
      <c r="V206" s="295">
        <f t="shared" si="49"/>
        <v>0</v>
      </c>
      <c r="W206" s="295">
        <f t="shared" si="49"/>
        <v>0</v>
      </c>
      <c r="X206" s="295">
        <f t="shared" si="49"/>
        <v>0</v>
      </c>
      <c r="Y206" s="295">
        <f t="shared" si="49"/>
        <v>0</v>
      </c>
      <c r="Z206" s="295">
        <f t="shared" si="49"/>
        <v>0</v>
      </c>
      <c r="AA206" s="295">
        <f t="shared" si="49"/>
        <v>0</v>
      </c>
      <c r="AB206" s="295">
        <f t="shared" si="49"/>
        <v>0</v>
      </c>
      <c r="AC206" s="295">
        <f t="shared" si="49"/>
        <v>0</v>
      </c>
      <c r="AD206" s="295">
        <f t="shared" si="49"/>
        <v>0</v>
      </c>
      <c r="AE206" s="296">
        <f t="shared" si="49"/>
        <v>0</v>
      </c>
    </row>
    <row r="207" spans="1:31" ht="15" customHeight="1">
      <c r="A207" s="1711"/>
      <c r="B207" s="116">
        <v>9</v>
      </c>
      <c r="C207" s="294">
        <f t="shared" si="48"/>
        <v>2551</v>
      </c>
      <c r="D207" s="295">
        <f t="shared" si="49"/>
        <v>3465</v>
      </c>
      <c r="E207" s="295">
        <f t="shared" si="49"/>
        <v>5680</v>
      </c>
      <c r="F207" s="295">
        <f t="shared" si="49"/>
        <v>5886</v>
      </c>
      <c r="G207" s="295">
        <f t="shared" si="49"/>
        <v>7324</v>
      </c>
      <c r="H207" s="295">
        <f t="shared" si="49"/>
        <v>12884</v>
      </c>
      <c r="I207" s="295">
        <f t="shared" si="49"/>
        <v>9498</v>
      </c>
      <c r="J207" s="295">
        <f t="shared" si="49"/>
        <v>15356</v>
      </c>
      <c r="K207" s="295">
        <f t="shared" si="49"/>
        <v>16634</v>
      </c>
      <c r="L207" s="295">
        <f t="shared" si="49"/>
        <v>12148</v>
      </c>
      <c r="M207" s="295">
        <f t="shared" si="49"/>
        <v>0</v>
      </c>
      <c r="N207" s="295">
        <f t="shared" si="50"/>
        <v>0</v>
      </c>
      <c r="O207" s="295">
        <f t="shared" si="50"/>
        <v>0</v>
      </c>
      <c r="P207" s="295">
        <f t="shared" si="50"/>
        <v>0</v>
      </c>
      <c r="Q207" s="295">
        <f t="shared" si="49"/>
        <v>0</v>
      </c>
      <c r="R207" s="295">
        <f t="shared" si="49"/>
        <v>0</v>
      </c>
      <c r="S207" s="295">
        <f t="shared" si="49"/>
        <v>0</v>
      </c>
      <c r="T207" s="295">
        <f t="shared" si="49"/>
        <v>0</v>
      </c>
      <c r="U207" s="295">
        <f t="shared" si="49"/>
        <v>0</v>
      </c>
      <c r="V207" s="295">
        <f t="shared" si="49"/>
        <v>0</v>
      </c>
      <c r="W207" s="295">
        <f t="shared" si="49"/>
        <v>0</v>
      </c>
      <c r="X207" s="295">
        <f t="shared" si="49"/>
        <v>0</v>
      </c>
      <c r="Y207" s="295">
        <f t="shared" si="49"/>
        <v>0</v>
      </c>
      <c r="Z207" s="295">
        <f t="shared" si="49"/>
        <v>0</v>
      </c>
      <c r="AA207" s="295">
        <f t="shared" si="49"/>
        <v>0</v>
      </c>
      <c r="AB207" s="295">
        <f t="shared" si="49"/>
        <v>0</v>
      </c>
      <c r="AC207" s="295">
        <f t="shared" si="49"/>
        <v>0</v>
      </c>
      <c r="AD207" s="295">
        <f t="shared" si="49"/>
        <v>0</v>
      </c>
      <c r="AE207" s="296">
        <f t="shared" si="49"/>
        <v>0</v>
      </c>
    </row>
    <row r="208" spans="1:31" ht="15" customHeight="1">
      <c r="A208" s="1711"/>
      <c r="B208" s="116">
        <v>10</v>
      </c>
      <c r="C208" s="294">
        <f t="shared" si="48"/>
        <v>1325</v>
      </c>
      <c r="D208" s="295">
        <f t="shared" si="49"/>
        <v>2551</v>
      </c>
      <c r="E208" s="295">
        <f t="shared" si="49"/>
        <v>3465</v>
      </c>
      <c r="F208" s="295">
        <f t="shared" si="49"/>
        <v>5680</v>
      </c>
      <c r="G208" s="295">
        <f t="shared" ref="G208:AE208" si="51">F207*$J35</f>
        <v>5886</v>
      </c>
      <c r="H208" s="295">
        <f t="shared" si="51"/>
        <v>7324</v>
      </c>
      <c r="I208" s="295">
        <f t="shared" si="51"/>
        <v>12884</v>
      </c>
      <c r="J208" s="295">
        <f t="shared" si="51"/>
        <v>9498</v>
      </c>
      <c r="K208" s="295">
        <f t="shared" si="51"/>
        <v>15356</v>
      </c>
      <c r="L208" s="295">
        <f t="shared" si="51"/>
        <v>16634</v>
      </c>
      <c r="M208" s="295">
        <f t="shared" si="51"/>
        <v>12148</v>
      </c>
      <c r="N208" s="295">
        <f t="shared" si="50"/>
        <v>0</v>
      </c>
      <c r="O208" s="295">
        <f t="shared" si="50"/>
        <v>0</v>
      </c>
      <c r="P208" s="295">
        <f t="shared" si="50"/>
        <v>0</v>
      </c>
      <c r="Q208" s="295">
        <f t="shared" si="51"/>
        <v>0</v>
      </c>
      <c r="R208" s="295">
        <f t="shared" si="51"/>
        <v>0</v>
      </c>
      <c r="S208" s="295">
        <f t="shared" si="51"/>
        <v>0</v>
      </c>
      <c r="T208" s="295">
        <f t="shared" si="51"/>
        <v>0</v>
      </c>
      <c r="U208" s="295">
        <f t="shared" si="51"/>
        <v>0</v>
      </c>
      <c r="V208" s="295">
        <f t="shared" si="51"/>
        <v>0</v>
      </c>
      <c r="W208" s="295">
        <f t="shared" si="51"/>
        <v>0</v>
      </c>
      <c r="X208" s="295">
        <f t="shared" si="51"/>
        <v>0</v>
      </c>
      <c r="Y208" s="295">
        <f t="shared" si="51"/>
        <v>0</v>
      </c>
      <c r="Z208" s="295">
        <f t="shared" si="51"/>
        <v>0</v>
      </c>
      <c r="AA208" s="295">
        <f t="shared" si="51"/>
        <v>0</v>
      </c>
      <c r="AB208" s="295">
        <f t="shared" si="51"/>
        <v>0</v>
      </c>
      <c r="AC208" s="295">
        <f t="shared" si="51"/>
        <v>0</v>
      </c>
      <c r="AD208" s="295">
        <f t="shared" si="51"/>
        <v>0</v>
      </c>
      <c r="AE208" s="296">
        <f t="shared" si="51"/>
        <v>0</v>
      </c>
    </row>
    <row r="209" spans="1:31" ht="15" customHeight="1">
      <c r="A209" s="1711"/>
      <c r="B209" s="116">
        <v>11</v>
      </c>
      <c r="C209" s="294">
        <f t="shared" si="48"/>
        <v>155</v>
      </c>
      <c r="D209" s="295">
        <f t="shared" ref="D209:AE218" si="52">C208*$J36</f>
        <v>1325</v>
      </c>
      <c r="E209" s="295">
        <f t="shared" si="52"/>
        <v>2551</v>
      </c>
      <c r="F209" s="295">
        <f t="shared" si="52"/>
        <v>3465</v>
      </c>
      <c r="G209" s="295">
        <f t="shared" si="52"/>
        <v>5680</v>
      </c>
      <c r="H209" s="295">
        <f t="shared" si="52"/>
        <v>5886</v>
      </c>
      <c r="I209" s="295">
        <f t="shared" si="52"/>
        <v>7324</v>
      </c>
      <c r="J209" s="295">
        <f t="shared" si="52"/>
        <v>12884</v>
      </c>
      <c r="K209" s="295">
        <f t="shared" si="52"/>
        <v>9498</v>
      </c>
      <c r="L209" s="295">
        <f t="shared" si="52"/>
        <v>15356</v>
      </c>
      <c r="M209" s="295">
        <f t="shared" si="52"/>
        <v>16634</v>
      </c>
      <c r="N209" s="295">
        <f t="shared" si="50"/>
        <v>12148</v>
      </c>
      <c r="O209" s="295">
        <f t="shared" si="50"/>
        <v>0</v>
      </c>
      <c r="P209" s="295">
        <f t="shared" si="50"/>
        <v>0</v>
      </c>
      <c r="Q209" s="295">
        <f t="shared" si="52"/>
        <v>0</v>
      </c>
      <c r="R209" s="295">
        <f t="shared" si="52"/>
        <v>0</v>
      </c>
      <c r="S209" s="295">
        <f t="shared" si="52"/>
        <v>0</v>
      </c>
      <c r="T209" s="295">
        <f t="shared" si="52"/>
        <v>0</v>
      </c>
      <c r="U209" s="295">
        <f t="shared" si="52"/>
        <v>0</v>
      </c>
      <c r="V209" s="295">
        <f t="shared" si="52"/>
        <v>0</v>
      </c>
      <c r="W209" s="295">
        <f t="shared" si="52"/>
        <v>0</v>
      </c>
      <c r="X209" s="295">
        <f t="shared" si="52"/>
        <v>0</v>
      </c>
      <c r="Y209" s="295">
        <f t="shared" si="52"/>
        <v>0</v>
      </c>
      <c r="Z209" s="295">
        <f t="shared" si="52"/>
        <v>0</v>
      </c>
      <c r="AA209" s="295">
        <f t="shared" si="52"/>
        <v>0</v>
      </c>
      <c r="AB209" s="295">
        <f t="shared" si="52"/>
        <v>0</v>
      </c>
      <c r="AC209" s="295">
        <f t="shared" si="52"/>
        <v>0</v>
      </c>
      <c r="AD209" s="295">
        <f t="shared" si="52"/>
        <v>0</v>
      </c>
      <c r="AE209" s="296">
        <f t="shared" si="52"/>
        <v>0</v>
      </c>
    </row>
    <row r="210" spans="1:31" ht="15" customHeight="1">
      <c r="A210" s="1711"/>
      <c r="B210" s="116">
        <v>12</v>
      </c>
      <c r="C210" s="294">
        <f t="shared" si="48"/>
        <v>68</v>
      </c>
      <c r="D210" s="295">
        <f t="shared" si="52"/>
        <v>155</v>
      </c>
      <c r="E210" s="295">
        <f t="shared" si="52"/>
        <v>1325</v>
      </c>
      <c r="F210" s="295">
        <f t="shared" si="52"/>
        <v>2551</v>
      </c>
      <c r="G210" s="295">
        <f t="shared" si="52"/>
        <v>3465</v>
      </c>
      <c r="H210" s="295">
        <f t="shared" si="52"/>
        <v>5680</v>
      </c>
      <c r="I210" s="295">
        <f t="shared" si="52"/>
        <v>5886</v>
      </c>
      <c r="J210" s="295">
        <f t="shared" si="52"/>
        <v>7324</v>
      </c>
      <c r="K210" s="295">
        <f t="shared" si="52"/>
        <v>12884</v>
      </c>
      <c r="L210" s="295">
        <f t="shared" si="52"/>
        <v>9498</v>
      </c>
      <c r="M210" s="295">
        <f t="shared" si="52"/>
        <v>15356</v>
      </c>
      <c r="N210" s="295">
        <f t="shared" si="50"/>
        <v>16634</v>
      </c>
      <c r="O210" s="295">
        <f t="shared" si="50"/>
        <v>12148</v>
      </c>
      <c r="P210" s="295">
        <f t="shared" si="50"/>
        <v>0</v>
      </c>
      <c r="Q210" s="295">
        <f t="shared" si="52"/>
        <v>0</v>
      </c>
      <c r="R210" s="295">
        <f t="shared" si="52"/>
        <v>0</v>
      </c>
      <c r="S210" s="295">
        <f t="shared" si="52"/>
        <v>0</v>
      </c>
      <c r="T210" s="295">
        <f t="shared" si="52"/>
        <v>0</v>
      </c>
      <c r="U210" s="295">
        <f t="shared" si="52"/>
        <v>0</v>
      </c>
      <c r="V210" s="295">
        <f t="shared" si="52"/>
        <v>0</v>
      </c>
      <c r="W210" s="295">
        <f t="shared" si="52"/>
        <v>0</v>
      </c>
      <c r="X210" s="295">
        <f t="shared" si="52"/>
        <v>0</v>
      </c>
      <c r="Y210" s="295">
        <f t="shared" si="52"/>
        <v>0</v>
      </c>
      <c r="Z210" s="295">
        <f t="shared" si="52"/>
        <v>0</v>
      </c>
      <c r="AA210" s="295">
        <f t="shared" si="52"/>
        <v>0</v>
      </c>
      <c r="AB210" s="295">
        <f t="shared" si="52"/>
        <v>0</v>
      </c>
      <c r="AC210" s="295">
        <f t="shared" si="52"/>
        <v>0</v>
      </c>
      <c r="AD210" s="295">
        <f t="shared" si="52"/>
        <v>0</v>
      </c>
      <c r="AE210" s="296">
        <f t="shared" si="52"/>
        <v>0</v>
      </c>
    </row>
    <row r="211" spans="1:31" ht="15" customHeight="1">
      <c r="A211" s="1711"/>
      <c r="B211" s="116">
        <v>13</v>
      </c>
      <c r="C211" s="294">
        <f t="shared" si="48"/>
        <v>10</v>
      </c>
      <c r="D211" s="295">
        <f t="shared" si="52"/>
        <v>59.473492097444961</v>
      </c>
      <c r="E211" s="295">
        <f t="shared" si="52"/>
        <v>135.56457757505837</v>
      </c>
      <c r="F211" s="295">
        <f t="shared" si="52"/>
        <v>1158.8584857222731</v>
      </c>
      <c r="G211" s="295">
        <f t="shared" si="52"/>
        <v>2231.1305638320896</v>
      </c>
      <c r="H211" s="295">
        <f t="shared" si="52"/>
        <v>3030.5242664359826</v>
      </c>
      <c r="I211" s="295">
        <f t="shared" si="52"/>
        <v>4967.7858104924617</v>
      </c>
      <c r="J211" s="295">
        <f t="shared" si="52"/>
        <v>5147.9555071406039</v>
      </c>
      <c r="K211" s="295">
        <f t="shared" si="52"/>
        <v>6405.6449429659842</v>
      </c>
      <c r="L211" s="295">
        <f t="shared" si="52"/>
        <v>11268.477532110013</v>
      </c>
      <c r="M211" s="295">
        <f t="shared" si="52"/>
        <v>8307.0474697284153</v>
      </c>
      <c r="N211" s="295">
        <f t="shared" si="50"/>
        <v>13430.513891887718</v>
      </c>
      <c r="O211" s="295">
        <f t="shared" si="50"/>
        <v>14548.265699248523</v>
      </c>
      <c r="P211" s="295">
        <f t="shared" si="50"/>
        <v>10624.764441172962</v>
      </c>
      <c r="Q211" s="295">
        <f t="shared" si="52"/>
        <v>0</v>
      </c>
      <c r="R211" s="295">
        <f t="shared" si="52"/>
        <v>0</v>
      </c>
      <c r="S211" s="295">
        <f t="shared" si="52"/>
        <v>0</v>
      </c>
      <c r="T211" s="295">
        <f t="shared" si="52"/>
        <v>0</v>
      </c>
      <c r="U211" s="295">
        <f t="shared" si="52"/>
        <v>0</v>
      </c>
      <c r="V211" s="295">
        <f t="shared" si="52"/>
        <v>0</v>
      </c>
      <c r="W211" s="295">
        <f t="shared" si="52"/>
        <v>0</v>
      </c>
      <c r="X211" s="295">
        <f t="shared" si="52"/>
        <v>0</v>
      </c>
      <c r="Y211" s="295">
        <f t="shared" si="52"/>
        <v>0</v>
      </c>
      <c r="Z211" s="295">
        <f t="shared" si="52"/>
        <v>0</v>
      </c>
      <c r="AA211" s="295">
        <f t="shared" si="52"/>
        <v>0</v>
      </c>
      <c r="AB211" s="295">
        <f t="shared" si="52"/>
        <v>0</v>
      </c>
      <c r="AC211" s="295">
        <f t="shared" si="52"/>
        <v>0</v>
      </c>
      <c r="AD211" s="295">
        <f t="shared" si="52"/>
        <v>0</v>
      </c>
      <c r="AE211" s="296">
        <f t="shared" si="52"/>
        <v>0</v>
      </c>
    </row>
    <row r="212" spans="1:31" ht="15" customHeight="1">
      <c r="A212" s="1711"/>
      <c r="B212" s="116">
        <v>14</v>
      </c>
      <c r="C212" s="294">
        <f t="shared" si="48"/>
        <v>16</v>
      </c>
      <c r="D212" s="295">
        <f t="shared" si="52"/>
        <v>6.273038560689189</v>
      </c>
      <c r="E212" s="295">
        <f t="shared" si="52"/>
        <v>37.307950926611603</v>
      </c>
      <c r="F212" s="295">
        <f t="shared" si="52"/>
        <v>85.0401822591882</v>
      </c>
      <c r="G212" s="295">
        <f t="shared" si="52"/>
        <v>726.95639673177016</v>
      </c>
      <c r="H212" s="295">
        <f t="shared" si="52"/>
        <v>1399.596806085091</v>
      </c>
      <c r="I212" s="295">
        <f t="shared" si="52"/>
        <v>1901.0595582457238</v>
      </c>
      <c r="J212" s="295">
        <f t="shared" si="52"/>
        <v>3116.3111950463808</v>
      </c>
      <c r="K212" s="295">
        <f t="shared" si="52"/>
        <v>3229.3323405005281</v>
      </c>
      <c r="L212" s="295">
        <f t="shared" si="52"/>
        <v>4018.285773330932</v>
      </c>
      <c r="M212" s="295">
        <f t="shared" si="52"/>
        <v>7068.7594079185865</v>
      </c>
      <c r="N212" s="295">
        <f t="shared" si="50"/>
        <v>5211.0429103081906</v>
      </c>
      <c r="O212" s="295">
        <f t="shared" si="50"/>
        <v>8425.0131533683489</v>
      </c>
      <c r="P212" s="295">
        <f t="shared" si="50"/>
        <v>9126.1831722537845</v>
      </c>
      <c r="Q212" s="295">
        <f t="shared" si="52"/>
        <v>6664.9557037717314</v>
      </c>
      <c r="R212" s="295">
        <f t="shared" si="52"/>
        <v>0</v>
      </c>
      <c r="S212" s="295">
        <f t="shared" si="52"/>
        <v>0</v>
      </c>
      <c r="T212" s="295">
        <f t="shared" si="52"/>
        <v>0</v>
      </c>
      <c r="U212" s="295">
        <f t="shared" si="52"/>
        <v>0</v>
      </c>
      <c r="V212" s="295">
        <f t="shared" si="52"/>
        <v>0</v>
      </c>
      <c r="W212" s="295">
        <f t="shared" si="52"/>
        <v>0</v>
      </c>
      <c r="X212" s="295">
        <f t="shared" si="52"/>
        <v>0</v>
      </c>
      <c r="Y212" s="295">
        <f t="shared" si="52"/>
        <v>0</v>
      </c>
      <c r="Z212" s="295">
        <f t="shared" si="52"/>
        <v>0</v>
      </c>
      <c r="AA212" s="295">
        <f t="shared" si="52"/>
        <v>0</v>
      </c>
      <c r="AB212" s="295">
        <f t="shared" si="52"/>
        <v>0</v>
      </c>
      <c r="AC212" s="295">
        <f t="shared" si="52"/>
        <v>0</v>
      </c>
      <c r="AD212" s="295">
        <f t="shared" si="52"/>
        <v>0</v>
      </c>
      <c r="AE212" s="296">
        <f t="shared" si="52"/>
        <v>0</v>
      </c>
    </row>
    <row r="213" spans="1:31" ht="15" customHeight="1">
      <c r="A213" s="1711"/>
      <c r="B213" s="116">
        <v>15</v>
      </c>
      <c r="C213" s="294">
        <f t="shared" si="48"/>
        <v>12</v>
      </c>
      <c r="D213" s="295">
        <f t="shared" si="52"/>
        <v>7.2189311448040163</v>
      </c>
      <c r="E213" s="295">
        <f t="shared" si="52"/>
        <v>2.830289589894734</v>
      </c>
      <c r="F213" s="295">
        <f t="shared" si="52"/>
        <v>16.832720555808521</v>
      </c>
      <c r="G213" s="295">
        <f t="shared" si="52"/>
        <v>38.368701266916482</v>
      </c>
      <c r="H213" s="295">
        <f t="shared" si="52"/>
        <v>327.99051083009249</v>
      </c>
      <c r="I213" s="295">
        <f t="shared" si="52"/>
        <v>631.47456085099316</v>
      </c>
      <c r="J213" s="295">
        <f t="shared" si="52"/>
        <v>857.72612832171376</v>
      </c>
      <c r="K213" s="295">
        <f t="shared" si="52"/>
        <v>1406.0272464263589</v>
      </c>
      <c r="L213" s="295">
        <f t="shared" si="52"/>
        <v>1457.020488110132</v>
      </c>
      <c r="M213" s="295">
        <f t="shared" si="52"/>
        <v>1812.9830198638474</v>
      </c>
      <c r="N213" s="295">
        <f t="shared" si="50"/>
        <v>3189.3054653093677</v>
      </c>
      <c r="O213" s="295">
        <f t="shared" si="50"/>
        <v>2351.1349976333722</v>
      </c>
      <c r="P213" s="295">
        <f t="shared" si="50"/>
        <v>3801.2243655146417</v>
      </c>
      <c r="Q213" s="295">
        <f t="shared" si="52"/>
        <v>4117.580495960573</v>
      </c>
      <c r="R213" s="295">
        <f t="shared" si="52"/>
        <v>3007.1160192935577</v>
      </c>
      <c r="S213" s="295">
        <f t="shared" si="52"/>
        <v>0</v>
      </c>
      <c r="T213" s="295">
        <f t="shared" si="52"/>
        <v>0</v>
      </c>
      <c r="U213" s="295">
        <f t="shared" si="52"/>
        <v>0</v>
      </c>
      <c r="V213" s="295">
        <f t="shared" si="52"/>
        <v>0</v>
      </c>
      <c r="W213" s="295">
        <f t="shared" si="52"/>
        <v>0</v>
      </c>
      <c r="X213" s="295">
        <f t="shared" si="52"/>
        <v>0</v>
      </c>
      <c r="Y213" s="295">
        <f t="shared" si="52"/>
        <v>0</v>
      </c>
      <c r="Z213" s="295">
        <f t="shared" si="52"/>
        <v>0</v>
      </c>
      <c r="AA213" s="295">
        <f t="shared" si="52"/>
        <v>0</v>
      </c>
      <c r="AB213" s="295">
        <f t="shared" si="52"/>
        <v>0</v>
      </c>
      <c r="AC213" s="295">
        <f t="shared" si="52"/>
        <v>0</v>
      </c>
      <c r="AD213" s="295">
        <f t="shared" si="52"/>
        <v>0</v>
      </c>
      <c r="AE213" s="296">
        <f t="shared" si="52"/>
        <v>0</v>
      </c>
    </row>
    <row r="214" spans="1:31" ht="15" customHeight="1">
      <c r="A214" s="1711"/>
      <c r="B214" s="116">
        <v>16</v>
      </c>
      <c r="C214" s="294">
        <f>(EXP(15-B214)*$J$20/(EXP(-1)+EXP(-2)+EXP(-3)+EXP(-4)+EXP(-5)+EXP(-6)+EXP(-7)+EXP(-8)+EXP(-9)+EXP(-10)))</f>
        <v>52.468388443920396</v>
      </c>
      <c r="D214" s="295">
        <f t="shared" si="52"/>
        <v>4.8727785227427116</v>
      </c>
      <c r="E214" s="295">
        <f t="shared" si="52"/>
        <v>2.9313543866299554</v>
      </c>
      <c r="F214" s="295">
        <f t="shared" si="52"/>
        <v>1.1492811938984449</v>
      </c>
      <c r="G214" s="295">
        <f t="shared" si="52"/>
        <v>6.8351766003061272</v>
      </c>
      <c r="H214" s="295">
        <f t="shared" si="52"/>
        <v>15.580181956580141</v>
      </c>
      <c r="I214" s="295">
        <f t="shared" si="52"/>
        <v>133.1854264030238</v>
      </c>
      <c r="J214" s="295">
        <f t="shared" si="52"/>
        <v>256.41963981442541</v>
      </c>
      <c r="K214" s="295">
        <f t="shared" si="52"/>
        <v>348.29245470677552</v>
      </c>
      <c r="L214" s="295">
        <f t="shared" si="52"/>
        <v>570.93828073145301</v>
      </c>
      <c r="M214" s="295">
        <f t="shared" si="52"/>
        <v>591.64484513826278</v>
      </c>
      <c r="N214" s="295">
        <f t="shared" si="50"/>
        <v>736.18872677414822</v>
      </c>
      <c r="O214" s="295">
        <f t="shared" si="50"/>
        <v>1295.0649311521197</v>
      </c>
      <c r="P214" s="295">
        <f t="shared" si="50"/>
        <v>954.71334337805274</v>
      </c>
      <c r="Q214" s="295">
        <f t="shared" si="52"/>
        <v>1543.5437040338363</v>
      </c>
      <c r="R214" s="295">
        <f t="shared" si="52"/>
        <v>1672.0048171984135</v>
      </c>
      <c r="S214" s="295">
        <f t="shared" si="52"/>
        <v>1221.0841961841004</v>
      </c>
      <c r="T214" s="295">
        <f t="shared" si="52"/>
        <v>0</v>
      </c>
      <c r="U214" s="295">
        <f t="shared" si="52"/>
        <v>0</v>
      </c>
      <c r="V214" s="295">
        <f t="shared" si="52"/>
        <v>0</v>
      </c>
      <c r="W214" s="295">
        <f t="shared" si="52"/>
        <v>0</v>
      </c>
      <c r="X214" s="295">
        <f t="shared" si="52"/>
        <v>0</v>
      </c>
      <c r="Y214" s="295">
        <f t="shared" si="52"/>
        <v>0</v>
      </c>
      <c r="Z214" s="295">
        <f t="shared" si="52"/>
        <v>0</v>
      </c>
      <c r="AA214" s="295">
        <f t="shared" si="52"/>
        <v>0</v>
      </c>
      <c r="AB214" s="295">
        <f t="shared" si="52"/>
        <v>0</v>
      </c>
      <c r="AC214" s="295">
        <f t="shared" si="52"/>
        <v>0</v>
      </c>
      <c r="AD214" s="295">
        <f t="shared" si="52"/>
        <v>0</v>
      </c>
      <c r="AE214" s="296">
        <f t="shared" si="52"/>
        <v>0</v>
      </c>
    </row>
    <row r="215" spans="1:31" ht="15" customHeight="1">
      <c r="A215" s="1711"/>
      <c r="B215" s="116">
        <v>17</v>
      </c>
      <c r="C215" s="294">
        <f t="shared" ref="C215:C223" si="53">(EXP(15-B215)*$J$20/(EXP(-1)+EXP(-2)+EXP(-3)+EXP(-4)+EXP(-5)+EXP(-6)+EXP(-7)+EXP(-8)+EXP(-9)+EXP(-10)))</f>
        <v>19.302041419915597</v>
      </c>
      <c r="D215" s="295">
        <f t="shared" si="52"/>
        <v>18.938284172774608</v>
      </c>
      <c r="E215" s="295">
        <f t="shared" si="52"/>
        <v>1.7588126319779736</v>
      </c>
      <c r="F215" s="295">
        <f t="shared" si="52"/>
        <v>1.0580622739050431</v>
      </c>
      <c r="G215" s="295">
        <f t="shared" si="52"/>
        <v>0.41482909023855141</v>
      </c>
      <c r="H215" s="295">
        <f t="shared" si="52"/>
        <v>2.4671334620092771</v>
      </c>
      <c r="I215" s="295">
        <f t="shared" si="52"/>
        <v>5.6236130384034988</v>
      </c>
      <c r="J215" s="295">
        <f t="shared" si="52"/>
        <v>48.072821134739591</v>
      </c>
      <c r="K215" s="295">
        <f t="shared" si="52"/>
        <v>92.553786199789187</v>
      </c>
      <c r="L215" s="295">
        <f t="shared" si="52"/>
        <v>125.71496243914922</v>
      </c>
      <c r="M215" s="295">
        <f t="shared" si="52"/>
        <v>206.07820682665727</v>
      </c>
      <c r="N215" s="295">
        <f t="shared" si="50"/>
        <v>213.55216996156773</v>
      </c>
      <c r="O215" s="295">
        <f t="shared" si="50"/>
        <v>265.7247864081757</v>
      </c>
      <c r="P215" s="295">
        <f t="shared" si="50"/>
        <v>467.44922830187534</v>
      </c>
      <c r="Q215" s="295">
        <f t="shared" si="52"/>
        <v>344.60049444358987</v>
      </c>
      <c r="R215" s="295">
        <f t="shared" si="52"/>
        <v>557.13678592080078</v>
      </c>
      <c r="S215" s="295">
        <f t="shared" si="52"/>
        <v>603.50438245679879</v>
      </c>
      <c r="T215" s="295">
        <f t="shared" si="52"/>
        <v>440.74613671306906</v>
      </c>
      <c r="U215" s="295">
        <f t="shared" si="52"/>
        <v>0</v>
      </c>
      <c r="V215" s="295">
        <f t="shared" si="52"/>
        <v>0</v>
      </c>
      <c r="W215" s="295">
        <f t="shared" si="52"/>
        <v>0</v>
      </c>
      <c r="X215" s="295">
        <f t="shared" si="52"/>
        <v>0</v>
      </c>
      <c r="Y215" s="295">
        <f t="shared" si="52"/>
        <v>0</v>
      </c>
      <c r="Z215" s="295">
        <f t="shared" si="52"/>
        <v>0</v>
      </c>
      <c r="AA215" s="295">
        <f t="shared" si="52"/>
        <v>0</v>
      </c>
      <c r="AB215" s="295">
        <f t="shared" si="52"/>
        <v>0</v>
      </c>
      <c r="AC215" s="295">
        <f t="shared" si="52"/>
        <v>0</v>
      </c>
      <c r="AD215" s="295">
        <f t="shared" si="52"/>
        <v>0</v>
      </c>
      <c r="AE215" s="296">
        <f t="shared" si="52"/>
        <v>0</v>
      </c>
    </row>
    <row r="216" spans="1:31" ht="15.75" customHeight="1">
      <c r="A216" s="1711"/>
      <c r="B216" s="116">
        <v>18</v>
      </c>
      <c r="C216" s="294">
        <f t="shared" si="53"/>
        <v>7.1008242110265813</v>
      </c>
      <c r="D216" s="295">
        <f t="shared" si="52"/>
        <v>6.0961297234480059</v>
      </c>
      <c r="E216" s="295">
        <f t="shared" si="52"/>
        <v>5.981244913174633</v>
      </c>
      <c r="F216" s="295">
        <f t="shared" si="52"/>
        <v>0.5554826938001477</v>
      </c>
      <c r="G216" s="295">
        <f t="shared" si="52"/>
        <v>0.33416594322279325</v>
      </c>
      <c r="H216" s="295">
        <f t="shared" si="52"/>
        <v>0.13101474046910352</v>
      </c>
      <c r="I216" s="295">
        <f t="shared" si="52"/>
        <v>0.77919041319380311</v>
      </c>
      <c r="J216" s="295">
        <f t="shared" si="52"/>
        <v>1.7760957947799922</v>
      </c>
      <c r="K216" s="295">
        <f t="shared" si="52"/>
        <v>15.182754374732195</v>
      </c>
      <c r="L216" s="295">
        <f t="shared" si="52"/>
        <v>29.231099177314579</v>
      </c>
      <c r="M216" s="295">
        <f t="shared" si="52"/>
        <v>39.704335025243068</v>
      </c>
      <c r="N216" s="295">
        <f t="shared" si="50"/>
        <v>65.085316866776495</v>
      </c>
      <c r="O216" s="295">
        <f t="shared" si="50"/>
        <v>67.445805471451848</v>
      </c>
      <c r="P216" s="295">
        <f t="shared" si="50"/>
        <v>83.923390973991403</v>
      </c>
      <c r="Q216" s="295">
        <f t="shared" si="52"/>
        <v>147.63366593513175</v>
      </c>
      <c r="R216" s="295">
        <f t="shared" si="52"/>
        <v>108.83456683109914</v>
      </c>
      <c r="S216" s="295">
        <f t="shared" si="52"/>
        <v>175.95952919123587</v>
      </c>
      <c r="T216" s="295">
        <f t="shared" si="52"/>
        <v>190.60372548626063</v>
      </c>
      <c r="U216" s="295">
        <f t="shared" si="52"/>
        <v>139.20007558056352</v>
      </c>
      <c r="V216" s="295">
        <f t="shared" si="52"/>
        <v>0</v>
      </c>
      <c r="W216" s="295">
        <f t="shared" si="52"/>
        <v>0</v>
      </c>
      <c r="X216" s="295">
        <f t="shared" si="52"/>
        <v>0</v>
      </c>
      <c r="Y216" s="295">
        <f t="shared" si="52"/>
        <v>0</v>
      </c>
      <c r="Z216" s="295">
        <f t="shared" si="52"/>
        <v>0</v>
      </c>
      <c r="AA216" s="295">
        <f t="shared" si="52"/>
        <v>0</v>
      </c>
      <c r="AB216" s="295">
        <f t="shared" si="52"/>
        <v>0</v>
      </c>
      <c r="AC216" s="295">
        <f t="shared" si="52"/>
        <v>0</v>
      </c>
      <c r="AD216" s="295">
        <f t="shared" si="52"/>
        <v>0</v>
      </c>
      <c r="AE216" s="296">
        <f t="shared" si="52"/>
        <v>0</v>
      </c>
    </row>
    <row r="217" spans="1:31" ht="16.5" customHeight="1">
      <c r="A217" s="1711"/>
      <c r="B217" s="116">
        <v>19</v>
      </c>
      <c r="C217" s="294">
        <f t="shared" si="53"/>
        <v>2.6122472426091066</v>
      </c>
      <c r="D217" s="295">
        <f t="shared" si="52"/>
        <v>1.9222635394034329</v>
      </c>
      <c r="E217" s="295">
        <f t="shared" si="52"/>
        <v>1.6502827771261619</v>
      </c>
      <c r="F217" s="295">
        <f t="shared" si="52"/>
        <v>1.6191823195656363</v>
      </c>
      <c r="G217" s="295">
        <f t="shared" si="52"/>
        <v>0.15037467445025701</v>
      </c>
      <c r="H217" s="295">
        <f t="shared" si="52"/>
        <v>9.0462035064893753E-2</v>
      </c>
      <c r="I217" s="295">
        <f t="shared" si="52"/>
        <v>3.5466989640031012E-2</v>
      </c>
      <c r="J217" s="295">
        <f t="shared" si="52"/>
        <v>0.21093457280765465</v>
      </c>
      <c r="K217" s="295">
        <f t="shared" si="52"/>
        <v>0.48080674684097746</v>
      </c>
      <c r="L217" s="295">
        <f t="shared" si="52"/>
        <v>4.110122190737389</v>
      </c>
      <c r="M217" s="295">
        <f t="shared" si="52"/>
        <v>7.9131484592989256</v>
      </c>
      <c r="N217" s="295">
        <f t="shared" si="50"/>
        <v>10.74835727615476</v>
      </c>
      <c r="O217" s="295">
        <f t="shared" si="50"/>
        <v>17.619240787462918</v>
      </c>
      <c r="P217" s="295">
        <f t="shared" si="50"/>
        <v>18.258248463909638</v>
      </c>
      <c r="Q217" s="295">
        <f t="shared" si="52"/>
        <v>22.718894282989162</v>
      </c>
      <c r="R217" s="295">
        <f t="shared" si="52"/>
        <v>39.965897589026802</v>
      </c>
      <c r="S217" s="295">
        <f t="shared" si="52"/>
        <v>29.462596654810348</v>
      </c>
      <c r="T217" s="295">
        <f t="shared" si="52"/>
        <v>47.633989706387418</v>
      </c>
      <c r="U217" s="295">
        <f t="shared" si="52"/>
        <v>51.598318883566591</v>
      </c>
      <c r="V217" s="295">
        <f t="shared" si="52"/>
        <v>37.682841036285126</v>
      </c>
      <c r="W217" s="295">
        <f t="shared" si="52"/>
        <v>0</v>
      </c>
      <c r="X217" s="295">
        <f t="shared" si="52"/>
        <v>0</v>
      </c>
      <c r="Y217" s="295">
        <f t="shared" si="52"/>
        <v>0</v>
      </c>
      <c r="Z217" s="295">
        <f t="shared" si="52"/>
        <v>0</v>
      </c>
      <c r="AA217" s="295">
        <f t="shared" si="52"/>
        <v>0</v>
      </c>
      <c r="AB217" s="295">
        <f t="shared" si="52"/>
        <v>0</v>
      </c>
      <c r="AC217" s="295">
        <f t="shared" si="52"/>
        <v>0</v>
      </c>
      <c r="AD217" s="295">
        <f t="shared" si="52"/>
        <v>0</v>
      </c>
      <c r="AE217" s="296">
        <f t="shared" si="52"/>
        <v>0</v>
      </c>
    </row>
    <row r="218" spans="1:31">
      <c r="A218" s="1711"/>
      <c r="B218" s="116">
        <v>20</v>
      </c>
      <c r="C218" s="294">
        <f t="shared" si="53"/>
        <v>0.96099205581267944</v>
      </c>
      <c r="D218" s="295">
        <f t="shared" si="52"/>
        <v>0.58930103054997807</v>
      </c>
      <c r="E218" s="295">
        <f t="shared" si="52"/>
        <v>0.43364650416002026</v>
      </c>
      <c r="F218" s="295">
        <f t="shared" si="52"/>
        <v>0.37228992929780375</v>
      </c>
      <c r="G218" s="295">
        <f t="shared" ref="G218:AE218" si="54">F217*$J45</f>
        <v>0.36527392736963704</v>
      </c>
      <c r="H218" s="295">
        <f t="shared" si="54"/>
        <v>3.3923263149335171E-2</v>
      </c>
      <c r="I218" s="295">
        <f t="shared" si="54"/>
        <v>2.0407475073509835E-2</v>
      </c>
      <c r="J218" s="295">
        <f t="shared" si="54"/>
        <v>8.001054878901917E-3</v>
      </c>
      <c r="K218" s="295">
        <f t="shared" si="54"/>
        <v>4.7585067411159657E-2</v>
      </c>
      <c r="L218" s="295">
        <f t="shared" si="54"/>
        <v>0.1084659624813198</v>
      </c>
      <c r="M218" s="295">
        <f t="shared" si="54"/>
        <v>0.92720903411450817</v>
      </c>
      <c r="N218" s="295">
        <f t="shared" si="50"/>
        <v>1.7851398083215924</v>
      </c>
      <c r="O218" s="295">
        <f t="shared" si="50"/>
        <v>2.4247390967598279</v>
      </c>
      <c r="P218" s="295">
        <f t="shared" si="50"/>
        <v>3.9747526896380418</v>
      </c>
      <c r="Q218" s="295">
        <f t="shared" si="54"/>
        <v>4.1189074526777318</v>
      </c>
      <c r="R218" s="295">
        <f t="shared" si="54"/>
        <v>5.1251916723431385</v>
      </c>
      <c r="S218" s="295">
        <f t="shared" si="54"/>
        <v>9.0159707136085441</v>
      </c>
      <c r="T218" s="295">
        <f t="shared" si="54"/>
        <v>6.6465142686940348</v>
      </c>
      <c r="U218" s="295">
        <f t="shared" si="54"/>
        <v>10.745827870084819</v>
      </c>
      <c r="V218" s="295">
        <f t="shared" si="54"/>
        <v>11.640147225253381</v>
      </c>
      <c r="W218" s="295">
        <f t="shared" si="54"/>
        <v>8.5009323369230518</v>
      </c>
      <c r="X218" s="295">
        <f t="shared" si="54"/>
        <v>0</v>
      </c>
      <c r="Y218" s="295">
        <f t="shared" si="54"/>
        <v>0</v>
      </c>
      <c r="Z218" s="295">
        <f t="shared" si="54"/>
        <v>0</v>
      </c>
      <c r="AA218" s="295">
        <f t="shared" si="54"/>
        <v>0</v>
      </c>
      <c r="AB218" s="295">
        <f t="shared" si="54"/>
        <v>0</v>
      </c>
      <c r="AC218" s="295">
        <f t="shared" si="54"/>
        <v>0</v>
      </c>
      <c r="AD218" s="295">
        <f t="shared" si="54"/>
        <v>0</v>
      </c>
      <c r="AE218" s="296">
        <f t="shared" si="54"/>
        <v>0</v>
      </c>
    </row>
    <row r="219" spans="1:31" ht="15.75" customHeight="1">
      <c r="A219" s="1711"/>
      <c r="B219" s="116">
        <v>21</v>
      </c>
      <c r="C219" s="294">
        <f t="shared" si="53"/>
        <v>0.35352922046256402</v>
      </c>
      <c r="D219" s="295">
        <f t="shared" ref="D219:AE223" si="55">C218*$J46</f>
        <v>0.17343338704038488</v>
      </c>
      <c r="E219" s="295">
        <f t="shared" si="55"/>
        <v>0.10635308907755855</v>
      </c>
      <c r="F219" s="295">
        <f t="shared" si="55"/>
        <v>7.8261606367903913E-2</v>
      </c>
      <c r="G219" s="295">
        <f t="shared" si="55"/>
        <v>6.7188384137620058E-2</v>
      </c>
      <c r="H219" s="295">
        <f t="shared" si="55"/>
        <v>6.5922183266838866E-2</v>
      </c>
      <c r="I219" s="295">
        <f t="shared" si="55"/>
        <v>6.1222425220529546E-3</v>
      </c>
      <c r="J219" s="295">
        <f t="shared" si="55"/>
        <v>3.6830039348742967E-3</v>
      </c>
      <c r="K219" s="295">
        <f t="shared" si="55"/>
        <v>1.4439766064147802E-3</v>
      </c>
      <c r="L219" s="295">
        <f t="shared" si="55"/>
        <v>8.5878331290504817E-3</v>
      </c>
      <c r="M219" s="295">
        <f t="shared" si="55"/>
        <v>1.9575207867688599E-2</v>
      </c>
      <c r="N219" s="295">
        <f t="shared" si="50"/>
        <v>0.16733645435282191</v>
      </c>
      <c r="O219" s="295">
        <f t="shared" si="50"/>
        <v>0.32217003400305555</v>
      </c>
      <c r="P219" s="295">
        <f t="shared" si="50"/>
        <v>0.4376006145905873</v>
      </c>
      <c r="Q219" s="295">
        <f t="shared" si="55"/>
        <v>0.71733664960304022</v>
      </c>
      <c r="R219" s="295">
        <f t="shared" si="55"/>
        <v>0.74335273231751675</v>
      </c>
      <c r="S219" s="295">
        <f t="shared" si="55"/>
        <v>0.92496014466420218</v>
      </c>
      <c r="T219" s="295">
        <f t="shared" si="55"/>
        <v>1.6271417946277413</v>
      </c>
      <c r="U219" s="295">
        <f t="shared" si="55"/>
        <v>1.1995182214664921</v>
      </c>
      <c r="V219" s="295">
        <f t="shared" si="55"/>
        <v>1.9393347872014588</v>
      </c>
      <c r="W219" s="295">
        <f t="shared" si="55"/>
        <v>2.1007355333621431</v>
      </c>
      <c r="X219" s="295">
        <f t="shared" si="55"/>
        <v>1.534191130172136</v>
      </c>
      <c r="Y219" s="295">
        <f t="shared" si="55"/>
        <v>0</v>
      </c>
      <c r="Z219" s="295">
        <f t="shared" si="55"/>
        <v>0</v>
      </c>
      <c r="AA219" s="295">
        <f t="shared" si="55"/>
        <v>0</v>
      </c>
      <c r="AB219" s="295">
        <f t="shared" si="55"/>
        <v>0</v>
      </c>
      <c r="AC219" s="295">
        <f t="shared" si="55"/>
        <v>0</v>
      </c>
      <c r="AD219" s="295">
        <f t="shared" si="55"/>
        <v>0</v>
      </c>
      <c r="AE219" s="296">
        <f t="shared" si="55"/>
        <v>0</v>
      </c>
    </row>
    <row r="220" spans="1:31" ht="15" customHeight="1">
      <c r="A220" s="1711"/>
      <c r="B220" s="116">
        <v>22</v>
      </c>
      <c r="C220" s="294">
        <f t="shared" si="53"/>
        <v>0.13005613206154368</v>
      </c>
      <c r="D220" s="295">
        <f t="shared" si="55"/>
        <v>4.7851933128665453E-2</v>
      </c>
      <c r="E220" s="295">
        <f t="shared" si="55"/>
        <v>2.3475068986025336E-2</v>
      </c>
      <c r="F220" s="295">
        <f t="shared" si="55"/>
        <v>1.4395418007901948E-2</v>
      </c>
      <c r="G220" s="295">
        <f t="shared" si="55"/>
        <v>1.0593096518468518E-2</v>
      </c>
      <c r="H220" s="295">
        <f t="shared" si="55"/>
        <v>9.0942809778772858E-3</v>
      </c>
      <c r="I220" s="295">
        <f t="shared" si="55"/>
        <v>8.9228944109711553E-3</v>
      </c>
      <c r="J220" s="295">
        <f t="shared" si="55"/>
        <v>8.2867588534671745E-4</v>
      </c>
      <c r="K220" s="295">
        <f t="shared" si="55"/>
        <v>4.9851284647312163E-4</v>
      </c>
      <c r="L220" s="295">
        <f t="shared" si="55"/>
        <v>1.9544939430780141E-4</v>
      </c>
      <c r="M220" s="295">
        <f t="shared" si="55"/>
        <v>1.1624058007815431E-3</v>
      </c>
      <c r="N220" s="295">
        <f t="shared" si="50"/>
        <v>2.6496014576638115E-3</v>
      </c>
      <c r="O220" s="295">
        <f t="shared" si="50"/>
        <v>2.2649818912287421E-2</v>
      </c>
      <c r="P220" s="295">
        <f t="shared" si="50"/>
        <v>4.3607311732260533E-2</v>
      </c>
      <c r="Q220" s="295">
        <f t="shared" si="55"/>
        <v>5.9231413231000722E-2</v>
      </c>
      <c r="R220" s="295">
        <f t="shared" si="55"/>
        <v>9.7095072771164179E-2</v>
      </c>
      <c r="S220" s="295">
        <f t="shared" si="55"/>
        <v>0.10061647857941416</v>
      </c>
      <c r="T220" s="295">
        <f t="shared" si="55"/>
        <v>0.12519794242535329</v>
      </c>
      <c r="U220" s="295">
        <f t="shared" si="55"/>
        <v>0.22024171084219707</v>
      </c>
      <c r="V220" s="295">
        <f t="shared" si="55"/>
        <v>0.16236073964445727</v>
      </c>
      <c r="W220" s="295">
        <f t="shared" si="55"/>
        <v>0.26249858054119668</v>
      </c>
      <c r="X220" s="295">
        <f t="shared" si="55"/>
        <v>0.2843449719147087</v>
      </c>
      <c r="Y220" s="295">
        <f t="shared" si="55"/>
        <v>0.20766037746903213</v>
      </c>
      <c r="Z220" s="295">
        <f t="shared" si="55"/>
        <v>0</v>
      </c>
      <c r="AA220" s="295">
        <f t="shared" si="55"/>
        <v>0</v>
      </c>
      <c r="AB220" s="295">
        <f t="shared" si="55"/>
        <v>0</v>
      </c>
      <c r="AC220" s="295">
        <f t="shared" si="55"/>
        <v>0</v>
      </c>
      <c r="AD220" s="295">
        <f t="shared" si="55"/>
        <v>0</v>
      </c>
      <c r="AE220" s="296">
        <f t="shared" si="55"/>
        <v>0</v>
      </c>
    </row>
    <row r="221" spans="1:31" ht="15" customHeight="1">
      <c r="A221" s="1711"/>
      <c r="B221" s="116">
        <v>23</v>
      </c>
      <c r="C221" s="294">
        <f t="shared" si="53"/>
        <v>4.7844977183719987E-2</v>
      </c>
      <c r="D221" s="295">
        <f t="shared" si="55"/>
        <v>1.1735828278897784E-2</v>
      </c>
      <c r="E221" s="295">
        <f t="shared" si="55"/>
        <v>4.3179976300200306E-3</v>
      </c>
      <c r="F221" s="295">
        <f t="shared" si="55"/>
        <v>2.1183113328705162E-3</v>
      </c>
      <c r="G221" s="295">
        <f t="shared" si="55"/>
        <v>1.2989941424964508E-3</v>
      </c>
      <c r="H221" s="295">
        <f t="shared" si="55"/>
        <v>9.5588542971359312E-4</v>
      </c>
      <c r="I221" s="295">
        <f t="shared" si="55"/>
        <v>8.2063735238496402E-4</v>
      </c>
      <c r="J221" s="295">
        <f t="shared" si="55"/>
        <v>8.0517200456446778E-4</v>
      </c>
      <c r="K221" s="295">
        <f t="shared" si="55"/>
        <v>7.4776926970968331E-5</v>
      </c>
      <c r="L221" s="295">
        <f t="shared" si="55"/>
        <v>4.4984123918621548E-5</v>
      </c>
      <c r="M221" s="295">
        <f t="shared" si="55"/>
        <v>1.7636696497520871E-5</v>
      </c>
      <c r="N221" s="295">
        <f t="shared" si="50"/>
        <v>1.0489159297703428E-4</v>
      </c>
      <c r="O221" s="295">
        <f t="shared" si="50"/>
        <v>2.3909113105059283E-4</v>
      </c>
      <c r="P221" s="295">
        <f t="shared" si="50"/>
        <v>2.0438435396260353E-3</v>
      </c>
      <c r="Q221" s="295">
        <f t="shared" si="55"/>
        <v>3.9349772600649176E-3</v>
      </c>
      <c r="R221" s="295">
        <f t="shared" si="55"/>
        <v>5.3448436715503519E-3</v>
      </c>
      <c r="S221" s="295">
        <f t="shared" si="55"/>
        <v>8.7615330604346262E-3</v>
      </c>
      <c r="T221" s="295">
        <f t="shared" si="55"/>
        <v>9.0792928862179958E-3</v>
      </c>
      <c r="U221" s="295">
        <f t="shared" si="55"/>
        <v>1.1297441572997047E-2</v>
      </c>
      <c r="V221" s="295">
        <f t="shared" si="55"/>
        <v>1.9873871822295729E-2</v>
      </c>
      <c r="W221" s="295">
        <f t="shared" si="55"/>
        <v>1.4650887501409873E-2</v>
      </c>
      <c r="X221" s="295">
        <f t="shared" si="55"/>
        <v>2.368698973169615E-2</v>
      </c>
      <c r="Y221" s="295">
        <f t="shared" si="55"/>
        <v>2.5658334670293947E-2</v>
      </c>
      <c r="Z221" s="295">
        <f t="shared" si="55"/>
        <v>1.8738574580661943E-2</v>
      </c>
      <c r="AA221" s="295">
        <f t="shared" si="55"/>
        <v>0</v>
      </c>
      <c r="AB221" s="295">
        <f t="shared" si="55"/>
        <v>0</v>
      </c>
      <c r="AC221" s="295">
        <f t="shared" si="55"/>
        <v>0</v>
      </c>
      <c r="AD221" s="295">
        <f t="shared" si="55"/>
        <v>0</v>
      </c>
      <c r="AE221" s="296">
        <f t="shared" si="55"/>
        <v>0</v>
      </c>
    </row>
    <row r="222" spans="1:31" ht="15" customHeight="1">
      <c r="A222" s="1711"/>
      <c r="B222" s="116">
        <v>24</v>
      </c>
      <c r="C222" s="294">
        <f t="shared" si="53"/>
        <v>1.7601183469207322E-2</v>
      </c>
      <c r="D222" s="295">
        <f t="shared" si="55"/>
        <v>2.1586849744624648E-3</v>
      </c>
      <c r="E222" s="295">
        <f t="shared" si="55"/>
        <v>5.2950085170379421E-4</v>
      </c>
      <c r="F222" s="295">
        <f t="shared" si="55"/>
        <v>1.9482079734088487E-4</v>
      </c>
      <c r="G222" s="295">
        <f t="shared" si="55"/>
        <v>9.5574647845314385E-5</v>
      </c>
      <c r="H222" s="295">
        <f t="shared" si="55"/>
        <v>5.8608432951160192E-5</v>
      </c>
      <c r="I222" s="295">
        <f t="shared" si="55"/>
        <v>4.3127944371398995E-5</v>
      </c>
      <c r="J222" s="295">
        <f t="shared" si="55"/>
        <v>3.7025778385758347E-5</v>
      </c>
      <c r="K222" s="295">
        <f t="shared" si="55"/>
        <v>3.6328007879217049E-5</v>
      </c>
      <c r="L222" s="295">
        <f t="shared" si="55"/>
        <v>3.3738092938966228E-6</v>
      </c>
      <c r="M222" s="295">
        <f t="shared" si="55"/>
        <v>2.0296080823616309E-6</v>
      </c>
      <c r="N222" s="295">
        <f t="shared" si="50"/>
        <v>7.957381102338096E-7</v>
      </c>
      <c r="O222" s="295">
        <f t="shared" si="50"/>
        <v>4.7325324210626268E-6</v>
      </c>
      <c r="P222" s="295">
        <f t="shared" si="50"/>
        <v>1.0787390077422163E-5</v>
      </c>
      <c r="Q222" s="295">
        <f t="shared" si="55"/>
        <v>9.2214786145705576E-5</v>
      </c>
      <c r="R222" s="295">
        <f t="shared" si="55"/>
        <v>1.7753956185486409E-4</v>
      </c>
      <c r="S222" s="295">
        <f t="shared" si="55"/>
        <v>2.4115036527914719E-4</v>
      </c>
      <c r="T222" s="295">
        <f t="shared" si="55"/>
        <v>3.9530564928876049E-4</v>
      </c>
      <c r="U222" s="295">
        <f t="shared" si="55"/>
        <v>4.0964243868197968E-4</v>
      </c>
      <c r="V222" s="295">
        <f t="shared" si="55"/>
        <v>5.0972158017445121E-4</v>
      </c>
      <c r="W222" s="295">
        <f t="shared" si="55"/>
        <v>8.9667570166133644E-4</v>
      </c>
      <c r="X222" s="295">
        <f t="shared" si="55"/>
        <v>6.6102342551842383E-4</v>
      </c>
      <c r="Y222" s="295">
        <f t="shared" si="55"/>
        <v>1.068717174379966E-3</v>
      </c>
      <c r="Z222" s="295">
        <f t="shared" si="55"/>
        <v>1.1576609454699374E-3</v>
      </c>
      <c r="AA222" s="295">
        <f t="shared" si="55"/>
        <v>8.4545299780983487E-4</v>
      </c>
      <c r="AB222" s="295">
        <f t="shared" si="55"/>
        <v>0</v>
      </c>
      <c r="AC222" s="295">
        <f t="shared" si="55"/>
        <v>0</v>
      </c>
      <c r="AD222" s="295">
        <f t="shared" si="55"/>
        <v>0</v>
      </c>
      <c r="AE222" s="296">
        <f t="shared" si="55"/>
        <v>0</v>
      </c>
    </row>
    <row r="223" spans="1:31" ht="15.75" customHeight="1" thickBot="1">
      <c r="A223" s="1711"/>
      <c r="B223" s="116">
        <v>25</v>
      </c>
      <c r="C223" s="297">
        <f t="shared" si="53"/>
        <v>6.4751135386080169E-3</v>
      </c>
      <c r="D223" s="298">
        <f t="shared" si="55"/>
        <v>0</v>
      </c>
      <c r="E223" s="298">
        <f t="shared" si="55"/>
        <v>0</v>
      </c>
      <c r="F223" s="298">
        <f t="shared" si="55"/>
        <v>0</v>
      </c>
      <c r="G223" s="298">
        <f t="shared" si="55"/>
        <v>0</v>
      </c>
      <c r="H223" s="298">
        <f t="shared" si="55"/>
        <v>0</v>
      </c>
      <c r="I223" s="298">
        <f t="shared" si="55"/>
        <v>0</v>
      </c>
      <c r="J223" s="298">
        <f t="shared" si="55"/>
        <v>0</v>
      </c>
      <c r="K223" s="298">
        <f t="shared" si="55"/>
        <v>0</v>
      </c>
      <c r="L223" s="298">
        <f t="shared" si="55"/>
        <v>0</v>
      </c>
      <c r="M223" s="298">
        <f t="shared" si="55"/>
        <v>0</v>
      </c>
      <c r="N223" s="298">
        <f t="shared" si="50"/>
        <v>0</v>
      </c>
      <c r="O223" s="298">
        <f t="shared" si="50"/>
        <v>0</v>
      </c>
      <c r="P223" s="298">
        <f t="shared" si="50"/>
        <v>0</v>
      </c>
      <c r="Q223" s="298">
        <f t="shared" si="55"/>
        <v>0</v>
      </c>
      <c r="R223" s="298">
        <f t="shared" si="55"/>
        <v>0</v>
      </c>
      <c r="S223" s="298">
        <f t="shared" si="55"/>
        <v>0</v>
      </c>
      <c r="T223" s="298">
        <f t="shared" si="55"/>
        <v>0</v>
      </c>
      <c r="U223" s="298">
        <f t="shared" si="55"/>
        <v>0</v>
      </c>
      <c r="V223" s="298">
        <f t="shared" si="55"/>
        <v>0</v>
      </c>
      <c r="W223" s="298">
        <f t="shared" si="55"/>
        <v>0</v>
      </c>
      <c r="X223" s="298">
        <f t="shared" si="55"/>
        <v>0</v>
      </c>
      <c r="Y223" s="298">
        <f t="shared" si="55"/>
        <v>0</v>
      </c>
      <c r="Z223" s="298">
        <f t="shared" si="55"/>
        <v>0</v>
      </c>
      <c r="AA223" s="298">
        <f t="shared" si="55"/>
        <v>0</v>
      </c>
      <c r="AB223" s="298">
        <f t="shared" si="55"/>
        <v>0</v>
      </c>
      <c r="AC223" s="298">
        <f t="shared" si="55"/>
        <v>0</v>
      </c>
      <c r="AD223" s="298">
        <f t="shared" si="55"/>
        <v>0</v>
      </c>
      <c r="AE223" s="299">
        <f t="shared" si="55"/>
        <v>0</v>
      </c>
    </row>
    <row r="224" spans="1:31" ht="16.5" customHeight="1" thickTop="1" thickBot="1">
      <c r="A224" s="1712"/>
      <c r="B224" s="300" t="s">
        <v>39</v>
      </c>
      <c r="C224" s="301">
        <f>SUM(C198:C223)</f>
        <v>93095</v>
      </c>
      <c r="D224" s="301">
        <f>SUM(D198:D223)</f>
        <v>93011.619398625247</v>
      </c>
      <c r="E224" s="301">
        <f t="shared" ref="E224:AB224" si="56">SUM(E198:E223)</f>
        <v>92939.592834961179</v>
      </c>
      <c r="F224" s="301">
        <f t="shared" si="56"/>
        <v>92691.580657104219</v>
      </c>
      <c r="G224" s="301">
        <f t="shared" si="56"/>
        <v>91879.634658115814</v>
      </c>
      <c r="H224" s="301">
        <f t="shared" si="56"/>
        <v>90186.490329766544</v>
      </c>
      <c r="I224" s="301">
        <f t="shared" si="56"/>
        <v>87369.979942810751</v>
      </c>
      <c r="J224" s="301">
        <f t="shared" si="56"/>
        <v>83272.485676757933</v>
      </c>
      <c r="K224" s="301">
        <f t="shared" si="56"/>
        <v>78017.563970582807</v>
      </c>
      <c r="L224" s="301">
        <f t="shared" si="56"/>
        <v>71109.895555692652</v>
      </c>
      <c r="M224" s="301">
        <f t="shared" si="56"/>
        <v>62173.078399274389</v>
      </c>
      <c r="N224" s="301">
        <f t="shared" si="56"/>
        <v>51640.392069935384</v>
      </c>
      <c r="O224" s="301">
        <f t="shared" si="56"/>
        <v>39121.038416842784</v>
      </c>
      <c r="P224" s="301">
        <f t="shared" si="56"/>
        <v>25080.974205306105</v>
      </c>
      <c r="Q224" s="301">
        <f t="shared" si="56"/>
        <v>12845.93246113541</v>
      </c>
      <c r="R224" s="301">
        <f t="shared" si="56"/>
        <v>5391.0292486935641</v>
      </c>
      <c r="S224" s="301">
        <f t="shared" si="56"/>
        <v>2040.0612545072233</v>
      </c>
      <c r="T224" s="301">
        <f t="shared" si="56"/>
        <v>687.39218050999966</v>
      </c>
      <c r="U224" s="301">
        <f t="shared" si="56"/>
        <v>202.9756893505353</v>
      </c>
      <c r="V224" s="301">
        <f t="shared" si="56"/>
        <v>51.445067381786892</v>
      </c>
      <c r="W224" s="301">
        <f t="shared" si="56"/>
        <v>10.879714014029462</v>
      </c>
      <c r="X224" s="301">
        <f t="shared" si="56"/>
        <v>1.8428841152440594</v>
      </c>
      <c r="Y224" s="301">
        <f t="shared" si="56"/>
        <v>0.23438742931370604</v>
      </c>
      <c r="Z224" s="301">
        <f t="shared" si="56"/>
        <v>1.9896235526131879E-2</v>
      </c>
      <c r="AA224" s="301">
        <f t="shared" si="56"/>
        <v>8.4545299780983487E-4</v>
      </c>
      <c r="AB224" s="301">
        <f t="shared" si="56"/>
        <v>0</v>
      </c>
      <c r="AC224" s="301">
        <f>SUM(AC198:AC223)</f>
        <v>0</v>
      </c>
      <c r="AD224" s="301">
        <f t="shared" ref="AD224:AE224" si="57">SUM(AD198:AD223)</f>
        <v>0</v>
      </c>
      <c r="AE224" s="302">
        <f t="shared" si="57"/>
        <v>0</v>
      </c>
    </row>
    <row r="225" spans="1:31" ht="15.75" thickBot="1"/>
    <row r="226" spans="1:31" ht="15.75" customHeight="1" thickBot="1">
      <c r="A226" s="1710" t="s">
        <v>47</v>
      </c>
      <c r="B226" s="169" t="s">
        <v>10</v>
      </c>
      <c r="C226" s="288">
        <v>2012</v>
      </c>
      <c r="D226" s="289">
        <v>2013</v>
      </c>
      <c r="E226" s="289">
        <v>2014</v>
      </c>
      <c r="F226" s="289">
        <v>2015</v>
      </c>
      <c r="G226" s="288">
        <v>2016</v>
      </c>
      <c r="H226" s="289">
        <v>2017</v>
      </c>
      <c r="I226" s="289">
        <v>2018</v>
      </c>
      <c r="J226" s="289">
        <v>2019</v>
      </c>
      <c r="K226" s="288">
        <v>2020</v>
      </c>
      <c r="L226" s="289">
        <v>2021</v>
      </c>
      <c r="M226" s="289">
        <v>2022</v>
      </c>
      <c r="N226" s="289">
        <v>2023</v>
      </c>
      <c r="O226" s="288">
        <v>2024</v>
      </c>
      <c r="P226" s="289">
        <v>2025</v>
      </c>
      <c r="Q226" s="289">
        <v>2026</v>
      </c>
      <c r="R226" s="289">
        <v>2027</v>
      </c>
      <c r="S226" s="288">
        <v>2028</v>
      </c>
      <c r="T226" s="289">
        <v>2029</v>
      </c>
      <c r="U226" s="289">
        <v>2030</v>
      </c>
      <c r="V226" s="289">
        <v>2031</v>
      </c>
      <c r="W226" s="288">
        <v>2032</v>
      </c>
      <c r="X226" s="289">
        <v>2033</v>
      </c>
      <c r="Y226" s="289">
        <v>2034</v>
      </c>
      <c r="Z226" s="289">
        <v>2035</v>
      </c>
      <c r="AA226" s="288">
        <v>2036</v>
      </c>
      <c r="AB226" s="289">
        <v>2037</v>
      </c>
      <c r="AC226" s="289">
        <v>2038</v>
      </c>
      <c r="AD226" s="289">
        <v>2039</v>
      </c>
      <c r="AE226" s="290">
        <v>2040</v>
      </c>
    </row>
    <row r="227" spans="1:31" ht="15" customHeight="1">
      <c r="A227" s="1711" t="s">
        <v>41</v>
      </c>
      <c r="B227" s="116">
        <v>0</v>
      </c>
      <c r="C227" s="291">
        <f t="shared" ref="C227:C242" si="58">K4</f>
        <v>23478</v>
      </c>
      <c r="D227" s="292"/>
      <c r="E227" s="292"/>
      <c r="F227" s="292"/>
      <c r="G227" s="292"/>
      <c r="H227" s="292"/>
      <c r="I227" s="292"/>
      <c r="J227" s="292"/>
      <c r="K227" s="292"/>
      <c r="L227" s="292"/>
      <c r="M227" s="292"/>
      <c r="N227" s="292"/>
      <c r="O227" s="292"/>
      <c r="P227" s="292"/>
      <c r="Q227" s="292"/>
      <c r="R227" s="292"/>
      <c r="S227" s="292"/>
      <c r="T227" s="292"/>
      <c r="U227" s="292"/>
      <c r="V227" s="292"/>
      <c r="W227" s="292"/>
      <c r="X227" s="292"/>
      <c r="Y227" s="292"/>
      <c r="Z227" s="292"/>
      <c r="AA227" s="292"/>
      <c r="AB227" s="292"/>
      <c r="AC227" s="292"/>
      <c r="AD227" s="292"/>
      <c r="AE227" s="293"/>
    </row>
    <row r="228" spans="1:31" ht="15" customHeight="1">
      <c r="A228" s="1711"/>
      <c r="B228" s="116">
        <v>1</v>
      </c>
      <c r="C228" s="294">
        <f t="shared" si="58"/>
        <v>25286</v>
      </c>
      <c r="D228" s="295">
        <f t="shared" ref="D228:AE237" si="59">C227*$K26</f>
        <v>23478</v>
      </c>
      <c r="E228" s="295">
        <f t="shared" si="59"/>
        <v>0</v>
      </c>
      <c r="F228" s="295">
        <f t="shared" si="59"/>
        <v>0</v>
      </c>
      <c r="G228" s="295">
        <f t="shared" si="59"/>
        <v>0</v>
      </c>
      <c r="H228" s="295">
        <f t="shared" si="59"/>
        <v>0</v>
      </c>
      <c r="I228" s="295">
        <f t="shared" si="59"/>
        <v>0</v>
      </c>
      <c r="J228" s="295">
        <f t="shared" si="59"/>
        <v>0</v>
      </c>
      <c r="K228" s="295">
        <f t="shared" si="59"/>
        <v>0</v>
      </c>
      <c r="L228" s="295">
        <f t="shared" si="59"/>
        <v>0</v>
      </c>
      <c r="M228" s="295">
        <f t="shared" si="59"/>
        <v>0</v>
      </c>
      <c r="N228" s="295">
        <f t="shared" ref="N228:P252" si="60">M227*$K26</f>
        <v>0</v>
      </c>
      <c r="O228" s="295">
        <f t="shared" si="60"/>
        <v>0</v>
      </c>
      <c r="P228" s="295">
        <f t="shared" si="60"/>
        <v>0</v>
      </c>
      <c r="Q228" s="295">
        <f t="shared" si="59"/>
        <v>0</v>
      </c>
      <c r="R228" s="295">
        <f t="shared" si="59"/>
        <v>0</v>
      </c>
      <c r="S228" s="295">
        <f t="shared" si="59"/>
        <v>0</v>
      </c>
      <c r="T228" s="295">
        <f t="shared" si="59"/>
        <v>0</v>
      </c>
      <c r="U228" s="295">
        <f t="shared" si="59"/>
        <v>0</v>
      </c>
      <c r="V228" s="295">
        <f t="shared" si="59"/>
        <v>0</v>
      </c>
      <c r="W228" s="295">
        <f t="shared" si="59"/>
        <v>0</v>
      </c>
      <c r="X228" s="295">
        <f t="shared" si="59"/>
        <v>0</v>
      </c>
      <c r="Y228" s="295">
        <f t="shared" si="59"/>
        <v>0</v>
      </c>
      <c r="Z228" s="295">
        <f t="shared" si="59"/>
        <v>0</v>
      </c>
      <c r="AA228" s="295">
        <f t="shared" si="59"/>
        <v>0</v>
      </c>
      <c r="AB228" s="295">
        <f t="shared" si="59"/>
        <v>0</v>
      </c>
      <c r="AC228" s="295">
        <f t="shared" si="59"/>
        <v>0</v>
      </c>
      <c r="AD228" s="295">
        <f t="shared" si="59"/>
        <v>0</v>
      </c>
      <c r="AE228" s="296">
        <f t="shared" si="59"/>
        <v>0</v>
      </c>
    </row>
    <row r="229" spans="1:31" ht="15" customHeight="1">
      <c r="A229" s="1711"/>
      <c r="B229" s="116">
        <v>2</v>
      </c>
      <c r="C229" s="294">
        <f t="shared" si="58"/>
        <v>25027</v>
      </c>
      <c r="D229" s="295">
        <f t="shared" si="59"/>
        <v>25286</v>
      </c>
      <c r="E229" s="295">
        <f t="shared" si="59"/>
        <v>23478</v>
      </c>
      <c r="F229" s="295">
        <f t="shared" si="59"/>
        <v>0</v>
      </c>
      <c r="G229" s="295">
        <f t="shared" si="59"/>
        <v>0</v>
      </c>
      <c r="H229" s="295">
        <f t="shared" si="59"/>
        <v>0</v>
      </c>
      <c r="I229" s="295">
        <f t="shared" si="59"/>
        <v>0</v>
      </c>
      <c r="J229" s="295">
        <f t="shared" si="59"/>
        <v>0</v>
      </c>
      <c r="K229" s="295">
        <f t="shared" si="59"/>
        <v>0</v>
      </c>
      <c r="L229" s="295">
        <f t="shared" si="59"/>
        <v>0</v>
      </c>
      <c r="M229" s="295">
        <f t="shared" si="59"/>
        <v>0</v>
      </c>
      <c r="N229" s="295">
        <f t="shared" si="60"/>
        <v>0</v>
      </c>
      <c r="O229" s="295">
        <f t="shared" si="60"/>
        <v>0</v>
      </c>
      <c r="P229" s="295">
        <f t="shared" si="60"/>
        <v>0</v>
      </c>
      <c r="Q229" s="295">
        <f t="shared" si="59"/>
        <v>0</v>
      </c>
      <c r="R229" s="295">
        <f t="shared" si="59"/>
        <v>0</v>
      </c>
      <c r="S229" s="295">
        <f t="shared" si="59"/>
        <v>0</v>
      </c>
      <c r="T229" s="295">
        <f t="shared" si="59"/>
        <v>0</v>
      </c>
      <c r="U229" s="295">
        <f t="shared" si="59"/>
        <v>0</v>
      </c>
      <c r="V229" s="295">
        <f t="shared" si="59"/>
        <v>0</v>
      </c>
      <c r="W229" s="295">
        <f t="shared" si="59"/>
        <v>0</v>
      </c>
      <c r="X229" s="295">
        <f t="shared" si="59"/>
        <v>0</v>
      </c>
      <c r="Y229" s="295">
        <f t="shared" si="59"/>
        <v>0</v>
      </c>
      <c r="Z229" s="295">
        <f t="shared" si="59"/>
        <v>0</v>
      </c>
      <c r="AA229" s="295">
        <f t="shared" si="59"/>
        <v>0</v>
      </c>
      <c r="AB229" s="295">
        <f t="shared" si="59"/>
        <v>0</v>
      </c>
      <c r="AC229" s="295">
        <f t="shared" si="59"/>
        <v>0</v>
      </c>
      <c r="AD229" s="295">
        <f t="shared" si="59"/>
        <v>0</v>
      </c>
      <c r="AE229" s="296">
        <f t="shared" si="59"/>
        <v>0</v>
      </c>
    </row>
    <row r="230" spans="1:31" ht="15" customHeight="1">
      <c r="A230" s="1711"/>
      <c r="B230" s="116">
        <v>3</v>
      </c>
      <c r="C230" s="294">
        <f t="shared" si="58"/>
        <v>15945</v>
      </c>
      <c r="D230" s="295">
        <f t="shared" si="59"/>
        <v>25027</v>
      </c>
      <c r="E230" s="295">
        <f t="shared" si="59"/>
        <v>25286</v>
      </c>
      <c r="F230" s="295">
        <f t="shared" si="59"/>
        <v>23478</v>
      </c>
      <c r="G230" s="295">
        <f t="shared" si="59"/>
        <v>0</v>
      </c>
      <c r="H230" s="295">
        <f t="shared" si="59"/>
        <v>0</v>
      </c>
      <c r="I230" s="295">
        <f t="shared" si="59"/>
        <v>0</v>
      </c>
      <c r="J230" s="295">
        <f t="shared" si="59"/>
        <v>0</v>
      </c>
      <c r="K230" s="295">
        <f t="shared" si="59"/>
        <v>0</v>
      </c>
      <c r="L230" s="295">
        <f t="shared" si="59"/>
        <v>0</v>
      </c>
      <c r="M230" s="295">
        <f t="shared" si="59"/>
        <v>0</v>
      </c>
      <c r="N230" s="295">
        <f t="shared" si="60"/>
        <v>0</v>
      </c>
      <c r="O230" s="295">
        <f t="shared" si="60"/>
        <v>0</v>
      </c>
      <c r="P230" s="295">
        <f t="shared" si="60"/>
        <v>0</v>
      </c>
      <c r="Q230" s="295">
        <f t="shared" si="59"/>
        <v>0</v>
      </c>
      <c r="R230" s="295">
        <f t="shared" si="59"/>
        <v>0</v>
      </c>
      <c r="S230" s="295">
        <f t="shared" si="59"/>
        <v>0</v>
      </c>
      <c r="T230" s="295">
        <f t="shared" si="59"/>
        <v>0</v>
      </c>
      <c r="U230" s="295">
        <f t="shared" si="59"/>
        <v>0</v>
      </c>
      <c r="V230" s="295">
        <f t="shared" si="59"/>
        <v>0</v>
      </c>
      <c r="W230" s="295">
        <f t="shared" si="59"/>
        <v>0</v>
      </c>
      <c r="X230" s="295">
        <f t="shared" si="59"/>
        <v>0</v>
      </c>
      <c r="Y230" s="295">
        <f t="shared" si="59"/>
        <v>0</v>
      </c>
      <c r="Z230" s="295">
        <f t="shared" si="59"/>
        <v>0</v>
      </c>
      <c r="AA230" s="295">
        <f t="shared" si="59"/>
        <v>0</v>
      </c>
      <c r="AB230" s="295">
        <f t="shared" si="59"/>
        <v>0</v>
      </c>
      <c r="AC230" s="295">
        <f t="shared" si="59"/>
        <v>0</v>
      </c>
      <c r="AD230" s="295">
        <f t="shared" si="59"/>
        <v>0</v>
      </c>
      <c r="AE230" s="296">
        <f t="shared" si="59"/>
        <v>0</v>
      </c>
    </row>
    <row r="231" spans="1:31" ht="15" customHeight="1">
      <c r="A231" s="1711"/>
      <c r="B231" s="116">
        <v>4</v>
      </c>
      <c r="C231" s="294">
        <f t="shared" si="58"/>
        <v>33200</v>
      </c>
      <c r="D231" s="295">
        <f t="shared" si="59"/>
        <v>15945</v>
      </c>
      <c r="E231" s="295">
        <f t="shared" si="59"/>
        <v>25027</v>
      </c>
      <c r="F231" s="295">
        <f t="shared" si="59"/>
        <v>25286</v>
      </c>
      <c r="G231" s="295">
        <f t="shared" si="59"/>
        <v>23478</v>
      </c>
      <c r="H231" s="295">
        <f t="shared" si="59"/>
        <v>0</v>
      </c>
      <c r="I231" s="295">
        <f t="shared" si="59"/>
        <v>0</v>
      </c>
      <c r="J231" s="295">
        <f t="shared" si="59"/>
        <v>0</v>
      </c>
      <c r="K231" s="295">
        <f t="shared" si="59"/>
        <v>0</v>
      </c>
      <c r="L231" s="295">
        <f t="shared" si="59"/>
        <v>0</v>
      </c>
      <c r="M231" s="295">
        <f t="shared" si="59"/>
        <v>0</v>
      </c>
      <c r="N231" s="295">
        <f t="shared" si="60"/>
        <v>0</v>
      </c>
      <c r="O231" s="295">
        <f t="shared" si="60"/>
        <v>0</v>
      </c>
      <c r="P231" s="295">
        <f t="shared" si="60"/>
        <v>0</v>
      </c>
      <c r="Q231" s="295">
        <f t="shared" si="59"/>
        <v>0</v>
      </c>
      <c r="R231" s="295">
        <f t="shared" si="59"/>
        <v>0</v>
      </c>
      <c r="S231" s="295">
        <f t="shared" si="59"/>
        <v>0</v>
      </c>
      <c r="T231" s="295">
        <f t="shared" si="59"/>
        <v>0</v>
      </c>
      <c r="U231" s="295">
        <f t="shared" si="59"/>
        <v>0</v>
      </c>
      <c r="V231" s="295">
        <f t="shared" si="59"/>
        <v>0</v>
      </c>
      <c r="W231" s="295">
        <f t="shared" si="59"/>
        <v>0</v>
      </c>
      <c r="X231" s="295">
        <f t="shared" si="59"/>
        <v>0</v>
      </c>
      <c r="Y231" s="295">
        <f t="shared" si="59"/>
        <v>0</v>
      </c>
      <c r="Z231" s="295">
        <f t="shared" si="59"/>
        <v>0</v>
      </c>
      <c r="AA231" s="295">
        <f t="shared" si="59"/>
        <v>0</v>
      </c>
      <c r="AB231" s="295">
        <f t="shared" si="59"/>
        <v>0</v>
      </c>
      <c r="AC231" s="295">
        <f t="shared" si="59"/>
        <v>0</v>
      </c>
      <c r="AD231" s="295">
        <f t="shared" si="59"/>
        <v>0</v>
      </c>
      <c r="AE231" s="296">
        <f t="shared" si="59"/>
        <v>0</v>
      </c>
    </row>
    <row r="232" spans="1:31" ht="15" customHeight="1">
      <c r="A232" s="1711"/>
      <c r="B232" s="116">
        <v>5</v>
      </c>
      <c r="C232" s="294">
        <f t="shared" si="58"/>
        <v>22456</v>
      </c>
      <c r="D232" s="295">
        <f t="shared" si="59"/>
        <v>33200</v>
      </c>
      <c r="E232" s="295">
        <f t="shared" si="59"/>
        <v>15945</v>
      </c>
      <c r="F232" s="295">
        <f t="shared" si="59"/>
        <v>25027</v>
      </c>
      <c r="G232" s="295">
        <f t="shared" si="59"/>
        <v>25286</v>
      </c>
      <c r="H232" s="295">
        <f t="shared" si="59"/>
        <v>23478</v>
      </c>
      <c r="I232" s="295">
        <f t="shared" si="59"/>
        <v>0</v>
      </c>
      <c r="J232" s="295">
        <f t="shared" si="59"/>
        <v>0</v>
      </c>
      <c r="K232" s="295">
        <f t="shared" si="59"/>
        <v>0</v>
      </c>
      <c r="L232" s="295">
        <f t="shared" si="59"/>
        <v>0</v>
      </c>
      <c r="M232" s="295">
        <f t="shared" si="59"/>
        <v>0</v>
      </c>
      <c r="N232" s="295">
        <f t="shared" si="60"/>
        <v>0</v>
      </c>
      <c r="O232" s="295">
        <f t="shared" si="60"/>
        <v>0</v>
      </c>
      <c r="P232" s="295">
        <f t="shared" si="60"/>
        <v>0</v>
      </c>
      <c r="Q232" s="295">
        <f t="shared" si="59"/>
        <v>0</v>
      </c>
      <c r="R232" s="295">
        <f t="shared" si="59"/>
        <v>0</v>
      </c>
      <c r="S232" s="295">
        <f t="shared" si="59"/>
        <v>0</v>
      </c>
      <c r="T232" s="295">
        <f t="shared" si="59"/>
        <v>0</v>
      </c>
      <c r="U232" s="295">
        <f t="shared" si="59"/>
        <v>0</v>
      </c>
      <c r="V232" s="295">
        <f t="shared" si="59"/>
        <v>0</v>
      </c>
      <c r="W232" s="295">
        <f t="shared" si="59"/>
        <v>0</v>
      </c>
      <c r="X232" s="295">
        <f t="shared" si="59"/>
        <v>0</v>
      </c>
      <c r="Y232" s="295">
        <f t="shared" si="59"/>
        <v>0</v>
      </c>
      <c r="Z232" s="295">
        <f t="shared" si="59"/>
        <v>0</v>
      </c>
      <c r="AA232" s="295">
        <f t="shared" si="59"/>
        <v>0</v>
      </c>
      <c r="AB232" s="295">
        <f t="shared" si="59"/>
        <v>0</v>
      </c>
      <c r="AC232" s="295">
        <f t="shared" si="59"/>
        <v>0</v>
      </c>
      <c r="AD232" s="295">
        <f t="shared" si="59"/>
        <v>0</v>
      </c>
      <c r="AE232" s="296">
        <f t="shared" si="59"/>
        <v>0</v>
      </c>
    </row>
    <row r="233" spans="1:31" ht="15" customHeight="1">
      <c r="A233" s="1711"/>
      <c r="B233" s="116">
        <v>6</v>
      </c>
      <c r="C233" s="294">
        <f t="shared" si="58"/>
        <v>20674</v>
      </c>
      <c r="D233" s="295">
        <f t="shared" si="59"/>
        <v>22456</v>
      </c>
      <c r="E233" s="295">
        <f t="shared" si="59"/>
        <v>33200</v>
      </c>
      <c r="F233" s="295">
        <f t="shared" si="59"/>
        <v>15945</v>
      </c>
      <c r="G233" s="295">
        <f t="shared" si="59"/>
        <v>25027</v>
      </c>
      <c r="H233" s="295">
        <f t="shared" si="59"/>
        <v>25286</v>
      </c>
      <c r="I233" s="295">
        <f t="shared" si="59"/>
        <v>23478</v>
      </c>
      <c r="J233" s="295">
        <f t="shared" si="59"/>
        <v>0</v>
      </c>
      <c r="K233" s="295">
        <f t="shared" si="59"/>
        <v>0</v>
      </c>
      <c r="L233" s="295">
        <f t="shared" si="59"/>
        <v>0</v>
      </c>
      <c r="M233" s="295">
        <f t="shared" si="59"/>
        <v>0</v>
      </c>
      <c r="N233" s="295">
        <f t="shared" si="60"/>
        <v>0</v>
      </c>
      <c r="O233" s="295">
        <f t="shared" si="60"/>
        <v>0</v>
      </c>
      <c r="P233" s="295">
        <f t="shared" si="60"/>
        <v>0</v>
      </c>
      <c r="Q233" s="295">
        <f t="shared" si="59"/>
        <v>0</v>
      </c>
      <c r="R233" s="295">
        <f t="shared" si="59"/>
        <v>0</v>
      </c>
      <c r="S233" s="295">
        <f t="shared" si="59"/>
        <v>0</v>
      </c>
      <c r="T233" s="295">
        <f t="shared" si="59"/>
        <v>0</v>
      </c>
      <c r="U233" s="295">
        <f t="shared" si="59"/>
        <v>0</v>
      </c>
      <c r="V233" s="295">
        <f t="shared" si="59"/>
        <v>0</v>
      </c>
      <c r="W233" s="295">
        <f t="shared" si="59"/>
        <v>0</v>
      </c>
      <c r="X233" s="295">
        <f t="shared" si="59"/>
        <v>0</v>
      </c>
      <c r="Y233" s="295">
        <f t="shared" si="59"/>
        <v>0</v>
      </c>
      <c r="Z233" s="295">
        <f t="shared" si="59"/>
        <v>0</v>
      </c>
      <c r="AA233" s="295">
        <f t="shared" si="59"/>
        <v>0</v>
      </c>
      <c r="AB233" s="295">
        <f t="shared" si="59"/>
        <v>0</v>
      </c>
      <c r="AC233" s="295">
        <f t="shared" si="59"/>
        <v>0</v>
      </c>
      <c r="AD233" s="295">
        <f t="shared" si="59"/>
        <v>0</v>
      </c>
      <c r="AE233" s="296">
        <f t="shared" si="59"/>
        <v>0</v>
      </c>
    </row>
    <row r="234" spans="1:31" ht="15" customHeight="1">
      <c r="A234" s="1711"/>
      <c r="B234" s="116">
        <v>7</v>
      </c>
      <c r="C234" s="294">
        <f t="shared" si="58"/>
        <v>19079</v>
      </c>
      <c r="D234" s="295">
        <f t="shared" si="59"/>
        <v>20674</v>
      </c>
      <c r="E234" s="295">
        <f t="shared" si="59"/>
        <v>22456</v>
      </c>
      <c r="F234" s="295">
        <f t="shared" si="59"/>
        <v>33200</v>
      </c>
      <c r="G234" s="295">
        <f t="shared" si="59"/>
        <v>15945</v>
      </c>
      <c r="H234" s="295">
        <f t="shared" si="59"/>
        <v>25027</v>
      </c>
      <c r="I234" s="295">
        <f t="shared" si="59"/>
        <v>25286</v>
      </c>
      <c r="J234" s="295">
        <f t="shared" si="59"/>
        <v>23478</v>
      </c>
      <c r="K234" s="295">
        <f t="shared" si="59"/>
        <v>0</v>
      </c>
      <c r="L234" s="295">
        <f t="shared" si="59"/>
        <v>0</v>
      </c>
      <c r="M234" s="295">
        <f t="shared" si="59"/>
        <v>0</v>
      </c>
      <c r="N234" s="295">
        <f t="shared" si="60"/>
        <v>0</v>
      </c>
      <c r="O234" s="295">
        <f t="shared" si="60"/>
        <v>0</v>
      </c>
      <c r="P234" s="295">
        <f t="shared" si="60"/>
        <v>0</v>
      </c>
      <c r="Q234" s="295">
        <f t="shared" si="59"/>
        <v>0</v>
      </c>
      <c r="R234" s="295">
        <f t="shared" si="59"/>
        <v>0</v>
      </c>
      <c r="S234" s="295">
        <f t="shared" si="59"/>
        <v>0</v>
      </c>
      <c r="T234" s="295">
        <f t="shared" si="59"/>
        <v>0</v>
      </c>
      <c r="U234" s="295">
        <f t="shared" si="59"/>
        <v>0</v>
      </c>
      <c r="V234" s="295">
        <f t="shared" si="59"/>
        <v>0</v>
      </c>
      <c r="W234" s="295">
        <f t="shared" si="59"/>
        <v>0</v>
      </c>
      <c r="X234" s="295">
        <f t="shared" si="59"/>
        <v>0</v>
      </c>
      <c r="Y234" s="295">
        <f t="shared" si="59"/>
        <v>0</v>
      </c>
      <c r="Z234" s="295">
        <f t="shared" si="59"/>
        <v>0</v>
      </c>
      <c r="AA234" s="295">
        <f t="shared" si="59"/>
        <v>0</v>
      </c>
      <c r="AB234" s="295">
        <f t="shared" si="59"/>
        <v>0</v>
      </c>
      <c r="AC234" s="295">
        <f t="shared" si="59"/>
        <v>0</v>
      </c>
      <c r="AD234" s="295">
        <f t="shared" si="59"/>
        <v>0</v>
      </c>
      <c r="AE234" s="296">
        <f t="shared" si="59"/>
        <v>0</v>
      </c>
    </row>
    <row r="235" spans="1:31" ht="15" customHeight="1">
      <c r="A235" s="1711"/>
      <c r="B235" s="116">
        <v>8</v>
      </c>
      <c r="C235" s="294">
        <f t="shared" si="58"/>
        <v>17797</v>
      </c>
      <c r="D235" s="295">
        <f t="shared" si="59"/>
        <v>19079</v>
      </c>
      <c r="E235" s="295">
        <f t="shared" si="59"/>
        <v>20674</v>
      </c>
      <c r="F235" s="295">
        <f t="shared" si="59"/>
        <v>22456</v>
      </c>
      <c r="G235" s="295">
        <f t="shared" si="59"/>
        <v>33200</v>
      </c>
      <c r="H235" s="295">
        <f t="shared" si="59"/>
        <v>15945</v>
      </c>
      <c r="I235" s="295">
        <f t="shared" si="59"/>
        <v>25027</v>
      </c>
      <c r="J235" s="295">
        <f t="shared" si="59"/>
        <v>25286</v>
      </c>
      <c r="K235" s="295">
        <f t="shared" si="59"/>
        <v>23478</v>
      </c>
      <c r="L235" s="295">
        <f t="shared" si="59"/>
        <v>0</v>
      </c>
      <c r="M235" s="295">
        <f t="shared" si="59"/>
        <v>0</v>
      </c>
      <c r="N235" s="295">
        <f t="shared" si="60"/>
        <v>0</v>
      </c>
      <c r="O235" s="295">
        <f t="shared" si="60"/>
        <v>0</v>
      </c>
      <c r="P235" s="295">
        <f t="shared" si="60"/>
        <v>0</v>
      </c>
      <c r="Q235" s="295">
        <f t="shared" si="59"/>
        <v>0</v>
      </c>
      <c r="R235" s="295">
        <f t="shared" si="59"/>
        <v>0</v>
      </c>
      <c r="S235" s="295">
        <f t="shared" si="59"/>
        <v>0</v>
      </c>
      <c r="T235" s="295">
        <f t="shared" si="59"/>
        <v>0</v>
      </c>
      <c r="U235" s="295">
        <f t="shared" si="59"/>
        <v>0</v>
      </c>
      <c r="V235" s="295">
        <f t="shared" si="59"/>
        <v>0</v>
      </c>
      <c r="W235" s="295">
        <f t="shared" si="59"/>
        <v>0</v>
      </c>
      <c r="X235" s="295">
        <f t="shared" si="59"/>
        <v>0</v>
      </c>
      <c r="Y235" s="295">
        <f t="shared" si="59"/>
        <v>0</v>
      </c>
      <c r="Z235" s="295">
        <f t="shared" si="59"/>
        <v>0</v>
      </c>
      <c r="AA235" s="295">
        <f t="shared" si="59"/>
        <v>0</v>
      </c>
      <c r="AB235" s="295">
        <f t="shared" si="59"/>
        <v>0</v>
      </c>
      <c r="AC235" s="295">
        <f t="shared" si="59"/>
        <v>0</v>
      </c>
      <c r="AD235" s="295">
        <f t="shared" si="59"/>
        <v>0</v>
      </c>
      <c r="AE235" s="296">
        <f t="shared" si="59"/>
        <v>0</v>
      </c>
    </row>
    <row r="236" spans="1:31" ht="15" customHeight="1">
      <c r="A236" s="1711"/>
      <c r="B236" s="116">
        <v>9</v>
      </c>
      <c r="C236" s="294">
        <f t="shared" si="58"/>
        <v>16470</v>
      </c>
      <c r="D236" s="295">
        <f t="shared" si="59"/>
        <v>17797</v>
      </c>
      <c r="E236" s="295">
        <f t="shared" si="59"/>
        <v>19079</v>
      </c>
      <c r="F236" s="295">
        <f t="shared" si="59"/>
        <v>20674</v>
      </c>
      <c r="G236" s="295">
        <f t="shared" si="59"/>
        <v>22456</v>
      </c>
      <c r="H236" s="295">
        <f t="shared" si="59"/>
        <v>33200</v>
      </c>
      <c r="I236" s="295">
        <f t="shared" si="59"/>
        <v>15945</v>
      </c>
      <c r="J236" s="295">
        <f t="shared" si="59"/>
        <v>25027</v>
      </c>
      <c r="K236" s="295">
        <f t="shared" si="59"/>
        <v>25286</v>
      </c>
      <c r="L236" s="295">
        <f t="shared" si="59"/>
        <v>23478</v>
      </c>
      <c r="M236" s="295">
        <f t="shared" si="59"/>
        <v>0</v>
      </c>
      <c r="N236" s="295">
        <f t="shared" si="60"/>
        <v>0</v>
      </c>
      <c r="O236" s="295">
        <f t="shared" si="60"/>
        <v>0</v>
      </c>
      <c r="P236" s="295">
        <f t="shared" si="60"/>
        <v>0</v>
      </c>
      <c r="Q236" s="295">
        <f t="shared" si="59"/>
        <v>0</v>
      </c>
      <c r="R236" s="295">
        <f t="shared" si="59"/>
        <v>0</v>
      </c>
      <c r="S236" s="295">
        <f t="shared" si="59"/>
        <v>0</v>
      </c>
      <c r="T236" s="295">
        <f t="shared" si="59"/>
        <v>0</v>
      </c>
      <c r="U236" s="295">
        <f t="shared" si="59"/>
        <v>0</v>
      </c>
      <c r="V236" s="295">
        <f t="shared" si="59"/>
        <v>0</v>
      </c>
      <c r="W236" s="295">
        <f t="shared" si="59"/>
        <v>0</v>
      </c>
      <c r="X236" s="295">
        <f t="shared" si="59"/>
        <v>0</v>
      </c>
      <c r="Y236" s="295">
        <f t="shared" si="59"/>
        <v>0</v>
      </c>
      <c r="Z236" s="295">
        <f t="shared" si="59"/>
        <v>0</v>
      </c>
      <c r="AA236" s="295">
        <f t="shared" si="59"/>
        <v>0</v>
      </c>
      <c r="AB236" s="295">
        <f t="shared" si="59"/>
        <v>0</v>
      </c>
      <c r="AC236" s="295">
        <f t="shared" si="59"/>
        <v>0</v>
      </c>
      <c r="AD236" s="295">
        <f t="shared" si="59"/>
        <v>0</v>
      </c>
      <c r="AE236" s="296">
        <f t="shared" si="59"/>
        <v>0</v>
      </c>
    </row>
    <row r="237" spans="1:31" ht="15" customHeight="1">
      <c r="A237" s="1711"/>
      <c r="B237" s="116">
        <v>10</v>
      </c>
      <c r="C237" s="294">
        <f t="shared" si="58"/>
        <v>15171</v>
      </c>
      <c r="D237" s="295">
        <f t="shared" si="59"/>
        <v>16470</v>
      </c>
      <c r="E237" s="295">
        <f t="shared" si="59"/>
        <v>17797</v>
      </c>
      <c r="F237" s="295">
        <f t="shared" si="59"/>
        <v>19079</v>
      </c>
      <c r="G237" s="295">
        <f t="shared" ref="G237:AE237" si="61">F236*$K35</f>
        <v>20674</v>
      </c>
      <c r="H237" s="295">
        <f t="shared" si="61"/>
        <v>22456</v>
      </c>
      <c r="I237" s="295">
        <f t="shared" si="61"/>
        <v>33200</v>
      </c>
      <c r="J237" s="295">
        <f t="shared" si="61"/>
        <v>15945</v>
      </c>
      <c r="K237" s="295">
        <f t="shared" si="61"/>
        <v>25027</v>
      </c>
      <c r="L237" s="295">
        <f t="shared" si="61"/>
        <v>25286</v>
      </c>
      <c r="M237" s="295">
        <f t="shared" si="61"/>
        <v>23478</v>
      </c>
      <c r="N237" s="295">
        <f t="shared" si="60"/>
        <v>0</v>
      </c>
      <c r="O237" s="295">
        <f t="shared" si="60"/>
        <v>0</v>
      </c>
      <c r="P237" s="295">
        <f t="shared" si="60"/>
        <v>0</v>
      </c>
      <c r="Q237" s="295">
        <f t="shared" si="61"/>
        <v>0</v>
      </c>
      <c r="R237" s="295">
        <f t="shared" si="61"/>
        <v>0</v>
      </c>
      <c r="S237" s="295">
        <f t="shared" si="61"/>
        <v>0</v>
      </c>
      <c r="T237" s="295">
        <f t="shared" si="61"/>
        <v>0</v>
      </c>
      <c r="U237" s="295">
        <f t="shared" si="61"/>
        <v>0</v>
      </c>
      <c r="V237" s="295">
        <f t="shared" si="61"/>
        <v>0</v>
      </c>
      <c r="W237" s="295">
        <f t="shared" si="61"/>
        <v>0</v>
      </c>
      <c r="X237" s="295">
        <f t="shared" si="61"/>
        <v>0</v>
      </c>
      <c r="Y237" s="295">
        <f t="shared" si="61"/>
        <v>0</v>
      </c>
      <c r="Z237" s="295">
        <f t="shared" si="61"/>
        <v>0</v>
      </c>
      <c r="AA237" s="295">
        <f t="shared" si="61"/>
        <v>0</v>
      </c>
      <c r="AB237" s="295">
        <f t="shared" si="61"/>
        <v>0</v>
      </c>
      <c r="AC237" s="295">
        <f t="shared" si="61"/>
        <v>0</v>
      </c>
      <c r="AD237" s="295">
        <f t="shared" si="61"/>
        <v>0</v>
      </c>
      <c r="AE237" s="296">
        <f t="shared" si="61"/>
        <v>0</v>
      </c>
    </row>
    <row r="238" spans="1:31" ht="15" customHeight="1">
      <c r="A238" s="1711"/>
      <c r="B238" s="116">
        <v>11</v>
      </c>
      <c r="C238" s="294">
        <f t="shared" si="58"/>
        <v>9913</v>
      </c>
      <c r="D238" s="295">
        <f t="shared" ref="D238:AE247" si="62">C237*$K36</f>
        <v>15171</v>
      </c>
      <c r="E238" s="295">
        <f t="shared" si="62"/>
        <v>16470</v>
      </c>
      <c r="F238" s="295">
        <f t="shared" si="62"/>
        <v>17797</v>
      </c>
      <c r="G238" s="295">
        <f t="shared" si="62"/>
        <v>19079</v>
      </c>
      <c r="H238" s="295">
        <f t="shared" si="62"/>
        <v>20674</v>
      </c>
      <c r="I238" s="295">
        <f t="shared" si="62"/>
        <v>22456</v>
      </c>
      <c r="J238" s="295">
        <f t="shared" si="62"/>
        <v>33200</v>
      </c>
      <c r="K238" s="295">
        <f t="shared" si="62"/>
        <v>15945</v>
      </c>
      <c r="L238" s="295">
        <f t="shared" si="62"/>
        <v>25027</v>
      </c>
      <c r="M238" s="295">
        <f t="shared" si="62"/>
        <v>25286</v>
      </c>
      <c r="N238" s="295">
        <f t="shared" si="60"/>
        <v>23478</v>
      </c>
      <c r="O238" s="295">
        <f t="shared" si="60"/>
        <v>0</v>
      </c>
      <c r="P238" s="295">
        <f t="shared" si="60"/>
        <v>0</v>
      </c>
      <c r="Q238" s="295">
        <f t="shared" si="62"/>
        <v>0</v>
      </c>
      <c r="R238" s="295">
        <f t="shared" si="62"/>
        <v>0</v>
      </c>
      <c r="S238" s="295">
        <f t="shared" si="62"/>
        <v>0</v>
      </c>
      <c r="T238" s="295">
        <f t="shared" si="62"/>
        <v>0</v>
      </c>
      <c r="U238" s="295">
        <f t="shared" si="62"/>
        <v>0</v>
      </c>
      <c r="V238" s="295">
        <f t="shared" si="62"/>
        <v>0</v>
      </c>
      <c r="W238" s="295">
        <f t="shared" si="62"/>
        <v>0</v>
      </c>
      <c r="X238" s="295">
        <f t="shared" si="62"/>
        <v>0</v>
      </c>
      <c r="Y238" s="295">
        <f t="shared" si="62"/>
        <v>0</v>
      </c>
      <c r="Z238" s="295">
        <f t="shared" si="62"/>
        <v>0</v>
      </c>
      <c r="AA238" s="295">
        <f t="shared" si="62"/>
        <v>0</v>
      </c>
      <c r="AB238" s="295">
        <f t="shared" si="62"/>
        <v>0</v>
      </c>
      <c r="AC238" s="295">
        <f t="shared" si="62"/>
        <v>0</v>
      </c>
      <c r="AD238" s="295">
        <f t="shared" si="62"/>
        <v>0</v>
      </c>
      <c r="AE238" s="296">
        <f t="shared" si="62"/>
        <v>0</v>
      </c>
    </row>
    <row r="239" spans="1:31" ht="15" customHeight="1">
      <c r="A239" s="1711"/>
      <c r="B239" s="116">
        <v>12</v>
      </c>
      <c r="C239" s="294">
        <f t="shared" si="58"/>
        <v>7637</v>
      </c>
      <c r="D239" s="295">
        <f t="shared" si="62"/>
        <v>9764.6084892098079</v>
      </c>
      <c r="E239" s="295">
        <f t="shared" si="62"/>
        <v>14943.899464319782</v>
      </c>
      <c r="F239" s="295">
        <f t="shared" si="62"/>
        <v>16223.454233560529</v>
      </c>
      <c r="G239" s="295">
        <f t="shared" si="62"/>
        <v>17530.589860028947</v>
      </c>
      <c r="H239" s="295">
        <f t="shared" si="62"/>
        <v>18793.399108810041</v>
      </c>
      <c r="I239" s="295">
        <f t="shared" si="62"/>
        <v>20364.52294017185</v>
      </c>
      <c r="J239" s="295">
        <f t="shared" si="62"/>
        <v>22119.847496589875</v>
      </c>
      <c r="K239" s="295">
        <f t="shared" si="62"/>
        <v>32703.016427092265</v>
      </c>
      <c r="L239" s="295">
        <f t="shared" si="62"/>
        <v>15706.313160541751</v>
      </c>
      <c r="M239" s="295">
        <f t="shared" si="62"/>
        <v>24652.36120845898</v>
      </c>
      <c r="N239" s="295">
        <f t="shared" si="60"/>
        <v>24907.48413781491</v>
      </c>
      <c r="O239" s="295">
        <f t="shared" si="60"/>
        <v>23126.548785399766</v>
      </c>
      <c r="P239" s="295">
        <f t="shared" si="60"/>
        <v>0</v>
      </c>
      <c r="Q239" s="295">
        <f t="shared" si="62"/>
        <v>0</v>
      </c>
      <c r="R239" s="295">
        <f t="shared" si="62"/>
        <v>0</v>
      </c>
      <c r="S239" s="295">
        <f t="shared" si="62"/>
        <v>0</v>
      </c>
      <c r="T239" s="295">
        <f t="shared" si="62"/>
        <v>0</v>
      </c>
      <c r="U239" s="295">
        <f t="shared" si="62"/>
        <v>0</v>
      </c>
      <c r="V239" s="295">
        <f t="shared" si="62"/>
        <v>0</v>
      </c>
      <c r="W239" s="295">
        <f t="shared" si="62"/>
        <v>0</v>
      </c>
      <c r="X239" s="295">
        <f t="shared" si="62"/>
        <v>0</v>
      </c>
      <c r="Y239" s="295">
        <f t="shared" si="62"/>
        <v>0</v>
      </c>
      <c r="Z239" s="295">
        <f t="shared" si="62"/>
        <v>0</v>
      </c>
      <c r="AA239" s="295">
        <f t="shared" si="62"/>
        <v>0</v>
      </c>
      <c r="AB239" s="295">
        <f t="shared" si="62"/>
        <v>0</v>
      </c>
      <c r="AC239" s="295">
        <f t="shared" si="62"/>
        <v>0</v>
      </c>
      <c r="AD239" s="295">
        <f t="shared" si="62"/>
        <v>0</v>
      </c>
      <c r="AE239" s="296">
        <f t="shared" si="62"/>
        <v>0</v>
      </c>
    </row>
    <row r="240" spans="1:31" ht="15" customHeight="1">
      <c r="A240" s="1711"/>
      <c r="B240" s="116">
        <v>13</v>
      </c>
      <c r="C240" s="294">
        <f t="shared" si="58"/>
        <v>4791</v>
      </c>
      <c r="D240" s="295">
        <f t="shared" si="62"/>
        <v>5878.0758770249677</v>
      </c>
      <c r="E240" s="295">
        <f t="shared" si="62"/>
        <v>7515.6618579307824</v>
      </c>
      <c r="F240" s="295">
        <f t="shared" si="62"/>
        <v>11502.078689263382</v>
      </c>
      <c r="G240" s="295">
        <f t="shared" si="62"/>
        <v>12486.931383044484</v>
      </c>
      <c r="H240" s="295">
        <f t="shared" si="62"/>
        <v>13493.012618338962</v>
      </c>
      <c r="I240" s="295">
        <f t="shared" si="62"/>
        <v>14464.976554772662</v>
      </c>
      <c r="J240" s="295">
        <f t="shared" si="62"/>
        <v>15674.245258837987</v>
      </c>
      <c r="K240" s="295">
        <f t="shared" si="62"/>
        <v>17025.290293724767</v>
      </c>
      <c r="L240" s="295">
        <f t="shared" si="62"/>
        <v>25170.984937284575</v>
      </c>
      <c r="M240" s="295">
        <f t="shared" si="62"/>
        <v>12088.89622966875</v>
      </c>
      <c r="N240" s="295">
        <f t="shared" si="60"/>
        <v>18974.525301970512</v>
      </c>
      <c r="O240" s="295">
        <f t="shared" si="60"/>
        <v>19170.889310969207</v>
      </c>
      <c r="P240" s="295">
        <f t="shared" si="60"/>
        <v>17800.132058962867</v>
      </c>
      <c r="Q240" s="295">
        <f t="shared" si="62"/>
        <v>0</v>
      </c>
      <c r="R240" s="295">
        <f t="shared" si="62"/>
        <v>0</v>
      </c>
      <c r="S240" s="295">
        <f t="shared" si="62"/>
        <v>0</v>
      </c>
      <c r="T240" s="295">
        <f t="shared" si="62"/>
        <v>0</v>
      </c>
      <c r="U240" s="295">
        <f t="shared" si="62"/>
        <v>0</v>
      </c>
      <c r="V240" s="295">
        <f t="shared" si="62"/>
        <v>0</v>
      </c>
      <c r="W240" s="295">
        <f t="shared" si="62"/>
        <v>0</v>
      </c>
      <c r="X240" s="295">
        <f t="shared" si="62"/>
        <v>0</v>
      </c>
      <c r="Y240" s="295">
        <f t="shared" si="62"/>
        <v>0</v>
      </c>
      <c r="Z240" s="295">
        <f t="shared" si="62"/>
        <v>0</v>
      </c>
      <c r="AA240" s="295">
        <f t="shared" si="62"/>
        <v>0</v>
      </c>
      <c r="AB240" s="295">
        <f t="shared" si="62"/>
        <v>0</v>
      </c>
      <c r="AC240" s="295">
        <f t="shared" si="62"/>
        <v>0</v>
      </c>
      <c r="AD240" s="295">
        <f t="shared" si="62"/>
        <v>0</v>
      </c>
      <c r="AE240" s="296">
        <f t="shared" si="62"/>
        <v>0</v>
      </c>
    </row>
    <row r="241" spans="1:31" ht="15" customHeight="1">
      <c r="A241" s="1711"/>
      <c r="B241" s="116">
        <v>14</v>
      </c>
      <c r="C241" s="294">
        <f t="shared" si="58"/>
        <v>2700</v>
      </c>
      <c r="D241" s="295">
        <f t="shared" si="62"/>
        <v>2787.6692086497319</v>
      </c>
      <c r="E241" s="295">
        <f t="shared" si="62"/>
        <v>3420.1901750134148</v>
      </c>
      <c r="F241" s="295">
        <f t="shared" si="62"/>
        <v>4373.028416609659</v>
      </c>
      <c r="G241" s="295">
        <f t="shared" si="62"/>
        <v>6692.5465659623869</v>
      </c>
      <c r="H241" s="295">
        <f t="shared" si="62"/>
        <v>7265.5884214224834</v>
      </c>
      <c r="I241" s="295">
        <f t="shared" si="62"/>
        <v>7850.9822183397655</v>
      </c>
      <c r="J241" s="295">
        <f t="shared" si="62"/>
        <v>8416.524680772287</v>
      </c>
      <c r="K241" s="295">
        <f t="shared" si="62"/>
        <v>9120.144203065478</v>
      </c>
      <c r="L241" s="295">
        <f t="shared" si="62"/>
        <v>9906.2570486620079</v>
      </c>
      <c r="M241" s="295">
        <f t="shared" si="62"/>
        <v>14645.873442090255</v>
      </c>
      <c r="N241" s="295">
        <f t="shared" si="60"/>
        <v>7033.9895191002734</v>
      </c>
      <c r="O241" s="295">
        <f t="shared" si="60"/>
        <v>11040.429958891349</v>
      </c>
      <c r="P241" s="295">
        <f t="shared" si="60"/>
        <v>11154.685417370305</v>
      </c>
      <c r="Q241" s="295">
        <f t="shared" si="62"/>
        <v>10357.102911849246</v>
      </c>
      <c r="R241" s="295">
        <f t="shared" si="62"/>
        <v>0</v>
      </c>
      <c r="S241" s="295">
        <f t="shared" si="62"/>
        <v>0</v>
      </c>
      <c r="T241" s="295">
        <f t="shared" si="62"/>
        <v>0</v>
      </c>
      <c r="U241" s="295">
        <f t="shared" si="62"/>
        <v>0</v>
      </c>
      <c r="V241" s="295">
        <f t="shared" si="62"/>
        <v>0</v>
      </c>
      <c r="W241" s="295">
        <f t="shared" si="62"/>
        <v>0</v>
      </c>
      <c r="X241" s="295">
        <f t="shared" si="62"/>
        <v>0</v>
      </c>
      <c r="Y241" s="295">
        <f t="shared" si="62"/>
        <v>0</v>
      </c>
      <c r="Z241" s="295">
        <f t="shared" si="62"/>
        <v>0</v>
      </c>
      <c r="AA241" s="295">
        <f t="shared" si="62"/>
        <v>0</v>
      </c>
      <c r="AB241" s="295">
        <f t="shared" si="62"/>
        <v>0</v>
      </c>
      <c r="AC241" s="295">
        <f t="shared" si="62"/>
        <v>0</v>
      </c>
      <c r="AD241" s="295">
        <f t="shared" si="62"/>
        <v>0</v>
      </c>
      <c r="AE241" s="296">
        <f t="shared" si="62"/>
        <v>0</v>
      </c>
    </row>
    <row r="242" spans="1:31" ht="15" customHeight="1">
      <c r="A242" s="1711"/>
      <c r="B242" s="116">
        <v>15</v>
      </c>
      <c r="C242" s="294">
        <f t="shared" si="58"/>
        <v>1615</v>
      </c>
      <c r="D242" s="295">
        <f t="shared" si="62"/>
        <v>1106.9231538175145</v>
      </c>
      <c r="E242" s="295">
        <f t="shared" si="62"/>
        <v>1142.8650341624209</v>
      </c>
      <c r="F242" s="295">
        <f t="shared" si="62"/>
        <v>1402.1806278450097</v>
      </c>
      <c r="G242" s="295">
        <f t="shared" si="62"/>
        <v>1792.8171876471022</v>
      </c>
      <c r="H242" s="295">
        <f t="shared" si="62"/>
        <v>2743.7536118020971</v>
      </c>
      <c r="I242" s="295">
        <f t="shared" si="62"/>
        <v>2978.684462881849</v>
      </c>
      <c r="J242" s="295">
        <f t="shared" si="62"/>
        <v>3218.6792584036593</v>
      </c>
      <c r="K242" s="295">
        <f t="shared" si="62"/>
        <v>3450.5355717864481</v>
      </c>
      <c r="L242" s="295">
        <f t="shared" si="62"/>
        <v>3738.9995498250969</v>
      </c>
      <c r="M242" s="295">
        <f t="shared" si="62"/>
        <v>4061.2834425303458</v>
      </c>
      <c r="N242" s="295">
        <f t="shared" si="60"/>
        <v>6004.3912670113787</v>
      </c>
      <c r="O242" s="295">
        <f t="shared" si="60"/>
        <v>2883.7355045932654</v>
      </c>
      <c r="P242" s="295">
        <f t="shared" si="60"/>
        <v>4526.2620554064388</v>
      </c>
      <c r="Q242" s="295">
        <f t="shared" si="62"/>
        <v>4573.1035414954731</v>
      </c>
      <c r="R242" s="295">
        <f t="shared" si="62"/>
        <v>4246.1174146654557</v>
      </c>
      <c r="S242" s="295">
        <f t="shared" si="62"/>
        <v>0</v>
      </c>
      <c r="T242" s="295">
        <f t="shared" si="62"/>
        <v>0</v>
      </c>
      <c r="U242" s="295">
        <f t="shared" si="62"/>
        <v>0</v>
      </c>
      <c r="V242" s="295">
        <f t="shared" si="62"/>
        <v>0</v>
      </c>
      <c r="W242" s="295">
        <f t="shared" si="62"/>
        <v>0</v>
      </c>
      <c r="X242" s="295">
        <f t="shared" si="62"/>
        <v>0</v>
      </c>
      <c r="Y242" s="295">
        <f t="shared" si="62"/>
        <v>0</v>
      </c>
      <c r="Z242" s="295">
        <f t="shared" si="62"/>
        <v>0</v>
      </c>
      <c r="AA242" s="295">
        <f t="shared" si="62"/>
        <v>0</v>
      </c>
      <c r="AB242" s="295">
        <f t="shared" si="62"/>
        <v>0</v>
      </c>
      <c r="AC242" s="295">
        <f t="shared" si="62"/>
        <v>0</v>
      </c>
      <c r="AD242" s="295">
        <f t="shared" si="62"/>
        <v>0</v>
      </c>
      <c r="AE242" s="296">
        <f t="shared" si="62"/>
        <v>0</v>
      </c>
    </row>
    <row r="243" spans="1:31" ht="15" customHeight="1">
      <c r="A243" s="1711"/>
      <c r="B243" s="116">
        <v>16</v>
      </c>
      <c r="C243" s="294">
        <f>(EXP(15-B243)*$K$20/(EXP(-1)+EXP(-2)+EXP(-3)+EXP(-4)+EXP(-5)+EXP(-6)+EXP(-7)+EXP(-8)+EXP(-9)+EXP(-10)))</f>
        <v>1984.3165219935677</v>
      </c>
      <c r="D243" s="295">
        <f t="shared" si="62"/>
        <v>595.89363113842865</v>
      </c>
      <c r="E243" s="295">
        <f t="shared" si="62"/>
        <v>408.42628948577095</v>
      </c>
      <c r="F243" s="295">
        <f t="shared" si="62"/>
        <v>421.68792266760943</v>
      </c>
      <c r="G243" s="295">
        <f t="shared" si="62"/>
        <v>517.36873426534021</v>
      </c>
      <c r="H243" s="295">
        <f t="shared" si="62"/>
        <v>661.50361852285903</v>
      </c>
      <c r="I243" s="295">
        <f t="shared" si="62"/>
        <v>1012.3748004247245</v>
      </c>
      <c r="J243" s="295">
        <f t="shared" si="62"/>
        <v>1099.0582666268017</v>
      </c>
      <c r="K243" s="295">
        <f t="shared" si="62"/>
        <v>1187.6101986130657</v>
      </c>
      <c r="L243" s="295">
        <f t="shared" si="62"/>
        <v>1273.1592391604586</v>
      </c>
      <c r="M243" s="295">
        <f t="shared" si="62"/>
        <v>1379.5950579382211</v>
      </c>
      <c r="N243" s="295">
        <f t="shared" si="60"/>
        <v>1498.5095589175141</v>
      </c>
      <c r="O243" s="295">
        <f t="shared" si="60"/>
        <v>2215.4665726781923</v>
      </c>
      <c r="P243" s="295">
        <f t="shared" si="60"/>
        <v>1064.0245331733063</v>
      </c>
      <c r="Q243" s="295">
        <f t="shared" si="62"/>
        <v>1670.0747564583469</v>
      </c>
      <c r="R243" s="295">
        <f t="shared" si="62"/>
        <v>1687.3580649620712</v>
      </c>
      <c r="S243" s="295">
        <f t="shared" si="62"/>
        <v>1566.7085600403191</v>
      </c>
      <c r="T243" s="295">
        <f t="shared" si="62"/>
        <v>0</v>
      </c>
      <c r="U243" s="295">
        <f t="shared" si="62"/>
        <v>0</v>
      </c>
      <c r="V243" s="295">
        <f t="shared" si="62"/>
        <v>0</v>
      </c>
      <c r="W243" s="295">
        <f t="shared" si="62"/>
        <v>0</v>
      </c>
      <c r="X243" s="295">
        <f t="shared" si="62"/>
        <v>0</v>
      </c>
      <c r="Y243" s="295">
        <f t="shared" si="62"/>
        <v>0</v>
      </c>
      <c r="Z243" s="295">
        <f t="shared" si="62"/>
        <v>0</v>
      </c>
      <c r="AA243" s="295">
        <f t="shared" si="62"/>
        <v>0</v>
      </c>
      <c r="AB243" s="295">
        <f t="shared" si="62"/>
        <v>0</v>
      </c>
      <c r="AC243" s="295">
        <f t="shared" si="62"/>
        <v>0</v>
      </c>
      <c r="AD243" s="295">
        <f t="shared" si="62"/>
        <v>0</v>
      </c>
      <c r="AE243" s="296">
        <f t="shared" si="62"/>
        <v>0</v>
      </c>
    </row>
    <row r="244" spans="1:31" ht="15" customHeight="1">
      <c r="A244" s="1711"/>
      <c r="B244" s="116">
        <v>17</v>
      </c>
      <c r="C244" s="294">
        <f t="shared" ref="C244:C252" si="63">(EXP(15-B244)*$K$20/(EXP(-1)+EXP(-2)+EXP(-3)+EXP(-4)+EXP(-5)+EXP(-6)+EXP(-7)+EXP(-8)+EXP(-9)+EXP(-10)))</f>
        <v>729.98925321825368</v>
      </c>
      <c r="D244" s="295">
        <f t="shared" si="62"/>
        <v>650.81063783624336</v>
      </c>
      <c r="E244" s="295">
        <f t="shared" si="62"/>
        <v>195.43954296874668</v>
      </c>
      <c r="F244" s="295">
        <f t="shared" si="62"/>
        <v>133.95452339542956</v>
      </c>
      <c r="G244" s="295">
        <f t="shared" si="62"/>
        <v>138.30403712177375</v>
      </c>
      <c r="H244" s="295">
        <f t="shared" si="62"/>
        <v>169.68516474653805</v>
      </c>
      <c r="I244" s="295">
        <f t="shared" si="62"/>
        <v>216.95812494133958</v>
      </c>
      <c r="J244" s="295">
        <f t="shared" si="62"/>
        <v>332.03588353526305</v>
      </c>
      <c r="K244" s="295">
        <f t="shared" si="62"/>
        <v>360.46608673296299</v>
      </c>
      <c r="L244" s="295">
        <f t="shared" si="62"/>
        <v>389.50910416433169</v>
      </c>
      <c r="M244" s="295">
        <f t="shared" si="62"/>
        <v>417.56724157730429</v>
      </c>
      <c r="N244" s="295">
        <f t="shared" si="60"/>
        <v>452.47576667378735</v>
      </c>
      <c r="O244" s="295">
        <f t="shared" si="60"/>
        <v>491.47701540227177</v>
      </c>
      <c r="P244" s="295">
        <f t="shared" si="60"/>
        <v>726.62259134999238</v>
      </c>
      <c r="Q244" s="295">
        <f t="shared" si="62"/>
        <v>348.97581985167545</v>
      </c>
      <c r="R244" s="295">
        <f t="shared" si="62"/>
        <v>547.74649378663435</v>
      </c>
      <c r="S244" s="295">
        <f t="shared" si="62"/>
        <v>553.4150254480694</v>
      </c>
      <c r="T244" s="295">
        <f t="shared" si="62"/>
        <v>513.84473493117832</v>
      </c>
      <c r="U244" s="295">
        <f t="shared" si="62"/>
        <v>0</v>
      </c>
      <c r="V244" s="295">
        <f t="shared" si="62"/>
        <v>0</v>
      </c>
      <c r="W244" s="295">
        <f t="shared" si="62"/>
        <v>0</v>
      </c>
      <c r="X244" s="295">
        <f t="shared" si="62"/>
        <v>0</v>
      </c>
      <c r="Y244" s="295">
        <f t="shared" si="62"/>
        <v>0</v>
      </c>
      <c r="Z244" s="295">
        <f t="shared" si="62"/>
        <v>0</v>
      </c>
      <c r="AA244" s="295">
        <f t="shared" si="62"/>
        <v>0</v>
      </c>
      <c r="AB244" s="295">
        <f t="shared" si="62"/>
        <v>0</v>
      </c>
      <c r="AC244" s="295">
        <f t="shared" si="62"/>
        <v>0</v>
      </c>
      <c r="AD244" s="295">
        <f t="shared" si="62"/>
        <v>0</v>
      </c>
      <c r="AE244" s="296">
        <f t="shared" si="62"/>
        <v>0</v>
      </c>
    </row>
    <row r="245" spans="1:31" ht="15.75" customHeight="1">
      <c r="A245" s="1711"/>
      <c r="B245" s="116">
        <v>18</v>
      </c>
      <c r="C245" s="294">
        <f t="shared" si="63"/>
        <v>268.54803853508963</v>
      </c>
      <c r="D245" s="295">
        <f t="shared" si="62"/>
        <v>209.49237203617375</v>
      </c>
      <c r="E245" s="295">
        <f t="shared" si="62"/>
        <v>186.76968690376961</v>
      </c>
      <c r="F245" s="295">
        <f t="shared" si="62"/>
        <v>56.087255073530777</v>
      </c>
      <c r="G245" s="295">
        <f t="shared" si="62"/>
        <v>38.442279427219873</v>
      </c>
      <c r="H245" s="295">
        <f t="shared" si="62"/>
        <v>39.69050321095181</v>
      </c>
      <c r="I245" s="295">
        <f t="shared" si="62"/>
        <v>48.696261630406553</v>
      </c>
      <c r="J245" s="295">
        <f t="shared" si="62"/>
        <v>62.262659383141248</v>
      </c>
      <c r="K245" s="295">
        <f t="shared" si="62"/>
        <v>95.287683395706239</v>
      </c>
      <c r="L245" s="295">
        <f t="shared" si="62"/>
        <v>103.44658529610977</v>
      </c>
      <c r="M245" s="295">
        <f t="shared" si="62"/>
        <v>111.78135267242658</v>
      </c>
      <c r="N245" s="295">
        <f t="shared" si="60"/>
        <v>119.83347910531138</v>
      </c>
      <c r="O245" s="295">
        <f t="shared" si="60"/>
        <v>129.85153032251208</v>
      </c>
      <c r="P245" s="295">
        <f t="shared" si="60"/>
        <v>141.04411168241899</v>
      </c>
      <c r="Q245" s="295">
        <f t="shared" si="62"/>
        <v>208.52620715427113</v>
      </c>
      <c r="R245" s="295">
        <f t="shared" si="62"/>
        <v>100.14910762273651</v>
      </c>
      <c r="S245" s="295">
        <f t="shared" si="62"/>
        <v>157.19233091716697</v>
      </c>
      <c r="T245" s="295">
        <f t="shared" si="62"/>
        <v>158.81908656936443</v>
      </c>
      <c r="U245" s="295">
        <f t="shared" si="62"/>
        <v>147.46320155325233</v>
      </c>
      <c r="V245" s="295">
        <f t="shared" si="62"/>
        <v>0</v>
      </c>
      <c r="W245" s="295">
        <f t="shared" si="62"/>
        <v>0</v>
      </c>
      <c r="X245" s="295">
        <f t="shared" si="62"/>
        <v>0</v>
      </c>
      <c r="Y245" s="295">
        <f t="shared" si="62"/>
        <v>0</v>
      </c>
      <c r="Z245" s="295">
        <f t="shared" si="62"/>
        <v>0</v>
      </c>
      <c r="AA245" s="295">
        <f t="shared" si="62"/>
        <v>0</v>
      </c>
      <c r="AB245" s="295">
        <f t="shared" si="62"/>
        <v>0</v>
      </c>
      <c r="AC245" s="295">
        <f t="shared" si="62"/>
        <v>0</v>
      </c>
      <c r="AD245" s="295">
        <f t="shared" si="62"/>
        <v>0</v>
      </c>
      <c r="AE245" s="296">
        <f t="shared" si="62"/>
        <v>0</v>
      </c>
    </row>
    <row r="246" spans="1:31" ht="16.5" customHeight="1">
      <c r="A246" s="1711"/>
      <c r="B246" s="116">
        <v>19</v>
      </c>
      <c r="C246" s="294">
        <f t="shared" si="63"/>
        <v>98.793302343975725</v>
      </c>
      <c r="D246" s="295">
        <f t="shared" si="62"/>
        <v>66.058231503726404</v>
      </c>
      <c r="E246" s="295">
        <f t="shared" si="62"/>
        <v>51.531546034443004</v>
      </c>
      <c r="F246" s="295">
        <f t="shared" si="62"/>
        <v>45.942153525562311</v>
      </c>
      <c r="G246" s="295">
        <f t="shared" si="62"/>
        <v>13.796506949991128</v>
      </c>
      <c r="H246" s="295">
        <f t="shared" si="62"/>
        <v>9.4561442630027503</v>
      </c>
      <c r="I246" s="295">
        <f t="shared" si="62"/>
        <v>9.7631859979713251</v>
      </c>
      <c r="J246" s="295">
        <f t="shared" si="62"/>
        <v>11.978448778456098</v>
      </c>
      <c r="K246" s="295">
        <f t="shared" si="62"/>
        <v>15.315550953211638</v>
      </c>
      <c r="L246" s="295">
        <f t="shared" si="62"/>
        <v>23.439142894297767</v>
      </c>
      <c r="M246" s="295">
        <f t="shared" si="62"/>
        <v>25.446093432804968</v>
      </c>
      <c r="N246" s="295">
        <f t="shared" si="60"/>
        <v>27.496303875144505</v>
      </c>
      <c r="O246" s="295">
        <f t="shared" si="60"/>
        <v>29.476989472039222</v>
      </c>
      <c r="P246" s="295">
        <f t="shared" si="60"/>
        <v>31.941258993916819</v>
      </c>
      <c r="Q246" s="295">
        <f t="shared" si="62"/>
        <v>34.69444287353177</v>
      </c>
      <c r="R246" s="295">
        <f t="shared" si="62"/>
        <v>51.29388597262448</v>
      </c>
      <c r="S246" s="295">
        <f t="shared" si="62"/>
        <v>24.634970235948707</v>
      </c>
      <c r="T246" s="295">
        <f t="shared" si="62"/>
        <v>38.666629043279301</v>
      </c>
      <c r="U246" s="295">
        <f t="shared" si="62"/>
        <v>39.066783153728387</v>
      </c>
      <c r="V246" s="295">
        <f t="shared" si="62"/>
        <v>36.273429363411971</v>
      </c>
      <c r="W246" s="295">
        <f t="shared" si="62"/>
        <v>0</v>
      </c>
      <c r="X246" s="295">
        <f t="shared" si="62"/>
        <v>0</v>
      </c>
      <c r="Y246" s="295">
        <f t="shared" si="62"/>
        <v>0</v>
      </c>
      <c r="Z246" s="295">
        <f t="shared" si="62"/>
        <v>0</v>
      </c>
      <c r="AA246" s="295">
        <f t="shared" si="62"/>
        <v>0</v>
      </c>
      <c r="AB246" s="295">
        <f t="shared" si="62"/>
        <v>0</v>
      </c>
      <c r="AC246" s="295">
        <f t="shared" si="62"/>
        <v>0</v>
      </c>
      <c r="AD246" s="295">
        <f t="shared" si="62"/>
        <v>0</v>
      </c>
      <c r="AE246" s="296">
        <f t="shared" si="62"/>
        <v>0</v>
      </c>
    </row>
    <row r="247" spans="1:31">
      <c r="A247" s="1711"/>
      <c r="B247" s="116">
        <v>20</v>
      </c>
      <c r="C247" s="294">
        <f t="shared" si="63"/>
        <v>36.34402485778314</v>
      </c>
      <c r="D247" s="295">
        <f t="shared" si="62"/>
        <v>20.251221075303864</v>
      </c>
      <c r="E247" s="295">
        <f t="shared" si="62"/>
        <v>13.540997398465246</v>
      </c>
      <c r="F247" s="295">
        <f t="shared" si="62"/>
        <v>10.563233603247793</v>
      </c>
      <c r="G247" s="295">
        <f t="shared" ref="G247:AE247" si="64">F246*$K45</f>
        <v>9.4174876803118295</v>
      </c>
      <c r="H247" s="295">
        <f t="shared" si="64"/>
        <v>2.8280875897684146</v>
      </c>
      <c r="I247" s="295">
        <f t="shared" si="64"/>
        <v>1.9383750056585929</v>
      </c>
      <c r="J247" s="295">
        <f t="shared" si="64"/>
        <v>2.0013141918854478</v>
      </c>
      <c r="K247" s="295">
        <f t="shared" si="64"/>
        <v>2.4554115369796627</v>
      </c>
      <c r="L247" s="295">
        <f t="shared" si="64"/>
        <v>3.1394699932559011</v>
      </c>
      <c r="M247" s="295">
        <f t="shared" si="64"/>
        <v>4.8046907361732352</v>
      </c>
      <c r="N247" s="295">
        <f t="shared" si="60"/>
        <v>5.2160870361065967</v>
      </c>
      <c r="O247" s="295">
        <f t="shared" si="60"/>
        <v>5.636351000703649</v>
      </c>
      <c r="P247" s="295">
        <f t="shared" si="60"/>
        <v>6.0423633613769123</v>
      </c>
      <c r="Q247" s="295">
        <f t="shared" si="64"/>
        <v>6.5475035448978627</v>
      </c>
      <c r="R247" s="295">
        <f t="shared" si="64"/>
        <v>7.1118670602798852</v>
      </c>
      <c r="S247" s="295">
        <f t="shared" si="64"/>
        <v>10.514516672661752</v>
      </c>
      <c r="T247" s="295">
        <f t="shared" si="64"/>
        <v>5.0498183236623966</v>
      </c>
      <c r="U247" s="295">
        <f t="shared" si="64"/>
        <v>7.9261086977923387</v>
      </c>
      <c r="V247" s="295">
        <f t="shared" si="64"/>
        <v>8.0081345959314767</v>
      </c>
      <c r="W247" s="295">
        <f t="shared" si="64"/>
        <v>7.4355368205045957</v>
      </c>
      <c r="X247" s="295">
        <f t="shared" si="64"/>
        <v>0</v>
      </c>
      <c r="Y247" s="295">
        <f t="shared" si="64"/>
        <v>0</v>
      </c>
      <c r="Z247" s="295">
        <f t="shared" si="64"/>
        <v>0</v>
      </c>
      <c r="AA247" s="295">
        <f t="shared" si="64"/>
        <v>0</v>
      </c>
      <c r="AB247" s="295">
        <f t="shared" si="64"/>
        <v>0</v>
      </c>
      <c r="AC247" s="295">
        <f t="shared" si="64"/>
        <v>0</v>
      </c>
      <c r="AD247" s="295">
        <f t="shared" si="64"/>
        <v>0</v>
      </c>
      <c r="AE247" s="296">
        <f t="shared" si="64"/>
        <v>0</v>
      </c>
    </row>
    <row r="248" spans="1:31" ht="15.75" customHeight="1">
      <c r="A248" s="1711"/>
      <c r="B248" s="116">
        <v>21</v>
      </c>
      <c r="C248" s="294">
        <f t="shared" si="63"/>
        <v>13.37021955460227</v>
      </c>
      <c r="D248" s="295">
        <f t="shared" ref="D248:AE252" si="65">C247*$K46</f>
        <v>5.9600063137776971</v>
      </c>
      <c r="E248" s="295">
        <f t="shared" si="65"/>
        <v>3.3209697039008992</v>
      </c>
      <c r="F248" s="295">
        <f t="shared" si="65"/>
        <v>2.2205694142435419</v>
      </c>
      <c r="G248" s="295">
        <f t="shared" si="65"/>
        <v>1.7322500525360289</v>
      </c>
      <c r="H248" s="295">
        <f t="shared" si="65"/>
        <v>1.5443607650560531</v>
      </c>
      <c r="I248" s="295">
        <f t="shared" si="65"/>
        <v>0.46377416802053728</v>
      </c>
      <c r="J248" s="295">
        <f t="shared" si="65"/>
        <v>0.31787143326587441</v>
      </c>
      <c r="K248" s="295">
        <f t="shared" si="65"/>
        <v>0.32819274326838371</v>
      </c>
      <c r="L248" s="295">
        <f t="shared" si="65"/>
        <v>0.40265953813828725</v>
      </c>
      <c r="M248" s="295">
        <f t="shared" si="65"/>
        <v>0.51483733722226266</v>
      </c>
      <c r="N248" s="295">
        <f t="shared" si="60"/>
        <v>0.78791458115595159</v>
      </c>
      <c r="O248" s="295">
        <f t="shared" si="60"/>
        <v>0.85537889075463192</v>
      </c>
      <c r="P248" s="295">
        <f t="shared" si="60"/>
        <v>0.92429739640316844</v>
      </c>
      <c r="Q248" s="295">
        <f t="shared" si="65"/>
        <v>0.99087880125729333</v>
      </c>
      <c r="R248" s="295">
        <f t="shared" si="65"/>
        <v>1.0737160405258812</v>
      </c>
      <c r="S248" s="295">
        <f t="shared" si="65"/>
        <v>1.1662652319845788</v>
      </c>
      <c r="T248" s="295">
        <f t="shared" si="65"/>
        <v>1.7242610305436423</v>
      </c>
      <c r="U248" s="295">
        <f t="shared" si="65"/>
        <v>0.82811271481983029</v>
      </c>
      <c r="V248" s="295">
        <f t="shared" si="65"/>
        <v>1.299791590705293</v>
      </c>
      <c r="W248" s="295">
        <f t="shared" si="65"/>
        <v>1.3132429041664617</v>
      </c>
      <c r="X248" s="295">
        <f t="shared" si="65"/>
        <v>1.2193433878043261</v>
      </c>
      <c r="Y248" s="295">
        <f t="shared" si="65"/>
        <v>0</v>
      </c>
      <c r="Z248" s="295">
        <f t="shared" si="65"/>
        <v>0</v>
      </c>
      <c r="AA248" s="295">
        <f t="shared" si="65"/>
        <v>0</v>
      </c>
      <c r="AB248" s="295">
        <f t="shared" si="65"/>
        <v>0</v>
      </c>
      <c r="AC248" s="295">
        <f t="shared" si="65"/>
        <v>0</v>
      </c>
      <c r="AD248" s="295">
        <f t="shared" si="65"/>
        <v>0</v>
      </c>
      <c r="AE248" s="296">
        <f t="shared" si="65"/>
        <v>0</v>
      </c>
    </row>
    <row r="249" spans="1:31" ht="15" customHeight="1">
      <c r="A249" s="1711"/>
      <c r="B249" s="116">
        <v>22</v>
      </c>
      <c r="C249" s="294">
        <f t="shared" si="63"/>
        <v>4.9186288980865731</v>
      </c>
      <c r="D249" s="295">
        <f t="shared" si="65"/>
        <v>1.6444228440681055</v>
      </c>
      <c r="E249" s="295">
        <f t="shared" si="65"/>
        <v>0.73302988729101193</v>
      </c>
      <c r="F249" s="295">
        <f t="shared" si="65"/>
        <v>0.40845091759715563</v>
      </c>
      <c r="G249" s="295">
        <f t="shared" si="65"/>
        <v>0.27311107769835247</v>
      </c>
      <c r="H249" s="295">
        <f t="shared" si="65"/>
        <v>0.21305196570597071</v>
      </c>
      <c r="I249" s="295">
        <f t="shared" si="65"/>
        <v>0.1899431876319862</v>
      </c>
      <c r="J249" s="295">
        <f t="shared" si="65"/>
        <v>5.7040262747154111E-2</v>
      </c>
      <c r="K249" s="295">
        <f t="shared" si="65"/>
        <v>3.9095472157683921E-2</v>
      </c>
      <c r="L249" s="295">
        <f t="shared" si="65"/>
        <v>4.0364905159851236E-2</v>
      </c>
      <c r="M249" s="295">
        <f t="shared" si="65"/>
        <v>4.9523685096748517E-2</v>
      </c>
      <c r="N249" s="295">
        <f t="shared" si="60"/>
        <v>6.3320596557897582E-2</v>
      </c>
      <c r="O249" s="295">
        <f t="shared" si="60"/>
        <v>9.690676590132799E-2</v>
      </c>
      <c r="P249" s="295">
        <f t="shared" si="60"/>
        <v>0.10520429994033825</v>
      </c>
      <c r="Q249" s="295">
        <f t="shared" si="65"/>
        <v>0.11368068767687918</v>
      </c>
      <c r="R249" s="295">
        <f t="shared" si="65"/>
        <v>0.12186963197096014</v>
      </c>
      <c r="S249" s="295">
        <f t="shared" si="65"/>
        <v>0.13205790509815141</v>
      </c>
      <c r="T249" s="295">
        <f t="shared" si="65"/>
        <v>0.14344066541956502</v>
      </c>
      <c r="U249" s="295">
        <f t="shared" si="65"/>
        <v>0.21206938421488958</v>
      </c>
      <c r="V249" s="295">
        <f t="shared" si="65"/>
        <v>0.10185079311163894</v>
      </c>
      <c r="W249" s="295">
        <f t="shared" si="65"/>
        <v>0.15986326743210966</v>
      </c>
      <c r="X249" s="295">
        <f t="shared" si="65"/>
        <v>0.16151766413426796</v>
      </c>
      <c r="Y249" s="295">
        <f t="shared" si="65"/>
        <v>0.14996882537943301</v>
      </c>
      <c r="Z249" s="295">
        <f t="shared" si="65"/>
        <v>0</v>
      </c>
      <c r="AA249" s="295">
        <f t="shared" si="65"/>
        <v>0</v>
      </c>
      <c r="AB249" s="295">
        <f t="shared" si="65"/>
        <v>0</v>
      </c>
      <c r="AC249" s="295">
        <f t="shared" si="65"/>
        <v>0</v>
      </c>
      <c r="AD249" s="295">
        <f t="shared" si="65"/>
        <v>0</v>
      </c>
      <c r="AE249" s="296">
        <f t="shared" si="65"/>
        <v>0</v>
      </c>
    </row>
    <row r="250" spans="1:31" ht="15" customHeight="1">
      <c r="A250" s="1711"/>
      <c r="B250" s="116">
        <v>23</v>
      </c>
      <c r="C250" s="294">
        <f t="shared" si="63"/>
        <v>1.8094624503577958</v>
      </c>
      <c r="D250" s="295">
        <f t="shared" si="65"/>
        <v>0.40329957128355226</v>
      </c>
      <c r="E250" s="295">
        <f t="shared" si="65"/>
        <v>0.13483331264929141</v>
      </c>
      <c r="F250" s="295">
        <f t="shared" si="65"/>
        <v>6.0104278124641787E-2</v>
      </c>
      <c r="G250" s="295">
        <f t="shared" si="65"/>
        <v>3.3490650213800092E-2</v>
      </c>
      <c r="H250" s="295">
        <f t="shared" si="65"/>
        <v>2.239355373839708E-2</v>
      </c>
      <c r="I250" s="295">
        <f t="shared" si="65"/>
        <v>1.7469048430094374E-2</v>
      </c>
      <c r="J250" s="295">
        <f t="shared" si="65"/>
        <v>1.5574260170351857E-2</v>
      </c>
      <c r="K250" s="295">
        <f t="shared" si="65"/>
        <v>4.6769768544192231E-3</v>
      </c>
      <c r="L250" s="295">
        <f t="shared" si="65"/>
        <v>3.2056061733902455E-3</v>
      </c>
      <c r="M250" s="295">
        <f t="shared" si="65"/>
        <v>3.309692453562029E-3</v>
      </c>
      <c r="N250" s="295">
        <f t="shared" si="60"/>
        <v>4.0606602737746893E-3</v>
      </c>
      <c r="O250" s="295">
        <f t="shared" si="60"/>
        <v>5.191928477294403E-3</v>
      </c>
      <c r="P250" s="295">
        <f t="shared" si="60"/>
        <v>7.9458031805743363E-3</v>
      </c>
      <c r="Q250" s="295">
        <f t="shared" si="65"/>
        <v>8.6261537396387384E-3</v>
      </c>
      <c r="R250" s="295">
        <f t="shared" si="65"/>
        <v>9.321169283809997E-3</v>
      </c>
      <c r="S250" s="295">
        <f t="shared" si="65"/>
        <v>9.9926161019166654E-3</v>
      </c>
      <c r="T250" s="295">
        <f t="shared" si="65"/>
        <v>1.0827996503539243E-2</v>
      </c>
      <c r="U250" s="295">
        <f t="shared" si="65"/>
        <v>1.1761318055696874E-2</v>
      </c>
      <c r="V250" s="295">
        <f t="shared" si="65"/>
        <v>1.7388482340983984E-2</v>
      </c>
      <c r="W250" s="295">
        <f t="shared" si="65"/>
        <v>8.3511852688852271E-3</v>
      </c>
      <c r="X250" s="295">
        <f t="shared" si="65"/>
        <v>1.3107877938186931E-2</v>
      </c>
      <c r="Y250" s="295">
        <f t="shared" si="65"/>
        <v>1.3243529050425329E-2</v>
      </c>
      <c r="Z250" s="295">
        <f t="shared" si="65"/>
        <v>1.2296590012097043E-2</v>
      </c>
      <c r="AA250" s="295">
        <f t="shared" si="65"/>
        <v>0</v>
      </c>
      <c r="AB250" s="295">
        <f t="shared" si="65"/>
        <v>0</v>
      </c>
      <c r="AC250" s="295">
        <f t="shared" si="65"/>
        <v>0</v>
      </c>
      <c r="AD250" s="295">
        <f t="shared" si="65"/>
        <v>0</v>
      </c>
      <c r="AE250" s="296">
        <f t="shared" si="65"/>
        <v>0</v>
      </c>
    </row>
    <row r="251" spans="1:31" ht="15" customHeight="1">
      <c r="A251" s="1711"/>
      <c r="B251" s="116">
        <v>24</v>
      </c>
      <c r="C251" s="294">
        <f t="shared" si="63"/>
        <v>0.6656640350583346</v>
      </c>
      <c r="D251" s="295">
        <f t="shared" si="65"/>
        <v>7.4182810454237746E-2</v>
      </c>
      <c r="E251" s="295">
        <f t="shared" si="65"/>
        <v>1.6534134569571896E-2</v>
      </c>
      <c r="F251" s="295">
        <f t="shared" si="65"/>
        <v>5.5277820621265411E-3</v>
      </c>
      <c r="G251" s="295">
        <f t="shared" si="65"/>
        <v>2.4641043370242049E-3</v>
      </c>
      <c r="H251" s="295">
        <f t="shared" si="65"/>
        <v>1.3730213391873634E-3</v>
      </c>
      <c r="I251" s="295">
        <f t="shared" si="65"/>
        <v>9.1807196775142545E-4</v>
      </c>
      <c r="J251" s="295">
        <f t="shared" si="65"/>
        <v>7.1618126601596162E-4</v>
      </c>
      <c r="K251" s="295">
        <f t="shared" si="65"/>
        <v>6.3850034022742139E-4</v>
      </c>
      <c r="L251" s="295">
        <f t="shared" si="65"/>
        <v>1.9174273963056462E-4</v>
      </c>
      <c r="M251" s="295">
        <f t="shared" si="65"/>
        <v>1.3142072945726018E-4</v>
      </c>
      <c r="N251" s="295">
        <f t="shared" si="60"/>
        <v>1.3568797069862625E-4</v>
      </c>
      <c r="O251" s="295">
        <f t="shared" si="60"/>
        <v>1.6647551395659893E-4</v>
      </c>
      <c r="P251" s="295">
        <f t="shared" si="60"/>
        <v>2.1285429053635876E-4</v>
      </c>
      <c r="Q251" s="295">
        <f t="shared" si="65"/>
        <v>3.2575531541683637E-4</v>
      </c>
      <c r="R251" s="295">
        <f t="shared" si="65"/>
        <v>3.5364775195539477E-4</v>
      </c>
      <c r="S251" s="295">
        <f t="shared" si="65"/>
        <v>3.8214141114451498E-4</v>
      </c>
      <c r="T251" s="295">
        <f t="shared" si="65"/>
        <v>4.0966881964523235E-4</v>
      </c>
      <c r="U251" s="295">
        <f t="shared" si="65"/>
        <v>4.4391703848972882E-4</v>
      </c>
      <c r="V251" s="295">
        <f t="shared" si="65"/>
        <v>4.8218056575047633E-4</v>
      </c>
      <c r="W251" s="295">
        <f t="shared" si="65"/>
        <v>7.1287828566600551E-4</v>
      </c>
      <c r="X251" s="295">
        <f t="shared" si="65"/>
        <v>3.4237482725736309E-4</v>
      </c>
      <c r="Y251" s="295">
        <f t="shared" si="65"/>
        <v>5.3738568841455174E-4</v>
      </c>
      <c r="Z251" s="295">
        <f t="shared" si="65"/>
        <v>5.4294699793224735E-4</v>
      </c>
      <c r="AA251" s="295">
        <f t="shared" si="65"/>
        <v>5.0412519249597805E-4</v>
      </c>
      <c r="AB251" s="295">
        <f t="shared" si="65"/>
        <v>0</v>
      </c>
      <c r="AC251" s="295">
        <f t="shared" si="65"/>
        <v>0</v>
      </c>
      <c r="AD251" s="295">
        <f t="shared" si="65"/>
        <v>0</v>
      </c>
      <c r="AE251" s="296">
        <f t="shared" si="65"/>
        <v>0</v>
      </c>
    </row>
    <row r="252" spans="1:31" ht="15.75" customHeight="1" thickBot="1">
      <c r="A252" s="1711"/>
      <c r="B252" s="116">
        <v>25</v>
      </c>
      <c r="C252" s="297">
        <f t="shared" si="63"/>
        <v>0.24488411322518752</v>
      </c>
      <c r="D252" s="298">
        <f t="shared" si="65"/>
        <v>0</v>
      </c>
      <c r="E252" s="298">
        <f t="shared" si="65"/>
        <v>0</v>
      </c>
      <c r="F252" s="298">
        <f t="shared" si="65"/>
        <v>0</v>
      </c>
      <c r="G252" s="298">
        <f t="shared" si="65"/>
        <v>0</v>
      </c>
      <c r="H252" s="298">
        <f t="shared" si="65"/>
        <v>0</v>
      </c>
      <c r="I252" s="298">
        <f t="shared" si="65"/>
        <v>0</v>
      </c>
      <c r="J252" s="298">
        <f t="shared" si="65"/>
        <v>0</v>
      </c>
      <c r="K252" s="298">
        <f t="shared" si="65"/>
        <v>0</v>
      </c>
      <c r="L252" s="298">
        <f t="shared" si="65"/>
        <v>0</v>
      </c>
      <c r="M252" s="298">
        <f t="shared" si="65"/>
        <v>0</v>
      </c>
      <c r="N252" s="298">
        <f t="shared" si="60"/>
        <v>0</v>
      </c>
      <c r="O252" s="298">
        <f t="shared" si="60"/>
        <v>0</v>
      </c>
      <c r="P252" s="298">
        <f t="shared" si="60"/>
        <v>0</v>
      </c>
      <c r="Q252" s="298">
        <f t="shared" si="65"/>
        <v>0</v>
      </c>
      <c r="R252" s="298">
        <f t="shared" si="65"/>
        <v>0</v>
      </c>
      <c r="S252" s="298">
        <f t="shared" si="65"/>
        <v>0</v>
      </c>
      <c r="T252" s="298">
        <f t="shared" si="65"/>
        <v>0</v>
      </c>
      <c r="U252" s="298">
        <f t="shared" si="65"/>
        <v>0</v>
      </c>
      <c r="V252" s="298">
        <f t="shared" si="65"/>
        <v>0</v>
      </c>
      <c r="W252" s="298">
        <f t="shared" si="65"/>
        <v>0</v>
      </c>
      <c r="X252" s="298">
        <f t="shared" si="65"/>
        <v>0</v>
      </c>
      <c r="Y252" s="298">
        <f t="shared" si="65"/>
        <v>0</v>
      </c>
      <c r="Z252" s="298">
        <f t="shared" si="65"/>
        <v>0</v>
      </c>
      <c r="AA252" s="298">
        <f t="shared" si="65"/>
        <v>0</v>
      </c>
      <c r="AB252" s="298">
        <f t="shared" si="65"/>
        <v>0</v>
      </c>
      <c r="AC252" s="298">
        <f t="shared" si="65"/>
        <v>0</v>
      </c>
      <c r="AD252" s="298">
        <f t="shared" si="65"/>
        <v>0</v>
      </c>
      <c r="AE252" s="299">
        <f t="shared" si="65"/>
        <v>0</v>
      </c>
    </row>
    <row r="253" spans="1:31" ht="16.5" customHeight="1" thickTop="1" thickBot="1">
      <c r="A253" s="1712"/>
      <c r="B253" s="300" t="s">
        <v>39</v>
      </c>
      <c r="C253" s="301">
        <f>SUM(C227:C252)</f>
        <v>264378</v>
      </c>
      <c r="D253" s="301">
        <f>SUM(D227:D252)</f>
        <v>255670.86473383152</v>
      </c>
      <c r="E253" s="301">
        <f t="shared" ref="E253:AB253" si="66">SUM(E227:E252)</f>
        <v>247294.52996125599</v>
      </c>
      <c r="F253" s="301">
        <f t="shared" si="66"/>
        <v>237113.67170793598</v>
      </c>
      <c r="G253" s="301">
        <f t="shared" si="66"/>
        <v>224367.25535801228</v>
      </c>
      <c r="H253" s="301">
        <f t="shared" si="66"/>
        <v>209246.69845801254</v>
      </c>
      <c r="I253" s="301">
        <f t="shared" si="66"/>
        <v>192341.56902864232</v>
      </c>
      <c r="J253" s="301">
        <f t="shared" si="66"/>
        <v>173873.02446925678</v>
      </c>
      <c r="K253" s="301">
        <f t="shared" si="66"/>
        <v>153696.49403059349</v>
      </c>
      <c r="L253" s="301">
        <f t="shared" si="66"/>
        <v>130106.69465961412</v>
      </c>
      <c r="M253" s="301">
        <f t="shared" si="66"/>
        <v>106152.17656124078</v>
      </c>
      <c r="N253" s="301">
        <f t="shared" si="66"/>
        <v>82502.776853030897</v>
      </c>
      <c r="O253" s="301">
        <f t="shared" si="66"/>
        <v>59094.469662789947</v>
      </c>
      <c r="P253" s="301">
        <f t="shared" si="66"/>
        <v>35451.792050654454</v>
      </c>
      <c r="Q253" s="301">
        <f t="shared" si="66"/>
        <v>17200.138694625435</v>
      </c>
      <c r="R253" s="301">
        <f t="shared" si="66"/>
        <v>6640.9820945593347</v>
      </c>
      <c r="S253" s="301">
        <f t="shared" si="66"/>
        <v>2313.7741012087617</v>
      </c>
      <c r="T253" s="301">
        <f t="shared" si="66"/>
        <v>718.25920822877083</v>
      </c>
      <c r="U253" s="301">
        <f t="shared" si="66"/>
        <v>195.50848073890197</v>
      </c>
      <c r="V253" s="301">
        <f t="shared" si="66"/>
        <v>45.701077006067102</v>
      </c>
      <c r="W253" s="301">
        <f t="shared" si="66"/>
        <v>8.9177070556577203</v>
      </c>
      <c r="X253" s="301">
        <f t="shared" si="66"/>
        <v>1.3943113047040383</v>
      </c>
      <c r="Y253" s="301">
        <f t="shared" si="66"/>
        <v>0.1637497401182729</v>
      </c>
      <c r="Z253" s="301">
        <f t="shared" si="66"/>
        <v>1.2839537010029291E-2</v>
      </c>
      <c r="AA253" s="301">
        <f t="shared" si="66"/>
        <v>5.0412519249597805E-4</v>
      </c>
      <c r="AB253" s="301">
        <f t="shared" si="66"/>
        <v>0</v>
      </c>
      <c r="AC253" s="301">
        <f>SUM(AC227:AC252)</f>
        <v>0</v>
      </c>
      <c r="AD253" s="301">
        <f t="shared" ref="AD253:AE253" si="67">SUM(AD227:AD252)</f>
        <v>0</v>
      </c>
      <c r="AE253" s="302">
        <f t="shared" si="67"/>
        <v>0</v>
      </c>
    </row>
    <row r="254" spans="1:31" ht="15.75" thickBot="1"/>
    <row r="255" spans="1:31" ht="15.75" customHeight="1" thickBot="1">
      <c r="A255" s="1710" t="s">
        <v>48</v>
      </c>
      <c r="B255" s="169" t="s">
        <v>10</v>
      </c>
      <c r="C255" s="288">
        <v>2012</v>
      </c>
      <c r="D255" s="289">
        <v>2013</v>
      </c>
      <c r="E255" s="289">
        <v>2014</v>
      </c>
      <c r="F255" s="289">
        <v>2015</v>
      </c>
      <c r="G255" s="288">
        <v>2016</v>
      </c>
      <c r="H255" s="289">
        <v>2017</v>
      </c>
      <c r="I255" s="289">
        <v>2018</v>
      </c>
      <c r="J255" s="289">
        <v>2019</v>
      </c>
      <c r="K255" s="288">
        <v>2020</v>
      </c>
      <c r="L255" s="289">
        <v>2021</v>
      </c>
      <c r="M255" s="289">
        <v>2022</v>
      </c>
      <c r="N255" s="289">
        <v>2023</v>
      </c>
      <c r="O255" s="288">
        <v>2024</v>
      </c>
      <c r="P255" s="289">
        <v>2025</v>
      </c>
      <c r="Q255" s="289">
        <v>2026</v>
      </c>
      <c r="R255" s="289">
        <v>2027</v>
      </c>
      <c r="S255" s="288">
        <v>2028</v>
      </c>
      <c r="T255" s="289">
        <v>2029</v>
      </c>
      <c r="U255" s="289">
        <v>2030</v>
      </c>
      <c r="V255" s="289">
        <v>2031</v>
      </c>
      <c r="W255" s="288">
        <v>2032</v>
      </c>
      <c r="X255" s="289">
        <v>2033</v>
      </c>
      <c r="Y255" s="289">
        <v>2034</v>
      </c>
      <c r="Z255" s="289">
        <v>2035</v>
      </c>
      <c r="AA255" s="288">
        <v>2036</v>
      </c>
      <c r="AB255" s="289">
        <v>2037</v>
      </c>
      <c r="AC255" s="289">
        <v>2038</v>
      </c>
      <c r="AD255" s="289">
        <v>2039</v>
      </c>
      <c r="AE255" s="290">
        <v>2040</v>
      </c>
    </row>
    <row r="256" spans="1:31" ht="15" customHeight="1">
      <c r="A256" s="1711" t="s">
        <v>41</v>
      </c>
      <c r="B256" s="116">
        <v>0</v>
      </c>
      <c r="C256" s="291">
        <f t="shared" ref="C256:C271" si="68">L4</f>
        <v>19332</v>
      </c>
      <c r="D256" s="292"/>
      <c r="E256" s="292"/>
      <c r="F256" s="292"/>
      <c r="G256" s="292"/>
      <c r="H256" s="292"/>
      <c r="I256" s="292"/>
      <c r="J256" s="292"/>
      <c r="K256" s="292"/>
      <c r="L256" s="292"/>
      <c r="M256" s="292"/>
      <c r="N256" s="292"/>
      <c r="O256" s="292"/>
      <c r="P256" s="292"/>
      <c r="Q256" s="292"/>
      <c r="R256" s="292"/>
      <c r="S256" s="292"/>
      <c r="T256" s="292"/>
      <c r="U256" s="292"/>
      <c r="V256" s="292"/>
      <c r="W256" s="292"/>
      <c r="X256" s="292"/>
      <c r="Y256" s="292"/>
      <c r="Z256" s="292"/>
      <c r="AA256" s="292"/>
      <c r="AB256" s="292"/>
      <c r="AC256" s="292"/>
      <c r="AD256" s="292"/>
      <c r="AE256" s="293"/>
    </row>
    <row r="257" spans="1:31" ht="15" customHeight="1">
      <c r="A257" s="1711"/>
      <c r="B257" s="116">
        <v>1</v>
      </c>
      <c r="C257" s="294">
        <f t="shared" si="68"/>
        <v>22918</v>
      </c>
      <c r="D257" s="295">
        <f t="shared" ref="D257:AE266" si="69">C256*$L26</f>
        <v>19332</v>
      </c>
      <c r="E257" s="295">
        <f t="shared" si="69"/>
        <v>0</v>
      </c>
      <c r="F257" s="295">
        <f t="shared" si="69"/>
        <v>0</v>
      </c>
      <c r="G257" s="295">
        <f t="shared" si="69"/>
        <v>0</v>
      </c>
      <c r="H257" s="295">
        <f t="shared" si="69"/>
        <v>0</v>
      </c>
      <c r="I257" s="295">
        <f t="shared" si="69"/>
        <v>0</v>
      </c>
      <c r="J257" s="295">
        <f t="shared" si="69"/>
        <v>0</v>
      </c>
      <c r="K257" s="295">
        <f t="shared" si="69"/>
        <v>0</v>
      </c>
      <c r="L257" s="295">
        <f t="shared" si="69"/>
        <v>0</v>
      </c>
      <c r="M257" s="295">
        <f t="shared" si="69"/>
        <v>0</v>
      </c>
      <c r="N257" s="295">
        <f t="shared" ref="N257:P281" si="70">M256*$L26</f>
        <v>0</v>
      </c>
      <c r="O257" s="295">
        <f t="shared" si="70"/>
        <v>0</v>
      </c>
      <c r="P257" s="295">
        <f t="shared" si="70"/>
        <v>0</v>
      </c>
      <c r="Q257" s="295">
        <f t="shared" si="69"/>
        <v>0</v>
      </c>
      <c r="R257" s="295">
        <f t="shared" si="69"/>
        <v>0</v>
      </c>
      <c r="S257" s="295">
        <f t="shared" si="69"/>
        <v>0</v>
      </c>
      <c r="T257" s="295">
        <f t="shared" si="69"/>
        <v>0</v>
      </c>
      <c r="U257" s="295">
        <f t="shared" si="69"/>
        <v>0</v>
      </c>
      <c r="V257" s="295">
        <f t="shared" si="69"/>
        <v>0</v>
      </c>
      <c r="W257" s="295">
        <f t="shared" si="69"/>
        <v>0</v>
      </c>
      <c r="X257" s="295">
        <f t="shared" si="69"/>
        <v>0</v>
      </c>
      <c r="Y257" s="295">
        <f t="shared" si="69"/>
        <v>0</v>
      </c>
      <c r="Z257" s="295">
        <f t="shared" si="69"/>
        <v>0</v>
      </c>
      <c r="AA257" s="295">
        <f t="shared" si="69"/>
        <v>0</v>
      </c>
      <c r="AB257" s="295">
        <f t="shared" si="69"/>
        <v>0</v>
      </c>
      <c r="AC257" s="295">
        <f t="shared" si="69"/>
        <v>0</v>
      </c>
      <c r="AD257" s="295">
        <f t="shared" si="69"/>
        <v>0</v>
      </c>
      <c r="AE257" s="296">
        <f t="shared" si="69"/>
        <v>0</v>
      </c>
    </row>
    <row r="258" spans="1:31" ht="15" customHeight="1">
      <c r="A258" s="1711"/>
      <c r="B258" s="116">
        <v>2</v>
      </c>
      <c r="C258" s="294">
        <f t="shared" si="68"/>
        <v>22553</v>
      </c>
      <c r="D258" s="295">
        <f t="shared" si="69"/>
        <v>22918</v>
      </c>
      <c r="E258" s="295">
        <f t="shared" si="69"/>
        <v>19332</v>
      </c>
      <c r="F258" s="295">
        <f t="shared" si="69"/>
        <v>0</v>
      </c>
      <c r="G258" s="295">
        <f t="shared" si="69"/>
        <v>0</v>
      </c>
      <c r="H258" s="295">
        <f t="shared" si="69"/>
        <v>0</v>
      </c>
      <c r="I258" s="295">
        <f t="shared" si="69"/>
        <v>0</v>
      </c>
      <c r="J258" s="295">
        <f t="shared" si="69"/>
        <v>0</v>
      </c>
      <c r="K258" s="295">
        <f t="shared" si="69"/>
        <v>0</v>
      </c>
      <c r="L258" s="295">
        <f t="shared" si="69"/>
        <v>0</v>
      </c>
      <c r="M258" s="295">
        <f t="shared" si="69"/>
        <v>0</v>
      </c>
      <c r="N258" s="295">
        <f t="shared" si="70"/>
        <v>0</v>
      </c>
      <c r="O258" s="295">
        <f t="shared" si="70"/>
        <v>0</v>
      </c>
      <c r="P258" s="295">
        <f t="shared" si="70"/>
        <v>0</v>
      </c>
      <c r="Q258" s="295">
        <f t="shared" si="69"/>
        <v>0</v>
      </c>
      <c r="R258" s="295">
        <f t="shared" si="69"/>
        <v>0</v>
      </c>
      <c r="S258" s="295">
        <f t="shared" si="69"/>
        <v>0</v>
      </c>
      <c r="T258" s="295">
        <f t="shared" si="69"/>
        <v>0</v>
      </c>
      <c r="U258" s="295">
        <f t="shared" si="69"/>
        <v>0</v>
      </c>
      <c r="V258" s="295">
        <f t="shared" si="69"/>
        <v>0</v>
      </c>
      <c r="W258" s="295">
        <f t="shared" si="69"/>
        <v>0</v>
      </c>
      <c r="X258" s="295">
        <f t="shared" si="69"/>
        <v>0</v>
      </c>
      <c r="Y258" s="295">
        <f t="shared" si="69"/>
        <v>0</v>
      </c>
      <c r="Z258" s="295">
        <f t="shared" si="69"/>
        <v>0</v>
      </c>
      <c r="AA258" s="295">
        <f t="shared" si="69"/>
        <v>0</v>
      </c>
      <c r="AB258" s="295">
        <f t="shared" si="69"/>
        <v>0</v>
      </c>
      <c r="AC258" s="295">
        <f t="shared" si="69"/>
        <v>0</v>
      </c>
      <c r="AD258" s="295">
        <f t="shared" si="69"/>
        <v>0</v>
      </c>
      <c r="AE258" s="296">
        <f t="shared" si="69"/>
        <v>0</v>
      </c>
    </row>
    <row r="259" spans="1:31" ht="15" customHeight="1">
      <c r="A259" s="1711"/>
      <c r="B259" s="116">
        <v>3</v>
      </c>
      <c r="C259" s="294">
        <f t="shared" si="68"/>
        <v>21115</v>
      </c>
      <c r="D259" s="295">
        <f t="shared" si="69"/>
        <v>22553</v>
      </c>
      <c r="E259" s="295">
        <f t="shared" si="69"/>
        <v>22918</v>
      </c>
      <c r="F259" s="295">
        <f t="shared" si="69"/>
        <v>19332</v>
      </c>
      <c r="G259" s="295">
        <f t="shared" si="69"/>
        <v>0</v>
      </c>
      <c r="H259" s="295">
        <f t="shared" si="69"/>
        <v>0</v>
      </c>
      <c r="I259" s="295">
        <f t="shared" si="69"/>
        <v>0</v>
      </c>
      <c r="J259" s="295">
        <f t="shared" si="69"/>
        <v>0</v>
      </c>
      <c r="K259" s="295">
        <f t="shared" si="69"/>
        <v>0</v>
      </c>
      <c r="L259" s="295">
        <f t="shared" si="69"/>
        <v>0</v>
      </c>
      <c r="M259" s="295">
        <f t="shared" si="69"/>
        <v>0</v>
      </c>
      <c r="N259" s="295">
        <f t="shared" si="70"/>
        <v>0</v>
      </c>
      <c r="O259" s="295">
        <f t="shared" si="70"/>
        <v>0</v>
      </c>
      <c r="P259" s="295">
        <f t="shared" si="70"/>
        <v>0</v>
      </c>
      <c r="Q259" s="295">
        <f t="shared" si="69"/>
        <v>0</v>
      </c>
      <c r="R259" s="295">
        <f t="shared" si="69"/>
        <v>0</v>
      </c>
      <c r="S259" s="295">
        <f t="shared" si="69"/>
        <v>0</v>
      </c>
      <c r="T259" s="295">
        <f t="shared" si="69"/>
        <v>0</v>
      </c>
      <c r="U259" s="295">
        <f t="shared" si="69"/>
        <v>0</v>
      </c>
      <c r="V259" s="295">
        <f t="shared" si="69"/>
        <v>0</v>
      </c>
      <c r="W259" s="295">
        <f t="shared" si="69"/>
        <v>0</v>
      </c>
      <c r="X259" s="295">
        <f t="shared" si="69"/>
        <v>0</v>
      </c>
      <c r="Y259" s="295">
        <f t="shared" si="69"/>
        <v>0</v>
      </c>
      <c r="Z259" s="295">
        <f t="shared" si="69"/>
        <v>0</v>
      </c>
      <c r="AA259" s="295">
        <f t="shared" si="69"/>
        <v>0</v>
      </c>
      <c r="AB259" s="295">
        <f t="shared" si="69"/>
        <v>0</v>
      </c>
      <c r="AC259" s="295">
        <f t="shared" si="69"/>
        <v>0</v>
      </c>
      <c r="AD259" s="295">
        <f t="shared" si="69"/>
        <v>0</v>
      </c>
      <c r="AE259" s="296">
        <f t="shared" si="69"/>
        <v>0</v>
      </c>
    </row>
    <row r="260" spans="1:31" ht="15" customHeight="1">
      <c r="A260" s="1711"/>
      <c r="B260" s="116">
        <v>4</v>
      </c>
      <c r="C260" s="294">
        <f t="shared" si="68"/>
        <v>32822</v>
      </c>
      <c r="D260" s="295">
        <f t="shared" si="69"/>
        <v>21115</v>
      </c>
      <c r="E260" s="295">
        <f t="shared" si="69"/>
        <v>22553</v>
      </c>
      <c r="F260" s="295">
        <f t="shared" si="69"/>
        <v>22918</v>
      </c>
      <c r="G260" s="295">
        <f t="shared" si="69"/>
        <v>19332</v>
      </c>
      <c r="H260" s="295">
        <f t="shared" si="69"/>
        <v>0</v>
      </c>
      <c r="I260" s="295">
        <f t="shared" si="69"/>
        <v>0</v>
      </c>
      <c r="J260" s="295">
        <f t="shared" si="69"/>
        <v>0</v>
      </c>
      <c r="K260" s="295">
        <f t="shared" si="69"/>
        <v>0</v>
      </c>
      <c r="L260" s="295">
        <f t="shared" si="69"/>
        <v>0</v>
      </c>
      <c r="M260" s="295">
        <f t="shared" si="69"/>
        <v>0</v>
      </c>
      <c r="N260" s="295">
        <f t="shared" si="70"/>
        <v>0</v>
      </c>
      <c r="O260" s="295">
        <f t="shared" si="70"/>
        <v>0</v>
      </c>
      <c r="P260" s="295">
        <f t="shared" si="70"/>
        <v>0</v>
      </c>
      <c r="Q260" s="295">
        <f t="shared" si="69"/>
        <v>0</v>
      </c>
      <c r="R260" s="295">
        <f t="shared" si="69"/>
        <v>0</v>
      </c>
      <c r="S260" s="295">
        <f t="shared" si="69"/>
        <v>0</v>
      </c>
      <c r="T260" s="295">
        <f t="shared" si="69"/>
        <v>0</v>
      </c>
      <c r="U260" s="295">
        <f t="shared" si="69"/>
        <v>0</v>
      </c>
      <c r="V260" s="295">
        <f t="shared" si="69"/>
        <v>0</v>
      </c>
      <c r="W260" s="295">
        <f t="shared" si="69"/>
        <v>0</v>
      </c>
      <c r="X260" s="295">
        <f t="shared" si="69"/>
        <v>0</v>
      </c>
      <c r="Y260" s="295">
        <f t="shared" si="69"/>
        <v>0</v>
      </c>
      <c r="Z260" s="295">
        <f t="shared" si="69"/>
        <v>0</v>
      </c>
      <c r="AA260" s="295">
        <f t="shared" si="69"/>
        <v>0</v>
      </c>
      <c r="AB260" s="295">
        <f t="shared" si="69"/>
        <v>0</v>
      </c>
      <c r="AC260" s="295">
        <f t="shared" si="69"/>
        <v>0</v>
      </c>
      <c r="AD260" s="295">
        <f t="shared" si="69"/>
        <v>0</v>
      </c>
      <c r="AE260" s="296">
        <f t="shared" si="69"/>
        <v>0</v>
      </c>
    </row>
    <row r="261" spans="1:31" ht="15" customHeight="1">
      <c r="A261" s="1711"/>
      <c r="B261" s="116">
        <v>5</v>
      </c>
      <c r="C261" s="294">
        <f t="shared" si="68"/>
        <v>27231</v>
      </c>
      <c r="D261" s="295">
        <f t="shared" si="69"/>
        <v>32822</v>
      </c>
      <c r="E261" s="295">
        <f t="shared" si="69"/>
        <v>21115</v>
      </c>
      <c r="F261" s="295">
        <f t="shared" si="69"/>
        <v>22553</v>
      </c>
      <c r="G261" s="295">
        <f t="shared" si="69"/>
        <v>22918</v>
      </c>
      <c r="H261" s="295">
        <f t="shared" si="69"/>
        <v>19332</v>
      </c>
      <c r="I261" s="295">
        <f t="shared" si="69"/>
        <v>0</v>
      </c>
      <c r="J261" s="295">
        <f t="shared" si="69"/>
        <v>0</v>
      </c>
      <c r="K261" s="295">
        <f t="shared" si="69"/>
        <v>0</v>
      </c>
      <c r="L261" s="295">
        <f t="shared" si="69"/>
        <v>0</v>
      </c>
      <c r="M261" s="295">
        <f t="shared" si="69"/>
        <v>0</v>
      </c>
      <c r="N261" s="295">
        <f t="shared" si="70"/>
        <v>0</v>
      </c>
      <c r="O261" s="295">
        <f t="shared" si="70"/>
        <v>0</v>
      </c>
      <c r="P261" s="295">
        <f t="shared" si="70"/>
        <v>0</v>
      </c>
      <c r="Q261" s="295">
        <f t="shared" si="69"/>
        <v>0</v>
      </c>
      <c r="R261" s="295">
        <f t="shared" si="69"/>
        <v>0</v>
      </c>
      <c r="S261" s="295">
        <f t="shared" si="69"/>
        <v>0</v>
      </c>
      <c r="T261" s="295">
        <f t="shared" si="69"/>
        <v>0</v>
      </c>
      <c r="U261" s="295">
        <f t="shared" si="69"/>
        <v>0</v>
      </c>
      <c r="V261" s="295">
        <f t="shared" si="69"/>
        <v>0</v>
      </c>
      <c r="W261" s="295">
        <f t="shared" si="69"/>
        <v>0</v>
      </c>
      <c r="X261" s="295">
        <f t="shared" si="69"/>
        <v>0</v>
      </c>
      <c r="Y261" s="295">
        <f t="shared" si="69"/>
        <v>0</v>
      </c>
      <c r="Z261" s="295">
        <f t="shared" si="69"/>
        <v>0</v>
      </c>
      <c r="AA261" s="295">
        <f t="shared" si="69"/>
        <v>0</v>
      </c>
      <c r="AB261" s="295">
        <f t="shared" si="69"/>
        <v>0</v>
      </c>
      <c r="AC261" s="295">
        <f t="shared" si="69"/>
        <v>0</v>
      </c>
      <c r="AD261" s="295">
        <f t="shared" si="69"/>
        <v>0</v>
      </c>
      <c r="AE261" s="296">
        <f t="shared" si="69"/>
        <v>0</v>
      </c>
    </row>
    <row r="262" spans="1:31" ht="15" customHeight="1">
      <c r="A262" s="1711"/>
      <c r="B262" s="116">
        <v>6</v>
      </c>
      <c r="C262" s="294">
        <f t="shared" si="68"/>
        <v>26790</v>
      </c>
      <c r="D262" s="295">
        <f t="shared" si="69"/>
        <v>27231</v>
      </c>
      <c r="E262" s="295">
        <f t="shared" si="69"/>
        <v>32822</v>
      </c>
      <c r="F262" s="295">
        <f t="shared" si="69"/>
        <v>21115</v>
      </c>
      <c r="G262" s="295">
        <f t="shared" si="69"/>
        <v>22553</v>
      </c>
      <c r="H262" s="295">
        <f t="shared" si="69"/>
        <v>22918</v>
      </c>
      <c r="I262" s="295">
        <f t="shared" si="69"/>
        <v>19332</v>
      </c>
      <c r="J262" s="295">
        <f t="shared" si="69"/>
        <v>0</v>
      </c>
      <c r="K262" s="295">
        <f t="shared" si="69"/>
        <v>0</v>
      </c>
      <c r="L262" s="295">
        <f t="shared" si="69"/>
        <v>0</v>
      </c>
      <c r="M262" s="295">
        <f t="shared" si="69"/>
        <v>0</v>
      </c>
      <c r="N262" s="295">
        <f t="shared" si="70"/>
        <v>0</v>
      </c>
      <c r="O262" s="295">
        <f t="shared" si="70"/>
        <v>0</v>
      </c>
      <c r="P262" s="295">
        <f t="shared" si="70"/>
        <v>0</v>
      </c>
      <c r="Q262" s="295">
        <f t="shared" si="69"/>
        <v>0</v>
      </c>
      <c r="R262" s="295">
        <f t="shared" si="69"/>
        <v>0</v>
      </c>
      <c r="S262" s="295">
        <f t="shared" si="69"/>
        <v>0</v>
      </c>
      <c r="T262" s="295">
        <f t="shared" si="69"/>
        <v>0</v>
      </c>
      <c r="U262" s="295">
        <f t="shared" si="69"/>
        <v>0</v>
      </c>
      <c r="V262" s="295">
        <f t="shared" si="69"/>
        <v>0</v>
      </c>
      <c r="W262" s="295">
        <f t="shared" si="69"/>
        <v>0</v>
      </c>
      <c r="X262" s="295">
        <f t="shared" si="69"/>
        <v>0</v>
      </c>
      <c r="Y262" s="295">
        <f t="shared" si="69"/>
        <v>0</v>
      </c>
      <c r="Z262" s="295">
        <f t="shared" si="69"/>
        <v>0</v>
      </c>
      <c r="AA262" s="295">
        <f t="shared" si="69"/>
        <v>0</v>
      </c>
      <c r="AB262" s="295">
        <f t="shared" si="69"/>
        <v>0</v>
      </c>
      <c r="AC262" s="295">
        <f t="shared" si="69"/>
        <v>0</v>
      </c>
      <c r="AD262" s="295">
        <f t="shared" si="69"/>
        <v>0</v>
      </c>
      <c r="AE262" s="296">
        <f t="shared" si="69"/>
        <v>0</v>
      </c>
    </row>
    <row r="263" spans="1:31" ht="15" customHeight="1">
      <c r="A263" s="1711"/>
      <c r="B263" s="116">
        <v>7</v>
      </c>
      <c r="C263" s="294">
        <f t="shared" si="68"/>
        <v>24729</v>
      </c>
      <c r="D263" s="295">
        <f t="shared" si="69"/>
        <v>26790</v>
      </c>
      <c r="E263" s="295">
        <f t="shared" si="69"/>
        <v>27231</v>
      </c>
      <c r="F263" s="295">
        <f t="shared" si="69"/>
        <v>32822</v>
      </c>
      <c r="G263" s="295">
        <f t="shared" si="69"/>
        <v>21115</v>
      </c>
      <c r="H263" s="295">
        <f t="shared" si="69"/>
        <v>22553</v>
      </c>
      <c r="I263" s="295">
        <f t="shared" si="69"/>
        <v>22918</v>
      </c>
      <c r="J263" s="295">
        <f t="shared" si="69"/>
        <v>19332</v>
      </c>
      <c r="K263" s="295">
        <f t="shared" si="69"/>
        <v>0</v>
      </c>
      <c r="L263" s="295">
        <f t="shared" si="69"/>
        <v>0</v>
      </c>
      <c r="M263" s="295">
        <f t="shared" si="69"/>
        <v>0</v>
      </c>
      <c r="N263" s="295">
        <f t="shared" si="70"/>
        <v>0</v>
      </c>
      <c r="O263" s="295">
        <f t="shared" si="70"/>
        <v>0</v>
      </c>
      <c r="P263" s="295">
        <f t="shared" si="70"/>
        <v>0</v>
      </c>
      <c r="Q263" s="295">
        <f t="shared" si="69"/>
        <v>0</v>
      </c>
      <c r="R263" s="295">
        <f t="shared" si="69"/>
        <v>0</v>
      </c>
      <c r="S263" s="295">
        <f t="shared" si="69"/>
        <v>0</v>
      </c>
      <c r="T263" s="295">
        <f t="shared" si="69"/>
        <v>0</v>
      </c>
      <c r="U263" s="295">
        <f t="shared" si="69"/>
        <v>0</v>
      </c>
      <c r="V263" s="295">
        <f t="shared" si="69"/>
        <v>0</v>
      </c>
      <c r="W263" s="295">
        <f t="shared" si="69"/>
        <v>0</v>
      </c>
      <c r="X263" s="295">
        <f t="shared" si="69"/>
        <v>0</v>
      </c>
      <c r="Y263" s="295">
        <f t="shared" si="69"/>
        <v>0</v>
      </c>
      <c r="Z263" s="295">
        <f t="shared" si="69"/>
        <v>0</v>
      </c>
      <c r="AA263" s="295">
        <f t="shared" si="69"/>
        <v>0</v>
      </c>
      <c r="AB263" s="295">
        <f t="shared" si="69"/>
        <v>0</v>
      </c>
      <c r="AC263" s="295">
        <f t="shared" si="69"/>
        <v>0</v>
      </c>
      <c r="AD263" s="295">
        <f t="shared" si="69"/>
        <v>0</v>
      </c>
      <c r="AE263" s="296">
        <f t="shared" si="69"/>
        <v>0</v>
      </c>
    </row>
    <row r="264" spans="1:31" ht="15" customHeight="1">
      <c r="A264" s="1711"/>
      <c r="B264" s="116">
        <v>8</v>
      </c>
      <c r="C264" s="294">
        <f t="shared" si="68"/>
        <v>17791</v>
      </c>
      <c r="D264" s="295">
        <f t="shared" si="69"/>
        <v>24729</v>
      </c>
      <c r="E264" s="295">
        <f t="shared" si="69"/>
        <v>26790</v>
      </c>
      <c r="F264" s="295">
        <f t="shared" si="69"/>
        <v>27231</v>
      </c>
      <c r="G264" s="295">
        <f t="shared" si="69"/>
        <v>32822</v>
      </c>
      <c r="H264" s="295">
        <f t="shared" si="69"/>
        <v>21115</v>
      </c>
      <c r="I264" s="295">
        <f t="shared" si="69"/>
        <v>22553</v>
      </c>
      <c r="J264" s="295">
        <f t="shared" si="69"/>
        <v>22918</v>
      </c>
      <c r="K264" s="295">
        <f t="shared" si="69"/>
        <v>19332</v>
      </c>
      <c r="L264" s="295">
        <f t="shared" si="69"/>
        <v>0</v>
      </c>
      <c r="M264" s="295">
        <f t="shared" si="69"/>
        <v>0</v>
      </c>
      <c r="N264" s="295">
        <f t="shared" si="70"/>
        <v>0</v>
      </c>
      <c r="O264" s="295">
        <f t="shared" si="70"/>
        <v>0</v>
      </c>
      <c r="P264" s="295">
        <f t="shared" si="70"/>
        <v>0</v>
      </c>
      <c r="Q264" s="295">
        <f t="shared" si="69"/>
        <v>0</v>
      </c>
      <c r="R264" s="295">
        <f t="shared" si="69"/>
        <v>0</v>
      </c>
      <c r="S264" s="295">
        <f t="shared" si="69"/>
        <v>0</v>
      </c>
      <c r="T264" s="295">
        <f t="shared" si="69"/>
        <v>0</v>
      </c>
      <c r="U264" s="295">
        <f t="shared" si="69"/>
        <v>0</v>
      </c>
      <c r="V264" s="295">
        <f t="shared" si="69"/>
        <v>0</v>
      </c>
      <c r="W264" s="295">
        <f t="shared" si="69"/>
        <v>0</v>
      </c>
      <c r="X264" s="295">
        <f t="shared" si="69"/>
        <v>0</v>
      </c>
      <c r="Y264" s="295">
        <f t="shared" si="69"/>
        <v>0</v>
      </c>
      <c r="Z264" s="295">
        <f t="shared" si="69"/>
        <v>0</v>
      </c>
      <c r="AA264" s="295">
        <f t="shared" si="69"/>
        <v>0</v>
      </c>
      <c r="AB264" s="295">
        <f t="shared" si="69"/>
        <v>0</v>
      </c>
      <c r="AC264" s="295">
        <f t="shared" si="69"/>
        <v>0</v>
      </c>
      <c r="AD264" s="295">
        <f t="shared" si="69"/>
        <v>0</v>
      </c>
      <c r="AE264" s="296">
        <f t="shared" si="69"/>
        <v>0</v>
      </c>
    </row>
    <row r="265" spans="1:31" ht="15" customHeight="1">
      <c r="A265" s="1711"/>
      <c r="B265" s="116">
        <v>9</v>
      </c>
      <c r="C265" s="294">
        <f t="shared" si="68"/>
        <v>13085</v>
      </c>
      <c r="D265" s="295">
        <f t="shared" si="69"/>
        <v>17791</v>
      </c>
      <c r="E265" s="295">
        <f t="shared" si="69"/>
        <v>24729</v>
      </c>
      <c r="F265" s="295">
        <f t="shared" si="69"/>
        <v>26790</v>
      </c>
      <c r="G265" s="295">
        <f t="shared" si="69"/>
        <v>27231</v>
      </c>
      <c r="H265" s="295">
        <f t="shared" si="69"/>
        <v>32822</v>
      </c>
      <c r="I265" s="295">
        <f t="shared" si="69"/>
        <v>21115</v>
      </c>
      <c r="J265" s="295">
        <f t="shared" si="69"/>
        <v>22553</v>
      </c>
      <c r="K265" s="295">
        <f t="shared" si="69"/>
        <v>22918</v>
      </c>
      <c r="L265" s="295">
        <f t="shared" si="69"/>
        <v>19332</v>
      </c>
      <c r="M265" s="295">
        <f t="shared" si="69"/>
        <v>0</v>
      </c>
      <c r="N265" s="295">
        <f t="shared" si="70"/>
        <v>0</v>
      </c>
      <c r="O265" s="295">
        <f t="shared" si="70"/>
        <v>0</v>
      </c>
      <c r="P265" s="295">
        <f t="shared" si="70"/>
        <v>0</v>
      </c>
      <c r="Q265" s="295">
        <f t="shared" si="69"/>
        <v>0</v>
      </c>
      <c r="R265" s="295">
        <f t="shared" si="69"/>
        <v>0</v>
      </c>
      <c r="S265" s="295">
        <f t="shared" si="69"/>
        <v>0</v>
      </c>
      <c r="T265" s="295">
        <f t="shared" si="69"/>
        <v>0</v>
      </c>
      <c r="U265" s="295">
        <f t="shared" si="69"/>
        <v>0</v>
      </c>
      <c r="V265" s="295">
        <f t="shared" si="69"/>
        <v>0</v>
      </c>
      <c r="W265" s="295">
        <f t="shared" si="69"/>
        <v>0</v>
      </c>
      <c r="X265" s="295">
        <f t="shared" si="69"/>
        <v>0</v>
      </c>
      <c r="Y265" s="295">
        <f t="shared" si="69"/>
        <v>0</v>
      </c>
      <c r="Z265" s="295">
        <f t="shared" si="69"/>
        <v>0</v>
      </c>
      <c r="AA265" s="295">
        <f t="shared" si="69"/>
        <v>0</v>
      </c>
      <c r="AB265" s="295">
        <f t="shared" si="69"/>
        <v>0</v>
      </c>
      <c r="AC265" s="295">
        <f t="shared" si="69"/>
        <v>0</v>
      </c>
      <c r="AD265" s="295">
        <f t="shared" si="69"/>
        <v>0</v>
      </c>
      <c r="AE265" s="296">
        <f t="shared" si="69"/>
        <v>0</v>
      </c>
    </row>
    <row r="266" spans="1:31" ht="15" customHeight="1">
      <c r="A266" s="1711"/>
      <c r="B266" s="116">
        <v>10</v>
      </c>
      <c r="C266" s="294">
        <f t="shared" si="68"/>
        <v>11641</v>
      </c>
      <c r="D266" s="295">
        <f t="shared" si="69"/>
        <v>13085</v>
      </c>
      <c r="E266" s="295">
        <f t="shared" si="69"/>
        <v>17791</v>
      </c>
      <c r="F266" s="295">
        <f t="shared" si="69"/>
        <v>24729</v>
      </c>
      <c r="G266" s="295">
        <f t="shared" ref="G266:AE266" si="71">F265*$L35</f>
        <v>26790</v>
      </c>
      <c r="H266" s="295">
        <f t="shared" si="71"/>
        <v>27231</v>
      </c>
      <c r="I266" s="295">
        <f t="shared" si="71"/>
        <v>32822</v>
      </c>
      <c r="J266" s="295">
        <f t="shared" si="71"/>
        <v>21115</v>
      </c>
      <c r="K266" s="295">
        <f t="shared" si="71"/>
        <v>22553</v>
      </c>
      <c r="L266" s="295">
        <f t="shared" si="71"/>
        <v>22918</v>
      </c>
      <c r="M266" s="295">
        <f t="shared" si="71"/>
        <v>19332</v>
      </c>
      <c r="N266" s="295">
        <f t="shared" si="70"/>
        <v>0</v>
      </c>
      <c r="O266" s="295">
        <f t="shared" si="70"/>
        <v>0</v>
      </c>
      <c r="P266" s="295">
        <f t="shared" si="70"/>
        <v>0</v>
      </c>
      <c r="Q266" s="295">
        <f t="shared" si="71"/>
        <v>0</v>
      </c>
      <c r="R266" s="295">
        <f t="shared" si="71"/>
        <v>0</v>
      </c>
      <c r="S266" s="295">
        <f t="shared" si="71"/>
        <v>0</v>
      </c>
      <c r="T266" s="295">
        <f t="shared" si="71"/>
        <v>0</v>
      </c>
      <c r="U266" s="295">
        <f t="shared" si="71"/>
        <v>0</v>
      </c>
      <c r="V266" s="295">
        <f t="shared" si="71"/>
        <v>0</v>
      </c>
      <c r="W266" s="295">
        <f t="shared" si="71"/>
        <v>0</v>
      </c>
      <c r="X266" s="295">
        <f t="shared" si="71"/>
        <v>0</v>
      </c>
      <c r="Y266" s="295">
        <f t="shared" si="71"/>
        <v>0</v>
      </c>
      <c r="Z266" s="295">
        <f t="shared" si="71"/>
        <v>0</v>
      </c>
      <c r="AA266" s="295">
        <f t="shared" si="71"/>
        <v>0</v>
      </c>
      <c r="AB266" s="295">
        <f t="shared" si="71"/>
        <v>0</v>
      </c>
      <c r="AC266" s="295">
        <f t="shared" si="71"/>
        <v>0</v>
      </c>
      <c r="AD266" s="295">
        <f t="shared" si="71"/>
        <v>0</v>
      </c>
      <c r="AE266" s="296">
        <f t="shared" si="71"/>
        <v>0</v>
      </c>
    </row>
    <row r="267" spans="1:31" ht="15" customHeight="1">
      <c r="A267" s="1711"/>
      <c r="B267" s="116">
        <v>11</v>
      </c>
      <c r="C267" s="294">
        <f t="shared" si="68"/>
        <v>7997</v>
      </c>
      <c r="D267" s="295">
        <f t="shared" ref="D267:AE276" si="72">C266*$L36</f>
        <v>11077.917003026845</v>
      </c>
      <c r="E267" s="295">
        <f t="shared" si="72"/>
        <v>12452.069752135236</v>
      </c>
      <c r="F267" s="295">
        <f t="shared" si="72"/>
        <v>16930.43736799679</v>
      </c>
      <c r="G267" s="295">
        <f t="shared" si="72"/>
        <v>23532.841643144995</v>
      </c>
      <c r="H267" s="295">
        <f t="shared" si="72"/>
        <v>25494.149687405654</v>
      </c>
      <c r="I267" s="295">
        <f t="shared" si="72"/>
        <v>25913.81822089374</v>
      </c>
      <c r="J267" s="295">
        <f t="shared" si="72"/>
        <v>31234.377791714385</v>
      </c>
      <c r="K267" s="295">
        <f t="shared" si="72"/>
        <v>20093.653253063469</v>
      </c>
      <c r="L267" s="295">
        <f t="shared" si="72"/>
        <v>21462.096226206035</v>
      </c>
      <c r="M267" s="295">
        <f t="shared" si="72"/>
        <v>21809.440930793684</v>
      </c>
      <c r="N267" s="295">
        <f t="shared" si="70"/>
        <v>18396.898161886005</v>
      </c>
      <c r="O267" s="295">
        <f t="shared" si="70"/>
        <v>0</v>
      </c>
      <c r="P267" s="295">
        <f t="shared" si="70"/>
        <v>0</v>
      </c>
      <c r="Q267" s="295">
        <f t="shared" si="72"/>
        <v>0</v>
      </c>
      <c r="R267" s="295">
        <f t="shared" si="72"/>
        <v>0</v>
      </c>
      <c r="S267" s="295">
        <f t="shared" si="72"/>
        <v>0</v>
      </c>
      <c r="T267" s="295">
        <f t="shared" si="72"/>
        <v>0</v>
      </c>
      <c r="U267" s="295">
        <f t="shared" si="72"/>
        <v>0</v>
      </c>
      <c r="V267" s="295">
        <f t="shared" si="72"/>
        <v>0</v>
      </c>
      <c r="W267" s="295">
        <f t="shared" si="72"/>
        <v>0</v>
      </c>
      <c r="X267" s="295">
        <f t="shared" si="72"/>
        <v>0</v>
      </c>
      <c r="Y267" s="295">
        <f t="shared" si="72"/>
        <v>0</v>
      </c>
      <c r="Z267" s="295">
        <f t="shared" si="72"/>
        <v>0</v>
      </c>
      <c r="AA267" s="295">
        <f t="shared" si="72"/>
        <v>0</v>
      </c>
      <c r="AB267" s="295">
        <f t="shared" si="72"/>
        <v>0</v>
      </c>
      <c r="AC267" s="295">
        <f t="shared" si="72"/>
        <v>0</v>
      </c>
      <c r="AD267" s="295">
        <f t="shared" si="72"/>
        <v>0</v>
      </c>
      <c r="AE267" s="296">
        <f t="shared" si="72"/>
        <v>0</v>
      </c>
    </row>
    <row r="268" spans="1:31" ht="15" customHeight="1">
      <c r="A268" s="1711"/>
      <c r="B268" s="116">
        <v>12</v>
      </c>
      <c r="C268" s="294">
        <f t="shared" si="68"/>
        <v>5448</v>
      </c>
      <c r="D268" s="295">
        <f t="shared" si="72"/>
        <v>6113.8371595908457</v>
      </c>
      <c r="E268" s="295">
        <f t="shared" si="72"/>
        <v>8469.2485462009226</v>
      </c>
      <c r="F268" s="295">
        <f t="shared" si="72"/>
        <v>9519.8107745931702</v>
      </c>
      <c r="G268" s="295">
        <f t="shared" si="72"/>
        <v>12943.595987068178</v>
      </c>
      <c r="H268" s="295">
        <f t="shared" si="72"/>
        <v>17991.241929301836</v>
      </c>
      <c r="I268" s="295">
        <f t="shared" si="72"/>
        <v>19490.693974119298</v>
      </c>
      <c r="J268" s="295">
        <f t="shared" si="72"/>
        <v>19811.537424757094</v>
      </c>
      <c r="K268" s="295">
        <f t="shared" si="72"/>
        <v>23879.192147015441</v>
      </c>
      <c r="L268" s="295">
        <f t="shared" si="72"/>
        <v>15361.926213644232</v>
      </c>
      <c r="M268" s="295">
        <f t="shared" si="72"/>
        <v>16408.123225020998</v>
      </c>
      <c r="N268" s="295">
        <f t="shared" si="70"/>
        <v>16673.673926796047</v>
      </c>
      <c r="O268" s="295">
        <f t="shared" si="70"/>
        <v>14064.729223877353</v>
      </c>
      <c r="P268" s="295">
        <f t="shared" si="70"/>
        <v>0</v>
      </c>
      <c r="Q268" s="295">
        <f t="shared" si="72"/>
        <v>0</v>
      </c>
      <c r="R268" s="295">
        <f t="shared" si="72"/>
        <v>0</v>
      </c>
      <c r="S268" s="295">
        <f t="shared" si="72"/>
        <v>0</v>
      </c>
      <c r="T268" s="295">
        <f t="shared" si="72"/>
        <v>0</v>
      </c>
      <c r="U268" s="295">
        <f t="shared" si="72"/>
        <v>0</v>
      </c>
      <c r="V268" s="295">
        <f t="shared" si="72"/>
        <v>0</v>
      </c>
      <c r="W268" s="295">
        <f t="shared" si="72"/>
        <v>0</v>
      </c>
      <c r="X268" s="295">
        <f t="shared" si="72"/>
        <v>0</v>
      </c>
      <c r="Y268" s="295">
        <f t="shared" si="72"/>
        <v>0</v>
      </c>
      <c r="Z268" s="295">
        <f t="shared" si="72"/>
        <v>0</v>
      </c>
      <c r="AA268" s="295">
        <f t="shared" si="72"/>
        <v>0</v>
      </c>
      <c r="AB268" s="295">
        <f t="shared" si="72"/>
        <v>0</v>
      </c>
      <c r="AC268" s="295">
        <f t="shared" si="72"/>
        <v>0</v>
      </c>
      <c r="AD268" s="295">
        <f t="shared" si="72"/>
        <v>0</v>
      </c>
      <c r="AE268" s="296">
        <f t="shared" si="72"/>
        <v>0</v>
      </c>
    </row>
    <row r="269" spans="1:31" ht="15" customHeight="1">
      <c r="A269" s="1711"/>
      <c r="B269" s="116">
        <v>13</v>
      </c>
      <c r="C269" s="294">
        <f t="shared" si="68"/>
        <v>3173</v>
      </c>
      <c r="D269" s="295">
        <f t="shared" si="72"/>
        <v>3221.6936142052655</v>
      </c>
      <c r="E269" s="295">
        <f t="shared" si="72"/>
        <v>3615.4387179413889</v>
      </c>
      <c r="F269" s="295">
        <f t="shared" si="72"/>
        <v>5008.3193756264209</v>
      </c>
      <c r="G269" s="295">
        <f t="shared" si="72"/>
        <v>5629.5729774136007</v>
      </c>
      <c r="H269" s="295">
        <f t="shared" si="72"/>
        <v>7654.2401865621232</v>
      </c>
      <c r="I269" s="295">
        <f t="shared" si="72"/>
        <v>10639.183046118529</v>
      </c>
      <c r="J269" s="295">
        <f t="shared" si="72"/>
        <v>11525.889191051614</v>
      </c>
      <c r="K269" s="295">
        <f t="shared" si="72"/>
        <v>11715.621073591879</v>
      </c>
      <c r="L269" s="295">
        <f t="shared" si="72"/>
        <v>14121.042740899444</v>
      </c>
      <c r="M269" s="295">
        <f t="shared" si="72"/>
        <v>9084.3281175459051</v>
      </c>
      <c r="N269" s="295">
        <f t="shared" si="70"/>
        <v>9703.0003331760745</v>
      </c>
      <c r="O269" s="295">
        <f t="shared" si="70"/>
        <v>9860.0346577275432</v>
      </c>
      <c r="P269" s="295">
        <f t="shared" si="70"/>
        <v>8317.2261978876377</v>
      </c>
      <c r="Q269" s="295">
        <f t="shared" si="72"/>
        <v>0</v>
      </c>
      <c r="R269" s="295">
        <f t="shared" si="72"/>
        <v>0</v>
      </c>
      <c r="S269" s="295">
        <f t="shared" si="72"/>
        <v>0</v>
      </c>
      <c r="T269" s="295">
        <f t="shared" si="72"/>
        <v>0</v>
      </c>
      <c r="U269" s="295">
        <f t="shared" si="72"/>
        <v>0</v>
      </c>
      <c r="V269" s="295">
        <f t="shared" si="72"/>
        <v>0</v>
      </c>
      <c r="W269" s="295">
        <f t="shared" si="72"/>
        <v>0</v>
      </c>
      <c r="X269" s="295">
        <f t="shared" si="72"/>
        <v>0</v>
      </c>
      <c r="Y269" s="295">
        <f t="shared" si="72"/>
        <v>0</v>
      </c>
      <c r="Z269" s="295">
        <f t="shared" si="72"/>
        <v>0</v>
      </c>
      <c r="AA269" s="295">
        <f t="shared" si="72"/>
        <v>0</v>
      </c>
      <c r="AB269" s="295">
        <f t="shared" si="72"/>
        <v>0</v>
      </c>
      <c r="AC269" s="295">
        <f t="shared" si="72"/>
        <v>0</v>
      </c>
      <c r="AD269" s="295">
        <f t="shared" si="72"/>
        <v>0</v>
      </c>
      <c r="AE269" s="296">
        <f t="shared" si="72"/>
        <v>0</v>
      </c>
    </row>
    <row r="270" spans="1:31" ht="15" customHeight="1">
      <c r="A270" s="1711"/>
      <c r="B270" s="116">
        <v>14</v>
      </c>
      <c r="C270" s="294">
        <f t="shared" si="68"/>
        <v>2640</v>
      </c>
      <c r="D270" s="295">
        <f t="shared" si="72"/>
        <v>1391.617235772831</v>
      </c>
      <c r="E270" s="295">
        <f t="shared" si="72"/>
        <v>1412.9733255301965</v>
      </c>
      <c r="F270" s="295">
        <f t="shared" si="72"/>
        <v>1585.6624124701116</v>
      </c>
      <c r="G270" s="295">
        <f t="shared" si="72"/>
        <v>2196.5532825013397</v>
      </c>
      <c r="H270" s="295">
        <f t="shared" si="72"/>
        <v>2469.0232541474129</v>
      </c>
      <c r="I270" s="295">
        <f t="shared" si="72"/>
        <v>3357.0036465064295</v>
      </c>
      <c r="J270" s="295">
        <f t="shared" si="72"/>
        <v>4666.1426099970486</v>
      </c>
      <c r="K270" s="295">
        <f t="shared" si="72"/>
        <v>5055.0350002758269</v>
      </c>
      <c r="L270" s="295">
        <f t="shared" si="72"/>
        <v>5138.247782475215</v>
      </c>
      <c r="M270" s="295">
        <f t="shared" si="72"/>
        <v>6193.2198125813065</v>
      </c>
      <c r="N270" s="295">
        <f t="shared" si="70"/>
        <v>3984.2129164174717</v>
      </c>
      <c r="O270" s="295">
        <f t="shared" si="70"/>
        <v>4255.5507413669548</v>
      </c>
      <c r="P270" s="295">
        <f t="shared" si="70"/>
        <v>4324.4229987428671</v>
      </c>
      <c r="Q270" s="295">
        <f t="shared" si="72"/>
        <v>3647.7766564140461</v>
      </c>
      <c r="R270" s="295">
        <f t="shared" si="72"/>
        <v>0</v>
      </c>
      <c r="S270" s="295">
        <f t="shared" si="72"/>
        <v>0</v>
      </c>
      <c r="T270" s="295">
        <f t="shared" si="72"/>
        <v>0</v>
      </c>
      <c r="U270" s="295">
        <f t="shared" si="72"/>
        <v>0</v>
      </c>
      <c r="V270" s="295">
        <f t="shared" si="72"/>
        <v>0</v>
      </c>
      <c r="W270" s="295">
        <f t="shared" si="72"/>
        <v>0</v>
      </c>
      <c r="X270" s="295">
        <f t="shared" si="72"/>
        <v>0</v>
      </c>
      <c r="Y270" s="295">
        <f t="shared" si="72"/>
        <v>0</v>
      </c>
      <c r="Z270" s="295">
        <f t="shared" si="72"/>
        <v>0</v>
      </c>
      <c r="AA270" s="295">
        <f t="shared" si="72"/>
        <v>0</v>
      </c>
      <c r="AB270" s="295">
        <f t="shared" si="72"/>
        <v>0</v>
      </c>
      <c r="AC270" s="295">
        <f t="shared" si="72"/>
        <v>0</v>
      </c>
      <c r="AD270" s="295">
        <f t="shared" si="72"/>
        <v>0</v>
      </c>
      <c r="AE270" s="296">
        <f t="shared" si="72"/>
        <v>0</v>
      </c>
    </row>
    <row r="271" spans="1:31" ht="15" customHeight="1">
      <c r="A271" s="1711"/>
      <c r="B271" s="116">
        <v>15</v>
      </c>
      <c r="C271" s="294">
        <f t="shared" si="68"/>
        <v>1418</v>
      </c>
      <c r="D271" s="295">
        <f t="shared" si="72"/>
        <v>826.97518101165713</v>
      </c>
      <c r="E271" s="295">
        <f t="shared" si="72"/>
        <v>435.92155888340108</v>
      </c>
      <c r="F271" s="295">
        <f t="shared" si="72"/>
        <v>442.61131501703687</v>
      </c>
      <c r="G271" s="295">
        <f t="shared" si="72"/>
        <v>496.70585627873163</v>
      </c>
      <c r="H271" s="295">
        <f t="shared" si="72"/>
        <v>688.06630621147542</v>
      </c>
      <c r="I271" s="295">
        <f t="shared" si="72"/>
        <v>773.41702746990438</v>
      </c>
      <c r="J271" s="295">
        <f t="shared" si="72"/>
        <v>1051.5752644797151</v>
      </c>
      <c r="K271" s="295">
        <f t="shared" si="72"/>
        <v>1461.6606551244377</v>
      </c>
      <c r="L271" s="295">
        <f t="shared" si="72"/>
        <v>1583.4804865050621</v>
      </c>
      <c r="M271" s="295">
        <f t="shared" si="72"/>
        <v>1609.5467386345404</v>
      </c>
      <c r="N271" s="295">
        <f t="shared" si="70"/>
        <v>1940.0148013463663</v>
      </c>
      <c r="O271" s="295">
        <f t="shared" si="70"/>
        <v>1248.0474233876216</v>
      </c>
      <c r="P271" s="295">
        <f t="shared" si="70"/>
        <v>1333.0435017599352</v>
      </c>
      <c r="Q271" s="295">
        <f t="shared" si="72"/>
        <v>1354.6176106652863</v>
      </c>
      <c r="R271" s="295">
        <f t="shared" si="72"/>
        <v>1142.6593790636755</v>
      </c>
      <c r="S271" s="295">
        <f t="shared" si="72"/>
        <v>0</v>
      </c>
      <c r="T271" s="295">
        <f t="shared" si="72"/>
        <v>0</v>
      </c>
      <c r="U271" s="295">
        <f t="shared" si="72"/>
        <v>0</v>
      </c>
      <c r="V271" s="295">
        <f t="shared" si="72"/>
        <v>0</v>
      </c>
      <c r="W271" s="295">
        <f t="shared" si="72"/>
        <v>0</v>
      </c>
      <c r="X271" s="295">
        <f t="shared" si="72"/>
        <v>0</v>
      </c>
      <c r="Y271" s="295">
        <f t="shared" si="72"/>
        <v>0</v>
      </c>
      <c r="Z271" s="295">
        <f t="shared" si="72"/>
        <v>0</v>
      </c>
      <c r="AA271" s="295">
        <f t="shared" si="72"/>
        <v>0</v>
      </c>
      <c r="AB271" s="295">
        <f t="shared" si="72"/>
        <v>0</v>
      </c>
      <c r="AC271" s="295">
        <f t="shared" si="72"/>
        <v>0</v>
      </c>
      <c r="AD271" s="295">
        <f t="shared" si="72"/>
        <v>0</v>
      </c>
      <c r="AE271" s="296">
        <f t="shared" si="72"/>
        <v>0</v>
      </c>
    </row>
    <row r="272" spans="1:31" ht="15" customHeight="1">
      <c r="A272" s="1711"/>
      <c r="B272" s="116">
        <v>16</v>
      </c>
      <c r="C272" s="294">
        <f>(EXP(15-B272)*$L$20/(EXP(-1)+EXP(-2)+EXP(-3)+EXP(-4)+EXP(-5)+EXP(-6)+EXP(-7)+EXP(-8)+EXP(-9)+EXP(-10)))</f>
        <v>1776.3394159929676</v>
      </c>
      <c r="D272" s="295">
        <f t="shared" si="72"/>
        <v>399.76732045722611</v>
      </c>
      <c r="E272" s="295">
        <f t="shared" si="72"/>
        <v>233.14361932133968</v>
      </c>
      <c r="F272" s="295">
        <f t="shared" si="72"/>
        <v>122.89646934016513</v>
      </c>
      <c r="G272" s="295">
        <f t="shared" si="72"/>
        <v>124.78246784796194</v>
      </c>
      <c r="H272" s="295">
        <f t="shared" si="72"/>
        <v>140.03298252465487</v>
      </c>
      <c r="I272" s="295">
        <f t="shared" si="72"/>
        <v>193.9819629979286</v>
      </c>
      <c r="J272" s="295">
        <f t="shared" si="72"/>
        <v>218.04432487139385</v>
      </c>
      <c r="K272" s="295">
        <f t="shared" si="72"/>
        <v>296.46362887175917</v>
      </c>
      <c r="L272" s="295">
        <f t="shared" si="72"/>
        <v>412.07627892584634</v>
      </c>
      <c r="M272" s="295">
        <f t="shared" si="72"/>
        <v>446.42013475771046</v>
      </c>
      <c r="N272" s="295">
        <f t="shared" si="70"/>
        <v>453.76882006671184</v>
      </c>
      <c r="O272" s="295">
        <f t="shared" si="70"/>
        <v>546.93548574160411</v>
      </c>
      <c r="P272" s="295">
        <f t="shared" si="70"/>
        <v>351.85371950015139</v>
      </c>
      <c r="Q272" s="295">
        <f t="shared" si="72"/>
        <v>375.81609926056899</v>
      </c>
      <c r="R272" s="295">
        <f t="shared" si="72"/>
        <v>381.89834447096717</v>
      </c>
      <c r="S272" s="295">
        <f t="shared" si="72"/>
        <v>322.1423682394946</v>
      </c>
      <c r="T272" s="295">
        <f t="shared" si="72"/>
        <v>0</v>
      </c>
      <c r="U272" s="295">
        <f t="shared" si="72"/>
        <v>0</v>
      </c>
      <c r="V272" s="295">
        <f t="shared" si="72"/>
        <v>0</v>
      </c>
      <c r="W272" s="295">
        <f t="shared" si="72"/>
        <v>0</v>
      </c>
      <c r="X272" s="295">
        <f t="shared" si="72"/>
        <v>0</v>
      </c>
      <c r="Y272" s="295">
        <f t="shared" si="72"/>
        <v>0</v>
      </c>
      <c r="Z272" s="295">
        <f t="shared" si="72"/>
        <v>0</v>
      </c>
      <c r="AA272" s="295">
        <f t="shared" si="72"/>
        <v>0</v>
      </c>
      <c r="AB272" s="295">
        <f t="shared" si="72"/>
        <v>0</v>
      </c>
      <c r="AC272" s="295">
        <f t="shared" si="72"/>
        <v>0</v>
      </c>
      <c r="AD272" s="295">
        <f t="shared" si="72"/>
        <v>0</v>
      </c>
      <c r="AE272" s="296">
        <f t="shared" si="72"/>
        <v>0</v>
      </c>
    </row>
    <row r="273" spans="1:31" ht="15" customHeight="1">
      <c r="A273" s="1711"/>
      <c r="B273" s="116">
        <v>17</v>
      </c>
      <c r="C273" s="294">
        <f t="shared" ref="C273:C281" si="73">(EXP(15-B273)*$L$20/(EXP(-1)+EXP(-2)+EXP(-3)+EXP(-4)+EXP(-5)+EXP(-6)+EXP(-7)+EXP(-8)+EXP(-9)+EXP(-10)))</f>
        <v>653.47875168629912</v>
      </c>
      <c r="D273" s="295">
        <f t="shared" si="72"/>
        <v>445.14806366028051</v>
      </c>
      <c r="E273" s="295">
        <f t="shared" si="72"/>
        <v>100.18110672656354</v>
      </c>
      <c r="F273" s="295">
        <f t="shared" si="72"/>
        <v>58.425450542417508</v>
      </c>
      <c r="G273" s="295">
        <f t="shared" si="72"/>
        <v>30.797675750992916</v>
      </c>
      <c r="H273" s="295">
        <f t="shared" si="72"/>
        <v>31.270304222924125</v>
      </c>
      <c r="I273" s="295">
        <f t="shared" si="72"/>
        <v>35.092060930584452</v>
      </c>
      <c r="J273" s="295">
        <f t="shared" si="72"/>
        <v>48.611596655517751</v>
      </c>
      <c r="K273" s="295">
        <f t="shared" si="72"/>
        <v>54.641589402753183</v>
      </c>
      <c r="L273" s="295">
        <f t="shared" si="72"/>
        <v>74.293352469574486</v>
      </c>
      <c r="M273" s="295">
        <f t="shared" si="72"/>
        <v>103.2657137440339</v>
      </c>
      <c r="N273" s="295">
        <f t="shared" si="70"/>
        <v>111.87223386318362</v>
      </c>
      <c r="O273" s="295">
        <f t="shared" si="70"/>
        <v>113.71380367033791</v>
      </c>
      <c r="P273" s="295">
        <f t="shared" si="70"/>
        <v>137.0612340372308</v>
      </c>
      <c r="Q273" s="295">
        <f t="shared" si="72"/>
        <v>88.174028294928036</v>
      </c>
      <c r="R273" s="295">
        <f t="shared" si="72"/>
        <v>94.178965670637567</v>
      </c>
      <c r="S273" s="295">
        <f t="shared" si="72"/>
        <v>95.703167438463723</v>
      </c>
      <c r="T273" s="295">
        <f t="shared" si="72"/>
        <v>80.728407056478773</v>
      </c>
      <c r="U273" s="295">
        <f t="shared" si="72"/>
        <v>0</v>
      </c>
      <c r="V273" s="295">
        <f t="shared" si="72"/>
        <v>0</v>
      </c>
      <c r="W273" s="295">
        <f t="shared" si="72"/>
        <v>0</v>
      </c>
      <c r="X273" s="295">
        <f t="shared" si="72"/>
        <v>0</v>
      </c>
      <c r="Y273" s="295">
        <f t="shared" si="72"/>
        <v>0</v>
      </c>
      <c r="Z273" s="295">
        <f t="shared" si="72"/>
        <v>0</v>
      </c>
      <c r="AA273" s="295">
        <f t="shared" si="72"/>
        <v>0</v>
      </c>
      <c r="AB273" s="295">
        <f t="shared" si="72"/>
        <v>0</v>
      </c>
      <c r="AC273" s="295">
        <f t="shared" si="72"/>
        <v>0</v>
      </c>
      <c r="AD273" s="295">
        <f t="shared" si="72"/>
        <v>0</v>
      </c>
      <c r="AE273" s="296">
        <f t="shared" si="72"/>
        <v>0</v>
      </c>
    </row>
    <row r="274" spans="1:31" ht="15.75" customHeight="1">
      <c r="A274" s="1711"/>
      <c r="B274" s="116">
        <v>18</v>
      </c>
      <c r="C274" s="294">
        <f t="shared" si="73"/>
        <v>240.40139798776741</v>
      </c>
      <c r="D274" s="295">
        <f t="shared" si="72"/>
        <v>143.29071828565694</v>
      </c>
      <c r="E274" s="295">
        <f t="shared" si="72"/>
        <v>97.609272865800918</v>
      </c>
      <c r="F274" s="295">
        <f t="shared" si="72"/>
        <v>21.967084169849855</v>
      </c>
      <c r="G274" s="295">
        <f t="shared" si="72"/>
        <v>12.811166013864522</v>
      </c>
      <c r="H274" s="295">
        <f t="shared" si="72"/>
        <v>6.7531209981973426</v>
      </c>
      <c r="I274" s="295">
        <f t="shared" si="72"/>
        <v>6.8567560024733281</v>
      </c>
      <c r="J274" s="295">
        <f t="shared" si="72"/>
        <v>7.6947668212498206</v>
      </c>
      <c r="K274" s="295">
        <f t="shared" si="72"/>
        <v>10.659245742584742</v>
      </c>
      <c r="L274" s="295">
        <f t="shared" si="72"/>
        <v>11.981464697338835</v>
      </c>
      <c r="M274" s="295">
        <f t="shared" si="72"/>
        <v>16.290579933538805</v>
      </c>
      <c r="N274" s="295">
        <f t="shared" si="70"/>
        <v>22.64345743221185</v>
      </c>
      <c r="O274" s="295">
        <f t="shared" si="70"/>
        <v>24.530641134253525</v>
      </c>
      <c r="P274" s="295">
        <f t="shared" si="70"/>
        <v>24.934449000629247</v>
      </c>
      <c r="Q274" s="295">
        <f t="shared" si="72"/>
        <v>30.053926961868953</v>
      </c>
      <c r="R274" s="295">
        <f t="shared" si="72"/>
        <v>19.334247388942259</v>
      </c>
      <c r="S274" s="295">
        <f t="shared" si="72"/>
        <v>20.650972359119812</v>
      </c>
      <c r="T274" s="295">
        <f t="shared" si="72"/>
        <v>20.985189754192699</v>
      </c>
      <c r="U274" s="295">
        <f t="shared" si="72"/>
        <v>17.701618305613632</v>
      </c>
      <c r="V274" s="295">
        <f t="shared" si="72"/>
        <v>0</v>
      </c>
      <c r="W274" s="295">
        <f t="shared" si="72"/>
        <v>0</v>
      </c>
      <c r="X274" s="295">
        <f t="shared" si="72"/>
        <v>0</v>
      </c>
      <c r="Y274" s="295">
        <f t="shared" si="72"/>
        <v>0</v>
      </c>
      <c r="Z274" s="295">
        <f t="shared" si="72"/>
        <v>0</v>
      </c>
      <c r="AA274" s="295">
        <f t="shared" si="72"/>
        <v>0</v>
      </c>
      <c r="AB274" s="295">
        <f t="shared" si="72"/>
        <v>0</v>
      </c>
      <c r="AC274" s="295">
        <f t="shared" si="72"/>
        <v>0</v>
      </c>
      <c r="AD274" s="295">
        <f t="shared" si="72"/>
        <v>0</v>
      </c>
      <c r="AE274" s="296">
        <f t="shared" si="72"/>
        <v>0</v>
      </c>
    </row>
    <row r="275" spans="1:31" ht="16.5" customHeight="1">
      <c r="A275" s="1711"/>
      <c r="B275" s="116">
        <v>19</v>
      </c>
      <c r="C275" s="294">
        <f t="shared" si="73"/>
        <v>88.438731948573377</v>
      </c>
      <c r="D275" s="295">
        <f t="shared" si="72"/>
        <v>45.18317945827031</v>
      </c>
      <c r="E275" s="295">
        <f t="shared" si="72"/>
        <v>26.93133356626625</v>
      </c>
      <c r="F275" s="295">
        <f t="shared" si="72"/>
        <v>18.345555931048168</v>
      </c>
      <c r="G275" s="295">
        <f t="shared" si="72"/>
        <v>4.1286894108317931</v>
      </c>
      <c r="H275" s="295">
        <f t="shared" si="72"/>
        <v>2.407844621201364</v>
      </c>
      <c r="I275" s="295">
        <f t="shared" si="72"/>
        <v>1.2692416954267884</v>
      </c>
      <c r="J275" s="295">
        <f t="shared" si="72"/>
        <v>1.2887197809768514</v>
      </c>
      <c r="K275" s="295">
        <f t="shared" si="72"/>
        <v>1.4462229965558098</v>
      </c>
      <c r="L275" s="295">
        <f t="shared" si="72"/>
        <v>2.0033935630503983</v>
      </c>
      <c r="M275" s="295">
        <f t="shared" si="72"/>
        <v>2.2519031674696728</v>
      </c>
      <c r="N275" s="295">
        <f t="shared" si="70"/>
        <v>3.0617966566643458</v>
      </c>
      <c r="O275" s="295">
        <f t="shared" si="70"/>
        <v>4.2558130247120785</v>
      </c>
      <c r="P275" s="295">
        <f t="shared" si="70"/>
        <v>4.610507134620752</v>
      </c>
      <c r="Q275" s="295">
        <f t="shared" si="72"/>
        <v>4.6864023808457507</v>
      </c>
      <c r="R275" s="295">
        <f t="shared" si="72"/>
        <v>5.6486026566824314</v>
      </c>
      <c r="S275" s="295">
        <f t="shared" si="72"/>
        <v>3.6338506214078823</v>
      </c>
      <c r="T275" s="295">
        <f t="shared" si="72"/>
        <v>3.8813276374431438</v>
      </c>
      <c r="U275" s="295">
        <f t="shared" si="72"/>
        <v>3.9441434308039724</v>
      </c>
      <c r="V275" s="295">
        <f t="shared" si="72"/>
        <v>3.3269997732918397</v>
      </c>
      <c r="W275" s="295">
        <f t="shared" si="72"/>
        <v>0</v>
      </c>
      <c r="X275" s="295">
        <f t="shared" si="72"/>
        <v>0</v>
      </c>
      <c r="Y275" s="295">
        <f t="shared" si="72"/>
        <v>0</v>
      </c>
      <c r="Z275" s="295">
        <f t="shared" si="72"/>
        <v>0</v>
      </c>
      <c r="AA275" s="295">
        <f t="shared" si="72"/>
        <v>0</v>
      </c>
      <c r="AB275" s="295">
        <f t="shared" si="72"/>
        <v>0</v>
      </c>
      <c r="AC275" s="295">
        <f t="shared" si="72"/>
        <v>0</v>
      </c>
      <c r="AD275" s="295">
        <f t="shared" si="72"/>
        <v>0</v>
      </c>
      <c r="AE275" s="296">
        <f t="shared" si="72"/>
        <v>0</v>
      </c>
    </row>
    <row r="276" spans="1:31">
      <c r="A276" s="1711"/>
      <c r="B276" s="116">
        <v>20</v>
      </c>
      <c r="C276" s="294">
        <f t="shared" si="73"/>
        <v>32.53479128715216</v>
      </c>
      <c r="D276" s="295">
        <f t="shared" si="72"/>
        <v>13.851635674547895</v>
      </c>
      <c r="E276" s="295">
        <f t="shared" si="72"/>
        <v>7.0767742445426647</v>
      </c>
      <c r="F276" s="295">
        <f t="shared" si="72"/>
        <v>4.2180955399333993</v>
      </c>
      <c r="G276" s="295">
        <f t="shared" ref="G276:AE276" si="74">F275*$L45</f>
        <v>2.8733559539465978</v>
      </c>
      <c r="H276" s="295">
        <f t="shared" si="74"/>
        <v>0.64665221076960866</v>
      </c>
      <c r="I276" s="295">
        <f t="shared" si="74"/>
        <v>0.37712646618673157</v>
      </c>
      <c r="J276" s="295">
        <f t="shared" si="74"/>
        <v>0.19879382212558916</v>
      </c>
      <c r="K276" s="295">
        <f t="shared" si="74"/>
        <v>0.20184455949746868</v>
      </c>
      <c r="L276" s="295">
        <f t="shared" si="74"/>
        <v>0.2265133568863564</v>
      </c>
      <c r="M276" s="295">
        <f t="shared" si="74"/>
        <v>0.31377968834113479</v>
      </c>
      <c r="N276" s="295">
        <f t="shared" si="70"/>
        <v>0.35270227832177203</v>
      </c>
      <c r="O276" s="295">
        <f t="shared" si="70"/>
        <v>0.47955110688747793</v>
      </c>
      <c r="P276" s="295">
        <f t="shared" si="70"/>
        <v>0.66656283076951484</v>
      </c>
      <c r="Q276" s="295">
        <f t="shared" si="74"/>
        <v>0.72211647200919171</v>
      </c>
      <c r="R276" s="295">
        <f t="shared" si="74"/>
        <v>0.73400349568056344</v>
      </c>
      <c r="S276" s="295">
        <f t="shared" si="74"/>
        <v>0.88470723569562126</v>
      </c>
      <c r="T276" s="295">
        <f t="shared" si="74"/>
        <v>0.56914853700911094</v>
      </c>
      <c r="U276" s="295">
        <f t="shared" si="74"/>
        <v>0.60790939877653238</v>
      </c>
      <c r="V276" s="295">
        <f t="shared" si="74"/>
        <v>0.6177478650805025</v>
      </c>
      <c r="W276" s="295">
        <f t="shared" si="74"/>
        <v>0.52108830298177289</v>
      </c>
      <c r="X276" s="295">
        <f t="shared" si="74"/>
        <v>0</v>
      </c>
      <c r="Y276" s="295">
        <f t="shared" si="74"/>
        <v>0</v>
      </c>
      <c r="Z276" s="295">
        <f t="shared" si="74"/>
        <v>0</v>
      </c>
      <c r="AA276" s="295">
        <f t="shared" si="74"/>
        <v>0</v>
      </c>
      <c r="AB276" s="295">
        <f t="shared" si="74"/>
        <v>0</v>
      </c>
      <c r="AC276" s="295">
        <f t="shared" si="74"/>
        <v>0</v>
      </c>
      <c r="AD276" s="295">
        <f t="shared" si="74"/>
        <v>0</v>
      </c>
      <c r="AE276" s="296">
        <f t="shared" si="74"/>
        <v>0</v>
      </c>
    </row>
    <row r="277" spans="1:31" ht="15.75" customHeight="1">
      <c r="A277" s="1711"/>
      <c r="B277" s="116">
        <v>21</v>
      </c>
      <c r="C277" s="294">
        <f t="shared" si="73"/>
        <v>11.968880837347047</v>
      </c>
      <c r="D277" s="295">
        <f t="shared" ref="D277:AE281" si="75">C276*$L46</f>
        <v>4.0765855930104742</v>
      </c>
      <c r="E277" s="295">
        <f t="shared" si="75"/>
        <v>1.7355998362525407</v>
      </c>
      <c r="F277" s="295">
        <f t="shared" si="75"/>
        <v>0.88671464573625769</v>
      </c>
      <c r="G277" s="295">
        <f t="shared" si="75"/>
        <v>0.52852429131225531</v>
      </c>
      <c r="H277" s="295">
        <f t="shared" si="75"/>
        <v>0.36002940304938025</v>
      </c>
      <c r="I277" s="295">
        <f t="shared" si="75"/>
        <v>8.1025049856482595E-2</v>
      </c>
      <c r="J277" s="295">
        <f t="shared" si="75"/>
        <v>4.7253670854402852E-2</v>
      </c>
      <c r="K277" s="295">
        <f t="shared" si="75"/>
        <v>2.4908720763077E-2</v>
      </c>
      <c r="L277" s="295">
        <f t="shared" si="75"/>
        <v>2.5290975928278378E-2</v>
      </c>
      <c r="M277" s="295">
        <f t="shared" si="75"/>
        <v>2.8381958229189787E-2</v>
      </c>
      <c r="N277" s="295">
        <f t="shared" si="70"/>
        <v>3.9316365842983515E-2</v>
      </c>
      <c r="O277" s="295">
        <f t="shared" si="70"/>
        <v>4.4193337948238057E-2</v>
      </c>
      <c r="P277" s="295">
        <f t="shared" si="70"/>
        <v>6.0087403548880668E-2</v>
      </c>
      <c r="Q277" s="295">
        <f t="shared" si="75"/>
        <v>8.3519836004736642E-2</v>
      </c>
      <c r="R277" s="295">
        <f t="shared" si="75"/>
        <v>9.0480666689590955E-2</v>
      </c>
      <c r="S277" s="295">
        <f t="shared" si="75"/>
        <v>9.1970102076306487E-2</v>
      </c>
      <c r="T277" s="295">
        <f t="shared" si="75"/>
        <v>0.11085317066389529</v>
      </c>
      <c r="U277" s="295">
        <f t="shared" si="75"/>
        <v>7.1313896123580175E-2</v>
      </c>
      <c r="V277" s="295">
        <f t="shared" si="75"/>
        <v>7.6170603801804598E-2</v>
      </c>
      <c r="W277" s="295">
        <f t="shared" si="75"/>
        <v>7.7403356446138341E-2</v>
      </c>
      <c r="X277" s="295">
        <f t="shared" si="75"/>
        <v>6.5291983891122535E-2</v>
      </c>
      <c r="Y277" s="295">
        <f t="shared" si="75"/>
        <v>0</v>
      </c>
      <c r="Z277" s="295">
        <f t="shared" si="75"/>
        <v>0</v>
      </c>
      <c r="AA277" s="295">
        <f t="shared" si="75"/>
        <v>0</v>
      </c>
      <c r="AB277" s="295">
        <f t="shared" si="75"/>
        <v>0</v>
      </c>
      <c r="AC277" s="295">
        <f t="shared" si="75"/>
        <v>0</v>
      </c>
      <c r="AD277" s="295">
        <f t="shared" si="75"/>
        <v>0</v>
      </c>
      <c r="AE277" s="296">
        <f t="shared" si="75"/>
        <v>0</v>
      </c>
    </row>
    <row r="278" spans="1:31" ht="15" customHeight="1">
      <c r="A278" s="1711"/>
      <c r="B278" s="116">
        <v>22</v>
      </c>
      <c r="C278" s="294">
        <f t="shared" si="73"/>
        <v>4.4031051938908163</v>
      </c>
      <c r="D278" s="295">
        <f t="shared" si="75"/>
        <v>1.1247690223831843</v>
      </c>
      <c r="E278" s="295">
        <f t="shared" si="75"/>
        <v>0.38309489871469865</v>
      </c>
      <c r="F278" s="295">
        <f t="shared" si="75"/>
        <v>0.16310204417599389</v>
      </c>
      <c r="G278" s="295">
        <f t="shared" si="75"/>
        <v>8.3328523257207798E-2</v>
      </c>
      <c r="H278" s="295">
        <f t="shared" si="75"/>
        <v>4.9667780849660205E-2</v>
      </c>
      <c r="I278" s="295">
        <f t="shared" si="75"/>
        <v>3.3833565995031803E-2</v>
      </c>
      <c r="J278" s="295">
        <f t="shared" si="75"/>
        <v>7.6142846899480898E-3</v>
      </c>
      <c r="K278" s="295">
        <f t="shared" si="75"/>
        <v>4.4406378418505726E-3</v>
      </c>
      <c r="L278" s="295">
        <f t="shared" si="75"/>
        <v>2.3407833933880009E-3</v>
      </c>
      <c r="M278" s="295">
        <f t="shared" si="75"/>
        <v>2.376705613210166E-3</v>
      </c>
      <c r="N278" s="295">
        <f t="shared" si="70"/>
        <v>2.6671789822783521E-3</v>
      </c>
      <c r="O278" s="295">
        <f t="shared" si="70"/>
        <v>3.6947339499683865E-3</v>
      </c>
      <c r="P278" s="295">
        <f t="shared" si="70"/>
        <v>4.1530447328697135E-3</v>
      </c>
      <c r="Q278" s="295">
        <f t="shared" si="75"/>
        <v>5.6466808439040962E-3</v>
      </c>
      <c r="R278" s="295">
        <f t="shared" si="75"/>
        <v>7.8487308520546542E-3</v>
      </c>
      <c r="S278" s="295">
        <f t="shared" si="75"/>
        <v>8.5028711038272545E-3</v>
      </c>
      <c r="T278" s="295">
        <f t="shared" si="75"/>
        <v>8.6428399786606918E-3</v>
      </c>
      <c r="U278" s="295">
        <f t="shared" si="75"/>
        <v>1.0417366008578507E-2</v>
      </c>
      <c r="V278" s="295">
        <f t="shared" si="75"/>
        <v>6.7016843358459303E-3</v>
      </c>
      <c r="W278" s="295">
        <f t="shared" si="75"/>
        <v>7.1580907803141516E-3</v>
      </c>
      <c r="X278" s="295">
        <f t="shared" si="75"/>
        <v>7.2739380349948896E-3</v>
      </c>
      <c r="Y278" s="295">
        <f t="shared" si="75"/>
        <v>6.1357784314740021E-3</v>
      </c>
      <c r="Z278" s="295">
        <f t="shared" si="75"/>
        <v>0</v>
      </c>
      <c r="AA278" s="295">
        <f t="shared" si="75"/>
        <v>0</v>
      </c>
      <c r="AB278" s="295">
        <f t="shared" si="75"/>
        <v>0</v>
      </c>
      <c r="AC278" s="295">
        <f t="shared" si="75"/>
        <v>0</v>
      </c>
      <c r="AD278" s="295">
        <f t="shared" si="75"/>
        <v>0</v>
      </c>
      <c r="AE278" s="296">
        <f t="shared" si="75"/>
        <v>0</v>
      </c>
    </row>
    <row r="279" spans="1:31" ht="15" customHeight="1">
      <c r="A279" s="1711"/>
      <c r="B279" s="116">
        <v>23</v>
      </c>
      <c r="C279" s="294">
        <f t="shared" si="73"/>
        <v>1.6198118781476285</v>
      </c>
      <c r="D279" s="295">
        <f t="shared" si="75"/>
        <v>0.27585293293418345</v>
      </c>
      <c r="E279" s="295">
        <f t="shared" si="75"/>
        <v>7.0466368627396775E-2</v>
      </c>
      <c r="F279" s="295">
        <f t="shared" si="75"/>
        <v>2.4000755546153791E-2</v>
      </c>
      <c r="G279" s="295">
        <f t="shared" si="75"/>
        <v>1.0218283523167703E-2</v>
      </c>
      <c r="H279" s="295">
        <f t="shared" si="75"/>
        <v>5.2205015609138958E-3</v>
      </c>
      <c r="I279" s="295">
        <f t="shared" si="75"/>
        <v>3.1116683377723502E-3</v>
      </c>
      <c r="J279" s="295">
        <f t="shared" si="75"/>
        <v>2.1196605578038819E-3</v>
      </c>
      <c r="K279" s="295">
        <f t="shared" si="75"/>
        <v>4.7703215604122005E-4</v>
      </c>
      <c r="L279" s="295">
        <f t="shared" si="75"/>
        <v>2.7820433962663546E-4</v>
      </c>
      <c r="M279" s="295">
        <f t="shared" si="75"/>
        <v>1.4664922503455463E-4</v>
      </c>
      <c r="N279" s="295">
        <f t="shared" si="70"/>
        <v>1.4889973899211338E-4</v>
      </c>
      <c r="O279" s="295">
        <f t="shared" si="70"/>
        <v>1.6709778951970645E-4</v>
      </c>
      <c r="P279" s="295">
        <f t="shared" si="70"/>
        <v>2.3147373311098622E-4</v>
      </c>
      <c r="Q279" s="295">
        <f t="shared" si="75"/>
        <v>2.6018673634200281E-4</v>
      </c>
      <c r="R279" s="295">
        <f t="shared" si="75"/>
        <v>3.5376249340929105E-4</v>
      </c>
      <c r="S279" s="295">
        <f t="shared" si="75"/>
        <v>4.9172012250679308E-4</v>
      </c>
      <c r="T279" s="295">
        <f t="shared" si="75"/>
        <v>5.3270177047017617E-4</v>
      </c>
      <c r="U279" s="295">
        <f t="shared" si="75"/>
        <v>5.4147076937937158E-4</v>
      </c>
      <c r="V279" s="295">
        <f t="shared" si="75"/>
        <v>6.5264417731885499E-4</v>
      </c>
      <c r="W279" s="295">
        <f t="shared" si="75"/>
        <v>4.1985807702417952E-4</v>
      </c>
      <c r="X279" s="295">
        <f t="shared" si="75"/>
        <v>4.484517741475881E-4</v>
      </c>
      <c r="Y279" s="295">
        <f t="shared" si="75"/>
        <v>4.5570956236041436E-4</v>
      </c>
      <c r="Z279" s="295">
        <f t="shared" si="75"/>
        <v>3.8440427871330523E-4</v>
      </c>
      <c r="AA279" s="295">
        <f t="shared" si="75"/>
        <v>0</v>
      </c>
      <c r="AB279" s="295">
        <f t="shared" si="75"/>
        <v>0</v>
      </c>
      <c r="AC279" s="295">
        <f t="shared" si="75"/>
        <v>0</v>
      </c>
      <c r="AD279" s="295">
        <f t="shared" si="75"/>
        <v>0</v>
      </c>
      <c r="AE279" s="296">
        <f t="shared" si="75"/>
        <v>0</v>
      </c>
    </row>
    <row r="280" spans="1:31" ht="15" customHeight="1">
      <c r="A280" s="1711"/>
      <c r="B280" s="116">
        <v>24</v>
      </c>
      <c r="C280" s="294">
        <f t="shared" si="73"/>
        <v>0.59589548853581398</v>
      </c>
      <c r="D280" s="295">
        <f t="shared" si="75"/>
        <v>5.0740311406665309E-2</v>
      </c>
      <c r="E280" s="295">
        <f t="shared" si="75"/>
        <v>8.6410427706758459E-3</v>
      </c>
      <c r="F280" s="295">
        <f t="shared" si="75"/>
        <v>2.2073461345028583E-3</v>
      </c>
      <c r="G280" s="295">
        <f t="shared" si="75"/>
        <v>7.5181928644685672E-4</v>
      </c>
      <c r="H280" s="295">
        <f t="shared" si="75"/>
        <v>3.2008586614394033E-4</v>
      </c>
      <c r="I280" s="295">
        <f t="shared" si="75"/>
        <v>1.6353125845865142E-4</v>
      </c>
      <c r="J280" s="295">
        <f t="shared" si="75"/>
        <v>9.7472442684754743E-5</v>
      </c>
      <c r="K280" s="295">
        <f t="shared" si="75"/>
        <v>6.6397980055800425E-5</v>
      </c>
      <c r="L280" s="295">
        <f t="shared" si="75"/>
        <v>1.4942945211763941E-5</v>
      </c>
      <c r="M280" s="295">
        <f t="shared" si="75"/>
        <v>8.7147001560971537E-6</v>
      </c>
      <c r="N280" s="295">
        <f t="shared" si="70"/>
        <v>4.5937602052337027E-6</v>
      </c>
      <c r="O280" s="295">
        <f t="shared" si="70"/>
        <v>4.6642571441511801E-6</v>
      </c>
      <c r="P280" s="295">
        <f t="shared" si="70"/>
        <v>5.234307755102526E-6</v>
      </c>
      <c r="Q280" s="295">
        <f t="shared" si="75"/>
        <v>7.2508724370795976E-6</v>
      </c>
      <c r="R280" s="295">
        <f t="shared" si="75"/>
        <v>8.1503020220931648E-6</v>
      </c>
      <c r="S280" s="295">
        <f t="shared" si="75"/>
        <v>1.108154553114708E-5</v>
      </c>
      <c r="T280" s="295">
        <f t="shared" si="75"/>
        <v>1.540304308019426E-5</v>
      </c>
      <c r="U280" s="295">
        <f t="shared" si="75"/>
        <v>1.6686785721962237E-5</v>
      </c>
      <c r="V280" s="295">
        <f t="shared" si="75"/>
        <v>1.6961473012122196E-5</v>
      </c>
      <c r="W280" s="295">
        <f t="shared" si="75"/>
        <v>2.0443959722517533E-5</v>
      </c>
      <c r="X280" s="295">
        <f t="shared" si="75"/>
        <v>1.3151977622965012E-5</v>
      </c>
      <c r="Y280" s="295">
        <f t="shared" si="75"/>
        <v>1.404766996593559E-5</v>
      </c>
      <c r="Z280" s="295">
        <f t="shared" si="75"/>
        <v>1.427501885688431E-5</v>
      </c>
      <c r="AA280" s="295">
        <f t="shared" si="75"/>
        <v>1.2041393862522361E-5</v>
      </c>
      <c r="AB280" s="295">
        <f t="shared" si="75"/>
        <v>0</v>
      </c>
      <c r="AC280" s="295">
        <f t="shared" si="75"/>
        <v>0</v>
      </c>
      <c r="AD280" s="295">
        <f t="shared" si="75"/>
        <v>0</v>
      </c>
      <c r="AE280" s="296">
        <f t="shared" si="75"/>
        <v>0</v>
      </c>
    </row>
    <row r="281" spans="1:31" ht="15.75" customHeight="1" thickBot="1">
      <c r="A281" s="1711"/>
      <c r="B281" s="116">
        <v>25</v>
      </c>
      <c r="C281" s="297">
        <f t="shared" si="73"/>
        <v>0.2192176993191389</v>
      </c>
      <c r="D281" s="298">
        <f t="shared" si="75"/>
        <v>0</v>
      </c>
      <c r="E281" s="298">
        <f t="shared" si="75"/>
        <v>0</v>
      </c>
      <c r="F281" s="298">
        <f t="shared" si="75"/>
        <v>0</v>
      </c>
      <c r="G281" s="298">
        <f t="shared" si="75"/>
        <v>0</v>
      </c>
      <c r="H281" s="298">
        <f t="shared" si="75"/>
        <v>0</v>
      </c>
      <c r="I281" s="298">
        <f t="shared" si="75"/>
        <v>0</v>
      </c>
      <c r="J281" s="298">
        <f t="shared" si="75"/>
        <v>0</v>
      </c>
      <c r="K281" s="298">
        <f t="shared" si="75"/>
        <v>0</v>
      </c>
      <c r="L281" s="298">
        <f t="shared" si="75"/>
        <v>0</v>
      </c>
      <c r="M281" s="298">
        <f t="shared" si="75"/>
        <v>0</v>
      </c>
      <c r="N281" s="298">
        <f t="shared" si="70"/>
        <v>0</v>
      </c>
      <c r="O281" s="298">
        <f t="shared" si="70"/>
        <v>0</v>
      </c>
      <c r="P281" s="298">
        <f t="shared" si="70"/>
        <v>0</v>
      </c>
      <c r="Q281" s="298">
        <f t="shared" si="75"/>
        <v>0</v>
      </c>
      <c r="R281" s="298">
        <f t="shared" si="75"/>
        <v>0</v>
      </c>
      <c r="S281" s="298">
        <f t="shared" si="75"/>
        <v>0</v>
      </c>
      <c r="T281" s="298">
        <f t="shared" si="75"/>
        <v>0</v>
      </c>
      <c r="U281" s="298">
        <f t="shared" si="75"/>
        <v>0</v>
      </c>
      <c r="V281" s="298">
        <f t="shared" si="75"/>
        <v>0</v>
      </c>
      <c r="W281" s="298">
        <f t="shared" si="75"/>
        <v>0</v>
      </c>
      <c r="X281" s="298">
        <f t="shared" si="75"/>
        <v>0</v>
      </c>
      <c r="Y281" s="298">
        <f t="shared" si="75"/>
        <v>0</v>
      </c>
      <c r="Z281" s="298">
        <f t="shared" si="75"/>
        <v>0</v>
      </c>
      <c r="AA281" s="298">
        <f t="shared" si="75"/>
        <v>0</v>
      </c>
      <c r="AB281" s="298">
        <f t="shared" si="75"/>
        <v>0</v>
      </c>
      <c r="AC281" s="298">
        <f t="shared" si="75"/>
        <v>0</v>
      </c>
      <c r="AD281" s="298">
        <f t="shared" si="75"/>
        <v>0</v>
      </c>
      <c r="AE281" s="299">
        <f t="shared" si="75"/>
        <v>0</v>
      </c>
    </row>
    <row r="282" spans="1:31" ht="16.5" customHeight="1" thickTop="1" thickBot="1">
      <c r="A282" s="1712"/>
      <c r="B282" s="300" t="s">
        <v>39</v>
      </c>
      <c r="C282" s="301">
        <f>SUM(C256:C281)</f>
        <v>263492.99999999994</v>
      </c>
      <c r="D282" s="301">
        <f>SUM(D256:D281)</f>
        <v>252050.80905900322</v>
      </c>
      <c r="E282" s="301">
        <f t="shared" ref="E282:AB282" si="76">SUM(E256:E281)</f>
        <v>242133.79180956198</v>
      </c>
      <c r="F282" s="301">
        <f t="shared" si="76"/>
        <v>231203.76992601855</v>
      </c>
      <c r="G282" s="301">
        <f t="shared" si="76"/>
        <v>217736.28592430183</v>
      </c>
      <c r="H282" s="301">
        <f t="shared" si="76"/>
        <v>200449.24750597758</v>
      </c>
      <c r="I282" s="301">
        <f t="shared" si="76"/>
        <v>179151.81119701595</v>
      </c>
      <c r="J282" s="301">
        <f t="shared" si="76"/>
        <v>154483.41756903962</v>
      </c>
      <c r="K282" s="301">
        <f t="shared" si="76"/>
        <v>127371.60455343295</v>
      </c>
      <c r="L282" s="301">
        <f t="shared" si="76"/>
        <v>100417.40237764928</v>
      </c>
      <c r="M282" s="301">
        <f t="shared" si="76"/>
        <v>75005.23184989531</v>
      </c>
      <c r="N282" s="301">
        <f t="shared" si="76"/>
        <v>51289.541286957385</v>
      </c>
      <c r="O282" s="301">
        <f t="shared" si="76"/>
        <v>30118.325400871214</v>
      </c>
      <c r="P282" s="301">
        <f t="shared" si="76"/>
        <v>14493.883648050163</v>
      </c>
      <c r="Q282" s="301">
        <f t="shared" si="76"/>
        <v>5501.9362744040109</v>
      </c>
      <c r="R282" s="301">
        <f t="shared" si="76"/>
        <v>1644.5522340569225</v>
      </c>
      <c r="S282" s="301">
        <f t="shared" si="76"/>
        <v>443.11604166902976</v>
      </c>
      <c r="T282" s="301">
        <f t="shared" si="76"/>
        <v>106.28411710057985</v>
      </c>
      <c r="U282" s="301">
        <f t="shared" si="76"/>
        <v>22.335960554881396</v>
      </c>
      <c r="V282" s="301">
        <f t="shared" si="76"/>
        <v>4.0282895321603238</v>
      </c>
      <c r="W282" s="301">
        <f t="shared" si="76"/>
        <v>0.60609005224497214</v>
      </c>
      <c r="X282" s="301">
        <f t="shared" si="76"/>
        <v>7.3027525677887978E-2</v>
      </c>
      <c r="Y282" s="301">
        <f t="shared" si="76"/>
        <v>6.6055356638003524E-3</v>
      </c>
      <c r="Z282" s="301">
        <f t="shared" si="76"/>
        <v>3.9867929757018955E-4</v>
      </c>
      <c r="AA282" s="301">
        <f t="shared" si="76"/>
        <v>1.2041393862522361E-5</v>
      </c>
      <c r="AB282" s="301">
        <f t="shared" si="76"/>
        <v>0</v>
      </c>
      <c r="AC282" s="301">
        <f>SUM(AC256:AC281)</f>
        <v>0</v>
      </c>
      <c r="AD282" s="301">
        <f t="shared" ref="AD282:AE282" si="77">SUM(AD256:AD281)</f>
        <v>0</v>
      </c>
      <c r="AE282" s="302">
        <f t="shared" si="77"/>
        <v>0</v>
      </c>
    </row>
    <row r="283" spans="1:31" ht="15.75" thickBot="1"/>
    <row r="284" spans="1:31" ht="15.75" customHeight="1" thickBot="1">
      <c r="A284" s="1710" t="s">
        <v>49</v>
      </c>
      <c r="B284" s="169" t="s">
        <v>10</v>
      </c>
      <c r="C284" s="288">
        <v>2012</v>
      </c>
      <c r="D284" s="289">
        <v>2013</v>
      </c>
      <c r="E284" s="289">
        <v>2014</v>
      </c>
      <c r="F284" s="289">
        <v>2015</v>
      </c>
      <c r="G284" s="288">
        <v>2016</v>
      </c>
      <c r="H284" s="289">
        <v>2017</v>
      </c>
      <c r="I284" s="289">
        <v>2018</v>
      </c>
      <c r="J284" s="289">
        <v>2019</v>
      </c>
      <c r="K284" s="288">
        <v>2020</v>
      </c>
      <c r="L284" s="289">
        <v>2021</v>
      </c>
      <c r="M284" s="289">
        <v>2022</v>
      </c>
      <c r="N284" s="289">
        <v>2023</v>
      </c>
      <c r="O284" s="288">
        <v>2024</v>
      </c>
      <c r="P284" s="289">
        <v>2025</v>
      </c>
      <c r="Q284" s="289">
        <v>2026</v>
      </c>
      <c r="R284" s="289">
        <v>2027</v>
      </c>
      <c r="S284" s="288">
        <v>2028</v>
      </c>
      <c r="T284" s="289">
        <v>2029</v>
      </c>
      <c r="U284" s="289">
        <v>2030</v>
      </c>
      <c r="V284" s="289">
        <v>2031</v>
      </c>
      <c r="W284" s="288">
        <v>2032</v>
      </c>
      <c r="X284" s="289">
        <v>2033</v>
      </c>
      <c r="Y284" s="289">
        <v>2034</v>
      </c>
      <c r="Z284" s="289">
        <v>2035</v>
      </c>
      <c r="AA284" s="288">
        <v>2036</v>
      </c>
      <c r="AB284" s="289">
        <v>2037</v>
      </c>
      <c r="AC284" s="289">
        <v>2038</v>
      </c>
      <c r="AD284" s="289">
        <v>2039</v>
      </c>
      <c r="AE284" s="290">
        <v>2040</v>
      </c>
    </row>
    <row r="285" spans="1:31" ht="15" customHeight="1">
      <c r="A285" s="1711"/>
      <c r="B285" s="116">
        <v>0</v>
      </c>
      <c r="C285" s="291">
        <f t="shared" ref="C285:C300" si="78">P4</f>
        <v>0</v>
      </c>
      <c r="D285" s="292">
        <f>0</f>
        <v>0</v>
      </c>
      <c r="E285" s="292">
        <f>0</f>
        <v>0</v>
      </c>
      <c r="F285" s="292">
        <f>0</f>
        <v>0</v>
      </c>
      <c r="G285" s="292">
        <f>0</f>
        <v>0</v>
      </c>
      <c r="H285" s="292">
        <f>0</f>
        <v>0</v>
      </c>
      <c r="I285" s="292">
        <f>0</f>
        <v>0</v>
      </c>
      <c r="J285" s="292">
        <f>0</f>
        <v>0</v>
      </c>
      <c r="K285" s="292">
        <f>0</f>
        <v>0</v>
      </c>
      <c r="L285" s="292">
        <f>0</f>
        <v>0</v>
      </c>
      <c r="M285" s="292">
        <f>0</f>
        <v>0</v>
      </c>
      <c r="N285" s="292">
        <f>0</f>
        <v>0</v>
      </c>
      <c r="O285" s="292">
        <f>0</f>
        <v>0</v>
      </c>
      <c r="P285" s="292">
        <f>0</f>
        <v>0</v>
      </c>
      <c r="Q285" s="292">
        <f>0</f>
        <v>0</v>
      </c>
      <c r="R285" s="292">
        <f>0</f>
        <v>0</v>
      </c>
      <c r="S285" s="292">
        <f>0</f>
        <v>0</v>
      </c>
      <c r="T285" s="292">
        <f>0</f>
        <v>0</v>
      </c>
      <c r="U285" s="292">
        <f>0</f>
        <v>0</v>
      </c>
      <c r="V285" s="292">
        <f>0</f>
        <v>0</v>
      </c>
      <c r="W285" s="292">
        <f>0</f>
        <v>0</v>
      </c>
      <c r="X285" s="292">
        <f>0</f>
        <v>0</v>
      </c>
      <c r="Y285" s="292">
        <f>0</f>
        <v>0</v>
      </c>
      <c r="Z285" s="292">
        <f>0</f>
        <v>0</v>
      </c>
      <c r="AA285" s="292">
        <f>0</f>
        <v>0</v>
      </c>
      <c r="AB285" s="292">
        <f>0</f>
        <v>0</v>
      </c>
      <c r="AC285" s="292">
        <f>0</f>
        <v>0</v>
      </c>
      <c r="AD285" s="292">
        <f>0</f>
        <v>0</v>
      </c>
      <c r="AE285" s="293">
        <f>0</f>
        <v>0</v>
      </c>
    </row>
    <row r="286" spans="1:31" ht="15" customHeight="1">
      <c r="A286" s="1711"/>
      <c r="B286" s="116">
        <v>1</v>
      </c>
      <c r="C286" s="294">
        <f t="shared" si="78"/>
        <v>0</v>
      </c>
      <c r="D286" s="295">
        <f>C285*$C26</f>
        <v>0</v>
      </c>
      <c r="E286" s="295">
        <f t="shared" ref="E286:AE295" si="79">D285*$C258</f>
        <v>0</v>
      </c>
      <c r="F286" s="295">
        <f t="shared" si="79"/>
        <v>0</v>
      </c>
      <c r="G286" s="295">
        <f t="shared" si="79"/>
        <v>0</v>
      </c>
      <c r="H286" s="295">
        <f t="shared" si="79"/>
        <v>0</v>
      </c>
      <c r="I286" s="295">
        <f t="shared" si="79"/>
        <v>0</v>
      </c>
      <c r="J286" s="295">
        <f t="shared" si="79"/>
        <v>0</v>
      </c>
      <c r="K286" s="295">
        <f t="shared" si="79"/>
        <v>0</v>
      </c>
      <c r="L286" s="295">
        <f t="shared" si="79"/>
        <v>0</v>
      </c>
      <c r="M286" s="295">
        <f t="shared" si="79"/>
        <v>0</v>
      </c>
      <c r="N286" s="295">
        <f t="shared" ref="N286:P310" si="80">M285*$C258</f>
        <v>0</v>
      </c>
      <c r="O286" s="295">
        <f t="shared" si="80"/>
        <v>0</v>
      </c>
      <c r="P286" s="295">
        <f t="shared" si="80"/>
        <v>0</v>
      </c>
      <c r="Q286" s="295">
        <f t="shared" si="79"/>
        <v>0</v>
      </c>
      <c r="R286" s="295">
        <f t="shared" si="79"/>
        <v>0</v>
      </c>
      <c r="S286" s="295">
        <f t="shared" si="79"/>
        <v>0</v>
      </c>
      <c r="T286" s="295">
        <f t="shared" si="79"/>
        <v>0</v>
      </c>
      <c r="U286" s="295">
        <f t="shared" si="79"/>
        <v>0</v>
      </c>
      <c r="V286" s="295">
        <f t="shared" si="79"/>
        <v>0</v>
      </c>
      <c r="W286" s="295">
        <f t="shared" si="79"/>
        <v>0</v>
      </c>
      <c r="X286" s="295">
        <f t="shared" si="79"/>
        <v>0</v>
      </c>
      <c r="Y286" s="295">
        <f t="shared" si="79"/>
        <v>0</v>
      </c>
      <c r="Z286" s="295">
        <f t="shared" si="79"/>
        <v>0</v>
      </c>
      <c r="AA286" s="295">
        <f t="shared" si="79"/>
        <v>0</v>
      </c>
      <c r="AB286" s="295">
        <f t="shared" si="79"/>
        <v>0</v>
      </c>
      <c r="AC286" s="295">
        <f t="shared" si="79"/>
        <v>0</v>
      </c>
      <c r="AD286" s="295">
        <f t="shared" si="79"/>
        <v>0</v>
      </c>
      <c r="AE286" s="296">
        <f t="shared" si="79"/>
        <v>0</v>
      </c>
    </row>
    <row r="287" spans="1:31" ht="15" customHeight="1">
      <c r="A287" s="1711"/>
      <c r="B287" s="116">
        <v>2</v>
      </c>
      <c r="C287" s="294">
        <f t="shared" si="78"/>
        <v>0</v>
      </c>
      <c r="D287" s="295">
        <f t="shared" ref="D287:S302" si="81">C286*$C259</f>
        <v>0</v>
      </c>
      <c r="E287" s="295">
        <f t="shared" si="81"/>
        <v>0</v>
      </c>
      <c r="F287" s="295">
        <f t="shared" si="81"/>
        <v>0</v>
      </c>
      <c r="G287" s="295">
        <f t="shared" si="81"/>
        <v>0</v>
      </c>
      <c r="H287" s="295">
        <f t="shared" si="81"/>
        <v>0</v>
      </c>
      <c r="I287" s="295">
        <f t="shared" si="81"/>
        <v>0</v>
      </c>
      <c r="J287" s="295">
        <f t="shared" si="81"/>
        <v>0</v>
      </c>
      <c r="K287" s="295">
        <f t="shared" si="81"/>
        <v>0</v>
      </c>
      <c r="L287" s="295">
        <f t="shared" si="81"/>
        <v>0</v>
      </c>
      <c r="M287" s="295">
        <f t="shared" si="81"/>
        <v>0</v>
      </c>
      <c r="N287" s="295">
        <f t="shared" si="80"/>
        <v>0</v>
      </c>
      <c r="O287" s="295">
        <f t="shared" si="80"/>
        <v>0</v>
      </c>
      <c r="P287" s="295">
        <f t="shared" si="80"/>
        <v>0</v>
      </c>
      <c r="Q287" s="295">
        <f t="shared" si="81"/>
        <v>0</v>
      </c>
      <c r="R287" s="295">
        <f t="shared" si="81"/>
        <v>0</v>
      </c>
      <c r="S287" s="295">
        <f t="shared" si="81"/>
        <v>0</v>
      </c>
      <c r="T287" s="295">
        <f t="shared" si="79"/>
        <v>0</v>
      </c>
      <c r="U287" s="295">
        <f t="shared" si="79"/>
        <v>0</v>
      </c>
      <c r="V287" s="295">
        <f t="shared" si="79"/>
        <v>0</v>
      </c>
      <c r="W287" s="295">
        <f t="shared" si="79"/>
        <v>0</v>
      </c>
      <c r="X287" s="295">
        <f t="shared" si="79"/>
        <v>0</v>
      </c>
      <c r="Y287" s="295">
        <f t="shared" si="79"/>
        <v>0</v>
      </c>
      <c r="Z287" s="295">
        <f t="shared" si="79"/>
        <v>0</v>
      </c>
      <c r="AA287" s="295">
        <f t="shared" si="79"/>
        <v>0</v>
      </c>
      <c r="AB287" s="295">
        <f t="shared" si="79"/>
        <v>0</v>
      </c>
      <c r="AC287" s="295">
        <f t="shared" si="79"/>
        <v>0</v>
      </c>
      <c r="AD287" s="295">
        <f t="shared" si="79"/>
        <v>0</v>
      </c>
      <c r="AE287" s="296">
        <f t="shared" si="79"/>
        <v>0</v>
      </c>
    </row>
    <row r="288" spans="1:31" ht="15" customHeight="1">
      <c r="A288" s="1711"/>
      <c r="B288" s="116">
        <v>3</v>
      </c>
      <c r="C288" s="294">
        <f t="shared" si="78"/>
        <v>0</v>
      </c>
      <c r="D288" s="295">
        <f t="shared" si="81"/>
        <v>0</v>
      </c>
      <c r="E288" s="295">
        <f t="shared" si="79"/>
        <v>0</v>
      </c>
      <c r="F288" s="295">
        <f t="shared" si="79"/>
        <v>0</v>
      </c>
      <c r="G288" s="295">
        <f t="shared" si="79"/>
        <v>0</v>
      </c>
      <c r="H288" s="295">
        <f t="shared" si="79"/>
        <v>0</v>
      </c>
      <c r="I288" s="295">
        <f t="shared" si="79"/>
        <v>0</v>
      </c>
      <c r="J288" s="295">
        <f t="shared" si="79"/>
        <v>0</v>
      </c>
      <c r="K288" s="295">
        <f t="shared" si="79"/>
        <v>0</v>
      </c>
      <c r="L288" s="295">
        <f t="shared" si="79"/>
        <v>0</v>
      </c>
      <c r="M288" s="295">
        <f t="shared" si="79"/>
        <v>0</v>
      </c>
      <c r="N288" s="295">
        <f t="shared" si="80"/>
        <v>0</v>
      </c>
      <c r="O288" s="295">
        <f t="shared" si="80"/>
        <v>0</v>
      </c>
      <c r="P288" s="295">
        <f t="shared" si="80"/>
        <v>0</v>
      </c>
      <c r="Q288" s="295">
        <f t="shared" si="79"/>
        <v>0</v>
      </c>
      <c r="R288" s="295">
        <f t="shared" si="79"/>
        <v>0</v>
      </c>
      <c r="S288" s="295">
        <f t="shared" si="79"/>
        <v>0</v>
      </c>
      <c r="T288" s="295">
        <f t="shared" si="79"/>
        <v>0</v>
      </c>
      <c r="U288" s="295">
        <f t="shared" si="79"/>
        <v>0</v>
      </c>
      <c r="V288" s="295">
        <f t="shared" si="79"/>
        <v>0</v>
      </c>
      <c r="W288" s="295">
        <f t="shared" si="79"/>
        <v>0</v>
      </c>
      <c r="X288" s="295">
        <f t="shared" si="79"/>
        <v>0</v>
      </c>
      <c r="Y288" s="295">
        <f t="shared" si="79"/>
        <v>0</v>
      </c>
      <c r="Z288" s="295">
        <f t="shared" si="79"/>
        <v>0</v>
      </c>
      <c r="AA288" s="295">
        <f t="shared" si="79"/>
        <v>0</v>
      </c>
      <c r="AB288" s="295">
        <f t="shared" si="79"/>
        <v>0</v>
      </c>
      <c r="AC288" s="295">
        <f t="shared" si="79"/>
        <v>0</v>
      </c>
      <c r="AD288" s="295">
        <f t="shared" si="79"/>
        <v>0</v>
      </c>
      <c r="AE288" s="296">
        <f t="shared" si="79"/>
        <v>0</v>
      </c>
    </row>
    <row r="289" spans="1:31" ht="15" customHeight="1">
      <c r="A289" s="1711"/>
      <c r="B289" s="116">
        <v>4</v>
      </c>
      <c r="C289" s="294">
        <f t="shared" si="78"/>
        <v>0</v>
      </c>
      <c r="D289" s="295">
        <f t="shared" si="81"/>
        <v>0</v>
      </c>
      <c r="E289" s="295">
        <f t="shared" si="79"/>
        <v>0</v>
      </c>
      <c r="F289" s="295">
        <f t="shared" si="79"/>
        <v>0</v>
      </c>
      <c r="G289" s="295">
        <f t="shared" si="79"/>
        <v>0</v>
      </c>
      <c r="H289" s="295">
        <f t="shared" si="79"/>
        <v>0</v>
      </c>
      <c r="I289" s="295">
        <f t="shared" si="79"/>
        <v>0</v>
      </c>
      <c r="J289" s="295">
        <f t="shared" si="79"/>
        <v>0</v>
      </c>
      <c r="K289" s="295">
        <f t="shared" si="79"/>
        <v>0</v>
      </c>
      <c r="L289" s="295">
        <f t="shared" si="79"/>
        <v>0</v>
      </c>
      <c r="M289" s="295">
        <f t="shared" si="79"/>
        <v>0</v>
      </c>
      <c r="N289" s="295">
        <f t="shared" si="80"/>
        <v>0</v>
      </c>
      <c r="O289" s="295">
        <f t="shared" si="80"/>
        <v>0</v>
      </c>
      <c r="P289" s="295">
        <f t="shared" si="80"/>
        <v>0</v>
      </c>
      <c r="Q289" s="295">
        <f t="shared" si="79"/>
        <v>0</v>
      </c>
      <c r="R289" s="295">
        <f t="shared" si="79"/>
        <v>0</v>
      </c>
      <c r="S289" s="295">
        <f t="shared" si="79"/>
        <v>0</v>
      </c>
      <c r="T289" s="295">
        <f t="shared" si="79"/>
        <v>0</v>
      </c>
      <c r="U289" s="295">
        <f t="shared" si="79"/>
        <v>0</v>
      </c>
      <c r="V289" s="295">
        <f t="shared" si="79"/>
        <v>0</v>
      </c>
      <c r="W289" s="295">
        <f t="shared" si="79"/>
        <v>0</v>
      </c>
      <c r="X289" s="295">
        <f t="shared" si="79"/>
        <v>0</v>
      </c>
      <c r="Y289" s="295">
        <f t="shared" si="79"/>
        <v>0</v>
      </c>
      <c r="Z289" s="295">
        <f t="shared" si="79"/>
        <v>0</v>
      </c>
      <c r="AA289" s="295">
        <f t="shared" si="79"/>
        <v>0</v>
      </c>
      <c r="AB289" s="295">
        <f t="shared" si="79"/>
        <v>0</v>
      </c>
      <c r="AC289" s="295">
        <f t="shared" si="79"/>
        <v>0</v>
      </c>
      <c r="AD289" s="295">
        <f t="shared" si="79"/>
        <v>0</v>
      </c>
      <c r="AE289" s="296">
        <f t="shared" si="79"/>
        <v>0</v>
      </c>
    </row>
    <row r="290" spans="1:31" ht="15" customHeight="1">
      <c r="A290" s="1711"/>
      <c r="B290" s="116">
        <v>5</v>
      </c>
      <c r="C290" s="294">
        <f t="shared" si="78"/>
        <v>0</v>
      </c>
      <c r="D290" s="295">
        <f t="shared" si="81"/>
        <v>0</v>
      </c>
      <c r="E290" s="295">
        <f t="shared" si="79"/>
        <v>0</v>
      </c>
      <c r="F290" s="295">
        <f t="shared" si="79"/>
        <v>0</v>
      </c>
      <c r="G290" s="295">
        <f t="shared" si="79"/>
        <v>0</v>
      </c>
      <c r="H290" s="295">
        <f t="shared" si="79"/>
        <v>0</v>
      </c>
      <c r="I290" s="295">
        <f t="shared" si="79"/>
        <v>0</v>
      </c>
      <c r="J290" s="295">
        <f t="shared" si="79"/>
        <v>0</v>
      </c>
      <c r="K290" s="295">
        <f t="shared" si="79"/>
        <v>0</v>
      </c>
      <c r="L290" s="295">
        <f t="shared" si="79"/>
        <v>0</v>
      </c>
      <c r="M290" s="295">
        <f t="shared" si="79"/>
        <v>0</v>
      </c>
      <c r="N290" s="295">
        <f t="shared" si="80"/>
        <v>0</v>
      </c>
      <c r="O290" s="295">
        <f t="shared" si="80"/>
        <v>0</v>
      </c>
      <c r="P290" s="295">
        <f t="shared" si="80"/>
        <v>0</v>
      </c>
      <c r="Q290" s="295">
        <f t="shared" si="79"/>
        <v>0</v>
      </c>
      <c r="R290" s="295">
        <f t="shared" si="79"/>
        <v>0</v>
      </c>
      <c r="S290" s="295">
        <f t="shared" si="79"/>
        <v>0</v>
      </c>
      <c r="T290" s="295">
        <f t="shared" si="79"/>
        <v>0</v>
      </c>
      <c r="U290" s="295">
        <f t="shared" si="79"/>
        <v>0</v>
      </c>
      <c r="V290" s="295">
        <f t="shared" si="79"/>
        <v>0</v>
      </c>
      <c r="W290" s="295">
        <f t="shared" si="79"/>
        <v>0</v>
      </c>
      <c r="X290" s="295">
        <f t="shared" si="79"/>
        <v>0</v>
      </c>
      <c r="Y290" s="295">
        <f t="shared" si="79"/>
        <v>0</v>
      </c>
      <c r="Z290" s="295">
        <f t="shared" si="79"/>
        <v>0</v>
      </c>
      <c r="AA290" s="295">
        <f t="shared" si="79"/>
        <v>0</v>
      </c>
      <c r="AB290" s="295">
        <f t="shared" si="79"/>
        <v>0</v>
      </c>
      <c r="AC290" s="295">
        <f t="shared" si="79"/>
        <v>0</v>
      </c>
      <c r="AD290" s="295">
        <f t="shared" si="79"/>
        <v>0</v>
      </c>
      <c r="AE290" s="296">
        <f t="shared" si="79"/>
        <v>0</v>
      </c>
    </row>
    <row r="291" spans="1:31" ht="15" customHeight="1">
      <c r="A291" s="1711"/>
      <c r="B291" s="116">
        <v>6</v>
      </c>
      <c r="C291" s="294">
        <f t="shared" si="78"/>
        <v>0</v>
      </c>
      <c r="D291" s="295">
        <f t="shared" si="81"/>
        <v>0</v>
      </c>
      <c r="E291" s="295">
        <f t="shared" si="79"/>
        <v>0</v>
      </c>
      <c r="F291" s="295">
        <f t="shared" si="79"/>
        <v>0</v>
      </c>
      <c r="G291" s="295">
        <f t="shared" si="79"/>
        <v>0</v>
      </c>
      <c r="H291" s="295">
        <f t="shared" si="79"/>
        <v>0</v>
      </c>
      <c r="I291" s="295">
        <f t="shared" si="79"/>
        <v>0</v>
      </c>
      <c r="J291" s="295">
        <f t="shared" si="79"/>
        <v>0</v>
      </c>
      <c r="K291" s="295">
        <f t="shared" si="79"/>
        <v>0</v>
      </c>
      <c r="L291" s="295">
        <f t="shared" si="79"/>
        <v>0</v>
      </c>
      <c r="M291" s="295">
        <f t="shared" si="79"/>
        <v>0</v>
      </c>
      <c r="N291" s="295">
        <f t="shared" si="80"/>
        <v>0</v>
      </c>
      <c r="O291" s="295">
        <f t="shared" si="80"/>
        <v>0</v>
      </c>
      <c r="P291" s="295">
        <f t="shared" si="80"/>
        <v>0</v>
      </c>
      <c r="Q291" s="295">
        <f t="shared" si="79"/>
        <v>0</v>
      </c>
      <c r="R291" s="295">
        <f t="shared" si="79"/>
        <v>0</v>
      </c>
      <c r="S291" s="295">
        <f t="shared" si="79"/>
        <v>0</v>
      </c>
      <c r="T291" s="295">
        <f t="shared" si="79"/>
        <v>0</v>
      </c>
      <c r="U291" s="295">
        <f t="shared" si="79"/>
        <v>0</v>
      </c>
      <c r="V291" s="295">
        <f t="shared" si="79"/>
        <v>0</v>
      </c>
      <c r="W291" s="295">
        <f t="shared" si="79"/>
        <v>0</v>
      </c>
      <c r="X291" s="295">
        <f t="shared" si="79"/>
        <v>0</v>
      </c>
      <c r="Y291" s="295">
        <f t="shared" si="79"/>
        <v>0</v>
      </c>
      <c r="Z291" s="295">
        <f t="shared" si="79"/>
        <v>0</v>
      </c>
      <c r="AA291" s="295">
        <f t="shared" si="79"/>
        <v>0</v>
      </c>
      <c r="AB291" s="295">
        <f t="shared" si="79"/>
        <v>0</v>
      </c>
      <c r="AC291" s="295">
        <f t="shared" si="79"/>
        <v>0</v>
      </c>
      <c r="AD291" s="295">
        <f t="shared" si="79"/>
        <v>0</v>
      </c>
      <c r="AE291" s="296">
        <f t="shared" si="79"/>
        <v>0</v>
      </c>
    </row>
    <row r="292" spans="1:31" ht="15" customHeight="1">
      <c r="A292" s="1711"/>
      <c r="B292" s="116">
        <v>7</v>
      </c>
      <c r="C292" s="294">
        <f t="shared" si="78"/>
        <v>0</v>
      </c>
      <c r="D292" s="295">
        <f t="shared" si="81"/>
        <v>0</v>
      </c>
      <c r="E292" s="295">
        <f t="shared" si="79"/>
        <v>0</v>
      </c>
      <c r="F292" s="295">
        <f t="shared" si="79"/>
        <v>0</v>
      </c>
      <c r="G292" s="295">
        <f t="shared" si="79"/>
        <v>0</v>
      </c>
      <c r="H292" s="295">
        <f t="shared" si="79"/>
        <v>0</v>
      </c>
      <c r="I292" s="295">
        <f t="shared" si="79"/>
        <v>0</v>
      </c>
      <c r="J292" s="295">
        <f t="shared" si="79"/>
        <v>0</v>
      </c>
      <c r="K292" s="295">
        <f t="shared" si="79"/>
        <v>0</v>
      </c>
      <c r="L292" s="295">
        <f t="shared" si="79"/>
        <v>0</v>
      </c>
      <c r="M292" s="295">
        <f t="shared" si="79"/>
        <v>0</v>
      </c>
      <c r="N292" s="295">
        <f t="shared" si="80"/>
        <v>0</v>
      </c>
      <c r="O292" s="295">
        <f t="shared" si="80"/>
        <v>0</v>
      </c>
      <c r="P292" s="295">
        <f t="shared" si="80"/>
        <v>0</v>
      </c>
      <c r="Q292" s="295">
        <f t="shared" si="79"/>
        <v>0</v>
      </c>
      <c r="R292" s="295">
        <f t="shared" si="79"/>
        <v>0</v>
      </c>
      <c r="S292" s="295">
        <f t="shared" si="79"/>
        <v>0</v>
      </c>
      <c r="T292" s="295">
        <f t="shared" si="79"/>
        <v>0</v>
      </c>
      <c r="U292" s="295">
        <f t="shared" si="79"/>
        <v>0</v>
      </c>
      <c r="V292" s="295">
        <f t="shared" si="79"/>
        <v>0</v>
      </c>
      <c r="W292" s="295">
        <f t="shared" si="79"/>
        <v>0</v>
      </c>
      <c r="X292" s="295">
        <f t="shared" si="79"/>
        <v>0</v>
      </c>
      <c r="Y292" s="295">
        <f t="shared" si="79"/>
        <v>0</v>
      </c>
      <c r="Z292" s="295">
        <f t="shared" si="79"/>
        <v>0</v>
      </c>
      <c r="AA292" s="295">
        <f t="shared" si="79"/>
        <v>0</v>
      </c>
      <c r="AB292" s="295">
        <f t="shared" si="79"/>
        <v>0</v>
      </c>
      <c r="AC292" s="295">
        <f t="shared" si="79"/>
        <v>0</v>
      </c>
      <c r="AD292" s="295">
        <f t="shared" si="79"/>
        <v>0</v>
      </c>
      <c r="AE292" s="296">
        <f t="shared" si="79"/>
        <v>0</v>
      </c>
    </row>
    <row r="293" spans="1:31" ht="15" customHeight="1">
      <c r="A293" s="1711"/>
      <c r="B293" s="116">
        <v>8</v>
      </c>
      <c r="C293" s="294">
        <f t="shared" si="78"/>
        <v>0</v>
      </c>
      <c r="D293" s="295">
        <f t="shared" si="81"/>
        <v>0</v>
      </c>
      <c r="E293" s="295">
        <f t="shared" si="79"/>
        <v>0</v>
      </c>
      <c r="F293" s="295">
        <f t="shared" si="79"/>
        <v>0</v>
      </c>
      <c r="G293" s="295">
        <f t="shared" si="79"/>
        <v>0</v>
      </c>
      <c r="H293" s="295">
        <f t="shared" si="79"/>
        <v>0</v>
      </c>
      <c r="I293" s="295">
        <f t="shared" si="79"/>
        <v>0</v>
      </c>
      <c r="J293" s="295">
        <f t="shared" si="79"/>
        <v>0</v>
      </c>
      <c r="K293" s="295">
        <f t="shared" si="79"/>
        <v>0</v>
      </c>
      <c r="L293" s="295">
        <f t="shared" si="79"/>
        <v>0</v>
      </c>
      <c r="M293" s="295">
        <f t="shared" si="79"/>
        <v>0</v>
      </c>
      <c r="N293" s="295">
        <f t="shared" si="80"/>
        <v>0</v>
      </c>
      <c r="O293" s="295">
        <f t="shared" si="80"/>
        <v>0</v>
      </c>
      <c r="P293" s="295">
        <f t="shared" si="80"/>
        <v>0</v>
      </c>
      <c r="Q293" s="295">
        <f t="shared" si="79"/>
        <v>0</v>
      </c>
      <c r="R293" s="295">
        <f t="shared" si="79"/>
        <v>0</v>
      </c>
      <c r="S293" s="295">
        <f t="shared" si="79"/>
        <v>0</v>
      </c>
      <c r="T293" s="295">
        <f t="shared" si="79"/>
        <v>0</v>
      </c>
      <c r="U293" s="295">
        <f t="shared" si="79"/>
        <v>0</v>
      </c>
      <c r="V293" s="295">
        <f t="shared" si="79"/>
        <v>0</v>
      </c>
      <c r="W293" s="295">
        <f t="shared" si="79"/>
        <v>0</v>
      </c>
      <c r="X293" s="295">
        <f t="shared" si="79"/>
        <v>0</v>
      </c>
      <c r="Y293" s="295">
        <f t="shared" si="79"/>
        <v>0</v>
      </c>
      <c r="Z293" s="295">
        <f t="shared" si="79"/>
        <v>0</v>
      </c>
      <c r="AA293" s="295">
        <f t="shared" si="79"/>
        <v>0</v>
      </c>
      <c r="AB293" s="295">
        <f t="shared" si="79"/>
        <v>0</v>
      </c>
      <c r="AC293" s="295">
        <f t="shared" si="79"/>
        <v>0</v>
      </c>
      <c r="AD293" s="295">
        <f t="shared" si="79"/>
        <v>0</v>
      </c>
      <c r="AE293" s="296">
        <f t="shared" si="79"/>
        <v>0</v>
      </c>
    </row>
    <row r="294" spans="1:31" ht="15" customHeight="1">
      <c r="A294" s="1711"/>
      <c r="B294" s="116">
        <v>9</v>
      </c>
      <c r="C294" s="294">
        <f t="shared" si="78"/>
        <v>0</v>
      </c>
      <c r="D294" s="295">
        <f t="shared" si="81"/>
        <v>0</v>
      </c>
      <c r="E294" s="295">
        <f t="shared" si="79"/>
        <v>0</v>
      </c>
      <c r="F294" s="295">
        <f t="shared" si="79"/>
        <v>0</v>
      </c>
      <c r="G294" s="295">
        <f t="shared" si="79"/>
        <v>0</v>
      </c>
      <c r="H294" s="295">
        <f t="shared" si="79"/>
        <v>0</v>
      </c>
      <c r="I294" s="295">
        <f t="shared" si="79"/>
        <v>0</v>
      </c>
      <c r="J294" s="295">
        <f t="shared" si="79"/>
        <v>0</v>
      </c>
      <c r="K294" s="295">
        <f t="shared" si="79"/>
        <v>0</v>
      </c>
      <c r="L294" s="295">
        <f t="shared" si="79"/>
        <v>0</v>
      </c>
      <c r="M294" s="295">
        <f t="shared" si="79"/>
        <v>0</v>
      </c>
      <c r="N294" s="295">
        <f t="shared" si="80"/>
        <v>0</v>
      </c>
      <c r="O294" s="295">
        <f t="shared" si="80"/>
        <v>0</v>
      </c>
      <c r="P294" s="295">
        <f t="shared" si="80"/>
        <v>0</v>
      </c>
      <c r="Q294" s="295">
        <f t="shared" si="79"/>
        <v>0</v>
      </c>
      <c r="R294" s="295">
        <f t="shared" si="79"/>
        <v>0</v>
      </c>
      <c r="S294" s="295">
        <f t="shared" si="79"/>
        <v>0</v>
      </c>
      <c r="T294" s="295">
        <f t="shared" si="79"/>
        <v>0</v>
      </c>
      <c r="U294" s="295">
        <f t="shared" si="79"/>
        <v>0</v>
      </c>
      <c r="V294" s="295">
        <f t="shared" si="79"/>
        <v>0</v>
      </c>
      <c r="W294" s="295">
        <f t="shared" si="79"/>
        <v>0</v>
      </c>
      <c r="X294" s="295">
        <f t="shared" si="79"/>
        <v>0</v>
      </c>
      <c r="Y294" s="295">
        <f t="shared" si="79"/>
        <v>0</v>
      </c>
      <c r="Z294" s="295">
        <f t="shared" si="79"/>
        <v>0</v>
      </c>
      <c r="AA294" s="295">
        <f t="shared" si="79"/>
        <v>0</v>
      </c>
      <c r="AB294" s="295">
        <f t="shared" si="79"/>
        <v>0</v>
      </c>
      <c r="AC294" s="295">
        <f t="shared" si="79"/>
        <v>0</v>
      </c>
      <c r="AD294" s="295">
        <f t="shared" si="79"/>
        <v>0</v>
      </c>
      <c r="AE294" s="296">
        <f t="shared" si="79"/>
        <v>0</v>
      </c>
    </row>
    <row r="295" spans="1:31" ht="15" customHeight="1">
      <c r="A295" s="1711"/>
      <c r="B295" s="116">
        <v>10</v>
      </c>
      <c r="C295" s="294">
        <f t="shared" si="78"/>
        <v>0</v>
      </c>
      <c r="D295" s="295">
        <f t="shared" si="81"/>
        <v>0</v>
      </c>
      <c r="E295" s="295">
        <f t="shared" si="79"/>
        <v>0</v>
      </c>
      <c r="F295" s="295">
        <f t="shared" si="79"/>
        <v>0</v>
      </c>
      <c r="G295" s="295">
        <f t="shared" si="79"/>
        <v>0</v>
      </c>
      <c r="H295" s="295">
        <f t="shared" si="79"/>
        <v>0</v>
      </c>
      <c r="I295" s="295">
        <f t="shared" si="79"/>
        <v>0</v>
      </c>
      <c r="J295" s="295">
        <f t="shared" si="79"/>
        <v>0</v>
      </c>
      <c r="K295" s="295">
        <f t="shared" si="79"/>
        <v>0</v>
      </c>
      <c r="L295" s="295">
        <f t="shared" si="79"/>
        <v>0</v>
      </c>
      <c r="M295" s="295">
        <f t="shared" si="79"/>
        <v>0</v>
      </c>
      <c r="N295" s="295">
        <f t="shared" si="80"/>
        <v>0</v>
      </c>
      <c r="O295" s="295">
        <f t="shared" si="80"/>
        <v>0</v>
      </c>
      <c r="P295" s="295">
        <f t="shared" si="80"/>
        <v>0</v>
      </c>
      <c r="Q295" s="295">
        <f t="shared" si="79"/>
        <v>0</v>
      </c>
      <c r="R295" s="295">
        <f t="shared" si="79"/>
        <v>0</v>
      </c>
      <c r="S295" s="295">
        <f t="shared" si="79"/>
        <v>0</v>
      </c>
      <c r="T295" s="295">
        <f t="shared" si="79"/>
        <v>0</v>
      </c>
      <c r="U295" s="295">
        <f t="shared" si="79"/>
        <v>0</v>
      </c>
      <c r="V295" s="295">
        <f t="shared" si="79"/>
        <v>0</v>
      </c>
      <c r="W295" s="295">
        <f t="shared" si="79"/>
        <v>0</v>
      </c>
      <c r="X295" s="295">
        <f t="shared" si="79"/>
        <v>0</v>
      </c>
      <c r="Y295" s="295">
        <f t="shared" si="79"/>
        <v>0</v>
      </c>
      <c r="Z295" s="295">
        <f t="shared" si="79"/>
        <v>0</v>
      </c>
      <c r="AA295" s="295">
        <f t="shared" si="79"/>
        <v>0</v>
      </c>
      <c r="AB295" s="295">
        <f t="shared" si="79"/>
        <v>0</v>
      </c>
      <c r="AC295" s="295">
        <f t="shared" si="79"/>
        <v>0</v>
      </c>
      <c r="AD295" s="295">
        <f t="shared" si="79"/>
        <v>0</v>
      </c>
      <c r="AE295" s="296">
        <f t="shared" si="79"/>
        <v>0</v>
      </c>
    </row>
    <row r="296" spans="1:31" ht="15" customHeight="1">
      <c r="A296" s="1711"/>
      <c r="B296" s="116">
        <v>11</v>
      </c>
      <c r="C296" s="294">
        <f t="shared" si="78"/>
        <v>0</v>
      </c>
      <c r="D296" s="295">
        <f t="shared" si="81"/>
        <v>0</v>
      </c>
      <c r="E296" s="295">
        <f t="shared" si="81"/>
        <v>0</v>
      </c>
      <c r="F296" s="295">
        <f t="shared" si="81"/>
        <v>0</v>
      </c>
      <c r="G296" s="295">
        <f t="shared" si="81"/>
        <v>0</v>
      </c>
      <c r="H296" s="295">
        <f t="shared" si="81"/>
        <v>0</v>
      </c>
      <c r="I296" s="295">
        <f t="shared" si="81"/>
        <v>0</v>
      </c>
      <c r="J296" s="295">
        <f t="shared" si="81"/>
        <v>0</v>
      </c>
      <c r="K296" s="295">
        <f t="shared" si="81"/>
        <v>0</v>
      </c>
      <c r="L296" s="295">
        <f t="shared" si="81"/>
        <v>0</v>
      </c>
      <c r="M296" s="295">
        <f t="shared" si="81"/>
        <v>0</v>
      </c>
      <c r="N296" s="295">
        <f t="shared" si="80"/>
        <v>0</v>
      </c>
      <c r="O296" s="295">
        <f t="shared" si="80"/>
        <v>0</v>
      </c>
      <c r="P296" s="295">
        <f t="shared" si="80"/>
        <v>0</v>
      </c>
      <c r="Q296" s="295">
        <f t="shared" si="81"/>
        <v>0</v>
      </c>
      <c r="R296" s="295">
        <f t="shared" si="81"/>
        <v>0</v>
      </c>
      <c r="S296" s="295">
        <f t="shared" si="81"/>
        <v>0</v>
      </c>
      <c r="T296" s="295">
        <f t="shared" ref="E296:AE305" si="82">S295*$C268</f>
        <v>0</v>
      </c>
      <c r="U296" s="295">
        <f t="shared" si="82"/>
        <v>0</v>
      </c>
      <c r="V296" s="295">
        <f t="shared" si="82"/>
        <v>0</v>
      </c>
      <c r="W296" s="295">
        <f t="shared" si="82"/>
        <v>0</v>
      </c>
      <c r="X296" s="295">
        <f t="shared" si="82"/>
        <v>0</v>
      </c>
      <c r="Y296" s="295">
        <f t="shared" si="82"/>
        <v>0</v>
      </c>
      <c r="Z296" s="295">
        <f t="shared" si="82"/>
        <v>0</v>
      </c>
      <c r="AA296" s="295">
        <f t="shared" si="82"/>
        <v>0</v>
      </c>
      <c r="AB296" s="295">
        <f t="shared" si="82"/>
        <v>0</v>
      </c>
      <c r="AC296" s="295">
        <f t="shared" si="82"/>
        <v>0</v>
      </c>
      <c r="AD296" s="295">
        <f t="shared" si="82"/>
        <v>0</v>
      </c>
      <c r="AE296" s="296">
        <f t="shared" si="82"/>
        <v>0</v>
      </c>
    </row>
    <row r="297" spans="1:31" ht="15" customHeight="1">
      <c r="A297" s="1711"/>
      <c r="B297" s="116">
        <v>12</v>
      </c>
      <c r="C297" s="294">
        <f t="shared" si="78"/>
        <v>0</v>
      </c>
      <c r="D297" s="295">
        <f t="shared" si="81"/>
        <v>0</v>
      </c>
      <c r="E297" s="295">
        <f t="shared" si="82"/>
        <v>0</v>
      </c>
      <c r="F297" s="295">
        <f t="shared" si="82"/>
        <v>0</v>
      </c>
      <c r="G297" s="295">
        <f t="shared" si="82"/>
        <v>0</v>
      </c>
      <c r="H297" s="295">
        <f t="shared" si="82"/>
        <v>0</v>
      </c>
      <c r="I297" s="295">
        <f t="shared" si="82"/>
        <v>0</v>
      </c>
      <c r="J297" s="295">
        <f t="shared" si="82"/>
        <v>0</v>
      </c>
      <c r="K297" s="295">
        <f t="shared" si="82"/>
        <v>0</v>
      </c>
      <c r="L297" s="295">
        <f t="shared" si="82"/>
        <v>0</v>
      </c>
      <c r="M297" s="295">
        <f t="shared" si="82"/>
        <v>0</v>
      </c>
      <c r="N297" s="295">
        <f t="shared" si="80"/>
        <v>0</v>
      </c>
      <c r="O297" s="295">
        <f t="shared" si="80"/>
        <v>0</v>
      </c>
      <c r="P297" s="295">
        <f t="shared" si="80"/>
        <v>0</v>
      </c>
      <c r="Q297" s="295">
        <f t="shared" si="82"/>
        <v>0</v>
      </c>
      <c r="R297" s="295">
        <f t="shared" si="82"/>
        <v>0</v>
      </c>
      <c r="S297" s="295">
        <f t="shared" si="82"/>
        <v>0</v>
      </c>
      <c r="T297" s="295">
        <f t="shared" si="82"/>
        <v>0</v>
      </c>
      <c r="U297" s="295">
        <f t="shared" si="82"/>
        <v>0</v>
      </c>
      <c r="V297" s="295">
        <f t="shared" si="82"/>
        <v>0</v>
      </c>
      <c r="W297" s="295">
        <f t="shared" si="82"/>
        <v>0</v>
      </c>
      <c r="X297" s="295">
        <f t="shared" si="82"/>
        <v>0</v>
      </c>
      <c r="Y297" s="295">
        <f t="shared" si="82"/>
        <v>0</v>
      </c>
      <c r="Z297" s="295">
        <f t="shared" si="82"/>
        <v>0</v>
      </c>
      <c r="AA297" s="295">
        <f t="shared" si="82"/>
        <v>0</v>
      </c>
      <c r="AB297" s="295">
        <f t="shared" si="82"/>
        <v>0</v>
      </c>
      <c r="AC297" s="295">
        <f t="shared" si="82"/>
        <v>0</v>
      </c>
      <c r="AD297" s="295">
        <f t="shared" si="82"/>
        <v>0</v>
      </c>
      <c r="AE297" s="296">
        <f t="shared" si="82"/>
        <v>0</v>
      </c>
    </row>
    <row r="298" spans="1:31" ht="15" customHeight="1">
      <c r="A298" s="1711"/>
      <c r="B298" s="116">
        <v>13</v>
      </c>
      <c r="C298" s="294">
        <f t="shared" si="78"/>
        <v>0</v>
      </c>
      <c r="D298" s="295">
        <f t="shared" si="81"/>
        <v>0</v>
      </c>
      <c r="E298" s="295">
        <f t="shared" si="82"/>
        <v>0</v>
      </c>
      <c r="F298" s="295">
        <f t="shared" si="82"/>
        <v>0</v>
      </c>
      <c r="G298" s="295">
        <f t="shared" si="82"/>
        <v>0</v>
      </c>
      <c r="H298" s="295">
        <f t="shared" si="82"/>
        <v>0</v>
      </c>
      <c r="I298" s="295">
        <f t="shared" si="82"/>
        <v>0</v>
      </c>
      <c r="J298" s="295">
        <f t="shared" si="82"/>
        <v>0</v>
      </c>
      <c r="K298" s="295">
        <f t="shared" si="82"/>
        <v>0</v>
      </c>
      <c r="L298" s="295">
        <f t="shared" si="82"/>
        <v>0</v>
      </c>
      <c r="M298" s="295">
        <f t="shared" si="82"/>
        <v>0</v>
      </c>
      <c r="N298" s="295">
        <f t="shared" si="80"/>
        <v>0</v>
      </c>
      <c r="O298" s="295">
        <f t="shared" si="80"/>
        <v>0</v>
      </c>
      <c r="P298" s="295">
        <f t="shared" si="80"/>
        <v>0</v>
      </c>
      <c r="Q298" s="295">
        <f t="shared" si="82"/>
        <v>0</v>
      </c>
      <c r="R298" s="295">
        <f t="shared" si="82"/>
        <v>0</v>
      </c>
      <c r="S298" s="295">
        <f t="shared" si="82"/>
        <v>0</v>
      </c>
      <c r="T298" s="295">
        <f t="shared" si="82"/>
        <v>0</v>
      </c>
      <c r="U298" s="295">
        <f t="shared" si="82"/>
        <v>0</v>
      </c>
      <c r="V298" s="295">
        <f t="shared" si="82"/>
        <v>0</v>
      </c>
      <c r="W298" s="295">
        <f t="shared" si="82"/>
        <v>0</v>
      </c>
      <c r="X298" s="295">
        <f t="shared" si="82"/>
        <v>0</v>
      </c>
      <c r="Y298" s="295">
        <f t="shared" si="82"/>
        <v>0</v>
      </c>
      <c r="Z298" s="295">
        <f t="shared" si="82"/>
        <v>0</v>
      </c>
      <c r="AA298" s="295">
        <f t="shared" si="82"/>
        <v>0</v>
      </c>
      <c r="AB298" s="295">
        <f t="shared" si="82"/>
        <v>0</v>
      </c>
      <c r="AC298" s="295">
        <f t="shared" si="82"/>
        <v>0</v>
      </c>
      <c r="AD298" s="295">
        <f t="shared" si="82"/>
        <v>0</v>
      </c>
      <c r="AE298" s="296">
        <f t="shared" si="82"/>
        <v>0</v>
      </c>
    </row>
    <row r="299" spans="1:31" ht="15" customHeight="1">
      <c r="A299" s="1711"/>
      <c r="B299" s="116">
        <v>14</v>
      </c>
      <c r="C299" s="294">
        <f t="shared" si="78"/>
        <v>0</v>
      </c>
      <c r="D299" s="295">
        <f t="shared" si="81"/>
        <v>0</v>
      </c>
      <c r="E299" s="295">
        <f t="shared" si="82"/>
        <v>0</v>
      </c>
      <c r="F299" s="295">
        <f t="shared" si="82"/>
        <v>0</v>
      </c>
      <c r="G299" s="295">
        <f t="shared" si="82"/>
        <v>0</v>
      </c>
      <c r="H299" s="295">
        <f t="shared" si="82"/>
        <v>0</v>
      </c>
      <c r="I299" s="295">
        <f t="shared" si="82"/>
        <v>0</v>
      </c>
      <c r="J299" s="295">
        <f t="shared" si="82"/>
        <v>0</v>
      </c>
      <c r="K299" s="295">
        <f t="shared" si="82"/>
        <v>0</v>
      </c>
      <c r="L299" s="295">
        <f t="shared" si="82"/>
        <v>0</v>
      </c>
      <c r="M299" s="295">
        <f t="shared" si="82"/>
        <v>0</v>
      </c>
      <c r="N299" s="295">
        <f t="shared" si="80"/>
        <v>0</v>
      </c>
      <c r="O299" s="295">
        <f t="shared" si="80"/>
        <v>0</v>
      </c>
      <c r="P299" s="295">
        <f t="shared" si="80"/>
        <v>0</v>
      </c>
      <c r="Q299" s="295">
        <f t="shared" si="82"/>
        <v>0</v>
      </c>
      <c r="R299" s="295">
        <f t="shared" si="82"/>
        <v>0</v>
      </c>
      <c r="S299" s="295">
        <f t="shared" si="82"/>
        <v>0</v>
      </c>
      <c r="T299" s="295">
        <f t="shared" si="82"/>
        <v>0</v>
      </c>
      <c r="U299" s="295">
        <f t="shared" si="82"/>
        <v>0</v>
      </c>
      <c r="V299" s="295">
        <f t="shared" si="82"/>
        <v>0</v>
      </c>
      <c r="W299" s="295">
        <f t="shared" si="82"/>
        <v>0</v>
      </c>
      <c r="X299" s="295">
        <f t="shared" si="82"/>
        <v>0</v>
      </c>
      <c r="Y299" s="295">
        <f t="shared" si="82"/>
        <v>0</v>
      </c>
      <c r="Z299" s="295">
        <f t="shared" si="82"/>
        <v>0</v>
      </c>
      <c r="AA299" s="295">
        <f t="shared" si="82"/>
        <v>0</v>
      </c>
      <c r="AB299" s="295">
        <f t="shared" si="82"/>
        <v>0</v>
      </c>
      <c r="AC299" s="295">
        <f t="shared" si="82"/>
        <v>0</v>
      </c>
      <c r="AD299" s="295">
        <f t="shared" si="82"/>
        <v>0</v>
      </c>
      <c r="AE299" s="296">
        <f t="shared" si="82"/>
        <v>0</v>
      </c>
    </row>
    <row r="300" spans="1:31" ht="15" customHeight="1">
      <c r="A300" s="1711"/>
      <c r="B300" s="116">
        <v>15</v>
      </c>
      <c r="C300" s="294">
        <f t="shared" si="78"/>
        <v>0</v>
      </c>
      <c r="D300" s="295">
        <f t="shared" si="81"/>
        <v>0</v>
      </c>
      <c r="E300" s="295">
        <f t="shared" si="82"/>
        <v>0</v>
      </c>
      <c r="F300" s="295">
        <f t="shared" si="82"/>
        <v>0</v>
      </c>
      <c r="G300" s="295">
        <f t="shared" si="82"/>
        <v>0</v>
      </c>
      <c r="H300" s="295">
        <f t="shared" si="82"/>
        <v>0</v>
      </c>
      <c r="I300" s="295">
        <f t="shared" si="82"/>
        <v>0</v>
      </c>
      <c r="J300" s="295">
        <f t="shared" si="82"/>
        <v>0</v>
      </c>
      <c r="K300" s="295">
        <f t="shared" si="82"/>
        <v>0</v>
      </c>
      <c r="L300" s="295">
        <f t="shared" si="82"/>
        <v>0</v>
      </c>
      <c r="M300" s="295">
        <f t="shared" si="82"/>
        <v>0</v>
      </c>
      <c r="N300" s="295">
        <f t="shared" si="80"/>
        <v>0</v>
      </c>
      <c r="O300" s="295">
        <f t="shared" si="80"/>
        <v>0</v>
      </c>
      <c r="P300" s="295">
        <f t="shared" si="80"/>
        <v>0</v>
      </c>
      <c r="Q300" s="295">
        <f t="shared" si="82"/>
        <v>0</v>
      </c>
      <c r="R300" s="295">
        <f t="shared" si="82"/>
        <v>0</v>
      </c>
      <c r="S300" s="295">
        <f t="shared" si="82"/>
        <v>0</v>
      </c>
      <c r="T300" s="295">
        <f t="shared" si="82"/>
        <v>0</v>
      </c>
      <c r="U300" s="295">
        <f t="shared" si="82"/>
        <v>0</v>
      </c>
      <c r="V300" s="295">
        <f t="shared" si="82"/>
        <v>0</v>
      </c>
      <c r="W300" s="295">
        <f t="shared" si="82"/>
        <v>0</v>
      </c>
      <c r="X300" s="295">
        <f t="shared" si="82"/>
        <v>0</v>
      </c>
      <c r="Y300" s="295">
        <f t="shared" si="82"/>
        <v>0</v>
      </c>
      <c r="Z300" s="295">
        <f t="shared" si="82"/>
        <v>0</v>
      </c>
      <c r="AA300" s="295">
        <f t="shared" si="82"/>
        <v>0</v>
      </c>
      <c r="AB300" s="295">
        <f t="shared" si="82"/>
        <v>0</v>
      </c>
      <c r="AC300" s="295">
        <f t="shared" si="82"/>
        <v>0</v>
      </c>
      <c r="AD300" s="295">
        <f t="shared" si="82"/>
        <v>0</v>
      </c>
      <c r="AE300" s="296">
        <f t="shared" si="82"/>
        <v>0</v>
      </c>
    </row>
    <row r="301" spans="1:31" ht="15" customHeight="1">
      <c r="A301" s="1711"/>
      <c r="B301" s="116">
        <v>16</v>
      </c>
      <c r="C301" s="294">
        <f t="shared" ref="C301:C305" si="83">(EXP(15-B301)*P20/(EXP(-1)+EXP(-2)+EXP(-3)+EXP(-4)+EXP(-5)+EXP(-6)+EXP(-7)+EXP(-8)+EXP(-9)+EXP(-10)))</f>
        <v>0</v>
      </c>
      <c r="D301" s="295">
        <f t="shared" si="81"/>
        <v>0</v>
      </c>
      <c r="E301" s="295">
        <f t="shared" si="82"/>
        <v>0</v>
      </c>
      <c r="F301" s="295">
        <f t="shared" si="82"/>
        <v>0</v>
      </c>
      <c r="G301" s="295">
        <f t="shared" si="82"/>
        <v>0</v>
      </c>
      <c r="H301" s="295">
        <f t="shared" si="82"/>
        <v>0</v>
      </c>
      <c r="I301" s="295">
        <f t="shared" si="82"/>
        <v>0</v>
      </c>
      <c r="J301" s="295">
        <f t="shared" si="82"/>
        <v>0</v>
      </c>
      <c r="K301" s="295">
        <f t="shared" si="82"/>
        <v>0</v>
      </c>
      <c r="L301" s="295">
        <f t="shared" si="82"/>
        <v>0</v>
      </c>
      <c r="M301" s="295">
        <f t="shared" si="82"/>
        <v>0</v>
      </c>
      <c r="N301" s="295">
        <f t="shared" si="80"/>
        <v>0</v>
      </c>
      <c r="O301" s="295">
        <f t="shared" si="80"/>
        <v>0</v>
      </c>
      <c r="P301" s="295">
        <f t="shared" si="80"/>
        <v>0</v>
      </c>
      <c r="Q301" s="295">
        <f t="shared" si="82"/>
        <v>0</v>
      </c>
      <c r="R301" s="295">
        <f t="shared" si="82"/>
        <v>0</v>
      </c>
      <c r="S301" s="295">
        <f t="shared" si="82"/>
        <v>0</v>
      </c>
      <c r="T301" s="295">
        <f t="shared" si="82"/>
        <v>0</v>
      </c>
      <c r="U301" s="295">
        <f t="shared" si="82"/>
        <v>0</v>
      </c>
      <c r="V301" s="295">
        <f t="shared" si="82"/>
        <v>0</v>
      </c>
      <c r="W301" s="295">
        <f t="shared" si="82"/>
        <v>0</v>
      </c>
      <c r="X301" s="295">
        <f t="shared" si="82"/>
        <v>0</v>
      </c>
      <c r="Y301" s="295">
        <f t="shared" si="82"/>
        <v>0</v>
      </c>
      <c r="Z301" s="295">
        <f t="shared" si="82"/>
        <v>0</v>
      </c>
      <c r="AA301" s="295">
        <f t="shared" si="82"/>
        <v>0</v>
      </c>
      <c r="AB301" s="295">
        <f t="shared" si="82"/>
        <v>0</v>
      </c>
      <c r="AC301" s="295">
        <f t="shared" si="82"/>
        <v>0</v>
      </c>
      <c r="AD301" s="295">
        <f t="shared" si="82"/>
        <v>0</v>
      </c>
      <c r="AE301" s="296">
        <f t="shared" si="82"/>
        <v>0</v>
      </c>
    </row>
    <row r="302" spans="1:31" ht="15" customHeight="1">
      <c r="A302" s="1711"/>
      <c r="B302" s="116">
        <v>17</v>
      </c>
      <c r="C302" s="294">
        <f t="shared" si="83"/>
        <v>0</v>
      </c>
      <c r="D302" s="295">
        <f t="shared" si="81"/>
        <v>0</v>
      </c>
      <c r="E302" s="295">
        <f t="shared" si="82"/>
        <v>0</v>
      </c>
      <c r="F302" s="295">
        <f t="shared" si="82"/>
        <v>0</v>
      </c>
      <c r="G302" s="295">
        <f t="shared" si="82"/>
        <v>0</v>
      </c>
      <c r="H302" s="295">
        <f t="shared" si="82"/>
        <v>0</v>
      </c>
      <c r="I302" s="295">
        <f t="shared" si="82"/>
        <v>0</v>
      </c>
      <c r="J302" s="295">
        <f t="shared" si="82"/>
        <v>0</v>
      </c>
      <c r="K302" s="295">
        <f t="shared" si="82"/>
        <v>0</v>
      </c>
      <c r="L302" s="295">
        <f t="shared" si="82"/>
        <v>0</v>
      </c>
      <c r="M302" s="295">
        <f t="shared" si="82"/>
        <v>0</v>
      </c>
      <c r="N302" s="295">
        <f t="shared" si="80"/>
        <v>0</v>
      </c>
      <c r="O302" s="295">
        <f t="shared" si="80"/>
        <v>0</v>
      </c>
      <c r="P302" s="295">
        <f t="shared" si="80"/>
        <v>0</v>
      </c>
      <c r="Q302" s="295">
        <f t="shared" si="82"/>
        <v>0</v>
      </c>
      <c r="R302" s="295">
        <f t="shared" si="82"/>
        <v>0</v>
      </c>
      <c r="S302" s="295">
        <f t="shared" si="82"/>
        <v>0</v>
      </c>
      <c r="T302" s="295">
        <f t="shared" si="82"/>
        <v>0</v>
      </c>
      <c r="U302" s="295">
        <f t="shared" si="82"/>
        <v>0</v>
      </c>
      <c r="V302" s="295">
        <f t="shared" si="82"/>
        <v>0</v>
      </c>
      <c r="W302" s="295">
        <f t="shared" si="82"/>
        <v>0</v>
      </c>
      <c r="X302" s="295">
        <f t="shared" si="82"/>
        <v>0</v>
      </c>
      <c r="Y302" s="295">
        <f t="shared" si="82"/>
        <v>0</v>
      </c>
      <c r="Z302" s="295">
        <f t="shared" si="82"/>
        <v>0</v>
      </c>
      <c r="AA302" s="295">
        <f t="shared" si="82"/>
        <v>0</v>
      </c>
      <c r="AB302" s="295">
        <f t="shared" si="82"/>
        <v>0</v>
      </c>
      <c r="AC302" s="295">
        <f t="shared" si="82"/>
        <v>0</v>
      </c>
      <c r="AD302" s="295">
        <f t="shared" si="82"/>
        <v>0</v>
      </c>
      <c r="AE302" s="296">
        <f t="shared" si="82"/>
        <v>0</v>
      </c>
    </row>
    <row r="303" spans="1:31" ht="15.75" customHeight="1">
      <c r="A303" s="1711"/>
      <c r="B303" s="116">
        <v>18</v>
      </c>
      <c r="C303" s="294">
        <f t="shared" si="83"/>
        <v>0</v>
      </c>
      <c r="D303" s="295">
        <f t="shared" ref="D303:S310" si="84">C302*$C275</f>
        <v>0</v>
      </c>
      <c r="E303" s="295">
        <f t="shared" si="82"/>
        <v>0</v>
      </c>
      <c r="F303" s="295">
        <f t="shared" si="82"/>
        <v>0</v>
      </c>
      <c r="G303" s="295">
        <f t="shared" si="82"/>
        <v>0</v>
      </c>
      <c r="H303" s="295">
        <f t="shared" si="82"/>
        <v>0</v>
      </c>
      <c r="I303" s="295">
        <f t="shared" si="82"/>
        <v>0</v>
      </c>
      <c r="J303" s="295">
        <f t="shared" si="82"/>
        <v>0</v>
      </c>
      <c r="K303" s="295">
        <f t="shared" si="82"/>
        <v>0</v>
      </c>
      <c r="L303" s="295">
        <f t="shared" si="82"/>
        <v>0</v>
      </c>
      <c r="M303" s="295">
        <f t="shared" si="82"/>
        <v>0</v>
      </c>
      <c r="N303" s="295">
        <f t="shared" si="80"/>
        <v>0</v>
      </c>
      <c r="O303" s="295">
        <f t="shared" si="80"/>
        <v>0</v>
      </c>
      <c r="P303" s="295">
        <f t="shared" si="80"/>
        <v>0</v>
      </c>
      <c r="Q303" s="295">
        <f t="shared" si="82"/>
        <v>0</v>
      </c>
      <c r="R303" s="295">
        <f t="shared" si="82"/>
        <v>0</v>
      </c>
      <c r="S303" s="295">
        <f t="shared" si="82"/>
        <v>0</v>
      </c>
      <c r="T303" s="295">
        <f t="shared" si="82"/>
        <v>0</v>
      </c>
      <c r="U303" s="295">
        <f t="shared" si="82"/>
        <v>0</v>
      </c>
      <c r="V303" s="295">
        <f t="shared" si="82"/>
        <v>0</v>
      </c>
      <c r="W303" s="295">
        <f t="shared" si="82"/>
        <v>0</v>
      </c>
      <c r="X303" s="295">
        <f t="shared" si="82"/>
        <v>0</v>
      </c>
      <c r="Y303" s="295">
        <f t="shared" si="82"/>
        <v>0</v>
      </c>
      <c r="Z303" s="295">
        <f t="shared" si="82"/>
        <v>0</v>
      </c>
      <c r="AA303" s="295">
        <f t="shared" si="82"/>
        <v>0</v>
      </c>
      <c r="AB303" s="295">
        <f t="shared" si="82"/>
        <v>0</v>
      </c>
      <c r="AC303" s="295">
        <f t="shared" si="82"/>
        <v>0</v>
      </c>
      <c r="AD303" s="295">
        <f t="shared" si="82"/>
        <v>0</v>
      </c>
      <c r="AE303" s="296">
        <f t="shared" si="82"/>
        <v>0</v>
      </c>
    </row>
    <row r="304" spans="1:31" ht="16.5" customHeight="1">
      <c r="A304" s="1711"/>
      <c r="B304" s="116">
        <v>19</v>
      </c>
      <c r="C304" s="294">
        <f t="shared" si="83"/>
        <v>0</v>
      </c>
      <c r="D304" s="295">
        <f t="shared" si="84"/>
        <v>0</v>
      </c>
      <c r="E304" s="295">
        <f t="shared" si="82"/>
        <v>0</v>
      </c>
      <c r="F304" s="295">
        <f t="shared" si="82"/>
        <v>0</v>
      </c>
      <c r="G304" s="295">
        <f t="shared" si="82"/>
        <v>0</v>
      </c>
      <c r="H304" s="295">
        <f t="shared" si="82"/>
        <v>0</v>
      </c>
      <c r="I304" s="295">
        <f t="shared" si="82"/>
        <v>0</v>
      </c>
      <c r="J304" s="295">
        <f t="shared" si="82"/>
        <v>0</v>
      </c>
      <c r="K304" s="295">
        <f t="shared" si="82"/>
        <v>0</v>
      </c>
      <c r="L304" s="295">
        <f t="shared" si="82"/>
        <v>0</v>
      </c>
      <c r="M304" s="295">
        <f t="shared" si="82"/>
        <v>0</v>
      </c>
      <c r="N304" s="295">
        <f t="shared" si="80"/>
        <v>0</v>
      </c>
      <c r="O304" s="295">
        <f t="shared" si="80"/>
        <v>0</v>
      </c>
      <c r="P304" s="295">
        <f t="shared" si="80"/>
        <v>0</v>
      </c>
      <c r="Q304" s="295">
        <f t="shared" si="82"/>
        <v>0</v>
      </c>
      <c r="R304" s="295">
        <f t="shared" si="82"/>
        <v>0</v>
      </c>
      <c r="S304" s="295">
        <f t="shared" si="82"/>
        <v>0</v>
      </c>
      <c r="T304" s="295">
        <f t="shared" si="82"/>
        <v>0</v>
      </c>
      <c r="U304" s="295">
        <f t="shared" si="82"/>
        <v>0</v>
      </c>
      <c r="V304" s="295">
        <f t="shared" si="82"/>
        <v>0</v>
      </c>
      <c r="W304" s="295">
        <f t="shared" si="82"/>
        <v>0</v>
      </c>
      <c r="X304" s="295">
        <f t="shared" si="82"/>
        <v>0</v>
      </c>
      <c r="Y304" s="295">
        <f t="shared" si="82"/>
        <v>0</v>
      </c>
      <c r="Z304" s="295">
        <f t="shared" si="82"/>
        <v>0</v>
      </c>
      <c r="AA304" s="295">
        <f t="shared" si="82"/>
        <v>0</v>
      </c>
      <c r="AB304" s="295">
        <f t="shared" si="82"/>
        <v>0</v>
      </c>
      <c r="AC304" s="295">
        <f t="shared" si="82"/>
        <v>0</v>
      </c>
      <c r="AD304" s="295">
        <f t="shared" si="82"/>
        <v>0</v>
      </c>
      <c r="AE304" s="296">
        <f t="shared" si="82"/>
        <v>0</v>
      </c>
    </row>
    <row r="305" spans="1:31">
      <c r="A305" s="1711"/>
      <c r="B305" s="116">
        <v>20</v>
      </c>
      <c r="C305" s="294">
        <f t="shared" si="83"/>
        <v>0</v>
      </c>
      <c r="D305" s="295">
        <f t="shared" si="84"/>
        <v>0</v>
      </c>
      <c r="E305" s="295">
        <f t="shared" si="82"/>
        <v>0</v>
      </c>
      <c r="F305" s="295">
        <f t="shared" si="82"/>
        <v>0</v>
      </c>
      <c r="G305" s="295">
        <f t="shared" si="82"/>
        <v>0</v>
      </c>
      <c r="H305" s="295">
        <f t="shared" si="82"/>
        <v>0</v>
      </c>
      <c r="I305" s="295">
        <f t="shared" si="82"/>
        <v>0</v>
      </c>
      <c r="J305" s="295">
        <f t="shared" si="82"/>
        <v>0</v>
      </c>
      <c r="K305" s="295">
        <f t="shared" si="82"/>
        <v>0</v>
      </c>
      <c r="L305" s="295">
        <f t="shared" si="82"/>
        <v>0</v>
      </c>
      <c r="M305" s="295">
        <f t="shared" si="82"/>
        <v>0</v>
      </c>
      <c r="N305" s="295">
        <f t="shared" si="80"/>
        <v>0</v>
      </c>
      <c r="O305" s="295">
        <f t="shared" si="80"/>
        <v>0</v>
      </c>
      <c r="P305" s="295">
        <f t="shared" si="80"/>
        <v>0</v>
      </c>
      <c r="Q305" s="295">
        <f t="shared" si="82"/>
        <v>0</v>
      </c>
      <c r="R305" s="295">
        <f t="shared" si="82"/>
        <v>0</v>
      </c>
      <c r="S305" s="295">
        <f t="shared" si="82"/>
        <v>0</v>
      </c>
      <c r="T305" s="295">
        <f t="shared" si="82"/>
        <v>0</v>
      </c>
      <c r="U305" s="295">
        <f t="shared" si="82"/>
        <v>0</v>
      </c>
      <c r="V305" s="295">
        <f t="shared" si="82"/>
        <v>0</v>
      </c>
      <c r="W305" s="295">
        <f t="shared" si="82"/>
        <v>0</v>
      </c>
      <c r="X305" s="295">
        <f t="shared" si="82"/>
        <v>0</v>
      </c>
      <c r="Y305" s="295">
        <f t="shared" si="82"/>
        <v>0</v>
      </c>
      <c r="Z305" s="295">
        <f t="shared" si="82"/>
        <v>0</v>
      </c>
      <c r="AA305" s="295">
        <f t="shared" si="82"/>
        <v>0</v>
      </c>
      <c r="AB305" s="295">
        <f t="shared" si="82"/>
        <v>0</v>
      </c>
      <c r="AC305" s="295">
        <f t="shared" si="82"/>
        <v>0</v>
      </c>
      <c r="AD305" s="295">
        <f t="shared" si="82"/>
        <v>0</v>
      </c>
      <c r="AE305" s="296">
        <f t="shared" si="82"/>
        <v>0</v>
      </c>
    </row>
    <row r="306" spans="1:31" ht="15.75" customHeight="1">
      <c r="A306" s="1711"/>
      <c r="B306" s="116">
        <v>21</v>
      </c>
      <c r="C306" s="294">
        <f>(EXP(15-B306)*N25/(EXP(-1)+EXP(-2)+EXP(-3)+EXP(-4)+EXP(-5)+EXP(-6)+EXP(-7)+EXP(-8)+EXP(-9)+EXP(-10)))</f>
        <v>0</v>
      </c>
      <c r="D306" s="295">
        <f t="shared" si="84"/>
        <v>0</v>
      </c>
      <c r="E306" s="295">
        <f t="shared" si="84"/>
        <v>0</v>
      </c>
      <c r="F306" s="295">
        <f t="shared" si="84"/>
        <v>0</v>
      </c>
      <c r="G306" s="295">
        <f t="shared" si="84"/>
        <v>0</v>
      </c>
      <c r="H306" s="295">
        <f t="shared" si="84"/>
        <v>0</v>
      </c>
      <c r="I306" s="295">
        <f t="shared" si="84"/>
        <v>0</v>
      </c>
      <c r="J306" s="295">
        <f t="shared" si="84"/>
        <v>0</v>
      </c>
      <c r="K306" s="295">
        <f t="shared" si="84"/>
        <v>0</v>
      </c>
      <c r="L306" s="295">
        <f t="shared" si="84"/>
        <v>0</v>
      </c>
      <c r="M306" s="295">
        <f t="shared" si="84"/>
        <v>0</v>
      </c>
      <c r="N306" s="295">
        <f t="shared" si="80"/>
        <v>0</v>
      </c>
      <c r="O306" s="295">
        <f t="shared" si="80"/>
        <v>0</v>
      </c>
      <c r="P306" s="295">
        <f t="shared" si="80"/>
        <v>0</v>
      </c>
      <c r="Q306" s="295">
        <f t="shared" si="84"/>
        <v>0</v>
      </c>
      <c r="R306" s="295">
        <f t="shared" si="84"/>
        <v>0</v>
      </c>
      <c r="S306" s="295">
        <f t="shared" si="84"/>
        <v>0</v>
      </c>
      <c r="T306" s="295">
        <f t="shared" ref="T306:AE310" si="85">S305*$C278</f>
        <v>0</v>
      </c>
      <c r="U306" s="295">
        <f t="shared" si="85"/>
        <v>0</v>
      </c>
      <c r="V306" s="295">
        <f t="shared" si="85"/>
        <v>0</v>
      </c>
      <c r="W306" s="295">
        <f t="shared" si="85"/>
        <v>0</v>
      </c>
      <c r="X306" s="295">
        <f t="shared" si="85"/>
        <v>0</v>
      </c>
      <c r="Y306" s="295">
        <f t="shared" si="85"/>
        <v>0</v>
      </c>
      <c r="Z306" s="295">
        <f t="shared" si="85"/>
        <v>0</v>
      </c>
      <c r="AA306" s="295">
        <f t="shared" si="85"/>
        <v>0</v>
      </c>
      <c r="AB306" s="295">
        <f t="shared" si="85"/>
        <v>0</v>
      </c>
      <c r="AC306" s="295">
        <f t="shared" si="85"/>
        <v>0</v>
      </c>
      <c r="AD306" s="295">
        <f t="shared" si="85"/>
        <v>0</v>
      </c>
      <c r="AE306" s="296">
        <f t="shared" si="85"/>
        <v>0</v>
      </c>
    </row>
    <row r="307" spans="1:31" ht="15" customHeight="1">
      <c r="A307" s="1711"/>
      <c r="B307" s="116">
        <v>22</v>
      </c>
      <c r="C307" s="294">
        <f>(EXP(15-B307)*N26/(EXP(-1)+EXP(-2)+EXP(-3)+EXP(-4)+EXP(-5)+EXP(-6)+EXP(-7)+EXP(-8)+EXP(-9)+EXP(-10)))</f>
        <v>0</v>
      </c>
      <c r="D307" s="295">
        <f t="shared" si="84"/>
        <v>0</v>
      </c>
      <c r="E307" s="295">
        <f t="shared" si="84"/>
        <v>0</v>
      </c>
      <c r="F307" s="295">
        <f t="shared" si="84"/>
        <v>0</v>
      </c>
      <c r="G307" s="295">
        <f t="shared" si="84"/>
        <v>0</v>
      </c>
      <c r="H307" s="295">
        <f t="shared" si="84"/>
        <v>0</v>
      </c>
      <c r="I307" s="295">
        <f t="shared" si="84"/>
        <v>0</v>
      </c>
      <c r="J307" s="295">
        <f t="shared" si="84"/>
        <v>0</v>
      </c>
      <c r="K307" s="295">
        <f t="shared" si="84"/>
        <v>0</v>
      </c>
      <c r="L307" s="295">
        <f t="shared" si="84"/>
        <v>0</v>
      </c>
      <c r="M307" s="295">
        <f t="shared" si="84"/>
        <v>0</v>
      </c>
      <c r="N307" s="295">
        <f t="shared" si="80"/>
        <v>0</v>
      </c>
      <c r="O307" s="295">
        <f t="shared" si="80"/>
        <v>0</v>
      </c>
      <c r="P307" s="295">
        <f t="shared" si="80"/>
        <v>0</v>
      </c>
      <c r="Q307" s="295">
        <f t="shared" si="84"/>
        <v>0</v>
      </c>
      <c r="R307" s="295">
        <f t="shared" si="84"/>
        <v>0</v>
      </c>
      <c r="S307" s="295">
        <f t="shared" si="84"/>
        <v>0</v>
      </c>
      <c r="T307" s="295">
        <f t="shared" si="85"/>
        <v>0</v>
      </c>
      <c r="U307" s="295">
        <f t="shared" si="85"/>
        <v>0</v>
      </c>
      <c r="V307" s="295">
        <f t="shared" si="85"/>
        <v>0</v>
      </c>
      <c r="W307" s="295">
        <f t="shared" si="85"/>
        <v>0</v>
      </c>
      <c r="X307" s="295">
        <f t="shared" si="85"/>
        <v>0</v>
      </c>
      <c r="Y307" s="295">
        <f t="shared" si="85"/>
        <v>0</v>
      </c>
      <c r="Z307" s="295">
        <f t="shared" si="85"/>
        <v>0</v>
      </c>
      <c r="AA307" s="295">
        <f t="shared" si="85"/>
        <v>0</v>
      </c>
      <c r="AB307" s="295">
        <f t="shared" si="85"/>
        <v>0</v>
      </c>
      <c r="AC307" s="295">
        <f t="shared" si="85"/>
        <v>0</v>
      </c>
      <c r="AD307" s="295">
        <f t="shared" si="85"/>
        <v>0</v>
      </c>
      <c r="AE307" s="296">
        <f t="shared" si="85"/>
        <v>0</v>
      </c>
    </row>
    <row r="308" spans="1:31" ht="15" customHeight="1">
      <c r="A308" s="1711"/>
      <c r="B308" s="116">
        <v>23</v>
      </c>
      <c r="C308" s="294">
        <f>(EXP(15-B308)*N27/(EXP(-1)+EXP(-2)+EXP(-3)+EXP(-4)+EXP(-5)+EXP(-6)+EXP(-7)+EXP(-8)+EXP(-9)+EXP(-10)))</f>
        <v>0</v>
      </c>
      <c r="D308" s="295">
        <f t="shared" si="84"/>
        <v>0</v>
      </c>
      <c r="E308" s="295">
        <f t="shared" si="84"/>
        <v>0</v>
      </c>
      <c r="F308" s="295">
        <f t="shared" si="84"/>
        <v>0</v>
      </c>
      <c r="G308" s="295">
        <f t="shared" si="84"/>
        <v>0</v>
      </c>
      <c r="H308" s="295">
        <f t="shared" si="84"/>
        <v>0</v>
      </c>
      <c r="I308" s="295">
        <f t="shared" si="84"/>
        <v>0</v>
      </c>
      <c r="J308" s="295">
        <f t="shared" si="84"/>
        <v>0</v>
      </c>
      <c r="K308" s="295">
        <f t="shared" si="84"/>
        <v>0</v>
      </c>
      <c r="L308" s="295">
        <f t="shared" si="84"/>
        <v>0</v>
      </c>
      <c r="M308" s="295">
        <f t="shared" si="84"/>
        <v>0</v>
      </c>
      <c r="N308" s="295">
        <f t="shared" si="80"/>
        <v>0</v>
      </c>
      <c r="O308" s="295">
        <f t="shared" si="80"/>
        <v>0</v>
      </c>
      <c r="P308" s="295">
        <f t="shared" si="80"/>
        <v>0</v>
      </c>
      <c r="Q308" s="295">
        <f t="shared" si="84"/>
        <v>0</v>
      </c>
      <c r="R308" s="295">
        <f t="shared" si="84"/>
        <v>0</v>
      </c>
      <c r="S308" s="295">
        <f t="shared" si="84"/>
        <v>0</v>
      </c>
      <c r="T308" s="295">
        <f t="shared" si="85"/>
        <v>0</v>
      </c>
      <c r="U308" s="295">
        <f t="shared" si="85"/>
        <v>0</v>
      </c>
      <c r="V308" s="295">
        <f t="shared" si="85"/>
        <v>0</v>
      </c>
      <c r="W308" s="295">
        <f t="shared" si="85"/>
        <v>0</v>
      </c>
      <c r="X308" s="295">
        <f t="shared" si="85"/>
        <v>0</v>
      </c>
      <c r="Y308" s="295">
        <f t="shared" si="85"/>
        <v>0</v>
      </c>
      <c r="Z308" s="295">
        <f t="shared" si="85"/>
        <v>0</v>
      </c>
      <c r="AA308" s="295">
        <f t="shared" si="85"/>
        <v>0</v>
      </c>
      <c r="AB308" s="295">
        <f t="shared" si="85"/>
        <v>0</v>
      </c>
      <c r="AC308" s="295">
        <f t="shared" si="85"/>
        <v>0</v>
      </c>
      <c r="AD308" s="295">
        <f t="shared" si="85"/>
        <v>0</v>
      </c>
      <c r="AE308" s="296">
        <f t="shared" si="85"/>
        <v>0</v>
      </c>
    </row>
    <row r="309" spans="1:31" ht="15" customHeight="1">
      <c r="A309" s="1711"/>
      <c r="B309" s="116">
        <v>24</v>
      </c>
      <c r="C309" s="294">
        <f>(EXP(15-B309)*N28/(EXP(-1)+EXP(-2)+EXP(-3)+EXP(-4)+EXP(-5)+EXP(-6)+EXP(-7)+EXP(-8)+EXP(-9)+EXP(-10)))</f>
        <v>0</v>
      </c>
      <c r="D309" s="295">
        <f t="shared" si="84"/>
        <v>0</v>
      </c>
      <c r="E309" s="295">
        <f t="shared" si="84"/>
        <v>0</v>
      </c>
      <c r="F309" s="295">
        <f t="shared" si="84"/>
        <v>0</v>
      </c>
      <c r="G309" s="295">
        <f t="shared" si="84"/>
        <v>0</v>
      </c>
      <c r="H309" s="295">
        <f t="shared" si="84"/>
        <v>0</v>
      </c>
      <c r="I309" s="295">
        <f t="shared" si="84"/>
        <v>0</v>
      </c>
      <c r="J309" s="295">
        <f t="shared" si="84"/>
        <v>0</v>
      </c>
      <c r="K309" s="295">
        <f t="shared" si="84"/>
        <v>0</v>
      </c>
      <c r="L309" s="295">
        <f t="shared" si="84"/>
        <v>0</v>
      </c>
      <c r="M309" s="295">
        <f t="shared" si="84"/>
        <v>0</v>
      </c>
      <c r="N309" s="295">
        <f t="shared" si="80"/>
        <v>0</v>
      </c>
      <c r="O309" s="295">
        <f t="shared" si="80"/>
        <v>0</v>
      </c>
      <c r="P309" s="295">
        <f t="shared" si="80"/>
        <v>0</v>
      </c>
      <c r="Q309" s="295">
        <f t="shared" si="84"/>
        <v>0</v>
      </c>
      <c r="R309" s="295">
        <f t="shared" si="84"/>
        <v>0</v>
      </c>
      <c r="S309" s="295">
        <f t="shared" si="84"/>
        <v>0</v>
      </c>
      <c r="T309" s="295">
        <f t="shared" si="85"/>
        <v>0</v>
      </c>
      <c r="U309" s="295">
        <f t="shared" si="85"/>
        <v>0</v>
      </c>
      <c r="V309" s="295">
        <f t="shared" si="85"/>
        <v>0</v>
      </c>
      <c r="W309" s="295">
        <f t="shared" si="85"/>
        <v>0</v>
      </c>
      <c r="X309" s="295">
        <f t="shared" si="85"/>
        <v>0</v>
      </c>
      <c r="Y309" s="295">
        <f t="shared" si="85"/>
        <v>0</v>
      </c>
      <c r="Z309" s="295">
        <f t="shared" si="85"/>
        <v>0</v>
      </c>
      <c r="AA309" s="295">
        <f t="shared" si="85"/>
        <v>0</v>
      </c>
      <c r="AB309" s="295">
        <f t="shared" si="85"/>
        <v>0</v>
      </c>
      <c r="AC309" s="295">
        <f t="shared" si="85"/>
        <v>0</v>
      </c>
      <c r="AD309" s="295">
        <f t="shared" si="85"/>
        <v>0</v>
      </c>
      <c r="AE309" s="296">
        <f t="shared" si="85"/>
        <v>0</v>
      </c>
    </row>
    <row r="310" spans="1:31" ht="15.75" customHeight="1" thickBot="1">
      <c r="A310" s="1711"/>
      <c r="B310" s="116">
        <v>25</v>
      </c>
      <c r="C310" s="297">
        <f>(EXP(15-B310)*N29/(EXP(-1)+EXP(-2)+EXP(-3)+EXP(-4)+EXP(-5)+EXP(-6)+EXP(-7)+EXP(-8)+EXP(-9)+EXP(-10)))</f>
        <v>0</v>
      </c>
      <c r="D310" s="298">
        <f t="shared" si="84"/>
        <v>0</v>
      </c>
      <c r="E310" s="298">
        <f t="shared" si="84"/>
        <v>0</v>
      </c>
      <c r="F310" s="298">
        <f t="shared" si="84"/>
        <v>0</v>
      </c>
      <c r="G310" s="298">
        <f t="shared" si="84"/>
        <v>0</v>
      </c>
      <c r="H310" s="298">
        <f t="shared" si="84"/>
        <v>0</v>
      </c>
      <c r="I310" s="298">
        <f t="shared" si="84"/>
        <v>0</v>
      </c>
      <c r="J310" s="298">
        <f t="shared" si="84"/>
        <v>0</v>
      </c>
      <c r="K310" s="298">
        <f t="shared" si="84"/>
        <v>0</v>
      </c>
      <c r="L310" s="298">
        <f t="shared" si="84"/>
        <v>0</v>
      </c>
      <c r="M310" s="298">
        <f t="shared" si="84"/>
        <v>0</v>
      </c>
      <c r="N310" s="298">
        <f t="shared" si="80"/>
        <v>0</v>
      </c>
      <c r="O310" s="298">
        <f t="shared" si="80"/>
        <v>0</v>
      </c>
      <c r="P310" s="298">
        <f t="shared" si="80"/>
        <v>0</v>
      </c>
      <c r="Q310" s="298">
        <f t="shared" si="84"/>
        <v>0</v>
      </c>
      <c r="R310" s="298">
        <f t="shared" si="84"/>
        <v>0</v>
      </c>
      <c r="S310" s="298">
        <f t="shared" si="84"/>
        <v>0</v>
      </c>
      <c r="T310" s="298">
        <f t="shared" si="85"/>
        <v>0</v>
      </c>
      <c r="U310" s="298">
        <f t="shared" si="85"/>
        <v>0</v>
      </c>
      <c r="V310" s="298">
        <f t="shared" si="85"/>
        <v>0</v>
      </c>
      <c r="W310" s="298">
        <f t="shared" si="85"/>
        <v>0</v>
      </c>
      <c r="X310" s="298">
        <f t="shared" si="85"/>
        <v>0</v>
      </c>
      <c r="Y310" s="298">
        <f t="shared" si="85"/>
        <v>0</v>
      </c>
      <c r="Z310" s="298">
        <f t="shared" si="85"/>
        <v>0</v>
      </c>
      <c r="AA310" s="298">
        <f t="shared" si="85"/>
        <v>0</v>
      </c>
      <c r="AB310" s="298">
        <f t="shared" si="85"/>
        <v>0</v>
      </c>
      <c r="AC310" s="298">
        <f t="shared" si="85"/>
        <v>0</v>
      </c>
      <c r="AD310" s="298">
        <f t="shared" si="85"/>
        <v>0</v>
      </c>
      <c r="AE310" s="299">
        <f t="shared" si="85"/>
        <v>0</v>
      </c>
    </row>
    <row r="311" spans="1:31" ht="16.5" customHeight="1" thickTop="1" thickBot="1">
      <c r="A311" s="1712"/>
      <c r="B311" s="300" t="s">
        <v>39</v>
      </c>
      <c r="C311" s="301">
        <f>SUM(C285:C310)</f>
        <v>0</v>
      </c>
      <c r="D311" s="301">
        <f t="shared" ref="D311:AE311" si="86">SUM(D285:D310)</f>
        <v>0</v>
      </c>
      <c r="E311" s="301">
        <f t="shared" si="86"/>
        <v>0</v>
      </c>
      <c r="F311" s="301">
        <f t="shared" si="86"/>
        <v>0</v>
      </c>
      <c r="G311" s="301">
        <f t="shared" si="86"/>
        <v>0</v>
      </c>
      <c r="H311" s="301">
        <f t="shared" si="86"/>
        <v>0</v>
      </c>
      <c r="I311" s="301">
        <f t="shared" si="86"/>
        <v>0</v>
      </c>
      <c r="J311" s="301">
        <f t="shared" si="86"/>
        <v>0</v>
      </c>
      <c r="K311" s="301">
        <f t="shared" si="86"/>
        <v>0</v>
      </c>
      <c r="L311" s="301">
        <f t="shared" si="86"/>
        <v>0</v>
      </c>
      <c r="M311" s="301">
        <f t="shared" si="86"/>
        <v>0</v>
      </c>
      <c r="N311" s="301">
        <f t="shared" si="86"/>
        <v>0</v>
      </c>
      <c r="O311" s="301">
        <f t="shared" si="86"/>
        <v>0</v>
      </c>
      <c r="P311" s="301">
        <f t="shared" si="86"/>
        <v>0</v>
      </c>
      <c r="Q311" s="301">
        <f t="shared" si="86"/>
        <v>0</v>
      </c>
      <c r="R311" s="301">
        <f t="shared" si="86"/>
        <v>0</v>
      </c>
      <c r="S311" s="301">
        <f t="shared" si="86"/>
        <v>0</v>
      </c>
      <c r="T311" s="301">
        <f t="shared" si="86"/>
        <v>0</v>
      </c>
      <c r="U311" s="301">
        <f t="shared" si="86"/>
        <v>0</v>
      </c>
      <c r="V311" s="301">
        <f t="shared" si="86"/>
        <v>0</v>
      </c>
      <c r="W311" s="301">
        <f t="shared" si="86"/>
        <v>0</v>
      </c>
      <c r="X311" s="301">
        <f t="shared" si="86"/>
        <v>0</v>
      </c>
      <c r="Y311" s="301">
        <f t="shared" si="86"/>
        <v>0</v>
      </c>
      <c r="Z311" s="301">
        <f t="shared" si="86"/>
        <v>0</v>
      </c>
      <c r="AA311" s="301">
        <f t="shared" si="86"/>
        <v>0</v>
      </c>
      <c r="AB311" s="301">
        <f t="shared" si="86"/>
        <v>0</v>
      </c>
      <c r="AC311" s="301">
        <f t="shared" si="86"/>
        <v>0</v>
      </c>
      <c r="AD311" s="301">
        <f t="shared" si="86"/>
        <v>0</v>
      </c>
      <c r="AE311" s="302">
        <f t="shared" si="86"/>
        <v>0</v>
      </c>
    </row>
    <row r="312" spans="1:31" ht="15.75" thickBot="1"/>
    <row r="313" spans="1:31" ht="15.75" customHeight="1" thickBot="1">
      <c r="A313" s="1710" t="s">
        <v>50</v>
      </c>
      <c r="B313" s="169" t="s">
        <v>10</v>
      </c>
      <c r="C313" s="288">
        <v>2012</v>
      </c>
      <c r="D313" s="289">
        <v>2013</v>
      </c>
      <c r="E313" s="289">
        <v>2014</v>
      </c>
      <c r="F313" s="289">
        <v>2015</v>
      </c>
      <c r="G313" s="288">
        <v>2016</v>
      </c>
      <c r="H313" s="289">
        <v>2017</v>
      </c>
      <c r="I313" s="289">
        <v>2018</v>
      </c>
      <c r="J313" s="289">
        <v>2019</v>
      </c>
      <c r="K313" s="288">
        <v>2020</v>
      </c>
      <c r="L313" s="289">
        <v>2021</v>
      </c>
      <c r="M313" s="289">
        <v>2022</v>
      </c>
      <c r="N313" s="289">
        <v>2023</v>
      </c>
      <c r="O313" s="288">
        <v>2024</v>
      </c>
      <c r="P313" s="289">
        <v>2025</v>
      </c>
      <c r="Q313" s="289">
        <v>2026</v>
      </c>
      <c r="R313" s="289">
        <v>2027</v>
      </c>
      <c r="S313" s="288">
        <v>2028</v>
      </c>
      <c r="T313" s="289">
        <v>2029</v>
      </c>
      <c r="U313" s="289">
        <v>2030</v>
      </c>
      <c r="V313" s="289">
        <v>2031</v>
      </c>
      <c r="W313" s="288">
        <v>2032</v>
      </c>
      <c r="X313" s="289">
        <v>2033</v>
      </c>
      <c r="Y313" s="289">
        <v>2034</v>
      </c>
      <c r="Z313" s="289">
        <v>2035</v>
      </c>
      <c r="AA313" s="288">
        <v>2036</v>
      </c>
      <c r="AB313" s="289">
        <v>2037</v>
      </c>
      <c r="AC313" s="289">
        <v>2038</v>
      </c>
      <c r="AD313" s="289">
        <v>2039</v>
      </c>
      <c r="AE313" s="290">
        <v>2040</v>
      </c>
    </row>
    <row r="314" spans="1:31">
      <c r="A314" s="1711"/>
      <c r="B314" s="116">
        <v>0</v>
      </c>
      <c r="C314" s="291">
        <f t="shared" ref="C314:C329" si="87">Q4</f>
        <v>1165</v>
      </c>
      <c r="D314" s="292"/>
      <c r="E314" s="292"/>
      <c r="F314" s="292"/>
      <c r="G314" s="292"/>
      <c r="H314" s="292"/>
      <c r="I314" s="292"/>
      <c r="J314" s="292"/>
      <c r="K314" s="292"/>
      <c r="L314" s="292"/>
      <c r="M314" s="292"/>
      <c r="N314" s="292"/>
      <c r="O314" s="292"/>
      <c r="P314" s="292"/>
      <c r="Q314" s="292"/>
      <c r="R314" s="292"/>
      <c r="S314" s="292"/>
      <c r="T314" s="292"/>
      <c r="U314" s="292"/>
      <c r="V314" s="292"/>
      <c r="W314" s="292"/>
      <c r="X314" s="292"/>
      <c r="Y314" s="292"/>
      <c r="Z314" s="292"/>
      <c r="AA314" s="292"/>
      <c r="AB314" s="292"/>
      <c r="AC314" s="292"/>
      <c r="AD314" s="292"/>
      <c r="AE314" s="293"/>
    </row>
    <row r="315" spans="1:31" ht="15" customHeight="1">
      <c r="A315" s="1711"/>
      <c r="B315" s="116">
        <v>1</v>
      </c>
      <c r="C315" s="294">
        <f t="shared" si="87"/>
        <v>1283</v>
      </c>
      <c r="D315" s="295">
        <f t="shared" ref="D315:AE324" si="88">C314*$D26</f>
        <v>1165</v>
      </c>
      <c r="E315" s="295">
        <f t="shared" si="88"/>
        <v>0</v>
      </c>
      <c r="F315" s="295">
        <f t="shared" si="88"/>
        <v>0</v>
      </c>
      <c r="G315" s="295">
        <f t="shared" si="88"/>
        <v>0</v>
      </c>
      <c r="H315" s="295">
        <f t="shared" si="88"/>
        <v>0</v>
      </c>
      <c r="I315" s="295">
        <f t="shared" si="88"/>
        <v>0</v>
      </c>
      <c r="J315" s="295">
        <f t="shared" si="88"/>
        <v>0</v>
      </c>
      <c r="K315" s="295">
        <f t="shared" si="88"/>
        <v>0</v>
      </c>
      <c r="L315" s="295">
        <f t="shared" si="88"/>
        <v>0</v>
      </c>
      <c r="M315" s="295">
        <f t="shared" si="88"/>
        <v>0</v>
      </c>
      <c r="N315" s="295">
        <f t="shared" ref="N315:P339" si="89">M314*$D26</f>
        <v>0</v>
      </c>
      <c r="O315" s="295">
        <f t="shared" si="89"/>
        <v>0</v>
      </c>
      <c r="P315" s="295">
        <f t="shared" si="89"/>
        <v>0</v>
      </c>
      <c r="Q315" s="295">
        <f t="shared" si="88"/>
        <v>0</v>
      </c>
      <c r="R315" s="295">
        <f t="shared" si="88"/>
        <v>0</v>
      </c>
      <c r="S315" s="295">
        <f t="shared" si="88"/>
        <v>0</v>
      </c>
      <c r="T315" s="295">
        <f t="shared" si="88"/>
        <v>0</v>
      </c>
      <c r="U315" s="295">
        <f t="shared" si="88"/>
        <v>0</v>
      </c>
      <c r="V315" s="295">
        <f t="shared" si="88"/>
        <v>0</v>
      </c>
      <c r="W315" s="295">
        <f t="shared" si="88"/>
        <v>0</v>
      </c>
      <c r="X315" s="295">
        <f t="shared" si="88"/>
        <v>0</v>
      </c>
      <c r="Y315" s="295">
        <f t="shared" si="88"/>
        <v>0</v>
      </c>
      <c r="Z315" s="295">
        <f t="shared" si="88"/>
        <v>0</v>
      </c>
      <c r="AA315" s="295">
        <f t="shared" si="88"/>
        <v>0</v>
      </c>
      <c r="AB315" s="295">
        <f t="shared" si="88"/>
        <v>0</v>
      </c>
      <c r="AC315" s="295">
        <f t="shared" si="88"/>
        <v>0</v>
      </c>
      <c r="AD315" s="295">
        <f t="shared" si="88"/>
        <v>0</v>
      </c>
      <c r="AE315" s="296">
        <f t="shared" si="88"/>
        <v>0</v>
      </c>
    </row>
    <row r="316" spans="1:31" ht="15" customHeight="1">
      <c r="A316" s="1711"/>
      <c r="B316" s="116">
        <v>2</v>
      </c>
      <c r="C316" s="294">
        <f t="shared" si="87"/>
        <v>2914</v>
      </c>
      <c r="D316" s="295">
        <f t="shared" si="88"/>
        <v>1283</v>
      </c>
      <c r="E316" s="295">
        <f t="shared" si="88"/>
        <v>1165</v>
      </c>
      <c r="F316" s="295">
        <f t="shared" si="88"/>
        <v>0</v>
      </c>
      <c r="G316" s="295">
        <f t="shared" si="88"/>
        <v>0</v>
      </c>
      <c r="H316" s="295">
        <f t="shared" si="88"/>
        <v>0</v>
      </c>
      <c r="I316" s="295">
        <f t="shared" si="88"/>
        <v>0</v>
      </c>
      <c r="J316" s="295">
        <f t="shared" si="88"/>
        <v>0</v>
      </c>
      <c r="K316" s="295">
        <f t="shared" si="88"/>
        <v>0</v>
      </c>
      <c r="L316" s="295">
        <f t="shared" si="88"/>
        <v>0</v>
      </c>
      <c r="M316" s="295">
        <f t="shared" si="88"/>
        <v>0</v>
      </c>
      <c r="N316" s="295">
        <f t="shared" si="89"/>
        <v>0</v>
      </c>
      <c r="O316" s="295">
        <f t="shared" si="89"/>
        <v>0</v>
      </c>
      <c r="P316" s="295">
        <f t="shared" si="89"/>
        <v>0</v>
      </c>
      <c r="Q316" s="295">
        <f t="shared" si="88"/>
        <v>0</v>
      </c>
      <c r="R316" s="295">
        <f t="shared" si="88"/>
        <v>0</v>
      </c>
      <c r="S316" s="295">
        <f t="shared" si="88"/>
        <v>0</v>
      </c>
      <c r="T316" s="295">
        <f t="shared" si="88"/>
        <v>0</v>
      </c>
      <c r="U316" s="295">
        <f t="shared" si="88"/>
        <v>0</v>
      </c>
      <c r="V316" s="295">
        <f t="shared" si="88"/>
        <v>0</v>
      </c>
      <c r="W316" s="295">
        <f t="shared" si="88"/>
        <v>0</v>
      </c>
      <c r="X316" s="295">
        <f t="shared" si="88"/>
        <v>0</v>
      </c>
      <c r="Y316" s="295">
        <f t="shared" si="88"/>
        <v>0</v>
      </c>
      <c r="Z316" s="295">
        <f t="shared" si="88"/>
        <v>0</v>
      </c>
      <c r="AA316" s="295">
        <f t="shared" si="88"/>
        <v>0</v>
      </c>
      <c r="AB316" s="295">
        <f t="shared" si="88"/>
        <v>0</v>
      </c>
      <c r="AC316" s="295">
        <f t="shared" si="88"/>
        <v>0</v>
      </c>
      <c r="AD316" s="295">
        <f t="shared" si="88"/>
        <v>0</v>
      </c>
      <c r="AE316" s="296">
        <f t="shared" si="88"/>
        <v>0</v>
      </c>
    </row>
    <row r="317" spans="1:31" ht="15" customHeight="1">
      <c r="A317" s="1711"/>
      <c r="B317" s="116">
        <v>3</v>
      </c>
      <c r="C317" s="294">
        <f t="shared" si="87"/>
        <v>448</v>
      </c>
      <c r="D317" s="295">
        <f t="shared" si="88"/>
        <v>2914</v>
      </c>
      <c r="E317" s="295">
        <f t="shared" si="88"/>
        <v>1283</v>
      </c>
      <c r="F317" s="295">
        <f t="shared" si="88"/>
        <v>1165</v>
      </c>
      <c r="G317" s="295">
        <f t="shared" si="88"/>
        <v>0</v>
      </c>
      <c r="H317" s="295">
        <f t="shared" si="88"/>
        <v>0</v>
      </c>
      <c r="I317" s="295">
        <f t="shared" si="88"/>
        <v>0</v>
      </c>
      <c r="J317" s="295">
        <f t="shared" si="88"/>
        <v>0</v>
      </c>
      <c r="K317" s="295">
        <f t="shared" si="88"/>
        <v>0</v>
      </c>
      <c r="L317" s="295">
        <f t="shared" si="88"/>
        <v>0</v>
      </c>
      <c r="M317" s="295">
        <f t="shared" si="88"/>
        <v>0</v>
      </c>
      <c r="N317" s="295">
        <f t="shared" si="89"/>
        <v>0</v>
      </c>
      <c r="O317" s="295">
        <f t="shared" si="89"/>
        <v>0</v>
      </c>
      <c r="P317" s="295">
        <f t="shared" si="89"/>
        <v>0</v>
      </c>
      <c r="Q317" s="295">
        <f t="shared" si="88"/>
        <v>0</v>
      </c>
      <c r="R317" s="295">
        <f t="shared" si="88"/>
        <v>0</v>
      </c>
      <c r="S317" s="295">
        <f t="shared" si="88"/>
        <v>0</v>
      </c>
      <c r="T317" s="295">
        <f t="shared" si="88"/>
        <v>0</v>
      </c>
      <c r="U317" s="295">
        <f t="shared" si="88"/>
        <v>0</v>
      </c>
      <c r="V317" s="295">
        <f t="shared" si="88"/>
        <v>0</v>
      </c>
      <c r="W317" s="295">
        <f t="shared" si="88"/>
        <v>0</v>
      </c>
      <c r="X317" s="295">
        <f t="shared" si="88"/>
        <v>0</v>
      </c>
      <c r="Y317" s="295">
        <f t="shared" si="88"/>
        <v>0</v>
      </c>
      <c r="Z317" s="295">
        <f t="shared" si="88"/>
        <v>0</v>
      </c>
      <c r="AA317" s="295">
        <f t="shared" si="88"/>
        <v>0</v>
      </c>
      <c r="AB317" s="295">
        <f t="shared" si="88"/>
        <v>0</v>
      </c>
      <c r="AC317" s="295">
        <f t="shared" si="88"/>
        <v>0</v>
      </c>
      <c r="AD317" s="295">
        <f t="shared" si="88"/>
        <v>0</v>
      </c>
      <c r="AE317" s="296">
        <f t="shared" si="88"/>
        <v>0</v>
      </c>
    </row>
    <row r="318" spans="1:31" ht="15" customHeight="1">
      <c r="A318" s="1711"/>
      <c r="B318" s="116">
        <v>4</v>
      </c>
      <c r="C318" s="294">
        <f t="shared" si="87"/>
        <v>112</v>
      </c>
      <c r="D318" s="295">
        <f t="shared" si="88"/>
        <v>448</v>
      </c>
      <c r="E318" s="295">
        <f t="shared" si="88"/>
        <v>2914</v>
      </c>
      <c r="F318" s="295">
        <f t="shared" si="88"/>
        <v>1283</v>
      </c>
      <c r="G318" s="295">
        <f t="shared" si="88"/>
        <v>1165</v>
      </c>
      <c r="H318" s="295">
        <f t="shared" si="88"/>
        <v>0</v>
      </c>
      <c r="I318" s="295">
        <f t="shared" si="88"/>
        <v>0</v>
      </c>
      <c r="J318" s="295">
        <f t="shared" si="88"/>
        <v>0</v>
      </c>
      <c r="K318" s="295">
        <f t="shared" si="88"/>
        <v>0</v>
      </c>
      <c r="L318" s="295">
        <f t="shared" si="88"/>
        <v>0</v>
      </c>
      <c r="M318" s="295">
        <f t="shared" si="88"/>
        <v>0</v>
      </c>
      <c r="N318" s="295">
        <f t="shared" si="89"/>
        <v>0</v>
      </c>
      <c r="O318" s="295">
        <f t="shared" si="89"/>
        <v>0</v>
      </c>
      <c r="P318" s="295">
        <f t="shared" si="89"/>
        <v>0</v>
      </c>
      <c r="Q318" s="295">
        <f t="shared" si="88"/>
        <v>0</v>
      </c>
      <c r="R318" s="295">
        <f t="shared" si="88"/>
        <v>0</v>
      </c>
      <c r="S318" s="295">
        <f t="shared" si="88"/>
        <v>0</v>
      </c>
      <c r="T318" s="295">
        <f t="shared" si="88"/>
        <v>0</v>
      </c>
      <c r="U318" s="295">
        <f t="shared" si="88"/>
        <v>0</v>
      </c>
      <c r="V318" s="295">
        <f t="shared" si="88"/>
        <v>0</v>
      </c>
      <c r="W318" s="295">
        <f t="shared" si="88"/>
        <v>0</v>
      </c>
      <c r="X318" s="295">
        <f t="shared" si="88"/>
        <v>0</v>
      </c>
      <c r="Y318" s="295">
        <f t="shared" si="88"/>
        <v>0</v>
      </c>
      <c r="Z318" s="295">
        <f t="shared" si="88"/>
        <v>0</v>
      </c>
      <c r="AA318" s="295">
        <f t="shared" si="88"/>
        <v>0</v>
      </c>
      <c r="AB318" s="295">
        <f t="shared" si="88"/>
        <v>0</v>
      </c>
      <c r="AC318" s="295">
        <f t="shared" si="88"/>
        <v>0</v>
      </c>
      <c r="AD318" s="295">
        <f t="shared" si="88"/>
        <v>0</v>
      </c>
      <c r="AE318" s="296">
        <f t="shared" si="88"/>
        <v>0</v>
      </c>
    </row>
    <row r="319" spans="1:31" ht="15" customHeight="1">
      <c r="A319" s="1711"/>
      <c r="B319" s="116">
        <v>5</v>
      </c>
      <c r="C319" s="294">
        <f t="shared" si="87"/>
        <v>0</v>
      </c>
      <c r="D319" s="295">
        <f t="shared" si="88"/>
        <v>112</v>
      </c>
      <c r="E319" s="295">
        <f t="shared" si="88"/>
        <v>448</v>
      </c>
      <c r="F319" s="295">
        <f t="shared" si="88"/>
        <v>2914</v>
      </c>
      <c r="G319" s="295">
        <f t="shared" si="88"/>
        <v>1283</v>
      </c>
      <c r="H319" s="295">
        <f t="shared" si="88"/>
        <v>1165</v>
      </c>
      <c r="I319" s="295">
        <f t="shared" si="88"/>
        <v>0</v>
      </c>
      <c r="J319" s="295">
        <f t="shared" si="88"/>
        <v>0</v>
      </c>
      <c r="K319" s="295">
        <f t="shared" si="88"/>
        <v>0</v>
      </c>
      <c r="L319" s="295">
        <f t="shared" si="88"/>
        <v>0</v>
      </c>
      <c r="M319" s="295">
        <f t="shared" si="88"/>
        <v>0</v>
      </c>
      <c r="N319" s="295">
        <f t="shared" si="89"/>
        <v>0</v>
      </c>
      <c r="O319" s="295">
        <f t="shared" si="89"/>
        <v>0</v>
      </c>
      <c r="P319" s="295">
        <f t="shared" si="89"/>
        <v>0</v>
      </c>
      <c r="Q319" s="295">
        <f t="shared" si="88"/>
        <v>0</v>
      </c>
      <c r="R319" s="295">
        <f t="shared" si="88"/>
        <v>0</v>
      </c>
      <c r="S319" s="295">
        <f t="shared" si="88"/>
        <v>0</v>
      </c>
      <c r="T319" s="295">
        <f t="shared" si="88"/>
        <v>0</v>
      </c>
      <c r="U319" s="295">
        <f t="shared" si="88"/>
        <v>0</v>
      </c>
      <c r="V319" s="295">
        <f t="shared" si="88"/>
        <v>0</v>
      </c>
      <c r="W319" s="295">
        <f t="shared" si="88"/>
        <v>0</v>
      </c>
      <c r="X319" s="295">
        <f t="shared" si="88"/>
        <v>0</v>
      </c>
      <c r="Y319" s="295">
        <f t="shared" si="88"/>
        <v>0</v>
      </c>
      <c r="Z319" s="295">
        <f t="shared" si="88"/>
        <v>0</v>
      </c>
      <c r="AA319" s="295">
        <f t="shared" si="88"/>
        <v>0</v>
      </c>
      <c r="AB319" s="295">
        <f t="shared" si="88"/>
        <v>0</v>
      </c>
      <c r="AC319" s="295">
        <f t="shared" si="88"/>
        <v>0</v>
      </c>
      <c r="AD319" s="295">
        <f t="shared" si="88"/>
        <v>0</v>
      </c>
      <c r="AE319" s="296">
        <f t="shared" si="88"/>
        <v>0</v>
      </c>
    </row>
    <row r="320" spans="1:31" ht="15" customHeight="1">
      <c r="A320" s="1711"/>
      <c r="B320" s="116">
        <v>6</v>
      </c>
      <c r="C320" s="294">
        <f t="shared" si="87"/>
        <v>0</v>
      </c>
      <c r="D320" s="295">
        <f t="shared" si="88"/>
        <v>0</v>
      </c>
      <c r="E320" s="295">
        <f t="shared" si="88"/>
        <v>112</v>
      </c>
      <c r="F320" s="295">
        <f t="shared" si="88"/>
        <v>448</v>
      </c>
      <c r="G320" s="295">
        <f t="shared" si="88"/>
        <v>2914</v>
      </c>
      <c r="H320" s="295">
        <f t="shared" si="88"/>
        <v>1283</v>
      </c>
      <c r="I320" s="295">
        <f t="shared" si="88"/>
        <v>1165</v>
      </c>
      <c r="J320" s="295">
        <f t="shared" si="88"/>
        <v>0</v>
      </c>
      <c r="K320" s="295">
        <f t="shared" si="88"/>
        <v>0</v>
      </c>
      <c r="L320" s="295">
        <f t="shared" si="88"/>
        <v>0</v>
      </c>
      <c r="M320" s="295">
        <f t="shared" si="88"/>
        <v>0</v>
      </c>
      <c r="N320" s="295">
        <f t="shared" si="89"/>
        <v>0</v>
      </c>
      <c r="O320" s="295">
        <f t="shared" si="89"/>
        <v>0</v>
      </c>
      <c r="P320" s="295">
        <f t="shared" si="89"/>
        <v>0</v>
      </c>
      <c r="Q320" s="295">
        <f t="shared" si="88"/>
        <v>0</v>
      </c>
      <c r="R320" s="295">
        <f t="shared" si="88"/>
        <v>0</v>
      </c>
      <c r="S320" s="295">
        <f t="shared" si="88"/>
        <v>0</v>
      </c>
      <c r="T320" s="295">
        <f t="shared" si="88"/>
        <v>0</v>
      </c>
      <c r="U320" s="295">
        <f t="shared" si="88"/>
        <v>0</v>
      </c>
      <c r="V320" s="295">
        <f t="shared" si="88"/>
        <v>0</v>
      </c>
      <c r="W320" s="295">
        <f t="shared" si="88"/>
        <v>0</v>
      </c>
      <c r="X320" s="295">
        <f t="shared" si="88"/>
        <v>0</v>
      </c>
      <c r="Y320" s="295">
        <f t="shared" si="88"/>
        <v>0</v>
      </c>
      <c r="Z320" s="295">
        <f t="shared" si="88"/>
        <v>0</v>
      </c>
      <c r="AA320" s="295">
        <f t="shared" si="88"/>
        <v>0</v>
      </c>
      <c r="AB320" s="295">
        <f t="shared" si="88"/>
        <v>0</v>
      </c>
      <c r="AC320" s="295">
        <f t="shared" si="88"/>
        <v>0</v>
      </c>
      <c r="AD320" s="295">
        <f t="shared" si="88"/>
        <v>0</v>
      </c>
      <c r="AE320" s="296">
        <f t="shared" si="88"/>
        <v>0</v>
      </c>
    </row>
    <row r="321" spans="1:31" ht="15" customHeight="1">
      <c r="A321" s="1711"/>
      <c r="B321" s="116">
        <v>7</v>
      </c>
      <c r="C321" s="294">
        <f t="shared" si="87"/>
        <v>0</v>
      </c>
      <c r="D321" s="295">
        <f t="shared" si="88"/>
        <v>0</v>
      </c>
      <c r="E321" s="295">
        <f t="shared" si="88"/>
        <v>0</v>
      </c>
      <c r="F321" s="295">
        <f t="shared" si="88"/>
        <v>112</v>
      </c>
      <c r="G321" s="295">
        <f t="shared" si="88"/>
        <v>448</v>
      </c>
      <c r="H321" s="295">
        <f t="shared" si="88"/>
        <v>2914</v>
      </c>
      <c r="I321" s="295">
        <f t="shared" si="88"/>
        <v>1283</v>
      </c>
      <c r="J321" s="295">
        <f t="shared" si="88"/>
        <v>1165</v>
      </c>
      <c r="K321" s="295">
        <f t="shared" si="88"/>
        <v>0</v>
      </c>
      <c r="L321" s="295">
        <f t="shared" si="88"/>
        <v>0</v>
      </c>
      <c r="M321" s="295">
        <f t="shared" si="88"/>
        <v>0</v>
      </c>
      <c r="N321" s="295">
        <f t="shared" si="89"/>
        <v>0</v>
      </c>
      <c r="O321" s="295">
        <f t="shared" si="89"/>
        <v>0</v>
      </c>
      <c r="P321" s="295">
        <f t="shared" si="89"/>
        <v>0</v>
      </c>
      <c r="Q321" s="295">
        <f t="shared" si="88"/>
        <v>0</v>
      </c>
      <c r="R321" s="295">
        <f t="shared" si="88"/>
        <v>0</v>
      </c>
      <c r="S321" s="295">
        <f t="shared" si="88"/>
        <v>0</v>
      </c>
      <c r="T321" s="295">
        <f t="shared" si="88"/>
        <v>0</v>
      </c>
      <c r="U321" s="295">
        <f t="shared" si="88"/>
        <v>0</v>
      </c>
      <c r="V321" s="295">
        <f t="shared" si="88"/>
        <v>0</v>
      </c>
      <c r="W321" s="295">
        <f t="shared" si="88"/>
        <v>0</v>
      </c>
      <c r="X321" s="295">
        <f t="shared" si="88"/>
        <v>0</v>
      </c>
      <c r="Y321" s="295">
        <f t="shared" si="88"/>
        <v>0</v>
      </c>
      <c r="Z321" s="295">
        <f t="shared" si="88"/>
        <v>0</v>
      </c>
      <c r="AA321" s="295">
        <f t="shared" si="88"/>
        <v>0</v>
      </c>
      <c r="AB321" s="295">
        <f t="shared" si="88"/>
        <v>0</v>
      </c>
      <c r="AC321" s="295">
        <f t="shared" si="88"/>
        <v>0</v>
      </c>
      <c r="AD321" s="295">
        <f t="shared" si="88"/>
        <v>0</v>
      </c>
      <c r="AE321" s="296">
        <f t="shared" si="88"/>
        <v>0</v>
      </c>
    </row>
    <row r="322" spans="1:31" ht="15" customHeight="1">
      <c r="A322" s="1711"/>
      <c r="B322" s="116">
        <v>8</v>
      </c>
      <c r="C322" s="294">
        <f t="shared" si="87"/>
        <v>0</v>
      </c>
      <c r="D322" s="295">
        <f t="shared" si="88"/>
        <v>0</v>
      </c>
      <c r="E322" s="295">
        <f t="shared" si="88"/>
        <v>0</v>
      </c>
      <c r="F322" s="295">
        <f t="shared" si="88"/>
        <v>0</v>
      </c>
      <c r="G322" s="295">
        <f t="shared" si="88"/>
        <v>110.35709621863695</v>
      </c>
      <c r="H322" s="295">
        <f t="shared" si="88"/>
        <v>441.42838487454782</v>
      </c>
      <c r="I322" s="295">
        <f t="shared" si="88"/>
        <v>2871.2551641170362</v>
      </c>
      <c r="J322" s="295">
        <f t="shared" si="88"/>
        <v>1264.1799504331359</v>
      </c>
      <c r="K322" s="295">
        <f t="shared" si="88"/>
        <v>1147.9108669170719</v>
      </c>
      <c r="L322" s="295">
        <f t="shared" si="88"/>
        <v>0</v>
      </c>
      <c r="M322" s="295">
        <f t="shared" si="88"/>
        <v>0</v>
      </c>
      <c r="N322" s="295">
        <f t="shared" si="89"/>
        <v>0</v>
      </c>
      <c r="O322" s="295">
        <f t="shared" si="89"/>
        <v>0</v>
      </c>
      <c r="P322" s="295">
        <f t="shared" si="89"/>
        <v>0</v>
      </c>
      <c r="Q322" s="295">
        <f t="shared" si="88"/>
        <v>0</v>
      </c>
      <c r="R322" s="295">
        <f t="shared" si="88"/>
        <v>0</v>
      </c>
      <c r="S322" s="295">
        <f t="shared" si="88"/>
        <v>0</v>
      </c>
      <c r="T322" s="295">
        <f t="shared" si="88"/>
        <v>0</v>
      </c>
      <c r="U322" s="295">
        <f t="shared" si="88"/>
        <v>0</v>
      </c>
      <c r="V322" s="295">
        <f t="shared" si="88"/>
        <v>0</v>
      </c>
      <c r="W322" s="295">
        <f t="shared" si="88"/>
        <v>0</v>
      </c>
      <c r="X322" s="295">
        <f t="shared" si="88"/>
        <v>0</v>
      </c>
      <c r="Y322" s="295">
        <f t="shared" si="88"/>
        <v>0</v>
      </c>
      <c r="Z322" s="295">
        <f t="shared" si="88"/>
        <v>0</v>
      </c>
      <c r="AA322" s="295">
        <f t="shared" si="88"/>
        <v>0</v>
      </c>
      <c r="AB322" s="295">
        <f t="shared" si="88"/>
        <v>0</v>
      </c>
      <c r="AC322" s="295">
        <f t="shared" si="88"/>
        <v>0</v>
      </c>
      <c r="AD322" s="295">
        <f t="shared" si="88"/>
        <v>0</v>
      </c>
      <c r="AE322" s="296">
        <f t="shared" si="88"/>
        <v>0</v>
      </c>
    </row>
    <row r="323" spans="1:31" ht="15" customHeight="1">
      <c r="A323" s="1711"/>
      <c r="B323" s="116">
        <v>9</v>
      </c>
      <c r="C323" s="294">
        <f t="shared" si="87"/>
        <v>1</v>
      </c>
      <c r="D323" s="295">
        <f t="shared" si="88"/>
        <v>0</v>
      </c>
      <c r="E323" s="295">
        <f t="shared" si="88"/>
        <v>0</v>
      </c>
      <c r="F323" s="295">
        <f t="shared" si="88"/>
        <v>0</v>
      </c>
      <c r="G323" s="295">
        <f t="shared" si="88"/>
        <v>0</v>
      </c>
      <c r="H323" s="295">
        <f t="shared" si="88"/>
        <v>103.13564019414005</v>
      </c>
      <c r="I323" s="295">
        <f t="shared" si="88"/>
        <v>412.54256077656021</v>
      </c>
      <c r="J323" s="295">
        <f t="shared" si="88"/>
        <v>2683.3683529082509</v>
      </c>
      <c r="K323" s="295">
        <f t="shared" si="88"/>
        <v>1181.4555925810866</v>
      </c>
      <c r="L323" s="295">
        <f t="shared" si="88"/>
        <v>1072.7948288051175</v>
      </c>
      <c r="M323" s="295">
        <f t="shared" si="88"/>
        <v>0</v>
      </c>
      <c r="N323" s="295">
        <f t="shared" si="89"/>
        <v>0</v>
      </c>
      <c r="O323" s="295">
        <f t="shared" si="89"/>
        <v>0</v>
      </c>
      <c r="P323" s="295">
        <f t="shared" si="89"/>
        <v>0</v>
      </c>
      <c r="Q323" s="295">
        <f t="shared" si="88"/>
        <v>0</v>
      </c>
      <c r="R323" s="295">
        <f t="shared" si="88"/>
        <v>0</v>
      </c>
      <c r="S323" s="295">
        <f t="shared" si="88"/>
        <v>0</v>
      </c>
      <c r="T323" s="295">
        <f t="shared" si="88"/>
        <v>0</v>
      </c>
      <c r="U323" s="295">
        <f t="shared" si="88"/>
        <v>0</v>
      </c>
      <c r="V323" s="295">
        <f t="shared" si="88"/>
        <v>0</v>
      </c>
      <c r="W323" s="295">
        <f t="shared" si="88"/>
        <v>0</v>
      </c>
      <c r="X323" s="295">
        <f t="shared" si="88"/>
        <v>0</v>
      </c>
      <c r="Y323" s="295">
        <f t="shared" si="88"/>
        <v>0</v>
      </c>
      <c r="Z323" s="295">
        <f t="shared" si="88"/>
        <v>0</v>
      </c>
      <c r="AA323" s="295">
        <f t="shared" si="88"/>
        <v>0</v>
      </c>
      <c r="AB323" s="295">
        <f t="shared" si="88"/>
        <v>0</v>
      </c>
      <c r="AC323" s="295">
        <f t="shared" si="88"/>
        <v>0</v>
      </c>
      <c r="AD323" s="295">
        <f t="shared" si="88"/>
        <v>0</v>
      </c>
      <c r="AE323" s="296">
        <f t="shared" si="88"/>
        <v>0</v>
      </c>
    </row>
    <row r="324" spans="1:31" ht="15" customHeight="1">
      <c r="A324" s="1711"/>
      <c r="B324" s="116">
        <v>10</v>
      </c>
      <c r="C324" s="294">
        <f t="shared" si="87"/>
        <v>0</v>
      </c>
      <c r="D324" s="295">
        <f t="shared" si="88"/>
        <v>0.8508608833945831</v>
      </c>
      <c r="E324" s="295">
        <f t="shared" si="88"/>
        <v>0</v>
      </c>
      <c r="F324" s="295">
        <f t="shared" si="88"/>
        <v>0</v>
      </c>
      <c r="G324" s="295">
        <f t="shared" ref="G324:AE324" si="90">F323*$D35</f>
        <v>0</v>
      </c>
      <c r="H324" s="295">
        <f t="shared" si="90"/>
        <v>0</v>
      </c>
      <c r="I324" s="295">
        <f t="shared" si="90"/>
        <v>87.754081925051878</v>
      </c>
      <c r="J324" s="295">
        <f t="shared" si="90"/>
        <v>351.01632770020751</v>
      </c>
      <c r="K324" s="295">
        <f t="shared" si="90"/>
        <v>2283.1731672285819</v>
      </c>
      <c r="L324" s="295">
        <f t="shared" si="90"/>
        <v>1005.254349195014</v>
      </c>
      <c r="M324" s="295">
        <f t="shared" si="90"/>
        <v>912.79915573826281</v>
      </c>
      <c r="N324" s="295">
        <f t="shared" si="89"/>
        <v>0</v>
      </c>
      <c r="O324" s="295">
        <f t="shared" si="89"/>
        <v>0</v>
      </c>
      <c r="P324" s="295">
        <f t="shared" si="89"/>
        <v>0</v>
      </c>
      <c r="Q324" s="295">
        <f t="shared" si="90"/>
        <v>0</v>
      </c>
      <c r="R324" s="295">
        <f t="shared" si="90"/>
        <v>0</v>
      </c>
      <c r="S324" s="295">
        <f t="shared" si="90"/>
        <v>0</v>
      </c>
      <c r="T324" s="295">
        <f t="shared" si="90"/>
        <v>0</v>
      </c>
      <c r="U324" s="295">
        <f t="shared" si="90"/>
        <v>0</v>
      </c>
      <c r="V324" s="295">
        <f t="shared" si="90"/>
        <v>0</v>
      </c>
      <c r="W324" s="295">
        <f t="shared" si="90"/>
        <v>0</v>
      </c>
      <c r="X324" s="295">
        <f t="shared" si="90"/>
        <v>0</v>
      </c>
      <c r="Y324" s="295">
        <f t="shared" si="90"/>
        <v>0</v>
      </c>
      <c r="Z324" s="295">
        <f t="shared" si="90"/>
        <v>0</v>
      </c>
      <c r="AA324" s="295">
        <f t="shared" si="90"/>
        <v>0</v>
      </c>
      <c r="AB324" s="295">
        <f t="shared" si="90"/>
        <v>0</v>
      </c>
      <c r="AC324" s="295">
        <f t="shared" si="90"/>
        <v>0</v>
      </c>
      <c r="AD324" s="295">
        <f t="shared" si="90"/>
        <v>0</v>
      </c>
      <c r="AE324" s="296">
        <f t="shared" si="90"/>
        <v>0</v>
      </c>
    </row>
    <row r="325" spans="1:31" ht="15" customHeight="1">
      <c r="A325" s="1711"/>
      <c r="B325" s="116">
        <v>11</v>
      </c>
      <c r="C325" s="294">
        <f t="shared" si="87"/>
        <v>0</v>
      </c>
      <c r="D325" s="295">
        <f t="shared" ref="D325:AE334" si="91">C324*$D36</f>
        <v>0</v>
      </c>
      <c r="E325" s="295">
        <f t="shared" si="91"/>
        <v>0.63467902605775961</v>
      </c>
      <c r="F325" s="295">
        <f t="shared" si="91"/>
        <v>0</v>
      </c>
      <c r="G325" s="295">
        <f t="shared" si="91"/>
        <v>0</v>
      </c>
      <c r="H325" s="295">
        <f t="shared" si="91"/>
        <v>0</v>
      </c>
      <c r="I325" s="295">
        <f t="shared" si="91"/>
        <v>0</v>
      </c>
      <c r="J325" s="295">
        <f t="shared" si="91"/>
        <v>65.458027670260336</v>
      </c>
      <c r="K325" s="295">
        <f t="shared" si="91"/>
        <v>261.83211068104134</v>
      </c>
      <c r="L325" s="295">
        <f t="shared" si="91"/>
        <v>1703.0776127780234</v>
      </c>
      <c r="M325" s="295">
        <f t="shared" si="91"/>
        <v>749.84508482985734</v>
      </c>
      <c r="N325" s="295">
        <f t="shared" si="89"/>
        <v>680.88037710583296</v>
      </c>
      <c r="O325" s="295">
        <f t="shared" si="89"/>
        <v>0</v>
      </c>
      <c r="P325" s="295">
        <f t="shared" si="89"/>
        <v>0</v>
      </c>
      <c r="Q325" s="295">
        <f t="shared" si="91"/>
        <v>0</v>
      </c>
      <c r="R325" s="295">
        <f t="shared" si="91"/>
        <v>0</v>
      </c>
      <c r="S325" s="295">
        <f t="shared" si="91"/>
        <v>0</v>
      </c>
      <c r="T325" s="295">
        <f t="shared" si="91"/>
        <v>0</v>
      </c>
      <c r="U325" s="295">
        <f t="shared" si="91"/>
        <v>0</v>
      </c>
      <c r="V325" s="295">
        <f t="shared" si="91"/>
        <v>0</v>
      </c>
      <c r="W325" s="295">
        <f t="shared" si="91"/>
        <v>0</v>
      </c>
      <c r="X325" s="295">
        <f t="shared" si="91"/>
        <v>0</v>
      </c>
      <c r="Y325" s="295">
        <f t="shared" si="91"/>
        <v>0</v>
      </c>
      <c r="Z325" s="295">
        <f t="shared" si="91"/>
        <v>0</v>
      </c>
      <c r="AA325" s="295">
        <f t="shared" si="91"/>
        <v>0</v>
      </c>
      <c r="AB325" s="295">
        <f t="shared" si="91"/>
        <v>0</v>
      </c>
      <c r="AC325" s="295">
        <f t="shared" si="91"/>
        <v>0</v>
      </c>
      <c r="AD325" s="295">
        <f t="shared" si="91"/>
        <v>0</v>
      </c>
      <c r="AE325" s="296">
        <f t="shared" si="91"/>
        <v>0</v>
      </c>
    </row>
    <row r="326" spans="1:31" ht="15" customHeight="1">
      <c r="A326" s="1711"/>
      <c r="B326" s="116">
        <v>12</v>
      </c>
      <c r="C326" s="294">
        <f t="shared" si="87"/>
        <v>0</v>
      </c>
      <c r="D326" s="295">
        <f t="shared" si="91"/>
        <v>0</v>
      </c>
      <c r="E326" s="295">
        <f t="shared" si="91"/>
        <v>0</v>
      </c>
      <c r="F326" s="295">
        <f t="shared" si="91"/>
        <v>0.39166123569850458</v>
      </c>
      <c r="G326" s="295">
        <f t="shared" si="91"/>
        <v>0</v>
      </c>
      <c r="H326" s="295">
        <f t="shared" si="91"/>
        <v>0</v>
      </c>
      <c r="I326" s="295">
        <f t="shared" si="91"/>
        <v>0</v>
      </c>
      <c r="J326" s="295">
        <f t="shared" si="91"/>
        <v>0</v>
      </c>
      <c r="K326" s="295">
        <f t="shared" si="91"/>
        <v>40.394232282993251</v>
      </c>
      <c r="L326" s="295">
        <f t="shared" si="91"/>
        <v>161.576929131973</v>
      </c>
      <c r="M326" s="295">
        <f t="shared" si="91"/>
        <v>1050.9713649343066</v>
      </c>
      <c r="N326" s="295">
        <f t="shared" si="89"/>
        <v>462.73035731321738</v>
      </c>
      <c r="O326" s="295">
        <f t="shared" si="89"/>
        <v>420.17214830077802</v>
      </c>
      <c r="P326" s="295">
        <f t="shared" si="89"/>
        <v>0</v>
      </c>
      <c r="Q326" s="295">
        <f t="shared" si="91"/>
        <v>0</v>
      </c>
      <c r="R326" s="295">
        <f t="shared" si="91"/>
        <v>0</v>
      </c>
      <c r="S326" s="295">
        <f t="shared" si="91"/>
        <v>0</v>
      </c>
      <c r="T326" s="295">
        <f t="shared" si="91"/>
        <v>0</v>
      </c>
      <c r="U326" s="295">
        <f t="shared" si="91"/>
        <v>0</v>
      </c>
      <c r="V326" s="295">
        <f t="shared" si="91"/>
        <v>0</v>
      </c>
      <c r="W326" s="295">
        <f t="shared" si="91"/>
        <v>0</v>
      </c>
      <c r="X326" s="295">
        <f t="shared" si="91"/>
        <v>0</v>
      </c>
      <c r="Y326" s="295">
        <f t="shared" si="91"/>
        <v>0</v>
      </c>
      <c r="Z326" s="295">
        <f t="shared" si="91"/>
        <v>0</v>
      </c>
      <c r="AA326" s="295">
        <f t="shared" si="91"/>
        <v>0</v>
      </c>
      <c r="AB326" s="295">
        <f t="shared" si="91"/>
        <v>0</v>
      </c>
      <c r="AC326" s="295">
        <f t="shared" si="91"/>
        <v>0</v>
      </c>
      <c r="AD326" s="295">
        <f t="shared" si="91"/>
        <v>0</v>
      </c>
      <c r="AE326" s="296">
        <f t="shared" si="91"/>
        <v>0</v>
      </c>
    </row>
    <row r="327" spans="1:31" ht="15" customHeight="1">
      <c r="A327" s="1711"/>
      <c r="B327" s="116">
        <v>13</v>
      </c>
      <c r="C327" s="294">
        <f t="shared" si="87"/>
        <v>0</v>
      </c>
      <c r="D327" s="295">
        <f t="shared" si="91"/>
        <v>0</v>
      </c>
      <c r="E327" s="295">
        <f t="shared" si="91"/>
        <v>0</v>
      </c>
      <c r="F327" s="295">
        <f t="shared" si="91"/>
        <v>0</v>
      </c>
      <c r="G327" s="295">
        <f t="shared" si="91"/>
        <v>0.19268747518126458</v>
      </c>
      <c r="H327" s="295">
        <f t="shared" si="91"/>
        <v>0</v>
      </c>
      <c r="I327" s="295">
        <f t="shared" si="91"/>
        <v>0</v>
      </c>
      <c r="J327" s="295">
        <f t="shared" si="91"/>
        <v>0</v>
      </c>
      <c r="K327" s="295">
        <f t="shared" si="91"/>
        <v>0</v>
      </c>
      <c r="L327" s="295">
        <f t="shared" si="91"/>
        <v>19.872946110212197</v>
      </c>
      <c r="M327" s="295">
        <f t="shared" si="91"/>
        <v>79.491784440848789</v>
      </c>
      <c r="N327" s="295">
        <f t="shared" si="89"/>
        <v>517.05147290319951</v>
      </c>
      <c r="O327" s="295">
        <f t="shared" si="89"/>
        <v>227.6516951732344</v>
      </c>
      <c r="P327" s="295">
        <f t="shared" si="89"/>
        <v>206.71412694997508</v>
      </c>
      <c r="Q327" s="295">
        <f t="shared" si="91"/>
        <v>0</v>
      </c>
      <c r="R327" s="295">
        <f t="shared" si="91"/>
        <v>0</v>
      </c>
      <c r="S327" s="295">
        <f t="shared" si="91"/>
        <v>0</v>
      </c>
      <c r="T327" s="295">
        <f t="shared" si="91"/>
        <v>0</v>
      </c>
      <c r="U327" s="295">
        <f t="shared" si="91"/>
        <v>0</v>
      </c>
      <c r="V327" s="295">
        <f t="shared" si="91"/>
        <v>0</v>
      </c>
      <c r="W327" s="295">
        <f t="shared" si="91"/>
        <v>0</v>
      </c>
      <c r="X327" s="295">
        <f t="shared" si="91"/>
        <v>0</v>
      </c>
      <c r="Y327" s="295">
        <f t="shared" si="91"/>
        <v>0</v>
      </c>
      <c r="Z327" s="295">
        <f t="shared" si="91"/>
        <v>0</v>
      </c>
      <c r="AA327" s="295">
        <f t="shared" si="91"/>
        <v>0</v>
      </c>
      <c r="AB327" s="295">
        <f t="shared" si="91"/>
        <v>0</v>
      </c>
      <c r="AC327" s="295">
        <f t="shared" si="91"/>
        <v>0</v>
      </c>
      <c r="AD327" s="295">
        <f t="shared" si="91"/>
        <v>0</v>
      </c>
      <c r="AE327" s="296">
        <f t="shared" si="91"/>
        <v>0</v>
      </c>
    </row>
    <row r="328" spans="1:31" ht="15" customHeight="1">
      <c r="A328" s="1711"/>
      <c r="B328" s="116">
        <v>14</v>
      </c>
      <c r="C328" s="294">
        <f t="shared" si="87"/>
        <v>0</v>
      </c>
      <c r="D328" s="295">
        <f t="shared" si="91"/>
        <v>0</v>
      </c>
      <c r="E328" s="295">
        <f t="shared" si="91"/>
        <v>0</v>
      </c>
      <c r="F328" s="295">
        <f t="shared" si="91"/>
        <v>0</v>
      </c>
      <c r="G328" s="295">
        <f t="shared" si="91"/>
        <v>0</v>
      </c>
      <c r="H328" s="295">
        <f t="shared" si="91"/>
        <v>7.3021072401483922E-2</v>
      </c>
      <c r="I328" s="295">
        <f t="shared" si="91"/>
        <v>0</v>
      </c>
      <c r="J328" s="295">
        <f t="shared" si="91"/>
        <v>0</v>
      </c>
      <c r="K328" s="295">
        <f t="shared" si="91"/>
        <v>0</v>
      </c>
      <c r="L328" s="295">
        <f t="shared" si="91"/>
        <v>0</v>
      </c>
      <c r="M328" s="295">
        <f t="shared" si="91"/>
        <v>7.5310750497896972</v>
      </c>
      <c r="N328" s="295">
        <f t="shared" si="89"/>
        <v>30.124300199158789</v>
      </c>
      <c r="O328" s="295">
        <f t="shared" si="89"/>
        <v>195.9424347775641</v>
      </c>
      <c r="P328" s="295">
        <f t="shared" si="89"/>
        <v>86.271154365001635</v>
      </c>
      <c r="Q328" s="295">
        <f t="shared" si="91"/>
        <v>78.336628866116044</v>
      </c>
      <c r="R328" s="295">
        <f t="shared" si="91"/>
        <v>0</v>
      </c>
      <c r="S328" s="295">
        <f t="shared" si="91"/>
        <v>0</v>
      </c>
      <c r="T328" s="295">
        <f t="shared" si="91"/>
        <v>0</v>
      </c>
      <c r="U328" s="295">
        <f t="shared" si="91"/>
        <v>0</v>
      </c>
      <c r="V328" s="295">
        <f t="shared" si="91"/>
        <v>0</v>
      </c>
      <c r="W328" s="295">
        <f t="shared" si="91"/>
        <v>0</v>
      </c>
      <c r="X328" s="295">
        <f t="shared" si="91"/>
        <v>0</v>
      </c>
      <c r="Y328" s="295">
        <f t="shared" si="91"/>
        <v>0</v>
      </c>
      <c r="Z328" s="295">
        <f t="shared" si="91"/>
        <v>0</v>
      </c>
      <c r="AA328" s="295">
        <f t="shared" si="91"/>
        <v>0</v>
      </c>
      <c r="AB328" s="295">
        <f t="shared" si="91"/>
        <v>0</v>
      </c>
      <c r="AC328" s="295">
        <f t="shared" si="91"/>
        <v>0</v>
      </c>
      <c r="AD328" s="295">
        <f t="shared" si="91"/>
        <v>0</v>
      </c>
      <c r="AE328" s="296">
        <f t="shared" si="91"/>
        <v>0</v>
      </c>
    </row>
    <row r="329" spans="1:31" ht="15" customHeight="1">
      <c r="A329" s="1711"/>
      <c r="B329" s="116">
        <v>15</v>
      </c>
      <c r="C329" s="294">
        <f t="shared" si="87"/>
        <v>0</v>
      </c>
      <c r="D329" s="295">
        <f t="shared" si="91"/>
        <v>0</v>
      </c>
      <c r="E329" s="295">
        <f t="shared" si="91"/>
        <v>0</v>
      </c>
      <c r="F329" s="295">
        <f t="shared" si="91"/>
        <v>0</v>
      </c>
      <c r="G329" s="295">
        <f t="shared" si="91"/>
        <v>0</v>
      </c>
      <c r="H329" s="295">
        <f t="shared" si="91"/>
        <v>0</v>
      </c>
      <c r="I329" s="295">
        <f t="shared" si="91"/>
        <v>2.0090038744201632E-2</v>
      </c>
      <c r="J329" s="295">
        <f t="shared" si="91"/>
        <v>0</v>
      </c>
      <c r="K329" s="295">
        <f t="shared" si="91"/>
        <v>0</v>
      </c>
      <c r="L329" s="295">
        <f t="shared" si="91"/>
        <v>0</v>
      </c>
      <c r="M329" s="295">
        <f t="shared" si="91"/>
        <v>0</v>
      </c>
      <c r="N329" s="295">
        <f t="shared" si="89"/>
        <v>2.071999007408313</v>
      </c>
      <c r="O329" s="295">
        <f t="shared" si="89"/>
        <v>8.287996029633252</v>
      </c>
      <c r="P329" s="295">
        <f t="shared" si="89"/>
        <v>53.908974174891299</v>
      </c>
      <c r="Q329" s="295">
        <f t="shared" si="91"/>
        <v>23.735488629507735</v>
      </c>
      <c r="R329" s="295">
        <f t="shared" si="91"/>
        <v>21.552489675273971</v>
      </c>
      <c r="S329" s="295">
        <f t="shared" si="91"/>
        <v>0</v>
      </c>
      <c r="T329" s="295">
        <f t="shared" si="91"/>
        <v>0</v>
      </c>
      <c r="U329" s="295">
        <f t="shared" si="91"/>
        <v>0</v>
      </c>
      <c r="V329" s="295">
        <f t="shared" si="91"/>
        <v>0</v>
      </c>
      <c r="W329" s="295">
        <f t="shared" si="91"/>
        <v>0</v>
      </c>
      <c r="X329" s="295">
        <f t="shared" si="91"/>
        <v>0</v>
      </c>
      <c r="Y329" s="295">
        <f t="shared" si="91"/>
        <v>0</v>
      </c>
      <c r="Z329" s="295">
        <f t="shared" si="91"/>
        <v>0</v>
      </c>
      <c r="AA329" s="295">
        <f t="shared" si="91"/>
        <v>0</v>
      </c>
      <c r="AB329" s="295">
        <f t="shared" si="91"/>
        <v>0</v>
      </c>
      <c r="AC329" s="295">
        <f t="shared" si="91"/>
        <v>0</v>
      </c>
      <c r="AD329" s="295">
        <f t="shared" si="91"/>
        <v>0</v>
      </c>
      <c r="AE329" s="296">
        <f t="shared" si="91"/>
        <v>0</v>
      </c>
    </row>
    <row r="330" spans="1:31" ht="15" customHeight="1">
      <c r="A330" s="1711"/>
      <c r="B330" s="116">
        <v>16</v>
      </c>
      <c r="C330" s="294">
        <v>0</v>
      </c>
      <c r="D330" s="295">
        <f t="shared" si="91"/>
        <v>0</v>
      </c>
      <c r="E330" s="295">
        <f t="shared" si="91"/>
        <v>0</v>
      </c>
      <c r="F330" s="295">
        <f t="shared" si="91"/>
        <v>0</v>
      </c>
      <c r="G330" s="295">
        <f t="shared" si="91"/>
        <v>0</v>
      </c>
      <c r="H330" s="295">
        <f t="shared" si="91"/>
        <v>0</v>
      </c>
      <c r="I330" s="295">
        <f t="shared" si="91"/>
        <v>0</v>
      </c>
      <c r="J330" s="295">
        <f t="shared" si="91"/>
        <v>4.9745734912240019E-3</v>
      </c>
      <c r="K330" s="295">
        <f t="shared" si="91"/>
        <v>0</v>
      </c>
      <c r="L330" s="295">
        <f t="shared" si="91"/>
        <v>0</v>
      </c>
      <c r="M330" s="295">
        <f t="shared" si="91"/>
        <v>0</v>
      </c>
      <c r="N330" s="295">
        <f t="shared" si="89"/>
        <v>0</v>
      </c>
      <c r="O330" s="295">
        <f t="shared" si="89"/>
        <v>0.51305582171018582</v>
      </c>
      <c r="P330" s="295">
        <f t="shared" si="89"/>
        <v>2.0522232868407433</v>
      </c>
      <c r="Q330" s="295">
        <f t="shared" si="91"/>
        <v>13.348613075566801</v>
      </c>
      <c r="R330" s="295">
        <f t="shared" si="91"/>
        <v>5.8772376719122192</v>
      </c>
      <c r="S330" s="295">
        <f t="shared" si="91"/>
        <v>5.336696716896129</v>
      </c>
      <c r="T330" s="295">
        <f t="shared" si="91"/>
        <v>0</v>
      </c>
      <c r="U330" s="295">
        <f t="shared" si="91"/>
        <v>0</v>
      </c>
      <c r="V330" s="295">
        <f t="shared" si="91"/>
        <v>0</v>
      </c>
      <c r="W330" s="295">
        <f t="shared" si="91"/>
        <v>0</v>
      </c>
      <c r="X330" s="295">
        <f t="shared" si="91"/>
        <v>0</v>
      </c>
      <c r="Y330" s="295">
        <f t="shared" si="91"/>
        <v>0</v>
      </c>
      <c r="Z330" s="295">
        <f t="shared" si="91"/>
        <v>0</v>
      </c>
      <c r="AA330" s="295">
        <f t="shared" si="91"/>
        <v>0</v>
      </c>
      <c r="AB330" s="295">
        <f t="shared" si="91"/>
        <v>0</v>
      </c>
      <c r="AC330" s="295">
        <f t="shared" si="91"/>
        <v>0</v>
      </c>
      <c r="AD330" s="295">
        <f t="shared" si="91"/>
        <v>0</v>
      </c>
      <c r="AE330" s="296">
        <f t="shared" si="91"/>
        <v>0</v>
      </c>
    </row>
    <row r="331" spans="1:31" ht="15" customHeight="1">
      <c r="A331" s="1711"/>
      <c r="B331" s="116">
        <v>17</v>
      </c>
      <c r="C331" s="294">
        <v>0</v>
      </c>
      <c r="D331" s="295">
        <f t="shared" si="91"/>
        <v>0</v>
      </c>
      <c r="E331" s="295">
        <f t="shared" si="91"/>
        <v>0</v>
      </c>
      <c r="F331" s="295">
        <f t="shared" si="91"/>
        <v>0</v>
      </c>
      <c r="G331" s="295">
        <f t="shared" si="91"/>
        <v>0</v>
      </c>
      <c r="H331" s="295">
        <f t="shared" si="91"/>
        <v>0</v>
      </c>
      <c r="I331" s="295">
        <f t="shared" si="91"/>
        <v>0</v>
      </c>
      <c r="J331" s="295">
        <f t="shared" si="91"/>
        <v>0</v>
      </c>
      <c r="K331" s="295">
        <f t="shared" si="91"/>
        <v>1.0949099583208821E-3</v>
      </c>
      <c r="L331" s="295">
        <f t="shared" si="91"/>
        <v>0</v>
      </c>
      <c r="M331" s="295">
        <f t="shared" si="91"/>
        <v>0</v>
      </c>
      <c r="N331" s="295">
        <f t="shared" si="89"/>
        <v>0</v>
      </c>
      <c r="O331" s="295">
        <f t="shared" si="89"/>
        <v>0</v>
      </c>
      <c r="P331" s="295">
        <f t="shared" si="89"/>
        <v>0.11292423950636338</v>
      </c>
      <c r="Q331" s="295">
        <f t="shared" si="91"/>
        <v>0.45169695802545351</v>
      </c>
      <c r="R331" s="295">
        <f t="shared" si="91"/>
        <v>2.9380467314423475</v>
      </c>
      <c r="S331" s="295">
        <f t="shared" si="91"/>
        <v>1.2935874936309308</v>
      </c>
      <c r="T331" s="295">
        <f t="shared" si="91"/>
        <v>1.1746137412938691</v>
      </c>
      <c r="U331" s="295">
        <f t="shared" si="91"/>
        <v>0</v>
      </c>
      <c r="V331" s="295">
        <f t="shared" si="91"/>
        <v>0</v>
      </c>
      <c r="W331" s="295">
        <f t="shared" si="91"/>
        <v>0</v>
      </c>
      <c r="X331" s="295">
        <f t="shared" si="91"/>
        <v>0</v>
      </c>
      <c r="Y331" s="295">
        <f t="shared" si="91"/>
        <v>0</v>
      </c>
      <c r="Z331" s="295">
        <f t="shared" si="91"/>
        <v>0</v>
      </c>
      <c r="AA331" s="295">
        <f t="shared" si="91"/>
        <v>0</v>
      </c>
      <c r="AB331" s="295">
        <f t="shared" si="91"/>
        <v>0</v>
      </c>
      <c r="AC331" s="295">
        <f t="shared" si="91"/>
        <v>0</v>
      </c>
      <c r="AD331" s="295">
        <f t="shared" si="91"/>
        <v>0</v>
      </c>
      <c r="AE331" s="296">
        <f t="shared" si="91"/>
        <v>0</v>
      </c>
    </row>
    <row r="332" spans="1:31" ht="15.75" customHeight="1">
      <c r="A332" s="1711"/>
      <c r="B332" s="116">
        <v>18</v>
      </c>
      <c r="C332" s="294">
        <v>0</v>
      </c>
      <c r="D332" s="295">
        <f t="shared" si="91"/>
        <v>0</v>
      </c>
      <c r="E332" s="295">
        <f t="shared" si="91"/>
        <v>0</v>
      </c>
      <c r="F332" s="295">
        <f t="shared" si="91"/>
        <v>0</v>
      </c>
      <c r="G332" s="295">
        <f t="shared" si="91"/>
        <v>0</v>
      </c>
      <c r="H332" s="295">
        <f t="shared" si="91"/>
        <v>0</v>
      </c>
      <c r="I332" s="295">
        <f t="shared" si="91"/>
        <v>0</v>
      </c>
      <c r="J332" s="295">
        <f t="shared" si="91"/>
        <v>0</v>
      </c>
      <c r="K332" s="295">
        <f t="shared" si="91"/>
        <v>0</v>
      </c>
      <c r="L332" s="295">
        <f t="shared" si="91"/>
        <v>2.1086719124303348E-4</v>
      </c>
      <c r="M332" s="295">
        <f t="shared" si="91"/>
        <v>0</v>
      </c>
      <c r="N332" s="295">
        <f t="shared" si="89"/>
        <v>0</v>
      </c>
      <c r="O332" s="295">
        <f t="shared" si="89"/>
        <v>0</v>
      </c>
      <c r="P332" s="295">
        <f t="shared" si="89"/>
        <v>0</v>
      </c>
      <c r="Q332" s="295">
        <f t="shared" si="91"/>
        <v>2.1747922764790421E-2</v>
      </c>
      <c r="R332" s="295">
        <f t="shared" si="91"/>
        <v>8.6991691059161685E-2</v>
      </c>
      <c r="S332" s="295">
        <f t="shared" si="91"/>
        <v>0.56583434764820795</v>
      </c>
      <c r="T332" s="295">
        <f t="shared" si="91"/>
        <v>0.24913022238594748</v>
      </c>
      <c r="U332" s="295">
        <f t="shared" si="91"/>
        <v>0.22621723233018609</v>
      </c>
      <c r="V332" s="295">
        <f t="shared" si="91"/>
        <v>0</v>
      </c>
      <c r="W332" s="295">
        <f t="shared" si="91"/>
        <v>0</v>
      </c>
      <c r="X332" s="295">
        <f t="shared" si="91"/>
        <v>0</v>
      </c>
      <c r="Y332" s="295">
        <f t="shared" si="91"/>
        <v>0</v>
      </c>
      <c r="Z332" s="295">
        <f t="shared" si="91"/>
        <v>0</v>
      </c>
      <c r="AA332" s="295">
        <f t="shared" si="91"/>
        <v>0</v>
      </c>
      <c r="AB332" s="295">
        <f t="shared" si="91"/>
        <v>0</v>
      </c>
      <c r="AC332" s="295">
        <f t="shared" si="91"/>
        <v>0</v>
      </c>
      <c r="AD332" s="295">
        <f t="shared" si="91"/>
        <v>0</v>
      </c>
      <c r="AE332" s="296">
        <f t="shared" si="91"/>
        <v>0</v>
      </c>
    </row>
    <row r="333" spans="1:31" ht="16.5" customHeight="1">
      <c r="A333" s="1711"/>
      <c r="B333" s="116">
        <v>19</v>
      </c>
      <c r="C333" s="294">
        <v>0</v>
      </c>
      <c r="D333" s="295">
        <f t="shared" si="91"/>
        <v>0</v>
      </c>
      <c r="E333" s="295">
        <f t="shared" si="91"/>
        <v>0</v>
      </c>
      <c r="F333" s="295">
        <f t="shared" si="91"/>
        <v>0</v>
      </c>
      <c r="G333" s="295">
        <f t="shared" si="91"/>
        <v>0</v>
      </c>
      <c r="H333" s="295">
        <f t="shared" si="91"/>
        <v>0</v>
      </c>
      <c r="I333" s="295">
        <f t="shared" si="91"/>
        <v>0</v>
      </c>
      <c r="J333" s="295">
        <f t="shared" si="91"/>
        <v>0</v>
      </c>
      <c r="K333" s="295">
        <f t="shared" si="91"/>
        <v>0</v>
      </c>
      <c r="L333" s="295">
        <f t="shared" si="91"/>
        <v>0</v>
      </c>
      <c r="M333" s="295">
        <f t="shared" si="91"/>
        <v>3.4809102928491879E-5</v>
      </c>
      <c r="N333" s="295">
        <f t="shared" si="89"/>
        <v>0</v>
      </c>
      <c r="O333" s="295">
        <f t="shared" si="89"/>
        <v>0</v>
      </c>
      <c r="P333" s="295">
        <f t="shared" si="89"/>
        <v>0</v>
      </c>
      <c r="Q333" s="295">
        <f t="shared" si="91"/>
        <v>0</v>
      </c>
      <c r="R333" s="295">
        <f t="shared" si="91"/>
        <v>3.5900591151137255E-3</v>
      </c>
      <c r="S333" s="295">
        <f t="shared" si="91"/>
        <v>1.4360236460454902E-2</v>
      </c>
      <c r="T333" s="295">
        <f t="shared" si="91"/>
        <v>9.3405645191441039E-2</v>
      </c>
      <c r="U333" s="295">
        <f t="shared" si="91"/>
        <v>4.1125409327597423E-2</v>
      </c>
      <c r="V333" s="295">
        <f t="shared" si="91"/>
        <v>3.7343025617031164E-2</v>
      </c>
      <c r="W333" s="295">
        <f t="shared" si="91"/>
        <v>0</v>
      </c>
      <c r="X333" s="295">
        <f t="shared" si="91"/>
        <v>0</v>
      </c>
      <c r="Y333" s="295">
        <f t="shared" si="91"/>
        <v>0</v>
      </c>
      <c r="Z333" s="295">
        <f t="shared" si="91"/>
        <v>0</v>
      </c>
      <c r="AA333" s="295">
        <f t="shared" si="91"/>
        <v>0</v>
      </c>
      <c r="AB333" s="295">
        <f t="shared" si="91"/>
        <v>0</v>
      </c>
      <c r="AC333" s="295">
        <f t="shared" si="91"/>
        <v>0</v>
      </c>
      <c r="AD333" s="295">
        <f t="shared" si="91"/>
        <v>0</v>
      </c>
      <c r="AE333" s="296">
        <f t="shared" si="91"/>
        <v>0</v>
      </c>
    </row>
    <row r="334" spans="1:31">
      <c r="A334" s="1711"/>
      <c r="B334" s="116">
        <v>20</v>
      </c>
      <c r="C334" s="294">
        <v>0</v>
      </c>
      <c r="D334" s="295">
        <f t="shared" si="91"/>
        <v>0</v>
      </c>
      <c r="E334" s="295">
        <f t="shared" si="91"/>
        <v>0</v>
      </c>
      <c r="F334" s="295">
        <f t="shared" si="91"/>
        <v>0</v>
      </c>
      <c r="G334" s="295">
        <f t="shared" ref="G334:AE334" si="92">F333*$D45</f>
        <v>0</v>
      </c>
      <c r="H334" s="295">
        <f t="shared" si="92"/>
        <v>0</v>
      </c>
      <c r="I334" s="295">
        <f t="shared" si="92"/>
        <v>0</v>
      </c>
      <c r="J334" s="295">
        <f t="shared" si="92"/>
        <v>0</v>
      </c>
      <c r="K334" s="295">
        <f t="shared" si="92"/>
        <v>0</v>
      </c>
      <c r="L334" s="295">
        <f t="shared" si="92"/>
        <v>0</v>
      </c>
      <c r="M334" s="295">
        <f t="shared" si="92"/>
        <v>0</v>
      </c>
      <c r="N334" s="295">
        <f t="shared" si="89"/>
        <v>4.7884549177758532E-6</v>
      </c>
      <c r="O334" s="295">
        <f t="shared" si="89"/>
        <v>0</v>
      </c>
      <c r="P334" s="295">
        <f t="shared" si="89"/>
        <v>0</v>
      </c>
      <c r="Q334" s="295">
        <f t="shared" si="92"/>
        <v>0</v>
      </c>
      <c r="R334" s="295">
        <f t="shared" si="92"/>
        <v>0</v>
      </c>
      <c r="S334" s="295">
        <f t="shared" si="92"/>
        <v>4.9386036348559096E-4</v>
      </c>
      <c r="T334" s="295">
        <f t="shared" si="92"/>
        <v>1.9754414539423638E-3</v>
      </c>
      <c r="U334" s="295">
        <f t="shared" si="92"/>
        <v>1.2849188385687608E-2</v>
      </c>
      <c r="V334" s="295">
        <f t="shared" si="92"/>
        <v>5.6573468424286908E-3</v>
      </c>
      <c r="W334" s="295">
        <f t="shared" si="92"/>
        <v>5.1370296737563706E-3</v>
      </c>
      <c r="X334" s="295">
        <f t="shared" si="92"/>
        <v>0</v>
      </c>
      <c r="Y334" s="295">
        <f t="shared" si="92"/>
        <v>0</v>
      </c>
      <c r="Z334" s="295">
        <f t="shared" si="92"/>
        <v>0</v>
      </c>
      <c r="AA334" s="295">
        <f t="shared" si="92"/>
        <v>0</v>
      </c>
      <c r="AB334" s="295">
        <f t="shared" si="92"/>
        <v>0</v>
      </c>
      <c r="AC334" s="295">
        <f t="shared" si="92"/>
        <v>0</v>
      </c>
      <c r="AD334" s="295">
        <f t="shared" si="92"/>
        <v>0</v>
      </c>
      <c r="AE334" s="296">
        <f t="shared" si="92"/>
        <v>0</v>
      </c>
    </row>
    <row r="335" spans="1:31" ht="15.75" customHeight="1">
      <c r="A335" s="1711"/>
      <c r="B335" s="116">
        <v>21</v>
      </c>
      <c r="C335" s="294">
        <v>0</v>
      </c>
      <c r="D335" s="295">
        <f t="shared" ref="D335:AE339" si="93">C334*$D46</f>
        <v>0</v>
      </c>
      <c r="E335" s="295">
        <f t="shared" si="93"/>
        <v>0</v>
      </c>
      <c r="F335" s="295">
        <f t="shared" si="93"/>
        <v>0</v>
      </c>
      <c r="G335" s="295">
        <f t="shared" si="93"/>
        <v>0</v>
      </c>
      <c r="H335" s="295">
        <f t="shared" si="93"/>
        <v>0</v>
      </c>
      <c r="I335" s="295">
        <f t="shared" si="93"/>
        <v>0</v>
      </c>
      <c r="J335" s="295">
        <f t="shared" si="93"/>
        <v>0</v>
      </c>
      <c r="K335" s="295">
        <f t="shared" si="93"/>
        <v>0</v>
      </c>
      <c r="L335" s="295">
        <f t="shared" si="93"/>
        <v>0</v>
      </c>
      <c r="M335" s="295">
        <f t="shared" si="93"/>
        <v>0</v>
      </c>
      <c r="N335" s="295">
        <f t="shared" si="89"/>
        <v>0</v>
      </c>
      <c r="O335" s="295">
        <f t="shared" si="89"/>
        <v>5.2697251168294161E-7</v>
      </c>
      <c r="P335" s="295">
        <f t="shared" si="89"/>
        <v>0</v>
      </c>
      <c r="Q335" s="295">
        <f t="shared" si="93"/>
        <v>0</v>
      </c>
      <c r="R335" s="295">
        <f t="shared" si="93"/>
        <v>0</v>
      </c>
      <c r="S335" s="295">
        <f t="shared" si="93"/>
        <v>0</v>
      </c>
      <c r="T335" s="295">
        <f t="shared" si="93"/>
        <v>5.4349647357134136E-5</v>
      </c>
      <c r="U335" s="295">
        <f t="shared" si="93"/>
        <v>2.1739858942853655E-4</v>
      </c>
      <c r="V335" s="295">
        <f t="shared" si="93"/>
        <v>1.4140613607025792E-3</v>
      </c>
      <c r="W335" s="295">
        <f t="shared" si="93"/>
        <v>6.2259462106431355E-4</v>
      </c>
      <c r="X335" s="295">
        <f t="shared" si="93"/>
        <v>5.6533338545590429E-4</v>
      </c>
      <c r="Y335" s="295">
        <f t="shared" si="93"/>
        <v>0</v>
      </c>
      <c r="Z335" s="295">
        <f t="shared" si="93"/>
        <v>0</v>
      </c>
      <c r="AA335" s="295">
        <f t="shared" si="93"/>
        <v>0</v>
      </c>
      <c r="AB335" s="295">
        <f t="shared" si="93"/>
        <v>0</v>
      </c>
      <c r="AC335" s="295">
        <f t="shared" si="93"/>
        <v>0</v>
      </c>
      <c r="AD335" s="295">
        <f t="shared" si="93"/>
        <v>0</v>
      </c>
      <c r="AE335" s="296">
        <f t="shared" si="93"/>
        <v>0</v>
      </c>
    </row>
    <row r="336" spans="1:31" ht="15" customHeight="1">
      <c r="A336" s="1711"/>
      <c r="B336" s="116">
        <v>22</v>
      </c>
      <c r="C336" s="294">
        <v>0</v>
      </c>
      <c r="D336" s="295">
        <f t="shared" si="93"/>
        <v>0</v>
      </c>
      <c r="E336" s="295">
        <f t="shared" si="93"/>
        <v>0</v>
      </c>
      <c r="F336" s="295">
        <f t="shared" si="93"/>
        <v>0</v>
      </c>
      <c r="G336" s="295">
        <f t="shared" si="93"/>
        <v>0</v>
      </c>
      <c r="H336" s="295">
        <f t="shared" si="93"/>
        <v>0</v>
      </c>
      <c r="I336" s="295">
        <f t="shared" si="93"/>
        <v>0</v>
      </c>
      <c r="J336" s="295">
        <f t="shared" si="93"/>
        <v>0</v>
      </c>
      <c r="K336" s="295">
        <f t="shared" si="93"/>
        <v>0</v>
      </c>
      <c r="L336" s="295">
        <f t="shared" si="93"/>
        <v>0</v>
      </c>
      <c r="M336" s="295">
        <f t="shared" si="93"/>
        <v>0</v>
      </c>
      <c r="N336" s="295">
        <f t="shared" si="89"/>
        <v>0</v>
      </c>
      <c r="O336" s="295">
        <f t="shared" si="89"/>
        <v>0</v>
      </c>
      <c r="P336" s="295">
        <f t="shared" si="89"/>
        <v>4.3495245257276195E-8</v>
      </c>
      <c r="Q336" s="295">
        <f t="shared" si="93"/>
        <v>0</v>
      </c>
      <c r="R336" s="295">
        <f t="shared" si="93"/>
        <v>0</v>
      </c>
      <c r="S336" s="295">
        <f t="shared" si="93"/>
        <v>0</v>
      </c>
      <c r="T336" s="295">
        <f t="shared" si="93"/>
        <v>0</v>
      </c>
      <c r="U336" s="295">
        <f t="shared" si="93"/>
        <v>4.4859099650103145E-6</v>
      </c>
      <c r="V336" s="295">
        <f t="shared" si="93"/>
        <v>1.7943639860041258E-5</v>
      </c>
      <c r="W336" s="295">
        <f t="shared" si="93"/>
        <v>1.1671376462535765E-4</v>
      </c>
      <c r="X336" s="295">
        <f t="shared" si="93"/>
        <v>5.1387700759894957E-5</v>
      </c>
      <c r="Y336" s="295">
        <f t="shared" si="93"/>
        <v>4.6661474189616222E-5</v>
      </c>
      <c r="Z336" s="295">
        <f t="shared" si="93"/>
        <v>0</v>
      </c>
      <c r="AA336" s="295">
        <f t="shared" si="93"/>
        <v>0</v>
      </c>
      <c r="AB336" s="295">
        <f t="shared" si="93"/>
        <v>0</v>
      </c>
      <c r="AC336" s="295">
        <f t="shared" si="93"/>
        <v>0</v>
      </c>
      <c r="AD336" s="295">
        <f t="shared" si="93"/>
        <v>0</v>
      </c>
      <c r="AE336" s="296">
        <f t="shared" si="93"/>
        <v>0</v>
      </c>
    </row>
    <row r="337" spans="1:31" ht="15" customHeight="1">
      <c r="A337" s="1711"/>
      <c r="B337" s="116">
        <v>23</v>
      </c>
      <c r="C337" s="294">
        <v>0</v>
      </c>
      <c r="D337" s="295">
        <f t="shared" si="93"/>
        <v>0</v>
      </c>
      <c r="E337" s="295">
        <f t="shared" si="93"/>
        <v>0</v>
      </c>
      <c r="F337" s="295">
        <f t="shared" si="93"/>
        <v>0</v>
      </c>
      <c r="G337" s="295">
        <f t="shared" si="93"/>
        <v>0</v>
      </c>
      <c r="H337" s="295">
        <f t="shared" si="93"/>
        <v>0</v>
      </c>
      <c r="I337" s="295">
        <f t="shared" si="93"/>
        <v>0</v>
      </c>
      <c r="J337" s="295">
        <f t="shared" si="93"/>
        <v>0</v>
      </c>
      <c r="K337" s="295">
        <f t="shared" si="93"/>
        <v>0</v>
      </c>
      <c r="L337" s="295">
        <f t="shared" si="93"/>
        <v>0</v>
      </c>
      <c r="M337" s="295">
        <f t="shared" si="93"/>
        <v>0</v>
      </c>
      <c r="N337" s="295">
        <f t="shared" si="89"/>
        <v>0</v>
      </c>
      <c r="O337" s="295">
        <f t="shared" si="89"/>
        <v>0</v>
      </c>
      <c r="P337" s="295">
        <f t="shared" si="89"/>
        <v>0</v>
      </c>
      <c r="Q337" s="295">
        <f t="shared" si="93"/>
        <v>2.393339713234543E-9</v>
      </c>
      <c r="R337" s="295">
        <f t="shared" si="93"/>
        <v>0</v>
      </c>
      <c r="S337" s="295">
        <f t="shared" si="93"/>
        <v>0</v>
      </c>
      <c r="T337" s="295">
        <f t="shared" si="93"/>
        <v>0</v>
      </c>
      <c r="U337" s="295">
        <f t="shared" si="93"/>
        <v>0</v>
      </c>
      <c r="V337" s="295">
        <f t="shared" si="93"/>
        <v>2.4683862352650418E-7</v>
      </c>
      <c r="W337" s="295">
        <f t="shared" si="93"/>
        <v>9.8735449410601672E-7</v>
      </c>
      <c r="X337" s="295">
        <f t="shared" si="93"/>
        <v>6.4222120442520823E-6</v>
      </c>
      <c r="Y337" s="295">
        <f t="shared" si="93"/>
        <v>2.8276245891473659E-6</v>
      </c>
      <c r="Z337" s="295">
        <f t="shared" si="93"/>
        <v>2.5675624679319409E-6</v>
      </c>
      <c r="AA337" s="295">
        <f t="shared" si="93"/>
        <v>0</v>
      </c>
      <c r="AB337" s="295">
        <f t="shared" si="93"/>
        <v>0</v>
      </c>
      <c r="AC337" s="295">
        <f t="shared" si="93"/>
        <v>0</v>
      </c>
      <c r="AD337" s="295">
        <f t="shared" si="93"/>
        <v>0</v>
      </c>
      <c r="AE337" s="296">
        <f t="shared" si="93"/>
        <v>0</v>
      </c>
    </row>
    <row r="338" spans="1:31" ht="15" customHeight="1">
      <c r="A338" s="1711"/>
      <c r="B338" s="116">
        <v>24</v>
      </c>
      <c r="C338" s="294">
        <v>0</v>
      </c>
      <c r="D338" s="295">
        <f t="shared" si="93"/>
        <v>0</v>
      </c>
      <c r="E338" s="295">
        <f t="shared" si="93"/>
        <v>0</v>
      </c>
      <c r="F338" s="295">
        <f t="shared" si="93"/>
        <v>0</v>
      </c>
      <c r="G338" s="295">
        <f t="shared" si="93"/>
        <v>0</v>
      </c>
      <c r="H338" s="295">
        <f t="shared" si="93"/>
        <v>0</v>
      </c>
      <c r="I338" s="295">
        <f t="shared" si="93"/>
        <v>0</v>
      </c>
      <c r="J338" s="295">
        <f t="shared" si="93"/>
        <v>0</v>
      </c>
      <c r="K338" s="295">
        <f t="shared" si="93"/>
        <v>0</v>
      </c>
      <c r="L338" s="295">
        <f t="shared" si="93"/>
        <v>0</v>
      </c>
      <c r="M338" s="295">
        <f t="shared" si="93"/>
        <v>0</v>
      </c>
      <c r="N338" s="295">
        <f t="shared" si="89"/>
        <v>0</v>
      </c>
      <c r="O338" s="295">
        <f t="shared" si="89"/>
        <v>0</v>
      </c>
      <c r="P338" s="295">
        <f t="shared" si="89"/>
        <v>0</v>
      </c>
      <c r="Q338" s="295">
        <f t="shared" si="93"/>
        <v>0</v>
      </c>
      <c r="R338" s="295">
        <f t="shared" si="93"/>
        <v>6.5847139716810505E-11</v>
      </c>
      <c r="S338" s="295">
        <f t="shared" si="93"/>
        <v>0</v>
      </c>
      <c r="T338" s="295">
        <f t="shared" si="93"/>
        <v>0</v>
      </c>
      <c r="U338" s="295">
        <f t="shared" si="93"/>
        <v>0</v>
      </c>
      <c r="V338" s="295">
        <f t="shared" si="93"/>
        <v>0</v>
      </c>
      <c r="W338" s="295">
        <f t="shared" si="93"/>
        <v>6.7911869096462373E-9</v>
      </c>
      <c r="X338" s="295">
        <f t="shared" si="93"/>
        <v>2.7164747638584949E-8</v>
      </c>
      <c r="Y338" s="295">
        <f t="shared" si="93"/>
        <v>1.7669213084561729E-7</v>
      </c>
      <c r="Z338" s="295">
        <f t="shared" si="93"/>
        <v>7.7795471473893987E-8</v>
      </c>
      <c r="AA338" s="295">
        <f t="shared" si="93"/>
        <v>7.0640470979802384E-8</v>
      </c>
      <c r="AB338" s="295">
        <f t="shared" si="93"/>
        <v>0</v>
      </c>
      <c r="AC338" s="295">
        <f t="shared" si="93"/>
        <v>0</v>
      </c>
      <c r="AD338" s="295">
        <f t="shared" si="93"/>
        <v>0</v>
      </c>
      <c r="AE338" s="296">
        <f t="shared" si="93"/>
        <v>0</v>
      </c>
    </row>
    <row r="339" spans="1:31" ht="15.75" customHeight="1" thickBot="1">
      <c r="A339" s="1711"/>
      <c r="B339" s="116">
        <v>25</v>
      </c>
      <c r="C339" s="297">
        <v>0</v>
      </c>
      <c r="D339" s="298">
        <f t="shared" si="93"/>
        <v>0</v>
      </c>
      <c r="E339" s="298">
        <f t="shared" si="93"/>
        <v>0</v>
      </c>
      <c r="F339" s="298">
        <f t="shared" si="93"/>
        <v>0</v>
      </c>
      <c r="G339" s="298">
        <f t="shared" si="93"/>
        <v>0</v>
      </c>
      <c r="H339" s="298">
        <f t="shared" si="93"/>
        <v>0</v>
      </c>
      <c r="I339" s="298">
        <f t="shared" si="93"/>
        <v>0</v>
      </c>
      <c r="J339" s="298">
        <f t="shared" si="93"/>
        <v>0</v>
      </c>
      <c r="K339" s="298">
        <f t="shared" si="93"/>
        <v>0</v>
      </c>
      <c r="L339" s="298">
        <f t="shared" si="93"/>
        <v>0</v>
      </c>
      <c r="M339" s="298">
        <f t="shared" si="93"/>
        <v>0</v>
      </c>
      <c r="N339" s="298">
        <f t="shared" si="89"/>
        <v>0</v>
      </c>
      <c r="O339" s="298">
        <f t="shared" si="89"/>
        <v>0</v>
      </c>
      <c r="P339" s="298">
        <f t="shared" si="89"/>
        <v>0</v>
      </c>
      <c r="Q339" s="298">
        <f t="shared" si="93"/>
        <v>0</v>
      </c>
      <c r="R339" s="298">
        <f t="shared" si="93"/>
        <v>0</v>
      </c>
      <c r="S339" s="298">
        <f t="shared" si="93"/>
        <v>0</v>
      </c>
      <c r="T339" s="298">
        <f t="shared" si="93"/>
        <v>0</v>
      </c>
      <c r="U339" s="298">
        <f t="shared" si="93"/>
        <v>0</v>
      </c>
      <c r="V339" s="298">
        <f t="shared" si="93"/>
        <v>0</v>
      </c>
      <c r="W339" s="298">
        <f t="shared" si="93"/>
        <v>0</v>
      </c>
      <c r="X339" s="298">
        <f t="shared" si="93"/>
        <v>0</v>
      </c>
      <c r="Y339" s="298">
        <f t="shared" si="93"/>
        <v>0</v>
      </c>
      <c r="Z339" s="298">
        <f t="shared" si="93"/>
        <v>0</v>
      </c>
      <c r="AA339" s="298">
        <f t="shared" si="93"/>
        <v>0</v>
      </c>
      <c r="AB339" s="298">
        <f t="shared" si="93"/>
        <v>0</v>
      </c>
      <c r="AC339" s="298">
        <f t="shared" si="93"/>
        <v>0</v>
      </c>
      <c r="AD339" s="298">
        <f t="shared" si="93"/>
        <v>0</v>
      </c>
      <c r="AE339" s="299">
        <f t="shared" si="93"/>
        <v>0</v>
      </c>
    </row>
    <row r="340" spans="1:31" ht="16.5" customHeight="1" thickTop="1" thickBot="1">
      <c r="A340" s="1712"/>
      <c r="B340" s="300" t="s">
        <v>39</v>
      </c>
      <c r="C340" s="301">
        <f>SUM(C314:C339)</f>
        <v>5923</v>
      </c>
      <c r="D340" s="301">
        <f>SUM(D314:D339)</f>
        <v>5922.8508608833945</v>
      </c>
      <c r="E340" s="301">
        <f t="shared" ref="E340:AB340" si="94">SUM(E314:E339)</f>
        <v>5922.6346790260577</v>
      </c>
      <c r="F340" s="301">
        <f t="shared" si="94"/>
        <v>5922.3916612356988</v>
      </c>
      <c r="G340" s="301">
        <f t="shared" si="94"/>
        <v>5920.5497836938184</v>
      </c>
      <c r="H340" s="301">
        <f t="shared" si="94"/>
        <v>5906.6370461410897</v>
      </c>
      <c r="I340" s="301">
        <f t="shared" si="94"/>
        <v>5819.5718968573919</v>
      </c>
      <c r="J340" s="301">
        <f t="shared" si="94"/>
        <v>5529.0276332853455</v>
      </c>
      <c r="K340" s="301">
        <f t="shared" si="94"/>
        <v>4914.7670646007346</v>
      </c>
      <c r="L340" s="301">
        <f t="shared" si="94"/>
        <v>3962.5768768875309</v>
      </c>
      <c r="M340" s="301">
        <f t="shared" si="94"/>
        <v>2800.6384998021681</v>
      </c>
      <c r="N340" s="301">
        <f t="shared" si="94"/>
        <v>1692.8585113172719</v>
      </c>
      <c r="O340" s="301">
        <f t="shared" si="94"/>
        <v>852.56733062989247</v>
      </c>
      <c r="P340" s="301">
        <f t="shared" si="94"/>
        <v>349.05940305971029</v>
      </c>
      <c r="Q340" s="301">
        <f t="shared" si="94"/>
        <v>115.89417545437416</v>
      </c>
      <c r="R340" s="301">
        <f t="shared" si="94"/>
        <v>30.458355828868662</v>
      </c>
      <c r="S340" s="301">
        <f t="shared" si="94"/>
        <v>7.2109726549992086</v>
      </c>
      <c r="T340" s="301">
        <f t="shared" si="94"/>
        <v>1.5191793999725571</v>
      </c>
      <c r="U340" s="301">
        <f t="shared" si="94"/>
        <v>0.28041371454286468</v>
      </c>
      <c r="V340" s="301">
        <f t="shared" si="94"/>
        <v>4.4432624298646001E-2</v>
      </c>
      <c r="W340" s="301">
        <f t="shared" si="94"/>
        <v>5.8773322051270576E-3</v>
      </c>
      <c r="X340" s="301">
        <f t="shared" si="94"/>
        <v>6.2317046300768995E-4</v>
      </c>
      <c r="Y340" s="301">
        <f t="shared" si="94"/>
        <v>4.9665790909609208E-5</v>
      </c>
      <c r="Z340" s="301">
        <f t="shared" si="94"/>
        <v>2.6453579394058348E-6</v>
      </c>
      <c r="AA340" s="301">
        <f t="shared" si="94"/>
        <v>7.0640470979802384E-8</v>
      </c>
      <c r="AB340" s="301">
        <f t="shared" si="94"/>
        <v>0</v>
      </c>
      <c r="AC340" s="301">
        <f>SUM(AC314:AC339)</f>
        <v>0</v>
      </c>
      <c r="AD340" s="301">
        <f t="shared" ref="AD340:AE340" si="95">SUM(AD314:AD339)</f>
        <v>0</v>
      </c>
      <c r="AE340" s="302">
        <f t="shared" si="95"/>
        <v>0</v>
      </c>
    </row>
    <row r="341" spans="1:31" ht="15.75" thickBot="1"/>
    <row r="342" spans="1:31" ht="15.75" customHeight="1" thickBot="1">
      <c r="A342" s="1710" t="s">
        <v>51</v>
      </c>
      <c r="B342" s="169" t="s">
        <v>10</v>
      </c>
      <c r="C342" s="288">
        <v>2012</v>
      </c>
      <c r="D342" s="289">
        <v>2013</v>
      </c>
      <c r="E342" s="289">
        <v>2014</v>
      </c>
      <c r="F342" s="289">
        <v>2015</v>
      </c>
      <c r="G342" s="288">
        <v>2016</v>
      </c>
      <c r="H342" s="289">
        <v>2017</v>
      </c>
      <c r="I342" s="289">
        <v>2018</v>
      </c>
      <c r="J342" s="289">
        <v>2019</v>
      </c>
      <c r="K342" s="288">
        <v>2020</v>
      </c>
      <c r="L342" s="289">
        <v>2021</v>
      </c>
      <c r="M342" s="289">
        <v>2022</v>
      </c>
      <c r="N342" s="289">
        <v>2023</v>
      </c>
      <c r="O342" s="288">
        <v>2024</v>
      </c>
      <c r="P342" s="289">
        <v>2025</v>
      </c>
      <c r="Q342" s="289">
        <v>2026</v>
      </c>
      <c r="R342" s="289">
        <v>2027</v>
      </c>
      <c r="S342" s="288">
        <v>2028</v>
      </c>
      <c r="T342" s="289">
        <v>2029</v>
      </c>
      <c r="U342" s="289">
        <v>2030</v>
      </c>
      <c r="V342" s="289">
        <v>2031</v>
      </c>
      <c r="W342" s="288">
        <v>2032</v>
      </c>
      <c r="X342" s="289">
        <v>2033</v>
      </c>
      <c r="Y342" s="289">
        <v>2034</v>
      </c>
      <c r="Z342" s="289">
        <v>2035</v>
      </c>
      <c r="AA342" s="288">
        <v>2036</v>
      </c>
      <c r="AB342" s="289">
        <v>2037</v>
      </c>
      <c r="AC342" s="289">
        <v>2038</v>
      </c>
      <c r="AD342" s="289">
        <v>2039</v>
      </c>
      <c r="AE342" s="290">
        <v>2040</v>
      </c>
    </row>
    <row r="343" spans="1:31">
      <c r="A343" s="1711"/>
      <c r="B343" s="116">
        <v>0</v>
      </c>
      <c r="C343" s="291">
        <f t="shared" ref="C343:C358" si="96">R4</f>
        <v>0</v>
      </c>
      <c r="D343" s="292"/>
      <c r="E343" s="292"/>
      <c r="F343" s="292"/>
      <c r="G343" s="292"/>
      <c r="H343" s="292"/>
      <c r="I343" s="292"/>
      <c r="J343" s="292"/>
      <c r="K343" s="292"/>
      <c r="L343" s="292"/>
      <c r="M343" s="292"/>
      <c r="N343" s="292"/>
      <c r="O343" s="292"/>
      <c r="P343" s="292"/>
      <c r="Q343" s="292"/>
      <c r="R343" s="292"/>
      <c r="S343" s="292"/>
      <c r="T343" s="292"/>
      <c r="U343" s="292"/>
      <c r="V343" s="292"/>
      <c r="W343" s="292"/>
      <c r="X343" s="292"/>
      <c r="Y343" s="292"/>
      <c r="Z343" s="292"/>
      <c r="AA343" s="292"/>
      <c r="AB343" s="292"/>
      <c r="AC343" s="292"/>
      <c r="AD343" s="292"/>
      <c r="AE343" s="293"/>
    </row>
    <row r="344" spans="1:31" ht="15" customHeight="1">
      <c r="A344" s="1711"/>
      <c r="B344" s="116">
        <v>1</v>
      </c>
      <c r="C344" s="294">
        <f t="shared" si="96"/>
        <v>0</v>
      </c>
      <c r="D344" s="295">
        <f t="shared" ref="D344:AE353" si="97">C343*$E26</f>
        <v>0</v>
      </c>
      <c r="E344" s="295">
        <f t="shared" si="97"/>
        <v>0</v>
      </c>
      <c r="F344" s="295">
        <f t="shared" si="97"/>
        <v>0</v>
      </c>
      <c r="G344" s="295">
        <f t="shared" si="97"/>
        <v>0</v>
      </c>
      <c r="H344" s="295">
        <f t="shared" si="97"/>
        <v>0</v>
      </c>
      <c r="I344" s="295">
        <f t="shared" si="97"/>
        <v>0</v>
      </c>
      <c r="J344" s="295">
        <f t="shared" si="97"/>
        <v>0</v>
      </c>
      <c r="K344" s="295">
        <f t="shared" si="97"/>
        <v>0</v>
      </c>
      <c r="L344" s="295">
        <f t="shared" si="97"/>
        <v>0</v>
      </c>
      <c r="M344" s="295">
        <f t="shared" si="97"/>
        <v>0</v>
      </c>
      <c r="N344" s="295">
        <f t="shared" ref="N344:P368" si="98">M343*$E26</f>
        <v>0</v>
      </c>
      <c r="O344" s="295">
        <f t="shared" si="98"/>
        <v>0</v>
      </c>
      <c r="P344" s="295">
        <f t="shared" si="98"/>
        <v>0</v>
      </c>
      <c r="Q344" s="295">
        <f t="shared" si="97"/>
        <v>0</v>
      </c>
      <c r="R344" s="295">
        <f t="shared" si="97"/>
        <v>0</v>
      </c>
      <c r="S344" s="295">
        <f t="shared" si="97"/>
        <v>0</v>
      </c>
      <c r="T344" s="295">
        <f t="shared" si="97"/>
        <v>0</v>
      </c>
      <c r="U344" s="295">
        <f t="shared" si="97"/>
        <v>0</v>
      </c>
      <c r="V344" s="295">
        <f t="shared" si="97"/>
        <v>0</v>
      </c>
      <c r="W344" s="295">
        <f t="shared" si="97"/>
        <v>0</v>
      </c>
      <c r="X344" s="295">
        <f t="shared" si="97"/>
        <v>0</v>
      </c>
      <c r="Y344" s="295">
        <f t="shared" si="97"/>
        <v>0</v>
      </c>
      <c r="Z344" s="295">
        <f t="shared" si="97"/>
        <v>0</v>
      </c>
      <c r="AA344" s="295">
        <f t="shared" si="97"/>
        <v>0</v>
      </c>
      <c r="AB344" s="295">
        <f t="shared" si="97"/>
        <v>0</v>
      </c>
      <c r="AC344" s="295">
        <f t="shared" si="97"/>
        <v>0</v>
      </c>
      <c r="AD344" s="295">
        <f t="shared" si="97"/>
        <v>0</v>
      </c>
      <c r="AE344" s="296">
        <f t="shared" si="97"/>
        <v>0</v>
      </c>
    </row>
    <row r="345" spans="1:31" ht="15" customHeight="1">
      <c r="A345" s="1711"/>
      <c r="B345" s="116">
        <v>2</v>
      </c>
      <c r="C345" s="294">
        <f t="shared" si="96"/>
        <v>32</v>
      </c>
      <c r="D345" s="295">
        <f t="shared" si="97"/>
        <v>0</v>
      </c>
      <c r="E345" s="295">
        <f t="shared" si="97"/>
        <v>0</v>
      </c>
      <c r="F345" s="295">
        <f t="shared" si="97"/>
        <v>0</v>
      </c>
      <c r="G345" s="295">
        <f t="shared" si="97"/>
        <v>0</v>
      </c>
      <c r="H345" s="295">
        <f t="shared" si="97"/>
        <v>0</v>
      </c>
      <c r="I345" s="295">
        <f t="shared" si="97"/>
        <v>0</v>
      </c>
      <c r="J345" s="295">
        <f t="shared" si="97"/>
        <v>0</v>
      </c>
      <c r="K345" s="295">
        <f t="shared" si="97"/>
        <v>0</v>
      </c>
      <c r="L345" s="295">
        <f t="shared" si="97"/>
        <v>0</v>
      </c>
      <c r="M345" s="295">
        <f t="shared" si="97"/>
        <v>0</v>
      </c>
      <c r="N345" s="295">
        <f t="shared" si="98"/>
        <v>0</v>
      </c>
      <c r="O345" s="295">
        <f t="shared" si="98"/>
        <v>0</v>
      </c>
      <c r="P345" s="295">
        <f t="shared" si="98"/>
        <v>0</v>
      </c>
      <c r="Q345" s="295">
        <f t="shared" si="97"/>
        <v>0</v>
      </c>
      <c r="R345" s="295">
        <f t="shared" si="97"/>
        <v>0</v>
      </c>
      <c r="S345" s="295">
        <f t="shared" si="97"/>
        <v>0</v>
      </c>
      <c r="T345" s="295">
        <f t="shared" si="97"/>
        <v>0</v>
      </c>
      <c r="U345" s="295">
        <f t="shared" si="97"/>
        <v>0</v>
      </c>
      <c r="V345" s="295">
        <f t="shared" si="97"/>
        <v>0</v>
      </c>
      <c r="W345" s="295">
        <f t="shared" si="97"/>
        <v>0</v>
      </c>
      <c r="X345" s="295">
        <f t="shared" si="97"/>
        <v>0</v>
      </c>
      <c r="Y345" s="295">
        <f t="shared" si="97"/>
        <v>0</v>
      </c>
      <c r="Z345" s="295">
        <f t="shared" si="97"/>
        <v>0</v>
      </c>
      <c r="AA345" s="295">
        <f t="shared" si="97"/>
        <v>0</v>
      </c>
      <c r="AB345" s="295">
        <f t="shared" si="97"/>
        <v>0</v>
      </c>
      <c r="AC345" s="295">
        <f t="shared" si="97"/>
        <v>0</v>
      </c>
      <c r="AD345" s="295">
        <f t="shared" si="97"/>
        <v>0</v>
      </c>
      <c r="AE345" s="296">
        <f t="shared" si="97"/>
        <v>0</v>
      </c>
    </row>
    <row r="346" spans="1:31" ht="15" customHeight="1">
      <c r="A346" s="1711"/>
      <c r="B346" s="116">
        <v>3</v>
      </c>
      <c r="C346" s="294">
        <f t="shared" si="96"/>
        <v>173</v>
      </c>
      <c r="D346" s="295">
        <f t="shared" si="97"/>
        <v>32</v>
      </c>
      <c r="E346" s="295">
        <f t="shared" si="97"/>
        <v>0</v>
      </c>
      <c r="F346" s="295">
        <f t="shared" si="97"/>
        <v>0</v>
      </c>
      <c r="G346" s="295">
        <f t="shared" si="97"/>
        <v>0</v>
      </c>
      <c r="H346" s="295">
        <f t="shared" si="97"/>
        <v>0</v>
      </c>
      <c r="I346" s="295">
        <f t="shared" si="97"/>
        <v>0</v>
      </c>
      <c r="J346" s="295">
        <f t="shared" si="97"/>
        <v>0</v>
      </c>
      <c r="K346" s="295">
        <f t="shared" si="97"/>
        <v>0</v>
      </c>
      <c r="L346" s="295">
        <f t="shared" si="97"/>
        <v>0</v>
      </c>
      <c r="M346" s="295">
        <f t="shared" si="97"/>
        <v>0</v>
      </c>
      <c r="N346" s="295">
        <f t="shared" si="98"/>
        <v>0</v>
      </c>
      <c r="O346" s="295">
        <f t="shared" si="98"/>
        <v>0</v>
      </c>
      <c r="P346" s="295">
        <f t="shared" si="98"/>
        <v>0</v>
      </c>
      <c r="Q346" s="295">
        <f t="shared" si="97"/>
        <v>0</v>
      </c>
      <c r="R346" s="295">
        <f t="shared" si="97"/>
        <v>0</v>
      </c>
      <c r="S346" s="295">
        <f t="shared" si="97"/>
        <v>0</v>
      </c>
      <c r="T346" s="295">
        <f t="shared" si="97"/>
        <v>0</v>
      </c>
      <c r="U346" s="295">
        <f t="shared" si="97"/>
        <v>0</v>
      </c>
      <c r="V346" s="295">
        <f t="shared" si="97"/>
        <v>0</v>
      </c>
      <c r="W346" s="295">
        <f t="shared" si="97"/>
        <v>0</v>
      </c>
      <c r="X346" s="295">
        <f t="shared" si="97"/>
        <v>0</v>
      </c>
      <c r="Y346" s="295">
        <f t="shared" si="97"/>
        <v>0</v>
      </c>
      <c r="Z346" s="295">
        <f t="shared" si="97"/>
        <v>0</v>
      </c>
      <c r="AA346" s="295">
        <f t="shared" si="97"/>
        <v>0</v>
      </c>
      <c r="AB346" s="295">
        <f t="shared" si="97"/>
        <v>0</v>
      </c>
      <c r="AC346" s="295">
        <f t="shared" si="97"/>
        <v>0</v>
      </c>
      <c r="AD346" s="295">
        <f t="shared" si="97"/>
        <v>0</v>
      </c>
      <c r="AE346" s="296">
        <f t="shared" si="97"/>
        <v>0</v>
      </c>
    </row>
    <row r="347" spans="1:31" ht="15" customHeight="1">
      <c r="A347" s="1711"/>
      <c r="B347" s="116">
        <v>4</v>
      </c>
      <c r="C347" s="294">
        <f t="shared" si="96"/>
        <v>1440</v>
      </c>
      <c r="D347" s="295">
        <f t="shared" si="97"/>
        <v>173</v>
      </c>
      <c r="E347" s="295">
        <f t="shared" si="97"/>
        <v>32</v>
      </c>
      <c r="F347" s="295">
        <f t="shared" si="97"/>
        <v>0</v>
      </c>
      <c r="G347" s="295">
        <f t="shared" si="97"/>
        <v>0</v>
      </c>
      <c r="H347" s="295">
        <f t="shared" si="97"/>
        <v>0</v>
      </c>
      <c r="I347" s="295">
        <f t="shared" si="97"/>
        <v>0</v>
      </c>
      <c r="J347" s="295">
        <f t="shared" si="97"/>
        <v>0</v>
      </c>
      <c r="K347" s="295">
        <f t="shared" si="97"/>
        <v>0</v>
      </c>
      <c r="L347" s="295">
        <f t="shared" si="97"/>
        <v>0</v>
      </c>
      <c r="M347" s="295">
        <f t="shared" si="97"/>
        <v>0</v>
      </c>
      <c r="N347" s="295">
        <f t="shared" si="98"/>
        <v>0</v>
      </c>
      <c r="O347" s="295">
        <f t="shared" si="98"/>
        <v>0</v>
      </c>
      <c r="P347" s="295">
        <f t="shared" si="98"/>
        <v>0</v>
      </c>
      <c r="Q347" s="295">
        <f t="shared" si="97"/>
        <v>0</v>
      </c>
      <c r="R347" s="295">
        <f t="shared" si="97"/>
        <v>0</v>
      </c>
      <c r="S347" s="295">
        <f t="shared" si="97"/>
        <v>0</v>
      </c>
      <c r="T347" s="295">
        <f t="shared" si="97"/>
        <v>0</v>
      </c>
      <c r="U347" s="295">
        <f t="shared" si="97"/>
        <v>0</v>
      </c>
      <c r="V347" s="295">
        <f t="shared" si="97"/>
        <v>0</v>
      </c>
      <c r="W347" s="295">
        <f t="shared" si="97"/>
        <v>0</v>
      </c>
      <c r="X347" s="295">
        <f t="shared" si="97"/>
        <v>0</v>
      </c>
      <c r="Y347" s="295">
        <f t="shared" si="97"/>
        <v>0</v>
      </c>
      <c r="Z347" s="295">
        <f t="shared" si="97"/>
        <v>0</v>
      </c>
      <c r="AA347" s="295">
        <f t="shared" si="97"/>
        <v>0</v>
      </c>
      <c r="AB347" s="295">
        <f t="shared" si="97"/>
        <v>0</v>
      </c>
      <c r="AC347" s="295">
        <f t="shared" si="97"/>
        <v>0</v>
      </c>
      <c r="AD347" s="295">
        <f t="shared" si="97"/>
        <v>0</v>
      </c>
      <c r="AE347" s="296">
        <f t="shared" si="97"/>
        <v>0</v>
      </c>
    </row>
    <row r="348" spans="1:31" ht="15" customHeight="1">
      <c r="A348" s="1711"/>
      <c r="B348" s="116">
        <v>5</v>
      </c>
      <c r="C348" s="294">
        <f t="shared" si="96"/>
        <v>385</v>
      </c>
      <c r="D348" s="295">
        <f t="shared" si="97"/>
        <v>1440</v>
      </c>
      <c r="E348" s="295">
        <f t="shared" si="97"/>
        <v>173</v>
      </c>
      <c r="F348" s="295">
        <f t="shared" si="97"/>
        <v>32</v>
      </c>
      <c r="G348" s="295">
        <f t="shared" si="97"/>
        <v>0</v>
      </c>
      <c r="H348" s="295">
        <f t="shared" si="97"/>
        <v>0</v>
      </c>
      <c r="I348" s="295">
        <f t="shared" si="97"/>
        <v>0</v>
      </c>
      <c r="J348" s="295">
        <f t="shared" si="97"/>
        <v>0</v>
      </c>
      <c r="K348" s="295">
        <f t="shared" si="97"/>
        <v>0</v>
      </c>
      <c r="L348" s="295">
        <f t="shared" si="97"/>
        <v>0</v>
      </c>
      <c r="M348" s="295">
        <f t="shared" si="97"/>
        <v>0</v>
      </c>
      <c r="N348" s="295">
        <f t="shared" si="98"/>
        <v>0</v>
      </c>
      <c r="O348" s="295">
        <f t="shared" si="98"/>
        <v>0</v>
      </c>
      <c r="P348" s="295">
        <f t="shared" si="98"/>
        <v>0</v>
      </c>
      <c r="Q348" s="295">
        <f t="shared" si="97"/>
        <v>0</v>
      </c>
      <c r="R348" s="295">
        <f t="shared" si="97"/>
        <v>0</v>
      </c>
      <c r="S348" s="295">
        <f t="shared" si="97"/>
        <v>0</v>
      </c>
      <c r="T348" s="295">
        <f t="shared" si="97"/>
        <v>0</v>
      </c>
      <c r="U348" s="295">
        <f t="shared" si="97"/>
        <v>0</v>
      </c>
      <c r="V348" s="295">
        <f t="shared" si="97"/>
        <v>0</v>
      </c>
      <c r="W348" s="295">
        <f t="shared" si="97"/>
        <v>0</v>
      </c>
      <c r="X348" s="295">
        <f t="shared" si="97"/>
        <v>0</v>
      </c>
      <c r="Y348" s="295">
        <f t="shared" si="97"/>
        <v>0</v>
      </c>
      <c r="Z348" s="295">
        <f t="shared" si="97"/>
        <v>0</v>
      </c>
      <c r="AA348" s="295">
        <f t="shared" si="97"/>
        <v>0</v>
      </c>
      <c r="AB348" s="295">
        <f t="shared" si="97"/>
        <v>0</v>
      </c>
      <c r="AC348" s="295">
        <f t="shared" si="97"/>
        <v>0</v>
      </c>
      <c r="AD348" s="295">
        <f t="shared" si="97"/>
        <v>0</v>
      </c>
      <c r="AE348" s="296">
        <f t="shared" si="97"/>
        <v>0</v>
      </c>
    </row>
    <row r="349" spans="1:31" ht="15" customHeight="1">
      <c r="A349" s="1711"/>
      <c r="B349" s="116">
        <v>6</v>
      </c>
      <c r="C349" s="294">
        <f t="shared" si="96"/>
        <v>52</v>
      </c>
      <c r="D349" s="295">
        <f t="shared" si="97"/>
        <v>385</v>
      </c>
      <c r="E349" s="295">
        <f t="shared" si="97"/>
        <v>1440</v>
      </c>
      <c r="F349" s="295">
        <f t="shared" si="97"/>
        <v>173</v>
      </c>
      <c r="G349" s="295">
        <f t="shared" si="97"/>
        <v>32</v>
      </c>
      <c r="H349" s="295">
        <f t="shared" si="97"/>
        <v>0</v>
      </c>
      <c r="I349" s="295">
        <f t="shared" si="97"/>
        <v>0</v>
      </c>
      <c r="J349" s="295">
        <f t="shared" si="97"/>
        <v>0</v>
      </c>
      <c r="K349" s="295">
        <f t="shared" si="97"/>
        <v>0</v>
      </c>
      <c r="L349" s="295">
        <f t="shared" si="97"/>
        <v>0</v>
      </c>
      <c r="M349" s="295">
        <f t="shared" si="97"/>
        <v>0</v>
      </c>
      <c r="N349" s="295">
        <f t="shared" si="98"/>
        <v>0</v>
      </c>
      <c r="O349" s="295">
        <f t="shared" si="98"/>
        <v>0</v>
      </c>
      <c r="P349" s="295">
        <f t="shared" si="98"/>
        <v>0</v>
      </c>
      <c r="Q349" s="295">
        <f t="shared" si="97"/>
        <v>0</v>
      </c>
      <c r="R349" s="295">
        <f t="shared" si="97"/>
        <v>0</v>
      </c>
      <c r="S349" s="295">
        <f t="shared" si="97"/>
        <v>0</v>
      </c>
      <c r="T349" s="295">
        <f t="shared" si="97"/>
        <v>0</v>
      </c>
      <c r="U349" s="295">
        <f t="shared" si="97"/>
        <v>0</v>
      </c>
      <c r="V349" s="295">
        <f t="shared" si="97"/>
        <v>0</v>
      </c>
      <c r="W349" s="295">
        <f t="shared" si="97"/>
        <v>0</v>
      </c>
      <c r="X349" s="295">
        <f t="shared" si="97"/>
        <v>0</v>
      </c>
      <c r="Y349" s="295">
        <f t="shared" si="97"/>
        <v>0</v>
      </c>
      <c r="Z349" s="295">
        <f t="shared" si="97"/>
        <v>0</v>
      </c>
      <c r="AA349" s="295">
        <f t="shared" si="97"/>
        <v>0</v>
      </c>
      <c r="AB349" s="295">
        <f t="shared" si="97"/>
        <v>0</v>
      </c>
      <c r="AC349" s="295">
        <f t="shared" si="97"/>
        <v>0</v>
      </c>
      <c r="AD349" s="295">
        <f t="shared" si="97"/>
        <v>0</v>
      </c>
      <c r="AE349" s="296">
        <f t="shared" si="97"/>
        <v>0</v>
      </c>
    </row>
    <row r="350" spans="1:31" ht="15" customHeight="1">
      <c r="A350" s="1711"/>
      <c r="B350" s="116">
        <v>7</v>
      </c>
      <c r="C350" s="294">
        <f t="shared" si="96"/>
        <v>1</v>
      </c>
      <c r="D350" s="295">
        <f t="shared" si="97"/>
        <v>52</v>
      </c>
      <c r="E350" s="295">
        <f t="shared" si="97"/>
        <v>385</v>
      </c>
      <c r="F350" s="295">
        <f t="shared" si="97"/>
        <v>1440</v>
      </c>
      <c r="G350" s="295">
        <f t="shared" si="97"/>
        <v>173</v>
      </c>
      <c r="H350" s="295">
        <f t="shared" si="97"/>
        <v>32</v>
      </c>
      <c r="I350" s="295">
        <f t="shared" si="97"/>
        <v>0</v>
      </c>
      <c r="J350" s="295">
        <f t="shared" si="97"/>
        <v>0</v>
      </c>
      <c r="K350" s="295">
        <f t="shared" si="97"/>
        <v>0</v>
      </c>
      <c r="L350" s="295">
        <f t="shared" si="97"/>
        <v>0</v>
      </c>
      <c r="M350" s="295">
        <f t="shared" si="97"/>
        <v>0</v>
      </c>
      <c r="N350" s="295">
        <f t="shared" si="98"/>
        <v>0</v>
      </c>
      <c r="O350" s="295">
        <f t="shared" si="98"/>
        <v>0</v>
      </c>
      <c r="P350" s="295">
        <f t="shared" si="98"/>
        <v>0</v>
      </c>
      <c r="Q350" s="295">
        <f t="shared" si="97"/>
        <v>0</v>
      </c>
      <c r="R350" s="295">
        <f t="shared" si="97"/>
        <v>0</v>
      </c>
      <c r="S350" s="295">
        <f t="shared" si="97"/>
        <v>0</v>
      </c>
      <c r="T350" s="295">
        <f t="shared" si="97"/>
        <v>0</v>
      </c>
      <c r="U350" s="295">
        <f t="shared" si="97"/>
        <v>0</v>
      </c>
      <c r="V350" s="295">
        <f t="shared" si="97"/>
        <v>0</v>
      </c>
      <c r="W350" s="295">
        <f t="shared" si="97"/>
        <v>0</v>
      </c>
      <c r="X350" s="295">
        <f t="shared" si="97"/>
        <v>0</v>
      </c>
      <c r="Y350" s="295">
        <f t="shared" si="97"/>
        <v>0</v>
      </c>
      <c r="Z350" s="295">
        <f t="shared" si="97"/>
        <v>0</v>
      </c>
      <c r="AA350" s="295">
        <f t="shared" si="97"/>
        <v>0</v>
      </c>
      <c r="AB350" s="295">
        <f t="shared" si="97"/>
        <v>0</v>
      </c>
      <c r="AC350" s="295">
        <f t="shared" si="97"/>
        <v>0</v>
      </c>
      <c r="AD350" s="295">
        <f t="shared" si="97"/>
        <v>0</v>
      </c>
      <c r="AE350" s="296">
        <f t="shared" si="97"/>
        <v>0</v>
      </c>
    </row>
    <row r="351" spans="1:31" ht="15" customHeight="1">
      <c r="A351" s="1711"/>
      <c r="B351" s="116">
        <v>8</v>
      </c>
      <c r="C351" s="294">
        <f t="shared" si="96"/>
        <v>0</v>
      </c>
      <c r="D351" s="295">
        <f t="shared" si="97"/>
        <v>0.99500013160770862</v>
      </c>
      <c r="E351" s="295">
        <f t="shared" si="97"/>
        <v>51.740006843600845</v>
      </c>
      <c r="F351" s="295">
        <f t="shared" si="97"/>
        <v>383.07505066896783</v>
      </c>
      <c r="G351" s="295">
        <f t="shared" si="97"/>
        <v>1432.8001895151003</v>
      </c>
      <c r="H351" s="295">
        <f t="shared" si="97"/>
        <v>172.13502276813358</v>
      </c>
      <c r="I351" s="295">
        <f t="shared" si="97"/>
        <v>31.840004211446676</v>
      </c>
      <c r="J351" s="295">
        <f t="shared" si="97"/>
        <v>0</v>
      </c>
      <c r="K351" s="295">
        <f t="shared" si="97"/>
        <v>0</v>
      </c>
      <c r="L351" s="295">
        <f t="shared" si="97"/>
        <v>0</v>
      </c>
      <c r="M351" s="295">
        <f t="shared" si="97"/>
        <v>0</v>
      </c>
      <c r="N351" s="295">
        <f t="shared" si="98"/>
        <v>0</v>
      </c>
      <c r="O351" s="295">
        <f t="shared" si="98"/>
        <v>0</v>
      </c>
      <c r="P351" s="295">
        <f t="shared" si="98"/>
        <v>0</v>
      </c>
      <c r="Q351" s="295">
        <f t="shared" si="97"/>
        <v>0</v>
      </c>
      <c r="R351" s="295">
        <f t="shared" si="97"/>
        <v>0</v>
      </c>
      <c r="S351" s="295">
        <f t="shared" si="97"/>
        <v>0</v>
      </c>
      <c r="T351" s="295">
        <f t="shared" si="97"/>
        <v>0</v>
      </c>
      <c r="U351" s="295">
        <f t="shared" si="97"/>
        <v>0</v>
      </c>
      <c r="V351" s="295">
        <f t="shared" si="97"/>
        <v>0</v>
      </c>
      <c r="W351" s="295">
        <f t="shared" si="97"/>
        <v>0</v>
      </c>
      <c r="X351" s="295">
        <f t="shared" si="97"/>
        <v>0</v>
      </c>
      <c r="Y351" s="295">
        <f t="shared" si="97"/>
        <v>0</v>
      </c>
      <c r="Z351" s="295">
        <f t="shared" si="97"/>
        <v>0</v>
      </c>
      <c r="AA351" s="295">
        <f t="shared" si="97"/>
        <v>0</v>
      </c>
      <c r="AB351" s="295">
        <f t="shared" si="97"/>
        <v>0</v>
      </c>
      <c r="AC351" s="295">
        <f t="shared" si="97"/>
        <v>0</v>
      </c>
      <c r="AD351" s="295">
        <f t="shared" si="97"/>
        <v>0</v>
      </c>
      <c r="AE351" s="296">
        <f t="shared" si="97"/>
        <v>0</v>
      </c>
    </row>
    <row r="352" spans="1:31" ht="15" customHeight="1">
      <c r="A352" s="1711"/>
      <c r="B352" s="116">
        <v>9</v>
      </c>
      <c r="C352" s="294">
        <f t="shared" si="96"/>
        <v>0</v>
      </c>
      <c r="D352" s="295">
        <f t="shared" si="97"/>
        <v>0</v>
      </c>
      <c r="E352" s="295">
        <f t="shared" si="97"/>
        <v>0.94044396507099393</v>
      </c>
      <c r="F352" s="295">
        <f t="shared" si="97"/>
        <v>48.903086183691684</v>
      </c>
      <c r="G352" s="295">
        <f t="shared" si="97"/>
        <v>362.07092655233265</v>
      </c>
      <c r="H352" s="295">
        <f t="shared" si="97"/>
        <v>1354.2393097022311</v>
      </c>
      <c r="I352" s="295">
        <f t="shared" si="97"/>
        <v>162.69680595728192</v>
      </c>
      <c r="J352" s="295">
        <f t="shared" si="97"/>
        <v>30.094206882271806</v>
      </c>
      <c r="K352" s="295">
        <f t="shared" si="97"/>
        <v>0</v>
      </c>
      <c r="L352" s="295">
        <f t="shared" si="97"/>
        <v>0</v>
      </c>
      <c r="M352" s="295">
        <f t="shared" si="97"/>
        <v>0</v>
      </c>
      <c r="N352" s="295">
        <f t="shared" si="98"/>
        <v>0</v>
      </c>
      <c r="O352" s="295">
        <f t="shared" si="98"/>
        <v>0</v>
      </c>
      <c r="P352" s="295">
        <f t="shared" si="98"/>
        <v>0</v>
      </c>
      <c r="Q352" s="295">
        <f t="shared" si="97"/>
        <v>0</v>
      </c>
      <c r="R352" s="295">
        <f t="shared" si="97"/>
        <v>0</v>
      </c>
      <c r="S352" s="295">
        <f t="shared" si="97"/>
        <v>0</v>
      </c>
      <c r="T352" s="295">
        <f t="shared" si="97"/>
        <v>0</v>
      </c>
      <c r="U352" s="295">
        <f t="shared" si="97"/>
        <v>0</v>
      </c>
      <c r="V352" s="295">
        <f t="shared" si="97"/>
        <v>0</v>
      </c>
      <c r="W352" s="295">
        <f t="shared" si="97"/>
        <v>0</v>
      </c>
      <c r="X352" s="295">
        <f t="shared" si="97"/>
        <v>0</v>
      </c>
      <c r="Y352" s="295">
        <f t="shared" si="97"/>
        <v>0</v>
      </c>
      <c r="Z352" s="295">
        <f t="shared" si="97"/>
        <v>0</v>
      </c>
      <c r="AA352" s="295">
        <f t="shared" si="97"/>
        <v>0</v>
      </c>
      <c r="AB352" s="295">
        <f t="shared" si="97"/>
        <v>0</v>
      </c>
      <c r="AC352" s="295">
        <f t="shared" si="97"/>
        <v>0</v>
      </c>
      <c r="AD352" s="295">
        <f t="shared" si="97"/>
        <v>0</v>
      </c>
      <c r="AE352" s="296">
        <f t="shared" si="97"/>
        <v>0</v>
      </c>
    </row>
    <row r="353" spans="1:31" ht="15" customHeight="1">
      <c r="A353" s="1711"/>
      <c r="B353" s="116">
        <v>10</v>
      </c>
      <c r="C353" s="294">
        <f t="shared" si="96"/>
        <v>0</v>
      </c>
      <c r="D353" s="295">
        <f t="shared" si="97"/>
        <v>0</v>
      </c>
      <c r="E353" s="295">
        <f t="shared" si="97"/>
        <v>0</v>
      </c>
      <c r="F353" s="295">
        <f t="shared" si="97"/>
        <v>0.80480996390228143</v>
      </c>
      <c r="G353" s="295">
        <f t="shared" ref="G353:AE353" si="99">F352*$E35</f>
        <v>41.850118122918637</v>
      </c>
      <c r="H353" s="295">
        <f t="shared" si="99"/>
        <v>309.85183610237834</v>
      </c>
      <c r="I353" s="295">
        <f t="shared" si="99"/>
        <v>1158.9263480192851</v>
      </c>
      <c r="J353" s="295">
        <f t="shared" si="99"/>
        <v>139.23212375509468</v>
      </c>
      <c r="K353" s="295">
        <f t="shared" si="99"/>
        <v>25.753918844873006</v>
      </c>
      <c r="L353" s="295">
        <f t="shared" si="99"/>
        <v>0</v>
      </c>
      <c r="M353" s="295">
        <f t="shared" si="99"/>
        <v>0</v>
      </c>
      <c r="N353" s="295">
        <f t="shared" si="98"/>
        <v>0</v>
      </c>
      <c r="O353" s="295">
        <f t="shared" si="98"/>
        <v>0</v>
      </c>
      <c r="P353" s="295">
        <f t="shared" si="98"/>
        <v>0</v>
      </c>
      <c r="Q353" s="295">
        <f t="shared" si="99"/>
        <v>0</v>
      </c>
      <c r="R353" s="295">
        <f t="shared" si="99"/>
        <v>0</v>
      </c>
      <c r="S353" s="295">
        <f t="shared" si="99"/>
        <v>0</v>
      </c>
      <c r="T353" s="295">
        <f t="shared" si="99"/>
        <v>0</v>
      </c>
      <c r="U353" s="295">
        <f t="shared" si="99"/>
        <v>0</v>
      </c>
      <c r="V353" s="295">
        <f t="shared" si="99"/>
        <v>0</v>
      </c>
      <c r="W353" s="295">
        <f t="shared" si="99"/>
        <v>0</v>
      </c>
      <c r="X353" s="295">
        <f t="shared" si="99"/>
        <v>0</v>
      </c>
      <c r="Y353" s="295">
        <f t="shared" si="99"/>
        <v>0</v>
      </c>
      <c r="Z353" s="295">
        <f t="shared" si="99"/>
        <v>0</v>
      </c>
      <c r="AA353" s="295">
        <f t="shared" si="99"/>
        <v>0</v>
      </c>
      <c r="AB353" s="295">
        <f t="shared" si="99"/>
        <v>0</v>
      </c>
      <c r="AC353" s="295">
        <f t="shared" si="99"/>
        <v>0</v>
      </c>
      <c r="AD353" s="295">
        <f t="shared" si="99"/>
        <v>0</v>
      </c>
      <c r="AE353" s="296">
        <f t="shared" si="99"/>
        <v>0</v>
      </c>
    </row>
    <row r="354" spans="1:31" ht="15" customHeight="1">
      <c r="A354" s="1711"/>
      <c r="B354" s="116">
        <v>11</v>
      </c>
      <c r="C354" s="294">
        <f t="shared" si="96"/>
        <v>0</v>
      </c>
      <c r="D354" s="295">
        <f t="shared" ref="D354:AE363" si="100">C353*$E36</f>
        <v>0</v>
      </c>
      <c r="E354" s="295">
        <f t="shared" si="100"/>
        <v>0</v>
      </c>
      <c r="F354" s="295">
        <f t="shared" si="100"/>
        <v>0</v>
      </c>
      <c r="G354" s="295">
        <f t="shared" si="100"/>
        <v>0.59544612098391214</v>
      </c>
      <c r="H354" s="295">
        <f t="shared" si="100"/>
        <v>30.963198291163433</v>
      </c>
      <c r="I354" s="295">
        <f t="shared" si="100"/>
        <v>229.24675657880616</v>
      </c>
      <c r="J354" s="295">
        <f t="shared" si="100"/>
        <v>857.4424142168333</v>
      </c>
      <c r="K354" s="295">
        <f t="shared" si="100"/>
        <v>103.01217893021679</v>
      </c>
      <c r="L354" s="295">
        <f t="shared" si="100"/>
        <v>19.054275871485189</v>
      </c>
      <c r="M354" s="295">
        <f t="shared" si="100"/>
        <v>0</v>
      </c>
      <c r="N354" s="295">
        <f t="shared" si="98"/>
        <v>0</v>
      </c>
      <c r="O354" s="295">
        <f t="shared" si="98"/>
        <v>0</v>
      </c>
      <c r="P354" s="295">
        <f t="shared" si="98"/>
        <v>0</v>
      </c>
      <c r="Q354" s="295">
        <f t="shared" si="100"/>
        <v>0</v>
      </c>
      <c r="R354" s="295">
        <f t="shared" si="100"/>
        <v>0</v>
      </c>
      <c r="S354" s="295">
        <f t="shared" si="100"/>
        <v>0</v>
      </c>
      <c r="T354" s="295">
        <f t="shared" si="100"/>
        <v>0</v>
      </c>
      <c r="U354" s="295">
        <f t="shared" si="100"/>
        <v>0</v>
      </c>
      <c r="V354" s="295">
        <f t="shared" si="100"/>
        <v>0</v>
      </c>
      <c r="W354" s="295">
        <f t="shared" si="100"/>
        <v>0</v>
      </c>
      <c r="X354" s="295">
        <f t="shared" si="100"/>
        <v>0</v>
      </c>
      <c r="Y354" s="295">
        <f t="shared" si="100"/>
        <v>0</v>
      </c>
      <c r="Z354" s="295">
        <f t="shared" si="100"/>
        <v>0</v>
      </c>
      <c r="AA354" s="295">
        <f t="shared" si="100"/>
        <v>0</v>
      </c>
      <c r="AB354" s="295">
        <f t="shared" si="100"/>
        <v>0</v>
      </c>
      <c r="AC354" s="295">
        <f t="shared" si="100"/>
        <v>0</v>
      </c>
      <c r="AD354" s="295">
        <f t="shared" si="100"/>
        <v>0</v>
      </c>
      <c r="AE354" s="296">
        <f t="shared" si="100"/>
        <v>0</v>
      </c>
    </row>
    <row r="355" spans="1:31" ht="15" customHeight="1">
      <c r="A355" s="1711"/>
      <c r="B355" s="116">
        <v>12</v>
      </c>
      <c r="C355" s="294">
        <f t="shared" si="96"/>
        <v>0</v>
      </c>
      <c r="D355" s="295">
        <f t="shared" si="100"/>
        <v>0</v>
      </c>
      <c r="E355" s="295">
        <f t="shared" si="100"/>
        <v>0</v>
      </c>
      <c r="F355" s="295">
        <f t="shared" si="100"/>
        <v>0</v>
      </c>
      <c r="G355" s="295">
        <f t="shared" si="100"/>
        <v>0</v>
      </c>
      <c r="H355" s="295">
        <f t="shared" si="100"/>
        <v>0.35716338091177496</v>
      </c>
      <c r="I355" s="295">
        <f t="shared" si="100"/>
        <v>18.572495807412299</v>
      </c>
      <c r="J355" s="295">
        <f t="shared" si="100"/>
        <v>137.50790165103334</v>
      </c>
      <c r="K355" s="295">
        <f t="shared" si="100"/>
        <v>514.31526851295587</v>
      </c>
      <c r="L355" s="295">
        <f t="shared" si="100"/>
        <v>61.789264897737063</v>
      </c>
      <c r="M355" s="295">
        <f t="shared" si="100"/>
        <v>11.429228189176799</v>
      </c>
      <c r="N355" s="295">
        <f t="shared" si="98"/>
        <v>0</v>
      </c>
      <c r="O355" s="295">
        <f t="shared" si="98"/>
        <v>0</v>
      </c>
      <c r="P355" s="295">
        <f t="shared" si="98"/>
        <v>0</v>
      </c>
      <c r="Q355" s="295">
        <f t="shared" si="100"/>
        <v>0</v>
      </c>
      <c r="R355" s="295">
        <f t="shared" si="100"/>
        <v>0</v>
      </c>
      <c r="S355" s="295">
        <f t="shared" si="100"/>
        <v>0</v>
      </c>
      <c r="T355" s="295">
        <f t="shared" si="100"/>
        <v>0</v>
      </c>
      <c r="U355" s="295">
        <f t="shared" si="100"/>
        <v>0</v>
      </c>
      <c r="V355" s="295">
        <f t="shared" si="100"/>
        <v>0</v>
      </c>
      <c r="W355" s="295">
        <f t="shared" si="100"/>
        <v>0</v>
      </c>
      <c r="X355" s="295">
        <f t="shared" si="100"/>
        <v>0</v>
      </c>
      <c r="Y355" s="295">
        <f t="shared" si="100"/>
        <v>0</v>
      </c>
      <c r="Z355" s="295">
        <f t="shared" si="100"/>
        <v>0</v>
      </c>
      <c r="AA355" s="295">
        <f t="shared" si="100"/>
        <v>0</v>
      </c>
      <c r="AB355" s="295">
        <f t="shared" si="100"/>
        <v>0</v>
      </c>
      <c r="AC355" s="295">
        <f t="shared" si="100"/>
        <v>0</v>
      </c>
      <c r="AD355" s="295">
        <f t="shared" si="100"/>
        <v>0</v>
      </c>
      <c r="AE355" s="296">
        <f t="shared" si="100"/>
        <v>0</v>
      </c>
    </row>
    <row r="356" spans="1:31" ht="15" customHeight="1">
      <c r="A356" s="1711"/>
      <c r="B356" s="116">
        <v>13</v>
      </c>
      <c r="C356" s="294">
        <f t="shared" si="96"/>
        <v>0</v>
      </c>
      <c r="D356" s="295">
        <f t="shared" si="100"/>
        <v>0</v>
      </c>
      <c r="E356" s="295">
        <f t="shared" si="100"/>
        <v>0</v>
      </c>
      <c r="F356" s="295">
        <f t="shared" si="100"/>
        <v>0</v>
      </c>
      <c r="G356" s="295">
        <f t="shared" si="100"/>
        <v>0</v>
      </c>
      <c r="H356" s="295">
        <f t="shared" si="100"/>
        <v>0</v>
      </c>
      <c r="I356" s="295">
        <f t="shared" si="100"/>
        <v>0.16926324809879742</v>
      </c>
      <c r="J356" s="295">
        <f t="shared" si="100"/>
        <v>8.8016889011374655</v>
      </c>
      <c r="K356" s="295">
        <f t="shared" si="100"/>
        <v>65.166350518036992</v>
      </c>
      <c r="L356" s="295">
        <f t="shared" si="100"/>
        <v>243.73907726226824</v>
      </c>
      <c r="M356" s="295">
        <f t="shared" si="100"/>
        <v>29.282541921091948</v>
      </c>
      <c r="N356" s="295">
        <f t="shared" si="98"/>
        <v>5.4164239391615174</v>
      </c>
      <c r="O356" s="295">
        <f t="shared" si="98"/>
        <v>0</v>
      </c>
      <c r="P356" s="295">
        <f t="shared" si="98"/>
        <v>0</v>
      </c>
      <c r="Q356" s="295">
        <f t="shared" si="100"/>
        <v>0</v>
      </c>
      <c r="R356" s="295">
        <f t="shared" si="100"/>
        <v>0</v>
      </c>
      <c r="S356" s="295">
        <f t="shared" si="100"/>
        <v>0</v>
      </c>
      <c r="T356" s="295">
        <f t="shared" si="100"/>
        <v>0</v>
      </c>
      <c r="U356" s="295">
        <f t="shared" si="100"/>
        <v>0</v>
      </c>
      <c r="V356" s="295">
        <f t="shared" si="100"/>
        <v>0</v>
      </c>
      <c r="W356" s="295">
        <f t="shared" si="100"/>
        <v>0</v>
      </c>
      <c r="X356" s="295">
        <f t="shared" si="100"/>
        <v>0</v>
      </c>
      <c r="Y356" s="295">
        <f t="shared" si="100"/>
        <v>0</v>
      </c>
      <c r="Z356" s="295">
        <f t="shared" si="100"/>
        <v>0</v>
      </c>
      <c r="AA356" s="295">
        <f t="shared" si="100"/>
        <v>0</v>
      </c>
      <c r="AB356" s="295">
        <f t="shared" si="100"/>
        <v>0</v>
      </c>
      <c r="AC356" s="295">
        <f t="shared" si="100"/>
        <v>0</v>
      </c>
      <c r="AD356" s="295">
        <f t="shared" si="100"/>
        <v>0</v>
      </c>
      <c r="AE356" s="296">
        <f t="shared" si="100"/>
        <v>0</v>
      </c>
    </row>
    <row r="357" spans="1:31" ht="15" customHeight="1">
      <c r="A357" s="1711"/>
      <c r="B357" s="116">
        <v>14</v>
      </c>
      <c r="C357" s="294">
        <f t="shared" si="96"/>
        <v>0</v>
      </c>
      <c r="D357" s="295">
        <f t="shared" si="100"/>
        <v>0</v>
      </c>
      <c r="E357" s="295">
        <f t="shared" si="100"/>
        <v>0</v>
      </c>
      <c r="F357" s="295">
        <f t="shared" si="100"/>
        <v>0</v>
      </c>
      <c r="G357" s="295">
        <f t="shared" si="100"/>
        <v>0</v>
      </c>
      <c r="H357" s="295">
        <f t="shared" si="100"/>
        <v>0</v>
      </c>
      <c r="I357" s="295">
        <f t="shared" si="100"/>
        <v>0</v>
      </c>
      <c r="J357" s="295">
        <f t="shared" si="100"/>
        <v>6.0854851289286638E-2</v>
      </c>
      <c r="K357" s="295">
        <f t="shared" si="100"/>
        <v>3.1644522670429049</v>
      </c>
      <c r="L357" s="295">
        <f t="shared" si="100"/>
        <v>23.429117746375351</v>
      </c>
      <c r="M357" s="295">
        <f t="shared" si="100"/>
        <v>87.630985856572735</v>
      </c>
      <c r="N357" s="295">
        <f t="shared" si="98"/>
        <v>10.527889273046586</v>
      </c>
      <c r="O357" s="295">
        <f t="shared" si="98"/>
        <v>1.9473552412571724</v>
      </c>
      <c r="P357" s="295">
        <f t="shared" si="98"/>
        <v>0</v>
      </c>
      <c r="Q357" s="295">
        <f t="shared" si="100"/>
        <v>0</v>
      </c>
      <c r="R357" s="295">
        <f t="shared" si="100"/>
        <v>0</v>
      </c>
      <c r="S357" s="295">
        <f t="shared" si="100"/>
        <v>0</v>
      </c>
      <c r="T357" s="295">
        <f t="shared" si="100"/>
        <v>0</v>
      </c>
      <c r="U357" s="295">
        <f t="shared" si="100"/>
        <v>0</v>
      </c>
      <c r="V357" s="295">
        <f t="shared" si="100"/>
        <v>0</v>
      </c>
      <c r="W357" s="295">
        <f t="shared" si="100"/>
        <v>0</v>
      </c>
      <c r="X357" s="295">
        <f t="shared" si="100"/>
        <v>0</v>
      </c>
      <c r="Y357" s="295">
        <f t="shared" si="100"/>
        <v>0</v>
      </c>
      <c r="Z357" s="295">
        <f t="shared" si="100"/>
        <v>0</v>
      </c>
      <c r="AA357" s="295">
        <f t="shared" si="100"/>
        <v>0</v>
      </c>
      <c r="AB357" s="295">
        <f t="shared" si="100"/>
        <v>0</v>
      </c>
      <c r="AC357" s="295">
        <f t="shared" si="100"/>
        <v>0</v>
      </c>
      <c r="AD357" s="295">
        <f t="shared" si="100"/>
        <v>0</v>
      </c>
      <c r="AE357" s="296">
        <f t="shared" si="100"/>
        <v>0</v>
      </c>
    </row>
    <row r="358" spans="1:31" ht="15" customHeight="1">
      <c r="A358" s="1711"/>
      <c r="B358" s="116">
        <v>15</v>
      </c>
      <c r="C358" s="294">
        <f t="shared" si="96"/>
        <v>0</v>
      </c>
      <c r="D358" s="295">
        <f t="shared" si="100"/>
        <v>0</v>
      </c>
      <c r="E358" s="295">
        <f t="shared" si="100"/>
        <v>0</v>
      </c>
      <c r="F358" s="295">
        <f t="shared" si="100"/>
        <v>0</v>
      </c>
      <c r="G358" s="295">
        <f t="shared" si="100"/>
        <v>0</v>
      </c>
      <c r="H358" s="295">
        <f t="shared" si="100"/>
        <v>0</v>
      </c>
      <c r="I358" s="295">
        <f t="shared" si="100"/>
        <v>0</v>
      </c>
      <c r="J358" s="295">
        <f t="shared" si="100"/>
        <v>0</v>
      </c>
      <c r="K358" s="295">
        <f t="shared" si="100"/>
        <v>1.6074134890209407E-2</v>
      </c>
      <c r="L358" s="295">
        <f t="shared" si="100"/>
        <v>0.83585501429088915</v>
      </c>
      <c r="M358" s="295">
        <f t="shared" si="100"/>
        <v>6.1885419327306206</v>
      </c>
      <c r="N358" s="295">
        <f t="shared" si="98"/>
        <v>23.14675424190154</v>
      </c>
      <c r="O358" s="295">
        <f t="shared" si="98"/>
        <v>2.7808253360062269</v>
      </c>
      <c r="P358" s="295">
        <f t="shared" si="98"/>
        <v>0.51437231648670101</v>
      </c>
      <c r="Q358" s="295">
        <f t="shared" si="100"/>
        <v>0</v>
      </c>
      <c r="R358" s="295">
        <f t="shared" si="100"/>
        <v>0</v>
      </c>
      <c r="S358" s="295">
        <f t="shared" si="100"/>
        <v>0</v>
      </c>
      <c r="T358" s="295">
        <f t="shared" si="100"/>
        <v>0</v>
      </c>
      <c r="U358" s="295">
        <f t="shared" si="100"/>
        <v>0</v>
      </c>
      <c r="V358" s="295">
        <f t="shared" si="100"/>
        <v>0</v>
      </c>
      <c r="W358" s="295">
        <f t="shared" si="100"/>
        <v>0</v>
      </c>
      <c r="X358" s="295">
        <f t="shared" si="100"/>
        <v>0</v>
      </c>
      <c r="Y358" s="295">
        <f t="shared" si="100"/>
        <v>0</v>
      </c>
      <c r="Z358" s="295">
        <f t="shared" si="100"/>
        <v>0</v>
      </c>
      <c r="AA358" s="295">
        <f t="shared" si="100"/>
        <v>0</v>
      </c>
      <c r="AB358" s="295">
        <f t="shared" si="100"/>
        <v>0</v>
      </c>
      <c r="AC358" s="295">
        <f t="shared" si="100"/>
        <v>0</v>
      </c>
      <c r="AD358" s="295">
        <f t="shared" si="100"/>
        <v>0</v>
      </c>
      <c r="AE358" s="296">
        <f t="shared" si="100"/>
        <v>0</v>
      </c>
    </row>
    <row r="359" spans="1:31" ht="15" customHeight="1">
      <c r="A359" s="1711"/>
      <c r="B359" s="116">
        <v>16</v>
      </c>
      <c r="C359" s="294">
        <v>0</v>
      </c>
      <c r="D359" s="295">
        <f t="shared" si="100"/>
        <v>0</v>
      </c>
      <c r="E359" s="295">
        <f t="shared" si="100"/>
        <v>0</v>
      </c>
      <c r="F359" s="295">
        <f t="shared" si="100"/>
        <v>0</v>
      </c>
      <c r="G359" s="295">
        <f t="shared" si="100"/>
        <v>0</v>
      </c>
      <c r="H359" s="295">
        <f t="shared" si="100"/>
        <v>0</v>
      </c>
      <c r="I359" s="295">
        <f t="shared" si="100"/>
        <v>0</v>
      </c>
      <c r="J359" s="295">
        <f t="shared" si="100"/>
        <v>0</v>
      </c>
      <c r="K359" s="295">
        <f t="shared" si="100"/>
        <v>0</v>
      </c>
      <c r="L359" s="295">
        <f t="shared" si="100"/>
        <v>3.8212242129448903E-3</v>
      </c>
      <c r="M359" s="295">
        <f t="shared" si="100"/>
        <v>0.19870365907313428</v>
      </c>
      <c r="N359" s="295">
        <f t="shared" si="98"/>
        <v>1.4711713219837825</v>
      </c>
      <c r="O359" s="295">
        <f t="shared" si="98"/>
        <v>5.5025628666406403</v>
      </c>
      <c r="P359" s="295">
        <f t="shared" si="98"/>
        <v>0.66107178883946593</v>
      </c>
      <c r="Q359" s="295">
        <f t="shared" si="100"/>
        <v>0.12227917481423649</v>
      </c>
      <c r="R359" s="295">
        <f t="shared" si="100"/>
        <v>0</v>
      </c>
      <c r="S359" s="295">
        <f t="shared" si="100"/>
        <v>0</v>
      </c>
      <c r="T359" s="295">
        <f t="shared" si="100"/>
        <v>0</v>
      </c>
      <c r="U359" s="295">
        <f t="shared" si="100"/>
        <v>0</v>
      </c>
      <c r="V359" s="295">
        <f t="shared" si="100"/>
        <v>0</v>
      </c>
      <c r="W359" s="295">
        <f t="shared" si="100"/>
        <v>0</v>
      </c>
      <c r="X359" s="295">
        <f t="shared" si="100"/>
        <v>0</v>
      </c>
      <c r="Y359" s="295">
        <f t="shared" si="100"/>
        <v>0</v>
      </c>
      <c r="Z359" s="295">
        <f t="shared" si="100"/>
        <v>0</v>
      </c>
      <c r="AA359" s="295">
        <f t="shared" si="100"/>
        <v>0</v>
      </c>
      <c r="AB359" s="295">
        <f t="shared" si="100"/>
        <v>0</v>
      </c>
      <c r="AC359" s="295">
        <f t="shared" si="100"/>
        <v>0</v>
      </c>
      <c r="AD359" s="295">
        <f t="shared" si="100"/>
        <v>0</v>
      </c>
      <c r="AE359" s="296">
        <f t="shared" si="100"/>
        <v>0</v>
      </c>
    </row>
    <row r="360" spans="1:31" ht="15" customHeight="1">
      <c r="A360" s="1711"/>
      <c r="B360" s="116">
        <v>17</v>
      </c>
      <c r="C360" s="294">
        <v>0</v>
      </c>
      <c r="D360" s="295">
        <f t="shared" si="100"/>
        <v>0</v>
      </c>
      <c r="E360" s="295">
        <f t="shared" si="100"/>
        <v>0</v>
      </c>
      <c r="F360" s="295">
        <f t="shared" si="100"/>
        <v>0</v>
      </c>
      <c r="G360" s="295">
        <f t="shared" si="100"/>
        <v>0</v>
      </c>
      <c r="H360" s="295">
        <f t="shared" si="100"/>
        <v>0</v>
      </c>
      <c r="I360" s="295">
        <f t="shared" si="100"/>
        <v>0</v>
      </c>
      <c r="J360" s="295">
        <f t="shared" si="100"/>
        <v>0</v>
      </c>
      <c r="K360" s="295">
        <f t="shared" si="100"/>
        <v>0</v>
      </c>
      <c r="L360" s="295">
        <f t="shared" si="100"/>
        <v>0</v>
      </c>
      <c r="M360" s="295">
        <f t="shared" si="100"/>
        <v>8.0746723908828354E-4</v>
      </c>
      <c r="N360" s="295">
        <f t="shared" si="98"/>
        <v>4.1988296432590742E-2</v>
      </c>
      <c r="O360" s="295">
        <f t="shared" si="98"/>
        <v>0.31087488704898908</v>
      </c>
      <c r="P360" s="295">
        <f t="shared" si="98"/>
        <v>1.1627528242871279</v>
      </c>
      <c r="Q360" s="295">
        <f t="shared" si="100"/>
        <v>0.13969183236227303</v>
      </c>
      <c r="R360" s="295">
        <f t="shared" si="100"/>
        <v>2.5838951650825073E-2</v>
      </c>
      <c r="S360" s="295">
        <f t="shared" si="100"/>
        <v>0</v>
      </c>
      <c r="T360" s="295">
        <f t="shared" si="100"/>
        <v>0</v>
      </c>
      <c r="U360" s="295">
        <f t="shared" si="100"/>
        <v>0</v>
      </c>
      <c r="V360" s="295">
        <f t="shared" si="100"/>
        <v>0</v>
      </c>
      <c r="W360" s="295">
        <f t="shared" si="100"/>
        <v>0</v>
      </c>
      <c r="X360" s="295">
        <f t="shared" si="100"/>
        <v>0</v>
      </c>
      <c r="Y360" s="295">
        <f t="shared" si="100"/>
        <v>0</v>
      </c>
      <c r="Z360" s="295">
        <f t="shared" si="100"/>
        <v>0</v>
      </c>
      <c r="AA360" s="295">
        <f t="shared" si="100"/>
        <v>0</v>
      </c>
      <c r="AB360" s="295">
        <f t="shared" si="100"/>
        <v>0</v>
      </c>
      <c r="AC360" s="295">
        <f t="shared" si="100"/>
        <v>0</v>
      </c>
      <c r="AD360" s="295">
        <f t="shared" si="100"/>
        <v>0</v>
      </c>
      <c r="AE360" s="296">
        <f t="shared" si="100"/>
        <v>0</v>
      </c>
    </row>
    <row r="361" spans="1:31" ht="15.75" customHeight="1">
      <c r="A361" s="1711"/>
      <c r="B361" s="116">
        <v>18</v>
      </c>
      <c r="C361" s="294">
        <v>0</v>
      </c>
      <c r="D361" s="295">
        <f t="shared" si="100"/>
        <v>0</v>
      </c>
      <c r="E361" s="295">
        <f t="shared" si="100"/>
        <v>0</v>
      </c>
      <c r="F361" s="295">
        <f t="shared" si="100"/>
        <v>0</v>
      </c>
      <c r="G361" s="295">
        <f t="shared" si="100"/>
        <v>0</v>
      </c>
      <c r="H361" s="295">
        <f t="shared" si="100"/>
        <v>0</v>
      </c>
      <c r="I361" s="295">
        <f t="shared" si="100"/>
        <v>0</v>
      </c>
      <c r="J361" s="295">
        <f t="shared" si="100"/>
        <v>0</v>
      </c>
      <c r="K361" s="295">
        <f t="shared" si="100"/>
        <v>0</v>
      </c>
      <c r="L361" s="295">
        <f t="shared" si="100"/>
        <v>0</v>
      </c>
      <c r="M361" s="295">
        <f t="shared" si="100"/>
        <v>0</v>
      </c>
      <c r="N361" s="295">
        <f t="shared" si="98"/>
        <v>1.4929846892864753E-4</v>
      </c>
      <c r="O361" s="295">
        <f t="shared" si="98"/>
        <v>7.7635203842896707E-3</v>
      </c>
      <c r="P361" s="295">
        <f t="shared" si="98"/>
        <v>5.747991053752928E-2</v>
      </c>
      <c r="Q361" s="295">
        <f t="shared" si="100"/>
        <v>0.21498979525725237</v>
      </c>
      <c r="R361" s="295">
        <f t="shared" si="100"/>
        <v>2.5828635124656017E-2</v>
      </c>
      <c r="S361" s="295">
        <f t="shared" si="100"/>
        <v>4.777551005716721E-3</v>
      </c>
      <c r="T361" s="295">
        <f t="shared" si="100"/>
        <v>0</v>
      </c>
      <c r="U361" s="295">
        <f t="shared" si="100"/>
        <v>0</v>
      </c>
      <c r="V361" s="295">
        <f t="shared" si="100"/>
        <v>0</v>
      </c>
      <c r="W361" s="295">
        <f t="shared" si="100"/>
        <v>0</v>
      </c>
      <c r="X361" s="295">
        <f t="shared" si="100"/>
        <v>0</v>
      </c>
      <c r="Y361" s="295">
        <f t="shared" si="100"/>
        <v>0</v>
      </c>
      <c r="Z361" s="295">
        <f t="shared" si="100"/>
        <v>0</v>
      </c>
      <c r="AA361" s="295">
        <f t="shared" si="100"/>
        <v>0</v>
      </c>
      <c r="AB361" s="295">
        <f t="shared" si="100"/>
        <v>0</v>
      </c>
      <c r="AC361" s="295">
        <f t="shared" si="100"/>
        <v>0</v>
      </c>
      <c r="AD361" s="295">
        <f t="shared" si="100"/>
        <v>0</v>
      </c>
      <c r="AE361" s="296">
        <f t="shared" si="100"/>
        <v>0</v>
      </c>
    </row>
    <row r="362" spans="1:31" ht="16.5" customHeight="1">
      <c r="A362" s="1711"/>
      <c r="B362" s="116">
        <v>19</v>
      </c>
      <c r="C362" s="294">
        <v>0</v>
      </c>
      <c r="D362" s="295">
        <f t="shared" si="100"/>
        <v>0</v>
      </c>
      <c r="E362" s="295">
        <f t="shared" si="100"/>
        <v>0</v>
      </c>
      <c r="F362" s="295">
        <f t="shared" si="100"/>
        <v>0</v>
      </c>
      <c r="G362" s="295">
        <f t="shared" si="100"/>
        <v>0</v>
      </c>
      <c r="H362" s="295">
        <f t="shared" si="100"/>
        <v>0</v>
      </c>
      <c r="I362" s="295">
        <f t="shared" si="100"/>
        <v>0</v>
      </c>
      <c r="J362" s="295">
        <f t="shared" si="100"/>
        <v>0</v>
      </c>
      <c r="K362" s="295">
        <f t="shared" si="100"/>
        <v>0</v>
      </c>
      <c r="L362" s="295">
        <f t="shared" si="100"/>
        <v>0</v>
      </c>
      <c r="M362" s="295">
        <f t="shared" si="100"/>
        <v>0</v>
      </c>
      <c r="N362" s="295">
        <f t="shared" si="98"/>
        <v>0</v>
      </c>
      <c r="O362" s="295">
        <f t="shared" si="98"/>
        <v>2.3661322089698099E-5</v>
      </c>
      <c r="P362" s="295">
        <f t="shared" si="98"/>
        <v>1.2303887486643011E-3</v>
      </c>
      <c r="Q362" s="295">
        <f t="shared" si="100"/>
        <v>9.1096090045337651E-3</v>
      </c>
      <c r="R362" s="295">
        <f t="shared" si="100"/>
        <v>3.4072303809165254E-2</v>
      </c>
      <c r="S362" s="295">
        <f t="shared" si="100"/>
        <v>4.0934087215177706E-3</v>
      </c>
      <c r="T362" s="295">
        <f t="shared" si="100"/>
        <v>7.5716230687033917E-4</v>
      </c>
      <c r="U362" s="295">
        <f t="shared" si="100"/>
        <v>0</v>
      </c>
      <c r="V362" s="295">
        <f t="shared" si="100"/>
        <v>0</v>
      </c>
      <c r="W362" s="295">
        <f t="shared" si="100"/>
        <v>0</v>
      </c>
      <c r="X362" s="295">
        <f t="shared" si="100"/>
        <v>0</v>
      </c>
      <c r="Y362" s="295">
        <f t="shared" si="100"/>
        <v>0</v>
      </c>
      <c r="Z362" s="295">
        <f t="shared" si="100"/>
        <v>0</v>
      </c>
      <c r="AA362" s="295">
        <f t="shared" si="100"/>
        <v>0</v>
      </c>
      <c r="AB362" s="295">
        <f t="shared" si="100"/>
        <v>0</v>
      </c>
      <c r="AC362" s="295">
        <f t="shared" si="100"/>
        <v>0</v>
      </c>
      <c r="AD362" s="295">
        <f t="shared" si="100"/>
        <v>0</v>
      </c>
      <c r="AE362" s="296">
        <f t="shared" si="100"/>
        <v>0</v>
      </c>
    </row>
    <row r="363" spans="1:31">
      <c r="A363" s="1711"/>
      <c r="B363" s="116">
        <v>20</v>
      </c>
      <c r="C363" s="294">
        <v>0</v>
      </c>
      <c r="D363" s="295">
        <f t="shared" si="100"/>
        <v>0</v>
      </c>
      <c r="E363" s="295">
        <f t="shared" si="100"/>
        <v>0</v>
      </c>
      <c r="F363" s="295">
        <f t="shared" si="100"/>
        <v>0</v>
      </c>
      <c r="G363" s="295">
        <f t="shared" ref="G363:AE363" si="101">F362*$E45</f>
        <v>0</v>
      </c>
      <c r="H363" s="295">
        <f t="shared" si="101"/>
        <v>0</v>
      </c>
      <c r="I363" s="295">
        <f t="shared" si="101"/>
        <v>0</v>
      </c>
      <c r="J363" s="295">
        <f t="shared" si="101"/>
        <v>0</v>
      </c>
      <c r="K363" s="295">
        <f t="shared" si="101"/>
        <v>0</v>
      </c>
      <c r="L363" s="295">
        <f t="shared" si="101"/>
        <v>0</v>
      </c>
      <c r="M363" s="295">
        <f t="shared" si="101"/>
        <v>0</v>
      </c>
      <c r="N363" s="295">
        <f t="shared" si="98"/>
        <v>0</v>
      </c>
      <c r="O363" s="295">
        <f t="shared" si="98"/>
        <v>0</v>
      </c>
      <c r="P363" s="295">
        <f t="shared" si="98"/>
        <v>3.1249380689675259E-6</v>
      </c>
      <c r="Q363" s="295">
        <f t="shared" si="101"/>
        <v>1.6249677958631134E-4</v>
      </c>
      <c r="R363" s="295">
        <f t="shared" si="101"/>
        <v>1.2031011565524971E-3</v>
      </c>
      <c r="S363" s="295">
        <f t="shared" si="101"/>
        <v>4.4999108193132364E-3</v>
      </c>
      <c r="T363" s="295">
        <f t="shared" si="101"/>
        <v>5.406142859313819E-4</v>
      </c>
      <c r="U363" s="295">
        <f t="shared" si="101"/>
        <v>9.9998018206960828E-5</v>
      </c>
      <c r="V363" s="295">
        <f t="shared" si="101"/>
        <v>0</v>
      </c>
      <c r="W363" s="295">
        <f t="shared" si="101"/>
        <v>0</v>
      </c>
      <c r="X363" s="295">
        <f t="shared" si="101"/>
        <v>0</v>
      </c>
      <c r="Y363" s="295">
        <f t="shared" si="101"/>
        <v>0</v>
      </c>
      <c r="Z363" s="295">
        <f t="shared" si="101"/>
        <v>0</v>
      </c>
      <c r="AA363" s="295">
        <f t="shared" si="101"/>
        <v>0</v>
      </c>
      <c r="AB363" s="295">
        <f t="shared" si="101"/>
        <v>0</v>
      </c>
      <c r="AC363" s="295">
        <f t="shared" si="101"/>
        <v>0</v>
      </c>
      <c r="AD363" s="295">
        <f t="shared" si="101"/>
        <v>0</v>
      </c>
      <c r="AE363" s="296">
        <f t="shared" si="101"/>
        <v>0</v>
      </c>
    </row>
    <row r="364" spans="1:31" ht="15.75" customHeight="1">
      <c r="A364" s="1711"/>
      <c r="B364" s="116">
        <v>21</v>
      </c>
      <c r="C364" s="294">
        <v>0</v>
      </c>
      <c r="D364" s="295">
        <f t="shared" ref="D364:AE368" si="102">C363*$E46</f>
        <v>0</v>
      </c>
      <c r="E364" s="295">
        <f t="shared" si="102"/>
        <v>0</v>
      </c>
      <c r="F364" s="295">
        <f t="shared" si="102"/>
        <v>0</v>
      </c>
      <c r="G364" s="295">
        <f t="shared" si="102"/>
        <v>0</v>
      </c>
      <c r="H364" s="295">
        <f t="shared" si="102"/>
        <v>0</v>
      </c>
      <c r="I364" s="295">
        <f t="shared" si="102"/>
        <v>0</v>
      </c>
      <c r="J364" s="295">
        <f t="shared" si="102"/>
        <v>0</v>
      </c>
      <c r="K364" s="295">
        <f t="shared" si="102"/>
        <v>0</v>
      </c>
      <c r="L364" s="295">
        <f t="shared" si="102"/>
        <v>0</v>
      </c>
      <c r="M364" s="295">
        <f t="shared" si="102"/>
        <v>0</v>
      </c>
      <c r="N364" s="295">
        <f t="shared" si="98"/>
        <v>0</v>
      </c>
      <c r="O364" s="295">
        <f t="shared" si="98"/>
        <v>0</v>
      </c>
      <c r="P364" s="295">
        <f t="shared" si="98"/>
        <v>0</v>
      </c>
      <c r="Q364" s="295">
        <f t="shared" si="102"/>
        <v>3.3016711062427651E-7</v>
      </c>
      <c r="R364" s="295">
        <f t="shared" si="102"/>
        <v>1.716868975246238E-5</v>
      </c>
      <c r="S364" s="295">
        <f t="shared" si="102"/>
        <v>1.2711433759034644E-4</v>
      </c>
      <c r="T364" s="295">
        <f t="shared" si="102"/>
        <v>4.7544063929895811E-4</v>
      </c>
      <c r="U364" s="295">
        <f t="shared" si="102"/>
        <v>5.7118910137999835E-5</v>
      </c>
      <c r="V364" s="295">
        <f t="shared" si="102"/>
        <v>1.0565347539976848E-5</v>
      </c>
      <c r="W364" s="295">
        <f t="shared" si="102"/>
        <v>0</v>
      </c>
      <c r="X364" s="295">
        <f t="shared" si="102"/>
        <v>0</v>
      </c>
      <c r="Y364" s="295">
        <f t="shared" si="102"/>
        <v>0</v>
      </c>
      <c r="Z364" s="295">
        <f t="shared" si="102"/>
        <v>0</v>
      </c>
      <c r="AA364" s="295">
        <f t="shared" si="102"/>
        <v>0</v>
      </c>
      <c r="AB364" s="295">
        <f t="shared" si="102"/>
        <v>0</v>
      </c>
      <c r="AC364" s="295">
        <f t="shared" si="102"/>
        <v>0</v>
      </c>
      <c r="AD364" s="295">
        <f t="shared" si="102"/>
        <v>0</v>
      </c>
      <c r="AE364" s="296">
        <f t="shared" si="102"/>
        <v>0</v>
      </c>
    </row>
    <row r="365" spans="1:31" ht="15" customHeight="1">
      <c r="A365" s="1711"/>
      <c r="B365" s="116">
        <v>22</v>
      </c>
      <c r="C365" s="294">
        <v>0</v>
      </c>
      <c r="D365" s="295">
        <f t="shared" si="102"/>
        <v>0</v>
      </c>
      <c r="E365" s="295">
        <f t="shared" si="102"/>
        <v>0</v>
      </c>
      <c r="F365" s="295">
        <f t="shared" si="102"/>
        <v>0</v>
      </c>
      <c r="G365" s="295">
        <f t="shared" si="102"/>
        <v>0</v>
      </c>
      <c r="H365" s="295">
        <f t="shared" si="102"/>
        <v>0</v>
      </c>
      <c r="I365" s="295">
        <f t="shared" si="102"/>
        <v>0</v>
      </c>
      <c r="J365" s="295">
        <f t="shared" si="102"/>
        <v>0</v>
      </c>
      <c r="K365" s="295">
        <f t="shared" si="102"/>
        <v>0</v>
      </c>
      <c r="L365" s="295">
        <f t="shared" si="102"/>
        <v>0</v>
      </c>
      <c r="M365" s="295">
        <f t="shared" si="102"/>
        <v>0</v>
      </c>
      <c r="N365" s="295">
        <f t="shared" si="98"/>
        <v>0</v>
      </c>
      <c r="O365" s="295">
        <f t="shared" si="98"/>
        <v>0</v>
      </c>
      <c r="P365" s="295">
        <f t="shared" si="98"/>
        <v>0</v>
      </c>
      <c r="Q365" s="295">
        <f t="shared" si="102"/>
        <v>0</v>
      </c>
      <c r="R365" s="295">
        <f t="shared" si="102"/>
        <v>2.6162995521540059E-8</v>
      </c>
      <c r="S365" s="295">
        <f t="shared" si="102"/>
        <v>1.3604757671200832E-6</v>
      </c>
      <c r="T365" s="295">
        <f t="shared" si="102"/>
        <v>1.0072753275792922E-5</v>
      </c>
      <c r="U365" s="295">
        <f t="shared" si="102"/>
        <v>3.7674713551017683E-5</v>
      </c>
      <c r="V365" s="295">
        <f t="shared" si="102"/>
        <v>4.5261982252264303E-6</v>
      </c>
      <c r="W365" s="295">
        <f t="shared" si="102"/>
        <v>8.3721585668928188E-7</v>
      </c>
      <c r="X365" s="295">
        <f t="shared" si="102"/>
        <v>0</v>
      </c>
      <c r="Y365" s="295">
        <f t="shared" si="102"/>
        <v>0</v>
      </c>
      <c r="Z365" s="295">
        <f t="shared" si="102"/>
        <v>0</v>
      </c>
      <c r="AA365" s="295">
        <f t="shared" si="102"/>
        <v>0</v>
      </c>
      <c r="AB365" s="295">
        <f t="shared" si="102"/>
        <v>0</v>
      </c>
      <c r="AC365" s="295">
        <f t="shared" si="102"/>
        <v>0</v>
      </c>
      <c r="AD365" s="295">
        <f t="shared" si="102"/>
        <v>0</v>
      </c>
      <c r="AE365" s="296">
        <f t="shared" si="102"/>
        <v>0</v>
      </c>
    </row>
    <row r="366" spans="1:31" ht="15" customHeight="1">
      <c r="A366" s="1711"/>
      <c r="B366" s="116">
        <v>23</v>
      </c>
      <c r="C366" s="294">
        <v>0</v>
      </c>
      <c r="D366" s="295">
        <f t="shared" si="102"/>
        <v>0</v>
      </c>
      <c r="E366" s="295">
        <f t="shared" si="102"/>
        <v>0</v>
      </c>
      <c r="F366" s="295">
        <f t="shared" si="102"/>
        <v>0</v>
      </c>
      <c r="G366" s="295">
        <f t="shared" si="102"/>
        <v>0</v>
      </c>
      <c r="H366" s="295">
        <f t="shared" si="102"/>
        <v>0</v>
      </c>
      <c r="I366" s="295">
        <f t="shared" si="102"/>
        <v>0</v>
      </c>
      <c r="J366" s="295">
        <f t="shared" si="102"/>
        <v>0</v>
      </c>
      <c r="K366" s="295">
        <f t="shared" si="102"/>
        <v>0</v>
      </c>
      <c r="L366" s="295">
        <f t="shared" si="102"/>
        <v>0</v>
      </c>
      <c r="M366" s="295">
        <f t="shared" si="102"/>
        <v>0</v>
      </c>
      <c r="N366" s="295">
        <f t="shared" si="98"/>
        <v>0</v>
      </c>
      <c r="O366" s="295">
        <f t="shared" si="98"/>
        <v>0</v>
      </c>
      <c r="P366" s="295">
        <f t="shared" si="98"/>
        <v>0</v>
      </c>
      <c r="Q366" s="295">
        <f t="shared" si="102"/>
        <v>0</v>
      </c>
      <c r="R366" s="295">
        <f t="shared" si="102"/>
        <v>0</v>
      </c>
      <c r="S366" s="295">
        <f t="shared" si="102"/>
        <v>1.3821330928770686E-9</v>
      </c>
      <c r="T366" s="295">
        <f t="shared" si="102"/>
        <v>7.187092082960757E-8</v>
      </c>
      <c r="U366" s="295">
        <f t="shared" si="102"/>
        <v>5.3212124075767132E-7</v>
      </c>
      <c r="V366" s="295">
        <f t="shared" si="102"/>
        <v>1.9902716537429786E-6</v>
      </c>
      <c r="W366" s="295">
        <f t="shared" si="102"/>
        <v>2.3910902506773287E-7</v>
      </c>
      <c r="X366" s="295">
        <f t="shared" si="102"/>
        <v>4.4228258972066194E-8</v>
      </c>
      <c r="Y366" s="295">
        <f t="shared" si="102"/>
        <v>0</v>
      </c>
      <c r="Z366" s="295">
        <f t="shared" si="102"/>
        <v>0</v>
      </c>
      <c r="AA366" s="295">
        <f t="shared" si="102"/>
        <v>0</v>
      </c>
      <c r="AB366" s="295">
        <f t="shared" si="102"/>
        <v>0</v>
      </c>
      <c r="AC366" s="295">
        <f t="shared" si="102"/>
        <v>0</v>
      </c>
      <c r="AD366" s="295">
        <f t="shared" si="102"/>
        <v>0</v>
      </c>
      <c r="AE366" s="296">
        <f t="shared" si="102"/>
        <v>0</v>
      </c>
    </row>
    <row r="367" spans="1:31" ht="15" customHeight="1">
      <c r="A367" s="1711"/>
      <c r="B367" s="116">
        <v>24</v>
      </c>
      <c r="C367" s="294">
        <v>0</v>
      </c>
      <c r="D367" s="295">
        <f t="shared" si="102"/>
        <v>0</v>
      </c>
      <c r="E367" s="295">
        <f t="shared" si="102"/>
        <v>0</v>
      </c>
      <c r="F367" s="295">
        <f t="shared" si="102"/>
        <v>0</v>
      </c>
      <c r="G367" s="295">
        <f t="shared" si="102"/>
        <v>0</v>
      </c>
      <c r="H367" s="295">
        <f t="shared" si="102"/>
        <v>0</v>
      </c>
      <c r="I367" s="295">
        <f t="shared" si="102"/>
        <v>0</v>
      </c>
      <c r="J367" s="295">
        <f t="shared" si="102"/>
        <v>0</v>
      </c>
      <c r="K367" s="295">
        <f t="shared" si="102"/>
        <v>0</v>
      </c>
      <c r="L367" s="295">
        <f t="shared" si="102"/>
        <v>0</v>
      </c>
      <c r="M367" s="295">
        <f t="shared" si="102"/>
        <v>0</v>
      </c>
      <c r="N367" s="295">
        <f t="shared" si="98"/>
        <v>0</v>
      </c>
      <c r="O367" s="295">
        <f t="shared" si="98"/>
        <v>0</v>
      </c>
      <c r="P367" s="295">
        <f t="shared" si="98"/>
        <v>0</v>
      </c>
      <c r="Q367" s="295">
        <f t="shared" si="102"/>
        <v>0</v>
      </c>
      <c r="R367" s="295">
        <f t="shared" si="102"/>
        <v>0</v>
      </c>
      <c r="S367" s="295">
        <f t="shared" si="102"/>
        <v>0</v>
      </c>
      <c r="T367" s="295">
        <f t="shared" si="102"/>
        <v>3.6507514685258053E-11</v>
      </c>
      <c r="U367" s="295">
        <f t="shared" si="102"/>
        <v>1.8983907636334191E-9</v>
      </c>
      <c r="V367" s="295">
        <f t="shared" si="102"/>
        <v>1.405539315382435E-8</v>
      </c>
      <c r="W367" s="295">
        <f t="shared" si="102"/>
        <v>5.2570821146771593E-8</v>
      </c>
      <c r="X367" s="295">
        <f t="shared" si="102"/>
        <v>6.3158000405496435E-9</v>
      </c>
      <c r="Y367" s="295">
        <f t="shared" si="102"/>
        <v>1.1682404699282577E-9</v>
      </c>
      <c r="Z367" s="295">
        <f t="shared" si="102"/>
        <v>0</v>
      </c>
      <c r="AA367" s="295">
        <f t="shared" si="102"/>
        <v>0</v>
      </c>
      <c r="AB367" s="295">
        <f t="shared" si="102"/>
        <v>0</v>
      </c>
      <c r="AC367" s="295">
        <f t="shared" si="102"/>
        <v>0</v>
      </c>
      <c r="AD367" s="295">
        <f t="shared" si="102"/>
        <v>0</v>
      </c>
      <c r="AE367" s="296">
        <f t="shared" si="102"/>
        <v>0</v>
      </c>
    </row>
    <row r="368" spans="1:31" ht="15.75" customHeight="1" thickBot="1">
      <c r="A368" s="1711"/>
      <c r="B368" s="116">
        <v>25</v>
      </c>
      <c r="C368" s="297">
        <v>0</v>
      </c>
      <c r="D368" s="298">
        <f t="shared" si="102"/>
        <v>0</v>
      </c>
      <c r="E368" s="298">
        <f t="shared" si="102"/>
        <v>0</v>
      </c>
      <c r="F368" s="298">
        <f t="shared" si="102"/>
        <v>0</v>
      </c>
      <c r="G368" s="298">
        <f t="shared" si="102"/>
        <v>0</v>
      </c>
      <c r="H368" s="298">
        <f t="shared" si="102"/>
        <v>0</v>
      </c>
      <c r="I368" s="298">
        <f t="shared" si="102"/>
        <v>0</v>
      </c>
      <c r="J368" s="298">
        <f t="shared" si="102"/>
        <v>0</v>
      </c>
      <c r="K368" s="298">
        <f t="shared" si="102"/>
        <v>0</v>
      </c>
      <c r="L368" s="298">
        <f t="shared" si="102"/>
        <v>0</v>
      </c>
      <c r="M368" s="298">
        <f t="shared" si="102"/>
        <v>0</v>
      </c>
      <c r="N368" s="298">
        <f t="shared" si="98"/>
        <v>0</v>
      </c>
      <c r="O368" s="298">
        <f t="shared" si="98"/>
        <v>0</v>
      </c>
      <c r="P368" s="298">
        <f t="shared" si="98"/>
        <v>0</v>
      </c>
      <c r="Q368" s="298">
        <f t="shared" si="102"/>
        <v>0</v>
      </c>
      <c r="R368" s="298">
        <f t="shared" si="102"/>
        <v>0</v>
      </c>
      <c r="S368" s="298">
        <f t="shared" si="102"/>
        <v>0</v>
      </c>
      <c r="T368" s="298">
        <f t="shared" si="102"/>
        <v>0</v>
      </c>
      <c r="U368" s="298">
        <f t="shared" si="102"/>
        <v>0</v>
      </c>
      <c r="V368" s="298">
        <f t="shared" si="102"/>
        <v>0</v>
      </c>
      <c r="W368" s="298">
        <f t="shared" si="102"/>
        <v>0</v>
      </c>
      <c r="X368" s="298">
        <f t="shared" si="102"/>
        <v>0</v>
      </c>
      <c r="Y368" s="298">
        <f t="shared" si="102"/>
        <v>0</v>
      </c>
      <c r="Z368" s="298">
        <f t="shared" si="102"/>
        <v>0</v>
      </c>
      <c r="AA368" s="298">
        <f t="shared" si="102"/>
        <v>0</v>
      </c>
      <c r="AB368" s="298">
        <f t="shared" si="102"/>
        <v>0</v>
      </c>
      <c r="AC368" s="298">
        <f t="shared" si="102"/>
        <v>0</v>
      </c>
      <c r="AD368" s="298">
        <f t="shared" si="102"/>
        <v>0</v>
      </c>
      <c r="AE368" s="299">
        <f t="shared" si="102"/>
        <v>0</v>
      </c>
    </row>
    <row r="369" spans="1:31" ht="16.5" customHeight="1" thickTop="1" thickBot="1">
      <c r="A369" s="1712"/>
      <c r="B369" s="300" t="s">
        <v>39</v>
      </c>
      <c r="C369" s="301">
        <f>SUM(C343:C368)</f>
        <v>2083</v>
      </c>
      <c r="D369" s="301">
        <f>SUM(D343:D368)</f>
        <v>2082.9950001316079</v>
      </c>
      <c r="E369" s="301">
        <f t="shared" ref="E369:AB369" si="103">SUM(E343:E368)</f>
        <v>2082.680450808672</v>
      </c>
      <c r="F369" s="301">
        <f t="shared" si="103"/>
        <v>2077.7829468165619</v>
      </c>
      <c r="G369" s="301">
        <f t="shared" si="103"/>
        <v>2042.3166803113356</v>
      </c>
      <c r="H369" s="301">
        <f t="shared" si="103"/>
        <v>1899.5465302448183</v>
      </c>
      <c r="I369" s="301">
        <f t="shared" si="103"/>
        <v>1601.4516738223308</v>
      </c>
      <c r="J369" s="301">
        <f t="shared" si="103"/>
        <v>1173.1391902576597</v>
      </c>
      <c r="K369" s="301">
        <f t="shared" si="103"/>
        <v>711.42824320801583</v>
      </c>
      <c r="L369" s="301">
        <f t="shared" si="103"/>
        <v>348.85141201636969</v>
      </c>
      <c r="M369" s="301">
        <f t="shared" si="103"/>
        <v>134.73080902588435</v>
      </c>
      <c r="N369" s="301">
        <f t="shared" si="103"/>
        <v>40.604376370994949</v>
      </c>
      <c r="O369" s="301">
        <f t="shared" si="103"/>
        <v>10.549405512659407</v>
      </c>
      <c r="P369" s="301">
        <f t="shared" si="103"/>
        <v>2.3969103538375571</v>
      </c>
      <c r="Q369" s="301">
        <f t="shared" si="103"/>
        <v>0.48623323838499261</v>
      </c>
      <c r="R369" s="301">
        <f t="shared" si="103"/>
        <v>8.6960186593946817E-2</v>
      </c>
      <c r="S369" s="301">
        <f t="shared" si="103"/>
        <v>1.3499346742038289E-2</v>
      </c>
      <c r="T369" s="301">
        <f t="shared" si="103"/>
        <v>1.7833618928048162E-3</v>
      </c>
      <c r="U369" s="301">
        <f t="shared" si="103"/>
        <v>1.9532566152749965E-4</v>
      </c>
      <c r="V369" s="301">
        <f t="shared" si="103"/>
        <v>1.7095872812100079E-5</v>
      </c>
      <c r="W369" s="301">
        <f t="shared" si="103"/>
        <v>1.1288957029037862E-6</v>
      </c>
      <c r="X369" s="301">
        <f t="shared" si="103"/>
        <v>5.0544059012615836E-8</v>
      </c>
      <c r="Y369" s="301">
        <f t="shared" si="103"/>
        <v>1.1682404699282577E-9</v>
      </c>
      <c r="Z369" s="301">
        <f t="shared" si="103"/>
        <v>0</v>
      </c>
      <c r="AA369" s="301">
        <f t="shared" si="103"/>
        <v>0</v>
      </c>
      <c r="AB369" s="301">
        <f t="shared" si="103"/>
        <v>0</v>
      </c>
      <c r="AC369" s="301">
        <f>SUM(AC343:AC368)</f>
        <v>0</v>
      </c>
      <c r="AD369" s="301">
        <f t="shared" ref="AD369:AE369" si="104">SUM(AD343:AD368)</f>
        <v>0</v>
      </c>
      <c r="AE369" s="302">
        <f t="shared" si="104"/>
        <v>0</v>
      </c>
    </row>
    <row r="370" spans="1:31" ht="15.75" thickBot="1"/>
    <row r="371" spans="1:31" ht="15.75" customHeight="1" thickBot="1">
      <c r="A371" s="1710" t="s">
        <v>52</v>
      </c>
      <c r="B371" s="169" t="s">
        <v>10</v>
      </c>
      <c r="C371" s="288">
        <v>2012</v>
      </c>
      <c r="D371" s="289">
        <v>2013</v>
      </c>
      <c r="E371" s="289">
        <v>2014</v>
      </c>
      <c r="F371" s="289">
        <v>2015</v>
      </c>
      <c r="G371" s="288">
        <v>2016</v>
      </c>
      <c r="H371" s="289">
        <v>2017</v>
      </c>
      <c r="I371" s="289">
        <v>2018</v>
      </c>
      <c r="J371" s="289">
        <v>2019</v>
      </c>
      <c r="K371" s="288">
        <v>2020</v>
      </c>
      <c r="L371" s="289">
        <v>2021</v>
      </c>
      <c r="M371" s="289">
        <v>2022</v>
      </c>
      <c r="N371" s="289">
        <v>2023</v>
      </c>
      <c r="O371" s="288">
        <v>2024</v>
      </c>
      <c r="P371" s="289">
        <v>2025</v>
      </c>
      <c r="Q371" s="289">
        <v>2026</v>
      </c>
      <c r="R371" s="289">
        <v>2027</v>
      </c>
      <c r="S371" s="288">
        <v>2028</v>
      </c>
      <c r="T371" s="289">
        <v>2029</v>
      </c>
      <c r="U371" s="289">
        <v>2030</v>
      </c>
      <c r="V371" s="289">
        <v>2031</v>
      </c>
      <c r="W371" s="288">
        <v>2032</v>
      </c>
      <c r="X371" s="289">
        <v>2033</v>
      </c>
      <c r="Y371" s="289">
        <v>2034</v>
      </c>
      <c r="Z371" s="289">
        <v>2035</v>
      </c>
      <c r="AA371" s="288">
        <v>2036</v>
      </c>
      <c r="AB371" s="289">
        <v>2037</v>
      </c>
      <c r="AC371" s="289">
        <v>2038</v>
      </c>
      <c r="AD371" s="289">
        <v>2039</v>
      </c>
      <c r="AE371" s="290">
        <v>2040</v>
      </c>
    </row>
    <row r="372" spans="1:31" ht="15" customHeight="1">
      <c r="A372" s="1711" t="s">
        <v>41</v>
      </c>
      <c r="B372" s="116">
        <v>0</v>
      </c>
      <c r="C372" s="291">
        <f t="shared" ref="C372:C387" si="105">S4</f>
        <v>0</v>
      </c>
      <c r="D372" s="292"/>
      <c r="E372" s="292"/>
      <c r="F372" s="292"/>
      <c r="G372" s="292"/>
      <c r="H372" s="292"/>
      <c r="I372" s="292"/>
      <c r="J372" s="292"/>
      <c r="K372" s="292"/>
      <c r="L372" s="292"/>
      <c r="M372" s="292"/>
      <c r="N372" s="292"/>
      <c r="O372" s="292"/>
      <c r="P372" s="292"/>
      <c r="Q372" s="292"/>
      <c r="R372" s="292"/>
      <c r="S372" s="292"/>
      <c r="T372" s="292"/>
      <c r="U372" s="292"/>
      <c r="V372" s="292"/>
      <c r="W372" s="292"/>
      <c r="X372" s="292"/>
      <c r="Y372" s="292"/>
      <c r="Z372" s="292"/>
      <c r="AA372" s="292"/>
      <c r="AB372" s="292"/>
      <c r="AC372" s="292"/>
      <c r="AD372" s="292"/>
      <c r="AE372" s="293"/>
    </row>
    <row r="373" spans="1:31" ht="15" customHeight="1">
      <c r="A373" s="1711"/>
      <c r="B373" s="116">
        <v>1</v>
      </c>
      <c r="C373" s="294">
        <f t="shared" si="105"/>
        <v>2</v>
      </c>
      <c r="D373" s="295">
        <f t="shared" ref="D373:AE382" si="106">C372*$F26</f>
        <v>0</v>
      </c>
      <c r="E373" s="295">
        <f t="shared" si="106"/>
        <v>0</v>
      </c>
      <c r="F373" s="295">
        <f t="shared" si="106"/>
        <v>0</v>
      </c>
      <c r="G373" s="295">
        <f t="shared" si="106"/>
        <v>0</v>
      </c>
      <c r="H373" s="295">
        <f t="shared" si="106"/>
        <v>0</v>
      </c>
      <c r="I373" s="295">
        <f t="shared" si="106"/>
        <v>0</v>
      </c>
      <c r="J373" s="295">
        <f t="shared" si="106"/>
        <v>0</v>
      </c>
      <c r="K373" s="295">
        <f t="shared" si="106"/>
        <v>0</v>
      </c>
      <c r="L373" s="295">
        <f t="shared" si="106"/>
        <v>0</v>
      </c>
      <c r="M373" s="295">
        <f t="shared" si="106"/>
        <v>0</v>
      </c>
      <c r="N373" s="295">
        <f t="shared" ref="N373:P397" si="107">M372*$F26</f>
        <v>0</v>
      </c>
      <c r="O373" s="295">
        <f t="shared" si="107"/>
        <v>0</v>
      </c>
      <c r="P373" s="295">
        <f t="shared" si="107"/>
        <v>0</v>
      </c>
      <c r="Q373" s="295">
        <f t="shared" si="106"/>
        <v>0</v>
      </c>
      <c r="R373" s="295">
        <f t="shared" si="106"/>
        <v>0</v>
      </c>
      <c r="S373" s="295">
        <f t="shared" si="106"/>
        <v>0</v>
      </c>
      <c r="T373" s="295">
        <f t="shared" si="106"/>
        <v>0</v>
      </c>
      <c r="U373" s="295">
        <f t="shared" si="106"/>
        <v>0</v>
      </c>
      <c r="V373" s="295">
        <f t="shared" si="106"/>
        <v>0</v>
      </c>
      <c r="W373" s="295">
        <f t="shared" si="106"/>
        <v>0</v>
      </c>
      <c r="X373" s="295">
        <f t="shared" si="106"/>
        <v>0</v>
      </c>
      <c r="Y373" s="295">
        <f t="shared" si="106"/>
        <v>0</v>
      </c>
      <c r="Z373" s="295">
        <f t="shared" si="106"/>
        <v>0</v>
      </c>
      <c r="AA373" s="295">
        <f t="shared" si="106"/>
        <v>0</v>
      </c>
      <c r="AB373" s="295">
        <f t="shared" si="106"/>
        <v>0</v>
      </c>
      <c r="AC373" s="295">
        <f t="shared" si="106"/>
        <v>0</v>
      </c>
      <c r="AD373" s="295">
        <f t="shared" si="106"/>
        <v>0</v>
      </c>
      <c r="AE373" s="296">
        <f t="shared" si="106"/>
        <v>0</v>
      </c>
    </row>
    <row r="374" spans="1:31" ht="15" customHeight="1">
      <c r="A374" s="1711"/>
      <c r="B374" s="116">
        <v>2</v>
      </c>
      <c r="C374" s="294">
        <f t="shared" si="105"/>
        <v>9</v>
      </c>
      <c r="D374" s="295">
        <f t="shared" si="106"/>
        <v>2</v>
      </c>
      <c r="E374" s="295">
        <f t="shared" si="106"/>
        <v>0</v>
      </c>
      <c r="F374" s="295">
        <f t="shared" si="106"/>
        <v>0</v>
      </c>
      <c r="G374" s="295">
        <f t="shared" si="106"/>
        <v>0</v>
      </c>
      <c r="H374" s="295">
        <f t="shared" si="106"/>
        <v>0</v>
      </c>
      <c r="I374" s="295">
        <f t="shared" si="106"/>
        <v>0</v>
      </c>
      <c r="J374" s="295">
        <f t="shared" si="106"/>
        <v>0</v>
      </c>
      <c r="K374" s="295">
        <f t="shared" si="106"/>
        <v>0</v>
      </c>
      <c r="L374" s="295">
        <f t="shared" si="106"/>
        <v>0</v>
      </c>
      <c r="M374" s="295">
        <f t="shared" si="106"/>
        <v>0</v>
      </c>
      <c r="N374" s="295">
        <f t="shared" si="107"/>
        <v>0</v>
      </c>
      <c r="O374" s="295">
        <f t="shared" si="107"/>
        <v>0</v>
      </c>
      <c r="P374" s="295">
        <f t="shared" si="107"/>
        <v>0</v>
      </c>
      <c r="Q374" s="295">
        <f t="shared" si="106"/>
        <v>0</v>
      </c>
      <c r="R374" s="295">
        <f t="shared" si="106"/>
        <v>0</v>
      </c>
      <c r="S374" s="295">
        <f t="shared" si="106"/>
        <v>0</v>
      </c>
      <c r="T374" s="295">
        <f t="shared" si="106"/>
        <v>0</v>
      </c>
      <c r="U374" s="295">
        <f t="shared" si="106"/>
        <v>0</v>
      </c>
      <c r="V374" s="295">
        <f t="shared" si="106"/>
        <v>0</v>
      </c>
      <c r="W374" s="295">
        <f t="shared" si="106"/>
        <v>0</v>
      </c>
      <c r="X374" s="295">
        <f t="shared" si="106"/>
        <v>0</v>
      </c>
      <c r="Y374" s="295">
        <f t="shared" si="106"/>
        <v>0</v>
      </c>
      <c r="Z374" s="295">
        <f t="shared" si="106"/>
        <v>0</v>
      </c>
      <c r="AA374" s="295">
        <f t="shared" si="106"/>
        <v>0</v>
      </c>
      <c r="AB374" s="295">
        <f t="shared" si="106"/>
        <v>0</v>
      </c>
      <c r="AC374" s="295">
        <f t="shared" si="106"/>
        <v>0</v>
      </c>
      <c r="AD374" s="295">
        <f t="shared" si="106"/>
        <v>0</v>
      </c>
      <c r="AE374" s="296">
        <f t="shared" si="106"/>
        <v>0</v>
      </c>
    </row>
    <row r="375" spans="1:31" ht="15" customHeight="1">
      <c r="A375" s="1711"/>
      <c r="B375" s="116">
        <v>3</v>
      </c>
      <c r="C375" s="294">
        <f t="shared" si="105"/>
        <v>60</v>
      </c>
      <c r="D375" s="295">
        <f t="shared" si="106"/>
        <v>9</v>
      </c>
      <c r="E375" s="295">
        <f t="shared" si="106"/>
        <v>2</v>
      </c>
      <c r="F375" s="295">
        <f t="shared" si="106"/>
        <v>0</v>
      </c>
      <c r="G375" s="295">
        <f t="shared" si="106"/>
        <v>0</v>
      </c>
      <c r="H375" s="295">
        <f t="shared" si="106"/>
        <v>0</v>
      </c>
      <c r="I375" s="295">
        <f t="shared" si="106"/>
        <v>0</v>
      </c>
      <c r="J375" s="295">
        <f t="shared" si="106"/>
        <v>0</v>
      </c>
      <c r="K375" s="295">
        <f t="shared" si="106"/>
        <v>0</v>
      </c>
      <c r="L375" s="295">
        <f t="shared" si="106"/>
        <v>0</v>
      </c>
      <c r="M375" s="295">
        <f t="shared" si="106"/>
        <v>0</v>
      </c>
      <c r="N375" s="295">
        <f t="shared" si="107"/>
        <v>0</v>
      </c>
      <c r="O375" s="295">
        <f t="shared" si="107"/>
        <v>0</v>
      </c>
      <c r="P375" s="295">
        <f t="shared" si="107"/>
        <v>0</v>
      </c>
      <c r="Q375" s="295">
        <f t="shared" si="106"/>
        <v>0</v>
      </c>
      <c r="R375" s="295">
        <f t="shared" si="106"/>
        <v>0</v>
      </c>
      <c r="S375" s="295">
        <f t="shared" si="106"/>
        <v>0</v>
      </c>
      <c r="T375" s="295">
        <f t="shared" si="106"/>
        <v>0</v>
      </c>
      <c r="U375" s="295">
        <f t="shared" si="106"/>
        <v>0</v>
      </c>
      <c r="V375" s="295">
        <f t="shared" si="106"/>
        <v>0</v>
      </c>
      <c r="W375" s="295">
        <f t="shared" si="106"/>
        <v>0</v>
      </c>
      <c r="X375" s="295">
        <f t="shared" si="106"/>
        <v>0</v>
      </c>
      <c r="Y375" s="295">
        <f t="shared" si="106"/>
        <v>0</v>
      </c>
      <c r="Z375" s="295">
        <f t="shared" si="106"/>
        <v>0</v>
      </c>
      <c r="AA375" s="295">
        <f t="shared" si="106"/>
        <v>0</v>
      </c>
      <c r="AB375" s="295">
        <f t="shared" si="106"/>
        <v>0</v>
      </c>
      <c r="AC375" s="295">
        <f t="shared" si="106"/>
        <v>0</v>
      </c>
      <c r="AD375" s="295">
        <f t="shared" si="106"/>
        <v>0</v>
      </c>
      <c r="AE375" s="296">
        <f t="shared" si="106"/>
        <v>0</v>
      </c>
    </row>
    <row r="376" spans="1:31" ht="15" customHeight="1">
      <c r="A376" s="1711"/>
      <c r="B376" s="116">
        <v>4</v>
      </c>
      <c r="C376" s="294">
        <f t="shared" si="105"/>
        <v>963</v>
      </c>
      <c r="D376" s="295">
        <f t="shared" si="106"/>
        <v>60</v>
      </c>
      <c r="E376" s="295">
        <f t="shared" si="106"/>
        <v>9</v>
      </c>
      <c r="F376" s="295">
        <f t="shared" si="106"/>
        <v>2</v>
      </c>
      <c r="G376" s="295">
        <f t="shared" si="106"/>
        <v>0</v>
      </c>
      <c r="H376" s="295">
        <f t="shared" si="106"/>
        <v>0</v>
      </c>
      <c r="I376" s="295">
        <f t="shared" si="106"/>
        <v>0</v>
      </c>
      <c r="J376" s="295">
        <f t="shared" si="106"/>
        <v>0</v>
      </c>
      <c r="K376" s="295">
        <f t="shared" si="106"/>
        <v>0</v>
      </c>
      <c r="L376" s="295">
        <f t="shared" si="106"/>
        <v>0</v>
      </c>
      <c r="M376" s="295">
        <f t="shared" si="106"/>
        <v>0</v>
      </c>
      <c r="N376" s="295">
        <f t="shared" si="107"/>
        <v>0</v>
      </c>
      <c r="O376" s="295">
        <f t="shared" si="107"/>
        <v>0</v>
      </c>
      <c r="P376" s="295">
        <f t="shared" si="107"/>
        <v>0</v>
      </c>
      <c r="Q376" s="295">
        <f t="shared" si="106"/>
        <v>0</v>
      </c>
      <c r="R376" s="295">
        <f t="shared" si="106"/>
        <v>0</v>
      </c>
      <c r="S376" s="295">
        <f t="shared" si="106"/>
        <v>0</v>
      </c>
      <c r="T376" s="295">
        <f t="shared" si="106"/>
        <v>0</v>
      </c>
      <c r="U376" s="295">
        <f t="shared" si="106"/>
        <v>0</v>
      </c>
      <c r="V376" s="295">
        <f t="shared" si="106"/>
        <v>0</v>
      </c>
      <c r="W376" s="295">
        <f t="shared" si="106"/>
        <v>0</v>
      </c>
      <c r="X376" s="295">
        <f t="shared" si="106"/>
        <v>0</v>
      </c>
      <c r="Y376" s="295">
        <f t="shared" si="106"/>
        <v>0</v>
      </c>
      <c r="Z376" s="295">
        <f t="shared" si="106"/>
        <v>0</v>
      </c>
      <c r="AA376" s="295">
        <f t="shared" si="106"/>
        <v>0</v>
      </c>
      <c r="AB376" s="295">
        <f t="shared" si="106"/>
        <v>0</v>
      </c>
      <c r="AC376" s="295">
        <f t="shared" si="106"/>
        <v>0</v>
      </c>
      <c r="AD376" s="295">
        <f t="shared" si="106"/>
        <v>0</v>
      </c>
      <c r="AE376" s="296">
        <f t="shared" si="106"/>
        <v>0</v>
      </c>
    </row>
    <row r="377" spans="1:31" ht="15" customHeight="1">
      <c r="A377" s="1711"/>
      <c r="B377" s="116">
        <v>5</v>
      </c>
      <c r="C377" s="294">
        <f t="shared" si="105"/>
        <v>376</v>
      </c>
      <c r="D377" s="295">
        <f t="shared" si="106"/>
        <v>963</v>
      </c>
      <c r="E377" s="295">
        <f t="shared" si="106"/>
        <v>60</v>
      </c>
      <c r="F377" s="295">
        <f t="shared" si="106"/>
        <v>9</v>
      </c>
      <c r="G377" s="295">
        <f t="shared" si="106"/>
        <v>2</v>
      </c>
      <c r="H377" s="295">
        <f t="shared" si="106"/>
        <v>0</v>
      </c>
      <c r="I377" s="295">
        <f t="shared" si="106"/>
        <v>0</v>
      </c>
      <c r="J377" s="295">
        <f t="shared" si="106"/>
        <v>0</v>
      </c>
      <c r="K377" s="295">
        <f t="shared" si="106"/>
        <v>0</v>
      </c>
      <c r="L377" s="295">
        <f t="shared" si="106"/>
        <v>0</v>
      </c>
      <c r="M377" s="295">
        <f t="shared" si="106"/>
        <v>0</v>
      </c>
      <c r="N377" s="295">
        <f t="shared" si="107"/>
        <v>0</v>
      </c>
      <c r="O377" s="295">
        <f t="shared" si="107"/>
        <v>0</v>
      </c>
      <c r="P377" s="295">
        <f t="shared" si="107"/>
        <v>0</v>
      </c>
      <c r="Q377" s="295">
        <f t="shared" si="106"/>
        <v>0</v>
      </c>
      <c r="R377" s="295">
        <f t="shared" si="106"/>
        <v>0</v>
      </c>
      <c r="S377" s="295">
        <f t="shared" si="106"/>
        <v>0</v>
      </c>
      <c r="T377" s="295">
        <f t="shared" si="106"/>
        <v>0</v>
      </c>
      <c r="U377" s="295">
        <f t="shared" si="106"/>
        <v>0</v>
      </c>
      <c r="V377" s="295">
        <f t="shared" si="106"/>
        <v>0</v>
      </c>
      <c r="W377" s="295">
        <f t="shared" si="106"/>
        <v>0</v>
      </c>
      <c r="X377" s="295">
        <f t="shared" si="106"/>
        <v>0</v>
      </c>
      <c r="Y377" s="295">
        <f t="shared" si="106"/>
        <v>0</v>
      </c>
      <c r="Z377" s="295">
        <f t="shared" si="106"/>
        <v>0</v>
      </c>
      <c r="AA377" s="295">
        <f t="shared" si="106"/>
        <v>0</v>
      </c>
      <c r="AB377" s="295">
        <f t="shared" si="106"/>
        <v>0</v>
      </c>
      <c r="AC377" s="295">
        <f t="shared" si="106"/>
        <v>0</v>
      </c>
      <c r="AD377" s="295">
        <f t="shared" si="106"/>
        <v>0</v>
      </c>
      <c r="AE377" s="296">
        <f t="shared" si="106"/>
        <v>0</v>
      </c>
    </row>
    <row r="378" spans="1:31" ht="15" customHeight="1">
      <c r="A378" s="1711"/>
      <c r="B378" s="116">
        <v>6</v>
      </c>
      <c r="C378" s="294">
        <f t="shared" si="105"/>
        <v>13</v>
      </c>
      <c r="D378" s="295">
        <f t="shared" si="106"/>
        <v>376</v>
      </c>
      <c r="E378" s="295">
        <f t="shared" si="106"/>
        <v>963</v>
      </c>
      <c r="F378" s="295">
        <f t="shared" si="106"/>
        <v>60</v>
      </c>
      <c r="G378" s="295">
        <f t="shared" si="106"/>
        <v>9</v>
      </c>
      <c r="H378" s="295">
        <f t="shared" si="106"/>
        <v>2</v>
      </c>
      <c r="I378" s="295">
        <f t="shared" si="106"/>
        <v>0</v>
      </c>
      <c r="J378" s="295">
        <f t="shared" si="106"/>
        <v>0</v>
      </c>
      <c r="K378" s="295">
        <f t="shared" si="106"/>
        <v>0</v>
      </c>
      <c r="L378" s="295">
        <f t="shared" si="106"/>
        <v>0</v>
      </c>
      <c r="M378" s="295">
        <f t="shared" si="106"/>
        <v>0</v>
      </c>
      <c r="N378" s="295">
        <f t="shared" si="107"/>
        <v>0</v>
      </c>
      <c r="O378" s="295">
        <f t="shared" si="107"/>
        <v>0</v>
      </c>
      <c r="P378" s="295">
        <f t="shared" si="107"/>
        <v>0</v>
      </c>
      <c r="Q378" s="295">
        <f t="shared" si="106"/>
        <v>0</v>
      </c>
      <c r="R378" s="295">
        <f t="shared" si="106"/>
        <v>0</v>
      </c>
      <c r="S378" s="295">
        <f t="shared" si="106"/>
        <v>0</v>
      </c>
      <c r="T378" s="295">
        <f t="shared" si="106"/>
        <v>0</v>
      </c>
      <c r="U378" s="295">
        <f t="shared" si="106"/>
        <v>0</v>
      </c>
      <c r="V378" s="295">
        <f t="shared" si="106"/>
        <v>0</v>
      </c>
      <c r="W378" s="295">
        <f t="shared" si="106"/>
        <v>0</v>
      </c>
      <c r="X378" s="295">
        <f t="shared" si="106"/>
        <v>0</v>
      </c>
      <c r="Y378" s="295">
        <f t="shared" si="106"/>
        <v>0</v>
      </c>
      <c r="Z378" s="295">
        <f t="shared" si="106"/>
        <v>0</v>
      </c>
      <c r="AA378" s="295">
        <f t="shared" si="106"/>
        <v>0</v>
      </c>
      <c r="AB378" s="295">
        <f t="shared" si="106"/>
        <v>0</v>
      </c>
      <c r="AC378" s="295">
        <f t="shared" si="106"/>
        <v>0</v>
      </c>
      <c r="AD378" s="295">
        <f t="shared" si="106"/>
        <v>0</v>
      </c>
      <c r="AE378" s="296">
        <f t="shared" si="106"/>
        <v>0</v>
      </c>
    </row>
    <row r="379" spans="1:31" ht="15" customHeight="1">
      <c r="A379" s="1711"/>
      <c r="B379" s="116">
        <v>7</v>
      </c>
      <c r="C379" s="294">
        <f t="shared" si="105"/>
        <v>1</v>
      </c>
      <c r="D379" s="295">
        <f t="shared" si="106"/>
        <v>13</v>
      </c>
      <c r="E379" s="295">
        <f t="shared" si="106"/>
        <v>376</v>
      </c>
      <c r="F379" s="295">
        <f t="shared" si="106"/>
        <v>963</v>
      </c>
      <c r="G379" s="295">
        <f t="shared" si="106"/>
        <v>60</v>
      </c>
      <c r="H379" s="295">
        <f t="shared" si="106"/>
        <v>9</v>
      </c>
      <c r="I379" s="295">
        <f t="shared" si="106"/>
        <v>2</v>
      </c>
      <c r="J379" s="295">
        <f t="shared" si="106"/>
        <v>0</v>
      </c>
      <c r="K379" s="295">
        <f t="shared" si="106"/>
        <v>0</v>
      </c>
      <c r="L379" s="295">
        <f t="shared" si="106"/>
        <v>0</v>
      </c>
      <c r="M379" s="295">
        <f t="shared" si="106"/>
        <v>0</v>
      </c>
      <c r="N379" s="295">
        <f t="shared" si="107"/>
        <v>0</v>
      </c>
      <c r="O379" s="295">
        <f t="shared" si="107"/>
        <v>0</v>
      </c>
      <c r="P379" s="295">
        <f t="shared" si="107"/>
        <v>0</v>
      </c>
      <c r="Q379" s="295">
        <f t="shared" si="106"/>
        <v>0</v>
      </c>
      <c r="R379" s="295">
        <f t="shared" si="106"/>
        <v>0</v>
      </c>
      <c r="S379" s="295">
        <f t="shared" si="106"/>
        <v>0</v>
      </c>
      <c r="T379" s="295">
        <f t="shared" si="106"/>
        <v>0</v>
      </c>
      <c r="U379" s="295">
        <f t="shared" si="106"/>
        <v>0</v>
      </c>
      <c r="V379" s="295">
        <f t="shared" si="106"/>
        <v>0</v>
      </c>
      <c r="W379" s="295">
        <f t="shared" si="106"/>
        <v>0</v>
      </c>
      <c r="X379" s="295">
        <f t="shared" si="106"/>
        <v>0</v>
      </c>
      <c r="Y379" s="295">
        <f t="shared" si="106"/>
        <v>0</v>
      </c>
      <c r="Z379" s="295">
        <f t="shared" si="106"/>
        <v>0</v>
      </c>
      <c r="AA379" s="295">
        <f t="shared" si="106"/>
        <v>0</v>
      </c>
      <c r="AB379" s="295">
        <f t="shared" si="106"/>
        <v>0</v>
      </c>
      <c r="AC379" s="295">
        <f t="shared" si="106"/>
        <v>0</v>
      </c>
      <c r="AD379" s="295">
        <f t="shared" si="106"/>
        <v>0</v>
      </c>
      <c r="AE379" s="296">
        <f t="shared" si="106"/>
        <v>0</v>
      </c>
    </row>
    <row r="380" spans="1:31" ht="15" customHeight="1">
      <c r="A380" s="1711"/>
      <c r="B380" s="116">
        <v>8</v>
      </c>
      <c r="C380" s="294">
        <f t="shared" si="105"/>
        <v>0</v>
      </c>
      <c r="D380" s="295">
        <f t="shared" si="106"/>
        <v>1</v>
      </c>
      <c r="E380" s="295">
        <f t="shared" si="106"/>
        <v>13</v>
      </c>
      <c r="F380" s="295">
        <f t="shared" si="106"/>
        <v>376</v>
      </c>
      <c r="G380" s="295">
        <f t="shared" si="106"/>
        <v>963</v>
      </c>
      <c r="H380" s="295">
        <f t="shared" si="106"/>
        <v>60</v>
      </c>
      <c r="I380" s="295">
        <f t="shared" si="106"/>
        <v>9</v>
      </c>
      <c r="J380" s="295">
        <f t="shared" si="106"/>
        <v>2</v>
      </c>
      <c r="K380" s="295">
        <f t="shared" si="106"/>
        <v>0</v>
      </c>
      <c r="L380" s="295">
        <f t="shared" si="106"/>
        <v>0</v>
      </c>
      <c r="M380" s="295">
        <f t="shared" si="106"/>
        <v>0</v>
      </c>
      <c r="N380" s="295">
        <f t="shared" si="107"/>
        <v>0</v>
      </c>
      <c r="O380" s="295">
        <f t="shared" si="107"/>
        <v>0</v>
      </c>
      <c r="P380" s="295">
        <f t="shared" si="107"/>
        <v>0</v>
      </c>
      <c r="Q380" s="295">
        <f t="shared" si="106"/>
        <v>0</v>
      </c>
      <c r="R380" s="295">
        <f t="shared" si="106"/>
        <v>0</v>
      </c>
      <c r="S380" s="295">
        <f t="shared" si="106"/>
        <v>0</v>
      </c>
      <c r="T380" s="295">
        <f t="shared" si="106"/>
        <v>0</v>
      </c>
      <c r="U380" s="295">
        <f t="shared" si="106"/>
        <v>0</v>
      </c>
      <c r="V380" s="295">
        <f t="shared" si="106"/>
        <v>0</v>
      </c>
      <c r="W380" s="295">
        <f t="shared" si="106"/>
        <v>0</v>
      </c>
      <c r="X380" s="295">
        <f t="shared" si="106"/>
        <v>0</v>
      </c>
      <c r="Y380" s="295">
        <f t="shared" si="106"/>
        <v>0</v>
      </c>
      <c r="Z380" s="295">
        <f t="shared" si="106"/>
        <v>0</v>
      </c>
      <c r="AA380" s="295">
        <f t="shared" si="106"/>
        <v>0</v>
      </c>
      <c r="AB380" s="295">
        <f t="shared" si="106"/>
        <v>0</v>
      </c>
      <c r="AC380" s="295">
        <f t="shared" si="106"/>
        <v>0</v>
      </c>
      <c r="AD380" s="295">
        <f t="shared" si="106"/>
        <v>0</v>
      </c>
      <c r="AE380" s="296">
        <f t="shared" si="106"/>
        <v>0</v>
      </c>
    </row>
    <row r="381" spans="1:31" ht="15" customHeight="1">
      <c r="A381" s="1711"/>
      <c r="B381" s="116">
        <v>9</v>
      </c>
      <c r="C381" s="294">
        <f t="shared" si="105"/>
        <v>0</v>
      </c>
      <c r="D381" s="295">
        <f t="shared" si="106"/>
        <v>0</v>
      </c>
      <c r="E381" s="295">
        <f t="shared" si="106"/>
        <v>0.97296978558345248</v>
      </c>
      <c r="F381" s="295">
        <f t="shared" si="106"/>
        <v>12.648607212584881</v>
      </c>
      <c r="G381" s="295">
        <f t="shared" si="106"/>
        <v>365.83663937937814</v>
      </c>
      <c r="H381" s="295">
        <f t="shared" si="106"/>
        <v>936.96990351686475</v>
      </c>
      <c r="I381" s="295">
        <f t="shared" si="106"/>
        <v>58.378187135007153</v>
      </c>
      <c r="J381" s="295">
        <f t="shared" si="106"/>
        <v>8.7567280702510715</v>
      </c>
      <c r="K381" s="295">
        <f t="shared" si="106"/>
        <v>1.945939571166905</v>
      </c>
      <c r="L381" s="295">
        <f t="shared" si="106"/>
        <v>0</v>
      </c>
      <c r="M381" s="295">
        <f t="shared" si="106"/>
        <v>0</v>
      </c>
      <c r="N381" s="295">
        <f t="shared" si="107"/>
        <v>0</v>
      </c>
      <c r="O381" s="295">
        <f t="shared" si="107"/>
        <v>0</v>
      </c>
      <c r="P381" s="295">
        <f t="shared" si="107"/>
        <v>0</v>
      </c>
      <c r="Q381" s="295">
        <f t="shared" si="106"/>
        <v>0</v>
      </c>
      <c r="R381" s="295">
        <f t="shared" si="106"/>
        <v>0</v>
      </c>
      <c r="S381" s="295">
        <f t="shared" si="106"/>
        <v>0</v>
      </c>
      <c r="T381" s="295">
        <f t="shared" si="106"/>
        <v>0</v>
      </c>
      <c r="U381" s="295">
        <f t="shared" si="106"/>
        <v>0</v>
      </c>
      <c r="V381" s="295">
        <f t="shared" si="106"/>
        <v>0</v>
      </c>
      <c r="W381" s="295">
        <f t="shared" si="106"/>
        <v>0</v>
      </c>
      <c r="X381" s="295">
        <f t="shared" si="106"/>
        <v>0</v>
      </c>
      <c r="Y381" s="295">
        <f t="shared" si="106"/>
        <v>0</v>
      </c>
      <c r="Z381" s="295">
        <f t="shared" si="106"/>
        <v>0</v>
      </c>
      <c r="AA381" s="295">
        <f t="shared" si="106"/>
        <v>0</v>
      </c>
      <c r="AB381" s="295">
        <f t="shared" si="106"/>
        <v>0</v>
      </c>
      <c r="AC381" s="295">
        <f t="shared" si="106"/>
        <v>0</v>
      </c>
      <c r="AD381" s="295">
        <f t="shared" si="106"/>
        <v>0</v>
      </c>
      <c r="AE381" s="296">
        <f t="shared" si="106"/>
        <v>0</v>
      </c>
    </row>
    <row r="382" spans="1:31" ht="15" customHeight="1">
      <c r="A382" s="1711"/>
      <c r="B382" s="116">
        <v>10</v>
      </c>
      <c r="C382" s="294">
        <f t="shared" si="105"/>
        <v>0</v>
      </c>
      <c r="D382" s="295">
        <f t="shared" si="106"/>
        <v>0</v>
      </c>
      <c r="E382" s="295">
        <f t="shared" si="106"/>
        <v>0</v>
      </c>
      <c r="F382" s="295">
        <f t="shared" si="106"/>
        <v>0.85850305241024127</v>
      </c>
      <c r="G382" s="295">
        <f t="shared" ref="G382:AE382" si="108">F381*$F35</f>
        <v>11.160539681333136</v>
      </c>
      <c r="H382" s="295">
        <f t="shared" si="108"/>
        <v>322.79714770625077</v>
      </c>
      <c r="I382" s="295">
        <f t="shared" si="108"/>
        <v>826.73843947106241</v>
      </c>
      <c r="J382" s="295">
        <f t="shared" si="108"/>
        <v>51.51018314461448</v>
      </c>
      <c r="K382" s="295">
        <f t="shared" si="108"/>
        <v>7.7265274716921715</v>
      </c>
      <c r="L382" s="295">
        <f t="shared" si="108"/>
        <v>1.7170061048204825</v>
      </c>
      <c r="M382" s="295">
        <f t="shared" si="108"/>
        <v>0</v>
      </c>
      <c r="N382" s="295">
        <f t="shared" si="107"/>
        <v>0</v>
      </c>
      <c r="O382" s="295">
        <f t="shared" si="107"/>
        <v>0</v>
      </c>
      <c r="P382" s="295">
        <f t="shared" si="107"/>
        <v>0</v>
      </c>
      <c r="Q382" s="295">
        <f t="shared" si="108"/>
        <v>0</v>
      </c>
      <c r="R382" s="295">
        <f t="shared" si="108"/>
        <v>0</v>
      </c>
      <c r="S382" s="295">
        <f t="shared" si="108"/>
        <v>0</v>
      </c>
      <c r="T382" s="295">
        <f t="shared" si="108"/>
        <v>0</v>
      </c>
      <c r="U382" s="295">
        <f t="shared" si="108"/>
        <v>0</v>
      </c>
      <c r="V382" s="295">
        <f t="shared" si="108"/>
        <v>0</v>
      </c>
      <c r="W382" s="295">
        <f t="shared" si="108"/>
        <v>0</v>
      </c>
      <c r="X382" s="295">
        <f t="shared" si="108"/>
        <v>0</v>
      </c>
      <c r="Y382" s="295">
        <f t="shared" si="108"/>
        <v>0</v>
      </c>
      <c r="Z382" s="295">
        <f t="shared" si="108"/>
        <v>0</v>
      </c>
      <c r="AA382" s="295">
        <f t="shared" si="108"/>
        <v>0</v>
      </c>
      <c r="AB382" s="295">
        <f t="shared" si="108"/>
        <v>0</v>
      </c>
      <c r="AC382" s="295">
        <f t="shared" si="108"/>
        <v>0</v>
      </c>
      <c r="AD382" s="295">
        <f t="shared" si="108"/>
        <v>0</v>
      </c>
      <c r="AE382" s="296">
        <f t="shared" si="108"/>
        <v>0</v>
      </c>
    </row>
    <row r="383" spans="1:31" ht="15" customHeight="1">
      <c r="A383" s="1711"/>
      <c r="B383" s="116">
        <v>11</v>
      </c>
      <c r="C383" s="294">
        <f t="shared" si="105"/>
        <v>0</v>
      </c>
      <c r="D383" s="295">
        <f t="shared" ref="D383:AE392" si="109">C382*$F36</f>
        <v>0</v>
      </c>
      <c r="E383" s="295">
        <f t="shared" si="109"/>
        <v>0</v>
      </c>
      <c r="F383" s="295">
        <f t="shared" si="109"/>
        <v>0</v>
      </c>
      <c r="G383" s="295">
        <f t="shared" si="109"/>
        <v>0.65806193389042189</v>
      </c>
      <c r="H383" s="295">
        <f t="shared" si="109"/>
        <v>8.5548051405754837</v>
      </c>
      <c r="I383" s="295">
        <f t="shared" si="109"/>
        <v>247.43128714279868</v>
      </c>
      <c r="J383" s="295">
        <f t="shared" si="109"/>
        <v>633.71364233647637</v>
      </c>
      <c r="K383" s="295">
        <f t="shared" si="109"/>
        <v>39.483716033425317</v>
      </c>
      <c r="L383" s="295">
        <f t="shared" si="109"/>
        <v>5.922557405013797</v>
      </c>
      <c r="M383" s="295">
        <f t="shared" si="109"/>
        <v>1.3161238677808438</v>
      </c>
      <c r="N383" s="295">
        <f t="shared" si="107"/>
        <v>0</v>
      </c>
      <c r="O383" s="295">
        <f t="shared" si="107"/>
        <v>0</v>
      </c>
      <c r="P383" s="295">
        <f t="shared" si="107"/>
        <v>0</v>
      </c>
      <c r="Q383" s="295">
        <f t="shared" si="109"/>
        <v>0</v>
      </c>
      <c r="R383" s="295">
        <f t="shared" si="109"/>
        <v>0</v>
      </c>
      <c r="S383" s="295">
        <f t="shared" si="109"/>
        <v>0</v>
      </c>
      <c r="T383" s="295">
        <f t="shared" si="109"/>
        <v>0</v>
      </c>
      <c r="U383" s="295">
        <f t="shared" si="109"/>
        <v>0</v>
      </c>
      <c r="V383" s="295">
        <f t="shared" si="109"/>
        <v>0</v>
      </c>
      <c r="W383" s="295">
        <f t="shared" si="109"/>
        <v>0</v>
      </c>
      <c r="X383" s="295">
        <f t="shared" si="109"/>
        <v>0</v>
      </c>
      <c r="Y383" s="295">
        <f t="shared" si="109"/>
        <v>0</v>
      </c>
      <c r="Z383" s="295">
        <f t="shared" si="109"/>
        <v>0</v>
      </c>
      <c r="AA383" s="295">
        <f t="shared" si="109"/>
        <v>0</v>
      </c>
      <c r="AB383" s="295">
        <f t="shared" si="109"/>
        <v>0</v>
      </c>
      <c r="AC383" s="295">
        <f t="shared" si="109"/>
        <v>0</v>
      </c>
      <c r="AD383" s="295">
        <f t="shared" si="109"/>
        <v>0</v>
      </c>
      <c r="AE383" s="296">
        <f t="shared" si="109"/>
        <v>0</v>
      </c>
    </row>
    <row r="384" spans="1:31" ht="15" customHeight="1">
      <c r="A384" s="1711"/>
      <c r="B384" s="116">
        <v>12</v>
      </c>
      <c r="C384" s="294">
        <f t="shared" si="105"/>
        <v>0</v>
      </c>
      <c r="D384" s="295">
        <f t="shared" si="109"/>
        <v>0</v>
      </c>
      <c r="E384" s="295">
        <f t="shared" si="109"/>
        <v>0</v>
      </c>
      <c r="F384" s="295">
        <f t="shared" si="109"/>
        <v>0</v>
      </c>
      <c r="G384" s="295">
        <f t="shared" si="109"/>
        <v>0</v>
      </c>
      <c r="H384" s="295">
        <f t="shared" si="109"/>
        <v>0.41844799886366313</v>
      </c>
      <c r="I384" s="295">
        <f t="shared" si="109"/>
        <v>5.43982398522762</v>
      </c>
      <c r="J384" s="295">
        <f t="shared" si="109"/>
        <v>157.33644757273737</v>
      </c>
      <c r="K384" s="295">
        <f t="shared" si="109"/>
        <v>402.96542290570767</v>
      </c>
      <c r="L384" s="295">
        <f t="shared" si="109"/>
        <v>25.10687993181979</v>
      </c>
      <c r="M384" s="295">
        <f t="shared" si="109"/>
        <v>3.7660319897729684</v>
      </c>
      <c r="N384" s="295">
        <f t="shared" si="107"/>
        <v>0.83689599772732626</v>
      </c>
      <c r="O384" s="295">
        <f t="shared" si="107"/>
        <v>0</v>
      </c>
      <c r="P384" s="295">
        <f t="shared" si="107"/>
        <v>0</v>
      </c>
      <c r="Q384" s="295">
        <f t="shared" si="109"/>
        <v>0</v>
      </c>
      <c r="R384" s="295">
        <f t="shared" si="109"/>
        <v>0</v>
      </c>
      <c r="S384" s="295">
        <f t="shared" si="109"/>
        <v>0</v>
      </c>
      <c r="T384" s="295">
        <f t="shared" si="109"/>
        <v>0</v>
      </c>
      <c r="U384" s="295">
        <f t="shared" si="109"/>
        <v>0</v>
      </c>
      <c r="V384" s="295">
        <f t="shared" si="109"/>
        <v>0</v>
      </c>
      <c r="W384" s="295">
        <f t="shared" si="109"/>
        <v>0</v>
      </c>
      <c r="X384" s="295">
        <f t="shared" si="109"/>
        <v>0</v>
      </c>
      <c r="Y384" s="295">
        <f t="shared" si="109"/>
        <v>0</v>
      </c>
      <c r="Z384" s="295">
        <f t="shared" si="109"/>
        <v>0</v>
      </c>
      <c r="AA384" s="295">
        <f t="shared" si="109"/>
        <v>0</v>
      </c>
      <c r="AB384" s="295">
        <f t="shared" si="109"/>
        <v>0</v>
      </c>
      <c r="AC384" s="295">
        <f t="shared" si="109"/>
        <v>0</v>
      </c>
      <c r="AD384" s="295">
        <f t="shared" si="109"/>
        <v>0</v>
      </c>
      <c r="AE384" s="296">
        <f t="shared" si="109"/>
        <v>0</v>
      </c>
    </row>
    <row r="385" spans="1:31" ht="15" customHeight="1">
      <c r="A385" s="1711"/>
      <c r="B385" s="116">
        <v>13</v>
      </c>
      <c r="C385" s="294">
        <f t="shared" si="105"/>
        <v>0</v>
      </c>
      <c r="D385" s="295">
        <f t="shared" si="109"/>
        <v>0</v>
      </c>
      <c r="E385" s="295">
        <f t="shared" si="109"/>
        <v>0</v>
      </c>
      <c r="F385" s="295">
        <f t="shared" si="109"/>
        <v>0</v>
      </c>
      <c r="G385" s="295">
        <f t="shared" si="109"/>
        <v>0</v>
      </c>
      <c r="H385" s="295">
        <f t="shared" si="109"/>
        <v>0</v>
      </c>
      <c r="I385" s="295">
        <f t="shared" si="109"/>
        <v>0.21465899931065299</v>
      </c>
      <c r="J385" s="295">
        <f t="shared" si="109"/>
        <v>2.7905669910384883</v>
      </c>
      <c r="K385" s="295">
        <f t="shared" si="109"/>
        <v>80.711783740805544</v>
      </c>
      <c r="L385" s="295">
        <f t="shared" si="109"/>
        <v>206.71661633615886</v>
      </c>
      <c r="M385" s="295">
        <f t="shared" si="109"/>
        <v>12.87953995863918</v>
      </c>
      <c r="N385" s="295">
        <f t="shared" si="107"/>
        <v>1.9319309937958768</v>
      </c>
      <c r="O385" s="295">
        <f t="shared" si="107"/>
        <v>0.42931799862130599</v>
      </c>
      <c r="P385" s="295">
        <f t="shared" si="107"/>
        <v>0</v>
      </c>
      <c r="Q385" s="295">
        <f t="shared" si="109"/>
        <v>0</v>
      </c>
      <c r="R385" s="295">
        <f t="shared" si="109"/>
        <v>0</v>
      </c>
      <c r="S385" s="295">
        <f t="shared" si="109"/>
        <v>0</v>
      </c>
      <c r="T385" s="295">
        <f t="shared" si="109"/>
        <v>0</v>
      </c>
      <c r="U385" s="295">
        <f t="shared" si="109"/>
        <v>0</v>
      </c>
      <c r="V385" s="295">
        <f t="shared" si="109"/>
        <v>0</v>
      </c>
      <c r="W385" s="295">
        <f t="shared" si="109"/>
        <v>0</v>
      </c>
      <c r="X385" s="295">
        <f t="shared" si="109"/>
        <v>0</v>
      </c>
      <c r="Y385" s="295">
        <f t="shared" si="109"/>
        <v>0</v>
      </c>
      <c r="Z385" s="295">
        <f t="shared" si="109"/>
        <v>0</v>
      </c>
      <c r="AA385" s="295">
        <f t="shared" si="109"/>
        <v>0</v>
      </c>
      <c r="AB385" s="295">
        <f t="shared" si="109"/>
        <v>0</v>
      </c>
      <c r="AC385" s="295">
        <f t="shared" si="109"/>
        <v>0</v>
      </c>
      <c r="AD385" s="295">
        <f t="shared" si="109"/>
        <v>0</v>
      </c>
      <c r="AE385" s="296">
        <f t="shared" si="109"/>
        <v>0</v>
      </c>
    </row>
    <row r="386" spans="1:31" ht="15" customHeight="1">
      <c r="A386" s="1711"/>
      <c r="B386" s="116">
        <v>14</v>
      </c>
      <c r="C386" s="294">
        <f t="shared" si="105"/>
        <v>0</v>
      </c>
      <c r="D386" s="295">
        <f t="shared" si="109"/>
        <v>0</v>
      </c>
      <c r="E386" s="295">
        <f t="shared" si="109"/>
        <v>0</v>
      </c>
      <c r="F386" s="295">
        <f t="shared" si="109"/>
        <v>0</v>
      </c>
      <c r="G386" s="295">
        <f t="shared" si="109"/>
        <v>0</v>
      </c>
      <c r="H386" s="295">
        <f t="shared" si="109"/>
        <v>0</v>
      </c>
      <c r="I386" s="295">
        <f t="shared" si="109"/>
        <v>0</v>
      </c>
      <c r="J386" s="295">
        <f t="shared" si="109"/>
        <v>8.6565731306746468E-2</v>
      </c>
      <c r="K386" s="295">
        <f t="shared" si="109"/>
        <v>1.125354506987704</v>
      </c>
      <c r="L386" s="295">
        <f t="shared" si="109"/>
        <v>32.548714971336679</v>
      </c>
      <c r="M386" s="295">
        <f t="shared" si="109"/>
        <v>83.362799248396868</v>
      </c>
      <c r="N386" s="295">
        <f t="shared" si="107"/>
        <v>5.1939438784047889</v>
      </c>
      <c r="O386" s="295">
        <f t="shared" si="107"/>
        <v>0.77909158176071824</v>
      </c>
      <c r="P386" s="295">
        <f t="shared" si="107"/>
        <v>0.17313146261349294</v>
      </c>
      <c r="Q386" s="295">
        <f t="shared" si="109"/>
        <v>0</v>
      </c>
      <c r="R386" s="295">
        <f t="shared" si="109"/>
        <v>0</v>
      </c>
      <c r="S386" s="295">
        <f t="shared" si="109"/>
        <v>0</v>
      </c>
      <c r="T386" s="295">
        <f t="shared" si="109"/>
        <v>0</v>
      </c>
      <c r="U386" s="295">
        <f t="shared" si="109"/>
        <v>0</v>
      </c>
      <c r="V386" s="295">
        <f t="shared" si="109"/>
        <v>0</v>
      </c>
      <c r="W386" s="295">
        <f t="shared" si="109"/>
        <v>0</v>
      </c>
      <c r="X386" s="295">
        <f t="shared" si="109"/>
        <v>0</v>
      </c>
      <c r="Y386" s="295">
        <f t="shared" si="109"/>
        <v>0</v>
      </c>
      <c r="Z386" s="295">
        <f t="shared" si="109"/>
        <v>0</v>
      </c>
      <c r="AA386" s="295">
        <f t="shared" si="109"/>
        <v>0</v>
      </c>
      <c r="AB386" s="295">
        <f t="shared" si="109"/>
        <v>0</v>
      </c>
      <c r="AC386" s="295">
        <f t="shared" si="109"/>
        <v>0</v>
      </c>
      <c r="AD386" s="295">
        <f t="shared" si="109"/>
        <v>0</v>
      </c>
      <c r="AE386" s="296">
        <f t="shared" si="109"/>
        <v>0</v>
      </c>
    </row>
    <row r="387" spans="1:31" ht="15" customHeight="1">
      <c r="A387" s="1711"/>
      <c r="B387" s="116">
        <v>15</v>
      </c>
      <c r="C387" s="294">
        <f t="shared" si="105"/>
        <v>0</v>
      </c>
      <c r="D387" s="295">
        <f t="shared" si="109"/>
        <v>0</v>
      </c>
      <c r="E387" s="295">
        <f t="shared" si="109"/>
        <v>0</v>
      </c>
      <c r="F387" s="295">
        <f t="shared" si="109"/>
        <v>0</v>
      </c>
      <c r="G387" s="295">
        <f t="shared" si="109"/>
        <v>0</v>
      </c>
      <c r="H387" s="295">
        <f t="shared" si="109"/>
        <v>0</v>
      </c>
      <c r="I387" s="295">
        <f t="shared" si="109"/>
        <v>0</v>
      </c>
      <c r="J387" s="295">
        <f t="shared" si="109"/>
        <v>0</v>
      </c>
      <c r="K387" s="295">
        <f t="shared" si="109"/>
        <v>2.6455675867608754E-2</v>
      </c>
      <c r="L387" s="295">
        <f t="shared" si="109"/>
        <v>0.34392378627891379</v>
      </c>
      <c r="M387" s="295">
        <f t="shared" si="109"/>
        <v>9.947334126220893</v>
      </c>
      <c r="N387" s="295">
        <f t="shared" si="107"/>
        <v>25.476815860507237</v>
      </c>
      <c r="O387" s="295">
        <f t="shared" si="107"/>
        <v>1.5873405520565254</v>
      </c>
      <c r="P387" s="295">
        <f t="shared" si="107"/>
        <v>0.2381010828084788</v>
      </c>
      <c r="Q387" s="295">
        <f t="shared" si="109"/>
        <v>5.2911351735217507E-2</v>
      </c>
      <c r="R387" s="295">
        <f t="shared" si="109"/>
        <v>0</v>
      </c>
      <c r="S387" s="295">
        <f t="shared" si="109"/>
        <v>0</v>
      </c>
      <c r="T387" s="295">
        <f t="shared" si="109"/>
        <v>0</v>
      </c>
      <c r="U387" s="295">
        <f t="shared" si="109"/>
        <v>0</v>
      </c>
      <c r="V387" s="295">
        <f t="shared" si="109"/>
        <v>0</v>
      </c>
      <c r="W387" s="295">
        <f t="shared" si="109"/>
        <v>0</v>
      </c>
      <c r="X387" s="295">
        <f t="shared" si="109"/>
        <v>0</v>
      </c>
      <c r="Y387" s="295">
        <f t="shared" si="109"/>
        <v>0</v>
      </c>
      <c r="Z387" s="295">
        <f t="shared" si="109"/>
        <v>0</v>
      </c>
      <c r="AA387" s="295">
        <f t="shared" si="109"/>
        <v>0</v>
      </c>
      <c r="AB387" s="295">
        <f t="shared" si="109"/>
        <v>0</v>
      </c>
      <c r="AC387" s="295">
        <f t="shared" si="109"/>
        <v>0</v>
      </c>
      <c r="AD387" s="295">
        <f t="shared" si="109"/>
        <v>0</v>
      </c>
      <c r="AE387" s="296">
        <f t="shared" si="109"/>
        <v>0</v>
      </c>
    </row>
    <row r="388" spans="1:31" ht="15" customHeight="1">
      <c r="A388" s="1711"/>
      <c r="B388" s="116">
        <v>16</v>
      </c>
      <c r="C388" s="294">
        <v>0</v>
      </c>
      <c r="D388" s="295">
        <f t="shared" si="109"/>
        <v>0</v>
      </c>
      <c r="E388" s="295">
        <f t="shared" si="109"/>
        <v>0</v>
      </c>
      <c r="F388" s="295">
        <f t="shared" si="109"/>
        <v>0</v>
      </c>
      <c r="G388" s="295">
        <f t="shared" si="109"/>
        <v>0</v>
      </c>
      <c r="H388" s="295">
        <f t="shared" si="109"/>
        <v>0</v>
      </c>
      <c r="I388" s="295">
        <f t="shared" si="109"/>
        <v>0</v>
      </c>
      <c r="J388" s="295">
        <f t="shared" si="109"/>
        <v>0</v>
      </c>
      <c r="K388" s="295">
        <f t="shared" si="109"/>
        <v>0</v>
      </c>
      <c r="L388" s="295">
        <f t="shared" si="109"/>
        <v>7.2766959574185053E-3</v>
      </c>
      <c r="M388" s="295">
        <f t="shared" si="109"/>
        <v>9.4597047446440569E-2</v>
      </c>
      <c r="N388" s="295">
        <f t="shared" si="107"/>
        <v>2.7360376799893582</v>
      </c>
      <c r="O388" s="295">
        <f t="shared" si="107"/>
        <v>7.0074582069940226</v>
      </c>
      <c r="P388" s="295">
        <f t="shared" si="107"/>
        <v>0.43660175744511037</v>
      </c>
      <c r="Q388" s="295">
        <f t="shared" si="109"/>
        <v>6.5490263616766548E-2</v>
      </c>
      <c r="R388" s="295">
        <f t="shared" si="109"/>
        <v>1.4553391914837011E-2</v>
      </c>
      <c r="S388" s="295">
        <f t="shared" si="109"/>
        <v>0</v>
      </c>
      <c r="T388" s="295">
        <f t="shared" si="109"/>
        <v>0</v>
      </c>
      <c r="U388" s="295">
        <f t="shared" si="109"/>
        <v>0</v>
      </c>
      <c r="V388" s="295">
        <f t="shared" si="109"/>
        <v>0</v>
      </c>
      <c r="W388" s="295">
        <f t="shared" si="109"/>
        <v>0</v>
      </c>
      <c r="X388" s="295">
        <f t="shared" si="109"/>
        <v>0</v>
      </c>
      <c r="Y388" s="295">
        <f t="shared" si="109"/>
        <v>0</v>
      </c>
      <c r="Z388" s="295">
        <f t="shared" si="109"/>
        <v>0</v>
      </c>
      <c r="AA388" s="295">
        <f t="shared" si="109"/>
        <v>0</v>
      </c>
      <c r="AB388" s="295">
        <f t="shared" si="109"/>
        <v>0</v>
      </c>
      <c r="AC388" s="295">
        <f t="shared" si="109"/>
        <v>0</v>
      </c>
      <c r="AD388" s="295">
        <f t="shared" si="109"/>
        <v>0</v>
      </c>
      <c r="AE388" s="296">
        <f t="shared" si="109"/>
        <v>0</v>
      </c>
    </row>
    <row r="389" spans="1:31" ht="15" customHeight="1">
      <c r="A389" s="1711"/>
      <c r="B389" s="116">
        <v>17</v>
      </c>
      <c r="C389" s="294">
        <v>0</v>
      </c>
      <c r="D389" s="295">
        <f t="shared" si="109"/>
        <v>0</v>
      </c>
      <c r="E389" s="295">
        <f t="shared" si="109"/>
        <v>0</v>
      </c>
      <c r="F389" s="295">
        <f t="shared" si="109"/>
        <v>0</v>
      </c>
      <c r="G389" s="295">
        <f t="shared" si="109"/>
        <v>0</v>
      </c>
      <c r="H389" s="295">
        <f t="shared" si="109"/>
        <v>0</v>
      </c>
      <c r="I389" s="295">
        <f t="shared" si="109"/>
        <v>0</v>
      </c>
      <c r="J389" s="295">
        <f t="shared" si="109"/>
        <v>0</v>
      </c>
      <c r="K389" s="295">
        <f t="shared" si="109"/>
        <v>0</v>
      </c>
      <c r="L389" s="295">
        <f t="shared" si="109"/>
        <v>0</v>
      </c>
      <c r="M389" s="295">
        <f t="shared" si="109"/>
        <v>1.779086543652636E-3</v>
      </c>
      <c r="N389" s="295">
        <f t="shared" si="107"/>
        <v>2.3128125067484268E-2</v>
      </c>
      <c r="O389" s="295">
        <f t="shared" si="107"/>
        <v>0.66893654041339112</v>
      </c>
      <c r="P389" s="295">
        <f t="shared" si="107"/>
        <v>1.713260341537489</v>
      </c>
      <c r="Q389" s="295">
        <f t="shared" si="109"/>
        <v>0.10674519261915817</v>
      </c>
      <c r="R389" s="295">
        <f t="shared" si="109"/>
        <v>1.6011778892873724E-2</v>
      </c>
      <c r="S389" s="295">
        <f t="shared" si="109"/>
        <v>3.5581730873052719E-3</v>
      </c>
      <c r="T389" s="295">
        <f t="shared" si="109"/>
        <v>0</v>
      </c>
      <c r="U389" s="295">
        <f t="shared" si="109"/>
        <v>0</v>
      </c>
      <c r="V389" s="295">
        <f t="shared" si="109"/>
        <v>0</v>
      </c>
      <c r="W389" s="295">
        <f t="shared" si="109"/>
        <v>0</v>
      </c>
      <c r="X389" s="295">
        <f t="shared" si="109"/>
        <v>0</v>
      </c>
      <c r="Y389" s="295">
        <f t="shared" si="109"/>
        <v>0</v>
      </c>
      <c r="Z389" s="295">
        <f t="shared" si="109"/>
        <v>0</v>
      </c>
      <c r="AA389" s="295">
        <f t="shared" si="109"/>
        <v>0</v>
      </c>
      <c r="AB389" s="295">
        <f t="shared" si="109"/>
        <v>0</v>
      </c>
      <c r="AC389" s="295">
        <f t="shared" si="109"/>
        <v>0</v>
      </c>
      <c r="AD389" s="295">
        <f t="shared" si="109"/>
        <v>0</v>
      </c>
      <c r="AE389" s="296">
        <f t="shared" si="109"/>
        <v>0</v>
      </c>
    </row>
    <row r="390" spans="1:31" ht="15.75" customHeight="1">
      <c r="A390" s="1711"/>
      <c r="B390" s="116">
        <v>18</v>
      </c>
      <c r="C390" s="294">
        <v>0</v>
      </c>
      <c r="D390" s="295">
        <f t="shared" si="109"/>
        <v>0</v>
      </c>
      <c r="E390" s="295">
        <f t="shared" si="109"/>
        <v>0</v>
      </c>
      <c r="F390" s="295">
        <f t="shared" si="109"/>
        <v>0</v>
      </c>
      <c r="G390" s="295">
        <f t="shared" si="109"/>
        <v>0</v>
      </c>
      <c r="H390" s="295">
        <f t="shared" si="109"/>
        <v>0</v>
      </c>
      <c r="I390" s="295">
        <f t="shared" si="109"/>
        <v>0</v>
      </c>
      <c r="J390" s="295">
        <f t="shared" si="109"/>
        <v>0</v>
      </c>
      <c r="K390" s="295">
        <f t="shared" si="109"/>
        <v>0</v>
      </c>
      <c r="L390" s="295">
        <f t="shared" si="109"/>
        <v>0</v>
      </c>
      <c r="M390" s="295">
        <f t="shared" si="109"/>
        <v>0</v>
      </c>
      <c r="N390" s="295">
        <f t="shared" si="107"/>
        <v>3.8059928981321116E-4</v>
      </c>
      <c r="O390" s="295">
        <f t="shared" si="107"/>
        <v>4.9477907675717445E-3</v>
      </c>
      <c r="P390" s="295">
        <f t="shared" si="107"/>
        <v>0.14310533296976738</v>
      </c>
      <c r="Q390" s="295">
        <f t="shared" si="109"/>
        <v>0.36651711609012244</v>
      </c>
      <c r="R390" s="295">
        <f t="shared" si="109"/>
        <v>2.2835957388792672E-2</v>
      </c>
      <c r="S390" s="295">
        <f t="shared" si="109"/>
        <v>3.4253936083189001E-3</v>
      </c>
      <c r="T390" s="295">
        <f t="shared" si="109"/>
        <v>7.6119857962642231E-4</v>
      </c>
      <c r="U390" s="295">
        <f t="shared" si="109"/>
        <v>0</v>
      </c>
      <c r="V390" s="295">
        <f t="shared" si="109"/>
        <v>0</v>
      </c>
      <c r="W390" s="295">
        <f t="shared" si="109"/>
        <v>0</v>
      </c>
      <c r="X390" s="295">
        <f t="shared" si="109"/>
        <v>0</v>
      </c>
      <c r="Y390" s="295">
        <f t="shared" si="109"/>
        <v>0</v>
      </c>
      <c r="Z390" s="295">
        <f t="shared" si="109"/>
        <v>0</v>
      </c>
      <c r="AA390" s="295">
        <f t="shared" si="109"/>
        <v>0</v>
      </c>
      <c r="AB390" s="295">
        <f t="shared" si="109"/>
        <v>0</v>
      </c>
      <c r="AC390" s="295">
        <f t="shared" si="109"/>
        <v>0</v>
      </c>
      <c r="AD390" s="295">
        <f t="shared" si="109"/>
        <v>0</v>
      </c>
      <c r="AE390" s="296">
        <f t="shared" si="109"/>
        <v>0</v>
      </c>
    </row>
    <row r="391" spans="1:31" ht="16.5" customHeight="1">
      <c r="A391" s="1711"/>
      <c r="B391" s="116">
        <v>19</v>
      </c>
      <c r="C391" s="294">
        <v>0</v>
      </c>
      <c r="D391" s="295">
        <f t="shared" si="109"/>
        <v>0</v>
      </c>
      <c r="E391" s="295">
        <f t="shared" si="109"/>
        <v>0</v>
      </c>
      <c r="F391" s="295">
        <f t="shared" si="109"/>
        <v>0</v>
      </c>
      <c r="G391" s="295">
        <f t="shared" si="109"/>
        <v>0</v>
      </c>
      <c r="H391" s="295">
        <f t="shared" si="109"/>
        <v>0</v>
      </c>
      <c r="I391" s="295">
        <f t="shared" si="109"/>
        <v>0</v>
      </c>
      <c r="J391" s="295">
        <f t="shared" si="109"/>
        <v>0</v>
      </c>
      <c r="K391" s="295">
        <f t="shared" si="109"/>
        <v>0</v>
      </c>
      <c r="L391" s="295">
        <f t="shared" si="109"/>
        <v>0</v>
      </c>
      <c r="M391" s="295">
        <f t="shared" si="109"/>
        <v>0</v>
      </c>
      <c r="N391" s="295">
        <f t="shared" si="107"/>
        <v>0</v>
      </c>
      <c r="O391" s="295">
        <f t="shared" si="107"/>
        <v>6.9789820715965083E-5</v>
      </c>
      <c r="P391" s="295">
        <f t="shared" si="107"/>
        <v>9.0726766930754603E-4</v>
      </c>
      <c r="Q391" s="295">
        <f t="shared" si="109"/>
        <v>2.6240972589202868E-2</v>
      </c>
      <c r="R391" s="295">
        <f t="shared" si="109"/>
        <v>6.7207597349474402E-2</v>
      </c>
      <c r="S391" s="295">
        <f t="shared" si="109"/>
        <v>4.1873892429579061E-3</v>
      </c>
      <c r="T391" s="295">
        <f t="shared" si="109"/>
        <v>6.281083864436857E-4</v>
      </c>
      <c r="U391" s="295">
        <f t="shared" si="109"/>
        <v>1.3957964143193017E-4</v>
      </c>
      <c r="V391" s="295">
        <f t="shared" si="109"/>
        <v>0</v>
      </c>
      <c r="W391" s="295">
        <f t="shared" si="109"/>
        <v>0</v>
      </c>
      <c r="X391" s="295">
        <f t="shared" si="109"/>
        <v>0</v>
      </c>
      <c r="Y391" s="295">
        <f t="shared" si="109"/>
        <v>0</v>
      </c>
      <c r="Z391" s="295">
        <f t="shared" si="109"/>
        <v>0</v>
      </c>
      <c r="AA391" s="295">
        <f t="shared" si="109"/>
        <v>0</v>
      </c>
      <c r="AB391" s="295">
        <f t="shared" si="109"/>
        <v>0</v>
      </c>
      <c r="AC391" s="295">
        <f t="shared" si="109"/>
        <v>0</v>
      </c>
      <c r="AD391" s="295">
        <f t="shared" si="109"/>
        <v>0</v>
      </c>
      <c r="AE391" s="296">
        <f t="shared" si="109"/>
        <v>0</v>
      </c>
    </row>
    <row r="392" spans="1:31">
      <c r="A392" s="1711"/>
      <c r="B392" s="116">
        <v>20</v>
      </c>
      <c r="C392" s="294">
        <v>0</v>
      </c>
      <c r="D392" s="295">
        <f t="shared" si="109"/>
        <v>0</v>
      </c>
      <c r="E392" s="295">
        <f t="shared" si="109"/>
        <v>0</v>
      </c>
      <c r="F392" s="295">
        <f t="shared" si="109"/>
        <v>0</v>
      </c>
      <c r="G392" s="295">
        <f t="shared" ref="G392:AE392" si="110">F391*$F45</f>
        <v>0</v>
      </c>
      <c r="H392" s="295">
        <f t="shared" si="110"/>
        <v>0</v>
      </c>
      <c r="I392" s="295">
        <f t="shared" si="110"/>
        <v>0</v>
      </c>
      <c r="J392" s="295">
        <f t="shared" si="110"/>
        <v>0</v>
      </c>
      <c r="K392" s="295">
        <f t="shared" si="110"/>
        <v>0</v>
      </c>
      <c r="L392" s="295">
        <f t="shared" si="110"/>
        <v>0</v>
      </c>
      <c r="M392" s="295">
        <f t="shared" si="110"/>
        <v>0</v>
      </c>
      <c r="N392" s="295">
        <f t="shared" si="107"/>
        <v>0</v>
      </c>
      <c r="O392" s="295">
        <f t="shared" si="107"/>
        <v>0</v>
      </c>
      <c r="P392" s="295">
        <f t="shared" si="107"/>
        <v>1.0664363645110257E-5</v>
      </c>
      <c r="Q392" s="295">
        <f t="shared" si="110"/>
        <v>1.3863672738643332E-4</v>
      </c>
      <c r="R392" s="295">
        <f t="shared" si="110"/>
        <v>4.0098007305614559E-3</v>
      </c>
      <c r="S392" s="295">
        <f t="shared" si="110"/>
        <v>1.026978219024118E-2</v>
      </c>
      <c r="T392" s="295">
        <f t="shared" si="110"/>
        <v>6.3986181870661555E-4</v>
      </c>
      <c r="U392" s="295">
        <f t="shared" si="110"/>
        <v>9.5979272805992298E-5</v>
      </c>
      <c r="V392" s="295">
        <f t="shared" si="110"/>
        <v>2.1328727290220513E-5</v>
      </c>
      <c r="W392" s="295">
        <f t="shared" si="110"/>
        <v>0</v>
      </c>
      <c r="X392" s="295">
        <f t="shared" si="110"/>
        <v>0</v>
      </c>
      <c r="Y392" s="295">
        <f t="shared" si="110"/>
        <v>0</v>
      </c>
      <c r="Z392" s="295">
        <f t="shared" si="110"/>
        <v>0</v>
      </c>
      <c r="AA392" s="295">
        <f t="shared" si="110"/>
        <v>0</v>
      </c>
      <c r="AB392" s="295">
        <f t="shared" si="110"/>
        <v>0</v>
      </c>
      <c r="AC392" s="295">
        <f t="shared" si="110"/>
        <v>0</v>
      </c>
      <c r="AD392" s="295">
        <f t="shared" si="110"/>
        <v>0</v>
      </c>
      <c r="AE392" s="296">
        <f t="shared" si="110"/>
        <v>0</v>
      </c>
    </row>
    <row r="393" spans="1:31" ht="15.75" customHeight="1">
      <c r="A393" s="1711"/>
      <c r="B393" s="116">
        <v>21</v>
      </c>
      <c r="C393" s="294">
        <v>0</v>
      </c>
      <c r="D393" s="295">
        <f t="shared" ref="D393:AE397" si="111">C392*$F46</f>
        <v>0</v>
      </c>
      <c r="E393" s="295">
        <f t="shared" si="111"/>
        <v>0</v>
      </c>
      <c r="F393" s="295">
        <f t="shared" si="111"/>
        <v>0</v>
      </c>
      <c r="G393" s="295">
        <f t="shared" si="111"/>
        <v>0</v>
      </c>
      <c r="H393" s="295">
        <f t="shared" si="111"/>
        <v>0</v>
      </c>
      <c r="I393" s="295">
        <f t="shared" si="111"/>
        <v>0</v>
      </c>
      <c r="J393" s="295">
        <f t="shared" si="111"/>
        <v>0</v>
      </c>
      <c r="K393" s="295">
        <f t="shared" si="111"/>
        <v>0</v>
      </c>
      <c r="L393" s="295">
        <f t="shared" si="111"/>
        <v>0</v>
      </c>
      <c r="M393" s="295">
        <f t="shared" si="111"/>
        <v>0</v>
      </c>
      <c r="N393" s="295">
        <f t="shared" si="107"/>
        <v>0</v>
      </c>
      <c r="O393" s="295">
        <f t="shared" si="107"/>
        <v>0</v>
      </c>
      <c r="P393" s="295">
        <f t="shared" si="107"/>
        <v>0</v>
      </c>
      <c r="Q393" s="295">
        <f t="shared" si="111"/>
        <v>1.3036703724230411E-6</v>
      </c>
      <c r="R393" s="295">
        <f t="shared" si="111"/>
        <v>1.694771484149953E-5</v>
      </c>
      <c r="S393" s="295">
        <f t="shared" si="111"/>
        <v>4.9018006003106334E-4</v>
      </c>
      <c r="T393" s="295">
        <f t="shared" si="111"/>
        <v>1.2554345686433888E-3</v>
      </c>
      <c r="U393" s="295">
        <f t="shared" si="111"/>
        <v>7.8220222345382482E-5</v>
      </c>
      <c r="V393" s="295">
        <f t="shared" si="111"/>
        <v>1.1733033351807367E-5</v>
      </c>
      <c r="W393" s="295">
        <f t="shared" si="111"/>
        <v>2.6073407448460822E-6</v>
      </c>
      <c r="X393" s="295">
        <f t="shared" si="111"/>
        <v>0</v>
      </c>
      <c r="Y393" s="295">
        <f t="shared" si="111"/>
        <v>0</v>
      </c>
      <c r="Z393" s="295">
        <f t="shared" si="111"/>
        <v>0</v>
      </c>
      <c r="AA393" s="295">
        <f t="shared" si="111"/>
        <v>0</v>
      </c>
      <c r="AB393" s="295">
        <f t="shared" si="111"/>
        <v>0</v>
      </c>
      <c r="AC393" s="295">
        <f t="shared" si="111"/>
        <v>0</v>
      </c>
      <c r="AD393" s="295">
        <f t="shared" si="111"/>
        <v>0</v>
      </c>
      <c r="AE393" s="296">
        <f t="shared" si="111"/>
        <v>0</v>
      </c>
    </row>
    <row r="394" spans="1:31" ht="15" customHeight="1">
      <c r="A394" s="1711"/>
      <c r="B394" s="116">
        <v>22</v>
      </c>
      <c r="C394" s="294">
        <v>0</v>
      </c>
      <c r="D394" s="295">
        <f t="shared" si="111"/>
        <v>0</v>
      </c>
      <c r="E394" s="295">
        <f t="shared" si="111"/>
        <v>0</v>
      </c>
      <c r="F394" s="295">
        <f t="shared" si="111"/>
        <v>0</v>
      </c>
      <c r="G394" s="295">
        <f t="shared" si="111"/>
        <v>0</v>
      </c>
      <c r="H394" s="295">
        <f t="shared" si="111"/>
        <v>0</v>
      </c>
      <c r="I394" s="295">
        <f t="shared" si="111"/>
        <v>0</v>
      </c>
      <c r="J394" s="295">
        <f t="shared" si="111"/>
        <v>0</v>
      </c>
      <c r="K394" s="295">
        <f t="shared" si="111"/>
        <v>0</v>
      </c>
      <c r="L394" s="295">
        <f t="shared" si="111"/>
        <v>0</v>
      </c>
      <c r="M394" s="295">
        <f t="shared" si="111"/>
        <v>0</v>
      </c>
      <c r="N394" s="295">
        <f t="shared" si="107"/>
        <v>0</v>
      </c>
      <c r="O394" s="295">
        <f t="shared" si="107"/>
        <v>0</v>
      </c>
      <c r="P394" s="295">
        <f t="shared" si="107"/>
        <v>0</v>
      </c>
      <c r="Q394" s="295">
        <f t="shared" si="111"/>
        <v>0</v>
      </c>
      <c r="R394" s="295">
        <f t="shared" si="111"/>
        <v>1.1952586880649684E-7</v>
      </c>
      <c r="S394" s="295">
        <f t="shared" si="111"/>
        <v>1.5538362944844588E-6</v>
      </c>
      <c r="T394" s="295">
        <f t="shared" si="111"/>
        <v>4.4941726671242807E-5</v>
      </c>
      <c r="U394" s="295">
        <f t="shared" si="111"/>
        <v>1.1510341166065649E-4</v>
      </c>
      <c r="V394" s="295">
        <f t="shared" si="111"/>
        <v>7.1715521283898123E-6</v>
      </c>
      <c r="W394" s="295">
        <f t="shared" si="111"/>
        <v>1.0757328192584713E-6</v>
      </c>
      <c r="X394" s="295">
        <f t="shared" si="111"/>
        <v>2.3905173761299368E-7</v>
      </c>
      <c r="Y394" s="295">
        <f t="shared" si="111"/>
        <v>0</v>
      </c>
      <c r="Z394" s="295">
        <f t="shared" si="111"/>
        <v>0</v>
      </c>
      <c r="AA394" s="295">
        <f t="shared" si="111"/>
        <v>0</v>
      </c>
      <c r="AB394" s="295">
        <f t="shared" si="111"/>
        <v>0</v>
      </c>
      <c r="AC394" s="295">
        <f t="shared" si="111"/>
        <v>0</v>
      </c>
      <c r="AD394" s="295">
        <f t="shared" si="111"/>
        <v>0</v>
      </c>
      <c r="AE394" s="296">
        <f t="shared" si="111"/>
        <v>0</v>
      </c>
    </row>
    <row r="395" spans="1:31" ht="15" customHeight="1">
      <c r="A395" s="1711"/>
      <c r="B395" s="116">
        <v>23</v>
      </c>
      <c r="C395" s="294">
        <v>0</v>
      </c>
      <c r="D395" s="295">
        <f t="shared" si="111"/>
        <v>0</v>
      </c>
      <c r="E395" s="295">
        <f t="shared" si="111"/>
        <v>0</v>
      </c>
      <c r="F395" s="295">
        <f t="shared" si="111"/>
        <v>0</v>
      </c>
      <c r="G395" s="295">
        <f t="shared" si="111"/>
        <v>0</v>
      </c>
      <c r="H395" s="295">
        <f t="shared" si="111"/>
        <v>0</v>
      </c>
      <c r="I395" s="295">
        <f t="shared" si="111"/>
        <v>0</v>
      </c>
      <c r="J395" s="295">
        <f t="shared" si="111"/>
        <v>0</v>
      </c>
      <c r="K395" s="295">
        <f t="shared" si="111"/>
        <v>0</v>
      </c>
      <c r="L395" s="295">
        <f t="shared" si="111"/>
        <v>0</v>
      </c>
      <c r="M395" s="295">
        <f t="shared" si="111"/>
        <v>0</v>
      </c>
      <c r="N395" s="295">
        <f t="shared" si="107"/>
        <v>0</v>
      </c>
      <c r="O395" s="295">
        <f t="shared" si="107"/>
        <v>0</v>
      </c>
      <c r="P395" s="295">
        <f t="shared" si="107"/>
        <v>0</v>
      </c>
      <c r="Q395" s="295">
        <f t="shared" si="111"/>
        <v>0</v>
      </c>
      <c r="R395" s="295">
        <f t="shared" si="111"/>
        <v>0</v>
      </c>
      <c r="S395" s="295">
        <f t="shared" si="111"/>
        <v>7.305749273309889E-9</v>
      </c>
      <c r="T395" s="295">
        <f t="shared" si="111"/>
        <v>9.4974740553028551E-8</v>
      </c>
      <c r="U395" s="295">
        <f t="shared" si="111"/>
        <v>2.746961726764518E-6</v>
      </c>
      <c r="V395" s="295">
        <f t="shared" si="111"/>
        <v>7.035436550197425E-6</v>
      </c>
      <c r="W395" s="295">
        <f t="shared" si="111"/>
        <v>4.3834495639859345E-7</v>
      </c>
      <c r="X395" s="295">
        <f t="shared" si="111"/>
        <v>6.5751743459788978E-8</v>
      </c>
      <c r="Y395" s="295">
        <f t="shared" si="111"/>
        <v>1.4611498546619778E-8</v>
      </c>
      <c r="Z395" s="295">
        <f t="shared" si="111"/>
        <v>0</v>
      </c>
      <c r="AA395" s="295">
        <f t="shared" si="111"/>
        <v>0</v>
      </c>
      <c r="AB395" s="295">
        <f t="shared" si="111"/>
        <v>0</v>
      </c>
      <c r="AC395" s="295">
        <f t="shared" si="111"/>
        <v>0</v>
      </c>
      <c r="AD395" s="295">
        <f t="shared" si="111"/>
        <v>0</v>
      </c>
      <c r="AE395" s="296">
        <f t="shared" si="111"/>
        <v>0</v>
      </c>
    </row>
    <row r="396" spans="1:31" ht="15" customHeight="1">
      <c r="A396" s="1711"/>
      <c r="B396" s="116">
        <v>24</v>
      </c>
      <c r="C396" s="294">
        <v>0</v>
      </c>
      <c r="D396" s="295">
        <f t="shared" si="111"/>
        <v>0</v>
      </c>
      <c r="E396" s="295">
        <f t="shared" si="111"/>
        <v>0</v>
      </c>
      <c r="F396" s="295">
        <f t="shared" si="111"/>
        <v>0</v>
      </c>
      <c r="G396" s="295">
        <f t="shared" si="111"/>
        <v>0</v>
      </c>
      <c r="H396" s="295">
        <f t="shared" si="111"/>
        <v>0</v>
      </c>
      <c r="I396" s="295">
        <f t="shared" si="111"/>
        <v>0</v>
      </c>
      <c r="J396" s="295">
        <f t="shared" si="111"/>
        <v>0</v>
      </c>
      <c r="K396" s="295">
        <f t="shared" si="111"/>
        <v>0</v>
      </c>
      <c r="L396" s="295">
        <f t="shared" si="111"/>
        <v>0</v>
      </c>
      <c r="M396" s="295">
        <f t="shared" si="111"/>
        <v>0</v>
      </c>
      <c r="N396" s="295">
        <f t="shared" si="107"/>
        <v>0</v>
      </c>
      <c r="O396" s="295">
        <f t="shared" si="107"/>
        <v>0</v>
      </c>
      <c r="P396" s="295">
        <f t="shared" si="107"/>
        <v>0</v>
      </c>
      <c r="Q396" s="295">
        <f t="shared" si="111"/>
        <v>0</v>
      </c>
      <c r="R396" s="295">
        <f t="shared" si="111"/>
        <v>0</v>
      </c>
      <c r="S396" s="295">
        <f t="shared" si="111"/>
        <v>0</v>
      </c>
      <c r="T396" s="295">
        <f t="shared" si="111"/>
        <v>2.2327372717481083E-10</v>
      </c>
      <c r="U396" s="295">
        <f t="shared" si="111"/>
        <v>2.9025584532725406E-9</v>
      </c>
      <c r="V396" s="295">
        <f t="shared" si="111"/>
        <v>8.3950921417728856E-8</v>
      </c>
      <c r="W396" s="295">
        <f t="shared" si="111"/>
        <v>2.1501259926934287E-7</v>
      </c>
      <c r="X396" s="295">
        <f t="shared" si="111"/>
        <v>1.3396423630488652E-8</v>
      </c>
      <c r="Y396" s="295">
        <f t="shared" si="111"/>
        <v>2.0094635445732966E-9</v>
      </c>
      <c r="Z396" s="295">
        <f t="shared" si="111"/>
        <v>4.4654745434962165E-10</v>
      </c>
      <c r="AA396" s="295">
        <f t="shared" si="111"/>
        <v>0</v>
      </c>
      <c r="AB396" s="295">
        <f t="shared" si="111"/>
        <v>0</v>
      </c>
      <c r="AC396" s="295">
        <f t="shared" si="111"/>
        <v>0</v>
      </c>
      <c r="AD396" s="295">
        <f t="shared" si="111"/>
        <v>0</v>
      </c>
      <c r="AE396" s="296">
        <f t="shared" si="111"/>
        <v>0</v>
      </c>
    </row>
    <row r="397" spans="1:31" ht="15.75" customHeight="1" thickBot="1">
      <c r="A397" s="1711"/>
      <c r="B397" s="116">
        <v>25</v>
      </c>
      <c r="C397" s="297">
        <v>0</v>
      </c>
      <c r="D397" s="298">
        <f t="shared" si="111"/>
        <v>0</v>
      </c>
      <c r="E397" s="298">
        <f t="shared" si="111"/>
        <v>0</v>
      </c>
      <c r="F397" s="298">
        <f t="shared" si="111"/>
        <v>0</v>
      </c>
      <c r="G397" s="298">
        <f t="shared" si="111"/>
        <v>0</v>
      </c>
      <c r="H397" s="298">
        <f t="shared" si="111"/>
        <v>0</v>
      </c>
      <c r="I397" s="298">
        <f t="shared" si="111"/>
        <v>0</v>
      </c>
      <c r="J397" s="298">
        <f t="shared" si="111"/>
        <v>0</v>
      </c>
      <c r="K397" s="298">
        <f t="shared" si="111"/>
        <v>0</v>
      </c>
      <c r="L397" s="298">
        <f t="shared" si="111"/>
        <v>0</v>
      </c>
      <c r="M397" s="298">
        <f t="shared" si="111"/>
        <v>0</v>
      </c>
      <c r="N397" s="298">
        <f t="shared" si="107"/>
        <v>0</v>
      </c>
      <c r="O397" s="298">
        <f t="shared" si="107"/>
        <v>0</v>
      </c>
      <c r="P397" s="298">
        <f t="shared" si="107"/>
        <v>0</v>
      </c>
      <c r="Q397" s="298">
        <f t="shared" si="111"/>
        <v>0</v>
      </c>
      <c r="R397" s="298">
        <f t="shared" si="111"/>
        <v>0</v>
      </c>
      <c r="S397" s="298">
        <f t="shared" si="111"/>
        <v>0</v>
      </c>
      <c r="T397" s="298">
        <f t="shared" si="111"/>
        <v>0</v>
      </c>
      <c r="U397" s="298">
        <f t="shared" si="111"/>
        <v>0</v>
      </c>
      <c r="V397" s="298">
        <f t="shared" si="111"/>
        <v>0</v>
      </c>
      <c r="W397" s="298">
        <f t="shared" si="111"/>
        <v>0</v>
      </c>
      <c r="X397" s="298">
        <f t="shared" si="111"/>
        <v>0</v>
      </c>
      <c r="Y397" s="298">
        <f t="shared" si="111"/>
        <v>0</v>
      </c>
      <c r="Z397" s="298">
        <f t="shared" si="111"/>
        <v>0</v>
      </c>
      <c r="AA397" s="298">
        <f t="shared" si="111"/>
        <v>0</v>
      </c>
      <c r="AB397" s="298">
        <f t="shared" si="111"/>
        <v>0</v>
      </c>
      <c r="AC397" s="298">
        <f t="shared" si="111"/>
        <v>0</v>
      </c>
      <c r="AD397" s="298">
        <f t="shared" si="111"/>
        <v>0</v>
      </c>
      <c r="AE397" s="299">
        <f t="shared" si="111"/>
        <v>0</v>
      </c>
    </row>
    <row r="398" spans="1:31" ht="16.5" customHeight="1" thickTop="1" thickBot="1">
      <c r="A398" s="1712"/>
      <c r="B398" s="300" t="s">
        <v>39</v>
      </c>
      <c r="C398" s="301">
        <f>SUM(C372:C397)</f>
        <v>1424</v>
      </c>
      <c r="D398" s="301">
        <f>SUM(D372:D397)</f>
        <v>1424</v>
      </c>
      <c r="E398" s="301">
        <f t="shared" ref="E398:AB398" si="112">SUM(E372:E397)</f>
        <v>1423.9729697855835</v>
      </c>
      <c r="F398" s="301">
        <f t="shared" si="112"/>
        <v>1423.5071102649952</v>
      </c>
      <c r="G398" s="301">
        <f t="shared" si="112"/>
        <v>1411.6552409946016</v>
      </c>
      <c r="H398" s="301">
        <f t="shared" si="112"/>
        <v>1339.7403043625548</v>
      </c>
      <c r="I398" s="301">
        <f t="shared" si="112"/>
        <v>1149.2023967334064</v>
      </c>
      <c r="J398" s="301">
        <f t="shared" si="112"/>
        <v>856.19413384642462</v>
      </c>
      <c r="K398" s="301">
        <f t="shared" si="112"/>
        <v>533.98519990565296</v>
      </c>
      <c r="L398" s="301">
        <f t="shared" si="112"/>
        <v>272.36297523138597</v>
      </c>
      <c r="M398" s="301">
        <f t="shared" si="112"/>
        <v>111.36820532480084</v>
      </c>
      <c r="N398" s="301">
        <f t="shared" si="112"/>
        <v>36.199133134781889</v>
      </c>
      <c r="O398" s="301">
        <f t="shared" si="112"/>
        <v>10.477162460434251</v>
      </c>
      <c r="P398" s="301">
        <f t="shared" si="112"/>
        <v>2.7051179094072912</v>
      </c>
      <c r="Q398" s="301">
        <f t="shared" si="112"/>
        <v>0.61804483704822644</v>
      </c>
      <c r="R398" s="301">
        <f t="shared" si="112"/>
        <v>0.12463559351724955</v>
      </c>
      <c r="S398" s="301">
        <f t="shared" si="112"/>
        <v>2.1932479330898078E-2</v>
      </c>
      <c r="T398" s="301">
        <f t="shared" si="112"/>
        <v>3.3296402781056353E-3</v>
      </c>
      <c r="U398" s="301">
        <f t="shared" si="112"/>
        <v>4.3163241252917926E-4</v>
      </c>
      <c r="V398" s="301">
        <f t="shared" si="112"/>
        <v>4.7352700242032846E-5</v>
      </c>
      <c r="W398" s="301">
        <f t="shared" si="112"/>
        <v>4.3364311197724894E-6</v>
      </c>
      <c r="X398" s="301">
        <f t="shared" si="112"/>
        <v>3.1819990470327129E-7</v>
      </c>
      <c r="Y398" s="301">
        <f t="shared" si="112"/>
        <v>1.6620962091193074E-8</v>
      </c>
      <c r="Z398" s="301">
        <f t="shared" si="112"/>
        <v>4.4654745434962165E-10</v>
      </c>
      <c r="AA398" s="301">
        <f t="shared" si="112"/>
        <v>0</v>
      </c>
      <c r="AB398" s="301">
        <f t="shared" si="112"/>
        <v>0</v>
      </c>
      <c r="AC398" s="301">
        <f>SUM(AC372:AC397)</f>
        <v>0</v>
      </c>
      <c r="AD398" s="301">
        <f t="shared" ref="AD398:AE398" si="113">SUM(AD372:AD397)</f>
        <v>0</v>
      </c>
      <c r="AE398" s="302">
        <f t="shared" si="113"/>
        <v>0</v>
      </c>
    </row>
    <row r="399" spans="1:31" ht="15.75" thickBot="1"/>
    <row r="400" spans="1:31" ht="15.75" customHeight="1" thickBot="1">
      <c r="A400" s="1710" t="s">
        <v>53</v>
      </c>
      <c r="B400" s="169" t="s">
        <v>10</v>
      </c>
      <c r="C400" s="288">
        <v>2012</v>
      </c>
      <c r="D400" s="289">
        <v>2013</v>
      </c>
      <c r="E400" s="289">
        <v>2014</v>
      </c>
      <c r="F400" s="289">
        <v>2015</v>
      </c>
      <c r="G400" s="288">
        <v>2016</v>
      </c>
      <c r="H400" s="289">
        <v>2017</v>
      </c>
      <c r="I400" s="289">
        <v>2018</v>
      </c>
      <c r="J400" s="289">
        <v>2019</v>
      </c>
      <c r="K400" s="288">
        <v>2020</v>
      </c>
      <c r="L400" s="289">
        <v>2021</v>
      </c>
      <c r="M400" s="289">
        <v>2022</v>
      </c>
      <c r="N400" s="289">
        <v>2023</v>
      </c>
      <c r="O400" s="288">
        <v>2024</v>
      </c>
      <c r="P400" s="289">
        <v>2025</v>
      </c>
      <c r="Q400" s="289">
        <v>2026</v>
      </c>
      <c r="R400" s="289">
        <v>2027</v>
      </c>
      <c r="S400" s="288">
        <v>2028</v>
      </c>
      <c r="T400" s="289">
        <v>2029</v>
      </c>
      <c r="U400" s="289">
        <v>2030</v>
      </c>
      <c r="V400" s="289">
        <v>2031</v>
      </c>
      <c r="W400" s="288">
        <v>2032</v>
      </c>
      <c r="X400" s="289">
        <v>2033</v>
      </c>
      <c r="Y400" s="289">
        <v>2034</v>
      </c>
      <c r="Z400" s="289">
        <v>2035</v>
      </c>
      <c r="AA400" s="288">
        <v>2036</v>
      </c>
      <c r="AB400" s="289">
        <v>2037</v>
      </c>
      <c r="AC400" s="289">
        <v>2038</v>
      </c>
      <c r="AD400" s="289">
        <v>2039</v>
      </c>
      <c r="AE400" s="290">
        <v>2040</v>
      </c>
    </row>
    <row r="401" spans="1:31" ht="15" customHeight="1">
      <c r="A401" s="1711"/>
      <c r="B401" s="116">
        <v>0</v>
      </c>
      <c r="C401" s="291">
        <f t="shared" ref="C401:C416" si="114">W4</f>
        <v>0</v>
      </c>
      <c r="D401" s="292">
        <f>0</f>
        <v>0</v>
      </c>
      <c r="E401" s="292">
        <f>0</f>
        <v>0</v>
      </c>
      <c r="F401" s="292">
        <f>0</f>
        <v>0</v>
      </c>
      <c r="G401" s="292">
        <f>0</f>
        <v>0</v>
      </c>
      <c r="H401" s="292">
        <f>0</f>
        <v>0</v>
      </c>
      <c r="I401" s="292">
        <f>0</f>
        <v>0</v>
      </c>
      <c r="J401" s="292">
        <f>0</f>
        <v>0</v>
      </c>
      <c r="K401" s="292">
        <f>0</f>
        <v>0</v>
      </c>
      <c r="L401" s="292">
        <f>0</f>
        <v>0</v>
      </c>
      <c r="M401" s="292">
        <f>0</f>
        <v>0</v>
      </c>
      <c r="N401" s="292">
        <f>0</f>
        <v>0</v>
      </c>
      <c r="O401" s="292">
        <f>0</f>
        <v>0</v>
      </c>
      <c r="P401" s="292">
        <f>0</f>
        <v>0</v>
      </c>
      <c r="Q401" s="292">
        <f>0</f>
        <v>0</v>
      </c>
      <c r="R401" s="292">
        <f>0</f>
        <v>0</v>
      </c>
      <c r="S401" s="292">
        <f>0</f>
        <v>0</v>
      </c>
      <c r="T401" s="292">
        <f>0</f>
        <v>0</v>
      </c>
      <c r="U401" s="292">
        <f>0</f>
        <v>0</v>
      </c>
      <c r="V401" s="292">
        <f>0</f>
        <v>0</v>
      </c>
      <c r="W401" s="292">
        <f>0</f>
        <v>0</v>
      </c>
      <c r="X401" s="292">
        <f>0</f>
        <v>0</v>
      </c>
      <c r="Y401" s="292">
        <f>0</f>
        <v>0</v>
      </c>
      <c r="Z401" s="292">
        <f>0</f>
        <v>0</v>
      </c>
      <c r="AA401" s="292">
        <f>0</f>
        <v>0</v>
      </c>
      <c r="AB401" s="292">
        <f>0</f>
        <v>0</v>
      </c>
      <c r="AC401" s="292">
        <f>0</f>
        <v>0</v>
      </c>
      <c r="AD401" s="292">
        <f>0</f>
        <v>0</v>
      </c>
      <c r="AE401" s="293">
        <f>0</f>
        <v>0</v>
      </c>
    </row>
    <row r="402" spans="1:31" ht="15" customHeight="1">
      <c r="A402" s="1711"/>
      <c r="B402" s="116">
        <v>1</v>
      </c>
      <c r="C402" s="294">
        <f t="shared" si="114"/>
        <v>0</v>
      </c>
      <c r="D402" s="295">
        <f t="shared" ref="D402:AE411" si="115">C401*$C26</f>
        <v>0</v>
      </c>
      <c r="E402" s="295">
        <f t="shared" si="115"/>
        <v>0</v>
      </c>
      <c r="F402" s="295">
        <f t="shared" si="115"/>
        <v>0</v>
      </c>
      <c r="G402" s="295">
        <f t="shared" si="115"/>
        <v>0</v>
      </c>
      <c r="H402" s="295">
        <f t="shared" si="115"/>
        <v>0</v>
      </c>
      <c r="I402" s="295">
        <f t="shared" si="115"/>
        <v>0</v>
      </c>
      <c r="J402" s="295">
        <f t="shared" si="115"/>
        <v>0</v>
      </c>
      <c r="K402" s="295">
        <f t="shared" si="115"/>
        <v>0</v>
      </c>
      <c r="L402" s="295">
        <f t="shared" si="115"/>
        <v>0</v>
      </c>
      <c r="M402" s="295">
        <f t="shared" si="115"/>
        <v>0</v>
      </c>
      <c r="N402" s="295">
        <f t="shared" ref="N402:P426" si="116">M401*$C26</f>
        <v>0</v>
      </c>
      <c r="O402" s="295">
        <f t="shared" si="116"/>
        <v>0</v>
      </c>
      <c r="P402" s="295">
        <f t="shared" si="116"/>
        <v>0</v>
      </c>
      <c r="Q402" s="295">
        <f t="shared" si="115"/>
        <v>0</v>
      </c>
      <c r="R402" s="295">
        <f t="shared" si="115"/>
        <v>0</v>
      </c>
      <c r="S402" s="295">
        <f t="shared" si="115"/>
        <v>0</v>
      </c>
      <c r="T402" s="295">
        <f t="shared" si="115"/>
        <v>0</v>
      </c>
      <c r="U402" s="295">
        <f t="shared" si="115"/>
        <v>0</v>
      </c>
      <c r="V402" s="295">
        <f t="shared" si="115"/>
        <v>0</v>
      </c>
      <c r="W402" s="295">
        <f t="shared" si="115"/>
        <v>0</v>
      </c>
      <c r="X402" s="295">
        <f t="shared" si="115"/>
        <v>0</v>
      </c>
      <c r="Y402" s="295">
        <f t="shared" si="115"/>
        <v>0</v>
      </c>
      <c r="Z402" s="295">
        <f t="shared" si="115"/>
        <v>0</v>
      </c>
      <c r="AA402" s="295">
        <f t="shared" si="115"/>
        <v>0</v>
      </c>
      <c r="AB402" s="295">
        <f t="shared" si="115"/>
        <v>0</v>
      </c>
      <c r="AC402" s="295">
        <f t="shared" si="115"/>
        <v>0</v>
      </c>
      <c r="AD402" s="295">
        <f t="shared" si="115"/>
        <v>0</v>
      </c>
      <c r="AE402" s="296">
        <f t="shared" si="115"/>
        <v>0</v>
      </c>
    </row>
    <row r="403" spans="1:31" ht="15" customHeight="1">
      <c r="A403" s="1711"/>
      <c r="B403" s="116">
        <v>2</v>
      </c>
      <c r="C403" s="294">
        <f t="shared" si="114"/>
        <v>0</v>
      </c>
      <c r="D403" s="295">
        <f t="shared" si="115"/>
        <v>0</v>
      </c>
      <c r="E403" s="295">
        <f t="shared" si="115"/>
        <v>0</v>
      </c>
      <c r="F403" s="295">
        <f t="shared" si="115"/>
        <v>0</v>
      </c>
      <c r="G403" s="295">
        <f t="shared" si="115"/>
        <v>0</v>
      </c>
      <c r="H403" s="295">
        <f t="shared" si="115"/>
        <v>0</v>
      </c>
      <c r="I403" s="295">
        <f t="shared" si="115"/>
        <v>0</v>
      </c>
      <c r="J403" s="295">
        <f t="shared" si="115"/>
        <v>0</v>
      </c>
      <c r="K403" s="295">
        <f t="shared" si="115"/>
        <v>0</v>
      </c>
      <c r="L403" s="295">
        <f t="shared" si="115"/>
        <v>0</v>
      </c>
      <c r="M403" s="295">
        <f t="shared" si="115"/>
        <v>0</v>
      </c>
      <c r="N403" s="295">
        <f t="shared" si="116"/>
        <v>0</v>
      </c>
      <c r="O403" s="295">
        <f t="shared" si="116"/>
        <v>0</v>
      </c>
      <c r="P403" s="295">
        <f t="shared" si="116"/>
        <v>0</v>
      </c>
      <c r="Q403" s="295">
        <f t="shared" si="115"/>
        <v>0</v>
      </c>
      <c r="R403" s="295">
        <f t="shared" si="115"/>
        <v>0</v>
      </c>
      <c r="S403" s="295">
        <f t="shared" si="115"/>
        <v>0</v>
      </c>
      <c r="T403" s="295">
        <f t="shared" si="115"/>
        <v>0</v>
      </c>
      <c r="U403" s="295">
        <f t="shared" si="115"/>
        <v>0</v>
      </c>
      <c r="V403" s="295">
        <f t="shared" si="115"/>
        <v>0</v>
      </c>
      <c r="W403" s="295">
        <f t="shared" si="115"/>
        <v>0</v>
      </c>
      <c r="X403" s="295">
        <f t="shared" si="115"/>
        <v>0</v>
      </c>
      <c r="Y403" s="295">
        <f t="shared" si="115"/>
        <v>0</v>
      </c>
      <c r="Z403" s="295">
        <f t="shared" si="115"/>
        <v>0</v>
      </c>
      <c r="AA403" s="295">
        <f t="shared" si="115"/>
        <v>0</v>
      </c>
      <c r="AB403" s="295">
        <f t="shared" si="115"/>
        <v>0</v>
      </c>
      <c r="AC403" s="295">
        <f t="shared" si="115"/>
        <v>0</v>
      </c>
      <c r="AD403" s="295">
        <f t="shared" si="115"/>
        <v>0</v>
      </c>
      <c r="AE403" s="296">
        <f t="shared" si="115"/>
        <v>0</v>
      </c>
    </row>
    <row r="404" spans="1:31" ht="15" customHeight="1">
      <c r="A404" s="1711"/>
      <c r="B404" s="116">
        <v>3</v>
      </c>
      <c r="C404" s="294">
        <f t="shared" si="114"/>
        <v>0</v>
      </c>
      <c r="D404" s="295">
        <f t="shared" si="115"/>
        <v>0</v>
      </c>
      <c r="E404" s="295">
        <f t="shared" si="115"/>
        <v>0</v>
      </c>
      <c r="F404" s="295">
        <f t="shared" si="115"/>
        <v>0</v>
      </c>
      <c r="G404" s="295">
        <f t="shared" si="115"/>
        <v>0</v>
      </c>
      <c r="H404" s="295">
        <f t="shared" si="115"/>
        <v>0</v>
      </c>
      <c r="I404" s="295">
        <f t="shared" si="115"/>
        <v>0</v>
      </c>
      <c r="J404" s="295">
        <f t="shared" si="115"/>
        <v>0</v>
      </c>
      <c r="K404" s="295">
        <f t="shared" si="115"/>
        <v>0</v>
      </c>
      <c r="L404" s="295">
        <f t="shared" si="115"/>
        <v>0</v>
      </c>
      <c r="M404" s="295">
        <f t="shared" si="115"/>
        <v>0</v>
      </c>
      <c r="N404" s="295">
        <f t="shared" si="116"/>
        <v>0</v>
      </c>
      <c r="O404" s="295">
        <f t="shared" si="116"/>
        <v>0</v>
      </c>
      <c r="P404" s="295">
        <f t="shared" si="116"/>
        <v>0</v>
      </c>
      <c r="Q404" s="295">
        <f t="shared" si="115"/>
        <v>0</v>
      </c>
      <c r="R404" s="295">
        <f t="shared" si="115"/>
        <v>0</v>
      </c>
      <c r="S404" s="295">
        <f t="shared" si="115"/>
        <v>0</v>
      </c>
      <c r="T404" s="295">
        <f t="shared" si="115"/>
        <v>0</v>
      </c>
      <c r="U404" s="295">
        <f t="shared" si="115"/>
        <v>0</v>
      </c>
      <c r="V404" s="295">
        <f t="shared" si="115"/>
        <v>0</v>
      </c>
      <c r="W404" s="295">
        <f t="shared" si="115"/>
        <v>0</v>
      </c>
      <c r="X404" s="295">
        <f t="shared" si="115"/>
        <v>0</v>
      </c>
      <c r="Y404" s="295">
        <f t="shared" si="115"/>
        <v>0</v>
      </c>
      <c r="Z404" s="295">
        <f t="shared" si="115"/>
        <v>0</v>
      </c>
      <c r="AA404" s="295">
        <f t="shared" si="115"/>
        <v>0</v>
      </c>
      <c r="AB404" s="295">
        <f t="shared" si="115"/>
        <v>0</v>
      </c>
      <c r="AC404" s="295">
        <f t="shared" si="115"/>
        <v>0</v>
      </c>
      <c r="AD404" s="295">
        <f t="shared" si="115"/>
        <v>0</v>
      </c>
      <c r="AE404" s="296">
        <f t="shared" si="115"/>
        <v>0</v>
      </c>
    </row>
    <row r="405" spans="1:31" ht="15" customHeight="1">
      <c r="A405" s="1711"/>
      <c r="B405" s="116">
        <v>4</v>
      </c>
      <c r="C405" s="294">
        <f t="shared" si="114"/>
        <v>0</v>
      </c>
      <c r="D405" s="295">
        <f t="shared" si="115"/>
        <v>0</v>
      </c>
      <c r="E405" s="295">
        <f t="shared" si="115"/>
        <v>0</v>
      </c>
      <c r="F405" s="295">
        <f t="shared" si="115"/>
        <v>0</v>
      </c>
      <c r="G405" s="295">
        <f t="shared" si="115"/>
        <v>0</v>
      </c>
      <c r="H405" s="295">
        <f t="shared" si="115"/>
        <v>0</v>
      </c>
      <c r="I405" s="295">
        <f t="shared" si="115"/>
        <v>0</v>
      </c>
      <c r="J405" s="295">
        <f t="shared" si="115"/>
        <v>0</v>
      </c>
      <c r="K405" s="295">
        <f t="shared" si="115"/>
        <v>0</v>
      </c>
      <c r="L405" s="295">
        <f t="shared" si="115"/>
        <v>0</v>
      </c>
      <c r="M405" s="295">
        <f t="shared" si="115"/>
        <v>0</v>
      </c>
      <c r="N405" s="295">
        <f t="shared" si="116"/>
        <v>0</v>
      </c>
      <c r="O405" s="295">
        <f t="shared" si="116"/>
        <v>0</v>
      </c>
      <c r="P405" s="295">
        <f t="shared" si="116"/>
        <v>0</v>
      </c>
      <c r="Q405" s="295">
        <f t="shared" si="115"/>
        <v>0</v>
      </c>
      <c r="R405" s="295">
        <f t="shared" si="115"/>
        <v>0</v>
      </c>
      <c r="S405" s="295">
        <f t="shared" si="115"/>
        <v>0</v>
      </c>
      <c r="T405" s="295">
        <f t="shared" si="115"/>
        <v>0</v>
      </c>
      <c r="U405" s="295">
        <f t="shared" si="115"/>
        <v>0</v>
      </c>
      <c r="V405" s="295">
        <f t="shared" si="115"/>
        <v>0</v>
      </c>
      <c r="W405" s="295">
        <f t="shared" si="115"/>
        <v>0</v>
      </c>
      <c r="X405" s="295">
        <f t="shared" si="115"/>
        <v>0</v>
      </c>
      <c r="Y405" s="295">
        <f t="shared" si="115"/>
        <v>0</v>
      </c>
      <c r="Z405" s="295">
        <f t="shared" si="115"/>
        <v>0</v>
      </c>
      <c r="AA405" s="295">
        <f t="shared" si="115"/>
        <v>0</v>
      </c>
      <c r="AB405" s="295">
        <f t="shared" si="115"/>
        <v>0</v>
      </c>
      <c r="AC405" s="295">
        <f t="shared" si="115"/>
        <v>0</v>
      </c>
      <c r="AD405" s="295">
        <f t="shared" si="115"/>
        <v>0</v>
      </c>
      <c r="AE405" s="296">
        <f t="shared" si="115"/>
        <v>0</v>
      </c>
    </row>
    <row r="406" spans="1:31" ht="15" customHeight="1">
      <c r="A406" s="1711"/>
      <c r="B406" s="116">
        <v>5</v>
      </c>
      <c r="C406" s="294">
        <f t="shared" si="114"/>
        <v>0</v>
      </c>
      <c r="D406" s="295">
        <f t="shared" si="115"/>
        <v>0</v>
      </c>
      <c r="E406" s="295">
        <f t="shared" si="115"/>
        <v>0</v>
      </c>
      <c r="F406" s="295">
        <f t="shared" si="115"/>
        <v>0</v>
      </c>
      <c r="G406" s="295">
        <f t="shared" si="115"/>
        <v>0</v>
      </c>
      <c r="H406" s="295">
        <f t="shared" si="115"/>
        <v>0</v>
      </c>
      <c r="I406" s="295">
        <f t="shared" si="115"/>
        <v>0</v>
      </c>
      <c r="J406" s="295">
        <f t="shared" si="115"/>
        <v>0</v>
      </c>
      <c r="K406" s="295">
        <f t="shared" si="115"/>
        <v>0</v>
      </c>
      <c r="L406" s="295">
        <f t="shared" si="115"/>
        <v>0</v>
      </c>
      <c r="M406" s="295">
        <f t="shared" si="115"/>
        <v>0</v>
      </c>
      <c r="N406" s="295">
        <f t="shared" si="116"/>
        <v>0</v>
      </c>
      <c r="O406" s="295">
        <f t="shared" si="116"/>
        <v>0</v>
      </c>
      <c r="P406" s="295">
        <f t="shared" si="116"/>
        <v>0</v>
      </c>
      <c r="Q406" s="295">
        <f t="shared" si="115"/>
        <v>0</v>
      </c>
      <c r="R406" s="295">
        <f t="shared" si="115"/>
        <v>0</v>
      </c>
      <c r="S406" s="295">
        <f t="shared" si="115"/>
        <v>0</v>
      </c>
      <c r="T406" s="295">
        <f t="shared" si="115"/>
        <v>0</v>
      </c>
      <c r="U406" s="295">
        <f t="shared" si="115"/>
        <v>0</v>
      </c>
      <c r="V406" s="295">
        <f t="shared" si="115"/>
        <v>0</v>
      </c>
      <c r="W406" s="295">
        <f t="shared" si="115"/>
        <v>0</v>
      </c>
      <c r="X406" s="295">
        <f t="shared" si="115"/>
        <v>0</v>
      </c>
      <c r="Y406" s="295">
        <f t="shared" si="115"/>
        <v>0</v>
      </c>
      <c r="Z406" s="295">
        <f t="shared" si="115"/>
        <v>0</v>
      </c>
      <c r="AA406" s="295">
        <f t="shared" si="115"/>
        <v>0</v>
      </c>
      <c r="AB406" s="295">
        <f t="shared" si="115"/>
        <v>0</v>
      </c>
      <c r="AC406" s="295">
        <f t="shared" si="115"/>
        <v>0</v>
      </c>
      <c r="AD406" s="295">
        <f t="shared" si="115"/>
        <v>0</v>
      </c>
      <c r="AE406" s="296">
        <f t="shared" si="115"/>
        <v>0</v>
      </c>
    </row>
    <row r="407" spans="1:31" ht="15" customHeight="1">
      <c r="A407" s="1711"/>
      <c r="B407" s="116">
        <v>6</v>
      </c>
      <c r="C407" s="294">
        <f t="shared" si="114"/>
        <v>0</v>
      </c>
      <c r="D407" s="295">
        <f t="shared" si="115"/>
        <v>0</v>
      </c>
      <c r="E407" s="295">
        <f t="shared" si="115"/>
        <v>0</v>
      </c>
      <c r="F407" s="295">
        <f t="shared" si="115"/>
        <v>0</v>
      </c>
      <c r="G407" s="295">
        <f t="shared" si="115"/>
        <v>0</v>
      </c>
      <c r="H407" s="295">
        <f t="shared" si="115"/>
        <v>0</v>
      </c>
      <c r="I407" s="295">
        <f t="shared" si="115"/>
        <v>0</v>
      </c>
      <c r="J407" s="295">
        <f t="shared" si="115"/>
        <v>0</v>
      </c>
      <c r="K407" s="295">
        <f t="shared" si="115"/>
        <v>0</v>
      </c>
      <c r="L407" s="295">
        <f t="shared" si="115"/>
        <v>0</v>
      </c>
      <c r="M407" s="295">
        <f t="shared" si="115"/>
        <v>0</v>
      </c>
      <c r="N407" s="295">
        <f t="shared" si="116"/>
        <v>0</v>
      </c>
      <c r="O407" s="295">
        <f t="shared" si="116"/>
        <v>0</v>
      </c>
      <c r="P407" s="295">
        <f t="shared" si="116"/>
        <v>0</v>
      </c>
      <c r="Q407" s="295">
        <f t="shared" si="115"/>
        <v>0</v>
      </c>
      <c r="R407" s="295">
        <f t="shared" si="115"/>
        <v>0</v>
      </c>
      <c r="S407" s="295">
        <f t="shared" si="115"/>
        <v>0</v>
      </c>
      <c r="T407" s="295">
        <f t="shared" si="115"/>
        <v>0</v>
      </c>
      <c r="U407" s="295">
        <f t="shared" si="115"/>
        <v>0</v>
      </c>
      <c r="V407" s="295">
        <f t="shared" si="115"/>
        <v>0</v>
      </c>
      <c r="W407" s="295">
        <f t="shared" si="115"/>
        <v>0</v>
      </c>
      <c r="X407" s="295">
        <f t="shared" si="115"/>
        <v>0</v>
      </c>
      <c r="Y407" s="295">
        <f t="shared" si="115"/>
        <v>0</v>
      </c>
      <c r="Z407" s="295">
        <f t="shared" si="115"/>
        <v>0</v>
      </c>
      <c r="AA407" s="295">
        <f t="shared" si="115"/>
        <v>0</v>
      </c>
      <c r="AB407" s="295">
        <f t="shared" si="115"/>
        <v>0</v>
      </c>
      <c r="AC407" s="295">
        <f t="shared" si="115"/>
        <v>0</v>
      </c>
      <c r="AD407" s="295">
        <f t="shared" si="115"/>
        <v>0</v>
      </c>
      <c r="AE407" s="296">
        <f t="shared" si="115"/>
        <v>0</v>
      </c>
    </row>
    <row r="408" spans="1:31" ht="15" customHeight="1">
      <c r="A408" s="1711"/>
      <c r="B408" s="116">
        <v>7</v>
      </c>
      <c r="C408" s="294">
        <f t="shared" si="114"/>
        <v>0</v>
      </c>
      <c r="D408" s="295">
        <f t="shared" si="115"/>
        <v>0</v>
      </c>
      <c r="E408" s="295">
        <f t="shared" si="115"/>
        <v>0</v>
      </c>
      <c r="F408" s="295">
        <f t="shared" si="115"/>
        <v>0</v>
      </c>
      <c r="G408" s="295">
        <f t="shared" si="115"/>
        <v>0</v>
      </c>
      <c r="H408" s="295">
        <f t="shared" si="115"/>
        <v>0</v>
      </c>
      <c r="I408" s="295">
        <f t="shared" si="115"/>
        <v>0</v>
      </c>
      <c r="J408" s="295">
        <f t="shared" si="115"/>
        <v>0</v>
      </c>
      <c r="K408" s="295">
        <f t="shared" si="115"/>
        <v>0</v>
      </c>
      <c r="L408" s="295">
        <f t="shared" si="115"/>
        <v>0</v>
      </c>
      <c r="M408" s="295">
        <f t="shared" si="115"/>
        <v>0</v>
      </c>
      <c r="N408" s="295">
        <f t="shared" si="116"/>
        <v>0</v>
      </c>
      <c r="O408" s="295">
        <f t="shared" si="116"/>
        <v>0</v>
      </c>
      <c r="P408" s="295">
        <f t="shared" si="116"/>
        <v>0</v>
      </c>
      <c r="Q408" s="295">
        <f t="shared" si="115"/>
        <v>0</v>
      </c>
      <c r="R408" s="295">
        <f t="shared" si="115"/>
        <v>0</v>
      </c>
      <c r="S408" s="295">
        <f t="shared" si="115"/>
        <v>0</v>
      </c>
      <c r="T408" s="295">
        <f t="shared" si="115"/>
        <v>0</v>
      </c>
      <c r="U408" s="295">
        <f t="shared" si="115"/>
        <v>0</v>
      </c>
      <c r="V408" s="295">
        <f t="shared" si="115"/>
        <v>0</v>
      </c>
      <c r="W408" s="295">
        <f t="shared" si="115"/>
        <v>0</v>
      </c>
      <c r="X408" s="295">
        <f t="shared" si="115"/>
        <v>0</v>
      </c>
      <c r="Y408" s="295">
        <f t="shared" si="115"/>
        <v>0</v>
      </c>
      <c r="Z408" s="295">
        <f t="shared" si="115"/>
        <v>0</v>
      </c>
      <c r="AA408" s="295">
        <f t="shared" si="115"/>
        <v>0</v>
      </c>
      <c r="AB408" s="295">
        <f t="shared" si="115"/>
        <v>0</v>
      </c>
      <c r="AC408" s="295">
        <f t="shared" si="115"/>
        <v>0</v>
      </c>
      <c r="AD408" s="295">
        <f t="shared" si="115"/>
        <v>0</v>
      </c>
      <c r="AE408" s="296">
        <f t="shared" si="115"/>
        <v>0</v>
      </c>
    </row>
    <row r="409" spans="1:31" ht="15" customHeight="1">
      <c r="A409" s="1711"/>
      <c r="B409" s="116">
        <v>8</v>
      </c>
      <c r="C409" s="294">
        <f t="shared" si="114"/>
        <v>0</v>
      </c>
      <c r="D409" s="295">
        <f t="shared" si="115"/>
        <v>0</v>
      </c>
      <c r="E409" s="295">
        <f t="shared" si="115"/>
        <v>0</v>
      </c>
      <c r="F409" s="295">
        <f t="shared" si="115"/>
        <v>0</v>
      </c>
      <c r="G409" s="295">
        <f t="shared" si="115"/>
        <v>0</v>
      </c>
      <c r="H409" s="295">
        <f t="shared" si="115"/>
        <v>0</v>
      </c>
      <c r="I409" s="295">
        <f t="shared" si="115"/>
        <v>0</v>
      </c>
      <c r="J409" s="295">
        <f t="shared" si="115"/>
        <v>0</v>
      </c>
      <c r="K409" s="295">
        <f t="shared" si="115"/>
        <v>0</v>
      </c>
      <c r="L409" s="295">
        <f t="shared" si="115"/>
        <v>0</v>
      </c>
      <c r="M409" s="295">
        <f t="shared" si="115"/>
        <v>0</v>
      </c>
      <c r="N409" s="295">
        <f t="shared" si="116"/>
        <v>0</v>
      </c>
      <c r="O409" s="295">
        <f t="shared" si="116"/>
        <v>0</v>
      </c>
      <c r="P409" s="295">
        <f t="shared" si="116"/>
        <v>0</v>
      </c>
      <c r="Q409" s="295">
        <f t="shared" si="115"/>
        <v>0</v>
      </c>
      <c r="R409" s="295">
        <f t="shared" si="115"/>
        <v>0</v>
      </c>
      <c r="S409" s="295">
        <f t="shared" si="115"/>
        <v>0</v>
      </c>
      <c r="T409" s="295">
        <f t="shared" si="115"/>
        <v>0</v>
      </c>
      <c r="U409" s="295">
        <f t="shared" si="115"/>
        <v>0</v>
      </c>
      <c r="V409" s="295">
        <f t="shared" si="115"/>
        <v>0</v>
      </c>
      <c r="W409" s="295">
        <f t="shared" si="115"/>
        <v>0</v>
      </c>
      <c r="X409" s="295">
        <f t="shared" si="115"/>
        <v>0</v>
      </c>
      <c r="Y409" s="295">
        <f t="shared" si="115"/>
        <v>0</v>
      </c>
      <c r="Z409" s="295">
        <f t="shared" si="115"/>
        <v>0</v>
      </c>
      <c r="AA409" s="295">
        <f t="shared" si="115"/>
        <v>0</v>
      </c>
      <c r="AB409" s="295">
        <f t="shared" si="115"/>
        <v>0</v>
      </c>
      <c r="AC409" s="295">
        <f t="shared" si="115"/>
        <v>0</v>
      </c>
      <c r="AD409" s="295">
        <f t="shared" si="115"/>
        <v>0</v>
      </c>
      <c r="AE409" s="296">
        <f t="shared" si="115"/>
        <v>0</v>
      </c>
    </row>
    <row r="410" spans="1:31" ht="15" customHeight="1">
      <c r="A410" s="1711"/>
      <c r="B410" s="116">
        <v>9</v>
      </c>
      <c r="C410" s="294">
        <f t="shared" si="114"/>
        <v>0</v>
      </c>
      <c r="D410" s="295">
        <f t="shared" si="115"/>
        <v>0</v>
      </c>
      <c r="E410" s="295">
        <f t="shared" si="115"/>
        <v>0</v>
      </c>
      <c r="F410" s="295">
        <f t="shared" si="115"/>
        <v>0</v>
      </c>
      <c r="G410" s="295">
        <f t="shared" si="115"/>
        <v>0</v>
      </c>
      <c r="H410" s="295">
        <f t="shared" si="115"/>
        <v>0</v>
      </c>
      <c r="I410" s="295">
        <f t="shared" si="115"/>
        <v>0</v>
      </c>
      <c r="J410" s="295">
        <f t="shared" si="115"/>
        <v>0</v>
      </c>
      <c r="K410" s="295">
        <f t="shared" si="115"/>
        <v>0</v>
      </c>
      <c r="L410" s="295">
        <f t="shared" si="115"/>
        <v>0</v>
      </c>
      <c r="M410" s="295">
        <f t="shared" si="115"/>
        <v>0</v>
      </c>
      <c r="N410" s="295">
        <f t="shared" si="116"/>
        <v>0</v>
      </c>
      <c r="O410" s="295">
        <f t="shared" si="116"/>
        <v>0</v>
      </c>
      <c r="P410" s="295">
        <f t="shared" si="116"/>
        <v>0</v>
      </c>
      <c r="Q410" s="295">
        <f t="shared" si="115"/>
        <v>0</v>
      </c>
      <c r="R410" s="295">
        <f t="shared" si="115"/>
        <v>0</v>
      </c>
      <c r="S410" s="295">
        <f t="shared" si="115"/>
        <v>0</v>
      </c>
      <c r="T410" s="295">
        <f t="shared" si="115"/>
        <v>0</v>
      </c>
      <c r="U410" s="295">
        <f t="shared" si="115"/>
        <v>0</v>
      </c>
      <c r="V410" s="295">
        <f t="shared" si="115"/>
        <v>0</v>
      </c>
      <c r="W410" s="295">
        <f t="shared" si="115"/>
        <v>0</v>
      </c>
      <c r="X410" s="295">
        <f t="shared" si="115"/>
        <v>0</v>
      </c>
      <c r="Y410" s="295">
        <f t="shared" si="115"/>
        <v>0</v>
      </c>
      <c r="Z410" s="295">
        <f t="shared" si="115"/>
        <v>0</v>
      </c>
      <c r="AA410" s="295">
        <f t="shared" si="115"/>
        <v>0</v>
      </c>
      <c r="AB410" s="295">
        <f t="shared" si="115"/>
        <v>0</v>
      </c>
      <c r="AC410" s="295">
        <f t="shared" si="115"/>
        <v>0</v>
      </c>
      <c r="AD410" s="295">
        <f t="shared" si="115"/>
        <v>0</v>
      </c>
      <c r="AE410" s="296">
        <f t="shared" si="115"/>
        <v>0</v>
      </c>
    </row>
    <row r="411" spans="1:31" ht="15" customHeight="1">
      <c r="A411" s="1711"/>
      <c r="B411" s="116">
        <v>10</v>
      </c>
      <c r="C411" s="294">
        <f t="shared" si="114"/>
        <v>0</v>
      </c>
      <c r="D411" s="295">
        <f t="shared" si="115"/>
        <v>0</v>
      </c>
      <c r="E411" s="295">
        <f t="shared" si="115"/>
        <v>0</v>
      </c>
      <c r="F411" s="295">
        <f t="shared" si="115"/>
        <v>0</v>
      </c>
      <c r="G411" s="295">
        <f t="shared" ref="G411:AE411" si="117">F410*$C35</f>
        <v>0</v>
      </c>
      <c r="H411" s="295">
        <f t="shared" si="117"/>
        <v>0</v>
      </c>
      <c r="I411" s="295">
        <f t="shared" si="117"/>
        <v>0</v>
      </c>
      <c r="J411" s="295">
        <f t="shared" si="117"/>
        <v>0</v>
      </c>
      <c r="K411" s="295">
        <f t="shared" si="117"/>
        <v>0</v>
      </c>
      <c r="L411" s="295">
        <f t="shared" si="117"/>
        <v>0</v>
      </c>
      <c r="M411" s="295">
        <f t="shared" si="117"/>
        <v>0</v>
      </c>
      <c r="N411" s="295">
        <f t="shared" si="116"/>
        <v>0</v>
      </c>
      <c r="O411" s="295">
        <f t="shared" si="116"/>
        <v>0</v>
      </c>
      <c r="P411" s="295">
        <f t="shared" si="116"/>
        <v>0</v>
      </c>
      <c r="Q411" s="295">
        <f t="shared" si="117"/>
        <v>0</v>
      </c>
      <c r="R411" s="295">
        <f t="shared" si="117"/>
        <v>0</v>
      </c>
      <c r="S411" s="295">
        <f t="shared" si="117"/>
        <v>0</v>
      </c>
      <c r="T411" s="295">
        <f t="shared" si="117"/>
        <v>0</v>
      </c>
      <c r="U411" s="295">
        <f t="shared" si="117"/>
        <v>0</v>
      </c>
      <c r="V411" s="295">
        <f t="shared" si="117"/>
        <v>0</v>
      </c>
      <c r="W411" s="295">
        <f t="shared" si="117"/>
        <v>0</v>
      </c>
      <c r="X411" s="295">
        <f t="shared" si="117"/>
        <v>0</v>
      </c>
      <c r="Y411" s="295">
        <f t="shared" si="117"/>
        <v>0</v>
      </c>
      <c r="Z411" s="295">
        <f t="shared" si="117"/>
        <v>0</v>
      </c>
      <c r="AA411" s="295">
        <f t="shared" si="117"/>
        <v>0</v>
      </c>
      <c r="AB411" s="295">
        <f t="shared" si="117"/>
        <v>0</v>
      </c>
      <c r="AC411" s="295">
        <f t="shared" si="117"/>
        <v>0</v>
      </c>
      <c r="AD411" s="295">
        <f t="shared" si="117"/>
        <v>0</v>
      </c>
      <c r="AE411" s="296">
        <f t="shared" si="117"/>
        <v>0</v>
      </c>
    </row>
    <row r="412" spans="1:31" ht="15" customHeight="1">
      <c r="A412" s="1711"/>
      <c r="B412" s="116">
        <v>11</v>
      </c>
      <c r="C412" s="294">
        <f t="shared" si="114"/>
        <v>1</v>
      </c>
      <c r="D412" s="295">
        <f t="shared" ref="D412:AE421" si="118">C411*$C36</f>
        <v>0</v>
      </c>
      <c r="E412" s="295">
        <f t="shared" si="118"/>
        <v>0</v>
      </c>
      <c r="F412" s="295">
        <f t="shared" si="118"/>
        <v>0</v>
      </c>
      <c r="G412" s="295">
        <f t="shared" si="118"/>
        <v>0</v>
      </c>
      <c r="H412" s="295">
        <f t="shared" si="118"/>
        <v>0</v>
      </c>
      <c r="I412" s="295">
        <f t="shared" si="118"/>
        <v>0</v>
      </c>
      <c r="J412" s="295">
        <f t="shared" si="118"/>
        <v>0</v>
      </c>
      <c r="K412" s="295">
        <f t="shared" si="118"/>
        <v>0</v>
      </c>
      <c r="L412" s="295">
        <f t="shared" si="118"/>
        <v>0</v>
      </c>
      <c r="M412" s="295">
        <f t="shared" si="118"/>
        <v>0</v>
      </c>
      <c r="N412" s="295">
        <f t="shared" si="116"/>
        <v>0</v>
      </c>
      <c r="O412" s="295">
        <f t="shared" si="116"/>
        <v>0</v>
      </c>
      <c r="P412" s="295">
        <f t="shared" si="116"/>
        <v>0</v>
      </c>
      <c r="Q412" s="295">
        <f t="shared" si="118"/>
        <v>0</v>
      </c>
      <c r="R412" s="295">
        <f t="shared" si="118"/>
        <v>0</v>
      </c>
      <c r="S412" s="295">
        <f t="shared" si="118"/>
        <v>0</v>
      </c>
      <c r="T412" s="295">
        <f t="shared" si="118"/>
        <v>0</v>
      </c>
      <c r="U412" s="295">
        <f t="shared" si="118"/>
        <v>0</v>
      </c>
      <c r="V412" s="295">
        <f t="shared" si="118"/>
        <v>0</v>
      </c>
      <c r="W412" s="295">
        <f t="shared" si="118"/>
        <v>0</v>
      </c>
      <c r="X412" s="295">
        <f t="shared" si="118"/>
        <v>0</v>
      </c>
      <c r="Y412" s="295">
        <f t="shared" si="118"/>
        <v>0</v>
      </c>
      <c r="Z412" s="295">
        <f t="shared" si="118"/>
        <v>0</v>
      </c>
      <c r="AA412" s="295">
        <f t="shared" si="118"/>
        <v>0</v>
      </c>
      <c r="AB412" s="295">
        <f t="shared" si="118"/>
        <v>0</v>
      </c>
      <c r="AC412" s="295">
        <f t="shared" si="118"/>
        <v>0</v>
      </c>
      <c r="AD412" s="295">
        <f t="shared" si="118"/>
        <v>0</v>
      </c>
      <c r="AE412" s="296">
        <f t="shared" si="118"/>
        <v>0</v>
      </c>
    </row>
    <row r="413" spans="1:31" ht="15" customHeight="1">
      <c r="A413" s="1711"/>
      <c r="B413" s="116">
        <v>12</v>
      </c>
      <c r="C413" s="294">
        <f t="shared" si="114"/>
        <v>2</v>
      </c>
      <c r="D413" s="295">
        <f t="shared" si="118"/>
        <v>0.72545709377816958</v>
      </c>
      <c r="E413" s="295">
        <f t="shared" si="118"/>
        <v>0</v>
      </c>
      <c r="F413" s="295">
        <f t="shared" si="118"/>
        <v>0</v>
      </c>
      <c r="G413" s="295">
        <f t="shared" si="118"/>
        <v>0</v>
      </c>
      <c r="H413" s="295">
        <f t="shared" si="118"/>
        <v>0</v>
      </c>
      <c r="I413" s="295">
        <f t="shared" si="118"/>
        <v>0</v>
      </c>
      <c r="J413" s="295">
        <f t="shared" si="118"/>
        <v>0</v>
      </c>
      <c r="K413" s="295">
        <f t="shared" si="118"/>
        <v>0</v>
      </c>
      <c r="L413" s="295">
        <f t="shared" si="118"/>
        <v>0</v>
      </c>
      <c r="M413" s="295">
        <f t="shared" si="118"/>
        <v>0</v>
      </c>
      <c r="N413" s="295">
        <f t="shared" si="116"/>
        <v>0</v>
      </c>
      <c r="O413" s="295">
        <f t="shared" si="116"/>
        <v>0</v>
      </c>
      <c r="P413" s="295">
        <f t="shared" si="116"/>
        <v>0</v>
      </c>
      <c r="Q413" s="295">
        <f t="shared" si="118"/>
        <v>0</v>
      </c>
      <c r="R413" s="295">
        <f t="shared" si="118"/>
        <v>0</v>
      </c>
      <c r="S413" s="295">
        <f t="shared" si="118"/>
        <v>0</v>
      </c>
      <c r="T413" s="295">
        <f t="shared" si="118"/>
        <v>0</v>
      </c>
      <c r="U413" s="295">
        <f t="shared" si="118"/>
        <v>0</v>
      </c>
      <c r="V413" s="295">
        <f t="shared" si="118"/>
        <v>0</v>
      </c>
      <c r="W413" s="295">
        <f t="shared" si="118"/>
        <v>0</v>
      </c>
      <c r="X413" s="295">
        <f t="shared" si="118"/>
        <v>0</v>
      </c>
      <c r="Y413" s="295">
        <f t="shared" si="118"/>
        <v>0</v>
      </c>
      <c r="Z413" s="295">
        <f t="shared" si="118"/>
        <v>0</v>
      </c>
      <c r="AA413" s="295">
        <f t="shared" si="118"/>
        <v>0</v>
      </c>
      <c r="AB413" s="295">
        <f t="shared" si="118"/>
        <v>0</v>
      </c>
      <c r="AC413" s="295">
        <f t="shared" si="118"/>
        <v>0</v>
      </c>
      <c r="AD413" s="295">
        <f t="shared" si="118"/>
        <v>0</v>
      </c>
      <c r="AE413" s="296">
        <f t="shared" si="118"/>
        <v>0</v>
      </c>
    </row>
    <row r="414" spans="1:31" ht="15" customHeight="1">
      <c r="A414" s="1711"/>
      <c r="B414" s="116">
        <v>13</v>
      </c>
      <c r="C414" s="294">
        <f t="shared" si="114"/>
        <v>0</v>
      </c>
      <c r="D414" s="295">
        <f t="shared" si="118"/>
        <v>1.2142357349107606</v>
      </c>
      <c r="E414" s="295">
        <f t="shared" si="118"/>
        <v>0.44043796370498017</v>
      </c>
      <c r="F414" s="295">
        <f t="shared" si="118"/>
        <v>0</v>
      </c>
      <c r="G414" s="295">
        <f t="shared" si="118"/>
        <v>0</v>
      </c>
      <c r="H414" s="295">
        <f t="shared" si="118"/>
        <v>0</v>
      </c>
      <c r="I414" s="295">
        <f t="shared" si="118"/>
        <v>0</v>
      </c>
      <c r="J414" s="295">
        <f t="shared" si="118"/>
        <v>0</v>
      </c>
      <c r="K414" s="295">
        <f t="shared" si="118"/>
        <v>0</v>
      </c>
      <c r="L414" s="295">
        <f t="shared" si="118"/>
        <v>0</v>
      </c>
      <c r="M414" s="295">
        <f t="shared" si="118"/>
        <v>0</v>
      </c>
      <c r="N414" s="295">
        <f t="shared" si="116"/>
        <v>0</v>
      </c>
      <c r="O414" s="295">
        <f t="shared" si="116"/>
        <v>0</v>
      </c>
      <c r="P414" s="295">
        <f t="shared" si="116"/>
        <v>0</v>
      </c>
      <c r="Q414" s="295">
        <f t="shared" si="118"/>
        <v>0</v>
      </c>
      <c r="R414" s="295">
        <f t="shared" si="118"/>
        <v>0</v>
      </c>
      <c r="S414" s="295">
        <f t="shared" si="118"/>
        <v>0</v>
      </c>
      <c r="T414" s="295">
        <f t="shared" si="118"/>
        <v>0</v>
      </c>
      <c r="U414" s="295">
        <f t="shared" si="118"/>
        <v>0</v>
      </c>
      <c r="V414" s="295">
        <f t="shared" si="118"/>
        <v>0</v>
      </c>
      <c r="W414" s="295">
        <f t="shared" si="118"/>
        <v>0</v>
      </c>
      <c r="X414" s="295">
        <f t="shared" si="118"/>
        <v>0</v>
      </c>
      <c r="Y414" s="295">
        <f t="shared" si="118"/>
        <v>0</v>
      </c>
      <c r="Z414" s="295">
        <f t="shared" si="118"/>
        <v>0</v>
      </c>
      <c r="AA414" s="295">
        <f t="shared" si="118"/>
        <v>0</v>
      </c>
      <c r="AB414" s="295">
        <f t="shared" si="118"/>
        <v>0</v>
      </c>
      <c r="AC414" s="295">
        <f t="shared" si="118"/>
        <v>0</v>
      </c>
      <c r="AD414" s="295">
        <f t="shared" si="118"/>
        <v>0</v>
      </c>
      <c r="AE414" s="296">
        <f t="shared" si="118"/>
        <v>0</v>
      </c>
    </row>
    <row r="415" spans="1:31" ht="15" customHeight="1">
      <c r="A415" s="1711"/>
      <c r="B415" s="116">
        <v>14</v>
      </c>
      <c r="C415" s="294">
        <f t="shared" si="114"/>
        <v>0</v>
      </c>
      <c r="D415" s="295">
        <f t="shared" si="118"/>
        <v>0</v>
      </c>
      <c r="E415" s="295">
        <f t="shared" si="118"/>
        <v>0.58229481254933113</v>
      </c>
      <c r="F415" s="295">
        <f t="shared" si="118"/>
        <v>0.21121495121707087</v>
      </c>
      <c r="G415" s="295">
        <f t="shared" si="118"/>
        <v>0</v>
      </c>
      <c r="H415" s="295">
        <f t="shared" si="118"/>
        <v>0</v>
      </c>
      <c r="I415" s="295">
        <f t="shared" si="118"/>
        <v>0</v>
      </c>
      <c r="J415" s="295">
        <f t="shared" si="118"/>
        <v>0</v>
      </c>
      <c r="K415" s="295">
        <f t="shared" si="118"/>
        <v>0</v>
      </c>
      <c r="L415" s="295">
        <f t="shared" si="118"/>
        <v>0</v>
      </c>
      <c r="M415" s="295">
        <f t="shared" si="118"/>
        <v>0</v>
      </c>
      <c r="N415" s="295">
        <f t="shared" si="116"/>
        <v>0</v>
      </c>
      <c r="O415" s="295">
        <f t="shared" si="116"/>
        <v>0</v>
      </c>
      <c r="P415" s="295">
        <f t="shared" si="116"/>
        <v>0</v>
      </c>
      <c r="Q415" s="295">
        <f t="shared" si="118"/>
        <v>0</v>
      </c>
      <c r="R415" s="295">
        <f t="shared" si="118"/>
        <v>0</v>
      </c>
      <c r="S415" s="295">
        <f t="shared" si="118"/>
        <v>0</v>
      </c>
      <c r="T415" s="295">
        <f t="shared" si="118"/>
        <v>0</v>
      </c>
      <c r="U415" s="295">
        <f t="shared" si="118"/>
        <v>0</v>
      </c>
      <c r="V415" s="295">
        <f t="shared" si="118"/>
        <v>0</v>
      </c>
      <c r="W415" s="295">
        <f t="shared" si="118"/>
        <v>0</v>
      </c>
      <c r="X415" s="295">
        <f t="shared" si="118"/>
        <v>0</v>
      </c>
      <c r="Y415" s="295">
        <f t="shared" si="118"/>
        <v>0</v>
      </c>
      <c r="Z415" s="295">
        <f t="shared" si="118"/>
        <v>0</v>
      </c>
      <c r="AA415" s="295">
        <f t="shared" si="118"/>
        <v>0</v>
      </c>
      <c r="AB415" s="295">
        <f t="shared" si="118"/>
        <v>0</v>
      </c>
      <c r="AC415" s="295">
        <f t="shared" si="118"/>
        <v>0</v>
      </c>
      <c r="AD415" s="295">
        <f t="shared" si="118"/>
        <v>0</v>
      </c>
      <c r="AE415" s="296">
        <f t="shared" si="118"/>
        <v>0</v>
      </c>
    </row>
    <row r="416" spans="1:31" ht="15" customHeight="1">
      <c r="A416" s="1711"/>
      <c r="B416" s="116">
        <v>15</v>
      </c>
      <c r="C416" s="294">
        <f t="shared" si="114"/>
        <v>0</v>
      </c>
      <c r="D416" s="295">
        <f t="shared" si="118"/>
        <v>0</v>
      </c>
      <c r="E416" s="295">
        <f t="shared" si="118"/>
        <v>0</v>
      </c>
      <c r="F416" s="295">
        <f t="shared" si="118"/>
        <v>0.20212800790874119</v>
      </c>
      <c r="G416" s="295">
        <f t="shared" si="118"/>
        <v>7.3317598594323116E-2</v>
      </c>
      <c r="H416" s="295">
        <f t="shared" si="118"/>
        <v>0</v>
      </c>
      <c r="I416" s="295">
        <f t="shared" si="118"/>
        <v>0</v>
      </c>
      <c r="J416" s="295">
        <f t="shared" si="118"/>
        <v>0</v>
      </c>
      <c r="K416" s="295">
        <f t="shared" si="118"/>
        <v>0</v>
      </c>
      <c r="L416" s="295">
        <f t="shared" si="118"/>
        <v>0</v>
      </c>
      <c r="M416" s="295">
        <f t="shared" si="118"/>
        <v>0</v>
      </c>
      <c r="N416" s="295">
        <f t="shared" si="116"/>
        <v>0</v>
      </c>
      <c r="O416" s="295">
        <f t="shared" si="116"/>
        <v>0</v>
      </c>
      <c r="P416" s="295">
        <f t="shared" si="116"/>
        <v>0</v>
      </c>
      <c r="Q416" s="295">
        <f t="shared" si="118"/>
        <v>0</v>
      </c>
      <c r="R416" s="295">
        <f t="shared" si="118"/>
        <v>0</v>
      </c>
      <c r="S416" s="295">
        <f t="shared" si="118"/>
        <v>0</v>
      </c>
      <c r="T416" s="295">
        <f t="shared" si="118"/>
        <v>0</v>
      </c>
      <c r="U416" s="295">
        <f t="shared" si="118"/>
        <v>0</v>
      </c>
      <c r="V416" s="295">
        <f t="shared" si="118"/>
        <v>0</v>
      </c>
      <c r="W416" s="295">
        <f t="shared" si="118"/>
        <v>0</v>
      </c>
      <c r="X416" s="295">
        <f t="shared" si="118"/>
        <v>0</v>
      </c>
      <c r="Y416" s="295">
        <f t="shared" si="118"/>
        <v>0</v>
      </c>
      <c r="Z416" s="295">
        <f t="shared" si="118"/>
        <v>0</v>
      </c>
      <c r="AA416" s="295">
        <f t="shared" si="118"/>
        <v>0</v>
      </c>
      <c r="AB416" s="295">
        <f t="shared" si="118"/>
        <v>0</v>
      </c>
      <c r="AC416" s="295">
        <f t="shared" si="118"/>
        <v>0</v>
      </c>
      <c r="AD416" s="295">
        <f t="shared" si="118"/>
        <v>0</v>
      </c>
      <c r="AE416" s="296">
        <f t="shared" si="118"/>
        <v>0</v>
      </c>
    </row>
    <row r="417" spans="1:31" ht="15" customHeight="1">
      <c r="A417" s="1711"/>
      <c r="B417" s="116">
        <v>16</v>
      </c>
      <c r="C417" s="294">
        <v>0</v>
      </c>
      <c r="D417" s="295">
        <f t="shared" si="118"/>
        <v>0</v>
      </c>
      <c r="E417" s="295">
        <f t="shared" si="118"/>
        <v>0</v>
      </c>
      <c r="F417" s="295">
        <f t="shared" si="118"/>
        <v>0</v>
      </c>
      <c r="G417" s="295">
        <f t="shared" si="118"/>
        <v>6.3146979211540569E-2</v>
      </c>
      <c r="H417" s="295">
        <f t="shared" si="118"/>
        <v>2.2905212009837354E-2</v>
      </c>
      <c r="I417" s="295">
        <f t="shared" si="118"/>
        <v>0</v>
      </c>
      <c r="J417" s="295">
        <f t="shared" si="118"/>
        <v>0</v>
      </c>
      <c r="K417" s="295">
        <f t="shared" si="118"/>
        <v>0</v>
      </c>
      <c r="L417" s="295">
        <f t="shared" si="118"/>
        <v>0</v>
      </c>
      <c r="M417" s="295">
        <f t="shared" si="118"/>
        <v>0</v>
      </c>
      <c r="N417" s="295">
        <f t="shared" si="116"/>
        <v>0</v>
      </c>
      <c r="O417" s="295">
        <f t="shared" si="116"/>
        <v>0</v>
      </c>
      <c r="P417" s="295">
        <f t="shared" si="116"/>
        <v>0</v>
      </c>
      <c r="Q417" s="295">
        <f t="shared" si="118"/>
        <v>0</v>
      </c>
      <c r="R417" s="295">
        <f t="shared" si="118"/>
        <v>0</v>
      </c>
      <c r="S417" s="295">
        <f t="shared" si="118"/>
        <v>0</v>
      </c>
      <c r="T417" s="295">
        <f t="shared" si="118"/>
        <v>0</v>
      </c>
      <c r="U417" s="295">
        <f t="shared" si="118"/>
        <v>0</v>
      </c>
      <c r="V417" s="295">
        <f t="shared" si="118"/>
        <v>0</v>
      </c>
      <c r="W417" s="295">
        <f t="shared" si="118"/>
        <v>0</v>
      </c>
      <c r="X417" s="295">
        <f t="shared" si="118"/>
        <v>0</v>
      </c>
      <c r="Y417" s="295">
        <f t="shared" si="118"/>
        <v>0</v>
      </c>
      <c r="Z417" s="295">
        <f t="shared" si="118"/>
        <v>0</v>
      </c>
      <c r="AA417" s="295">
        <f t="shared" si="118"/>
        <v>0</v>
      </c>
      <c r="AB417" s="295">
        <f t="shared" si="118"/>
        <v>0</v>
      </c>
      <c r="AC417" s="295">
        <f t="shared" si="118"/>
        <v>0</v>
      </c>
      <c r="AD417" s="295">
        <f t="shared" si="118"/>
        <v>0</v>
      </c>
      <c r="AE417" s="296">
        <f t="shared" si="118"/>
        <v>0</v>
      </c>
    </row>
    <row r="418" spans="1:31" ht="15" customHeight="1">
      <c r="A418" s="1711"/>
      <c r="B418" s="116">
        <v>17</v>
      </c>
      <c r="C418" s="294">
        <v>0</v>
      </c>
      <c r="D418" s="295">
        <f t="shared" si="118"/>
        <v>0</v>
      </c>
      <c r="E418" s="295">
        <f t="shared" si="118"/>
        <v>0</v>
      </c>
      <c r="F418" s="295">
        <f t="shared" si="118"/>
        <v>0</v>
      </c>
      <c r="G418" s="295">
        <f t="shared" si="118"/>
        <v>0</v>
      </c>
      <c r="H418" s="295">
        <f t="shared" si="118"/>
        <v>1.7535822526190972E-2</v>
      </c>
      <c r="I418" s="295">
        <f t="shared" si="118"/>
        <v>6.3607434234301315E-3</v>
      </c>
      <c r="J418" s="295">
        <f t="shared" si="118"/>
        <v>0</v>
      </c>
      <c r="K418" s="295">
        <f t="shared" si="118"/>
        <v>0</v>
      </c>
      <c r="L418" s="295">
        <f t="shared" si="118"/>
        <v>0</v>
      </c>
      <c r="M418" s="295">
        <f t="shared" si="118"/>
        <v>0</v>
      </c>
      <c r="N418" s="295">
        <f t="shared" si="116"/>
        <v>0</v>
      </c>
      <c r="O418" s="295">
        <f t="shared" si="116"/>
        <v>0</v>
      </c>
      <c r="P418" s="295">
        <f t="shared" si="116"/>
        <v>0</v>
      </c>
      <c r="Q418" s="295">
        <f t="shared" si="118"/>
        <v>0</v>
      </c>
      <c r="R418" s="295">
        <f t="shared" si="118"/>
        <v>0</v>
      </c>
      <c r="S418" s="295">
        <f t="shared" si="118"/>
        <v>0</v>
      </c>
      <c r="T418" s="295">
        <f t="shared" si="118"/>
        <v>0</v>
      </c>
      <c r="U418" s="295">
        <f t="shared" si="118"/>
        <v>0</v>
      </c>
      <c r="V418" s="295">
        <f t="shared" si="118"/>
        <v>0</v>
      </c>
      <c r="W418" s="295">
        <f t="shared" si="118"/>
        <v>0</v>
      </c>
      <c r="X418" s="295">
        <f t="shared" si="118"/>
        <v>0</v>
      </c>
      <c r="Y418" s="295">
        <f t="shared" si="118"/>
        <v>0</v>
      </c>
      <c r="Z418" s="295">
        <f t="shared" si="118"/>
        <v>0</v>
      </c>
      <c r="AA418" s="295">
        <f t="shared" si="118"/>
        <v>0</v>
      </c>
      <c r="AB418" s="295">
        <f t="shared" si="118"/>
        <v>0</v>
      </c>
      <c r="AC418" s="295">
        <f t="shared" si="118"/>
        <v>0</v>
      </c>
      <c r="AD418" s="295">
        <f t="shared" si="118"/>
        <v>0</v>
      </c>
      <c r="AE418" s="296">
        <f t="shared" si="118"/>
        <v>0</v>
      </c>
    </row>
    <row r="419" spans="1:31" ht="15.75" customHeight="1">
      <c r="A419" s="1711"/>
      <c r="B419" s="116">
        <v>18</v>
      </c>
      <c r="C419" s="294">
        <v>0</v>
      </c>
      <c r="D419" s="295">
        <f t="shared" si="118"/>
        <v>0</v>
      </c>
      <c r="E419" s="295">
        <f t="shared" si="118"/>
        <v>0</v>
      </c>
      <c r="F419" s="295">
        <f t="shared" si="118"/>
        <v>0</v>
      </c>
      <c r="G419" s="295">
        <f t="shared" si="118"/>
        <v>0</v>
      </c>
      <c r="H419" s="295">
        <f t="shared" si="118"/>
        <v>0</v>
      </c>
      <c r="I419" s="295">
        <f t="shared" si="118"/>
        <v>4.2609629323667551E-3</v>
      </c>
      <c r="J419" s="295">
        <f t="shared" si="118"/>
        <v>1.5455728928056467E-3</v>
      </c>
      <c r="K419" s="295">
        <f t="shared" si="118"/>
        <v>0</v>
      </c>
      <c r="L419" s="295">
        <f t="shared" si="118"/>
        <v>0</v>
      </c>
      <c r="M419" s="295">
        <f t="shared" si="118"/>
        <v>0</v>
      </c>
      <c r="N419" s="295">
        <f t="shared" si="116"/>
        <v>0</v>
      </c>
      <c r="O419" s="295">
        <f t="shared" si="116"/>
        <v>0</v>
      </c>
      <c r="P419" s="295">
        <f t="shared" si="116"/>
        <v>0</v>
      </c>
      <c r="Q419" s="295">
        <f t="shared" si="118"/>
        <v>0</v>
      </c>
      <c r="R419" s="295">
        <f t="shared" si="118"/>
        <v>0</v>
      </c>
      <c r="S419" s="295">
        <f t="shared" si="118"/>
        <v>0</v>
      </c>
      <c r="T419" s="295">
        <f t="shared" si="118"/>
        <v>0</v>
      </c>
      <c r="U419" s="295">
        <f t="shared" si="118"/>
        <v>0</v>
      </c>
      <c r="V419" s="295">
        <f t="shared" si="118"/>
        <v>0</v>
      </c>
      <c r="W419" s="295">
        <f t="shared" si="118"/>
        <v>0</v>
      </c>
      <c r="X419" s="295">
        <f t="shared" si="118"/>
        <v>0</v>
      </c>
      <c r="Y419" s="295">
        <f t="shared" si="118"/>
        <v>0</v>
      </c>
      <c r="Z419" s="295">
        <f t="shared" si="118"/>
        <v>0</v>
      </c>
      <c r="AA419" s="295">
        <f t="shared" si="118"/>
        <v>0</v>
      </c>
      <c r="AB419" s="295">
        <f t="shared" si="118"/>
        <v>0</v>
      </c>
      <c r="AC419" s="295">
        <f t="shared" si="118"/>
        <v>0</v>
      </c>
      <c r="AD419" s="295">
        <f t="shared" si="118"/>
        <v>0</v>
      </c>
      <c r="AE419" s="296">
        <f t="shared" si="118"/>
        <v>0</v>
      </c>
    </row>
    <row r="420" spans="1:31" ht="16.5" customHeight="1">
      <c r="A420" s="1711"/>
      <c r="B420" s="116">
        <v>19</v>
      </c>
      <c r="C420" s="294">
        <v>0</v>
      </c>
      <c r="D420" s="295">
        <f t="shared" si="118"/>
        <v>0</v>
      </c>
      <c r="E420" s="295">
        <f t="shared" si="118"/>
        <v>0</v>
      </c>
      <c r="F420" s="295">
        <f t="shared" si="118"/>
        <v>0</v>
      </c>
      <c r="G420" s="295">
        <f t="shared" si="118"/>
        <v>0</v>
      </c>
      <c r="H420" s="295">
        <f t="shared" si="118"/>
        <v>0</v>
      </c>
      <c r="I420" s="295">
        <f t="shared" si="118"/>
        <v>0</v>
      </c>
      <c r="J420" s="295">
        <f t="shared" si="118"/>
        <v>8.8744731781650497E-4</v>
      </c>
      <c r="K420" s="295">
        <f t="shared" si="118"/>
        <v>3.2190247603219662E-4</v>
      </c>
      <c r="L420" s="295">
        <f t="shared" si="118"/>
        <v>0</v>
      </c>
      <c r="M420" s="295">
        <f t="shared" si="118"/>
        <v>0</v>
      </c>
      <c r="N420" s="295">
        <f t="shared" si="116"/>
        <v>0</v>
      </c>
      <c r="O420" s="295">
        <f t="shared" si="116"/>
        <v>0</v>
      </c>
      <c r="P420" s="295">
        <f t="shared" si="116"/>
        <v>0</v>
      </c>
      <c r="Q420" s="295">
        <f t="shared" si="118"/>
        <v>0</v>
      </c>
      <c r="R420" s="295">
        <f t="shared" si="118"/>
        <v>0</v>
      </c>
      <c r="S420" s="295">
        <f t="shared" si="118"/>
        <v>0</v>
      </c>
      <c r="T420" s="295">
        <f t="shared" si="118"/>
        <v>0</v>
      </c>
      <c r="U420" s="295">
        <f t="shared" si="118"/>
        <v>0</v>
      </c>
      <c r="V420" s="295">
        <f t="shared" si="118"/>
        <v>0</v>
      </c>
      <c r="W420" s="295">
        <f t="shared" si="118"/>
        <v>0</v>
      </c>
      <c r="X420" s="295">
        <f t="shared" si="118"/>
        <v>0</v>
      </c>
      <c r="Y420" s="295">
        <f t="shared" si="118"/>
        <v>0</v>
      </c>
      <c r="Z420" s="295">
        <f t="shared" si="118"/>
        <v>0</v>
      </c>
      <c r="AA420" s="295">
        <f t="shared" si="118"/>
        <v>0</v>
      </c>
      <c r="AB420" s="295">
        <f t="shared" si="118"/>
        <v>0</v>
      </c>
      <c r="AC420" s="295">
        <f t="shared" si="118"/>
        <v>0</v>
      </c>
      <c r="AD420" s="295">
        <f t="shared" si="118"/>
        <v>0</v>
      </c>
      <c r="AE420" s="296">
        <f t="shared" si="118"/>
        <v>0</v>
      </c>
    </row>
    <row r="421" spans="1:31">
      <c r="A421" s="1711"/>
      <c r="B421" s="116">
        <v>20</v>
      </c>
      <c r="C421" s="294">
        <v>0</v>
      </c>
      <c r="D421" s="295">
        <f t="shared" si="118"/>
        <v>0</v>
      </c>
      <c r="E421" s="295">
        <f t="shared" si="118"/>
        <v>0</v>
      </c>
      <c r="F421" s="295">
        <f t="shared" si="118"/>
        <v>0</v>
      </c>
      <c r="G421" s="295">
        <f t="shared" ref="G421:AE421" si="119">F420*$C45</f>
        <v>0</v>
      </c>
      <c r="H421" s="295">
        <f t="shared" si="119"/>
        <v>0</v>
      </c>
      <c r="I421" s="295">
        <f t="shared" si="119"/>
        <v>0</v>
      </c>
      <c r="J421" s="295">
        <f t="shared" si="119"/>
        <v>0</v>
      </c>
      <c r="K421" s="295">
        <f t="shared" si="119"/>
        <v>1.5402675295085949E-4</v>
      </c>
      <c r="L421" s="295">
        <f t="shared" si="119"/>
        <v>5.5869900279909314E-5</v>
      </c>
      <c r="M421" s="295">
        <f t="shared" si="119"/>
        <v>0</v>
      </c>
      <c r="N421" s="295">
        <f t="shared" si="116"/>
        <v>0</v>
      </c>
      <c r="O421" s="295">
        <f t="shared" si="116"/>
        <v>0</v>
      </c>
      <c r="P421" s="295">
        <f t="shared" si="116"/>
        <v>0</v>
      </c>
      <c r="Q421" s="295">
        <f t="shared" si="119"/>
        <v>0</v>
      </c>
      <c r="R421" s="295">
        <f t="shared" si="119"/>
        <v>0</v>
      </c>
      <c r="S421" s="295">
        <f t="shared" si="119"/>
        <v>0</v>
      </c>
      <c r="T421" s="295">
        <f t="shared" si="119"/>
        <v>0</v>
      </c>
      <c r="U421" s="295">
        <f t="shared" si="119"/>
        <v>0</v>
      </c>
      <c r="V421" s="295">
        <f t="shared" si="119"/>
        <v>0</v>
      </c>
      <c r="W421" s="295">
        <f t="shared" si="119"/>
        <v>0</v>
      </c>
      <c r="X421" s="295">
        <f t="shared" si="119"/>
        <v>0</v>
      </c>
      <c r="Y421" s="295">
        <f t="shared" si="119"/>
        <v>0</v>
      </c>
      <c r="Z421" s="295">
        <f t="shared" si="119"/>
        <v>0</v>
      </c>
      <c r="AA421" s="295">
        <f t="shared" si="119"/>
        <v>0</v>
      </c>
      <c r="AB421" s="295">
        <f t="shared" si="119"/>
        <v>0</v>
      </c>
      <c r="AC421" s="295">
        <f t="shared" si="119"/>
        <v>0</v>
      </c>
      <c r="AD421" s="295">
        <f t="shared" si="119"/>
        <v>0</v>
      </c>
      <c r="AE421" s="296">
        <f t="shared" si="119"/>
        <v>0</v>
      </c>
    </row>
    <row r="422" spans="1:31" ht="15.75" customHeight="1">
      <c r="A422" s="1711"/>
      <c r="B422" s="116">
        <v>21</v>
      </c>
      <c r="C422" s="294">
        <v>0</v>
      </c>
      <c r="D422" s="295">
        <f t="shared" ref="D422:AE426" si="120">C421*$C46</f>
        <v>0</v>
      </c>
      <c r="E422" s="295">
        <f t="shared" si="120"/>
        <v>0</v>
      </c>
      <c r="F422" s="295">
        <f t="shared" si="120"/>
        <v>0</v>
      </c>
      <c r="G422" s="295">
        <f t="shared" si="120"/>
        <v>0</v>
      </c>
      <c r="H422" s="295">
        <f t="shared" si="120"/>
        <v>0</v>
      </c>
      <c r="I422" s="295">
        <f t="shared" si="120"/>
        <v>0</v>
      </c>
      <c r="J422" s="295">
        <f t="shared" si="120"/>
        <v>0</v>
      </c>
      <c r="K422" s="295">
        <f t="shared" si="120"/>
        <v>0</v>
      </c>
      <c r="L422" s="295">
        <f t="shared" si="120"/>
        <v>2.1386500492632511E-5</v>
      </c>
      <c r="M422" s="295">
        <f t="shared" si="120"/>
        <v>7.7574942467352868E-6</v>
      </c>
      <c r="N422" s="295">
        <f t="shared" si="116"/>
        <v>0</v>
      </c>
      <c r="O422" s="295">
        <f t="shared" si="116"/>
        <v>0</v>
      </c>
      <c r="P422" s="295">
        <f t="shared" si="116"/>
        <v>0</v>
      </c>
      <c r="Q422" s="295">
        <f t="shared" si="120"/>
        <v>0</v>
      </c>
      <c r="R422" s="295">
        <f t="shared" si="120"/>
        <v>0</v>
      </c>
      <c r="S422" s="295">
        <f t="shared" si="120"/>
        <v>0</v>
      </c>
      <c r="T422" s="295">
        <f t="shared" si="120"/>
        <v>0</v>
      </c>
      <c r="U422" s="295">
        <f t="shared" si="120"/>
        <v>0</v>
      </c>
      <c r="V422" s="295">
        <f t="shared" si="120"/>
        <v>0</v>
      </c>
      <c r="W422" s="295">
        <f t="shared" si="120"/>
        <v>0</v>
      </c>
      <c r="X422" s="295">
        <f t="shared" si="120"/>
        <v>0</v>
      </c>
      <c r="Y422" s="295">
        <f t="shared" si="120"/>
        <v>0</v>
      </c>
      <c r="Z422" s="295">
        <f t="shared" si="120"/>
        <v>0</v>
      </c>
      <c r="AA422" s="295">
        <f t="shared" si="120"/>
        <v>0</v>
      </c>
      <c r="AB422" s="295">
        <f t="shared" si="120"/>
        <v>0</v>
      </c>
      <c r="AC422" s="295">
        <f t="shared" si="120"/>
        <v>0</v>
      </c>
      <c r="AD422" s="295">
        <f t="shared" si="120"/>
        <v>0</v>
      </c>
      <c r="AE422" s="296">
        <f t="shared" si="120"/>
        <v>0</v>
      </c>
    </row>
    <row r="423" spans="1:31" ht="15" customHeight="1">
      <c r="A423" s="1711"/>
      <c r="B423" s="116">
        <v>22</v>
      </c>
      <c r="C423" s="294">
        <v>0</v>
      </c>
      <c r="D423" s="295">
        <f t="shared" si="120"/>
        <v>0</v>
      </c>
      <c r="E423" s="295">
        <f t="shared" si="120"/>
        <v>0</v>
      </c>
      <c r="F423" s="295">
        <f t="shared" si="120"/>
        <v>0</v>
      </c>
      <c r="G423" s="295">
        <f t="shared" si="120"/>
        <v>0</v>
      </c>
      <c r="H423" s="295">
        <f t="shared" si="120"/>
        <v>0</v>
      </c>
      <c r="I423" s="295">
        <f t="shared" si="120"/>
        <v>0</v>
      </c>
      <c r="J423" s="295">
        <f t="shared" si="120"/>
        <v>0</v>
      </c>
      <c r="K423" s="295">
        <f t="shared" si="120"/>
        <v>0</v>
      </c>
      <c r="L423" s="295">
        <f t="shared" si="120"/>
        <v>0</v>
      </c>
      <c r="M423" s="295">
        <f t="shared" si="120"/>
        <v>2.2271248073409046E-6</v>
      </c>
      <c r="N423" s="295">
        <f t="shared" si="116"/>
        <v>8.0784174510739927E-7</v>
      </c>
      <c r="O423" s="295">
        <f t="shared" si="116"/>
        <v>0</v>
      </c>
      <c r="P423" s="295">
        <f t="shared" si="116"/>
        <v>0</v>
      </c>
      <c r="Q423" s="295">
        <f t="shared" si="120"/>
        <v>0</v>
      </c>
      <c r="R423" s="295">
        <f t="shared" si="120"/>
        <v>0</v>
      </c>
      <c r="S423" s="295">
        <f t="shared" si="120"/>
        <v>0</v>
      </c>
      <c r="T423" s="295">
        <f t="shared" si="120"/>
        <v>0</v>
      </c>
      <c r="U423" s="295">
        <f t="shared" si="120"/>
        <v>0</v>
      </c>
      <c r="V423" s="295">
        <f t="shared" si="120"/>
        <v>0</v>
      </c>
      <c r="W423" s="295">
        <f t="shared" si="120"/>
        <v>0</v>
      </c>
      <c r="X423" s="295">
        <f t="shared" si="120"/>
        <v>0</v>
      </c>
      <c r="Y423" s="295">
        <f t="shared" si="120"/>
        <v>0</v>
      </c>
      <c r="Z423" s="295">
        <f t="shared" si="120"/>
        <v>0</v>
      </c>
      <c r="AA423" s="295">
        <f t="shared" si="120"/>
        <v>0</v>
      </c>
      <c r="AB423" s="295">
        <f t="shared" si="120"/>
        <v>0</v>
      </c>
      <c r="AC423" s="295">
        <f t="shared" si="120"/>
        <v>0</v>
      </c>
      <c r="AD423" s="295">
        <f t="shared" si="120"/>
        <v>0</v>
      </c>
      <c r="AE423" s="296">
        <f t="shared" si="120"/>
        <v>0</v>
      </c>
    </row>
    <row r="424" spans="1:31" ht="15" customHeight="1">
      <c r="A424" s="1711"/>
      <c r="B424" s="116">
        <v>23</v>
      </c>
      <c r="C424" s="294">
        <v>0</v>
      </c>
      <c r="D424" s="295">
        <f t="shared" si="120"/>
        <v>0</v>
      </c>
      <c r="E424" s="295">
        <f t="shared" si="120"/>
        <v>0</v>
      </c>
      <c r="F424" s="295">
        <f t="shared" si="120"/>
        <v>0</v>
      </c>
      <c r="G424" s="295">
        <f t="shared" si="120"/>
        <v>0</v>
      </c>
      <c r="H424" s="295">
        <f t="shared" si="120"/>
        <v>0</v>
      </c>
      <c r="I424" s="295">
        <f t="shared" si="120"/>
        <v>0</v>
      </c>
      <c r="J424" s="295">
        <f t="shared" si="120"/>
        <v>0</v>
      </c>
      <c r="K424" s="295">
        <f t="shared" si="120"/>
        <v>0</v>
      </c>
      <c r="L424" s="295">
        <f t="shared" si="120"/>
        <v>0</v>
      </c>
      <c r="M424" s="295">
        <f t="shared" si="120"/>
        <v>0</v>
      </c>
      <c r="N424" s="295">
        <f t="shared" si="116"/>
        <v>1.5461731444973819E-7</v>
      </c>
      <c r="O424" s="295">
        <f t="shared" si="116"/>
        <v>5.6084113794246232E-8</v>
      </c>
      <c r="P424" s="295">
        <f t="shared" si="116"/>
        <v>0</v>
      </c>
      <c r="Q424" s="295">
        <f t="shared" si="120"/>
        <v>0</v>
      </c>
      <c r="R424" s="295">
        <f t="shared" si="120"/>
        <v>0</v>
      </c>
      <c r="S424" s="295">
        <f t="shared" si="120"/>
        <v>0</v>
      </c>
      <c r="T424" s="295">
        <f t="shared" si="120"/>
        <v>0</v>
      </c>
      <c r="U424" s="295">
        <f t="shared" si="120"/>
        <v>0</v>
      </c>
      <c r="V424" s="295">
        <f t="shared" si="120"/>
        <v>0</v>
      </c>
      <c r="W424" s="295">
        <f t="shared" si="120"/>
        <v>0</v>
      </c>
      <c r="X424" s="295">
        <f t="shared" si="120"/>
        <v>0</v>
      </c>
      <c r="Y424" s="295">
        <f t="shared" si="120"/>
        <v>0</v>
      </c>
      <c r="Z424" s="295">
        <f t="shared" si="120"/>
        <v>0</v>
      </c>
      <c r="AA424" s="295">
        <f t="shared" si="120"/>
        <v>0</v>
      </c>
      <c r="AB424" s="295">
        <f t="shared" si="120"/>
        <v>0</v>
      </c>
      <c r="AC424" s="295">
        <f t="shared" si="120"/>
        <v>0</v>
      </c>
      <c r="AD424" s="295">
        <f t="shared" si="120"/>
        <v>0</v>
      </c>
      <c r="AE424" s="296">
        <f t="shared" si="120"/>
        <v>0</v>
      </c>
    </row>
    <row r="425" spans="1:31" ht="15" customHeight="1">
      <c r="A425" s="1711"/>
      <c r="B425" s="116">
        <v>24</v>
      </c>
      <c r="C425" s="294">
        <v>0</v>
      </c>
      <c r="D425" s="295">
        <f t="shared" si="120"/>
        <v>0</v>
      </c>
      <c r="E425" s="295">
        <f t="shared" si="120"/>
        <v>0</v>
      </c>
      <c r="F425" s="295">
        <f t="shared" si="120"/>
        <v>0</v>
      </c>
      <c r="G425" s="295">
        <f t="shared" si="120"/>
        <v>0</v>
      </c>
      <c r="H425" s="295">
        <f t="shared" si="120"/>
        <v>0</v>
      </c>
      <c r="I425" s="295">
        <f t="shared" si="120"/>
        <v>0</v>
      </c>
      <c r="J425" s="295">
        <f t="shared" si="120"/>
        <v>0</v>
      </c>
      <c r="K425" s="295">
        <f t="shared" si="120"/>
        <v>0</v>
      </c>
      <c r="L425" s="295">
        <f t="shared" si="120"/>
        <v>0</v>
      </c>
      <c r="M425" s="295">
        <f t="shared" si="120"/>
        <v>0</v>
      </c>
      <c r="N425" s="295">
        <f t="shared" si="116"/>
        <v>0</v>
      </c>
      <c r="O425" s="295">
        <f t="shared" si="116"/>
        <v>5.3671248797665347E-9</v>
      </c>
      <c r="P425" s="295">
        <f t="shared" si="116"/>
        <v>1.9468094086099692E-9</v>
      </c>
      <c r="Q425" s="295">
        <f t="shared" si="120"/>
        <v>0</v>
      </c>
      <c r="R425" s="295">
        <f t="shared" si="120"/>
        <v>0</v>
      </c>
      <c r="S425" s="295">
        <f t="shared" si="120"/>
        <v>0</v>
      </c>
      <c r="T425" s="295">
        <f t="shared" si="120"/>
        <v>0</v>
      </c>
      <c r="U425" s="295">
        <f t="shared" si="120"/>
        <v>0</v>
      </c>
      <c r="V425" s="295">
        <f t="shared" si="120"/>
        <v>0</v>
      </c>
      <c r="W425" s="295">
        <f t="shared" si="120"/>
        <v>0</v>
      </c>
      <c r="X425" s="295">
        <f t="shared" si="120"/>
        <v>0</v>
      </c>
      <c r="Y425" s="295">
        <f t="shared" si="120"/>
        <v>0</v>
      </c>
      <c r="Z425" s="295">
        <f t="shared" si="120"/>
        <v>0</v>
      </c>
      <c r="AA425" s="295">
        <f t="shared" si="120"/>
        <v>0</v>
      </c>
      <c r="AB425" s="295">
        <f t="shared" si="120"/>
        <v>0</v>
      </c>
      <c r="AC425" s="295">
        <f t="shared" si="120"/>
        <v>0</v>
      </c>
      <c r="AD425" s="295">
        <f t="shared" si="120"/>
        <v>0</v>
      </c>
      <c r="AE425" s="296">
        <f t="shared" si="120"/>
        <v>0</v>
      </c>
    </row>
    <row r="426" spans="1:31" ht="15.75" customHeight="1" thickBot="1">
      <c r="A426" s="1711"/>
      <c r="B426" s="116">
        <v>25</v>
      </c>
      <c r="C426" s="297">
        <v>0</v>
      </c>
      <c r="D426" s="298">
        <f t="shared" si="120"/>
        <v>0</v>
      </c>
      <c r="E426" s="298">
        <f t="shared" si="120"/>
        <v>0</v>
      </c>
      <c r="F426" s="298">
        <f t="shared" si="120"/>
        <v>0</v>
      </c>
      <c r="G426" s="298">
        <f t="shared" si="120"/>
        <v>0</v>
      </c>
      <c r="H426" s="298">
        <f t="shared" si="120"/>
        <v>0</v>
      </c>
      <c r="I426" s="298">
        <f t="shared" si="120"/>
        <v>0</v>
      </c>
      <c r="J426" s="298">
        <f t="shared" si="120"/>
        <v>0</v>
      </c>
      <c r="K426" s="298">
        <f t="shared" si="120"/>
        <v>0</v>
      </c>
      <c r="L426" s="298">
        <f t="shared" si="120"/>
        <v>0</v>
      </c>
      <c r="M426" s="298">
        <f t="shared" si="120"/>
        <v>0</v>
      </c>
      <c r="N426" s="298">
        <f t="shared" si="116"/>
        <v>0</v>
      </c>
      <c r="O426" s="298">
        <f t="shared" si="116"/>
        <v>0</v>
      </c>
      <c r="P426" s="298">
        <f t="shared" si="116"/>
        <v>0</v>
      </c>
      <c r="Q426" s="298">
        <f t="shared" si="120"/>
        <v>0</v>
      </c>
      <c r="R426" s="298">
        <f t="shared" si="120"/>
        <v>0</v>
      </c>
      <c r="S426" s="298">
        <f t="shared" si="120"/>
        <v>0</v>
      </c>
      <c r="T426" s="298">
        <f t="shared" si="120"/>
        <v>0</v>
      </c>
      <c r="U426" s="298">
        <f t="shared" si="120"/>
        <v>0</v>
      </c>
      <c r="V426" s="298">
        <f t="shared" si="120"/>
        <v>0</v>
      </c>
      <c r="W426" s="298">
        <f t="shared" si="120"/>
        <v>0</v>
      </c>
      <c r="X426" s="298">
        <f t="shared" si="120"/>
        <v>0</v>
      </c>
      <c r="Y426" s="298">
        <f t="shared" si="120"/>
        <v>0</v>
      </c>
      <c r="Z426" s="298">
        <f t="shared" si="120"/>
        <v>0</v>
      </c>
      <c r="AA426" s="298">
        <f t="shared" si="120"/>
        <v>0</v>
      </c>
      <c r="AB426" s="298">
        <f t="shared" si="120"/>
        <v>0</v>
      </c>
      <c r="AC426" s="298">
        <f t="shared" si="120"/>
        <v>0</v>
      </c>
      <c r="AD426" s="298">
        <f t="shared" si="120"/>
        <v>0</v>
      </c>
      <c r="AE426" s="299">
        <f t="shared" si="120"/>
        <v>0</v>
      </c>
    </row>
    <row r="427" spans="1:31" ht="16.5" customHeight="1" thickTop="1" thickBot="1">
      <c r="A427" s="1712"/>
      <c r="B427" s="300" t="s">
        <v>39</v>
      </c>
      <c r="C427" s="301">
        <f>SUM(C401:C426)</f>
        <v>3</v>
      </c>
      <c r="D427" s="301">
        <f t="shared" ref="D427:AE427" si="121">SUM(D401:D426)</f>
        <v>1.9396928286889303</v>
      </c>
      <c r="E427" s="301">
        <f t="shared" si="121"/>
        <v>1.0227327762543112</v>
      </c>
      <c r="F427" s="301">
        <f t="shared" si="121"/>
        <v>0.41334295912581209</v>
      </c>
      <c r="G427" s="301">
        <f t="shared" si="121"/>
        <v>0.13646457780586368</v>
      </c>
      <c r="H427" s="301">
        <f t="shared" si="121"/>
        <v>4.0441034536028327E-2</v>
      </c>
      <c r="I427" s="301">
        <f t="shared" si="121"/>
        <v>1.0621706355796887E-2</v>
      </c>
      <c r="J427" s="301">
        <f t="shared" si="121"/>
        <v>2.4330202106221518E-3</v>
      </c>
      <c r="K427" s="301">
        <f t="shared" si="121"/>
        <v>4.7592922898305608E-4</v>
      </c>
      <c r="L427" s="301">
        <f t="shared" si="121"/>
        <v>7.7256400772541828E-5</v>
      </c>
      <c r="M427" s="301">
        <f t="shared" si="121"/>
        <v>9.9846190540761906E-6</v>
      </c>
      <c r="N427" s="301">
        <f t="shared" si="121"/>
        <v>9.6245905955713754E-7</v>
      </c>
      <c r="O427" s="301">
        <f t="shared" si="121"/>
        <v>6.1451238674012772E-8</v>
      </c>
      <c r="P427" s="301">
        <f t="shared" si="121"/>
        <v>1.9468094086099692E-9</v>
      </c>
      <c r="Q427" s="301">
        <f t="shared" si="121"/>
        <v>0</v>
      </c>
      <c r="R427" s="301">
        <f t="shared" si="121"/>
        <v>0</v>
      </c>
      <c r="S427" s="301">
        <f t="shared" si="121"/>
        <v>0</v>
      </c>
      <c r="T427" s="301">
        <f t="shared" si="121"/>
        <v>0</v>
      </c>
      <c r="U427" s="301">
        <f t="shared" si="121"/>
        <v>0</v>
      </c>
      <c r="V427" s="301">
        <f t="shared" si="121"/>
        <v>0</v>
      </c>
      <c r="W427" s="301">
        <f t="shared" si="121"/>
        <v>0</v>
      </c>
      <c r="X427" s="301">
        <f t="shared" si="121"/>
        <v>0</v>
      </c>
      <c r="Y427" s="301">
        <f t="shared" si="121"/>
        <v>0</v>
      </c>
      <c r="Z427" s="301">
        <f t="shared" si="121"/>
        <v>0</v>
      </c>
      <c r="AA427" s="301">
        <f t="shared" si="121"/>
        <v>0</v>
      </c>
      <c r="AB427" s="301">
        <f t="shared" si="121"/>
        <v>0</v>
      </c>
      <c r="AC427" s="301">
        <f t="shared" si="121"/>
        <v>0</v>
      </c>
      <c r="AD427" s="301">
        <f t="shared" si="121"/>
        <v>0</v>
      </c>
      <c r="AE427" s="302">
        <f t="shared" si="121"/>
        <v>0</v>
      </c>
    </row>
    <row r="428" spans="1:31" ht="15.75" thickBot="1"/>
    <row r="429" spans="1:31" ht="15.75" customHeight="1" thickBot="1">
      <c r="A429" s="1710" t="s">
        <v>54</v>
      </c>
      <c r="B429" s="169" t="s">
        <v>10</v>
      </c>
      <c r="C429" s="288">
        <v>2012</v>
      </c>
      <c r="D429" s="289">
        <v>2013</v>
      </c>
      <c r="E429" s="289">
        <v>2014</v>
      </c>
      <c r="F429" s="289">
        <v>2015</v>
      </c>
      <c r="G429" s="288">
        <v>2016</v>
      </c>
      <c r="H429" s="289">
        <v>2017</v>
      </c>
      <c r="I429" s="289">
        <v>2018</v>
      </c>
      <c r="J429" s="289">
        <v>2019</v>
      </c>
      <c r="K429" s="288">
        <v>2020</v>
      </c>
      <c r="L429" s="289">
        <v>2021</v>
      </c>
      <c r="M429" s="289">
        <v>2022</v>
      </c>
      <c r="N429" s="289">
        <v>2023</v>
      </c>
      <c r="O429" s="288">
        <v>2024</v>
      </c>
      <c r="P429" s="289">
        <v>2025</v>
      </c>
      <c r="Q429" s="289">
        <v>2026</v>
      </c>
      <c r="R429" s="289">
        <v>2027</v>
      </c>
      <c r="S429" s="288">
        <v>2028</v>
      </c>
      <c r="T429" s="289">
        <v>2029</v>
      </c>
      <c r="U429" s="289">
        <v>2030</v>
      </c>
      <c r="V429" s="289">
        <v>2031</v>
      </c>
      <c r="W429" s="288">
        <v>2032</v>
      </c>
      <c r="X429" s="289">
        <v>2033</v>
      </c>
      <c r="Y429" s="289">
        <v>2034</v>
      </c>
      <c r="Z429" s="289">
        <v>2035</v>
      </c>
      <c r="AA429" s="288">
        <v>2036</v>
      </c>
      <c r="AB429" s="289">
        <v>2037</v>
      </c>
      <c r="AC429" s="289">
        <v>2038</v>
      </c>
      <c r="AD429" s="289">
        <v>2039</v>
      </c>
      <c r="AE429" s="290">
        <v>2040</v>
      </c>
    </row>
    <row r="430" spans="1:31">
      <c r="A430" s="1711"/>
      <c r="B430" s="116">
        <v>0</v>
      </c>
      <c r="C430" s="291">
        <f t="shared" ref="C430:C445" si="122">X4</f>
        <v>49</v>
      </c>
      <c r="D430" s="292"/>
      <c r="E430" s="292"/>
      <c r="F430" s="292"/>
      <c r="G430" s="292"/>
      <c r="H430" s="292"/>
      <c r="I430" s="292"/>
      <c r="J430" s="292"/>
      <c r="K430" s="292"/>
      <c r="L430" s="292"/>
      <c r="M430" s="292"/>
      <c r="N430" s="292"/>
      <c r="O430" s="292"/>
      <c r="P430" s="292"/>
      <c r="Q430" s="292"/>
      <c r="R430" s="292"/>
      <c r="S430" s="292"/>
      <c r="T430" s="292"/>
      <c r="U430" s="292"/>
      <c r="V430" s="292"/>
      <c r="W430" s="292"/>
      <c r="X430" s="292"/>
      <c r="Y430" s="292"/>
      <c r="Z430" s="292"/>
      <c r="AA430" s="292"/>
      <c r="AB430" s="292"/>
      <c r="AC430" s="292"/>
      <c r="AD430" s="292"/>
      <c r="AE430" s="293"/>
    </row>
    <row r="431" spans="1:31" ht="15" customHeight="1">
      <c r="A431" s="1711"/>
      <c r="B431" s="116">
        <v>1</v>
      </c>
      <c r="C431" s="294">
        <f t="shared" si="122"/>
        <v>84</v>
      </c>
      <c r="D431" s="295">
        <f t="shared" ref="D431:AE440" si="123">C430*$D26</f>
        <v>49</v>
      </c>
      <c r="E431" s="295">
        <f t="shared" si="123"/>
        <v>0</v>
      </c>
      <c r="F431" s="295">
        <f t="shared" si="123"/>
        <v>0</v>
      </c>
      <c r="G431" s="295">
        <f t="shared" si="123"/>
        <v>0</v>
      </c>
      <c r="H431" s="295">
        <f t="shared" si="123"/>
        <v>0</v>
      </c>
      <c r="I431" s="295">
        <f t="shared" si="123"/>
        <v>0</v>
      </c>
      <c r="J431" s="295">
        <f t="shared" si="123"/>
        <v>0</v>
      </c>
      <c r="K431" s="295">
        <f t="shared" si="123"/>
        <v>0</v>
      </c>
      <c r="L431" s="295">
        <f t="shared" si="123"/>
        <v>0</v>
      </c>
      <c r="M431" s="295">
        <f t="shared" si="123"/>
        <v>0</v>
      </c>
      <c r="N431" s="295">
        <f t="shared" ref="N431:P455" si="124">M430*$D26</f>
        <v>0</v>
      </c>
      <c r="O431" s="295">
        <f t="shared" si="124"/>
        <v>0</v>
      </c>
      <c r="P431" s="295">
        <f t="shared" si="124"/>
        <v>0</v>
      </c>
      <c r="Q431" s="295">
        <f t="shared" si="123"/>
        <v>0</v>
      </c>
      <c r="R431" s="295">
        <f t="shared" si="123"/>
        <v>0</v>
      </c>
      <c r="S431" s="295">
        <f t="shared" si="123"/>
        <v>0</v>
      </c>
      <c r="T431" s="295">
        <f t="shared" si="123"/>
        <v>0</v>
      </c>
      <c r="U431" s="295">
        <f t="shared" si="123"/>
        <v>0</v>
      </c>
      <c r="V431" s="295">
        <f t="shared" si="123"/>
        <v>0</v>
      </c>
      <c r="W431" s="295">
        <f t="shared" si="123"/>
        <v>0</v>
      </c>
      <c r="X431" s="295">
        <f t="shared" si="123"/>
        <v>0</v>
      </c>
      <c r="Y431" s="295">
        <f t="shared" si="123"/>
        <v>0</v>
      </c>
      <c r="Z431" s="295">
        <f t="shared" si="123"/>
        <v>0</v>
      </c>
      <c r="AA431" s="295">
        <f t="shared" si="123"/>
        <v>0</v>
      </c>
      <c r="AB431" s="295">
        <f t="shared" si="123"/>
        <v>0</v>
      </c>
      <c r="AC431" s="295">
        <f t="shared" si="123"/>
        <v>0</v>
      </c>
      <c r="AD431" s="295">
        <f t="shared" si="123"/>
        <v>0</v>
      </c>
      <c r="AE431" s="296">
        <f t="shared" si="123"/>
        <v>0</v>
      </c>
    </row>
    <row r="432" spans="1:31" ht="15" customHeight="1">
      <c r="A432" s="1711"/>
      <c r="B432" s="116">
        <v>2</v>
      </c>
      <c r="C432" s="294">
        <f t="shared" si="122"/>
        <v>223</v>
      </c>
      <c r="D432" s="295">
        <f t="shared" si="123"/>
        <v>84</v>
      </c>
      <c r="E432" s="295">
        <f t="shared" si="123"/>
        <v>49</v>
      </c>
      <c r="F432" s="295">
        <f t="shared" si="123"/>
        <v>0</v>
      </c>
      <c r="G432" s="295">
        <f t="shared" si="123"/>
        <v>0</v>
      </c>
      <c r="H432" s="295">
        <f t="shared" si="123"/>
        <v>0</v>
      </c>
      <c r="I432" s="295">
        <f t="shared" si="123"/>
        <v>0</v>
      </c>
      <c r="J432" s="295">
        <f t="shared" si="123"/>
        <v>0</v>
      </c>
      <c r="K432" s="295">
        <f t="shared" si="123"/>
        <v>0</v>
      </c>
      <c r="L432" s="295">
        <f t="shared" si="123"/>
        <v>0</v>
      </c>
      <c r="M432" s="295">
        <f t="shared" si="123"/>
        <v>0</v>
      </c>
      <c r="N432" s="295">
        <f t="shared" si="124"/>
        <v>0</v>
      </c>
      <c r="O432" s="295">
        <f t="shared" si="124"/>
        <v>0</v>
      </c>
      <c r="P432" s="295">
        <f t="shared" si="124"/>
        <v>0</v>
      </c>
      <c r="Q432" s="295">
        <f t="shared" si="123"/>
        <v>0</v>
      </c>
      <c r="R432" s="295">
        <f t="shared" si="123"/>
        <v>0</v>
      </c>
      <c r="S432" s="295">
        <f t="shared" si="123"/>
        <v>0</v>
      </c>
      <c r="T432" s="295">
        <f t="shared" si="123"/>
        <v>0</v>
      </c>
      <c r="U432" s="295">
        <f t="shared" si="123"/>
        <v>0</v>
      </c>
      <c r="V432" s="295">
        <f t="shared" si="123"/>
        <v>0</v>
      </c>
      <c r="W432" s="295">
        <f t="shared" si="123"/>
        <v>0</v>
      </c>
      <c r="X432" s="295">
        <f t="shared" si="123"/>
        <v>0</v>
      </c>
      <c r="Y432" s="295">
        <f t="shared" si="123"/>
        <v>0</v>
      </c>
      <c r="Z432" s="295">
        <f t="shared" si="123"/>
        <v>0</v>
      </c>
      <c r="AA432" s="295">
        <f t="shared" si="123"/>
        <v>0</v>
      </c>
      <c r="AB432" s="295">
        <f t="shared" si="123"/>
        <v>0</v>
      </c>
      <c r="AC432" s="295">
        <f t="shared" si="123"/>
        <v>0</v>
      </c>
      <c r="AD432" s="295">
        <f t="shared" si="123"/>
        <v>0</v>
      </c>
      <c r="AE432" s="296">
        <f t="shared" si="123"/>
        <v>0</v>
      </c>
    </row>
    <row r="433" spans="1:31" ht="15" customHeight="1">
      <c r="A433" s="1711"/>
      <c r="B433" s="116">
        <v>3</v>
      </c>
      <c r="C433" s="294">
        <f t="shared" si="122"/>
        <v>420</v>
      </c>
      <c r="D433" s="295">
        <f t="shared" si="123"/>
        <v>223</v>
      </c>
      <c r="E433" s="295">
        <f t="shared" si="123"/>
        <v>84</v>
      </c>
      <c r="F433" s="295">
        <f t="shared" si="123"/>
        <v>49</v>
      </c>
      <c r="G433" s="295">
        <f t="shared" si="123"/>
        <v>0</v>
      </c>
      <c r="H433" s="295">
        <f t="shared" si="123"/>
        <v>0</v>
      </c>
      <c r="I433" s="295">
        <f t="shared" si="123"/>
        <v>0</v>
      </c>
      <c r="J433" s="295">
        <f t="shared" si="123"/>
        <v>0</v>
      </c>
      <c r="K433" s="295">
        <f t="shared" si="123"/>
        <v>0</v>
      </c>
      <c r="L433" s="295">
        <f t="shared" si="123"/>
        <v>0</v>
      </c>
      <c r="M433" s="295">
        <f t="shared" si="123"/>
        <v>0</v>
      </c>
      <c r="N433" s="295">
        <f t="shared" si="124"/>
        <v>0</v>
      </c>
      <c r="O433" s="295">
        <f t="shared" si="124"/>
        <v>0</v>
      </c>
      <c r="P433" s="295">
        <f t="shared" si="124"/>
        <v>0</v>
      </c>
      <c r="Q433" s="295">
        <f t="shared" si="123"/>
        <v>0</v>
      </c>
      <c r="R433" s="295">
        <f t="shared" si="123"/>
        <v>0</v>
      </c>
      <c r="S433" s="295">
        <f t="shared" si="123"/>
        <v>0</v>
      </c>
      <c r="T433" s="295">
        <f t="shared" si="123"/>
        <v>0</v>
      </c>
      <c r="U433" s="295">
        <f t="shared" si="123"/>
        <v>0</v>
      </c>
      <c r="V433" s="295">
        <f t="shared" si="123"/>
        <v>0</v>
      </c>
      <c r="W433" s="295">
        <f t="shared" si="123"/>
        <v>0</v>
      </c>
      <c r="X433" s="295">
        <f t="shared" si="123"/>
        <v>0</v>
      </c>
      <c r="Y433" s="295">
        <f t="shared" si="123"/>
        <v>0</v>
      </c>
      <c r="Z433" s="295">
        <f t="shared" si="123"/>
        <v>0</v>
      </c>
      <c r="AA433" s="295">
        <f t="shared" si="123"/>
        <v>0</v>
      </c>
      <c r="AB433" s="295">
        <f t="shared" si="123"/>
        <v>0</v>
      </c>
      <c r="AC433" s="295">
        <f t="shared" si="123"/>
        <v>0</v>
      </c>
      <c r="AD433" s="295">
        <f t="shared" si="123"/>
        <v>0</v>
      </c>
      <c r="AE433" s="296">
        <f t="shared" si="123"/>
        <v>0</v>
      </c>
    </row>
    <row r="434" spans="1:31" ht="15" customHeight="1">
      <c r="A434" s="1711"/>
      <c r="B434" s="116">
        <v>4</v>
      </c>
      <c r="C434" s="294">
        <f t="shared" si="122"/>
        <v>1171</v>
      </c>
      <c r="D434" s="295">
        <f t="shared" si="123"/>
        <v>420</v>
      </c>
      <c r="E434" s="295">
        <f t="shared" si="123"/>
        <v>223</v>
      </c>
      <c r="F434" s="295">
        <f t="shared" si="123"/>
        <v>84</v>
      </c>
      <c r="G434" s="295">
        <f t="shared" si="123"/>
        <v>49</v>
      </c>
      <c r="H434" s="295">
        <f t="shared" si="123"/>
        <v>0</v>
      </c>
      <c r="I434" s="295">
        <f t="shared" si="123"/>
        <v>0</v>
      </c>
      <c r="J434" s="295">
        <f t="shared" si="123"/>
        <v>0</v>
      </c>
      <c r="K434" s="295">
        <f t="shared" si="123"/>
        <v>0</v>
      </c>
      <c r="L434" s="295">
        <f t="shared" si="123"/>
        <v>0</v>
      </c>
      <c r="M434" s="295">
        <f t="shared" si="123"/>
        <v>0</v>
      </c>
      <c r="N434" s="295">
        <f t="shared" si="124"/>
        <v>0</v>
      </c>
      <c r="O434" s="295">
        <f t="shared" si="124"/>
        <v>0</v>
      </c>
      <c r="P434" s="295">
        <f t="shared" si="124"/>
        <v>0</v>
      </c>
      <c r="Q434" s="295">
        <f t="shared" si="123"/>
        <v>0</v>
      </c>
      <c r="R434" s="295">
        <f t="shared" si="123"/>
        <v>0</v>
      </c>
      <c r="S434" s="295">
        <f t="shared" si="123"/>
        <v>0</v>
      </c>
      <c r="T434" s="295">
        <f t="shared" si="123"/>
        <v>0</v>
      </c>
      <c r="U434" s="295">
        <f t="shared" si="123"/>
        <v>0</v>
      </c>
      <c r="V434" s="295">
        <f t="shared" si="123"/>
        <v>0</v>
      </c>
      <c r="W434" s="295">
        <f t="shared" si="123"/>
        <v>0</v>
      </c>
      <c r="X434" s="295">
        <f t="shared" si="123"/>
        <v>0</v>
      </c>
      <c r="Y434" s="295">
        <f t="shared" si="123"/>
        <v>0</v>
      </c>
      <c r="Z434" s="295">
        <f t="shared" si="123"/>
        <v>0</v>
      </c>
      <c r="AA434" s="295">
        <f t="shared" si="123"/>
        <v>0</v>
      </c>
      <c r="AB434" s="295">
        <f t="shared" si="123"/>
        <v>0</v>
      </c>
      <c r="AC434" s="295">
        <f t="shared" si="123"/>
        <v>0</v>
      </c>
      <c r="AD434" s="295">
        <f t="shared" si="123"/>
        <v>0</v>
      </c>
      <c r="AE434" s="296">
        <f t="shared" si="123"/>
        <v>0</v>
      </c>
    </row>
    <row r="435" spans="1:31" ht="15" customHeight="1">
      <c r="A435" s="1711"/>
      <c r="B435" s="116">
        <v>5</v>
      </c>
      <c r="C435" s="294">
        <f t="shared" si="122"/>
        <v>710</v>
      </c>
      <c r="D435" s="295">
        <f t="shared" si="123"/>
        <v>1171</v>
      </c>
      <c r="E435" s="295">
        <f t="shared" si="123"/>
        <v>420</v>
      </c>
      <c r="F435" s="295">
        <f t="shared" si="123"/>
        <v>223</v>
      </c>
      <c r="G435" s="295">
        <f t="shared" si="123"/>
        <v>84</v>
      </c>
      <c r="H435" s="295">
        <f t="shared" si="123"/>
        <v>49</v>
      </c>
      <c r="I435" s="295">
        <f t="shared" si="123"/>
        <v>0</v>
      </c>
      <c r="J435" s="295">
        <f t="shared" si="123"/>
        <v>0</v>
      </c>
      <c r="K435" s="295">
        <f t="shared" si="123"/>
        <v>0</v>
      </c>
      <c r="L435" s="295">
        <f t="shared" si="123"/>
        <v>0</v>
      </c>
      <c r="M435" s="295">
        <f t="shared" si="123"/>
        <v>0</v>
      </c>
      <c r="N435" s="295">
        <f t="shared" si="124"/>
        <v>0</v>
      </c>
      <c r="O435" s="295">
        <f t="shared" si="124"/>
        <v>0</v>
      </c>
      <c r="P435" s="295">
        <f t="shared" si="124"/>
        <v>0</v>
      </c>
      <c r="Q435" s="295">
        <f t="shared" si="123"/>
        <v>0</v>
      </c>
      <c r="R435" s="295">
        <f t="shared" si="123"/>
        <v>0</v>
      </c>
      <c r="S435" s="295">
        <f t="shared" si="123"/>
        <v>0</v>
      </c>
      <c r="T435" s="295">
        <f t="shared" si="123"/>
        <v>0</v>
      </c>
      <c r="U435" s="295">
        <f t="shared" si="123"/>
        <v>0</v>
      </c>
      <c r="V435" s="295">
        <f t="shared" si="123"/>
        <v>0</v>
      </c>
      <c r="W435" s="295">
        <f t="shared" si="123"/>
        <v>0</v>
      </c>
      <c r="X435" s="295">
        <f t="shared" si="123"/>
        <v>0</v>
      </c>
      <c r="Y435" s="295">
        <f t="shared" si="123"/>
        <v>0</v>
      </c>
      <c r="Z435" s="295">
        <f t="shared" si="123"/>
        <v>0</v>
      </c>
      <c r="AA435" s="295">
        <f t="shared" si="123"/>
        <v>0</v>
      </c>
      <c r="AB435" s="295">
        <f t="shared" si="123"/>
        <v>0</v>
      </c>
      <c r="AC435" s="295">
        <f t="shared" si="123"/>
        <v>0</v>
      </c>
      <c r="AD435" s="295">
        <f t="shared" si="123"/>
        <v>0</v>
      </c>
      <c r="AE435" s="296">
        <f t="shared" si="123"/>
        <v>0</v>
      </c>
    </row>
    <row r="436" spans="1:31" ht="15" customHeight="1">
      <c r="A436" s="1711"/>
      <c r="B436" s="116">
        <v>6</v>
      </c>
      <c r="C436" s="294">
        <f t="shared" si="122"/>
        <v>393</v>
      </c>
      <c r="D436" s="295">
        <f t="shared" si="123"/>
        <v>710</v>
      </c>
      <c r="E436" s="295">
        <f t="shared" si="123"/>
        <v>1171</v>
      </c>
      <c r="F436" s="295">
        <f t="shared" si="123"/>
        <v>420</v>
      </c>
      <c r="G436" s="295">
        <f t="shared" si="123"/>
        <v>223</v>
      </c>
      <c r="H436" s="295">
        <f t="shared" si="123"/>
        <v>84</v>
      </c>
      <c r="I436" s="295">
        <f t="shared" si="123"/>
        <v>49</v>
      </c>
      <c r="J436" s="295">
        <f t="shared" si="123"/>
        <v>0</v>
      </c>
      <c r="K436" s="295">
        <f t="shared" si="123"/>
        <v>0</v>
      </c>
      <c r="L436" s="295">
        <f t="shared" si="123"/>
        <v>0</v>
      </c>
      <c r="M436" s="295">
        <f t="shared" si="123"/>
        <v>0</v>
      </c>
      <c r="N436" s="295">
        <f t="shared" si="124"/>
        <v>0</v>
      </c>
      <c r="O436" s="295">
        <f t="shared" si="124"/>
        <v>0</v>
      </c>
      <c r="P436" s="295">
        <f t="shared" si="124"/>
        <v>0</v>
      </c>
      <c r="Q436" s="295">
        <f t="shared" si="123"/>
        <v>0</v>
      </c>
      <c r="R436" s="295">
        <f t="shared" si="123"/>
        <v>0</v>
      </c>
      <c r="S436" s="295">
        <f t="shared" si="123"/>
        <v>0</v>
      </c>
      <c r="T436" s="295">
        <f t="shared" si="123"/>
        <v>0</v>
      </c>
      <c r="U436" s="295">
        <f t="shared" si="123"/>
        <v>0</v>
      </c>
      <c r="V436" s="295">
        <f t="shared" si="123"/>
        <v>0</v>
      </c>
      <c r="W436" s="295">
        <f t="shared" si="123"/>
        <v>0</v>
      </c>
      <c r="X436" s="295">
        <f t="shared" si="123"/>
        <v>0</v>
      </c>
      <c r="Y436" s="295">
        <f t="shared" si="123"/>
        <v>0</v>
      </c>
      <c r="Z436" s="295">
        <f t="shared" si="123"/>
        <v>0</v>
      </c>
      <c r="AA436" s="295">
        <f t="shared" si="123"/>
        <v>0</v>
      </c>
      <c r="AB436" s="295">
        <f t="shared" si="123"/>
        <v>0</v>
      </c>
      <c r="AC436" s="295">
        <f t="shared" si="123"/>
        <v>0</v>
      </c>
      <c r="AD436" s="295">
        <f t="shared" si="123"/>
        <v>0</v>
      </c>
      <c r="AE436" s="296">
        <f t="shared" si="123"/>
        <v>0</v>
      </c>
    </row>
    <row r="437" spans="1:31" ht="15" customHeight="1">
      <c r="A437" s="1711"/>
      <c r="B437" s="116">
        <v>7</v>
      </c>
      <c r="C437" s="294">
        <f t="shared" si="122"/>
        <v>337</v>
      </c>
      <c r="D437" s="295">
        <f t="shared" si="123"/>
        <v>393</v>
      </c>
      <c r="E437" s="295">
        <f t="shared" si="123"/>
        <v>710</v>
      </c>
      <c r="F437" s="295">
        <f t="shared" si="123"/>
        <v>1171</v>
      </c>
      <c r="G437" s="295">
        <f t="shared" si="123"/>
        <v>420</v>
      </c>
      <c r="H437" s="295">
        <f t="shared" si="123"/>
        <v>223</v>
      </c>
      <c r="I437" s="295">
        <f t="shared" si="123"/>
        <v>84</v>
      </c>
      <c r="J437" s="295">
        <f t="shared" si="123"/>
        <v>49</v>
      </c>
      <c r="K437" s="295">
        <f t="shared" si="123"/>
        <v>0</v>
      </c>
      <c r="L437" s="295">
        <f t="shared" si="123"/>
        <v>0</v>
      </c>
      <c r="M437" s="295">
        <f t="shared" si="123"/>
        <v>0</v>
      </c>
      <c r="N437" s="295">
        <f t="shared" si="124"/>
        <v>0</v>
      </c>
      <c r="O437" s="295">
        <f t="shared" si="124"/>
        <v>0</v>
      </c>
      <c r="P437" s="295">
        <f t="shared" si="124"/>
        <v>0</v>
      </c>
      <c r="Q437" s="295">
        <f t="shared" si="123"/>
        <v>0</v>
      </c>
      <c r="R437" s="295">
        <f t="shared" si="123"/>
        <v>0</v>
      </c>
      <c r="S437" s="295">
        <f t="shared" si="123"/>
        <v>0</v>
      </c>
      <c r="T437" s="295">
        <f t="shared" si="123"/>
        <v>0</v>
      </c>
      <c r="U437" s="295">
        <f t="shared" si="123"/>
        <v>0</v>
      </c>
      <c r="V437" s="295">
        <f t="shared" si="123"/>
        <v>0</v>
      </c>
      <c r="W437" s="295">
        <f t="shared" si="123"/>
        <v>0</v>
      </c>
      <c r="X437" s="295">
        <f t="shared" si="123"/>
        <v>0</v>
      </c>
      <c r="Y437" s="295">
        <f t="shared" si="123"/>
        <v>0</v>
      </c>
      <c r="Z437" s="295">
        <f t="shared" si="123"/>
        <v>0</v>
      </c>
      <c r="AA437" s="295">
        <f t="shared" si="123"/>
        <v>0</v>
      </c>
      <c r="AB437" s="295">
        <f t="shared" si="123"/>
        <v>0</v>
      </c>
      <c r="AC437" s="295">
        <f t="shared" si="123"/>
        <v>0</v>
      </c>
      <c r="AD437" s="295">
        <f t="shared" si="123"/>
        <v>0</v>
      </c>
      <c r="AE437" s="296">
        <f t="shared" si="123"/>
        <v>0</v>
      </c>
    </row>
    <row r="438" spans="1:31" ht="15" customHeight="1">
      <c r="A438" s="1711"/>
      <c r="B438" s="116">
        <v>8</v>
      </c>
      <c r="C438" s="294">
        <f t="shared" si="122"/>
        <v>264</v>
      </c>
      <c r="D438" s="295">
        <f t="shared" si="123"/>
        <v>332.0566198721487</v>
      </c>
      <c r="E438" s="295">
        <f t="shared" si="123"/>
        <v>387.23516798146716</v>
      </c>
      <c r="F438" s="295">
        <f t="shared" si="123"/>
        <v>699.5851635288592</v>
      </c>
      <c r="G438" s="295">
        <f t="shared" si="123"/>
        <v>1153.8228542144989</v>
      </c>
      <c r="H438" s="295">
        <f t="shared" si="123"/>
        <v>413.83911081988856</v>
      </c>
      <c r="I438" s="295">
        <f t="shared" si="123"/>
        <v>219.72886122103608</v>
      </c>
      <c r="J438" s="295">
        <f t="shared" si="123"/>
        <v>82.767822163977712</v>
      </c>
      <c r="K438" s="295">
        <f t="shared" si="123"/>
        <v>48.28122959565367</v>
      </c>
      <c r="L438" s="295">
        <f t="shared" si="123"/>
        <v>0</v>
      </c>
      <c r="M438" s="295">
        <f t="shared" si="123"/>
        <v>0</v>
      </c>
      <c r="N438" s="295">
        <f t="shared" si="124"/>
        <v>0</v>
      </c>
      <c r="O438" s="295">
        <f t="shared" si="124"/>
        <v>0</v>
      </c>
      <c r="P438" s="295">
        <f t="shared" si="124"/>
        <v>0</v>
      </c>
      <c r="Q438" s="295">
        <f t="shared" si="123"/>
        <v>0</v>
      </c>
      <c r="R438" s="295">
        <f t="shared" si="123"/>
        <v>0</v>
      </c>
      <c r="S438" s="295">
        <f t="shared" si="123"/>
        <v>0</v>
      </c>
      <c r="T438" s="295">
        <f t="shared" si="123"/>
        <v>0</v>
      </c>
      <c r="U438" s="295">
        <f t="shared" si="123"/>
        <v>0</v>
      </c>
      <c r="V438" s="295">
        <f t="shared" si="123"/>
        <v>0</v>
      </c>
      <c r="W438" s="295">
        <f t="shared" si="123"/>
        <v>0</v>
      </c>
      <c r="X438" s="295">
        <f t="shared" si="123"/>
        <v>0</v>
      </c>
      <c r="Y438" s="295">
        <f t="shared" si="123"/>
        <v>0</v>
      </c>
      <c r="Z438" s="295">
        <f t="shared" si="123"/>
        <v>0</v>
      </c>
      <c r="AA438" s="295">
        <f t="shared" si="123"/>
        <v>0</v>
      </c>
      <c r="AB438" s="295">
        <f t="shared" si="123"/>
        <v>0</v>
      </c>
      <c r="AC438" s="295">
        <f t="shared" si="123"/>
        <v>0</v>
      </c>
      <c r="AD438" s="295">
        <f t="shared" si="123"/>
        <v>0</v>
      </c>
      <c r="AE438" s="296">
        <f t="shared" si="123"/>
        <v>0</v>
      </c>
    </row>
    <row r="439" spans="1:31" ht="15" customHeight="1">
      <c r="A439" s="1711"/>
      <c r="B439" s="116">
        <v>9</v>
      </c>
      <c r="C439" s="294">
        <f t="shared" si="122"/>
        <v>33</v>
      </c>
      <c r="D439" s="295">
        <f t="shared" si="123"/>
        <v>246.72458721920211</v>
      </c>
      <c r="E439" s="295">
        <f t="shared" si="123"/>
        <v>310.327774512725</v>
      </c>
      <c r="F439" s="295">
        <f t="shared" si="123"/>
        <v>361.89559460979501</v>
      </c>
      <c r="G439" s="295">
        <f t="shared" si="123"/>
        <v>653.80629051642347</v>
      </c>
      <c r="H439" s="295">
        <f t="shared" si="123"/>
        <v>1078.3199523869464</v>
      </c>
      <c r="I439" s="295">
        <f t="shared" si="123"/>
        <v>386.75865072802515</v>
      </c>
      <c r="J439" s="295">
        <f t="shared" si="123"/>
        <v>205.35042645797529</v>
      </c>
      <c r="K439" s="295">
        <f t="shared" si="123"/>
        <v>77.351730145605032</v>
      </c>
      <c r="L439" s="295">
        <f t="shared" si="123"/>
        <v>45.121842584936275</v>
      </c>
      <c r="M439" s="295">
        <f t="shared" si="123"/>
        <v>0</v>
      </c>
      <c r="N439" s="295">
        <f t="shared" si="124"/>
        <v>0</v>
      </c>
      <c r="O439" s="295">
        <f t="shared" si="124"/>
        <v>0</v>
      </c>
      <c r="P439" s="295">
        <f t="shared" si="124"/>
        <v>0</v>
      </c>
      <c r="Q439" s="295">
        <f t="shared" si="123"/>
        <v>0</v>
      </c>
      <c r="R439" s="295">
        <f t="shared" si="123"/>
        <v>0</v>
      </c>
      <c r="S439" s="295">
        <f t="shared" si="123"/>
        <v>0</v>
      </c>
      <c r="T439" s="295">
        <f t="shared" si="123"/>
        <v>0</v>
      </c>
      <c r="U439" s="295">
        <f t="shared" si="123"/>
        <v>0</v>
      </c>
      <c r="V439" s="295">
        <f t="shared" si="123"/>
        <v>0</v>
      </c>
      <c r="W439" s="295">
        <f t="shared" si="123"/>
        <v>0</v>
      </c>
      <c r="X439" s="295">
        <f t="shared" si="123"/>
        <v>0</v>
      </c>
      <c r="Y439" s="295">
        <f t="shared" si="123"/>
        <v>0</v>
      </c>
      <c r="Z439" s="295">
        <f t="shared" si="123"/>
        <v>0</v>
      </c>
      <c r="AA439" s="295">
        <f t="shared" si="123"/>
        <v>0</v>
      </c>
      <c r="AB439" s="295">
        <f t="shared" si="123"/>
        <v>0</v>
      </c>
      <c r="AC439" s="295">
        <f t="shared" si="123"/>
        <v>0</v>
      </c>
      <c r="AD439" s="295">
        <f t="shared" si="123"/>
        <v>0</v>
      </c>
      <c r="AE439" s="296">
        <f t="shared" si="123"/>
        <v>0</v>
      </c>
    </row>
    <row r="440" spans="1:31" ht="15" customHeight="1">
      <c r="A440" s="1711"/>
      <c r="B440" s="116">
        <v>10</v>
      </c>
      <c r="C440" s="294">
        <f t="shared" si="122"/>
        <v>16</v>
      </c>
      <c r="D440" s="295">
        <f t="shared" si="123"/>
        <v>28.078409152021241</v>
      </c>
      <c r="E440" s="295">
        <f t="shared" si="123"/>
        <v>209.92830023649418</v>
      </c>
      <c r="F440" s="295">
        <f t="shared" si="123"/>
        <v>264.04576436377221</v>
      </c>
      <c r="G440" s="295">
        <f t="shared" ref="G440:AE440" si="125">F439*$D35</f>
        <v>307.92280532629809</v>
      </c>
      <c r="H440" s="295">
        <f t="shared" si="125"/>
        <v>556.29819791773957</v>
      </c>
      <c r="I440" s="295">
        <f t="shared" si="125"/>
        <v>917.50026726996202</v>
      </c>
      <c r="J440" s="295">
        <f t="shared" si="125"/>
        <v>329.07780721894449</v>
      </c>
      <c r="K440" s="295">
        <f t="shared" si="125"/>
        <v>174.72464526148721</v>
      </c>
      <c r="L440" s="295">
        <f t="shared" si="125"/>
        <v>65.815561443788908</v>
      </c>
      <c r="M440" s="295">
        <f t="shared" si="125"/>
        <v>38.392410842210197</v>
      </c>
      <c r="N440" s="295">
        <f t="shared" si="124"/>
        <v>0</v>
      </c>
      <c r="O440" s="295">
        <f t="shared" si="124"/>
        <v>0</v>
      </c>
      <c r="P440" s="295">
        <f t="shared" si="124"/>
        <v>0</v>
      </c>
      <c r="Q440" s="295">
        <f t="shared" si="125"/>
        <v>0</v>
      </c>
      <c r="R440" s="295">
        <f t="shared" si="125"/>
        <v>0</v>
      </c>
      <c r="S440" s="295">
        <f t="shared" si="125"/>
        <v>0</v>
      </c>
      <c r="T440" s="295">
        <f t="shared" si="125"/>
        <v>0</v>
      </c>
      <c r="U440" s="295">
        <f t="shared" si="125"/>
        <v>0</v>
      </c>
      <c r="V440" s="295">
        <f t="shared" si="125"/>
        <v>0</v>
      </c>
      <c r="W440" s="295">
        <f t="shared" si="125"/>
        <v>0</v>
      </c>
      <c r="X440" s="295">
        <f t="shared" si="125"/>
        <v>0</v>
      </c>
      <c r="Y440" s="295">
        <f t="shared" si="125"/>
        <v>0</v>
      </c>
      <c r="Z440" s="295">
        <f t="shared" si="125"/>
        <v>0</v>
      </c>
      <c r="AA440" s="295">
        <f t="shared" si="125"/>
        <v>0</v>
      </c>
      <c r="AB440" s="295">
        <f t="shared" si="125"/>
        <v>0</v>
      </c>
      <c r="AC440" s="295">
        <f t="shared" si="125"/>
        <v>0</v>
      </c>
      <c r="AD440" s="295">
        <f t="shared" si="125"/>
        <v>0</v>
      </c>
      <c r="AE440" s="296">
        <f t="shared" si="125"/>
        <v>0</v>
      </c>
    </row>
    <row r="441" spans="1:31" ht="15" customHeight="1">
      <c r="A441" s="1711"/>
      <c r="B441" s="116">
        <v>11</v>
      </c>
      <c r="C441" s="294">
        <f t="shared" si="122"/>
        <v>10</v>
      </c>
      <c r="D441" s="295">
        <f t="shared" ref="D441:AE450" si="126">C440*$D36</f>
        <v>11.934811689086521</v>
      </c>
      <c r="E441" s="295">
        <f t="shared" si="126"/>
        <v>20.944407859906065</v>
      </c>
      <c r="F441" s="295">
        <f t="shared" si="126"/>
        <v>156.59092072078596</v>
      </c>
      <c r="G441" s="295">
        <f t="shared" si="126"/>
        <v>196.95852968640835</v>
      </c>
      <c r="H441" s="295">
        <f t="shared" si="126"/>
        <v>229.68754352153849</v>
      </c>
      <c r="I441" s="295">
        <f t="shared" si="126"/>
        <v>414.95713969540031</v>
      </c>
      <c r="J441" s="295">
        <f t="shared" si="126"/>
        <v>684.38705715959691</v>
      </c>
      <c r="K441" s="295">
        <f t="shared" si="126"/>
        <v>245.46760376347621</v>
      </c>
      <c r="L441" s="295">
        <f t="shared" si="126"/>
        <v>130.33160866489334</v>
      </c>
      <c r="M441" s="295">
        <f t="shared" si="126"/>
        <v>49.093520752695248</v>
      </c>
      <c r="N441" s="295">
        <f t="shared" si="124"/>
        <v>28.637887105738898</v>
      </c>
      <c r="O441" s="295">
        <f t="shared" si="124"/>
        <v>0</v>
      </c>
      <c r="P441" s="295">
        <f t="shared" si="124"/>
        <v>0</v>
      </c>
      <c r="Q441" s="295">
        <f t="shared" si="126"/>
        <v>0</v>
      </c>
      <c r="R441" s="295">
        <f t="shared" si="126"/>
        <v>0</v>
      </c>
      <c r="S441" s="295">
        <f t="shared" si="126"/>
        <v>0</v>
      </c>
      <c r="T441" s="295">
        <f t="shared" si="126"/>
        <v>0</v>
      </c>
      <c r="U441" s="295">
        <f t="shared" si="126"/>
        <v>0</v>
      </c>
      <c r="V441" s="295">
        <f t="shared" si="126"/>
        <v>0</v>
      </c>
      <c r="W441" s="295">
        <f t="shared" si="126"/>
        <v>0</v>
      </c>
      <c r="X441" s="295">
        <f t="shared" si="126"/>
        <v>0</v>
      </c>
      <c r="Y441" s="295">
        <f t="shared" si="126"/>
        <v>0</v>
      </c>
      <c r="Z441" s="295">
        <f t="shared" si="126"/>
        <v>0</v>
      </c>
      <c r="AA441" s="295">
        <f t="shared" si="126"/>
        <v>0</v>
      </c>
      <c r="AB441" s="295">
        <f t="shared" si="126"/>
        <v>0</v>
      </c>
      <c r="AC441" s="295">
        <f t="shared" si="126"/>
        <v>0</v>
      </c>
      <c r="AD441" s="295">
        <f t="shared" si="126"/>
        <v>0</v>
      </c>
      <c r="AE441" s="296">
        <f t="shared" si="126"/>
        <v>0</v>
      </c>
    </row>
    <row r="442" spans="1:31" ht="15" customHeight="1">
      <c r="A442" s="1711"/>
      <c r="B442" s="116">
        <v>12</v>
      </c>
      <c r="C442" s="294">
        <f t="shared" si="122"/>
        <v>10</v>
      </c>
      <c r="D442" s="295">
        <f t="shared" si="126"/>
        <v>6.1710127421614382</v>
      </c>
      <c r="E442" s="295">
        <f t="shared" si="126"/>
        <v>7.3649875008650199</v>
      </c>
      <c r="F442" s="295">
        <f t="shared" si="126"/>
        <v>12.92482077805065</v>
      </c>
      <c r="G442" s="295">
        <f t="shared" si="126"/>
        <v>96.632456707476166</v>
      </c>
      <c r="H442" s="295">
        <f t="shared" si="126"/>
        <v>121.54335963722079</v>
      </c>
      <c r="I442" s="295">
        <f t="shared" si="126"/>
        <v>141.74047577871738</v>
      </c>
      <c r="J442" s="295">
        <f t="shared" si="126"/>
        <v>256.0705796511179</v>
      </c>
      <c r="K442" s="295">
        <f t="shared" si="126"/>
        <v>422.33612503022408</v>
      </c>
      <c r="L442" s="295">
        <f t="shared" si="126"/>
        <v>151.47837106122466</v>
      </c>
      <c r="M442" s="295">
        <f t="shared" si="126"/>
        <v>80.427801777745486</v>
      </c>
      <c r="N442" s="295">
        <f t="shared" si="124"/>
        <v>30.295674212244936</v>
      </c>
      <c r="O442" s="295">
        <f t="shared" si="124"/>
        <v>17.672476623809548</v>
      </c>
      <c r="P442" s="295">
        <f t="shared" si="124"/>
        <v>0</v>
      </c>
      <c r="Q442" s="295">
        <f t="shared" si="126"/>
        <v>0</v>
      </c>
      <c r="R442" s="295">
        <f t="shared" si="126"/>
        <v>0</v>
      </c>
      <c r="S442" s="295">
        <f t="shared" si="126"/>
        <v>0</v>
      </c>
      <c r="T442" s="295">
        <f t="shared" si="126"/>
        <v>0</v>
      </c>
      <c r="U442" s="295">
        <f t="shared" si="126"/>
        <v>0</v>
      </c>
      <c r="V442" s="295">
        <f t="shared" si="126"/>
        <v>0</v>
      </c>
      <c r="W442" s="295">
        <f t="shared" si="126"/>
        <v>0</v>
      </c>
      <c r="X442" s="295">
        <f t="shared" si="126"/>
        <v>0</v>
      </c>
      <c r="Y442" s="295">
        <f t="shared" si="126"/>
        <v>0</v>
      </c>
      <c r="Z442" s="295">
        <f t="shared" si="126"/>
        <v>0</v>
      </c>
      <c r="AA442" s="295">
        <f t="shared" si="126"/>
        <v>0</v>
      </c>
      <c r="AB442" s="295">
        <f t="shared" si="126"/>
        <v>0</v>
      </c>
      <c r="AC442" s="295">
        <f t="shared" si="126"/>
        <v>0</v>
      </c>
      <c r="AD442" s="295">
        <f t="shared" si="126"/>
        <v>0</v>
      </c>
      <c r="AE442" s="296">
        <f t="shared" si="126"/>
        <v>0</v>
      </c>
    </row>
    <row r="443" spans="1:31" ht="15" customHeight="1">
      <c r="A443" s="1711"/>
      <c r="B443" s="116">
        <v>13</v>
      </c>
      <c r="C443" s="294">
        <f t="shared" si="122"/>
        <v>3</v>
      </c>
      <c r="D443" s="295">
        <f t="shared" si="126"/>
        <v>4.9197484361100461</v>
      </c>
      <c r="E443" s="295">
        <f t="shared" si="126"/>
        <v>3.03598302874639</v>
      </c>
      <c r="F443" s="295">
        <f t="shared" si="126"/>
        <v>3.6233885739350717</v>
      </c>
      <c r="G443" s="295">
        <f t="shared" si="126"/>
        <v>6.3586866809817311</v>
      </c>
      <c r="H443" s="295">
        <f t="shared" si="126"/>
        <v>47.540737776407759</v>
      </c>
      <c r="I443" s="295">
        <f t="shared" si="126"/>
        <v>59.796275349477781</v>
      </c>
      <c r="J443" s="295">
        <f t="shared" si="126"/>
        <v>69.732748404583873</v>
      </c>
      <c r="K443" s="295">
        <f t="shared" si="126"/>
        <v>125.98028337723802</v>
      </c>
      <c r="L443" s="295">
        <f t="shared" si="126"/>
        <v>207.77874906302216</v>
      </c>
      <c r="M443" s="295">
        <f t="shared" si="126"/>
        <v>74.523547913295729</v>
      </c>
      <c r="N443" s="295">
        <f t="shared" si="124"/>
        <v>39.568455201583212</v>
      </c>
      <c r="O443" s="295">
        <f t="shared" si="124"/>
        <v>14.904709582659146</v>
      </c>
      <c r="P443" s="295">
        <f t="shared" si="124"/>
        <v>8.6944139232178355</v>
      </c>
      <c r="Q443" s="295">
        <f t="shared" si="126"/>
        <v>0</v>
      </c>
      <c r="R443" s="295">
        <f t="shared" si="126"/>
        <v>0</v>
      </c>
      <c r="S443" s="295">
        <f t="shared" si="126"/>
        <v>0</v>
      </c>
      <c r="T443" s="295">
        <f t="shared" si="126"/>
        <v>0</v>
      </c>
      <c r="U443" s="295">
        <f t="shared" si="126"/>
        <v>0</v>
      </c>
      <c r="V443" s="295">
        <f t="shared" si="126"/>
        <v>0</v>
      </c>
      <c r="W443" s="295">
        <f t="shared" si="126"/>
        <v>0</v>
      </c>
      <c r="X443" s="295">
        <f t="shared" si="126"/>
        <v>0</v>
      </c>
      <c r="Y443" s="295">
        <f t="shared" si="126"/>
        <v>0</v>
      </c>
      <c r="Z443" s="295">
        <f t="shared" si="126"/>
        <v>0</v>
      </c>
      <c r="AA443" s="295">
        <f t="shared" si="126"/>
        <v>0</v>
      </c>
      <c r="AB443" s="295">
        <f t="shared" si="126"/>
        <v>0</v>
      </c>
      <c r="AC443" s="295">
        <f t="shared" si="126"/>
        <v>0</v>
      </c>
      <c r="AD443" s="295">
        <f t="shared" si="126"/>
        <v>0</v>
      </c>
      <c r="AE443" s="296">
        <f t="shared" si="126"/>
        <v>0</v>
      </c>
    </row>
    <row r="444" spans="1:31" ht="15" customHeight="1">
      <c r="A444" s="1711"/>
      <c r="B444" s="116">
        <v>14</v>
      </c>
      <c r="C444" s="294">
        <f t="shared" si="122"/>
        <v>7</v>
      </c>
      <c r="D444" s="295">
        <f t="shared" si="126"/>
        <v>1.1368835312122652</v>
      </c>
      <c r="E444" s="295">
        <f t="shared" si="126"/>
        <v>1.8643936582402694</v>
      </c>
      <c r="F444" s="295">
        <f t="shared" si="126"/>
        <v>1.150519702140568</v>
      </c>
      <c r="G444" s="295">
        <f t="shared" si="126"/>
        <v>1.3731235989631594</v>
      </c>
      <c r="H444" s="295">
        <f t="shared" si="126"/>
        <v>2.4096953892489696</v>
      </c>
      <c r="I444" s="295">
        <f t="shared" si="126"/>
        <v>18.016093946559593</v>
      </c>
      <c r="J444" s="295">
        <f t="shared" si="126"/>
        <v>22.660466890885075</v>
      </c>
      <c r="K444" s="295">
        <f t="shared" si="126"/>
        <v>26.426004415779921</v>
      </c>
      <c r="L444" s="295">
        <f t="shared" si="126"/>
        <v>47.741636476345398</v>
      </c>
      <c r="M444" s="295">
        <f t="shared" si="126"/>
        <v>78.740079315211915</v>
      </c>
      <c r="N444" s="295">
        <f t="shared" si="124"/>
        <v>28.241531436711362</v>
      </c>
      <c r="O444" s="295">
        <f t="shared" si="124"/>
        <v>14.994908358063414</v>
      </c>
      <c r="P444" s="295">
        <f t="shared" si="124"/>
        <v>5.6483062873422725</v>
      </c>
      <c r="Q444" s="295">
        <f t="shared" si="126"/>
        <v>3.2948453342829924</v>
      </c>
      <c r="R444" s="295">
        <f t="shared" si="126"/>
        <v>0</v>
      </c>
      <c r="S444" s="295">
        <f t="shared" si="126"/>
        <v>0</v>
      </c>
      <c r="T444" s="295">
        <f t="shared" si="126"/>
        <v>0</v>
      </c>
      <c r="U444" s="295">
        <f t="shared" si="126"/>
        <v>0</v>
      </c>
      <c r="V444" s="295">
        <f t="shared" si="126"/>
        <v>0</v>
      </c>
      <c r="W444" s="295">
        <f t="shared" si="126"/>
        <v>0</v>
      </c>
      <c r="X444" s="295">
        <f t="shared" si="126"/>
        <v>0</v>
      </c>
      <c r="Y444" s="295">
        <f t="shared" si="126"/>
        <v>0</v>
      </c>
      <c r="Z444" s="295">
        <f t="shared" si="126"/>
        <v>0</v>
      </c>
      <c r="AA444" s="295">
        <f t="shared" si="126"/>
        <v>0</v>
      </c>
      <c r="AB444" s="295">
        <f t="shared" si="126"/>
        <v>0</v>
      </c>
      <c r="AC444" s="295">
        <f t="shared" si="126"/>
        <v>0</v>
      </c>
      <c r="AD444" s="295">
        <f t="shared" si="126"/>
        <v>0</v>
      </c>
      <c r="AE444" s="296">
        <f t="shared" si="126"/>
        <v>0</v>
      </c>
    </row>
    <row r="445" spans="1:31" ht="15" customHeight="1">
      <c r="A445" s="1711"/>
      <c r="B445" s="116">
        <v>15</v>
      </c>
      <c r="C445" s="294">
        <f t="shared" si="122"/>
        <v>0</v>
      </c>
      <c r="D445" s="295">
        <f t="shared" si="126"/>
        <v>1.9258861392256623</v>
      </c>
      <c r="E445" s="295">
        <f t="shared" si="126"/>
        <v>0.31278689066794674</v>
      </c>
      <c r="F445" s="295">
        <f t="shared" si="126"/>
        <v>0.51294427206645155</v>
      </c>
      <c r="G445" s="295">
        <f t="shared" si="126"/>
        <v>0.31653856389407964</v>
      </c>
      <c r="H445" s="295">
        <f t="shared" si="126"/>
        <v>0.37778281524097224</v>
      </c>
      <c r="I445" s="295">
        <f t="shared" si="126"/>
        <v>0.6629712785586539</v>
      </c>
      <c r="J445" s="295">
        <f t="shared" si="126"/>
        <v>4.9567065163809261</v>
      </c>
      <c r="K445" s="295">
        <f t="shared" si="126"/>
        <v>6.2344970133625148</v>
      </c>
      <c r="L445" s="295">
        <f t="shared" si="126"/>
        <v>7.2704965170666709</v>
      </c>
      <c r="M445" s="295">
        <f t="shared" si="126"/>
        <v>13.134993707677699</v>
      </c>
      <c r="N445" s="295">
        <f t="shared" si="124"/>
        <v>21.663489622099416</v>
      </c>
      <c r="O445" s="295">
        <f t="shared" si="124"/>
        <v>7.769996277781174</v>
      </c>
      <c r="P445" s="295">
        <f t="shared" si="124"/>
        <v>4.1254980236790519</v>
      </c>
      <c r="Q445" s="295">
        <f t="shared" si="126"/>
        <v>1.5539992555562347</v>
      </c>
      <c r="R445" s="295">
        <f t="shared" si="126"/>
        <v>0.90649956574113699</v>
      </c>
      <c r="S445" s="295">
        <f t="shared" si="126"/>
        <v>0</v>
      </c>
      <c r="T445" s="295">
        <f t="shared" si="126"/>
        <v>0</v>
      </c>
      <c r="U445" s="295">
        <f t="shared" si="126"/>
        <v>0</v>
      </c>
      <c r="V445" s="295">
        <f t="shared" si="126"/>
        <v>0</v>
      </c>
      <c r="W445" s="295">
        <f t="shared" si="126"/>
        <v>0</v>
      </c>
      <c r="X445" s="295">
        <f t="shared" si="126"/>
        <v>0</v>
      </c>
      <c r="Y445" s="295">
        <f t="shared" si="126"/>
        <v>0</v>
      </c>
      <c r="Z445" s="295">
        <f t="shared" si="126"/>
        <v>0</v>
      </c>
      <c r="AA445" s="295">
        <f t="shared" si="126"/>
        <v>0</v>
      </c>
      <c r="AB445" s="295">
        <f t="shared" si="126"/>
        <v>0</v>
      </c>
      <c r="AC445" s="295">
        <f t="shared" si="126"/>
        <v>0</v>
      </c>
      <c r="AD445" s="295">
        <f t="shared" si="126"/>
        <v>0</v>
      </c>
      <c r="AE445" s="296">
        <f t="shared" si="126"/>
        <v>0</v>
      </c>
    </row>
    <row r="446" spans="1:31" ht="15" customHeight="1">
      <c r="A446" s="1711"/>
      <c r="B446" s="116">
        <v>16</v>
      </c>
      <c r="C446" s="294">
        <v>0</v>
      </c>
      <c r="D446" s="295">
        <f t="shared" si="126"/>
        <v>0</v>
      </c>
      <c r="E446" s="295">
        <f t="shared" si="126"/>
        <v>0.47687623987648209</v>
      </c>
      <c r="F446" s="295">
        <f t="shared" si="126"/>
        <v>7.7450391934571747E-2</v>
      </c>
      <c r="G446" s="295">
        <f t="shared" si="126"/>
        <v>0.12701214819873979</v>
      </c>
      <c r="H446" s="295">
        <f t="shared" si="126"/>
        <v>7.837935849437204E-2</v>
      </c>
      <c r="I446" s="295">
        <f t="shared" si="126"/>
        <v>9.3544288394173433E-2</v>
      </c>
      <c r="J446" s="295">
        <f t="shared" si="126"/>
        <v>0.16416092521039205</v>
      </c>
      <c r="K446" s="295">
        <f t="shared" si="126"/>
        <v>1.2273495912138273</v>
      </c>
      <c r="L446" s="295">
        <f t="shared" si="126"/>
        <v>1.5437483206815417</v>
      </c>
      <c r="M446" s="295">
        <f t="shared" si="126"/>
        <v>1.8002762315366343</v>
      </c>
      <c r="N446" s="295">
        <f t="shared" si="124"/>
        <v>3.2524074411984993</v>
      </c>
      <c r="O446" s="295">
        <f t="shared" si="124"/>
        <v>5.3641818502020318</v>
      </c>
      <c r="P446" s="295">
        <f t="shared" si="124"/>
        <v>1.9239593314131969</v>
      </c>
      <c r="Q446" s="295">
        <f t="shared" si="126"/>
        <v>1.0215307878693878</v>
      </c>
      <c r="R446" s="295">
        <f t="shared" si="126"/>
        <v>0.38479186628263934</v>
      </c>
      <c r="S446" s="295">
        <f t="shared" si="126"/>
        <v>0.2244619219982063</v>
      </c>
      <c r="T446" s="295">
        <f t="shared" si="126"/>
        <v>0</v>
      </c>
      <c r="U446" s="295">
        <f t="shared" si="126"/>
        <v>0</v>
      </c>
      <c r="V446" s="295">
        <f t="shared" si="126"/>
        <v>0</v>
      </c>
      <c r="W446" s="295">
        <f t="shared" si="126"/>
        <v>0</v>
      </c>
      <c r="X446" s="295">
        <f t="shared" si="126"/>
        <v>0</v>
      </c>
      <c r="Y446" s="295">
        <f t="shared" si="126"/>
        <v>0</v>
      </c>
      <c r="Z446" s="295">
        <f t="shared" si="126"/>
        <v>0</v>
      </c>
      <c r="AA446" s="295">
        <f t="shared" si="126"/>
        <v>0</v>
      </c>
      <c r="AB446" s="295">
        <f t="shared" si="126"/>
        <v>0</v>
      </c>
      <c r="AC446" s="295">
        <f t="shared" si="126"/>
        <v>0</v>
      </c>
      <c r="AD446" s="295">
        <f t="shared" si="126"/>
        <v>0</v>
      </c>
      <c r="AE446" s="296">
        <f t="shared" si="126"/>
        <v>0</v>
      </c>
    </row>
    <row r="447" spans="1:31" ht="15" customHeight="1">
      <c r="A447" s="1711"/>
      <c r="B447" s="116">
        <v>17</v>
      </c>
      <c r="C447" s="294">
        <v>0</v>
      </c>
      <c r="D447" s="295">
        <f t="shared" si="126"/>
        <v>0</v>
      </c>
      <c r="E447" s="295">
        <f t="shared" si="126"/>
        <v>0</v>
      </c>
      <c r="F447" s="295">
        <f t="shared" si="126"/>
        <v>0.10496106748619075</v>
      </c>
      <c r="G447" s="295">
        <f t="shared" si="126"/>
        <v>1.7046929863358488E-2</v>
      </c>
      <c r="H447" s="295">
        <f t="shared" si="126"/>
        <v>2.7955535511911846E-2</v>
      </c>
      <c r="I447" s="295">
        <f t="shared" si="126"/>
        <v>1.7251396585795463E-2</v>
      </c>
      <c r="J447" s="295">
        <f t="shared" si="126"/>
        <v>2.0589216962521899E-2</v>
      </c>
      <c r="K447" s="295">
        <f t="shared" si="126"/>
        <v>3.6132028624589106E-2</v>
      </c>
      <c r="L447" s="295">
        <f t="shared" si="126"/>
        <v>0.27014120750891346</v>
      </c>
      <c r="M447" s="295">
        <f t="shared" si="126"/>
        <v>0.33978097065753987</v>
      </c>
      <c r="N447" s="295">
        <f t="shared" si="124"/>
        <v>0.39624309041072153</v>
      </c>
      <c r="O447" s="295">
        <f t="shared" si="124"/>
        <v>0.71585901829926779</v>
      </c>
      <c r="P447" s="295">
        <f t="shared" si="124"/>
        <v>1.180663254124567</v>
      </c>
      <c r="Q447" s="295">
        <f t="shared" si="126"/>
        <v>0.42346589814886265</v>
      </c>
      <c r="R447" s="295">
        <f t="shared" si="126"/>
        <v>0.22484022687427707</v>
      </c>
      <c r="S447" s="295">
        <f t="shared" si="126"/>
        <v>8.4693179629772533E-2</v>
      </c>
      <c r="T447" s="295">
        <f t="shared" si="126"/>
        <v>4.9404354784033981E-2</v>
      </c>
      <c r="U447" s="295">
        <f t="shared" si="126"/>
        <v>0</v>
      </c>
      <c r="V447" s="295">
        <f t="shared" si="126"/>
        <v>0</v>
      </c>
      <c r="W447" s="295">
        <f t="shared" si="126"/>
        <v>0</v>
      </c>
      <c r="X447" s="295">
        <f t="shared" si="126"/>
        <v>0</v>
      </c>
      <c r="Y447" s="295">
        <f t="shared" si="126"/>
        <v>0</v>
      </c>
      <c r="Z447" s="295">
        <f t="shared" si="126"/>
        <v>0</v>
      </c>
      <c r="AA447" s="295">
        <f t="shared" si="126"/>
        <v>0</v>
      </c>
      <c r="AB447" s="295">
        <f t="shared" si="126"/>
        <v>0</v>
      </c>
      <c r="AC447" s="295">
        <f t="shared" si="126"/>
        <v>0</v>
      </c>
      <c r="AD447" s="295">
        <f t="shared" si="126"/>
        <v>0</v>
      </c>
      <c r="AE447" s="296">
        <f t="shared" si="126"/>
        <v>0</v>
      </c>
    </row>
    <row r="448" spans="1:31" ht="15.75" customHeight="1">
      <c r="A448" s="1711"/>
      <c r="B448" s="116">
        <v>18</v>
      </c>
      <c r="C448" s="294">
        <v>0</v>
      </c>
      <c r="D448" s="295">
        <f t="shared" si="126"/>
        <v>0</v>
      </c>
      <c r="E448" s="295">
        <f t="shared" si="126"/>
        <v>0</v>
      </c>
      <c r="F448" s="295">
        <f t="shared" si="126"/>
        <v>0</v>
      </c>
      <c r="G448" s="295">
        <f t="shared" si="126"/>
        <v>2.0214306502998412E-2</v>
      </c>
      <c r="H448" s="295">
        <f t="shared" si="126"/>
        <v>3.2830445940194132E-3</v>
      </c>
      <c r="I448" s="295">
        <f t="shared" si="126"/>
        <v>5.3839178357021813E-3</v>
      </c>
      <c r="J448" s="295">
        <f t="shared" si="126"/>
        <v>3.3224225566868401E-3</v>
      </c>
      <c r="K448" s="295">
        <f t="shared" si="126"/>
        <v>3.9652487565630824E-3</v>
      </c>
      <c r="L448" s="295">
        <f t="shared" si="126"/>
        <v>6.958617311020104E-3</v>
      </c>
      <c r="M448" s="295">
        <f t="shared" si="126"/>
        <v>5.2026120717509991E-2</v>
      </c>
      <c r="N448" s="295">
        <f t="shared" si="124"/>
        <v>6.543794617619976E-2</v>
      </c>
      <c r="O448" s="295">
        <f t="shared" si="124"/>
        <v>7.6311907558594974E-2</v>
      </c>
      <c r="P448" s="295">
        <f t="shared" si="124"/>
        <v>0.13786629609822498</v>
      </c>
      <c r="Q448" s="295">
        <f t="shared" si="126"/>
        <v>0.22738229962115697</v>
      </c>
      <c r="R448" s="295">
        <f t="shared" si="126"/>
        <v>8.1554710367964078E-2</v>
      </c>
      <c r="S448" s="295">
        <f t="shared" si="126"/>
        <v>4.3301667647752354E-2</v>
      </c>
      <c r="T448" s="295">
        <f t="shared" si="126"/>
        <v>1.6310942073592818E-2</v>
      </c>
      <c r="U448" s="295">
        <f t="shared" si="126"/>
        <v>9.5147162095958106E-3</v>
      </c>
      <c r="V448" s="295">
        <f t="shared" si="126"/>
        <v>0</v>
      </c>
      <c r="W448" s="295">
        <f t="shared" si="126"/>
        <v>0</v>
      </c>
      <c r="X448" s="295">
        <f t="shared" si="126"/>
        <v>0</v>
      </c>
      <c r="Y448" s="295">
        <f t="shared" si="126"/>
        <v>0</v>
      </c>
      <c r="Z448" s="295">
        <f t="shared" si="126"/>
        <v>0</v>
      </c>
      <c r="AA448" s="295">
        <f t="shared" si="126"/>
        <v>0</v>
      </c>
      <c r="AB448" s="295">
        <f t="shared" si="126"/>
        <v>0</v>
      </c>
      <c r="AC448" s="295">
        <f t="shared" si="126"/>
        <v>0</v>
      </c>
      <c r="AD448" s="295">
        <f t="shared" si="126"/>
        <v>0</v>
      </c>
      <c r="AE448" s="296">
        <f t="shared" si="126"/>
        <v>0</v>
      </c>
    </row>
    <row r="449" spans="1:31" ht="16.5" customHeight="1">
      <c r="A449" s="1711"/>
      <c r="B449" s="116">
        <v>19</v>
      </c>
      <c r="C449" s="294">
        <v>0</v>
      </c>
      <c r="D449" s="295">
        <f t="shared" si="126"/>
        <v>0</v>
      </c>
      <c r="E449" s="295">
        <f t="shared" si="126"/>
        <v>0</v>
      </c>
      <c r="F449" s="295">
        <f t="shared" si="126"/>
        <v>0</v>
      </c>
      <c r="G449" s="295">
        <f t="shared" si="126"/>
        <v>0</v>
      </c>
      <c r="H449" s="295">
        <f t="shared" si="126"/>
        <v>3.3368959464157564E-3</v>
      </c>
      <c r="I449" s="295">
        <f t="shared" si="126"/>
        <v>5.4195172097843412E-4</v>
      </c>
      <c r="J449" s="295">
        <f t="shared" si="126"/>
        <v>8.887553772435995E-4</v>
      </c>
      <c r="K449" s="295">
        <f t="shared" si="126"/>
        <v>5.4845207576347497E-4</v>
      </c>
      <c r="L449" s="295">
        <f t="shared" si="126"/>
        <v>6.5456722447256878E-4</v>
      </c>
      <c r="M449" s="295">
        <f t="shared" si="126"/>
        <v>1.1487003966402318E-3</v>
      </c>
      <c r="N449" s="295">
        <f t="shared" si="124"/>
        <v>8.5882615515028796E-3</v>
      </c>
      <c r="O449" s="295">
        <f t="shared" si="124"/>
        <v>1.0802231444583265E-2</v>
      </c>
      <c r="P449" s="295">
        <f t="shared" si="124"/>
        <v>1.2597261002140129E-2</v>
      </c>
      <c r="Q449" s="295">
        <f t="shared" si="126"/>
        <v>2.2758410461881651E-2</v>
      </c>
      <c r="R449" s="295">
        <f t="shared" si="126"/>
        <v>3.7535350212483679E-2</v>
      </c>
      <c r="S449" s="295">
        <f t="shared" si="126"/>
        <v>1.3462721681676471E-2</v>
      </c>
      <c r="T449" s="295">
        <f t="shared" si="126"/>
        <v>7.148064130985364E-3</v>
      </c>
      <c r="U449" s="295">
        <f t="shared" si="126"/>
        <v>2.6925443363352945E-3</v>
      </c>
      <c r="V449" s="295">
        <f t="shared" si="126"/>
        <v>1.5706508628622552E-3</v>
      </c>
      <c r="W449" s="295">
        <f t="shared" si="126"/>
        <v>0</v>
      </c>
      <c r="X449" s="295">
        <f t="shared" si="126"/>
        <v>0</v>
      </c>
      <c r="Y449" s="295">
        <f t="shared" si="126"/>
        <v>0</v>
      </c>
      <c r="Z449" s="295">
        <f t="shared" si="126"/>
        <v>0</v>
      </c>
      <c r="AA449" s="295">
        <f t="shared" si="126"/>
        <v>0</v>
      </c>
      <c r="AB449" s="295">
        <f t="shared" si="126"/>
        <v>0</v>
      </c>
      <c r="AC449" s="295">
        <f t="shared" si="126"/>
        <v>0</v>
      </c>
      <c r="AD449" s="295">
        <f t="shared" si="126"/>
        <v>0</v>
      </c>
      <c r="AE449" s="296">
        <f t="shared" si="126"/>
        <v>0</v>
      </c>
    </row>
    <row r="450" spans="1:31">
      <c r="A450" s="1711"/>
      <c r="B450" s="116">
        <v>20</v>
      </c>
      <c r="C450" s="294">
        <v>0</v>
      </c>
      <c r="D450" s="295">
        <f t="shared" si="126"/>
        <v>0</v>
      </c>
      <c r="E450" s="295">
        <f t="shared" si="126"/>
        <v>0</v>
      </c>
      <c r="F450" s="295">
        <f t="shared" si="126"/>
        <v>0</v>
      </c>
      <c r="G450" s="295">
        <f t="shared" ref="G450:AE450" si="127">F449*$D45</f>
        <v>0</v>
      </c>
      <c r="H450" s="295">
        <f t="shared" si="127"/>
        <v>0</v>
      </c>
      <c r="I450" s="295">
        <f t="shared" si="127"/>
        <v>4.59034403660029E-4</v>
      </c>
      <c r="J450" s="295">
        <f t="shared" si="127"/>
        <v>7.4552664825847166E-5</v>
      </c>
      <c r="K450" s="295">
        <f t="shared" si="127"/>
        <v>1.2226011872826597E-4</v>
      </c>
      <c r="L450" s="295">
        <f t="shared" si="127"/>
        <v>7.5446875053029977E-5</v>
      </c>
      <c r="M450" s="295">
        <f t="shared" si="127"/>
        <v>9.0044424628795241E-5</v>
      </c>
      <c r="N450" s="295">
        <f t="shared" si="124"/>
        <v>1.5801901228660312E-4</v>
      </c>
      <c r="O450" s="295">
        <f t="shared" si="124"/>
        <v>1.1814295630060061E-3</v>
      </c>
      <c r="P450" s="295">
        <f t="shared" si="124"/>
        <v>1.4859905579878944E-3</v>
      </c>
      <c r="Q450" s="295">
        <f t="shared" si="127"/>
        <v>1.7329207397306899E-3</v>
      </c>
      <c r="R450" s="295">
        <f t="shared" si="127"/>
        <v>3.1307219470961566E-3</v>
      </c>
      <c r="S450" s="295">
        <f t="shared" si="127"/>
        <v>5.1634864789430971E-3</v>
      </c>
      <c r="T450" s="295">
        <f t="shared" si="127"/>
        <v>1.8519763630709661E-3</v>
      </c>
      <c r="U450" s="295">
        <f t="shared" si="127"/>
        <v>9.8331125944006053E-4</v>
      </c>
      <c r="V450" s="295">
        <f t="shared" si="127"/>
        <v>3.7039527261419324E-4</v>
      </c>
      <c r="W450" s="295">
        <f t="shared" si="127"/>
        <v>2.1606390902494606E-4</v>
      </c>
      <c r="X450" s="295">
        <f t="shared" si="127"/>
        <v>0</v>
      </c>
      <c r="Y450" s="295">
        <f t="shared" si="127"/>
        <v>0</v>
      </c>
      <c r="Z450" s="295">
        <f t="shared" si="127"/>
        <v>0</v>
      </c>
      <c r="AA450" s="295">
        <f t="shared" si="127"/>
        <v>0</v>
      </c>
      <c r="AB450" s="295">
        <f t="shared" si="127"/>
        <v>0</v>
      </c>
      <c r="AC450" s="295">
        <f t="shared" si="127"/>
        <v>0</v>
      </c>
      <c r="AD450" s="295">
        <f t="shared" si="127"/>
        <v>0</v>
      </c>
      <c r="AE450" s="296">
        <f t="shared" si="127"/>
        <v>0</v>
      </c>
    </row>
    <row r="451" spans="1:31" ht="15.75" customHeight="1">
      <c r="A451" s="1711"/>
      <c r="B451" s="116">
        <v>21</v>
      </c>
      <c r="C451" s="294">
        <v>0</v>
      </c>
      <c r="D451" s="295">
        <f t="shared" ref="D451:AE455" si="128">C450*$D46</f>
        <v>0</v>
      </c>
      <c r="E451" s="295">
        <f t="shared" si="128"/>
        <v>0</v>
      </c>
      <c r="F451" s="295">
        <f t="shared" si="128"/>
        <v>0</v>
      </c>
      <c r="G451" s="295">
        <f t="shared" si="128"/>
        <v>0</v>
      </c>
      <c r="H451" s="295">
        <f t="shared" si="128"/>
        <v>0</v>
      </c>
      <c r="I451" s="295">
        <f t="shared" si="128"/>
        <v>0</v>
      </c>
      <c r="J451" s="295">
        <f t="shared" si="128"/>
        <v>5.0517028310661023E-5</v>
      </c>
      <c r="K451" s="295">
        <f t="shared" si="128"/>
        <v>8.2045682188820399E-6</v>
      </c>
      <c r="L451" s="295">
        <f t="shared" si="128"/>
        <v>1.3454803887934363E-5</v>
      </c>
      <c r="M451" s="295">
        <f t="shared" si="128"/>
        <v>8.3029766235726226E-6</v>
      </c>
      <c r="N451" s="295">
        <f t="shared" si="124"/>
        <v>9.9094462461226679E-6</v>
      </c>
      <c r="O451" s="295">
        <f t="shared" si="124"/>
        <v>1.7390092885537069E-5</v>
      </c>
      <c r="P451" s="295">
        <f t="shared" si="124"/>
        <v>1.3001707542083997E-4</v>
      </c>
      <c r="Q451" s="295">
        <f t="shared" si="128"/>
        <v>1.6353420677994826E-4</v>
      </c>
      <c r="R451" s="295">
        <f t="shared" si="128"/>
        <v>1.9070903045851536E-4</v>
      </c>
      <c r="S451" s="295">
        <f t="shared" si="128"/>
        <v>3.4453794306754676E-4</v>
      </c>
      <c r="T451" s="295">
        <f t="shared" si="128"/>
        <v>5.682449737071791E-4</v>
      </c>
      <c r="U451" s="295">
        <f t="shared" si="128"/>
        <v>2.0381117758925301E-4</v>
      </c>
      <c r="V451" s="295">
        <f t="shared" si="128"/>
        <v>1.0821403000572244E-4</v>
      </c>
      <c r="W451" s="295">
        <f t="shared" si="128"/>
        <v>4.0762235517850604E-5</v>
      </c>
      <c r="X451" s="295">
        <f t="shared" si="128"/>
        <v>2.3777970718746188E-5</v>
      </c>
      <c r="Y451" s="295">
        <f t="shared" si="128"/>
        <v>0</v>
      </c>
      <c r="Z451" s="295">
        <f t="shared" si="128"/>
        <v>0</v>
      </c>
      <c r="AA451" s="295">
        <f t="shared" si="128"/>
        <v>0</v>
      </c>
      <c r="AB451" s="295">
        <f t="shared" si="128"/>
        <v>0</v>
      </c>
      <c r="AC451" s="295">
        <f t="shared" si="128"/>
        <v>0</v>
      </c>
      <c r="AD451" s="295">
        <f t="shared" si="128"/>
        <v>0</v>
      </c>
      <c r="AE451" s="296">
        <f t="shared" si="128"/>
        <v>0</v>
      </c>
    </row>
    <row r="452" spans="1:31" ht="15" customHeight="1">
      <c r="A452" s="1711"/>
      <c r="B452" s="116">
        <v>22</v>
      </c>
      <c r="C452" s="294">
        <v>0</v>
      </c>
      <c r="D452" s="295">
        <f t="shared" si="128"/>
        <v>0</v>
      </c>
      <c r="E452" s="295">
        <f t="shared" si="128"/>
        <v>0</v>
      </c>
      <c r="F452" s="295">
        <f t="shared" si="128"/>
        <v>0</v>
      </c>
      <c r="G452" s="295">
        <f t="shared" si="128"/>
        <v>0</v>
      </c>
      <c r="H452" s="295">
        <f t="shared" si="128"/>
        <v>0</v>
      </c>
      <c r="I452" s="295">
        <f t="shared" si="128"/>
        <v>0</v>
      </c>
      <c r="J452" s="295">
        <f t="shared" si="128"/>
        <v>0</v>
      </c>
      <c r="K452" s="295">
        <f t="shared" si="128"/>
        <v>4.1695733407873926E-6</v>
      </c>
      <c r="L452" s="295">
        <f t="shared" si="128"/>
        <v>6.7718846618898463E-7</v>
      </c>
      <c r="M452" s="295">
        <f t="shared" si="128"/>
        <v>1.1105322991616723E-6</v>
      </c>
      <c r="N452" s="295">
        <f t="shared" si="124"/>
        <v>6.8531089687085189E-7</v>
      </c>
      <c r="O452" s="295">
        <f t="shared" si="124"/>
        <v>8.1790565026326112E-7</v>
      </c>
      <c r="P452" s="295">
        <f t="shared" si="124"/>
        <v>1.435343093490114E-6</v>
      </c>
      <c r="Q452" s="295">
        <f t="shared" si="128"/>
        <v>1.0731346432099431E-5</v>
      </c>
      <c r="R452" s="295">
        <f t="shared" si="128"/>
        <v>1.3497782662575679E-5</v>
      </c>
      <c r="S452" s="295">
        <f t="shared" si="128"/>
        <v>1.5740737645080839E-5</v>
      </c>
      <c r="T452" s="295">
        <f t="shared" si="128"/>
        <v>2.8437464956761815E-5</v>
      </c>
      <c r="U452" s="295">
        <f t="shared" si="128"/>
        <v>4.6901790794884617E-5</v>
      </c>
      <c r="V452" s="295">
        <f t="shared" si="128"/>
        <v>1.6822162368788678E-5</v>
      </c>
      <c r="W452" s="295">
        <f t="shared" si="128"/>
        <v>8.9317671624758943E-6</v>
      </c>
      <c r="X452" s="295">
        <f t="shared" si="128"/>
        <v>3.3644324737577361E-6</v>
      </c>
      <c r="Y452" s="295">
        <f t="shared" si="128"/>
        <v>1.9625856096920131E-6</v>
      </c>
      <c r="Z452" s="295">
        <f t="shared" si="128"/>
        <v>0</v>
      </c>
      <c r="AA452" s="295">
        <f t="shared" si="128"/>
        <v>0</v>
      </c>
      <c r="AB452" s="295">
        <f t="shared" si="128"/>
        <v>0</v>
      </c>
      <c r="AC452" s="295">
        <f t="shared" si="128"/>
        <v>0</v>
      </c>
      <c r="AD452" s="295">
        <f t="shared" si="128"/>
        <v>0</v>
      </c>
      <c r="AE452" s="296">
        <f t="shared" si="128"/>
        <v>0</v>
      </c>
    </row>
    <row r="453" spans="1:31" ht="15" customHeight="1">
      <c r="A453" s="1711"/>
      <c r="B453" s="116">
        <v>23</v>
      </c>
      <c r="C453" s="294">
        <v>0</v>
      </c>
      <c r="D453" s="295">
        <f t="shared" si="128"/>
        <v>0</v>
      </c>
      <c r="E453" s="295">
        <f t="shared" si="128"/>
        <v>0</v>
      </c>
      <c r="F453" s="295">
        <f t="shared" si="128"/>
        <v>0</v>
      </c>
      <c r="G453" s="295">
        <f t="shared" si="128"/>
        <v>0</v>
      </c>
      <c r="H453" s="295">
        <f t="shared" si="128"/>
        <v>0</v>
      </c>
      <c r="I453" s="295">
        <f t="shared" si="128"/>
        <v>0</v>
      </c>
      <c r="J453" s="295">
        <f t="shared" si="128"/>
        <v>0</v>
      </c>
      <c r="K453" s="295">
        <f t="shared" si="128"/>
        <v>0</v>
      </c>
      <c r="L453" s="295">
        <f t="shared" si="128"/>
        <v>2.2943210010020811E-7</v>
      </c>
      <c r="M453" s="295">
        <f t="shared" si="128"/>
        <v>3.72625108764815E-8</v>
      </c>
      <c r="N453" s="295">
        <f t="shared" si="124"/>
        <v>6.1107393203367795E-8</v>
      </c>
      <c r="O453" s="295">
        <f t="shared" si="124"/>
        <v>3.7709450209825197E-8</v>
      </c>
      <c r="P453" s="295">
        <f t="shared" si="124"/>
        <v>4.5005518715324795E-8</v>
      </c>
      <c r="Q453" s="295">
        <f t="shared" si="128"/>
        <v>7.8980210536739901E-8</v>
      </c>
      <c r="R453" s="295">
        <f t="shared" si="128"/>
        <v>5.9049575282311639E-7</v>
      </c>
      <c r="S453" s="295">
        <f t="shared" si="128"/>
        <v>7.4271978686099924E-7</v>
      </c>
      <c r="T453" s="295">
        <f t="shared" si="128"/>
        <v>8.6613909862425143E-7</v>
      </c>
      <c r="U453" s="295">
        <f t="shared" si="128"/>
        <v>1.5647805598555176E-6</v>
      </c>
      <c r="V453" s="295">
        <f t="shared" si="128"/>
        <v>2.5807859656208601E-6</v>
      </c>
      <c r="W453" s="295">
        <f t="shared" si="128"/>
        <v>9.2564483822439056E-7</v>
      </c>
      <c r="X453" s="295">
        <f t="shared" si="128"/>
        <v>4.9147333077152176E-7</v>
      </c>
      <c r="Y453" s="295">
        <f t="shared" si="128"/>
        <v>1.8512896764487816E-7</v>
      </c>
      <c r="Z453" s="295">
        <f t="shared" si="128"/>
        <v>1.079918977928456E-7</v>
      </c>
      <c r="AA453" s="295">
        <f t="shared" si="128"/>
        <v>0</v>
      </c>
      <c r="AB453" s="295">
        <f t="shared" si="128"/>
        <v>0</v>
      </c>
      <c r="AC453" s="295">
        <f t="shared" si="128"/>
        <v>0</v>
      </c>
      <c r="AD453" s="295">
        <f t="shared" si="128"/>
        <v>0</v>
      </c>
      <c r="AE453" s="296">
        <f t="shared" si="128"/>
        <v>0</v>
      </c>
    </row>
    <row r="454" spans="1:31" ht="15" customHeight="1">
      <c r="A454" s="1711"/>
      <c r="B454" s="116">
        <v>24</v>
      </c>
      <c r="C454" s="294">
        <v>0</v>
      </c>
      <c r="D454" s="295">
        <f t="shared" si="128"/>
        <v>0</v>
      </c>
      <c r="E454" s="295">
        <f t="shared" si="128"/>
        <v>0</v>
      </c>
      <c r="F454" s="295">
        <f t="shared" si="128"/>
        <v>0</v>
      </c>
      <c r="G454" s="295">
        <f t="shared" si="128"/>
        <v>0</v>
      </c>
      <c r="H454" s="295">
        <f t="shared" si="128"/>
        <v>0</v>
      </c>
      <c r="I454" s="295">
        <f t="shared" si="128"/>
        <v>0</v>
      </c>
      <c r="J454" s="295">
        <f t="shared" si="128"/>
        <v>0</v>
      </c>
      <c r="K454" s="295">
        <f t="shared" si="128"/>
        <v>0</v>
      </c>
      <c r="L454" s="295">
        <f t="shared" si="128"/>
        <v>0</v>
      </c>
      <c r="M454" s="295">
        <f t="shared" si="128"/>
        <v>6.3122871639489454E-9</v>
      </c>
      <c r="N454" s="295">
        <f t="shared" si="124"/>
        <v>1.0251907601394475E-9</v>
      </c>
      <c r="O454" s="295">
        <f t="shared" si="124"/>
        <v>1.6812268796368381E-9</v>
      </c>
      <c r="P454" s="295">
        <f t="shared" si="124"/>
        <v>1.0374872496703243E-9</v>
      </c>
      <c r="Q454" s="295">
        <f t="shared" si="128"/>
        <v>1.2382214954643612E-9</v>
      </c>
      <c r="R454" s="295">
        <f t="shared" si="128"/>
        <v>2.1729556106547461E-9</v>
      </c>
      <c r="S454" s="295">
        <f t="shared" si="128"/>
        <v>1.6246108366195206E-8</v>
      </c>
      <c r="T454" s="295">
        <f t="shared" si="128"/>
        <v>2.0434196326346269E-8</v>
      </c>
      <c r="U454" s="295">
        <f t="shared" si="128"/>
        <v>2.382978978116939E-8</v>
      </c>
      <c r="V454" s="295">
        <f t="shared" si="128"/>
        <v>4.3051274159364538E-8</v>
      </c>
      <c r="W454" s="295">
        <f t="shared" si="128"/>
        <v>7.1004284564247692E-8</v>
      </c>
      <c r="X454" s="295">
        <f t="shared" si="128"/>
        <v>2.5466950911173389E-8</v>
      </c>
      <c r="Y454" s="295">
        <f t="shared" si="128"/>
        <v>1.352173822188492E-8</v>
      </c>
      <c r="Z454" s="295">
        <f t="shared" si="128"/>
        <v>5.0933901822346784E-9</v>
      </c>
      <c r="AA454" s="295">
        <f t="shared" si="128"/>
        <v>2.9711442729702297E-9</v>
      </c>
      <c r="AB454" s="295">
        <f t="shared" si="128"/>
        <v>0</v>
      </c>
      <c r="AC454" s="295">
        <f t="shared" si="128"/>
        <v>0</v>
      </c>
      <c r="AD454" s="295">
        <f t="shared" si="128"/>
        <v>0</v>
      </c>
      <c r="AE454" s="296">
        <f t="shared" si="128"/>
        <v>0</v>
      </c>
    </row>
    <row r="455" spans="1:31" ht="15.75" customHeight="1" thickBot="1">
      <c r="A455" s="1711"/>
      <c r="B455" s="116">
        <v>25</v>
      </c>
      <c r="C455" s="297">
        <v>0</v>
      </c>
      <c r="D455" s="298">
        <f t="shared" si="128"/>
        <v>0</v>
      </c>
      <c r="E455" s="298">
        <f t="shared" si="128"/>
        <v>0</v>
      </c>
      <c r="F455" s="298">
        <f t="shared" si="128"/>
        <v>0</v>
      </c>
      <c r="G455" s="298">
        <f t="shared" si="128"/>
        <v>0</v>
      </c>
      <c r="H455" s="298">
        <f t="shared" si="128"/>
        <v>0</v>
      </c>
      <c r="I455" s="298">
        <f t="shared" si="128"/>
        <v>0</v>
      </c>
      <c r="J455" s="298">
        <f t="shared" si="128"/>
        <v>0</v>
      </c>
      <c r="K455" s="298">
        <f t="shared" si="128"/>
        <v>0</v>
      </c>
      <c r="L455" s="298">
        <f t="shared" si="128"/>
        <v>0</v>
      </c>
      <c r="M455" s="298">
        <f t="shared" si="128"/>
        <v>0</v>
      </c>
      <c r="N455" s="298">
        <f t="shared" si="124"/>
        <v>0</v>
      </c>
      <c r="O455" s="298">
        <f t="shared" si="124"/>
        <v>0</v>
      </c>
      <c r="P455" s="298">
        <f t="shared" si="124"/>
        <v>0</v>
      </c>
      <c r="Q455" s="298">
        <f t="shared" si="128"/>
        <v>0</v>
      </c>
      <c r="R455" s="298">
        <f t="shared" si="128"/>
        <v>0</v>
      </c>
      <c r="S455" s="298">
        <f t="shared" si="128"/>
        <v>0</v>
      </c>
      <c r="T455" s="298">
        <f t="shared" si="128"/>
        <v>0</v>
      </c>
      <c r="U455" s="298">
        <f t="shared" si="128"/>
        <v>0</v>
      </c>
      <c r="V455" s="298">
        <f t="shared" si="128"/>
        <v>0</v>
      </c>
      <c r="W455" s="298">
        <f t="shared" si="128"/>
        <v>0</v>
      </c>
      <c r="X455" s="298">
        <f t="shared" si="128"/>
        <v>0</v>
      </c>
      <c r="Y455" s="298">
        <f t="shared" si="128"/>
        <v>0</v>
      </c>
      <c r="Z455" s="298">
        <f t="shared" si="128"/>
        <v>0</v>
      </c>
      <c r="AA455" s="298">
        <f t="shared" si="128"/>
        <v>0</v>
      </c>
      <c r="AB455" s="298">
        <f t="shared" si="128"/>
        <v>0</v>
      </c>
      <c r="AC455" s="298">
        <f t="shared" si="128"/>
        <v>0</v>
      </c>
      <c r="AD455" s="298">
        <f t="shared" si="128"/>
        <v>0</v>
      </c>
      <c r="AE455" s="299">
        <f t="shared" si="128"/>
        <v>0</v>
      </c>
    </row>
    <row r="456" spans="1:31" ht="16.5" customHeight="1" thickTop="1" thickBot="1">
      <c r="A456" s="1712"/>
      <c r="B456" s="300" t="s">
        <v>39</v>
      </c>
      <c r="C456" s="301">
        <f>SUM(C430:C455)</f>
        <v>3730</v>
      </c>
      <c r="D456" s="301">
        <f>SUM(D430:D455)</f>
        <v>3682.9479587811679</v>
      </c>
      <c r="E456" s="301">
        <f t="shared" ref="E456:AB456" si="129">SUM(E430:E455)</f>
        <v>3598.4906779089897</v>
      </c>
      <c r="F456" s="301">
        <f t="shared" si="129"/>
        <v>3447.5115280088262</v>
      </c>
      <c r="G456" s="301">
        <f t="shared" si="129"/>
        <v>3193.3555586795092</v>
      </c>
      <c r="H456" s="301">
        <f t="shared" si="129"/>
        <v>2806.1293350987785</v>
      </c>
      <c r="I456" s="301">
        <f t="shared" si="129"/>
        <v>2292.2779158566773</v>
      </c>
      <c r="J456" s="301">
        <f t="shared" si="129"/>
        <v>1704.1927008532621</v>
      </c>
      <c r="K456" s="301">
        <f t="shared" si="129"/>
        <v>1128.0702485577574</v>
      </c>
      <c r="L456" s="301">
        <f t="shared" si="129"/>
        <v>657.35985833230302</v>
      </c>
      <c r="M456" s="301">
        <f t="shared" si="129"/>
        <v>336.50568583365299</v>
      </c>
      <c r="N456" s="301">
        <f t="shared" si="129"/>
        <v>152.12988299361675</v>
      </c>
      <c r="O456" s="301">
        <f t="shared" si="129"/>
        <v>61.510445526769985</v>
      </c>
      <c r="P456" s="301">
        <f t="shared" si="129"/>
        <v>21.724921865896796</v>
      </c>
      <c r="Q456" s="301">
        <f t="shared" si="129"/>
        <v>6.5458892524518903</v>
      </c>
      <c r="R456" s="301">
        <f t="shared" si="129"/>
        <v>1.6385572409074269</v>
      </c>
      <c r="S456" s="301">
        <f t="shared" si="129"/>
        <v>0.37144401508295855</v>
      </c>
      <c r="T456" s="301">
        <f t="shared" si="129"/>
        <v>7.5312906363642004E-2</v>
      </c>
      <c r="U456" s="301">
        <f t="shared" si="129"/>
        <v>1.3442873384104938E-2</v>
      </c>
      <c r="V456" s="301">
        <f t="shared" si="129"/>
        <v>2.0687061650907401E-3</v>
      </c>
      <c r="W456" s="301">
        <f t="shared" si="129"/>
        <v>2.6675456082806125E-4</v>
      </c>
      <c r="X456" s="301">
        <f t="shared" si="129"/>
        <v>2.765934347418662E-5</v>
      </c>
      <c r="Y456" s="301">
        <f t="shared" si="129"/>
        <v>2.1612363155587761E-6</v>
      </c>
      <c r="Z456" s="301">
        <f t="shared" si="129"/>
        <v>1.1308528797508029E-7</v>
      </c>
      <c r="AA456" s="301">
        <f t="shared" si="129"/>
        <v>2.9711442729702297E-9</v>
      </c>
      <c r="AB456" s="301">
        <f t="shared" si="129"/>
        <v>0</v>
      </c>
      <c r="AC456" s="301">
        <f>SUM(AC430:AC455)</f>
        <v>0</v>
      </c>
      <c r="AD456" s="301">
        <f t="shared" ref="AD456:AE456" si="130">SUM(AD430:AD455)</f>
        <v>0</v>
      </c>
      <c r="AE456" s="302">
        <f t="shared" si="130"/>
        <v>0</v>
      </c>
    </row>
    <row r="457" spans="1:31" ht="15.75" thickBot="1"/>
    <row r="458" spans="1:31" ht="15.75" customHeight="1" thickBot="1">
      <c r="A458" s="1710" t="s">
        <v>55</v>
      </c>
      <c r="B458" s="169" t="s">
        <v>10</v>
      </c>
      <c r="C458" s="288">
        <v>2012</v>
      </c>
      <c r="D458" s="289">
        <v>2013</v>
      </c>
      <c r="E458" s="289">
        <v>2014</v>
      </c>
      <c r="F458" s="289">
        <v>2015</v>
      </c>
      <c r="G458" s="288">
        <v>2016</v>
      </c>
      <c r="H458" s="289">
        <v>2017</v>
      </c>
      <c r="I458" s="289">
        <v>2018</v>
      </c>
      <c r="J458" s="289">
        <v>2019</v>
      </c>
      <c r="K458" s="288">
        <v>2020</v>
      </c>
      <c r="L458" s="289">
        <v>2021</v>
      </c>
      <c r="M458" s="289">
        <v>2022</v>
      </c>
      <c r="N458" s="289">
        <v>2023</v>
      </c>
      <c r="O458" s="288">
        <v>2024</v>
      </c>
      <c r="P458" s="289">
        <v>2025</v>
      </c>
      <c r="Q458" s="289">
        <v>2026</v>
      </c>
      <c r="R458" s="289">
        <v>2027</v>
      </c>
      <c r="S458" s="288">
        <v>2028</v>
      </c>
      <c r="T458" s="289">
        <v>2029</v>
      </c>
      <c r="U458" s="289">
        <v>2030</v>
      </c>
      <c r="V458" s="289">
        <v>2031</v>
      </c>
      <c r="W458" s="288">
        <v>2032</v>
      </c>
      <c r="X458" s="289">
        <v>2033</v>
      </c>
      <c r="Y458" s="289">
        <v>2034</v>
      </c>
      <c r="Z458" s="289">
        <v>2035</v>
      </c>
      <c r="AA458" s="288">
        <v>2036</v>
      </c>
      <c r="AB458" s="289">
        <v>2037</v>
      </c>
      <c r="AC458" s="289">
        <v>2038</v>
      </c>
      <c r="AD458" s="289">
        <v>2039</v>
      </c>
      <c r="AE458" s="290">
        <v>2040</v>
      </c>
    </row>
    <row r="459" spans="1:31">
      <c r="A459" s="1711"/>
      <c r="B459" s="116">
        <v>0</v>
      </c>
      <c r="C459" s="291">
        <f t="shared" ref="C459:C474" si="131">Y4</f>
        <v>446</v>
      </c>
      <c r="D459" s="292"/>
      <c r="E459" s="292"/>
      <c r="F459" s="292"/>
      <c r="G459" s="292"/>
      <c r="H459" s="292"/>
      <c r="I459" s="292"/>
      <c r="J459" s="292"/>
      <c r="K459" s="292"/>
      <c r="L459" s="292"/>
      <c r="M459" s="292"/>
      <c r="N459" s="292"/>
      <c r="O459" s="292"/>
      <c r="P459" s="292"/>
      <c r="Q459" s="292"/>
      <c r="R459" s="292"/>
      <c r="S459" s="292"/>
      <c r="T459" s="292"/>
      <c r="U459" s="292"/>
      <c r="V459" s="292"/>
      <c r="W459" s="292"/>
      <c r="X459" s="292"/>
      <c r="Y459" s="292"/>
      <c r="Z459" s="292"/>
      <c r="AA459" s="292"/>
      <c r="AB459" s="292"/>
      <c r="AC459" s="292"/>
      <c r="AD459" s="292"/>
      <c r="AE459" s="293"/>
    </row>
    <row r="460" spans="1:31" ht="15" customHeight="1">
      <c r="A460" s="1711"/>
      <c r="B460" s="116">
        <v>1</v>
      </c>
      <c r="C460" s="294">
        <f t="shared" si="131"/>
        <v>343</v>
      </c>
      <c r="D460" s="295">
        <f t="shared" ref="D460:AE469" si="132">C459*$E26</f>
        <v>446</v>
      </c>
      <c r="E460" s="295">
        <f t="shared" si="132"/>
        <v>0</v>
      </c>
      <c r="F460" s="295">
        <f t="shared" si="132"/>
        <v>0</v>
      </c>
      <c r="G460" s="295">
        <f t="shared" si="132"/>
        <v>0</v>
      </c>
      <c r="H460" s="295">
        <f t="shared" si="132"/>
        <v>0</v>
      </c>
      <c r="I460" s="295">
        <f t="shared" si="132"/>
        <v>0</v>
      </c>
      <c r="J460" s="295">
        <f t="shared" si="132"/>
        <v>0</v>
      </c>
      <c r="K460" s="295">
        <f t="shared" si="132"/>
        <v>0</v>
      </c>
      <c r="L460" s="295">
        <f t="shared" si="132"/>
        <v>0</v>
      </c>
      <c r="M460" s="295">
        <f t="shared" si="132"/>
        <v>0</v>
      </c>
      <c r="N460" s="295">
        <f t="shared" ref="N460:P484" si="133">M459*$E26</f>
        <v>0</v>
      </c>
      <c r="O460" s="295">
        <f t="shared" si="133"/>
        <v>0</v>
      </c>
      <c r="P460" s="295">
        <f t="shared" si="133"/>
        <v>0</v>
      </c>
      <c r="Q460" s="295">
        <f t="shared" si="132"/>
        <v>0</v>
      </c>
      <c r="R460" s="295">
        <f t="shared" si="132"/>
        <v>0</v>
      </c>
      <c r="S460" s="295">
        <f t="shared" si="132"/>
        <v>0</v>
      </c>
      <c r="T460" s="295">
        <f t="shared" si="132"/>
        <v>0</v>
      </c>
      <c r="U460" s="295">
        <f t="shared" si="132"/>
        <v>0</v>
      </c>
      <c r="V460" s="295">
        <f t="shared" si="132"/>
        <v>0</v>
      </c>
      <c r="W460" s="295">
        <f t="shared" si="132"/>
        <v>0</v>
      </c>
      <c r="X460" s="295">
        <f t="shared" si="132"/>
        <v>0</v>
      </c>
      <c r="Y460" s="295">
        <f t="shared" si="132"/>
        <v>0</v>
      </c>
      <c r="Z460" s="295">
        <f t="shared" si="132"/>
        <v>0</v>
      </c>
      <c r="AA460" s="295">
        <f t="shared" si="132"/>
        <v>0</v>
      </c>
      <c r="AB460" s="295">
        <f t="shared" si="132"/>
        <v>0</v>
      </c>
      <c r="AC460" s="295">
        <f t="shared" si="132"/>
        <v>0</v>
      </c>
      <c r="AD460" s="295">
        <f t="shared" si="132"/>
        <v>0</v>
      </c>
      <c r="AE460" s="296">
        <f t="shared" si="132"/>
        <v>0</v>
      </c>
    </row>
    <row r="461" spans="1:31" ht="15" customHeight="1">
      <c r="A461" s="1711"/>
      <c r="B461" s="116">
        <v>2</v>
      </c>
      <c r="C461" s="294">
        <f t="shared" si="131"/>
        <v>405</v>
      </c>
      <c r="D461" s="295">
        <f t="shared" si="132"/>
        <v>343</v>
      </c>
      <c r="E461" s="295">
        <f t="shared" si="132"/>
        <v>446</v>
      </c>
      <c r="F461" s="295">
        <f t="shared" si="132"/>
        <v>0</v>
      </c>
      <c r="G461" s="295">
        <f t="shared" si="132"/>
        <v>0</v>
      </c>
      <c r="H461" s="295">
        <f t="shared" si="132"/>
        <v>0</v>
      </c>
      <c r="I461" s="295">
        <f t="shared" si="132"/>
        <v>0</v>
      </c>
      <c r="J461" s="295">
        <f t="shared" si="132"/>
        <v>0</v>
      </c>
      <c r="K461" s="295">
        <f t="shared" si="132"/>
        <v>0</v>
      </c>
      <c r="L461" s="295">
        <f t="shared" si="132"/>
        <v>0</v>
      </c>
      <c r="M461" s="295">
        <f t="shared" si="132"/>
        <v>0</v>
      </c>
      <c r="N461" s="295">
        <f t="shared" si="133"/>
        <v>0</v>
      </c>
      <c r="O461" s="295">
        <f t="shared" si="133"/>
        <v>0</v>
      </c>
      <c r="P461" s="295">
        <f t="shared" si="133"/>
        <v>0</v>
      </c>
      <c r="Q461" s="295">
        <f t="shared" si="132"/>
        <v>0</v>
      </c>
      <c r="R461" s="295">
        <f t="shared" si="132"/>
        <v>0</v>
      </c>
      <c r="S461" s="295">
        <f t="shared" si="132"/>
        <v>0</v>
      </c>
      <c r="T461" s="295">
        <f t="shared" si="132"/>
        <v>0</v>
      </c>
      <c r="U461" s="295">
        <f t="shared" si="132"/>
        <v>0</v>
      </c>
      <c r="V461" s="295">
        <f t="shared" si="132"/>
        <v>0</v>
      </c>
      <c r="W461" s="295">
        <f t="shared" si="132"/>
        <v>0</v>
      </c>
      <c r="X461" s="295">
        <f t="shared" si="132"/>
        <v>0</v>
      </c>
      <c r="Y461" s="295">
        <f t="shared" si="132"/>
        <v>0</v>
      </c>
      <c r="Z461" s="295">
        <f t="shared" si="132"/>
        <v>0</v>
      </c>
      <c r="AA461" s="295">
        <f t="shared" si="132"/>
        <v>0</v>
      </c>
      <c r="AB461" s="295">
        <f t="shared" si="132"/>
        <v>0</v>
      </c>
      <c r="AC461" s="295">
        <f t="shared" si="132"/>
        <v>0</v>
      </c>
      <c r="AD461" s="295">
        <f t="shared" si="132"/>
        <v>0</v>
      </c>
      <c r="AE461" s="296">
        <f t="shared" si="132"/>
        <v>0</v>
      </c>
    </row>
    <row r="462" spans="1:31" ht="15" customHeight="1">
      <c r="A462" s="1711"/>
      <c r="B462" s="116">
        <v>3</v>
      </c>
      <c r="C462" s="294">
        <f t="shared" si="131"/>
        <v>40</v>
      </c>
      <c r="D462" s="295">
        <f t="shared" si="132"/>
        <v>405</v>
      </c>
      <c r="E462" s="295">
        <f t="shared" si="132"/>
        <v>343</v>
      </c>
      <c r="F462" s="295">
        <f t="shared" si="132"/>
        <v>446</v>
      </c>
      <c r="G462" s="295">
        <f t="shared" si="132"/>
        <v>0</v>
      </c>
      <c r="H462" s="295">
        <f t="shared" si="132"/>
        <v>0</v>
      </c>
      <c r="I462" s="295">
        <f t="shared" si="132"/>
        <v>0</v>
      </c>
      <c r="J462" s="295">
        <f t="shared" si="132"/>
        <v>0</v>
      </c>
      <c r="K462" s="295">
        <f t="shared" si="132"/>
        <v>0</v>
      </c>
      <c r="L462" s="295">
        <f t="shared" si="132"/>
        <v>0</v>
      </c>
      <c r="M462" s="295">
        <f t="shared" si="132"/>
        <v>0</v>
      </c>
      <c r="N462" s="295">
        <f t="shared" si="133"/>
        <v>0</v>
      </c>
      <c r="O462" s="295">
        <f t="shared" si="133"/>
        <v>0</v>
      </c>
      <c r="P462" s="295">
        <f t="shared" si="133"/>
        <v>0</v>
      </c>
      <c r="Q462" s="295">
        <f t="shared" si="132"/>
        <v>0</v>
      </c>
      <c r="R462" s="295">
        <f t="shared" si="132"/>
        <v>0</v>
      </c>
      <c r="S462" s="295">
        <f t="shared" si="132"/>
        <v>0</v>
      </c>
      <c r="T462" s="295">
        <f t="shared" si="132"/>
        <v>0</v>
      </c>
      <c r="U462" s="295">
        <f t="shared" si="132"/>
        <v>0</v>
      </c>
      <c r="V462" s="295">
        <f t="shared" si="132"/>
        <v>0</v>
      </c>
      <c r="W462" s="295">
        <f t="shared" si="132"/>
        <v>0</v>
      </c>
      <c r="X462" s="295">
        <f t="shared" si="132"/>
        <v>0</v>
      </c>
      <c r="Y462" s="295">
        <f t="shared" si="132"/>
        <v>0</v>
      </c>
      <c r="Z462" s="295">
        <f t="shared" si="132"/>
        <v>0</v>
      </c>
      <c r="AA462" s="295">
        <f t="shared" si="132"/>
        <v>0</v>
      </c>
      <c r="AB462" s="295">
        <f t="shared" si="132"/>
        <v>0</v>
      </c>
      <c r="AC462" s="295">
        <f t="shared" si="132"/>
        <v>0</v>
      </c>
      <c r="AD462" s="295">
        <f t="shared" si="132"/>
        <v>0</v>
      </c>
      <c r="AE462" s="296">
        <f t="shared" si="132"/>
        <v>0</v>
      </c>
    </row>
    <row r="463" spans="1:31" ht="15" customHeight="1">
      <c r="A463" s="1711"/>
      <c r="B463" s="116">
        <v>4</v>
      </c>
      <c r="C463" s="294">
        <f t="shared" si="131"/>
        <v>1</v>
      </c>
      <c r="D463" s="295">
        <f t="shared" si="132"/>
        <v>40</v>
      </c>
      <c r="E463" s="295">
        <f t="shared" si="132"/>
        <v>405</v>
      </c>
      <c r="F463" s="295">
        <f t="shared" si="132"/>
        <v>343</v>
      </c>
      <c r="G463" s="295">
        <f t="shared" si="132"/>
        <v>446</v>
      </c>
      <c r="H463" s="295">
        <f t="shared" si="132"/>
        <v>0</v>
      </c>
      <c r="I463" s="295">
        <f t="shared" si="132"/>
        <v>0</v>
      </c>
      <c r="J463" s="295">
        <f t="shared" si="132"/>
        <v>0</v>
      </c>
      <c r="K463" s="295">
        <f t="shared" si="132"/>
        <v>0</v>
      </c>
      <c r="L463" s="295">
        <f t="shared" si="132"/>
        <v>0</v>
      </c>
      <c r="M463" s="295">
        <f t="shared" si="132"/>
        <v>0</v>
      </c>
      <c r="N463" s="295">
        <f t="shared" si="133"/>
        <v>0</v>
      </c>
      <c r="O463" s="295">
        <f t="shared" si="133"/>
        <v>0</v>
      </c>
      <c r="P463" s="295">
        <f t="shared" si="133"/>
        <v>0</v>
      </c>
      <c r="Q463" s="295">
        <f t="shared" si="132"/>
        <v>0</v>
      </c>
      <c r="R463" s="295">
        <f t="shared" si="132"/>
        <v>0</v>
      </c>
      <c r="S463" s="295">
        <f t="shared" si="132"/>
        <v>0</v>
      </c>
      <c r="T463" s="295">
        <f t="shared" si="132"/>
        <v>0</v>
      </c>
      <c r="U463" s="295">
        <f t="shared" si="132"/>
        <v>0</v>
      </c>
      <c r="V463" s="295">
        <f t="shared" si="132"/>
        <v>0</v>
      </c>
      <c r="W463" s="295">
        <f t="shared" si="132"/>
        <v>0</v>
      </c>
      <c r="X463" s="295">
        <f t="shared" si="132"/>
        <v>0</v>
      </c>
      <c r="Y463" s="295">
        <f t="shared" si="132"/>
        <v>0</v>
      </c>
      <c r="Z463" s="295">
        <f t="shared" si="132"/>
        <v>0</v>
      </c>
      <c r="AA463" s="295">
        <f t="shared" si="132"/>
        <v>0</v>
      </c>
      <c r="AB463" s="295">
        <f t="shared" si="132"/>
        <v>0</v>
      </c>
      <c r="AC463" s="295">
        <f t="shared" si="132"/>
        <v>0</v>
      </c>
      <c r="AD463" s="295">
        <f t="shared" si="132"/>
        <v>0</v>
      </c>
      <c r="AE463" s="296">
        <f t="shared" si="132"/>
        <v>0</v>
      </c>
    </row>
    <row r="464" spans="1:31" ht="15" customHeight="1">
      <c r="A464" s="1711"/>
      <c r="B464" s="116">
        <v>5</v>
      </c>
      <c r="C464" s="294">
        <f t="shared" si="131"/>
        <v>0</v>
      </c>
      <c r="D464" s="295">
        <f t="shared" si="132"/>
        <v>1</v>
      </c>
      <c r="E464" s="295">
        <f t="shared" si="132"/>
        <v>40</v>
      </c>
      <c r="F464" s="295">
        <f t="shared" si="132"/>
        <v>405</v>
      </c>
      <c r="G464" s="295">
        <f t="shared" si="132"/>
        <v>343</v>
      </c>
      <c r="H464" s="295">
        <f t="shared" si="132"/>
        <v>446</v>
      </c>
      <c r="I464" s="295">
        <f t="shared" si="132"/>
        <v>0</v>
      </c>
      <c r="J464" s="295">
        <f t="shared" si="132"/>
        <v>0</v>
      </c>
      <c r="K464" s="295">
        <f t="shared" si="132"/>
        <v>0</v>
      </c>
      <c r="L464" s="295">
        <f t="shared" si="132"/>
        <v>0</v>
      </c>
      <c r="M464" s="295">
        <f t="shared" si="132"/>
        <v>0</v>
      </c>
      <c r="N464" s="295">
        <f t="shared" si="133"/>
        <v>0</v>
      </c>
      <c r="O464" s="295">
        <f t="shared" si="133"/>
        <v>0</v>
      </c>
      <c r="P464" s="295">
        <f t="shared" si="133"/>
        <v>0</v>
      </c>
      <c r="Q464" s="295">
        <f t="shared" si="132"/>
        <v>0</v>
      </c>
      <c r="R464" s="295">
        <f t="shared" si="132"/>
        <v>0</v>
      </c>
      <c r="S464" s="295">
        <f t="shared" si="132"/>
        <v>0</v>
      </c>
      <c r="T464" s="295">
        <f t="shared" si="132"/>
        <v>0</v>
      </c>
      <c r="U464" s="295">
        <f t="shared" si="132"/>
        <v>0</v>
      </c>
      <c r="V464" s="295">
        <f t="shared" si="132"/>
        <v>0</v>
      </c>
      <c r="W464" s="295">
        <f t="shared" si="132"/>
        <v>0</v>
      </c>
      <c r="X464" s="295">
        <f t="shared" si="132"/>
        <v>0</v>
      </c>
      <c r="Y464" s="295">
        <f t="shared" si="132"/>
        <v>0</v>
      </c>
      <c r="Z464" s="295">
        <f t="shared" si="132"/>
        <v>0</v>
      </c>
      <c r="AA464" s="295">
        <f t="shared" si="132"/>
        <v>0</v>
      </c>
      <c r="AB464" s="295">
        <f t="shared" si="132"/>
        <v>0</v>
      </c>
      <c r="AC464" s="295">
        <f t="shared" si="132"/>
        <v>0</v>
      </c>
      <c r="AD464" s="295">
        <f t="shared" si="132"/>
        <v>0</v>
      </c>
      <c r="AE464" s="296">
        <f t="shared" si="132"/>
        <v>0</v>
      </c>
    </row>
    <row r="465" spans="1:31" ht="15" customHeight="1">
      <c r="A465" s="1711"/>
      <c r="B465" s="116">
        <v>6</v>
      </c>
      <c r="C465" s="294">
        <f t="shared" si="131"/>
        <v>0</v>
      </c>
      <c r="D465" s="295">
        <f t="shared" si="132"/>
        <v>0</v>
      </c>
      <c r="E465" s="295">
        <f t="shared" si="132"/>
        <v>1</v>
      </c>
      <c r="F465" s="295">
        <f t="shared" si="132"/>
        <v>40</v>
      </c>
      <c r="G465" s="295">
        <f t="shared" si="132"/>
        <v>405</v>
      </c>
      <c r="H465" s="295">
        <f t="shared" si="132"/>
        <v>343</v>
      </c>
      <c r="I465" s="295">
        <f t="shared" si="132"/>
        <v>446</v>
      </c>
      <c r="J465" s="295">
        <f t="shared" si="132"/>
        <v>0</v>
      </c>
      <c r="K465" s="295">
        <f t="shared" si="132"/>
        <v>0</v>
      </c>
      <c r="L465" s="295">
        <f t="shared" si="132"/>
        <v>0</v>
      </c>
      <c r="M465" s="295">
        <f t="shared" si="132"/>
        <v>0</v>
      </c>
      <c r="N465" s="295">
        <f t="shared" si="133"/>
        <v>0</v>
      </c>
      <c r="O465" s="295">
        <f t="shared" si="133"/>
        <v>0</v>
      </c>
      <c r="P465" s="295">
        <f t="shared" si="133"/>
        <v>0</v>
      </c>
      <c r="Q465" s="295">
        <f t="shared" si="132"/>
        <v>0</v>
      </c>
      <c r="R465" s="295">
        <f t="shared" si="132"/>
        <v>0</v>
      </c>
      <c r="S465" s="295">
        <f t="shared" si="132"/>
        <v>0</v>
      </c>
      <c r="T465" s="295">
        <f t="shared" si="132"/>
        <v>0</v>
      </c>
      <c r="U465" s="295">
        <f t="shared" si="132"/>
        <v>0</v>
      </c>
      <c r="V465" s="295">
        <f t="shared" si="132"/>
        <v>0</v>
      </c>
      <c r="W465" s="295">
        <f t="shared" si="132"/>
        <v>0</v>
      </c>
      <c r="X465" s="295">
        <f t="shared" si="132"/>
        <v>0</v>
      </c>
      <c r="Y465" s="295">
        <f t="shared" si="132"/>
        <v>0</v>
      </c>
      <c r="Z465" s="295">
        <f t="shared" si="132"/>
        <v>0</v>
      </c>
      <c r="AA465" s="295">
        <f t="shared" si="132"/>
        <v>0</v>
      </c>
      <c r="AB465" s="295">
        <f t="shared" si="132"/>
        <v>0</v>
      </c>
      <c r="AC465" s="295">
        <f t="shared" si="132"/>
        <v>0</v>
      </c>
      <c r="AD465" s="295">
        <f t="shared" si="132"/>
        <v>0</v>
      </c>
      <c r="AE465" s="296">
        <f t="shared" si="132"/>
        <v>0</v>
      </c>
    </row>
    <row r="466" spans="1:31" ht="15" customHeight="1">
      <c r="A466" s="1711"/>
      <c r="B466" s="116">
        <v>7</v>
      </c>
      <c r="C466" s="294">
        <f t="shared" si="131"/>
        <v>0</v>
      </c>
      <c r="D466" s="295">
        <f t="shared" si="132"/>
        <v>0</v>
      </c>
      <c r="E466" s="295">
        <f t="shared" si="132"/>
        <v>0</v>
      </c>
      <c r="F466" s="295">
        <f t="shared" si="132"/>
        <v>1</v>
      </c>
      <c r="G466" s="295">
        <f t="shared" si="132"/>
        <v>40</v>
      </c>
      <c r="H466" s="295">
        <f t="shared" si="132"/>
        <v>405</v>
      </c>
      <c r="I466" s="295">
        <f t="shared" si="132"/>
        <v>343</v>
      </c>
      <c r="J466" s="295">
        <f t="shared" si="132"/>
        <v>446</v>
      </c>
      <c r="K466" s="295">
        <f t="shared" si="132"/>
        <v>0</v>
      </c>
      <c r="L466" s="295">
        <f t="shared" si="132"/>
        <v>0</v>
      </c>
      <c r="M466" s="295">
        <f t="shared" si="132"/>
        <v>0</v>
      </c>
      <c r="N466" s="295">
        <f t="shared" si="133"/>
        <v>0</v>
      </c>
      <c r="O466" s="295">
        <f t="shared" si="133"/>
        <v>0</v>
      </c>
      <c r="P466" s="295">
        <f t="shared" si="133"/>
        <v>0</v>
      </c>
      <c r="Q466" s="295">
        <f t="shared" si="132"/>
        <v>0</v>
      </c>
      <c r="R466" s="295">
        <f t="shared" si="132"/>
        <v>0</v>
      </c>
      <c r="S466" s="295">
        <f t="shared" si="132"/>
        <v>0</v>
      </c>
      <c r="T466" s="295">
        <f t="shared" si="132"/>
        <v>0</v>
      </c>
      <c r="U466" s="295">
        <f t="shared" si="132"/>
        <v>0</v>
      </c>
      <c r="V466" s="295">
        <f t="shared" si="132"/>
        <v>0</v>
      </c>
      <c r="W466" s="295">
        <f t="shared" si="132"/>
        <v>0</v>
      </c>
      <c r="X466" s="295">
        <f t="shared" si="132"/>
        <v>0</v>
      </c>
      <c r="Y466" s="295">
        <f t="shared" si="132"/>
        <v>0</v>
      </c>
      <c r="Z466" s="295">
        <f t="shared" si="132"/>
        <v>0</v>
      </c>
      <c r="AA466" s="295">
        <f t="shared" si="132"/>
        <v>0</v>
      </c>
      <c r="AB466" s="295">
        <f t="shared" si="132"/>
        <v>0</v>
      </c>
      <c r="AC466" s="295">
        <f t="shared" si="132"/>
        <v>0</v>
      </c>
      <c r="AD466" s="295">
        <f t="shared" si="132"/>
        <v>0</v>
      </c>
      <c r="AE466" s="296">
        <f t="shared" si="132"/>
        <v>0</v>
      </c>
    </row>
    <row r="467" spans="1:31" ht="15" customHeight="1">
      <c r="A467" s="1711"/>
      <c r="B467" s="116">
        <v>8</v>
      </c>
      <c r="C467" s="294">
        <f t="shared" si="131"/>
        <v>0</v>
      </c>
      <c r="D467" s="295">
        <f t="shared" si="132"/>
        <v>0</v>
      </c>
      <c r="E467" s="295">
        <f t="shared" si="132"/>
        <v>0</v>
      </c>
      <c r="F467" s="295">
        <f t="shared" si="132"/>
        <v>0</v>
      </c>
      <c r="G467" s="295">
        <f t="shared" si="132"/>
        <v>0.99500013160770862</v>
      </c>
      <c r="H467" s="295">
        <f t="shared" si="132"/>
        <v>39.800005264308346</v>
      </c>
      <c r="I467" s="295">
        <f t="shared" si="132"/>
        <v>402.97505330112199</v>
      </c>
      <c r="J467" s="295">
        <f t="shared" si="132"/>
        <v>341.28504514144407</v>
      </c>
      <c r="K467" s="295">
        <f t="shared" si="132"/>
        <v>443.77005869703805</v>
      </c>
      <c r="L467" s="295">
        <f t="shared" si="132"/>
        <v>0</v>
      </c>
      <c r="M467" s="295">
        <f t="shared" si="132"/>
        <v>0</v>
      </c>
      <c r="N467" s="295">
        <f t="shared" si="133"/>
        <v>0</v>
      </c>
      <c r="O467" s="295">
        <f t="shared" si="133"/>
        <v>0</v>
      </c>
      <c r="P467" s="295">
        <f t="shared" si="133"/>
        <v>0</v>
      </c>
      <c r="Q467" s="295">
        <f t="shared" si="132"/>
        <v>0</v>
      </c>
      <c r="R467" s="295">
        <f t="shared" si="132"/>
        <v>0</v>
      </c>
      <c r="S467" s="295">
        <f t="shared" si="132"/>
        <v>0</v>
      </c>
      <c r="T467" s="295">
        <f t="shared" si="132"/>
        <v>0</v>
      </c>
      <c r="U467" s="295">
        <f t="shared" si="132"/>
        <v>0</v>
      </c>
      <c r="V467" s="295">
        <f t="shared" si="132"/>
        <v>0</v>
      </c>
      <c r="W467" s="295">
        <f t="shared" si="132"/>
        <v>0</v>
      </c>
      <c r="X467" s="295">
        <f t="shared" si="132"/>
        <v>0</v>
      </c>
      <c r="Y467" s="295">
        <f t="shared" si="132"/>
        <v>0</v>
      </c>
      <c r="Z467" s="295">
        <f t="shared" si="132"/>
        <v>0</v>
      </c>
      <c r="AA467" s="295">
        <f t="shared" si="132"/>
        <v>0</v>
      </c>
      <c r="AB467" s="295">
        <f t="shared" si="132"/>
        <v>0</v>
      </c>
      <c r="AC467" s="295">
        <f t="shared" si="132"/>
        <v>0</v>
      </c>
      <c r="AD467" s="295">
        <f t="shared" si="132"/>
        <v>0</v>
      </c>
      <c r="AE467" s="296">
        <f t="shared" si="132"/>
        <v>0</v>
      </c>
    </row>
    <row r="468" spans="1:31" ht="15" customHeight="1">
      <c r="A468" s="1711"/>
      <c r="B468" s="116">
        <v>9</v>
      </c>
      <c r="C468" s="294">
        <f t="shared" si="131"/>
        <v>0</v>
      </c>
      <c r="D468" s="295">
        <f t="shared" si="132"/>
        <v>0</v>
      </c>
      <c r="E468" s="295">
        <f t="shared" si="132"/>
        <v>0</v>
      </c>
      <c r="F468" s="295">
        <f t="shared" si="132"/>
        <v>0</v>
      </c>
      <c r="G468" s="295">
        <f t="shared" si="132"/>
        <v>0</v>
      </c>
      <c r="H468" s="295">
        <f t="shared" si="132"/>
        <v>0.94044396507099393</v>
      </c>
      <c r="I468" s="295">
        <f t="shared" si="132"/>
        <v>37.617758602839757</v>
      </c>
      <c r="J468" s="295">
        <f t="shared" si="132"/>
        <v>380.87980585375254</v>
      </c>
      <c r="K468" s="295">
        <f t="shared" si="132"/>
        <v>322.5722800193509</v>
      </c>
      <c r="L468" s="295">
        <f t="shared" si="132"/>
        <v>419.43800842166331</v>
      </c>
      <c r="M468" s="295">
        <f t="shared" si="132"/>
        <v>0</v>
      </c>
      <c r="N468" s="295">
        <f t="shared" si="133"/>
        <v>0</v>
      </c>
      <c r="O468" s="295">
        <f t="shared" si="133"/>
        <v>0</v>
      </c>
      <c r="P468" s="295">
        <f t="shared" si="133"/>
        <v>0</v>
      </c>
      <c r="Q468" s="295">
        <f t="shared" si="132"/>
        <v>0</v>
      </c>
      <c r="R468" s="295">
        <f t="shared" si="132"/>
        <v>0</v>
      </c>
      <c r="S468" s="295">
        <f t="shared" si="132"/>
        <v>0</v>
      </c>
      <c r="T468" s="295">
        <f t="shared" si="132"/>
        <v>0</v>
      </c>
      <c r="U468" s="295">
        <f t="shared" si="132"/>
        <v>0</v>
      </c>
      <c r="V468" s="295">
        <f t="shared" si="132"/>
        <v>0</v>
      </c>
      <c r="W468" s="295">
        <f t="shared" si="132"/>
        <v>0</v>
      </c>
      <c r="X468" s="295">
        <f t="shared" si="132"/>
        <v>0</v>
      </c>
      <c r="Y468" s="295">
        <f t="shared" si="132"/>
        <v>0</v>
      </c>
      <c r="Z468" s="295">
        <f t="shared" si="132"/>
        <v>0</v>
      </c>
      <c r="AA468" s="295">
        <f t="shared" si="132"/>
        <v>0</v>
      </c>
      <c r="AB468" s="295">
        <f t="shared" si="132"/>
        <v>0</v>
      </c>
      <c r="AC468" s="295">
        <f t="shared" si="132"/>
        <v>0</v>
      </c>
      <c r="AD468" s="295">
        <f t="shared" si="132"/>
        <v>0</v>
      </c>
      <c r="AE468" s="296">
        <f t="shared" si="132"/>
        <v>0</v>
      </c>
    </row>
    <row r="469" spans="1:31" ht="15" customHeight="1">
      <c r="A469" s="1711"/>
      <c r="B469" s="116">
        <v>10</v>
      </c>
      <c r="C469" s="294">
        <f t="shared" si="131"/>
        <v>0</v>
      </c>
      <c r="D469" s="295">
        <f t="shared" si="132"/>
        <v>0</v>
      </c>
      <c r="E469" s="295">
        <f t="shared" si="132"/>
        <v>0</v>
      </c>
      <c r="F469" s="295">
        <f t="shared" si="132"/>
        <v>0</v>
      </c>
      <c r="G469" s="295">
        <f t="shared" ref="G469:AE469" si="134">F468*$E35</f>
        <v>0</v>
      </c>
      <c r="H469" s="295">
        <f t="shared" si="134"/>
        <v>0</v>
      </c>
      <c r="I469" s="295">
        <f t="shared" si="134"/>
        <v>0.80480996390228143</v>
      </c>
      <c r="J469" s="295">
        <f t="shared" si="134"/>
        <v>32.192398556091256</v>
      </c>
      <c r="K469" s="295">
        <f t="shared" si="134"/>
        <v>325.94803538042396</v>
      </c>
      <c r="L469" s="295">
        <f t="shared" si="134"/>
        <v>276.04981761848251</v>
      </c>
      <c r="M469" s="295">
        <f t="shared" si="134"/>
        <v>358.94524390041755</v>
      </c>
      <c r="N469" s="295">
        <f t="shared" si="133"/>
        <v>0</v>
      </c>
      <c r="O469" s="295">
        <f t="shared" si="133"/>
        <v>0</v>
      </c>
      <c r="P469" s="295">
        <f t="shared" si="133"/>
        <v>0</v>
      </c>
      <c r="Q469" s="295">
        <f t="shared" si="134"/>
        <v>0</v>
      </c>
      <c r="R469" s="295">
        <f t="shared" si="134"/>
        <v>0</v>
      </c>
      <c r="S469" s="295">
        <f t="shared" si="134"/>
        <v>0</v>
      </c>
      <c r="T469" s="295">
        <f t="shared" si="134"/>
        <v>0</v>
      </c>
      <c r="U469" s="295">
        <f t="shared" si="134"/>
        <v>0</v>
      </c>
      <c r="V469" s="295">
        <f t="shared" si="134"/>
        <v>0</v>
      </c>
      <c r="W469" s="295">
        <f t="shared" si="134"/>
        <v>0</v>
      </c>
      <c r="X469" s="295">
        <f t="shared" si="134"/>
        <v>0</v>
      </c>
      <c r="Y469" s="295">
        <f t="shared" si="134"/>
        <v>0</v>
      </c>
      <c r="Z469" s="295">
        <f t="shared" si="134"/>
        <v>0</v>
      </c>
      <c r="AA469" s="295">
        <f t="shared" si="134"/>
        <v>0</v>
      </c>
      <c r="AB469" s="295">
        <f t="shared" si="134"/>
        <v>0</v>
      </c>
      <c r="AC469" s="295">
        <f t="shared" si="134"/>
        <v>0</v>
      </c>
      <c r="AD469" s="295">
        <f t="shared" si="134"/>
        <v>0</v>
      </c>
      <c r="AE469" s="296">
        <f t="shared" si="134"/>
        <v>0</v>
      </c>
    </row>
    <row r="470" spans="1:31" ht="15" customHeight="1">
      <c r="A470" s="1711"/>
      <c r="B470" s="116">
        <v>11</v>
      </c>
      <c r="C470" s="294">
        <f t="shared" si="131"/>
        <v>0</v>
      </c>
      <c r="D470" s="295">
        <f t="shared" ref="D470:AE479" si="135">C469*$E36</f>
        <v>0</v>
      </c>
      <c r="E470" s="295">
        <f t="shared" si="135"/>
        <v>0</v>
      </c>
      <c r="F470" s="295">
        <f t="shared" si="135"/>
        <v>0</v>
      </c>
      <c r="G470" s="295">
        <f t="shared" si="135"/>
        <v>0</v>
      </c>
      <c r="H470" s="295">
        <f t="shared" si="135"/>
        <v>0</v>
      </c>
      <c r="I470" s="295">
        <f t="shared" si="135"/>
        <v>0</v>
      </c>
      <c r="J470" s="295">
        <f t="shared" si="135"/>
        <v>0.59544612098391214</v>
      </c>
      <c r="K470" s="295">
        <f t="shared" si="135"/>
        <v>23.817844839356482</v>
      </c>
      <c r="L470" s="295">
        <f t="shared" si="135"/>
        <v>241.1556789984844</v>
      </c>
      <c r="M470" s="295">
        <f t="shared" si="135"/>
        <v>204.23801949748184</v>
      </c>
      <c r="N470" s="295">
        <f t="shared" si="133"/>
        <v>265.56896995882482</v>
      </c>
      <c r="O470" s="295">
        <f t="shared" si="133"/>
        <v>0</v>
      </c>
      <c r="P470" s="295">
        <f t="shared" si="133"/>
        <v>0</v>
      </c>
      <c r="Q470" s="295">
        <f t="shared" si="135"/>
        <v>0</v>
      </c>
      <c r="R470" s="295">
        <f t="shared" si="135"/>
        <v>0</v>
      </c>
      <c r="S470" s="295">
        <f t="shared" si="135"/>
        <v>0</v>
      </c>
      <c r="T470" s="295">
        <f t="shared" si="135"/>
        <v>0</v>
      </c>
      <c r="U470" s="295">
        <f t="shared" si="135"/>
        <v>0</v>
      </c>
      <c r="V470" s="295">
        <f t="shared" si="135"/>
        <v>0</v>
      </c>
      <c r="W470" s="295">
        <f t="shared" si="135"/>
        <v>0</v>
      </c>
      <c r="X470" s="295">
        <f t="shared" si="135"/>
        <v>0</v>
      </c>
      <c r="Y470" s="295">
        <f t="shared" si="135"/>
        <v>0</v>
      </c>
      <c r="Z470" s="295">
        <f t="shared" si="135"/>
        <v>0</v>
      </c>
      <c r="AA470" s="295">
        <f t="shared" si="135"/>
        <v>0</v>
      </c>
      <c r="AB470" s="295">
        <f t="shared" si="135"/>
        <v>0</v>
      </c>
      <c r="AC470" s="295">
        <f t="shared" si="135"/>
        <v>0</v>
      </c>
      <c r="AD470" s="295">
        <f t="shared" si="135"/>
        <v>0</v>
      </c>
      <c r="AE470" s="296">
        <f t="shared" si="135"/>
        <v>0</v>
      </c>
    </row>
    <row r="471" spans="1:31" ht="15" customHeight="1">
      <c r="A471" s="1711"/>
      <c r="B471" s="116">
        <v>12</v>
      </c>
      <c r="C471" s="294">
        <f t="shared" si="131"/>
        <v>0</v>
      </c>
      <c r="D471" s="295">
        <f t="shared" si="135"/>
        <v>0</v>
      </c>
      <c r="E471" s="295">
        <f t="shared" si="135"/>
        <v>0</v>
      </c>
      <c r="F471" s="295">
        <f t="shared" si="135"/>
        <v>0</v>
      </c>
      <c r="G471" s="295">
        <f t="shared" si="135"/>
        <v>0</v>
      </c>
      <c r="H471" s="295">
        <f t="shared" si="135"/>
        <v>0</v>
      </c>
      <c r="I471" s="295">
        <f t="shared" si="135"/>
        <v>0</v>
      </c>
      <c r="J471" s="295">
        <f t="shared" si="135"/>
        <v>0</v>
      </c>
      <c r="K471" s="295">
        <f t="shared" si="135"/>
        <v>0.35716338091177496</v>
      </c>
      <c r="L471" s="295">
        <f t="shared" si="135"/>
        <v>14.286535236470996</v>
      </c>
      <c r="M471" s="295">
        <f t="shared" si="135"/>
        <v>144.65116926926885</v>
      </c>
      <c r="N471" s="295">
        <f t="shared" si="133"/>
        <v>122.5070396527388</v>
      </c>
      <c r="O471" s="295">
        <f t="shared" si="133"/>
        <v>159.29486788665164</v>
      </c>
      <c r="P471" s="295">
        <f t="shared" si="133"/>
        <v>0</v>
      </c>
      <c r="Q471" s="295">
        <f t="shared" si="135"/>
        <v>0</v>
      </c>
      <c r="R471" s="295">
        <f t="shared" si="135"/>
        <v>0</v>
      </c>
      <c r="S471" s="295">
        <f t="shared" si="135"/>
        <v>0</v>
      </c>
      <c r="T471" s="295">
        <f t="shared" si="135"/>
        <v>0</v>
      </c>
      <c r="U471" s="295">
        <f t="shared" si="135"/>
        <v>0</v>
      </c>
      <c r="V471" s="295">
        <f t="shared" si="135"/>
        <v>0</v>
      </c>
      <c r="W471" s="295">
        <f t="shared" si="135"/>
        <v>0</v>
      </c>
      <c r="X471" s="295">
        <f t="shared" si="135"/>
        <v>0</v>
      </c>
      <c r="Y471" s="295">
        <f t="shared" si="135"/>
        <v>0</v>
      </c>
      <c r="Z471" s="295">
        <f t="shared" si="135"/>
        <v>0</v>
      </c>
      <c r="AA471" s="295">
        <f t="shared" si="135"/>
        <v>0</v>
      </c>
      <c r="AB471" s="295">
        <f t="shared" si="135"/>
        <v>0</v>
      </c>
      <c r="AC471" s="295">
        <f t="shared" si="135"/>
        <v>0</v>
      </c>
      <c r="AD471" s="295">
        <f t="shared" si="135"/>
        <v>0</v>
      </c>
      <c r="AE471" s="296">
        <f t="shared" si="135"/>
        <v>0</v>
      </c>
    </row>
    <row r="472" spans="1:31" ht="15" customHeight="1">
      <c r="A472" s="1711"/>
      <c r="B472" s="116">
        <v>13</v>
      </c>
      <c r="C472" s="294">
        <f t="shared" si="131"/>
        <v>0</v>
      </c>
      <c r="D472" s="295">
        <f t="shared" si="135"/>
        <v>0</v>
      </c>
      <c r="E472" s="295">
        <f t="shared" si="135"/>
        <v>0</v>
      </c>
      <c r="F472" s="295">
        <f t="shared" si="135"/>
        <v>0</v>
      </c>
      <c r="G472" s="295">
        <f t="shared" si="135"/>
        <v>0</v>
      </c>
      <c r="H472" s="295">
        <f t="shared" si="135"/>
        <v>0</v>
      </c>
      <c r="I472" s="295">
        <f t="shared" si="135"/>
        <v>0</v>
      </c>
      <c r="J472" s="295">
        <f t="shared" si="135"/>
        <v>0</v>
      </c>
      <c r="K472" s="295">
        <f t="shared" si="135"/>
        <v>0</v>
      </c>
      <c r="L472" s="295">
        <f t="shared" si="135"/>
        <v>0.16926324809879742</v>
      </c>
      <c r="M472" s="295">
        <f t="shared" si="135"/>
        <v>6.7705299239518952</v>
      </c>
      <c r="N472" s="295">
        <f t="shared" si="133"/>
        <v>68.551615480012941</v>
      </c>
      <c r="O472" s="295">
        <f t="shared" si="133"/>
        <v>58.057294097887507</v>
      </c>
      <c r="P472" s="295">
        <f t="shared" si="133"/>
        <v>75.491408652063654</v>
      </c>
      <c r="Q472" s="295">
        <f t="shared" si="135"/>
        <v>0</v>
      </c>
      <c r="R472" s="295">
        <f t="shared" si="135"/>
        <v>0</v>
      </c>
      <c r="S472" s="295">
        <f t="shared" si="135"/>
        <v>0</v>
      </c>
      <c r="T472" s="295">
        <f t="shared" si="135"/>
        <v>0</v>
      </c>
      <c r="U472" s="295">
        <f t="shared" si="135"/>
        <v>0</v>
      </c>
      <c r="V472" s="295">
        <f t="shared" si="135"/>
        <v>0</v>
      </c>
      <c r="W472" s="295">
        <f t="shared" si="135"/>
        <v>0</v>
      </c>
      <c r="X472" s="295">
        <f t="shared" si="135"/>
        <v>0</v>
      </c>
      <c r="Y472" s="295">
        <f t="shared" si="135"/>
        <v>0</v>
      </c>
      <c r="Z472" s="295">
        <f t="shared" si="135"/>
        <v>0</v>
      </c>
      <c r="AA472" s="295">
        <f t="shared" si="135"/>
        <v>0</v>
      </c>
      <c r="AB472" s="295">
        <f t="shared" si="135"/>
        <v>0</v>
      </c>
      <c r="AC472" s="295">
        <f t="shared" si="135"/>
        <v>0</v>
      </c>
      <c r="AD472" s="295">
        <f t="shared" si="135"/>
        <v>0</v>
      </c>
      <c r="AE472" s="296">
        <f t="shared" si="135"/>
        <v>0</v>
      </c>
    </row>
    <row r="473" spans="1:31" ht="15" customHeight="1">
      <c r="A473" s="1711"/>
      <c r="B473" s="116">
        <v>14</v>
      </c>
      <c r="C473" s="294">
        <f t="shared" si="131"/>
        <v>0</v>
      </c>
      <c r="D473" s="295">
        <f t="shared" si="135"/>
        <v>0</v>
      </c>
      <c r="E473" s="295">
        <f t="shared" si="135"/>
        <v>0</v>
      </c>
      <c r="F473" s="295">
        <f t="shared" si="135"/>
        <v>0</v>
      </c>
      <c r="G473" s="295">
        <f t="shared" si="135"/>
        <v>0</v>
      </c>
      <c r="H473" s="295">
        <f t="shared" si="135"/>
        <v>0</v>
      </c>
      <c r="I473" s="295">
        <f t="shared" si="135"/>
        <v>0</v>
      </c>
      <c r="J473" s="295">
        <f t="shared" si="135"/>
        <v>0</v>
      </c>
      <c r="K473" s="295">
        <f t="shared" si="135"/>
        <v>0</v>
      </c>
      <c r="L473" s="295">
        <f t="shared" si="135"/>
        <v>0</v>
      </c>
      <c r="M473" s="295">
        <f t="shared" si="135"/>
        <v>6.0854851289286638E-2</v>
      </c>
      <c r="N473" s="295">
        <f t="shared" si="133"/>
        <v>2.4341940515714646</v>
      </c>
      <c r="O473" s="295">
        <f t="shared" si="133"/>
        <v>24.64621477216108</v>
      </c>
      <c r="P473" s="295">
        <f t="shared" si="133"/>
        <v>20.873213992225313</v>
      </c>
      <c r="Q473" s="295">
        <f t="shared" si="135"/>
        <v>27.14126367502184</v>
      </c>
      <c r="R473" s="295">
        <f t="shared" si="135"/>
        <v>0</v>
      </c>
      <c r="S473" s="295">
        <f t="shared" si="135"/>
        <v>0</v>
      </c>
      <c r="T473" s="295">
        <f t="shared" si="135"/>
        <v>0</v>
      </c>
      <c r="U473" s="295">
        <f t="shared" si="135"/>
        <v>0</v>
      </c>
      <c r="V473" s="295">
        <f t="shared" si="135"/>
        <v>0</v>
      </c>
      <c r="W473" s="295">
        <f t="shared" si="135"/>
        <v>0</v>
      </c>
      <c r="X473" s="295">
        <f t="shared" si="135"/>
        <v>0</v>
      </c>
      <c r="Y473" s="295">
        <f t="shared" si="135"/>
        <v>0</v>
      </c>
      <c r="Z473" s="295">
        <f t="shared" si="135"/>
        <v>0</v>
      </c>
      <c r="AA473" s="295">
        <f t="shared" si="135"/>
        <v>0</v>
      </c>
      <c r="AB473" s="295">
        <f t="shared" si="135"/>
        <v>0</v>
      </c>
      <c r="AC473" s="295">
        <f t="shared" si="135"/>
        <v>0</v>
      </c>
      <c r="AD473" s="295">
        <f t="shared" si="135"/>
        <v>0</v>
      </c>
      <c r="AE473" s="296">
        <f t="shared" si="135"/>
        <v>0</v>
      </c>
    </row>
    <row r="474" spans="1:31" ht="15" customHeight="1">
      <c r="A474" s="1711"/>
      <c r="B474" s="116">
        <v>15</v>
      </c>
      <c r="C474" s="294">
        <f t="shared" si="131"/>
        <v>0</v>
      </c>
      <c r="D474" s="295">
        <f t="shared" si="135"/>
        <v>0</v>
      </c>
      <c r="E474" s="295">
        <f t="shared" si="135"/>
        <v>0</v>
      </c>
      <c r="F474" s="295">
        <f t="shared" si="135"/>
        <v>0</v>
      </c>
      <c r="G474" s="295">
        <f t="shared" si="135"/>
        <v>0</v>
      </c>
      <c r="H474" s="295">
        <f t="shared" si="135"/>
        <v>0</v>
      </c>
      <c r="I474" s="295">
        <f t="shared" si="135"/>
        <v>0</v>
      </c>
      <c r="J474" s="295">
        <f t="shared" si="135"/>
        <v>0</v>
      </c>
      <c r="K474" s="295">
        <f t="shared" si="135"/>
        <v>0</v>
      </c>
      <c r="L474" s="295">
        <f t="shared" si="135"/>
        <v>0</v>
      </c>
      <c r="M474" s="295">
        <f t="shared" si="135"/>
        <v>0</v>
      </c>
      <c r="N474" s="295">
        <f t="shared" si="133"/>
        <v>1.6074134890209407E-2</v>
      </c>
      <c r="O474" s="295">
        <f t="shared" si="133"/>
        <v>0.64296539560837607</v>
      </c>
      <c r="P474" s="295">
        <f t="shared" si="133"/>
        <v>6.510024630534808</v>
      </c>
      <c r="Q474" s="295">
        <f t="shared" si="135"/>
        <v>5.5134282673418262</v>
      </c>
      <c r="R474" s="295">
        <f t="shared" si="135"/>
        <v>7.1690641610333952</v>
      </c>
      <c r="S474" s="295">
        <f t="shared" si="135"/>
        <v>0</v>
      </c>
      <c r="T474" s="295">
        <f t="shared" si="135"/>
        <v>0</v>
      </c>
      <c r="U474" s="295">
        <f t="shared" si="135"/>
        <v>0</v>
      </c>
      <c r="V474" s="295">
        <f t="shared" si="135"/>
        <v>0</v>
      </c>
      <c r="W474" s="295">
        <f t="shared" si="135"/>
        <v>0</v>
      </c>
      <c r="X474" s="295">
        <f t="shared" si="135"/>
        <v>0</v>
      </c>
      <c r="Y474" s="295">
        <f t="shared" si="135"/>
        <v>0</v>
      </c>
      <c r="Z474" s="295">
        <f t="shared" si="135"/>
        <v>0</v>
      </c>
      <c r="AA474" s="295">
        <f t="shared" si="135"/>
        <v>0</v>
      </c>
      <c r="AB474" s="295">
        <f t="shared" si="135"/>
        <v>0</v>
      </c>
      <c r="AC474" s="295">
        <f t="shared" si="135"/>
        <v>0</v>
      </c>
      <c r="AD474" s="295">
        <f t="shared" si="135"/>
        <v>0</v>
      </c>
      <c r="AE474" s="296">
        <f t="shared" si="135"/>
        <v>0</v>
      </c>
    </row>
    <row r="475" spans="1:31" ht="15" customHeight="1">
      <c r="A475" s="1711"/>
      <c r="B475" s="116">
        <v>16</v>
      </c>
      <c r="C475" s="294">
        <v>0</v>
      </c>
      <c r="D475" s="295">
        <f t="shared" si="135"/>
        <v>0</v>
      </c>
      <c r="E475" s="295">
        <f t="shared" si="135"/>
        <v>0</v>
      </c>
      <c r="F475" s="295">
        <f t="shared" si="135"/>
        <v>0</v>
      </c>
      <c r="G475" s="295">
        <f t="shared" si="135"/>
        <v>0</v>
      </c>
      <c r="H475" s="295">
        <f t="shared" si="135"/>
        <v>0</v>
      </c>
      <c r="I475" s="295">
        <f t="shared" si="135"/>
        <v>0</v>
      </c>
      <c r="J475" s="295">
        <f t="shared" si="135"/>
        <v>0</v>
      </c>
      <c r="K475" s="295">
        <f t="shared" si="135"/>
        <v>0</v>
      </c>
      <c r="L475" s="295">
        <f t="shared" si="135"/>
        <v>0</v>
      </c>
      <c r="M475" s="295">
        <f t="shared" si="135"/>
        <v>0</v>
      </c>
      <c r="N475" s="295">
        <f t="shared" si="133"/>
        <v>0</v>
      </c>
      <c r="O475" s="295">
        <f t="shared" si="133"/>
        <v>3.8212242129448903E-3</v>
      </c>
      <c r="P475" s="295">
        <f t="shared" si="133"/>
        <v>0.15284896851779556</v>
      </c>
      <c r="Q475" s="295">
        <f t="shared" si="135"/>
        <v>1.54759580624268</v>
      </c>
      <c r="R475" s="295">
        <f t="shared" si="135"/>
        <v>1.3106799050400972</v>
      </c>
      <c r="S475" s="295">
        <f t="shared" si="135"/>
        <v>1.704265998973421</v>
      </c>
      <c r="T475" s="295">
        <f t="shared" si="135"/>
        <v>0</v>
      </c>
      <c r="U475" s="295">
        <f t="shared" si="135"/>
        <v>0</v>
      </c>
      <c r="V475" s="295">
        <f t="shared" si="135"/>
        <v>0</v>
      </c>
      <c r="W475" s="295">
        <f t="shared" si="135"/>
        <v>0</v>
      </c>
      <c r="X475" s="295">
        <f t="shared" si="135"/>
        <v>0</v>
      </c>
      <c r="Y475" s="295">
        <f t="shared" si="135"/>
        <v>0</v>
      </c>
      <c r="Z475" s="295">
        <f t="shared" si="135"/>
        <v>0</v>
      </c>
      <c r="AA475" s="295">
        <f t="shared" si="135"/>
        <v>0</v>
      </c>
      <c r="AB475" s="295">
        <f t="shared" si="135"/>
        <v>0</v>
      </c>
      <c r="AC475" s="295">
        <f t="shared" si="135"/>
        <v>0</v>
      </c>
      <c r="AD475" s="295">
        <f t="shared" si="135"/>
        <v>0</v>
      </c>
      <c r="AE475" s="296">
        <f t="shared" si="135"/>
        <v>0</v>
      </c>
    </row>
    <row r="476" spans="1:31" ht="15" customHeight="1">
      <c r="A476" s="1711"/>
      <c r="B476" s="116">
        <v>17</v>
      </c>
      <c r="C476" s="294">
        <v>0</v>
      </c>
      <c r="D476" s="295">
        <f t="shared" si="135"/>
        <v>0</v>
      </c>
      <c r="E476" s="295">
        <f t="shared" si="135"/>
        <v>0</v>
      </c>
      <c r="F476" s="295">
        <f t="shared" si="135"/>
        <v>0</v>
      </c>
      <c r="G476" s="295">
        <f t="shared" si="135"/>
        <v>0</v>
      </c>
      <c r="H476" s="295">
        <f t="shared" si="135"/>
        <v>0</v>
      </c>
      <c r="I476" s="295">
        <f t="shared" si="135"/>
        <v>0</v>
      </c>
      <c r="J476" s="295">
        <f t="shared" si="135"/>
        <v>0</v>
      </c>
      <c r="K476" s="295">
        <f t="shared" si="135"/>
        <v>0</v>
      </c>
      <c r="L476" s="295">
        <f t="shared" si="135"/>
        <v>0</v>
      </c>
      <c r="M476" s="295">
        <f t="shared" si="135"/>
        <v>0</v>
      </c>
      <c r="N476" s="295">
        <f t="shared" si="133"/>
        <v>0</v>
      </c>
      <c r="O476" s="295">
        <f t="shared" si="133"/>
        <v>0</v>
      </c>
      <c r="P476" s="295">
        <f t="shared" si="133"/>
        <v>8.0746723908828354E-4</v>
      </c>
      <c r="Q476" s="295">
        <f t="shared" si="135"/>
        <v>3.2298689563531331E-2</v>
      </c>
      <c r="R476" s="295">
        <f t="shared" si="135"/>
        <v>0.32702423183075469</v>
      </c>
      <c r="S476" s="295">
        <f t="shared" si="135"/>
        <v>0.27696126300728124</v>
      </c>
      <c r="T476" s="295">
        <f t="shared" si="135"/>
        <v>0.36013038863337443</v>
      </c>
      <c r="U476" s="295">
        <f t="shared" si="135"/>
        <v>0</v>
      </c>
      <c r="V476" s="295">
        <f t="shared" si="135"/>
        <v>0</v>
      </c>
      <c r="W476" s="295">
        <f t="shared" si="135"/>
        <v>0</v>
      </c>
      <c r="X476" s="295">
        <f t="shared" si="135"/>
        <v>0</v>
      </c>
      <c r="Y476" s="295">
        <f t="shared" si="135"/>
        <v>0</v>
      </c>
      <c r="Z476" s="295">
        <f t="shared" si="135"/>
        <v>0</v>
      </c>
      <c r="AA476" s="295">
        <f t="shared" si="135"/>
        <v>0</v>
      </c>
      <c r="AB476" s="295">
        <f t="shared" si="135"/>
        <v>0</v>
      </c>
      <c r="AC476" s="295">
        <f t="shared" si="135"/>
        <v>0</v>
      </c>
      <c r="AD476" s="295">
        <f t="shared" si="135"/>
        <v>0</v>
      </c>
      <c r="AE476" s="296">
        <f t="shared" si="135"/>
        <v>0</v>
      </c>
    </row>
    <row r="477" spans="1:31" ht="15.75" customHeight="1">
      <c r="A477" s="1711"/>
      <c r="B477" s="116">
        <v>18</v>
      </c>
      <c r="C477" s="294">
        <v>0</v>
      </c>
      <c r="D477" s="295">
        <f t="shared" si="135"/>
        <v>0</v>
      </c>
      <c r="E477" s="295">
        <f t="shared" si="135"/>
        <v>0</v>
      </c>
      <c r="F477" s="295">
        <f t="shared" si="135"/>
        <v>0</v>
      </c>
      <c r="G477" s="295">
        <f t="shared" si="135"/>
        <v>0</v>
      </c>
      <c r="H477" s="295">
        <f t="shared" si="135"/>
        <v>0</v>
      </c>
      <c r="I477" s="295">
        <f t="shared" si="135"/>
        <v>0</v>
      </c>
      <c r="J477" s="295">
        <f t="shared" si="135"/>
        <v>0</v>
      </c>
      <c r="K477" s="295">
        <f t="shared" si="135"/>
        <v>0</v>
      </c>
      <c r="L477" s="295">
        <f t="shared" si="135"/>
        <v>0</v>
      </c>
      <c r="M477" s="295">
        <f t="shared" si="135"/>
        <v>0</v>
      </c>
      <c r="N477" s="295">
        <f t="shared" si="133"/>
        <v>0</v>
      </c>
      <c r="O477" s="295">
        <f t="shared" si="133"/>
        <v>0</v>
      </c>
      <c r="P477" s="295">
        <f t="shared" si="133"/>
        <v>0</v>
      </c>
      <c r="Q477" s="295">
        <f t="shared" si="135"/>
        <v>1.4929846892864753E-4</v>
      </c>
      <c r="R477" s="295">
        <f t="shared" si="135"/>
        <v>5.9719387571458993E-3</v>
      </c>
      <c r="S477" s="295">
        <f t="shared" si="135"/>
        <v>6.0465879916102222E-2</v>
      </c>
      <c r="T477" s="295">
        <f t="shared" si="135"/>
        <v>5.1209374842526099E-2</v>
      </c>
      <c r="U477" s="295">
        <f t="shared" si="135"/>
        <v>6.6587117142176799E-2</v>
      </c>
      <c r="V477" s="295">
        <f t="shared" si="135"/>
        <v>0</v>
      </c>
      <c r="W477" s="295">
        <f t="shared" si="135"/>
        <v>0</v>
      </c>
      <c r="X477" s="295">
        <f t="shared" si="135"/>
        <v>0</v>
      </c>
      <c r="Y477" s="295">
        <f t="shared" si="135"/>
        <v>0</v>
      </c>
      <c r="Z477" s="295">
        <f t="shared" si="135"/>
        <v>0</v>
      </c>
      <c r="AA477" s="295">
        <f t="shared" si="135"/>
        <v>0</v>
      </c>
      <c r="AB477" s="295">
        <f t="shared" si="135"/>
        <v>0</v>
      </c>
      <c r="AC477" s="295">
        <f t="shared" si="135"/>
        <v>0</v>
      </c>
      <c r="AD477" s="295">
        <f t="shared" si="135"/>
        <v>0</v>
      </c>
      <c r="AE477" s="296">
        <f t="shared" si="135"/>
        <v>0</v>
      </c>
    </row>
    <row r="478" spans="1:31" ht="16.5" customHeight="1">
      <c r="A478" s="1711"/>
      <c r="B478" s="116">
        <v>19</v>
      </c>
      <c r="C478" s="294">
        <v>0</v>
      </c>
      <c r="D478" s="295">
        <f t="shared" si="135"/>
        <v>0</v>
      </c>
      <c r="E478" s="295">
        <f t="shared" si="135"/>
        <v>0</v>
      </c>
      <c r="F478" s="295">
        <f t="shared" si="135"/>
        <v>0</v>
      </c>
      <c r="G478" s="295">
        <f t="shared" si="135"/>
        <v>0</v>
      </c>
      <c r="H478" s="295">
        <f t="shared" si="135"/>
        <v>0</v>
      </c>
      <c r="I478" s="295">
        <f t="shared" si="135"/>
        <v>0</v>
      </c>
      <c r="J478" s="295">
        <f t="shared" si="135"/>
        <v>0</v>
      </c>
      <c r="K478" s="295">
        <f t="shared" si="135"/>
        <v>0</v>
      </c>
      <c r="L478" s="295">
        <f t="shared" si="135"/>
        <v>0</v>
      </c>
      <c r="M478" s="295">
        <f t="shared" si="135"/>
        <v>0</v>
      </c>
      <c r="N478" s="295">
        <f t="shared" si="133"/>
        <v>0</v>
      </c>
      <c r="O478" s="295">
        <f t="shared" si="133"/>
        <v>0</v>
      </c>
      <c r="P478" s="295">
        <f t="shared" si="133"/>
        <v>0</v>
      </c>
      <c r="Q478" s="295">
        <f t="shared" si="135"/>
        <v>0</v>
      </c>
      <c r="R478" s="295">
        <f t="shared" si="135"/>
        <v>2.3661322089698099E-5</v>
      </c>
      <c r="S478" s="295">
        <f t="shared" si="135"/>
        <v>9.4645288358792372E-4</v>
      </c>
      <c r="T478" s="295">
        <f t="shared" si="135"/>
        <v>9.5828354463277261E-3</v>
      </c>
      <c r="U478" s="295">
        <f t="shared" si="135"/>
        <v>8.1158334767664486E-3</v>
      </c>
      <c r="V478" s="295">
        <f t="shared" si="135"/>
        <v>1.0552949652005353E-2</v>
      </c>
      <c r="W478" s="295">
        <f t="shared" si="135"/>
        <v>0</v>
      </c>
      <c r="X478" s="295">
        <f t="shared" si="135"/>
        <v>0</v>
      </c>
      <c r="Y478" s="295">
        <f t="shared" si="135"/>
        <v>0</v>
      </c>
      <c r="Z478" s="295">
        <f t="shared" si="135"/>
        <v>0</v>
      </c>
      <c r="AA478" s="295">
        <f t="shared" si="135"/>
        <v>0</v>
      </c>
      <c r="AB478" s="295">
        <f t="shared" si="135"/>
        <v>0</v>
      </c>
      <c r="AC478" s="295">
        <f t="shared" si="135"/>
        <v>0</v>
      </c>
      <c r="AD478" s="295">
        <f t="shared" si="135"/>
        <v>0</v>
      </c>
      <c r="AE478" s="296">
        <f t="shared" si="135"/>
        <v>0</v>
      </c>
    </row>
    <row r="479" spans="1:31">
      <c r="A479" s="1711"/>
      <c r="B479" s="116">
        <v>20</v>
      </c>
      <c r="C479" s="294">
        <v>0</v>
      </c>
      <c r="D479" s="295">
        <f t="shared" si="135"/>
        <v>0</v>
      </c>
      <c r="E479" s="295">
        <f t="shared" si="135"/>
        <v>0</v>
      </c>
      <c r="F479" s="295">
        <f t="shared" si="135"/>
        <v>0</v>
      </c>
      <c r="G479" s="295">
        <f t="shared" ref="G479:AE479" si="136">F478*$E45</f>
        <v>0</v>
      </c>
      <c r="H479" s="295">
        <f t="shared" si="136"/>
        <v>0</v>
      </c>
      <c r="I479" s="295">
        <f t="shared" si="136"/>
        <v>0</v>
      </c>
      <c r="J479" s="295">
        <f t="shared" si="136"/>
        <v>0</v>
      </c>
      <c r="K479" s="295">
        <f t="shared" si="136"/>
        <v>0</v>
      </c>
      <c r="L479" s="295">
        <f t="shared" si="136"/>
        <v>0</v>
      </c>
      <c r="M479" s="295">
        <f t="shared" si="136"/>
        <v>0</v>
      </c>
      <c r="N479" s="295">
        <f t="shared" si="133"/>
        <v>0</v>
      </c>
      <c r="O479" s="295">
        <f t="shared" si="133"/>
        <v>0</v>
      </c>
      <c r="P479" s="295">
        <f t="shared" si="133"/>
        <v>0</v>
      </c>
      <c r="Q479" s="295">
        <f t="shared" si="136"/>
        <v>0</v>
      </c>
      <c r="R479" s="295">
        <f t="shared" si="136"/>
        <v>0</v>
      </c>
      <c r="S479" s="295">
        <f t="shared" si="136"/>
        <v>3.1249380689675259E-6</v>
      </c>
      <c r="T479" s="295">
        <f t="shared" si="136"/>
        <v>1.24997522758701E-4</v>
      </c>
      <c r="U479" s="295">
        <f t="shared" si="136"/>
        <v>1.2655999179318476E-3</v>
      </c>
      <c r="V479" s="295">
        <f t="shared" si="136"/>
        <v>1.0718537576558614E-3</v>
      </c>
      <c r="W479" s="295">
        <f t="shared" si="136"/>
        <v>1.3937223787595168E-3</v>
      </c>
      <c r="X479" s="295">
        <f t="shared" si="136"/>
        <v>0</v>
      </c>
      <c r="Y479" s="295">
        <f t="shared" si="136"/>
        <v>0</v>
      </c>
      <c r="Z479" s="295">
        <f t="shared" si="136"/>
        <v>0</v>
      </c>
      <c r="AA479" s="295">
        <f t="shared" si="136"/>
        <v>0</v>
      </c>
      <c r="AB479" s="295">
        <f t="shared" si="136"/>
        <v>0</v>
      </c>
      <c r="AC479" s="295">
        <f t="shared" si="136"/>
        <v>0</v>
      </c>
      <c r="AD479" s="295">
        <f t="shared" si="136"/>
        <v>0</v>
      </c>
      <c r="AE479" s="296">
        <f t="shared" si="136"/>
        <v>0</v>
      </c>
    </row>
    <row r="480" spans="1:31" ht="15.75" customHeight="1">
      <c r="A480" s="1711"/>
      <c r="B480" s="116">
        <v>21</v>
      </c>
      <c r="C480" s="294">
        <v>0</v>
      </c>
      <c r="D480" s="295">
        <f t="shared" ref="D480:AE484" si="137">C479*$E46</f>
        <v>0</v>
      </c>
      <c r="E480" s="295">
        <f t="shared" si="137"/>
        <v>0</v>
      </c>
      <c r="F480" s="295">
        <f t="shared" si="137"/>
        <v>0</v>
      </c>
      <c r="G480" s="295">
        <f t="shared" si="137"/>
        <v>0</v>
      </c>
      <c r="H480" s="295">
        <f t="shared" si="137"/>
        <v>0</v>
      </c>
      <c r="I480" s="295">
        <f t="shared" si="137"/>
        <v>0</v>
      </c>
      <c r="J480" s="295">
        <f t="shared" si="137"/>
        <v>0</v>
      </c>
      <c r="K480" s="295">
        <f t="shared" si="137"/>
        <v>0</v>
      </c>
      <c r="L480" s="295">
        <f t="shared" si="137"/>
        <v>0</v>
      </c>
      <c r="M480" s="295">
        <f t="shared" si="137"/>
        <v>0</v>
      </c>
      <c r="N480" s="295">
        <f t="shared" si="133"/>
        <v>0</v>
      </c>
      <c r="O480" s="295">
        <f t="shared" si="133"/>
        <v>0</v>
      </c>
      <c r="P480" s="295">
        <f t="shared" si="133"/>
        <v>0</v>
      </c>
      <c r="Q480" s="295">
        <f t="shared" si="137"/>
        <v>0</v>
      </c>
      <c r="R480" s="295">
        <f t="shared" si="137"/>
        <v>0</v>
      </c>
      <c r="S480" s="295">
        <f t="shared" si="137"/>
        <v>0</v>
      </c>
      <c r="T480" s="295">
        <f t="shared" si="137"/>
        <v>3.3016711062427651E-7</v>
      </c>
      <c r="U480" s="295">
        <f t="shared" si="137"/>
        <v>1.3206684424971058E-5</v>
      </c>
      <c r="V480" s="295">
        <f t="shared" si="137"/>
        <v>1.3371767980283194E-4</v>
      </c>
      <c r="W480" s="295">
        <f t="shared" si="137"/>
        <v>1.1324731894412686E-4</v>
      </c>
      <c r="X480" s="295">
        <f t="shared" si="137"/>
        <v>1.4725453133842737E-4</v>
      </c>
      <c r="Y480" s="295">
        <f t="shared" si="137"/>
        <v>0</v>
      </c>
      <c r="Z480" s="295">
        <f t="shared" si="137"/>
        <v>0</v>
      </c>
      <c r="AA480" s="295">
        <f t="shared" si="137"/>
        <v>0</v>
      </c>
      <c r="AB480" s="295">
        <f t="shared" si="137"/>
        <v>0</v>
      </c>
      <c r="AC480" s="295">
        <f t="shared" si="137"/>
        <v>0</v>
      </c>
      <c r="AD480" s="295">
        <f t="shared" si="137"/>
        <v>0</v>
      </c>
      <c r="AE480" s="296">
        <f t="shared" si="137"/>
        <v>0</v>
      </c>
    </row>
    <row r="481" spans="1:31" ht="15" customHeight="1">
      <c r="A481" s="1711"/>
      <c r="B481" s="116">
        <v>22</v>
      </c>
      <c r="C481" s="294">
        <v>0</v>
      </c>
      <c r="D481" s="295">
        <f t="shared" si="137"/>
        <v>0</v>
      </c>
      <c r="E481" s="295">
        <f t="shared" si="137"/>
        <v>0</v>
      </c>
      <c r="F481" s="295">
        <f t="shared" si="137"/>
        <v>0</v>
      </c>
      <c r="G481" s="295">
        <f t="shared" si="137"/>
        <v>0</v>
      </c>
      <c r="H481" s="295">
        <f t="shared" si="137"/>
        <v>0</v>
      </c>
      <c r="I481" s="295">
        <f t="shared" si="137"/>
        <v>0</v>
      </c>
      <c r="J481" s="295">
        <f t="shared" si="137"/>
        <v>0</v>
      </c>
      <c r="K481" s="295">
        <f t="shared" si="137"/>
        <v>0</v>
      </c>
      <c r="L481" s="295">
        <f t="shared" si="137"/>
        <v>0</v>
      </c>
      <c r="M481" s="295">
        <f t="shared" si="137"/>
        <v>0</v>
      </c>
      <c r="N481" s="295">
        <f t="shared" si="133"/>
        <v>0</v>
      </c>
      <c r="O481" s="295">
        <f t="shared" si="133"/>
        <v>0</v>
      </c>
      <c r="P481" s="295">
        <f t="shared" si="133"/>
        <v>0</v>
      </c>
      <c r="Q481" s="295">
        <f t="shared" si="137"/>
        <v>0</v>
      </c>
      <c r="R481" s="295">
        <f t="shared" si="137"/>
        <v>0</v>
      </c>
      <c r="S481" s="295">
        <f t="shared" si="137"/>
        <v>0</v>
      </c>
      <c r="T481" s="295">
        <f t="shared" si="137"/>
        <v>0</v>
      </c>
      <c r="U481" s="295">
        <f t="shared" si="137"/>
        <v>2.6162995521540059E-8</v>
      </c>
      <c r="V481" s="295">
        <f t="shared" si="137"/>
        <v>1.0465198208616021E-6</v>
      </c>
      <c r="W481" s="295">
        <f t="shared" si="137"/>
        <v>1.0596013186223721E-5</v>
      </c>
      <c r="X481" s="295">
        <f t="shared" si="137"/>
        <v>8.9739074638882405E-6</v>
      </c>
      <c r="Y481" s="295">
        <f t="shared" si="137"/>
        <v>1.1668696002606871E-5</v>
      </c>
      <c r="Z481" s="295">
        <f t="shared" si="137"/>
        <v>0</v>
      </c>
      <c r="AA481" s="295">
        <f t="shared" si="137"/>
        <v>0</v>
      </c>
      <c r="AB481" s="295">
        <f t="shared" si="137"/>
        <v>0</v>
      </c>
      <c r="AC481" s="295">
        <f t="shared" si="137"/>
        <v>0</v>
      </c>
      <c r="AD481" s="295">
        <f t="shared" si="137"/>
        <v>0</v>
      </c>
      <c r="AE481" s="296">
        <f t="shared" si="137"/>
        <v>0</v>
      </c>
    </row>
    <row r="482" spans="1:31" ht="15" customHeight="1">
      <c r="A482" s="1711"/>
      <c r="B482" s="116">
        <v>23</v>
      </c>
      <c r="C482" s="294">
        <v>0</v>
      </c>
      <c r="D482" s="295">
        <f t="shared" si="137"/>
        <v>0</v>
      </c>
      <c r="E482" s="295">
        <f t="shared" si="137"/>
        <v>0</v>
      </c>
      <c r="F482" s="295">
        <f t="shared" si="137"/>
        <v>0</v>
      </c>
      <c r="G482" s="295">
        <f t="shared" si="137"/>
        <v>0</v>
      </c>
      <c r="H482" s="295">
        <f t="shared" si="137"/>
        <v>0</v>
      </c>
      <c r="I482" s="295">
        <f t="shared" si="137"/>
        <v>0</v>
      </c>
      <c r="J482" s="295">
        <f t="shared" si="137"/>
        <v>0</v>
      </c>
      <c r="K482" s="295">
        <f t="shared" si="137"/>
        <v>0</v>
      </c>
      <c r="L482" s="295">
        <f t="shared" si="137"/>
        <v>0</v>
      </c>
      <c r="M482" s="295">
        <f t="shared" si="137"/>
        <v>0</v>
      </c>
      <c r="N482" s="295">
        <f t="shared" si="133"/>
        <v>0</v>
      </c>
      <c r="O482" s="295">
        <f t="shared" si="133"/>
        <v>0</v>
      </c>
      <c r="P482" s="295">
        <f t="shared" si="133"/>
        <v>0</v>
      </c>
      <c r="Q482" s="295">
        <f t="shared" si="137"/>
        <v>0</v>
      </c>
      <c r="R482" s="295">
        <f t="shared" si="137"/>
        <v>0</v>
      </c>
      <c r="S482" s="295">
        <f t="shared" si="137"/>
        <v>0</v>
      </c>
      <c r="T482" s="295">
        <f t="shared" si="137"/>
        <v>0</v>
      </c>
      <c r="U482" s="295">
        <f t="shared" si="137"/>
        <v>0</v>
      </c>
      <c r="V482" s="295">
        <f t="shared" si="137"/>
        <v>1.3821330928770686E-9</v>
      </c>
      <c r="W482" s="295">
        <f t="shared" si="137"/>
        <v>5.5285323715082726E-8</v>
      </c>
      <c r="X482" s="295">
        <f t="shared" si="137"/>
        <v>5.5976390261521257E-7</v>
      </c>
      <c r="Y482" s="295">
        <f t="shared" si="137"/>
        <v>4.7407165085683451E-7</v>
      </c>
      <c r="Z482" s="295">
        <f t="shared" si="137"/>
        <v>6.1643135942317276E-7</v>
      </c>
      <c r="AA482" s="295">
        <f t="shared" si="137"/>
        <v>0</v>
      </c>
      <c r="AB482" s="295">
        <f t="shared" si="137"/>
        <v>0</v>
      </c>
      <c r="AC482" s="295">
        <f t="shared" si="137"/>
        <v>0</v>
      </c>
      <c r="AD482" s="295">
        <f t="shared" si="137"/>
        <v>0</v>
      </c>
      <c r="AE482" s="296">
        <f t="shared" si="137"/>
        <v>0</v>
      </c>
    </row>
    <row r="483" spans="1:31" ht="15" customHeight="1">
      <c r="A483" s="1711"/>
      <c r="B483" s="116">
        <v>24</v>
      </c>
      <c r="C483" s="294">
        <v>0</v>
      </c>
      <c r="D483" s="295">
        <f t="shared" si="137"/>
        <v>0</v>
      </c>
      <c r="E483" s="295">
        <f t="shared" si="137"/>
        <v>0</v>
      </c>
      <c r="F483" s="295">
        <f t="shared" si="137"/>
        <v>0</v>
      </c>
      <c r="G483" s="295">
        <f t="shared" si="137"/>
        <v>0</v>
      </c>
      <c r="H483" s="295">
        <f t="shared" si="137"/>
        <v>0</v>
      </c>
      <c r="I483" s="295">
        <f t="shared" si="137"/>
        <v>0</v>
      </c>
      <c r="J483" s="295">
        <f t="shared" si="137"/>
        <v>0</v>
      </c>
      <c r="K483" s="295">
        <f t="shared" si="137"/>
        <v>0</v>
      </c>
      <c r="L483" s="295">
        <f t="shared" si="137"/>
        <v>0</v>
      </c>
      <c r="M483" s="295">
        <f t="shared" si="137"/>
        <v>0</v>
      </c>
      <c r="N483" s="295">
        <f t="shared" si="133"/>
        <v>0</v>
      </c>
      <c r="O483" s="295">
        <f t="shared" si="133"/>
        <v>0</v>
      </c>
      <c r="P483" s="295">
        <f t="shared" si="133"/>
        <v>0</v>
      </c>
      <c r="Q483" s="295">
        <f t="shared" si="137"/>
        <v>0</v>
      </c>
      <c r="R483" s="295">
        <f t="shared" si="137"/>
        <v>0</v>
      </c>
      <c r="S483" s="295">
        <f t="shared" si="137"/>
        <v>0</v>
      </c>
      <c r="T483" s="295">
        <f t="shared" si="137"/>
        <v>0</v>
      </c>
      <c r="U483" s="295">
        <f t="shared" si="137"/>
        <v>0</v>
      </c>
      <c r="V483" s="295">
        <f t="shared" si="137"/>
        <v>0</v>
      </c>
      <c r="W483" s="295">
        <f t="shared" si="137"/>
        <v>3.6507514685258053E-11</v>
      </c>
      <c r="X483" s="295">
        <f t="shared" si="137"/>
        <v>1.4603005874103218E-9</v>
      </c>
      <c r="Y483" s="295">
        <f t="shared" si="137"/>
        <v>1.4785543447529508E-8</v>
      </c>
      <c r="Z483" s="295">
        <f t="shared" si="137"/>
        <v>1.2522077537043513E-8</v>
      </c>
      <c r="AA483" s="295">
        <f t="shared" si="137"/>
        <v>1.6282351549625097E-8</v>
      </c>
      <c r="AB483" s="295">
        <f t="shared" si="137"/>
        <v>0</v>
      </c>
      <c r="AC483" s="295">
        <f t="shared" si="137"/>
        <v>0</v>
      </c>
      <c r="AD483" s="295">
        <f t="shared" si="137"/>
        <v>0</v>
      </c>
      <c r="AE483" s="296">
        <f t="shared" si="137"/>
        <v>0</v>
      </c>
    </row>
    <row r="484" spans="1:31" ht="15.75" customHeight="1" thickBot="1">
      <c r="A484" s="1711"/>
      <c r="B484" s="116">
        <v>25</v>
      </c>
      <c r="C484" s="297">
        <v>0</v>
      </c>
      <c r="D484" s="298">
        <f t="shared" si="137"/>
        <v>0</v>
      </c>
      <c r="E484" s="298">
        <f t="shared" si="137"/>
        <v>0</v>
      </c>
      <c r="F484" s="298">
        <f t="shared" si="137"/>
        <v>0</v>
      </c>
      <c r="G484" s="298">
        <f t="shared" si="137"/>
        <v>0</v>
      </c>
      <c r="H484" s="298">
        <f t="shared" si="137"/>
        <v>0</v>
      </c>
      <c r="I484" s="298">
        <f t="shared" si="137"/>
        <v>0</v>
      </c>
      <c r="J484" s="298">
        <f t="shared" si="137"/>
        <v>0</v>
      </c>
      <c r="K484" s="298">
        <f t="shared" si="137"/>
        <v>0</v>
      </c>
      <c r="L484" s="298">
        <f t="shared" si="137"/>
        <v>0</v>
      </c>
      <c r="M484" s="298">
        <f t="shared" si="137"/>
        <v>0</v>
      </c>
      <c r="N484" s="298">
        <f t="shared" si="133"/>
        <v>0</v>
      </c>
      <c r="O484" s="298">
        <f t="shared" si="133"/>
        <v>0</v>
      </c>
      <c r="P484" s="298">
        <f t="shared" si="133"/>
        <v>0</v>
      </c>
      <c r="Q484" s="298">
        <f t="shared" si="137"/>
        <v>0</v>
      </c>
      <c r="R484" s="298">
        <f t="shared" si="137"/>
        <v>0</v>
      </c>
      <c r="S484" s="298">
        <f t="shared" si="137"/>
        <v>0</v>
      </c>
      <c r="T484" s="298">
        <f t="shared" si="137"/>
        <v>0</v>
      </c>
      <c r="U484" s="298">
        <f t="shared" si="137"/>
        <v>0</v>
      </c>
      <c r="V484" s="298">
        <f t="shared" si="137"/>
        <v>0</v>
      </c>
      <c r="W484" s="298">
        <f t="shared" si="137"/>
        <v>0</v>
      </c>
      <c r="X484" s="298">
        <f t="shared" si="137"/>
        <v>0</v>
      </c>
      <c r="Y484" s="298">
        <f t="shared" si="137"/>
        <v>0</v>
      </c>
      <c r="Z484" s="298">
        <f t="shared" si="137"/>
        <v>0</v>
      </c>
      <c r="AA484" s="298">
        <f t="shared" si="137"/>
        <v>0</v>
      </c>
      <c r="AB484" s="298">
        <f t="shared" si="137"/>
        <v>0</v>
      </c>
      <c r="AC484" s="298">
        <f t="shared" si="137"/>
        <v>0</v>
      </c>
      <c r="AD484" s="298">
        <f t="shared" si="137"/>
        <v>0</v>
      </c>
      <c r="AE484" s="299">
        <f t="shared" si="137"/>
        <v>0</v>
      </c>
    </row>
    <row r="485" spans="1:31" ht="16.5" customHeight="1" thickTop="1" thickBot="1">
      <c r="A485" s="1712"/>
      <c r="B485" s="300" t="s">
        <v>39</v>
      </c>
      <c r="C485" s="301">
        <f>SUM(C459:C484)</f>
        <v>1235</v>
      </c>
      <c r="D485" s="301">
        <f>SUM(D459:D484)</f>
        <v>1235</v>
      </c>
      <c r="E485" s="301">
        <f t="shared" ref="E485:AB485" si="138">SUM(E459:E484)</f>
        <v>1235</v>
      </c>
      <c r="F485" s="301">
        <f t="shared" si="138"/>
        <v>1235</v>
      </c>
      <c r="G485" s="301">
        <f t="shared" si="138"/>
        <v>1234.9950001316076</v>
      </c>
      <c r="H485" s="301">
        <f t="shared" si="138"/>
        <v>1234.7404492293792</v>
      </c>
      <c r="I485" s="301">
        <f t="shared" si="138"/>
        <v>1230.397621867864</v>
      </c>
      <c r="J485" s="301">
        <f t="shared" si="138"/>
        <v>1200.9526956722718</v>
      </c>
      <c r="K485" s="301">
        <f t="shared" si="138"/>
        <v>1116.4653823170811</v>
      </c>
      <c r="L485" s="301">
        <f t="shared" si="138"/>
        <v>951.09930352319998</v>
      </c>
      <c r="M485" s="301">
        <f t="shared" si="138"/>
        <v>714.66581744240943</v>
      </c>
      <c r="N485" s="301">
        <f t="shared" si="138"/>
        <v>459.07789327803823</v>
      </c>
      <c r="O485" s="301">
        <f t="shared" si="138"/>
        <v>242.64516337652154</v>
      </c>
      <c r="P485" s="301">
        <f t="shared" si="138"/>
        <v>103.02830371058067</v>
      </c>
      <c r="Q485" s="301">
        <f t="shared" si="138"/>
        <v>34.234735736638811</v>
      </c>
      <c r="R485" s="301">
        <f t="shared" si="138"/>
        <v>8.8127638979834817</v>
      </c>
      <c r="S485" s="301">
        <f t="shared" si="138"/>
        <v>2.0426427197184611</v>
      </c>
      <c r="T485" s="301">
        <f t="shared" si="138"/>
        <v>0.42104792661209756</v>
      </c>
      <c r="U485" s="301">
        <f t="shared" si="138"/>
        <v>7.5981783384295593E-2</v>
      </c>
      <c r="V485" s="301">
        <f t="shared" si="138"/>
        <v>1.1759568991418001E-2</v>
      </c>
      <c r="W485" s="301">
        <f t="shared" si="138"/>
        <v>1.5176210327210971E-3</v>
      </c>
      <c r="X485" s="301">
        <f t="shared" si="138"/>
        <v>1.5678966300551822E-4</v>
      </c>
      <c r="Y485" s="301">
        <f t="shared" si="138"/>
        <v>1.2157553196911233E-5</v>
      </c>
      <c r="Z485" s="301">
        <f t="shared" si="138"/>
        <v>6.2895343696021624E-7</v>
      </c>
      <c r="AA485" s="301">
        <f t="shared" si="138"/>
        <v>1.6282351549625097E-8</v>
      </c>
      <c r="AB485" s="301">
        <f t="shared" si="138"/>
        <v>0</v>
      </c>
      <c r="AC485" s="301">
        <f>SUM(AC459:AC484)</f>
        <v>0</v>
      </c>
      <c r="AD485" s="301">
        <f t="shared" ref="AD485:AE485" si="139">SUM(AD459:AD484)</f>
        <v>0</v>
      </c>
      <c r="AE485" s="302">
        <f t="shared" si="139"/>
        <v>0</v>
      </c>
    </row>
    <row r="486" spans="1:31" ht="15.75" thickBot="1"/>
    <row r="487" spans="1:31" ht="15.75" customHeight="1" thickBot="1">
      <c r="A487" s="1710" t="s">
        <v>56</v>
      </c>
      <c r="B487" s="169" t="s">
        <v>10</v>
      </c>
      <c r="C487" s="288">
        <v>2012</v>
      </c>
      <c r="D487" s="289">
        <v>2013</v>
      </c>
      <c r="E487" s="289">
        <v>2014</v>
      </c>
      <c r="F487" s="289">
        <v>2015</v>
      </c>
      <c r="G487" s="288">
        <v>2016</v>
      </c>
      <c r="H487" s="289">
        <v>2017</v>
      </c>
      <c r="I487" s="289">
        <v>2018</v>
      </c>
      <c r="J487" s="289">
        <v>2019</v>
      </c>
      <c r="K487" s="288">
        <v>2020</v>
      </c>
      <c r="L487" s="289">
        <v>2021</v>
      </c>
      <c r="M487" s="289">
        <v>2022</v>
      </c>
      <c r="N487" s="289">
        <v>2023</v>
      </c>
      <c r="O487" s="288">
        <v>2024</v>
      </c>
      <c r="P487" s="289">
        <v>2025</v>
      </c>
      <c r="Q487" s="289">
        <v>2026</v>
      </c>
      <c r="R487" s="289">
        <v>2027</v>
      </c>
      <c r="S487" s="288">
        <v>2028</v>
      </c>
      <c r="T487" s="289">
        <v>2029</v>
      </c>
      <c r="U487" s="289">
        <v>2030</v>
      </c>
      <c r="V487" s="289">
        <v>2031</v>
      </c>
      <c r="W487" s="288">
        <v>2032</v>
      </c>
      <c r="X487" s="289">
        <v>2033</v>
      </c>
      <c r="Y487" s="289">
        <v>2034</v>
      </c>
      <c r="Z487" s="289">
        <v>2035</v>
      </c>
      <c r="AA487" s="288">
        <v>2036</v>
      </c>
      <c r="AB487" s="289">
        <v>2037</v>
      </c>
      <c r="AC487" s="289">
        <v>2038</v>
      </c>
      <c r="AD487" s="289">
        <v>2039</v>
      </c>
      <c r="AE487" s="290">
        <v>2040</v>
      </c>
    </row>
    <row r="488" spans="1:31" ht="15" customHeight="1">
      <c r="A488" s="1711" t="s">
        <v>41</v>
      </c>
      <c r="B488" s="116">
        <v>0</v>
      </c>
      <c r="C488" s="291">
        <f t="shared" ref="C488:C503" si="140">Z4</f>
        <v>95</v>
      </c>
      <c r="D488" s="292"/>
      <c r="E488" s="292"/>
      <c r="F488" s="292"/>
      <c r="G488" s="292"/>
      <c r="H488" s="292"/>
      <c r="I488" s="292"/>
      <c r="J488" s="292"/>
      <c r="K488" s="292"/>
      <c r="L488" s="292"/>
      <c r="M488" s="292"/>
      <c r="N488" s="292"/>
      <c r="O488" s="292"/>
      <c r="P488" s="292"/>
      <c r="Q488" s="292"/>
      <c r="R488" s="292"/>
      <c r="S488" s="292"/>
      <c r="T488" s="292"/>
      <c r="U488" s="292"/>
      <c r="V488" s="292"/>
      <c r="W488" s="292"/>
      <c r="X488" s="292"/>
      <c r="Y488" s="292"/>
      <c r="Z488" s="292"/>
      <c r="AA488" s="292"/>
      <c r="AB488" s="292"/>
      <c r="AC488" s="292"/>
      <c r="AD488" s="292"/>
      <c r="AE488" s="293"/>
    </row>
    <row r="489" spans="1:31" ht="15" customHeight="1">
      <c r="A489" s="1711"/>
      <c r="B489" s="116">
        <v>1</v>
      </c>
      <c r="C489" s="294">
        <f t="shared" si="140"/>
        <v>136</v>
      </c>
      <c r="D489" s="295">
        <f t="shared" ref="D489:AE498" si="141">C488*$F26</f>
        <v>95</v>
      </c>
      <c r="E489" s="295">
        <f t="shared" si="141"/>
        <v>0</v>
      </c>
      <c r="F489" s="295">
        <f t="shared" si="141"/>
        <v>0</v>
      </c>
      <c r="G489" s="295">
        <f t="shared" si="141"/>
        <v>0</v>
      </c>
      <c r="H489" s="295">
        <f t="shared" si="141"/>
        <v>0</v>
      </c>
      <c r="I489" s="295">
        <f t="shared" si="141"/>
        <v>0</v>
      </c>
      <c r="J489" s="295">
        <f t="shared" si="141"/>
        <v>0</v>
      </c>
      <c r="K489" s="295">
        <f t="shared" si="141"/>
        <v>0</v>
      </c>
      <c r="L489" s="295">
        <f t="shared" si="141"/>
        <v>0</v>
      </c>
      <c r="M489" s="295">
        <f t="shared" si="141"/>
        <v>0</v>
      </c>
      <c r="N489" s="295">
        <f t="shared" ref="N489:P513" si="142">M488*$F26</f>
        <v>0</v>
      </c>
      <c r="O489" s="295">
        <f t="shared" si="142"/>
        <v>0</v>
      </c>
      <c r="P489" s="295">
        <f t="shared" si="142"/>
        <v>0</v>
      </c>
      <c r="Q489" s="295">
        <f t="shared" si="141"/>
        <v>0</v>
      </c>
      <c r="R489" s="295">
        <f t="shared" si="141"/>
        <v>0</v>
      </c>
      <c r="S489" s="295">
        <f t="shared" si="141"/>
        <v>0</v>
      </c>
      <c r="T489" s="295">
        <f t="shared" si="141"/>
        <v>0</v>
      </c>
      <c r="U489" s="295">
        <f t="shared" si="141"/>
        <v>0</v>
      </c>
      <c r="V489" s="295">
        <f t="shared" si="141"/>
        <v>0</v>
      </c>
      <c r="W489" s="295">
        <f t="shared" si="141"/>
        <v>0</v>
      </c>
      <c r="X489" s="295">
        <f t="shared" si="141"/>
        <v>0</v>
      </c>
      <c r="Y489" s="295">
        <f t="shared" si="141"/>
        <v>0</v>
      </c>
      <c r="Z489" s="295">
        <f t="shared" si="141"/>
        <v>0</v>
      </c>
      <c r="AA489" s="295">
        <f t="shared" si="141"/>
        <v>0</v>
      </c>
      <c r="AB489" s="295">
        <f t="shared" si="141"/>
        <v>0</v>
      </c>
      <c r="AC489" s="295">
        <f t="shared" si="141"/>
        <v>0</v>
      </c>
      <c r="AD489" s="295">
        <f t="shared" si="141"/>
        <v>0</v>
      </c>
      <c r="AE489" s="296">
        <f t="shared" si="141"/>
        <v>0</v>
      </c>
    </row>
    <row r="490" spans="1:31" ht="15" customHeight="1">
      <c r="A490" s="1711"/>
      <c r="B490" s="116">
        <v>2</v>
      </c>
      <c r="C490" s="294">
        <f t="shared" si="140"/>
        <v>181</v>
      </c>
      <c r="D490" s="295">
        <f t="shared" si="141"/>
        <v>136</v>
      </c>
      <c r="E490" s="295">
        <f t="shared" si="141"/>
        <v>95</v>
      </c>
      <c r="F490" s="295">
        <f t="shared" si="141"/>
        <v>0</v>
      </c>
      <c r="G490" s="295">
        <f t="shared" si="141"/>
        <v>0</v>
      </c>
      <c r="H490" s="295">
        <f t="shared" si="141"/>
        <v>0</v>
      </c>
      <c r="I490" s="295">
        <f t="shared" si="141"/>
        <v>0</v>
      </c>
      <c r="J490" s="295">
        <f t="shared" si="141"/>
        <v>0</v>
      </c>
      <c r="K490" s="295">
        <f t="shared" si="141"/>
        <v>0</v>
      </c>
      <c r="L490" s="295">
        <f t="shared" si="141"/>
        <v>0</v>
      </c>
      <c r="M490" s="295">
        <f t="shared" si="141"/>
        <v>0</v>
      </c>
      <c r="N490" s="295">
        <f t="shared" si="142"/>
        <v>0</v>
      </c>
      <c r="O490" s="295">
        <f t="shared" si="142"/>
        <v>0</v>
      </c>
      <c r="P490" s="295">
        <f t="shared" si="142"/>
        <v>0</v>
      </c>
      <c r="Q490" s="295">
        <f t="shared" si="141"/>
        <v>0</v>
      </c>
      <c r="R490" s="295">
        <f t="shared" si="141"/>
        <v>0</v>
      </c>
      <c r="S490" s="295">
        <f t="shared" si="141"/>
        <v>0</v>
      </c>
      <c r="T490" s="295">
        <f t="shared" si="141"/>
        <v>0</v>
      </c>
      <c r="U490" s="295">
        <f t="shared" si="141"/>
        <v>0</v>
      </c>
      <c r="V490" s="295">
        <f t="shared" si="141"/>
        <v>0</v>
      </c>
      <c r="W490" s="295">
        <f t="shared" si="141"/>
        <v>0</v>
      </c>
      <c r="X490" s="295">
        <f t="shared" si="141"/>
        <v>0</v>
      </c>
      <c r="Y490" s="295">
        <f t="shared" si="141"/>
        <v>0</v>
      </c>
      <c r="Z490" s="295">
        <f t="shared" si="141"/>
        <v>0</v>
      </c>
      <c r="AA490" s="295">
        <f t="shared" si="141"/>
        <v>0</v>
      </c>
      <c r="AB490" s="295">
        <f t="shared" si="141"/>
        <v>0</v>
      </c>
      <c r="AC490" s="295">
        <f t="shared" si="141"/>
        <v>0</v>
      </c>
      <c r="AD490" s="295">
        <f t="shared" si="141"/>
        <v>0</v>
      </c>
      <c r="AE490" s="296">
        <f t="shared" si="141"/>
        <v>0</v>
      </c>
    </row>
    <row r="491" spans="1:31" ht="15" customHeight="1">
      <c r="A491" s="1711"/>
      <c r="B491" s="116">
        <v>3</v>
      </c>
      <c r="C491" s="294">
        <f t="shared" si="140"/>
        <v>44</v>
      </c>
      <c r="D491" s="295">
        <f t="shared" si="141"/>
        <v>181</v>
      </c>
      <c r="E491" s="295">
        <f t="shared" si="141"/>
        <v>136</v>
      </c>
      <c r="F491" s="295">
        <f t="shared" si="141"/>
        <v>95</v>
      </c>
      <c r="G491" s="295">
        <f t="shared" si="141"/>
        <v>0</v>
      </c>
      <c r="H491" s="295">
        <f t="shared" si="141"/>
        <v>0</v>
      </c>
      <c r="I491" s="295">
        <f t="shared" si="141"/>
        <v>0</v>
      </c>
      <c r="J491" s="295">
        <f t="shared" si="141"/>
        <v>0</v>
      </c>
      <c r="K491" s="295">
        <f t="shared" si="141"/>
        <v>0</v>
      </c>
      <c r="L491" s="295">
        <f t="shared" si="141"/>
        <v>0</v>
      </c>
      <c r="M491" s="295">
        <f t="shared" si="141"/>
        <v>0</v>
      </c>
      <c r="N491" s="295">
        <f t="shared" si="142"/>
        <v>0</v>
      </c>
      <c r="O491" s="295">
        <f t="shared" si="142"/>
        <v>0</v>
      </c>
      <c r="P491" s="295">
        <f t="shared" si="142"/>
        <v>0</v>
      </c>
      <c r="Q491" s="295">
        <f t="shared" si="141"/>
        <v>0</v>
      </c>
      <c r="R491" s="295">
        <f t="shared" si="141"/>
        <v>0</v>
      </c>
      <c r="S491" s="295">
        <f t="shared" si="141"/>
        <v>0</v>
      </c>
      <c r="T491" s="295">
        <f t="shared" si="141"/>
        <v>0</v>
      </c>
      <c r="U491" s="295">
        <f t="shared" si="141"/>
        <v>0</v>
      </c>
      <c r="V491" s="295">
        <f t="shared" si="141"/>
        <v>0</v>
      </c>
      <c r="W491" s="295">
        <f t="shared" si="141"/>
        <v>0</v>
      </c>
      <c r="X491" s="295">
        <f t="shared" si="141"/>
        <v>0</v>
      </c>
      <c r="Y491" s="295">
        <f t="shared" si="141"/>
        <v>0</v>
      </c>
      <c r="Z491" s="295">
        <f t="shared" si="141"/>
        <v>0</v>
      </c>
      <c r="AA491" s="295">
        <f t="shared" si="141"/>
        <v>0</v>
      </c>
      <c r="AB491" s="295">
        <f t="shared" si="141"/>
        <v>0</v>
      </c>
      <c r="AC491" s="295">
        <f t="shared" si="141"/>
        <v>0</v>
      </c>
      <c r="AD491" s="295">
        <f t="shared" si="141"/>
        <v>0</v>
      </c>
      <c r="AE491" s="296">
        <f t="shared" si="141"/>
        <v>0</v>
      </c>
    </row>
    <row r="492" spans="1:31" ht="15" customHeight="1">
      <c r="A492" s="1711"/>
      <c r="B492" s="116">
        <v>4</v>
      </c>
      <c r="C492" s="294">
        <f t="shared" si="140"/>
        <v>363</v>
      </c>
      <c r="D492" s="295">
        <f t="shared" si="141"/>
        <v>44</v>
      </c>
      <c r="E492" s="295">
        <f t="shared" si="141"/>
        <v>181</v>
      </c>
      <c r="F492" s="295">
        <f t="shared" si="141"/>
        <v>136</v>
      </c>
      <c r="G492" s="295">
        <f t="shared" si="141"/>
        <v>95</v>
      </c>
      <c r="H492" s="295">
        <f t="shared" si="141"/>
        <v>0</v>
      </c>
      <c r="I492" s="295">
        <f t="shared" si="141"/>
        <v>0</v>
      </c>
      <c r="J492" s="295">
        <f t="shared" si="141"/>
        <v>0</v>
      </c>
      <c r="K492" s="295">
        <f t="shared" si="141"/>
        <v>0</v>
      </c>
      <c r="L492" s="295">
        <f t="shared" si="141"/>
        <v>0</v>
      </c>
      <c r="M492" s="295">
        <f t="shared" si="141"/>
        <v>0</v>
      </c>
      <c r="N492" s="295">
        <f t="shared" si="142"/>
        <v>0</v>
      </c>
      <c r="O492" s="295">
        <f t="shared" si="142"/>
        <v>0</v>
      </c>
      <c r="P492" s="295">
        <f t="shared" si="142"/>
        <v>0</v>
      </c>
      <c r="Q492" s="295">
        <f t="shared" si="141"/>
        <v>0</v>
      </c>
      <c r="R492" s="295">
        <f t="shared" si="141"/>
        <v>0</v>
      </c>
      <c r="S492" s="295">
        <f t="shared" si="141"/>
        <v>0</v>
      </c>
      <c r="T492" s="295">
        <f t="shared" si="141"/>
        <v>0</v>
      </c>
      <c r="U492" s="295">
        <f t="shared" si="141"/>
        <v>0</v>
      </c>
      <c r="V492" s="295">
        <f t="shared" si="141"/>
        <v>0</v>
      </c>
      <c r="W492" s="295">
        <f t="shared" si="141"/>
        <v>0</v>
      </c>
      <c r="X492" s="295">
        <f t="shared" si="141"/>
        <v>0</v>
      </c>
      <c r="Y492" s="295">
        <f t="shared" si="141"/>
        <v>0</v>
      </c>
      <c r="Z492" s="295">
        <f t="shared" si="141"/>
        <v>0</v>
      </c>
      <c r="AA492" s="295">
        <f t="shared" si="141"/>
        <v>0</v>
      </c>
      <c r="AB492" s="295">
        <f t="shared" si="141"/>
        <v>0</v>
      </c>
      <c r="AC492" s="295">
        <f t="shared" si="141"/>
        <v>0</v>
      </c>
      <c r="AD492" s="295">
        <f t="shared" si="141"/>
        <v>0</v>
      </c>
      <c r="AE492" s="296">
        <f t="shared" si="141"/>
        <v>0</v>
      </c>
    </row>
    <row r="493" spans="1:31" ht="15" customHeight="1">
      <c r="A493" s="1711"/>
      <c r="B493" s="116">
        <v>5</v>
      </c>
      <c r="C493" s="294">
        <f t="shared" si="140"/>
        <v>423</v>
      </c>
      <c r="D493" s="295">
        <f t="shared" si="141"/>
        <v>363</v>
      </c>
      <c r="E493" s="295">
        <f t="shared" si="141"/>
        <v>44</v>
      </c>
      <c r="F493" s="295">
        <f t="shared" si="141"/>
        <v>181</v>
      </c>
      <c r="G493" s="295">
        <f t="shared" si="141"/>
        <v>136</v>
      </c>
      <c r="H493" s="295">
        <f t="shared" si="141"/>
        <v>95</v>
      </c>
      <c r="I493" s="295">
        <f t="shared" si="141"/>
        <v>0</v>
      </c>
      <c r="J493" s="295">
        <f t="shared" si="141"/>
        <v>0</v>
      </c>
      <c r="K493" s="295">
        <f t="shared" si="141"/>
        <v>0</v>
      </c>
      <c r="L493" s="295">
        <f t="shared" si="141"/>
        <v>0</v>
      </c>
      <c r="M493" s="295">
        <f t="shared" si="141"/>
        <v>0</v>
      </c>
      <c r="N493" s="295">
        <f t="shared" si="142"/>
        <v>0</v>
      </c>
      <c r="O493" s="295">
        <f t="shared" si="142"/>
        <v>0</v>
      </c>
      <c r="P493" s="295">
        <f t="shared" si="142"/>
        <v>0</v>
      </c>
      <c r="Q493" s="295">
        <f t="shared" si="141"/>
        <v>0</v>
      </c>
      <c r="R493" s="295">
        <f t="shared" si="141"/>
        <v>0</v>
      </c>
      <c r="S493" s="295">
        <f t="shared" si="141"/>
        <v>0</v>
      </c>
      <c r="T493" s="295">
        <f t="shared" si="141"/>
        <v>0</v>
      </c>
      <c r="U493" s="295">
        <f t="shared" si="141"/>
        <v>0</v>
      </c>
      <c r="V493" s="295">
        <f t="shared" si="141"/>
        <v>0</v>
      </c>
      <c r="W493" s="295">
        <f t="shared" si="141"/>
        <v>0</v>
      </c>
      <c r="X493" s="295">
        <f t="shared" si="141"/>
        <v>0</v>
      </c>
      <c r="Y493" s="295">
        <f t="shared" si="141"/>
        <v>0</v>
      </c>
      <c r="Z493" s="295">
        <f t="shared" si="141"/>
        <v>0</v>
      </c>
      <c r="AA493" s="295">
        <f t="shared" si="141"/>
        <v>0</v>
      </c>
      <c r="AB493" s="295">
        <f t="shared" si="141"/>
        <v>0</v>
      </c>
      <c r="AC493" s="295">
        <f t="shared" si="141"/>
        <v>0</v>
      </c>
      <c r="AD493" s="295">
        <f t="shared" si="141"/>
        <v>0</v>
      </c>
      <c r="AE493" s="296">
        <f t="shared" si="141"/>
        <v>0</v>
      </c>
    </row>
    <row r="494" spans="1:31" ht="15" customHeight="1">
      <c r="A494" s="1711"/>
      <c r="B494" s="116">
        <v>6</v>
      </c>
      <c r="C494" s="294">
        <f t="shared" si="140"/>
        <v>259</v>
      </c>
      <c r="D494" s="295">
        <f t="shared" si="141"/>
        <v>423</v>
      </c>
      <c r="E494" s="295">
        <f t="shared" si="141"/>
        <v>363</v>
      </c>
      <c r="F494" s="295">
        <f t="shared" si="141"/>
        <v>44</v>
      </c>
      <c r="G494" s="295">
        <f t="shared" si="141"/>
        <v>181</v>
      </c>
      <c r="H494" s="295">
        <f t="shared" si="141"/>
        <v>136</v>
      </c>
      <c r="I494" s="295">
        <f t="shared" si="141"/>
        <v>95</v>
      </c>
      <c r="J494" s="295">
        <f t="shared" si="141"/>
        <v>0</v>
      </c>
      <c r="K494" s="295">
        <f t="shared" si="141"/>
        <v>0</v>
      </c>
      <c r="L494" s="295">
        <f t="shared" si="141"/>
        <v>0</v>
      </c>
      <c r="M494" s="295">
        <f t="shared" si="141"/>
        <v>0</v>
      </c>
      <c r="N494" s="295">
        <f t="shared" si="142"/>
        <v>0</v>
      </c>
      <c r="O494" s="295">
        <f t="shared" si="142"/>
        <v>0</v>
      </c>
      <c r="P494" s="295">
        <f t="shared" si="142"/>
        <v>0</v>
      </c>
      <c r="Q494" s="295">
        <f t="shared" si="141"/>
        <v>0</v>
      </c>
      <c r="R494" s="295">
        <f t="shared" si="141"/>
        <v>0</v>
      </c>
      <c r="S494" s="295">
        <f t="shared" si="141"/>
        <v>0</v>
      </c>
      <c r="T494" s="295">
        <f t="shared" si="141"/>
        <v>0</v>
      </c>
      <c r="U494" s="295">
        <f t="shared" si="141"/>
        <v>0</v>
      </c>
      <c r="V494" s="295">
        <f t="shared" si="141"/>
        <v>0</v>
      </c>
      <c r="W494" s="295">
        <f t="shared" si="141"/>
        <v>0</v>
      </c>
      <c r="X494" s="295">
        <f t="shared" si="141"/>
        <v>0</v>
      </c>
      <c r="Y494" s="295">
        <f t="shared" si="141"/>
        <v>0</v>
      </c>
      <c r="Z494" s="295">
        <f t="shared" si="141"/>
        <v>0</v>
      </c>
      <c r="AA494" s="295">
        <f t="shared" si="141"/>
        <v>0</v>
      </c>
      <c r="AB494" s="295">
        <f t="shared" si="141"/>
        <v>0</v>
      </c>
      <c r="AC494" s="295">
        <f t="shared" si="141"/>
        <v>0</v>
      </c>
      <c r="AD494" s="295">
        <f t="shared" si="141"/>
        <v>0</v>
      </c>
      <c r="AE494" s="296">
        <f t="shared" si="141"/>
        <v>0</v>
      </c>
    </row>
    <row r="495" spans="1:31" ht="15" customHeight="1">
      <c r="A495" s="1711"/>
      <c r="B495" s="116">
        <v>7</v>
      </c>
      <c r="C495" s="294">
        <f t="shared" si="140"/>
        <v>42</v>
      </c>
      <c r="D495" s="295">
        <f t="shared" si="141"/>
        <v>259</v>
      </c>
      <c r="E495" s="295">
        <f t="shared" si="141"/>
        <v>423</v>
      </c>
      <c r="F495" s="295">
        <f t="shared" si="141"/>
        <v>363</v>
      </c>
      <c r="G495" s="295">
        <f t="shared" si="141"/>
        <v>44</v>
      </c>
      <c r="H495" s="295">
        <f t="shared" si="141"/>
        <v>181</v>
      </c>
      <c r="I495" s="295">
        <f t="shared" si="141"/>
        <v>136</v>
      </c>
      <c r="J495" s="295">
        <f t="shared" si="141"/>
        <v>95</v>
      </c>
      <c r="K495" s="295">
        <f t="shared" si="141"/>
        <v>0</v>
      </c>
      <c r="L495" s="295">
        <f t="shared" si="141"/>
        <v>0</v>
      </c>
      <c r="M495" s="295">
        <f t="shared" si="141"/>
        <v>0</v>
      </c>
      <c r="N495" s="295">
        <f t="shared" si="142"/>
        <v>0</v>
      </c>
      <c r="O495" s="295">
        <f t="shared" si="142"/>
        <v>0</v>
      </c>
      <c r="P495" s="295">
        <f t="shared" si="142"/>
        <v>0</v>
      </c>
      <c r="Q495" s="295">
        <f t="shared" si="141"/>
        <v>0</v>
      </c>
      <c r="R495" s="295">
        <f t="shared" si="141"/>
        <v>0</v>
      </c>
      <c r="S495" s="295">
        <f t="shared" si="141"/>
        <v>0</v>
      </c>
      <c r="T495" s="295">
        <f t="shared" si="141"/>
        <v>0</v>
      </c>
      <c r="U495" s="295">
        <f t="shared" si="141"/>
        <v>0</v>
      </c>
      <c r="V495" s="295">
        <f t="shared" si="141"/>
        <v>0</v>
      </c>
      <c r="W495" s="295">
        <f t="shared" si="141"/>
        <v>0</v>
      </c>
      <c r="X495" s="295">
        <f t="shared" si="141"/>
        <v>0</v>
      </c>
      <c r="Y495" s="295">
        <f t="shared" si="141"/>
        <v>0</v>
      </c>
      <c r="Z495" s="295">
        <f t="shared" si="141"/>
        <v>0</v>
      </c>
      <c r="AA495" s="295">
        <f t="shared" si="141"/>
        <v>0</v>
      </c>
      <c r="AB495" s="295">
        <f t="shared" si="141"/>
        <v>0</v>
      </c>
      <c r="AC495" s="295">
        <f t="shared" si="141"/>
        <v>0</v>
      </c>
      <c r="AD495" s="295">
        <f t="shared" si="141"/>
        <v>0</v>
      </c>
      <c r="AE495" s="296">
        <f t="shared" si="141"/>
        <v>0</v>
      </c>
    </row>
    <row r="496" spans="1:31" ht="15" customHeight="1">
      <c r="A496" s="1711"/>
      <c r="B496" s="116">
        <v>8</v>
      </c>
      <c r="C496" s="294">
        <f t="shared" si="140"/>
        <v>0</v>
      </c>
      <c r="D496" s="295">
        <f t="shared" si="141"/>
        <v>42</v>
      </c>
      <c r="E496" s="295">
        <f t="shared" si="141"/>
        <v>259</v>
      </c>
      <c r="F496" s="295">
        <f t="shared" si="141"/>
        <v>423</v>
      </c>
      <c r="G496" s="295">
        <f t="shared" si="141"/>
        <v>363</v>
      </c>
      <c r="H496" s="295">
        <f t="shared" si="141"/>
        <v>44</v>
      </c>
      <c r="I496" s="295">
        <f t="shared" si="141"/>
        <v>181</v>
      </c>
      <c r="J496" s="295">
        <f t="shared" si="141"/>
        <v>136</v>
      </c>
      <c r="K496" s="295">
        <f t="shared" si="141"/>
        <v>95</v>
      </c>
      <c r="L496" s="295">
        <f t="shared" si="141"/>
        <v>0</v>
      </c>
      <c r="M496" s="295">
        <f t="shared" si="141"/>
        <v>0</v>
      </c>
      <c r="N496" s="295">
        <f t="shared" si="142"/>
        <v>0</v>
      </c>
      <c r="O496" s="295">
        <f t="shared" si="142"/>
        <v>0</v>
      </c>
      <c r="P496" s="295">
        <f t="shared" si="142"/>
        <v>0</v>
      </c>
      <c r="Q496" s="295">
        <f t="shared" si="141"/>
        <v>0</v>
      </c>
      <c r="R496" s="295">
        <f t="shared" si="141"/>
        <v>0</v>
      </c>
      <c r="S496" s="295">
        <f t="shared" si="141"/>
        <v>0</v>
      </c>
      <c r="T496" s="295">
        <f t="shared" si="141"/>
        <v>0</v>
      </c>
      <c r="U496" s="295">
        <f t="shared" si="141"/>
        <v>0</v>
      </c>
      <c r="V496" s="295">
        <f t="shared" si="141"/>
        <v>0</v>
      </c>
      <c r="W496" s="295">
        <f t="shared" si="141"/>
        <v>0</v>
      </c>
      <c r="X496" s="295">
        <f t="shared" si="141"/>
        <v>0</v>
      </c>
      <c r="Y496" s="295">
        <f t="shared" si="141"/>
        <v>0</v>
      </c>
      <c r="Z496" s="295">
        <f t="shared" si="141"/>
        <v>0</v>
      </c>
      <c r="AA496" s="295">
        <f t="shared" si="141"/>
        <v>0</v>
      </c>
      <c r="AB496" s="295">
        <f t="shared" si="141"/>
        <v>0</v>
      </c>
      <c r="AC496" s="295">
        <f t="shared" si="141"/>
        <v>0</v>
      </c>
      <c r="AD496" s="295">
        <f t="shared" si="141"/>
        <v>0</v>
      </c>
      <c r="AE496" s="296">
        <f t="shared" si="141"/>
        <v>0</v>
      </c>
    </row>
    <row r="497" spans="1:31" ht="15" customHeight="1">
      <c r="A497" s="1711"/>
      <c r="B497" s="116">
        <v>9</v>
      </c>
      <c r="C497" s="294">
        <f t="shared" si="140"/>
        <v>4</v>
      </c>
      <c r="D497" s="295">
        <f t="shared" si="141"/>
        <v>0</v>
      </c>
      <c r="E497" s="295">
        <f t="shared" si="141"/>
        <v>40.864730994505003</v>
      </c>
      <c r="F497" s="295">
        <f t="shared" si="141"/>
        <v>251.9991744661142</v>
      </c>
      <c r="G497" s="295">
        <f t="shared" si="141"/>
        <v>411.5662193018004</v>
      </c>
      <c r="H497" s="295">
        <f t="shared" si="141"/>
        <v>353.18803216679328</v>
      </c>
      <c r="I497" s="295">
        <f t="shared" si="141"/>
        <v>42.810670565671913</v>
      </c>
      <c r="J497" s="295">
        <f t="shared" si="141"/>
        <v>176.1075311906049</v>
      </c>
      <c r="K497" s="295">
        <f t="shared" si="141"/>
        <v>132.32389083934953</v>
      </c>
      <c r="L497" s="295">
        <f t="shared" si="141"/>
        <v>92.43212963042798</v>
      </c>
      <c r="M497" s="295">
        <f t="shared" si="141"/>
        <v>0</v>
      </c>
      <c r="N497" s="295">
        <f t="shared" si="142"/>
        <v>0</v>
      </c>
      <c r="O497" s="295">
        <f t="shared" si="142"/>
        <v>0</v>
      </c>
      <c r="P497" s="295">
        <f t="shared" si="142"/>
        <v>0</v>
      </c>
      <c r="Q497" s="295">
        <f t="shared" si="141"/>
        <v>0</v>
      </c>
      <c r="R497" s="295">
        <f t="shared" si="141"/>
        <v>0</v>
      </c>
      <c r="S497" s="295">
        <f t="shared" si="141"/>
        <v>0</v>
      </c>
      <c r="T497" s="295">
        <f t="shared" si="141"/>
        <v>0</v>
      </c>
      <c r="U497" s="295">
        <f t="shared" si="141"/>
        <v>0</v>
      </c>
      <c r="V497" s="295">
        <f t="shared" si="141"/>
        <v>0</v>
      </c>
      <c r="W497" s="295">
        <f t="shared" si="141"/>
        <v>0</v>
      </c>
      <c r="X497" s="295">
        <f t="shared" si="141"/>
        <v>0</v>
      </c>
      <c r="Y497" s="295">
        <f t="shared" si="141"/>
        <v>0</v>
      </c>
      <c r="Z497" s="295">
        <f t="shared" si="141"/>
        <v>0</v>
      </c>
      <c r="AA497" s="295">
        <f t="shared" si="141"/>
        <v>0</v>
      </c>
      <c r="AB497" s="295">
        <f t="shared" si="141"/>
        <v>0</v>
      </c>
      <c r="AC497" s="295">
        <f t="shared" si="141"/>
        <v>0</v>
      </c>
      <c r="AD497" s="295">
        <f t="shared" si="141"/>
        <v>0</v>
      </c>
      <c r="AE497" s="296">
        <f t="shared" si="141"/>
        <v>0</v>
      </c>
    </row>
    <row r="498" spans="1:31" ht="15" customHeight="1">
      <c r="A498" s="1711"/>
      <c r="B498" s="116">
        <v>10</v>
      </c>
      <c r="C498" s="294">
        <f t="shared" si="140"/>
        <v>17</v>
      </c>
      <c r="D498" s="295">
        <f t="shared" si="141"/>
        <v>3.5294129997898347</v>
      </c>
      <c r="E498" s="295">
        <f t="shared" si="141"/>
        <v>0</v>
      </c>
      <c r="F498" s="295">
        <f t="shared" si="141"/>
        <v>36.057128201230135</v>
      </c>
      <c r="G498" s="295">
        <f t="shared" ref="G498:AE498" si="143">F497*$F35</f>
        <v>222.35229057425249</v>
      </c>
      <c r="H498" s="295">
        <f t="shared" si="143"/>
        <v>363.14679116953209</v>
      </c>
      <c r="I498" s="295">
        <f t="shared" si="143"/>
        <v>311.63660802491762</v>
      </c>
      <c r="J498" s="295">
        <f t="shared" si="143"/>
        <v>37.77413430605062</v>
      </c>
      <c r="K498" s="295">
        <f t="shared" si="143"/>
        <v>155.38905248625369</v>
      </c>
      <c r="L498" s="295">
        <f t="shared" si="143"/>
        <v>116.75641512779282</v>
      </c>
      <c r="M498" s="295">
        <f t="shared" si="143"/>
        <v>81.55778997897292</v>
      </c>
      <c r="N498" s="295">
        <f t="shared" si="142"/>
        <v>0</v>
      </c>
      <c r="O498" s="295">
        <f t="shared" si="142"/>
        <v>0</v>
      </c>
      <c r="P498" s="295">
        <f t="shared" si="142"/>
        <v>0</v>
      </c>
      <c r="Q498" s="295">
        <f t="shared" si="143"/>
        <v>0</v>
      </c>
      <c r="R498" s="295">
        <f t="shared" si="143"/>
        <v>0</v>
      </c>
      <c r="S498" s="295">
        <f t="shared" si="143"/>
        <v>0</v>
      </c>
      <c r="T498" s="295">
        <f t="shared" si="143"/>
        <v>0</v>
      </c>
      <c r="U498" s="295">
        <f t="shared" si="143"/>
        <v>0</v>
      </c>
      <c r="V498" s="295">
        <f t="shared" si="143"/>
        <v>0</v>
      </c>
      <c r="W498" s="295">
        <f t="shared" si="143"/>
        <v>0</v>
      </c>
      <c r="X498" s="295">
        <f t="shared" si="143"/>
        <v>0</v>
      </c>
      <c r="Y498" s="295">
        <f t="shared" si="143"/>
        <v>0</v>
      </c>
      <c r="Z498" s="295">
        <f t="shared" si="143"/>
        <v>0</v>
      </c>
      <c r="AA498" s="295">
        <f t="shared" si="143"/>
        <v>0</v>
      </c>
      <c r="AB498" s="295">
        <f t="shared" si="143"/>
        <v>0</v>
      </c>
      <c r="AC498" s="295">
        <f t="shared" si="143"/>
        <v>0</v>
      </c>
      <c r="AD498" s="295">
        <f t="shared" si="143"/>
        <v>0</v>
      </c>
      <c r="AE498" s="296">
        <f t="shared" si="143"/>
        <v>0</v>
      </c>
    </row>
    <row r="499" spans="1:31" ht="15" customHeight="1">
      <c r="A499" s="1711"/>
      <c r="B499" s="116">
        <v>11</v>
      </c>
      <c r="C499" s="294">
        <f t="shared" si="140"/>
        <v>2</v>
      </c>
      <c r="D499" s="295">
        <f t="shared" ref="D499:AE508" si="144">C498*$F36</f>
        <v>13.030883052459279</v>
      </c>
      <c r="E499" s="295">
        <f t="shared" si="144"/>
        <v>2.7053745908288716</v>
      </c>
      <c r="F499" s="295">
        <f t="shared" si="144"/>
        <v>0</v>
      </c>
      <c r="G499" s="295">
        <f t="shared" si="144"/>
        <v>27.638601223397721</v>
      </c>
      <c r="H499" s="295">
        <f t="shared" si="144"/>
        <v>170.43804087761927</v>
      </c>
      <c r="I499" s="295">
        <f t="shared" si="144"/>
        <v>278.36019803564852</v>
      </c>
      <c r="J499" s="295">
        <f t="shared" si="144"/>
        <v>238.87648200222318</v>
      </c>
      <c r="K499" s="295">
        <f t="shared" si="144"/>
        <v>28.954725091178567</v>
      </c>
      <c r="L499" s="295">
        <f t="shared" si="144"/>
        <v>119.10921003416638</v>
      </c>
      <c r="M499" s="295">
        <f t="shared" si="144"/>
        <v>89.496423009097384</v>
      </c>
      <c r="N499" s="295">
        <f t="shared" si="142"/>
        <v>62.515883719590079</v>
      </c>
      <c r="O499" s="295">
        <f t="shared" si="142"/>
        <v>0</v>
      </c>
      <c r="P499" s="295">
        <f t="shared" si="142"/>
        <v>0</v>
      </c>
      <c r="Q499" s="295">
        <f t="shared" si="144"/>
        <v>0</v>
      </c>
      <c r="R499" s="295">
        <f t="shared" si="144"/>
        <v>0</v>
      </c>
      <c r="S499" s="295">
        <f t="shared" si="144"/>
        <v>0</v>
      </c>
      <c r="T499" s="295">
        <f t="shared" si="144"/>
        <v>0</v>
      </c>
      <c r="U499" s="295">
        <f t="shared" si="144"/>
        <v>0</v>
      </c>
      <c r="V499" s="295">
        <f t="shared" si="144"/>
        <v>0</v>
      </c>
      <c r="W499" s="295">
        <f t="shared" si="144"/>
        <v>0</v>
      </c>
      <c r="X499" s="295">
        <f t="shared" si="144"/>
        <v>0</v>
      </c>
      <c r="Y499" s="295">
        <f t="shared" si="144"/>
        <v>0</v>
      </c>
      <c r="Z499" s="295">
        <f t="shared" si="144"/>
        <v>0</v>
      </c>
      <c r="AA499" s="295">
        <f t="shared" si="144"/>
        <v>0</v>
      </c>
      <c r="AB499" s="295">
        <f t="shared" si="144"/>
        <v>0</v>
      </c>
      <c r="AC499" s="295">
        <f t="shared" si="144"/>
        <v>0</v>
      </c>
      <c r="AD499" s="295">
        <f t="shared" si="144"/>
        <v>0</v>
      </c>
      <c r="AE499" s="296">
        <f t="shared" si="144"/>
        <v>0</v>
      </c>
    </row>
    <row r="500" spans="1:31" ht="15" customHeight="1">
      <c r="A500" s="1711"/>
      <c r="B500" s="116">
        <v>12</v>
      </c>
      <c r="C500" s="294">
        <f t="shared" si="140"/>
        <v>0</v>
      </c>
      <c r="D500" s="295">
        <f t="shared" si="144"/>
        <v>1.2717587124051506</v>
      </c>
      <c r="E500" s="295">
        <f t="shared" si="144"/>
        <v>8.2860695261488555</v>
      </c>
      <c r="F500" s="295">
        <f t="shared" si="144"/>
        <v>1.7202918531030684</v>
      </c>
      <c r="G500" s="295">
        <f t="shared" si="144"/>
        <v>0</v>
      </c>
      <c r="H500" s="295">
        <f t="shared" si="144"/>
        <v>17.574815952273852</v>
      </c>
      <c r="I500" s="295">
        <f t="shared" si="144"/>
        <v>108.37803170568876</v>
      </c>
      <c r="J500" s="295">
        <f t="shared" si="144"/>
        <v>177.00350351932954</v>
      </c>
      <c r="K500" s="295">
        <f t="shared" si="144"/>
        <v>151.89662358750974</v>
      </c>
      <c r="L500" s="295">
        <f t="shared" si="144"/>
        <v>18.41171195000118</v>
      </c>
      <c r="M500" s="295">
        <f t="shared" si="144"/>
        <v>75.739087794323041</v>
      </c>
      <c r="N500" s="295">
        <f t="shared" si="142"/>
        <v>56.908927845458194</v>
      </c>
      <c r="O500" s="295">
        <f t="shared" si="142"/>
        <v>39.752559892047998</v>
      </c>
      <c r="P500" s="295">
        <f t="shared" si="142"/>
        <v>0</v>
      </c>
      <c r="Q500" s="295">
        <f t="shared" si="144"/>
        <v>0</v>
      </c>
      <c r="R500" s="295">
        <f t="shared" si="144"/>
        <v>0</v>
      </c>
      <c r="S500" s="295">
        <f t="shared" si="144"/>
        <v>0</v>
      </c>
      <c r="T500" s="295">
        <f t="shared" si="144"/>
        <v>0</v>
      </c>
      <c r="U500" s="295">
        <f t="shared" si="144"/>
        <v>0</v>
      </c>
      <c r="V500" s="295">
        <f t="shared" si="144"/>
        <v>0</v>
      </c>
      <c r="W500" s="295">
        <f t="shared" si="144"/>
        <v>0</v>
      </c>
      <c r="X500" s="295">
        <f t="shared" si="144"/>
        <v>0</v>
      </c>
      <c r="Y500" s="295">
        <f t="shared" si="144"/>
        <v>0</v>
      </c>
      <c r="Z500" s="295">
        <f t="shared" si="144"/>
        <v>0</v>
      </c>
      <c r="AA500" s="295">
        <f t="shared" si="144"/>
        <v>0</v>
      </c>
      <c r="AB500" s="295">
        <f t="shared" si="144"/>
        <v>0</v>
      </c>
      <c r="AC500" s="295">
        <f t="shared" si="144"/>
        <v>0</v>
      </c>
      <c r="AD500" s="295">
        <f t="shared" si="144"/>
        <v>0</v>
      </c>
      <c r="AE500" s="296">
        <f t="shared" si="144"/>
        <v>0</v>
      </c>
    </row>
    <row r="501" spans="1:31" ht="15" customHeight="1">
      <c r="A501" s="1711"/>
      <c r="B501" s="116">
        <v>13</v>
      </c>
      <c r="C501" s="294">
        <f t="shared" si="140"/>
        <v>0</v>
      </c>
      <c r="D501" s="295">
        <f t="shared" si="144"/>
        <v>0</v>
      </c>
      <c r="E501" s="295">
        <f t="shared" si="144"/>
        <v>0.65239755790644849</v>
      </c>
      <c r="F501" s="295">
        <f t="shared" si="144"/>
        <v>4.2506581403944805</v>
      </c>
      <c r="G501" s="295">
        <f t="shared" si="144"/>
        <v>0.8824898881394565</v>
      </c>
      <c r="H501" s="295">
        <f t="shared" si="144"/>
        <v>0</v>
      </c>
      <c r="I501" s="295">
        <f t="shared" si="144"/>
        <v>9.0156779710474257</v>
      </c>
      <c r="J501" s="295">
        <f t="shared" si="144"/>
        <v>55.596680821459124</v>
      </c>
      <c r="K501" s="295">
        <f t="shared" si="144"/>
        <v>90.800756708406226</v>
      </c>
      <c r="L501" s="295">
        <f t="shared" si="144"/>
        <v>77.921216749767041</v>
      </c>
      <c r="M501" s="295">
        <f t="shared" si="144"/>
        <v>9.4449959696687333</v>
      </c>
      <c r="N501" s="295">
        <f t="shared" si="142"/>
        <v>38.853278875228199</v>
      </c>
      <c r="O501" s="295">
        <f t="shared" si="142"/>
        <v>29.19362390624881</v>
      </c>
      <c r="P501" s="295">
        <f t="shared" si="142"/>
        <v>20.392604934512033</v>
      </c>
      <c r="Q501" s="295">
        <f t="shared" si="144"/>
        <v>0</v>
      </c>
      <c r="R501" s="295">
        <f t="shared" si="144"/>
        <v>0</v>
      </c>
      <c r="S501" s="295">
        <f t="shared" si="144"/>
        <v>0</v>
      </c>
      <c r="T501" s="295">
        <f t="shared" si="144"/>
        <v>0</v>
      </c>
      <c r="U501" s="295">
        <f t="shared" si="144"/>
        <v>0</v>
      </c>
      <c r="V501" s="295">
        <f t="shared" si="144"/>
        <v>0</v>
      </c>
      <c r="W501" s="295">
        <f t="shared" si="144"/>
        <v>0</v>
      </c>
      <c r="X501" s="295">
        <f t="shared" si="144"/>
        <v>0</v>
      </c>
      <c r="Y501" s="295">
        <f t="shared" si="144"/>
        <v>0</v>
      </c>
      <c r="Z501" s="295">
        <f t="shared" si="144"/>
        <v>0</v>
      </c>
      <c r="AA501" s="295">
        <f t="shared" si="144"/>
        <v>0</v>
      </c>
      <c r="AB501" s="295">
        <f t="shared" si="144"/>
        <v>0</v>
      </c>
      <c r="AC501" s="295">
        <f t="shared" si="144"/>
        <v>0</v>
      </c>
      <c r="AD501" s="295">
        <f t="shared" si="144"/>
        <v>0</v>
      </c>
      <c r="AE501" s="296">
        <f t="shared" si="144"/>
        <v>0</v>
      </c>
    </row>
    <row r="502" spans="1:31" ht="15" customHeight="1">
      <c r="A502" s="1711"/>
      <c r="B502" s="116">
        <v>14</v>
      </c>
      <c r="C502" s="294">
        <f t="shared" si="140"/>
        <v>0</v>
      </c>
      <c r="D502" s="295">
        <f t="shared" si="144"/>
        <v>0</v>
      </c>
      <c r="E502" s="295">
        <f t="shared" si="144"/>
        <v>0</v>
      </c>
      <c r="F502" s="295">
        <f t="shared" si="144"/>
        <v>0.26309296085544764</v>
      </c>
      <c r="G502" s="295">
        <f t="shared" si="144"/>
        <v>1.7141668024162928</v>
      </c>
      <c r="H502" s="295">
        <f t="shared" si="144"/>
        <v>0.35588250566213148</v>
      </c>
      <c r="I502" s="295">
        <f t="shared" si="144"/>
        <v>0</v>
      </c>
      <c r="J502" s="295">
        <f t="shared" si="144"/>
        <v>3.635760714883352</v>
      </c>
      <c r="K502" s="295">
        <f t="shared" si="144"/>
        <v>22.420524408447335</v>
      </c>
      <c r="L502" s="295">
        <f t="shared" si="144"/>
        <v>36.617304342753762</v>
      </c>
      <c r="M502" s="295">
        <f t="shared" si="144"/>
        <v>31.423360464348971</v>
      </c>
      <c r="N502" s="295">
        <f t="shared" si="142"/>
        <v>3.8088921774968454</v>
      </c>
      <c r="O502" s="295">
        <f t="shared" si="142"/>
        <v>15.668397366521114</v>
      </c>
      <c r="P502" s="295">
        <f t="shared" si="142"/>
        <v>11.772939457717522</v>
      </c>
      <c r="Q502" s="295">
        <f t="shared" si="144"/>
        <v>8.2237444741409149</v>
      </c>
      <c r="R502" s="295">
        <f t="shared" si="144"/>
        <v>0</v>
      </c>
      <c r="S502" s="295">
        <f t="shared" si="144"/>
        <v>0</v>
      </c>
      <c r="T502" s="295">
        <f t="shared" si="144"/>
        <v>0</v>
      </c>
      <c r="U502" s="295">
        <f t="shared" si="144"/>
        <v>0</v>
      </c>
      <c r="V502" s="295">
        <f t="shared" si="144"/>
        <v>0</v>
      </c>
      <c r="W502" s="295">
        <f t="shared" si="144"/>
        <v>0</v>
      </c>
      <c r="X502" s="295">
        <f t="shared" si="144"/>
        <v>0</v>
      </c>
      <c r="Y502" s="295">
        <f t="shared" si="144"/>
        <v>0</v>
      </c>
      <c r="Z502" s="295">
        <f t="shared" si="144"/>
        <v>0</v>
      </c>
      <c r="AA502" s="295">
        <f t="shared" si="144"/>
        <v>0</v>
      </c>
      <c r="AB502" s="295">
        <f t="shared" si="144"/>
        <v>0</v>
      </c>
      <c r="AC502" s="295">
        <f t="shared" si="144"/>
        <v>0</v>
      </c>
      <c r="AD502" s="295">
        <f t="shared" si="144"/>
        <v>0</v>
      </c>
      <c r="AE502" s="296">
        <f t="shared" si="144"/>
        <v>0</v>
      </c>
    </row>
    <row r="503" spans="1:31" ht="15" customHeight="1">
      <c r="A503" s="1711"/>
      <c r="B503" s="116">
        <v>15</v>
      </c>
      <c r="C503" s="294">
        <f t="shared" si="140"/>
        <v>0</v>
      </c>
      <c r="D503" s="295">
        <f t="shared" si="144"/>
        <v>0</v>
      </c>
      <c r="E503" s="295">
        <f t="shared" si="144"/>
        <v>0</v>
      </c>
      <c r="F503" s="295">
        <f t="shared" si="144"/>
        <v>0</v>
      </c>
      <c r="G503" s="295">
        <f t="shared" si="144"/>
        <v>8.0404820595546128E-2</v>
      </c>
      <c r="H503" s="295">
        <f t="shared" si="144"/>
        <v>0.52387290701726552</v>
      </c>
      <c r="I503" s="295">
        <f t="shared" si="144"/>
        <v>0.10876257930967222</v>
      </c>
      <c r="J503" s="295">
        <f t="shared" si="144"/>
        <v>0</v>
      </c>
      <c r="K503" s="295">
        <f t="shared" si="144"/>
        <v>1.1111383864395676</v>
      </c>
      <c r="L503" s="295">
        <f t="shared" si="144"/>
        <v>6.8520200497106671</v>
      </c>
      <c r="M503" s="295">
        <f t="shared" si="144"/>
        <v>11.190750891998505</v>
      </c>
      <c r="N503" s="295">
        <f t="shared" si="142"/>
        <v>9.6034103399419788</v>
      </c>
      <c r="O503" s="295">
        <f t="shared" si="142"/>
        <v>1.1640497381747854</v>
      </c>
      <c r="P503" s="295">
        <f t="shared" si="142"/>
        <v>4.7884773320371856</v>
      </c>
      <c r="Q503" s="295">
        <f t="shared" si="144"/>
        <v>3.5979719179947911</v>
      </c>
      <c r="R503" s="295">
        <f t="shared" si="144"/>
        <v>2.5132892074228317</v>
      </c>
      <c r="S503" s="295">
        <f t="shared" si="144"/>
        <v>0</v>
      </c>
      <c r="T503" s="295">
        <f t="shared" si="144"/>
        <v>0</v>
      </c>
      <c r="U503" s="295">
        <f t="shared" si="144"/>
        <v>0</v>
      </c>
      <c r="V503" s="295">
        <f t="shared" si="144"/>
        <v>0</v>
      </c>
      <c r="W503" s="295">
        <f t="shared" si="144"/>
        <v>0</v>
      </c>
      <c r="X503" s="295">
        <f t="shared" si="144"/>
        <v>0</v>
      </c>
      <c r="Y503" s="295">
        <f t="shared" si="144"/>
        <v>0</v>
      </c>
      <c r="Z503" s="295">
        <f t="shared" si="144"/>
        <v>0</v>
      </c>
      <c r="AA503" s="295">
        <f t="shared" si="144"/>
        <v>0</v>
      </c>
      <c r="AB503" s="295">
        <f t="shared" si="144"/>
        <v>0</v>
      </c>
      <c r="AC503" s="295">
        <f t="shared" si="144"/>
        <v>0</v>
      </c>
      <c r="AD503" s="295">
        <f t="shared" si="144"/>
        <v>0</v>
      </c>
      <c r="AE503" s="296">
        <f t="shared" si="144"/>
        <v>0</v>
      </c>
    </row>
    <row r="504" spans="1:31" ht="15" customHeight="1">
      <c r="A504" s="1711"/>
      <c r="B504" s="116">
        <v>16</v>
      </c>
      <c r="C504" s="294">
        <v>0</v>
      </c>
      <c r="D504" s="295">
        <f t="shared" si="144"/>
        <v>0</v>
      </c>
      <c r="E504" s="295">
        <f t="shared" si="144"/>
        <v>0</v>
      </c>
      <c r="F504" s="295">
        <f t="shared" si="144"/>
        <v>0</v>
      </c>
      <c r="G504" s="295">
        <f t="shared" si="144"/>
        <v>0</v>
      </c>
      <c r="H504" s="295">
        <f t="shared" si="144"/>
        <v>2.2115535279176913E-2</v>
      </c>
      <c r="I504" s="295">
        <f t="shared" si="144"/>
        <v>0.14409247693274588</v>
      </c>
      <c r="J504" s="295">
        <f t="shared" si="144"/>
        <v>2.9915403603432356E-2</v>
      </c>
      <c r="K504" s="295">
        <f t="shared" si="144"/>
        <v>0</v>
      </c>
      <c r="L504" s="295">
        <f t="shared" si="144"/>
        <v>0.30562123021157722</v>
      </c>
      <c r="M504" s="295">
        <f t="shared" si="144"/>
        <v>1.8846642529713928</v>
      </c>
      <c r="N504" s="295">
        <f t="shared" si="142"/>
        <v>3.078042389988028</v>
      </c>
      <c r="O504" s="295">
        <f t="shared" si="142"/>
        <v>2.6414406325429178</v>
      </c>
      <c r="P504" s="295">
        <f t="shared" si="142"/>
        <v>0.32017462212641429</v>
      </c>
      <c r="Q504" s="295">
        <f t="shared" si="144"/>
        <v>1.3170819682927497</v>
      </c>
      <c r="R504" s="295">
        <f t="shared" si="144"/>
        <v>0.98963065020891683</v>
      </c>
      <c r="S504" s="295">
        <f t="shared" si="144"/>
        <v>0.69128611595475797</v>
      </c>
      <c r="T504" s="295">
        <f t="shared" si="144"/>
        <v>0</v>
      </c>
      <c r="U504" s="295">
        <f t="shared" si="144"/>
        <v>0</v>
      </c>
      <c r="V504" s="295">
        <f t="shared" si="144"/>
        <v>0</v>
      </c>
      <c r="W504" s="295">
        <f t="shared" si="144"/>
        <v>0</v>
      </c>
      <c r="X504" s="295">
        <f t="shared" si="144"/>
        <v>0</v>
      </c>
      <c r="Y504" s="295">
        <f t="shared" si="144"/>
        <v>0</v>
      </c>
      <c r="Z504" s="295">
        <f t="shared" si="144"/>
        <v>0</v>
      </c>
      <c r="AA504" s="295">
        <f t="shared" si="144"/>
        <v>0</v>
      </c>
      <c r="AB504" s="295">
        <f t="shared" si="144"/>
        <v>0</v>
      </c>
      <c r="AC504" s="295">
        <f t="shared" si="144"/>
        <v>0</v>
      </c>
      <c r="AD504" s="295">
        <f t="shared" si="144"/>
        <v>0</v>
      </c>
      <c r="AE504" s="296">
        <f t="shared" si="144"/>
        <v>0</v>
      </c>
    </row>
    <row r="505" spans="1:31" ht="15" customHeight="1">
      <c r="A505" s="1711"/>
      <c r="B505" s="116">
        <v>17</v>
      </c>
      <c r="C505" s="294">
        <v>0</v>
      </c>
      <c r="D505" s="295">
        <f t="shared" si="144"/>
        <v>0</v>
      </c>
      <c r="E505" s="295">
        <f t="shared" si="144"/>
        <v>0</v>
      </c>
      <c r="F505" s="295">
        <f t="shared" si="144"/>
        <v>0</v>
      </c>
      <c r="G505" s="295">
        <f t="shared" si="144"/>
        <v>0</v>
      </c>
      <c r="H505" s="295">
        <f t="shared" si="144"/>
        <v>0</v>
      </c>
      <c r="I505" s="295">
        <f t="shared" si="144"/>
        <v>5.407048947915237E-3</v>
      </c>
      <c r="J505" s="295">
        <f t="shared" si="144"/>
        <v>3.5229311249603219E-2</v>
      </c>
      <c r="K505" s="295">
        <f t="shared" si="144"/>
        <v>7.3140464175289318E-3</v>
      </c>
      <c r="L505" s="295">
        <f t="shared" si="144"/>
        <v>0</v>
      </c>
      <c r="M505" s="295">
        <f t="shared" si="144"/>
        <v>7.4721634833410711E-2</v>
      </c>
      <c r="N505" s="295">
        <f t="shared" si="142"/>
        <v>0.46078341480603269</v>
      </c>
      <c r="O505" s="295">
        <f t="shared" si="142"/>
        <v>0.7525536079650651</v>
      </c>
      <c r="P505" s="295">
        <f t="shared" si="142"/>
        <v>0.64580841534590694</v>
      </c>
      <c r="Q505" s="295">
        <f t="shared" si="144"/>
        <v>7.8279807920715996E-2</v>
      </c>
      <c r="R505" s="295">
        <f t="shared" si="144"/>
        <v>0.32201466440112719</v>
      </c>
      <c r="S505" s="295">
        <f t="shared" si="144"/>
        <v>0.24195576993675852</v>
      </c>
      <c r="T505" s="295">
        <f t="shared" si="144"/>
        <v>0.16901322164700042</v>
      </c>
      <c r="U505" s="295">
        <f t="shared" si="144"/>
        <v>0</v>
      </c>
      <c r="V505" s="295">
        <f t="shared" si="144"/>
        <v>0</v>
      </c>
      <c r="W505" s="295">
        <f t="shared" si="144"/>
        <v>0</v>
      </c>
      <c r="X505" s="295">
        <f t="shared" si="144"/>
        <v>0</v>
      </c>
      <c r="Y505" s="295">
        <f t="shared" si="144"/>
        <v>0</v>
      </c>
      <c r="Z505" s="295">
        <f t="shared" si="144"/>
        <v>0</v>
      </c>
      <c r="AA505" s="295">
        <f t="shared" si="144"/>
        <v>0</v>
      </c>
      <c r="AB505" s="295">
        <f t="shared" si="144"/>
        <v>0</v>
      </c>
      <c r="AC505" s="295">
        <f t="shared" si="144"/>
        <v>0</v>
      </c>
      <c r="AD505" s="295">
        <f t="shared" si="144"/>
        <v>0</v>
      </c>
      <c r="AE505" s="296">
        <f t="shared" si="144"/>
        <v>0</v>
      </c>
    </row>
    <row r="506" spans="1:31" ht="15.75" customHeight="1">
      <c r="A506" s="1711"/>
      <c r="B506" s="116">
        <v>18</v>
      </c>
      <c r="C506" s="294">
        <v>0</v>
      </c>
      <c r="D506" s="295">
        <f t="shared" si="144"/>
        <v>0</v>
      </c>
      <c r="E506" s="295">
        <f t="shared" si="144"/>
        <v>0</v>
      </c>
      <c r="F506" s="295">
        <f t="shared" si="144"/>
        <v>0</v>
      </c>
      <c r="G506" s="295">
        <f t="shared" si="144"/>
        <v>0</v>
      </c>
      <c r="H506" s="295">
        <f t="shared" si="144"/>
        <v>0</v>
      </c>
      <c r="I506" s="295">
        <f t="shared" si="144"/>
        <v>0</v>
      </c>
      <c r="J506" s="295">
        <f t="shared" si="144"/>
        <v>1.1567278707738994E-3</v>
      </c>
      <c r="K506" s="295">
        <f t="shared" si="144"/>
        <v>7.5365928037874567E-3</v>
      </c>
      <c r="L506" s="295">
        <f t="shared" si="144"/>
        <v>1.5646910950476449E-3</v>
      </c>
      <c r="M506" s="295">
        <f t="shared" si="144"/>
        <v>0</v>
      </c>
      <c r="N506" s="295">
        <f t="shared" si="142"/>
        <v>1.5985170172154867E-2</v>
      </c>
      <c r="O506" s="295">
        <f t="shared" si="142"/>
        <v>9.8575216061621687E-2</v>
      </c>
      <c r="P506" s="295">
        <f t="shared" si="142"/>
        <v>0.16099349959098833</v>
      </c>
      <c r="Q506" s="295">
        <f t="shared" si="144"/>
        <v>0.13815754220219567</v>
      </c>
      <c r="R506" s="295">
        <f t="shared" si="144"/>
        <v>1.6746368751781295E-2</v>
      </c>
      <c r="S506" s="295">
        <f t="shared" si="144"/>
        <v>6.888847145619123E-2</v>
      </c>
      <c r="T506" s="295">
        <f t="shared" si="144"/>
        <v>5.1761503414596725E-2</v>
      </c>
      <c r="U506" s="295">
        <f t="shared" si="144"/>
        <v>3.6156932532255062E-2</v>
      </c>
      <c r="V506" s="295">
        <f t="shared" si="144"/>
        <v>0</v>
      </c>
      <c r="W506" s="295">
        <f t="shared" si="144"/>
        <v>0</v>
      </c>
      <c r="X506" s="295">
        <f t="shared" si="144"/>
        <v>0</v>
      </c>
      <c r="Y506" s="295">
        <f t="shared" si="144"/>
        <v>0</v>
      </c>
      <c r="Z506" s="295">
        <f t="shared" si="144"/>
        <v>0</v>
      </c>
      <c r="AA506" s="295">
        <f t="shared" si="144"/>
        <v>0</v>
      </c>
      <c r="AB506" s="295">
        <f t="shared" si="144"/>
        <v>0</v>
      </c>
      <c r="AC506" s="295">
        <f t="shared" si="144"/>
        <v>0</v>
      </c>
      <c r="AD506" s="295">
        <f t="shared" si="144"/>
        <v>0</v>
      </c>
      <c r="AE506" s="296">
        <f t="shared" si="144"/>
        <v>0</v>
      </c>
    </row>
    <row r="507" spans="1:31" ht="16.5" customHeight="1">
      <c r="A507" s="1711"/>
      <c r="B507" s="116">
        <v>19</v>
      </c>
      <c r="C507" s="294">
        <v>0</v>
      </c>
      <c r="D507" s="295">
        <f t="shared" si="144"/>
        <v>0</v>
      </c>
      <c r="E507" s="295">
        <f t="shared" si="144"/>
        <v>0</v>
      </c>
      <c r="F507" s="295">
        <f t="shared" si="144"/>
        <v>0</v>
      </c>
      <c r="G507" s="295">
        <f t="shared" si="144"/>
        <v>0</v>
      </c>
      <c r="H507" s="295">
        <f t="shared" si="144"/>
        <v>0</v>
      </c>
      <c r="I507" s="295">
        <f t="shared" si="144"/>
        <v>0</v>
      </c>
      <c r="J507" s="295">
        <f t="shared" si="144"/>
        <v>0</v>
      </c>
      <c r="K507" s="295">
        <f t="shared" si="144"/>
        <v>2.1210715016859257E-4</v>
      </c>
      <c r="L507" s="295">
        <f t="shared" si="144"/>
        <v>1.3819717342186742E-3</v>
      </c>
      <c r="M507" s="295">
        <f t="shared" si="144"/>
        <v>2.869146472996171E-4</v>
      </c>
      <c r="N507" s="295">
        <f t="shared" si="142"/>
        <v>0</v>
      </c>
      <c r="O507" s="295">
        <f t="shared" si="142"/>
        <v>2.9311724700705334E-3</v>
      </c>
      <c r="P507" s="295">
        <f t="shared" si="142"/>
        <v>1.8075563565434959E-2</v>
      </c>
      <c r="Q507" s="295">
        <f t="shared" si="144"/>
        <v>2.9521094162853232E-2</v>
      </c>
      <c r="R507" s="295">
        <f t="shared" si="144"/>
        <v>2.5333704919895332E-2</v>
      </c>
      <c r="S507" s="295">
        <f t="shared" si="144"/>
        <v>3.0707521115024643E-3</v>
      </c>
      <c r="T507" s="295">
        <f t="shared" si="144"/>
        <v>1.2631957549589682E-2</v>
      </c>
      <c r="U507" s="295">
        <f t="shared" si="144"/>
        <v>9.4914156173712527E-3</v>
      </c>
      <c r="V507" s="295">
        <f t="shared" si="144"/>
        <v>6.6300329680166834E-3</v>
      </c>
      <c r="W507" s="295">
        <f t="shared" si="144"/>
        <v>0</v>
      </c>
      <c r="X507" s="295">
        <f t="shared" si="144"/>
        <v>0</v>
      </c>
      <c r="Y507" s="295">
        <f t="shared" si="144"/>
        <v>0</v>
      </c>
      <c r="Z507" s="295">
        <f t="shared" si="144"/>
        <v>0</v>
      </c>
      <c r="AA507" s="295">
        <f t="shared" si="144"/>
        <v>0</v>
      </c>
      <c r="AB507" s="295">
        <f t="shared" si="144"/>
        <v>0</v>
      </c>
      <c r="AC507" s="295">
        <f t="shared" si="144"/>
        <v>0</v>
      </c>
      <c r="AD507" s="295">
        <f t="shared" si="144"/>
        <v>0</v>
      </c>
      <c r="AE507" s="296">
        <f t="shared" si="144"/>
        <v>0</v>
      </c>
    </row>
    <row r="508" spans="1:31">
      <c r="A508" s="1711"/>
      <c r="B508" s="116">
        <v>20</v>
      </c>
      <c r="C508" s="294">
        <v>0</v>
      </c>
      <c r="D508" s="295">
        <f t="shared" si="144"/>
        <v>0</v>
      </c>
      <c r="E508" s="295">
        <f t="shared" si="144"/>
        <v>0</v>
      </c>
      <c r="F508" s="295">
        <f t="shared" si="144"/>
        <v>0</v>
      </c>
      <c r="G508" s="295">
        <f t="shared" ref="G508:AE508" si="145">F507*$F45</f>
        <v>0</v>
      </c>
      <c r="H508" s="295">
        <f t="shared" si="145"/>
        <v>0</v>
      </c>
      <c r="I508" s="295">
        <f t="shared" si="145"/>
        <v>0</v>
      </c>
      <c r="J508" s="295">
        <f t="shared" si="145"/>
        <v>0</v>
      </c>
      <c r="K508" s="295">
        <f t="shared" si="145"/>
        <v>0</v>
      </c>
      <c r="L508" s="295">
        <f t="shared" si="145"/>
        <v>3.2411428456477313E-5</v>
      </c>
      <c r="M508" s="295">
        <f t="shared" si="145"/>
        <v>2.1117476688975331E-4</v>
      </c>
      <c r="N508" s="295">
        <f t="shared" si="142"/>
        <v>4.3842527499310777E-5</v>
      </c>
      <c r="O508" s="295">
        <f t="shared" si="142"/>
        <v>0</v>
      </c>
      <c r="P508" s="295">
        <f t="shared" si="142"/>
        <v>4.4790327309463077E-4</v>
      </c>
      <c r="Q508" s="295">
        <f t="shared" si="145"/>
        <v>2.7620701840835567E-3</v>
      </c>
      <c r="R508" s="295">
        <f t="shared" si="145"/>
        <v>4.5110258218816384E-3</v>
      </c>
      <c r="S508" s="295">
        <f t="shared" si="145"/>
        <v>3.8711640031750239E-3</v>
      </c>
      <c r="T508" s="295">
        <f t="shared" si="145"/>
        <v>4.6923200038485137E-4</v>
      </c>
      <c r="U508" s="295">
        <f t="shared" si="145"/>
        <v>1.9302498197649566E-3</v>
      </c>
      <c r="V508" s="295">
        <f t="shared" si="145"/>
        <v>1.450353455734995E-3</v>
      </c>
      <c r="W508" s="295">
        <f t="shared" si="145"/>
        <v>1.0131145462854744E-3</v>
      </c>
      <c r="X508" s="295">
        <f t="shared" si="145"/>
        <v>0</v>
      </c>
      <c r="Y508" s="295">
        <f t="shared" si="145"/>
        <v>0</v>
      </c>
      <c r="Z508" s="295">
        <f t="shared" si="145"/>
        <v>0</v>
      </c>
      <c r="AA508" s="295">
        <f t="shared" si="145"/>
        <v>0</v>
      </c>
      <c r="AB508" s="295">
        <f t="shared" si="145"/>
        <v>0</v>
      </c>
      <c r="AC508" s="295">
        <f t="shared" si="145"/>
        <v>0</v>
      </c>
      <c r="AD508" s="295">
        <f t="shared" si="145"/>
        <v>0</v>
      </c>
      <c r="AE508" s="296">
        <f t="shared" si="145"/>
        <v>0</v>
      </c>
    </row>
    <row r="509" spans="1:31" ht="15.75" customHeight="1">
      <c r="A509" s="1711"/>
      <c r="B509" s="116">
        <v>21</v>
      </c>
      <c r="C509" s="294">
        <v>0</v>
      </c>
      <c r="D509" s="295">
        <f t="shared" ref="D509:AE513" si="146">C508*$F46</f>
        <v>0</v>
      </c>
      <c r="E509" s="295">
        <f t="shared" si="146"/>
        <v>0</v>
      </c>
      <c r="F509" s="295">
        <f t="shared" si="146"/>
        <v>0</v>
      </c>
      <c r="G509" s="295">
        <f t="shared" si="146"/>
        <v>0</v>
      </c>
      <c r="H509" s="295">
        <f t="shared" si="146"/>
        <v>0</v>
      </c>
      <c r="I509" s="295">
        <f t="shared" si="146"/>
        <v>0</v>
      </c>
      <c r="J509" s="295">
        <f t="shared" si="146"/>
        <v>0</v>
      </c>
      <c r="K509" s="295">
        <f t="shared" si="146"/>
        <v>0</v>
      </c>
      <c r="L509" s="295">
        <f t="shared" si="146"/>
        <v>0</v>
      </c>
      <c r="M509" s="295">
        <f t="shared" si="146"/>
        <v>3.9621509930404919E-6</v>
      </c>
      <c r="N509" s="295">
        <f t="shared" si="142"/>
        <v>2.5815163113248026E-5</v>
      </c>
      <c r="O509" s="295">
        <f t="shared" si="142"/>
        <v>5.3595513107995645E-6</v>
      </c>
      <c r="P509" s="295">
        <f t="shared" si="142"/>
        <v>0</v>
      </c>
      <c r="Q509" s="295">
        <f t="shared" si="146"/>
        <v>5.4754155641767721E-5</v>
      </c>
      <c r="R509" s="295">
        <f t="shared" si="146"/>
        <v>3.3765062645756762E-4</v>
      </c>
      <c r="S509" s="295">
        <f t="shared" si="146"/>
        <v>5.5145256753494636E-4</v>
      </c>
      <c r="T509" s="295">
        <f t="shared" si="146"/>
        <v>4.7323234518956397E-4</v>
      </c>
      <c r="U509" s="295">
        <f t="shared" si="146"/>
        <v>5.7361496386613815E-5</v>
      </c>
      <c r="V509" s="295">
        <f t="shared" si="146"/>
        <v>2.3596433740857045E-4</v>
      </c>
      <c r="W509" s="295">
        <f t="shared" si="146"/>
        <v>1.7729917064953358E-4</v>
      </c>
      <c r="X509" s="295">
        <f t="shared" si="146"/>
        <v>1.2384868538018891E-4</v>
      </c>
      <c r="Y509" s="295">
        <f t="shared" si="146"/>
        <v>0</v>
      </c>
      <c r="Z509" s="295">
        <f t="shared" si="146"/>
        <v>0</v>
      </c>
      <c r="AA509" s="295">
        <f t="shared" si="146"/>
        <v>0</v>
      </c>
      <c r="AB509" s="295">
        <f t="shared" si="146"/>
        <v>0</v>
      </c>
      <c r="AC509" s="295">
        <f t="shared" si="146"/>
        <v>0</v>
      </c>
      <c r="AD509" s="295">
        <f t="shared" si="146"/>
        <v>0</v>
      </c>
      <c r="AE509" s="296">
        <f t="shared" si="146"/>
        <v>0</v>
      </c>
    </row>
    <row r="510" spans="1:31" ht="15" customHeight="1">
      <c r="A510" s="1711"/>
      <c r="B510" s="116">
        <v>22</v>
      </c>
      <c r="C510" s="294">
        <v>0</v>
      </c>
      <c r="D510" s="295">
        <f t="shared" si="146"/>
        <v>0</v>
      </c>
      <c r="E510" s="295">
        <f t="shared" si="146"/>
        <v>0</v>
      </c>
      <c r="F510" s="295">
        <f t="shared" si="146"/>
        <v>0</v>
      </c>
      <c r="G510" s="295">
        <f t="shared" si="146"/>
        <v>0</v>
      </c>
      <c r="H510" s="295">
        <f t="shared" si="146"/>
        <v>0</v>
      </c>
      <c r="I510" s="295">
        <f t="shared" si="146"/>
        <v>0</v>
      </c>
      <c r="J510" s="295">
        <f t="shared" si="146"/>
        <v>0</v>
      </c>
      <c r="K510" s="295">
        <f t="shared" si="146"/>
        <v>0</v>
      </c>
      <c r="L510" s="295">
        <f t="shared" si="146"/>
        <v>0</v>
      </c>
      <c r="M510" s="295">
        <f t="shared" si="146"/>
        <v>0</v>
      </c>
      <c r="N510" s="295">
        <f t="shared" si="142"/>
        <v>3.6326632084572104E-7</v>
      </c>
      <c r="O510" s="295">
        <f t="shared" si="142"/>
        <v>2.3668404719188706E-6</v>
      </c>
      <c r="P510" s="295">
        <f t="shared" si="142"/>
        <v>4.9138573705995109E-7</v>
      </c>
      <c r="Q510" s="295">
        <f t="shared" si="146"/>
        <v>0</v>
      </c>
      <c r="R510" s="295">
        <f t="shared" si="146"/>
        <v>5.0200864898728675E-6</v>
      </c>
      <c r="S510" s="295">
        <f t="shared" si="146"/>
        <v>3.0957200020882685E-5</v>
      </c>
      <c r="T510" s="295">
        <f t="shared" si="146"/>
        <v>5.0559442505148167E-5</v>
      </c>
      <c r="U510" s="295">
        <f t="shared" si="146"/>
        <v>4.3387890376758362E-5</v>
      </c>
      <c r="V510" s="295">
        <f t="shared" si="146"/>
        <v>5.2591382274858624E-6</v>
      </c>
      <c r="W510" s="295">
        <f t="shared" si="146"/>
        <v>2.1634182253975932E-5</v>
      </c>
      <c r="X510" s="295">
        <f t="shared" si="146"/>
        <v>1.6255518157683572E-5</v>
      </c>
      <c r="Y510" s="295">
        <f t="shared" si="146"/>
        <v>1.1354957536617201E-5</v>
      </c>
      <c r="Z510" s="295">
        <f t="shared" si="146"/>
        <v>0</v>
      </c>
      <c r="AA510" s="295">
        <f t="shared" si="146"/>
        <v>0</v>
      </c>
      <c r="AB510" s="295">
        <f t="shared" si="146"/>
        <v>0</v>
      </c>
      <c r="AC510" s="295">
        <f t="shared" si="146"/>
        <v>0</v>
      </c>
      <c r="AD510" s="295">
        <f t="shared" si="146"/>
        <v>0</v>
      </c>
      <c r="AE510" s="296">
        <f t="shared" si="146"/>
        <v>0</v>
      </c>
    </row>
    <row r="511" spans="1:31" ht="15" customHeight="1">
      <c r="A511" s="1711"/>
      <c r="B511" s="116">
        <v>23</v>
      </c>
      <c r="C511" s="294">
        <v>0</v>
      </c>
      <c r="D511" s="295">
        <f t="shared" si="146"/>
        <v>0</v>
      </c>
      <c r="E511" s="295">
        <f t="shared" si="146"/>
        <v>0</v>
      </c>
      <c r="F511" s="295">
        <f t="shared" si="146"/>
        <v>0</v>
      </c>
      <c r="G511" s="295">
        <f t="shared" si="146"/>
        <v>0</v>
      </c>
      <c r="H511" s="295">
        <f t="shared" si="146"/>
        <v>0</v>
      </c>
      <c r="I511" s="295">
        <f t="shared" si="146"/>
        <v>0</v>
      </c>
      <c r="J511" s="295">
        <f t="shared" si="146"/>
        <v>0</v>
      </c>
      <c r="K511" s="295">
        <f t="shared" si="146"/>
        <v>0</v>
      </c>
      <c r="L511" s="295">
        <f t="shared" si="146"/>
        <v>0</v>
      </c>
      <c r="M511" s="295">
        <f t="shared" si="146"/>
        <v>0</v>
      </c>
      <c r="N511" s="295">
        <f t="shared" si="142"/>
        <v>0</v>
      </c>
      <c r="O511" s="295">
        <f t="shared" si="142"/>
        <v>2.2203834919059201E-8</v>
      </c>
      <c r="P511" s="295">
        <f t="shared" si="142"/>
        <v>1.4466778807318604E-7</v>
      </c>
      <c r="Q511" s="295">
        <f t="shared" si="146"/>
        <v>3.0034845404490801E-8</v>
      </c>
      <c r="R511" s="295">
        <f t="shared" si="146"/>
        <v>0</v>
      </c>
      <c r="S511" s="295">
        <f t="shared" si="146"/>
        <v>3.0684146947901534E-7</v>
      </c>
      <c r="T511" s="295">
        <f t="shared" si="146"/>
        <v>1.8921890617872613E-6</v>
      </c>
      <c r="U511" s="295">
        <f t="shared" si="146"/>
        <v>3.090331942610083E-6</v>
      </c>
      <c r="V511" s="295">
        <f t="shared" si="146"/>
        <v>2.6519869862114904E-6</v>
      </c>
      <c r="W511" s="295">
        <f t="shared" si="146"/>
        <v>3.2145296802563522E-7</v>
      </c>
      <c r="X511" s="295">
        <f t="shared" si="146"/>
        <v>1.32234061846909E-6</v>
      </c>
      <c r="Y511" s="295">
        <f t="shared" si="146"/>
        <v>9.9358190117014498E-7</v>
      </c>
      <c r="Z511" s="295">
        <f t="shared" si="146"/>
        <v>6.9404618096443951E-7</v>
      </c>
      <c r="AA511" s="295">
        <f t="shared" si="146"/>
        <v>0</v>
      </c>
      <c r="AB511" s="295">
        <f t="shared" si="146"/>
        <v>0</v>
      </c>
      <c r="AC511" s="295">
        <f t="shared" si="146"/>
        <v>0</v>
      </c>
      <c r="AD511" s="295">
        <f t="shared" si="146"/>
        <v>0</v>
      </c>
      <c r="AE511" s="296">
        <f t="shared" si="146"/>
        <v>0</v>
      </c>
    </row>
    <row r="512" spans="1:31" ht="15" customHeight="1">
      <c r="A512" s="1711"/>
      <c r="B512" s="116">
        <v>24</v>
      </c>
      <c r="C512" s="294">
        <v>0</v>
      </c>
      <c r="D512" s="295">
        <f t="shared" si="146"/>
        <v>0</v>
      </c>
      <c r="E512" s="295">
        <f t="shared" si="146"/>
        <v>0</v>
      </c>
      <c r="F512" s="295">
        <f t="shared" si="146"/>
        <v>0</v>
      </c>
      <c r="G512" s="295">
        <f t="shared" si="146"/>
        <v>0</v>
      </c>
      <c r="H512" s="295">
        <f t="shared" si="146"/>
        <v>0</v>
      </c>
      <c r="I512" s="295">
        <f t="shared" si="146"/>
        <v>0</v>
      </c>
      <c r="J512" s="295">
        <f t="shared" si="146"/>
        <v>0</v>
      </c>
      <c r="K512" s="295">
        <f t="shared" si="146"/>
        <v>0</v>
      </c>
      <c r="L512" s="295">
        <f t="shared" si="146"/>
        <v>0</v>
      </c>
      <c r="M512" s="295">
        <f t="shared" si="146"/>
        <v>0</v>
      </c>
      <c r="N512" s="295">
        <f t="shared" si="142"/>
        <v>0</v>
      </c>
      <c r="O512" s="295">
        <f t="shared" si="142"/>
        <v>0</v>
      </c>
      <c r="P512" s="295">
        <f t="shared" si="142"/>
        <v>6.7857967670255654E-10</v>
      </c>
      <c r="Q512" s="295">
        <f t="shared" si="146"/>
        <v>4.42124620444332E-9</v>
      </c>
      <c r="R512" s="295">
        <f t="shared" si="146"/>
        <v>9.1790610760198348E-10</v>
      </c>
      <c r="S512" s="295">
        <f t="shared" si="146"/>
        <v>0</v>
      </c>
      <c r="T512" s="295">
        <f t="shared" si="146"/>
        <v>9.3774965413420549E-9</v>
      </c>
      <c r="U512" s="295">
        <f t="shared" si="146"/>
        <v>5.7827895338276004E-8</v>
      </c>
      <c r="V512" s="295">
        <f t="shared" si="146"/>
        <v>9.4444786594944971E-8</v>
      </c>
      <c r="W512" s="295">
        <f t="shared" si="146"/>
        <v>8.1048362964456346E-8</v>
      </c>
      <c r="X512" s="295">
        <f t="shared" si="146"/>
        <v>9.8240439956916794E-9</v>
      </c>
      <c r="Y512" s="295">
        <f t="shared" si="146"/>
        <v>4.0412544618640763E-8</v>
      </c>
      <c r="Z512" s="295">
        <f t="shared" si="146"/>
        <v>3.0365226895774274E-8</v>
      </c>
      <c r="AA512" s="295">
        <f t="shared" si="146"/>
        <v>2.121100408160703E-8</v>
      </c>
      <c r="AB512" s="295">
        <f t="shared" si="146"/>
        <v>0</v>
      </c>
      <c r="AC512" s="295">
        <f t="shared" si="146"/>
        <v>0</v>
      </c>
      <c r="AD512" s="295">
        <f t="shared" si="146"/>
        <v>0</v>
      </c>
      <c r="AE512" s="296">
        <f t="shared" si="146"/>
        <v>0</v>
      </c>
    </row>
    <row r="513" spans="1:31" ht="15.75" customHeight="1" thickBot="1">
      <c r="A513" s="1711"/>
      <c r="B513" s="116">
        <v>25</v>
      </c>
      <c r="C513" s="297">
        <v>0</v>
      </c>
      <c r="D513" s="298">
        <f t="shared" si="146"/>
        <v>0</v>
      </c>
      <c r="E513" s="298">
        <f t="shared" si="146"/>
        <v>0</v>
      </c>
      <c r="F513" s="298">
        <f t="shared" si="146"/>
        <v>0</v>
      </c>
      <c r="G513" s="298">
        <f t="shared" si="146"/>
        <v>0</v>
      </c>
      <c r="H513" s="298">
        <f t="shared" si="146"/>
        <v>0</v>
      </c>
      <c r="I513" s="298">
        <f t="shared" si="146"/>
        <v>0</v>
      </c>
      <c r="J513" s="298">
        <f t="shared" si="146"/>
        <v>0</v>
      </c>
      <c r="K513" s="298">
        <f t="shared" si="146"/>
        <v>0</v>
      </c>
      <c r="L513" s="298">
        <f t="shared" si="146"/>
        <v>0</v>
      </c>
      <c r="M513" s="298">
        <f t="shared" si="146"/>
        <v>0</v>
      </c>
      <c r="N513" s="298">
        <f t="shared" si="142"/>
        <v>0</v>
      </c>
      <c r="O513" s="298">
        <f t="shared" si="142"/>
        <v>0</v>
      </c>
      <c r="P513" s="298">
        <f t="shared" si="142"/>
        <v>0</v>
      </c>
      <c r="Q513" s="298">
        <f t="shared" si="146"/>
        <v>0</v>
      </c>
      <c r="R513" s="298">
        <f t="shared" si="146"/>
        <v>0</v>
      </c>
      <c r="S513" s="298">
        <f t="shared" si="146"/>
        <v>0</v>
      </c>
      <c r="T513" s="298">
        <f t="shared" si="146"/>
        <v>0</v>
      </c>
      <c r="U513" s="298">
        <f t="shared" si="146"/>
        <v>0</v>
      </c>
      <c r="V513" s="298">
        <f t="shared" si="146"/>
        <v>0</v>
      </c>
      <c r="W513" s="298">
        <f t="shared" si="146"/>
        <v>0</v>
      </c>
      <c r="X513" s="298">
        <f t="shared" si="146"/>
        <v>0</v>
      </c>
      <c r="Y513" s="298">
        <f t="shared" si="146"/>
        <v>0</v>
      </c>
      <c r="Z513" s="298">
        <f t="shared" si="146"/>
        <v>0</v>
      </c>
      <c r="AA513" s="298">
        <f t="shared" si="146"/>
        <v>0</v>
      </c>
      <c r="AB513" s="298">
        <f t="shared" si="146"/>
        <v>0</v>
      </c>
      <c r="AC513" s="298">
        <f t="shared" si="146"/>
        <v>0</v>
      </c>
      <c r="AD513" s="298">
        <f t="shared" si="146"/>
        <v>0</v>
      </c>
      <c r="AE513" s="299">
        <f t="shared" si="146"/>
        <v>0</v>
      </c>
    </row>
    <row r="514" spans="1:31" ht="16.5" customHeight="1" thickTop="1" thickBot="1">
      <c r="A514" s="1712"/>
      <c r="B514" s="300" t="s">
        <v>39</v>
      </c>
      <c r="C514" s="301">
        <f>SUM(C488:C513)</f>
        <v>1566</v>
      </c>
      <c r="D514" s="301">
        <f>SUM(D488:D513)</f>
        <v>1560.8320547646545</v>
      </c>
      <c r="E514" s="301">
        <f t="shared" ref="E514:AB514" si="147">SUM(E488:E513)</f>
        <v>1553.508572669389</v>
      </c>
      <c r="F514" s="301">
        <f t="shared" si="147"/>
        <v>1536.2903456216975</v>
      </c>
      <c r="G514" s="301">
        <f t="shared" si="147"/>
        <v>1483.2341726106017</v>
      </c>
      <c r="H514" s="301">
        <f t="shared" si="147"/>
        <v>1361.2495511141769</v>
      </c>
      <c r="I514" s="301">
        <f t="shared" si="147"/>
        <v>1162.4594484081645</v>
      </c>
      <c r="J514" s="301">
        <f t="shared" si="147"/>
        <v>920.06039399727456</v>
      </c>
      <c r="K514" s="301">
        <f t="shared" si="147"/>
        <v>677.9117742539562</v>
      </c>
      <c r="L514" s="301">
        <f t="shared" si="147"/>
        <v>468.40860818908908</v>
      </c>
      <c r="M514" s="301">
        <f t="shared" si="147"/>
        <v>300.81229604777945</v>
      </c>
      <c r="N514" s="301">
        <f t="shared" si="147"/>
        <v>175.24527395363845</v>
      </c>
      <c r="O514" s="301">
        <f t="shared" si="147"/>
        <v>89.274139280628006</v>
      </c>
      <c r="P514" s="301">
        <f t="shared" si="147"/>
        <v>38.099522364900672</v>
      </c>
      <c r="Q514" s="301">
        <f t="shared" si="147"/>
        <v>13.387573663510034</v>
      </c>
      <c r="R514" s="301">
        <f t="shared" si="147"/>
        <v>3.8718682931572879</v>
      </c>
      <c r="S514" s="301">
        <f t="shared" si="147"/>
        <v>1.0096549900714105</v>
      </c>
      <c r="T514" s="301">
        <f t="shared" si="147"/>
        <v>0.23440160796582471</v>
      </c>
      <c r="U514" s="301">
        <f t="shared" si="147"/>
        <v>4.7682495515992594E-2</v>
      </c>
      <c r="V514" s="301">
        <f t="shared" si="147"/>
        <v>8.3243563311605397E-3</v>
      </c>
      <c r="W514" s="301">
        <f t="shared" si="147"/>
        <v>1.2124504005199741E-3</v>
      </c>
      <c r="X514" s="301">
        <f t="shared" si="147"/>
        <v>1.4143636820033726E-4</v>
      </c>
      <c r="Y514" s="301">
        <f t="shared" si="147"/>
        <v>1.2388951982405987E-5</v>
      </c>
      <c r="Z514" s="301">
        <f t="shared" si="147"/>
        <v>7.2441140786021382E-7</v>
      </c>
      <c r="AA514" s="301">
        <f t="shared" si="147"/>
        <v>2.121100408160703E-8</v>
      </c>
      <c r="AB514" s="301">
        <f t="shared" si="147"/>
        <v>0</v>
      </c>
      <c r="AC514" s="301">
        <f>SUM(AC488:AC513)</f>
        <v>0</v>
      </c>
      <c r="AD514" s="301">
        <f t="shared" ref="AD514:AE514" si="148">SUM(AD488:AD513)</f>
        <v>0</v>
      </c>
      <c r="AE514" s="302">
        <f t="shared" si="148"/>
        <v>0</v>
      </c>
    </row>
  </sheetData>
  <mergeCells count="22">
    <mergeCell ref="A197:A224"/>
    <mergeCell ref="A2:F2"/>
    <mergeCell ref="H2:M2"/>
    <mergeCell ref="O2:T2"/>
    <mergeCell ref="V2:AA2"/>
    <mergeCell ref="A23:A50"/>
    <mergeCell ref="B23:L23"/>
    <mergeCell ref="A52:A79"/>
    <mergeCell ref="A81:A108"/>
    <mergeCell ref="A110:A137"/>
    <mergeCell ref="A139:A166"/>
    <mergeCell ref="A168:A195"/>
    <mergeCell ref="A400:A427"/>
    <mergeCell ref="A429:A456"/>
    <mergeCell ref="A458:A485"/>
    <mergeCell ref="A487:A514"/>
    <mergeCell ref="A226:A253"/>
    <mergeCell ref="A255:A282"/>
    <mergeCell ref="A284:A311"/>
    <mergeCell ref="A313:A340"/>
    <mergeCell ref="A342:A369"/>
    <mergeCell ref="A371:A398"/>
  </mergeCells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9">
    <tabColor theme="4"/>
  </sheetPr>
  <dimension ref="A1:AE485"/>
  <sheetViews>
    <sheetView workbookViewId="0"/>
  </sheetViews>
  <sheetFormatPr defaultRowHeight="15"/>
  <cols>
    <col min="3" max="8" width="12.140625" bestFit="1" customWidth="1"/>
    <col min="9" max="14" width="11.7109375" bestFit="1" customWidth="1"/>
    <col min="15" max="17" width="12.140625" bestFit="1" customWidth="1"/>
    <col min="18" max="27" width="11.7109375" bestFit="1" customWidth="1"/>
    <col min="28" max="31" width="10.140625" bestFit="1" customWidth="1"/>
  </cols>
  <sheetData>
    <row r="1" spans="1:30" s="650" customFormat="1" ht="15.75" thickBot="1">
      <c r="A1" t="s">
        <v>183</v>
      </c>
      <c r="B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</row>
    <row r="2" spans="1:30" s="650" customFormat="1">
      <c r="A2" s="1713" t="s">
        <v>35</v>
      </c>
      <c r="B2" s="1714"/>
      <c r="C2" s="1714"/>
      <c r="D2" s="1714"/>
      <c r="E2" s="1714"/>
      <c r="F2" s="1715"/>
      <c r="G2" s="123"/>
      <c r="H2" s="1713" t="s">
        <v>36</v>
      </c>
      <c r="I2" s="1714"/>
      <c r="J2" s="1714"/>
      <c r="K2" s="1714"/>
      <c r="L2" s="1714"/>
      <c r="M2" s="1715"/>
      <c r="N2" s="123"/>
      <c r="O2" s="1713" t="s">
        <v>37</v>
      </c>
      <c r="P2" s="1714"/>
      <c r="Q2" s="1714"/>
      <c r="R2" s="1714"/>
      <c r="S2" s="1714"/>
      <c r="T2" s="1715"/>
      <c r="U2" s="123"/>
      <c r="V2" s="1713" t="s">
        <v>38</v>
      </c>
      <c r="W2" s="1714"/>
      <c r="X2" s="1714"/>
      <c r="Y2" s="1714"/>
      <c r="Z2" s="1714"/>
      <c r="AA2" s="1715"/>
      <c r="AB2"/>
      <c r="AC2" s="1720" t="s">
        <v>643</v>
      </c>
      <c r="AD2" s="1721"/>
    </row>
    <row r="3" spans="1:30" s="650" customFormat="1" ht="15.75" thickBot="1">
      <c r="A3" s="38" t="s">
        <v>10</v>
      </c>
      <c r="B3" s="116" t="s">
        <v>0</v>
      </c>
      <c r="C3" s="116" t="s">
        <v>1</v>
      </c>
      <c r="D3" s="116" t="s">
        <v>2</v>
      </c>
      <c r="E3" s="116" t="s">
        <v>3</v>
      </c>
      <c r="F3" s="117" t="s">
        <v>39</v>
      </c>
      <c r="G3" s="123"/>
      <c r="H3" s="38" t="s">
        <v>10</v>
      </c>
      <c r="I3" s="116" t="s">
        <v>0</v>
      </c>
      <c r="J3" s="116" t="s">
        <v>1</v>
      </c>
      <c r="K3" s="116" t="s">
        <v>2</v>
      </c>
      <c r="L3" s="116" t="s">
        <v>3</v>
      </c>
      <c r="M3" s="117" t="s">
        <v>39</v>
      </c>
      <c r="N3" s="123"/>
      <c r="O3" s="38" t="s">
        <v>10</v>
      </c>
      <c r="P3" s="116" t="s">
        <v>0</v>
      </c>
      <c r="Q3" s="116" t="s">
        <v>1</v>
      </c>
      <c r="R3" s="116" t="s">
        <v>2</v>
      </c>
      <c r="S3" s="116" t="s">
        <v>3</v>
      </c>
      <c r="T3" s="117" t="s">
        <v>39</v>
      </c>
      <c r="U3" s="123"/>
      <c r="V3" s="38" t="s">
        <v>10</v>
      </c>
      <c r="W3" s="116" t="s">
        <v>0</v>
      </c>
      <c r="X3" s="116" t="s">
        <v>1</v>
      </c>
      <c r="Y3" s="116" t="s">
        <v>2</v>
      </c>
      <c r="Z3" s="116" t="s">
        <v>3</v>
      </c>
      <c r="AA3" s="117" t="s">
        <v>39</v>
      </c>
      <c r="AB3"/>
      <c r="AC3" s="591" t="s">
        <v>92</v>
      </c>
      <c r="AD3" s="592" t="s">
        <v>644</v>
      </c>
    </row>
    <row r="4" spans="1:30" s="650" customFormat="1" ht="15.75" thickTop="1">
      <c r="A4" s="118">
        <v>0</v>
      </c>
      <c r="B4" s="120">
        <f>(B21*'CAR Stock'!B21)/SUMPRODUCT('CAR Stock'!B4:B20,'CAR Mileage'!$AD$4:$AD$20)</f>
        <v>14378.939576134428</v>
      </c>
      <c r="C4" s="121">
        <f>(C21*'CAR Stock'!C21)/SUMPRODUCT('CAR Stock'!C4:C20,'CAR Mileage'!$AD$4:$AD$20)</f>
        <v>17173.468220293704</v>
      </c>
      <c r="D4" s="121">
        <f>(D21*'CAR Stock'!D21)/SUMPRODUCT('CAR Stock'!D4:D20,'CAR Mileage'!$AD$4:$AD$20)</f>
        <v>19467.759716307228</v>
      </c>
      <c r="E4" s="121">
        <f>(E21*'CAR Stock'!E21)/SUMPRODUCT('CAR Stock'!E4:E20,'CAR Mileage'!$AD$4:$AD$20)</f>
        <v>18642.652133209751</v>
      </c>
      <c r="F4" s="122">
        <f>SUMPRODUCT(B4:E4,'CAR Stock'!B4:E4)/'CAR Stock'!F4</f>
        <v>16838.545538687413</v>
      </c>
      <c r="G4" s="123"/>
      <c r="H4" s="118">
        <v>0</v>
      </c>
      <c r="I4" s="120">
        <f>(I21*'CAR Stock'!I21)/SUMPRODUCT('CAR Stock'!I4:I20,'CAR Mileage'!$AD$4:$AD$20)</f>
        <v>14019.651148498195</v>
      </c>
      <c r="J4" s="121">
        <f>(J21*'CAR Stock'!J21)/SUMPRODUCT('CAR Stock'!J4:J20,'CAR Mileage'!$AD$4:$AD$20)</f>
        <v>23201.986785269673</v>
      </c>
      <c r="K4" s="121">
        <f>(K21*'CAR Stock'!K21)/SUMPRODUCT('CAR Stock'!K4:K20,'CAR Mileage'!$AD$4:$AD$20)</f>
        <v>26642.925660145898</v>
      </c>
      <c r="L4" s="121">
        <f>(L21*'CAR Stock'!L21)/SUMPRODUCT('CAR Stock'!L4:L20,'CAR Mileage'!$AD$4:$AD$20)</f>
        <v>26868.444624319873</v>
      </c>
      <c r="M4" s="122">
        <f>SUMPRODUCT(I4:L4,'CAR Stock'!I4:L4)/'CAR Stock'!M4</f>
        <v>25961.229164774566</v>
      </c>
      <c r="N4" s="123"/>
      <c r="O4" s="118">
        <v>0</v>
      </c>
      <c r="P4" s="120">
        <v>0</v>
      </c>
      <c r="Q4" s="121">
        <f>(Q21*'CAR Stock'!Q21)/SUMPRODUCT('CAR Stock'!Q4:Q20,'CAR Mileage'!$AD$4:$AD$20)</f>
        <v>15363.895884590784</v>
      </c>
      <c r="R4" s="121">
        <f>(R21*'CAR Stock'!R21)/SUMPRODUCT('CAR Stock'!R4:R20,'CAR Mileage'!$AD$4:$AD$20)</f>
        <v>19638.806756725025</v>
      </c>
      <c r="S4" s="121">
        <f>(S21*'CAR Stock'!S21)/SUMPRODUCT('CAR Stock'!S4:S20,'CAR Mileage'!$AD$4:$AD$20)</f>
        <v>18955.959417401416</v>
      </c>
      <c r="T4" s="122">
        <f>SUMPRODUCT(P4:S4,'CAR Stock'!P4:S4)/'CAR Stock'!T4</f>
        <v>15363.895884590785</v>
      </c>
      <c r="U4" s="123"/>
      <c r="V4" s="118">
        <v>0</v>
      </c>
      <c r="W4" s="120">
        <f>(W21*'CAR Stock'!W21)/SUMPRODUCT('CAR Stock'!W4:W20,'CAR Mileage'!$AD$4:$AD$20)</f>
        <v>14440.037947206478</v>
      </c>
      <c r="X4" s="121">
        <f>(X21*'CAR Stock'!X21)/SUMPRODUCT('CAR Stock'!X4:X20,'CAR Mileage'!$AD$4:$AD$20)</f>
        <v>18612.613848344718</v>
      </c>
      <c r="Y4" s="121">
        <f>(Y21*'CAR Stock'!Y21)/SUMPRODUCT('CAR Stock'!Y4:Y20,'CAR Mileage'!$AD$4:$AD$20)</f>
        <v>19618.126332282507</v>
      </c>
      <c r="Z4" s="121">
        <f>(Z21*'CAR Stock'!Z21)/SUMPRODUCT('CAR Stock'!Z4:Z20,'CAR Mileage'!$AD$4:$AD$20)</f>
        <v>16904.771717401192</v>
      </c>
      <c r="AA4" s="122">
        <f>SUMPRODUCT(W4:Z4,'CAR Stock'!W4:Z4)/'CAR Stock'!AA4</f>
        <v>19097.721586305088</v>
      </c>
      <c r="AB4"/>
      <c r="AC4" s="591">
        <v>0</v>
      </c>
      <c r="AD4" s="593">
        <f t="shared" ref="AD4:AD22" si="0">0.98^AC4</f>
        <v>1</v>
      </c>
    </row>
    <row r="5" spans="1:30" s="650" customFormat="1">
      <c r="A5" s="118">
        <v>1</v>
      </c>
      <c r="B5" s="124">
        <f t="shared" ref="B5:B20" si="1">B4*0.98</f>
        <v>14091.360784611739</v>
      </c>
      <c r="C5" s="125">
        <f t="shared" ref="C5:C20" si="2">C4*0.98</f>
        <v>16829.998855887829</v>
      </c>
      <c r="D5" s="125">
        <f t="shared" ref="D5:D20" si="3">D4*0.98</f>
        <v>19078.404521981083</v>
      </c>
      <c r="E5" s="125">
        <f t="shared" ref="E5:E20" si="4">E4*0.98</f>
        <v>18269.799090545555</v>
      </c>
      <c r="F5" s="126">
        <f>SUMPRODUCT(B5:E5,'CAR Stock'!B5:E5)/'CAR Stock'!F5</f>
        <v>16621.803709287495</v>
      </c>
      <c r="G5" s="123"/>
      <c r="H5" s="118">
        <v>1</v>
      </c>
      <c r="I5" s="124">
        <f t="shared" ref="I5:I20" si="5">I4*0.98</f>
        <v>13739.258125528231</v>
      </c>
      <c r="J5" s="125">
        <f t="shared" ref="J5:J20" si="6">J4*0.98</f>
        <v>22737.947049564278</v>
      </c>
      <c r="K5" s="125">
        <f t="shared" ref="K5:K20" si="7">K4*0.98</f>
        <v>26110.06714694298</v>
      </c>
      <c r="L5" s="125">
        <f t="shared" ref="L5:L20" si="8">L4*0.98</f>
        <v>26331.075731833476</v>
      </c>
      <c r="M5" s="126">
        <f>SUMPRODUCT(I5:L5,'CAR Stock'!I5:L5)/'CAR Stock'!M5</f>
        <v>25322.185263063704</v>
      </c>
      <c r="N5" s="123"/>
      <c r="O5" s="118">
        <v>1</v>
      </c>
      <c r="P5" s="124">
        <f t="shared" ref="P5:P20" si="9">P4*0.98</f>
        <v>0</v>
      </c>
      <c r="Q5" s="125">
        <f t="shared" ref="Q5:Q20" si="10">Q4*0.98</f>
        <v>15056.617966898968</v>
      </c>
      <c r="R5" s="125">
        <f t="shared" ref="R5:R20" si="11">R4*0.98</f>
        <v>19246.030621590526</v>
      </c>
      <c r="S5" s="125">
        <f t="shared" ref="S5:S20" si="12">S4*0.98</f>
        <v>18576.840229053389</v>
      </c>
      <c r="T5" s="126">
        <f>SUMPRODUCT(P5:S5,'CAR Stock'!P5:S5)/'CAR Stock'!T5</f>
        <v>15062.09691205407</v>
      </c>
      <c r="U5" s="123"/>
      <c r="V5" s="118">
        <v>1</v>
      </c>
      <c r="W5" s="124">
        <f t="shared" ref="W5:W20" si="13">W4*0.98</f>
        <v>14151.237188262348</v>
      </c>
      <c r="X5" s="125">
        <f t="shared" ref="X5:X20" si="14">X4*0.98</f>
        <v>18240.361571377824</v>
      </c>
      <c r="Y5" s="125">
        <f t="shared" ref="Y5:Y20" si="15">Y4*0.98</f>
        <v>19225.763805636856</v>
      </c>
      <c r="Z5" s="125">
        <f t="shared" ref="Z5:Z20" si="16">Z4*0.98</f>
        <v>16566.67628305317</v>
      </c>
      <c r="AA5" s="126">
        <f>SUMPRODUCT(W5:Z5,'CAR Stock'!W5:Z5)/'CAR Stock'!AA5</f>
        <v>18436.403786544248</v>
      </c>
      <c r="AB5"/>
      <c r="AC5" s="591">
        <v>1</v>
      </c>
      <c r="AD5" s="593">
        <f t="shared" si="0"/>
        <v>0.98</v>
      </c>
    </row>
    <row r="6" spans="1:30" s="650" customFormat="1">
      <c r="A6" s="118">
        <v>2</v>
      </c>
      <c r="B6" s="124">
        <f t="shared" si="1"/>
        <v>13809.533568919504</v>
      </c>
      <c r="C6" s="125">
        <f t="shared" si="2"/>
        <v>16493.398878770073</v>
      </c>
      <c r="D6" s="125">
        <f t="shared" si="3"/>
        <v>18696.836431541462</v>
      </c>
      <c r="E6" s="125">
        <f t="shared" si="4"/>
        <v>17904.403108734645</v>
      </c>
      <c r="F6" s="126">
        <f>SUMPRODUCT(B6:E6,'CAR Stock'!B6:E6)/'CAR Stock'!F6</f>
        <v>16354.253854652086</v>
      </c>
      <c r="G6" s="123"/>
      <c r="H6" s="118">
        <v>2</v>
      </c>
      <c r="I6" s="124">
        <f t="shared" si="5"/>
        <v>13464.472963017666</v>
      </c>
      <c r="J6" s="125">
        <f t="shared" si="6"/>
        <v>22283.188108572991</v>
      </c>
      <c r="K6" s="125">
        <f t="shared" si="7"/>
        <v>25587.865804004119</v>
      </c>
      <c r="L6" s="125">
        <f t="shared" si="8"/>
        <v>25804.454217196806</v>
      </c>
      <c r="M6" s="126">
        <f>SUMPRODUCT(I6:L6,'CAR Stock'!I6:L6)/'CAR Stock'!M6</f>
        <v>24856.443537464736</v>
      </c>
      <c r="N6" s="123"/>
      <c r="O6" s="118">
        <v>2</v>
      </c>
      <c r="P6" s="124">
        <f t="shared" si="9"/>
        <v>0</v>
      </c>
      <c r="Q6" s="125">
        <f t="shared" si="10"/>
        <v>14755.485607560988</v>
      </c>
      <c r="R6" s="125">
        <f t="shared" si="11"/>
        <v>18861.110009158714</v>
      </c>
      <c r="S6" s="125">
        <f t="shared" si="12"/>
        <v>18205.30342447232</v>
      </c>
      <c r="T6" s="126">
        <f>SUMPRODUCT(P6:S6,'CAR Stock'!P6:S6)/'CAR Stock'!T6</f>
        <v>14810.452897308309</v>
      </c>
      <c r="U6" s="123"/>
      <c r="V6" s="118">
        <v>2</v>
      </c>
      <c r="W6" s="124">
        <f t="shared" si="13"/>
        <v>13868.212444497101</v>
      </c>
      <c r="X6" s="125">
        <f t="shared" si="14"/>
        <v>17875.554339950268</v>
      </c>
      <c r="Y6" s="125">
        <f t="shared" si="15"/>
        <v>18841.248529524117</v>
      </c>
      <c r="Z6" s="125">
        <f t="shared" si="16"/>
        <v>16235.342757392105</v>
      </c>
      <c r="AA6" s="126">
        <f>SUMPRODUCT(W6:Z6,'CAR Stock'!W6:Z6)/'CAR Stock'!AA6</f>
        <v>17992.02881502367</v>
      </c>
      <c r="AB6"/>
      <c r="AC6" s="591">
        <v>2</v>
      </c>
      <c r="AD6" s="593">
        <f t="shared" si="0"/>
        <v>0.96039999999999992</v>
      </c>
    </row>
    <row r="7" spans="1:30" s="650" customFormat="1">
      <c r="A7" s="118">
        <v>3</v>
      </c>
      <c r="B7" s="124">
        <f t="shared" si="1"/>
        <v>13533.342897541113</v>
      </c>
      <c r="C7" s="125">
        <f t="shared" si="2"/>
        <v>16163.53090119467</v>
      </c>
      <c r="D7" s="125">
        <f t="shared" si="3"/>
        <v>18322.899702910632</v>
      </c>
      <c r="E7" s="125">
        <f t="shared" si="4"/>
        <v>17546.31504655995</v>
      </c>
      <c r="F7" s="126">
        <f>SUMPRODUCT(B7:E7,'CAR Stock'!B7:E7)/'CAR Stock'!F7</f>
        <v>16408.341141387438</v>
      </c>
      <c r="G7" s="123"/>
      <c r="H7" s="118">
        <v>3</v>
      </c>
      <c r="I7" s="124">
        <f t="shared" si="5"/>
        <v>13195.183503757313</v>
      </c>
      <c r="J7" s="125">
        <f t="shared" si="6"/>
        <v>21837.524346401529</v>
      </c>
      <c r="K7" s="125">
        <f t="shared" si="7"/>
        <v>25076.108487924037</v>
      </c>
      <c r="L7" s="125">
        <f t="shared" si="8"/>
        <v>25288.365132852869</v>
      </c>
      <c r="M7" s="126">
        <f>SUMPRODUCT(I7:L7,'CAR Stock'!I7:L7)/'CAR Stock'!M7</f>
        <v>24507.800678454048</v>
      </c>
      <c r="N7" s="123"/>
      <c r="O7" s="118">
        <v>3</v>
      </c>
      <c r="P7" s="124">
        <f t="shared" si="9"/>
        <v>0</v>
      </c>
      <c r="Q7" s="125">
        <f t="shared" si="10"/>
        <v>14460.375895409768</v>
      </c>
      <c r="R7" s="125">
        <f t="shared" si="11"/>
        <v>18483.887808975538</v>
      </c>
      <c r="S7" s="125">
        <f t="shared" si="12"/>
        <v>17841.197355982873</v>
      </c>
      <c r="T7" s="126">
        <f>SUMPRODUCT(P7:S7,'CAR Stock'!P7:S7)/'CAR Stock'!T7</f>
        <v>15780.371267922639</v>
      </c>
      <c r="U7" s="123"/>
      <c r="V7" s="118">
        <v>3</v>
      </c>
      <c r="W7" s="124">
        <f t="shared" si="13"/>
        <v>13590.848195607159</v>
      </c>
      <c r="X7" s="125">
        <f t="shared" si="14"/>
        <v>17518.043253151263</v>
      </c>
      <c r="Y7" s="125">
        <f t="shared" si="15"/>
        <v>18464.423558933635</v>
      </c>
      <c r="Z7" s="125">
        <f t="shared" si="16"/>
        <v>15910.635902244263</v>
      </c>
      <c r="AA7" s="126">
        <f>SUMPRODUCT(W7:Z7,'CAR Stock'!W7:Z7)/'CAR Stock'!AA7</f>
        <v>17452.823588054809</v>
      </c>
      <c r="AB7"/>
      <c r="AC7" s="591">
        <v>3</v>
      </c>
      <c r="AD7" s="593">
        <f t="shared" si="0"/>
        <v>0.94119199999999992</v>
      </c>
    </row>
    <row r="8" spans="1:30" s="650" customFormat="1">
      <c r="A8" s="118">
        <v>4</v>
      </c>
      <c r="B8" s="124">
        <f t="shared" si="1"/>
        <v>13262.676039590291</v>
      </c>
      <c r="C8" s="125">
        <f t="shared" si="2"/>
        <v>15840.260283170777</v>
      </c>
      <c r="D8" s="125">
        <f t="shared" si="3"/>
        <v>17956.441708852421</v>
      </c>
      <c r="E8" s="125">
        <f t="shared" si="4"/>
        <v>17195.388745628752</v>
      </c>
      <c r="F8" s="126">
        <f>SUMPRODUCT(B8:E8,'CAR Stock'!B8:E8)/'CAR Stock'!F8</f>
        <v>16413.739601186262</v>
      </c>
      <c r="G8" s="123"/>
      <c r="H8" s="118">
        <v>4</v>
      </c>
      <c r="I8" s="124">
        <f t="shared" si="5"/>
        <v>12931.279833682167</v>
      </c>
      <c r="J8" s="125">
        <f t="shared" si="6"/>
        <v>21400.773859473498</v>
      </c>
      <c r="K8" s="125">
        <f t="shared" si="7"/>
        <v>24574.586318165555</v>
      </c>
      <c r="L8" s="125">
        <f t="shared" si="8"/>
        <v>24782.597830195809</v>
      </c>
      <c r="M8" s="126">
        <f>SUMPRODUCT(I8:L8,'CAR Stock'!I8:L8)/'CAR Stock'!M8</f>
        <v>24140.751274676517</v>
      </c>
      <c r="N8" s="123"/>
      <c r="O8" s="118">
        <v>4</v>
      </c>
      <c r="P8" s="124">
        <f t="shared" si="9"/>
        <v>0</v>
      </c>
      <c r="Q8" s="125">
        <f t="shared" si="10"/>
        <v>14171.168377501574</v>
      </c>
      <c r="R8" s="125">
        <f t="shared" si="11"/>
        <v>18114.210052796028</v>
      </c>
      <c r="S8" s="125">
        <f t="shared" si="12"/>
        <v>17484.373408863215</v>
      </c>
      <c r="T8" s="126">
        <f>SUMPRODUCT(P8:S8,'CAR Stock'!P8:S8)/'CAR Stock'!T8</f>
        <v>17697.449275165698</v>
      </c>
      <c r="U8" s="123"/>
      <c r="V8" s="118">
        <v>4</v>
      </c>
      <c r="W8" s="124">
        <f t="shared" si="13"/>
        <v>13319.031231695015</v>
      </c>
      <c r="X8" s="125">
        <f t="shared" si="14"/>
        <v>17167.682388088237</v>
      </c>
      <c r="Y8" s="125">
        <f t="shared" si="15"/>
        <v>18095.135087754963</v>
      </c>
      <c r="Z8" s="125">
        <f t="shared" si="16"/>
        <v>15592.423184199377</v>
      </c>
      <c r="AA8" s="126">
        <f>SUMPRODUCT(W8:Z8,'CAR Stock'!W8:Z8)/'CAR Stock'!AA8</f>
        <v>16795.766011337753</v>
      </c>
      <c r="AB8"/>
      <c r="AC8" s="591">
        <v>4</v>
      </c>
      <c r="AD8" s="593">
        <f t="shared" si="0"/>
        <v>0.92236815999999988</v>
      </c>
    </row>
    <row r="9" spans="1:30" s="650" customFormat="1">
      <c r="A9" s="118">
        <v>5</v>
      </c>
      <c r="B9" s="124">
        <f t="shared" si="1"/>
        <v>12997.422518798485</v>
      </c>
      <c r="C9" s="125">
        <f t="shared" si="2"/>
        <v>15523.455077507362</v>
      </c>
      <c r="D9" s="125">
        <f t="shared" si="3"/>
        <v>17597.312874675372</v>
      </c>
      <c r="E9" s="125">
        <f t="shared" si="4"/>
        <v>16851.480970716177</v>
      </c>
      <c r="F9" s="126">
        <f>SUMPRODUCT(B9:E9,'CAR Stock'!B9:E9)/'CAR Stock'!F9</f>
        <v>16139.214812235488</v>
      </c>
      <c r="G9" s="123"/>
      <c r="H9" s="118">
        <v>5</v>
      </c>
      <c r="I9" s="124">
        <f t="shared" si="5"/>
        <v>12672.654237008523</v>
      </c>
      <c r="J9" s="125">
        <f t="shared" si="6"/>
        <v>20972.758382284028</v>
      </c>
      <c r="K9" s="125">
        <f t="shared" si="7"/>
        <v>24083.094591802244</v>
      </c>
      <c r="L9" s="125">
        <f t="shared" si="8"/>
        <v>24286.945873591892</v>
      </c>
      <c r="M9" s="126">
        <f>SUMPRODUCT(I9:L9,'CAR Stock'!I9:L9)/'CAR Stock'!M9</f>
        <v>23776.604352258419</v>
      </c>
      <c r="N9" s="123"/>
      <c r="O9" s="118">
        <v>5</v>
      </c>
      <c r="P9" s="124">
        <f t="shared" si="9"/>
        <v>0</v>
      </c>
      <c r="Q9" s="125">
        <f t="shared" si="10"/>
        <v>13887.745009951543</v>
      </c>
      <c r="R9" s="125">
        <f t="shared" si="11"/>
        <v>17751.925851740107</v>
      </c>
      <c r="S9" s="125">
        <f t="shared" si="12"/>
        <v>17134.685940685951</v>
      </c>
      <c r="T9" s="126">
        <f>SUMPRODUCT(P9:S9,'CAR Stock'!P9:S9)/'CAR Stock'!T9</f>
        <v>17446.955803702836</v>
      </c>
      <c r="U9" s="123"/>
      <c r="V9" s="118">
        <v>5</v>
      </c>
      <c r="W9" s="124">
        <f t="shared" si="13"/>
        <v>13052.650607061114</v>
      </c>
      <c r="X9" s="125">
        <f t="shared" si="14"/>
        <v>16824.328740326473</v>
      </c>
      <c r="Y9" s="125">
        <f t="shared" si="15"/>
        <v>17733.232385999865</v>
      </c>
      <c r="Z9" s="125">
        <f t="shared" si="16"/>
        <v>15280.574720515389</v>
      </c>
      <c r="AA9" s="126">
        <f>SUMPRODUCT(W9:Z9,'CAR Stock'!W9:Z9)/'CAR Stock'!AA9</f>
        <v>16247.975739108389</v>
      </c>
      <c r="AB9"/>
      <c r="AC9" s="591">
        <v>5</v>
      </c>
      <c r="AD9" s="593">
        <f t="shared" si="0"/>
        <v>0.90392079679999982</v>
      </c>
    </row>
    <row r="10" spans="1:30" s="650" customFormat="1">
      <c r="A10" s="118">
        <v>6</v>
      </c>
      <c r="B10" s="124">
        <f t="shared" si="1"/>
        <v>12737.474068422514</v>
      </c>
      <c r="C10" s="125">
        <f t="shared" si="2"/>
        <v>15212.985975957215</v>
      </c>
      <c r="D10" s="125">
        <f t="shared" si="3"/>
        <v>17245.366617181866</v>
      </c>
      <c r="E10" s="125">
        <f t="shared" si="4"/>
        <v>16514.451351301854</v>
      </c>
      <c r="F10" s="126">
        <f>SUMPRODUCT(B10:E10,'CAR Stock'!B10:E10)/'CAR Stock'!F10</f>
        <v>15749.61599915622</v>
      </c>
      <c r="G10" s="123"/>
      <c r="H10" s="118">
        <v>6</v>
      </c>
      <c r="I10" s="124">
        <f t="shared" si="5"/>
        <v>12419.201152268352</v>
      </c>
      <c r="J10" s="125">
        <f t="shared" si="6"/>
        <v>20553.303214638348</v>
      </c>
      <c r="K10" s="125">
        <f t="shared" si="7"/>
        <v>23601.432699966201</v>
      </c>
      <c r="L10" s="125">
        <f t="shared" si="8"/>
        <v>23801.206956120055</v>
      </c>
      <c r="M10" s="126">
        <f>SUMPRODUCT(I10:L10,'CAR Stock'!I10:L10)/'CAR Stock'!M10</f>
        <v>23363.404961140204</v>
      </c>
      <c r="N10" s="123"/>
      <c r="O10" s="118">
        <v>6</v>
      </c>
      <c r="P10" s="124">
        <f t="shared" si="9"/>
        <v>0</v>
      </c>
      <c r="Q10" s="125">
        <f t="shared" si="10"/>
        <v>13609.990109752511</v>
      </c>
      <c r="R10" s="125">
        <f t="shared" si="11"/>
        <v>17396.887334705305</v>
      </c>
      <c r="S10" s="125">
        <f t="shared" si="12"/>
        <v>16791.992221872231</v>
      </c>
      <c r="T10" s="126">
        <f>SUMPRODUCT(P10:S10,'CAR Stock'!P10:S10)/'CAR Stock'!T10</f>
        <v>17275.90831213869</v>
      </c>
      <c r="U10" s="123"/>
      <c r="V10" s="118">
        <v>6</v>
      </c>
      <c r="W10" s="124">
        <f t="shared" si="13"/>
        <v>12791.597594919891</v>
      </c>
      <c r="X10" s="125">
        <f t="shared" si="14"/>
        <v>16487.842165519942</v>
      </c>
      <c r="Y10" s="125">
        <f t="shared" si="15"/>
        <v>17378.567738279868</v>
      </c>
      <c r="Z10" s="125">
        <f t="shared" si="16"/>
        <v>14974.963226105081</v>
      </c>
      <c r="AA10" s="126">
        <f>SUMPRODUCT(W10:Z10,'CAR Stock'!W10:Z10)/'CAR Stock'!AA10</f>
        <v>15886.867249402689</v>
      </c>
      <c r="AB10"/>
      <c r="AC10" s="591">
        <v>6</v>
      </c>
      <c r="AD10" s="593">
        <f t="shared" si="0"/>
        <v>0.8858423808639998</v>
      </c>
    </row>
    <row r="11" spans="1:30" s="650" customFormat="1">
      <c r="A11" s="118">
        <v>7</v>
      </c>
      <c r="B11" s="124">
        <f t="shared" si="1"/>
        <v>12482.724587054065</v>
      </c>
      <c r="C11" s="125">
        <f t="shared" si="2"/>
        <v>14908.726256438071</v>
      </c>
      <c r="D11" s="125">
        <f t="shared" si="3"/>
        <v>16900.459284838227</v>
      </c>
      <c r="E11" s="125">
        <f t="shared" si="4"/>
        <v>16184.162324275816</v>
      </c>
      <c r="F11" s="126">
        <f>SUMPRODUCT(B11:E11,'CAR Stock'!B11:E11)/'CAR Stock'!F11</f>
        <v>15473.07228332321</v>
      </c>
      <c r="G11" s="123"/>
      <c r="H11" s="118">
        <v>7</v>
      </c>
      <c r="I11" s="124">
        <f t="shared" si="5"/>
        <v>12170.817129222984</v>
      </c>
      <c r="J11" s="125">
        <f t="shared" si="6"/>
        <v>20142.23715034558</v>
      </c>
      <c r="K11" s="125">
        <f t="shared" si="7"/>
        <v>23129.404045966876</v>
      </c>
      <c r="L11" s="125">
        <f t="shared" si="8"/>
        <v>23325.182816997654</v>
      </c>
      <c r="M11" s="126">
        <f>SUMPRODUCT(I11:L11,'CAR Stock'!I11:L11)/'CAR Stock'!M11</f>
        <v>22883.94815766333</v>
      </c>
      <c r="N11" s="123"/>
      <c r="O11" s="118">
        <v>7</v>
      </c>
      <c r="P11" s="124">
        <f t="shared" si="9"/>
        <v>0</v>
      </c>
      <c r="Q11" s="125">
        <f t="shared" si="10"/>
        <v>13337.79030755746</v>
      </c>
      <c r="R11" s="125">
        <f t="shared" si="11"/>
        <v>17048.949588011197</v>
      </c>
      <c r="S11" s="125">
        <f t="shared" si="12"/>
        <v>16456.152377434788</v>
      </c>
      <c r="T11" s="126">
        <f>SUMPRODUCT(P11:S11,'CAR Stock'!P11:S11)/'CAR Stock'!T11</f>
        <v>16752.550982722991</v>
      </c>
      <c r="U11" s="123"/>
      <c r="V11" s="118">
        <v>7</v>
      </c>
      <c r="W11" s="124">
        <f t="shared" si="13"/>
        <v>12535.765643021494</v>
      </c>
      <c r="X11" s="125">
        <f t="shared" si="14"/>
        <v>16158.085322209543</v>
      </c>
      <c r="Y11" s="125">
        <f t="shared" si="15"/>
        <v>17030.99638351427</v>
      </c>
      <c r="Z11" s="125">
        <f t="shared" si="16"/>
        <v>14675.463961582978</v>
      </c>
      <c r="AA11" s="126">
        <f>SUMPRODUCT(W11:Z11,'CAR Stock'!W11:Z11)/'CAR Stock'!AA11</f>
        <v>15993.784274330083</v>
      </c>
      <c r="AB11"/>
      <c r="AC11" s="591">
        <v>7</v>
      </c>
      <c r="AD11" s="593">
        <f t="shared" si="0"/>
        <v>0.86812553324671982</v>
      </c>
    </row>
    <row r="12" spans="1:30" s="650" customFormat="1">
      <c r="A12" s="118">
        <v>8</v>
      </c>
      <c r="B12" s="124">
        <f t="shared" si="1"/>
        <v>12233.070095312984</v>
      </c>
      <c r="C12" s="125">
        <f t="shared" si="2"/>
        <v>14610.55173130931</v>
      </c>
      <c r="D12" s="125">
        <f t="shared" si="3"/>
        <v>16562.450099141461</v>
      </c>
      <c r="E12" s="125">
        <f t="shared" si="4"/>
        <v>15860.4790777903</v>
      </c>
      <c r="F12" s="126">
        <f>SUMPRODUCT(B12:E12,'CAR Stock'!B12:E12)/'CAR Stock'!F12</f>
        <v>15126.028780261742</v>
      </c>
      <c r="G12" s="123"/>
      <c r="H12" s="118">
        <v>8</v>
      </c>
      <c r="I12" s="124">
        <f t="shared" si="5"/>
        <v>11927.400786638524</v>
      </c>
      <c r="J12" s="125">
        <f t="shared" si="6"/>
        <v>19739.392407338666</v>
      </c>
      <c r="K12" s="125">
        <f t="shared" si="7"/>
        <v>22666.815965047539</v>
      </c>
      <c r="L12" s="125">
        <f t="shared" si="8"/>
        <v>22858.679160657703</v>
      </c>
      <c r="M12" s="126">
        <f>SUMPRODUCT(I12:L12,'CAR Stock'!I12:L12)/'CAR Stock'!M12</f>
        <v>22493.942751765815</v>
      </c>
      <c r="N12" s="123"/>
      <c r="O12" s="118">
        <v>8</v>
      </c>
      <c r="P12" s="124">
        <f t="shared" si="9"/>
        <v>0</v>
      </c>
      <c r="Q12" s="125">
        <f t="shared" si="10"/>
        <v>13071.03450140631</v>
      </c>
      <c r="R12" s="125">
        <f t="shared" si="11"/>
        <v>16707.970596250972</v>
      </c>
      <c r="S12" s="125">
        <f t="shared" si="12"/>
        <v>16127.029329886092</v>
      </c>
      <c r="T12" s="126" t="e">
        <f>SUMPRODUCT(P12:S12,'CAR Stock'!P12:S12)/'CAR Stock'!T12</f>
        <v>#DIV/0!</v>
      </c>
      <c r="U12" s="123"/>
      <c r="V12" s="118">
        <v>8</v>
      </c>
      <c r="W12" s="124">
        <f t="shared" si="13"/>
        <v>12285.050330161064</v>
      </c>
      <c r="X12" s="125">
        <f t="shared" si="14"/>
        <v>15834.923615765352</v>
      </c>
      <c r="Y12" s="125">
        <f t="shared" si="15"/>
        <v>16690.376455843983</v>
      </c>
      <c r="Z12" s="125">
        <f t="shared" si="16"/>
        <v>14381.954682351319</v>
      </c>
      <c r="AA12" s="126">
        <f>SUMPRODUCT(W12:Z12,'CAR Stock'!W12:Z12)/'CAR Stock'!AA12</f>
        <v>15834.923615765352</v>
      </c>
      <c r="AB12"/>
      <c r="AC12" s="591">
        <v>8</v>
      </c>
      <c r="AD12" s="593">
        <f t="shared" si="0"/>
        <v>0.85076302258178538</v>
      </c>
    </row>
    <row r="13" spans="1:30" s="650" customFormat="1">
      <c r="A13" s="118">
        <v>9</v>
      </c>
      <c r="B13" s="124">
        <f t="shared" si="1"/>
        <v>11988.408693406724</v>
      </c>
      <c r="C13" s="125">
        <f t="shared" si="2"/>
        <v>14318.340696683123</v>
      </c>
      <c r="D13" s="125">
        <f t="shared" si="3"/>
        <v>16231.201097158631</v>
      </c>
      <c r="E13" s="125">
        <f t="shared" si="4"/>
        <v>15543.269496234494</v>
      </c>
      <c r="F13" s="126">
        <f>SUMPRODUCT(B13:E13,'CAR Stock'!B13:E13)/'CAR Stock'!F13</f>
        <v>14730.412045564637</v>
      </c>
      <c r="G13" s="123"/>
      <c r="H13" s="118">
        <v>9</v>
      </c>
      <c r="I13" s="124">
        <f t="shared" si="5"/>
        <v>11688.852770905753</v>
      </c>
      <c r="J13" s="125">
        <f t="shared" si="6"/>
        <v>19344.604559191892</v>
      </c>
      <c r="K13" s="125">
        <f t="shared" si="7"/>
        <v>22213.479645746589</v>
      </c>
      <c r="L13" s="125">
        <f t="shared" si="8"/>
        <v>22401.505577444546</v>
      </c>
      <c r="M13" s="126">
        <f>SUMPRODUCT(I13:L13,'CAR Stock'!I13:L13)/'CAR Stock'!M13</f>
        <v>22061.839640252208</v>
      </c>
      <c r="N13" s="123"/>
      <c r="O13" s="118">
        <v>9</v>
      </c>
      <c r="P13" s="124">
        <f t="shared" si="9"/>
        <v>0</v>
      </c>
      <c r="Q13" s="125">
        <f t="shared" si="10"/>
        <v>12809.613811378184</v>
      </c>
      <c r="R13" s="125">
        <f t="shared" si="11"/>
        <v>16373.811184325952</v>
      </c>
      <c r="S13" s="125">
        <f t="shared" si="12"/>
        <v>15804.48874328837</v>
      </c>
      <c r="T13" s="126">
        <f>SUMPRODUCT(P13:S13,'CAR Stock'!P13:S13)/'CAR Stock'!T13</f>
        <v>12809.613811378184</v>
      </c>
      <c r="U13" s="123"/>
      <c r="V13" s="118">
        <v>9</v>
      </c>
      <c r="W13" s="124">
        <f t="shared" si="13"/>
        <v>12039.349323557843</v>
      </c>
      <c r="X13" s="125">
        <f t="shared" si="14"/>
        <v>15518.225143450045</v>
      </c>
      <c r="Y13" s="125">
        <f t="shared" si="15"/>
        <v>16356.568926727103</v>
      </c>
      <c r="Z13" s="125">
        <f t="shared" si="16"/>
        <v>14094.315588704292</v>
      </c>
      <c r="AA13" s="126">
        <f>SUMPRODUCT(W13:Z13,'CAR Stock'!W13:Z13)/'CAR Stock'!AA13</f>
        <v>15364.288975369422</v>
      </c>
      <c r="AB13"/>
      <c r="AC13" s="591">
        <v>9</v>
      </c>
      <c r="AD13" s="593">
        <f t="shared" si="0"/>
        <v>0.83374776213014967</v>
      </c>
    </row>
    <row r="14" spans="1:30" s="650" customFormat="1">
      <c r="A14" s="118">
        <v>10</v>
      </c>
      <c r="B14" s="124">
        <f t="shared" si="1"/>
        <v>11748.640519538589</v>
      </c>
      <c r="C14" s="125">
        <f t="shared" si="2"/>
        <v>14031.97388274946</v>
      </c>
      <c r="D14" s="125">
        <f t="shared" si="3"/>
        <v>15906.577075215459</v>
      </c>
      <c r="E14" s="125">
        <f t="shared" si="4"/>
        <v>15232.404106309803</v>
      </c>
      <c r="F14" s="126">
        <f>SUMPRODUCT(B14:E14,'CAR Stock'!B14:E14)/'CAR Stock'!F14</f>
        <v>14383.700663663518</v>
      </c>
      <c r="G14" s="123"/>
      <c r="H14" s="118">
        <v>10</v>
      </c>
      <c r="I14" s="124">
        <f t="shared" si="5"/>
        <v>11455.075715487637</v>
      </c>
      <c r="J14" s="125">
        <f t="shared" si="6"/>
        <v>18957.712468008052</v>
      </c>
      <c r="K14" s="125">
        <f t="shared" si="7"/>
        <v>21769.210052831659</v>
      </c>
      <c r="L14" s="125">
        <f t="shared" si="8"/>
        <v>21953.475465895655</v>
      </c>
      <c r="M14" s="126">
        <f>SUMPRODUCT(I14:L14,'CAR Stock'!I14:L14)/'CAR Stock'!M14</f>
        <v>21712.320010716161</v>
      </c>
      <c r="N14" s="123"/>
      <c r="O14" s="118">
        <v>10</v>
      </c>
      <c r="P14" s="124">
        <f t="shared" si="9"/>
        <v>0</v>
      </c>
      <c r="Q14" s="125">
        <f t="shared" si="10"/>
        <v>12553.421535150619</v>
      </c>
      <c r="R14" s="125">
        <f t="shared" si="11"/>
        <v>16046.334960639433</v>
      </c>
      <c r="S14" s="125">
        <f t="shared" si="12"/>
        <v>15488.398968422602</v>
      </c>
      <c r="T14" s="126" t="e">
        <f>SUMPRODUCT(P14:S14,'CAR Stock'!P14:S14)/'CAR Stock'!T14</f>
        <v>#DIV/0!</v>
      </c>
      <c r="U14" s="123"/>
      <c r="V14" s="118">
        <v>10</v>
      </c>
      <c r="W14" s="124">
        <f t="shared" si="13"/>
        <v>11798.562337086685</v>
      </c>
      <c r="X14" s="125">
        <f t="shared" si="14"/>
        <v>15207.860640581044</v>
      </c>
      <c r="Y14" s="125">
        <f t="shared" si="15"/>
        <v>16029.43754819256</v>
      </c>
      <c r="Z14" s="125">
        <f t="shared" si="16"/>
        <v>13812.429276930206</v>
      </c>
      <c r="AA14" s="126">
        <f>SUMPRODUCT(W14:Z14,'CAR Stock'!W14:Z14)/'CAR Stock'!AA14</f>
        <v>14489.002059306371</v>
      </c>
      <c r="AB14"/>
      <c r="AC14" s="591">
        <v>10</v>
      </c>
      <c r="AD14" s="593">
        <f t="shared" si="0"/>
        <v>0.81707280688754658</v>
      </c>
    </row>
    <row r="15" spans="1:30" s="650" customFormat="1">
      <c r="A15" s="118">
        <v>11</v>
      </c>
      <c r="B15" s="124">
        <f t="shared" si="1"/>
        <v>11513.667709147816</v>
      </c>
      <c r="C15" s="125">
        <f t="shared" si="2"/>
        <v>13751.334405094471</v>
      </c>
      <c r="D15" s="125">
        <f t="shared" si="3"/>
        <v>15588.445533711149</v>
      </c>
      <c r="E15" s="125">
        <f t="shared" si="4"/>
        <v>14927.756024183607</v>
      </c>
      <c r="F15" s="126">
        <f>SUMPRODUCT(B15:E15,'CAR Stock'!B15:E15)/'CAR Stock'!F15</f>
        <v>13922.54619846987</v>
      </c>
      <c r="G15" s="123"/>
      <c r="H15" s="118">
        <v>11</v>
      </c>
      <c r="I15" s="124">
        <f t="shared" si="5"/>
        <v>11225.974201177884</v>
      </c>
      <c r="J15" s="125">
        <f t="shared" si="6"/>
        <v>18578.55821864789</v>
      </c>
      <c r="K15" s="125">
        <f t="shared" si="7"/>
        <v>21333.825851775026</v>
      </c>
      <c r="L15" s="125">
        <f t="shared" si="8"/>
        <v>21514.405956577742</v>
      </c>
      <c r="M15" s="126">
        <f>SUMPRODUCT(I15:L15,'CAR Stock'!I15:L15)/'CAR Stock'!M15</f>
        <v>21387.311925749549</v>
      </c>
      <c r="N15" s="123"/>
      <c r="O15" s="118">
        <v>11</v>
      </c>
      <c r="P15" s="124">
        <f t="shared" si="9"/>
        <v>0</v>
      </c>
      <c r="Q15" s="125">
        <f t="shared" si="10"/>
        <v>12302.353104447606</v>
      </c>
      <c r="R15" s="125">
        <f t="shared" si="11"/>
        <v>15725.408261426644</v>
      </c>
      <c r="S15" s="125">
        <f t="shared" si="12"/>
        <v>15178.630989054149</v>
      </c>
      <c r="T15" s="126" t="e">
        <f>SUMPRODUCT(P15:S15,'CAR Stock'!P15:S15)/'CAR Stock'!T15</f>
        <v>#DIV/0!</v>
      </c>
      <c r="U15" s="123"/>
      <c r="V15" s="118">
        <v>11</v>
      </c>
      <c r="W15" s="124">
        <f t="shared" si="13"/>
        <v>11562.591090344951</v>
      </c>
      <c r="X15" s="125">
        <f t="shared" si="14"/>
        <v>14903.703427769424</v>
      </c>
      <c r="Y15" s="125">
        <f t="shared" si="15"/>
        <v>15708.848797228708</v>
      </c>
      <c r="Z15" s="125">
        <f t="shared" si="16"/>
        <v>13536.180691391603</v>
      </c>
      <c r="AA15" s="126">
        <f>SUMPRODUCT(W15:Z15,'CAR Stock'!W15:Z15)/'CAR Stock'!AA15</f>
        <v>14436.306673140185</v>
      </c>
      <c r="AB15"/>
      <c r="AC15" s="591">
        <v>11</v>
      </c>
      <c r="AD15" s="593">
        <f t="shared" si="0"/>
        <v>0.80073135074979562</v>
      </c>
    </row>
    <row r="16" spans="1:30" s="650" customFormat="1">
      <c r="A16" s="118">
        <v>12</v>
      </c>
      <c r="B16" s="124">
        <f t="shared" si="1"/>
        <v>11283.394354964859</v>
      </c>
      <c r="C16" s="125">
        <f t="shared" si="2"/>
        <v>13476.307716992582</v>
      </c>
      <c r="D16" s="125">
        <f t="shared" si="3"/>
        <v>15276.676623036925</v>
      </c>
      <c r="E16" s="125">
        <f t="shared" si="4"/>
        <v>14629.200903699935</v>
      </c>
      <c r="F16" s="126">
        <f>SUMPRODUCT(B16:E16,'CAR Stock'!B16:E16)/'CAR Stock'!F16</f>
        <v>13415.655489562494</v>
      </c>
      <c r="G16" s="123"/>
      <c r="H16" s="118">
        <v>12</v>
      </c>
      <c r="I16" s="124">
        <f t="shared" si="5"/>
        <v>11001.454717154325</v>
      </c>
      <c r="J16" s="125">
        <f t="shared" si="6"/>
        <v>18206.98705427493</v>
      </c>
      <c r="K16" s="125">
        <f t="shared" si="7"/>
        <v>20907.149334739526</v>
      </c>
      <c r="L16" s="125">
        <f t="shared" si="8"/>
        <v>21084.117837446189</v>
      </c>
      <c r="M16" s="126">
        <f>SUMPRODUCT(I16:L16,'CAR Stock'!I16:L16)/'CAR Stock'!M16</f>
        <v>20965.732858614901</v>
      </c>
      <c r="N16" s="123"/>
      <c r="O16" s="118">
        <v>12</v>
      </c>
      <c r="P16" s="124">
        <f t="shared" si="9"/>
        <v>0</v>
      </c>
      <c r="Q16" s="125">
        <f t="shared" si="10"/>
        <v>12056.306042358654</v>
      </c>
      <c r="R16" s="125">
        <f t="shared" si="11"/>
        <v>15410.900096198111</v>
      </c>
      <c r="S16" s="125">
        <f t="shared" si="12"/>
        <v>14875.058369273065</v>
      </c>
      <c r="T16" s="126" t="e">
        <f>SUMPRODUCT(P16:S16,'CAR Stock'!P16:S16)/'CAR Stock'!T16</f>
        <v>#DIV/0!</v>
      </c>
      <c r="U16" s="123"/>
      <c r="V16" s="118">
        <v>12</v>
      </c>
      <c r="W16" s="124">
        <f t="shared" si="13"/>
        <v>11331.339268538051</v>
      </c>
      <c r="X16" s="125">
        <f t="shared" si="14"/>
        <v>14605.629359214036</v>
      </c>
      <c r="Y16" s="125">
        <f t="shared" si="15"/>
        <v>15394.671821284133</v>
      </c>
      <c r="Z16" s="125">
        <f t="shared" si="16"/>
        <v>13265.457077563769</v>
      </c>
      <c r="AA16" s="126">
        <f>SUMPRODUCT(W16:Z16,'CAR Stock'!W16:Z16)/'CAR Stock'!AA16</f>
        <v>14059.914344101373</v>
      </c>
      <c r="AB16"/>
      <c r="AC16" s="591">
        <v>12</v>
      </c>
      <c r="AD16" s="593">
        <f t="shared" si="0"/>
        <v>0.78471672373479973</v>
      </c>
    </row>
    <row r="17" spans="1:31" s="650" customFormat="1">
      <c r="A17" s="118">
        <v>13</v>
      </c>
      <c r="B17" s="124">
        <f t="shared" si="1"/>
        <v>11057.726467865561</v>
      </c>
      <c r="C17" s="125">
        <f t="shared" si="2"/>
        <v>13206.78156265273</v>
      </c>
      <c r="D17" s="125">
        <f t="shared" si="3"/>
        <v>14971.143090576186</v>
      </c>
      <c r="E17" s="125">
        <f t="shared" si="4"/>
        <v>14336.616885625936</v>
      </c>
      <c r="F17" s="126">
        <f>SUMPRODUCT(B17:E17,'CAR Stock'!B17:E17)/'CAR Stock'!F17</f>
        <v>13194.27831351508</v>
      </c>
      <c r="G17" s="123"/>
      <c r="H17" s="118">
        <v>13</v>
      </c>
      <c r="I17" s="124">
        <f t="shared" si="5"/>
        <v>10781.425622811239</v>
      </c>
      <c r="J17" s="125">
        <f t="shared" si="6"/>
        <v>17842.847313189432</v>
      </c>
      <c r="K17" s="125">
        <f t="shared" si="7"/>
        <v>20489.006348044735</v>
      </c>
      <c r="L17" s="125">
        <f t="shared" si="8"/>
        <v>20662.435480697266</v>
      </c>
      <c r="M17" s="126">
        <f>SUMPRODUCT(I17:L17,'CAR Stock'!I17:L17)/'CAR Stock'!M17</f>
        <v>20551.022933901852</v>
      </c>
      <c r="N17" s="123"/>
      <c r="O17" s="118">
        <v>13</v>
      </c>
      <c r="P17" s="124">
        <f t="shared" si="9"/>
        <v>0</v>
      </c>
      <c r="Q17" s="125">
        <f t="shared" si="10"/>
        <v>11815.179921511481</v>
      </c>
      <c r="R17" s="125">
        <f t="shared" si="11"/>
        <v>15102.682094274149</v>
      </c>
      <c r="S17" s="125">
        <f t="shared" si="12"/>
        <v>14577.557201887603</v>
      </c>
      <c r="T17" s="126" t="e">
        <f>SUMPRODUCT(P17:S17,'CAR Stock'!P17:S17)/'CAR Stock'!T17</f>
        <v>#DIV/0!</v>
      </c>
      <c r="U17" s="123"/>
      <c r="V17" s="118">
        <v>13</v>
      </c>
      <c r="W17" s="124">
        <f t="shared" si="13"/>
        <v>11104.71248316729</v>
      </c>
      <c r="X17" s="125">
        <f t="shared" si="14"/>
        <v>14313.516772029754</v>
      </c>
      <c r="Y17" s="125">
        <f t="shared" si="15"/>
        <v>15086.778384858449</v>
      </c>
      <c r="Z17" s="125">
        <f t="shared" si="16"/>
        <v>13000.147936012494</v>
      </c>
      <c r="AA17" s="126">
        <f>SUMPRODUCT(W17:Z17,'CAR Stock'!W17:Z17)/'CAR Stock'!AA17</f>
        <v>14313.516772029754</v>
      </c>
      <c r="AB17"/>
      <c r="AC17" s="591">
        <v>13</v>
      </c>
      <c r="AD17" s="593">
        <f t="shared" si="0"/>
        <v>0.76902238926010369</v>
      </c>
    </row>
    <row r="18" spans="1:31" s="650" customFormat="1">
      <c r="A18" s="118">
        <v>14</v>
      </c>
      <c r="B18" s="124">
        <f t="shared" si="1"/>
        <v>10836.57193850825</v>
      </c>
      <c r="C18" s="125">
        <f t="shared" si="2"/>
        <v>12942.645931399675</v>
      </c>
      <c r="D18" s="125">
        <f t="shared" si="3"/>
        <v>14671.720228764661</v>
      </c>
      <c r="E18" s="125">
        <f t="shared" si="4"/>
        <v>14049.884547913416</v>
      </c>
      <c r="F18" s="126">
        <f>SUMPRODUCT(B18:E18,'CAR Stock'!B18:E18)/'CAR Stock'!F18</f>
        <v>13065.565171059499</v>
      </c>
      <c r="G18" s="123"/>
      <c r="H18" s="118">
        <v>14</v>
      </c>
      <c r="I18" s="124">
        <f t="shared" si="5"/>
        <v>10565.797110355014</v>
      </c>
      <c r="J18" s="125">
        <f t="shared" si="6"/>
        <v>17485.990366925642</v>
      </c>
      <c r="K18" s="125">
        <f t="shared" si="7"/>
        <v>20079.226221083842</v>
      </c>
      <c r="L18" s="125">
        <f t="shared" si="8"/>
        <v>20249.186771083321</v>
      </c>
      <c r="M18" s="126">
        <f>SUMPRODUCT(I18:L18,'CAR Stock'!I18:L18)/'CAR Stock'!M18</f>
        <v>20151.674377132858</v>
      </c>
      <c r="N18" s="123"/>
      <c r="O18" s="118">
        <v>14</v>
      </c>
      <c r="P18" s="124">
        <f t="shared" si="9"/>
        <v>0</v>
      </c>
      <c r="Q18" s="125">
        <f t="shared" si="10"/>
        <v>11578.876323081251</v>
      </c>
      <c r="R18" s="125">
        <f t="shared" si="11"/>
        <v>14800.628452388666</v>
      </c>
      <c r="S18" s="125">
        <f t="shared" si="12"/>
        <v>14286.006057849851</v>
      </c>
      <c r="T18" s="126" t="e">
        <f>SUMPRODUCT(P18:S18,'CAR Stock'!P18:S18)/'CAR Stock'!T18</f>
        <v>#DIV/0!</v>
      </c>
      <c r="U18" s="123"/>
      <c r="V18" s="118">
        <v>14</v>
      </c>
      <c r="W18" s="124">
        <f t="shared" si="13"/>
        <v>10882.618233503945</v>
      </c>
      <c r="X18" s="125">
        <f t="shared" si="14"/>
        <v>14027.246436589159</v>
      </c>
      <c r="Y18" s="125">
        <f t="shared" si="15"/>
        <v>14785.04281716128</v>
      </c>
      <c r="Z18" s="125">
        <f t="shared" si="16"/>
        <v>12740.144977292244</v>
      </c>
      <c r="AA18" s="126">
        <f>SUMPRODUCT(W18:Z18,'CAR Stock'!W18:Z18)/'CAR Stock'!AA18</f>
        <v>14027.246436589159</v>
      </c>
      <c r="AB18"/>
      <c r="AC18" s="591">
        <v>14</v>
      </c>
      <c r="AD18" s="593">
        <f t="shared" si="0"/>
        <v>0.7536419414749016</v>
      </c>
    </row>
    <row r="19" spans="1:31" s="650" customFormat="1">
      <c r="A19" s="118">
        <v>15</v>
      </c>
      <c r="B19" s="124">
        <f t="shared" si="1"/>
        <v>10619.840499738086</v>
      </c>
      <c r="C19" s="125">
        <f t="shared" si="2"/>
        <v>12683.793012771681</v>
      </c>
      <c r="D19" s="125">
        <f t="shared" si="3"/>
        <v>14378.285824189368</v>
      </c>
      <c r="E19" s="125">
        <f t="shared" si="4"/>
        <v>13768.886856955147</v>
      </c>
      <c r="F19" s="126">
        <f>SUMPRODUCT(B19:E19,'CAR Stock'!B19:E19)/'CAR Stock'!F19</f>
        <v>12642.801937450291</v>
      </c>
      <c r="G19" s="123"/>
      <c r="H19" s="118">
        <v>15</v>
      </c>
      <c r="I19" s="124">
        <f t="shared" si="5"/>
        <v>10354.481168147913</v>
      </c>
      <c r="J19" s="125">
        <f t="shared" si="6"/>
        <v>17136.27055958713</v>
      </c>
      <c r="K19" s="125">
        <f t="shared" si="7"/>
        <v>19677.641696662165</v>
      </c>
      <c r="L19" s="125">
        <f t="shared" si="8"/>
        <v>19844.203035661656</v>
      </c>
      <c r="M19" s="126">
        <f>SUMPRODUCT(I19:L19,'CAR Stock'!I19:L19)/'CAR Stock'!M19</f>
        <v>19742.108001497316</v>
      </c>
      <c r="N19" s="123"/>
      <c r="O19" s="118">
        <v>15</v>
      </c>
      <c r="P19" s="124">
        <f t="shared" si="9"/>
        <v>0</v>
      </c>
      <c r="Q19" s="125">
        <f t="shared" si="10"/>
        <v>11347.298796619625</v>
      </c>
      <c r="R19" s="125">
        <f t="shared" si="11"/>
        <v>14504.615883340892</v>
      </c>
      <c r="S19" s="125">
        <f t="shared" si="12"/>
        <v>14000.285936692853</v>
      </c>
      <c r="T19" s="126" t="e">
        <f>SUMPRODUCT(P19:S19,'CAR Stock'!P19:S19)/'CAR Stock'!T19</f>
        <v>#DIV/0!</v>
      </c>
      <c r="U19" s="123"/>
      <c r="V19" s="118">
        <v>15</v>
      </c>
      <c r="W19" s="124">
        <f t="shared" si="13"/>
        <v>10664.965868833866</v>
      </c>
      <c r="X19" s="125">
        <f t="shared" si="14"/>
        <v>13746.701507857375</v>
      </c>
      <c r="Y19" s="125">
        <f t="shared" si="15"/>
        <v>14489.341960818054</v>
      </c>
      <c r="Z19" s="125">
        <f t="shared" si="16"/>
        <v>12485.3420777464</v>
      </c>
      <c r="AA19" s="126" t="e">
        <f>SUMPRODUCT(W19:Z19,'CAR Stock'!W19:Z19)/'CAR Stock'!AA19</f>
        <v>#DIV/0!</v>
      </c>
      <c r="AB19"/>
      <c r="AC19" s="591">
        <v>15</v>
      </c>
      <c r="AD19" s="593">
        <f t="shared" si="0"/>
        <v>0.73856910264540354</v>
      </c>
    </row>
    <row r="20" spans="1:31" s="650" customFormat="1" ht="15.75" thickBot="1">
      <c r="A20" s="118" t="s">
        <v>34</v>
      </c>
      <c r="B20" s="124">
        <f t="shared" si="1"/>
        <v>10407.443689743324</v>
      </c>
      <c r="C20" s="125">
        <f t="shared" si="2"/>
        <v>12430.117152516246</v>
      </c>
      <c r="D20" s="125">
        <f t="shared" si="3"/>
        <v>14090.72010770558</v>
      </c>
      <c r="E20" s="125">
        <f t="shared" si="4"/>
        <v>13493.509119816044</v>
      </c>
      <c r="F20" s="126">
        <f>SUMPRODUCT(B20:E20,'CAR Stock'!B20:E20)/'CAR Stock'!F20</f>
        <v>12524.049586483528</v>
      </c>
      <c r="G20" s="123"/>
      <c r="H20" s="118" t="s">
        <v>34</v>
      </c>
      <c r="I20" s="124">
        <f t="shared" si="5"/>
        <v>10147.391544784954</v>
      </c>
      <c r="J20" s="125">
        <f t="shared" si="6"/>
        <v>16793.545148395388</v>
      </c>
      <c r="K20" s="125">
        <f t="shared" si="7"/>
        <v>19284.088862728921</v>
      </c>
      <c r="L20" s="125">
        <f t="shared" si="8"/>
        <v>19447.318974948423</v>
      </c>
      <c r="M20" s="126">
        <f>SUMPRODUCT(I20:L20,'CAR Stock'!I20:L20)/'CAR Stock'!M20</f>
        <v>19272.909874912715</v>
      </c>
      <c r="N20" s="123"/>
      <c r="O20" s="118" t="s">
        <v>34</v>
      </c>
      <c r="P20" s="124">
        <f t="shared" si="9"/>
        <v>0</v>
      </c>
      <c r="Q20" s="125">
        <f t="shared" si="10"/>
        <v>11120.352820687232</v>
      </c>
      <c r="R20" s="125">
        <f t="shared" si="11"/>
        <v>14214.523565674073</v>
      </c>
      <c r="S20" s="125">
        <f t="shared" si="12"/>
        <v>13720.280217958996</v>
      </c>
      <c r="T20" s="126" t="e">
        <f>SUMPRODUCT(P20:S20,'CAR Stock'!P20:S20)/'CAR Stock'!T20</f>
        <v>#DIV/0!</v>
      </c>
      <c r="U20" s="123"/>
      <c r="V20" s="118" t="s">
        <v>34</v>
      </c>
      <c r="W20" s="124">
        <f t="shared" si="13"/>
        <v>10451.666551457189</v>
      </c>
      <c r="X20" s="125">
        <f t="shared" si="14"/>
        <v>13471.767477700227</v>
      </c>
      <c r="Y20" s="125">
        <f t="shared" si="15"/>
        <v>14199.555121601692</v>
      </c>
      <c r="Z20" s="125">
        <f t="shared" si="16"/>
        <v>12235.635236191472</v>
      </c>
      <c r="AA20" s="126" t="e">
        <f>SUMPRODUCT(W20:Z20,'CAR Stock'!W20:Z20)/'CAR Stock'!AA20</f>
        <v>#DIV/0!</v>
      </c>
      <c r="AB20"/>
      <c r="AC20" s="591">
        <v>16</v>
      </c>
      <c r="AD20" s="593">
        <f t="shared" si="0"/>
        <v>0.72379772059249547</v>
      </c>
    </row>
    <row r="21" spans="1:31" s="650" customFormat="1" ht="16.5" thickTop="1" thickBot="1">
      <c r="A21" s="119" t="s">
        <v>39</v>
      </c>
      <c r="B21" s="127">
        <v>11919.858370432368</v>
      </c>
      <c r="C21" s="128">
        <v>14600.873321885018</v>
      </c>
      <c r="D21" s="128">
        <v>16577.035096181775</v>
      </c>
      <c r="E21" s="128">
        <v>15573.149136360045</v>
      </c>
      <c r="F21" s="129">
        <f>SUMPRODUCT(B21:E21,'CAR Stock'!B21:E21)/'CAR Stock'!F21</f>
        <v>14871.082545725256</v>
      </c>
      <c r="G21" s="123"/>
      <c r="H21" s="119" t="s">
        <v>39</v>
      </c>
      <c r="I21" s="127">
        <v>12055.403221248458</v>
      </c>
      <c r="J21" s="128">
        <v>21735.113566341472</v>
      </c>
      <c r="K21" s="128">
        <v>23932.524688240163</v>
      </c>
      <c r="L21" s="128">
        <v>24183.218282696147</v>
      </c>
      <c r="M21" s="129">
        <f>SUMPRODUCT(I21:L21,'CAR Stock'!I21:L21)/'CAR Stock'!M21</f>
        <v>23706.857689917688</v>
      </c>
      <c r="N21" s="123"/>
      <c r="O21" s="119" t="s">
        <v>39</v>
      </c>
      <c r="P21" s="127">
        <v>0</v>
      </c>
      <c r="Q21" s="128">
        <v>14906.684702135317</v>
      </c>
      <c r="R21" s="128">
        <v>18071.007744207753</v>
      </c>
      <c r="S21" s="128">
        <v>17406.122760064816</v>
      </c>
      <c r="T21" s="129">
        <f>SUMPRODUCT(P21:S21,'CAR Stock'!P21:S21)/'CAR Stock'!T21</f>
        <v>15983.088168850958</v>
      </c>
      <c r="U21" s="123"/>
      <c r="V21" s="119" t="s">
        <v>39</v>
      </c>
      <c r="W21" s="127">
        <v>11408.423209140348</v>
      </c>
      <c r="X21" s="128">
        <v>16925.933801394473</v>
      </c>
      <c r="Y21" s="128">
        <v>19215.788713711583</v>
      </c>
      <c r="Z21" s="128">
        <v>15603.170442190649</v>
      </c>
      <c r="AA21" s="129">
        <f>SUMPRODUCT(W21:Z21,'CAR Stock'!W21:Z21)/'CAR Stock'!AA21</f>
        <v>17039.183091939572</v>
      </c>
      <c r="AB21"/>
      <c r="AC21" s="591">
        <v>17</v>
      </c>
      <c r="AD21" s="593">
        <f t="shared" si="0"/>
        <v>0.70932176618064557</v>
      </c>
    </row>
    <row r="22" spans="1:31" s="650" customFormat="1" ht="15.75" thickBot="1">
      <c r="A22" s="123"/>
      <c r="B22" s="123"/>
      <c r="C22" s="123"/>
      <c r="D22" s="123"/>
      <c r="E22" s="123"/>
      <c r="F22" s="123"/>
      <c r="G22" s="123"/>
      <c r="H22" s="123"/>
      <c r="I22" s="123"/>
      <c r="J22" s="123"/>
      <c r="K22" s="123"/>
      <c r="L22" s="123"/>
      <c r="M22" s="123"/>
      <c r="N22" s="123"/>
      <c r="O22" s="123"/>
      <c r="P22" s="123"/>
      <c r="Q22" s="123"/>
      <c r="R22" s="123"/>
      <c r="S22" s="123"/>
      <c r="T22" s="123"/>
      <c r="U22" s="123"/>
      <c r="V22" s="123"/>
      <c r="W22" s="123"/>
      <c r="X22" s="123"/>
      <c r="Y22" s="123"/>
      <c r="Z22" s="123"/>
      <c r="AA22" s="115"/>
      <c r="AB22"/>
      <c r="AC22" s="591">
        <v>18</v>
      </c>
      <c r="AD22" s="593">
        <f t="shared" si="0"/>
        <v>0.69513533085703261</v>
      </c>
    </row>
    <row r="23" spans="1:31" ht="15.75" thickBot="1">
      <c r="A23" s="1710" t="s">
        <v>41</v>
      </c>
      <c r="B23" s="169" t="s">
        <v>10</v>
      </c>
      <c r="C23" s="288">
        <v>2012</v>
      </c>
      <c r="D23" s="289">
        <v>2013</v>
      </c>
      <c r="E23" s="289">
        <v>2014</v>
      </c>
      <c r="F23" s="289">
        <v>2015</v>
      </c>
      <c r="G23" s="288">
        <v>2016</v>
      </c>
      <c r="H23" s="289">
        <v>2017</v>
      </c>
      <c r="I23" s="289">
        <v>2018</v>
      </c>
      <c r="J23" s="289">
        <v>2019</v>
      </c>
      <c r="K23" s="288">
        <v>2020</v>
      </c>
      <c r="L23" s="289">
        <v>2021</v>
      </c>
      <c r="M23" s="289">
        <v>2022</v>
      </c>
      <c r="N23" s="289">
        <v>2023</v>
      </c>
      <c r="O23" s="288">
        <v>2024</v>
      </c>
      <c r="P23" s="289">
        <v>2025</v>
      </c>
      <c r="Q23" s="289">
        <v>2026</v>
      </c>
      <c r="R23" s="289">
        <v>2027</v>
      </c>
      <c r="S23" s="288">
        <v>2028</v>
      </c>
      <c r="T23" s="289">
        <v>2029</v>
      </c>
      <c r="U23" s="289">
        <v>2030</v>
      </c>
      <c r="V23" s="289">
        <v>2031</v>
      </c>
      <c r="W23" s="288">
        <v>2032</v>
      </c>
      <c r="X23" s="289">
        <v>2033</v>
      </c>
      <c r="Y23" s="289">
        <v>2034</v>
      </c>
      <c r="Z23" s="289">
        <v>2035</v>
      </c>
      <c r="AA23" s="288">
        <v>2036</v>
      </c>
      <c r="AB23" s="289">
        <v>2037</v>
      </c>
      <c r="AC23" s="289">
        <v>2038</v>
      </c>
      <c r="AD23" s="289">
        <v>2039</v>
      </c>
      <c r="AE23" s="290">
        <v>2040</v>
      </c>
    </row>
    <row r="24" spans="1:31">
      <c r="A24" s="1711"/>
      <c r="B24" s="116">
        <v>0</v>
      </c>
      <c r="C24" s="291">
        <f>'CAR Mileage'!B4</f>
        <v>14378.939576134428</v>
      </c>
      <c r="D24" s="292">
        <f>C24</f>
        <v>14378.939576134428</v>
      </c>
      <c r="E24" s="292">
        <f t="shared" ref="E24:T24" si="17">D24</f>
        <v>14378.939576134428</v>
      </c>
      <c r="F24" s="292">
        <f t="shared" si="17"/>
        <v>14378.939576134428</v>
      </c>
      <c r="G24" s="292">
        <f t="shared" si="17"/>
        <v>14378.939576134428</v>
      </c>
      <c r="H24" s="292">
        <f t="shared" si="17"/>
        <v>14378.939576134428</v>
      </c>
      <c r="I24" s="292">
        <f t="shared" si="17"/>
        <v>14378.939576134428</v>
      </c>
      <c r="J24" s="292">
        <f t="shared" si="17"/>
        <v>14378.939576134428</v>
      </c>
      <c r="K24" s="292">
        <f t="shared" si="17"/>
        <v>14378.939576134428</v>
      </c>
      <c r="L24" s="292">
        <f t="shared" si="17"/>
        <v>14378.939576134428</v>
      </c>
      <c r="M24" s="292">
        <f t="shared" si="17"/>
        <v>14378.939576134428</v>
      </c>
      <c r="N24" s="292">
        <f t="shared" si="17"/>
        <v>14378.939576134428</v>
      </c>
      <c r="O24" s="292">
        <f t="shared" si="17"/>
        <v>14378.939576134428</v>
      </c>
      <c r="P24" s="292">
        <f t="shared" si="17"/>
        <v>14378.939576134428</v>
      </c>
      <c r="Q24" s="292">
        <f t="shared" si="17"/>
        <v>14378.939576134428</v>
      </c>
      <c r="R24" s="292">
        <f t="shared" si="17"/>
        <v>14378.939576134428</v>
      </c>
      <c r="S24" s="292">
        <f t="shared" si="17"/>
        <v>14378.939576134428</v>
      </c>
      <c r="T24" s="292">
        <f t="shared" si="17"/>
        <v>14378.939576134428</v>
      </c>
      <c r="U24" s="292">
        <f t="shared" ref="T24:AE39" si="18">T24</f>
        <v>14378.939576134428</v>
      </c>
      <c r="V24" s="292">
        <f t="shared" si="18"/>
        <v>14378.939576134428</v>
      </c>
      <c r="W24" s="292">
        <f t="shared" si="18"/>
        <v>14378.939576134428</v>
      </c>
      <c r="X24" s="292">
        <f t="shared" si="18"/>
        <v>14378.939576134428</v>
      </c>
      <c r="Y24" s="292">
        <f t="shared" si="18"/>
        <v>14378.939576134428</v>
      </c>
      <c r="Z24" s="292">
        <f t="shared" si="18"/>
        <v>14378.939576134428</v>
      </c>
      <c r="AA24" s="292">
        <f t="shared" si="18"/>
        <v>14378.939576134428</v>
      </c>
      <c r="AB24" s="292">
        <f t="shared" si="18"/>
        <v>14378.939576134428</v>
      </c>
      <c r="AC24" s="292">
        <f t="shared" si="18"/>
        <v>14378.939576134428</v>
      </c>
      <c r="AD24" s="292">
        <f t="shared" si="18"/>
        <v>14378.939576134428</v>
      </c>
      <c r="AE24" s="293">
        <f t="shared" si="18"/>
        <v>14378.939576134428</v>
      </c>
    </row>
    <row r="25" spans="1:31">
      <c r="A25" s="1711"/>
      <c r="B25" s="116">
        <v>1</v>
      </c>
      <c r="C25" s="294">
        <f>'CAR Mileage'!B5</f>
        <v>14091.360784611739</v>
      </c>
      <c r="D25" s="295">
        <f t="shared" ref="D25:S40" si="19">C25</f>
        <v>14091.360784611739</v>
      </c>
      <c r="E25" s="295">
        <f t="shared" si="19"/>
        <v>14091.360784611739</v>
      </c>
      <c r="F25" s="295">
        <f t="shared" si="19"/>
        <v>14091.360784611739</v>
      </c>
      <c r="G25" s="295">
        <f t="shared" si="19"/>
        <v>14091.360784611739</v>
      </c>
      <c r="H25" s="295">
        <f t="shared" si="19"/>
        <v>14091.360784611739</v>
      </c>
      <c r="I25" s="295">
        <f t="shared" si="19"/>
        <v>14091.360784611739</v>
      </c>
      <c r="J25" s="295">
        <f t="shared" si="19"/>
        <v>14091.360784611739</v>
      </c>
      <c r="K25" s="295">
        <f t="shared" si="19"/>
        <v>14091.360784611739</v>
      </c>
      <c r="L25" s="295">
        <f t="shared" si="19"/>
        <v>14091.360784611739</v>
      </c>
      <c r="M25" s="295">
        <f t="shared" si="19"/>
        <v>14091.360784611739</v>
      </c>
      <c r="N25" s="295">
        <f t="shared" si="19"/>
        <v>14091.360784611739</v>
      </c>
      <c r="O25" s="295">
        <f t="shared" si="19"/>
        <v>14091.360784611739</v>
      </c>
      <c r="P25" s="295">
        <f t="shared" si="19"/>
        <v>14091.360784611739</v>
      </c>
      <c r="Q25" s="295">
        <f t="shared" si="19"/>
        <v>14091.360784611739</v>
      </c>
      <c r="R25" s="295">
        <f t="shared" si="19"/>
        <v>14091.360784611739</v>
      </c>
      <c r="S25" s="295">
        <f t="shared" si="19"/>
        <v>14091.360784611739</v>
      </c>
      <c r="T25" s="295">
        <f t="shared" si="18"/>
        <v>14091.360784611739</v>
      </c>
      <c r="U25" s="295">
        <f t="shared" si="18"/>
        <v>14091.360784611739</v>
      </c>
      <c r="V25" s="295">
        <f t="shared" si="18"/>
        <v>14091.360784611739</v>
      </c>
      <c r="W25" s="295">
        <f t="shared" si="18"/>
        <v>14091.360784611739</v>
      </c>
      <c r="X25" s="295">
        <f t="shared" si="18"/>
        <v>14091.360784611739</v>
      </c>
      <c r="Y25" s="295">
        <f t="shared" si="18"/>
        <v>14091.360784611739</v>
      </c>
      <c r="Z25" s="295">
        <f t="shared" si="18"/>
        <v>14091.360784611739</v>
      </c>
      <c r="AA25" s="295">
        <f t="shared" si="18"/>
        <v>14091.360784611739</v>
      </c>
      <c r="AB25" s="295">
        <f t="shared" si="18"/>
        <v>14091.360784611739</v>
      </c>
      <c r="AC25" s="295">
        <f t="shared" si="18"/>
        <v>14091.360784611739</v>
      </c>
      <c r="AD25" s="295">
        <f t="shared" si="18"/>
        <v>14091.360784611739</v>
      </c>
      <c r="AE25" s="296">
        <f t="shared" si="18"/>
        <v>14091.360784611739</v>
      </c>
    </row>
    <row r="26" spans="1:31">
      <c r="A26" s="1711"/>
      <c r="B26" s="116">
        <v>2</v>
      </c>
      <c r="C26" s="294">
        <f>'CAR Mileage'!B6</f>
        <v>13809.533568919504</v>
      </c>
      <c r="D26" s="295">
        <f t="shared" si="19"/>
        <v>13809.533568919504</v>
      </c>
      <c r="E26" s="295">
        <f t="shared" si="19"/>
        <v>13809.533568919504</v>
      </c>
      <c r="F26" s="295">
        <f t="shared" si="19"/>
        <v>13809.533568919504</v>
      </c>
      <c r="G26" s="295">
        <f t="shared" si="19"/>
        <v>13809.533568919504</v>
      </c>
      <c r="H26" s="295">
        <f t="shared" si="19"/>
        <v>13809.533568919504</v>
      </c>
      <c r="I26" s="295">
        <f t="shared" si="19"/>
        <v>13809.533568919504</v>
      </c>
      <c r="J26" s="295">
        <f t="shared" si="19"/>
        <v>13809.533568919504</v>
      </c>
      <c r="K26" s="295">
        <f t="shared" si="19"/>
        <v>13809.533568919504</v>
      </c>
      <c r="L26" s="295">
        <f t="shared" si="19"/>
        <v>13809.533568919504</v>
      </c>
      <c r="M26" s="295">
        <f t="shared" si="19"/>
        <v>13809.533568919504</v>
      </c>
      <c r="N26" s="295">
        <f t="shared" si="19"/>
        <v>13809.533568919504</v>
      </c>
      <c r="O26" s="295">
        <f t="shared" si="19"/>
        <v>13809.533568919504</v>
      </c>
      <c r="P26" s="295">
        <f t="shared" si="19"/>
        <v>13809.533568919504</v>
      </c>
      <c r="Q26" s="295">
        <f t="shared" si="19"/>
        <v>13809.533568919504</v>
      </c>
      <c r="R26" s="295">
        <f t="shared" si="19"/>
        <v>13809.533568919504</v>
      </c>
      <c r="S26" s="295">
        <f t="shared" si="19"/>
        <v>13809.533568919504</v>
      </c>
      <c r="T26" s="295">
        <f t="shared" si="18"/>
        <v>13809.533568919504</v>
      </c>
      <c r="U26" s="295">
        <f t="shared" si="18"/>
        <v>13809.533568919504</v>
      </c>
      <c r="V26" s="295">
        <f t="shared" si="18"/>
        <v>13809.533568919504</v>
      </c>
      <c r="W26" s="295">
        <f t="shared" si="18"/>
        <v>13809.533568919504</v>
      </c>
      <c r="X26" s="295">
        <f t="shared" si="18"/>
        <v>13809.533568919504</v>
      </c>
      <c r="Y26" s="295">
        <f t="shared" si="18"/>
        <v>13809.533568919504</v>
      </c>
      <c r="Z26" s="295">
        <f t="shared" si="18"/>
        <v>13809.533568919504</v>
      </c>
      <c r="AA26" s="295">
        <f t="shared" si="18"/>
        <v>13809.533568919504</v>
      </c>
      <c r="AB26" s="295">
        <f t="shared" si="18"/>
        <v>13809.533568919504</v>
      </c>
      <c r="AC26" s="295">
        <f t="shared" si="18"/>
        <v>13809.533568919504</v>
      </c>
      <c r="AD26" s="295">
        <f t="shared" si="18"/>
        <v>13809.533568919504</v>
      </c>
      <c r="AE26" s="296">
        <f t="shared" si="18"/>
        <v>13809.533568919504</v>
      </c>
    </row>
    <row r="27" spans="1:31">
      <c r="A27" s="1711"/>
      <c r="B27" s="116">
        <v>3</v>
      </c>
      <c r="C27" s="294">
        <f>'CAR Mileage'!B7</f>
        <v>13533.342897541113</v>
      </c>
      <c r="D27" s="295">
        <f t="shared" si="19"/>
        <v>13533.342897541113</v>
      </c>
      <c r="E27" s="295">
        <f t="shared" si="19"/>
        <v>13533.342897541113</v>
      </c>
      <c r="F27" s="295">
        <f t="shared" si="19"/>
        <v>13533.342897541113</v>
      </c>
      <c r="G27" s="295">
        <f t="shared" si="19"/>
        <v>13533.342897541113</v>
      </c>
      <c r="H27" s="295">
        <f t="shared" si="19"/>
        <v>13533.342897541113</v>
      </c>
      <c r="I27" s="295">
        <f t="shared" si="19"/>
        <v>13533.342897541113</v>
      </c>
      <c r="J27" s="295">
        <f t="shared" si="19"/>
        <v>13533.342897541113</v>
      </c>
      <c r="K27" s="295">
        <f t="shared" si="19"/>
        <v>13533.342897541113</v>
      </c>
      <c r="L27" s="295">
        <f t="shared" si="19"/>
        <v>13533.342897541113</v>
      </c>
      <c r="M27" s="295">
        <f t="shared" si="19"/>
        <v>13533.342897541113</v>
      </c>
      <c r="N27" s="295">
        <f t="shared" si="19"/>
        <v>13533.342897541113</v>
      </c>
      <c r="O27" s="295">
        <f t="shared" si="19"/>
        <v>13533.342897541113</v>
      </c>
      <c r="P27" s="295">
        <f t="shared" si="19"/>
        <v>13533.342897541113</v>
      </c>
      <c r="Q27" s="295">
        <f t="shared" si="19"/>
        <v>13533.342897541113</v>
      </c>
      <c r="R27" s="295">
        <f t="shared" si="19"/>
        <v>13533.342897541113</v>
      </c>
      <c r="S27" s="295">
        <f t="shared" si="19"/>
        <v>13533.342897541113</v>
      </c>
      <c r="T27" s="295">
        <f t="shared" si="18"/>
        <v>13533.342897541113</v>
      </c>
      <c r="U27" s="295">
        <f t="shared" si="18"/>
        <v>13533.342897541113</v>
      </c>
      <c r="V27" s="295">
        <f t="shared" si="18"/>
        <v>13533.342897541113</v>
      </c>
      <c r="W27" s="295">
        <f t="shared" si="18"/>
        <v>13533.342897541113</v>
      </c>
      <c r="X27" s="295">
        <f t="shared" si="18"/>
        <v>13533.342897541113</v>
      </c>
      <c r="Y27" s="295">
        <f t="shared" si="18"/>
        <v>13533.342897541113</v>
      </c>
      <c r="Z27" s="295">
        <f t="shared" si="18"/>
        <v>13533.342897541113</v>
      </c>
      <c r="AA27" s="295">
        <f t="shared" si="18"/>
        <v>13533.342897541113</v>
      </c>
      <c r="AB27" s="295">
        <f t="shared" si="18"/>
        <v>13533.342897541113</v>
      </c>
      <c r="AC27" s="295">
        <f t="shared" si="18"/>
        <v>13533.342897541113</v>
      </c>
      <c r="AD27" s="295">
        <f t="shared" si="18"/>
        <v>13533.342897541113</v>
      </c>
      <c r="AE27" s="296">
        <f t="shared" si="18"/>
        <v>13533.342897541113</v>
      </c>
    </row>
    <row r="28" spans="1:31">
      <c r="A28" s="1711"/>
      <c r="B28" s="116">
        <v>4</v>
      </c>
      <c r="C28" s="294">
        <f>'CAR Mileage'!B8</f>
        <v>13262.676039590291</v>
      </c>
      <c r="D28" s="295">
        <f t="shared" si="19"/>
        <v>13262.676039590291</v>
      </c>
      <c r="E28" s="295">
        <f t="shared" si="19"/>
        <v>13262.676039590291</v>
      </c>
      <c r="F28" s="295">
        <f t="shared" si="19"/>
        <v>13262.676039590291</v>
      </c>
      <c r="G28" s="295">
        <f t="shared" si="19"/>
        <v>13262.676039590291</v>
      </c>
      <c r="H28" s="295">
        <f t="shared" si="19"/>
        <v>13262.676039590291</v>
      </c>
      <c r="I28" s="295">
        <f t="shared" si="19"/>
        <v>13262.676039590291</v>
      </c>
      <c r="J28" s="295">
        <f t="shared" si="19"/>
        <v>13262.676039590291</v>
      </c>
      <c r="K28" s="295">
        <f t="shared" si="19"/>
        <v>13262.676039590291</v>
      </c>
      <c r="L28" s="295">
        <f t="shared" si="19"/>
        <v>13262.676039590291</v>
      </c>
      <c r="M28" s="295">
        <f t="shared" si="19"/>
        <v>13262.676039590291</v>
      </c>
      <c r="N28" s="295">
        <f t="shared" si="19"/>
        <v>13262.676039590291</v>
      </c>
      <c r="O28" s="295">
        <f t="shared" si="19"/>
        <v>13262.676039590291</v>
      </c>
      <c r="P28" s="295">
        <f t="shared" si="19"/>
        <v>13262.676039590291</v>
      </c>
      <c r="Q28" s="295">
        <f t="shared" si="19"/>
        <v>13262.676039590291</v>
      </c>
      <c r="R28" s="295">
        <f t="shared" si="19"/>
        <v>13262.676039590291</v>
      </c>
      <c r="S28" s="295">
        <f t="shared" si="19"/>
        <v>13262.676039590291</v>
      </c>
      <c r="T28" s="295">
        <f t="shared" si="18"/>
        <v>13262.676039590291</v>
      </c>
      <c r="U28" s="295">
        <f t="shared" si="18"/>
        <v>13262.676039590291</v>
      </c>
      <c r="V28" s="295">
        <f t="shared" si="18"/>
        <v>13262.676039590291</v>
      </c>
      <c r="W28" s="295">
        <f t="shared" si="18"/>
        <v>13262.676039590291</v>
      </c>
      <c r="X28" s="295">
        <f t="shared" si="18"/>
        <v>13262.676039590291</v>
      </c>
      <c r="Y28" s="295">
        <f t="shared" si="18"/>
        <v>13262.676039590291</v>
      </c>
      <c r="Z28" s="295">
        <f t="shared" si="18"/>
        <v>13262.676039590291</v>
      </c>
      <c r="AA28" s="295">
        <f t="shared" si="18"/>
        <v>13262.676039590291</v>
      </c>
      <c r="AB28" s="295">
        <f t="shared" si="18"/>
        <v>13262.676039590291</v>
      </c>
      <c r="AC28" s="295">
        <f t="shared" si="18"/>
        <v>13262.676039590291</v>
      </c>
      <c r="AD28" s="295">
        <f t="shared" si="18"/>
        <v>13262.676039590291</v>
      </c>
      <c r="AE28" s="296">
        <f t="shared" si="18"/>
        <v>13262.676039590291</v>
      </c>
    </row>
    <row r="29" spans="1:31">
      <c r="A29" s="1711"/>
      <c r="B29" s="116">
        <v>5</v>
      </c>
      <c r="C29" s="294">
        <f>'CAR Mileage'!B9</f>
        <v>12997.422518798485</v>
      </c>
      <c r="D29" s="295">
        <f t="shared" si="19"/>
        <v>12997.422518798485</v>
      </c>
      <c r="E29" s="295">
        <f t="shared" si="19"/>
        <v>12997.422518798485</v>
      </c>
      <c r="F29" s="295">
        <f t="shared" si="19"/>
        <v>12997.422518798485</v>
      </c>
      <c r="G29" s="295">
        <f t="shared" si="19"/>
        <v>12997.422518798485</v>
      </c>
      <c r="H29" s="295">
        <f t="shared" si="19"/>
        <v>12997.422518798485</v>
      </c>
      <c r="I29" s="295">
        <f t="shared" si="19"/>
        <v>12997.422518798485</v>
      </c>
      <c r="J29" s="295">
        <f t="shared" si="19"/>
        <v>12997.422518798485</v>
      </c>
      <c r="K29" s="295">
        <f t="shared" si="19"/>
        <v>12997.422518798485</v>
      </c>
      <c r="L29" s="295">
        <f t="shared" si="19"/>
        <v>12997.422518798485</v>
      </c>
      <c r="M29" s="295">
        <f t="shared" si="19"/>
        <v>12997.422518798485</v>
      </c>
      <c r="N29" s="295">
        <f t="shared" si="19"/>
        <v>12997.422518798485</v>
      </c>
      <c r="O29" s="295">
        <f t="shared" si="19"/>
        <v>12997.422518798485</v>
      </c>
      <c r="P29" s="295">
        <f t="shared" si="19"/>
        <v>12997.422518798485</v>
      </c>
      <c r="Q29" s="295">
        <f t="shared" si="19"/>
        <v>12997.422518798485</v>
      </c>
      <c r="R29" s="295">
        <f t="shared" si="19"/>
        <v>12997.422518798485</v>
      </c>
      <c r="S29" s="295">
        <f t="shared" si="19"/>
        <v>12997.422518798485</v>
      </c>
      <c r="T29" s="295">
        <f t="shared" si="18"/>
        <v>12997.422518798485</v>
      </c>
      <c r="U29" s="295">
        <f t="shared" si="18"/>
        <v>12997.422518798485</v>
      </c>
      <c r="V29" s="295">
        <f t="shared" si="18"/>
        <v>12997.422518798485</v>
      </c>
      <c r="W29" s="295">
        <f t="shared" si="18"/>
        <v>12997.422518798485</v>
      </c>
      <c r="X29" s="295">
        <f t="shared" si="18"/>
        <v>12997.422518798485</v>
      </c>
      <c r="Y29" s="295">
        <f t="shared" si="18"/>
        <v>12997.422518798485</v>
      </c>
      <c r="Z29" s="295">
        <f t="shared" si="18"/>
        <v>12997.422518798485</v>
      </c>
      <c r="AA29" s="295">
        <f t="shared" si="18"/>
        <v>12997.422518798485</v>
      </c>
      <c r="AB29" s="295">
        <f t="shared" si="18"/>
        <v>12997.422518798485</v>
      </c>
      <c r="AC29" s="295">
        <f t="shared" si="18"/>
        <v>12997.422518798485</v>
      </c>
      <c r="AD29" s="295">
        <f t="shared" si="18"/>
        <v>12997.422518798485</v>
      </c>
      <c r="AE29" s="296">
        <f t="shared" si="18"/>
        <v>12997.422518798485</v>
      </c>
    </row>
    <row r="30" spans="1:31">
      <c r="A30" s="1711"/>
      <c r="B30" s="116">
        <v>6</v>
      </c>
      <c r="C30" s="294">
        <f>'CAR Mileage'!B10</f>
        <v>12737.474068422514</v>
      </c>
      <c r="D30" s="295">
        <f t="shared" si="19"/>
        <v>12737.474068422514</v>
      </c>
      <c r="E30" s="295">
        <f t="shared" si="19"/>
        <v>12737.474068422514</v>
      </c>
      <c r="F30" s="295">
        <f t="shared" si="19"/>
        <v>12737.474068422514</v>
      </c>
      <c r="G30" s="295">
        <f t="shared" si="19"/>
        <v>12737.474068422514</v>
      </c>
      <c r="H30" s="295">
        <f t="shared" si="19"/>
        <v>12737.474068422514</v>
      </c>
      <c r="I30" s="295">
        <f t="shared" si="19"/>
        <v>12737.474068422514</v>
      </c>
      <c r="J30" s="295">
        <f t="shared" si="19"/>
        <v>12737.474068422514</v>
      </c>
      <c r="K30" s="295">
        <f t="shared" si="19"/>
        <v>12737.474068422514</v>
      </c>
      <c r="L30" s="295">
        <f t="shared" si="19"/>
        <v>12737.474068422514</v>
      </c>
      <c r="M30" s="295">
        <f t="shared" si="19"/>
        <v>12737.474068422514</v>
      </c>
      <c r="N30" s="295">
        <f t="shared" si="19"/>
        <v>12737.474068422514</v>
      </c>
      <c r="O30" s="295">
        <f t="shared" si="19"/>
        <v>12737.474068422514</v>
      </c>
      <c r="P30" s="295">
        <f t="shared" si="19"/>
        <v>12737.474068422514</v>
      </c>
      <c r="Q30" s="295">
        <f t="shared" si="19"/>
        <v>12737.474068422514</v>
      </c>
      <c r="R30" s="295">
        <f t="shared" si="19"/>
        <v>12737.474068422514</v>
      </c>
      <c r="S30" s="295">
        <f t="shared" si="19"/>
        <v>12737.474068422514</v>
      </c>
      <c r="T30" s="295">
        <f t="shared" si="18"/>
        <v>12737.474068422514</v>
      </c>
      <c r="U30" s="295">
        <f t="shared" si="18"/>
        <v>12737.474068422514</v>
      </c>
      <c r="V30" s="295">
        <f t="shared" si="18"/>
        <v>12737.474068422514</v>
      </c>
      <c r="W30" s="295">
        <f t="shared" si="18"/>
        <v>12737.474068422514</v>
      </c>
      <c r="X30" s="295">
        <f t="shared" si="18"/>
        <v>12737.474068422514</v>
      </c>
      <c r="Y30" s="295">
        <f t="shared" si="18"/>
        <v>12737.474068422514</v>
      </c>
      <c r="Z30" s="295">
        <f t="shared" si="18"/>
        <v>12737.474068422514</v>
      </c>
      <c r="AA30" s="295">
        <f t="shared" si="18"/>
        <v>12737.474068422514</v>
      </c>
      <c r="AB30" s="295">
        <f t="shared" si="18"/>
        <v>12737.474068422514</v>
      </c>
      <c r="AC30" s="295">
        <f t="shared" si="18"/>
        <v>12737.474068422514</v>
      </c>
      <c r="AD30" s="295">
        <f t="shared" si="18"/>
        <v>12737.474068422514</v>
      </c>
      <c r="AE30" s="296">
        <f t="shared" si="18"/>
        <v>12737.474068422514</v>
      </c>
    </row>
    <row r="31" spans="1:31">
      <c r="A31" s="1711"/>
      <c r="B31" s="116">
        <v>7</v>
      </c>
      <c r="C31" s="294">
        <f>'CAR Mileage'!B11</f>
        <v>12482.724587054065</v>
      </c>
      <c r="D31" s="295">
        <f t="shared" si="19"/>
        <v>12482.724587054065</v>
      </c>
      <c r="E31" s="295">
        <f t="shared" si="19"/>
        <v>12482.724587054065</v>
      </c>
      <c r="F31" s="295">
        <f t="shared" si="19"/>
        <v>12482.724587054065</v>
      </c>
      <c r="G31" s="295">
        <f t="shared" si="19"/>
        <v>12482.724587054065</v>
      </c>
      <c r="H31" s="295">
        <f t="shared" si="19"/>
        <v>12482.724587054065</v>
      </c>
      <c r="I31" s="295">
        <f t="shared" si="19"/>
        <v>12482.724587054065</v>
      </c>
      <c r="J31" s="295">
        <f t="shared" si="19"/>
        <v>12482.724587054065</v>
      </c>
      <c r="K31" s="295">
        <f t="shared" si="19"/>
        <v>12482.724587054065</v>
      </c>
      <c r="L31" s="295">
        <f t="shared" si="19"/>
        <v>12482.724587054065</v>
      </c>
      <c r="M31" s="295">
        <f t="shared" si="19"/>
        <v>12482.724587054065</v>
      </c>
      <c r="N31" s="295">
        <f t="shared" si="19"/>
        <v>12482.724587054065</v>
      </c>
      <c r="O31" s="295">
        <f t="shared" si="19"/>
        <v>12482.724587054065</v>
      </c>
      <c r="P31" s="295">
        <f t="shared" si="19"/>
        <v>12482.724587054065</v>
      </c>
      <c r="Q31" s="295">
        <f t="shared" si="19"/>
        <v>12482.724587054065</v>
      </c>
      <c r="R31" s="295">
        <f t="shared" si="19"/>
        <v>12482.724587054065</v>
      </c>
      <c r="S31" s="295">
        <f t="shared" si="19"/>
        <v>12482.724587054065</v>
      </c>
      <c r="T31" s="295">
        <f t="shared" si="18"/>
        <v>12482.724587054065</v>
      </c>
      <c r="U31" s="295">
        <f t="shared" si="18"/>
        <v>12482.724587054065</v>
      </c>
      <c r="V31" s="295">
        <f t="shared" si="18"/>
        <v>12482.724587054065</v>
      </c>
      <c r="W31" s="295">
        <f t="shared" si="18"/>
        <v>12482.724587054065</v>
      </c>
      <c r="X31" s="295">
        <f t="shared" si="18"/>
        <v>12482.724587054065</v>
      </c>
      <c r="Y31" s="295">
        <f t="shared" si="18"/>
        <v>12482.724587054065</v>
      </c>
      <c r="Z31" s="295">
        <f t="shared" si="18"/>
        <v>12482.724587054065</v>
      </c>
      <c r="AA31" s="295">
        <f t="shared" si="18"/>
        <v>12482.724587054065</v>
      </c>
      <c r="AB31" s="295">
        <f t="shared" si="18"/>
        <v>12482.724587054065</v>
      </c>
      <c r="AC31" s="295">
        <f t="shared" si="18"/>
        <v>12482.724587054065</v>
      </c>
      <c r="AD31" s="295">
        <f t="shared" si="18"/>
        <v>12482.724587054065</v>
      </c>
      <c r="AE31" s="296">
        <f t="shared" si="18"/>
        <v>12482.724587054065</v>
      </c>
    </row>
    <row r="32" spans="1:31">
      <c r="A32" s="1711"/>
      <c r="B32" s="116">
        <v>8</v>
      </c>
      <c r="C32" s="294">
        <f>'CAR Mileage'!B12</f>
        <v>12233.070095312984</v>
      </c>
      <c r="D32" s="295">
        <f t="shared" si="19"/>
        <v>12233.070095312984</v>
      </c>
      <c r="E32" s="295">
        <f t="shared" si="19"/>
        <v>12233.070095312984</v>
      </c>
      <c r="F32" s="295">
        <f t="shared" si="19"/>
        <v>12233.070095312984</v>
      </c>
      <c r="G32" s="295">
        <f t="shared" si="19"/>
        <v>12233.070095312984</v>
      </c>
      <c r="H32" s="295">
        <f t="shared" si="19"/>
        <v>12233.070095312984</v>
      </c>
      <c r="I32" s="295">
        <f t="shared" si="19"/>
        <v>12233.070095312984</v>
      </c>
      <c r="J32" s="295">
        <f t="shared" si="19"/>
        <v>12233.070095312984</v>
      </c>
      <c r="K32" s="295">
        <f t="shared" si="19"/>
        <v>12233.070095312984</v>
      </c>
      <c r="L32" s="295">
        <f t="shared" si="19"/>
        <v>12233.070095312984</v>
      </c>
      <c r="M32" s="295">
        <f t="shared" si="19"/>
        <v>12233.070095312984</v>
      </c>
      <c r="N32" s="295">
        <f t="shared" si="19"/>
        <v>12233.070095312984</v>
      </c>
      <c r="O32" s="295">
        <f t="shared" si="19"/>
        <v>12233.070095312984</v>
      </c>
      <c r="P32" s="295">
        <f t="shared" si="19"/>
        <v>12233.070095312984</v>
      </c>
      <c r="Q32" s="295">
        <f t="shared" si="19"/>
        <v>12233.070095312984</v>
      </c>
      <c r="R32" s="295">
        <f t="shared" si="19"/>
        <v>12233.070095312984</v>
      </c>
      <c r="S32" s="295">
        <f t="shared" si="19"/>
        <v>12233.070095312984</v>
      </c>
      <c r="T32" s="295">
        <f t="shared" si="18"/>
        <v>12233.070095312984</v>
      </c>
      <c r="U32" s="295">
        <f t="shared" si="18"/>
        <v>12233.070095312984</v>
      </c>
      <c r="V32" s="295">
        <f t="shared" si="18"/>
        <v>12233.070095312984</v>
      </c>
      <c r="W32" s="295">
        <f t="shared" si="18"/>
        <v>12233.070095312984</v>
      </c>
      <c r="X32" s="295">
        <f t="shared" si="18"/>
        <v>12233.070095312984</v>
      </c>
      <c r="Y32" s="295">
        <f t="shared" si="18"/>
        <v>12233.070095312984</v>
      </c>
      <c r="Z32" s="295">
        <f t="shared" si="18"/>
        <v>12233.070095312984</v>
      </c>
      <c r="AA32" s="295">
        <f t="shared" si="18"/>
        <v>12233.070095312984</v>
      </c>
      <c r="AB32" s="295">
        <f t="shared" si="18"/>
        <v>12233.070095312984</v>
      </c>
      <c r="AC32" s="295">
        <f t="shared" si="18"/>
        <v>12233.070095312984</v>
      </c>
      <c r="AD32" s="295">
        <f t="shared" si="18"/>
        <v>12233.070095312984</v>
      </c>
      <c r="AE32" s="296">
        <f t="shared" si="18"/>
        <v>12233.070095312984</v>
      </c>
    </row>
    <row r="33" spans="1:31">
      <c r="A33" s="1711"/>
      <c r="B33" s="116">
        <v>9</v>
      </c>
      <c r="C33" s="294">
        <f>'CAR Mileage'!B13</f>
        <v>11988.408693406724</v>
      </c>
      <c r="D33" s="295">
        <f t="shared" si="19"/>
        <v>11988.408693406724</v>
      </c>
      <c r="E33" s="295">
        <f t="shared" si="19"/>
        <v>11988.408693406724</v>
      </c>
      <c r="F33" s="295">
        <f t="shared" si="19"/>
        <v>11988.408693406724</v>
      </c>
      <c r="G33" s="295">
        <f t="shared" si="19"/>
        <v>11988.408693406724</v>
      </c>
      <c r="H33" s="295">
        <f t="shared" si="19"/>
        <v>11988.408693406724</v>
      </c>
      <c r="I33" s="295">
        <f t="shared" si="19"/>
        <v>11988.408693406724</v>
      </c>
      <c r="J33" s="295">
        <f t="shared" si="19"/>
        <v>11988.408693406724</v>
      </c>
      <c r="K33" s="295">
        <f t="shared" si="19"/>
        <v>11988.408693406724</v>
      </c>
      <c r="L33" s="295">
        <f t="shared" si="19"/>
        <v>11988.408693406724</v>
      </c>
      <c r="M33" s="295">
        <f t="shared" si="19"/>
        <v>11988.408693406724</v>
      </c>
      <c r="N33" s="295">
        <f t="shared" si="19"/>
        <v>11988.408693406724</v>
      </c>
      <c r="O33" s="295">
        <f t="shared" si="19"/>
        <v>11988.408693406724</v>
      </c>
      <c r="P33" s="295">
        <f t="shared" si="19"/>
        <v>11988.408693406724</v>
      </c>
      <c r="Q33" s="295">
        <f t="shared" si="19"/>
        <v>11988.408693406724</v>
      </c>
      <c r="R33" s="295">
        <f t="shared" si="19"/>
        <v>11988.408693406724</v>
      </c>
      <c r="S33" s="295">
        <f t="shared" si="19"/>
        <v>11988.408693406724</v>
      </c>
      <c r="T33" s="295">
        <f t="shared" si="18"/>
        <v>11988.408693406724</v>
      </c>
      <c r="U33" s="295">
        <f t="shared" si="18"/>
        <v>11988.408693406724</v>
      </c>
      <c r="V33" s="295">
        <f t="shared" si="18"/>
        <v>11988.408693406724</v>
      </c>
      <c r="W33" s="295">
        <f t="shared" si="18"/>
        <v>11988.408693406724</v>
      </c>
      <c r="X33" s="295">
        <f t="shared" si="18"/>
        <v>11988.408693406724</v>
      </c>
      <c r="Y33" s="295">
        <f t="shared" si="18"/>
        <v>11988.408693406724</v>
      </c>
      <c r="Z33" s="295">
        <f t="shared" si="18"/>
        <v>11988.408693406724</v>
      </c>
      <c r="AA33" s="295">
        <f t="shared" si="18"/>
        <v>11988.408693406724</v>
      </c>
      <c r="AB33" s="295">
        <f t="shared" si="18"/>
        <v>11988.408693406724</v>
      </c>
      <c r="AC33" s="295">
        <f t="shared" si="18"/>
        <v>11988.408693406724</v>
      </c>
      <c r="AD33" s="295">
        <f t="shared" si="18"/>
        <v>11988.408693406724</v>
      </c>
      <c r="AE33" s="296">
        <f t="shared" si="18"/>
        <v>11988.408693406724</v>
      </c>
    </row>
    <row r="34" spans="1:31">
      <c r="A34" s="1711"/>
      <c r="B34" s="116">
        <v>10</v>
      </c>
      <c r="C34" s="294">
        <f>'CAR Mileage'!B14</f>
        <v>11748.640519538589</v>
      </c>
      <c r="D34" s="295">
        <f t="shared" si="19"/>
        <v>11748.640519538589</v>
      </c>
      <c r="E34" s="295">
        <f t="shared" si="19"/>
        <v>11748.640519538589</v>
      </c>
      <c r="F34" s="295">
        <f t="shared" si="19"/>
        <v>11748.640519538589</v>
      </c>
      <c r="G34" s="295">
        <f t="shared" si="19"/>
        <v>11748.640519538589</v>
      </c>
      <c r="H34" s="295">
        <f t="shared" si="19"/>
        <v>11748.640519538589</v>
      </c>
      <c r="I34" s="295">
        <f t="shared" si="19"/>
        <v>11748.640519538589</v>
      </c>
      <c r="J34" s="295">
        <f t="shared" si="19"/>
        <v>11748.640519538589</v>
      </c>
      <c r="K34" s="295">
        <f t="shared" si="19"/>
        <v>11748.640519538589</v>
      </c>
      <c r="L34" s="295">
        <f t="shared" si="19"/>
        <v>11748.640519538589</v>
      </c>
      <c r="M34" s="295">
        <f t="shared" si="19"/>
        <v>11748.640519538589</v>
      </c>
      <c r="N34" s="295">
        <f t="shared" si="19"/>
        <v>11748.640519538589</v>
      </c>
      <c r="O34" s="295">
        <f t="shared" si="19"/>
        <v>11748.640519538589</v>
      </c>
      <c r="P34" s="295">
        <f t="shared" si="19"/>
        <v>11748.640519538589</v>
      </c>
      <c r="Q34" s="295">
        <f t="shared" si="19"/>
        <v>11748.640519538589</v>
      </c>
      <c r="R34" s="295">
        <f t="shared" si="19"/>
        <v>11748.640519538589</v>
      </c>
      <c r="S34" s="295">
        <f t="shared" si="19"/>
        <v>11748.640519538589</v>
      </c>
      <c r="T34" s="295">
        <f t="shared" si="18"/>
        <v>11748.640519538589</v>
      </c>
      <c r="U34" s="295">
        <f t="shared" si="18"/>
        <v>11748.640519538589</v>
      </c>
      <c r="V34" s="295">
        <f t="shared" si="18"/>
        <v>11748.640519538589</v>
      </c>
      <c r="W34" s="295">
        <f t="shared" si="18"/>
        <v>11748.640519538589</v>
      </c>
      <c r="X34" s="295">
        <f t="shared" si="18"/>
        <v>11748.640519538589</v>
      </c>
      <c r="Y34" s="295">
        <f t="shared" si="18"/>
        <v>11748.640519538589</v>
      </c>
      <c r="Z34" s="295">
        <f t="shared" si="18"/>
        <v>11748.640519538589</v>
      </c>
      <c r="AA34" s="295">
        <f t="shared" si="18"/>
        <v>11748.640519538589</v>
      </c>
      <c r="AB34" s="295">
        <f t="shared" si="18"/>
        <v>11748.640519538589</v>
      </c>
      <c r="AC34" s="295">
        <f t="shared" si="18"/>
        <v>11748.640519538589</v>
      </c>
      <c r="AD34" s="295">
        <f t="shared" si="18"/>
        <v>11748.640519538589</v>
      </c>
      <c r="AE34" s="296">
        <f t="shared" si="18"/>
        <v>11748.640519538589</v>
      </c>
    </row>
    <row r="35" spans="1:31">
      <c r="A35" s="1711"/>
      <c r="B35" s="116">
        <v>11</v>
      </c>
      <c r="C35" s="294">
        <f>'CAR Mileage'!B15</f>
        <v>11513.667709147816</v>
      </c>
      <c r="D35" s="295">
        <f t="shared" si="19"/>
        <v>11513.667709147816</v>
      </c>
      <c r="E35" s="295">
        <f t="shared" si="19"/>
        <v>11513.667709147816</v>
      </c>
      <c r="F35" s="295">
        <f t="shared" si="19"/>
        <v>11513.667709147816</v>
      </c>
      <c r="G35" s="295">
        <f t="shared" si="19"/>
        <v>11513.667709147816</v>
      </c>
      <c r="H35" s="295">
        <f t="shared" si="19"/>
        <v>11513.667709147816</v>
      </c>
      <c r="I35" s="295">
        <f t="shared" si="19"/>
        <v>11513.667709147816</v>
      </c>
      <c r="J35" s="295">
        <f t="shared" si="19"/>
        <v>11513.667709147816</v>
      </c>
      <c r="K35" s="295">
        <f t="shared" si="19"/>
        <v>11513.667709147816</v>
      </c>
      <c r="L35" s="295">
        <f t="shared" si="19"/>
        <v>11513.667709147816</v>
      </c>
      <c r="M35" s="295">
        <f t="shared" si="19"/>
        <v>11513.667709147816</v>
      </c>
      <c r="N35" s="295">
        <f t="shared" si="19"/>
        <v>11513.667709147816</v>
      </c>
      <c r="O35" s="295">
        <f t="shared" si="19"/>
        <v>11513.667709147816</v>
      </c>
      <c r="P35" s="295">
        <f t="shared" si="19"/>
        <v>11513.667709147816</v>
      </c>
      <c r="Q35" s="295">
        <f t="shared" si="19"/>
        <v>11513.667709147816</v>
      </c>
      <c r="R35" s="295">
        <f t="shared" si="19"/>
        <v>11513.667709147816</v>
      </c>
      <c r="S35" s="295">
        <f t="shared" si="19"/>
        <v>11513.667709147816</v>
      </c>
      <c r="T35" s="295">
        <f t="shared" si="18"/>
        <v>11513.667709147816</v>
      </c>
      <c r="U35" s="295">
        <f t="shared" si="18"/>
        <v>11513.667709147816</v>
      </c>
      <c r="V35" s="295">
        <f t="shared" si="18"/>
        <v>11513.667709147816</v>
      </c>
      <c r="W35" s="295">
        <f t="shared" si="18"/>
        <v>11513.667709147816</v>
      </c>
      <c r="X35" s="295">
        <f t="shared" si="18"/>
        <v>11513.667709147816</v>
      </c>
      <c r="Y35" s="295">
        <f t="shared" si="18"/>
        <v>11513.667709147816</v>
      </c>
      <c r="Z35" s="295">
        <f t="shared" si="18"/>
        <v>11513.667709147816</v>
      </c>
      <c r="AA35" s="295">
        <f t="shared" si="18"/>
        <v>11513.667709147816</v>
      </c>
      <c r="AB35" s="295">
        <f t="shared" si="18"/>
        <v>11513.667709147816</v>
      </c>
      <c r="AC35" s="295">
        <f t="shared" si="18"/>
        <v>11513.667709147816</v>
      </c>
      <c r="AD35" s="295">
        <f t="shared" si="18"/>
        <v>11513.667709147816</v>
      </c>
      <c r="AE35" s="296">
        <f t="shared" si="18"/>
        <v>11513.667709147816</v>
      </c>
    </row>
    <row r="36" spans="1:31">
      <c r="A36" s="1711"/>
      <c r="B36" s="116">
        <v>12</v>
      </c>
      <c r="C36" s="294">
        <f>'CAR Mileage'!B16</f>
        <v>11283.394354964859</v>
      </c>
      <c r="D36" s="295">
        <f t="shared" si="19"/>
        <v>11283.394354964859</v>
      </c>
      <c r="E36" s="295">
        <f t="shared" si="19"/>
        <v>11283.394354964859</v>
      </c>
      <c r="F36" s="295">
        <f t="shared" si="19"/>
        <v>11283.394354964859</v>
      </c>
      <c r="G36" s="295">
        <f t="shared" si="19"/>
        <v>11283.394354964859</v>
      </c>
      <c r="H36" s="295">
        <f t="shared" si="19"/>
        <v>11283.394354964859</v>
      </c>
      <c r="I36" s="295">
        <f t="shared" si="19"/>
        <v>11283.394354964859</v>
      </c>
      <c r="J36" s="295">
        <f t="shared" si="19"/>
        <v>11283.394354964859</v>
      </c>
      <c r="K36" s="295">
        <f t="shared" si="19"/>
        <v>11283.394354964859</v>
      </c>
      <c r="L36" s="295">
        <f t="shared" si="19"/>
        <v>11283.394354964859</v>
      </c>
      <c r="M36" s="295">
        <f t="shared" si="19"/>
        <v>11283.394354964859</v>
      </c>
      <c r="N36" s="295">
        <f t="shared" si="19"/>
        <v>11283.394354964859</v>
      </c>
      <c r="O36" s="295">
        <f t="shared" si="19"/>
        <v>11283.394354964859</v>
      </c>
      <c r="P36" s="295">
        <f t="shared" si="19"/>
        <v>11283.394354964859</v>
      </c>
      <c r="Q36" s="295">
        <f t="shared" si="19"/>
        <v>11283.394354964859</v>
      </c>
      <c r="R36" s="295">
        <f t="shared" si="19"/>
        <v>11283.394354964859</v>
      </c>
      <c r="S36" s="295">
        <f t="shared" si="19"/>
        <v>11283.394354964859</v>
      </c>
      <c r="T36" s="295">
        <f t="shared" si="18"/>
        <v>11283.394354964859</v>
      </c>
      <c r="U36" s="295">
        <f t="shared" si="18"/>
        <v>11283.394354964859</v>
      </c>
      <c r="V36" s="295">
        <f t="shared" si="18"/>
        <v>11283.394354964859</v>
      </c>
      <c r="W36" s="295">
        <f t="shared" si="18"/>
        <v>11283.394354964859</v>
      </c>
      <c r="X36" s="295">
        <f t="shared" si="18"/>
        <v>11283.394354964859</v>
      </c>
      <c r="Y36" s="295">
        <f t="shared" si="18"/>
        <v>11283.394354964859</v>
      </c>
      <c r="Z36" s="295">
        <f t="shared" si="18"/>
        <v>11283.394354964859</v>
      </c>
      <c r="AA36" s="295">
        <f t="shared" si="18"/>
        <v>11283.394354964859</v>
      </c>
      <c r="AB36" s="295">
        <f t="shared" si="18"/>
        <v>11283.394354964859</v>
      </c>
      <c r="AC36" s="295">
        <f t="shared" si="18"/>
        <v>11283.394354964859</v>
      </c>
      <c r="AD36" s="295">
        <f t="shared" si="18"/>
        <v>11283.394354964859</v>
      </c>
      <c r="AE36" s="296">
        <f t="shared" si="18"/>
        <v>11283.394354964859</v>
      </c>
    </row>
    <row r="37" spans="1:31">
      <c r="A37" s="1711"/>
      <c r="B37" s="116">
        <v>13</v>
      </c>
      <c r="C37" s="294">
        <f>'CAR Mileage'!B17</f>
        <v>11057.726467865561</v>
      </c>
      <c r="D37" s="295">
        <f t="shared" si="19"/>
        <v>11057.726467865561</v>
      </c>
      <c r="E37" s="295">
        <f t="shared" si="19"/>
        <v>11057.726467865561</v>
      </c>
      <c r="F37" s="295">
        <f t="shared" si="19"/>
        <v>11057.726467865561</v>
      </c>
      <c r="G37" s="295">
        <f t="shared" si="19"/>
        <v>11057.726467865561</v>
      </c>
      <c r="H37" s="295">
        <f t="shared" si="19"/>
        <v>11057.726467865561</v>
      </c>
      <c r="I37" s="295">
        <f t="shared" si="19"/>
        <v>11057.726467865561</v>
      </c>
      <c r="J37" s="295">
        <f t="shared" si="19"/>
        <v>11057.726467865561</v>
      </c>
      <c r="K37" s="295">
        <f t="shared" si="19"/>
        <v>11057.726467865561</v>
      </c>
      <c r="L37" s="295">
        <f t="shared" si="19"/>
        <v>11057.726467865561</v>
      </c>
      <c r="M37" s="295">
        <f t="shared" si="19"/>
        <v>11057.726467865561</v>
      </c>
      <c r="N37" s="295">
        <f t="shared" si="19"/>
        <v>11057.726467865561</v>
      </c>
      <c r="O37" s="295">
        <f t="shared" si="19"/>
        <v>11057.726467865561</v>
      </c>
      <c r="P37" s="295">
        <f t="shared" si="19"/>
        <v>11057.726467865561</v>
      </c>
      <c r="Q37" s="295">
        <f t="shared" si="19"/>
        <v>11057.726467865561</v>
      </c>
      <c r="R37" s="295">
        <f t="shared" si="19"/>
        <v>11057.726467865561</v>
      </c>
      <c r="S37" s="295">
        <f t="shared" si="19"/>
        <v>11057.726467865561</v>
      </c>
      <c r="T37" s="295">
        <f t="shared" si="18"/>
        <v>11057.726467865561</v>
      </c>
      <c r="U37" s="295">
        <f t="shared" si="18"/>
        <v>11057.726467865561</v>
      </c>
      <c r="V37" s="295">
        <f t="shared" si="18"/>
        <v>11057.726467865561</v>
      </c>
      <c r="W37" s="295">
        <f t="shared" si="18"/>
        <v>11057.726467865561</v>
      </c>
      <c r="X37" s="295">
        <f t="shared" si="18"/>
        <v>11057.726467865561</v>
      </c>
      <c r="Y37" s="295">
        <f t="shared" si="18"/>
        <v>11057.726467865561</v>
      </c>
      <c r="Z37" s="295">
        <f t="shared" si="18"/>
        <v>11057.726467865561</v>
      </c>
      <c r="AA37" s="295">
        <f t="shared" si="18"/>
        <v>11057.726467865561</v>
      </c>
      <c r="AB37" s="295">
        <f t="shared" si="18"/>
        <v>11057.726467865561</v>
      </c>
      <c r="AC37" s="295">
        <f t="shared" si="18"/>
        <v>11057.726467865561</v>
      </c>
      <c r="AD37" s="295">
        <f t="shared" si="18"/>
        <v>11057.726467865561</v>
      </c>
      <c r="AE37" s="296">
        <f t="shared" si="18"/>
        <v>11057.726467865561</v>
      </c>
    </row>
    <row r="38" spans="1:31">
      <c r="A38" s="1711"/>
      <c r="B38" s="116">
        <v>14</v>
      </c>
      <c r="C38" s="294">
        <f>'CAR Mileage'!B18</f>
        <v>10836.57193850825</v>
      </c>
      <c r="D38" s="295">
        <f t="shared" si="19"/>
        <v>10836.57193850825</v>
      </c>
      <c r="E38" s="295">
        <f t="shared" si="19"/>
        <v>10836.57193850825</v>
      </c>
      <c r="F38" s="295">
        <f t="shared" si="19"/>
        <v>10836.57193850825</v>
      </c>
      <c r="G38" s="295">
        <f t="shared" si="19"/>
        <v>10836.57193850825</v>
      </c>
      <c r="H38" s="295">
        <f t="shared" si="19"/>
        <v>10836.57193850825</v>
      </c>
      <c r="I38" s="295">
        <f t="shared" si="19"/>
        <v>10836.57193850825</v>
      </c>
      <c r="J38" s="295">
        <f t="shared" si="19"/>
        <v>10836.57193850825</v>
      </c>
      <c r="K38" s="295">
        <f t="shared" si="19"/>
        <v>10836.57193850825</v>
      </c>
      <c r="L38" s="295">
        <f t="shared" si="19"/>
        <v>10836.57193850825</v>
      </c>
      <c r="M38" s="295">
        <f t="shared" si="19"/>
        <v>10836.57193850825</v>
      </c>
      <c r="N38" s="295">
        <f t="shared" si="19"/>
        <v>10836.57193850825</v>
      </c>
      <c r="O38" s="295">
        <f t="shared" si="19"/>
        <v>10836.57193850825</v>
      </c>
      <c r="P38" s="295">
        <f t="shared" si="19"/>
        <v>10836.57193850825</v>
      </c>
      <c r="Q38" s="295">
        <f t="shared" si="19"/>
        <v>10836.57193850825</v>
      </c>
      <c r="R38" s="295">
        <f t="shared" si="19"/>
        <v>10836.57193850825</v>
      </c>
      <c r="S38" s="295">
        <f t="shared" si="19"/>
        <v>10836.57193850825</v>
      </c>
      <c r="T38" s="295">
        <f t="shared" si="18"/>
        <v>10836.57193850825</v>
      </c>
      <c r="U38" s="295">
        <f t="shared" si="18"/>
        <v>10836.57193850825</v>
      </c>
      <c r="V38" s="295">
        <f t="shared" si="18"/>
        <v>10836.57193850825</v>
      </c>
      <c r="W38" s="295">
        <f t="shared" si="18"/>
        <v>10836.57193850825</v>
      </c>
      <c r="X38" s="295">
        <f t="shared" si="18"/>
        <v>10836.57193850825</v>
      </c>
      <c r="Y38" s="295">
        <f t="shared" si="18"/>
        <v>10836.57193850825</v>
      </c>
      <c r="Z38" s="295">
        <f t="shared" si="18"/>
        <v>10836.57193850825</v>
      </c>
      <c r="AA38" s="295">
        <f t="shared" si="18"/>
        <v>10836.57193850825</v>
      </c>
      <c r="AB38" s="295">
        <f t="shared" si="18"/>
        <v>10836.57193850825</v>
      </c>
      <c r="AC38" s="295">
        <f t="shared" si="18"/>
        <v>10836.57193850825</v>
      </c>
      <c r="AD38" s="295">
        <f t="shared" si="18"/>
        <v>10836.57193850825</v>
      </c>
      <c r="AE38" s="296">
        <f t="shared" si="18"/>
        <v>10836.57193850825</v>
      </c>
    </row>
    <row r="39" spans="1:31">
      <c r="A39" s="1711"/>
      <c r="B39" s="116">
        <v>15</v>
      </c>
      <c r="C39" s="294">
        <f>'CAR Mileage'!B19</f>
        <v>10619.840499738086</v>
      </c>
      <c r="D39" s="295">
        <f t="shared" si="19"/>
        <v>10619.840499738086</v>
      </c>
      <c r="E39" s="295">
        <f t="shared" si="19"/>
        <v>10619.840499738086</v>
      </c>
      <c r="F39" s="295">
        <f t="shared" si="19"/>
        <v>10619.840499738086</v>
      </c>
      <c r="G39" s="295">
        <f t="shared" si="19"/>
        <v>10619.840499738086</v>
      </c>
      <c r="H39" s="295">
        <f t="shared" si="19"/>
        <v>10619.840499738086</v>
      </c>
      <c r="I39" s="295">
        <f t="shared" si="19"/>
        <v>10619.840499738086</v>
      </c>
      <c r="J39" s="295">
        <f t="shared" si="19"/>
        <v>10619.840499738086</v>
      </c>
      <c r="K39" s="295">
        <f t="shared" si="19"/>
        <v>10619.840499738086</v>
      </c>
      <c r="L39" s="295">
        <f t="shared" si="19"/>
        <v>10619.840499738086</v>
      </c>
      <c r="M39" s="295">
        <f t="shared" si="19"/>
        <v>10619.840499738086</v>
      </c>
      <c r="N39" s="295">
        <f t="shared" si="19"/>
        <v>10619.840499738086</v>
      </c>
      <c r="O39" s="295">
        <f t="shared" si="19"/>
        <v>10619.840499738086</v>
      </c>
      <c r="P39" s="295">
        <f t="shared" si="19"/>
        <v>10619.840499738086</v>
      </c>
      <c r="Q39" s="295">
        <f t="shared" si="19"/>
        <v>10619.840499738086</v>
      </c>
      <c r="R39" s="295">
        <f t="shared" si="19"/>
        <v>10619.840499738086</v>
      </c>
      <c r="S39" s="295">
        <f t="shared" si="19"/>
        <v>10619.840499738086</v>
      </c>
      <c r="T39" s="295">
        <f t="shared" si="18"/>
        <v>10619.840499738086</v>
      </c>
      <c r="U39" s="295">
        <f t="shared" si="18"/>
        <v>10619.840499738086</v>
      </c>
      <c r="V39" s="295">
        <f t="shared" si="18"/>
        <v>10619.840499738086</v>
      </c>
      <c r="W39" s="295">
        <f t="shared" si="18"/>
        <v>10619.840499738086</v>
      </c>
      <c r="X39" s="295">
        <f t="shared" si="18"/>
        <v>10619.840499738086</v>
      </c>
      <c r="Y39" s="295">
        <f t="shared" si="18"/>
        <v>10619.840499738086</v>
      </c>
      <c r="Z39" s="295">
        <f t="shared" si="18"/>
        <v>10619.840499738086</v>
      </c>
      <c r="AA39" s="295">
        <f t="shared" si="18"/>
        <v>10619.840499738086</v>
      </c>
      <c r="AB39" s="295">
        <f t="shared" si="18"/>
        <v>10619.840499738086</v>
      </c>
      <c r="AC39" s="295">
        <f t="shared" si="18"/>
        <v>10619.840499738086</v>
      </c>
      <c r="AD39" s="295">
        <f t="shared" si="18"/>
        <v>10619.840499738086</v>
      </c>
      <c r="AE39" s="296">
        <f t="shared" si="18"/>
        <v>10619.840499738086</v>
      </c>
    </row>
    <row r="40" spans="1:31">
      <c r="A40" s="1711"/>
      <c r="B40" s="116">
        <v>16</v>
      </c>
      <c r="C40" s="294">
        <f>'CAR Mileage'!B20</f>
        <v>10407.443689743324</v>
      </c>
      <c r="D40" s="295">
        <f t="shared" si="19"/>
        <v>10407.443689743324</v>
      </c>
      <c r="E40" s="295">
        <f t="shared" si="19"/>
        <v>10407.443689743324</v>
      </c>
      <c r="F40" s="295">
        <f t="shared" si="19"/>
        <v>10407.443689743324</v>
      </c>
      <c r="G40" s="295">
        <f t="shared" si="19"/>
        <v>10407.443689743324</v>
      </c>
      <c r="H40" s="295">
        <f t="shared" si="19"/>
        <v>10407.443689743324</v>
      </c>
      <c r="I40" s="295">
        <f t="shared" si="19"/>
        <v>10407.443689743324</v>
      </c>
      <c r="J40" s="295">
        <f t="shared" si="19"/>
        <v>10407.443689743324</v>
      </c>
      <c r="K40" s="295">
        <f t="shared" si="19"/>
        <v>10407.443689743324</v>
      </c>
      <c r="L40" s="295">
        <f t="shared" si="19"/>
        <v>10407.443689743324</v>
      </c>
      <c r="M40" s="295">
        <f t="shared" si="19"/>
        <v>10407.443689743324</v>
      </c>
      <c r="N40" s="295">
        <f t="shared" si="19"/>
        <v>10407.443689743324</v>
      </c>
      <c r="O40" s="295">
        <f t="shared" si="19"/>
        <v>10407.443689743324</v>
      </c>
      <c r="P40" s="295">
        <f t="shared" si="19"/>
        <v>10407.443689743324</v>
      </c>
      <c r="Q40" s="295">
        <f t="shared" si="19"/>
        <v>10407.443689743324</v>
      </c>
      <c r="R40" s="295">
        <f t="shared" si="19"/>
        <v>10407.443689743324</v>
      </c>
      <c r="S40" s="295">
        <f t="shared" ref="S40:AE49" si="20">R40</f>
        <v>10407.443689743324</v>
      </c>
      <c r="T40" s="295">
        <f t="shared" si="20"/>
        <v>10407.443689743324</v>
      </c>
      <c r="U40" s="295">
        <f t="shared" si="20"/>
        <v>10407.443689743324</v>
      </c>
      <c r="V40" s="295">
        <f t="shared" si="20"/>
        <v>10407.443689743324</v>
      </c>
      <c r="W40" s="295">
        <f t="shared" si="20"/>
        <v>10407.443689743324</v>
      </c>
      <c r="X40" s="295">
        <f t="shared" si="20"/>
        <v>10407.443689743324</v>
      </c>
      <c r="Y40" s="295">
        <f t="shared" si="20"/>
        <v>10407.443689743324</v>
      </c>
      <c r="Z40" s="295">
        <f t="shared" si="20"/>
        <v>10407.443689743324</v>
      </c>
      <c r="AA40" s="295">
        <f t="shared" si="20"/>
        <v>10407.443689743324</v>
      </c>
      <c r="AB40" s="295">
        <f t="shared" si="20"/>
        <v>10407.443689743324</v>
      </c>
      <c r="AC40" s="295">
        <f t="shared" si="20"/>
        <v>10407.443689743324</v>
      </c>
      <c r="AD40" s="295">
        <f t="shared" si="20"/>
        <v>10407.443689743324</v>
      </c>
      <c r="AE40" s="296">
        <f t="shared" si="20"/>
        <v>10407.443689743324</v>
      </c>
    </row>
    <row r="41" spans="1:31">
      <c r="A41" s="1711"/>
      <c r="B41" s="116">
        <v>17</v>
      </c>
      <c r="C41" s="294">
        <f>C40</f>
        <v>10407.443689743324</v>
      </c>
      <c r="D41" s="295">
        <f t="shared" ref="D41:S49" si="21">C41</f>
        <v>10407.443689743324</v>
      </c>
      <c r="E41" s="295">
        <f t="shared" si="21"/>
        <v>10407.443689743324</v>
      </c>
      <c r="F41" s="295">
        <f t="shared" si="21"/>
        <v>10407.443689743324</v>
      </c>
      <c r="G41" s="295">
        <f t="shared" si="21"/>
        <v>10407.443689743324</v>
      </c>
      <c r="H41" s="295">
        <f t="shared" si="21"/>
        <v>10407.443689743324</v>
      </c>
      <c r="I41" s="295">
        <f t="shared" si="21"/>
        <v>10407.443689743324</v>
      </c>
      <c r="J41" s="295">
        <f t="shared" si="21"/>
        <v>10407.443689743324</v>
      </c>
      <c r="K41" s="295">
        <f t="shared" si="21"/>
        <v>10407.443689743324</v>
      </c>
      <c r="L41" s="295">
        <f t="shared" si="21"/>
        <v>10407.443689743324</v>
      </c>
      <c r="M41" s="295">
        <f t="shared" si="21"/>
        <v>10407.443689743324</v>
      </c>
      <c r="N41" s="295">
        <f t="shared" si="21"/>
        <v>10407.443689743324</v>
      </c>
      <c r="O41" s="295">
        <f t="shared" si="21"/>
        <v>10407.443689743324</v>
      </c>
      <c r="P41" s="295">
        <f t="shared" si="21"/>
        <v>10407.443689743324</v>
      </c>
      <c r="Q41" s="295">
        <f t="shared" si="21"/>
        <v>10407.443689743324</v>
      </c>
      <c r="R41" s="295">
        <f t="shared" si="21"/>
        <v>10407.443689743324</v>
      </c>
      <c r="S41" s="295">
        <f t="shared" si="21"/>
        <v>10407.443689743324</v>
      </c>
      <c r="T41" s="295">
        <f t="shared" si="20"/>
        <v>10407.443689743324</v>
      </c>
      <c r="U41" s="295">
        <f t="shared" si="20"/>
        <v>10407.443689743324</v>
      </c>
      <c r="V41" s="295">
        <f t="shared" si="20"/>
        <v>10407.443689743324</v>
      </c>
      <c r="W41" s="295">
        <f t="shared" si="20"/>
        <v>10407.443689743324</v>
      </c>
      <c r="X41" s="295">
        <f t="shared" si="20"/>
        <v>10407.443689743324</v>
      </c>
      <c r="Y41" s="295">
        <f t="shared" si="20"/>
        <v>10407.443689743324</v>
      </c>
      <c r="Z41" s="295">
        <f t="shared" si="20"/>
        <v>10407.443689743324</v>
      </c>
      <c r="AA41" s="295">
        <f t="shared" si="20"/>
        <v>10407.443689743324</v>
      </c>
      <c r="AB41" s="295">
        <f t="shared" si="20"/>
        <v>10407.443689743324</v>
      </c>
      <c r="AC41" s="295">
        <f t="shared" si="20"/>
        <v>10407.443689743324</v>
      </c>
      <c r="AD41" s="295">
        <f t="shared" si="20"/>
        <v>10407.443689743324</v>
      </c>
      <c r="AE41" s="296">
        <f t="shared" si="20"/>
        <v>10407.443689743324</v>
      </c>
    </row>
    <row r="42" spans="1:31">
      <c r="A42" s="1711"/>
      <c r="B42" s="116">
        <v>18</v>
      </c>
      <c r="C42" s="294">
        <f t="shared" ref="C42:C49" si="22">C41</f>
        <v>10407.443689743324</v>
      </c>
      <c r="D42" s="295">
        <f t="shared" si="21"/>
        <v>10407.443689743324</v>
      </c>
      <c r="E42" s="295">
        <f t="shared" si="21"/>
        <v>10407.443689743324</v>
      </c>
      <c r="F42" s="295">
        <f t="shared" si="21"/>
        <v>10407.443689743324</v>
      </c>
      <c r="G42" s="295">
        <f t="shared" si="21"/>
        <v>10407.443689743324</v>
      </c>
      <c r="H42" s="295">
        <f t="shared" si="21"/>
        <v>10407.443689743324</v>
      </c>
      <c r="I42" s="295">
        <f t="shared" si="21"/>
        <v>10407.443689743324</v>
      </c>
      <c r="J42" s="295">
        <f t="shared" si="21"/>
        <v>10407.443689743324</v>
      </c>
      <c r="K42" s="295">
        <f t="shared" si="21"/>
        <v>10407.443689743324</v>
      </c>
      <c r="L42" s="295">
        <f t="shared" si="21"/>
        <v>10407.443689743324</v>
      </c>
      <c r="M42" s="295">
        <f t="shared" si="21"/>
        <v>10407.443689743324</v>
      </c>
      <c r="N42" s="295">
        <f t="shared" si="21"/>
        <v>10407.443689743324</v>
      </c>
      <c r="O42" s="295">
        <f t="shared" si="21"/>
        <v>10407.443689743324</v>
      </c>
      <c r="P42" s="295">
        <f t="shared" si="21"/>
        <v>10407.443689743324</v>
      </c>
      <c r="Q42" s="295">
        <f t="shared" si="21"/>
        <v>10407.443689743324</v>
      </c>
      <c r="R42" s="295">
        <f t="shared" si="21"/>
        <v>10407.443689743324</v>
      </c>
      <c r="S42" s="295">
        <f t="shared" si="21"/>
        <v>10407.443689743324</v>
      </c>
      <c r="T42" s="295">
        <f t="shared" si="20"/>
        <v>10407.443689743324</v>
      </c>
      <c r="U42" s="295">
        <f t="shared" si="20"/>
        <v>10407.443689743324</v>
      </c>
      <c r="V42" s="295">
        <f t="shared" si="20"/>
        <v>10407.443689743324</v>
      </c>
      <c r="W42" s="295">
        <f t="shared" si="20"/>
        <v>10407.443689743324</v>
      </c>
      <c r="X42" s="295">
        <f t="shared" si="20"/>
        <v>10407.443689743324</v>
      </c>
      <c r="Y42" s="295">
        <f t="shared" si="20"/>
        <v>10407.443689743324</v>
      </c>
      <c r="Z42" s="295">
        <f t="shared" si="20"/>
        <v>10407.443689743324</v>
      </c>
      <c r="AA42" s="295">
        <f t="shared" si="20"/>
        <v>10407.443689743324</v>
      </c>
      <c r="AB42" s="295">
        <f t="shared" si="20"/>
        <v>10407.443689743324</v>
      </c>
      <c r="AC42" s="295">
        <f t="shared" si="20"/>
        <v>10407.443689743324</v>
      </c>
      <c r="AD42" s="295">
        <f t="shared" si="20"/>
        <v>10407.443689743324</v>
      </c>
      <c r="AE42" s="296">
        <f t="shared" si="20"/>
        <v>10407.443689743324</v>
      </c>
    </row>
    <row r="43" spans="1:31">
      <c r="A43" s="1711"/>
      <c r="B43" s="116">
        <v>19</v>
      </c>
      <c r="C43" s="294">
        <f t="shared" si="22"/>
        <v>10407.443689743324</v>
      </c>
      <c r="D43" s="295">
        <f t="shared" si="21"/>
        <v>10407.443689743324</v>
      </c>
      <c r="E43" s="295">
        <f t="shared" si="21"/>
        <v>10407.443689743324</v>
      </c>
      <c r="F43" s="295">
        <f t="shared" si="21"/>
        <v>10407.443689743324</v>
      </c>
      <c r="G43" s="295">
        <f t="shared" si="21"/>
        <v>10407.443689743324</v>
      </c>
      <c r="H43" s="295">
        <f t="shared" si="21"/>
        <v>10407.443689743324</v>
      </c>
      <c r="I43" s="295">
        <f t="shared" si="21"/>
        <v>10407.443689743324</v>
      </c>
      <c r="J43" s="295">
        <f t="shared" si="21"/>
        <v>10407.443689743324</v>
      </c>
      <c r="K43" s="295">
        <f t="shared" si="21"/>
        <v>10407.443689743324</v>
      </c>
      <c r="L43" s="295">
        <f t="shared" si="21"/>
        <v>10407.443689743324</v>
      </c>
      <c r="M43" s="295">
        <f t="shared" si="21"/>
        <v>10407.443689743324</v>
      </c>
      <c r="N43" s="295">
        <f t="shared" si="21"/>
        <v>10407.443689743324</v>
      </c>
      <c r="O43" s="295">
        <f t="shared" si="21"/>
        <v>10407.443689743324</v>
      </c>
      <c r="P43" s="295">
        <f t="shared" si="21"/>
        <v>10407.443689743324</v>
      </c>
      <c r="Q43" s="295">
        <f t="shared" si="21"/>
        <v>10407.443689743324</v>
      </c>
      <c r="R43" s="295">
        <f t="shared" si="21"/>
        <v>10407.443689743324</v>
      </c>
      <c r="S43" s="295">
        <f t="shared" si="21"/>
        <v>10407.443689743324</v>
      </c>
      <c r="T43" s="295">
        <f t="shared" si="20"/>
        <v>10407.443689743324</v>
      </c>
      <c r="U43" s="295">
        <f t="shared" si="20"/>
        <v>10407.443689743324</v>
      </c>
      <c r="V43" s="295">
        <f t="shared" si="20"/>
        <v>10407.443689743324</v>
      </c>
      <c r="W43" s="295">
        <f t="shared" si="20"/>
        <v>10407.443689743324</v>
      </c>
      <c r="X43" s="295">
        <f t="shared" si="20"/>
        <v>10407.443689743324</v>
      </c>
      <c r="Y43" s="295">
        <f t="shared" si="20"/>
        <v>10407.443689743324</v>
      </c>
      <c r="Z43" s="295">
        <f t="shared" si="20"/>
        <v>10407.443689743324</v>
      </c>
      <c r="AA43" s="295">
        <f t="shared" si="20"/>
        <v>10407.443689743324</v>
      </c>
      <c r="AB43" s="295">
        <f t="shared" si="20"/>
        <v>10407.443689743324</v>
      </c>
      <c r="AC43" s="295">
        <f t="shared" si="20"/>
        <v>10407.443689743324</v>
      </c>
      <c r="AD43" s="295">
        <f t="shared" si="20"/>
        <v>10407.443689743324</v>
      </c>
      <c r="AE43" s="296">
        <f t="shared" si="20"/>
        <v>10407.443689743324</v>
      </c>
    </row>
    <row r="44" spans="1:31">
      <c r="A44" s="1711"/>
      <c r="B44" s="116">
        <v>20</v>
      </c>
      <c r="C44" s="294">
        <f t="shared" si="22"/>
        <v>10407.443689743324</v>
      </c>
      <c r="D44" s="295">
        <f t="shared" si="21"/>
        <v>10407.443689743324</v>
      </c>
      <c r="E44" s="295">
        <f t="shared" si="21"/>
        <v>10407.443689743324</v>
      </c>
      <c r="F44" s="295">
        <f t="shared" si="21"/>
        <v>10407.443689743324</v>
      </c>
      <c r="G44" s="295">
        <f t="shared" si="21"/>
        <v>10407.443689743324</v>
      </c>
      <c r="H44" s="295">
        <f t="shared" si="21"/>
        <v>10407.443689743324</v>
      </c>
      <c r="I44" s="295">
        <f t="shared" si="21"/>
        <v>10407.443689743324</v>
      </c>
      <c r="J44" s="295">
        <f t="shared" si="21"/>
        <v>10407.443689743324</v>
      </c>
      <c r="K44" s="295">
        <f t="shared" si="21"/>
        <v>10407.443689743324</v>
      </c>
      <c r="L44" s="295">
        <f t="shared" si="21"/>
        <v>10407.443689743324</v>
      </c>
      <c r="M44" s="295">
        <f t="shared" si="21"/>
        <v>10407.443689743324</v>
      </c>
      <c r="N44" s="295">
        <f t="shared" si="21"/>
        <v>10407.443689743324</v>
      </c>
      <c r="O44" s="295">
        <f t="shared" si="21"/>
        <v>10407.443689743324</v>
      </c>
      <c r="P44" s="295">
        <f t="shared" si="21"/>
        <v>10407.443689743324</v>
      </c>
      <c r="Q44" s="295">
        <f t="shared" si="21"/>
        <v>10407.443689743324</v>
      </c>
      <c r="R44" s="295">
        <f t="shared" si="21"/>
        <v>10407.443689743324</v>
      </c>
      <c r="S44" s="295">
        <f t="shared" si="21"/>
        <v>10407.443689743324</v>
      </c>
      <c r="T44" s="295">
        <f t="shared" si="20"/>
        <v>10407.443689743324</v>
      </c>
      <c r="U44" s="295">
        <f t="shared" si="20"/>
        <v>10407.443689743324</v>
      </c>
      <c r="V44" s="295">
        <f t="shared" si="20"/>
        <v>10407.443689743324</v>
      </c>
      <c r="W44" s="295">
        <f t="shared" si="20"/>
        <v>10407.443689743324</v>
      </c>
      <c r="X44" s="295">
        <f t="shared" si="20"/>
        <v>10407.443689743324</v>
      </c>
      <c r="Y44" s="295">
        <f t="shared" si="20"/>
        <v>10407.443689743324</v>
      </c>
      <c r="Z44" s="295">
        <f t="shared" si="20"/>
        <v>10407.443689743324</v>
      </c>
      <c r="AA44" s="295">
        <f t="shared" si="20"/>
        <v>10407.443689743324</v>
      </c>
      <c r="AB44" s="295">
        <f t="shared" si="20"/>
        <v>10407.443689743324</v>
      </c>
      <c r="AC44" s="295">
        <f t="shared" si="20"/>
        <v>10407.443689743324</v>
      </c>
      <c r="AD44" s="295">
        <f t="shared" si="20"/>
        <v>10407.443689743324</v>
      </c>
      <c r="AE44" s="296">
        <f t="shared" si="20"/>
        <v>10407.443689743324</v>
      </c>
    </row>
    <row r="45" spans="1:31">
      <c r="A45" s="1711"/>
      <c r="B45" s="116">
        <v>21</v>
      </c>
      <c r="C45" s="294">
        <f t="shared" si="22"/>
        <v>10407.443689743324</v>
      </c>
      <c r="D45" s="295">
        <f t="shared" si="21"/>
        <v>10407.443689743324</v>
      </c>
      <c r="E45" s="295">
        <f t="shared" si="21"/>
        <v>10407.443689743324</v>
      </c>
      <c r="F45" s="295">
        <f t="shared" si="21"/>
        <v>10407.443689743324</v>
      </c>
      <c r="G45" s="295">
        <f t="shared" si="21"/>
        <v>10407.443689743324</v>
      </c>
      <c r="H45" s="295">
        <f t="shared" si="21"/>
        <v>10407.443689743324</v>
      </c>
      <c r="I45" s="295">
        <f t="shared" si="21"/>
        <v>10407.443689743324</v>
      </c>
      <c r="J45" s="295">
        <f t="shared" si="21"/>
        <v>10407.443689743324</v>
      </c>
      <c r="K45" s="295">
        <f t="shared" si="21"/>
        <v>10407.443689743324</v>
      </c>
      <c r="L45" s="295">
        <f t="shared" si="21"/>
        <v>10407.443689743324</v>
      </c>
      <c r="M45" s="295">
        <f t="shared" si="21"/>
        <v>10407.443689743324</v>
      </c>
      <c r="N45" s="295">
        <f t="shared" si="21"/>
        <v>10407.443689743324</v>
      </c>
      <c r="O45" s="295">
        <f t="shared" si="21"/>
        <v>10407.443689743324</v>
      </c>
      <c r="P45" s="295">
        <f t="shared" si="21"/>
        <v>10407.443689743324</v>
      </c>
      <c r="Q45" s="295">
        <f t="shared" si="21"/>
        <v>10407.443689743324</v>
      </c>
      <c r="R45" s="295">
        <f t="shared" si="21"/>
        <v>10407.443689743324</v>
      </c>
      <c r="S45" s="295">
        <f t="shared" si="21"/>
        <v>10407.443689743324</v>
      </c>
      <c r="T45" s="295">
        <f t="shared" si="20"/>
        <v>10407.443689743324</v>
      </c>
      <c r="U45" s="295">
        <f t="shared" si="20"/>
        <v>10407.443689743324</v>
      </c>
      <c r="V45" s="295">
        <f t="shared" si="20"/>
        <v>10407.443689743324</v>
      </c>
      <c r="W45" s="295">
        <f t="shared" si="20"/>
        <v>10407.443689743324</v>
      </c>
      <c r="X45" s="295">
        <f t="shared" si="20"/>
        <v>10407.443689743324</v>
      </c>
      <c r="Y45" s="295">
        <f t="shared" si="20"/>
        <v>10407.443689743324</v>
      </c>
      <c r="Z45" s="295">
        <f t="shared" si="20"/>
        <v>10407.443689743324</v>
      </c>
      <c r="AA45" s="295">
        <f t="shared" si="20"/>
        <v>10407.443689743324</v>
      </c>
      <c r="AB45" s="295">
        <f t="shared" si="20"/>
        <v>10407.443689743324</v>
      </c>
      <c r="AC45" s="295">
        <f t="shared" si="20"/>
        <v>10407.443689743324</v>
      </c>
      <c r="AD45" s="295">
        <f t="shared" si="20"/>
        <v>10407.443689743324</v>
      </c>
      <c r="AE45" s="296">
        <f t="shared" si="20"/>
        <v>10407.443689743324</v>
      </c>
    </row>
    <row r="46" spans="1:31">
      <c r="A46" s="1711"/>
      <c r="B46" s="116">
        <v>22</v>
      </c>
      <c r="C46" s="294">
        <f t="shared" si="22"/>
        <v>10407.443689743324</v>
      </c>
      <c r="D46" s="295">
        <f t="shared" si="21"/>
        <v>10407.443689743324</v>
      </c>
      <c r="E46" s="295">
        <f t="shared" si="21"/>
        <v>10407.443689743324</v>
      </c>
      <c r="F46" s="295">
        <f t="shared" si="21"/>
        <v>10407.443689743324</v>
      </c>
      <c r="G46" s="295">
        <f t="shared" si="21"/>
        <v>10407.443689743324</v>
      </c>
      <c r="H46" s="295">
        <f t="shared" si="21"/>
        <v>10407.443689743324</v>
      </c>
      <c r="I46" s="295">
        <f t="shared" si="21"/>
        <v>10407.443689743324</v>
      </c>
      <c r="J46" s="295">
        <f t="shared" si="21"/>
        <v>10407.443689743324</v>
      </c>
      <c r="K46" s="295">
        <f t="shared" si="21"/>
        <v>10407.443689743324</v>
      </c>
      <c r="L46" s="295">
        <f t="shared" si="21"/>
        <v>10407.443689743324</v>
      </c>
      <c r="M46" s="295">
        <f t="shared" si="21"/>
        <v>10407.443689743324</v>
      </c>
      <c r="N46" s="295">
        <f t="shared" si="21"/>
        <v>10407.443689743324</v>
      </c>
      <c r="O46" s="295">
        <f t="shared" si="21"/>
        <v>10407.443689743324</v>
      </c>
      <c r="P46" s="295">
        <f t="shared" si="21"/>
        <v>10407.443689743324</v>
      </c>
      <c r="Q46" s="295">
        <f t="shared" si="21"/>
        <v>10407.443689743324</v>
      </c>
      <c r="R46" s="295">
        <f t="shared" si="21"/>
        <v>10407.443689743324</v>
      </c>
      <c r="S46" s="295">
        <f t="shared" si="21"/>
        <v>10407.443689743324</v>
      </c>
      <c r="T46" s="295">
        <f t="shared" si="20"/>
        <v>10407.443689743324</v>
      </c>
      <c r="U46" s="295">
        <f t="shared" si="20"/>
        <v>10407.443689743324</v>
      </c>
      <c r="V46" s="295">
        <f t="shared" si="20"/>
        <v>10407.443689743324</v>
      </c>
      <c r="W46" s="295">
        <f t="shared" si="20"/>
        <v>10407.443689743324</v>
      </c>
      <c r="X46" s="295">
        <f t="shared" si="20"/>
        <v>10407.443689743324</v>
      </c>
      <c r="Y46" s="295">
        <f t="shared" si="20"/>
        <v>10407.443689743324</v>
      </c>
      <c r="Z46" s="295">
        <f t="shared" si="20"/>
        <v>10407.443689743324</v>
      </c>
      <c r="AA46" s="295">
        <f t="shared" si="20"/>
        <v>10407.443689743324</v>
      </c>
      <c r="AB46" s="295">
        <f t="shared" si="20"/>
        <v>10407.443689743324</v>
      </c>
      <c r="AC46" s="295">
        <f t="shared" si="20"/>
        <v>10407.443689743324</v>
      </c>
      <c r="AD46" s="295">
        <f t="shared" si="20"/>
        <v>10407.443689743324</v>
      </c>
      <c r="AE46" s="296">
        <f t="shared" si="20"/>
        <v>10407.443689743324</v>
      </c>
    </row>
    <row r="47" spans="1:31">
      <c r="A47" s="1711"/>
      <c r="B47" s="116">
        <v>23</v>
      </c>
      <c r="C47" s="294">
        <f t="shared" si="22"/>
        <v>10407.443689743324</v>
      </c>
      <c r="D47" s="295">
        <f t="shared" si="21"/>
        <v>10407.443689743324</v>
      </c>
      <c r="E47" s="295">
        <f t="shared" si="21"/>
        <v>10407.443689743324</v>
      </c>
      <c r="F47" s="295">
        <f t="shared" si="21"/>
        <v>10407.443689743324</v>
      </c>
      <c r="G47" s="295">
        <f t="shared" si="21"/>
        <v>10407.443689743324</v>
      </c>
      <c r="H47" s="295">
        <f t="shared" si="21"/>
        <v>10407.443689743324</v>
      </c>
      <c r="I47" s="295">
        <f t="shared" si="21"/>
        <v>10407.443689743324</v>
      </c>
      <c r="J47" s="295">
        <f t="shared" si="21"/>
        <v>10407.443689743324</v>
      </c>
      <c r="K47" s="295">
        <f t="shared" si="21"/>
        <v>10407.443689743324</v>
      </c>
      <c r="L47" s="295">
        <f t="shared" si="21"/>
        <v>10407.443689743324</v>
      </c>
      <c r="M47" s="295">
        <f t="shared" si="21"/>
        <v>10407.443689743324</v>
      </c>
      <c r="N47" s="295">
        <f t="shared" si="21"/>
        <v>10407.443689743324</v>
      </c>
      <c r="O47" s="295">
        <f t="shared" si="21"/>
        <v>10407.443689743324</v>
      </c>
      <c r="P47" s="295">
        <f t="shared" si="21"/>
        <v>10407.443689743324</v>
      </c>
      <c r="Q47" s="295">
        <f t="shared" si="21"/>
        <v>10407.443689743324</v>
      </c>
      <c r="R47" s="295">
        <f t="shared" si="21"/>
        <v>10407.443689743324</v>
      </c>
      <c r="S47" s="295">
        <f t="shared" si="21"/>
        <v>10407.443689743324</v>
      </c>
      <c r="T47" s="295">
        <f t="shared" si="20"/>
        <v>10407.443689743324</v>
      </c>
      <c r="U47" s="295">
        <f t="shared" si="20"/>
        <v>10407.443689743324</v>
      </c>
      <c r="V47" s="295">
        <f t="shared" si="20"/>
        <v>10407.443689743324</v>
      </c>
      <c r="W47" s="295">
        <f t="shared" si="20"/>
        <v>10407.443689743324</v>
      </c>
      <c r="X47" s="295">
        <f t="shared" si="20"/>
        <v>10407.443689743324</v>
      </c>
      <c r="Y47" s="295">
        <f t="shared" si="20"/>
        <v>10407.443689743324</v>
      </c>
      <c r="Z47" s="295">
        <f t="shared" si="20"/>
        <v>10407.443689743324</v>
      </c>
      <c r="AA47" s="295">
        <f t="shared" si="20"/>
        <v>10407.443689743324</v>
      </c>
      <c r="AB47" s="295">
        <f t="shared" si="20"/>
        <v>10407.443689743324</v>
      </c>
      <c r="AC47" s="295">
        <f t="shared" si="20"/>
        <v>10407.443689743324</v>
      </c>
      <c r="AD47" s="295">
        <f t="shared" si="20"/>
        <v>10407.443689743324</v>
      </c>
      <c r="AE47" s="296">
        <f t="shared" si="20"/>
        <v>10407.443689743324</v>
      </c>
    </row>
    <row r="48" spans="1:31">
      <c r="A48" s="1711"/>
      <c r="B48" s="116">
        <v>24</v>
      </c>
      <c r="C48" s="294">
        <f t="shared" si="22"/>
        <v>10407.443689743324</v>
      </c>
      <c r="D48" s="295">
        <f t="shared" si="21"/>
        <v>10407.443689743324</v>
      </c>
      <c r="E48" s="295">
        <f t="shared" si="21"/>
        <v>10407.443689743324</v>
      </c>
      <c r="F48" s="295">
        <f t="shared" si="21"/>
        <v>10407.443689743324</v>
      </c>
      <c r="G48" s="295">
        <f t="shared" si="21"/>
        <v>10407.443689743324</v>
      </c>
      <c r="H48" s="295">
        <f t="shared" si="21"/>
        <v>10407.443689743324</v>
      </c>
      <c r="I48" s="295">
        <f t="shared" si="21"/>
        <v>10407.443689743324</v>
      </c>
      <c r="J48" s="295">
        <f t="shared" si="21"/>
        <v>10407.443689743324</v>
      </c>
      <c r="K48" s="295">
        <f t="shared" si="21"/>
        <v>10407.443689743324</v>
      </c>
      <c r="L48" s="295">
        <f t="shared" si="21"/>
        <v>10407.443689743324</v>
      </c>
      <c r="M48" s="295">
        <f t="shared" si="21"/>
        <v>10407.443689743324</v>
      </c>
      <c r="N48" s="295">
        <f t="shared" si="21"/>
        <v>10407.443689743324</v>
      </c>
      <c r="O48" s="295">
        <f t="shared" si="21"/>
        <v>10407.443689743324</v>
      </c>
      <c r="P48" s="295">
        <f t="shared" si="21"/>
        <v>10407.443689743324</v>
      </c>
      <c r="Q48" s="295">
        <f t="shared" si="21"/>
        <v>10407.443689743324</v>
      </c>
      <c r="R48" s="295">
        <f t="shared" si="21"/>
        <v>10407.443689743324</v>
      </c>
      <c r="S48" s="295">
        <f t="shared" si="21"/>
        <v>10407.443689743324</v>
      </c>
      <c r="T48" s="295">
        <f t="shared" si="20"/>
        <v>10407.443689743324</v>
      </c>
      <c r="U48" s="295">
        <f t="shared" si="20"/>
        <v>10407.443689743324</v>
      </c>
      <c r="V48" s="295">
        <f t="shared" si="20"/>
        <v>10407.443689743324</v>
      </c>
      <c r="W48" s="295">
        <f t="shared" si="20"/>
        <v>10407.443689743324</v>
      </c>
      <c r="X48" s="295">
        <f t="shared" si="20"/>
        <v>10407.443689743324</v>
      </c>
      <c r="Y48" s="295">
        <f t="shared" si="20"/>
        <v>10407.443689743324</v>
      </c>
      <c r="Z48" s="295">
        <f t="shared" si="20"/>
        <v>10407.443689743324</v>
      </c>
      <c r="AA48" s="295">
        <f t="shared" si="20"/>
        <v>10407.443689743324</v>
      </c>
      <c r="AB48" s="295">
        <f t="shared" si="20"/>
        <v>10407.443689743324</v>
      </c>
      <c r="AC48" s="295">
        <f t="shared" si="20"/>
        <v>10407.443689743324</v>
      </c>
      <c r="AD48" s="295">
        <f t="shared" si="20"/>
        <v>10407.443689743324</v>
      </c>
      <c r="AE48" s="296">
        <f t="shared" si="20"/>
        <v>10407.443689743324</v>
      </c>
    </row>
    <row r="49" spans="1:31" ht="15.75" thickBot="1">
      <c r="A49" s="1711"/>
      <c r="B49" s="116">
        <v>25</v>
      </c>
      <c r="C49" s="297">
        <f t="shared" si="22"/>
        <v>10407.443689743324</v>
      </c>
      <c r="D49" s="298">
        <f t="shared" si="21"/>
        <v>10407.443689743324</v>
      </c>
      <c r="E49" s="298">
        <f t="shared" si="21"/>
        <v>10407.443689743324</v>
      </c>
      <c r="F49" s="298">
        <f t="shared" si="21"/>
        <v>10407.443689743324</v>
      </c>
      <c r="G49" s="298">
        <f t="shared" si="21"/>
        <v>10407.443689743324</v>
      </c>
      <c r="H49" s="298">
        <f t="shared" si="21"/>
        <v>10407.443689743324</v>
      </c>
      <c r="I49" s="298">
        <f t="shared" si="21"/>
        <v>10407.443689743324</v>
      </c>
      <c r="J49" s="298">
        <f t="shared" si="21"/>
        <v>10407.443689743324</v>
      </c>
      <c r="K49" s="298">
        <f t="shared" si="21"/>
        <v>10407.443689743324</v>
      </c>
      <c r="L49" s="298">
        <f t="shared" si="21"/>
        <v>10407.443689743324</v>
      </c>
      <c r="M49" s="298">
        <f t="shared" si="21"/>
        <v>10407.443689743324</v>
      </c>
      <c r="N49" s="298">
        <f t="shared" si="21"/>
        <v>10407.443689743324</v>
      </c>
      <c r="O49" s="298">
        <f t="shared" si="21"/>
        <v>10407.443689743324</v>
      </c>
      <c r="P49" s="298">
        <f t="shared" si="21"/>
        <v>10407.443689743324</v>
      </c>
      <c r="Q49" s="298">
        <f t="shared" si="21"/>
        <v>10407.443689743324</v>
      </c>
      <c r="R49" s="298">
        <f t="shared" si="21"/>
        <v>10407.443689743324</v>
      </c>
      <c r="S49" s="298">
        <f t="shared" si="21"/>
        <v>10407.443689743324</v>
      </c>
      <c r="T49" s="298">
        <f t="shared" si="20"/>
        <v>10407.443689743324</v>
      </c>
      <c r="U49" s="298">
        <f t="shared" si="20"/>
        <v>10407.443689743324</v>
      </c>
      <c r="V49" s="298">
        <f t="shared" si="20"/>
        <v>10407.443689743324</v>
      </c>
      <c r="W49" s="298">
        <f t="shared" si="20"/>
        <v>10407.443689743324</v>
      </c>
      <c r="X49" s="298">
        <f t="shared" si="20"/>
        <v>10407.443689743324</v>
      </c>
      <c r="Y49" s="298">
        <f t="shared" si="20"/>
        <v>10407.443689743324</v>
      </c>
      <c r="Z49" s="298">
        <f t="shared" si="20"/>
        <v>10407.443689743324</v>
      </c>
      <c r="AA49" s="298">
        <f t="shared" si="20"/>
        <v>10407.443689743324</v>
      </c>
      <c r="AB49" s="298">
        <f t="shared" si="20"/>
        <v>10407.443689743324</v>
      </c>
      <c r="AC49" s="298">
        <f t="shared" si="20"/>
        <v>10407.443689743324</v>
      </c>
      <c r="AD49" s="298">
        <f t="shared" si="20"/>
        <v>10407.443689743324</v>
      </c>
      <c r="AE49" s="299">
        <f t="shared" si="20"/>
        <v>10407.443689743324</v>
      </c>
    </row>
    <row r="50" spans="1:31" ht="16.5" thickTop="1" thickBot="1">
      <c r="A50" s="1712"/>
      <c r="B50" s="300" t="s">
        <v>39</v>
      </c>
      <c r="C50" s="461">
        <f>IF('CAR Stock'!C79=0,0,SUMPRODUCT(C24:C49,'CAR Stock'!C53:C78)/'CAR Stock'!C79)</f>
        <v>11919.858370432377</v>
      </c>
      <c r="D50" s="461">
        <f>IF('CAR Stock'!D79=0,0,SUMPRODUCT(D24:D49,'CAR Stock'!D53:D78)/'CAR Stock'!D79)</f>
        <v>11950.783772560646</v>
      </c>
      <c r="E50" s="461">
        <f>IF('CAR Stock'!E79=0,0,SUMPRODUCT(E24:E49,'CAR Stock'!E53:E78)/'CAR Stock'!E79)</f>
        <v>11963.109467589578</v>
      </c>
      <c r="F50" s="461">
        <f>IF('CAR Stock'!F79=0,0,SUMPRODUCT(F24:F49,'CAR Stock'!F53:F78)/'CAR Stock'!F79)</f>
        <v>11949.046405304705</v>
      </c>
      <c r="G50" s="461">
        <f>IF('CAR Stock'!G79=0,0,SUMPRODUCT(G24:G49,'CAR Stock'!G53:G78)/'CAR Stock'!G79)</f>
        <v>11899.282775338499</v>
      </c>
      <c r="H50" s="461">
        <f>IF('CAR Stock'!H79=0,0,SUMPRODUCT(H24:H49,'CAR Stock'!H53:H78)/'CAR Stock'!H79)</f>
        <v>11825.043605899642</v>
      </c>
      <c r="I50" s="461">
        <f>IF('CAR Stock'!I79=0,0,SUMPRODUCT(I24:I49,'CAR Stock'!I53:I78)/'CAR Stock'!I79)</f>
        <v>11741.868119075838</v>
      </c>
      <c r="J50" s="461">
        <f>IF('CAR Stock'!J79=0,0,SUMPRODUCT(J24:J49,'CAR Stock'!J53:J78)/'CAR Stock'!J79)</f>
        <v>11659.994461482434</v>
      </c>
      <c r="K50" s="461">
        <f>IF('CAR Stock'!K79=0,0,SUMPRODUCT(K24:K49,'CAR Stock'!K53:K78)/'CAR Stock'!K79)</f>
        <v>11580.358596465972</v>
      </c>
      <c r="L50" s="461">
        <f>IF('CAR Stock'!L79=0,0,SUMPRODUCT(L24:L49,'CAR Stock'!L53:L78)/'CAR Stock'!L79)</f>
        <v>11493.463782195708</v>
      </c>
      <c r="M50" s="461">
        <f>IF('CAR Stock'!M79=0,0,SUMPRODUCT(M24:M49,'CAR Stock'!M53:M78)/'CAR Stock'!M79)</f>
        <v>11384.361088875541</v>
      </c>
      <c r="N50" s="461">
        <f>IF('CAR Stock'!N79=0,0,SUMPRODUCT(N24:N49,'CAR Stock'!N53:N78)/'CAR Stock'!N79)</f>
        <v>11249.346065652095</v>
      </c>
      <c r="O50" s="461">
        <f>IF('CAR Stock'!O79=0,0,SUMPRODUCT(O24:O49,'CAR Stock'!O53:O78)/'CAR Stock'!O79)</f>
        <v>11091.621183922849</v>
      </c>
      <c r="P50" s="461">
        <f>IF('CAR Stock'!P79=0,0,SUMPRODUCT(P24:P49,'CAR Stock'!P53:P78)/'CAR Stock'!P79)</f>
        <v>10921.366407246273</v>
      </c>
      <c r="Q50" s="461">
        <f>IF('CAR Stock'!Q79=0,0,SUMPRODUCT(Q24:Q49,'CAR Stock'!Q53:Q78)/'CAR Stock'!Q79)</f>
        <v>10738.965289720176</v>
      </c>
      <c r="R50" s="461">
        <f>IF('CAR Stock'!R79=0,0,SUMPRODUCT(R24:R49,'CAR Stock'!R53:R78)/'CAR Stock'!R79)</f>
        <v>10552.793304766128</v>
      </c>
      <c r="S50" s="461">
        <f>IF('CAR Stock'!S79=0,0,SUMPRODUCT(S24:S49,'CAR Stock'!S53:S78)/'CAR Stock'!S79)</f>
        <v>10407.443689743324</v>
      </c>
      <c r="T50" s="461">
        <f>IF('CAR Stock'!T79=0,0,SUMPRODUCT(T24:T49,'CAR Stock'!T53:T78)/'CAR Stock'!T79)</f>
        <v>10407.443689743326</v>
      </c>
      <c r="U50" s="461">
        <f>IF('CAR Stock'!U79=0,0,SUMPRODUCT(U24:U49,'CAR Stock'!U53:U78)/'CAR Stock'!U79)</f>
        <v>10407.443689743324</v>
      </c>
      <c r="V50" s="461">
        <f>IF('CAR Stock'!V79=0,0,SUMPRODUCT(V24:V49,'CAR Stock'!V53:V78)/'CAR Stock'!V79)</f>
        <v>10407.443689743324</v>
      </c>
      <c r="W50" s="461">
        <f>IF('CAR Stock'!W79=0,0,SUMPRODUCT(W24:W49,'CAR Stock'!W53:W78)/'CAR Stock'!W79)</f>
        <v>10407.443689743326</v>
      </c>
      <c r="X50" s="461">
        <f>IF('CAR Stock'!X79=0,0,SUMPRODUCT(X24:X49,'CAR Stock'!X53:X78)/'CAR Stock'!X79)</f>
        <v>10407.443689743322</v>
      </c>
      <c r="Y50" s="461">
        <f>IF('CAR Stock'!Y79=0,0,SUMPRODUCT(Y24:Y49,'CAR Stock'!Y53:Y78)/'CAR Stock'!Y79)</f>
        <v>10407.443689743324</v>
      </c>
      <c r="Z50" s="461">
        <f>IF('CAR Stock'!Z79=0,0,SUMPRODUCT(Z24:Z49,'CAR Stock'!Z53:Z78)/'CAR Stock'!Z79)</f>
        <v>10407.443689743324</v>
      </c>
      <c r="AA50" s="461">
        <f>IF('CAR Stock'!AA79=0,0,SUMPRODUCT(AA24:AA49,'CAR Stock'!AA53:AA78)/'CAR Stock'!AA79)</f>
        <v>10407.443689743324</v>
      </c>
      <c r="AB50" s="461">
        <f>IF('CAR Stock'!AB79=0,0,SUMPRODUCT(AB24:AB49,'CAR Stock'!AB53:AB78)/'CAR Stock'!AB79)</f>
        <v>0</v>
      </c>
      <c r="AC50" s="461">
        <f>IF('CAR Stock'!AC79=0,0,SUMPRODUCT(AC24:AC49,'CAR Stock'!AC53:AC78)/'CAR Stock'!AC79)</f>
        <v>0</v>
      </c>
      <c r="AD50" s="461">
        <f>IF('CAR Stock'!AD79=0,0,SUMPRODUCT(AD24:AD49,'CAR Stock'!AD53:AD78)/'CAR Stock'!AD79)</f>
        <v>0</v>
      </c>
      <c r="AE50" s="462">
        <f>IF('CAR Stock'!AE79=0,0,SUMPRODUCT(AE24:AE49,'CAR Stock'!AE53:AE78)/'CAR Stock'!AE79)</f>
        <v>0</v>
      </c>
    </row>
    <row r="51" spans="1:31" ht="15.75" thickBot="1"/>
    <row r="52" spans="1:31" ht="15.75" thickBot="1">
      <c r="A52" s="1710" t="s">
        <v>42</v>
      </c>
      <c r="B52" s="169" t="s">
        <v>10</v>
      </c>
      <c r="C52" s="288">
        <v>2012</v>
      </c>
      <c r="D52" s="289">
        <v>2013</v>
      </c>
      <c r="E52" s="289">
        <v>2014</v>
      </c>
      <c r="F52" s="289">
        <v>2015</v>
      </c>
      <c r="G52" s="288">
        <v>2016</v>
      </c>
      <c r="H52" s="289">
        <v>2017</v>
      </c>
      <c r="I52" s="289">
        <v>2018</v>
      </c>
      <c r="J52" s="289">
        <v>2019</v>
      </c>
      <c r="K52" s="288">
        <v>2020</v>
      </c>
      <c r="L52" s="289">
        <v>2021</v>
      </c>
      <c r="M52" s="289">
        <v>2022</v>
      </c>
      <c r="N52" s="289">
        <v>2023</v>
      </c>
      <c r="O52" s="288">
        <v>2024</v>
      </c>
      <c r="P52" s="289">
        <v>2025</v>
      </c>
      <c r="Q52" s="289">
        <v>2026</v>
      </c>
      <c r="R52" s="289">
        <v>2027</v>
      </c>
      <c r="S52" s="288">
        <v>2028</v>
      </c>
      <c r="T52" s="289">
        <v>2029</v>
      </c>
      <c r="U52" s="289">
        <v>2030</v>
      </c>
      <c r="V52" s="289">
        <v>2031</v>
      </c>
      <c r="W52" s="288">
        <v>2032</v>
      </c>
      <c r="X52" s="289">
        <v>2033</v>
      </c>
      <c r="Y52" s="289">
        <v>2034</v>
      </c>
      <c r="Z52" s="289">
        <v>2035</v>
      </c>
      <c r="AA52" s="288">
        <v>2036</v>
      </c>
      <c r="AB52" s="289">
        <v>2037</v>
      </c>
      <c r="AC52" s="289">
        <v>2038</v>
      </c>
      <c r="AD52" s="289">
        <v>2039</v>
      </c>
      <c r="AE52" s="290">
        <v>2040</v>
      </c>
    </row>
    <row r="53" spans="1:31">
      <c r="A53" s="1711"/>
      <c r="B53" s="116">
        <v>0</v>
      </c>
      <c r="C53" s="291">
        <f>'CAR Mileage'!C4</f>
        <v>17173.468220293704</v>
      </c>
      <c r="D53" s="292">
        <f>C53</f>
        <v>17173.468220293704</v>
      </c>
      <c r="E53" s="292">
        <f t="shared" ref="E53:T53" si="23">D53</f>
        <v>17173.468220293704</v>
      </c>
      <c r="F53" s="292">
        <f t="shared" si="23"/>
        <v>17173.468220293704</v>
      </c>
      <c r="G53" s="292">
        <f t="shared" si="23"/>
        <v>17173.468220293704</v>
      </c>
      <c r="H53" s="292">
        <f t="shared" si="23"/>
        <v>17173.468220293704</v>
      </c>
      <c r="I53" s="292">
        <f t="shared" si="23"/>
        <v>17173.468220293704</v>
      </c>
      <c r="J53" s="292">
        <f t="shared" si="23"/>
        <v>17173.468220293704</v>
      </c>
      <c r="K53" s="292">
        <f t="shared" si="23"/>
        <v>17173.468220293704</v>
      </c>
      <c r="L53" s="292">
        <f t="shared" si="23"/>
        <v>17173.468220293704</v>
      </c>
      <c r="M53" s="292">
        <f t="shared" si="23"/>
        <v>17173.468220293704</v>
      </c>
      <c r="N53" s="292">
        <f t="shared" si="23"/>
        <v>17173.468220293704</v>
      </c>
      <c r="O53" s="292">
        <f t="shared" si="23"/>
        <v>17173.468220293704</v>
      </c>
      <c r="P53" s="292">
        <f t="shared" si="23"/>
        <v>17173.468220293704</v>
      </c>
      <c r="Q53" s="292">
        <f t="shared" si="23"/>
        <v>17173.468220293704</v>
      </c>
      <c r="R53" s="292">
        <f t="shared" si="23"/>
        <v>17173.468220293704</v>
      </c>
      <c r="S53" s="292">
        <f t="shared" si="23"/>
        <v>17173.468220293704</v>
      </c>
      <c r="T53" s="292">
        <f t="shared" si="23"/>
        <v>17173.468220293704</v>
      </c>
      <c r="U53" s="292">
        <f t="shared" ref="T53:AE68" si="24">T53</f>
        <v>17173.468220293704</v>
      </c>
      <c r="V53" s="292">
        <f t="shared" si="24"/>
        <v>17173.468220293704</v>
      </c>
      <c r="W53" s="292">
        <f t="shared" si="24"/>
        <v>17173.468220293704</v>
      </c>
      <c r="X53" s="292">
        <f t="shared" si="24"/>
        <v>17173.468220293704</v>
      </c>
      <c r="Y53" s="292">
        <f t="shared" si="24"/>
        <v>17173.468220293704</v>
      </c>
      <c r="Z53" s="292">
        <f t="shared" si="24"/>
        <v>17173.468220293704</v>
      </c>
      <c r="AA53" s="292">
        <f t="shared" si="24"/>
        <v>17173.468220293704</v>
      </c>
      <c r="AB53" s="292">
        <f t="shared" si="24"/>
        <v>17173.468220293704</v>
      </c>
      <c r="AC53" s="292">
        <f t="shared" si="24"/>
        <v>17173.468220293704</v>
      </c>
      <c r="AD53" s="292">
        <f t="shared" si="24"/>
        <v>17173.468220293704</v>
      </c>
      <c r="AE53" s="293">
        <f t="shared" si="24"/>
        <v>17173.468220293704</v>
      </c>
    </row>
    <row r="54" spans="1:31">
      <c r="A54" s="1711"/>
      <c r="B54" s="116">
        <v>1</v>
      </c>
      <c r="C54" s="294">
        <f>'CAR Mileage'!C5</f>
        <v>16829.998855887829</v>
      </c>
      <c r="D54" s="295">
        <f t="shared" ref="D54:S69" si="25">C54</f>
        <v>16829.998855887829</v>
      </c>
      <c r="E54" s="295">
        <f t="shared" si="25"/>
        <v>16829.998855887829</v>
      </c>
      <c r="F54" s="295">
        <f t="shared" si="25"/>
        <v>16829.998855887829</v>
      </c>
      <c r="G54" s="295">
        <f t="shared" si="25"/>
        <v>16829.998855887829</v>
      </c>
      <c r="H54" s="295">
        <f t="shared" si="25"/>
        <v>16829.998855887829</v>
      </c>
      <c r="I54" s="295">
        <f t="shared" si="25"/>
        <v>16829.998855887829</v>
      </c>
      <c r="J54" s="295">
        <f t="shared" si="25"/>
        <v>16829.998855887829</v>
      </c>
      <c r="K54" s="295">
        <f t="shared" si="25"/>
        <v>16829.998855887829</v>
      </c>
      <c r="L54" s="295">
        <f t="shared" si="25"/>
        <v>16829.998855887829</v>
      </c>
      <c r="M54" s="295">
        <f t="shared" si="25"/>
        <v>16829.998855887829</v>
      </c>
      <c r="N54" s="295">
        <f t="shared" si="25"/>
        <v>16829.998855887829</v>
      </c>
      <c r="O54" s="295">
        <f t="shared" si="25"/>
        <v>16829.998855887829</v>
      </c>
      <c r="P54" s="295">
        <f t="shared" si="25"/>
        <v>16829.998855887829</v>
      </c>
      <c r="Q54" s="295">
        <f t="shared" si="25"/>
        <v>16829.998855887829</v>
      </c>
      <c r="R54" s="295">
        <f t="shared" si="25"/>
        <v>16829.998855887829</v>
      </c>
      <c r="S54" s="295">
        <f t="shared" si="25"/>
        <v>16829.998855887829</v>
      </c>
      <c r="T54" s="295">
        <f t="shared" si="24"/>
        <v>16829.998855887829</v>
      </c>
      <c r="U54" s="295">
        <f t="shared" si="24"/>
        <v>16829.998855887829</v>
      </c>
      <c r="V54" s="295">
        <f t="shared" si="24"/>
        <v>16829.998855887829</v>
      </c>
      <c r="W54" s="295">
        <f t="shared" si="24"/>
        <v>16829.998855887829</v>
      </c>
      <c r="X54" s="295">
        <f t="shared" si="24"/>
        <v>16829.998855887829</v>
      </c>
      <c r="Y54" s="295">
        <f t="shared" si="24"/>
        <v>16829.998855887829</v>
      </c>
      <c r="Z54" s="295">
        <f t="shared" si="24"/>
        <v>16829.998855887829</v>
      </c>
      <c r="AA54" s="295">
        <f t="shared" si="24"/>
        <v>16829.998855887829</v>
      </c>
      <c r="AB54" s="295">
        <f t="shared" si="24"/>
        <v>16829.998855887829</v>
      </c>
      <c r="AC54" s="295">
        <f t="shared" si="24"/>
        <v>16829.998855887829</v>
      </c>
      <c r="AD54" s="295">
        <f t="shared" si="24"/>
        <v>16829.998855887829</v>
      </c>
      <c r="AE54" s="296">
        <f t="shared" si="24"/>
        <v>16829.998855887829</v>
      </c>
    </row>
    <row r="55" spans="1:31">
      <c r="A55" s="1711"/>
      <c r="B55" s="116">
        <v>2</v>
      </c>
      <c r="C55" s="294">
        <f>'CAR Mileage'!C6</f>
        <v>16493.398878770073</v>
      </c>
      <c r="D55" s="295">
        <f t="shared" si="25"/>
        <v>16493.398878770073</v>
      </c>
      <c r="E55" s="295">
        <f t="shared" si="25"/>
        <v>16493.398878770073</v>
      </c>
      <c r="F55" s="295">
        <f t="shared" si="25"/>
        <v>16493.398878770073</v>
      </c>
      <c r="G55" s="295">
        <f t="shared" si="25"/>
        <v>16493.398878770073</v>
      </c>
      <c r="H55" s="295">
        <f t="shared" si="25"/>
        <v>16493.398878770073</v>
      </c>
      <c r="I55" s="295">
        <f t="shared" si="25"/>
        <v>16493.398878770073</v>
      </c>
      <c r="J55" s="295">
        <f t="shared" si="25"/>
        <v>16493.398878770073</v>
      </c>
      <c r="K55" s="295">
        <f t="shared" si="25"/>
        <v>16493.398878770073</v>
      </c>
      <c r="L55" s="295">
        <f t="shared" si="25"/>
        <v>16493.398878770073</v>
      </c>
      <c r="M55" s="295">
        <f t="shared" si="25"/>
        <v>16493.398878770073</v>
      </c>
      <c r="N55" s="295">
        <f t="shared" si="25"/>
        <v>16493.398878770073</v>
      </c>
      <c r="O55" s="295">
        <f t="shared" si="25"/>
        <v>16493.398878770073</v>
      </c>
      <c r="P55" s="295">
        <f t="shared" si="25"/>
        <v>16493.398878770073</v>
      </c>
      <c r="Q55" s="295">
        <f t="shared" si="25"/>
        <v>16493.398878770073</v>
      </c>
      <c r="R55" s="295">
        <f t="shared" si="25"/>
        <v>16493.398878770073</v>
      </c>
      <c r="S55" s="295">
        <f t="shared" si="25"/>
        <v>16493.398878770073</v>
      </c>
      <c r="T55" s="295">
        <f t="shared" si="24"/>
        <v>16493.398878770073</v>
      </c>
      <c r="U55" s="295">
        <f t="shared" si="24"/>
        <v>16493.398878770073</v>
      </c>
      <c r="V55" s="295">
        <f t="shared" si="24"/>
        <v>16493.398878770073</v>
      </c>
      <c r="W55" s="295">
        <f t="shared" si="24"/>
        <v>16493.398878770073</v>
      </c>
      <c r="X55" s="295">
        <f t="shared" si="24"/>
        <v>16493.398878770073</v>
      </c>
      <c r="Y55" s="295">
        <f t="shared" si="24"/>
        <v>16493.398878770073</v>
      </c>
      <c r="Z55" s="295">
        <f t="shared" si="24"/>
        <v>16493.398878770073</v>
      </c>
      <c r="AA55" s="295">
        <f t="shared" si="24"/>
        <v>16493.398878770073</v>
      </c>
      <c r="AB55" s="295">
        <f t="shared" si="24"/>
        <v>16493.398878770073</v>
      </c>
      <c r="AC55" s="295">
        <f t="shared" si="24"/>
        <v>16493.398878770073</v>
      </c>
      <c r="AD55" s="295">
        <f t="shared" si="24"/>
        <v>16493.398878770073</v>
      </c>
      <c r="AE55" s="296">
        <f t="shared" si="24"/>
        <v>16493.398878770073</v>
      </c>
    </row>
    <row r="56" spans="1:31">
      <c r="A56" s="1711"/>
      <c r="B56" s="116">
        <v>3</v>
      </c>
      <c r="C56" s="294">
        <f>'CAR Mileage'!C7</f>
        <v>16163.53090119467</v>
      </c>
      <c r="D56" s="295">
        <f t="shared" si="25"/>
        <v>16163.53090119467</v>
      </c>
      <c r="E56" s="295">
        <f t="shared" si="25"/>
        <v>16163.53090119467</v>
      </c>
      <c r="F56" s="295">
        <f t="shared" si="25"/>
        <v>16163.53090119467</v>
      </c>
      <c r="G56" s="295">
        <f t="shared" si="25"/>
        <v>16163.53090119467</v>
      </c>
      <c r="H56" s="295">
        <f t="shared" si="25"/>
        <v>16163.53090119467</v>
      </c>
      <c r="I56" s="295">
        <f t="shared" si="25"/>
        <v>16163.53090119467</v>
      </c>
      <c r="J56" s="295">
        <f t="shared" si="25"/>
        <v>16163.53090119467</v>
      </c>
      <c r="K56" s="295">
        <f t="shared" si="25"/>
        <v>16163.53090119467</v>
      </c>
      <c r="L56" s="295">
        <f t="shared" si="25"/>
        <v>16163.53090119467</v>
      </c>
      <c r="M56" s="295">
        <f t="shared" si="25"/>
        <v>16163.53090119467</v>
      </c>
      <c r="N56" s="295">
        <f t="shared" si="25"/>
        <v>16163.53090119467</v>
      </c>
      <c r="O56" s="295">
        <f t="shared" si="25"/>
        <v>16163.53090119467</v>
      </c>
      <c r="P56" s="295">
        <f t="shared" si="25"/>
        <v>16163.53090119467</v>
      </c>
      <c r="Q56" s="295">
        <f t="shared" si="25"/>
        <v>16163.53090119467</v>
      </c>
      <c r="R56" s="295">
        <f t="shared" si="25"/>
        <v>16163.53090119467</v>
      </c>
      <c r="S56" s="295">
        <f t="shared" si="25"/>
        <v>16163.53090119467</v>
      </c>
      <c r="T56" s="295">
        <f t="shared" si="24"/>
        <v>16163.53090119467</v>
      </c>
      <c r="U56" s="295">
        <f t="shared" si="24"/>
        <v>16163.53090119467</v>
      </c>
      <c r="V56" s="295">
        <f t="shared" si="24"/>
        <v>16163.53090119467</v>
      </c>
      <c r="W56" s="295">
        <f t="shared" si="24"/>
        <v>16163.53090119467</v>
      </c>
      <c r="X56" s="295">
        <f t="shared" si="24"/>
        <v>16163.53090119467</v>
      </c>
      <c r="Y56" s="295">
        <f t="shared" si="24"/>
        <v>16163.53090119467</v>
      </c>
      <c r="Z56" s="295">
        <f t="shared" si="24"/>
        <v>16163.53090119467</v>
      </c>
      <c r="AA56" s="295">
        <f t="shared" si="24"/>
        <v>16163.53090119467</v>
      </c>
      <c r="AB56" s="295">
        <f t="shared" si="24"/>
        <v>16163.53090119467</v>
      </c>
      <c r="AC56" s="295">
        <f t="shared" si="24"/>
        <v>16163.53090119467</v>
      </c>
      <c r="AD56" s="295">
        <f t="shared" si="24"/>
        <v>16163.53090119467</v>
      </c>
      <c r="AE56" s="296">
        <f t="shared" si="24"/>
        <v>16163.53090119467</v>
      </c>
    </row>
    <row r="57" spans="1:31">
      <c r="A57" s="1711"/>
      <c r="B57" s="116">
        <v>4</v>
      </c>
      <c r="C57" s="294">
        <f>'CAR Mileage'!C8</f>
        <v>15840.260283170777</v>
      </c>
      <c r="D57" s="295">
        <f t="shared" si="25"/>
        <v>15840.260283170777</v>
      </c>
      <c r="E57" s="295">
        <f t="shared" si="25"/>
        <v>15840.260283170777</v>
      </c>
      <c r="F57" s="295">
        <f t="shared" si="25"/>
        <v>15840.260283170777</v>
      </c>
      <c r="G57" s="295">
        <f t="shared" si="25"/>
        <v>15840.260283170777</v>
      </c>
      <c r="H57" s="295">
        <f t="shared" si="25"/>
        <v>15840.260283170777</v>
      </c>
      <c r="I57" s="295">
        <f t="shared" si="25"/>
        <v>15840.260283170777</v>
      </c>
      <c r="J57" s="295">
        <f t="shared" si="25"/>
        <v>15840.260283170777</v>
      </c>
      <c r="K57" s="295">
        <f t="shared" si="25"/>
        <v>15840.260283170777</v>
      </c>
      <c r="L57" s="295">
        <f t="shared" si="25"/>
        <v>15840.260283170777</v>
      </c>
      <c r="M57" s="295">
        <f t="shared" si="25"/>
        <v>15840.260283170777</v>
      </c>
      <c r="N57" s="295">
        <f t="shared" si="25"/>
        <v>15840.260283170777</v>
      </c>
      <c r="O57" s="295">
        <f t="shared" si="25"/>
        <v>15840.260283170777</v>
      </c>
      <c r="P57" s="295">
        <f t="shared" si="25"/>
        <v>15840.260283170777</v>
      </c>
      <c r="Q57" s="295">
        <f t="shared" si="25"/>
        <v>15840.260283170777</v>
      </c>
      <c r="R57" s="295">
        <f t="shared" si="25"/>
        <v>15840.260283170777</v>
      </c>
      <c r="S57" s="295">
        <f t="shared" si="25"/>
        <v>15840.260283170777</v>
      </c>
      <c r="T57" s="295">
        <f t="shared" si="24"/>
        <v>15840.260283170777</v>
      </c>
      <c r="U57" s="295">
        <f t="shared" si="24"/>
        <v>15840.260283170777</v>
      </c>
      <c r="V57" s="295">
        <f t="shared" si="24"/>
        <v>15840.260283170777</v>
      </c>
      <c r="W57" s="295">
        <f t="shared" si="24"/>
        <v>15840.260283170777</v>
      </c>
      <c r="X57" s="295">
        <f t="shared" si="24"/>
        <v>15840.260283170777</v>
      </c>
      <c r="Y57" s="295">
        <f t="shared" si="24"/>
        <v>15840.260283170777</v>
      </c>
      <c r="Z57" s="295">
        <f t="shared" si="24"/>
        <v>15840.260283170777</v>
      </c>
      <c r="AA57" s="295">
        <f t="shared" si="24"/>
        <v>15840.260283170777</v>
      </c>
      <c r="AB57" s="295">
        <f t="shared" si="24"/>
        <v>15840.260283170777</v>
      </c>
      <c r="AC57" s="295">
        <f t="shared" si="24"/>
        <v>15840.260283170777</v>
      </c>
      <c r="AD57" s="295">
        <f t="shared" si="24"/>
        <v>15840.260283170777</v>
      </c>
      <c r="AE57" s="296">
        <f t="shared" si="24"/>
        <v>15840.260283170777</v>
      </c>
    </row>
    <row r="58" spans="1:31">
      <c r="A58" s="1711"/>
      <c r="B58" s="116">
        <v>5</v>
      </c>
      <c r="C58" s="294">
        <f>'CAR Mileage'!C9</f>
        <v>15523.455077507362</v>
      </c>
      <c r="D58" s="295">
        <f t="shared" si="25"/>
        <v>15523.455077507362</v>
      </c>
      <c r="E58" s="295">
        <f t="shared" si="25"/>
        <v>15523.455077507362</v>
      </c>
      <c r="F58" s="295">
        <f t="shared" si="25"/>
        <v>15523.455077507362</v>
      </c>
      <c r="G58" s="295">
        <f t="shared" si="25"/>
        <v>15523.455077507362</v>
      </c>
      <c r="H58" s="295">
        <f t="shared" si="25"/>
        <v>15523.455077507362</v>
      </c>
      <c r="I58" s="295">
        <f t="shared" si="25"/>
        <v>15523.455077507362</v>
      </c>
      <c r="J58" s="295">
        <f t="shared" si="25"/>
        <v>15523.455077507362</v>
      </c>
      <c r="K58" s="295">
        <f t="shared" si="25"/>
        <v>15523.455077507362</v>
      </c>
      <c r="L58" s="295">
        <f t="shared" si="25"/>
        <v>15523.455077507362</v>
      </c>
      <c r="M58" s="295">
        <f t="shared" si="25"/>
        <v>15523.455077507362</v>
      </c>
      <c r="N58" s="295">
        <f t="shared" si="25"/>
        <v>15523.455077507362</v>
      </c>
      <c r="O58" s="295">
        <f t="shared" si="25"/>
        <v>15523.455077507362</v>
      </c>
      <c r="P58" s="295">
        <f t="shared" si="25"/>
        <v>15523.455077507362</v>
      </c>
      <c r="Q58" s="295">
        <f t="shared" si="25"/>
        <v>15523.455077507362</v>
      </c>
      <c r="R58" s="295">
        <f t="shared" si="25"/>
        <v>15523.455077507362</v>
      </c>
      <c r="S58" s="295">
        <f t="shared" si="25"/>
        <v>15523.455077507362</v>
      </c>
      <c r="T58" s="295">
        <f t="shared" si="24"/>
        <v>15523.455077507362</v>
      </c>
      <c r="U58" s="295">
        <f t="shared" si="24"/>
        <v>15523.455077507362</v>
      </c>
      <c r="V58" s="295">
        <f t="shared" si="24"/>
        <v>15523.455077507362</v>
      </c>
      <c r="W58" s="295">
        <f t="shared" si="24"/>
        <v>15523.455077507362</v>
      </c>
      <c r="X58" s="295">
        <f t="shared" si="24"/>
        <v>15523.455077507362</v>
      </c>
      <c r="Y58" s="295">
        <f t="shared" si="24"/>
        <v>15523.455077507362</v>
      </c>
      <c r="Z58" s="295">
        <f t="shared" si="24"/>
        <v>15523.455077507362</v>
      </c>
      <c r="AA58" s="295">
        <f t="shared" si="24"/>
        <v>15523.455077507362</v>
      </c>
      <c r="AB58" s="295">
        <f t="shared" si="24"/>
        <v>15523.455077507362</v>
      </c>
      <c r="AC58" s="295">
        <f t="shared" si="24"/>
        <v>15523.455077507362</v>
      </c>
      <c r="AD58" s="295">
        <f t="shared" si="24"/>
        <v>15523.455077507362</v>
      </c>
      <c r="AE58" s="296">
        <f t="shared" si="24"/>
        <v>15523.455077507362</v>
      </c>
    </row>
    <row r="59" spans="1:31">
      <c r="A59" s="1711"/>
      <c r="B59" s="116">
        <v>6</v>
      </c>
      <c r="C59" s="294">
        <f>'CAR Mileage'!C10</f>
        <v>15212.985975957215</v>
      </c>
      <c r="D59" s="295">
        <f t="shared" si="25"/>
        <v>15212.985975957215</v>
      </c>
      <c r="E59" s="295">
        <f t="shared" si="25"/>
        <v>15212.985975957215</v>
      </c>
      <c r="F59" s="295">
        <f t="shared" si="25"/>
        <v>15212.985975957215</v>
      </c>
      <c r="G59" s="295">
        <f t="shared" si="25"/>
        <v>15212.985975957215</v>
      </c>
      <c r="H59" s="295">
        <f t="shared" si="25"/>
        <v>15212.985975957215</v>
      </c>
      <c r="I59" s="295">
        <f t="shared" si="25"/>
        <v>15212.985975957215</v>
      </c>
      <c r="J59" s="295">
        <f t="shared" si="25"/>
        <v>15212.985975957215</v>
      </c>
      <c r="K59" s="295">
        <f t="shared" si="25"/>
        <v>15212.985975957215</v>
      </c>
      <c r="L59" s="295">
        <f t="shared" si="25"/>
        <v>15212.985975957215</v>
      </c>
      <c r="M59" s="295">
        <f t="shared" si="25"/>
        <v>15212.985975957215</v>
      </c>
      <c r="N59" s="295">
        <f t="shared" si="25"/>
        <v>15212.985975957215</v>
      </c>
      <c r="O59" s="295">
        <f t="shared" si="25"/>
        <v>15212.985975957215</v>
      </c>
      <c r="P59" s="295">
        <f t="shared" si="25"/>
        <v>15212.985975957215</v>
      </c>
      <c r="Q59" s="295">
        <f t="shared" si="25"/>
        <v>15212.985975957215</v>
      </c>
      <c r="R59" s="295">
        <f t="shared" si="25"/>
        <v>15212.985975957215</v>
      </c>
      <c r="S59" s="295">
        <f t="shared" si="25"/>
        <v>15212.985975957215</v>
      </c>
      <c r="T59" s="295">
        <f t="shared" si="24"/>
        <v>15212.985975957215</v>
      </c>
      <c r="U59" s="295">
        <f t="shared" si="24"/>
        <v>15212.985975957215</v>
      </c>
      <c r="V59" s="295">
        <f t="shared" si="24"/>
        <v>15212.985975957215</v>
      </c>
      <c r="W59" s="295">
        <f t="shared" si="24"/>
        <v>15212.985975957215</v>
      </c>
      <c r="X59" s="295">
        <f t="shared" si="24"/>
        <v>15212.985975957215</v>
      </c>
      <c r="Y59" s="295">
        <f t="shared" si="24"/>
        <v>15212.985975957215</v>
      </c>
      <c r="Z59" s="295">
        <f t="shared" si="24"/>
        <v>15212.985975957215</v>
      </c>
      <c r="AA59" s="295">
        <f t="shared" si="24"/>
        <v>15212.985975957215</v>
      </c>
      <c r="AB59" s="295">
        <f t="shared" si="24"/>
        <v>15212.985975957215</v>
      </c>
      <c r="AC59" s="295">
        <f t="shared" si="24"/>
        <v>15212.985975957215</v>
      </c>
      <c r="AD59" s="295">
        <f t="shared" si="24"/>
        <v>15212.985975957215</v>
      </c>
      <c r="AE59" s="296">
        <f t="shared" si="24"/>
        <v>15212.985975957215</v>
      </c>
    </row>
    <row r="60" spans="1:31">
      <c r="A60" s="1711"/>
      <c r="B60" s="116">
        <v>7</v>
      </c>
      <c r="C60" s="294">
        <f>'CAR Mileage'!C11</f>
        <v>14908.726256438071</v>
      </c>
      <c r="D60" s="295">
        <f t="shared" si="25"/>
        <v>14908.726256438071</v>
      </c>
      <c r="E60" s="295">
        <f t="shared" si="25"/>
        <v>14908.726256438071</v>
      </c>
      <c r="F60" s="295">
        <f t="shared" si="25"/>
        <v>14908.726256438071</v>
      </c>
      <c r="G60" s="295">
        <f t="shared" si="25"/>
        <v>14908.726256438071</v>
      </c>
      <c r="H60" s="295">
        <f t="shared" si="25"/>
        <v>14908.726256438071</v>
      </c>
      <c r="I60" s="295">
        <f t="shared" si="25"/>
        <v>14908.726256438071</v>
      </c>
      <c r="J60" s="295">
        <f t="shared" si="25"/>
        <v>14908.726256438071</v>
      </c>
      <c r="K60" s="295">
        <f t="shared" si="25"/>
        <v>14908.726256438071</v>
      </c>
      <c r="L60" s="295">
        <f t="shared" si="25"/>
        <v>14908.726256438071</v>
      </c>
      <c r="M60" s="295">
        <f t="shared" si="25"/>
        <v>14908.726256438071</v>
      </c>
      <c r="N60" s="295">
        <f t="shared" si="25"/>
        <v>14908.726256438071</v>
      </c>
      <c r="O60" s="295">
        <f t="shared" si="25"/>
        <v>14908.726256438071</v>
      </c>
      <c r="P60" s="295">
        <f t="shared" si="25"/>
        <v>14908.726256438071</v>
      </c>
      <c r="Q60" s="295">
        <f t="shared" si="25"/>
        <v>14908.726256438071</v>
      </c>
      <c r="R60" s="295">
        <f t="shared" si="25"/>
        <v>14908.726256438071</v>
      </c>
      <c r="S60" s="295">
        <f t="shared" si="25"/>
        <v>14908.726256438071</v>
      </c>
      <c r="T60" s="295">
        <f t="shared" si="24"/>
        <v>14908.726256438071</v>
      </c>
      <c r="U60" s="295">
        <f t="shared" si="24"/>
        <v>14908.726256438071</v>
      </c>
      <c r="V60" s="295">
        <f t="shared" si="24"/>
        <v>14908.726256438071</v>
      </c>
      <c r="W60" s="295">
        <f t="shared" si="24"/>
        <v>14908.726256438071</v>
      </c>
      <c r="X60" s="295">
        <f t="shared" si="24"/>
        <v>14908.726256438071</v>
      </c>
      <c r="Y60" s="295">
        <f t="shared" si="24"/>
        <v>14908.726256438071</v>
      </c>
      <c r="Z60" s="295">
        <f t="shared" si="24"/>
        <v>14908.726256438071</v>
      </c>
      <c r="AA60" s="295">
        <f t="shared" si="24"/>
        <v>14908.726256438071</v>
      </c>
      <c r="AB60" s="295">
        <f t="shared" si="24"/>
        <v>14908.726256438071</v>
      </c>
      <c r="AC60" s="295">
        <f t="shared" si="24"/>
        <v>14908.726256438071</v>
      </c>
      <c r="AD60" s="295">
        <f t="shared" si="24"/>
        <v>14908.726256438071</v>
      </c>
      <c r="AE60" s="296">
        <f t="shared" si="24"/>
        <v>14908.726256438071</v>
      </c>
    </row>
    <row r="61" spans="1:31">
      <c r="A61" s="1711"/>
      <c r="B61" s="116">
        <v>8</v>
      </c>
      <c r="C61" s="294">
        <f>'CAR Mileage'!C12</f>
        <v>14610.55173130931</v>
      </c>
      <c r="D61" s="295">
        <f t="shared" si="25"/>
        <v>14610.55173130931</v>
      </c>
      <c r="E61" s="295">
        <f t="shared" si="25"/>
        <v>14610.55173130931</v>
      </c>
      <c r="F61" s="295">
        <f t="shared" si="25"/>
        <v>14610.55173130931</v>
      </c>
      <c r="G61" s="295">
        <f t="shared" si="25"/>
        <v>14610.55173130931</v>
      </c>
      <c r="H61" s="295">
        <f t="shared" si="25"/>
        <v>14610.55173130931</v>
      </c>
      <c r="I61" s="295">
        <f t="shared" si="25"/>
        <v>14610.55173130931</v>
      </c>
      <c r="J61" s="295">
        <f t="shared" si="25"/>
        <v>14610.55173130931</v>
      </c>
      <c r="K61" s="295">
        <f t="shared" si="25"/>
        <v>14610.55173130931</v>
      </c>
      <c r="L61" s="295">
        <f t="shared" si="25"/>
        <v>14610.55173130931</v>
      </c>
      <c r="M61" s="295">
        <f t="shared" si="25"/>
        <v>14610.55173130931</v>
      </c>
      <c r="N61" s="295">
        <f t="shared" si="25"/>
        <v>14610.55173130931</v>
      </c>
      <c r="O61" s="295">
        <f t="shared" si="25"/>
        <v>14610.55173130931</v>
      </c>
      <c r="P61" s="295">
        <f t="shared" si="25"/>
        <v>14610.55173130931</v>
      </c>
      <c r="Q61" s="295">
        <f t="shared" si="25"/>
        <v>14610.55173130931</v>
      </c>
      <c r="R61" s="295">
        <f t="shared" si="25"/>
        <v>14610.55173130931</v>
      </c>
      <c r="S61" s="295">
        <f t="shared" si="25"/>
        <v>14610.55173130931</v>
      </c>
      <c r="T61" s="295">
        <f t="shared" si="24"/>
        <v>14610.55173130931</v>
      </c>
      <c r="U61" s="295">
        <f t="shared" si="24"/>
        <v>14610.55173130931</v>
      </c>
      <c r="V61" s="295">
        <f t="shared" si="24"/>
        <v>14610.55173130931</v>
      </c>
      <c r="W61" s="295">
        <f t="shared" si="24"/>
        <v>14610.55173130931</v>
      </c>
      <c r="X61" s="295">
        <f t="shared" si="24"/>
        <v>14610.55173130931</v>
      </c>
      <c r="Y61" s="295">
        <f t="shared" si="24"/>
        <v>14610.55173130931</v>
      </c>
      <c r="Z61" s="295">
        <f t="shared" si="24"/>
        <v>14610.55173130931</v>
      </c>
      <c r="AA61" s="295">
        <f t="shared" si="24"/>
        <v>14610.55173130931</v>
      </c>
      <c r="AB61" s="295">
        <f t="shared" si="24"/>
        <v>14610.55173130931</v>
      </c>
      <c r="AC61" s="295">
        <f t="shared" si="24"/>
        <v>14610.55173130931</v>
      </c>
      <c r="AD61" s="295">
        <f t="shared" si="24"/>
        <v>14610.55173130931</v>
      </c>
      <c r="AE61" s="296">
        <f t="shared" si="24"/>
        <v>14610.55173130931</v>
      </c>
    </row>
    <row r="62" spans="1:31">
      <c r="A62" s="1711"/>
      <c r="B62" s="116">
        <v>9</v>
      </c>
      <c r="C62" s="294">
        <f>'CAR Mileage'!C13</f>
        <v>14318.340696683123</v>
      </c>
      <c r="D62" s="295">
        <f t="shared" si="25"/>
        <v>14318.340696683123</v>
      </c>
      <c r="E62" s="295">
        <f t="shared" si="25"/>
        <v>14318.340696683123</v>
      </c>
      <c r="F62" s="295">
        <f t="shared" si="25"/>
        <v>14318.340696683123</v>
      </c>
      <c r="G62" s="295">
        <f t="shared" si="25"/>
        <v>14318.340696683123</v>
      </c>
      <c r="H62" s="295">
        <f t="shared" si="25"/>
        <v>14318.340696683123</v>
      </c>
      <c r="I62" s="295">
        <f t="shared" si="25"/>
        <v>14318.340696683123</v>
      </c>
      <c r="J62" s="295">
        <f t="shared" si="25"/>
        <v>14318.340696683123</v>
      </c>
      <c r="K62" s="295">
        <f t="shared" si="25"/>
        <v>14318.340696683123</v>
      </c>
      <c r="L62" s="295">
        <f t="shared" si="25"/>
        <v>14318.340696683123</v>
      </c>
      <c r="M62" s="295">
        <f t="shared" si="25"/>
        <v>14318.340696683123</v>
      </c>
      <c r="N62" s="295">
        <f t="shared" si="25"/>
        <v>14318.340696683123</v>
      </c>
      <c r="O62" s="295">
        <f t="shared" si="25"/>
        <v>14318.340696683123</v>
      </c>
      <c r="P62" s="295">
        <f t="shared" si="25"/>
        <v>14318.340696683123</v>
      </c>
      <c r="Q62" s="295">
        <f t="shared" si="25"/>
        <v>14318.340696683123</v>
      </c>
      <c r="R62" s="295">
        <f t="shared" si="25"/>
        <v>14318.340696683123</v>
      </c>
      <c r="S62" s="295">
        <f t="shared" si="25"/>
        <v>14318.340696683123</v>
      </c>
      <c r="T62" s="295">
        <f t="shared" si="24"/>
        <v>14318.340696683123</v>
      </c>
      <c r="U62" s="295">
        <f t="shared" si="24"/>
        <v>14318.340696683123</v>
      </c>
      <c r="V62" s="295">
        <f t="shared" si="24"/>
        <v>14318.340696683123</v>
      </c>
      <c r="W62" s="295">
        <f t="shared" si="24"/>
        <v>14318.340696683123</v>
      </c>
      <c r="X62" s="295">
        <f t="shared" si="24"/>
        <v>14318.340696683123</v>
      </c>
      <c r="Y62" s="295">
        <f t="shared" si="24"/>
        <v>14318.340696683123</v>
      </c>
      <c r="Z62" s="295">
        <f t="shared" si="24"/>
        <v>14318.340696683123</v>
      </c>
      <c r="AA62" s="295">
        <f t="shared" si="24"/>
        <v>14318.340696683123</v>
      </c>
      <c r="AB62" s="295">
        <f t="shared" si="24"/>
        <v>14318.340696683123</v>
      </c>
      <c r="AC62" s="295">
        <f t="shared" si="24"/>
        <v>14318.340696683123</v>
      </c>
      <c r="AD62" s="295">
        <f t="shared" si="24"/>
        <v>14318.340696683123</v>
      </c>
      <c r="AE62" s="296">
        <f t="shared" si="24"/>
        <v>14318.340696683123</v>
      </c>
    </row>
    <row r="63" spans="1:31">
      <c r="A63" s="1711"/>
      <c r="B63" s="116">
        <v>10</v>
      </c>
      <c r="C63" s="294">
        <f>'CAR Mileage'!C14</f>
        <v>14031.97388274946</v>
      </c>
      <c r="D63" s="295">
        <f t="shared" si="25"/>
        <v>14031.97388274946</v>
      </c>
      <c r="E63" s="295">
        <f t="shared" si="25"/>
        <v>14031.97388274946</v>
      </c>
      <c r="F63" s="295">
        <f t="shared" si="25"/>
        <v>14031.97388274946</v>
      </c>
      <c r="G63" s="295">
        <f t="shared" si="25"/>
        <v>14031.97388274946</v>
      </c>
      <c r="H63" s="295">
        <f t="shared" si="25"/>
        <v>14031.97388274946</v>
      </c>
      <c r="I63" s="295">
        <f t="shared" si="25"/>
        <v>14031.97388274946</v>
      </c>
      <c r="J63" s="295">
        <f t="shared" si="25"/>
        <v>14031.97388274946</v>
      </c>
      <c r="K63" s="295">
        <f t="shared" si="25"/>
        <v>14031.97388274946</v>
      </c>
      <c r="L63" s="295">
        <f t="shared" si="25"/>
        <v>14031.97388274946</v>
      </c>
      <c r="M63" s="295">
        <f t="shared" si="25"/>
        <v>14031.97388274946</v>
      </c>
      <c r="N63" s="295">
        <f t="shared" si="25"/>
        <v>14031.97388274946</v>
      </c>
      <c r="O63" s="295">
        <f t="shared" si="25"/>
        <v>14031.97388274946</v>
      </c>
      <c r="P63" s="295">
        <f t="shared" si="25"/>
        <v>14031.97388274946</v>
      </c>
      <c r="Q63" s="295">
        <f t="shared" si="25"/>
        <v>14031.97388274946</v>
      </c>
      <c r="R63" s="295">
        <f t="shared" si="25"/>
        <v>14031.97388274946</v>
      </c>
      <c r="S63" s="295">
        <f t="shared" si="25"/>
        <v>14031.97388274946</v>
      </c>
      <c r="T63" s="295">
        <f t="shared" si="24"/>
        <v>14031.97388274946</v>
      </c>
      <c r="U63" s="295">
        <f t="shared" si="24"/>
        <v>14031.97388274946</v>
      </c>
      <c r="V63" s="295">
        <f t="shared" si="24"/>
        <v>14031.97388274946</v>
      </c>
      <c r="W63" s="295">
        <f t="shared" si="24"/>
        <v>14031.97388274946</v>
      </c>
      <c r="X63" s="295">
        <f t="shared" si="24"/>
        <v>14031.97388274946</v>
      </c>
      <c r="Y63" s="295">
        <f t="shared" si="24"/>
        <v>14031.97388274946</v>
      </c>
      <c r="Z63" s="295">
        <f t="shared" si="24"/>
        <v>14031.97388274946</v>
      </c>
      <c r="AA63" s="295">
        <f t="shared" si="24"/>
        <v>14031.97388274946</v>
      </c>
      <c r="AB63" s="295">
        <f t="shared" si="24"/>
        <v>14031.97388274946</v>
      </c>
      <c r="AC63" s="295">
        <f t="shared" si="24"/>
        <v>14031.97388274946</v>
      </c>
      <c r="AD63" s="295">
        <f t="shared" si="24"/>
        <v>14031.97388274946</v>
      </c>
      <c r="AE63" s="296">
        <f t="shared" si="24"/>
        <v>14031.97388274946</v>
      </c>
    </row>
    <row r="64" spans="1:31">
      <c r="A64" s="1711"/>
      <c r="B64" s="116">
        <v>11</v>
      </c>
      <c r="C64" s="294">
        <f>'CAR Mileage'!C15</f>
        <v>13751.334405094471</v>
      </c>
      <c r="D64" s="295">
        <f t="shared" si="25"/>
        <v>13751.334405094471</v>
      </c>
      <c r="E64" s="295">
        <f t="shared" si="25"/>
        <v>13751.334405094471</v>
      </c>
      <c r="F64" s="295">
        <f t="shared" si="25"/>
        <v>13751.334405094471</v>
      </c>
      <c r="G64" s="295">
        <f t="shared" si="25"/>
        <v>13751.334405094471</v>
      </c>
      <c r="H64" s="295">
        <f t="shared" si="25"/>
        <v>13751.334405094471</v>
      </c>
      <c r="I64" s="295">
        <f t="shared" si="25"/>
        <v>13751.334405094471</v>
      </c>
      <c r="J64" s="295">
        <f t="shared" si="25"/>
        <v>13751.334405094471</v>
      </c>
      <c r="K64" s="295">
        <f t="shared" si="25"/>
        <v>13751.334405094471</v>
      </c>
      <c r="L64" s="295">
        <f t="shared" si="25"/>
        <v>13751.334405094471</v>
      </c>
      <c r="M64" s="295">
        <f t="shared" si="25"/>
        <v>13751.334405094471</v>
      </c>
      <c r="N64" s="295">
        <f t="shared" si="25"/>
        <v>13751.334405094471</v>
      </c>
      <c r="O64" s="295">
        <f t="shared" si="25"/>
        <v>13751.334405094471</v>
      </c>
      <c r="P64" s="295">
        <f t="shared" si="25"/>
        <v>13751.334405094471</v>
      </c>
      <c r="Q64" s="295">
        <f t="shared" si="25"/>
        <v>13751.334405094471</v>
      </c>
      <c r="R64" s="295">
        <f t="shared" si="25"/>
        <v>13751.334405094471</v>
      </c>
      <c r="S64" s="295">
        <f t="shared" si="25"/>
        <v>13751.334405094471</v>
      </c>
      <c r="T64" s="295">
        <f t="shared" si="24"/>
        <v>13751.334405094471</v>
      </c>
      <c r="U64" s="295">
        <f t="shared" si="24"/>
        <v>13751.334405094471</v>
      </c>
      <c r="V64" s="295">
        <f t="shared" si="24"/>
        <v>13751.334405094471</v>
      </c>
      <c r="W64" s="295">
        <f t="shared" si="24"/>
        <v>13751.334405094471</v>
      </c>
      <c r="X64" s="295">
        <f t="shared" si="24"/>
        <v>13751.334405094471</v>
      </c>
      <c r="Y64" s="295">
        <f t="shared" si="24"/>
        <v>13751.334405094471</v>
      </c>
      <c r="Z64" s="295">
        <f t="shared" si="24"/>
        <v>13751.334405094471</v>
      </c>
      <c r="AA64" s="295">
        <f t="shared" si="24"/>
        <v>13751.334405094471</v>
      </c>
      <c r="AB64" s="295">
        <f t="shared" si="24"/>
        <v>13751.334405094471</v>
      </c>
      <c r="AC64" s="295">
        <f t="shared" si="24"/>
        <v>13751.334405094471</v>
      </c>
      <c r="AD64" s="295">
        <f t="shared" si="24"/>
        <v>13751.334405094471</v>
      </c>
      <c r="AE64" s="296">
        <f t="shared" si="24"/>
        <v>13751.334405094471</v>
      </c>
    </row>
    <row r="65" spans="1:31">
      <c r="A65" s="1711"/>
      <c r="B65" s="116">
        <v>12</v>
      </c>
      <c r="C65" s="294">
        <f>'CAR Mileage'!C16</f>
        <v>13476.307716992582</v>
      </c>
      <c r="D65" s="295">
        <f t="shared" si="25"/>
        <v>13476.307716992582</v>
      </c>
      <c r="E65" s="295">
        <f t="shared" si="25"/>
        <v>13476.307716992582</v>
      </c>
      <c r="F65" s="295">
        <f t="shared" si="25"/>
        <v>13476.307716992582</v>
      </c>
      <c r="G65" s="295">
        <f t="shared" si="25"/>
        <v>13476.307716992582</v>
      </c>
      <c r="H65" s="295">
        <f t="shared" si="25"/>
        <v>13476.307716992582</v>
      </c>
      <c r="I65" s="295">
        <f t="shared" si="25"/>
        <v>13476.307716992582</v>
      </c>
      <c r="J65" s="295">
        <f t="shared" si="25"/>
        <v>13476.307716992582</v>
      </c>
      <c r="K65" s="295">
        <f t="shared" si="25"/>
        <v>13476.307716992582</v>
      </c>
      <c r="L65" s="295">
        <f t="shared" si="25"/>
        <v>13476.307716992582</v>
      </c>
      <c r="M65" s="295">
        <f t="shared" si="25"/>
        <v>13476.307716992582</v>
      </c>
      <c r="N65" s="295">
        <f t="shared" si="25"/>
        <v>13476.307716992582</v>
      </c>
      <c r="O65" s="295">
        <f t="shared" si="25"/>
        <v>13476.307716992582</v>
      </c>
      <c r="P65" s="295">
        <f t="shared" si="25"/>
        <v>13476.307716992582</v>
      </c>
      <c r="Q65" s="295">
        <f t="shared" si="25"/>
        <v>13476.307716992582</v>
      </c>
      <c r="R65" s="295">
        <f t="shared" si="25"/>
        <v>13476.307716992582</v>
      </c>
      <c r="S65" s="295">
        <f t="shared" si="25"/>
        <v>13476.307716992582</v>
      </c>
      <c r="T65" s="295">
        <f t="shared" si="24"/>
        <v>13476.307716992582</v>
      </c>
      <c r="U65" s="295">
        <f t="shared" si="24"/>
        <v>13476.307716992582</v>
      </c>
      <c r="V65" s="295">
        <f t="shared" si="24"/>
        <v>13476.307716992582</v>
      </c>
      <c r="W65" s="295">
        <f t="shared" si="24"/>
        <v>13476.307716992582</v>
      </c>
      <c r="X65" s="295">
        <f t="shared" si="24"/>
        <v>13476.307716992582</v>
      </c>
      <c r="Y65" s="295">
        <f t="shared" si="24"/>
        <v>13476.307716992582</v>
      </c>
      <c r="Z65" s="295">
        <f t="shared" si="24"/>
        <v>13476.307716992582</v>
      </c>
      <c r="AA65" s="295">
        <f t="shared" si="24"/>
        <v>13476.307716992582</v>
      </c>
      <c r="AB65" s="295">
        <f t="shared" si="24"/>
        <v>13476.307716992582</v>
      </c>
      <c r="AC65" s="295">
        <f t="shared" si="24"/>
        <v>13476.307716992582</v>
      </c>
      <c r="AD65" s="295">
        <f t="shared" si="24"/>
        <v>13476.307716992582</v>
      </c>
      <c r="AE65" s="296">
        <f t="shared" si="24"/>
        <v>13476.307716992582</v>
      </c>
    </row>
    <row r="66" spans="1:31">
      <c r="A66" s="1711"/>
      <c r="B66" s="116">
        <v>13</v>
      </c>
      <c r="C66" s="294">
        <f>'CAR Mileage'!C17</f>
        <v>13206.78156265273</v>
      </c>
      <c r="D66" s="295">
        <f t="shared" si="25"/>
        <v>13206.78156265273</v>
      </c>
      <c r="E66" s="295">
        <f t="shared" si="25"/>
        <v>13206.78156265273</v>
      </c>
      <c r="F66" s="295">
        <f t="shared" si="25"/>
        <v>13206.78156265273</v>
      </c>
      <c r="G66" s="295">
        <f t="shared" si="25"/>
        <v>13206.78156265273</v>
      </c>
      <c r="H66" s="295">
        <f t="shared" si="25"/>
        <v>13206.78156265273</v>
      </c>
      <c r="I66" s="295">
        <f t="shared" si="25"/>
        <v>13206.78156265273</v>
      </c>
      <c r="J66" s="295">
        <f t="shared" si="25"/>
        <v>13206.78156265273</v>
      </c>
      <c r="K66" s="295">
        <f t="shared" si="25"/>
        <v>13206.78156265273</v>
      </c>
      <c r="L66" s="295">
        <f t="shared" si="25"/>
        <v>13206.78156265273</v>
      </c>
      <c r="M66" s="295">
        <f t="shared" si="25"/>
        <v>13206.78156265273</v>
      </c>
      <c r="N66" s="295">
        <f t="shared" si="25"/>
        <v>13206.78156265273</v>
      </c>
      <c r="O66" s="295">
        <f t="shared" si="25"/>
        <v>13206.78156265273</v>
      </c>
      <c r="P66" s="295">
        <f t="shared" si="25"/>
        <v>13206.78156265273</v>
      </c>
      <c r="Q66" s="295">
        <f t="shared" si="25"/>
        <v>13206.78156265273</v>
      </c>
      <c r="R66" s="295">
        <f t="shared" si="25"/>
        <v>13206.78156265273</v>
      </c>
      <c r="S66" s="295">
        <f t="shared" si="25"/>
        <v>13206.78156265273</v>
      </c>
      <c r="T66" s="295">
        <f t="shared" si="24"/>
        <v>13206.78156265273</v>
      </c>
      <c r="U66" s="295">
        <f t="shared" si="24"/>
        <v>13206.78156265273</v>
      </c>
      <c r="V66" s="295">
        <f t="shared" si="24"/>
        <v>13206.78156265273</v>
      </c>
      <c r="W66" s="295">
        <f t="shared" si="24"/>
        <v>13206.78156265273</v>
      </c>
      <c r="X66" s="295">
        <f t="shared" si="24"/>
        <v>13206.78156265273</v>
      </c>
      <c r="Y66" s="295">
        <f t="shared" si="24"/>
        <v>13206.78156265273</v>
      </c>
      <c r="Z66" s="295">
        <f t="shared" si="24"/>
        <v>13206.78156265273</v>
      </c>
      <c r="AA66" s="295">
        <f t="shared" si="24"/>
        <v>13206.78156265273</v>
      </c>
      <c r="AB66" s="295">
        <f t="shared" si="24"/>
        <v>13206.78156265273</v>
      </c>
      <c r="AC66" s="295">
        <f t="shared" si="24"/>
        <v>13206.78156265273</v>
      </c>
      <c r="AD66" s="295">
        <f t="shared" si="24"/>
        <v>13206.78156265273</v>
      </c>
      <c r="AE66" s="296">
        <f t="shared" si="24"/>
        <v>13206.78156265273</v>
      </c>
    </row>
    <row r="67" spans="1:31">
      <c r="A67" s="1711"/>
      <c r="B67" s="116">
        <v>14</v>
      </c>
      <c r="C67" s="294">
        <f>'CAR Mileage'!C18</f>
        <v>12942.645931399675</v>
      </c>
      <c r="D67" s="295">
        <f t="shared" si="25"/>
        <v>12942.645931399675</v>
      </c>
      <c r="E67" s="295">
        <f t="shared" si="25"/>
        <v>12942.645931399675</v>
      </c>
      <c r="F67" s="295">
        <f t="shared" si="25"/>
        <v>12942.645931399675</v>
      </c>
      <c r="G67" s="295">
        <f t="shared" si="25"/>
        <v>12942.645931399675</v>
      </c>
      <c r="H67" s="295">
        <f t="shared" si="25"/>
        <v>12942.645931399675</v>
      </c>
      <c r="I67" s="295">
        <f t="shared" si="25"/>
        <v>12942.645931399675</v>
      </c>
      <c r="J67" s="295">
        <f t="shared" si="25"/>
        <v>12942.645931399675</v>
      </c>
      <c r="K67" s="295">
        <f t="shared" si="25"/>
        <v>12942.645931399675</v>
      </c>
      <c r="L67" s="295">
        <f t="shared" si="25"/>
        <v>12942.645931399675</v>
      </c>
      <c r="M67" s="295">
        <f t="shared" si="25"/>
        <v>12942.645931399675</v>
      </c>
      <c r="N67" s="295">
        <f t="shared" si="25"/>
        <v>12942.645931399675</v>
      </c>
      <c r="O67" s="295">
        <f t="shared" si="25"/>
        <v>12942.645931399675</v>
      </c>
      <c r="P67" s="295">
        <f t="shared" si="25"/>
        <v>12942.645931399675</v>
      </c>
      <c r="Q67" s="295">
        <f t="shared" si="25"/>
        <v>12942.645931399675</v>
      </c>
      <c r="R67" s="295">
        <f t="shared" si="25"/>
        <v>12942.645931399675</v>
      </c>
      <c r="S67" s="295">
        <f t="shared" si="25"/>
        <v>12942.645931399675</v>
      </c>
      <c r="T67" s="295">
        <f t="shared" si="24"/>
        <v>12942.645931399675</v>
      </c>
      <c r="U67" s="295">
        <f t="shared" si="24"/>
        <v>12942.645931399675</v>
      </c>
      <c r="V67" s="295">
        <f t="shared" si="24"/>
        <v>12942.645931399675</v>
      </c>
      <c r="W67" s="295">
        <f t="shared" si="24"/>
        <v>12942.645931399675</v>
      </c>
      <c r="X67" s="295">
        <f t="shared" si="24"/>
        <v>12942.645931399675</v>
      </c>
      <c r="Y67" s="295">
        <f t="shared" si="24"/>
        <v>12942.645931399675</v>
      </c>
      <c r="Z67" s="295">
        <f t="shared" si="24"/>
        <v>12942.645931399675</v>
      </c>
      <c r="AA67" s="295">
        <f t="shared" si="24"/>
        <v>12942.645931399675</v>
      </c>
      <c r="AB67" s="295">
        <f t="shared" si="24"/>
        <v>12942.645931399675</v>
      </c>
      <c r="AC67" s="295">
        <f t="shared" si="24"/>
        <v>12942.645931399675</v>
      </c>
      <c r="AD67" s="295">
        <f t="shared" si="24"/>
        <v>12942.645931399675</v>
      </c>
      <c r="AE67" s="296">
        <f t="shared" si="24"/>
        <v>12942.645931399675</v>
      </c>
    </row>
    <row r="68" spans="1:31">
      <c r="A68" s="1711"/>
      <c r="B68" s="116">
        <v>15</v>
      </c>
      <c r="C68" s="294">
        <f>'CAR Mileage'!C19</f>
        <v>12683.793012771681</v>
      </c>
      <c r="D68" s="295">
        <f t="shared" si="25"/>
        <v>12683.793012771681</v>
      </c>
      <c r="E68" s="295">
        <f t="shared" si="25"/>
        <v>12683.793012771681</v>
      </c>
      <c r="F68" s="295">
        <f t="shared" si="25"/>
        <v>12683.793012771681</v>
      </c>
      <c r="G68" s="295">
        <f t="shared" si="25"/>
        <v>12683.793012771681</v>
      </c>
      <c r="H68" s="295">
        <f t="shared" si="25"/>
        <v>12683.793012771681</v>
      </c>
      <c r="I68" s="295">
        <f t="shared" si="25"/>
        <v>12683.793012771681</v>
      </c>
      <c r="J68" s="295">
        <f t="shared" si="25"/>
        <v>12683.793012771681</v>
      </c>
      <c r="K68" s="295">
        <f t="shared" si="25"/>
        <v>12683.793012771681</v>
      </c>
      <c r="L68" s="295">
        <f t="shared" si="25"/>
        <v>12683.793012771681</v>
      </c>
      <c r="M68" s="295">
        <f t="shared" si="25"/>
        <v>12683.793012771681</v>
      </c>
      <c r="N68" s="295">
        <f t="shared" si="25"/>
        <v>12683.793012771681</v>
      </c>
      <c r="O68" s="295">
        <f t="shared" si="25"/>
        <v>12683.793012771681</v>
      </c>
      <c r="P68" s="295">
        <f t="shared" si="25"/>
        <v>12683.793012771681</v>
      </c>
      <c r="Q68" s="295">
        <f t="shared" si="25"/>
        <v>12683.793012771681</v>
      </c>
      <c r="R68" s="295">
        <f t="shared" si="25"/>
        <v>12683.793012771681</v>
      </c>
      <c r="S68" s="295">
        <f t="shared" si="25"/>
        <v>12683.793012771681</v>
      </c>
      <c r="T68" s="295">
        <f t="shared" si="24"/>
        <v>12683.793012771681</v>
      </c>
      <c r="U68" s="295">
        <f t="shared" si="24"/>
        <v>12683.793012771681</v>
      </c>
      <c r="V68" s="295">
        <f t="shared" si="24"/>
        <v>12683.793012771681</v>
      </c>
      <c r="W68" s="295">
        <f t="shared" si="24"/>
        <v>12683.793012771681</v>
      </c>
      <c r="X68" s="295">
        <f t="shared" si="24"/>
        <v>12683.793012771681</v>
      </c>
      <c r="Y68" s="295">
        <f t="shared" si="24"/>
        <v>12683.793012771681</v>
      </c>
      <c r="Z68" s="295">
        <f t="shared" si="24"/>
        <v>12683.793012771681</v>
      </c>
      <c r="AA68" s="295">
        <f t="shared" si="24"/>
        <v>12683.793012771681</v>
      </c>
      <c r="AB68" s="295">
        <f t="shared" si="24"/>
        <v>12683.793012771681</v>
      </c>
      <c r="AC68" s="295">
        <f t="shared" si="24"/>
        <v>12683.793012771681</v>
      </c>
      <c r="AD68" s="295">
        <f t="shared" si="24"/>
        <v>12683.793012771681</v>
      </c>
      <c r="AE68" s="296">
        <f t="shared" si="24"/>
        <v>12683.793012771681</v>
      </c>
    </row>
    <row r="69" spans="1:31">
      <c r="A69" s="1711"/>
      <c r="B69" s="116">
        <v>16</v>
      </c>
      <c r="C69" s="294">
        <f>'CAR Mileage'!C20</f>
        <v>12430.117152516246</v>
      </c>
      <c r="D69" s="295">
        <f t="shared" si="25"/>
        <v>12430.117152516246</v>
      </c>
      <c r="E69" s="295">
        <f t="shared" si="25"/>
        <v>12430.117152516246</v>
      </c>
      <c r="F69" s="295">
        <f t="shared" si="25"/>
        <v>12430.117152516246</v>
      </c>
      <c r="G69" s="295">
        <f t="shared" si="25"/>
        <v>12430.117152516246</v>
      </c>
      <c r="H69" s="295">
        <f t="shared" si="25"/>
        <v>12430.117152516246</v>
      </c>
      <c r="I69" s="295">
        <f t="shared" si="25"/>
        <v>12430.117152516246</v>
      </c>
      <c r="J69" s="295">
        <f t="shared" si="25"/>
        <v>12430.117152516246</v>
      </c>
      <c r="K69" s="295">
        <f t="shared" si="25"/>
        <v>12430.117152516246</v>
      </c>
      <c r="L69" s="295">
        <f t="shared" si="25"/>
        <v>12430.117152516246</v>
      </c>
      <c r="M69" s="295">
        <f t="shared" si="25"/>
        <v>12430.117152516246</v>
      </c>
      <c r="N69" s="295">
        <f t="shared" si="25"/>
        <v>12430.117152516246</v>
      </c>
      <c r="O69" s="295">
        <f t="shared" si="25"/>
        <v>12430.117152516246</v>
      </c>
      <c r="P69" s="295">
        <f t="shared" si="25"/>
        <v>12430.117152516246</v>
      </c>
      <c r="Q69" s="295">
        <f t="shared" si="25"/>
        <v>12430.117152516246</v>
      </c>
      <c r="R69" s="295">
        <f t="shared" si="25"/>
        <v>12430.117152516246</v>
      </c>
      <c r="S69" s="295">
        <f t="shared" ref="S69:AE78" si="26">R69</f>
        <v>12430.117152516246</v>
      </c>
      <c r="T69" s="295">
        <f t="shared" si="26"/>
        <v>12430.117152516246</v>
      </c>
      <c r="U69" s="295">
        <f t="shared" si="26"/>
        <v>12430.117152516246</v>
      </c>
      <c r="V69" s="295">
        <f t="shared" si="26"/>
        <v>12430.117152516246</v>
      </c>
      <c r="W69" s="295">
        <f t="shared" si="26"/>
        <v>12430.117152516246</v>
      </c>
      <c r="X69" s="295">
        <f t="shared" si="26"/>
        <v>12430.117152516246</v>
      </c>
      <c r="Y69" s="295">
        <f t="shared" si="26"/>
        <v>12430.117152516246</v>
      </c>
      <c r="Z69" s="295">
        <f t="shared" si="26"/>
        <v>12430.117152516246</v>
      </c>
      <c r="AA69" s="295">
        <f t="shared" si="26"/>
        <v>12430.117152516246</v>
      </c>
      <c r="AB69" s="295">
        <f t="shared" si="26"/>
        <v>12430.117152516246</v>
      </c>
      <c r="AC69" s="295">
        <f t="shared" si="26"/>
        <v>12430.117152516246</v>
      </c>
      <c r="AD69" s="295">
        <f t="shared" si="26"/>
        <v>12430.117152516246</v>
      </c>
      <c r="AE69" s="296">
        <f t="shared" si="26"/>
        <v>12430.117152516246</v>
      </c>
    </row>
    <row r="70" spans="1:31">
      <c r="A70" s="1711"/>
      <c r="B70" s="116">
        <v>17</v>
      </c>
      <c r="C70" s="294">
        <f>C69</f>
        <v>12430.117152516246</v>
      </c>
      <c r="D70" s="295">
        <f t="shared" ref="D70:S78" si="27">C70</f>
        <v>12430.117152516246</v>
      </c>
      <c r="E70" s="295">
        <f t="shared" si="27"/>
        <v>12430.117152516246</v>
      </c>
      <c r="F70" s="295">
        <f t="shared" si="27"/>
        <v>12430.117152516246</v>
      </c>
      <c r="G70" s="295">
        <f t="shared" si="27"/>
        <v>12430.117152516246</v>
      </c>
      <c r="H70" s="295">
        <f t="shared" si="27"/>
        <v>12430.117152516246</v>
      </c>
      <c r="I70" s="295">
        <f t="shared" si="27"/>
        <v>12430.117152516246</v>
      </c>
      <c r="J70" s="295">
        <f t="shared" si="27"/>
        <v>12430.117152516246</v>
      </c>
      <c r="K70" s="295">
        <f t="shared" si="27"/>
        <v>12430.117152516246</v>
      </c>
      <c r="L70" s="295">
        <f t="shared" si="27"/>
        <v>12430.117152516246</v>
      </c>
      <c r="M70" s="295">
        <f t="shared" si="27"/>
        <v>12430.117152516246</v>
      </c>
      <c r="N70" s="295">
        <f t="shared" si="27"/>
        <v>12430.117152516246</v>
      </c>
      <c r="O70" s="295">
        <f t="shared" si="27"/>
        <v>12430.117152516246</v>
      </c>
      <c r="P70" s="295">
        <f t="shared" si="27"/>
        <v>12430.117152516246</v>
      </c>
      <c r="Q70" s="295">
        <f t="shared" si="27"/>
        <v>12430.117152516246</v>
      </c>
      <c r="R70" s="295">
        <f t="shared" si="27"/>
        <v>12430.117152516246</v>
      </c>
      <c r="S70" s="295">
        <f t="shared" si="27"/>
        <v>12430.117152516246</v>
      </c>
      <c r="T70" s="295">
        <f t="shared" si="26"/>
        <v>12430.117152516246</v>
      </c>
      <c r="U70" s="295">
        <f t="shared" si="26"/>
        <v>12430.117152516246</v>
      </c>
      <c r="V70" s="295">
        <f t="shared" si="26"/>
        <v>12430.117152516246</v>
      </c>
      <c r="W70" s="295">
        <f t="shared" si="26"/>
        <v>12430.117152516246</v>
      </c>
      <c r="X70" s="295">
        <f t="shared" si="26"/>
        <v>12430.117152516246</v>
      </c>
      <c r="Y70" s="295">
        <f t="shared" si="26"/>
        <v>12430.117152516246</v>
      </c>
      <c r="Z70" s="295">
        <f t="shared" si="26"/>
        <v>12430.117152516246</v>
      </c>
      <c r="AA70" s="295">
        <f t="shared" si="26"/>
        <v>12430.117152516246</v>
      </c>
      <c r="AB70" s="295">
        <f t="shared" si="26"/>
        <v>12430.117152516246</v>
      </c>
      <c r="AC70" s="295">
        <f t="shared" si="26"/>
        <v>12430.117152516246</v>
      </c>
      <c r="AD70" s="295">
        <f t="shared" si="26"/>
        <v>12430.117152516246</v>
      </c>
      <c r="AE70" s="296">
        <f t="shared" si="26"/>
        <v>12430.117152516246</v>
      </c>
    </row>
    <row r="71" spans="1:31">
      <c r="A71" s="1711"/>
      <c r="B71" s="116">
        <v>18</v>
      </c>
      <c r="C71" s="294">
        <f t="shared" ref="C71:C78" si="28">C70</f>
        <v>12430.117152516246</v>
      </c>
      <c r="D71" s="295">
        <f t="shared" si="27"/>
        <v>12430.117152516246</v>
      </c>
      <c r="E71" s="295">
        <f t="shared" si="27"/>
        <v>12430.117152516246</v>
      </c>
      <c r="F71" s="295">
        <f t="shared" si="27"/>
        <v>12430.117152516246</v>
      </c>
      <c r="G71" s="295">
        <f t="shared" si="27"/>
        <v>12430.117152516246</v>
      </c>
      <c r="H71" s="295">
        <f t="shared" si="27"/>
        <v>12430.117152516246</v>
      </c>
      <c r="I71" s="295">
        <f t="shared" si="27"/>
        <v>12430.117152516246</v>
      </c>
      <c r="J71" s="295">
        <f t="shared" si="27"/>
        <v>12430.117152516246</v>
      </c>
      <c r="K71" s="295">
        <f t="shared" si="27"/>
        <v>12430.117152516246</v>
      </c>
      <c r="L71" s="295">
        <f t="shared" si="27"/>
        <v>12430.117152516246</v>
      </c>
      <c r="M71" s="295">
        <f t="shared" si="27"/>
        <v>12430.117152516246</v>
      </c>
      <c r="N71" s="295">
        <f t="shared" si="27"/>
        <v>12430.117152516246</v>
      </c>
      <c r="O71" s="295">
        <f t="shared" si="27"/>
        <v>12430.117152516246</v>
      </c>
      <c r="P71" s="295">
        <f t="shared" si="27"/>
        <v>12430.117152516246</v>
      </c>
      <c r="Q71" s="295">
        <f t="shared" si="27"/>
        <v>12430.117152516246</v>
      </c>
      <c r="R71" s="295">
        <f t="shared" si="27"/>
        <v>12430.117152516246</v>
      </c>
      <c r="S71" s="295">
        <f t="shared" si="27"/>
        <v>12430.117152516246</v>
      </c>
      <c r="T71" s="295">
        <f t="shared" si="26"/>
        <v>12430.117152516246</v>
      </c>
      <c r="U71" s="295">
        <f t="shared" si="26"/>
        <v>12430.117152516246</v>
      </c>
      <c r="V71" s="295">
        <f t="shared" si="26"/>
        <v>12430.117152516246</v>
      </c>
      <c r="W71" s="295">
        <f t="shared" si="26"/>
        <v>12430.117152516246</v>
      </c>
      <c r="X71" s="295">
        <f t="shared" si="26"/>
        <v>12430.117152516246</v>
      </c>
      <c r="Y71" s="295">
        <f t="shared" si="26"/>
        <v>12430.117152516246</v>
      </c>
      <c r="Z71" s="295">
        <f t="shared" si="26"/>
        <v>12430.117152516246</v>
      </c>
      <c r="AA71" s="295">
        <f t="shared" si="26"/>
        <v>12430.117152516246</v>
      </c>
      <c r="AB71" s="295">
        <f t="shared" si="26"/>
        <v>12430.117152516246</v>
      </c>
      <c r="AC71" s="295">
        <f t="shared" si="26"/>
        <v>12430.117152516246</v>
      </c>
      <c r="AD71" s="295">
        <f t="shared" si="26"/>
        <v>12430.117152516246</v>
      </c>
      <c r="AE71" s="296">
        <f t="shared" si="26"/>
        <v>12430.117152516246</v>
      </c>
    </row>
    <row r="72" spans="1:31">
      <c r="A72" s="1711"/>
      <c r="B72" s="116">
        <v>19</v>
      </c>
      <c r="C72" s="294">
        <f t="shared" si="28"/>
        <v>12430.117152516246</v>
      </c>
      <c r="D72" s="295">
        <f t="shared" si="27"/>
        <v>12430.117152516246</v>
      </c>
      <c r="E72" s="295">
        <f t="shared" si="27"/>
        <v>12430.117152516246</v>
      </c>
      <c r="F72" s="295">
        <f t="shared" si="27"/>
        <v>12430.117152516246</v>
      </c>
      <c r="G72" s="295">
        <f t="shared" si="27"/>
        <v>12430.117152516246</v>
      </c>
      <c r="H72" s="295">
        <f t="shared" si="27"/>
        <v>12430.117152516246</v>
      </c>
      <c r="I72" s="295">
        <f t="shared" si="27"/>
        <v>12430.117152516246</v>
      </c>
      <c r="J72" s="295">
        <f t="shared" si="27"/>
        <v>12430.117152516246</v>
      </c>
      <c r="K72" s="295">
        <f t="shared" si="27"/>
        <v>12430.117152516246</v>
      </c>
      <c r="L72" s="295">
        <f t="shared" si="27"/>
        <v>12430.117152516246</v>
      </c>
      <c r="M72" s="295">
        <f t="shared" si="27"/>
        <v>12430.117152516246</v>
      </c>
      <c r="N72" s="295">
        <f t="shared" si="27"/>
        <v>12430.117152516246</v>
      </c>
      <c r="O72" s="295">
        <f t="shared" si="27"/>
        <v>12430.117152516246</v>
      </c>
      <c r="P72" s="295">
        <f t="shared" si="27"/>
        <v>12430.117152516246</v>
      </c>
      <c r="Q72" s="295">
        <f t="shared" si="27"/>
        <v>12430.117152516246</v>
      </c>
      <c r="R72" s="295">
        <f t="shared" si="27"/>
        <v>12430.117152516246</v>
      </c>
      <c r="S72" s="295">
        <f t="shared" si="27"/>
        <v>12430.117152516246</v>
      </c>
      <c r="T72" s="295">
        <f t="shared" si="26"/>
        <v>12430.117152516246</v>
      </c>
      <c r="U72" s="295">
        <f t="shared" si="26"/>
        <v>12430.117152516246</v>
      </c>
      <c r="V72" s="295">
        <f t="shared" si="26"/>
        <v>12430.117152516246</v>
      </c>
      <c r="W72" s="295">
        <f t="shared" si="26"/>
        <v>12430.117152516246</v>
      </c>
      <c r="X72" s="295">
        <f t="shared" si="26"/>
        <v>12430.117152516246</v>
      </c>
      <c r="Y72" s="295">
        <f t="shared" si="26"/>
        <v>12430.117152516246</v>
      </c>
      <c r="Z72" s="295">
        <f t="shared" si="26"/>
        <v>12430.117152516246</v>
      </c>
      <c r="AA72" s="295">
        <f t="shared" si="26"/>
        <v>12430.117152516246</v>
      </c>
      <c r="AB72" s="295">
        <f t="shared" si="26"/>
        <v>12430.117152516246</v>
      </c>
      <c r="AC72" s="295">
        <f t="shared" si="26"/>
        <v>12430.117152516246</v>
      </c>
      <c r="AD72" s="295">
        <f t="shared" si="26"/>
        <v>12430.117152516246</v>
      </c>
      <c r="AE72" s="296">
        <f t="shared" si="26"/>
        <v>12430.117152516246</v>
      </c>
    </row>
    <row r="73" spans="1:31">
      <c r="A73" s="1711"/>
      <c r="B73" s="116">
        <v>20</v>
      </c>
      <c r="C73" s="294">
        <f t="shared" si="28"/>
        <v>12430.117152516246</v>
      </c>
      <c r="D73" s="295">
        <f t="shared" si="27"/>
        <v>12430.117152516246</v>
      </c>
      <c r="E73" s="295">
        <f t="shared" si="27"/>
        <v>12430.117152516246</v>
      </c>
      <c r="F73" s="295">
        <f t="shared" si="27"/>
        <v>12430.117152516246</v>
      </c>
      <c r="G73" s="295">
        <f t="shared" si="27"/>
        <v>12430.117152516246</v>
      </c>
      <c r="H73" s="295">
        <f t="shared" si="27"/>
        <v>12430.117152516246</v>
      </c>
      <c r="I73" s="295">
        <f t="shared" si="27"/>
        <v>12430.117152516246</v>
      </c>
      <c r="J73" s="295">
        <f t="shared" si="27"/>
        <v>12430.117152516246</v>
      </c>
      <c r="K73" s="295">
        <f t="shared" si="27"/>
        <v>12430.117152516246</v>
      </c>
      <c r="L73" s="295">
        <f t="shared" si="27"/>
        <v>12430.117152516246</v>
      </c>
      <c r="M73" s="295">
        <f t="shared" si="27"/>
        <v>12430.117152516246</v>
      </c>
      <c r="N73" s="295">
        <f t="shared" si="27"/>
        <v>12430.117152516246</v>
      </c>
      <c r="O73" s="295">
        <f t="shared" si="27"/>
        <v>12430.117152516246</v>
      </c>
      <c r="P73" s="295">
        <f t="shared" si="27"/>
        <v>12430.117152516246</v>
      </c>
      <c r="Q73" s="295">
        <f t="shared" si="27"/>
        <v>12430.117152516246</v>
      </c>
      <c r="R73" s="295">
        <f t="shared" si="27"/>
        <v>12430.117152516246</v>
      </c>
      <c r="S73" s="295">
        <f t="shared" si="27"/>
        <v>12430.117152516246</v>
      </c>
      <c r="T73" s="295">
        <f t="shared" si="26"/>
        <v>12430.117152516246</v>
      </c>
      <c r="U73" s="295">
        <f t="shared" si="26"/>
        <v>12430.117152516246</v>
      </c>
      <c r="V73" s="295">
        <f t="shared" si="26"/>
        <v>12430.117152516246</v>
      </c>
      <c r="W73" s="295">
        <f t="shared" si="26"/>
        <v>12430.117152516246</v>
      </c>
      <c r="X73" s="295">
        <f t="shared" si="26"/>
        <v>12430.117152516246</v>
      </c>
      <c r="Y73" s="295">
        <f t="shared" si="26"/>
        <v>12430.117152516246</v>
      </c>
      <c r="Z73" s="295">
        <f t="shared" si="26"/>
        <v>12430.117152516246</v>
      </c>
      <c r="AA73" s="295">
        <f t="shared" si="26"/>
        <v>12430.117152516246</v>
      </c>
      <c r="AB73" s="295">
        <f t="shared" si="26"/>
        <v>12430.117152516246</v>
      </c>
      <c r="AC73" s="295">
        <f t="shared" si="26"/>
        <v>12430.117152516246</v>
      </c>
      <c r="AD73" s="295">
        <f t="shared" si="26"/>
        <v>12430.117152516246</v>
      </c>
      <c r="AE73" s="296">
        <f t="shared" si="26"/>
        <v>12430.117152516246</v>
      </c>
    </row>
    <row r="74" spans="1:31">
      <c r="A74" s="1711"/>
      <c r="B74" s="116">
        <v>21</v>
      </c>
      <c r="C74" s="294">
        <f t="shared" si="28"/>
        <v>12430.117152516246</v>
      </c>
      <c r="D74" s="295">
        <f t="shared" si="27"/>
        <v>12430.117152516246</v>
      </c>
      <c r="E74" s="295">
        <f t="shared" si="27"/>
        <v>12430.117152516246</v>
      </c>
      <c r="F74" s="295">
        <f t="shared" si="27"/>
        <v>12430.117152516246</v>
      </c>
      <c r="G74" s="295">
        <f t="shared" si="27"/>
        <v>12430.117152516246</v>
      </c>
      <c r="H74" s="295">
        <f t="shared" si="27"/>
        <v>12430.117152516246</v>
      </c>
      <c r="I74" s="295">
        <f t="shared" si="27"/>
        <v>12430.117152516246</v>
      </c>
      <c r="J74" s="295">
        <f t="shared" si="27"/>
        <v>12430.117152516246</v>
      </c>
      <c r="K74" s="295">
        <f t="shared" si="27"/>
        <v>12430.117152516246</v>
      </c>
      <c r="L74" s="295">
        <f t="shared" si="27"/>
        <v>12430.117152516246</v>
      </c>
      <c r="M74" s="295">
        <f t="shared" si="27"/>
        <v>12430.117152516246</v>
      </c>
      <c r="N74" s="295">
        <f t="shared" si="27"/>
        <v>12430.117152516246</v>
      </c>
      <c r="O74" s="295">
        <f t="shared" si="27"/>
        <v>12430.117152516246</v>
      </c>
      <c r="P74" s="295">
        <f t="shared" si="27"/>
        <v>12430.117152516246</v>
      </c>
      <c r="Q74" s="295">
        <f t="shared" si="27"/>
        <v>12430.117152516246</v>
      </c>
      <c r="R74" s="295">
        <f t="shared" si="27"/>
        <v>12430.117152516246</v>
      </c>
      <c r="S74" s="295">
        <f t="shared" si="27"/>
        <v>12430.117152516246</v>
      </c>
      <c r="T74" s="295">
        <f t="shared" si="26"/>
        <v>12430.117152516246</v>
      </c>
      <c r="U74" s="295">
        <f t="shared" si="26"/>
        <v>12430.117152516246</v>
      </c>
      <c r="V74" s="295">
        <f t="shared" si="26"/>
        <v>12430.117152516246</v>
      </c>
      <c r="W74" s="295">
        <f t="shared" si="26"/>
        <v>12430.117152516246</v>
      </c>
      <c r="X74" s="295">
        <f t="shared" si="26"/>
        <v>12430.117152516246</v>
      </c>
      <c r="Y74" s="295">
        <f t="shared" si="26"/>
        <v>12430.117152516246</v>
      </c>
      <c r="Z74" s="295">
        <f t="shared" si="26"/>
        <v>12430.117152516246</v>
      </c>
      <c r="AA74" s="295">
        <f t="shared" si="26"/>
        <v>12430.117152516246</v>
      </c>
      <c r="AB74" s="295">
        <f t="shared" si="26"/>
        <v>12430.117152516246</v>
      </c>
      <c r="AC74" s="295">
        <f t="shared" si="26"/>
        <v>12430.117152516246</v>
      </c>
      <c r="AD74" s="295">
        <f t="shared" si="26"/>
        <v>12430.117152516246</v>
      </c>
      <c r="AE74" s="296">
        <f t="shared" si="26"/>
        <v>12430.117152516246</v>
      </c>
    </row>
    <row r="75" spans="1:31">
      <c r="A75" s="1711"/>
      <c r="B75" s="116">
        <v>22</v>
      </c>
      <c r="C75" s="294">
        <f t="shared" si="28"/>
        <v>12430.117152516246</v>
      </c>
      <c r="D75" s="295">
        <f t="shared" si="27"/>
        <v>12430.117152516246</v>
      </c>
      <c r="E75" s="295">
        <f t="shared" si="27"/>
        <v>12430.117152516246</v>
      </c>
      <c r="F75" s="295">
        <f t="shared" si="27"/>
        <v>12430.117152516246</v>
      </c>
      <c r="G75" s="295">
        <f t="shared" si="27"/>
        <v>12430.117152516246</v>
      </c>
      <c r="H75" s="295">
        <f t="shared" si="27"/>
        <v>12430.117152516246</v>
      </c>
      <c r="I75" s="295">
        <f t="shared" si="27"/>
        <v>12430.117152516246</v>
      </c>
      <c r="J75" s="295">
        <f t="shared" si="27"/>
        <v>12430.117152516246</v>
      </c>
      <c r="K75" s="295">
        <f t="shared" si="27"/>
        <v>12430.117152516246</v>
      </c>
      <c r="L75" s="295">
        <f t="shared" si="27"/>
        <v>12430.117152516246</v>
      </c>
      <c r="M75" s="295">
        <f t="shared" si="27"/>
        <v>12430.117152516246</v>
      </c>
      <c r="N75" s="295">
        <f t="shared" si="27"/>
        <v>12430.117152516246</v>
      </c>
      <c r="O75" s="295">
        <f t="shared" si="27"/>
        <v>12430.117152516246</v>
      </c>
      <c r="P75" s="295">
        <f t="shared" si="27"/>
        <v>12430.117152516246</v>
      </c>
      <c r="Q75" s="295">
        <f t="shared" si="27"/>
        <v>12430.117152516246</v>
      </c>
      <c r="R75" s="295">
        <f t="shared" si="27"/>
        <v>12430.117152516246</v>
      </c>
      <c r="S75" s="295">
        <f t="shared" si="27"/>
        <v>12430.117152516246</v>
      </c>
      <c r="T75" s="295">
        <f t="shared" si="26"/>
        <v>12430.117152516246</v>
      </c>
      <c r="U75" s="295">
        <f t="shared" si="26"/>
        <v>12430.117152516246</v>
      </c>
      <c r="V75" s="295">
        <f t="shared" si="26"/>
        <v>12430.117152516246</v>
      </c>
      <c r="W75" s="295">
        <f t="shared" si="26"/>
        <v>12430.117152516246</v>
      </c>
      <c r="X75" s="295">
        <f t="shared" si="26"/>
        <v>12430.117152516246</v>
      </c>
      <c r="Y75" s="295">
        <f t="shared" si="26"/>
        <v>12430.117152516246</v>
      </c>
      <c r="Z75" s="295">
        <f t="shared" si="26"/>
        <v>12430.117152516246</v>
      </c>
      <c r="AA75" s="295">
        <f t="shared" si="26"/>
        <v>12430.117152516246</v>
      </c>
      <c r="AB75" s="295">
        <f t="shared" si="26"/>
        <v>12430.117152516246</v>
      </c>
      <c r="AC75" s="295">
        <f t="shared" si="26"/>
        <v>12430.117152516246</v>
      </c>
      <c r="AD75" s="295">
        <f t="shared" si="26"/>
        <v>12430.117152516246</v>
      </c>
      <c r="AE75" s="296">
        <f t="shared" si="26"/>
        <v>12430.117152516246</v>
      </c>
    </row>
    <row r="76" spans="1:31">
      <c r="A76" s="1711"/>
      <c r="B76" s="116">
        <v>23</v>
      </c>
      <c r="C76" s="294">
        <f t="shared" si="28"/>
        <v>12430.117152516246</v>
      </c>
      <c r="D76" s="295">
        <f t="shared" si="27"/>
        <v>12430.117152516246</v>
      </c>
      <c r="E76" s="295">
        <f t="shared" si="27"/>
        <v>12430.117152516246</v>
      </c>
      <c r="F76" s="295">
        <f t="shared" si="27"/>
        <v>12430.117152516246</v>
      </c>
      <c r="G76" s="295">
        <f t="shared" si="27"/>
        <v>12430.117152516246</v>
      </c>
      <c r="H76" s="295">
        <f t="shared" si="27"/>
        <v>12430.117152516246</v>
      </c>
      <c r="I76" s="295">
        <f t="shared" si="27"/>
        <v>12430.117152516246</v>
      </c>
      <c r="J76" s="295">
        <f t="shared" si="27"/>
        <v>12430.117152516246</v>
      </c>
      <c r="K76" s="295">
        <f t="shared" si="27"/>
        <v>12430.117152516246</v>
      </c>
      <c r="L76" s="295">
        <f t="shared" si="27"/>
        <v>12430.117152516246</v>
      </c>
      <c r="M76" s="295">
        <f t="shared" si="27"/>
        <v>12430.117152516246</v>
      </c>
      <c r="N76" s="295">
        <f t="shared" si="27"/>
        <v>12430.117152516246</v>
      </c>
      <c r="O76" s="295">
        <f t="shared" si="27"/>
        <v>12430.117152516246</v>
      </c>
      <c r="P76" s="295">
        <f t="shared" si="27"/>
        <v>12430.117152516246</v>
      </c>
      <c r="Q76" s="295">
        <f t="shared" si="27"/>
        <v>12430.117152516246</v>
      </c>
      <c r="R76" s="295">
        <f t="shared" si="27"/>
        <v>12430.117152516246</v>
      </c>
      <c r="S76" s="295">
        <f t="shared" si="27"/>
        <v>12430.117152516246</v>
      </c>
      <c r="T76" s="295">
        <f t="shared" si="26"/>
        <v>12430.117152516246</v>
      </c>
      <c r="U76" s="295">
        <f t="shared" si="26"/>
        <v>12430.117152516246</v>
      </c>
      <c r="V76" s="295">
        <f t="shared" si="26"/>
        <v>12430.117152516246</v>
      </c>
      <c r="W76" s="295">
        <f t="shared" si="26"/>
        <v>12430.117152516246</v>
      </c>
      <c r="X76" s="295">
        <f t="shared" si="26"/>
        <v>12430.117152516246</v>
      </c>
      <c r="Y76" s="295">
        <f t="shared" si="26"/>
        <v>12430.117152516246</v>
      </c>
      <c r="Z76" s="295">
        <f t="shared" si="26"/>
        <v>12430.117152516246</v>
      </c>
      <c r="AA76" s="295">
        <f t="shared" si="26"/>
        <v>12430.117152516246</v>
      </c>
      <c r="AB76" s="295">
        <f t="shared" si="26"/>
        <v>12430.117152516246</v>
      </c>
      <c r="AC76" s="295">
        <f t="shared" si="26"/>
        <v>12430.117152516246</v>
      </c>
      <c r="AD76" s="295">
        <f t="shared" si="26"/>
        <v>12430.117152516246</v>
      </c>
      <c r="AE76" s="296">
        <f t="shared" si="26"/>
        <v>12430.117152516246</v>
      </c>
    </row>
    <row r="77" spans="1:31">
      <c r="A77" s="1711"/>
      <c r="B77" s="116">
        <v>24</v>
      </c>
      <c r="C77" s="294">
        <f t="shared" si="28"/>
        <v>12430.117152516246</v>
      </c>
      <c r="D77" s="295">
        <f t="shared" si="27"/>
        <v>12430.117152516246</v>
      </c>
      <c r="E77" s="295">
        <f t="shared" si="27"/>
        <v>12430.117152516246</v>
      </c>
      <c r="F77" s="295">
        <f t="shared" si="27"/>
        <v>12430.117152516246</v>
      </c>
      <c r="G77" s="295">
        <f t="shared" si="27"/>
        <v>12430.117152516246</v>
      </c>
      <c r="H77" s="295">
        <f t="shared" si="27"/>
        <v>12430.117152516246</v>
      </c>
      <c r="I77" s="295">
        <f t="shared" si="27"/>
        <v>12430.117152516246</v>
      </c>
      <c r="J77" s="295">
        <f t="shared" si="27"/>
        <v>12430.117152516246</v>
      </c>
      <c r="K77" s="295">
        <f t="shared" si="27"/>
        <v>12430.117152516246</v>
      </c>
      <c r="L77" s="295">
        <f t="shared" si="27"/>
        <v>12430.117152516246</v>
      </c>
      <c r="M77" s="295">
        <f t="shared" si="27"/>
        <v>12430.117152516246</v>
      </c>
      <c r="N77" s="295">
        <f t="shared" si="27"/>
        <v>12430.117152516246</v>
      </c>
      <c r="O77" s="295">
        <f t="shared" si="27"/>
        <v>12430.117152516246</v>
      </c>
      <c r="P77" s="295">
        <f t="shared" si="27"/>
        <v>12430.117152516246</v>
      </c>
      <c r="Q77" s="295">
        <f t="shared" si="27"/>
        <v>12430.117152516246</v>
      </c>
      <c r="R77" s="295">
        <f t="shared" si="27"/>
        <v>12430.117152516246</v>
      </c>
      <c r="S77" s="295">
        <f t="shared" si="27"/>
        <v>12430.117152516246</v>
      </c>
      <c r="T77" s="295">
        <f t="shared" si="26"/>
        <v>12430.117152516246</v>
      </c>
      <c r="U77" s="295">
        <f t="shared" si="26"/>
        <v>12430.117152516246</v>
      </c>
      <c r="V77" s="295">
        <f t="shared" si="26"/>
        <v>12430.117152516246</v>
      </c>
      <c r="W77" s="295">
        <f t="shared" si="26"/>
        <v>12430.117152516246</v>
      </c>
      <c r="X77" s="295">
        <f t="shared" si="26"/>
        <v>12430.117152516246</v>
      </c>
      <c r="Y77" s="295">
        <f t="shared" si="26"/>
        <v>12430.117152516246</v>
      </c>
      <c r="Z77" s="295">
        <f t="shared" si="26"/>
        <v>12430.117152516246</v>
      </c>
      <c r="AA77" s="295">
        <f t="shared" si="26"/>
        <v>12430.117152516246</v>
      </c>
      <c r="AB77" s="295">
        <f t="shared" si="26"/>
        <v>12430.117152516246</v>
      </c>
      <c r="AC77" s="295">
        <f t="shared" si="26"/>
        <v>12430.117152516246</v>
      </c>
      <c r="AD77" s="295">
        <f t="shared" si="26"/>
        <v>12430.117152516246</v>
      </c>
      <c r="AE77" s="296">
        <f t="shared" si="26"/>
        <v>12430.117152516246</v>
      </c>
    </row>
    <row r="78" spans="1:31" ht="15.75" thickBot="1">
      <c r="A78" s="1711"/>
      <c r="B78" s="116">
        <v>25</v>
      </c>
      <c r="C78" s="297">
        <f t="shared" si="28"/>
        <v>12430.117152516246</v>
      </c>
      <c r="D78" s="298">
        <f t="shared" si="27"/>
        <v>12430.117152516246</v>
      </c>
      <c r="E78" s="298">
        <f t="shared" si="27"/>
        <v>12430.117152516246</v>
      </c>
      <c r="F78" s="298">
        <f t="shared" si="27"/>
        <v>12430.117152516246</v>
      </c>
      <c r="G78" s="298">
        <f t="shared" si="27"/>
        <v>12430.117152516246</v>
      </c>
      <c r="H78" s="298">
        <f t="shared" si="27"/>
        <v>12430.117152516246</v>
      </c>
      <c r="I78" s="298">
        <f t="shared" si="27"/>
        <v>12430.117152516246</v>
      </c>
      <c r="J78" s="298">
        <f t="shared" si="27"/>
        <v>12430.117152516246</v>
      </c>
      <c r="K78" s="298">
        <f t="shared" si="27"/>
        <v>12430.117152516246</v>
      </c>
      <c r="L78" s="298">
        <f t="shared" si="27"/>
        <v>12430.117152516246</v>
      </c>
      <c r="M78" s="298">
        <f t="shared" si="27"/>
        <v>12430.117152516246</v>
      </c>
      <c r="N78" s="298">
        <f t="shared" si="27"/>
        <v>12430.117152516246</v>
      </c>
      <c r="O78" s="298">
        <f t="shared" si="27"/>
        <v>12430.117152516246</v>
      </c>
      <c r="P78" s="298">
        <f t="shared" si="27"/>
        <v>12430.117152516246</v>
      </c>
      <c r="Q78" s="298">
        <f t="shared" si="27"/>
        <v>12430.117152516246</v>
      </c>
      <c r="R78" s="298">
        <f t="shared" si="27"/>
        <v>12430.117152516246</v>
      </c>
      <c r="S78" s="298">
        <f t="shared" si="27"/>
        <v>12430.117152516246</v>
      </c>
      <c r="T78" s="298">
        <f t="shared" si="26"/>
        <v>12430.117152516246</v>
      </c>
      <c r="U78" s="298">
        <f t="shared" si="26"/>
        <v>12430.117152516246</v>
      </c>
      <c r="V78" s="298">
        <f t="shared" si="26"/>
        <v>12430.117152516246</v>
      </c>
      <c r="W78" s="298">
        <f t="shared" si="26"/>
        <v>12430.117152516246</v>
      </c>
      <c r="X78" s="298">
        <f t="shared" si="26"/>
        <v>12430.117152516246</v>
      </c>
      <c r="Y78" s="298">
        <f t="shared" si="26"/>
        <v>12430.117152516246</v>
      </c>
      <c r="Z78" s="298">
        <f t="shared" si="26"/>
        <v>12430.117152516246</v>
      </c>
      <c r="AA78" s="298">
        <f t="shared" si="26"/>
        <v>12430.117152516246</v>
      </c>
      <c r="AB78" s="298">
        <f t="shared" si="26"/>
        <v>12430.117152516246</v>
      </c>
      <c r="AC78" s="298">
        <f t="shared" si="26"/>
        <v>12430.117152516246</v>
      </c>
      <c r="AD78" s="298">
        <f t="shared" si="26"/>
        <v>12430.117152516246</v>
      </c>
      <c r="AE78" s="299">
        <f t="shared" si="26"/>
        <v>12430.117152516246</v>
      </c>
    </row>
    <row r="79" spans="1:31" ht="16.5" thickTop="1" thickBot="1">
      <c r="A79" s="1712"/>
      <c r="B79" s="300" t="s">
        <v>39</v>
      </c>
      <c r="C79" s="461">
        <f>IF('CAR Stock'!C108=0,0,SUMPRODUCT(C53:C78,'CAR Stock'!C82:C107)/'CAR Stock'!C108)</f>
        <v>14600.873321885019</v>
      </c>
      <c r="D79" s="461">
        <f>IF('CAR Stock'!D108=0,0,SUMPRODUCT(D53:D78,'CAR Stock'!D82:D107)/'CAR Stock'!D108)</f>
        <v>14626.487523785148</v>
      </c>
      <c r="E79" s="461">
        <f>IF('CAR Stock'!E108=0,0,SUMPRODUCT(E53:E78,'CAR Stock'!E82:E107)/'CAR Stock'!E108)</f>
        <v>14569.035892697577</v>
      </c>
      <c r="F79" s="461">
        <f>IF('CAR Stock'!F108=0,0,SUMPRODUCT(F53:F78,'CAR Stock'!F82:F107)/'CAR Stock'!F108)</f>
        <v>14462.848190171686</v>
      </c>
      <c r="G79" s="461">
        <f>IF('CAR Stock'!G108=0,0,SUMPRODUCT(G53:G78,'CAR Stock'!G82:G107)/'CAR Stock'!G108)</f>
        <v>14331.861347644934</v>
      </c>
      <c r="H79" s="461">
        <f>IF('CAR Stock'!H108=0,0,SUMPRODUCT(H53:H78,'CAR Stock'!H82:H107)/'CAR Stock'!H108)</f>
        <v>14193.829495957772</v>
      </c>
      <c r="I79" s="461">
        <f>IF('CAR Stock'!I108=0,0,SUMPRODUCT(I53:I78,'CAR Stock'!I82:I107)/'CAR Stock'!I108)</f>
        <v>14060.370250130436</v>
      </c>
      <c r="J79" s="461">
        <f>IF('CAR Stock'!J108=0,0,SUMPRODUCT(J53:J78,'CAR Stock'!J82:J107)/'CAR Stock'!J108)</f>
        <v>13938.97852725373</v>
      </c>
      <c r="K79" s="461">
        <f>IF('CAR Stock'!K108=0,0,SUMPRODUCT(K53:K78,'CAR Stock'!K82:K107)/'CAR Stock'!K108)</f>
        <v>13829.591199314038</v>
      </c>
      <c r="L79" s="461">
        <f>IF('CAR Stock'!L108=0,0,SUMPRODUCT(L53:L78,'CAR Stock'!L82:L107)/'CAR Stock'!L108)</f>
        <v>13720.787016431364</v>
      </c>
      <c r="M79" s="461">
        <f>IF('CAR Stock'!M108=0,0,SUMPRODUCT(M53:M78,'CAR Stock'!M82:M107)/'CAR Stock'!M108)</f>
        <v>13594.626541769516</v>
      </c>
      <c r="N79" s="461">
        <f>IF('CAR Stock'!N108=0,0,SUMPRODUCT(N53:N78,'CAR Stock'!N82:N107)/'CAR Stock'!N108)</f>
        <v>13438.513712489639</v>
      </c>
      <c r="O79" s="461">
        <f>IF('CAR Stock'!O108=0,0,SUMPRODUCT(O53:O78,'CAR Stock'!O82:O107)/'CAR Stock'!O108)</f>
        <v>13251.911986915595</v>
      </c>
      <c r="P79" s="461">
        <f>IF('CAR Stock'!P108=0,0,SUMPRODUCT(P53:P78,'CAR Stock'!P82:P107)/'CAR Stock'!P108)</f>
        <v>13047.751502686473</v>
      </c>
      <c r="Q79" s="461">
        <f>IF('CAR Stock'!Q108=0,0,SUMPRODUCT(Q53:Q78,'CAR Stock'!Q82:Q107)/'CAR Stock'!Q108)</f>
        <v>12827.825249791542</v>
      </c>
      <c r="R79" s="461">
        <f>IF('CAR Stock'!R108=0,0,SUMPRODUCT(R53:R78,'CAR Stock'!R82:R107)/'CAR Stock'!R108)</f>
        <v>12603.803165873687</v>
      </c>
      <c r="S79" s="461">
        <f>IF('CAR Stock'!S108=0,0,SUMPRODUCT(S53:S78,'CAR Stock'!S82:S107)/'CAR Stock'!S108)</f>
        <v>12430.117152516248</v>
      </c>
      <c r="T79" s="461">
        <f>IF('CAR Stock'!T108=0,0,SUMPRODUCT(T53:T78,'CAR Stock'!T82:T107)/'CAR Stock'!T108)</f>
        <v>12430.117152516244</v>
      </c>
      <c r="U79" s="461">
        <f>IF('CAR Stock'!U108=0,0,SUMPRODUCT(U53:U78,'CAR Stock'!U82:U107)/'CAR Stock'!U108)</f>
        <v>12430.117152516248</v>
      </c>
      <c r="V79" s="461">
        <f>IF('CAR Stock'!V108=0,0,SUMPRODUCT(V53:V78,'CAR Stock'!V82:V107)/'CAR Stock'!V108)</f>
        <v>12430.117152516248</v>
      </c>
      <c r="W79" s="461">
        <f>IF('CAR Stock'!W108=0,0,SUMPRODUCT(W53:W78,'CAR Stock'!W82:W107)/'CAR Stock'!W108)</f>
        <v>12430.117152516244</v>
      </c>
      <c r="X79" s="461">
        <f>IF('CAR Stock'!X108=0,0,SUMPRODUCT(X53:X78,'CAR Stock'!X82:X107)/'CAR Stock'!X108)</f>
        <v>12430.11715251625</v>
      </c>
      <c r="Y79" s="461">
        <f>IF('CAR Stock'!Y108=0,0,SUMPRODUCT(Y53:Y78,'CAR Stock'!Y82:Y107)/'CAR Stock'!Y108)</f>
        <v>12430.117152516244</v>
      </c>
      <c r="Z79" s="461">
        <f>IF('CAR Stock'!Z108=0,0,SUMPRODUCT(Z53:Z78,'CAR Stock'!Z82:Z107)/'CAR Stock'!Z108)</f>
        <v>12430.117152516248</v>
      </c>
      <c r="AA79" s="461">
        <f>IF('CAR Stock'!AA108=0,0,SUMPRODUCT(AA53:AA78,'CAR Stock'!AA82:AA107)/'CAR Stock'!AA108)</f>
        <v>12430.117152516246</v>
      </c>
      <c r="AB79" s="461">
        <f>IF('CAR Stock'!AB108=0,0,SUMPRODUCT(AB53:AB78,'CAR Stock'!AB82:AB107)/'CAR Stock'!AB108)</f>
        <v>0</v>
      </c>
      <c r="AC79" s="461">
        <f>IF('CAR Stock'!AC108=0,0,SUMPRODUCT(AC53:AC78,'CAR Stock'!AC82:AC107)/'CAR Stock'!AC108)</f>
        <v>0</v>
      </c>
      <c r="AD79" s="461">
        <f>IF('CAR Stock'!AD108=0,0,SUMPRODUCT(AD53:AD78,'CAR Stock'!AD82:AD107)/'CAR Stock'!AD108)</f>
        <v>0</v>
      </c>
      <c r="AE79" s="462">
        <f>IF('CAR Stock'!AE108=0,0,SUMPRODUCT(AE53:AE78,'CAR Stock'!AE82:AE107)/'CAR Stock'!AE108)</f>
        <v>0</v>
      </c>
    </row>
    <row r="80" spans="1:31" ht="15.75" thickBot="1"/>
    <row r="81" spans="1:31" ht="15.75" thickBot="1">
      <c r="A81" s="1710" t="s">
        <v>43</v>
      </c>
      <c r="B81" s="169" t="s">
        <v>10</v>
      </c>
      <c r="C81" s="288">
        <v>2012</v>
      </c>
      <c r="D81" s="289">
        <v>2013</v>
      </c>
      <c r="E81" s="289">
        <v>2014</v>
      </c>
      <c r="F81" s="289">
        <v>2015</v>
      </c>
      <c r="G81" s="288">
        <v>2016</v>
      </c>
      <c r="H81" s="289">
        <v>2017</v>
      </c>
      <c r="I81" s="289">
        <v>2018</v>
      </c>
      <c r="J81" s="289">
        <v>2019</v>
      </c>
      <c r="K81" s="288">
        <v>2020</v>
      </c>
      <c r="L81" s="289">
        <v>2021</v>
      </c>
      <c r="M81" s="289">
        <v>2022</v>
      </c>
      <c r="N81" s="289">
        <v>2023</v>
      </c>
      <c r="O81" s="288">
        <v>2024</v>
      </c>
      <c r="P81" s="289">
        <v>2025</v>
      </c>
      <c r="Q81" s="289">
        <v>2026</v>
      </c>
      <c r="R81" s="289">
        <v>2027</v>
      </c>
      <c r="S81" s="288">
        <v>2028</v>
      </c>
      <c r="T81" s="289">
        <v>2029</v>
      </c>
      <c r="U81" s="289">
        <v>2030</v>
      </c>
      <c r="V81" s="289">
        <v>2031</v>
      </c>
      <c r="W81" s="288">
        <v>2032</v>
      </c>
      <c r="X81" s="289">
        <v>2033</v>
      </c>
      <c r="Y81" s="289">
        <v>2034</v>
      </c>
      <c r="Z81" s="289">
        <v>2035</v>
      </c>
      <c r="AA81" s="288">
        <v>2036</v>
      </c>
      <c r="AB81" s="289">
        <v>2037</v>
      </c>
      <c r="AC81" s="289">
        <v>2038</v>
      </c>
      <c r="AD81" s="289">
        <v>2039</v>
      </c>
      <c r="AE81" s="290">
        <v>2040</v>
      </c>
    </row>
    <row r="82" spans="1:31">
      <c r="A82" s="1711"/>
      <c r="B82" s="116">
        <v>0</v>
      </c>
      <c r="C82" s="291">
        <f>'CAR Mileage'!D4</f>
        <v>19467.759716307228</v>
      </c>
      <c r="D82" s="292">
        <f>C82</f>
        <v>19467.759716307228</v>
      </c>
      <c r="E82" s="292">
        <f t="shared" ref="E82:T82" si="29">D82</f>
        <v>19467.759716307228</v>
      </c>
      <c r="F82" s="292">
        <f t="shared" si="29"/>
        <v>19467.759716307228</v>
      </c>
      <c r="G82" s="292">
        <f t="shared" si="29"/>
        <v>19467.759716307228</v>
      </c>
      <c r="H82" s="292">
        <f t="shared" si="29"/>
        <v>19467.759716307228</v>
      </c>
      <c r="I82" s="292">
        <f t="shared" si="29"/>
        <v>19467.759716307228</v>
      </c>
      <c r="J82" s="292">
        <f t="shared" si="29"/>
        <v>19467.759716307228</v>
      </c>
      <c r="K82" s="292">
        <f t="shared" si="29"/>
        <v>19467.759716307228</v>
      </c>
      <c r="L82" s="292">
        <f t="shared" si="29"/>
        <v>19467.759716307228</v>
      </c>
      <c r="M82" s="292">
        <f t="shared" si="29"/>
        <v>19467.759716307228</v>
      </c>
      <c r="N82" s="292">
        <f t="shared" si="29"/>
        <v>19467.759716307228</v>
      </c>
      <c r="O82" s="292">
        <f t="shared" si="29"/>
        <v>19467.759716307228</v>
      </c>
      <c r="P82" s="292">
        <f t="shared" si="29"/>
        <v>19467.759716307228</v>
      </c>
      <c r="Q82" s="292">
        <f t="shared" si="29"/>
        <v>19467.759716307228</v>
      </c>
      <c r="R82" s="292">
        <f t="shared" si="29"/>
        <v>19467.759716307228</v>
      </c>
      <c r="S82" s="292">
        <f t="shared" si="29"/>
        <v>19467.759716307228</v>
      </c>
      <c r="T82" s="292">
        <f t="shared" si="29"/>
        <v>19467.759716307228</v>
      </c>
      <c r="U82" s="292">
        <f t="shared" ref="T82:AE97" si="30">T82</f>
        <v>19467.759716307228</v>
      </c>
      <c r="V82" s="292">
        <f t="shared" si="30"/>
        <v>19467.759716307228</v>
      </c>
      <c r="W82" s="292">
        <f t="shared" si="30"/>
        <v>19467.759716307228</v>
      </c>
      <c r="X82" s="292">
        <f t="shared" si="30"/>
        <v>19467.759716307228</v>
      </c>
      <c r="Y82" s="292">
        <f t="shared" si="30"/>
        <v>19467.759716307228</v>
      </c>
      <c r="Z82" s="292">
        <f t="shared" si="30"/>
        <v>19467.759716307228</v>
      </c>
      <c r="AA82" s="292">
        <f t="shared" si="30"/>
        <v>19467.759716307228</v>
      </c>
      <c r="AB82" s="292">
        <f t="shared" si="30"/>
        <v>19467.759716307228</v>
      </c>
      <c r="AC82" s="292">
        <f t="shared" si="30"/>
        <v>19467.759716307228</v>
      </c>
      <c r="AD82" s="292">
        <f t="shared" si="30"/>
        <v>19467.759716307228</v>
      </c>
      <c r="AE82" s="293">
        <f t="shared" si="30"/>
        <v>19467.759716307228</v>
      </c>
    </row>
    <row r="83" spans="1:31">
      <c r="A83" s="1711"/>
      <c r="B83" s="116">
        <v>1</v>
      </c>
      <c r="C83" s="294">
        <f>'CAR Mileage'!D5</f>
        <v>19078.404521981083</v>
      </c>
      <c r="D83" s="295">
        <f t="shared" ref="D83:S98" si="31">C83</f>
        <v>19078.404521981083</v>
      </c>
      <c r="E83" s="295">
        <f t="shared" si="31"/>
        <v>19078.404521981083</v>
      </c>
      <c r="F83" s="295">
        <f t="shared" si="31"/>
        <v>19078.404521981083</v>
      </c>
      <c r="G83" s="295">
        <f t="shared" si="31"/>
        <v>19078.404521981083</v>
      </c>
      <c r="H83" s="295">
        <f t="shared" si="31"/>
        <v>19078.404521981083</v>
      </c>
      <c r="I83" s="295">
        <f t="shared" si="31"/>
        <v>19078.404521981083</v>
      </c>
      <c r="J83" s="295">
        <f t="shared" si="31"/>
        <v>19078.404521981083</v>
      </c>
      <c r="K83" s="295">
        <f t="shared" si="31"/>
        <v>19078.404521981083</v>
      </c>
      <c r="L83" s="295">
        <f t="shared" si="31"/>
        <v>19078.404521981083</v>
      </c>
      <c r="M83" s="295">
        <f t="shared" si="31"/>
        <v>19078.404521981083</v>
      </c>
      <c r="N83" s="295">
        <f t="shared" si="31"/>
        <v>19078.404521981083</v>
      </c>
      <c r="O83" s="295">
        <f t="shared" si="31"/>
        <v>19078.404521981083</v>
      </c>
      <c r="P83" s="295">
        <f t="shared" si="31"/>
        <v>19078.404521981083</v>
      </c>
      <c r="Q83" s="295">
        <f t="shared" si="31"/>
        <v>19078.404521981083</v>
      </c>
      <c r="R83" s="295">
        <f t="shared" si="31"/>
        <v>19078.404521981083</v>
      </c>
      <c r="S83" s="295">
        <f t="shared" si="31"/>
        <v>19078.404521981083</v>
      </c>
      <c r="T83" s="295">
        <f t="shared" si="30"/>
        <v>19078.404521981083</v>
      </c>
      <c r="U83" s="295">
        <f t="shared" si="30"/>
        <v>19078.404521981083</v>
      </c>
      <c r="V83" s="295">
        <f t="shared" si="30"/>
        <v>19078.404521981083</v>
      </c>
      <c r="W83" s="295">
        <f t="shared" si="30"/>
        <v>19078.404521981083</v>
      </c>
      <c r="X83" s="295">
        <f t="shared" si="30"/>
        <v>19078.404521981083</v>
      </c>
      <c r="Y83" s="295">
        <f t="shared" si="30"/>
        <v>19078.404521981083</v>
      </c>
      <c r="Z83" s="295">
        <f t="shared" si="30"/>
        <v>19078.404521981083</v>
      </c>
      <c r="AA83" s="295">
        <f t="shared" si="30"/>
        <v>19078.404521981083</v>
      </c>
      <c r="AB83" s="295">
        <f t="shared" si="30"/>
        <v>19078.404521981083</v>
      </c>
      <c r="AC83" s="295">
        <f t="shared" si="30"/>
        <v>19078.404521981083</v>
      </c>
      <c r="AD83" s="295">
        <f t="shared" si="30"/>
        <v>19078.404521981083</v>
      </c>
      <c r="AE83" s="296">
        <f t="shared" si="30"/>
        <v>19078.404521981083</v>
      </c>
    </row>
    <row r="84" spans="1:31">
      <c r="A84" s="1711"/>
      <c r="B84" s="116">
        <v>2</v>
      </c>
      <c r="C84" s="294">
        <f>'CAR Mileage'!D6</f>
        <v>18696.836431541462</v>
      </c>
      <c r="D84" s="295">
        <f t="shared" si="31"/>
        <v>18696.836431541462</v>
      </c>
      <c r="E84" s="295">
        <f t="shared" si="31"/>
        <v>18696.836431541462</v>
      </c>
      <c r="F84" s="295">
        <f t="shared" si="31"/>
        <v>18696.836431541462</v>
      </c>
      <c r="G84" s="295">
        <f t="shared" si="31"/>
        <v>18696.836431541462</v>
      </c>
      <c r="H84" s="295">
        <f t="shared" si="31"/>
        <v>18696.836431541462</v>
      </c>
      <c r="I84" s="295">
        <f t="shared" si="31"/>
        <v>18696.836431541462</v>
      </c>
      <c r="J84" s="295">
        <f t="shared" si="31"/>
        <v>18696.836431541462</v>
      </c>
      <c r="K84" s="295">
        <f t="shared" si="31"/>
        <v>18696.836431541462</v>
      </c>
      <c r="L84" s="295">
        <f t="shared" si="31"/>
        <v>18696.836431541462</v>
      </c>
      <c r="M84" s="295">
        <f t="shared" si="31"/>
        <v>18696.836431541462</v>
      </c>
      <c r="N84" s="295">
        <f t="shared" si="31"/>
        <v>18696.836431541462</v>
      </c>
      <c r="O84" s="295">
        <f t="shared" si="31"/>
        <v>18696.836431541462</v>
      </c>
      <c r="P84" s="295">
        <f t="shared" si="31"/>
        <v>18696.836431541462</v>
      </c>
      <c r="Q84" s="295">
        <f t="shared" si="31"/>
        <v>18696.836431541462</v>
      </c>
      <c r="R84" s="295">
        <f t="shared" si="31"/>
        <v>18696.836431541462</v>
      </c>
      <c r="S84" s="295">
        <f t="shared" si="31"/>
        <v>18696.836431541462</v>
      </c>
      <c r="T84" s="295">
        <f t="shared" si="30"/>
        <v>18696.836431541462</v>
      </c>
      <c r="U84" s="295">
        <f t="shared" si="30"/>
        <v>18696.836431541462</v>
      </c>
      <c r="V84" s="295">
        <f t="shared" si="30"/>
        <v>18696.836431541462</v>
      </c>
      <c r="W84" s="295">
        <f t="shared" si="30"/>
        <v>18696.836431541462</v>
      </c>
      <c r="X84" s="295">
        <f t="shared" si="30"/>
        <v>18696.836431541462</v>
      </c>
      <c r="Y84" s="295">
        <f t="shared" si="30"/>
        <v>18696.836431541462</v>
      </c>
      <c r="Z84" s="295">
        <f t="shared" si="30"/>
        <v>18696.836431541462</v>
      </c>
      <c r="AA84" s="295">
        <f t="shared" si="30"/>
        <v>18696.836431541462</v>
      </c>
      <c r="AB84" s="295">
        <f t="shared" si="30"/>
        <v>18696.836431541462</v>
      </c>
      <c r="AC84" s="295">
        <f t="shared" si="30"/>
        <v>18696.836431541462</v>
      </c>
      <c r="AD84" s="295">
        <f t="shared" si="30"/>
        <v>18696.836431541462</v>
      </c>
      <c r="AE84" s="296">
        <f t="shared" si="30"/>
        <v>18696.836431541462</v>
      </c>
    </row>
    <row r="85" spans="1:31">
      <c r="A85" s="1711"/>
      <c r="B85" s="116">
        <v>3</v>
      </c>
      <c r="C85" s="294">
        <f>'CAR Mileage'!D7</f>
        <v>18322.899702910632</v>
      </c>
      <c r="D85" s="295">
        <f t="shared" si="31"/>
        <v>18322.899702910632</v>
      </c>
      <c r="E85" s="295">
        <f t="shared" si="31"/>
        <v>18322.899702910632</v>
      </c>
      <c r="F85" s="295">
        <f t="shared" si="31"/>
        <v>18322.899702910632</v>
      </c>
      <c r="G85" s="295">
        <f t="shared" si="31"/>
        <v>18322.899702910632</v>
      </c>
      <c r="H85" s="295">
        <f t="shared" si="31"/>
        <v>18322.899702910632</v>
      </c>
      <c r="I85" s="295">
        <f t="shared" si="31"/>
        <v>18322.899702910632</v>
      </c>
      <c r="J85" s="295">
        <f t="shared" si="31"/>
        <v>18322.899702910632</v>
      </c>
      <c r="K85" s="295">
        <f t="shared" si="31"/>
        <v>18322.899702910632</v>
      </c>
      <c r="L85" s="295">
        <f t="shared" si="31"/>
        <v>18322.899702910632</v>
      </c>
      <c r="M85" s="295">
        <f t="shared" si="31"/>
        <v>18322.899702910632</v>
      </c>
      <c r="N85" s="295">
        <f t="shared" si="31"/>
        <v>18322.899702910632</v>
      </c>
      <c r="O85" s="295">
        <f t="shared" si="31"/>
        <v>18322.899702910632</v>
      </c>
      <c r="P85" s="295">
        <f t="shared" si="31"/>
        <v>18322.899702910632</v>
      </c>
      <c r="Q85" s="295">
        <f t="shared" si="31"/>
        <v>18322.899702910632</v>
      </c>
      <c r="R85" s="295">
        <f t="shared" si="31"/>
        <v>18322.899702910632</v>
      </c>
      <c r="S85" s="295">
        <f t="shared" si="31"/>
        <v>18322.899702910632</v>
      </c>
      <c r="T85" s="295">
        <f t="shared" si="30"/>
        <v>18322.899702910632</v>
      </c>
      <c r="U85" s="295">
        <f t="shared" si="30"/>
        <v>18322.899702910632</v>
      </c>
      <c r="V85" s="295">
        <f t="shared" si="30"/>
        <v>18322.899702910632</v>
      </c>
      <c r="W85" s="295">
        <f t="shared" si="30"/>
        <v>18322.899702910632</v>
      </c>
      <c r="X85" s="295">
        <f t="shared" si="30"/>
        <v>18322.899702910632</v>
      </c>
      <c r="Y85" s="295">
        <f t="shared" si="30"/>
        <v>18322.899702910632</v>
      </c>
      <c r="Z85" s="295">
        <f t="shared" si="30"/>
        <v>18322.899702910632</v>
      </c>
      <c r="AA85" s="295">
        <f t="shared" si="30"/>
        <v>18322.899702910632</v>
      </c>
      <c r="AB85" s="295">
        <f t="shared" si="30"/>
        <v>18322.899702910632</v>
      </c>
      <c r="AC85" s="295">
        <f t="shared" si="30"/>
        <v>18322.899702910632</v>
      </c>
      <c r="AD85" s="295">
        <f t="shared" si="30"/>
        <v>18322.899702910632</v>
      </c>
      <c r="AE85" s="296">
        <f t="shared" si="30"/>
        <v>18322.899702910632</v>
      </c>
    </row>
    <row r="86" spans="1:31">
      <c r="A86" s="1711"/>
      <c r="B86" s="116">
        <v>4</v>
      </c>
      <c r="C86" s="294">
        <f>'CAR Mileage'!D8</f>
        <v>17956.441708852421</v>
      </c>
      <c r="D86" s="295">
        <f t="shared" si="31"/>
        <v>17956.441708852421</v>
      </c>
      <c r="E86" s="295">
        <f t="shared" si="31"/>
        <v>17956.441708852421</v>
      </c>
      <c r="F86" s="295">
        <f t="shared" si="31"/>
        <v>17956.441708852421</v>
      </c>
      <c r="G86" s="295">
        <f t="shared" si="31"/>
        <v>17956.441708852421</v>
      </c>
      <c r="H86" s="295">
        <f t="shared" si="31"/>
        <v>17956.441708852421</v>
      </c>
      <c r="I86" s="295">
        <f t="shared" si="31"/>
        <v>17956.441708852421</v>
      </c>
      <c r="J86" s="295">
        <f t="shared" si="31"/>
        <v>17956.441708852421</v>
      </c>
      <c r="K86" s="295">
        <f t="shared" si="31"/>
        <v>17956.441708852421</v>
      </c>
      <c r="L86" s="295">
        <f t="shared" si="31"/>
        <v>17956.441708852421</v>
      </c>
      <c r="M86" s="295">
        <f t="shared" si="31"/>
        <v>17956.441708852421</v>
      </c>
      <c r="N86" s="295">
        <f t="shared" si="31"/>
        <v>17956.441708852421</v>
      </c>
      <c r="O86" s="295">
        <f t="shared" si="31"/>
        <v>17956.441708852421</v>
      </c>
      <c r="P86" s="295">
        <f t="shared" si="31"/>
        <v>17956.441708852421</v>
      </c>
      <c r="Q86" s="295">
        <f t="shared" si="31"/>
        <v>17956.441708852421</v>
      </c>
      <c r="R86" s="295">
        <f t="shared" si="31"/>
        <v>17956.441708852421</v>
      </c>
      <c r="S86" s="295">
        <f t="shared" si="31"/>
        <v>17956.441708852421</v>
      </c>
      <c r="T86" s="295">
        <f t="shared" si="30"/>
        <v>17956.441708852421</v>
      </c>
      <c r="U86" s="295">
        <f t="shared" si="30"/>
        <v>17956.441708852421</v>
      </c>
      <c r="V86" s="295">
        <f t="shared" si="30"/>
        <v>17956.441708852421</v>
      </c>
      <c r="W86" s="295">
        <f t="shared" si="30"/>
        <v>17956.441708852421</v>
      </c>
      <c r="X86" s="295">
        <f t="shared" si="30"/>
        <v>17956.441708852421</v>
      </c>
      <c r="Y86" s="295">
        <f t="shared" si="30"/>
        <v>17956.441708852421</v>
      </c>
      <c r="Z86" s="295">
        <f t="shared" si="30"/>
        <v>17956.441708852421</v>
      </c>
      <c r="AA86" s="295">
        <f t="shared" si="30"/>
        <v>17956.441708852421</v>
      </c>
      <c r="AB86" s="295">
        <f t="shared" si="30"/>
        <v>17956.441708852421</v>
      </c>
      <c r="AC86" s="295">
        <f t="shared" si="30"/>
        <v>17956.441708852421</v>
      </c>
      <c r="AD86" s="295">
        <f t="shared" si="30"/>
        <v>17956.441708852421</v>
      </c>
      <c r="AE86" s="296">
        <f t="shared" si="30"/>
        <v>17956.441708852421</v>
      </c>
    </row>
    <row r="87" spans="1:31">
      <c r="A87" s="1711"/>
      <c r="B87" s="116">
        <v>5</v>
      </c>
      <c r="C87" s="294">
        <f>'CAR Mileage'!D9</f>
        <v>17597.312874675372</v>
      </c>
      <c r="D87" s="295">
        <f t="shared" si="31"/>
        <v>17597.312874675372</v>
      </c>
      <c r="E87" s="295">
        <f t="shared" si="31"/>
        <v>17597.312874675372</v>
      </c>
      <c r="F87" s="295">
        <f t="shared" si="31"/>
        <v>17597.312874675372</v>
      </c>
      <c r="G87" s="295">
        <f t="shared" si="31"/>
        <v>17597.312874675372</v>
      </c>
      <c r="H87" s="295">
        <f t="shared" si="31"/>
        <v>17597.312874675372</v>
      </c>
      <c r="I87" s="295">
        <f t="shared" si="31"/>
        <v>17597.312874675372</v>
      </c>
      <c r="J87" s="295">
        <f t="shared" si="31"/>
        <v>17597.312874675372</v>
      </c>
      <c r="K87" s="295">
        <f t="shared" si="31"/>
        <v>17597.312874675372</v>
      </c>
      <c r="L87" s="295">
        <f t="shared" si="31"/>
        <v>17597.312874675372</v>
      </c>
      <c r="M87" s="295">
        <f t="shared" si="31"/>
        <v>17597.312874675372</v>
      </c>
      <c r="N87" s="295">
        <f t="shared" si="31"/>
        <v>17597.312874675372</v>
      </c>
      <c r="O87" s="295">
        <f t="shared" si="31"/>
        <v>17597.312874675372</v>
      </c>
      <c r="P87" s="295">
        <f t="shared" si="31"/>
        <v>17597.312874675372</v>
      </c>
      <c r="Q87" s="295">
        <f t="shared" si="31"/>
        <v>17597.312874675372</v>
      </c>
      <c r="R87" s="295">
        <f t="shared" si="31"/>
        <v>17597.312874675372</v>
      </c>
      <c r="S87" s="295">
        <f t="shared" si="31"/>
        <v>17597.312874675372</v>
      </c>
      <c r="T87" s="295">
        <f t="shared" si="30"/>
        <v>17597.312874675372</v>
      </c>
      <c r="U87" s="295">
        <f t="shared" si="30"/>
        <v>17597.312874675372</v>
      </c>
      <c r="V87" s="295">
        <f t="shared" si="30"/>
        <v>17597.312874675372</v>
      </c>
      <c r="W87" s="295">
        <f t="shared" si="30"/>
        <v>17597.312874675372</v>
      </c>
      <c r="X87" s="295">
        <f t="shared" si="30"/>
        <v>17597.312874675372</v>
      </c>
      <c r="Y87" s="295">
        <f t="shared" si="30"/>
        <v>17597.312874675372</v>
      </c>
      <c r="Z87" s="295">
        <f t="shared" si="30"/>
        <v>17597.312874675372</v>
      </c>
      <c r="AA87" s="295">
        <f t="shared" si="30"/>
        <v>17597.312874675372</v>
      </c>
      <c r="AB87" s="295">
        <f t="shared" si="30"/>
        <v>17597.312874675372</v>
      </c>
      <c r="AC87" s="295">
        <f t="shared" si="30"/>
        <v>17597.312874675372</v>
      </c>
      <c r="AD87" s="295">
        <f t="shared" si="30"/>
        <v>17597.312874675372</v>
      </c>
      <c r="AE87" s="296">
        <f t="shared" si="30"/>
        <v>17597.312874675372</v>
      </c>
    </row>
    <row r="88" spans="1:31">
      <c r="A88" s="1711"/>
      <c r="B88" s="116">
        <v>6</v>
      </c>
      <c r="C88" s="294">
        <f>'CAR Mileage'!D10</f>
        <v>17245.366617181866</v>
      </c>
      <c r="D88" s="295">
        <f t="shared" si="31"/>
        <v>17245.366617181866</v>
      </c>
      <c r="E88" s="295">
        <f t="shared" si="31"/>
        <v>17245.366617181866</v>
      </c>
      <c r="F88" s="295">
        <f t="shared" si="31"/>
        <v>17245.366617181866</v>
      </c>
      <c r="G88" s="295">
        <f t="shared" si="31"/>
        <v>17245.366617181866</v>
      </c>
      <c r="H88" s="295">
        <f t="shared" si="31"/>
        <v>17245.366617181866</v>
      </c>
      <c r="I88" s="295">
        <f t="shared" si="31"/>
        <v>17245.366617181866</v>
      </c>
      <c r="J88" s="295">
        <f t="shared" si="31"/>
        <v>17245.366617181866</v>
      </c>
      <c r="K88" s="295">
        <f t="shared" si="31"/>
        <v>17245.366617181866</v>
      </c>
      <c r="L88" s="295">
        <f t="shared" si="31"/>
        <v>17245.366617181866</v>
      </c>
      <c r="M88" s="295">
        <f t="shared" si="31"/>
        <v>17245.366617181866</v>
      </c>
      <c r="N88" s="295">
        <f t="shared" si="31"/>
        <v>17245.366617181866</v>
      </c>
      <c r="O88" s="295">
        <f t="shared" si="31"/>
        <v>17245.366617181866</v>
      </c>
      <c r="P88" s="295">
        <f t="shared" si="31"/>
        <v>17245.366617181866</v>
      </c>
      <c r="Q88" s="295">
        <f t="shared" si="31"/>
        <v>17245.366617181866</v>
      </c>
      <c r="R88" s="295">
        <f t="shared" si="31"/>
        <v>17245.366617181866</v>
      </c>
      <c r="S88" s="295">
        <f t="shared" si="31"/>
        <v>17245.366617181866</v>
      </c>
      <c r="T88" s="295">
        <f t="shared" si="30"/>
        <v>17245.366617181866</v>
      </c>
      <c r="U88" s="295">
        <f t="shared" si="30"/>
        <v>17245.366617181866</v>
      </c>
      <c r="V88" s="295">
        <f t="shared" si="30"/>
        <v>17245.366617181866</v>
      </c>
      <c r="W88" s="295">
        <f t="shared" si="30"/>
        <v>17245.366617181866</v>
      </c>
      <c r="X88" s="295">
        <f t="shared" si="30"/>
        <v>17245.366617181866</v>
      </c>
      <c r="Y88" s="295">
        <f t="shared" si="30"/>
        <v>17245.366617181866</v>
      </c>
      <c r="Z88" s="295">
        <f t="shared" si="30"/>
        <v>17245.366617181866</v>
      </c>
      <c r="AA88" s="295">
        <f t="shared" si="30"/>
        <v>17245.366617181866</v>
      </c>
      <c r="AB88" s="295">
        <f t="shared" si="30"/>
        <v>17245.366617181866</v>
      </c>
      <c r="AC88" s="295">
        <f t="shared" si="30"/>
        <v>17245.366617181866</v>
      </c>
      <c r="AD88" s="295">
        <f t="shared" si="30"/>
        <v>17245.366617181866</v>
      </c>
      <c r="AE88" s="296">
        <f t="shared" si="30"/>
        <v>17245.366617181866</v>
      </c>
    </row>
    <row r="89" spans="1:31">
      <c r="A89" s="1711"/>
      <c r="B89" s="116">
        <v>7</v>
      </c>
      <c r="C89" s="294">
        <f>'CAR Mileage'!D11</f>
        <v>16900.459284838227</v>
      </c>
      <c r="D89" s="295">
        <f t="shared" si="31"/>
        <v>16900.459284838227</v>
      </c>
      <c r="E89" s="295">
        <f t="shared" si="31"/>
        <v>16900.459284838227</v>
      </c>
      <c r="F89" s="295">
        <f t="shared" si="31"/>
        <v>16900.459284838227</v>
      </c>
      <c r="G89" s="295">
        <f t="shared" si="31"/>
        <v>16900.459284838227</v>
      </c>
      <c r="H89" s="295">
        <f t="shared" si="31"/>
        <v>16900.459284838227</v>
      </c>
      <c r="I89" s="295">
        <f t="shared" si="31"/>
        <v>16900.459284838227</v>
      </c>
      <c r="J89" s="295">
        <f t="shared" si="31"/>
        <v>16900.459284838227</v>
      </c>
      <c r="K89" s="295">
        <f t="shared" si="31"/>
        <v>16900.459284838227</v>
      </c>
      <c r="L89" s="295">
        <f t="shared" si="31"/>
        <v>16900.459284838227</v>
      </c>
      <c r="M89" s="295">
        <f t="shared" si="31"/>
        <v>16900.459284838227</v>
      </c>
      <c r="N89" s="295">
        <f t="shared" si="31"/>
        <v>16900.459284838227</v>
      </c>
      <c r="O89" s="295">
        <f t="shared" si="31"/>
        <v>16900.459284838227</v>
      </c>
      <c r="P89" s="295">
        <f t="shared" si="31"/>
        <v>16900.459284838227</v>
      </c>
      <c r="Q89" s="295">
        <f t="shared" si="31"/>
        <v>16900.459284838227</v>
      </c>
      <c r="R89" s="295">
        <f t="shared" si="31"/>
        <v>16900.459284838227</v>
      </c>
      <c r="S89" s="295">
        <f t="shared" si="31"/>
        <v>16900.459284838227</v>
      </c>
      <c r="T89" s="295">
        <f t="shared" si="30"/>
        <v>16900.459284838227</v>
      </c>
      <c r="U89" s="295">
        <f t="shared" si="30"/>
        <v>16900.459284838227</v>
      </c>
      <c r="V89" s="295">
        <f t="shared" si="30"/>
        <v>16900.459284838227</v>
      </c>
      <c r="W89" s="295">
        <f t="shared" si="30"/>
        <v>16900.459284838227</v>
      </c>
      <c r="X89" s="295">
        <f t="shared" si="30"/>
        <v>16900.459284838227</v>
      </c>
      <c r="Y89" s="295">
        <f t="shared" si="30"/>
        <v>16900.459284838227</v>
      </c>
      <c r="Z89" s="295">
        <f t="shared" si="30"/>
        <v>16900.459284838227</v>
      </c>
      <c r="AA89" s="295">
        <f t="shared" si="30"/>
        <v>16900.459284838227</v>
      </c>
      <c r="AB89" s="295">
        <f t="shared" si="30"/>
        <v>16900.459284838227</v>
      </c>
      <c r="AC89" s="295">
        <f t="shared" si="30"/>
        <v>16900.459284838227</v>
      </c>
      <c r="AD89" s="295">
        <f t="shared" si="30"/>
        <v>16900.459284838227</v>
      </c>
      <c r="AE89" s="296">
        <f t="shared" si="30"/>
        <v>16900.459284838227</v>
      </c>
    </row>
    <row r="90" spans="1:31">
      <c r="A90" s="1711"/>
      <c r="B90" s="116">
        <v>8</v>
      </c>
      <c r="C90" s="294">
        <f>'CAR Mileage'!D12</f>
        <v>16562.450099141461</v>
      </c>
      <c r="D90" s="295">
        <f t="shared" si="31"/>
        <v>16562.450099141461</v>
      </c>
      <c r="E90" s="295">
        <f t="shared" si="31"/>
        <v>16562.450099141461</v>
      </c>
      <c r="F90" s="295">
        <f t="shared" si="31"/>
        <v>16562.450099141461</v>
      </c>
      <c r="G90" s="295">
        <f t="shared" si="31"/>
        <v>16562.450099141461</v>
      </c>
      <c r="H90" s="295">
        <f t="shared" si="31"/>
        <v>16562.450099141461</v>
      </c>
      <c r="I90" s="295">
        <f t="shared" si="31"/>
        <v>16562.450099141461</v>
      </c>
      <c r="J90" s="295">
        <f t="shared" si="31"/>
        <v>16562.450099141461</v>
      </c>
      <c r="K90" s="295">
        <f t="shared" si="31"/>
        <v>16562.450099141461</v>
      </c>
      <c r="L90" s="295">
        <f t="shared" si="31"/>
        <v>16562.450099141461</v>
      </c>
      <c r="M90" s="295">
        <f t="shared" si="31"/>
        <v>16562.450099141461</v>
      </c>
      <c r="N90" s="295">
        <f t="shared" si="31"/>
        <v>16562.450099141461</v>
      </c>
      <c r="O90" s="295">
        <f t="shared" si="31"/>
        <v>16562.450099141461</v>
      </c>
      <c r="P90" s="295">
        <f t="shared" si="31"/>
        <v>16562.450099141461</v>
      </c>
      <c r="Q90" s="295">
        <f t="shared" si="31"/>
        <v>16562.450099141461</v>
      </c>
      <c r="R90" s="295">
        <f t="shared" si="31"/>
        <v>16562.450099141461</v>
      </c>
      <c r="S90" s="295">
        <f t="shared" si="31"/>
        <v>16562.450099141461</v>
      </c>
      <c r="T90" s="295">
        <f t="shared" si="30"/>
        <v>16562.450099141461</v>
      </c>
      <c r="U90" s="295">
        <f t="shared" si="30"/>
        <v>16562.450099141461</v>
      </c>
      <c r="V90" s="295">
        <f t="shared" si="30"/>
        <v>16562.450099141461</v>
      </c>
      <c r="W90" s="295">
        <f t="shared" si="30"/>
        <v>16562.450099141461</v>
      </c>
      <c r="X90" s="295">
        <f t="shared" si="30"/>
        <v>16562.450099141461</v>
      </c>
      <c r="Y90" s="295">
        <f t="shared" si="30"/>
        <v>16562.450099141461</v>
      </c>
      <c r="Z90" s="295">
        <f t="shared" si="30"/>
        <v>16562.450099141461</v>
      </c>
      <c r="AA90" s="295">
        <f t="shared" si="30"/>
        <v>16562.450099141461</v>
      </c>
      <c r="AB90" s="295">
        <f t="shared" si="30"/>
        <v>16562.450099141461</v>
      </c>
      <c r="AC90" s="295">
        <f t="shared" si="30"/>
        <v>16562.450099141461</v>
      </c>
      <c r="AD90" s="295">
        <f t="shared" si="30"/>
        <v>16562.450099141461</v>
      </c>
      <c r="AE90" s="296">
        <f t="shared" si="30"/>
        <v>16562.450099141461</v>
      </c>
    </row>
    <row r="91" spans="1:31">
      <c r="A91" s="1711"/>
      <c r="B91" s="116">
        <v>9</v>
      </c>
      <c r="C91" s="294">
        <f>'CAR Mileage'!D13</f>
        <v>16231.201097158631</v>
      </c>
      <c r="D91" s="295">
        <f t="shared" si="31"/>
        <v>16231.201097158631</v>
      </c>
      <c r="E91" s="295">
        <f t="shared" si="31"/>
        <v>16231.201097158631</v>
      </c>
      <c r="F91" s="295">
        <f t="shared" si="31"/>
        <v>16231.201097158631</v>
      </c>
      <c r="G91" s="295">
        <f t="shared" si="31"/>
        <v>16231.201097158631</v>
      </c>
      <c r="H91" s="295">
        <f t="shared" si="31"/>
        <v>16231.201097158631</v>
      </c>
      <c r="I91" s="295">
        <f t="shared" si="31"/>
        <v>16231.201097158631</v>
      </c>
      <c r="J91" s="295">
        <f t="shared" si="31"/>
        <v>16231.201097158631</v>
      </c>
      <c r="K91" s="295">
        <f t="shared" si="31"/>
        <v>16231.201097158631</v>
      </c>
      <c r="L91" s="295">
        <f t="shared" si="31"/>
        <v>16231.201097158631</v>
      </c>
      <c r="M91" s="295">
        <f t="shared" si="31"/>
        <v>16231.201097158631</v>
      </c>
      <c r="N91" s="295">
        <f t="shared" si="31"/>
        <v>16231.201097158631</v>
      </c>
      <c r="O91" s="295">
        <f t="shared" si="31"/>
        <v>16231.201097158631</v>
      </c>
      <c r="P91" s="295">
        <f t="shared" si="31"/>
        <v>16231.201097158631</v>
      </c>
      <c r="Q91" s="295">
        <f t="shared" si="31"/>
        <v>16231.201097158631</v>
      </c>
      <c r="R91" s="295">
        <f t="shared" si="31"/>
        <v>16231.201097158631</v>
      </c>
      <c r="S91" s="295">
        <f t="shared" si="31"/>
        <v>16231.201097158631</v>
      </c>
      <c r="T91" s="295">
        <f t="shared" si="30"/>
        <v>16231.201097158631</v>
      </c>
      <c r="U91" s="295">
        <f t="shared" si="30"/>
        <v>16231.201097158631</v>
      </c>
      <c r="V91" s="295">
        <f t="shared" si="30"/>
        <v>16231.201097158631</v>
      </c>
      <c r="W91" s="295">
        <f t="shared" si="30"/>
        <v>16231.201097158631</v>
      </c>
      <c r="X91" s="295">
        <f t="shared" si="30"/>
        <v>16231.201097158631</v>
      </c>
      <c r="Y91" s="295">
        <f t="shared" si="30"/>
        <v>16231.201097158631</v>
      </c>
      <c r="Z91" s="295">
        <f t="shared" si="30"/>
        <v>16231.201097158631</v>
      </c>
      <c r="AA91" s="295">
        <f t="shared" si="30"/>
        <v>16231.201097158631</v>
      </c>
      <c r="AB91" s="295">
        <f t="shared" si="30"/>
        <v>16231.201097158631</v>
      </c>
      <c r="AC91" s="295">
        <f t="shared" si="30"/>
        <v>16231.201097158631</v>
      </c>
      <c r="AD91" s="295">
        <f t="shared" si="30"/>
        <v>16231.201097158631</v>
      </c>
      <c r="AE91" s="296">
        <f t="shared" si="30"/>
        <v>16231.201097158631</v>
      </c>
    </row>
    <row r="92" spans="1:31">
      <c r="A92" s="1711"/>
      <c r="B92" s="116">
        <v>10</v>
      </c>
      <c r="C92" s="294">
        <f>'CAR Mileage'!D14</f>
        <v>15906.577075215459</v>
      </c>
      <c r="D92" s="295">
        <f t="shared" si="31"/>
        <v>15906.577075215459</v>
      </c>
      <c r="E92" s="295">
        <f t="shared" si="31"/>
        <v>15906.577075215459</v>
      </c>
      <c r="F92" s="295">
        <f t="shared" si="31"/>
        <v>15906.577075215459</v>
      </c>
      <c r="G92" s="295">
        <f t="shared" si="31"/>
        <v>15906.577075215459</v>
      </c>
      <c r="H92" s="295">
        <f t="shared" si="31"/>
        <v>15906.577075215459</v>
      </c>
      <c r="I92" s="295">
        <f t="shared" si="31"/>
        <v>15906.577075215459</v>
      </c>
      <c r="J92" s="295">
        <f t="shared" si="31"/>
        <v>15906.577075215459</v>
      </c>
      <c r="K92" s="295">
        <f t="shared" si="31"/>
        <v>15906.577075215459</v>
      </c>
      <c r="L92" s="295">
        <f t="shared" si="31"/>
        <v>15906.577075215459</v>
      </c>
      <c r="M92" s="295">
        <f t="shared" si="31"/>
        <v>15906.577075215459</v>
      </c>
      <c r="N92" s="295">
        <f t="shared" si="31"/>
        <v>15906.577075215459</v>
      </c>
      <c r="O92" s="295">
        <f t="shared" si="31"/>
        <v>15906.577075215459</v>
      </c>
      <c r="P92" s="295">
        <f t="shared" si="31"/>
        <v>15906.577075215459</v>
      </c>
      <c r="Q92" s="295">
        <f t="shared" si="31"/>
        <v>15906.577075215459</v>
      </c>
      <c r="R92" s="295">
        <f t="shared" si="31"/>
        <v>15906.577075215459</v>
      </c>
      <c r="S92" s="295">
        <f t="shared" si="31"/>
        <v>15906.577075215459</v>
      </c>
      <c r="T92" s="295">
        <f t="shared" si="30"/>
        <v>15906.577075215459</v>
      </c>
      <c r="U92" s="295">
        <f t="shared" si="30"/>
        <v>15906.577075215459</v>
      </c>
      <c r="V92" s="295">
        <f t="shared" si="30"/>
        <v>15906.577075215459</v>
      </c>
      <c r="W92" s="295">
        <f t="shared" si="30"/>
        <v>15906.577075215459</v>
      </c>
      <c r="X92" s="295">
        <f t="shared" si="30"/>
        <v>15906.577075215459</v>
      </c>
      <c r="Y92" s="295">
        <f t="shared" si="30"/>
        <v>15906.577075215459</v>
      </c>
      <c r="Z92" s="295">
        <f t="shared" si="30"/>
        <v>15906.577075215459</v>
      </c>
      <c r="AA92" s="295">
        <f t="shared" si="30"/>
        <v>15906.577075215459</v>
      </c>
      <c r="AB92" s="295">
        <f t="shared" si="30"/>
        <v>15906.577075215459</v>
      </c>
      <c r="AC92" s="295">
        <f t="shared" si="30"/>
        <v>15906.577075215459</v>
      </c>
      <c r="AD92" s="295">
        <f t="shared" si="30"/>
        <v>15906.577075215459</v>
      </c>
      <c r="AE92" s="296">
        <f t="shared" si="30"/>
        <v>15906.577075215459</v>
      </c>
    </row>
    <row r="93" spans="1:31">
      <c r="A93" s="1711"/>
      <c r="B93" s="116">
        <v>11</v>
      </c>
      <c r="C93" s="294">
        <f>'CAR Mileage'!D15</f>
        <v>15588.445533711149</v>
      </c>
      <c r="D93" s="295">
        <f t="shared" si="31"/>
        <v>15588.445533711149</v>
      </c>
      <c r="E93" s="295">
        <f t="shared" si="31"/>
        <v>15588.445533711149</v>
      </c>
      <c r="F93" s="295">
        <f t="shared" si="31"/>
        <v>15588.445533711149</v>
      </c>
      <c r="G93" s="295">
        <f t="shared" si="31"/>
        <v>15588.445533711149</v>
      </c>
      <c r="H93" s="295">
        <f t="shared" si="31"/>
        <v>15588.445533711149</v>
      </c>
      <c r="I93" s="295">
        <f t="shared" si="31"/>
        <v>15588.445533711149</v>
      </c>
      <c r="J93" s="295">
        <f t="shared" si="31"/>
        <v>15588.445533711149</v>
      </c>
      <c r="K93" s="295">
        <f t="shared" si="31"/>
        <v>15588.445533711149</v>
      </c>
      <c r="L93" s="295">
        <f t="shared" si="31"/>
        <v>15588.445533711149</v>
      </c>
      <c r="M93" s="295">
        <f t="shared" si="31"/>
        <v>15588.445533711149</v>
      </c>
      <c r="N93" s="295">
        <f t="shared" si="31"/>
        <v>15588.445533711149</v>
      </c>
      <c r="O93" s="295">
        <f t="shared" si="31"/>
        <v>15588.445533711149</v>
      </c>
      <c r="P93" s="295">
        <f t="shared" si="31"/>
        <v>15588.445533711149</v>
      </c>
      <c r="Q93" s="295">
        <f t="shared" si="31"/>
        <v>15588.445533711149</v>
      </c>
      <c r="R93" s="295">
        <f t="shared" si="31"/>
        <v>15588.445533711149</v>
      </c>
      <c r="S93" s="295">
        <f t="shared" si="31"/>
        <v>15588.445533711149</v>
      </c>
      <c r="T93" s="295">
        <f t="shared" si="30"/>
        <v>15588.445533711149</v>
      </c>
      <c r="U93" s="295">
        <f t="shared" si="30"/>
        <v>15588.445533711149</v>
      </c>
      <c r="V93" s="295">
        <f t="shared" si="30"/>
        <v>15588.445533711149</v>
      </c>
      <c r="W93" s="295">
        <f t="shared" si="30"/>
        <v>15588.445533711149</v>
      </c>
      <c r="X93" s="295">
        <f t="shared" si="30"/>
        <v>15588.445533711149</v>
      </c>
      <c r="Y93" s="295">
        <f t="shared" si="30"/>
        <v>15588.445533711149</v>
      </c>
      <c r="Z93" s="295">
        <f t="shared" si="30"/>
        <v>15588.445533711149</v>
      </c>
      <c r="AA93" s="295">
        <f t="shared" si="30"/>
        <v>15588.445533711149</v>
      </c>
      <c r="AB93" s="295">
        <f t="shared" si="30"/>
        <v>15588.445533711149</v>
      </c>
      <c r="AC93" s="295">
        <f t="shared" si="30"/>
        <v>15588.445533711149</v>
      </c>
      <c r="AD93" s="295">
        <f t="shared" si="30"/>
        <v>15588.445533711149</v>
      </c>
      <c r="AE93" s="296">
        <f t="shared" si="30"/>
        <v>15588.445533711149</v>
      </c>
    </row>
    <row r="94" spans="1:31">
      <c r="A94" s="1711"/>
      <c r="B94" s="116">
        <v>12</v>
      </c>
      <c r="C94" s="294">
        <f>'CAR Mileage'!D16</f>
        <v>15276.676623036925</v>
      </c>
      <c r="D94" s="295">
        <f t="shared" si="31"/>
        <v>15276.676623036925</v>
      </c>
      <c r="E94" s="295">
        <f t="shared" si="31"/>
        <v>15276.676623036925</v>
      </c>
      <c r="F94" s="295">
        <f t="shared" si="31"/>
        <v>15276.676623036925</v>
      </c>
      <c r="G94" s="295">
        <f t="shared" si="31"/>
        <v>15276.676623036925</v>
      </c>
      <c r="H94" s="295">
        <f t="shared" si="31"/>
        <v>15276.676623036925</v>
      </c>
      <c r="I94" s="295">
        <f t="shared" si="31"/>
        <v>15276.676623036925</v>
      </c>
      <c r="J94" s="295">
        <f t="shared" si="31"/>
        <v>15276.676623036925</v>
      </c>
      <c r="K94" s="295">
        <f t="shared" si="31"/>
        <v>15276.676623036925</v>
      </c>
      <c r="L94" s="295">
        <f t="shared" si="31"/>
        <v>15276.676623036925</v>
      </c>
      <c r="M94" s="295">
        <f t="shared" si="31"/>
        <v>15276.676623036925</v>
      </c>
      <c r="N94" s="295">
        <f t="shared" si="31"/>
        <v>15276.676623036925</v>
      </c>
      <c r="O94" s="295">
        <f t="shared" si="31"/>
        <v>15276.676623036925</v>
      </c>
      <c r="P94" s="295">
        <f t="shared" si="31"/>
        <v>15276.676623036925</v>
      </c>
      <c r="Q94" s="295">
        <f t="shared" si="31"/>
        <v>15276.676623036925</v>
      </c>
      <c r="R94" s="295">
        <f t="shared" si="31"/>
        <v>15276.676623036925</v>
      </c>
      <c r="S94" s="295">
        <f t="shared" si="31"/>
        <v>15276.676623036925</v>
      </c>
      <c r="T94" s="295">
        <f t="shared" si="30"/>
        <v>15276.676623036925</v>
      </c>
      <c r="U94" s="295">
        <f t="shared" si="30"/>
        <v>15276.676623036925</v>
      </c>
      <c r="V94" s="295">
        <f t="shared" si="30"/>
        <v>15276.676623036925</v>
      </c>
      <c r="W94" s="295">
        <f t="shared" si="30"/>
        <v>15276.676623036925</v>
      </c>
      <c r="X94" s="295">
        <f t="shared" si="30"/>
        <v>15276.676623036925</v>
      </c>
      <c r="Y94" s="295">
        <f t="shared" si="30"/>
        <v>15276.676623036925</v>
      </c>
      <c r="Z94" s="295">
        <f t="shared" si="30"/>
        <v>15276.676623036925</v>
      </c>
      <c r="AA94" s="295">
        <f t="shared" si="30"/>
        <v>15276.676623036925</v>
      </c>
      <c r="AB94" s="295">
        <f t="shared" si="30"/>
        <v>15276.676623036925</v>
      </c>
      <c r="AC94" s="295">
        <f t="shared" si="30"/>
        <v>15276.676623036925</v>
      </c>
      <c r="AD94" s="295">
        <f t="shared" si="30"/>
        <v>15276.676623036925</v>
      </c>
      <c r="AE94" s="296">
        <f t="shared" si="30"/>
        <v>15276.676623036925</v>
      </c>
    </row>
    <row r="95" spans="1:31">
      <c r="A95" s="1711"/>
      <c r="B95" s="116">
        <v>13</v>
      </c>
      <c r="C95" s="294">
        <f>'CAR Mileage'!D17</f>
        <v>14971.143090576186</v>
      </c>
      <c r="D95" s="295">
        <f t="shared" si="31"/>
        <v>14971.143090576186</v>
      </c>
      <c r="E95" s="295">
        <f t="shared" si="31"/>
        <v>14971.143090576186</v>
      </c>
      <c r="F95" s="295">
        <f t="shared" si="31"/>
        <v>14971.143090576186</v>
      </c>
      <c r="G95" s="295">
        <f t="shared" si="31"/>
        <v>14971.143090576186</v>
      </c>
      <c r="H95" s="295">
        <f t="shared" si="31"/>
        <v>14971.143090576186</v>
      </c>
      <c r="I95" s="295">
        <f t="shared" si="31"/>
        <v>14971.143090576186</v>
      </c>
      <c r="J95" s="295">
        <f t="shared" si="31"/>
        <v>14971.143090576186</v>
      </c>
      <c r="K95" s="295">
        <f t="shared" si="31"/>
        <v>14971.143090576186</v>
      </c>
      <c r="L95" s="295">
        <f t="shared" si="31"/>
        <v>14971.143090576186</v>
      </c>
      <c r="M95" s="295">
        <f t="shared" si="31"/>
        <v>14971.143090576186</v>
      </c>
      <c r="N95" s="295">
        <f t="shared" si="31"/>
        <v>14971.143090576186</v>
      </c>
      <c r="O95" s="295">
        <f t="shared" si="31"/>
        <v>14971.143090576186</v>
      </c>
      <c r="P95" s="295">
        <f t="shared" si="31"/>
        <v>14971.143090576186</v>
      </c>
      <c r="Q95" s="295">
        <f t="shared" si="31"/>
        <v>14971.143090576186</v>
      </c>
      <c r="R95" s="295">
        <f t="shared" si="31"/>
        <v>14971.143090576186</v>
      </c>
      <c r="S95" s="295">
        <f t="shared" si="31"/>
        <v>14971.143090576186</v>
      </c>
      <c r="T95" s="295">
        <f t="shared" si="30"/>
        <v>14971.143090576186</v>
      </c>
      <c r="U95" s="295">
        <f t="shared" si="30"/>
        <v>14971.143090576186</v>
      </c>
      <c r="V95" s="295">
        <f t="shared" si="30"/>
        <v>14971.143090576186</v>
      </c>
      <c r="W95" s="295">
        <f t="shared" si="30"/>
        <v>14971.143090576186</v>
      </c>
      <c r="X95" s="295">
        <f t="shared" si="30"/>
        <v>14971.143090576186</v>
      </c>
      <c r="Y95" s="295">
        <f t="shared" si="30"/>
        <v>14971.143090576186</v>
      </c>
      <c r="Z95" s="295">
        <f t="shared" si="30"/>
        <v>14971.143090576186</v>
      </c>
      <c r="AA95" s="295">
        <f t="shared" si="30"/>
        <v>14971.143090576186</v>
      </c>
      <c r="AB95" s="295">
        <f t="shared" si="30"/>
        <v>14971.143090576186</v>
      </c>
      <c r="AC95" s="295">
        <f t="shared" si="30"/>
        <v>14971.143090576186</v>
      </c>
      <c r="AD95" s="295">
        <f t="shared" si="30"/>
        <v>14971.143090576186</v>
      </c>
      <c r="AE95" s="296">
        <f t="shared" si="30"/>
        <v>14971.143090576186</v>
      </c>
    </row>
    <row r="96" spans="1:31">
      <c r="A96" s="1711"/>
      <c r="B96" s="116">
        <v>14</v>
      </c>
      <c r="C96" s="294">
        <f>'CAR Mileage'!D18</f>
        <v>14671.720228764661</v>
      </c>
      <c r="D96" s="295">
        <f t="shared" si="31"/>
        <v>14671.720228764661</v>
      </c>
      <c r="E96" s="295">
        <f t="shared" si="31"/>
        <v>14671.720228764661</v>
      </c>
      <c r="F96" s="295">
        <f t="shared" si="31"/>
        <v>14671.720228764661</v>
      </c>
      <c r="G96" s="295">
        <f t="shared" si="31"/>
        <v>14671.720228764661</v>
      </c>
      <c r="H96" s="295">
        <f t="shared" si="31"/>
        <v>14671.720228764661</v>
      </c>
      <c r="I96" s="295">
        <f t="shared" si="31"/>
        <v>14671.720228764661</v>
      </c>
      <c r="J96" s="295">
        <f t="shared" si="31"/>
        <v>14671.720228764661</v>
      </c>
      <c r="K96" s="295">
        <f t="shared" si="31"/>
        <v>14671.720228764661</v>
      </c>
      <c r="L96" s="295">
        <f t="shared" si="31"/>
        <v>14671.720228764661</v>
      </c>
      <c r="M96" s="295">
        <f t="shared" si="31"/>
        <v>14671.720228764661</v>
      </c>
      <c r="N96" s="295">
        <f t="shared" si="31"/>
        <v>14671.720228764661</v>
      </c>
      <c r="O96" s="295">
        <f t="shared" si="31"/>
        <v>14671.720228764661</v>
      </c>
      <c r="P96" s="295">
        <f t="shared" si="31"/>
        <v>14671.720228764661</v>
      </c>
      <c r="Q96" s="295">
        <f t="shared" si="31"/>
        <v>14671.720228764661</v>
      </c>
      <c r="R96" s="295">
        <f t="shared" si="31"/>
        <v>14671.720228764661</v>
      </c>
      <c r="S96" s="295">
        <f t="shared" si="31"/>
        <v>14671.720228764661</v>
      </c>
      <c r="T96" s="295">
        <f t="shared" si="30"/>
        <v>14671.720228764661</v>
      </c>
      <c r="U96" s="295">
        <f t="shared" si="30"/>
        <v>14671.720228764661</v>
      </c>
      <c r="V96" s="295">
        <f t="shared" si="30"/>
        <v>14671.720228764661</v>
      </c>
      <c r="W96" s="295">
        <f t="shared" si="30"/>
        <v>14671.720228764661</v>
      </c>
      <c r="X96" s="295">
        <f t="shared" si="30"/>
        <v>14671.720228764661</v>
      </c>
      <c r="Y96" s="295">
        <f t="shared" si="30"/>
        <v>14671.720228764661</v>
      </c>
      <c r="Z96" s="295">
        <f t="shared" si="30"/>
        <v>14671.720228764661</v>
      </c>
      <c r="AA96" s="295">
        <f t="shared" si="30"/>
        <v>14671.720228764661</v>
      </c>
      <c r="AB96" s="295">
        <f t="shared" si="30"/>
        <v>14671.720228764661</v>
      </c>
      <c r="AC96" s="295">
        <f t="shared" si="30"/>
        <v>14671.720228764661</v>
      </c>
      <c r="AD96" s="295">
        <f t="shared" si="30"/>
        <v>14671.720228764661</v>
      </c>
      <c r="AE96" s="296">
        <f t="shared" si="30"/>
        <v>14671.720228764661</v>
      </c>
    </row>
    <row r="97" spans="1:31">
      <c r="A97" s="1711"/>
      <c r="B97" s="116">
        <v>15</v>
      </c>
      <c r="C97" s="294">
        <f>'CAR Mileage'!D19</f>
        <v>14378.285824189368</v>
      </c>
      <c r="D97" s="295">
        <f t="shared" si="31"/>
        <v>14378.285824189368</v>
      </c>
      <c r="E97" s="295">
        <f t="shared" si="31"/>
        <v>14378.285824189368</v>
      </c>
      <c r="F97" s="295">
        <f t="shared" si="31"/>
        <v>14378.285824189368</v>
      </c>
      <c r="G97" s="295">
        <f t="shared" si="31"/>
        <v>14378.285824189368</v>
      </c>
      <c r="H97" s="295">
        <f t="shared" si="31"/>
        <v>14378.285824189368</v>
      </c>
      <c r="I97" s="295">
        <f t="shared" si="31"/>
        <v>14378.285824189368</v>
      </c>
      <c r="J97" s="295">
        <f t="shared" si="31"/>
        <v>14378.285824189368</v>
      </c>
      <c r="K97" s="295">
        <f t="shared" si="31"/>
        <v>14378.285824189368</v>
      </c>
      <c r="L97" s="295">
        <f t="shared" si="31"/>
        <v>14378.285824189368</v>
      </c>
      <c r="M97" s="295">
        <f t="shared" si="31"/>
        <v>14378.285824189368</v>
      </c>
      <c r="N97" s="295">
        <f t="shared" si="31"/>
        <v>14378.285824189368</v>
      </c>
      <c r="O97" s="295">
        <f t="shared" si="31"/>
        <v>14378.285824189368</v>
      </c>
      <c r="P97" s="295">
        <f t="shared" si="31"/>
        <v>14378.285824189368</v>
      </c>
      <c r="Q97" s="295">
        <f t="shared" si="31"/>
        <v>14378.285824189368</v>
      </c>
      <c r="R97" s="295">
        <f t="shared" si="31"/>
        <v>14378.285824189368</v>
      </c>
      <c r="S97" s="295">
        <f t="shared" si="31"/>
        <v>14378.285824189368</v>
      </c>
      <c r="T97" s="295">
        <f t="shared" si="30"/>
        <v>14378.285824189368</v>
      </c>
      <c r="U97" s="295">
        <f t="shared" si="30"/>
        <v>14378.285824189368</v>
      </c>
      <c r="V97" s="295">
        <f t="shared" si="30"/>
        <v>14378.285824189368</v>
      </c>
      <c r="W97" s="295">
        <f t="shared" si="30"/>
        <v>14378.285824189368</v>
      </c>
      <c r="X97" s="295">
        <f t="shared" si="30"/>
        <v>14378.285824189368</v>
      </c>
      <c r="Y97" s="295">
        <f t="shared" si="30"/>
        <v>14378.285824189368</v>
      </c>
      <c r="Z97" s="295">
        <f t="shared" si="30"/>
        <v>14378.285824189368</v>
      </c>
      <c r="AA97" s="295">
        <f t="shared" si="30"/>
        <v>14378.285824189368</v>
      </c>
      <c r="AB97" s="295">
        <f t="shared" si="30"/>
        <v>14378.285824189368</v>
      </c>
      <c r="AC97" s="295">
        <f t="shared" si="30"/>
        <v>14378.285824189368</v>
      </c>
      <c r="AD97" s="295">
        <f t="shared" si="30"/>
        <v>14378.285824189368</v>
      </c>
      <c r="AE97" s="296">
        <f t="shared" si="30"/>
        <v>14378.285824189368</v>
      </c>
    </row>
    <row r="98" spans="1:31">
      <c r="A98" s="1711"/>
      <c r="B98" s="116">
        <v>16</v>
      </c>
      <c r="C98" s="294">
        <f>'CAR Mileage'!D20</f>
        <v>14090.72010770558</v>
      </c>
      <c r="D98" s="295">
        <f t="shared" si="31"/>
        <v>14090.72010770558</v>
      </c>
      <c r="E98" s="295">
        <f t="shared" si="31"/>
        <v>14090.72010770558</v>
      </c>
      <c r="F98" s="295">
        <f t="shared" si="31"/>
        <v>14090.72010770558</v>
      </c>
      <c r="G98" s="295">
        <f t="shared" si="31"/>
        <v>14090.72010770558</v>
      </c>
      <c r="H98" s="295">
        <f t="shared" si="31"/>
        <v>14090.72010770558</v>
      </c>
      <c r="I98" s="295">
        <f t="shared" si="31"/>
        <v>14090.72010770558</v>
      </c>
      <c r="J98" s="295">
        <f t="shared" si="31"/>
        <v>14090.72010770558</v>
      </c>
      <c r="K98" s="295">
        <f t="shared" si="31"/>
        <v>14090.72010770558</v>
      </c>
      <c r="L98" s="295">
        <f t="shared" si="31"/>
        <v>14090.72010770558</v>
      </c>
      <c r="M98" s="295">
        <f t="shared" si="31"/>
        <v>14090.72010770558</v>
      </c>
      <c r="N98" s="295">
        <f t="shared" si="31"/>
        <v>14090.72010770558</v>
      </c>
      <c r="O98" s="295">
        <f t="shared" si="31"/>
        <v>14090.72010770558</v>
      </c>
      <c r="P98" s="295">
        <f t="shared" si="31"/>
        <v>14090.72010770558</v>
      </c>
      <c r="Q98" s="295">
        <f t="shared" si="31"/>
        <v>14090.72010770558</v>
      </c>
      <c r="R98" s="295">
        <f t="shared" si="31"/>
        <v>14090.72010770558</v>
      </c>
      <c r="S98" s="295">
        <f t="shared" ref="S98:AE107" si="32">R98</f>
        <v>14090.72010770558</v>
      </c>
      <c r="T98" s="295">
        <f t="shared" si="32"/>
        <v>14090.72010770558</v>
      </c>
      <c r="U98" s="295">
        <f t="shared" si="32"/>
        <v>14090.72010770558</v>
      </c>
      <c r="V98" s="295">
        <f t="shared" si="32"/>
        <v>14090.72010770558</v>
      </c>
      <c r="W98" s="295">
        <f t="shared" si="32"/>
        <v>14090.72010770558</v>
      </c>
      <c r="X98" s="295">
        <f t="shared" si="32"/>
        <v>14090.72010770558</v>
      </c>
      <c r="Y98" s="295">
        <f t="shared" si="32"/>
        <v>14090.72010770558</v>
      </c>
      <c r="Z98" s="295">
        <f t="shared" si="32"/>
        <v>14090.72010770558</v>
      </c>
      <c r="AA98" s="295">
        <f t="shared" si="32"/>
        <v>14090.72010770558</v>
      </c>
      <c r="AB98" s="295">
        <f t="shared" si="32"/>
        <v>14090.72010770558</v>
      </c>
      <c r="AC98" s="295">
        <f t="shared" si="32"/>
        <v>14090.72010770558</v>
      </c>
      <c r="AD98" s="295">
        <f t="shared" si="32"/>
        <v>14090.72010770558</v>
      </c>
      <c r="AE98" s="296">
        <f t="shared" si="32"/>
        <v>14090.72010770558</v>
      </c>
    </row>
    <row r="99" spans="1:31">
      <c r="A99" s="1711"/>
      <c r="B99" s="116">
        <v>17</v>
      </c>
      <c r="C99" s="294">
        <f>C98</f>
        <v>14090.72010770558</v>
      </c>
      <c r="D99" s="295">
        <f t="shared" ref="D99:S107" si="33">C99</f>
        <v>14090.72010770558</v>
      </c>
      <c r="E99" s="295">
        <f t="shared" si="33"/>
        <v>14090.72010770558</v>
      </c>
      <c r="F99" s="295">
        <f t="shared" si="33"/>
        <v>14090.72010770558</v>
      </c>
      <c r="G99" s="295">
        <f t="shared" si="33"/>
        <v>14090.72010770558</v>
      </c>
      <c r="H99" s="295">
        <f t="shared" si="33"/>
        <v>14090.72010770558</v>
      </c>
      <c r="I99" s="295">
        <f t="shared" si="33"/>
        <v>14090.72010770558</v>
      </c>
      <c r="J99" s="295">
        <f t="shared" si="33"/>
        <v>14090.72010770558</v>
      </c>
      <c r="K99" s="295">
        <f t="shared" si="33"/>
        <v>14090.72010770558</v>
      </c>
      <c r="L99" s="295">
        <f t="shared" si="33"/>
        <v>14090.72010770558</v>
      </c>
      <c r="M99" s="295">
        <f t="shared" si="33"/>
        <v>14090.72010770558</v>
      </c>
      <c r="N99" s="295">
        <f t="shared" si="33"/>
        <v>14090.72010770558</v>
      </c>
      <c r="O99" s="295">
        <f t="shared" si="33"/>
        <v>14090.72010770558</v>
      </c>
      <c r="P99" s="295">
        <f t="shared" si="33"/>
        <v>14090.72010770558</v>
      </c>
      <c r="Q99" s="295">
        <f t="shared" si="33"/>
        <v>14090.72010770558</v>
      </c>
      <c r="R99" s="295">
        <f t="shared" si="33"/>
        <v>14090.72010770558</v>
      </c>
      <c r="S99" s="295">
        <f t="shared" si="33"/>
        <v>14090.72010770558</v>
      </c>
      <c r="T99" s="295">
        <f t="shared" si="32"/>
        <v>14090.72010770558</v>
      </c>
      <c r="U99" s="295">
        <f t="shared" si="32"/>
        <v>14090.72010770558</v>
      </c>
      <c r="V99" s="295">
        <f t="shared" si="32"/>
        <v>14090.72010770558</v>
      </c>
      <c r="W99" s="295">
        <f t="shared" si="32"/>
        <v>14090.72010770558</v>
      </c>
      <c r="X99" s="295">
        <f t="shared" si="32"/>
        <v>14090.72010770558</v>
      </c>
      <c r="Y99" s="295">
        <f t="shared" si="32"/>
        <v>14090.72010770558</v>
      </c>
      <c r="Z99" s="295">
        <f t="shared" si="32"/>
        <v>14090.72010770558</v>
      </c>
      <c r="AA99" s="295">
        <f t="shared" si="32"/>
        <v>14090.72010770558</v>
      </c>
      <c r="AB99" s="295">
        <f t="shared" si="32"/>
        <v>14090.72010770558</v>
      </c>
      <c r="AC99" s="295">
        <f t="shared" si="32"/>
        <v>14090.72010770558</v>
      </c>
      <c r="AD99" s="295">
        <f t="shared" si="32"/>
        <v>14090.72010770558</v>
      </c>
      <c r="AE99" s="296">
        <f t="shared" si="32"/>
        <v>14090.72010770558</v>
      </c>
    </row>
    <row r="100" spans="1:31">
      <c r="A100" s="1711"/>
      <c r="B100" s="116">
        <v>18</v>
      </c>
      <c r="C100" s="294">
        <f t="shared" ref="C100:C107" si="34">C99</f>
        <v>14090.72010770558</v>
      </c>
      <c r="D100" s="295">
        <f t="shared" si="33"/>
        <v>14090.72010770558</v>
      </c>
      <c r="E100" s="295">
        <f t="shared" si="33"/>
        <v>14090.72010770558</v>
      </c>
      <c r="F100" s="295">
        <f t="shared" si="33"/>
        <v>14090.72010770558</v>
      </c>
      <c r="G100" s="295">
        <f t="shared" si="33"/>
        <v>14090.72010770558</v>
      </c>
      <c r="H100" s="295">
        <f t="shared" si="33"/>
        <v>14090.72010770558</v>
      </c>
      <c r="I100" s="295">
        <f t="shared" si="33"/>
        <v>14090.72010770558</v>
      </c>
      <c r="J100" s="295">
        <f t="shared" si="33"/>
        <v>14090.72010770558</v>
      </c>
      <c r="K100" s="295">
        <f t="shared" si="33"/>
        <v>14090.72010770558</v>
      </c>
      <c r="L100" s="295">
        <f t="shared" si="33"/>
        <v>14090.72010770558</v>
      </c>
      <c r="M100" s="295">
        <f t="shared" si="33"/>
        <v>14090.72010770558</v>
      </c>
      <c r="N100" s="295">
        <f t="shared" si="33"/>
        <v>14090.72010770558</v>
      </c>
      <c r="O100" s="295">
        <f t="shared" si="33"/>
        <v>14090.72010770558</v>
      </c>
      <c r="P100" s="295">
        <f t="shared" si="33"/>
        <v>14090.72010770558</v>
      </c>
      <c r="Q100" s="295">
        <f t="shared" si="33"/>
        <v>14090.72010770558</v>
      </c>
      <c r="R100" s="295">
        <f t="shared" si="33"/>
        <v>14090.72010770558</v>
      </c>
      <c r="S100" s="295">
        <f t="shared" si="33"/>
        <v>14090.72010770558</v>
      </c>
      <c r="T100" s="295">
        <f t="shared" si="32"/>
        <v>14090.72010770558</v>
      </c>
      <c r="U100" s="295">
        <f t="shared" si="32"/>
        <v>14090.72010770558</v>
      </c>
      <c r="V100" s="295">
        <f t="shared" si="32"/>
        <v>14090.72010770558</v>
      </c>
      <c r="W100" s="295">
        <f t="shared" si="32"/>
        <v>14090.72010770558</v>
      </c>
      <c r="X100" s="295">
        <f t="shared" si="32"/>
        <v>14090.72010770558</v>
      </c>
      <c r="Y100" s="295">
        <f t="shared" si="32"/>
        <v>14090.72010770558</v>
      </c>
      <c r="Z100" s="295">
        <f t="shared" si="32"/>
        <v>14090.72010770558</v>
      </c>
      <c r="AA100" s="295">
        <f t="shared" si="32"/>
        <v>14090.72010770558</v>
      </c>
      <c r="AB100" s="295">
        <f t="shared" si="32"/>
        <v>14090.72010770558</v>
      </c>
      <c r="AC100" s="295">
        <f t="shared" si="32"/>
        <v>14090.72010770558</v>
      </c>
      <c r="AD100" s="295">
        <f t="shared" si="32"/>
        <v>14090.72010770558</v>
      </c>
      <c r="AE100" s="296">
        <f t="shared" si="32"/>
        <v>14090.72010770558</v>
      </c>
    </row>
    <row r="101" spans="1:31">
      <c r="A101" s="1711"/>
      <c r="B101" s="116">
        <v>19</v>
      </c>
      <c r="C101" s="294">
        <f t="shared" si="34"/>
        <v>14090.72010770558</v>
      </c>
      <c r="D101" s="295">
        <f t="shared" si="33"/>
        <v>14090.72010770558</v>
      </c>
      <c r="E101" s="295">
        <f t="shared" si="33"/>
        <v>14090.72010770558</v>
      </c>
      <c r="F101" s="295">
        <f t="shared" si="33"/>
        <v>14090.72010770558</v>
      </c>
      <c r="G101" s="295">
        <f t="shared" si="33"/>
        <v>14090.72010770558</v>
      </c>
      <c r="H101" s="295">
        <f t="shared" si="33"/>
        <v>14090.72010770558</v>
      </c>
      <c r="I101" s="295">
        <f t="shared" si="33"/>
        <v>14090.72010770558</v>
      </c>
      <c r="J101" s="295">
        <f t="shared" si="33"/>
        <v>14090.72010770558</v>
      </c>
      <c r="K101" s="295">
        <f t="shared" si="33"/>
        <v>14090.72010770558</v>
      </c>
      <c r="L101" s="295">
        <f t="shared" si="33"/>
        <v>14090.72010770558</v>
      </c>
      <c r="M101" s="295">
        <f t="shared" si="33"/>
        <v>14090.72010770558</v>
      </c>
      <c r="N101" s="295">
        <f t="shared" si="33"/>
        <v>14090.72010770558</v>
      </c>
      <c r="O101" s="295">
        <f t="shared" si="33"/>
        <v>14090.72010770558</v>
      </c>
      <c r="P101" s="295">
        <f t="shared" si="33"/>
        <v>14090.72010770558</v>
      </c>
      <c r="Q101" s="295">
        <f t="shared" si="33"/>
        <v>14090.72010770558</v>
      </c>
      <c r="R101" s="295">
        <f t="shared" si="33"/>
        <v>14090.72010770558</v>
      </c>
      <c r="S101" s="295">
        <f t="shared" si="33"/>
        <v>14090.72010770558</v>
      </c>
      <c r="T101" s="295">
        <f t="shared" si="32"/>
        <v>14090.72010770558</v>
      </c>
      <c r="U101" s="295">
        <f t="shared" si="32"/>
        <v>14090.72010770558</v>
      </c>
      <c r="V101" s="295">
        <f t="shared" si="32"/>
        <v>14090.72010770558</v>
      </c>
      <c r="W101" s="295">
        <f t="shared" si="32"/>
        <v>14090.72010770558</v>
      </c>
      <c r="X101" s="295">
        <f t="shared" si="32"/>
        <v>14090.72010770558</v>
      </c>
      <c r="Y101" s="295">
        <f t="shared" si="32"/>
        <v>14090.72010770558</v>
      </c>
      <c r="Z101" s="295">
        <f t="shared" si="32"/>
        <v>14090.72010770558</v>
      </c>
      <c r="AA101" s="295">
        <f t="shared" si="32"/>
        <v>14090.72010770558</v>
      </c>
      <c r="AB101" s="295">
        <f t="shared" si="32"/>
        <v>14090.72010770558</v>
      </c>
      <c r="AC101" s="295">
        <f t="shared" si="32"/>
        <v>14090.72010770558</v>
      </c>
      <c r="AD101" s="295">
        <f t="shared" si="32"/>
        <v>14090.72010770558</v>
      </c>
      <c r="AE101" s="296">
        <f t="shared" si="32"/>
        <v>14090.72010770558</v>
      </c>
    </row>
    <row r="102" spans="1:31">
      <c r="A102" s="1711"/>
      <c r="B102" s="116">
        <v>20</v>
      </c>
      <c r="C102" s="294">
        <f t="shared" si="34"/>
        <v>14090.72010770558</v>
      </c>
      <c r="D102" s="295">
        <f t="shared" si="33"/>
        <v>14090.72010770558</v>
      </c>
      <c r="E102" s="295">
        <f t="shared" si="33"/>
        <v>14090.72010770558</v>
      </c>
      <c r="F102" s="295">
        <f t="shared" si="33"/>
        <v>14090.72010770558</v>
      </c>
      <c r="G102" s="295">
        <f t="shared" si="33"/>
        <v>14090.72010770558</v>
      </c>
      <c r="H102" s="295">
        <f t="shared" si="33"/>
        <v>14090.72010770558</v>
      </c>
      <c r="I102" s="295">
        <f t="shared" si="33"/>
        <v>14090.72010770558</v>
      </c>
      <c r="J102" s="295">
        <f t="shared" si="33"/>
        <v>14090.72010770558</v>
      </c>
      <c r="K102" s="295">
        <f t="shared" si="33"/>
        <v>14090.72010770558</v>
      </c>
      <c r="L102" s="295">
        <f t="shared" si="33"/>
        <v>14090.72010770558</v>
      </c>
      <c r="M102" s="295">
        <f t="shared" si="33"/>
        <v>14090.72010770558</v>
      </c>
      <c r="N102" s="295">
        <f t="shared" si="33"/>
        <v>14090.72010770558</v>
      </c>
      <c r="O102" s="295">
        <f t="shared" si="33"/>
        <v>14090.72010770558</v>
      </c>
      <c r="P102" s="295">
        <f t="shared" si="33"/>
        <v>14090.72010770558</v>
      </c>
      <c r="Q102" s="295">
        <f t="shared" si="33"/>
        <v>14090.72010770558</v>
      </c>
      <c r="R102" s="295">
        <f t="shared" si="33"/>
        <v>14090.72010770558</v>
      </c>
      <c r="S102" s="295">
        <f t="shared" si="33"/>
        <v>14090.72010770558</v>
      </c>
      <c r="T102" s="295">
        <f t="shared" si="32"/>
        <v>14090.72010770558</v>
      </c>
      <c r="U102" s="295">
        <f t="shared" si="32"/>
        <v>14090.72010770558</v>
      </c>
      <c r="V102" s="295">
        <f t="shared" si="32"/>
        <v>14090.72010770558</v>
      </c>
      <c r="W102" s="295">
        <f t="shared" si="32"/>
        <v>14090.72010770558</v>
      </c>
      <c r="X102" s="295">
        <f t="shared" si="32"/>
        <v>14090.72010770558</v>
      </c>
      <c r="Y102" s="295">
        <f t="shared" si="32"/>
        <v>14090.72010770558</v>
      </c>
      <c r="Z102" s="295">
        <f t="shared" si="32"/>
        <v>14090.72010770558</v>
      </c>
      <c r="AA102" s="295">
        <f t="shared" si="32"/>
        <v>14090.72010770558</v>
      </c>
      <c r="AB102" s="295">
        <f t="shared" si="32"/>
        <v>14090.72010770558</v>
      </c>
      <c r="AC102" s="295">
        <f t="shared" si="32"/>
        <v>14090.72010770558</v>
      </c>
      <c r="AD102" s="295">
        <f t="shared" si="32"/>
        <v>14090.72010770558</v>
      </c>
      <c r="AE102" s="296">
        <f t="shared" si="32"/>
        <v>14090.72010770558</v>
      </c>
    </row>
    <row r="103" spans="1:31">
      <c r="A103" s="1711"/>
      <c r="B103" s="116">
        <v>21</v>
      </c>
      <c r="C103" s="294">
        <f t="shared" si="34"/>
        <v>14090.72010770558</v>
      </c>
      <c r="D103" s="295">
        <f t="shared" si="33"/>
        <v>14090.72010770558</v>
      </c>
      <c r="E103" s="295">
        <f t="shared" si="33"/>
        <v>14090.72010770558</v>
      </c>
      <c r="F103" s="295">
        <f t="shared" si="33"/>
        <v>14090.72010770558</v>
      </c>
      <c r="G103" s="295">
        <f t="shared" si="33"/>
        <v>14090.72010770558</v>
      </c>
      <c r="H103" s="295">
        <f t="shared" si="33"/>
        <v>14090.72010770558</v>
      </c>
      <c r="I103" s="295">
        <f t="shared" si="33"/>
        <v>14090.72010770558</v>
      </c>
      <c r="J103" s="295">
        <f t="shared" si="33"/>
        <v>14090.72010770558</v>
      </c>
      <c r="K103" s="295">
        <f t="shared" si="33"/>
        <v>14090.72010770558</v>
      </c>
      <c r="L103" s="295">
        <f t="shared" si="33"/>
        <v>14090.72010770558</v>
      </c>
      <c r="M103" s="295">
        <f t="shared" si="33"/>
        <v>14090.72010770558</v>
      </c>
      <c r="N103" s="295">
        <f t="shared" si="33"/>
        <v>14090.72010770558</v>
      </c>
      <c r="O103" s="295">
        <f t="shared" si="33"/>
        <v>14090.72010770558</v>
      </c>
      <c r="P103" s="295">
        <f t="shared" si="33"/>
        <v>14090.72010770558</v>
      </c>
      <c r="Q103" s="295">
        <f t="shared" si="33"/>
        <v>14090.72010770558</v>
      </c>
      <c r="R103" s="295">
        <f t="shared" si="33"/>
        <v>14090.72010770558</v>
      </c>
      <c r="S103" s="295">
        <f t="shared" si="33"/>
        <v>14090.72010770558</v>
      </c>
      <c r="T103" s="295">
        <f t="shared" si="32"/>
        <v>14090.72010770558</v>
      </c>
      <c r="U103" s="295">
        <f t="shared" si="32"/>
        <v>14090.72010770558</v>
      </c>
      <c r="V103" s="295">
        <f t="shared" si="32"/>
        <v>14090.72010770558</v>
      </c>
      <c r="W103" s="295">
        <f t="shared" si="32"/>
        <v>14090.72010770558</v>
      </c>
      <c r="X103" s="295">
        <f t="shared" si="32"/>
        <v>14090.72010770558</v>
      </c>
      <c r="Y103" s="295">
        <f t="shared" si="32"/>
        <v>14090.72010770558</v>
      </c>
      <c r="Z103" s="295">
        <f t="shared" si="32"/>
        <v>14090.72010770558</v>
      </c>
      <c r="AA103" s="295">
        <f t="shared" si="32"/>
        <v>14090.72010770558</v>
      </c>
      <c r="AB103" s="295">
        <f t="shared" si="32"/>
        <v>14090.72010770558</v>
      </c>
      <c r="AC103" s="295">
        <f t="shared" si="32"/>
        <v>14090.72010770558</v>
      </c>
      <c r="AD103" s="295">
        <f t="shared" si="32"/>
        <v>14090.72010770558</v>
      </c>
      <c r="AE103" s="296">
        <f t="shared" si="32"/>
        <v>14090.72010770558</v>
      </c>
    </row>
    <row r="104" spans="1:31">
      <c r="A104" s="1711"/>
      <c r="B104" s="116">
        <v>22</v>
      </c>
      <c r="C104" s="294">
        <f t="shared" si="34"/>
        <v>14090.72010770558</v>
      </c>
      <c r="D104" s="295">
        <f t="shared" si="33"/>
        <v>14090.72010770558</v>
      </c>
      <c r="E104" s="295">
        <f t="shared" si="33"/>
        <v>14090.72010770558</v>
      </c>
      <c r="F104" s="295">
        <f t="shared" si="33"/>
        <v>14090.72010770558</v>
      </c>
      <c r="G104" s="295">
        <f t="shared" si="33"/>
        <v>14090.72010770558</v>
      </c>
      <c r="H104" s="295">
        <f t="shared" si="33"/>
        <v>14090.72010770558</v>
      </c>
      <c r="I104" s="295">
        <f t="shared" si="33"/>
        <v>14090.72010770558</v>
      </c>
      <c r="J104" s="295">
        <f t="shared" si="33"/>
        <v>14090.72010770558</v>
      </c>
      <c r="K104" s="295">
        <f t="shared" si="33"/>
        <v>14090.72010770558</v>
      </c>
      <c r="L104" s="295">
        <f t="shared" si="33"/>
        <v>14090.72010770558</v>
      </c>
      <c r="M104" s="295">
        <f t="shared" si="33"/>
        <v>14090.72010770558</v>
      </c>
      <c r="N104" s="295">
        <f t="shared" si="33"/>
        <v>14090.72010770558</v>
      </c>
      <c r="O104" s="295">
        <f t="shared" si="33"/>
        <v>14090.72010770558</v>
      </c>
      <c r="P104" s="295">
        <f t="shared" si="33"/>
        <v>14090.72010770558</v>
      </c>
      <c r="Q104" s="295">
        <f t="shared" si="33"/>
        <v>14090.72010770558</v>
      </c>
      <c r="R104" s="295">
        <f t="shared" si="33"/>
        <v>14090.72010770558</v>
      </c>
      <c r="S104" s="295">
        <f t="shared" si="33"/>
        <v>14090.72010770558</v>
      </c>
      <c r="T104" s="295">
        <f t="shared" si="32"/>
        <v>14090.72010770558</v>
      </c>
      <c r="U104" s="295">
        <f t="shared" si="32"/>
        <v>14090.72010770558</v>
      </c>
      <c r="V104" s="295">
        <f t="shared" si="32"/>
        <v>14090.72010770558</v>
      </c>
      <c r="W104" s="295">
        <f t="shared" si="32"/>
        <v>14090.72010770558</v>
      </c>
      <c r="X104" s="295">
        <f t="shared" si="32"/>
        <v>14090.72010770558</v>
      </c>
      <c r="Y104" s="295">
        <f t="shared" si="32"/>
        <v>14090.72010770558</v>
      </c>
      <c r="Z104" s="295">
        <f t="shared" si="32"/>
        <v>14090.72010770558</v>
      </c>
      <c r="AA104" s="295">
        <f t="shared" si="32"/>
        <v>14090.72010770558</v>
      </c>
      <c r="AB104" s="295">
        <f t="shared" si="32"/>
        <v>14090.72010770558</v>
      </c>
      <c r="AC104" s="295">
        <f t="shared" si="32"/>
        <v>14090.72010770558</v>
      </c>
      <c r="AD104" s="295">
        <f t="shared" si="32"/>
        <v>14090.72010770558</v>
      </c>
      <c r="AE104" s="296">
        <f t="shared" si="32"/>
        <v>14090.72010770558</v>
      </c>
    </row>
    <row r="105" spans="1:31">
      <c r="A105" s="1711"/>
      <c r="B105" s="116">
        <v>23</v>
      </c>
      <c r="C105" s="294">
        <f t="shared" si="34"/>
        <v>14090.72010770558</v>
      </c>
      <c r="D105" s="295">
        <f t="shared" si="33"/>
        <v>14090.72010770558</v>
      </c>
      <c r="E105" s="295">
        <f t="shared" si="33"/>
        <v>14090.72010770558</v>
      </c>
      <c r="F105" s="295">
        <f t="shared" si="33"/>
        <v>14090.72010770558</v>
      </c>
      <c r="G105" s="295">
        <f t="shared" si="33"/>
        <v>14090.72010770558</v>
      </c>
      <c r="H105" s="295">
        <f t="shared" si="33"/>
        <v>14090.72010770558</v>
      </c>
      <c r="I105" s="295">
        <f t="shared" si="33"/>
        <v>14090.72010770558</v>
      </c>
      <c r="J105" s="295">
        <f t="shared" si="33"/>
        <v>14090.72010770558</v>
      </c>
      <c r="K105" s="295">
        <f t="shared" si="33"/>
        <v>14090.72010770558</v>
      </c>
      <c r="L105" s="295">
        <f t="shared" si="33"/>
        <v>14090.72010770558</v>
      </c>
      <c r="M105" s="295">
        <f t="shared" si="33"/>
        <v>14090.72010770558</v>
      </c>
      <c r="N105" s="295">
        <f t="shared" si="33"/>
        <v>14090.72010770558</v>
      </c>
      <c r="O105" s="295">
        <f t="shared" si="33"/>
        <v>14090.72010770558</v>
      </c>
      <c r="P105" s="295">
        <f t="shared" si="33"/>
        <v>14090.72010770558</v>
      </c>
      <c r="Q105" s="295">
        <f t="shared" si="33"/>
        <v>14090.72010770558</v>
      </c>
      <c r="R105" s="295">
        <f t="shared" si="33"/>
        <v>14090.72010770558</v>
      </c>
      <c r="S105" s="295">
        <f t="shared" si="33"/>
        <v>14090.72010770558</v>
      </c>
      <c r="T105" s="295">
        <f t="shared" si="32"/>
        <v>14090.72010770558</v>
      </c>
      <c r="U105" s="295">
        <f t="shared" si="32"/>
        <v>14090.72010770558</v>
      </c>
      <c r="V105" s="295">
        <f t="shared" si="32"/>
        <v>14090.72010770558</v>
      </c>
      <c r="W105" s="295">
        <f t="shared" si="32"/>
        <v>14090.72010770558</v>
      </c>
      <c r="X105" s="295">
        <f t="shared" si="32"/>
        <v>14090.72010770558</v>
      </c>
      <c r="Y105" s="295">
        <f t="shared" si="32"/>
        <v>14090.72010770558</v>
      </c>
      <c r="Z105" s="295">
        <f t="shared" si="32"/>
        <v>14090.72010770558</v>
      </c>
      <c r="AA105" s="295">
        <f t="shared" si="32"/>
        <v>14090.72010770558</v>
      </c>
      <c r="AB105" s="295">
        <f t="shared" si="32"/>
        <v>14090.72010770558</v>
      </c>
      <c r="AC105" s="295">
        <f t="shared" si="32"/>
        <v>14090.72010770558</v>
      </c>
      <c r="AD105" s="295">
        <f t="shared" si="32"/>
        <v>14090.72010770558</v>
      </c>
      <c r="AE105" s="296">
        <f t="shared" si="32"/>
        <v>14090.72010770558</v>
      </c>
    </row>
    <row r="106" spans="1:31">
      <c r="A106" s="1711"/>
      <c r="B106" s="116">
        <v>24</v>
      </c>
      <c r="C106" s="294">
        <f t="shared" si="34"/>
        <v>14090.72010770558</v>
      </c>
      <c r="D106" s="295">
        <f t="shared" si="33"/>
        <v>14090.72010770558</v>
      </c>
      <c r="E106" s="295">
        <f t="shared" si="33"/>
        <v>14090.72010770558</v>
      </c>
      <c r="F106" s="295">
        <f t="shared" si="33"/>
        <v>14090.72010770558</v>
      </c>
      <c r="G106" s="295">
        <f t="shared" si="33"/>
        <v>14090.72010770558</v>
      </c>
      <c r="H106" s="295">
        <f t="shared" si="33"/>
        <v>14090.72010770558</v>
      </c>
      <c r="I106" s="295">
        <f t="shared" si="33"/>
        <v>14090.72010770558</v>
      </c>
      <c r="J106" s="295">
        <f t="shared" si="33"/>
        <v>14090.72010770558</v>
      </c>
      <c r="K106" s="295">
        <f t="shared" si="33"/>
        <v>14090.72010770558</v>
      </c>
      <c r="L106" s="295">
        <f t="shared" si="33"/>
        <v>14090.72010770558</v>
      </c>
      <c r="M106" s="295">
        <f t="shared" si="33"/>
        <v>14090.72010770558</v>
      </c>
      <c r="N106" s="295">
        <f t="shared" si="33"/>
        <v>14090.72010770558</v>
      </c>
      <c r="O106" s="295">
        <f t="shared" si="33"/>
        <v>14090.72010770558</v>
      </c>
      <c r="P106" s="295">
        <f t="shared" si="33"/>
        <v>14090.72010770558</v>
      </c>
      <c r="Q106" s="295">
        <f t="shared" si="33"/>
        <v>14090.72010770558</v>
      </c>
      <c r="R106" s="295">
        <f t="shared" si="33"/>
        <v>14090.72010770558</v>
      </c>
      <c r="S106" s="295">
        <f t="shared" si="33"/>
        <v>14090.72010770558</v>
      </c>
      <c r="T106" s="295">
        <f t="shared" si="32"/>
        <v>14090.72010770558</v>
      </c>
      <c r="U106" s="295">
        <f t="shared" si="32"/>
        <v>14090.72010770558</v>
      </c>
      <c r="V106" s="295">
        <f t="shared" si="32"/>
        <v>14090.72010770558</v>
      </c>
      <c r="W106" s="295">
        <f t="shared" si="32"/>
        <v>14090.72010770558</v>
      </c>
      <c r="X106" s="295">
        <f t="shared" si="32"/>
        <v>14090.72010770558</v>
      </c>
      <c r="Y106" s="295">
        <f t="shared" si="32"/>
        <v>14090.72010770558</v>
      </c>
      <c r="Z106" s="295">
        <f t="shared" si="32"/>
        <v>14090.72010770558</v>
      </c>
      <c r="AA106" s="295">
        <f t="shared" si="32"/>
        <v>14090.72010770558</v>
      </c>
      <c r="AB106" s="295">
        <f t="shared" si="32"/>
        <v>14090.72010770558</v>
      </c>
      <c r="AC106" s="295">
        <f t="shared" si="32"/>
        <v>14090.72010770558</v>
      </c>
      <c r="AD106" s="295">
        <f t="shared" si="32"/>
        <v>14090.72010770558</v>
      </c>
      <c r="AE106" s="296">
        <f t="shared" si="32"/>
        <v>14090.72010770558</v>
      </c>
    </row>
    <row r="107" spans="1:31" ht="15.75" thickBot="1">
      <c r="A107" s="1711"/>
      <c r="B107" s="116">
        <v>25</v>
      </c>
      <c r="C107" s="297">
        <f t="shared" si="34"/>
        <v>14090.72010770558</v>
      </c>
      <c r="D107" s="298">
        <f t="shared" si="33"/>
        <v>14090.72010770558</v>
      </c>
      <c r="E107" s="298">
        <f t="shared" si="33"/>
        <v>14090.72010770558</v>
      </c>
      <c r="F107" s="298">
        <f t="shared" si="33"/>
        <v>14090.72010770558</v>
      </c>
      <c r="G107" s="298">
        <f t="shared" si="33"/>
        <v>14090.72010770558</v>
      </c>
      <c r="H107" s="298">
        <f t="shared" si="33"/>
        <v>14090.72010770558</v>
      </c>
      <c r="I107" s="298">
        <f t="shared" si="33"/>
        <v>14090.72010770558</v>
      </c>
      <c r="J107" s="298">
        <f t="shared" si="33"/>
        <v>14090.72010770558</v>
      </c>
      <c r="K107" s="298">
        <f t="shared" si="33"/>
        <v>14090.72010770558</v>
      </c>
      <c r="L107" s="298">
        <f t="shared" si="33"/>
        <v>14090.72010770558</v>
      </c>
      <c r="M107" s="298">
        <f t="shared" si="33"/>
        <v>14090.72010770558</v>
      </c>
      <c r="N107" s="298">
        <f t="shared" si="33"/>
        <v>14090.72010770558</v>
      </c>
      <c r="O107" s="298">
        <f t="shared" si="33"/>
        <v>14090.72010770558</v>
      </c>
      <c r="P107" s="298">
        <f t="shared" si="33"/>
        <v>14090.72010770558</v>
      </c>
      <c r="Q107" s="298">
        <f t="shared" si="33"/>
        <v>14090.72010770558</v>
      </c>
      <c r="R107" s="298">
        <f t="shared" si="33"/>
        <v>14090.72010770558</v>
      </c>
      <c r="S107" s="298">
        <f t="shared" si="33"/>
        <v>14090.72010770558</v>
      </c>
      <c r="T107" s="298">
        <f t="shared" si="32"/>
        <v>14090.72010770558</v>
      </c>
      <c r="U107" s="298">
        <f t="shared" si="32"/>
        <v>14090.72010770558</v>
      </c>
      <c r="V107" s="298">
        <f t="shared" si="32"/>
        <v>14090.72010770558</v>
      </c>
      <c r="W107" s="298">
        <f t="shared" si="32"/>
        <v>14090.72010770558</v>
      </c>
      <c r="X107" s="298">
        <f t="shared" si="32"/>
        <v>14090.72010770558</v>
      </c>
      <c r="Y107" s="298">
        <f t="shared" si="32"/>
        <v>14090.72010770558</v>
      </c>
      <c r="Z107" s="298">
        <f t="shared" si="32"/>
        <v>14090.72010770558</v>
      </c>
      <c r="AA107" s="298">
        <f t="shared" si="32"/>
        <v>14090.72010770558</v>
      </c>
      <c r="AB107" s="298">
        <f t="shared" si="32"/>
        <v>14090.72010770558</v>
      </c>
      <c r="AC107" s="298">
        <f t="shared" si="32"/>
        <v>14090.72010770558</v>
      </c>
      <c r="AD107" s="298">
        <f t="shared" si="32"/>
        <v>14090.72010770558</v>
      </c>
      <c r="AE107" s="299">
        <f t="shared" si="32"/>
        <v>14090.72010770558</v>
      </c>
    </row>
    <row r="108" spans="1:31" ht="16.5" thickTop="1" thickBot="1">
      <c r="A108" s="1712"/>
      <c r="B108" s="300" t="s">
        <v>39</v>
      </c>
      <c r="C108" s="461">
        <f>IF('CAR Stock'!C137=0,0,SUMPRODUCT(C82:C107,'CAR Stock'!C111:C136)/'CAR Stock'!C137)</f>
        <v>16577.035096181775</v>
      </c>
      <c r="D108" s="461">
        <f>IF('CAR Stock'!D137=0,0,SUMPRODUCT(D82:D107,'CAR Stock'!D111:D136)/'CAR Stock'!D137)</f>
        <v>16521.030687861032</v>
      </c>
      <c r="E108" s="461">
        <f>IF('CAR Stock'!E137=0,0,SUMPRODUCT(E82:E107,'CAR Stock'!E111:E136)/'CAR Stock'!E137)</f>
        <v>16389.69431867337</v>
      </c>
      <c r="F108" s="461">
        <f>IF('CAR Stock'!F137=0,0,SUMPRODUCT(F82:F107,'CAR Stock'!F111:F136)/'CAR Stock'!F137)</f>
        <v>16222.118992158787</v>
      </c>
      <c r="G108" s="461">
        <f>IF('CAR Stock'!G137=0,0,SUMPRODUCT(G82:G107,'CAR Stock'!G111:G136)/'CAR Stock'!G137)</f>
        <v>16039.368551314874</v>
      </c>
      <c r="H108" s="461">
        <f>IF('CAR Stock'!H137=0,0,SUMPRODUCT(H82:H107,'CAR Stock'!H111:H136)/'CAR Stock'!H137)</f>
        <v>15851.804622767655</v>
      </c>
      <c r="I108" s="461">
        <f>IF('CAR Stock'!I137=0,0,SUMPRODUCT(I82:I107,'CAR Stock'!I111:I136)/'CAR Stock'!I137)</f>
        <v>15665.837418789622</v>
      </c>
      <c r="J108" s="461">
        <f>IF('CAR Stock'!J137=0,0,SUMPRODUCT(J82:J107,'CAR Stock'!J111:J136)/'CAR Stock'!J137)</f>
        <v>15489.294365060401</v>
      </c>
      <c r="K108" s="461">
        <f>IF('CAR Stock'!K137=0,0,SUMPRODUCT(K82:K107,'CAR Stock'!K111:K136)/'CAR Stock'!K137)</f>
        <v>15334.126618785418</v>
      </c>
      <c r="L108" s="461">
        <f>IF('CAR Stock'!L137=0,0,SUMPRODUCT(L82:L107,'CAR Stock'!L111:L136)/'CAR Stock'!L137)</f>
        <v>15214.713952582664</v>
      </c>
      <c r="M108" s="461">
        <f>IF('CAR Stock'!M137=0,0,SUMPRODUCT(M82:M107,'CAR Stock'!M111:M136)/'CAR Stock'!M137)</f>
        <v>15131.709782389049</v>
      </c>
      <c r="N108" s="461">
        <f>IF('CAR Stock'!N137=0,0,SUMPRODUCT(N82:N107,'CAR Stock'!N111:N136)/'CAR Stock'!N137)</f>
        <v>15049.349499743515</v>
      </c>
      <c r="O108" s="461">
        <f>IF('CAR Stock'!O137=0,0,SUMPRODUCT(O82:O107,'CAR Stock'!O111:O136)/'CAR Stock'!O137)</f>
        <v>14919.491284753805</v>
      </c>
      <c r="P108" s="461">
        <f>IF('CAR Stock'!P137=0,0,SUMPRODUCT(P82:P107,'CAR Stock'!P111:P136)/'CAR Stock'!P137)</f>
        <v>14743.209253790421</v>
      </c>
      <c r="Q108" s="461">
        <f>IF('CAR Stock'!Q137=0,0,SUMPRODUCT(Q82:Q107,'CAR Stock'!Q111:Q136)/'CAR Stock'!Q137)</f>
        <v>14523.067776430102</v>
      </c>
      <c r="R108" s="461">
        <f>IF('CAR Stock'!R137=0,0,SUMPRODUCT(R82:R107,'CAR Stock'!R111:R136)/'CAR Stock'!R137)</f>
        <v>14282.267360851523</v>
      </c>
      <c r="S108" s="461">
        <f>IF('CAR Stock'!S137=0,0,SUMPRODUCT(S82:S107,'CAR Stock'!S111:S136)/'CAR Stock'!S137)</f>
        <v>14090.720107705578</v>
      </c>
      <c r="T108" s="461">
        <f>IF('CAR Stock'!T137=0,0,SUMPRODUCT(T82:T107,'CAR Stock'!T111:T136)/'CAR Stock'!T137)</f>
        <v>14090.72010770558</v>
      </c>
      <c r="U108" s="461">
        <f>IF('CAR Stock'!U137=0,0,SUMPRODUCT(U82:U107,'CAR Stock'!U111:U136)/'CAR Stock'!U137)</f>
        <v>14090.720107705574</v>
      </c>
      <c r="V108" s="461">
        <f>IF('CAR Stock'!V137=0,0,SUMPRODUCT(V82:V107,'CAR Stock'!V111:V136)/'CAR Stock'!V137)</f>
        <v>14090.720107705578</v>
      </c>
      <c r="W108" s="461">
        <f>IF('CAR Stock'!W137=0,0,SUMPRODUCT(W82:W107,'CAR Stock'!W111:W136)/'CAR Stock'!W137)</f>
        <v>14090.720107705576</v>
      </c>
      <c r="X108" s="461">
        <f>IF('CAR Stock'!X137=0,0,SUMPRODUCT(X82:X107,'CAR Stock'!X111:X136)/'CAR Stock'!X137)</f>
        <v>14090.720107705582</v>
      </c>
      <c r="Y108" s="461">
        <f>IF('CAR Stock'!Y137=0,0,SUMPRODUCT(Y82:Y107,'CAR Stock'!Y111:Y136)/'CAR Stock'!Y137)</f>
        <v>14090.720107705578</v>
      </c>
      <c r="Z108" s="461">
        <f>IF('CAR Stock'!Z137=0,0,SUMPRODUCT(Z82:Z107,'CAR Stock'!Z111:Z136)/'CAR Stock'!Z137)</f>
        <v>14090.720107705578</v>
      </c>
      <c r="AA108" s="461">
        <f>IF('CAR Stock'!AA137=0,0,SUMPRODUCT(AA82:AA107,'CAR Stock'!AA111:AA136)/'CAR Stock'!AA137)</f>
        <v>14090.72010770558</v>
      </c>
      <c r="AB108" s="461">
        <f>IF('CAR Stock'!AB137=0,0,SUMPRODUCT(AB82:AB107,'CAR Stock'!AB111:AB136)/'CAR Stock'!AB137)</f>
        <v>0</v>
      </c>
      <c r="AC108" s="461">
        <f>IF('CAR Stock'!AC137=0,0,SUMPRODUCT(AC82:AC107,'CAR Stock'!AC111:AC136)/'CAR Stock'!AC137)</f>
        <v>0</v>
      </c>
      <c r="AD108" s="461">
        <f>IF('CAR Stock'!AD137=0,0,SUMPRODUCT(AD82:AD107,'CAR Stock'!AD111:AD136)/'CAR Stock'!AD137)</f>
        <v>0</v>
      </c>
      <c r="AE108" s="462">
        <f>IF('CAR Stock'!AE137=0,0,SUMPRODUCT(AE82:AE107,'CAR Stock'!AE111:AE136)/'CAR Stock'!AE137)</f>
        <v>0</v>
      </c>
    </row>
    <row r="109" spans="1:31" ht="15.75" thickBot="1"/>
    <row r="110" spans="1:31" ht="15.75" thickBot="1">
      <c r="A110" s="1710" t="s">
        <v>44</v>
      </c>
      <c r="B110" s="169" t="s">
        <v>10</v>
      </c>
      <c r="C110" s="288">
        <v>2012</v>
      </c>
      <c r="D110" s="289">
        <v>2013</v>
      </c>
      <c r="E110" s="289">
        <v>2014</v>
      </c>
      <c r="F110" s="289">
        <v>2015</v>
      </c>
      <c r="G110" s="288">
        <v>2016</v>
      </c>
      <c r="H110" s="289">
        <v>2017</v>
      </c>
      <c r="I110" s="289">
        <v>2018</v>
      </c>
      <c r="J110" s="289">
        <v>2019</v>
      </c>
      <c r="K110" s="288">
        <v>2020</v>
      </c>
      <c r="L110" s="289">
        <v>2021</v>
      </c>
      <c r="M110" s="289">
        <v>2022</v>
      </c>
      <c r="N110" s="289">
        <v>2023</v>
      </c>
      <c r="O110" s="288">
        <v>2024</v>
      </c>
      <c r="P110" s="289">
        <v>2025</v>
      </c>
      <c r="Q110" s="289">
        <v>2026</v>
      </c>
      <c r="R110" s="289">
        <v>2027</v>
      </c>
      <c r="S110" s="288">
        <v>2028</v>
      </c>
      <c r="T110" s="289">
        <v>2029</v>
      </c>
      <c r="U110" s="289">
        <v>2030</v>
      </c>
      <c r="V110" s="289">
        <v>2031</v>
      </c>
      <c r="W110" s="288">
        <v>2032</v>
      </c>
      <c r="X110" s="289">
        <v>2033</v>
      </c>
      <c r="Y110" s="289">
        <v>2034</v>
      </c>
      <c r="Z110" s="289">
        <v>2035</v>
      </c>
      <c r="AA110" s="288">
        <v>2036</v>
      </c>
      <c r="AB110" s="289">
        <v>2037</v>
      </c>
      <c r="AC110" s="289">
        <v>2038</v>
      </c>
      <c r="AD110" s="289">
        <v>2039</v>
      </c>
      <c r="AE110" s="290">
        <v>2040</v>
      </c>
    </row>
    <row r="111" spans="1:31">
      <c r="A111" s="1711" t="s">
        <v>41</v>
      </c>
      <c r="B111" s="116">
        <v>0</v>
      </c>
      <c r="C111" s="291">
        <f>'CAR Mileage'!E4</f>
        <v>18642.652133209751</v>
      </c>
      <c r="D111" s="292">
        <f>C111</f>
        <v>18642.652133209751</v>
      </c>
      <c r="E111" s="292">
        <f t="shared" ref="E111:T111" si="35">D111</f>
        <v>18642.652133209751</v>
      </c>
      <c r="F111" s="292">
        <f t="shared" si="35"/>
        <v>18642.652133209751</v>
      </c>
      <c r="G111" s="292">
        <f t="shared" si="35"/>
        <v>18642.652133209751</v>
      </c>
      <c r="H111" s="292">
        <f t="shared" si="35"/>
        <v>18642.652133209751</v>
      </c>
      <c r="I111" s="292">
        <f t="shared" si="35"/>
        <v>18642.652133209751</v>
      </c>
      <c r="J111" s="292">
        <f t="shared" si="35"/>
        <v>18642.652133209751</v>
      </c>
      <c r="K111" s="292">
        <f t="shared" si="35"/>
        <v>18642.652133209751</v>
      </c>
      <c r="L111" s="292">
        <f t="shared" si="35"/>
        <v>18642.652133209751</v>
      </c>
      <c r="M111" s="292">
        <f t="shared" si="35"/>
        <v>18642.652133209751</v>
      </c>
      <c r="N111" s="292">
        <f t="shared" si="35"/>
        <v>18642.652133209751</v>
      </c>
      <c r="O111" s="292">
        <f t="shared" si="35"/>
        <v>18642.652133209751</v>
      </c>
      <c r="P111" s="292">
        <f t="shared" si="35"/>
        <v>18642.652133209751</v>
      </c>
      <c r="Q111" s="292">
        <f t="shared" si="35"/>
        <v>18642.652133209751</v>
      </c>
      <c r="R111" s="292">
        <f t="shared" si="35"/>
        <v>18642.652133209751</v>
      </c>
      <c r="S111" s="292">
        <f t="shared" si="35"/>
        <v>18642.652133209751</v>
      </c>
      <c r="T111" s="292">
        <f t="shared" si="35"/>
        <v>18642.652133209751</v>
      </c>
      <c r="U111" s="292">
        <f t="shared" ref="T111:AE126" si="36">T111</f>
        <v>18642.652133209751</v>
      </c>
      <c r="V111" s="292">
        <f t="shared" si="36"/>
        <v>18642.652133209751</v>
      </c>
      <c r="W111" s="292">
        <f t="shared" si="36"/>
        <v>18642.652133209751</v>
      </c>
      <c r="X111" s="292">
        <f t="shared" si="36"/>
        <v>18642.652133209751</v>
      </c>
      <c r="Y111" s="292">
        <f t="shared" si="36"/>
        <v>18642.652133209751</v>
      </c>
      <c r="Z111" s="292">
        <f t="shared" si="36"/>
        <v>18642.652133209751</v>
      </c>
      <c r="AA111" s="292">
        <f t="shared" si="36"/>
        <v>18642.652133209751</v>
      </c>
      <c r="AB111" s="292">
        <f t="shared" si="36"/>
        <v>18642.652133209751</v>
      </c>
      <c r="AC111" s="292">
        <f t="shared" si="36"/>
        <v>18642.652133209751</v>
      </c>
      <c r="AD111" s="292">
        <f t="shared" si="36"/>
        <v>18642.652133209751</v>
      </c>
      <c r="AE111" s="293">
        <f t="shared" si="36"/>
        <v>18642.652133209751</v>
      </c>
    </row>
    <row r="112" spans="1:31">
      <c r="A112" s="1711"/>
      <c r="B112" s="116">
        <v>1</v>
      </c>
      <c r="C112" s="294">
        <f>'CAR Mileage'!E5</f>
        <v>18269.799090545555</v>
      </c>
      <c r="D112" s="295">
        <f t="shared" ref="D112:S127" si="37">C112</f>
        <v>18269.799090545555</v>
      </c>
      <c r="E112" s="295">
        <f t="shared" si="37"/>
        <v>18269.799090545555</v>
      </c>
      <c r="F112" s="295">
        <f t="shared" si="37"/>
        <v>18269.799090545555</v>
      </c>
      <c r="G112" s="295">
        <f t="shared" si="37"/>
        <v>18269.799090545555</v>
      </c>
      <c r="H112" s="295">
        <f t="shared" si="37"/>
        <v>18269.799090545555</v>
      </c>
      <c r="I112" s="295">
        <f t="shared" si="37"/>
        <v>18269.799090545555</v>
      </c>
      <c r="J112" s="295">
        <f t="shared" si="37"/>
        <v>18269.799090545555</v>
      </c>
      <c r="K112" s="295">
        <f t="shared" si="37"/>
        <v>18269.799090545555</v>
      </c>
      <c r="L112" s="295">
        <f t="shared" si="37"/>
        <v>18269.799090545555</v>
      </c>
      <c r="M112" s="295">
        <f t="shared" si="37"/>
        <v>18269.799090545555</v>
      </c>
      <c r="N112" s="295">
        <f t="shared" si="37"/>
        <v>18269.799090545555</v>
      </c>
      <c r="O112" s="295">
        <f t="shared" si="37"/>
        <v>18269.799090545555</v>
      </c>
      <c r="P112" s="295">
        <f t="shared" si="37"/>
        <v>18269.799090545555</v>
      </c>
      <c r="Q112" s="295">
        <f t="shared" si="37"/>
        <v>18269.799090545555</v>
      </c>
      <c r="R112" s="295">
        <f t="shared" si="37"/>
        <v>18269.799090545555</v>
      </c>
      <c r="S112" s="295">
        <f t="shared" si="37"/>
        <v>18269.799090545555</v>
      </c>
      <c r="T112" s="295">
        <f t="shared" si="36"/>
        <v>18269.799090545555</v>
      </c>
      <c r="U112" s="295">
        <f t="shared" si="36"/>
        <v>18269.799090545555</v>
      </c>
      <c r="V112" s="295">
        <f t="shared" si="36"/>
        <v>18269.799090545555</v>
      </c>
      <c r="W112" s="295">
        <f t="shared" si="36"/>
        <v>18269.799090545555</v>
      </c>
      <c r="X112" s="295">
        <f t="shared" si="36"/>
        <v>18269.799090545555</v>
      </c>
      <c r="Y112" s="295">
        <f t="shared" si="36"/>
        <v>18269.799090545555</v>
      </c>
      <c r="Z112" s="295">
        <f t="shared" si="36"/>
        <v>18269.799090545555</v>
      </c>
      <c r="AA112" s="295">
        <f t="shared" si="36"/>
        <v>18269.799090545555</v>
      </c>
      <c r="AB112" s="295">
        <f t="shared" si="36"/>
        <v>18269.799090545555</v>
      </c>
      <c r="AC112" s="295">
        <f t="shared" si="36"/>
        <v>18269.799090545555</v>
      </c>
      <c r="AD112" s="295">
        <f t="shared" si="36"/>
        <v>18269.799090545555</v>
      </c>
      <c r="AE112" s="296">
        <f t="shared" si="36"/>
        <v>18269.799090545555</v>
      </c>
    </row>
    <row r="113" spans="1:31">
      <c r="A113" s="1711"/>
      <c r="B113" s="116">
        <v>2</v>
      </c>
      <c r="C113" s="294">
        <f>'CAR Mileage'!E6</f>
        <v>17904.403108734645</v>
      </c>
      <c r="D113" s="295">
        <f t="shared" si="37"/>
        <v>17904.403108734645</v>
      </c>
      <c r="E113" s="295">
        <f t="shared" si="37"/>
        <v>17904.403108734645</v>
      </c>
      <c r="F113" s="295">
        <f t="shared" si="37"/>
        <v>17904.403108734645</v>
      </c>
      <c r="G113" s="295">
        <f t="shared" si="37"/>
        <v>17904.403108734645</v>
      </c>
      <c r="H113" s="295">
        <f t="shared" si="37"/>
        <v>17904.403108734645</v>
      </c>
      <c r="I113" s="295">
        <f t="shared" si="37"/>
        <v>17904.403108734645</v>
      </c>
      <c r="J113" s="295">
        <f t="shared" si="37"/>
        <v>17904.403108734645</v>
      </c>
      <c r="K113" s="295">
        <f t="shared" si="37"/>
        <v>17904.403108734645</v>
      </c>
      <c r="L113" s="295">
        <f t="shared" si="37"/>
        <v>17904.403108734645</v>
      </c>
      <c r="M113" s="295">
        <f t="shared" si="37"/>
        <v>17904.403108734645</v>
      </c>
      <c r="N113" s="295">
        <f t="shared" si="37"/>
        <v>17904.403108734645</v>
      </c>
      <c r="O113" s="295">
        <f t="shared" si="37"/>
        <v>17904.403108734645</v>
      </c>
      <c r="P113" s="295">
        <f t="shared" si="37"/>
        <v>17904.403108734645</v>
      </c>
      <c r="Q113" s="295">
        <f t="shared" si="37"/>
        <v>17904.403108734645</v>
      </c>
      <c r="R113" s="295">
        <f t="shared" si="37"/>
        <v>17904.403108734645</v>
      </c>
      <c r="S113" s="295">
        <f t="shared" si="37"/>
        <v>17904.403108734645</v>
      </c>
      <c r="T113" s="295">
        <f t="shared" si="36"/>
        <v>17904.403108734645</v>
      </c>
      <c r="U113" s="295">
        <f t="shared" si="36"/>
        <v>17904.403108734645</v>
      </c>
      <c r="V113" s="295">
        <f t="shared" si="36"/>
        <v>17904.403108734645</v>
      </c>
      <c r="W113" s="295">
        <f t="shared" si="36"/>
        <v>17904.403108734645</v>
      </c>
      <c r="X113" s="295">
        <f t="shared" si="36"/>
        <v>17904.403108734645</v>
      </c>
      <c r="Y113" s="295">
        <f t="shared" si="36"/>
        <v>17904.403108734645</v>
      </c>
      <c r="Z113" s="295">
        <f t="shared" si="36"/>
        <v>17904.403108734645</v>
      </c>
      <c r="AA113" s="295">
        <f t="shared" si="36"/>
        <v>17904.403108734645</v>
      </c>
      <c r="AB113" s="295">
        <f t="shared" si="36"/>
        <v>17904.403108734645</v>
      </c>
      <c r="AC113" s="295">
        <f t="shared" si="36"/>
        <v>17904.403108734645</v>
      </c>
      <c r="AD113" s="295">
        <f t="shared" si="36"/>
        <v>17904.403108734645</v>
      </c>
      <c r="AE113" s="296">
        <f t="shared" si="36"/>
        <v>17904.403108734645</v>
      </c>
    </row>
    <row r="114" spans="1:31">
      <c r="A114" s="1711"/>
      <c r="B114" s="116">
        <v>3</v>
      </c>
      <c r="C114" s="294">
        <f>'CAR Mileage'!E7</f>
        <v>17546.31504655995</v>
      </c>
      <c r="D114" s="295">
        <f t="shared" si="37"/>
        <v>17546.31504655995</v>
      </c>
      <c r="E114" s="295">
        <f t="shared" si="37"/>
        <v>17546.31504655995</v>
      </c>
      <c r="F114" s="295">
        <f t="shared" si="37"/>
        <v>17546.31504655995</v>
      </c>
      <c r="G114" s="295">
        <f t="shared" si="37"/>
        <v>17546.31504655995</v>
      </c>
      <c r="H114" s="295">
        <f t="shared" si="37"/>
        <v>17546.31504655995</v>
      </c>
      <c r="I114" s="295">
        <f t="shared" si="37"/>
        <v>17546.31504655995</v>
      </c>
      <c r="J114" s="295">
        <f t="shared" si="37"/>
        <v>17546.31504655995</v>
      </c>
      <c r="K114" s="295">
        <f t="shared" si="37"/>
        <v>17546.31504655995</v>
      </c>
      <c r="L114" s="295">
        <f t="shared" si="37"/>
        <v>17546.31504655995</v>
      </c>
      <c r="M114" s="295">
        <f t="shared" si="37"/>
        <v>17546.31504655995</v>
      </c>
      <c r="N114" s="295">
        <f t="shared" si="37"/>
        <v>17546.31504655995</v>
      </c>
      <c r="O114" s="295">
        <f t="shared" si="37"/>
        <v>17546.31504655995</v>
      </c>
      <c r="P114" s="295">
        <f t="shared" si="37"/>
        <v>17546.31504655995</v>
      </c>
      <c r="Q114" s="295">
        <f t="shared" si="37"/>
        <v>17546.31504655995</v>
      </c>
      <c r="R114" s="295">
        <f t="shared" si="37"/>
        <v>17546.31504655995</v>
      </c>
      <c r="S114" s="295">
        <f t="shared" si="37"/>
        <v>17546.31504655995</v>
      </c>
      <c r="T114" s="295">
        <f t="shared" si="36"/>
        <v>17546.31504655995</v>
      </c>
      <c r="U114" s="295">
        <f t="shared" si="36"/>
        <v>17546.31504655995</v>
      </c>
      <c r="V114" s="295">
        <f t="shared" si="36"/>
        <v>17546.31504655995</v>
      </c>
      <c r="W114" s="295">
        <f t="shared" si="36"/>
        <v>17546.31504655995</v>
      </c>
      <c r="X114" s="295">
        <f t="shared" si="36"/>
        <v>17546.31504655995</v>
      </c>
      <c r="Y114" s="295">
        <f t="shared" si="36"/>
        <v>17546.31504655995</v>
      </c>
      <c r="Z114" s="295">
        <f t="shared" si="36"/>
        <v>17546.31504655995</v>
      </c>
      <c r="AA114" s="295">
        <f t="shared" si="36"/>
        <v>17546.31504655995</v>
      </c>
      <c r="AB114" s="295">
        <f t="shared" si="36"/>
        <v>17546.31504655995</v>
      </c>
      <c r="AC114" s="295">
        <f t="shared" si="36"/>
        <v>17546.31504655995</v>
      </c>
      <c r="AD114" s="295">
        <f t="shared" si="36"/>
        <v>17546.31504655995</v>
      </c>
      <c r="AE114" s="296">
        <f t="shared" si="36"/>
        <v>17546.31504655995</v>
      </c>
    </row>
    <row r="115" spans="1:31">
      <c r="A115" s="1711"/>
      <c r="B115" s="116">
        <v>4</v>
      </c>
      <c r="C115" s="294">
        <f>'CAR Mileage'!E8</f>
        <v>17195.388745628752</v>
      </c>
      <c r="D115" s="295">
        <f t="shared" si="37"/>
        <v>17195.388745628752</v>
      </c>
      <c r="E115" s="295">
        <f t="shared" si="37"/>
        <v>17195.388745628752</v>
      </c>
      <c r="F115" s="295">
        <f t="shared" si="37"/>
        <v>17195.388745628752</v>
      </c>
      <c r="G115" s="295">
        <f t="shared" si="37"/>
        <v>17195.388745628752</v>
      </c>
      <c r="H115" s="295">
        <f t="shared" si="37"/>
        <v>17195.388745628752</v>
      </c>
      <c r="I115" s="295">
        <f t="shared" si="37"/>
        <v>17195.388745628752</v>
      </c>
      <c r="J115" s="295">
        <f t="shared" si="37"/>
        <v>17195.388745628752</v>
      </c>
      <c r="K115" s="295">
        <f t="shared" si="37"/>
        <v>17195.388745628752</v>
      </c>
      <c r="L115" s="295">
        <f t="shared" si="37"/>
        <v>17195.388745628752</v>
      </c>
      <c r="M115" s="295">
        <f t="shared" si="37"/>
        <v>17195.388745628752</v>
      </c>
      <c r="N115" s="295">
        <f t="shared" si="37"/>
        <v>17195.388745628752</v>
      </c>
      <c r="O115" s="295">
        <f t="shared" si="37"/>
        <v>17195.388745628752</v>
      </c>
      <c r="P115" s="295">
        <f t="shared" si="37"/>
        <v>17195.388745628752</v>
      </c>
      <c r="Q115" s="295">
        <f t="shared" si="37"/>
        <v>17195.388745628752</v>
      </c>
      <c r="R115" s="295">
        <f t="shared" si="37"/>
        <v>17195.388745628752</v>
      </c>
      <c r="S115" s="295">
        <f t="shared" si="37"/>
        <v>17195.388745628752</v>
      </c>
      <c r="T115" s="295">
        <f t="shared" si="36"/>
        <v>17195.388745628752</v>
      </c>
      <c r="U115" s="295">
        <f t="shared" si="36"/>
        <v>17195.388745628752</v>
      </c>
      <c r="V115" s="295">
        <f t="shared" si="36"/>
        <v>17195.388745628752</v>
      </c>
      <c r="W115" s="295">
        <f t="shared" si="36"/>
        <v>17195.388745628752</v>
      </c>
      <c r="X115" s="295">
        <f t="shared" si="36"/>
        <v>17195.388745628752</v>
      </c>
      <c r="Y115" s="295">
        <f t="shared" si="36"/>
        <v>17195.388745628752</v>
      </c>
      <c r="Z115" s="295">
        <f t="shared" si="36"/>
        <v>17195.388745628752</v>
      </c>
      <c r="AA115" s="295">
        <f t="shared" si="36"/>
        <v>17195.388745628752</v>
      </c>
      <c r="AB115" s="295">
        <f t="shared" si="36"/>
        <v>17195.388745628752</v>
      </c>
      <c r="AC115" s="295">
        <f t="shared" si="36"/>
        <v>17195.388745628752</v>
      </c>
      <c r="AD115" s="295">
        <f t="shared" si="36"/>
        <v>17195.388745628752</v>
      </c>
      <c r="AE115" s="296">
        <f t="shared" si="36"/>
        <v>17195.388745628752</v>
      </c>
    </row>
    <row r="116" spans="1:31">
      <c r="A116" s="1711"/>
      <c r="B116" s="116">
        <v>5</v>
      </c>
      <c r="C116" s="294">
        <f>'CAR Mileage'!E9</f>
        <v>16851.480970716177</v>
      </c>
      <c r="D116" s="295">
        <f t="shared" si="37"/>
        <v>16851.480970716177</v>
      </c>
      <c r="E116" s="295">
        <f t="shared" si="37"/>
        <v>16851.480970716177</v>
      </c>
      <c r="F116" s="295">
        <f t="shared" si="37"/>
        <v>16851.480970716177</v>
      </c>
      <c r="G116" s="295">
        <f t="shared" si="37"/>
        <v>16851.480970716177</v>
      </c>
      <c r="H116" s="295">
        <f t="shared" si="37"/>
        <v>16851.480970716177</v>
      </c>
      <c r="I116" s="295">
        <f t="shared" si="37"/>
        <v>16851.480970716177</v>
      </c>
      <c r="J116" s="295">
        <f t="shared" si="37"/>
        <v>16851.480970716177</v>
      </c>
      <c r="K116" s="295">
        <f t="shared" si="37"/>
        <v>16851.480970716177</v>
      </c>
      <c r="L116" s="295">
        <f t="shared" si="37"/>
        <v>16851.480970716177</v>
      </c>
      <c r="M116" s="295">
        <f t="shared" si="37"/>
        <v>16851.480970716177</v>
      </c>
      <c r="N116" s="295">
        <f t="shared" si="37"/>
        <v>16851.480970716177</v>
      </c>
      <c r="O116" s="295">
        <f t="shared" si="37"/>
        <v>16851.480970716177</v>
      </c>
      <c r="P116" s="295">
        <f t="shared" si="37"/>
        <v>16851.480970716177</v>
      </c>
      <c r="Q116" s="295">
        <f t="shared" si="37"/>
        <v>16851.480970716177</v>
      </c>
      <c r="R116" s="295">
        <f t="shared" si="37"/>
        <v>16851.480970716177</v>
      </c>
      <c r="S116" s="295">
        <f t="shared" si="37"/>
        <v>16851.480970716177</v>
      </c>
      <c r="T116" s="295">
        <f t="shared" si="36"/>
        <v>16851.480970716177</v>
      </c>
      <c r="U116" s="295">
        <f t="shared" si="36"/>
        <v>16851.480970716177</v>
      </c>
      <c r="V116" s="295">
        <f t="shared" si="36"/>
        <v>16851.480970716177</v>
      </c>
      <c r="W116" s="295">
        <f t="shared" si="36"/>
        <v>16851.480970716177</v>
      </c>
      <c r="X116" s="295">
        <f t="shared" si="36"/>
        <v>16851.480970716177</v>
      </c>
      <c r="Y116" s="295">
        <f t="shared" si="36"/>
        <v>16851.480970716177</v>
      </c>
      <c r="Z116" s="295">
        <f t="shared" si="36"/>
        <v>16851.480970716177</v>
      </c>
      <c r="AA116" s="295">
        <f t="shared" si="36"/>
        <v>16851.480970716177</v>
      </c>
      <c r="AB116" s="295">
        <f t="shared" si="36"/>
        <v>16851.480970716177</v>
      </c>
      <c r="AC116" s="295">
        <f t="shared" si="36"/>
        <v>16851.480970716177</v>
      </c>
      <c r="AD116" s="295">
        <f t="shared" si="36"/>
        <v>16851.480970716177</v>
      </c>
      <c r="AE116" s="296">
        <f t="shared" si="36"/>
        <v>16851.480970716177</v>
      </c>
    </row>
    <row r="117" spans="1:31">
      <c r="A117" s="1711"/>
      <c r="B117" s="116">
        <v>6</v>
      </c>
      <c r="C117" s="294">
        <f>'CAR Mileage'!E10</f>
        <v>16514.451351301854</v>
      </c>
      <c r="D117" s="295">
        <f t="shared" si="37"/>
        <v>16514.451351301854</v>
      </c>
      <c r="E117" s="295">
        <f t="shared" si="37"/>
        <v>16514.451351301854</v>
      </c>
      <c r="F117" s="295">
        <f t="shared" si="37"/>
        <v>16514.451351301854</v>
      </c>
      <c r="G117" s="295">
        <f t="shared" si="37"/>
        <v>16514.451351301854</v>
      </c>
      <c r="H117" s="295">
        <f t="shared" si="37"/>
        <v>16514.451351301854</v>
      </c>
      <c r="I117" s="295">
        <f t="shared" si="37"/>
        <v>16514.451351301854</v>
      </c>
      <c r="J117" s="295">
        <f t="shared" si="37"/>
        <v>16514.451351301854</v>
      </c>
      <c r="K117" s="295">
        <f t="shared" si="37"/>
        <v>16514.451351301854</v>
      </c>
      <c r="L117" s="295">
        <f t="shared" si="37"/>
        <v>16514.451351301854</v>
      </c>
      <c r="M117" s="295">
        <f t="shared" si="37"/>
        <v>16514.451351301854</v>
      </c>
      <c r="N117" s="295">
        <f t="shared" si="37"/>
        <v>16514.451351301854</v>
      </c>
      <c r="O117" s="295">
        <f t="shared" si="37"/>
        <v>16514.451351301854</v>
      </c>
      <c r="P117" s="295">
        <f t="shared" si="37"/>
        <v>16514.451351301854</v>
      </c>
      <c r="Q117" s="295">
        <f t="shared" si="37"/>
        <v>16514.451351301854</v>
      </c>
      <c r="R117" s="295">
        <f t="shared" si="37"/>
        <v>16514.451351301854</v>
      </c>
      <c r="S117" s="295">
        <f t="shared" si="37"/>
        <v>16514.451351301854</v>
      </c>
      <c r="T117" s="295">
        <f t="shared" si="36"/>
        <v>16514.451351301854</v>
      </c>
      <c r="U117" s="295">
        <f t="shared" si="36"/>
        <v>16514.451351301854</v>
      </c>
      <c r="V117" s="295">
        <f t="shared" si="36"/>
        <v>16514.451351301854</v>
      </c>
      <c r="W117" s="295">
        <f t="shared" si="36"/>
        <v>16514.451351301854</v>
      </c>
      <c r="X117" s="295">
        <f t="shared" si="36"/>
        <v>16514.451351301854</v>
      </c>
      <c r="Y117" s="295">
        <f t="shared" si="36"/>
        <v>16514.451351301854</v>
      </c>
      <c r="Z117" s="295">
        <f t="shared" si="36"/>
        <v>16514.451351301854</v>
      </c>
      <c r="AA117" s="295">
        <f t="shared" si="36"/>
        <v>16514.451351301854</v>
      </c>
      <c r="AB117" s="295">
        <f t="shared" si="36"/>
        <v>16514.451351301854</v>
      </c>
      <c r="AC117" s="295">
        <f t="shared" si="36"/>
        <v>16514.451351301854</v>
      </c>
      <c r="AD117" s="295">
        <f t="shared" si="36"/>
        <v>16514.451351301854</v>
      </c>
      <c r="AE117" s="296">
        <f t="shared" si="36"/>
        <v>16514.451351301854</v>
      </c>
    </row>
    <row r="118" spans="1:31">
      <c r="A118" s="1711"/>
      <c r="B118" s="116">
        <v>7</v>
      </c>
      <c r="C118" s="294">
        <f>'CAR Mileage'!E11</f>
        <v>16184.162324275816</v>
      </c>
      <c r="D118" s="295">
        <f t="shared" si="37"/>
        <v>16184.162324275816</v>
      </c>
      <c r="E118" s="295">
        <f t="shared" si="37"/>
        <v>16184.162324275816</v>
      </c>
      <c r="F118" s="295">
        <f t="shared" si="37"/>
        <v>16184.162324275816</v>
      </c>
      <c r="G118" s="295">
        <f t="shared" si="37"/>
        <v>16184.162324275816</v>
      </c>
      <c r="H118" s="295">
        <f t="shared" si="37"/>
        <v>16184.162324275816</v>
      </c>
      <c r="I118" s="295">
        <f t="shared" si="37"/>
        <v>16184.162324275816</v>
      </c>
      <c r="J118" s="295">
        <f t="shared" si="37"/>
        <v>16184.162324275816</v>
      </c>
      <c r="K118" s="295">
        <f t="shared" si="37"/>
        <v>16184.162324275816</v>
      </c>
      <c r="L118" s="295">
        <f t="shared" si="37"/>
        <v>16184.162324275816</v>
      </c>
      <c r="M118" s="295">
        <f t="shared" si="37"/>
        <v>16184.162324275816</v>
      </c>
      <c r="N118" s="295">
        <f t="shared" si="37"/>
        <v>16184.162324275816</v>
      </c>
      <c r="O118" s="295">
        <f t="shared" si="37"/>
        <v>16184.162324275816</v>
      </c>
      <c r="P118" s="295">
        <f t="shared" si="37"/>
        <v>16184.162324275816</v>
      </c>
      <c r="Q118" s="295">
        <f t="shared" si="37"/>
        <v>16184.162324275816</v>
      </c>
      <c r="R118" s="295">
        <f t="shared" si="37"/>
        <v>16184.162324275816</v>
      </c>
      <c r="S118" s="295">
        <f t="shared" si="37"/>
        <v>16184.162324275816</v>
      </c>
      <c r="T118" s="295">
        <f t="shared" si="36"/>
        <v>16184.162324275816</v>
      </c>
      <c r="U118" s="295">
        <f t="shared" si="36"/>
        <v>16184.162324275816</v>
      </c>
      <c r="V118" s="295">
        <f t="shared" si="36"/>
        <v>16184.162324275816</v>
      </c>
      <c r="W118" s="295">
        <f t="shared" si="36"/>
        <v>16184.162324275816</v>
      </c>
      <c r="X118" s="295">
        <f t="shared" si="36"/>
        <v>16184.162324275816</v>
      </c>
      <c r="Y118" s="295">
        <f t="shared" si="36"/>
        <v>16184.162324275816</v>
      </c>
      <c r="Z118" s="295">
        <f t="shared" si="36"/>
        <v>16184.162324275816</v>
      </c>
      <c r="AA118" s="295">
        <f t="shared" si="36"/>
        <v>16184.162324275816</v>
      </c>
      <c r="AB118" s="295">
        <f t="shared" si="36"/>
        <v>16184.162324275816</v>
      </c>
      <c r="AC118" s="295">
        <f t="shared" si="36"/>
        <v>16184.162324275816</v>
      </c>
      <c r="AD118" s="295">
        <f t="shared" si="36"/>
        <v>16184.162324275816</v>
      </c>
      <c r="AE118" s="296">
        <f t="shared" si="36"/>
        <v>16184.162324275816</v>
      </c>
    </row>
    <row r="119" spans="1:31">
      <c r="A119" s="1711"/>
      <c r="B119" s="116">
        <v>8</v>
      </c>
      <c r="C119" s="294">
        <f>'CAR Mileage'!E12</f>
        <v>15860.4790777903</v>
      </c>
      <c r="D119" s="295">
        <f t="shared" si="37"/>
        <v>15860.4790777903</v>
      </c>
      <c r="E119" s="295">
        <f t="shared" si="37"/>
        <v>15860.4790777903</v>
      </c>
      <c r="F119" s="295">
        <f t="shared" si="37"/>
        <v>15860.4790777903</v>
      </c>
      <c r="G119" s="295">
        <f t="shared" si="37"/>
        <v>15860.4790777903</v>
      </c>
      <c r="H119" s="295">
        <f t="shared" si="37"/>
        <v>15860.4790777903</v>
      </c>
      <c r="I119" s="295">
        <f t="shared" si="37"/>
        <v>15860.4790777903</v>
      </c>
      <c r="J119" s="295">
        <f t="shared" si="37"/>
        <v>15860.4790777903</v>
      </c>
      <c r="K119" s="295">
        <f t="shared" si="37"/>
        <v>15860.4790777903</v>
      </c>
      <c r="L119" s="295">
        <f t="shared" si="37"/>
        <v>15860.4790777903</v>
      </c>
      <c r="M119" s="295">
        <f t="shared" si="37"/>
        <v>15860.4790777903</v>
      </c>
      <c r="N119" s="295">
        <f t="shared" si="37"/>
        <v>15860.4790777903</v>
      </c>
      <c r="O119" s="295">
        <f t="shared" si="37"/>
        <v>15860.4790777903</v>
      </c>
      <c r="P119" s="295">
        <f t="shared" si="37"/>
        <v>15860.4790777903</v>
      </c>
      <c r="Q119" s="295">
        <f t="shared" si="37"/>
        <v>15860.4790777903</v>
      </c>
      <c r="R119" s="295">
        <f t="shared" si="37"/>
        <v>15860.4790777903</v>
      </c>
      <c r="S119" s="295">
        <f t="shared" si="37"/>
        <v>15860.4790777903</v>
      </c>
      <c r="T119" s="295">
        <f t="shared" si="36"/>
        <v>15860.4790777903</v>
      </c>
      <c r="U119" s="295">
        <f t="shared" si="36"/>
        <v>15860.4790777903</v>
      </c>
      <c r="V119" s="295">
        <f t="shared" si="36"/>
        <v>15860.4790777903</v>
      </c>
      <c r="W119" s="295">
        <f t="shared" si="36"/>
        <v>15860.4790777903</v>
      </c>
      <c r="X119" s="295">
        <f t="shared" si="36"/>
        <v>15860.4790777903</v>
      </c>
      <c r="Y119" s="295">
        <f t="shared" si="36"/>
        <v>15860.4790777903</v>
      </c>
      <c r="Z119" s="295">
        <f t="shared" si="36"/>
        <v>15860.4790777903</v>
      </c>
      <c r="AA119" s="295">
        <f t="shared" si="36"/>
        <v>15860.4790777903</v>
      </c>
      <c r="AB119" s="295">
        <f t="shared" si="36"/>
        <v>15860.4790777903</v>
      </c>
      <c r="AC119" s="295">
        <f t="shared" si="36"/>
        <v>15860.4790777903</v>
      </c>
      <c r="AD119" s="295">
        <f t="shared" si="36"/>
        <v>15860.4790777903</v>
      </c>
      <c r="AE119" s="296">
        <f t="shared" si="36"/>
        <v>15860.4790777903</v>
      </c>
    </row>
    <row r="120" spans="1:31">
      <c r="A120" s="1711"/>
      <c r="B120" s="116">
        <v>9</v>
      </c>
      <c r="C120" s="294">
        <f>'CAR Mileage'!E13</f>
        <v>15543.269496234494</v>
      </c>
      <c r="D120" s="295">
        <f t="shared" si="37"/>
        <v>15543.269496234494</v>
      </c>
      <c r="E120" s="295">
        <f t="shared" si="37"/>
        <v>15543.269496234494</v>
      </c>
      <c r="F120" s="295">
        <f t="shared" si="37"/>
        <v>15543.269496234494</v>
      </c>
      <c r="G120" s="295">
        <f t="shared" si="37"/>
        <v>15543.269496234494</v>
      </c>
      <c r="H120" s="295">
        <f t="shared" si="37"/>
        <v>15543.269496234494</v>
      </c>
      <c r="I120" s="295">
        <f t="shared" si="37"/>
        <v>15543.269496234494</v>
      </c>
      <c r="J120" s="295">
        <f t="shared" si="37"/>
        <v>15543.269496234494</v>
      </c>
      <c r="K120" s="295">
        <f t="shared" si="37"/>
        <v>15543.269496234494</v>
      </c>
      <c r="L120" s="295">
        <f t="shared" si="37"/>
        <v>15543.269496234494</v>
      </c>
      <c r="M120" s="295">
        <f t="shared" si="37"/>
        <v>15543.269496234494</v>
      </c>
      <c r="N120" s="295">
        <f t="shared" si="37"/>
        <v>15543.269496234494</v>
      </c>
      <c r="O120" s="295">
        <f t="shared" si="37"/>
        <v>15543.269496234494</v>
      </c>
      <c r="P120" s="295">
        <f t="shared" si="37"/>
        <v>15543.269496234494</v>
      </c>
      <c r="Q120" s="295">
        <f t="shared" si="37"/>
        <v>15543.269496234494</v>
      </c>
      <c r="R120" s="295">
        <f t="shared" si="37"/>
        <v>15543.269496234494</v>
      </c>
      <c r="S120" s="295">
        <f t="shared" si="37"/>
        <v>15543.269496234494</v>
      </c>
      <c r="T120" s="295">
        <f t="shared" si="36"/>
        <v>15543.269496234494</v>
      </c>
      <c r="U120" s="295">
        <f t="shared" si="36"/>
        <v>15543.269496234494</v>
      </c>
      <c r="V120" s="295">
        <f t="shared" si="36"/>
        <v>15543.269496234494</v>
      </c>
      <c r="W120" s="295">
        <f t="shared" si="36"/>
        <v>15543.269496234494</v>
      </c>
      <c r="X120" s="295">
        <f t="shared" si="36"/>
        <v>15543.269496234494</v>
      </c>
      <c r="Y120" s="295">
        <f t="shared" si="36"/>
        <v>15543.269496234494</v>
      </c>
      <c r="Z120" s="295">
        <f t="shared" si="36"/>
        <v>15543.269496234494</v>
      </c>
      <c r="AA120" s="295">
        <f t="shared" si="36"/>
        <v>15543.269496234494</v>
      </c>
      <c r="AB120" s="295">
        <f t="shared" si="36"/>
        <v>15543.269496234494</v>
      </c>
      <c r="AC120" s="295">
        <f t="shared" si="36"/>
        <v>15543.269496234494</v>
      </c>
      <c r="AD120" s="295">
        <f t="shared" si="36"/>
        <v>15543.269496234494</v>
      </c>
      <c r="AE120" s="296">
        <f t="shared" si="36"/>
        <v>15543.269496234494</v>
      </c>
    </row>
    <row r="121" spans="1:31">
      <c r="A121" s="1711"/>
      <c r="B121" s="116">
        <v>10</v>
      </c>
      <c r="C121" s="294">
        <f>'CAR Mileage'!E14</f>
        <v>15232.404106309803</v>
      </c>
      <c r="D121" s="295">
        <f t="shared" si="37"/>
        <v>15232.404106309803</v>
      </c>
      <c r="E121" s="295">
        <f t="shared" si="37"/>
        <v>15232.404106309803</v>
      </c>
      <c r="F121" s="295">
        <f t="shared" si="37"/>
        <v>15232.404106309803</v>
      </c>
      <c r="G121" s="295">
        <f t="shared" si="37"/>
        <v>15232.404106309803</v>
      </c>
      <c r="H121" s="295">
        <f t="shared" si="37"/>
        <v>15232.404106309803</v>
      </c>
      <c r="I121" s="295">
        <f t="shared" si="37"/>
        <v>15232.404106309803</v>
      </c>
      <c r="J121" s="295">
        <f t="shared" si="37"/>
        <v>15232.404106309803</v>
      </c>
      <c r="K121" s="295">
        <f t="shared" si="37"/>
        <v>15232.404106309803</v>
      </c>
      <c r="L121" s="295">
        <f t="shared" si="37"/>
        <v>15232.404106309803</v>
      </c>
      <c r="M121" s="295">
        <f t="shared" si="37"/>
        <v>15232.404106309803</v>
      </c>
      <c r="N121" s="295">
        <f t="shared" si="37"/>
        <v>15232.404106309803</v>
      </c>
      <c r="O121" s="295">
        <f t="shared" si="37"/>
        <v>15232.404106309803</v>
      </c>
      <c r="P121" s="295">
        <f t="shared" si="37"/>
        <v>15232.404106309803</v>
      </c>
      <c r="Q121" s="295">
        <f t="shared" si="37"/>
        <v>15232.404106309803</v>
      </c>
      <c r="R121" s="295">
        <f t="shared" si="37"/>
        <v>15232.404106309803</v>
      </c>
      <c r="S121" s="295">
        <f t="shared" si="37"/>
        <v>15232.404106309803</v>
      </c>
      <c r="T121" s="295">
        <f t="shared" si="36"/>
        <v>15232.404106309803</v>
      </c>
      <c r="U121" s="295">
        <f t="shared" si="36"/>
        <v>15232.404106309803</v>
      </c>
      <c r="V121" s="295">
        <f t="shared" si="36"/>
        <v>15232.404106309803</v>
      </c>
      <c r="W121" s="295">
        <f t="shared" si="36"/>
        <v>15232.404106309803</v>
      </c>
      <c r="X121" s="295">
        <f t="shared" si="36"/>
        <v>15232.404106309803</v>
      </c>
      <c r="Y121" s="295">
        <f t="shared" si="36"/>
        <v>15232.404106309803</v>
      </c>
      <c r="Z121" s="295">
        <f t="shared" si="36"/>
        <v>15232.404106309803</v>
      </c>
      <c r="AA121" s="295">
        <f t="shared" si="36"/>
        <v>15232.404106309803</v>
      </c>
      <c r="AB121" s="295">
        <f t="shared" si="36"/>
        <v>15232.404106309803</v>
      </c>
      <c r="AC121" s="295">
        <f t="shared" si="36"/>
        <v>15232.404106309803</v>
      </c>
      <c r="AD121" s="295">
        <f t="shared" si="36"/>
        <v>15232.404106309803</v>
      </c>
      <c r="AE121" s="296">
        <f t="shared" si="36"/>
        <v>15232.404106309803</v>
      </c>
    </row>
    <row r="122" spans="1:31">
      <c r="A122" s="1711"/>
      <c r="B122" s="116">
        <v>11</v>
      </c>
      <c r="C122" s="294">
        <f>'CAR Mileage'!E15</f>
        <v>14927.756024183607</v>
      </c>
      <c r="D122" s="295">
        <f t="shared" si="37"/>
        <v>14927.756024183607</v>
      </c>
      <c r="E122" s="295">
        <f t="shared" si="37"/>
        <v>14927.756024183607</v>
      </c>
      <c r="F122" s="295">
        <f t="shared" si="37"/>
        <v>14927.756024183607</v>
      </c>
      <c r="G122" s="295">
        <f t="shared" si="37"/>
        <v>14927.756024183607</v>
      </c>
      <c r="H122" s="295">
        <f t="shared" si="37"/>
        <v>14927.756024183607</v>
      </c>
      <c r="I122" s="295">
        <f t="shared" si="37"/>
        <v>14927.756024183607</v>
      </c>
      <c r="J122" s="295">
        <f t="shared" si="37"/>
        <v>14927.756024183607</v>
      </c>
      <c r="K122" s="295">
        <f t="shared" si="37"/>
        <v>14927.756024183607</v>
      </c>
      <c r="L122" s="295">
        <f t="shared" si="37"/>
        <v>14927.756024183607</v>
      </c>
      <c r="M122" s="295">
        <f t="shared" si="37"/>
        <v>14927.756024183607</v>
      </c>
      <c r="N122" s="295">
        <f t="shared" si="37"/>
        <v>14927.756024183607</v>
      </c>
      <c r="O122" s="295">
        <f t="shared" si="37"/>
        <v>14927.756024183607</v>
      </c>
      <c r="P122" s="295">
        <f t="shared" si="37"/>
        <v>14927.756024183607</v>
      </c>
      <c r="Q122" s="295">
        <f t="shared" si="37"/>
        <v>14927.756024183607</v>
      </c>
      <c r="R122" s="295">
        <f t="shared" si="37"/>
        <v>14927.756024183607</v>
      </c>
      <c r="S122" s="295">
        <f t="shared" si="37"/>
        <v>14927.756024183607</v>
      </c>
      <c r="T122" s="295">
        <f t="shared" si="36"/>
        <v>14927.756024183607</v>
      </c>
      <c r="U122" s="295">
        <f t="shared" si="36"/>
        <v>14927.756024183607</v>
      </c>
      <c r="V122" s="295">
        <f t="shared" si="36"/>
        <v>14927.756024183607</v>
      </c>
      <c r="W122" s="295">
        <f t="shared" si="36"/>
        <v>14927.756024183607</v>
      </c>
      <c r="X122" s="295">
        <f t="shared" si="36"/>
        <v>14927.756024183607</v>
      </c>
      <c r="Y122" s="295">
        <f t="shared" si="36"/>
        <v>14927.756024183607</v>
      </c>
      <c r="Z122" s="295">
        <f t="shared" si="36"/>
        <v>14927.756024183607</v>
      </c>
      <c r="AA122" s="295">
        <f t="shared" si="36"/>
        <v>14927.756024183607</v>
      </c>
      <c r="AB122" s="295">
        <f t="shared" si="36"/>
        <v>14927.756024183607</v>
      </c>
      <c r="AC122" s="295">
        <f t="shared" si="36"/>
        <v>14927.756024183607</v>
      </c>
      <c r="AD122" s="295">
        <f t="shared" si="36"/>
        <v>14927.756024183607</v>
      </c>
      <c r="AE122" s="296">
        <f t="shared" si="36"/>
        <v>14927.756024183607</v>
      </c>
    </row>
    <row r="123" spans="1:31">
      <c r="A123" s="1711"/>
      <c r="B123" s="116">
        <v>12</v>
      </c>
      <c r="C123" s="294">
        <f>'CAR Mileage'!E16</f>
        <v>14629.200903699935</v>
      </c>
      <c r="D123" s="295">
        <f t="shared" si="37"/>
        <v>14629.200903699935</v>
      </c>
      <c r="E123" s="295">
        <f t="shared" si="37"/>
        <v>14629.200903699935</v>
      </c>
      <c r="F123" s="295">
        <f t="shared" si="37"/>
        <v>14629.200903699935</v>
      </c>
      <c r="G123" s="295">
        <f t="shared" si="37"/>
        <v>14629.200903699935</v>
      </c>
      <c r="H123" s="295">
        <f t="shared" si="37"/>
        <v>14629.200903699935</v>
      </c>
      <c r="I123" s="295">
        <f t="shared" si="37"/>
        <v>14629.200903699935</v>
      </c>
      <c r="J123" s="295">
        <f t="shared" si="37"/>
        <v>14629.200903699935</v>
      </c>
      <c r="K123" s="295">
        <f t="shared" si="37"/>
        <v>14629.200903699935</v>
      </c>
      <c r="L123" s="295">
        <f t="shared" si="37"/>
        <v>14629.200903699935</v>
      </c>
      <c r="M123" s="295">
        <f t="shared" si="37"/>
        <v>14629.200903699935</v>
      </c>
      <c r="N123" s="295">
        <f t="shared" si="37"/>
        <v>14629.200903699935</v>
      </c>
      <c r="O123" s="295">
        <f t="shared" si="37"/>
        <v>14629.200903699935</v>
      </c>
      <c r="P123" s="295">
        <f t="shared" si="37"/>
        <v>14629.200903699935</v>
      </c>
      <c r="Q123" s="295">
        <f t="shared" si="37"/>
        <v>14629.200903699935</v>
      </c>
      <c r="R123" s="295">
        <f t="shared" si="37"/>
        <v>14629.200903699935</v>
      </c>
      <c r="S123" s="295">
        <f t="shared" si="37"/>
        <v>14629.200903699935</v>
      </c>
      <c r="T123" s="295">
        <f t="shared" si="36"/>
        <v>14629.200903699935</v>
      </c>
      <c r="U123" s="295">
        <f t="shared" si="36"/>
        <v>14629.200903699935</v>
      </c>
      <c r="V123" s="295">
        <f t="shared" si="36"/>
        <v>14629.200903699935</v>
      </c>
      <c r="W123" s="295">
        <f t="shared" si="36"/>
        <v>14629.200903699935</v>
      </c>
      <c r="X123" s="295">
        <f t="shared" si="36"/>
        <v>14629.200903699935</v>
      </c>
      <c r="Y123" s="295">
        <f t="shared" si="36"/>
        <v>14629.200903699935</v>
      </c>
      <c r="Z123" s="295">
        <f t="shared" si="36"/>
        <v>14629.200903699935</v>
      </c>
      <c r="AA123" s="295">
        <f t="shared" si="36"/>
        <v>14629.200903699935</v>
      </c>
      <c r="AB123" s="295">
        <f t="shared" si="36"/>
        <v>14629.200903699935</v>
      </c>
      <c r="AC123" s="295">
        <f t="shared" si="36"/>
        <v>14629.200903699935</v>
      </c>
      <c r="AD123" s="295">
        <f t="shared" si="36"/>
        <v>14629.200903699935</v>
      </c>
      <c r="AE123" s="296">
        <f t="shared" si="36"/>
        <v>14629.200903699935</v>
      </c>
    </row>
    <row r="124" spans="1:31">
      <c r="A124" s="1711"/>
      <c r="B124" s="116">
        <v>13</v>
      </c>
      <c r="C124" s="294">
        <f>'CAR Mileage'!E17</f>
        <v>14336.616885625936</v>
      </c>
      <c r="D124" s="295">
        <f t="shared" si="37"/>
        <v>14336.616885625936</v>
      </c>
      <c r="E124" s="295">
        <f t="shared" si="37"/>
        <v>14336.616885625936</v>
      </c>
      <c r="F124" s="295">
        <f t="shared" si="37"/>
        <v>14336.616885625936</v>
      </c>
      <c r="G124" s="295">
        <f t="shared" si="37"/>
        <v>14336.616885625936</v>
      </c>
      <c r="H124" s="295">
        <f t="shared" si="37"/>
        <v>14336.616885625936</v>
      </c>
      <c r="I124" s="295">
        <f t="shared" si="37"/>
        <v>14336.616885625936</v>
      </c>
      <c r="J124" s="295">
        <f t="shared" si="37"/>
        <v>14336.616885625936</v>
      </c>
      <c r="K124" s="295">
        <f t="shared" si="37"/>
        <v>14336.616885625936</v>
      </c>
      <c r="L124" s="295">
        <f t="shared" si="37"/>
        <v>14336.616885625936</v>
      </c>
      <c r="M124" s="295">
        <f t="shared" si="37"/>
        <v>14336.616885625936</v>
      </c>
      <c r="N124" s="295">
        <f t="shared" si="37"/>
        <v>14336.616885625936</v>
      </c>
      <c r="O124" s="295">
        <f t="shared" si="37"/>
        <v>14336.616885625936</v>
      </c>
      <c r="P124" s="295">
        <f t="shared" si="37"/>
        <v>14336.616885625936</v>
      </c>
      <c r="Q124" s="295">
        <f t="shared" si="37"/>
        <v>14336.616885625936</v>
      </c>
      <c r="R124" s="295">
        <f t="shared" si="37"/>
        <v>14336.616885625936</v>
      </c>
      <c r="S124" s="295">
        <f t="shared" si="37"/>
        <v>14336.616885625936</v>
      </c>
      <c r="T124" s="295">
        <f t="shared" si="36"/>
        <v>14336.616885625936</v>
      </c>
      <c r="U124" s="295">
        <f t="shared" si="36"/>
        <v>14336.616885625936</v>
      </c>
      <c r="V124" s="295">
        <f t="shared" si="36"/>
        <v>14336.616885625936</v>
      </c>
      <c r="W124" s="295">
        <f t="shared" si="36"/>
        <v>14336.616885625936</v>
      </c>
      <c r="X124" s="295">
        <f t="shared" si="36"/>
        <v>14336.616885625936</v>
      </c>
      <c r="Y124" s="295">
        <f t="shared" si="36"/>
        <v>14336.616885625936</v>
      </c>
      <c r="Z124" s="295">
        <f t="shared" si="36"/>
        <v>14336.616885625936</v>
      </c>
      <c r="AA124" s="295">
        <f t="shared" si="36"/>
        <v>14336.616885625936</v>
      </c>
      <c r="AB124" s="295">
        <f t="shared" si="36"/>
        <v>14336.616885625936</v>
      </c>
      <c r="AC124" s="295">
        <f t="shared" si="36"/>
        <v>14336.616885625936</v>
      </c>
      <c r="AD124" s="295">
        <f t="shared" si="36"/>
        <v>14336.616885625936</v>
      </c>
      <c r="AE124" s="296">
        <f t="shared" si="36"/>
        <v>14336.616885625936</v>
      </c>
    </row>
    <row r="125" spans="1:31">
      <c r="A125" s="1711"/>
      <c r="B125" s="116">
        <v>14</v>
      </c>
      <c r="C125" s="294">
        <f>'CAR Mileage'!E18</f>
        <v>14049.884547913416</v>
      </c>
      <c r="D125" s="295">
        <f t="shared" si="37"/>
        <v>14049.884547913416</v>
      </c>
      <c r="E125" s="295">
        <f t="shared" si="37"/>
        <v>14049.884547913416</v>
      </c>
      <c r="F125" s="295">
        <f t="shared" si="37"/>
        <v>14049.884547913416</v>
      </c>
      <c r="G125" s="295">
        <f t="shared" si="37"/>
        <v>14049.884547913416</v>
      </c>
      <c r="H125" s="295">
        <f t="shared" si="37"/>
        <v>14049.884547913416</v>
      </c>
      <c r="I125" s="295">
        <f t="shared" si="37"/>
        <v>14049.884547913416</v>
      </c>
      <c r="J125" s="295">
        <f t="shared" si="37"/>
        <v>14049.884547913416</v>
      </c>
      <c r="K125" s="295">
        <f t="shared" si="37"/>
        <v>14049.884547913416</v>
      </c>
      <c r="L125" s="295">
        <f t="shared" si="37"/>
        <v>14049.884547913416</v>
      </c>
      <c r="M125" s="295">
        <f t="shared" si="37"/>
        <v>14049.884547913416</v>
      </c>
      <c r="N125" s="295">
        <f t="shared" si="37"/>
        <v>14049.884547913416</v>
      </c>
      <c r="O125" s="295">
        <f t="shared" si="37"/>
        <v>14049.884547913416</v>
      </c>
      <c r="P125" s="295">
        <f t="shared" si="37"/>
        <v>14049.884547913416</v>
      </c>
      <c r="Q125" s="295">
        <f t="shared" si="37"/>
        <v>14049.884547913416</v>
      </c>
      <c r="R125" s="295">
        <f t="shared" si="37"/>
        <v>14049.884547913416</v>
      </c>
      <c r="S125" s="295">
        <f t="shared" si="37"/>
        <v>14049.884547913416</v>
      </c>
      <c r="T125" s="295">
        <f t="shared" si="36"/>
        <v>14049.884547913416</v>
      </c>
      <c r="U125" s="295">
        <f t="shared" si="36"/>
        <v>14049.884547913416</v>
      </c>
      <c r="V125" s="295">
        <f t="shared" si="36"/>
        <v>14049.884547913416</v>
      </c>
      <c r="W125" s="295">
        <f t="shared" si="36"/>
        <v>14049.884547913416</v>
      </c>
      <c r="X125" s="295">
        <f t="shared" si="36"/>
        <v>14049.884547913416</v>
      </c>
      <c r="Y125" s="295">
        <f t="shared" si="36"/>
        <v>14049.884547913416</v>
      </c>
      <c r="Z125" s="295">
        <f t="shared" si="36"/>
        <v>14049.884547913416</v>
      </c>
      <c r="AA125" s="295">
        <f t="shared" si="36"/>
        <v>14049.884547913416</v>
      </c>
      <c r="AB125" s="295">
        <f t="shared" si="36"/>
        <v>14049.884547913416</v>
      </c>
      <c r="AC125" s="295">
        <f t="shared" si="36"/>
        <v>14049.884547913416</v>
      </c>
      <c r="AD125" s="295">
        <f t="shared" si="36"/>
        <v>14049.884547913416</v>
      </c>
      <c r="AE125" s="296">
        <f t="shared" si="36"/>
        <v>14049.884547913416</v>
      </c>
    </row>
    <row r="126" spans="1:31">
      <c r="A126" s="1711"/>
      <c r="B126" s="116">
        <v>15</v>
      </c>
      <c r="C126" s="294">
        <f>'CAR Mileage'!E19</f>
        <v>13768.886856955147</v>
      </c>
      <c r="D126" s="295">
        <f t="shared" si="37"/>
        <v>13768.886856955147</v>
      </c>
      <c r="E126" s="295">
        <f t="shared" si="37"/>
        <v>13768.886856955147</v>
      </c>
      <c r="F126" s="295">
        <f t="shared" si="37"/>
        <v>13768.886856955147</v>
      </c>
      <c r="G126" s="295">
        <f t="shared" si="37"/>
        <v>13768.886856955147</v>
      </c>
      <c r="H126" s="295">
        <f t="shared" si="37"/>
        <v>13768.886856955147</v>
      </c>
      <c r="I126" s="295">
        <f t="shared" si="37"/>
        <v>13768.886856955147</v>
      </c>
      <c r="J126" s="295">
        <f t="shared" si="37"/>
        <v>13768.886856955147</v>
      </c>
      <c r="K126" s="295">
        <f t="shared" si="37"/>
        <v>13768.886856955147</v>
      </c>
      <c r="L126" s="295">
        <f t="shared" si="37"/>
        <v>13768.886856955147</v>
      </c>
      <c r="M126" s="295">
        <f t="shared" si="37"/>
        <v>13768.886856955147</v>
      </c>
      <c r="N126" s="295">
        <f t="shared" si="37"/>
        <v>13768.886856955147</v>
      </c>
      <c r="O126" s="295">
        <f t="shared" si="37"/>
        <v>13768.886856955147</v>
      </c>
      <c r="P126" s="295">
        <f t="shared" si="37"/>
        <v>13768.886856955147</v>
      </c>
      <c r="Q126" s="295">
        <f t="shared" si="37"/>
        <v>13768.886856955147</v>
      </c>
      <c r="R126" s="295">
        <f t="shared" si="37"/>
        <v>13768.886856955147</v>
      </c>
      <c r="S126" s="295">
        <f t="shared" si="37"/>
        <v>13768.886856955147</v>
      </c>
      <c r="T126" s="295">
        <f t="shared" si="36"/>
        <v>13768.886856955147</v>
      </c>
      <c r="U126" s="295">
        <f t="shared" si="36"/>
        <v>13768.886856955147</v>
      </c>
      <c r="V126" s="295">
        <f t="shared" si="36"/>
        <v>13768.886856955147</v>
      </c>
      <c r="W126" s="295">
        <f t="shared" si="36"/>
        <v>13768.886856955147</v>
      </c>
      <c r="X126" s="295">
        <f t="shared" si="36"/>
        <v>13768.886856955147</v>
      </c>
      <c r="Y126" s="295">
        <f t="shared" si="36"/>
        <v>13768.886856955147</v>
      </c>
      <c r="Z126" s="295">
        <f t="shared" si="36"/>
        <v>13768.886856955147</v>
      </c>
      <c r="AA126" s="295">
        <f t="shared" si="36"/>
        <v>13768.886856955147</v>
      </c>
      <c r="AB126" s="295">
        <f t="shared" si="36"/>
        <v>13768.886856955147</v>
      </c>
      <c r="AC126" s="295">
        <f t="shared" si="36"/>
        <v>13768.886856955147</v>
      </c>
      <c r="AD126" s="295">
        <f t="shared" si="36"/>
        <v>13768.886856955147</v>
      </c>
      <c r="AE126" s="296">
        <f t="shared" si="36"/>
        <v>13768.886856955147</v>
      </c>
    </row>
    <row r="127" spans="1:31">
      <c r="A127" s="1711"/>
      <c r="B127" s="116">
        <v>16</v>
      </c>
      <c r="C127" s="294">
        <f>'CAR Mileage'!E20</f>
        <v>13493.509119816044</v>
      </c>
      <c r="D127" s="295">
        <f t="shared" si="37"/>
        <v>13493.509119816044</v>
      </c>
      <c r="E127" s="295">
        <f t="shared" si="37"/>
        <v>13493.509119816044</v>
      </c>
      <c r="F127" s="295">
        <f t="shared" si="37"/>
        <v>13493.509119816044</v>
      </c>
      <c r="G127" s="295">
        <f t="shared" si="37"/>
        <v>13493.509119816044</v>
      </c>
      <c r="H127" s="295">
        <f t="shared" si="37"/>
        <v>13493.509119816044</v>
      </c>
      <c r="I127" s="295">
        <f t="shared" si="37"/>
        <v>13493.509119816044</v>
      </c>
      <c r="J127" s="295">
        <f t="shared" si="37"/>
        <v>13493.509119816044</v>
      </c>
      <c r="K127" s="295">
        <f t="shared" si="37"/>
        <v>13493.509119816044</v>
      </c>
      <c r="L127" s="295">
        <f t="shared" si="37"/>
        <v>13493.509119816044</v>
      </c>
      <c r="M127" s="295">
        <f t="shared" si="37"/>
        <v>13493.509119816044</v>
      </c>
      <c r="N127" s="295">
        <f t="shared" si="37"/>
        <v>13493.509119816044</v>
      </c>
      <c r="O127" s="295">
        <f t="shared" si="37"/>
        <v>13493.509119816044</v>
      </c>
      <c r="P127" s="295">
        <f t="shared" si="37"/>
        <v>13493.509119816044</v>
      </c>
      <c r="Q127" s="295">
        <f t="shared" si="37"/>
        <v>13493.509119816044</v>
      </c>
      <c r="R127" s="295">
        <f t="shared" si="37"/>
        <v>13493.509119816044</v>
      </c>
      <c r="S127" s="295">
        <f t="shared" ref="S127:AE136" si="38">R127</f>
        <v>13493.509119816044</v>
      </c>
      <c r="T127" s="295">
        <f t="shared" si="38"/>
        <v>13493.509119816044</v>
      </c>
      <c r="U127" s="295">
        <f t="shared" si="38"/>
        <v>13493.509119816044</v>
      </c>
      <c r="V127" s="295">
        <f t="shared" si="38"/>
        <v>13493.509119816044</v>
      </c>
      <c r="W127" s="295">
        <f t="shared" si="38"/>
        <v>13493.509119816044</v>
      </c>
      <c r="X127" s="295">
        <f t="shared" si="38"/>
        <v>13493.509119816044</v>
      </c>
      <c r="Y127" s="295">
        <f t="shared" si="38"/>
        <v>13493.509119816044</v>
      </c>
      <c r="Z127" s="295">
        <f t="shared" si="38"/>
        <v>13493.509119816044</v>
      </c>
      <c r="AA127" s="295">
        <f t="shared" si="38"/>
        <v>13493.509119816044</v>
      </c>
      <c r="AB127" s="295">
        <f t="shared" si="38"/>
        <v>13493.509119816044</v>
      </c>
      <c r="AC127" s="295">
        <f t="shared" si="38"/>
        <v>13493.509119816044</v>
      </c>
      <c r="AD127" s="295">
        <f t="shared" si="38"/>
        <v>13493.509119816044</v>
      </c>
      <c r="AE127" s="296">
        <f t="shared" si="38"/>
        <v>13493.509119816044</v>
      </c>
    </row>
    <row r="128" spans="1:31">
      <c r="A128" s="1711"/>
      <c r="B128" s="116">
        <v>17</v>
      </c>
      <c r="C128" s="294">
        <f>C127</f>
        <v>13493.509119816044</v>
      </c>
      <c r="D128" s="295">
        <f t="shared" ref="D128:S136" si="39">C128</f>
        <v>13493.509119816044</v>
      </c>
      <c r="E128" s="295">
        <f t="shared" si="39"/>
        <v>13493.509119816044</v>
      </c>
      <c r="F128" s="295">
        <f t="shared" si="39"/>
        <v>13493.509119816044</v>
      </c>
      <c r="G128" s="295">
        <f t="shared" si="39"/>
        <v>13493.509119816044</v>
      </c>
      <c r="H128" s="295">
        <f t="shared" si="39"/>
        <v>13493.509119816044</v>
      </c>
      <c r="I128" s="295">
        <f t="shared" si="39"/>
        <v>13493.509119816044</v>
      </c>
      <c r="J128" s="295">
        <f t="shared" si="39"/>
        <v>13493.509119816044</v>
      </c>
      <c r="K128" s="295">
        <f t="shared" si="39"/>
        <v>13493.509119816044</v>
      </c>
      <c r="L128" s="295">
        <f t="shared" si="39"/>
        <v>13493.509119816044</v>
      </c>
      <c r="M128" s="295">
        <f t="shared" si="39"/>
        <v>13493.509119816044</v>
      </c>
      <c r="N128" s="295">
        <f t="shared" si="39"/>
        <v>13493.509119816044</v>
      </c>
      <c r="O128" s="295">
        <f t="shared" si="39"/>
        <v>13493.509119816044</v>
      </c>
      <c r="P128" s="295">
        <f t="shared" si="39"/>
        <v>13493.509119816044</v>
      </c>
      <c r="Q128" s="295">
        <f t="shared" si="39"/>
        <v>13493.509119816044</v>
      </c>
      <c r="R128" s="295">
        <f t="shared" si="39"/>
        <v>13493.509119816044</v>
      </c>
      <c r="S128" s="295">
        <f t="shared" si="39"/>
        <v>13493.509119816044</v>
      </c>
      <c r="T128" s="295">
        <f t="shared" si="38"/>
        <v>13493.509119816044</v>
      </c>
      <c r="U128" s="295">
        <f t="shared" si="38"/>
        <v>13493.509119816044</v>
      </c>
      <c r="V128" s="295">
        <f t="shared" si="38"/>
        <v>13493.509119816044</v>
      </c>
      <c r="W128" s="295">
        <f t="shared" si="38"/>
        <v>13493.509119816044</v>
      </c>
      <c r="X128" s="295">
        <f t="shared" si="38"/>
        <v>13493.509119816044</v>
      </c>
      <c r="Y128" s="295">
        <f t="shared" si="38"/>
        <v>13493.509119816044</v>
      </c>
      <c r="Z128" s="295">
        <f t="shared" si="38"/>
        <v>13493.509119816044</v>
      </c>
      <c r="AA128" s="295">
        <f t="shared" si="38"/>
        <v>13493.509119816044</v>
      </c>
      <c r="AB128" s="295">
        <f t="shared" si="38"/>
        <v>13493.509119816044</v>
      </c>
      <c r="AC128" s="295">
        <f t="shared" si="38"/>
        <v>13493.509119816044</v>
      </c>
      <c r="AD128" s="295">
        <f t="shared" si="38"/>
        <v>13493.509119816044</v>
      </c>
      <c r="AE128" s="296">
        <f t="shared" si="38"/>
        <v>13493.509119816044</v>
      </c>
    </row>
    <row r="129" spans="1:31">
      <c r="A129" s="1711"/>
      <c r="B129" s="116">
        <v>18</v>
      </c>
      <c r="C129" s="294">
        <f t="shared" ref="C129:C136" si="40">C128</f>
        <v>13493.509119816044</v>
      </c>
      <c r="D129" s="295">
        <f t="shared" si="39"/>
        <v>13493.509119816044</v>
      </c>
      <c r="E129" s="295">
        <f t="shared" si="39"/>
        <v>13493.509119816044</v>
      </c>
      <c r="F129" s="295">
        <f t="shared" si="39"/>
        <v>13493.509119816044</v>
      </c>
      <c r="G129" s="295">
        <f t="shared" si="39"/>
        <v>13493.509119816044</v>
      </c>
      <c r="H129" s="295">
        <f t="shared" si="39"/>
        <v>13493.509119816044</v>
      </c>
      <c r="I129" s="295">
        <f t="shared" si="39"/>
        <v>13493.509119816044</v>
      </c>
      <c r="J129" s="295">
        <f t="shared" si="39"/>
        <v>13493.509119816044</v>
      </c>
      <c r="K129" s="295">
        <f t="shared" si="39"/>
        <v>13493.509119816044</v>
      </c>
      <c r="L129" s="295">
        <f t="shared" si="39"/>
        <v>13493.509119816044</v>
      </c>
      <c r="M129" s="295">
        <f t="shared" si="39"/>
        <v>13493.509119816044</v>
      </c>
      <c r="N129" s="295">
        <f t="shared" si="39"/>
        <v>13493.509119816044</v>
      </c>
      <c r="O129" s="295">
        <f t="shared" si="39"/>
        <v>13493.509119816044</v>
      </c>
      <c r="P129" s="295">
        <f t="shared" si="39"/>
        <v>13493.509119816044</v>
      </c>
      <c r="Q129" s="295">
        <f t="shared" si="39"/>
        <v>13493.509119816044</v>
      </c>
      <c r="R129" s="295">
        <f t="shared" si="39"/>
        <v>13493.509119816044</v>
      </c>
      <c r="S129" s="295">
        <f t="shared" si="39"/>
        <v>13493.509119816044</v>
      </c>
      <c r="T129" s="295">
        <f t="shared" si="38"/>
        <v>13493.509119816044</v>
      </c>
      <c r="U129" s="295">
        <f t="shared" si="38"/>
        <v>13493.509119816044</v>
      </c>
      <c r="V129" s="295">
        <f t="shared" si="38"/>
        <v>13493.509119816044</v>
      </c>
      <c r="W129" s="295">
        <f t="shared" si="38"/>
        <v>13493.509119816044</v>
      </c>
      <c r="X129" s="295">
        <f t="shared" si="38"/>
        <v>13493.509119816044</v>
      </c>
      <c r="Y129" s="295">
        <f t="shared" si="38"/>
        <v>13493.509119816044</v>
      </c>
      <c r="Z129" s="295">
        <f t="shared" si="38"/>
        <v>13493.509119816044</v>
      </c>
      <c r="AA129" s="295">
        <f t="shared" si="38"/>
        <v>13493.509119816044</v>
      </c>
      <c r="AB129" s="295">
        <f t="shared" si="38"/>
        <v>13493.509119816044</v>
      </c>
      <c r="AC129" s="295">
        <f t="shared" si="38"/>
        <v>13493.509119816044</v>
      </c>
      <c r="AD129" s="295">
        <f t="shared" si="38"/>
        <v>13493.509119816044</v>
      </c>
      <c r="AE129" s="296">
        <f t="shared" si="38"/>
        <v>13493.509119816044</v>
      </c>
    </row>
    <row r="130" spans="1:31">
      <c r="A130" s="1711"/>
      <c r="B130" s="116">
        <v>19</v>
      </c>
      <c r="C130" s="294">
        <f t="shared" si="40"/>
        <v>13493.509119816044</v>
      </c>
      <c r="D130" s="295">
        <f t="shared" si="39"/>
        <v>13493.509119816044</v>
      </c>
      <c r="E130" s="295">
        <f t="shared" si="39"/>
        <v>13493.509119816044</v>
      </c>
      <c r="F130" s="295">
        <f t="shared" si="39"/>
        <v>13493.509119816044</v>
      </c>
      <c r="G130" s="295">
        <f t="shared" si="39"/>
        <v>13493.509119816044</v>
      </c>
      <c r="H130" s="295">
        <f t="shared" si="39"/>
        <v>13493.509119816044</v>
      </c>
      <c r="I130" s="295">
        <f t="shared" si="39"/>
        <v>13493.509119816044</v>
      </c>
      <c r="J130" s="295">
        <f t="shared" si="39"/>
        <v>13493.509119816044</v>
      </c>
      <c r="K130" s="295">
        <f t="shared" si="39"/>
        <v>13493.509119816044</v>
      </c>
      <c r="L130" s="295">
        <f t="shared" si="39"/>
        <v>13493.509119816044</v>
      </c>
      <c r="M130" s="295">
        <f t="shared" si="39"/>
        <v>13493.509119816044</v>
      </c>
      <c r="N130" s="295">
        <f t="shared" si="39"/>
        <v>13493.509119816044</v>
      </c>
      <c r="O130" s="295">
        <f t="shared" si="39"/>
        <v>13493.509119816044</v>
      </c>
      <c r="P130" s="295">
        <f t="shared" si="39"/>
        <v>13493.509119816044</v>
      </c>
      <c r="Q130" s="295">
        <f t="shared" si="39"/>
        <v>13493.509119816044</v>
      </c>
      <c r="R130" s="295">
        <f t="shared" si="39"/>
        <v>13493.509119816044</v>
      </c>
      <c r="S130" s="295">
        <f t="shared" si="39"/>
        <v>13493.509119816044</v>
      </c>
      <c r="T130" s="295">
        <f t="shared" si="38"/>
        <v>13493.509119816044</v>
      </c>
      <c r="U130" s="295">
        <f t="shared" si="38"/>
        <v>13493.509119816044</v>
      </c>
      <c r="V130" s="295">
        <f t="shared" si="38"/>
        <v>13493.509119816044</v>
      </c>
      <c r="W130" s="295">
        <f t="shared" si="38"/>
        <v>13493.509119816044</v>
      </c>
      <c r="X130" s="295">
        <f t="shared" si="38"/>
        <v>13493.509119816044</v>
      </c>
      <c r="Y130" s="295">
        <f t="shared" si="38"/>
        <v>13493.509119816044</v>
      </c>
      <c r="Z130" s="295">
        <f t="shared" si="38"/>
        <v>13493.509119816044</v>
      </c>
      <c r="AA130" s="295">
        <f t="shared" si="38"/>
        <v>13493.509119816044</v>
      </c>
      <c r="AB130" s="295">
        <f t="shared" si="38"/>
        <v>13493.509119816044</v>
      </c>
      <c r="AC130" s="295">
        <f t="shared" si="38"/>
        <v>13493.509119816044</v>
      </c>
      <c r="AD130" s="295">
        <f t="shared" si="38"/>
        <v>13493.509119816044</v>
      </c>
      <c r="AE130" s="296">
        <f t="shared" si="38"/>
        <v>13493.509119816044</v>
      </c>
    </row>
    <row r="131" spans="1:31">
      <c r="A131" s="1711"/>
      <c r="B131" s="116">
        <v>20</v>
      </c>
      <c r="C131" s="294">
        <f t="shared" si="40"/>
        <v>13493.509119816044</v>
      </c>
      <c r="D131" s="295">
        <f t="shared" si="39"/>
        <v>13493.509119816044</v>
      </c>
      <c r="E131" s="295">
        <f t="shared" si="39"/>
        <v>13493.509119816044</v>
      </c>
      <c r="F131" s="295">
        <f t="shared" si="39"/>
        <v>13493.509119816044</v>
      </c>
      <c r="G131" s="295">
        <f t="shared" si="39"/>
        <v>13493.509119816044</v>
      </c>
      <c r="H131" s="295">
        <f t="shared" si="39"/>
        <v>13493.509119816044</v>
      </c>
      <c r="I131" s="295">
        <f t="shared" si="39"/>
        <v>13493.509119816044</v>
      </c>
      <c r="J131" s="295">
        <f t="shared" si="39"/>
        <v>13493.509119816044</v>
      </c>
      <c r="K131" s="295">
        <f t="shared" si="39"/>
        <v>13493.509119816044</v>
      </c>
      <c r="L131" s="295">
        <f t="shared" si="39"/>
        <v>13493.509119816044</v>
      </c>
      <c r="M131" s="295">
        <f t="shared" si="39"/>
        <v>13493.509119816044</v>
      </c>
      <c r="N131" s="295">
        <f t="shared" si="39"/>
        <v>13493.509119816044</v>
      </c>
      <c r="O131" s="295">
        <f t="shared" si="39"/>
        <v>13493.509119816044</v>
      </c>
      <c r="P131" s="295">
        <f t="shared" si="39"/>
        <v>13493.509119816044</v>
      </c>
      <c r="Q131" s="295">
        <f t="shared" si="39"/>
        <v>13493.509119816044</v>
      </c>
      <c r="R131" s="295">
        <f t="shared" si="39"/>
        <v>13493.509119816044</v>
      </c>
      <c r="S131" s="295">
        <f t="shared" si="39"/>
        <v>13493.509119816044</v>
      </c>
      <c r="T131" s="295">
        <f t="shared" si="38"/>
        <v>13493.509119816044</v>
      </c>
      <c r="U131" s="295">
        <f t="shared" si="38"/>
        <v>13493.509119816044</v>
      </c>
      <c r="V131" s="295">
        <f t="shared" si="38"/>
        <v>13493.509119816044</v>
      </c>
      <c r="W131" s="295">
        <f t="shared" si="38"/>
        <v>13493.509119816044</v>
      </c>
      <c r="X131" s="295">
        <f t="shared" si="38"/>
        <v>13493.509119816044</v>
      </c>
      <c r="Y131" s="295">
        <f t="shared" si="38"/>
        <v>13493.509119816044</v>
      </c>
      <c r="Z131" s="295">
        <f t="shared" si="38"/>
        <v>13493.509119816044</v>
      </c>
      <c r="AA131" s="295">
        <f t="shared" si="38"/>
        <v>13493.509119816044</v>
      </c>
      <c r="AB131" s="295">
        <f t="shared" si="38"/>
        <v>13493.509119816044</v>
      </c>
      <c r="AC131" s="295">
        <f t="shared" si="38"/>
        <v>13493.509119816044</v>
      </c>
      <c r="AD131" s="295">
        <f t="shared" si="38"/>
        <v>13493.509119816044</v>
      </c>
      <c r="AE131" s="296">
        <f t="shared" si="38"/>
        <v>13493.509119816044</v>
      </c>
    </row>
    <row r="132" spans="1:31">
      <c r="A132" s="1711"/>
      <c r="B132" s="116">
        <v>21</v>
      </c>
      <c r="C132" s="294">
        <f t="shared" si="40"/>
        <v>13493.509119816044</v>
      </c>
      <c r="D132" s="295">
        <f t="shared" si="39"/>
        <v>13493.509119816044</v>
      </c>
      <c r="E132" s="295">
        <f t="shared" si="39"/>
        <v>13493.509119816044</v>
      </c>
      <c r="F132" s="295">
        <f t="shared" si="39"/>
        <v>13493.509119816044</v>
      </c>
      <c r="G132" s="295">
        <f t="shared" si="39"/>
        <v>13493.509119816044</v>
      </c>
      <c r="H132" s="295">
        <f t="shared" si="39"/>
        <v>13493.509119816044</v>
      </c>
      <c r="I132" s="295">
        <f t="shared" si="39"/>
        <v>13493.509119816044</v>
      </c>
      <c r="J132" s="295">
        <f t="shared" si="39"/>
        <v>13493.509119816044</v>
      </c>
      <c r="K132" s="295">
        <f t="shared" si="39"/>
        <v>13493.509119816044</v>
      </c>
      <c r="L132" s="295">
        <f t="shared" si="39"/>
        <v>13493.509119816044</v>
      </c>
      <c r="M132" s="295">
        <f t="shared" si="39"/>
        <v>13493.509119816044</v>
      </c>
      <c r="N132" s="295">
        <f t="shared" si="39"/>
        <v>13493.509119816044</v>
      </c>
      <c r="O132" s="295">
        <f t="shared" si="39"/>
        <v>13493.509119816044</v>
      </c>
      <c r="P132" s="295">
        <f t="shared" si="39"/>
        <v>13493.509119816044</v>
      </c>
      <c r="Q132" s="295">
        <f t="shared" si="39"/>
        <v>13493.509119816044</v>
      </c>
      <c r="R132" s="295">
        <f t="shared" si="39"/>
        <v>13493.509119816044</v>
      </c>
      <c r="S132" s="295">
        <f t="shared" si="39"/>
        <v>13493.509119816044</v>
      </c>
      <c r="T132" s="295">
        <f t="shared" si="38"/>
        <v>13493.509119816044</v>
      </c>
      <c r="U132" s="295">
        <f t="shared" si="38"/>
        <v>13493.509119816044</v>
      </c>
      <c r="V132" s="295">
        <f t="shared" si="38"/>
        <v>13493.509119816044</v>
      </c>
      <c r="W132" s="295">
        <f t="shared" si="38"/>
        <v>13493.509119816044</v>
      </c>
      <c r="X132" s="295">
        <f t="shared" si="38"/>
        <v>13493.509119816044</v>
      </c>
      <c r="Y132" s="295">
        <f t="shared" si="38"/>
        <v>13493.509119816044</v>
      </c>
      <c r="Z132" s="295">
        <f t="shared" si="38"/>
        <v>13493.509119816044</v>
      </c>
      <c r="AA132" s="295">
        <f t="shared" si="38"/>
        <v>13493.509119816044</v>
      </c>
      <c r="AB132" s="295">
        <f t="shared" si="38"/>
        <v>13493.509119816044</v>
      </c>
      <c r="AC132" s="295">
        <f t="shared" si="38"/>
        <v>13493.509119816044</v>
      </c>
      <c r="AD132" s="295">
        <f t="shared" si="38"/>
        <v>13493.509119816044</v>
      </c>
      <c r="AE132" s="296">
        <f t="shared" si="38"/>
        <v>13493.509119816044</v>
      </c>
    </row>
    <row r="133" spans="1:31">
      <c r="A133" s="1711"/>
      <c r="B133" s="116">
        <v>22</v>
      </c>
      <c r="C133" s="294">
        <f t="shared" si="40"/>
        <v>13493.509119816044</v>
      </c>
      <c r="D133" s="295">
        <f t="shared" si="39"/>
        <v>13493.509119816044</v>
      </c>
      <c r="E133" s="295">
        <f t="shared" si="39"/>
        <v>13493.509119816044</v>
      </c>
      <c r="F133" s="295">
        <f t="shared" si="39"/>
        <v>13493.509119816044</v>
      </c>
      <c r="G133" s="295">
        <f t="shared" si="39"/>
        <v>13493.509119816044</v>
      </c>
      <c r="H133" s="295">
        <f t="shared" si="39"/>
        <v>13493.509119816044</v>
      </c>
      <c r="I133" s="295">
        <f t="shared" si="39"/>
        <v>13493.509119816044</v>
      </c>
      <c r="J133" s="295">
        <f t="shared" si="39"/>
        <v>13493.509119816044</v>
      </c>
      <c r="K133" s="295">
        <f t="shared" si="39"/>
        <v>13493.509119816044</v>
      </c>
      <c r="L133" s="295">
        <f t="shared" si="39"/>
        <v>13493.509119816044</v>
      </c>
      <c r="M133" s="295">
        <f t="shared" si="39"/>
        <v>13493.509119816044</v>
      </c>
      <c r="N133" s="295">
        <f t="shared" si="39"/>
        <v>13493.509119816044</v>
      </c>
      <c r="O133" s="295">
        <f t="shared" si="39"/>
        <v>13493.509119816044</v>
      </c>
      <c r="P133" s="295">
        <f t="shared" si="39"/>
        <v>13493.509119816044</v>
      </c>
      <c r="Q133" s="295">
        <f t="shared" si="39"/>
        <v>13493.509119816044</v>
      </c>
      <c r="R133" s="295">
        <f t="shared" si="39"/>
        <v>13493.509119816044</v>
      </c>
      <c r="S133" s="295">
        <f t="shared" si="39"/>
        <v>13493.509119816044</v>
      </c>
      <c r="T133" s="295">
        <f t="shared" si="38"/>
        <v>13493.509119816044</v>
      </c>
      <c r="U133" s="295">
        <f t="shared" si="38"/>
        <v>13493.509119816044</v>
      </c>
      <c r="V133" s="295">
        <f t="shared" si="38"/>
        <v>13493.509119816044</v>
      </c>
      <c r="W133" s="295">
        <f t="shared" si="38"/>
        <v>13493.509119816044</v>
      </c>
      <c r="X133" s="295">
        <f t="shared" si="38"/>
        <v>13493.509119816044</v>
      </c>
      <c r="Y133" s="295">
        <f t="shared" si="38"/>
        <v>13493.509119816044</v>
      </c>
      <c r="Z133" s="295">
        <f t="shared" si="38"/>
        <v>13493.509119816044</v>
      </c>
      <c r="AA133" s="295">
        <f t="shared" si="38"/>
        <v>13493.509119816044</v>
      </c>
      <c r="AB133" s="295">
        <f t="shared" si="38"/>
        <v>13493.509119816044</v>
      </c>
      <c r="AC133" s="295">
        <f t="shared" si="38"/>
        <v>13493.509119816044</v>
      </c>
      <c r="AD133" s="295">
        <f t="shared" si="38"/>
        <v>13493.509119816044</v>
      </c>
      <c r="AE133" s="296">
        <f t="shared" si="38"/>
        <v>13493.509119816044</v>
      </c>
    </row>
    <row r="134" spans="1:31">
      <c r="A134" s="1711"/>
      <c r="B134" s="116">
        <v>23</v>
      </c>
      <c r="C134" s="294">
        <f t="shared" si="40"/>
        <v>13493.509119816044</v>
      </c>
      <c r="D134" s="295">
        <f t="shared" si="39"/>
        <v>13493.509119816044</v>
      </c>
      <c r="E134" s="295">
        <f t="shared" si="39"/>
        <v>13493.509119816044</v>
      </c>
      <c r="F134" s="295">
        <f t="shared" si="39"/>
        <v>13493.509119816044</v>
      </c>
      <c r="G134" s="295">
        <f t="shared" si="39"/>
        <v>13493.509119816044</v>
      </c>
      <c r="H134" s="295">
        <f t="shared" si="39"/>
        <v>13493.509119816044</v>
      </c>
      <c r="I134" s="295">
        <f t="shared" si="39"/>
        <v>13493.509119816044</v>
      </c>
      <c r="J134" s="295">
        <f t="shared" si="39"/>
        <v>13493.509119816044</v>
      </c>
      <c r="K134" s="295">
        <f t="shared" si="39"/>
        <v>13493.509119816044</v>
      </c>
      <c r="L134" s="295">
        <f t="shared" si="39"/>
        <v>13493.509119816044</v>
      </c>
      <c r="M134" s="295">
        <f t="shared" si="39"/>
        <v>13493.509119816044</v>
      </c>
      <c r="N134" s="295">
        <f t="shared" si="39"/>
        <v>13493.509119816044</v>
      </c>
      <c r="O134" s="295">
        <f t="shared" si="39"/>
        <v>13493.509119816044</v>
      </c>
      <c r="P134" s="295">
        <f t="shared" si="39"/>
        <v>13493.509119816044</v>
      </c>
      <c r="Q134" s="295">
        <f t="shared" si="39"/>
        <v>13493.509119816044</v>
      </c>
      <c r="R134" s="295">
        <f t="shared" si="39"/>
        <v>13493.509119816044</v>
      </c>
      <c r="S134" s="295">
        <f t="shared" si="39"/>
        <v>13493.509119816044</v>
      </c>
      <c r="T134" s="295">
        <f t="shared" si="38"/>
        <v>13493.509119816044</v>
      </c>
      <c r="U134" s="295">
        <f t="shared" si="38"/>
        <v>13493.509119816044</v>
      </c>
      <c r="V134" s="295">
        <f t="shared" si="38"/>
        <v>13493.509119816044</v>
      </c>
      <c r="W134" s="295">
        <f t="shared" si="38"/>
        <v>13493.509119816044</v>
      </c>
      <c r="X134" s="295">
        <f t="shared" si="38"/>
        <v>13493.509119816044</v>
      </c>
      <c r="Y134" s="295">
        <f t="shared" si="38"/>
        <v>13493.509119816044</v>
      </c>
      <c r="Z134" s="295">
        <f t="shared" si="38"/>
        <v>13493.509119816044</v>
      </c>
      <c r="AA134" s="295">
        <f t="shared" si="38"/>
        <v>13493.509119816044</v>
      </c>
      <c r="AB134" s="295">
        <f t="shared" si="38"/>
        <v>13493.509119816044</v>
      </c>
      <c r="AC134" s="295">
        <f t="shared" si="38"/>
        <v>13493.509119816044</v>
      </c>
      <c r="AD134" s="295">
        <f t="shared" si="38"/>
        <v>13493.509119816044</v>
      </c>
      <c r="AE134" s="296">
        <f t="shared" si="38"/>
        <v>13493.509119816044</v>
      </c>
    </row>
    <row r="135" spans="1:31">
      <c r="A135" s="1711"/>
      <c r="B135" s="116">
        <v>24</v>
      </c>
      <c r="C135" s="294">
        <f t="shared" si="40"/>
        <v>13493.509119816044</v>
      </c>
      <c r="D135" s="295">
        <f t="shared" si="39"/>
        <v>13493.509119816044</v>
      </c>
      <c r="E135" s="295">
        <f t="shared" si="39"/>
        <v>13493.509119816044</v>
      </c>
      <c r="F135" s="295">
        <f t="shared" si="39"/>
        <v>13493.509119816044</v>
      </c>
      <c r="G135" s="295">
        <f t="shared" si="39"/>
        <v>13493.509119816044</v>
      </c>
      <c r="H135" s="295">
        <f t="shared" si="39"/>
        <v>13493.509119816044</v>
      </c>
      <c r="I135" s="295">
        <f t="shared" si="39"/>
        <v>13493.509119816044</v>
      </c>
      <c r="J135" s="295">
        <f t="shared" si="39"/>
        <v>13493.509119816044</v>
      </c>
      <c r="K135" s="295">
        <f t="shared" si="39"/>
        <v>13493.509119816044</v>
      </c>
      <c r="L135" s="295">
        <f t="shared" si="39"/>
        <v>13493.509119816044</v>
      </c>
      <c r="M135" s="295">
        <f t="shared" si="39"/>
        <v>13493.509119816044</v>
      </c>
      <c r="N135" s="295">
        <f t="shared" si="39"/>
        <v>13493.509119816044</v>
      </c>
      <c r="O135" s="295">
        <f t="shared" si="39"/>
        <v>13493.509119816044</v>
      </c>
      <c r="P135" s="295">
        <f t="shared" si="39"/>
        <v>13493.509119816044</v>
      </c>
      <c r="Q135" s="295">
        <f t="shared" si="39"/>
        <v>13493.509119816044</v>
      </c>
      <c r="R135" s="295">
        <f t="shared" si="39"/>
        <v>13493.509119816044</v>
      </c>
      <c r="S135" s="295">
        <f t="shared" si="39"/>
        <v>13493.509119816044</v>
      </c>
      <c r="T135" s="295">
        <f t="shared" si="38"/>
        <v>13493.509119816044</v>
      </c>
      <c r="U135" s="295">
        <f t="shared" si="38"/>
        <v>13493.509119816044</v>
      </c>
      <c r="V135" s="295">
        <f t="shared" si="38"/>
        <v>13493.509119816044</v>
      </c>
      <c r="W135" s="295">
        <f t="shared" si="38"/>
        <v>13493.509119816044</v>
      </c>
      <c r="X135" s="295">
        <f t="shared" si="38"/>
        <v>13493.509119816044</v>
      </c>
      <c r="Y135" s="295">
        <f t="shared" si="38"/>
        <v>13493.509119816044</v>
      </c>
      <c r="Z135" s="295">
        <f t="shared" si="38"/>
        <v>13493.509119816044</v>
      </c>
      <c r="AA135" s="295">
        <f t="shared" si="38"/>
        <v>13493.509119816044</v>
      </c>
      <c r="AB135" s="295">
        <f t="shared" si="38"/>
        <v>13493.509119816044</v>
      </c>
      <c r="AC135" s="295">
        <f t="shared" si="38"/>
        <v>13493.509119816044</v>
      </c>
      <c r="AD135" s="295">
        <f t="shared" si="38"/>
        <v>13493.509119816044</v>
      </c>
      <c r="AE135" s="296">
        <f t="shared" si="38"/>
        <v>13493.509119816044</v>
      </c>
    </row>
    <row r="136" spans="1:31" ht="15.75" thickBot="1">
      <c r="A136" s="1711"/>
      <c r="B136" s="116">
        <v>25</v>
      </c>
      <c r="C136" s="297">
        <f t="shared" si="40"/>
        <v>13493.509119816044</v>
      </c>
      <c r="D136" s="298">
        <f t="shared" si="39"/>
        <v>13493.509119816044</v>
      </c>
      <c r="E136" s="298">
        <f t="shared" si="39"/>
        <v>13493.509119816044</v>
      </c>
      <c r="F136" s="298">
        <f t="shared" si="39"/>
        <v>13493.509119816044</v>
      </c>
      <c r="G136" s="298">
        <f t="shared" si="39"/>
        <v>13493.509119816044</v>
      </c>
      <c r="H136" s="298">
        <f t="shared" si="39"/>
        <v>13493.509119816044</v>
      </c>
      <c r="I136" s="298">
        <f t="shared" si="39"/>
        <v>13493.509119816044</v>
      </c>
      <c r="J136" s="298">
        <f t="shared" si="39"/>
        <v>13493.509119816044</v>
      </c>
      <c r="K136" s="298">
        <f t="shared" si="39"/>
        <v>13493.509119816044</v>
      </c>
      <c r="L136" s="298">
        <f t="shared" si="39"/>
        <v>13493.509119816044</v>
      </c>
      <c r="M136" s="298">
        <f t="shared" si="39"/>
        <v>13493.509119816044</v>
      </c>
      <c r="N136" s="298">
        <f t="shared" si="39"/>
        <v>13493.509119816044</v>
      </c>
      <c r="O136" s="298">
        <f t="shared" si="39"/>
        <v>13493.509119816044</v>
      </c>
      <c r="P136" s="298">
        <f t="shared" si="39"/>
        <v>13493.509119816044</v>
      </c>
      <c r="Q136" s="298">
        <f t="shared" si="39"/>
        <v>13493.509119816044</v>
      </c>
      <c r="R136" s="298">
        <f t="shared" si="39"/>
        <v>13493.509119816044</v>
      </c>
      <c r="S136" s="298">
        <f t="shared" si="39"/>
        <v>13493.509119816044</v>
      </c>
      <c r="T136" s="298">
        <f t="shared" si="38"/>
        <v>13493.509119816044</v>
      </c>
      <c r="U136" s="298">
        <f t="shared" si="38"/>
        <v>13493.509119816044</v>
      </c>
      <c r="V136" s="298">
        <f t="shared" si="38"/>
        <v>13493.509119816044</v>
      </c>
      <c r="W136" s="298">
        <f t="shared" si="38"/>
        <v>13493.509119816044</v>
      </c>
      <c r="X136" s="298">
        <f t="shared" si="38"/>
        <v>13493.509119816044</v>
      </c>
      <c r="Y136" s="298">
        <f t="shared" si="38"/>
        <v>13493.509119816044</v>
      </c>
      <c r="Z136" s="298">
        <f t="shared" si="38"/>
        <v>13493.509119816044</v>
      </c>
      <c r="AA136" s="298">
        <f t="shared" si="38"/>
        <v>13493.509119816044</v>
      </c>
      <c r="AB136" s="298">
        <f t="shared" si="38"/>
        <v>13493.509119816044</v>
      </c>
      <c r="AC136" s="298">
        <f t="shared" si="38"/>
        <v>13493.509119816044</v>
      </c>
      <c r="AD136" s="298">
        <f t="shared" si="38"/>
        <v>13493.509119816044</v>
      </c>
      <c r="AE136" s="299">
        <f t="shared" si="38"/>
        <v>13493.509119816044</v>
      </c>
    </row>
    <row r="137" spans="1:31" ht="16.5" thickTop="1" thickBot="1">
      <c r="A137" s="1712"/>
      <c r="B137" s="300" t="s">
        <v>39</v>
      </c>
      <c r="C137" s="461">
        <f>IF('CAR Stock'!C166=0,0,SUMPRODUCT(C111:C136,'CAR Stock'!C140:C165)/'CAR Stock'!C166)</f>
        <v>15573.149136360043</v>
      </c>
      <c r="D137" s="461">
        <f>IF('CAR Stock'!D166=0,0,SUMPRODUCT(D111:D136,'CAR Stock'!D140:D165)/'CAR Stock'!D166)</f>
        <v>15569.895463736655</v>
      </c>
      <c r="E137" s="461">
        <f>IF('CAR Stock'!E166=0,0,SUMPRODUCT(E111:E136,'CAR Stock'!E140:E165)/'CAR Stock'!E166)</f>
        <v>15488.479277490504</v>
      </c>
      <c r="F137" s="461">
        <f>IF('CAR Stock'!F166=0,0,SUMPRODUCT(F111:F136,'CAR Stock'!F140:F165)/'CAR Stock'!F166)</f>
        <v>15366.751651521041</v>
      </c>
      <c r="G137" s="461">
        <f>IF('CAR Stock'!G166=0,0,SUMPRODUCT(G111:G136,'CAR Stock'!G140:G165)/'CAR Stock'!G166)</f>
        <v>15219.716472824488</v>
      </c>
      <c r="H137" s="461">
        <f>IF('CAR Stock'!H166=0,0,SUMPRODUCT(H111:H136,'CAR Stock'!H140:H165)/'CAR Stock'!H166)</f>
        <v>15054.326421802683</v>
      </c>
      <c r="I137" s="461">
        <f>IF('CAR Stock'!I166=0,0,SUMPRODUCT(I111:I136,'CAR Stock'!I140:I165)/'CAR Stock'!I166)</f>
        <v>14876.82216040793</v>
      </c>
      <c r="J137" s="461">
        <f>IF('CAR Stock'!J166=0,0,SUMPRODUCT(J111:J136,'CAR Stock'!J140:J165)/'CAR Stock'!J166)</f>
        <v>14696.364771548187</v>
      </c>
      <c r="K137" s="461">
        <f>IF('CAR Stock'!K166=0,0,SUMPRODUCT(K111:K136,'CAR Stock'!K140:K165)/'CAR Stock'!K166)</f>
        <v>14522.626170045482</v>
      </c>
      <c r="L137" s="461">
        <f>IF('CAR Stock'!L166=0,0,SUMPRODUCT(L111:L136,'CAR Stock'!L140:L165)/'CAR Stock'!L166)</f>
        <v>14367.791057604534</v>
      </c>
      <c r="M137" s="461">
        <f>IF('CAR Stock'!M166=0,0,SUMPRODUCT(M111:M136,'CAR Stock'!M140:M165)/'CAR Stock'!M166)</f>
        <v>14240.727816935323</v>
      </c>
      <c r="N137" s="461">
        <f>IF('CAR Stock'!N166=0,0,SUMPRODUCT(N111:N136,'CAR Stock'!N140:N165)/'CAR Stock'!N166)</f>
        <v>14139.013400010912</v>
      </c>
      <c r="O137" s="461">
        <f>IF('CAR Stock'!O166=0,0,SUMPRODUCT(O111:O136,'CAR Stock'!O140:O165)/'CAR Stock'!O166)</f>
        <v>14043.50491148419</v>
      </c>
      <c r="P137" s="461">
        <f>IF('CAR Stock'!P166=0,0,SUMPRODUCT(P111:P136,'CAR Stock'!P140:P165)/'CAR Stock'!P166)</f>
        <v>13938.098306554419</v>
      </c>
      <c r="Q137" s="461">
        <f>IF('CAR Stock'!Q166=0,0,SUMPRODUCT(Q111:Q136,'CAR Stock'!Q140:Q165)/'CAR Stock'!Q166)</f>
        <v>13787.725910507783</v>
      </c>
      <c r="R137" s="461">
        <f>IF('CAR Stock'!R166=0,0,SUMPRODUCT(R111:R136,'CAR Stock'!R140:R165)/'CAR Stock'!R166)</f>
        <v>13622.443455299794</v>
      </c>
      <c r="S137" s="461">
        <f>IF('CAR Stock'!S166=0,0,SUMPRODUCT(S111:S136,'CAR Stock'!S140:S165)/'CAR Stock'!S166)</f>
        <v>13493.509119816041</v>
      </c>
      <c r="T137" s="461">
        <f>IF('CAR Stock'!T166=0,0,SUMPRODUCT(T111:T136,'CAR Stock'!T140:T165)/'CAR Stock'!T166)</f>
        <v>13493.509119816044</v>
      </c>
      <c r="U137" s="461">
        <f>IF('CAR Stock'!U166=0,0,SUMPRODUCT(U111:U136,'CAR Stock'!U140:U165)/'CAR Stock'!U166)</f>
        <v>13493.509119816043</v>
      </c>
      <c r="V137" s="461">
        <f>IF('CAR Stock'!V166=0,0,SUMPRODUCT(V111:V136,'CAR Stock'!V140:V165)/'CAR Stock'!V166)</f>
        <v>13493.509119816046</v>
      </c>
      <c r="W137" s="461">
        <f>IF('CAR Stock'!W166=0,0,SUMPRODUCT(W111:W136,'CAR Stock'!W140:W165)/'CAR Stock'!W166)</f>
        <v>13493.509119816043</v>
      </c>
      <c r="X137" s="461">
        <f>IF('CAR Stock'!X166=0,0,SUMPRODUCT(X111:X136,'CAR Stock'!X140:X165)/'CAR Stock'!X166)</f>
        <v>13493.509119816041</v>
      </c>
      <c r="Y137" s="461">
        <f>IF('CAR Stock'!Y166=0,0,SUMPRODUCT(Y111:Y136,'CAR Stock'!Y140:Y165)/'CAR Stock'!Y166)</f>
        <v>13493.509119816046</v>
      </c>
      <c r="Z137" s="461">
        <f>IF('CAR Stock'!Z166=0,0,SUMPRODUCT(Z111:Z136,'CAR Stock'!Z140:Z165)/'CAR Stock'!Z166)</f>
        <v>13493.509119816044</v>
      </c>
      <c r="AA137" s="461">
        <f>IF('CAR Stock'!AA166=0,0,SUMPRODUCT(AA111:AA136,'CAR Stock'!AA140:AA165)/'CAR Stock'!AA166)</f>
        <v>13493.509119816044</v>
      </c>
      <c r="AB137" s="461">
        <f>IF('CAR Stock'!AB166=0,0,SUMPRODUCT(AB111:AB136,'CAR Stock'!AB140:AB165)/'CAR Stock'!AB166)</f>
        <v>0</v>
      </c>
      <c r="AC137" s="461">
        <f>IF('CAR Stock'!AC166=0,0,SUMPRODUCT(AC111:AC136,'CAR Stock'!AC140:AC165)/'CAR Stock'!AC166)</f>
        <v>0</v>
      </c>
      <c r="AD137" s="461">
        <f>IF('CAR Stock'!AD166=0,0,SUMPRODUCT(AD111:AD136,'CAR Stock'!AD140:AD165)/'CAR Stock'!AD166)</f>
        <v>0</v>
      </c>
      <c r="AE137" s="462">
        <f>IF('CAR Stock'!AE166=0,0,SUMPRODUCT(AE111:AE136,'CAR Stock'!AE140:AE165)/'CAR Stock'!AE166)</f>
        <v>0</v>
      </c>
    </row>
    <row r="138" spans="1:31" ht="15.75" thickBot="1"/>
    <row r="139" spans="1:31" ht="15.75" thickBot="1">
      <c r="A139" s="1710" t="s">
        <v>45</v>
      </c>
      <c r="B139" s="169" t="s">
        <v>10</v>
      </c>
      <c r="C139" s="288">
        <v>2012</v>
      </c>
      <c r="D139" s="289">
        <v>2013</v>
      </c>
      <c r="E139" s="289">
        <v>2014</v>
      </c>
      <c r="F139" s="289">
        <v>2015</v>
      </c>
      <c r="G139" s="288">
        <v>2016</v>
      </c>
      <c r="H139" s="289">
        <v>2017</v>
      </c>
      <c r="I139" s="289">
        <v>2018</v>
      </c>
      <c r="J139" s="289">
        <v>2019</v>
      </c>
      <c r="K139" s="288">
        <v>2020</v>
      </c>
      <c r="L139" s="289">
        <v>2021</v>
      </c>
      <c r="M139" s="289">
        <v>2022</v>
      </c>
      <c r="N139" s="289">
        <v>2023</v>
      </c>
      <c r="O139" s="288">
        <v>2024</v>
      </c>
      <c r="P139" s="289">
        <v>2025</v>
      </c>
      <c r="Q139" s="289">
        <v>2026</v>
      </c>
      <c r="R139" s="289">
        <v>2027</v>
      </c>
      <c r="S139" s="288">
        <v>2028</v>
      </c>
      <c r="T139" s="289">
        <v>2029</v>
      </c>
      <c r="U139" s="289">
        <v>2030</v>
      </c>
      <c r="V139" s="289">
        <v>2031</v>
      </c>
      <c r="W139" s="288">
        <v>2032</v>
      </c>
      <c r="X139" s="289">
        <v>2033</v>
      </c>
      <c r="Y139" s="289">
        <v>2034</v>
      </c>
      <c r="Z139" s="289">
        <v>2035</v>
      </c>
      <c r="AA139" s="288">
        <v>2036</v>
      </c>
      <c r="AB139" s="289">
        <v>2037</v>
      </c>
      <c r="AC139" s="289">
        <v>2038</v>
      </c>
      <c r="AD139" s="289">
        <v>2039</v>
      </c>
      <c r="AE139" s="290">
        <v>2040</v>
      </c>
    </row>
    <row r="140" spans="1:31">
      <c r="A140" s="1711" t="s">
        <v>41</v>
      </c>
      <c r="B140" s="116">
        <v>0</v>
      </c>
      <c r="C140" s="291">
        <f>'CAR Mileage'!I4</f>
        <v>14019.651148498195</v>
      </c>
      <c r="D140" s="292">
        <f>C140</f>
        <v>14019.651148498195</v>
      </c>
      <c r="E140" s="292">
        <f t="shared" ref="E140:T140" si="41">D140</f>
        <v>14019.651148498195</v>
      </c>
      <c r="F140" s="292">
        <f t="shared" si="41"/>
        <v>14019.651148498195</v>
      </c>
      <c r="G140" s="292">
        <f t="shared" si="41"/>
        <v>14019.651148498195</v>
      </c>
      <c r="H140" s="292">
        <f t="shared" si="41"/>
        <v>14019.651148498195</v>
      </c>
      <c r="I140" s="292">
        <f t="shared" si="41"/>
        <v>14019.651148498195</v>
      </c>
      <c r="J140" s="292">
        <f t="shared" si="41"/>
        <v>14019.651148498195</v>
      </c>
      <c r="K140" s="292">
        <f t="shared" si="41"/>
        <v>14019.651148498195</v>
      </c>
      <c r="L140" s="292">
        <f t="shared" si="41"/>
        <v>14019.651148498195</v>
      </c>
      <c r="M140" s="292">
        <f t="shared" si="41"/>
        <v>14019.651148498195</v>
      </c>
      <c r="N140" s="292">
        <f t="shared" si="41"/>
        <v>14019.651148498195</v>
      </c>
      <c r="O140" s="292">
        <f t="shared" si="41"/>
        <v>14019.651148498195</v>
      </c>
      <c r="P140" s="292">
        <f t="shared" si="41"/>
        <v>14019.651148498195</v>
      </c>
      <c r="Q140" s="292">
        <f t="shared" si="41"/>
        <v>14019.651148498195</v>
      </c>
      <c r="R140" s="292">
        <f t="shared" si="41"/>
        <v>14019.651148498195</v>
      </c>
      <c r="S140" s="292">
        <f t="shared" si="41"/>
        <v>14019.651148498195</v>
      </c>
      <c r="T140" s="292">
        <f t="shared" si="41"/>
        <v>14019.651148498195</v>
      </c>
      <c r="U140" s="292">
        <f t="shared" ref="T140:AE155" si="42">T140</f>
        <v>14019.651148498195</v>
      </c>
      <c r="V140" s="292">
        <f t="shared" si="42"/>
        <v>14019.651148498195</v>
      </c>
      <c r="W140" s="292">
        <f t="shared" si="42"/>
        <v>14019.651148498195</v>
      </c>
      <c r="X140" s="292">
        <f t="shared" si="42"/>
        <v>14019.651148498195</v>
      </c>
      <c r="Y140" s="292">
        <f t="shared" si="42"/>
        <v>14019.651148498195</v>
      </c>
      <c r="Z140" s="292">
        <f t="shared" si="42"/>
        <v>14019.651148498195</v>
      </c>
      <c r="AA140" s="292">
        <f t="shared" si="42"/>
        <v>14019.651148498195</v>
      </c>
      <c r="AB140" s="292">
        <f t="shared" si="42"/>
        <v>14019.651148498195</v>
      </c>
      <c r="AC140" s="292">
        <f t="shared" si="42"/>
        <v>14019.651148498195</v>
      </c>
      <c r="AD140" s="292">
        <f t="shared" si="42"/>
        <v>14019.651148498195</v>
      </c>
      <c r="AE140" s="293">
        <f t="shared" si="42"/>
        <v>14019.651148498195</v>
      </c>
    </row>
    <row r="141" spans="1:31">
      <c r="A141" s="1711"/>
      <c r="B141" s="116">
        <v>1</v>
      </c>
      <c r="C141" s="294">
        <f>'CAR Mileage'!I5</f>
        <v>13739.258125528231</v>
      </c>
      <c r="D141" s="295">
        <f t="shared" ref="D141:S156" si="43">C141</f>
        <v>13739.258125528231</v>
      </c>
      <c r="E141" s="295">
        <f t="shared" si="43"/>
        <v>13739.258125528231</v>
      </c>
      <c r="F141" s="295">
        <f t="shared" si="43"/>
        <v>13739.258125528231</v>
      </c>
      <c r="G141" s="295">
        <f t="shared" si="43"/>
        <v>13739.258125528231</v>
      </c>
      <c r="H141" s="295">
        <f t="shared" si="43"/>
        <v>13739.258125528231</v>
      </c>
      <c r="I141" s="295">
        <f t="shared" si="43"/>
        <v>13739.258125528231</v>
      </c>
      <c r="J141" s="295">
        <f t="shared" si="43"/>
        <v>13739.258125528231</v>
      </c>
      <c r="K141" s="295">
        <f t="shared" si="43"/>
        <v>13739.258125528231</v>
      </c>
      <c r="L141" s="295">
        <f t="shared" si="43"/>
        <v>13739.258125528231</v>
      </c>
      <c r="M141" s="295">
        <f t="shared" si="43"/>
        <v>13739.258125528231</v>
      </c>
      <c r="N141" s="295">
        <f t="shared" si="43"/>
        <v>13739.258125528231</v>
      </c>
      <c r="O141" s="295">
        <f t="shared" si="43"/>
        <v>13739.258125528231</v>
      </c>
      <c r="P141" s="295">
        <f t="shared" si="43"/>
        <v>13739.258125528231</v>
      </c>
      <c r="Q141" s="295">
        <f t="shared" si="43"/>
        <v>13739.258125528231</v>
      </c>
      <c r="R141" s="295">
        <f t="shared" si="43"/>
        <v>13739.258125528231</v>
      </c>
      <c r="S141" s="295">
        <f t="shared" si="43"/>
        <v>13739.258125528231</v>
      </c>
      <c r="T141" s="295">
        <f t="shared" si="42"/>
        <v>13739.258125528231</v>
      </c>
      <c r="U141" s="295">
        <f t="shared" si="42"/>
        <v>13739.258125528231</v>
      </c>
      <c r="V141" s="295">
        <f t="shared" si="42"/>
        <v>13739.258125528231</v>
      </c>
      <c r="W141" s="295">
        <f t="shared" si="42"/>
        <v>13739.258125528231</v>
      </c>
      <c r="X141" s="295">
        <f t="shared" si="42"/>
        <v>13739.258125528231</v>
      </c>
      <c r="Y141" s="295">
        <f t="shared" si="42"/>
        <v>13739.258125528231</v>
      </c>
      <c r="Z141" s="295">
        <f t="shared" si="42"/>
        <v>13739.258125528231</v>
      </c>
      <c r="AA141" s="295">
        <f t="shared" si="42"/>
        <v>13739.258125528231</v>
      </c>
      <c r="AB141" s="295">
        <f t="shared" si="42"/>
        <v>13739.258125528231</v>
      </c>
      <c r="AC141" s="295">
        <f t="shared" si="42"/>
        <v>13739.258125528231</v>
      </c>
      <c r="AD141" s="295">
        <f t="shared" si="42"/>
        <v>13739.258125528231</v>
      </c>
      <c r="AE141" s="296">
        <f t="shared" si="42"/>
        <v>13739.258125528231</v>
      </c>
    </row>
    <row r="142" spans="1:31">
      <c r="A142" s="1711"/>
      <c r="B142" s="116">
        <v>2</v>
      </c>
      <c r="C142" s="294">
        <f>'CAR Mileage'!I6</f>
        <v>13464.472963017666</v>
      </c>
      <c r="D142" s="295">
        <f t="shared" si="43"/>
        <v>13464.472963017666</v>
      </c>
      <c r="E142" s="295">
        <f t="shared" si="43"/>
        <v>13464.472963017666</v>
      </c>
      <c r="F142" s="295">
        <f t="shared" si="43"/>
        <v>13464.472963017666</v>
      </c>
      <c r="G142" s="295">
        <f t="shared" si="43"/>
        <v>13464.472963017666</v>
      </c>
      <c r="H142" s="295">
        <f t="shared" si="43"/>
        <v>13464.472963017666</v>
      </c>
      <c r="I142" s="295">
        <f t="shared" si="43"/>
        <v>13464.472963017666</v>
      </c>
      <c r="J142" s="295">
        <f t="shared" si="43"/>
        <v>13464.472963017666</v>
      </c>
      <c r="K142" s="295">
        <f t="shared" si="43"/>
        <v>13464.472963017666</v>
      </c>
      <c r="L142" s="295">
        <f t="shared" si="43"/>
        <v>13464.472963017666</v>
      </c>
      <c r="M142" s="295">
        <f t="shared" si="43"/>
        <v>13464.472963017666</v>
      </c>
      <c r="N142" s="295">
        <f t="shared" si="43"/>
        <v>13464.472963017666</v>
      </c>
      <c r="O142" s="295">
        <f t="shared" si="43"/>
        <v>13464.472963017666</v>
      </c>
      <c r="P142" s="295">
        <f t="shared" si="43"/>
        <v>13464.472963017666</v>
      </c>
      <c r="Q142" s="295">
        <f t="shared" si="43"/>
        <v>13464.472963017666</v>
      </c>
      <c r="R142" s="295">
        <f t="shared" si="43"/>
        <v>13464.472963017666</v>
      </c>
      <c r="S142" s="295">
        <f t="shared" si="43"/>
        <v>13464.472963017666</v>
      </c>
      <c r="T142" s="295">
        <f t="shared" si="42"/>
        <v>13464.472963017666</v>
      </c>
      <c r="U142" s="295">
        <f t="shared" si="42"/>
        <v>13464.472963017666</v>
      </c>
      <c r="V142" s="295">
        <f t="shared" si="42"/>
        <v>13464.472963017666</v>
      </c>
      <c r="W142" s="295">
        <f t="shared" si="42"/>
        <v>13464.472963017666</v>
      </c>
      <c r="X142" s="295">
        <f t="shared" si="42"/>
        <v>13464.472963017666</v>
      </c>
      <c r="Y142" s="295">
        <f t="shared" si="42"/>
        <v>13464.472963017666</v>
      </c>
      <c r="Z142" s="295">
        <f t="shared" si="42"/>
        <v>13464.472963017666</v>
      </c>
      <c r="AA142" s="295">
        <f t="shared" si="42"/>
        <v>13464.472963017666</v>
      </c>
      <c r="AB142" s="295">
        <f t="shared" si="42"/>
        <v>13464.472963017666</v>
      </c>
      <c r="AC142" s="295">
        <f t="shared" si="42"/>
        <v>13464.472963017666</v>
      </c>
      <c r="AD142" s="295">
        <f t="shared" si="42"/>
        <v>13464.472963017666</v>
      </c>
      <c r="AE142" s="296">
        <f t="shared" si="42"/>
        <v>13464.472963017666</v>
      </c>
    </row>
    <row r="143" spans="1:31">
      <c r="A143" s="1711"/>
      <c r="B143" s="116">
        <v>3</v>
      </c>
      <c r="C143" s="294">
        <f>'CAR Mileage'!I7</f>
        <v>13195.183503757313</v>
      </c>
      <c r="D143" s="295">
        <f t="shared" si="43"/>
        <v>13195.183503757313</v>
      </c>
      <c r="E143" s="295">
        <f t="shared" si="43"/>
        <v>13195.183503757313</v>
      </c>
      <c r="F143" s="295">
        <f t="shared" si="43"/>
        <v>13195.183503757313</v>
      </c>
      <c r="G143" s="295">
        <f t="shared" si="43"/>
        <v>13195.183503757313</v>
      </c>
      <c r="H143" s="295">
        <f t="shared" si="43"/>
        <v>13195.183503757313</v>
      </c>
      <c r="I143" s="295">
        <f t="shared" si="43"/>
        <v>13195.183503757313</v>
      </c>
      <c r="J143" s="295">
        <f t="shared" si="43"/>
        <v>13195.183503757313</v>
      </c>
      <c r="K143" s="295">
        <f t="shared" si="43"/>
        <v>13195.183503757313</v>
      </c>
      <c r="L143" s="295">
        <f t="shared" si="43"/>
        <v>13195.183503757313</v>
      </c>
      <c r="M143" s="295">
        <f t="shared" si="43"/>
        <v>13195.183503757313</v>
      </c>
      <c r="N143" s="295">
        <f t="shared" si="43"/>
        <v>13195.183503757313</v>
      </c>
      <c r="O143" s="295">
        <f t="shared" si="43"/>
        <v>13195.183503757313</v>
      </c>
      <c r="P143" s="295">
        <f t="shared" si="43"/>
        <v>13195.183503757313</v>
      </c>
      <c r="Q143" s="295">
        <f t="shared" si="43"/>
        <v>13195.183503757313</v>
      </c>
      <c r="R143" s="295">
        <f t="shared" si="43"/>
        <v>13195.183503757313</v>
      </c>
      <c r="S143" s="295">
        <f t="shared" si="43"/>
        <v>13195.183503757313</v>
      </c>
      <c r="T143" s="295">
        <f t="shared" si="42"/>
        <v>13195.183503757313</v>
      </c>
      <c r="U143" s="295">
        <f t="shared" si="42"/>
        <v>13195.183503757313</v>
      </c>
      <c r="V143" s="295">
        <f t="shared" si="42"/>
        <v>13195.183503757313</v>
      </c>
      <c r="W143" s="295">
        <f t="shared" si="42"/>
        <v>13195.183503757313</v>
      </c>
      <c r="X143" s="295">
        <f t="shared" si="42"/>
        <v>13195.183503757313</v>
      </c>
      <c r="Y143" s="295">
        <f t="shared" si="42"/>
        <v>13195.183503757313</v>
      </c>
      <c r="Z143" s="295">
        <f t="shared" si="42"/>
        <v>13195.183503757313</v>
      </c>
      <c r="AA143" s="295">
        <f t="shared" si="42"/>
        <v>13195.183503757313</v>
      </c>
      <c r="AB143" s="295">
        <f t="shared" si="42"/>
        <v>13195.183503757313</v>
      </c>
      <c r="AC143" s="295">
        <f t="shared" si="42"/>
        <v>13195.183503757313</v>
      </c>
      <c r="AD143" s="295">
        <f t="shared" si="42"/>
        <v>13195.183503757313</v>
      </c>
      <c r="AE143" s="296">
        <f t="shared" si="42"/>
        <v>13195.183503757313</v>
      </c>
    </row>
    <row r="144" spans="1:31">
      <c r="A144" s="1711"/>
      <c r="B144" s="116">
        <v>4</v>
      </c>
      <c r="C144" s="294">
        <f>'CAR Mileage'!I8</f>
        <v>12931.279833682167</v>
      </c>
      <c r="D144" s="295">
        <f t="shared" si="43"/>
        <v>12931.279833682167</v>
      </c>
      <c r="E144" s="295">
        <f t="shared" si="43"/>
        <v>12931.279833682167</v>
      </c>
      <c r="F144" s="295">
        <f t="shared" si="43"/>
        <v>12931.279833682167</v>
      </c>
      <c r="G144" s="295">
        <f t="shared" si="43"/>
        <v>12931.279833682167</v>
      </c>
      <c r="H144" s="295">
        <f t="shared" si="43"/>
        <v>12931.279833682167</v>
      </c>
      <c r="I144" s="295">
        <f t="shared" si="43"/>
        <v>12931.279833682167</v>
      </c>
      <c r="J144" s="295">
        <f t="shared" si="43"/>
        <v>12931.279833682167</v>
      </c>
      <c r="K144" s="295">
        <f t="shared" si="43"/>
        <v>12931.279833682167</v>
      </c>
      <c r="L144" s="295">
        <f t="shared" si="43"/>
        <v>12931.279833682167</v>
      </c>
      <c r="M144" s="295">
        <f t="shared" si="43"/>
        <v>12931.279833682167</v>
      </c>
      <c r="N144" s="295">
        <f t="shared" si="43"/>
        <v>12931.279833682167</v>
      </c>
      <c r="O144" s="295">
        <f t="shared" si="43"/>
        <v>12931.279833682167</v>
      </c>
      <c r="P144" s="295">
        <f t="shared" si="43"/>
        <v>12931.279833682167</v>
      </c>
      <c r="Q144" s="295">
        <f t="shared" si="43"/>
        <v>12931.279833682167</v>
      </c>
      <c r="R144" s="295">
        <f t="shared" si="43"/>
        <v>12931.279833682167</v>
      </c>
      <c r="S144" s="295">
        <f t="shared" si="43"/>
        <v>12931.279833682167</v>
      </c>
      <c r="T144" s="295">
        <f t="shared" si="42"/>
        <v>12931.279833682167</v>
      </c>
      <c r="U144" s="295">
        <f t="shared" si="42"/>
        <v>12931.279833682167</v>
      </c>
      <c r="V144" s="295">
        <f t="shared" si="42"/>
        <v>12931.279833682167</v>
      </c>
      <c r="W144" s="295">
        <f t="shared" si="42"/>
        <v>12931.279833682167</v>
      </c>
      <c r="X144" s="295">
        <f t="shared" si="42"/>
        <v>12931.279833682167</v>
      </c>
      <c r="Y144" s="295">
        <f t="shared" si="42"/>
        <v>12931.279833682167</v>
      </c>
      <c r="Z144" s="295">
        <f t="shared" si="42"/>
        <v>12931.279833682167</v>
      </c>
      <c r="AA144" s="295">
        <f t="shared" si="42"/>
        <v>12931.279833682167</v>
      </c>
      <c r="AB144" s="295">
        <f t="shared" si="42"/>
        <v>12931.279833682167</v>
      </c>
      <c r="AC144" s="295">
        <f t="shared" si="42"/>
        <v>12931.279833682167</v>
      </c>
      <c r="AD144" s="295">
        <f t="shared" si="42"/>
        <v>12931.279833682167</v>
      </c>
      <c r="AE144" s="296">
        <f t="shared" si="42"/>
        <v>12931.279833682167</v>
      </c>
    </row>
    <row r="145" spans="1:31">
      <c r="A145" s="1711"/>
      <c r="B145" s="116">
        <v>5</v>
      </c>
      <c r="C145" s="294">
        <f>'CAR Mileage'!I9</f>
        <v>12672.654237008523</v>
      </c>
      <c r="D145" s="295">
        <f t="shared" si="43"/>
        <v>12672.654237008523</v>
      </c>
      <c r="E145" s="295">
        <f t="shared" si="43"/>
        <v>12672.654237008523</v>
      </c>
      <c r="F145" s="295">
        <f t="shared" si="43"/>
        <v>12672.654237008523</v>
      </c>
      <c r="G145" s="295">
        <f t="shared" si="43"/>
        <v>12672.654237008523</v>
      </c>
      <c r="H145" s="295">
        <f t="shared" si="43"/>
        <v>12672.654237008523</v>
      </c>
      <c r="I145" s="295">
        <f t="shared" si="43"/>
        <v>12672.654237008523</v>
      </c>
      <c r="J145" s="295">
        <f t="shared" si="43"/>
        <v>12672.654237008523</v>
      </c>
      <c r="K145" s="295">
        <f t="shared" si="43"/>
        <v>12672.654237008523</v>
      </c>
      <c r="L145" s="295">
        <f t="shared" si="43"/>
        <v>12672.654237008523</v>
      </c>
      <c r="M145" s="295">
        <f t="shared" si="43"/>
        <v>12672.654237008523</v>
      </c>
      <c r="N145" s="295">
        <f t="shared" si="43"/>
        <v>12672.654237008523</v>
      </c>
      <c r="O145" s="295">
        <f t="shared" si="43"/>
        <v>12672.654237008523</v>
      </c>
      <c r="P145" s="295">
        <f t="shared" si="43"/>
        <v>12672.654237008523</v>
      </c>
      <c r="Q145" s="295">
        <f t="shared" si="43"/>
        <v>12672.654237008523</v>
      </c>
      <c r="R145" s="295">
        <f t="shared" si="43"/>
        <v>12672.654237008523</v>
      </c>
      <c r="S145" s="295">
        <f t="shared" si="43"/>
        <v>12672.654237008523</v>
      </c>
      <c r="T145" s="295">
        <f t="shared" si="42"/>
        <v>12672.654237008523</v>
      </c>
      <c r="U145" s="295">
        <f t="shared" si="42"/>
        <v>12672.654237008523</v>
      </c>
      <c r="V145" s="295">
        <f t="shared" si="42"/>
        <v>12672.654237008523</v>
      </c>
      <c r="W145" s="295">
        <f t="shared" si="42"/>
        <v>12672.654237008523</v>
      </c>
      <c r="X145" s="295">
        <f t="shared" si="42"/>
        <v>12672.654237008523</v>
      </c>
      <c r="Y145" s="295">
        <f t="shared" si="42"/>
        <v>12672.654237008523</v>
      </c>
      <c r="Z145" s="295">
        <f t="shared" si="42"/>
        <v>12672.654237008523</v>
      </c>
      <c r="AA145" s="295">
        <f t="shared" si="42"/>
        <v>12672.654237008523</v>
      </c>
      <c r="AB145" s="295">
        <f t="shared" si="42"/>
        <v>12672.654237008523</v>
      </c>
      <c r="AC145" s="295">
        <f t="shared" si="42"/>
        <v>12672.654237008523</v>
      </c>
      <c r="AD145" s="295">
        <f t="shared" si="42"/>
        <v>12672.654237008523</v>
      </c>
      <c r="AE145" s="296">
        <f t="shared" si="42"/>
        <v>12672.654237008523</v>
      </c>
    </row>
    <row r="146" spans="1:31">
      <c r="A146" s="1711"/>
      <c r="B146" s="116">
        <v>6</v>
      </c>
      <c r="C146" s="294">
        <f>'CAR Mileage'!I10</f>
        <v>12419.201152268352</v>
      </c>
      <c r="D146" s="295">
        <f t="shared" si="43"/>
        <v>12419.201152268352</v>
      </c>
      <c r="E146" s="295">
        <f t="shared" si="43"/>
        <v>12419.201152268352</v>
      </c>
      <c r="F146" s="295">
        <f t="shared" si="43"/>
        <v>12419.201152268352</v>
      </c>
      <c r="G146" s="295">
        <f t="shared" si="43"/>
        <v>12419.201152268352</v>
      </c>
      <c r="H146" s="295">
        <f t="shared" si="43"/>
        <v>12419.201152268352</v>
      </c>
      <c r="I146" s="295">
        <f t="shared" si="43"/>
        <v>12419.201152268352</v>
      </c>
      <c r="J146" s="295">
        <f t="shared" si="43"/>
        <v>12419.201152268352</v>
      </c>
      <c r="K146" s="295">
        <f t="shared" si="43"/>
        <v>12419.201152268352</v>
      </c>
      <c r="L146" s="295">
        <f t="shared" si="43"/>
        <v>12419.201152268352</v>
      </c>
      <c r="M146" s="295">
        <f t="shared" si="43"/>
        <v>12419.201152268352</v>
      </c>
      <c r="N146" s="295">
        <f t="shared" si="43"/>
        <v>12419.201152268352</v>
      </c>
      <c r="O146" s="295">
        <f t="shared" si="43"/>
        <v>12419.201152268352</v>
      </c>
      <c r="P146" s="295">
        <f t="shared" si="43"/>
        <v>12419.201152268352</v>
      </c>
      <c r="Q146" s="295">
        <f t="shared" si="43"/>
        <v>12419.201152268352</v>
      </c>
      <c r="R146" s="295">
        <f t="shared" si="43"/>
        <v>12419.201152268352</v>
      </c>
      <c r="S146" s="295">
        <f t="shared" si="43"/>
        <v>12419.201152268352</v>
      </c>
      <c r="T146" s="295">
        <f t="shared" si="42"/>
        <v>12419.201152268352</v>
      </c>
      <c r="U146" s="295">
        <f t="shared" si="42"/>
        <v>12419.201152268352</v>
      </c>
      <c r="V146" s="295">
        <f t="shared" si="42"/>
        <v>12419.201152268352</v>
      </c>
      <c r="W146" s="295">
        <f t="shared" si="42"/>
        <v>12419.201152268352</v>
      </c>
      <c r="X146" s="295">
        <f t="shared" si="42"/>
        <v>12419.201152268352</v>
      </c>
      <c r="Y146" s="295">
        <f t="shared" si="42"/>
        <v>12419.201152268352</v>
      </c>
      <c r="Z146" s="295">
        <f t="shared" si="42"/>
        <v>12419.201152268352</v>
      </c>
      <c r="AA146" s="295">
        <f t="shared" si="42"/>
        <v>12419.201152268352</v>
      </c>
      <c r="AB146" s="295">
        <f t="shared" si="42"/>
        <v>12419.201152268352</v>
      </c>
      <c r="AC146" s="295">
        <f t="shared" si="42"/>
        <v>12419.201152268352</v>
      </c>
      <c r="AD146" s="295">
        <f t="shared" si="42"/>
        <v>12419.201152268352</v>
      </c>
      <c r="AE146" s="296">
        <f t="shared" si="42"/>
        <v>12419.201152268352</v>
      </c>
    </row>
    <row r="147" spans="1:31">
      <c r="A147" s="1711"/>
      <c r="B147" s="116">
        <v>7</v>
      </c>
      <c r="C147" s="294">
        <f>'CAR Mileage'!I11</f>
        <v>12170.817129222984</v>
      </c>
      <c r="D147" s="295">
        <f t="shared" si="43"/>
        <v>12170.817129222984</v>
      </c>
      <c r="E147" s="295">
        <f t="shared" si="43"/>
        <v>12170.817129222984</v>
      </c>
      <c r="F147" s="295">
        <f t="shared" si="43"/>
        <v>12170.817129222984</v>
      </c>
      <c r="G147" s="295">
        <f t="shared" si="43"/>
        <v>12170.817129222984</v>
      </c>
      <c r="H147" s="295">
        <f t="shared" si="43"/>
        <v>12170.817129222984</v>
      </c>
      <c r="I147" s="295">
        <f t="shared" si="43"/>
        <v>12170.817129222984</v>
      </c>
      <c r="J147" s="295">
        <f t="shared" si="43"/>
        <v>12170.817129222984</v>
      </c>
      <c r="K147" s="295">
        <f t="shared" si="43"/>
        <v>12170.817129222984</v>
      </c>
      <c r="L147" s="295">
        <f t="shared" si="43"/>
        <v>12170.817129222984</v>
      </c>
      <c r="M147" s="295">
        <f t="shared" si="43"/>
        <v>12170.817129222984</v>
      </c>
      <c r="N147" s="295">
        <f t="shared" si="43"/>
        <v>12170.817129222984</v>
      </c>
      <c r="O147" s="295">
        <f t="shared" si="43"/>
        <v>12170.817129222984</v>
      </c>
      <c r="P147" s="295">
        <f t="shared" si="43"/>
        <v>12170.817129222984</v>
      </c>
      <c r="Q147" s="295">
        <f t="shared" si="43"/>
        <v>12170.817129222984</v>
      </c>
      <c r="R147" s="295">
        <f t="shared" si="43"/>
        <v>12170.817129222984</v>
      </c>
      <c r="S147" s="295">
        <f t="shared" si="43"/>
        <v>12170.817129222984</v>
      </c>
      <c r="T147" s="295">
        <f t="shared" si="42"/>
        <v>12170.817129222984</v>
      </c>
      <c r="U147" s="295">
        <f t="shared" si="42"/>
        <v>12170.817129222984</v>
      </c>
      <c r="V147" s="295">
        <f t="shared" si="42"/>
        <v>12170.817129222984</v>
      </c>
      <c r="W147" s="295">
        <f t="shared" si="42"/>
        <v>12170.817129222984</v>
      </c>
      <c r="X147" s="295">
        <f t="shared" si="42"/>
        <v>12170.817129222984</v>
      </c>
      <c r="Y147" s="295">
        <f t="shared" si="42"/>
        <v>12170.817129222984</v>
      </c>
      <c r="Z147" s="295">
        <f t="shared" si="42"/>
        <v>12170.817129222984</v>
      </c>
      <c r="AA147" s="295">
        <f t="shared" si="42"/>
        <v>12170.817129222984</v>
      </c>
      <c r="AB147" s="295">
        <f t="shared" si="42"/>
        <v>12170.817129222984</v>
      </c>
      <c r="AC147" s="295">
        <f t="shared" si="42"/>
        <v>12170.817129222984</v>
      </c>
      <c r="AD147" s="295">
        <f t="shared" si="42"/>
        <v>12170.817129222984</v>
      </c>
      <c r="AE147" s="296">
        <f t="shared" si="42"/>
        <v>12170.817129222984</v>
      </c>
    </row>
    <row r="148" spans="1:31">
      <c r="A148" s="1711"/>
      <c r="B148" s="116">
        <v>8</v>
      </c>
      <c r="C148" s="294">
        <f>'CAR Mileage'!I12</f>
        <v>11927.400786638524</v>
      </c>
      <c r="D148" s="295">
        <f t="shared" si="43"/>
        <v>11927.400786638524</v>
      </c>
      <c r="E148" s="295">
        <f t="shared" si="43"/>
        <v>11927.400786638524</v>
      </c>
      <c r="F148" s="295">
        <f t="shared" si="43"/>
        <v>11927.400786638524</v>
      </c>
      <c r="G148" s="295">
        <f t="shared" si="43"/>
        <v>11927.400786638524</v>
      </c>
      <c r="H148" s="295">
        <f t="shared" si="43"/>
        <v>11927.400786638524</v>
      </c>
      <c r="I148" s="295">
        <f t="shared" si="43"/>
        <v>11927.400786638524</v>
      </c>
      <c r="J148" s="295">
        <f t="shared" si="43"/>
        <v>11927.400786638524</v>
      </c>
      <c r="K148" s="295">
        <f t="shared" si="43"/>
        <v>11927.400786638524</v>
      </c>
      <c r="L148" s="295">
        <f t="shared" si="43"/>
        <v>11927.400786638524</v>
      </c>
      <c r="M148" s="295">
        <f t="shared" si="43"/>
        <v>11927.400786638524</v>
      </c>
      <c r="N148" s="295">
        <f t="shared" si="43"/>
        <v>11927.400786638524</v>
      </c>
      <c r="O148" s="295">
        <f t="shared" si="43"/>
        <v>11927.400786638524</v>
      </c>
      <c r="P148" s="295">
        <f t="shared" si="43"/>
        <v>11927.400786638524</v>
      </c>
      <c r="Q148" s="295">
        <f t="shared" si="43"/>
        <v>11927.400786638524</v>
      </c>
      <c r="R148" s="295">
        <f t="shared" si="43"/>
        <v>11927.400786638524</v>
      </c>
      <c r="S148" s="295">
        <f t="shared" si="43"/>
        <v>11927.400786638524</v>
      </c>
      <c r="T148" s="295">
        <f t="shared" si="42"/>
        <v>11927.400786638524</v>
      </c>
      <c r="U148" s="295">
        <f t="shared" si="42"/>
        <v>11927.400786638524</v>
      </c>
      <c r="V148" s="295">
        <f t="shared" si="42"/>
        <v>11927.400786638524</v>
      </c>
      <c r="W148" s="295">
        <f t="shared" si="42"/>
        <v>11927.400786638524</v>
      </c>
      <c r="X148" s="295">
        <f t="shared" si="42"/>
        <v>11927.400786638524</v>
      </c>
      <c r="Y148" s="295">
        <f t="shared" si="42"/>
        <v>11927.400786638524</v>
      </c>
      <c r="Z148" s="295">
        <f t="shared" si="42"/>
        <v>11927.400786638524</v>
      </c>
      <c r="AA148" s="295">
        <f t="shared" si="42"/>
        <v>11927.400786638524</v>
      </c>
      <c r="AB148" s="295">
        <f t="shared" si="42"/>
        <v>11927.400786638524</v>
      </c>
      <c r="AC148" s="295">
        <f t="shared" si="42"/>
        <v>11927.400786638524</v>
      </c>
      <c r="AD148" s="295">
        <f t="shared" si="42"/>
        <v>11927.400786638524</v>
      </c>
      <c r="AE148" s="296">
        <f t="shared" si="42"/>
        <v>11927.400786638524</v>
      </c>
    </row>
    <row r="149" spans="1:31">
      <c r="A149" s="1711"/>
      <c r="B149" s="116">
        <v>9</v>
      </c>
      <c r="C149" s="294">
        <f>'CAR Mileage'!I13</f>
        <v>11688.852770905753</v>
      </c>
      <c r="D149" s="295">
        <f t="shared" si="43"/>
        <v>11688.852770905753</v>
      </c>
      <c r="E149" s="295">
        <f t="shared" si="43"/>
        <v>11688.852770905753</v>
      </c>
      <c r="F149" s="295">
        <f t="shared" si="43"/>
        <v>11688.852770905753</v>
      </c>
      <c r="G149" s="295">
        <f t="shared" si="43"/>
        <v>11688.852770905753</v>
      </c>
      <c r="H149" s="295">
        <f t="shared" si="43"/>
        <v>11688.852770905753</v>
      </c>
      <c r="I149" s="295">
        <f t="shared" si="43"/>
        <v>11688.852770905753</v>
      </c>
      <c r="J149" s="295">
        <f t="shared" si="43"/>
        <v>11688.852770905753</v>
      </c>
      <c r="K149" s="295">
        <f t="shared" si="43"/>
        <v>11688.852770905753</v>
      </c>
      <c r="L149" s="295">
        <f t="shared" si="43"/>
        <v>11688.852770905753</v>
      </c>
      <c r="M149" s="295">
        <f t="shared" si="43"/>
        <v>11688.852770905753</v>
      </c>
      <c r="N149" s="295">
        <f t="shared" si="43"/>
        <v>11688.852770905753</v>
      </c>
      <c r="O149" s="295">
        <f t="shared" si="43"/>
        <v>11688.852770905753</v>
      </c>
      <c r="P149" s="295">
        <f t="shared" si="43"/>
        <v>11688.852770905753</v>
      </c>
      <c r="Q149" s="295">
        <f t="shared" si="43"/>
        <v>11688.852770905753</v>
      </c>
      <c r="R149" s="295">
        <f t="shared" si="43"/>
        <v>11688.852770905753</v>
      </c>
      <c r="S149" s="295">
        <f t="shared" si="43"/>
        <v>11688.852770905753</v>
      </c>
      <c r="T149" s="295">
        <f t="shared" si="42"/>
        <v>11688.852770905753</v>
      </c>
      <c r="U149" s="295">
        <f t="shared" si="42"/>
        <v>11688.852770905753</v>
      </c>
      <c r="V149" s="295">
        <f t="shared" si="42"/>
        <v>11688.852770905753</v>
      </c>
      <c r="W149" s="295">
        <f t="shared" si="42"/>
        <v>11688.852770905753</v>
      </c>
      <c r="X149" s="295">
        <f t="shared" si="42"/>
        <v>11688.852770905753</v>
      </c>
      <c r="Y149" s="295">
        <f t="shared" si="42"/>
        <v>11688.852770905753</v>
      </c>
      <c r="Z149" s="295">
        <f t="shared" si="42"/>
        <v>11688.852770905753</v>
      </c>
      <c r="AA149" s="295">
        <f t="shared" si="42"/>
        <v>11688.852770905753</v>
      </c>
      <c r="AB149" s="295">
        <f t="shared" si="42"/>
        <v>11688.852770905753</v>
      </c>
      <c r="AC149" s="295">
        <f t="shared" si="42"/>
        <v>11688.852770905753</v>
      </c>
      <c r="AD149" s="295">
        <f t="shared" si="42"/>
        <v>11688.852770905753</v>
      </c>
      <c r="AE149" s="296">
        <f t="shared" si="42"/>
        <v>11688.852770905753</v>
      </c>
    </row>
    <row r="150" spans="1:31">
      <c r="A150" s="1711"/>
      <c r="B150" s="116">
        <v>10</v>
      </c>
      <c r="C150" s="294">
        <f>'CAR Mileage'!I14</f>
        <v>11455.075715487637</v>
      </c>
      <c r="D150" s="295">
        <f t="shared" si="43"/>
        <v>11455.075715487637</v>
      </c>
      <c r="E150" s="295">
        <f t="shared" si="43"/>
        <v>11455.075715487637</v>
      </c>
      <c r="F150" s="295">
        <f t="shared" si="43"/>
        <v>11455.075715487637</v>
      </c>
      <c r="G150" s="295">
        <f t="shared" si="43"/>
        <v>11455.075715487637</v>
      </c>
      <c r="H150" s="295">
        <f t="shared" si="43"/>
        <v>11455.075715487637</v>
      </c>
      <c r="I150" s="295">
        <f t="shared" si="43"/>
        <v>11455.075715487637</v>
      </c>
      <c r="J150" s="295">
        <f t="shared" si="43"/>
        <v>11455.075715487637</v>
      </c>
      <c r="K150" s="295">
        <f t="shared" si="43"/>
        <v>11455.075715487637</v>
      </c>
      <c r="L150" s="295">
        <f t="shared" si="43"/>
        <v>11455.075715487637</v>
      </c>
      <c r="M150" s="295">
        <f t="shared" si="43"/>
        <v>11455.075715487637</v>
      </c>
      <c r="N150" s="295">
        <f t="shared" si="43"/>
        <v>11455.075715487637</v>
      </c>
      <c r="O150" s="295">
        <f t="shared" si="43"/>
        <v>11455.075715487637</v>
      </c>
      <c r="P150" s="295">
        <f t="shared" si="43"/>
        <v>11455.075715487637</v>
      </c>
      <c r="Q150" s="295">
        <f t="shared" si="43"/>
        <v>11455.075715487637</v>
      </c>
      <c r="R150" s="295">
        <f t="shared" si="43"/>
        <v>11455.075715487637</v>
      </c>
      <c r="S150" s="295">
        <f t="shared" si="43"/>
        <v>11455.075715487637</v>
      </c>
      <c r="T150" s="295">
        <f t="shared" si="42"/>
        <v>11455.075715487637</v>
      </c>
      <c r="U150" s="295">
        <f t="shared" si="42"/>
        <v>11455.075715487637</v>
      </c>
      <c r="V150" s="295">
        <f t="shared" si="42"/>
        <v>11455.075715487637</v>
      </c>
      <c r="W150" s="295">
        <f t="shared" si="42"/>
        <v>11455.075715487637</v>
      </c>
      <c r="X150" s="295">
        <f t="shared" si="42"/>
        <v>11455.075715487637</v>
      </c>
      <c r="Y150" s="295">
        <f t="shared" si="42"/>
        <v>11455.075715487637</v>
      </c>
      <c r="Z150" s="295">
        <f t="shared" si="42"/>
        <v>11455.075715487637</v>
      </c>
      <c r="AA150" s="295">
        <f t="shared" si="42"/>
        <v>11455.075715487637</v>
      </c>
      <c r="AB150" s="295">
        <f t="shared" si="42"/>
        <v>11455.075715487637</v>
      </c>
      <c r="AC150" s="295">
        <f t="shared" si="42"/>
        <v>11455.075715487637</v>
      </c>
      <c r="AD150" s="295">
        <f t="shared" si="42"/>
        <v>11455.075715487637</v>
      </c>
      <c r="AE150" s="296">
        <f t="shared" si="42"/>
        <v>11455.075715487637</v>
      </c>
    </row>
    <row r="151" spans="1:31">
      <c r="A151" s="1711"/>
      <c r="B151" s="116">
        <v>11</v>
      </c>
      <c r="C151" s="294">
        <f>'CAR Mileage'!I15</f>
        <v>11225.974201177884</v>
      </c>
      <c r="D151" s="295">
        <f t="shared" si="43"/>
        <v>11225.974201177884</v>
      </c>
      <c r="E151" s="295">
        <f t="shared" si="43"/>
        <v>11225.974201177884</v>
      </c>
      <c r="F151" s="295">
        <f t="shared" si="43"/>
        <v>11225.974201177884</v>
      </c>
      <c r="G151" s="295">
        <f t="shared" si="43"/>
        <v>11225.974201177884</v>
      </c>
      <c r="H151" s="295">
        <f t="shared" si="43"/>
        <v>11225.974201177884</v>
      </c>
      <c r="I151" s="295">
        <f t="shared" si="43"/>
        <v>11225.974201177884</v>
      </c>
      <c r="J151" s="295">
        <f t="shared" si="43"/>
        <v>11225.974201177884</v>
      </c>
      <c r="K151" s="295">
        <f t="shared" si="43"/>
        <v>11225.974201177884</v>
      </c>
      <c r="L151" s="295">
        <f t="shared" si="43"/>
        <v>11225.974201177884</v>
      </c>
      <c r="M151" s="295">
        <f t="shared" si="43"/>
        <v>11225.974201177884</v>
      </c>
      <c r="N151" s="295">
        <f t="shared" si="43"/>
        <v>11225.974201177884</v>
      </c>
      <c r="O151" s="295">
        <f t="shared" si="43"/>
        <v>11225.974201177884</v>
      </c>
      <c r="P151" s="295">
        <f t="shared" si="43"/>
        <v>11225.974201177884</v>
      </c>
      <c r="Q151" s="295">
        <f t="shared" si="43"/>
        <v>11225.974201177884</v>
      </c>
      <c r="R151" s="295">
        <f t="shared" si="43"/>
        <v>11225.974201177884</v>
      </c>
      <c r="S151" s="295">
        <f t="shared" si="43"/>
        <v>11225.974201177884</v>
      </c>
      <c r="T151" s="295">
        <f t="shared" si="42"/>
        <v>11225.974201177884</v>
      </c>
      <c r="U151" s="295">
        <f t="shared" si="42"/>
        <v>11225.974201177884</v>
      </c>
      <c r="V151" s="295">
        <f t="shared" si="42"/>
        <v>11225.974201177884</v>
      </c>
      <c r="W151" s="295">
        <f t="shared" si="42"/>
        <v>11225.974201177884</v>
      </c>
      <c r="X151" s="295">
        <f t="shared" si="42"/>
        <v>11225.974201177884</v>
      </c>
      <c r="Y151" s="295">
        <f t="shared" si="42"/>
        <v>11225.974201177884</v>
      </c>
      <c r="Z151" s="295">
        <f t="shared" si="42"/>
        <v>11225.974201177884</v>
      </c>
      <c r="AA151" s="295">
        <f t="shared" si="42"/>
        <v>11225.974201177884</v>
      </c>
      <c r="AB151" s="295">
        <f t="shared" si="42"/>
        <v>11225.974201177884</v>
      </c>
      <c r="AC151" s="295">
        <f t="shared" si="42"/>
        <v>11225.974201177884</v>
      </c>
      <c r="AD151" s="295">
        <f t="shared" si="42"/>
        <v>11225.974201177884</v>
      </c>
      <c r="AE151" s="296">
        <f t="shared" si="42"/>
        <v>11225.974201177884</v>
      </c>
    </row>
    <row r="152" spans="1:31">
      <c r="A152" s="1711"/>
      <c r="B152" s="116">
        <v>12</v>
      </c>
      <c r="C152" s="294">
        <f>'CAR Mileage'!I16</f>
        <v>11001.454717154325</v>
      </c>
      <c r="D152" s="295">
        <f t="shared" si="43"/>
        <v>11001.454717154325</v>
      </c>
      <c r="E152" s="295">
        <f t="shared" si="43"/>
        <v>11001.454717154325</v>
      </c>
      <c r="F152" s="295">
        <f t="shared" si="43"/>
        <v>11001.454717154325</v>
      </c>
      <c r="G152" s="295">
        <f t="shared" si="43"/>
        <v>11001.454717154325</v>
      </c>
      <c r="H152" s="295">
        <f t="shared" si="43"/>
        <v>11001.454717154325</v>
      </c>
      <c r="I152" s="295">
        <f t="shared" si="43"/>
        <v>11001.454717154325</v>
      </c>
      <c r="J152" s="295">
        <f t="shared" si="43"/>
        <v>11001.454717154325</v>
      </c>
      <c r="K152" s="295">
        <f t="shared" si="43"/>
        <v>11001.454717154325</v>
      </c>
      <c r="L152" s="295">
        <f t="shared" si="43"/>
        <v>11001.454717154325</v>
      </c>
      <c r="M152" s="295">
        <f t="shared" si="43"/>
        <v>11001.454717154325</v>
      </c>
      <c r="N152" s="295">
        <f t="shared" si="43"/>
        <v>11001.454717154325</v>
      </c>
      <c r="O152" s="295">
        <f t="shared" si="43"/>
        <v>11001.454717154325</v>
      </c>
      <c r="P152" s="295">
        <f t="shared" si="43"/>
        <v>11001.454717154325</v>
      </c>
      <c r="Q152" s="295">
        <f t="shared" si="43"/>
        <v>11001.454717154325</v>
      </c>
      <c r="R152" s="295">
        <f t="shared" si="43"/>
        <v>11001.454717154325</v>
      </c>
      <c r="S152" s="295">
        <f t="shared" si="43"/>
        <v>11001.454717154325</v>
      </c>
      <c r="T152" s="295">
        <f t="shared" si="42"/>
        <v>11001.454717154325</v>
      </c>
      <c r="U152" s="295">
        <f t="shared" si="42"/>
        <v>11001.454717154325</v>
      </c>
      <c r="V152" s="295">
        <f t="shared" si="42"/>
        <v>11001.454717154325</v>
      </c>
      <c r="W152" s="295">
        <f t="shared" si="42"/>
        <v>11001.454717154325</v>
      </c>
      <c r="X152" s="295">
        <f t="shared" si="42"/>
        <v>11001.454717154325</v>
      </c>
      <c r="Y152" s="295">
        <f t="shared" si="42"/>
        <v>11001.454717154325</v>
      </c>
      <c r="Z152" s="295">
        <f t="shared" si="42"/>
        <v>11001.454717154325</v>
      </c>
      <c r="AA152" s="295">
        <f t="shared" si="42"/>
        <v>11001.454717154325</v>
      </c>
      <c r="AB152" s="295">
        <f t="shared" si="42"/>
        <v>11001.454717154325</v>
      </c>
      <c r="AC152" s="295">
        <f t="shared" si="42"/>
        <v>11001.454717154325</v>
      </c>
      <c r="AD152" s="295">
        <f t="shared" si="42"/>
        <v>11001.454717154325</v>
      </c>
      <c r="AE152" s="296">
        <f t="shared" si="42"/>
        <v>11001.454717154325</v>
      </c>
    </row>
    <row r="153" spans="1:31">
      <c r="A153" s="1711"/>
      <c r="B153" s="116">
        <v>13</v>
      </c>
      <c r="C153" s="294">
        <f>'CAR Mileage'!I17</f>
        <v>10781.425622811239</v>
      </c>
      <c r="D153" s="295">
        <f t="shared" si="43"/>
        <v>10781.425622811239</v>
      </c>
      <c r="E153" s="295">
        <f t="shared" si="43"/>
        <v>10781.425622811239</v>
      </c>
      <c r="F153" s="295">
        <f t="shared" si="43"/>
        <v>10781.425622811239</v>
      </c>
      <c r="G153" s="295">
        <f t="shared" si="43"/>
        <v>10781.425622811239</v>
      </c>
      <c r="H153" s="295">
        <f t="shared" si="43"/>
        <v>10781.425622811239</v>
      </c>
      <c r="I153" s="295">
        <f t="shared" si="43"/>
        <v>10781.425622811239</v>
      </c>
      <c r="J153" s="295">
        <f t="shared" si="43"/>
        <v>10781.425622811239</v>
      </c>
      <c r="K153" s="295">
        <f t="shared" si="43"/>
        <v>10781.425622811239</v>
      </c>
      <c r="L153" s="295">
        <f t="shared" si="43"/>
        <v>10781.425622811239</v>
      </c>
      <c r="M153" s="295">
        <f t="shared" si="43"/>
        <v>10781.425622811239</v>
      </c>
      <c r="N153" s="295">
        <f t="shared" si="43"/>
        <v>10781.425622811239</v>
      </c>
      <c r="O153" s="295">
        <f t="shared" si="43"/>
        <v>10781.425622811239</v>
      </c>
      <c r="P153" s="295">
        <f t="shared" si="43"/>
        <v>10781.425622811239</v>
      </c>
      <c r="Q153" s="295">
        <f t="shared" si="43"/>
        <v>10781.425622811239</v>
      </c>
      <c r="R153" s="295">
        <f t="shared" si="43"/>
        <v>10781.425622811239</v>
      </c>
      <c r="S153" s="295">
        <f t="shared" si="43"/>
        <v>10781.425622811239</v>
      </c>
      <c r="T153" s="295">
        <f t="shared" si="42"/>
        <v>10781.425622811239</v>
      </c>
      <c r="U153" s="295">
        <f t="shared" si="42"/>
        <v>10781.425622811239</v>
      </c>
      <c r="V153" s="295">
        <f t="shared" si="42"/>
        <v>10781.425622811239</v>
      </c>
      <c r="W153" s="295">
        <f t="shared" si="42"/>
        <v>10781.425622811239</v>
      </c>
      <c r="X153" s="295">
        <f t="shared" si="42"/>
        <v>10781.425622811239</v>
      </c>
      <c r="Y153" s="295">
        <f t="shared" si="42"/>
        <v>10781.425622811239</v>
      </c>
      <c r="Z153" s="295">
        <f t="shared" si="42"/>
        <v>10781.425622811239</v>
      </c>
      <c r="AA153" s="295">
        <f t="shared" si="42"/>
        <v>10781.425622811239</v>
      </c>
      <c r="AB153" s="295">
        <f t="shared" si="42"/>
        <v>10781.425622811239</v>
      </c>
      <c r="AC153" s="295">
        <f t="shared" si="42"/>
        <v>10781.425622811239</v>
      </c>
      <c r="AD153" s="295">
        <f t="shared" si="42"/>
        <v>10781.425622811239</v>
      </c>
      <c r="AE153" s="296">
        <f t="shared" si="42"/>
        <v>10781.425622811239</v>
      </c>
    </row>
    <row r="154" spans="1:31">
      <c r="A154" s="1711"/>
      <c r="B154" s="116">
        <v>14</v>
      </c>
      <c r="C154" s="294">
        <f>'CAR Mileage'!I18</f>
        <v>10565.797110355014</v>
      </c>
      <c r="D154" s="295">
        <f t="shared" si="43"/>
        <v>10565.797110355014</v>
      </c>
      <c r="E154" s="295">
        <f t="shared" si="43"/>
        <v>10565.797110355014</v>
      </c>
      <c r="F154" s="295">
        <f t="shared" si="43"/>
        <v>10565.797110355014</v>
      </c>
      <c r="G154" s="295">
        <f t="shared" si="43"/>
        <v>10565.797110355014</v>
      </c>
      <c r="H154" s="295">
        <f t="shared" si="43"/>
        <v>10565.797110355014</v>
      </c>
      <c r="I154" s="295">
        <f t="shared" si="43"/>
        <v>10565.797110355014</v>
      </c>
      <c r="J154" s="295">
        <f t="shared" si="43"/>
        <v>10565.797110355014</v>
      </c>
      <c r="K154" s="295">
        <f t="shared" si="43"/>
        <v>10565.797110355014</v>
      </c>
      <c r="L154" s="295">
        <f t="shared" si="43"/>
        <v>10565.797110355014</v>
      </c>
      <c r="M154" s="295">
        <f t="shared" si="43"/>
        <v>10565.797110355014</v>
      </c>
      <c r="N154" s="295">
        <f t="shared" si="43"/>
        <v>10565.797110355014</v>
      </c>
      <c r="O154" s="295">
        <f t="shared" si="43"/>
        <v>10565.797110355014</v>
      </c>
      <c r="P154" s="295">
        <f t="shared" si="43"/>
        <v>10565.797110355014</v>
      </c>
      <c r="Q154" s="295">
        <f t="shared" si="43"/>
        <v>10565.797110355014</v>
      </c>
      <c r="R154" s="295">
        <f t="shared" si="43"/>
        <v>10565.797110355014</v>
      </c>
      <c r="S154" s="295">
        <f t="shared" si="43"/>
        <v>10565.797110355014</v>
      </c>
      <c r="T154" s="295">
        <f t="shared" si="42"/>
        <v>10565.797110355014</v>
      </c>
      <c r="U154" s="295">
        <f t="shared" si="42"/>
        <v>10565.797110355014</v>
      </c>
      <c r="V154" s="295">
        <f t="shared" si="42"/>
        <v>10565.797110355014</v>
      </c>
      <c r="W154" s="295">
        <f t="shared" si="42"/>
        <v>10565.797110355014</v>
      </c>
      <c r="X154" s="295">
        <f t="shared" si="42"/>
        <v>10565.797110355014</v>
      </c>
      <c r="Y154" s="295">
        <f t="shared" si="42"/>
        <v>10565.797110355014</v>
      </c>
      <c r="Z154" s="295">
        <f t="shared" si="42"/>
        <v>10565.797110355014</v>
      </c>
      <c r="AA154" s="295">
        <f t="shared" si="42"/>
        <v>10565.797110355014</v>
      </c>
      <c r="AB154" s="295">
        <f t="shared" si="42"/>
        <v>10565.797110355014</v>
      </c>
      <c r="AC154" s="295">
        <f t="shared" si="42"/>
        <v>10565.797110355014</v>
      </c>
      <c r="AD154" s="295">
        <f t="shared" si="42"/>
        <v>10565.797110355014</v>
      </c>
      <c r="AE154" s="296">
        <f t="shared" si="42"/>
        <v>10565.797110355014</v>
      </c>
    </row>
    <row r="155" spans="1:31">
      <c r="A155" s="1711"/>
      <c r="B155" s="116">
        <v>15</v>
      </c>
      <c r="C155" s="294">
        <f>'CAR Mileage'!I19</f>
        <v>10354.481168147913</v>
      </c>
      <c r="D155" s="295">
        <f t="shared" si="43"/>
        <v>10354.481168147913</v>
      </c>
      <c r="E155" s="295">
        <f t="shared" si="43"/>
        <v>10354.481168147913</v>
      </c>
      <c r="F155" s="295">
        <f t="shared" si="43"/>
        <v>10354.481168147913</v>
      </c>
      <c r="G155" s="295">
        <f t="shared" si="43"/>
        <v>10354.481168147913</v>
      </c>
      <c r="H155" s="295">
        <f t="shared" si="43"/>
        <v>10354.481168147913</v>
      </c>
      <c r="I155" s="295">
        <f t="shared" si="43"/>
        <v>10354.481168147913</v>
      </c>
      <c r="J155" s="295">
        <f t="shared" si="43"/>
        <v>10354.481168147913</v>
      </c>
      <c r="K155" s="295">
        <f t="shared" si="43"/>
        <v>10354.481168147913</v>
      </c>
      <c r="L155" s="295">
        <f t="shared" si="43"/>
        <v>10354.481168147913</v>
      </c>
      <c r="M155" s="295">
        <f t="shared" si="43"/>
        <v>10354.481168147913</v>
      </c>
      <c r="N155" s="295">
        <f t="shared" si="43"/>
        <v>10354.481168147913</v>
      </c>
      <c r="O155" s="295">
        <f t="shared" si="43"/>
        <v>10354.481168147913</v>
      </c>
      <c r="P155" s="295">
        <f t="shared" si="43"/>
        <v>10354.481168147913</v>
      </c>
      <c r="Q155" s="295">
        <f t="shared" si="43"/>
        <v>10354.481168147913</v>
      </c>
      <c r="R155" s="295">
        <f t="shared" si="43"/>
        <v>10354.481168147913</v>
      </c>
      <c r="S155" s="295">
        <f t="shared" si="43"/>
        <v>10354.481168147913</v>
      </c>
      <c r="T155" s="295">
        <f t="shared" si="42"/>
        <v>10354.481168147913</v>
      </c>
      <c r="U155" s="295">
        <f t="shared" si="42"/>
        <v>10354.481168147913</v>
      </c>
      <c r="V155" s="295">
        <f t="shared" si="42"/>
        <v>10354.481168147913</v>
      </c>
      <c r="W155" s="295">
        <f t="shared" si="42"/>
        <v>10354.481168147913</v>
      </c>
      <c r="X155" s="295">
        <f t="shared" si="42"/>
        <v>10354.481168147913</v>
      </c>
      <c r="Y155" s="295">
        <f t="shared" si="42"/>
        <v>10354.481168147913</v>
      </c>
      <c r="Z155" s="295">
        <f t="shared" si="42"/>
        <v>10354.481168147913</v>
      </c>
      <c r="AA155" s="295">
        <f t="shared" si="42"/>
        <v>10354.481168147913</v>
      </c>
      <c r="AB155" s="295">
        <f t="shared" si="42"/>
        <v>10354.481168147913</v>
      </c>
      <c r="AC155" s="295">
        <f t="shared" si="42"/>
        <v>10354.481168147913</v>
      </c>
      <c r="AD155" s="295">
        <f t="shared" si="42"/>
        <v>10354.481168147913</v>
      </c>
      <c r="AE155" s="296">
        <f t="shared" si="42"/>
        <v>10354.481168147913</v>
      </c>
    </row>
    <row r="156" spans="1:31">
      <c r="A156" s="1711"/>
      <c r="B156" s="116">
        <v>16</v>
      </c>
      <c r="C156" s="294">
        <f>'CAR Mileage'!I20</f>
        <v>10147.391544784954</v>
      </c>
      <c r="D156" s="295">
        <f t="shared" si="43"/>
        <v>10147.391544784954</v>
      </c>
      <c r="E156" s="295">
        <f t="shared" si="43"/>
        <v>10147.391544784954</v>
      </c>
      <c r="F156" s="295">
        <f t="shared" si="43"/>
        <v>10147.391544784954</v>
      </c>
      <c r="G156" s="295">
        <f t="shared" si="43"/>
        <v>10147.391544784954</v>
      </c>
      <c r="H156" s="295">
        <f t="shared" si="43"/>
        <v>10147.391544784954</v>
      </c>
      <c r="I156" s="295">
        <f t="shared" si="43"/>
        <v>10147.391544784954</v>
      </c>
      <c r="J156" s="295">
        <f t="shared" si="43"/>
        <v>10147.391544784954</v>
      </c>
      <c r="K156" s="295">
        <f t="shared" si="43"/>
        <v>10147.391544784954</v>
      </c>
      <c r="L156" s="295">
        <f t="shared" si="43"/>
        <v>10147.391544784954</v>
      </c>
      <c r="M156" s="295">
        <f t="shared" si="43"/>
        <v>10147.391544784954</v>
      </c>
      <c r="N156" s="295">
        <f t="shared" si="43"/>
        <v>10147.391544784954</v>
      </c>
      <c r="O156" s="295">
        <f t="shared" si="43"/>
        <v>10147.391544784954</v>
      </c>
      <c r="P156" s="295">
        <f t="shared" si="43"/>
        <v>10147.391544784954</v>
      </c>
      <c r="Q156" s="295">
        <f t="shared" si="43"/>
        <v>10147.391544784954</v>
      </c>
      <c r="R156" s="295">
        <f t="shared" si="43"/>
        <v>10147.391544784954</v>
      </c>
      <c r="S156" s="295">
        <f t="shared" ref="S156:AE165" si="44">R156</f>
        <v>10147.391544784954</v>
      </c>
      <c r="T156" s="295">
        <f t="shared" si="44"/>
        <v>10147.391544784954</v>
      </c>
      <c r="U156" s="295">
        <f t="shared" si="44"/>
        <v>10147.391544784954</v>
      </c>
      <c r="V156" s="295">
        <f t="shared" si="44"/>
        <v>10147.391544784954</v>
      </c>
      <c r="W156" s="295">
        <f t="shared" si="44"/>
        <v>10147.391544784954</v>
      </c>
      <c r="X156" s="295">
        <f t="shared" si="44"/>
        <v>10147.391544784954</v>
      </c>
      <c r="Y156" s="295">
        <f t="shared" si="44"/>
        <v>10147.391544784954</v>
      </c>
      <c r="Z156" s="295">
        <f t="shared" si="44"/>
        <v>10147.391544784954</v>
      </c>
      <c r="AA156" s="295">
        <f t="shared" si="44"/>
        <v>10147.391544784954</v>
      </c>
      <c r="AB156" s="295">
        <f t="shared" si="44"/>
        <v>10147.391544784954</v>
      </c>
      <c r="AC156" s="295">
        <f t="shared" si="44"/>
        <v>10147.391544784954</v>
      </c>
      <c r="AD156" s="295">
        <f t="shared" si="44"/>
        <v>10147.391544784954</v>
      </c>
      <c r="AE156" s="296">
        <f t="shared" si="44"/>
        <v>10147.391544784954</v>
      </c>
    </row>
    <row r="157" spans="1:31">
      <c r="A157" s="1711"/>
      <c r="B157" s="116">
        <v>17</v>
      </c>
      <c r="C157" s="294">
        <f>C156</f>
        <v>10147.391544784954</v>
      </c>
      <c r="D157" s="295">
        <f t="shared" ref="D157:S165" si="45">C157</f>
        <v>10147.391544784954</v>
      </c>
      <c r="E157" s="295">
        <f t="shared" si="45"/>
        <v>10147.391544784954</v>
      </c>
      <c r="F157" s="295">
        <f t="shared" si="45"/>
        <v>10147.391544784954</v>
      </c>
      <c r="G157" s="295">
        <f t="shared" si="45"/>
        <v>10147.391544784954</v>
      </c>
      <c r="H157" s="295">
        <f t="shared" si="45"/>
        <v>10147.391544784954</v>
      </c>
      <c r="I157" s="295">
        <f t="shared" si="45"/>
        <v>10147.391544784954</v>
      </c>
      <c r="J157" s="295">
        <f t="shared" si="45"/>
        <v>10147.391544784954</v>
      </c>
      <c r="K157" s="295">
        <f t="shared" si="45"/>
        <v>10147.391544784954</v>
      </c>
      <c r="L157" s="295">
        <f t="shared" si="45"/>
        <v>10147.391544784954</v>
      </c>
      <c r="M157" s="295">
        <f t="shared" si="45"/>
        <v>10147.391544784954</v>
      </c>
      <c r="N157" s="295">
        <f t="shared" si="45"/>
        <v>10147.391544784954</v>
      </c>
      <c r="O157" s="295">
        <f t="shared" si="45"/>
        <v>10147.391544784954</v>
      </c>
      <c r="P157" s="295">
        <f t="shared" si="45"/>
        <v>10147.391544784954</v>
      </c>
      <c r="Q157" s="295">
        <f t="shared" si="45"/>
        <v>10147.391544784954</v>
      </c>
      <c r="R157" s="295">
        <f t="shared" si="45"/>
        <v>10147.391544784954</v>
      </c>
      <c r="S157" s="295">
        <f t="shared" si="45"/>
        <v>10147.391544784954</v>
      </c>
      <c r="T157" s="295">
        <f t="shared" si="44"/>
        <v>10147.391544784954</v>
      </c>
      <c r="U157" s="295">
        <f t="shared" si="44"/>
        <v>10147.391544784954</v>
      </c>
      <c r="V157" s="295">
        <f t="shared" si="44"/>
        <v>10147.391544784954</v>
      </c>
      <c r="W157" s="295">
        <f t="shared" si="44"/>
        <v>10147.391544784954</v>
      </c>
      <c r="X157" s="295">
        <f t="shared" si="44"/>
        <v>10147.391544784954</v>
      </c>
      <c r="Y157" s="295">
        <f t="shared" si="44"/>
        <v>10147.391544784954</v>
      </c>
      <c r="Z157" s="295">
        <f t="shared" si="44"/>
        <v>10147.391544784954</v>
      </c>
      <c r="AA157" s="295">
        <f t="shared" si="44"/>
        <v>10147.391544784954</v>
      </c>
      <c r="AB157" s="295">
        <f t="shared" si="44"/>
        <v>10147.391544784954</v>
      </c>
      <c r="AC157" s="295">
        <f t="shared" si="44"/>
        <v>10147.391544784954</v>
      </c>
      <c r="AD157" s="295">
        <f t="shared" si="44"/>
        <v>10147.391544784954</v>
      </c>
      <c r="AE157" s="296">
        <f t="shared" si="44"/>
        <v>10147.391544784954</v>
      </c>
    </row>
    <row r="158" spans="1:31">
      <c r="A158" s="1711"/>
      <c r="B158" s="116">
        <v>18</v>
      </c>
      <c r="C158" s="294">
        <f t="shared" ref="C158:C165" si="46">C157</f>
        <v>10147.391544784954</v>
      </c>
      <c r="D158" s="295">
        <f t="shared" si="45"/>
        <v>10147.391544784954</v>
      </c>
      <c r="E158" s="295">
        <f t="shared" si="45"/>
        <v>10147.391544784954</v>
      </c>
      <c r="F158" s="295">
        <f t="shared" si="45"/>
        <v>10147.391544784954</v>
      </c>
      <c r="G158" s="295">
        <f t="shared" si="45"/>
        <v>10147.391544784954</v>
      </c>
      <c r="H158" s="295">
        <f t="shared" si="45"/>
        <v>10147.391544784954</v>
      </c>
      <c r="I158" s="295">
        <f t="shared" si="45"/>
        <v>10147.391544784954</v>
      </c>
      <c r="J158" s="295">
        <f t="shared" si="45"/>
        <v>10147.391544784954</v>
      </c>
      <c r="K158" s="295">
        <f t="shared" si="45"/>
        <v>10147.391544784954</v>
      </c>
      <c r="L158" s="295">
        <f t="shared" si="45"/>
        <v>10147.391544784954</v>
      </c>
      <c r="M158" s="295">
        <f t="shared" si="45"/>
        <v>10147.391544784954</v>
      </c>
      <c r="N158" s="295">
        <f t="shared" si="45"/>
        <v>10147.391544784954</v>
      </c>
      <c r="O158" s="295">
        <f t="shared" si="45"/>
        <v>10147.391544784954</v>
      </c>
      <c r="P158" s="295">
        <f t="shared" si="45"/>
        <v>10147.391544784954</v>
      </c>
      <c r="Q158" s="295">
        <f t="shared" si="45"/>
        <v>10147.391544784954</v>
      </c>
      <c r="R158" s="295">
        <f t="shared" si="45"/>
        <v>10147.391544784954</v>
      </c>
      <c r="S158" s="295">
        <f t="shared" si="45"/>
        <v>10147.391544784954</v>
      </c>
      <c r="T158" s="295">
        <f t="shared" si="44"/>
        <v>10147.391544784954</v>
      </c>
      <c r="U158" s="295">
        <f t="shared" si="44"/>
        <v>10147.391544784954</v>
      </c>
      <c r="V158" s="295">
        <f t="shared" si="44"/>
        <v>10147.391544784954</v>
      </c>
      <c r="W158" s="295">
        <f t="shared" si="44"/>
        <v>10147.391544784954</v>
      </c>
      <c r="X158" s="295">
        <f t="shared" si="44"/>
        <v>10147.391544784954</v>
      </c>
      <c r="Y158" s="295">
        <f t="shared" si="44"/>
        <v>10147.391544784954</v>
      </c>
      <c r="Z158" s="295">
        <f t="shared" si="44"/>
        <v>10147.391544784954</v>
      </c>
      <c r="AA158" s="295">
        <f t="shared" si="44"/>
        <v>10147.391544784954</v>
      </c>
      <c r="AB158" s="295">
        <f t="shared" si="44"/>
        <v>10147.391544784954</v>
      </c>
      <c r="AC158" s="295">
        <f t="shared" si="44"/>
        <v>10147.391544784954</v>
      </c>
      <c r="AD158" s="295">
        <f t="shared" si="44"/>
        <v>10147.391544784954</v>
      </c>
      <c r="AE158" s="296">
        <f t="shared" si="44"/>
        <v>10147.391544784954</v>
      </c>
    </row>
    <row r="159" spans="1:31">
      <c r="A159" s="1711"/>
      <c r="B159" s="116">
        <v>19</v>
      </c>
      <c r="C159" s="294">
        <f t="shared" si="46"/>
        <v>10147.391544784954</v>
      </c>
      <c r="D159" s="295">
        <f t="shared" si="45"/>
        <v>10147.391544784954</v>
      </c>
      <c r="E159" s="295">
        <f t="shared" si="45"/>
        <v>10147.391544784954</v>
      </c>
      <c r="F159" s="295">
        <f t="shared" si="45"/>
        <v>10147.391544784954</v>
      </c>
      <c r="G159" s="295">
        <f t="shared" si="45"/>
        <v>10147.391544784954</v>
      </c>
      <c r="H159" s="295">
        <f t="shared" si="45"/>
        <v>10147.391544784954</v>
      </c>
      <c r="I159" s="295">
        <f t="shared" si="45"/>
        <v>10147.391544784954</v>
      </c>
      <c r="J159" s="295">
        <f t="shared" si="45"/>
        <v>10147.391544784954</v>
      </c>
      <c r="K159" s="295">
        <f t="shared" si="45"/>
        <v>10147.391544784954</v>
      </c>
      <c r="L159" s="295">
        <f t="shared" si="45"/>
        <v>10147.391544784954</v>
      </c>
      <c r="M159" s="295">
        <f t="shared" si="45"/>
        <v>10147.391544784954</v>
      </c>
      <c r="N159" s="295">
        <f t="shared" si="45"/>
        <v>10147.391544784954</v>
      </c>
      <c r="O159" s="295">
        <f t="shared" si="45"/>
        <v>10147.391544784954</v>
      </c>
      <c r="P159" s="295">
        <f t="shared" si="45"/>
        <v>10147.391544784954</v>
      </c>
      <c r="Q159" s="295">
        <f t="shared" si="45"/>
        <v>10147.391544784954</v>
      </c>
      <c r="R159" s="295">
        <f t="shared" si="45"/>
        <v>10147.391544784954</v>
      </c>
      <c r="S159" s="295">
        <f t="shared" si="45"/>
        <v>10147.391544784954</v>
      </c>
      <c r="T159" s="295">
        <f t="shared" si="44"/>
        <v>10147.391544784954</v>
      </c>
      <c r="U159" s="295">
        <f t="shared" si="44"/>
        <v>10147.391544784954</v>
      </c>
      <c r="V159" s="295">
        <f t="shared" si="44"/>
        <v>10147.391544784954</v>
      </c>
      <c r="W159" s="295">
        <f t="shared" si="44"/>
        <v>10147.391544784954</v>
      </c>
      <c r="X159" s="295">
        <f t="shared" si="44"/>
        <v>10147.391544784954</v>
      </c>
      <c r="Y159" s="295">
        <f t="shared" si="44"/>
        <v>10147.391544784954</v>
      </c>
      <c r="Z159" s="295">
        <f t="shared" si="44"/>
        <v>10147.391544784954</v>
      </c>
      <c r="AA159" s="295">
        <f t="shared" si="44"/>
        <v>10147.391544784954</v>
      </c>
      <c r="AB159" s="295">
        <f t="shared" si="44"/>
        <v>10147.391544784954</v>
      </c>
      <c r="AC159" s="295">
        <f t="shared" si="44"/>
        <v>10147.391544784954</v>
      </c>
      <c r="AD159" s="295">
        <f t="shared" si="44"/>
        <v>10147.391544784954</v>
      </c>
      <c r="AE159" s="296">
        <f t="shared" si="44"/>
        <v>10147.391544784954</v>
      </c>
    </row>
    <row r="160" spans="1:31">
      <c r="A160" s="1711"/>
      <c r="B160" s="116">
        <v>20</v>
      </c>
      <c r="C160" s="294">
        <f t="shared" si="46"/>
        <v>10147.391544784954</v>
      </c>
      <c r="D160" s="295">
        <f t="shared" si="45"/>
        <v>10147.391544784954</v>
      </c>
      <c r="E160" s="295">
        <f t="shared" si="45"/>
        <v>10147.391544784954</v>
      </c>
      <c r="F160" s="295">
        <f t="shared" si="45"/>
        <v>10147.391544784954</v>
      </c>
      <c r="G160" s="295">
        <f t="shared" si="45"/>
        <v>10147.391544784954</v>
      </c>
      <c r="H160" s="295">
        <f t="shared" si="45"/>
        <v>10147.391544784954</v>
      </c>
      <c r="I160" s="295">
        <f t="shared" si="45"/>
        <v>10147.391544784954</v>
      </c>
      <c r="J160" s="295">
        <f t="shared" si="45"/>
        <v>10147.391544784954</v>
      </c>
      <c r="K160" s="295">
        <f t="shared" si="45"/>
        <v>10147.391544784954</v>
      </c>
      <c r="L160" s="295">
        <f t="shared" si="45"/>
        <v>10147.391544784954</v>
      </c>
      <c r="M160" s="295">
        <f t="shared" si="45"/>
        <v>10147.391544784954</v>
      </c>
      <c r="N160" s="295">
        <f t="shared" si="45"/>
        <v>10147.391544784954</v>
      </c>
      <c r="O160" s="295">
        <f t="shared" si="45"/>
        <v>10147.391544784954</v>
      </c>
      <c r="P160" s="295">
        <f t="shared" si="45"/>
        <v>10147.391544784954</v>
      </c>
      <c r="Q160" s="295">
        <f t="shared" si="45"/>
        <v>10147.391544784954</v>
      </c>
      <c r="R160" s="295">
        <f t="shared" si="45"/>
        <v>10147.391544784954</v>
      </c>
      <c r="S160" s="295">
        <f t="shared" si="45"/>
        <v>10147.391544784954</v>
      </c>
      <c r="T160" s="295">
        <f t="shared" si="44"/>
        <v>10147.391544784954</v>
      </c>
      <c r="U160" s="295">
        <f t="shared" si="44"/>
        <v>10147.391544784954</v>
      </c>
      <c r="V160" s="295">
        <f t="shared" si="44"/>
        <v>10147.391544784954</v>
      </c>
      <c r="W160" s="295">
        <f t="shared" si="44"/>
        <v>10147.391544784954</v>
      </c>
      <c r="X160" s="295">
        <f t="shared" si="44"/>
        <v>10147.391544784954</v>
      </c>
      <c r="Y160" s="295">
        <f t="shared" si="44"/>
        <v>10147.391544784954</v>
      </c>
      <c r="Z160" s="295">
        <f t="shared" si="44"/>
        <v>10147.391544784954</v>
      </c>
      <c r="AA160" s="295">
        <f t="shared" si="44"/>
        <v>10147.391544784954</v>
      </c>
      <c r="AB160" s="295">
        <f t="shared" si="44"/>
        <v>10147.391544784954</v>
      </c>
      <c r="AC160" s="295">
        <f t="shared" si="44"/>
        <v>10147.391544784954</v>
      </c>
      <c r="AD160" s="295">
        <f t="shared" si="44"/>
        <v>10147.391544784954</v>
      </c>
      <c r="AE160" s="296">
        <f t="shared" si="44"/>
        <v>10147.391544784954</v>
      </c>
    </row>
    <row r="161" spans="1:31">
      <c r="A161" s="1711"/>
      <c r="B161" s="116">
        <v>21</v>
      </c>
      <c r="C161" s="294">
        <f t="shared" si="46"/>
        <v>10147.391544784954</v>
      </c>
      <c r="D161" s="295">
        <f t="shared" si="45"/>
        <v>10147.391544784954</v>
      </c>
      <c r="E161" s="295">
        <f t="shared" si="45"/>
        <v>10147.391544784954</v>
      </c>
      <c r="F161" s="295">
        <f t="shared" si="45"/>
        <v>10147.391544784954</v>
      </c>
      <c r="G161" s="295">
        <f t="shared" si="45"/>
        <v>10147.391544784954</v>
      </c>
      <c r="H161" s="295">
        <f t="shared" si="45"/>
        <v>10147.391544784954</v>
      </c>
      <c r="I161" s="295">
        <f t="shared" si="45"/>
        <v>10147.391544784954</v>
      </c>
      <c r="J161" s="295">
        <f t="shared" si="45"/>
        <v>10147.391544784954</v>
      </c>
      <c r="K161" s="295">
        <f t="shared" si="45"/>
        <v>10147.391544784954</v>
      </c>
      <c r="L161" s="295">
        <f t="shared" si="45"/>
        <v>10147.391544784954</v>
      </c>
      <c r="M161" s="295">
        <f t="shared" si="45"/>
        <v>10147.391544784954</v>
      </c>
      <c r="N161" s="295">
        <f t="shared" si="45"/>
        <v>10147.391544784954</v>
      </c>
      <c r="O161" s="295">
        <f t="shared" si="45"/>
        <v>10147.391544784954</v>
      </c>
      <c r="P161" s="295">
        <f t="shared" si="45"/>
        <v>10147.391544784954</v>
      </c>
      <c r="Q161" s="295">
        <f t="shared" si="45"/>
        <v>10147.391544784954</v>
      </c>
      <c r="R161" s="295">
        <f t="shared" si="45"/>
        <v>10147.391544784954</v>
      </c>
      <c r="S161" s="295">
        <f t="shared" si="45"/>
        <v>10147.391544784954</v>
      </c>
      <c r="T161" s="295">
        <f t="shared" si="44"/>
        <v>10147.391544784954</v>
      </c>
      <c r="U161" s="295">
        <f t="shared" si="44"/>
        <v>10147.391544784954</v>
      </c>
      <c r="V161" s="295">
        <f t="shared" si="44"/>
        <v>10147.391544784954</v>
      </c>
      <c r="W161" s="295">
        <f t="shared" si="44"/>
        <v>10147.391544784954</v>
      </c>
      <c r="X161" s="295">
        <f t="shared" si="44"/>
        <v>10147.391544784954</v>
      </c>
      <c r="Y161" s="295">
        <f t="shared" si="44"/>
        <v>10147.391544784954</v>
      </c>
      <c r="Z161" s="295">
        <f t="shared" si="44"/>
        <v>10147.391544784954</v>
      </c>
      <c r="AA161" s="295">
        <f t="shared" si="44"/>
        <v>10147.391544784954</v>
      </c>
      <c r="AB161" s="295">
        <f t="shared" si="44"/>
        <v>10147.391544784954</v>
      </c>
      <c r="AC161" s="295">
        <f t="shared" si="44"/>
        <v>10147.391544784954</v>
      </c>
      <c r="AD161" s="295">
        <f t="shared" si="44"/>
        <v>10147.391544784954</v>
      </c>
      <c r="AE161" s="296">
        <f t="shared" si="44"/>
        <v>10147.391544784954</v>
      </c>
    </row>
    <row r="162" spans="1:31">
      <c r="A162" s="1711"/>
      <c r="B162" s="116">
        <v>22</v>
      </c>
      <c r="C162" s="294">
        <f t="shared" si="46"/>
        <v>10147.391544784954</v>
      </c>
      <c r="D162" s="295">
        <f t="shared" si="45"/>
        <v>10147.391544784954</v>
      </c>
      <c r="E162" s="295">
        <f t="shared" si="45"/>
        <v>10147.391544784954</v>
      </c>
      <c r="F162" s="295">
        <f t="shared" si="45"/>
        <v>10147.391544784954</v>
      </c>
      <c r="G162" s="295">
        <f t="shared" si="45"/>
        <v>10147.391544784954</v>
      </c>
      <c r="H162" s="295">
        <f t="shared" si="45"/>
        <v>10147.391544784954</v>
      </c>
      <c r="I162" s="295">
        <f t="shared" si="45"/>
        <v>10147.391544784954</v>
      </c>
      <c r="J162" s="295">
        <f t="shared" si="45"/>
        <v>10147.391544784954</v>
      </c>
      <c r="K162" s="295">
        <f t="shared" si="45"/>
        <v>10147.391544784954</v>
      </c>
      <c r="L162" s="295">
        <f t="shared" si="45"/>
        <v>10147.391544784954</v>
      </c>
      <c r="M162" s="295">
        <f t="shared" si="45"/>
        <v>10147.391544784954</v>
      </c>
      <c r="N162" s="295">
        <f t="shared" si="45"/>
        <v>10147.391544784954</v>
      </c>
      <c r="O162" s="295">
        <f t="shared" si="45"/>
        <v>10147.391544784954</v>
      </c>
      <c r="P162" s="295">
        <f t="shared" si="45"/>
        <v>10147.391544784954</v>
      </c>
      <c r="Q162" s="295">
        <f t="shared" si="45"/>
        <v>10147.391544784954</v>
      </c>
      <c r="R162" s="295">
        <f t="shared" si="45"/>
        <v>10147.391544784954</v>
      </c>
      <c r="S162" s="295">
        <f t="shared" si="45"/>
        <v>10147.391544784954</v>
      </c>
      <c r="T162" s="295">
        <f t="shared" si="44"/>
        <v>10147.391544784954</v>
      </c>
      <c r="U162" s="295">
        <f t="shared" si="44"/>
        <v>10147.391544784954</v>
      </c>
      <c r="V162" s="295">
        <f t="shared" si="44"/>
        <v>10147.391544784954</v>
      </c>
      <c r="W162" s="295">
        <f t="shared" si="44"/>
        <v>10147.391544784954</v>
      </c>
      <c r="X162" s="295">
        <f t="shared" si="44"/>
        <v>10147.391544784954</v>
      </c>
      <c r="Y162" s="295">
        <f t="shared" si="44"/>
        <v>10147.391544784954</v>
      </c>
      <c r="Z162" s="295">
        <f t="shared" si="44"/>
        <v>10147.391544784954</v>
      </c>
      <c r="AA162" s="295">
        <f t="shared" si="44"/>
        <v>10147.391544784954</v>
      </c>
      <c r="AB162" s="295">
        <f t="shared" si="44"/>
        <v>10147.391544784954</v>
      </c>
      <c r="AC162" s="295">
        <f t="shared" si="44"/>
        <v>10147.391544784954</v>
      </c>
      <c r="AD162" s="295">
        <f t="shared" si="44"/>
        <v>10147.391544784954</v>
      </c>
      <c r="AE162" s="296">
        <f t="shared" si="44"/>
        <v>10147.391544784954</v>
      </c>
    </row>
    <row r="163" spans="1:31">
      <c r="A163" s="1711"/>
      <c r="B163" s="116">
        <v>23</v>
      </c>
      <c r="C163" s="294">
        <f t="shared" si="46"/>
        <v>10147.391544784954</v>
      </c>
      <c r="D163" s="295">
        <f t="shared" si="45"/>
        <v>10147.391544784954</v>
      </c>
      <c r="E163" s="295">
        <f t="shared" si="45"/>
        <v>10147.391544784954</v>
      </c>
      <c r="F163" s="295">
        <f t="shared" si="45"/>
        <v>10147.391544784954</v>
      </c>
      <c r="G163" s="295">
        <f t="shared" si="45"/>
        <v>10147.391544784954</v>
      </c>
      <c r="H163" s="295">
        <f t="shared" si="45"/>
        <v>10147.391544784954</v>
      </c>
      <c r="I163" s="295">
        <f t="shared" si="45"/>
        <v>10147.391544784954</v>
      </c>
      <c r="J163" s="295">
        <f t="shared" si="45"/>
        <v>10147.391544784954</v>
      </c>
      <c r="K163" s="295">
        <f t="shared" si="45"/>
        <v>10147.391544784954</v>
      </c>
      <c r="L163" s="295">
        <f t="shared" si="45"/>
        <v>10147.391544784954</v>
      </c>
      <c r="M163" s="295">
        <f t="shared" si="45"/>
        <v>10147.391544784954</v>
      </c>
      <c r="N163" s="295">
        <f t="shared" si="45"/>
        <v>10147.391544784954</v>
      </c>
      <c r="O163" s="295">
        <f t="shared" si="45"/>
        <v>10147.391544784954</v>
      </c>
      <c r="P163" s="295">
        <f t="shared" si="45"/>
        <v>10147.391544784954</v>
      </c>
      <c r="Q163" s="295">
        <f t="shared" si="45"/>
        <v>10147.391544784954</v>
      </c>
      <c r="R163" s="295">
        <f t="shared" si="45"/>
        <v>10147.391544784954</v>
      </c>
      <c r="S163" s="295">
        <f t="shared" si="45"/>
        <v>10147.391544784954</v>
      </c>
      <c r="T163" s="295">
        <f t="shared" si="44"/>
        <v>10147.391544784954</v>
      </c>
      <c r="U163" s="295">
        <f t="shared" si="44"/>
        <v>10147.391544784954</v>
      </c>
      <c r="V163" s="295">
        <f t="shared" si="44"/>
        <v>10147.391544784954</v>
      </c>
      <c r="W163" s="295">
        <f t="shared" si="44"/>
        <v>10147.391544784954</v>
      </c>
      <c r="X163" s="295">
        <f t="shared" si="44"/>
        <v>10147.391544784954</v>
      </c>
      <c r="Y163" s="295">
        <f t="shared" si="44"/>
        <v>10147.391544784954</v>
      </c>
      <c r="Z163" s="295">
        <f t="shared" si="44"/>
        <v>10147.391544784954</v>
      </c>
      <c r="AA163" s="295">
        <f t="shared" si="44"/>
        <v>10147.391544784954</v>
      </c>
      <c r="AB163" s="295">
        <f t="shared" si="44"/>
        <v>10147.391544784954</v>
      </c>
      <c r="AC163" s="295">
        <f t="shared" si="44"/>
        <v>10147.391544784954</v>
      </c>
      <c r="AD163" s="295">
        <f t="shared" si="44"/>
        <v>10147.391544784954</v>
      </c>
      <c r="AE163" s="296">
        <f t="shared" si="44"/>
        <v>10147.391544784954</v>
      </c>
    </row>
    <row r="164" spans="1:31">
      <c r="A164" s="1711"/>
      <c r="B164" s="116">
        <v>24</v>
      </c>
      <c r="C164" s="294">
        <f t="shared" si="46"/>
        <v>10147.391544784954</v>
      </c>
      <c r="D164" s="295">
        <f t="shared" si="45"/>
        <v>10147.391544784954</v>
      </c>
      <c r="E164" s="295">
        <f t="shared" si="45"/>
        <v>10147.391544784954</v>
      </c>
      <c r="F164" s="295">
        <f t="shared" si="45"/>
        <v>10147.391544784954</v>
      </c>
      <c r="G164" s="295">
        <f t="shared" si="45"/>
        <v>10147.391544784954</v>
      </c>
      <c r="H164" s="295">
        <f t="shared" si="45"/>
        <v>10147.391544784954</v>
      </c>
      <c r="I164" s="295">
        <f t="shared" si="45"/>
        <v>10147.391544784954</v>
      </c>
      <c r="J164" s="295">
        <f t="shared" si="45"/>
        <v>10147.391544784954</v>
      </c>
      <c r="K164" s="295">
        <f t="shared" si="45"/>
        <v>10147.391544784954</v>
      </c>
      <c r="L164" s="295">
        <f t="shared" si="45"/>
        <v>10147.391544784954</v>
      </c>
      <c r="M164" s="295">
        <f t="shared" si="45"/>
        <v>10147.391544784954</v>
      </c>
      <c r="N164" s="295">
        <f t="shared" si="45"/>
        <v>10147.391544784954</v>
      </c>
      <c r="O164" s="295">
        <f t="shared" si="45"/>
        <v>10147.391544784954</v>
      </c>
      <c r="P164" s="295">
        <f t="shared" si="45"/>
        <v>10147.391544784954</v>
      </c>
      <c r="Q164" s="295">
        <f t="shared" si="45"/>
        <v>10147.391544784954</v>
      </c>
      <c r="R164" s="295">
        <f t="shared" si="45"/>
        <v>10147.391544784954</v>
      </c>
      <c r="S164" s="295">
        <f t="shared" si="45"/>
        <v>10147.391544784954</v>
      </c>
      <c r="T164" s="295">
        <f t="shared" si="44"/>
        <v>10147.391544784954</v>
      </c>
      <c r="U164" s="295">
        <f t="shared" si="44"/>
        <v>10147.391544784954</v>
      </c>
      <c r="V164" s="295">
        <f t="shared" si="44"/>
        <v>10147.391544784954</v>
      </c>
      <c r="W164" s="295">
        <f t="shared" si="44"/>
        <v>10147.391544784954</v>
      </c>
      <c r="X164" s="295">
        <f t="shared" si="44"/>
        <v>10147.391544784954</v>
      </c>
      <c r="Y164" s="295">
        <f t="shared" si="44"/>
        <v>10147.391544784954</v>
      </c>
      <c r="Z164" s="295">
        <f t="shared" si="44"/>
        <v>10147.391544784954</v>
      </c>
      <c r="AA164" s="295">
        <f t="shared" si="44"/>
        <v>10147.391544784954</v>
      </c>
      <c r="AB164" s="295">
        <f t="shared" si="44"/>
        <v>10147.391544784954</v>
      </c>
      <c r="AC164" s="295">
        <f t="shared" si="44"/>
        <v>10147.391544784954</v>
      </c>
      <c r="AD164" s="295">
        <f t="shared" si="44"/>
        <v>10147.391544784954</v>
      </c>
      <c r="AE164" s="296">
        <f t="shared" si="44"/>
        <v>10147.391544784954</v>
      </c>
    </row>
    <row r="165" spans="1:31" ht="15.75" thickBot="1">
      <c r="A165" s="1711"/>
      <c r="B165" s="116">
        <v>25</v>
      </c>
      <c r="C165" s="297">
        <f t="shared" si="46"/>
        <v>10147.391544784954</v>
      </c>
      <c r="D165" s="298">
        <f t="shared" si="45"/>
        <v>10147.391544784954</v>
      </c>
      <c r="E165" s="298">
        <f t="shared" si="45"/>
        <v>10147.391544784954</v>
      </c>
      <c r="F165" s="298">
        <f t="shared" si="45"/>
        <v>10147.391544784954</v>
      </c>
      <c r="G165" s="298">
        <f t="shared" si="45"/>
        <v>10147.391544784954</v>
      </c>
      <c r="H165" s="298">
        <f t="shared" si="45"/>
        <v>10147.391544784954</v>
      </c>
      <c r="I165" s="298">
        <f t="shared" si="45"/>
        <v>10147.391544784954</v>
      </c>
      <c r="J165" s="298">
        <f t="shared" si="45"/>
        <v>10147.391544784954</v>
      </c>
      <c r="K165" s="298">
        <f t="shared" si="45"/>
        <v>10147.391544784954</v>
      </c>
      <c r="L165" s="298">
        <f t="shared" si="45"/>
        <v>10147.391544784954</v>
      </c>
      <c r="M165" s="298">
        <f t="shared" si="45"/>
        <v>10147.391544784954</v>
      </c>
      <c r="N165" s="298">
        <f t="shared" si="45"/>
        <v>10147.391544784954</v>
      </c>
      <c r="O165" s="298">
        <f t="shared" si="45"/>
        <v>10147.391544784954</v>
      </c>
      <c r="P165" s="298">
        <f t="shared" si="45"/>
        <v>10147.391544784954</v>
      </c>
      <c r="Q165" s="298">
        <f t="shared" si="45"/>
        <v>10147.391544784954</v>
      </c>
      <c r="R165" s="298">
        <f t="shared" si="45"/>
        <v>10147.391544784954</v>
      </c>
      <c r="S165" s="298">
        <f t="shared" si="45"/>
        <v>10147.391544784954</v>
      </c>
      <c r="T165" s="298">
        <f t="shared" si="44"/>
        <v>10147.391544784954</v>
      </c>
      <c r="U165" s="298">
        <f t="shared" si="44"/>
        <v>10147.391544784954</v>
      </c>
      <c r="V165" s="298">
        <f t="shared" si="44"/>
        <v>10147.391544784954</v>
      </c>
      <c r="W165" s="298">
        <f t="shared" si="44"/>
        <v>10147.391544784954</v>
      </c>
      <c r="X165" s="298">
        <f t="shared" si="44"/>
        <v>10147.391544784954</v>
      </c>
      <c r="Y165" s="298">
        <f t="shared" si="44"/>
        <v>10147.391544784954</v>
      </c>
      <c r="Z165" s="298">
        <f t="shared" si="44"/>
        <v>10147.391544784954</v>
      </c>
      <c r="AA165" s="298">
        <f t="shared" si="44"/>
        <v>10147.391544784954</v>
      </c>
      <c r="AB165" s="298">
        <f t="shared" si="44"/>
        <v>10147.391544784954</v>
      </c>
      <c r="AC165" s="298">
        <f t="shared" si="44"/>
        <v>10147.391544784954</v>
      </c>
      <c r="AD165" s="298">
        <f t="shared" si="44"/>
        <v>10147.391544784954</v>
      </c>
      <c r="AE165" s="299">
        <f t="shared" si="44"/>
        <v>10147.391544784954</v>
      </c>
    </row>
    <row r="166" spans="1:31" ht="16.5" thickTop="1" thickBot="1">
      <c r="A166" s="1712"/>
      <c r="B166" s="300" t="s">
        <v>39</v>
      </c>
      <c r="C166" s="461">
        <f>IF('CAR Stock'!C195=0,0,SUMPRODUCT(C140:C165,'CAR Stock'!C169:C194)/'CAR Stock'!C195)</f>
        <v>12055.403221248462</v>
      </c>
      <c r="D166" s="461">
        <f>IF('CAR Stock'!D195=0,0,SUMPRODUCT(D140:D165,'CAR Stock'!D169:D194)/'CAR Stock'!D195)</f>
        <v>12329.508134934818</v>
      </c>
      <c r="E166" s="461">
        <f>IF('CAR Stock'!E195=0,0,SUMPRODUCT(E140:E165,'CAR Stock'!E169:E194)/'CAR Stock'!E195)</f>
        <v>12289.994530109416</v>
      </c>
      <c r="F166" s="461">
        <f>IF('CAR Stock'!F195=0,0,SUMPRODUCT(F140:F165,'CAR Stock'!F169:F194)/'CAR Stock'!F195)</f>
        <v>12132.248820388068</v>
      </c>
      <c r="G166" s="461">
        <f>IF('CAR Stock'!G195=0,0,SUMPRODUCT(G140:G165,'CAR Stock'!G169:G194)/'CAR Stock'!G195)</f>
        <v>11936.002214693366</v>
      </c>
      <c r="H166" s="461">
        <f>IF('CAR Stock'!H195=0,0,SUMPRODUCT(H140:H165,'CAR Stock'!H169:H194)/'CAR Stock'!H195)</f>
        <v>11724.54216401773</v>
      </c>
      <c r="I166" s="461">
        <f>IF('CAR Stock'!I195=0,0,SUMPRODUCT(I140:I165,'CAR Stock'!I169:I194)/'CAR Stock'!I195)</f>
        <v>11512.060106966872</v>
      </c>
      <c r="J166" s="461">
        <f>IF('CAR Stock'!J195=0,0,SUMPRODUCT(J140:J165,'CAR Stock'!J169:J194)/'CAR Stock'!J195)</f>
        <v>11313.564032705202</v>
      </c>
      <c r="K166" s="461">
        <f>IF('CAR Stock'!K195=0,0,SUMPRODUCT(K140:K165,'CAR Stock'!K169:K194)/'CAR Stock'!K195)</f>
        <v>11145.087771140126</v>
      </c>
      <c r="L166" s="461">
        <f>IF('CAR Stock'!L195=0,0,SUMPRODUCT(L140:L165,'CAR Stock'!L169:L194)/'CAR Stock'!L195)</f>
        <v>11006.816336318365</v>
      </c>
      <c r="M166" s="461">
        <f>IF('CAR Stock'!M195=0,0,SUMPRODUCT(M140:M165,'CAR Stock'!M169:M194)/'CAR Stock'!M195)</f>
        <v>10882.756462158761</v>
      </c>
      <c r="N166" s="461">
        <f>IF('CAR Stock'!N195=0,0,SUMPRODUCT(N140:N165,'CAR Stock'!N169:N194)/'CAR Stock'!N195)</f>
        <v>10756.470814162063</v>
      </c>
      <c r="O166" s="461">
        <f>IF('CAR Stock'!O195=0,0,SUMPRODUCT(O140:O165,'CAR Stock'!O169:O194)/'CAR Stock'!O195)</f>
        <v>10629.491381956319</v>
      </c>
      <c r="P166" s="461">
        <f>IF('CAR Stock'!P195=0,0,SUMPRODUCT(P140:P165,'CAR Stock'!P169:P194)/'CAR Stock'!P195)</f>
        <v>10495.396640048455</v>
      </c>
      <c r="Q166" s="461">
        <f>IF('CAR Stock'!Q195=0,0,SUMPRODUCT(Q140:Q165,'CAR Stock'!Q169:Q194)/'CAR Stock'!Q195)</f>
        <v>10351.111266020489</v>
      </c>
      <c r="R166" s="461">
        <f>IF('CAR Stock'!R195=0,0,SUMPRODUCT(R140:R165,'CAR Stock'!R169:R194)/'CAR Stock'!R195)</f>
        <v>10227.655512598763</v>
      </c>
      <c r="S166" s="461">
        <f>IF('CAR Stock'!S195=0,0,SUMPRODUCT(S140:S165,'CAR Stock'!S169:S194)/'CAR Stock'!S195)</f>
        <v>10147.391544784952</v>
      </c>
      <c r="T166" s="461">
        <f>IF('CAR Stock'!T195=0,0,SUMPRODUCT(T140:T165,'CAR Stock'!T169:T194)/'CAR Stock'!T195)</f>
        <v>10147.391544784952</v>
      </c>
      <c r="U166" s="461">
        <f>IF('CAR Stock'!U195=0,0,SUMPRODUCT(U140:U165,'CAR Stock'!U169:U194)/'CAR Stock'!U195)</f>
        <v>10147.391544784954</v>
      </c>
      <c r="V166" s="461">
        <f>IF('CAR Stock'!V195=0,0,SUMPRODUCT(V140:V165,'CAR Stock'!V169:V194)/'CAR Stock'!V195)</f>
        <v>10147.391544784954</v>
      </c>
      <c r="W166" s="461">
        <f>IF('CAR Stock'!W195=0,0,SUMPRODUCT(W140:W165,'CAR Stock'!W169:W194)/'CAR Stock'!W195)</f>
        <v>10147.391544784954</v>
      </c>
      <c r="X166" s="461">
        <f>IF('CAR Stock'!X195=0,0,SUMPRODUCT(X140:X165,'CAR Stock'!X169:X194)/'CAR Stock'!X195)</f>
        <v>10147.391544784956</v>
      </c>
      <c r="Y166" s="461">
        <f>IF('CAR Stock'!Y195=0,0,SUMPRODUCT(Y140:Y165,'CAR Stock'!Y169:Y194)/'CAR Stock'!Y195)</f>
        <v>10147.391544784956</v>
      </c>
      <c r="Z166" s="461">
        <f>IF('CAR Stock'!Z195=0,0,SUMPRODUCT(Z140:Z165,'CAR Stock'!Z169:Z194)/'CAR Stock'!Z195)</f>
        <v>10147.391544784954</v>
      </c>
      <c r="AA166" s="461">
        <f>IF('CAR Stock'!AA195=0,0,SUMPRODUCT(AA140:AA165,'CAR Stock'!AA169:AA194)/'CAR Stock'!AA195)</f>
        <v>10147.391544784954</v>
      </c>
      <c r="AB166" s="461">
        <f>IF('CAR Stock'!AB195=0,0,SUMPRODUCT(AB140:AB165,'CAR Stock'!AB169:AB194)/'CAR Stock'!AB195)</f>
        <v>0</v>
      </c>
      <c r="AC166" s="461">
        <f>IF('CAR Stock'!AC195=0,0,SUMPRODUCT(AC140:AC165,'CAR Stock'!AC169:AC194)/'CAR Stock'!AC195)</f>
        <v>0</v>
      </c>
      <c r="AD166" s="461">
        <f>IF('CAR Stock'!AD195=0,0,SUMPRODUCT(AD140:AD165,'CAR Stock'!AD169:AD194)/'CAR Stock'!AD195)</f>
        <v>0</v>
      </c>
      <c r="AE166" s="462">
        <f>IF('CAR Stock'!AE195=0,0,SUMPRODUCT(AE140:AE165,'CAR Stock'!AE169:AE194)/'CAR Stock'!AE195)</f>
        <v>0</v>
      </c>
    </row>
    <row r="167" spans="1:31" ht="15.75" thickBot="1"/>
    <row r="168" spans="1:31" ht="15.75" thickBot="1">
      <c r="A168" s="1710" t="s">
        <v>46</v>
      </c>
      <c r="B168" s="169" t="s">
        <v>10</v>
      </c>
      <c r="C168" s="288">
        <v>2012</v>
      </c>
      <c r="D168" s="289">
        <v>2013</v>
      </c>
      <c r="E168" s="289">
        <v>2014</v>
      </c>
      <c r="F168" s="289">
        <v>2015</v>
      </c>
      <c r="G168" s="288">
        <v>2016</v>
      </c>
      <c r="H168" s="289">
        <v>2017</v>
      </c>
      <c r="I168" s="289">
        <v>2018</v>
      </c>
      <c r="J168" s="289">
        <v>2019</v>
      </c>
      <c r="K168" s="288">
        <v>2020</v>
      </c>
      <c r="L168" s="289">
        <v>2021</v>
      </c>
      <c r="M168" s="289">
        <v>2022</v>
      </c>
      <c r="N168" s="289">
        <v>2023</v>
      </c>
      <c r="O168" s="288">
        <v>2024</v>
      </c>
      <c r="P168" s="289">
        <v>2025</v>
      </c>
      <c r="Q168" s="289">
        <v>2026</v>
      </c>
      <c r="R168" s="289">
        <v>2027</v>
      </c>
      <c r="S168" s="288">
        <v>2028</v>
      </c>
      <c r="T168" s="289">
        <v>2029</v>
      </c>
      <c r="U168" s="289">
        <v>2030</v>
      </c>
      <c r="V168" s="289">
        <v>2031</v>
      </c>
      <c r="W168" s="288">
        <v>2032</v>
      </c>
      <c r="X168" s="289">
        <v>2033</v>
      </c>
      <c r="Y168" s="289">
        <v>2034</v>
      </c>
      <c r="Z168" s="289">
        <v>2035</v>
      </c>
      <c r="AA168" s="288">
        <v>2036</v>
      </c>
      <c r="AB168" s="289">
        <v>2037</v>
      </c>
      <c r="AC168" s="289">
        <v>2038</v>
      </c>
      <c r="AD168" s="289">
        <v>2039</v>
      </c>
      <c r="AE168" s="290">
        <v>2040</v>
      </c>
    </row>
    <row r="169" spans="1:31">
      <c r="A169" s="1711" t="s">
        <v>41</v>
      </c>
      <c r="B169" s="116">
        <v>0</v>
      </c>
      <c r="C169" s="291">
        <f>'CAR Mileage'!J4</f>
        <v>23201.986785269673</v>
      </c>
      <c r="D169" s="292">
        <f>C169</f>
        <v>23201.986785269673</v>
      </c>
      <c r="E169" s="292">
        <f t="shared" ref="E169:T169" si="47">D169</f>
        <v>23201.986785269673</v>
      </c>
      <c r="F169" s="292">
        <f t="shared" si="47"/>
        <v>23201.986785269673</v>
      </c>
      <c r="G169" s="292">
        <f t="shared" si="47"/>
        <v>23201.986785269673</v>
      </c>
      <c r="H169" s="292">
        <f t="shared" si="47"/>
        <v>23201.986785269673</v>
      </c>
      <c r="I169" s="292">
        <f t="shared" si="47"/>
        <v>23201.986785269673</v>
      </c>
      <c r="J169" s="292">
        <f t="shared" si="47"/>
        <v>23201.986785269673</v>
      </c>
      <c r="K169" s="292">
        <f t="shared" si="47"/>
        <v>23201.986785269673</v>
      </c>
      <c r="L169" s="292">
        <f t="shared" si="47"/>
        <v>23201.986785269673</v>
      </c>
      <c r="M169" s="292">
        <f t="shared" si="47"/>
        <v>23201.986785269673</v>
      </c>
      <c r="N169" s="292">
        <f t="shared" si="47"/>
        <v>23201.986785269673</v>
      </c>
      <c r="O169" s="292">
        <f t="shared" si="47"/>
        <v>23201.986785269673</v>
      </c>
      <c r="P169" s="292">
        <f t="shared" si="47"/>
        <v>23201.986785269673</v>
      </c>
      <c r="Q169" s="292">
        <f t="shared" si="47"/>
        <v>23201.986785269673</v>
      </c>
      <c r="R169" s="292">
        <f t="shared" si="47"/>
        <v>23201.986785269673</v>
      </c>
      <c r="S169" s="292">
        <f t="shared" si="47"/>
        <v>23201.986785269673</v>
      </c>
      <c r="T169" s="292">
        <f t="shared" si="47"/>
        <v>23201.986785269673</v>
      </c>
      <c r="U169" s="292">
        <f t="shared" ref="T169:AE184" si="48">T169</f>
        <v>23201.986785269673</v>
      </c>
      <c r="V169" s="292">
        <f t="shared" si="48"/>
        <v>23201.986785269673</v>
      </c>
      <c r="W169" s="292">
        <f t="shared" si="48"/>
        <v>23201.986785269673</v>
      </c>
      <c r="X169" s="292">
        <f t="shared" si="48"/>
        <v>23201.986785269673</v>
      </c>
      <c r="Y169" s="292">
        <f t="shared" si="48"/>
        <v>23201.986785269673</v>
      </c>
      <c r="Z169" s="292">
        <f t="shared" si="48"/>
        <v>23201.986785269673</v>
      </c>
      <c r="AA169" s="292">
        <f t="shared" si="48"/>
        <v>23201.986785269673</v>
      </c>
      <c r="AB169" s="292">
        <f t="shared" si="48"/>
        <v>23201.986785269673</v>
      </c>
      <c r="AC169" s="292">
        <f t="shared" si="48"/>
        <v>23201.986785269673</v>
      </c>
      <c r="AD169" s="292">
        <f t="shared" si="48"/>
        <v>23201.986785269673</v>
      </c>
      <c r="AE169" s="293">
        <f t="shared" si="48"/>
        <v>23201.986785269673</v>
      </c>
    </row>
    <row r="170" spans="1:31">
      <c r="A170" s="1711"/>
      <c r="B170" s="116">
        <v>1</v>
      </c>
      <c r="C170" s="294">
        <f>'CAR Mileage'!J5</f>
        <v>22737.947049564278</v>
      </c>
      <c r="D170" s="295">
        <f t="shared" ref="D170:S185" si="49">C170</f>
        <v>22737.947049564278</v>
      </c>
      <c r="E170" s="295">
        <f t="shared" si="49"/>
        <v>22737.947049564278</v>
      </c>
      <c r="F170" s="295">
        <f t="shared" si="49"/>
        <v>22737.947049564278</v>
      </c>
      <c r="G170" s="295">
        <f t="shared" si="49"/>
        <v>22737.947049564278</v>
      </c>
      <c r="H170" s="295">
        <f t="shared" si="49"/>
        <v>22737.947049564278</v>
      </c>
      <c r="I170" s="295">
        <f t="shared" si="49"/>
        <v>22737.947049564278</v>
      </c>
      <c r="J170" s="295">
        <f t="shared" si="49"/>
        <v>22737.947049564278</v>
      </c>
      <c r="K170" s="295">
        <f t="shared" si="49"/>
        <v>22737.947049564278</v>
      </c>
      <c r="L170" s="295">
        <f t="shared" si="49"/>
        <v>22737.947049564278</v>
      </c>
      <c r="M170" s="295">
        <f t="shared" si="49"/>
        <v>22737.947049564278</v>
      </c>
      <c r="N170" s="295">
        <f t="shared" si="49"/>
        <v>22737.947049564278</v>
      </c>
      <c r="O170" s="295">
        <f t="shared" si="49"/>
        <v>22737.947049564278</v>
      </c>
      <c r="P170" s="295">
        <f t="shared" si="49"/>
        <v>22737.947049564278</v>
      </c>
      <c r="Q170" s="295">
        <f t="shared" si="49"/>
        <v>22737.947049564278</v>
      </c>
      <c r="R170" s="295">
        <f t="shared" si="49"/>
        <v>22737.947049564278</v>
      </c>
      <c r="S170" s="295">
        <f t="shared" si="49"/>
        <v>22737.947049564278</v>
      </c>
      <c r="T170" s="295">
        <f t="shared" si="48"/>
        <v>22737.947049564278</v>
      </c>
      <c r="U170" s="295">
        <f t="shared" si="48"/>
        <v>22737.947049564278</v>
      </c>
      <c r="V170" s="295">
        <f t="shared" si="48"/>
        <v>22737.947049564278</v>
      </c>
      <c r="W170" s="295">
        <f t="shared" si="48"/>
        <v>22737.947049564278</v>
      </c>
      <c r="X170" s="295">
        <f t="shared" si="48"/>
        <v>22737.947049564278</v>
      </c>
      <c r="Y170" s="295">
        <f t="shared" si="48"/>
        <v>22737.947049564278</v>
      </c>
      <c r="Z170" s="295">
        <f t="shared" si="48"/>
        <v>22737.947049564278</v>
      </c>
      <c r="AA170" s="295">
        <f t="shared" si="48"/>
        <v>22737.947049564278</v>
      </c>
      <c r="AB170" s="295">
        <f t="shared" si="48"/>
        <v>22737.947049564278</v>
      </c>
      <c r="AC170" s="295">
        <f t="shared" si="48"/>
        <v>22737.947049564278</v>
      </c>
      <c r="AD170" s="295">
        <f t="shared" si="48"/>
        <v>22737.947049564278</v>
      </c>
      <c r="AE170" s="296">
        <f t="shared" si="48"/>
        <v>22737.947049564278</v>
      </c>
    </row>
    <row r="171" spans="1:31">
      <c r="A171" s="1711"/>
      <c r="B171" s="116">
        <v>2</v>
      </c>
      <c r="C171" s="294">
        <f>'CAR Mileage'!J6</f>
        <v>22283.188108572991</v>
      </c>
      <c r="D171" s="295">
        <f t="shared" si="49"/>
        <v>22283.188108572991</v>
      </c>
      <c r="E171" s="295">
        <f t="shared" si="49"/>
        <v>22283.188108572991</v>
      </c>
      <c r="F171" s="295">
        <f t="shared" si="49"/>
        <v>22283.188108572991</v>
      </c>
      <c r="G171" s="295">
        <f t="shared" si="49"/>
        <v>22283.188108572991</v>
      </c>
      <c r="H171" s="295">
        <f t="shared" si="49"/>
        <v>22283.188108572991</v>
      </c>
      <c r="I171" s="295">
        <f t="shared" si="49"/>
        <v>22283.188108572991</v>
      </c>
      <c r="J171" s="295">
        <f t="shared" si="49"/>
        <v>22283.188108572991</v>
      </c>
      <c r="K171" s="295">
        <f t="shared" si="49"/>
        <v>22283.188108572991</v>
      </c>
      <c r="L171" s="295">
        <f t="shared" si="49"/>
        <v>22283.188108572991</v>
      </c>
      <c r="M171" s="295">
        <f t="shared" si="49"/>
        <v>22283.188108572991</v>
      </c>
      <c r="N171" s="295">
        <f t="shared" si="49"/>
        <v>22283.188108572991</v>
      </c>
      <c r="O171" s="295">
        <f t="shared" si="49"/>
        <v>22283.188108572991</v>
      </c>
      <c r="P171" s="295">
        <f t="shared" si="49"/>
        <v>22283.188108572991</v>
      </c>
      <c r="Q171" s="295">
        <f t="shared" si="49"/>
        <v>22283.188108572991</v>
      </c>
      <c r="R171" s="295">
        <f t="shared" si="49"/>
        <v>22283.188108572991</v>
      </c>
      <c r="S171" s="295">
        <f t="shared" si="49"/>
        <v>22283.188108572991</v>
      </c>
      <c r="T171" s="295">
        <f t="shared" si="48"/>
        <v>22283.188108572991</v>
      </c>
      <c r="U171" s="295">
        <f t="shared" si="48"/>
        <v>22283.188108572991</v>
      </c>
      <c r="V171" s="295">
        <f t="shared" si="48"/>
        <v>22283.188108572991</v>
      </c>
      <c r="W171" s="295">
        <f t="shared" si="48"/>
        <v>22283.188108572991</v>
      </c>
      <c r="X171" s="295">
        <f t="shared" si="48"/>
        <v>22283.188108572991</v>
      </c>
      <c r="Y171" s="295">
        <f t="shared" si="48"/>
        <v>22283.188108572991</v>
      </c>
      <c r="Z171" s="295">
        <f t="shared" si="48"/>
        <v>22283.188108572991</v>
      </c>
      <c r="AA171" s="295">
        <f t="shared" si="48"/>
        <v>22283.188108572991</v>
      </c>
      <c r="AB171" s="295">
        <f t="shared" si="48"/>
        <v>22283.188108572991</v>
      </c>
      <c r="AC171" s="295">
        <f t="shared" si="48"/>
        <v>22283.188108572991</v>
      </c>
      <c r="AD171" s="295">
        <f t="shared" si="48"/>
        <v>22283.188108572991</v>
      </c>
      <c r="AE171" s="296">
        <f t="shared" si="48"/>
        <v>22283.188108572991</v>
      </c>
    </row>
    <row r="172" spans="1:31">
      <c r="A172" s="1711"/>
      <c r="B172" s="116">
        <v>3</v>
      </c>
      <c r="C172" s="294">
        <f>'CAR Mileage'!J7</f>
        <v>21837.524346401529</v>
      </c>
      <c r="D172" s="295">
        <f t="shared" si="49"/>
        <v>21837.524346401529</v>
      </c>
      <c r="E172" s="295">
        <f t="shared" si="49"/>
        <v>21837.524346401529</v>
      </c>
      <c r="F172" s="295">
        <f t="shared" si="49"/>
        <v>21837.524346401529</v>
      </c>
      <c r="G172" s="295">
        <f t="shared" si="49"/>
        <v>21837.524346401529</v>
      </c>
      <c r="H172" s="295">
        <f t="shared" si="49"/>
        <v>21837.524346401529</v>
      </c>
      <c r="I172" s="295">
        <f t="shared" si="49"/>
        <v>21837.524346401529</v>
      </c>
      <c r="J172" s="295">
        <f t="shared" si="49"/>
        <v>21837.524346401529</v>
      </c>
      <c r="K172" s="295">
        <f t="shared" si="49"/>
        <v>21837.524346401529</v>
      </c>
      <c r="L172" s="295">
        <f t="shared" si="49"/>
        <v>21837.524346401529</v>
      </c>
      <c r="M172" s="295">
        <f t="shared" si="49"/>
        <v>21837.524346401529</v>
      </c>
      <c r="N172" s="295">
        <f t="shared" si="49"/>
        <v>21837.524346401529</v>
      </c>
      <c r="O172" s="295">
        <f t="shared" si="49"/>
        <v>21837.524346401529</v>
      </c>
      <c r="P172" s="295">
        <f t="shared" si="49"/>
        <v>21837.524346401529</v>
      </c>
      <c r="Q172" s="295">
        <f t="shared" si="49"/>
        <v>21837.524346401529</v>
      </c>
      <c r="R172" s="295">
        <f t="shared" si="49"/>
        <v>21837.524346401529</v>
      </c>
      <c r="S172" s="295">
        <f t="shared" si="49"/>
        <v>21837.524346401529</v>
      </c>
      <c r="T172" s="295">
        <f t="shared" si="48"/>
        <v>21837.524346401529</v>
      </c>
      <c r="U172" s="295">
        <f t="shared" si="48"/>
        <v>21837.524346401529</v>
      </c>
      <c r="V172" s="295">
        <f t="shared" si="48"/>
        <v>21837.524346401529</v>
      </c>
      <c r="W172" s="295">
        <f t="shared" si="48"/>
        <v>21837.524346401529</v>
      </c>
      <c r="X172" s="295">
        <f t="shared" si="48"/>
        <v>21837.524346401529</v>
      </c>
      <c r="Y172" s="295">
        <f t="shared" si="48"/>
        <v>21837.524346401529</v>
      </c>
      <c r="Z172" s="295">
        <f t="shared" si="48"/>
        <v>21837.524346401529</v>
      </c>
      <c r="AA172" s="295">
        <f t="shared" si="48"/>
        <v>21837.524346401529</v>
      </c>
      <c r="AB172" s="295">
        <f t="shared" si="48"/>
        <v>21837.524346401529</v>
      </c>
      <c r="AC172" s="295">
        <f t="shared" si="48"/>
        <v>21837.524346401529</v>
      </c>
      <c r="AD172" s="295">
        <f t="shared" si="48"/>
        <v>21837.524346401529</v>
      </c>
      <c r="AE172" s="296">
        <f t="shared" si="48"/>
        <v>21837.524346401529</v>
      </c>
    </row>
    <row r="173" spans="1:31">
      <c r="A173" s="1711"/>
      <c r="B173" s="116">
        <v>4</v>
      </c>
      <c r="C173" s="294">
        <f>'CAR Mileage'!J8</f>
        <v>21400.773859473498</v>
      </c>
      <c r="D173" s="295">
        <f t="shared" si="49"/>
        <v>21400.773859473498</v>
      </c>
      <c r="E173" s="295">
        <f t="shared" si="49"/>
        <v>21400.773859473498</v>
      </c>
      <c r="F173" s="295">
        <f t="shared" si="49"/>
        <v>21400.773859473498</v>
      </c>
      <c r="G173" s="295">
        <f t="shared" si="49"/>
        <v>21400.773859473498</v>
      </c>
      <c r="H173" s="295">
        <f t="shared" si="49"/>
        <v>21400.773859473498</v>
      </c>
      <c r="I173" s="295">
        <f t="shared" si="49"/>
        <v>21400.773859473498</v>
      </c>
      <c r="J173" s="295">
        <f t="shared" si="49"/>
        <v>21400.773859473498</v>
      </c>
      <c r="K173" s="295">
        <f t="shared" si="49"/>
        <v>21400.773859473498</v>
      </c>
      <c r="L173" s="295">
        <f t="shared" si="49"/>
        <v>21400.773859473498</v>
      </c>
      <c r="M173" s="295">
        <f t="shared" si="49"/>
        <v>21400.773859473498</v>
      </c>
      <c r="N173" s="295">
        <f t="shared" si="49"/>
        <v>21400.773859473498</v>
      </c>
      <c r="O173" s="295">
        <f t="shared" si="49"/>
        <v>21400.773859473498</v>
      </c>
      <c r="P173" s="295">
        <f t="shared" si="49"/>
        <v>21400.773859473498</v>
      </c>
      <c r="Q173" s="295">
        <f t="shared" si="49"/>
        <v>21400.773859473498</v>
      </c>
      <c r="R173" s="295">
        <f t="shared" si="49"/>
        <v>21400.773859473498</v>
      </c>
      <c r="S173" s="295">
        <f t="shared" si="49"/>
        <v>21400.773859473498</v>
      </c>
      <c r="T173" s="295">
        <f t="shared" si="48"/>
        <v>21400.773859473498</v>
      </c>
      <c r="U173" s="295">
        <f t="shared" si="48"/>
        <v>21400.773859473498</v>
      </c>
      <c r="V173" s="295">
        <f t="shared" si="48"/>
        <v>21400.773859473498</v>
      </c>
      <c r="W173" s="295">
        <f t="shared" si="48"/>
        <v>21400.773859473498</v>
      </c>
      <c r="X173" s="295">
        <f t="shared" si="48"/>
        <v>21400.773859473498</v>
      </c>
      <c r="Y173" s="295">
        <f t="shared" si="48"/>
        <v>21400.773859473498</v>
      </c>
      <c r="Z173" s="295">
        <f t="shared" si="48"/>
        <v>21400.773859473498</v>
      </c>
      <c r="AA173" s="295">
        <f t="shared" si="48"/>
        <v>21400.773859473498</v>
      </c>
      <c r="AB173" s="295">
        <f t="shared" si="48"/>
        <v>21400.773859473498</v>
      </c>
      <c r="AC173" s="295">
        <f t="shared" si="48"/>
        <v>21400.773859473498</v>
      </c>
      <c r="AD173" s="295">
        <f t="shared" si="48"/>
        <v>21400.773859473498</v>
      </c>
      <c r="AE173" s="296">
        <f t="shared" si="48"/>
        <v>21400.773859473498</v>
      </c>
    </row>
    <row r="174" spans="1:31">
      <c r="A174" s="1711"/>
      <c r="B174" s="116">
        <v>5</v>
      </c>
      <c r="C174" s="294">
        <f>'CAR Mileage'!J9</f>
        <v>20972.758382284028</v>
      </c>
      <c r="D174" s="295">
        <f t="shared" si="49"/>
        <v>20972.758382284028</v>
      </c>
      <c r="E174" s="295">
        <f t="shared" si="49"/>
        <v>20972.758382284028</v>
      </c>
      <c r="F174" s="295">
        <f t="shared" si="49"/>
        <v>20972.758382284028</v>
      </c>
      <c r="G174" s="295">
        <f t="shared" si="49"/>
        <v>20972.758382284028</v>
      </c>
      <c r="H174" s="295">
        <f t="shared" si="49"/>
        <v>20972.758382284028</v>
      </c>
      <c r="I174" s="295">
        <f t="shared" si="49"/>
        <v>20972.758382284028</v>
      </c>
      <c r="J174" s="295">
        <f t="shared" si="49"/>
        <v>20972.758382284028</v>
      </c>
      <c r="K174" s="295">
        <f t="shared" si="49"/>
        <v>20972.758382284028</v>
      </c>
      <c r="L174" s="295">
        <f t="shared" si="49"/>
        <v>20972.758382284028</v>
      </c>
      <c r="M174" s="295">
        <f t="shared" si="49"/>
        <v>20972.758382284028</v>
      </c>
      <c r="N174" s="295">
        <f t="shared" si="49"/>
        <v>20972.758382284028</v>
      </c>
      <c r="O174" s="295">
        <f t="shared" si="49"/>
        <v>20972.758382284028</v>
      </c>
      <c r="P174" s="295">
        <f t="shared" si="49"/>
        <v>20972.758382284028</v>
      </c>
      <c r="Q174" s="295">
        <f t="shared" si="49"/>
        <v>20972.758382284028</v>
      </c>
      <c r="R174" s="295">
        <f t="shared" si="49"/>
        <v>20972.758382284028</v>
      </c>
      <c r="S174" s="295">
        <f t="shared" si="49"/>
        <v>20972.758382284028</v>
      </c>
      <c r="T174" s="295">
        <f t="shared" si="48"/>
        <v>20972.758382284028</v>
      </c>
      <c r="U174" s="295">
        <f t="shared" si="48"/>
        <v>20972.758382284028</v>
      </c>
      <c r="V174" s="295">
        <f t="shared" si="48"/>
        <v>20972.758382284028</v>
      </c>
      <c r="W174" s="295">
        <f t="shared" si="48"/>
        <v>20972.758382284028</v>
      </c>
      <c r="X174" s="295">
        <f t="shared" si="48"/>
        <v>20972.758382284028</v>
      </c>
      <c r="Y174" s="295">
        <f t="shared" si="48"/>
        <v>20972.758382284028</v>
      </c>
      <c r="Z174" s="295">
        <f t="shared" si="48"/>
        <v>20972.758382284028</v>
      </c>
      <c r="AA174" s="295">
        <f t="shared" si="48"/>
        <v>20972.758382284028</v>
      </c>
      <c r="AB174" s="295">
        <f t="shared" si="48"/>
        <v>20972.758382284028</v>
      </c>
      <c r="AC174" s="295">
        <f t="shared" si="48"/>
        <v>20972.758382284028</v>
      </c>
      <c r="AD174" s="295">
        <f t="shared" si="48"/>
        <v>20972.758382284028</v>
      </c>
      <c r="AE174" s="296">
        <f t="shared" si="48"/>
        <v>20972.758382284028</v>
      </c>
    </row>
    <row r="175" spans="1:31">
      <c r="A175" s="1711"/>
      <c r="B175" s="116">
        <v>6</v>
      </c>
      <c r="C175" s="294">
        <f>'CAR Mileage'!J10</f>
        <v>20553.303214638348</v>
      </c>
      <c r="D175" s="295">
        <f t="shared" si="49"/>
        <v>20553.303214638348</v>
      </c>
      <c r="E175" s="295">
        <f t="shared" si="49"/>
        <v>20553.303214638348</v>
      </c>
      <c r="F175" s="295">
        <f t="shared" si="49"/>
        <v>20553.303214638348</v>
      </c>
      <c r="G175" s="295">
        <f t="shared" si="49"/>
        <v>20553.303214638348</v>
      </c>
      <c r="H175" s="295">
        <f t="shared" si="49"/>
        <v>20553.303214638348</v>
      </c>
      <c r="I175" s="295">
        <f t="shared" si="49"/>
        <v>20553.303214638348</v>
      </c>
      <c r="J175" s="295">
        <f t="shared" si="49"/>
        <v>20553.303214638348</v>
      </c>
      <c r="K175" s="295">
        <f t="shared" si="49"/>
        <v>20553.303214638348</v>
      </c>
      <c r="L175" s="295">
        <f t="shared" si="49"/>
        <v>20553.303214638348</v>
      </c>
      <c r="M175" s="295">
        <f t="shared" si="49"/>
        <v>20553.303214638348</v>
      </c>
      <c r="N175" s="295">
        <f t="shared" si="49"/>
        <v>20553.303214638348</v>
      </c>
      <c r="O175" s="295">
        <f t="shared" si="49"/>
        <v>20553.303214638348</v>
      </c>
      <c r="P175" s="295">
        <f t="shared" si="49"/>
        <v>20553.303214638348</v>
      </c>
      <c r="Q175" s="295">
        <f t="shared" si="49"/>
        <v>20553.303214638348</v>
      </c>
      <c r="R175" s="295">
        <f t="shared" si="49"/>
        <v>20553.303214638348</v>
      </c>
      <c r="S175" s="295">
        <f t="shared" si="49"/>
        <v>20553.303214638348</v>
      </c>
      <c r="T175" s="295">
        <f t="shared" si="48"/>
        <v>20553.303214638348</v>
      </c>
      <c r="U175" s="295">
        <f t="shared" si="48"/>
        <v>20553.303214638348</v>
      </c>
      <c r="V175" s="295">
        <f t="shared" si="48"/>
        <v>20553.303214638348</v>
      </c>
      <c r="W175" s="295">
        <f t="shared" si="48"/>
        <v>20553.303214638348</v>
      </c>
      <c r="X175" s="295">
        <f t="shared" si="48"/>
        <v>20553.303214638348</v>
      </c>
      <c r="Y175" s="295">
        <f t="shared" si="48"/>
        <v>20553.303214638348</v>
      </c>
      <c r="Z175" s="295">
        <f t="shared" si="48"/>
        <v>20553.303214638348</v>
      </c>
      <c r="AA175" s="295">
        <f t="shared" si="48"/>
        <v>20553.303214638348</v>
      </c>
      <c r="AB175" s="295">
        <f t="shared" si="48"/>
        <v>20553.303214638348</v>
      </c>
      <c r="AC175" s="295">
        <f t="shared" si="48"/>
        <v>20553.303214638348</v>
      </c>
      <c r="AD175" s="295">
        <f t="shared" si="48"/>
        <v>20553.303214638348</v>
      </c>
      <c r="AE175" s="296">
        <f t="shared" si="48"/>
        <v>20553.303214638348</v>
      </c>
    </row>
    <row r="176" spans="1:31">
      <c r="A176" s="1711"/>
      <c r="B176" s="116">
        <v>7</v>
      </c>
      <c r="C176" s="294">
        <f>'CAR Mileage'!J11</f>
        <v>20142.23715034558</v>
      </c>
      <c r="D176" s="295">
        <f t="shared" si="49"/>
        <v>20142.23715034558</v>
      </c>
      <c r="E176" s="295">
        <f t="shared" si="49"/>
        <v>20142.23715034558</v>
      </c>
      <c r="F176" s="295">
        <f t="shared" si="49"/>
        <v>20142.23715034558</v>
      </c>
      <c r="G176" s="295">
        <f t="shared" si="49"/>
        <v>20142.23715034558</v>
      </c>
      <c r="H176" s="295">
        <f t="shared" si="49"/>
        <v>20142.23715034558</v>
      </c>
      <c r="I176" s="295">
        <f t="shared" si="49"/>
        <v>20142.23715034558</v>
      </c>
      <c r="J176" s="295">
        <f t="shared" si="49"/>
        <v>20142.23715034558</v>
      </c>
      <c r="K176" s="295">
        <f t="shared" si="49"/>
        <v>20142.23715034558</v>
      </c>
      <c r="L176" s="295">
        <f t="shared" si="49"/>
        <v>20142.23715034558</v>
      </c>
      <c r="M176" s="295">
        <f t="shared" si="49"/>
        <v>20142.23715034558</v>
      </c>
      <c r="N176" s="295">
        <f t="shared" si="49"/>
        <v>20142.23715034558</v>
      </c>
      <c r="O176" s="295">
        <f t="shared" si="49"/>
        <v>20142.23715034558</v>
      </c>
      <c r="P176" s="295">
        <f t="shared" si="49"/>
        <v>20142.23715034558</v>
      </c>
      <c r="Q176" s="295">
        <f t="shared" si="49"/>
        <v>20142.23715034558</v>
      </c>
      <c r="R176" s="295">
        <f t="shared" si="49"/>
        <v>20142.23715034558</v>
      </c>
      <c r="S176" s="295">
        <f t="shared" si="49"/>
        <v>20142.23715034558</v>
      </c>
      <c r="T176" s="295">
        <f t="shared" si="48"/>
        <v>20142.23715034558</v>
      </c>
      <c r="U176" s="295">
        <f t="shared" si="48"/>
        <v>20142.23715034558</v>
      </c>
      <c r="V176" s="295">
        <f t="shared" si="48"/>
        <v>20142.23715034558</v>
      </c>
      <c r="W176" s="295">
        <f t="shared" si="48"/>
        <v>20142.23715034558</v>
      </c>
      <c r="X176" s="295">
        <f t="shared" si="48"/>
        <v>20142.23715034558</v>
      </c>
      <c r="Y176" s="295">
        <f t="shared" si="48"/>
        <v>20142.23715034558</v>
      </c>
      <c r="Z176" s="295">
        <f t="shared" si="48"/>
        <v>20142.23715034558</v>
      </c>
      <c r="AA176" s="295">
        <f t="shared" si="48"/>
        <v>20142.23715034558</v>
      </c>
      <c r="AB176" s="295">
        <f t="shared" si="48"/>
        <v>20142.23715034558</v>
      </c>
      <c r="AC176" s="295">
        <f t="shared" si="48"/>
        <v>20142.23715034558</v>
      </c>
      <c r="AD176" s="295">
        <f t="shared" si="48"/>
        <v>20142.23715034558</v>
      </c>
      <c r="AE176" s="296">
        <f t="shared" si="48"/>
        <v>20142.23715034558</v>
      </c>
    </row>
    <row r="177" spans="1:31">
      <c r="A177" s="1711"/>
      <c r="B177" s="116">
        <v>8</v>
      </c>
      <c r="C177" s="294">
        <f>'CAR Mileage'!J12</f>
        <v>19739.392407338666</v>
      </c>
      <c r="D177" s="295">
        <f t="shared" si="49"/>
        <v>19739.392407338666</v>
      </c>
      <c r="E177" s="295">
        <f t="shared" si="49"/>
        <v>19739.392407338666</v>
      </c>
      <c r="F177" s="295">
        <f t="shared" si="49"/>
        <v>19739.392407338666</v>
      </c>
      <c r="G177" s="295">
        <f t="shared" si="49"/>
        <v>19739.392407338666</v>
      </c>
      <c r="H177" s="295">
        <f t="shared" si="49"/>
        <v>19739.392407338666</v>
      </c>
      <c r="I177" s="295">
        <f t="shared" si="49"/>
        <v>19739.392407338666</v>
      </c>
      <c r="J177" s="295">
        <f t="shared" si="49"/>
        <v>19739.392407338666</v>
      </c>
      <c r="K177" s="295">
        <f t="shared" si="49"/>
        <v>19739.392407338666</v>
      </c>
      <c r="L177" s="295">
        <f t="shared" si="49"/>
        <v>19739.392407338666</v>
      </c>
      <c r="M177" s="295">
        <f t="shared" si="49"/>
        <v>19739.392407338666</v>
      </c>
      <c r="N177" s="295">
        <f t="shared" si="49"/>
        <v>19739.392407338666</v>
      </c>
      <c r="O177" s="295">
        <f t="shared" si="49"/>
        <v>19739.392407338666</v>
      </c>
      <c r="P177" s="295">
        <f t="shared" si="49"/>
        <v>19739.392407338666</v>
      </c>
      <c r="Q177" s="295">
        <f t="shared" si="49"/>
        <v>19739.392407338666</v>
      </c>
      <c r="R177" s="295">
        <f t="shared" si="49"/>
        <v>19739.392407338666</v>
      </c>
      <c r="S177" s="295">
        <f t="shared" si="49"/>
        <v>19739.392407338666</v>
      </c>
      <c r="T177" s="295">
        <f t="shared" si="48"/>
        <v>19739.392407338666</v>
      </c>
      <c r="U177" s="295">
        <f t="shared" si="48"/>
        <v>19739.392407338666</v>
      </c>
      <c r="V177" s="295">
        <f t="shared" si="48"/>
        <v>19739.392407338666</v>
      </c>
      <c r="W177" s="295">
        <f t="shared" si="48"/>
        <v>19739.392407338666</v>
      </c>
      <c r="X177" s="295">
        <f t="shared" si="48"/>
        <v>19739.392407338666</v>
      </c>
      <c r="Y177" s="295">
        <f t="shared" si="48"/>
        <v>19739.392407338666</v>
      </c>
      <c r="Z177" s="295">
        <f t="shared" si="48"/>
        <v>19739.392407338666</v>
      </c>
      <c r="AA177" s="295">
        <f t="shared" si="48"/>
        <v>19739.392407338666</v>
      </c>
      <c r="AB177" s="295">
        <f t="shared" si="48"/>
        <v>19739.392407338666</v>
      </c>
      <c r="AC177" s="295">
        <f t="shared" si="48"/>
        <v>19739.392407338666</v>
      </c>
      <c r="AD177" s="295">
        <f t="shared" si="48"/>
        <v>19739.392407338666</v>
      </c>
      <c r="AE177" s="296">
        <f t="shared" si="48"/>
        <v>19739.392407338666</v>
      </c>
    </row>
    <row r="178" spans="1:31">
      <c r="A178" s="1711"/>
      <c r="B178" s="116">
        <v>9</v>
      </c>
      <c r="C178" s="294">
        <f>'CAR Mileage'!J13</f>
        <v>19344.604559191892</v>
      </c>
      <c r="D178" s="295">
        <f t="shared" si="49"/>
        <v>19344.604559191892</v>
      </c>
      <c r="E178" s="295">
        <f t="shared" si="49"/>
        <v>19344.604559191892</v>
      </c>
      <c r="F178" s="295">
        <f t="shared" si="49"/>
        <v>19344.604559191892</v>
      </c>
      <c r="G178" s="295">
        <f t="shared" si="49"/>
        <v>19344.604559191892</v>
      </c>
      <c r="H178" s="295">
        <f t="shared" si="49"/>
        <v>19344.604559191892</v>
      </c>
      <c r="I178" s="295">
        <f t="shared" si="49"/>
        <v>19344.604559191892</v>
      </c>
      <c r="J178" s="295">
        <f t="shared" si="49"/>
        <v>19344.604559191892</v>
      </c>
      <c r="K178" s="295">
        <f t="shared" si="49"/>
        <v>19344.604559191892</v>
      </c>
      <c r="L178" s="295">
        <f t="shared" si="49"/>
        <v>19344.604559191892</v>
      </c>
      <c r="M178" s="295">
        <f t="shared" si="49"/>
        <v>19344.604559191892</v>
      </c>
      <c r="N178" s="295">
        <f t="shared" si="49"/>
        <v>19344.604559191892</v>
      </c>
      <c r="O178" s="295">
        <f t="shared" si="49"/>
        <v>19344.604559191892</v>
      </c>
      <c r="P178" s="295">
        <f t="shared" si="49"/>
        <v>19344.604559191892</v>
      </c>
      <c r="Q178" s="295">
        <f t="shared" si="49"/>
        <v>19344.604559191892</v>
      </c>
      <c r="R178" s="295">
        <f t="shared" si="49"/>
        <v>19344.604559191892</v>
      </c>
      <c r="S178" s="295">
        <f t="shared" si="49"/>
        <v>19344.604559191892</v>
      </c>
      <c r="T178" s="295">
        <f t="shared" si="48"/>
        <v>19344.604559191892</v>
      </c>
      <c r="U178" s="295">
        <f t="shared" si="48"/>
        <v>19344.604559191892</v>
      </c>
      <c r="V178" s="295">
        <f t="shared" si="48"/>
        <v>19344.604559191892</v>
      </c>
      <c r="W178" s="295">
        <f t="shared" si="48"/>
        <v>19344.604559191892</v>
      </c>
      <c r="X178" s="295">
        <f t="shared" si="48"/>
        <v>19344.604559191892</v>
      </c>
      <c r="Y178" s="295">
        <f t="shared" si="48"/>
        <v>19344.604559191892</v>
      </c>
      <c r="Z178" s="295">
        <f t="shared" si="48"/>
        <v>19344.604559191892</v>
      </c>
      <c r="AA178" s="295">
        <f t="shared" si="48"/>
        <v>19344.604559191892</v>
      </c>
      <c r="AB178" s="295">
        <f t="shared" si="48"/>
        <v>19344.604559191892</v>
      </c>
      <c r="AC178" s="295">
        <f t="shared" si="48"/>
        <v>19344.604559191892</v>
      </c>
      <c r="AD178" s="295">
        <f t="shared" si="48"/>
        <v>19344.604559191892</v>
      </c>
      <c r="AE178" s="296">
        <f t="shared" si="48"/>
        <v>19344.604559191892</v>
      </c>
    </row>
    <row r="179" spans="1:31">
      <c r="A179" s="1711"/>
      <c r="B179" s="116">
        <v>10</v>
      </c>
      <c r="C179" s="294">
        <f>'CAR Mileage'!J14</f>
        <v>18957.712468008052</v>
      </c>
      <c r="D179" s="295">
        <f t="shared" si="49"/>
        <v>18957.712468008052</v>
      </c>
      <c r="E179" s="295">
        <f t="shared" si="49"/>
        <v>18957.712468008052</v>
      </c>
      <c r="F179" s="295">
        <f t="shared" si="49"/>
        <v>18957.712468008052</v>
      </c>
      <c r="G179" s="295">
        <f t="shared" si="49"/>
        <v>18957.712468008052</v>
      </c>
      <c r="H179" s="295">
        <f t="shared" si="49"/>
        <v>18957.712468008052</v>
      </c>
      <c r="I179" s="295">
        <f t="shared" si="49"/>
        <v>18957.712468008052</v>
      </c>
      <c r="J179" s="295">
        <f t="shared" si="49"/>
        <v>18957.712468008052</v>
      </c>
      <c r="K179" s="295">
        <f t="shared" si="49"/>
        <v>18957.712468008052</v>
      </c>
      <c r="L179" s="295">
        <f t="shared" si="49"/>
        <v>18957.712468008052</v>
      </c>
      <c r="M179" s="295">
        <f t="shared" si="49"/>
        <v>18957.712468008052</v>
      </c>
      <c r="N179" s="295">
        <f t="shared" si="49"/>
        <v>18957.712468008052</v>
      </c>
      <c r="O179" s="295">
        <f t="shared" si="49"/>
        <v>18957.712468008052</v>
      </c>
      <c r="P179" s="295">
        <f t="shared" si="49"/>
        <v>18957.712468008052</v>
      </c>
      <c r="Q179" s="295">
        <f t="shared" si="49"/>
        <v>18957.712468008052</v>
      </c>
      <c r="R179" s="295">
        <f t="shared" si="49"/>
        <v>18957.712468008052</v>
      </c>
      <c r="S179" s="295">
        <f t="shared" si="49"/>
        <v>18957.712468008052</v>
      </c>
      <c r="T179" s="295">
        <f t="shared" si="48"/>
        <v>18957.712468008052</v>
      </c>
      <c r="U179" s="295">
        <f t="shared" si="48"/>
        <v>18957.712468008052</v>
      </c>
      <c r="V179" s="295">
        <f t="shared" si="48"/>
        <v>18957.712468008052</v>
      </c>
      <c r="W179" s="295">
        <f t="shared" si="48"/>
        <v>18957.712468008052</v>
      </c>
      <c r="X179" s="295">
        <f t="shared" si="48"/>
        <v>18957.712468008052</v>
      </c>
      <c r="Y179" s="295">
        <f t="shared" si="48"/>
        <v>18957.712468008052</v>
      </c>
      <c r="Z179" s="295">
        <f t="shared" si="48"/>
        <v>18957.712468008052</v>
      </c>
      <c r="AA179" s="295">
        <f t="shared" si="48"/>
        <v>18957.712468008052</v>
      </c>
      <c r="AB179" s="295">
        <f t="shared" si="48"/>
        <v>18957.712468008052</v>
      </c>
      <c r="AC179" s="295">
        <f t="shared" si="48"/>
        <v>18957.712468008052</v>
      </c>
      <c r="AD179" s="295">
        <f t="shared" si="48"/>
        <v>18957.712468008052</v>
      </c>
      <c r="AE179" s="296">
        <f t="shared" si="48"/>
        <v>18957.712468008052</v>
      </c>
    </row>
    <row r="180" spans="1:31">
      <c r="A180" s="1711"/>
      <c r="B180" s="116">
        <v>11</v>
      </c>
      <c r="C180" s="294">
        <f>'CAR Mileage'!J15</f>
        <v>18578.55821864789</v>
      </c>
      <c r="D180" s="295">
        <f t="shared" si="49"/>
        <v>18578.55821864789</v>
      </c>
      <c r="E180" s="295">
        <f t="shared" si="49"/>
        <v>18578.55821864789</v>
      </c>
      <c r="F180" s="295">
        <f t="shared" si="49"/>
        <v>18578.55821864789</v>
      </c>
      <c r="G180" s="295">
        <f t="shared" si="49"/>
        <v>18578.55821864789</v>
      </c>
      <c r="H180" s="295">
        <f t="shared" si="49"/>
        <v>18578.55821864789</v>
      </c>
      <c r="I180" s="295">
        <f t="shared" si="49"/>
        <v>18578.55821864789</v>
      </c>
      <c r="J180" s="295">
        <f t="shared" si="49"/>
        <v>18578.55821864789</v>
      </c>
      <c r="K180" s="295">
        <f t="shared" si="49"/>
        <v>18578.55821864789</v>
      </c>
      <c r="L180" s="295">
        <f t="shared" si="49"/>
        <v>18578.55821864789</v>
      </c>
      <c r="M180" s="295">
        <f t="shared" si="49"/>
        <v>18578.55821864789</v>
      </c>
      <c r="N180" s="295">
        <f t="shared" si="49"/>
        <v>18578.55821864789</v>
      </c>
      <c r="O180" s="295">
        <f t="shared" si="49"/>
        <v>18578.55821864789</v>
      </c>
      <c r="P180" s="295">
        <f t="shared" si="49"/>
        <v>18578.55821864789</v>
      </c>
      <c r="Q180" s="295">
        <f t="shared" si="49"/>
        <v>18578.55821864789</v>
      </c>
      <c r="R180" s="295">
        <f t="shared" si="49"/>
        <v>18578.55821864789</v>
      </c>
      <c r="S180" s="295">
        <f t="shared" si="49"/>
        <v>18578.55821864789</v>
      </c>
      <c r="T180" s="295">
        <f t="shared" si="48"/>
        <v>18578.55821864789</v>
      </c>
      <c r="U180" s="295">
        <f t="shared" si="48"/>
        <v>18578.55821864789</v>
      </c>
      <c r="V180" s="295">
        <f t="shared" si="48"/>
        <v>18578.55821864789</v>
      </c>
      <c r="W180" s="295">
        <f t="shared" si="48"/>
        <v>18578.55821864789</v>
      </c>
      <c r="X180" s="295">
        <f t="shared" si="48"/>
        <v>18578.55821864789</v>
      </c>
      <c r="Y180" s="295">
        <f t="shared" si="48"/>
        <v>18578.55821864789</v>
      </c>
      <c r="Z180" s="295">
        <f t="shared" si="48"/>
        <v>18578.55821864789</v>
      </c>
      <c r="AA180" s="295">
        <f t="shared" si="48"/>
        <v>18578.55821864789</v>
      </c>
      <c r="AB180" s="295">
        <f t="shared" si="48"/>
        <v>18578.55821864789</v>
      </c>
      <c r="AC180" s="295">
        <f t="shared" si="48"/>
        <v>18578.55821864789</v>
      </c>
      <c r="AD180" s="295">
        <f t="shared" si="48"/>
        <v>18578.55821864789</v>
      </c>
      <c r="AE180" s="296">
        <f t="shared" si="48"/>
        <v>18578.55821864789</v>
      </c>
    </row>
    <row r="181" spans="1:31">
      <c r="A181" s="1711"/>
      <c r="B181" s="116">
        <v>12</v>
      </c>
      <c r="C181" s="294">
        <f>'CAR Mileage'!J16</f>
        <v>18206.98705427493</v>
      </c>
      <c r="D181" s="295">
        <f t="shared" si="49"/>
        <v>18206.98705427493</v>
      </c>
      <c r="E181" s="295">
        <f t="shared" si="49"/>
        <v>18206.98705427493</v>
      </c>
      <c r="F181" s="295">
        <f t="shared" si="49"/>
        <v>18206.98705427493</v>
      </c>
      <c r="G181" s="295">
        <f t="shared" si="49"/>
        <v>18206.98705427493</v>
      </c>
      <c r="H181" s="295">
        <f t="shared" si="49"/>
        <v>18206.98705427493</v>
      </c>
      <c r="I181" s="295">
        <f t="shared" si="49"/>
        <v>18206.98705427493</v>
      </c>
      <c r="J181" s="295">
        <f t="shared" si="49"/>
        <v>18206.98705427493</v>
      </c>
      <c r="K181" s="295">
        <f t="shared" si="49"/>
        <v>18206.98705427493</v>
      </c>
      <c r="L181" s="295">
        <f t="shared" si="49"/>
        <v>18206.98705427493</v>
      </c>
      <c r="M181" s="295">
        <f t="shared" si="49"/>
        <v>18206.98705427493</v>
      </c>
      <c r="N181" s="295">
        <f t="shared" si="49"/>
        <v>18206.98705427493</v>
      </c>
      <c r="O181" s="295">
        <f t="shared" si="49"/>
        <v>18206.98705427493</v>
      </c>
      <c r="P181" s="295">
        <f t="shared" si="49"/>
        <v>18206.98705427493</v>
      </c>
      <c r="Q181" s="295">
        <f t="shared" si="49"/>
        <v>18206.98705427493</v>
      </c>
      <c r="R181" s="295">
        <f t="shared" si="49"/>
        <v>18206.98705427493</v>
      </c>
      <c r="S181" s="295">
        <f t="shared" si="49"/>
        <v>18206.98705427493</v>
      </c>
      <c r="T181" s="295">
        <f t="shared" si="48"/>
        <v>18206.98705427493</v>
      </c>
      <c r="U181" s="295">
        <f t="shared" si="48"/>
        <v>18206.98705427493</v>
      </c>
      <c r="V181" s="295">
        <f t="shared" si="48"/>
        <v>18206.98705427493</v>
      </c>
      <c r="W181" s="295">
        <f t="shared" si="48"/>
        <v>18206.98705427493</v>
      </c>
      <c r="X181" s="295">
        <f t="shared" si="48"/>
        <v>18206.98705427493</v>
      </c>
      <c r="Y181" s="295">
        <f t="shared" si="48"/>
        <v>18206.98705427493</v>
      </c>
      <c r="Z181" s="295">
        <f t="shared" si="48"/>
        <v>18206.98705427493</v>
      </c>
      <c r="AA181" s="295">
        <f t="shared" si="48"/>
        <v>18206.98705427493</v>
      </c>
      <c r="AB181" s="295">
        <f t="shared" si="48"/>
        <v>18206.98705427493</v>
      </c>
      <c r="AC181" s="295">
        <f t="shared" si="48"/>
        <v>18206.98705427493</v>
      </c>
      <c r="AD181" s="295">
        <f t="shared" si="48"/>
        <v>18206.98705427493</v>
      </c>
      <c r="AE181" s="296">
        <f t="shared" si="48"/>
        <v>18206.98705427493</v>
      </c>
    </row>
    <row r="182" spans="1:31">
      <c r="A182" s="1711"/>
      <c r="B182" s="116">
        <v>13</v>
      </c>
      <c r="C182" s="294">
        <f>'CAR Mileage'!J17</f>
        <v>17842.847313189432</v>
      </c>
      <c r="D182" s="295">
        <f t="shared" si="49"/>
        <v>17842.847313189432</v>
      </c>
      <c r="E182" s="295">
        <f t="shared" si="49"/>
        <v>17842.847313189432</v>
      </c>
      <c r="F182" s="295">
        <f t="shared" si="49"/>
        <v>17842.847313189432</v>
      </c>
      <c r="G182" s="295">
        <f t="shared" si="49"/>
        <v>17842.847313189432</v>
      </c>
      <c r="H182" s="295">
        <f t="shared" si="49"/>
        <v>17842.847313189432</v>
      </c>
      <c r="I182" s="295">
        <f t="shared" si="49"/>
        <v>17842.847313189432</v>
      </c>
      <c r="J182" s="295">
        <f t="shared" si="49"/>
        <v>17842.847313189432</v>
      </c>
      <c r="K182" s="295">
        <f t="shared" si="49"/>
        <v>17842.847313189432</v>
      </c>
      <c r="L182" s="295">
        <f t="shared" si="49"/>
        <v>17842.847313189432</v>
      </c>
      <c r="M182" s="295">
        <f t="shared" si="49"/>
        <v>17842.847313189432</v>
      </c>
      <c r="N182" s="295">
        <f t="shared" si="49"/>
        <v>17842.847313189432</v>
      </c>
      <c r="O182" s="295">
        <f t="shared" si="49"/>
        <v>17842.847313189432</v>
      </c>
      <c r="P182" s="295">
        <f t="shared" si="49"/>
        <v>17842.847313189432</v>
      </c>
      <c r="Q182" s="295">
        <f t="shared" si="49"/>
        <v>17842.847313189432</v>
      </c>
      <c r="R182" s="295">
        <f t="shared" si="49"/>
        <v>17842.847313189432</v>
      </c>
      <c r="S182" s="295">
        <f t="shared" si="49"/>
        <v>17842.847313189432</v>
      </c>
      <c r="T182" s="295">
        <f t="shared" si="48"/>
        <v>17842.847313189432</v>
      </c>
      <c r="U182" s="295">
        <f t="shared" si="48"/>
        <v>17842.847313189432</v>
      </c>
      <c r="V182" s="295">
        <f t="shared" si="48"/>
        <v>17842.847313189432</v>
      </c>
      <c r="W182" s="295">
        <f t="shared" si="48"/>
        <v>17842.847313189432</v>
      </c>
      <c r="X182" s="295">
        <f t="shared" si="48"/>
        <v>17842.847313189432</v>
      </c>
      <c r="Y182" s="295">
        <f t="shared" si="48"/>
        <v>17842.847313189432</v>
      </c>
      <c r="Z182" s="295">
        <f t="shared" si="48"/>
        <v>17842.847313189432</v>
      </c>
      <c r="AA182" s="295">
        <f t="shared" si="48"/>
        <v>17842.847313189432</v>
      </c>
      <c r="AB182" s="295">
        <f t="shared" si="48"/>
        <v>17842.847313189432</v>
      </c>
      <c r="AC182" s="295">
        <f t="shared" si="48"/>
        <v>17842.847313189432</v>
      </c>
      <c r="AD182" s="295">
        <f t="shared" si="48"/>
        <v>17842.847313189432</v>
      </c>
      <c r="AE182" s="296">
        <f t="shared" si="48"/>
        <v>17842.847313189432</v>
      </c>
    </row>
    <row r="183" spans="1:31">
      <c r="A183" s="1711"/>
      <c r="B183" s="116">
        <v>14</v>
      </c>
      <c r="C183" s="294">
        <f>'CAR Mileage'!J18</f>
        <v>17485.990366925642</v>
      </c>
      <c r="D183" s="295">
        <f t="shared" si="49"/>
        <v>17485.990366925642</v>
      </c>
      <c r="E183" s="295">
        <f t="shared" si="49"/>
        <v>17485.990366925642</v>
      </c>
      <c r="F183" s="295">
        <f t="shared" si="49"/>
        <v>17485.990366925642</v>
      </c>
      <c r="G183" s="295">
        <f t="shared" si="49"/>
        <v>17485.990366925642</v>
      </c>
      <c r="H183" s="295">
        <f t="shared" si="49"/>
        <v>17485.990366925642</v>
      </c>
      <c r="I183" s="295">
        <f t="shared" si="49"/>
        <v>17485.990366925642</v>
      </c>
      <c r="J183" s="295">
        <f t="shared" si="49"/>
        <v>17485.990366925642</v>
      </c>
      <c r="K183" s="295">
        <f t="shared" si="49"/>
        <v>17485.990366925642</v>
      </c>
      <c r="L183" s="295">
        <f t="shared" si="49"/>
        <v>17485.990366925642</v>
      </c>
      <c r="M183" s="295">
        <f t="shared" si="49"/>
        <v>17485.990366925642</v>
      </c>
      <c r="N183" s="295">
        <f t="shared" si="49"/>
        <v>17485.990366925642</v>
      </c>
      <c r="O183" s="295">
        <f t="shared" si="49"/>
        <v>17485.990366925642</v>
      </c>
      <c r="P183" s="295">
        <f t="shared" si="49"/>
        <v>17485.990366925642</v>
      </c>
      <c r="Q183" s="295">
        <f t="shared" si="49"/>
        <v>17485.990366925642</v>
      </c>
      <c r="R183" s="295">
        <f t="shared" si="49"/>
        <v>17485.990366925642</v>
      </c>
      <c r="S183" s="295">
        <f t="shared" si="49"/>
        <v>17485.990366925642</v>
      </c>
      <c r="T183" s="295">
        <f t="shared" si="48"/>
        <v>17485.990366925642</v>
      </c>
      <c r="U183" s="295">
        <f t="shared" si="48"/>
        <v>17485.990366925642</v>
      </c>
      <c r="V183" s="295">
        <f t="shared" si="48"/>
        <v>17485.990366925642</v>
      </c>
      <c r="W183" s="295">
        <f t="shared" si="48"/>
        <v>17485.990366925642</v>
      </c>
      <c r="X183" s="295">
        <f t="shared" si="48"/>
        <v>17485.990366925642</v>
      </c>
      <c r="Y183" s="295">
        <f t="shared" si="48"/>
        <v>17485.990366925642</v>
      </c>
      <c r="Z183" s="295">
        <f t="shared" si="48"/>
        <v>17485.990366925642</v>
      </c>
      <c r="AA183" s="295">
        <f t="shared" si="48"/>
        <v>17485.990366925642</v>
      </c>
      <c r="AB183" s="295">
        <f t="shared" si="48"/>
        <v>17485.990366925642</v>
      </c>
      <c r="AC183" s="295">
        <f t="shared" si="48"/>
        <v>17485.990366925642</v>
      </c>
      <c r="AD183" s="295">
        <f t="shared" si="48"/>
        <v>17485.990366925642</v>
      </c>
      <c r="AE183" s="296">
        <f t="shared" si="48"/>
        <v>17485.990366925642</v>
      </c>
    </row>
    <row r="184" spans="1:31">
      <c r="A184" s="1711"/>
      <c r="B184" s="116">
        <v>15</v>
      </c>
      <c r="C184" s="294">
        <f>'CAR Mileage'!J19</f>
        <v>17136.27055958713</v>
      </c>
      <c r="D184" s="295">
        <f t="shared" si="49"/>
        <v>17136.27055958713</v>
      </c>
      <c r="E184" s="295">
        <f t="shared" si="49"/>
        <v>17136.27055958713</v>
      </c>
      <c r="F184" s="295">
        <f t="shared" si="49"/>
        <v>17136.27055958713</v>
      </c>
      <c r="G184" s="295">
        <f t="shared" si="49"/>
        <v>17136.27055958713</v>
      </c>
      <c r="H184" s="295">
        <f t="shared" si="49"/>
        <v>17136.27055958713</v>
      </c>
      <c r="I184" s="295">
        <f t="shared" si="49"/>
        <v>17136.27055958713</v>
      </c>
      <c r="J184" s="295">
        <f t="shared" si="49"/>
        <v>17136.27055958713</v>
      </c>
      <c r="K184" s="295">
        <f t="shared" si="49"/>
        <v>17136.27055958713</v>
      </c>
      <c r="L184" s="295">
        <f t="shared" si="49"/>
        <v>17136.27055958713</v>
      </c>
      <c r="M184" s="295">
        <f t="shared" si="49"/>
        <v>17136.27055958713</v>
      </c>
      <c r="N184" s="295">
        <f t="shared" si="49"/>
        <v>17136.27055958713</v>
      </c>
      <c r="O184" s="295">
        <f t="shared" si="49"/>
        <v>17136.27055958713</v>
      </c>
      <c r="P184" s="295">
        <f t="shared" si="49"/>
        <v>17136.27055958713</v>
      </c>
      <c r="Q184" s="295">
        <f t="shared" si="49"/>
        <v>17136.27055958713</v>
      </c>
      <c r="R184" s="295">
        <f t="shared" si="49"/>
        <v>17136.27055958713</v>
      </c>
      <c r="S184" s="295">
        <f t="shared" si="49"/>
        <v>17136.27055958713</v>
      </c>
      <c r="T184" s="295">
        <f t="shared" si="48"/>
        <v>17136.27055958713</v>
      </c>
      <c r="U184" s="295">
        <f t="shared" si="48"/>
        <v>17136.27055958713</v>
      </c>
      <c r="V184" s="295">
        <f t="shared" si="48"/>
        <v>17136.27055958713</v>
      </c>
      <c r="W184" s="295">
        <f t="shared" si="48"/>
        <v>17136.27055958713</v>
      </c>
      <c r="X184" s="295">
        <f t="shared" si="48"/>
        <v>17136.27055958713</v>
      </c>
      <c r="Y184" s="295">
        <f t="shared" si="48"/>
        <v>17136.27055958713</v>
      </c>
      <c r="Z184" s="295">
        <f t="shared" si="48"/>
        <v>17136.27055958713</v>
      </c>
      <c r="AA184" s="295">
        <f t="shared" si="48"/>
        <v>17136.27055958713</v>
      </c>
      <c r="AB184" s="295">
        <f t="shared" si="48"/>
        <v>17136.27055958713</v>
      </c>
      <c r="AC184" s="295">
        <f t="shared" si="48"/>
        <v>17136.27055958713</v>
      </c>
      <c r="AD184" s="295">
        <f t="shared" si="48"/>
        <v>17136.27055958713</v>
      </c>
      <c r="AE184" s="296">
        <f t="shared" si="48"/>
        <v>17136.27055958713</v>
      </c>
    </row>
    <row r="185" spans="1:31">
      <c r="A185" s="1711"/>
      <c r="B185" s="116">
        <v>16</v>
      </c>
      <c r="C185" s="294">
        <f>'CAR Mileage'!J20</f>
        <v>16793.545148395388</v>
      </c>
      <c r="D185" s="295">
        <f t="shared" si="49"/>
        <v>16793.545148395388</v>
      </c>
      <c r="E185" s="295">
        <f t="shared" si="49"/>
        <v>16793.545148395388</v>
      </c>
      <c r="F185" s="295">
        <f t="shared" si="49"/>
        <v>16793.545148395388</v>
      </c>
      <c r="G185" s="295">
        <f t="shared" si="49"/>
        <v>16793.545148395388</v>
      </c>
      <c r="H185" s="295">
        <f t="shared" si="49"/>
        <v>16793.545148395388</v>
      </c>
      <c r="I185" s="295">
        <f t="shared" si="49"/>
        <v>16793.545148395388</v>
      </c>
      <c r="J185" s="295">
        <f t="shared" si="49"/>
        <v>16793.545148395388</v>
      </c>
      <c r="K185" s="295">
        <f t="shared" si="49"/>
        <v>16793.545148395388</v>
      </c>
      <c r="L185" s="295">
        <f t="shared" si="49"/>
        <v>16793.545148395388</v>
      </c>
      <c r="M185" s="295">
        <f t="shared" si="49"/>
        <v>16793.545148395388</v>
      </c>
      <c r="N185" s="295">
        <f t="shared" si="49"/>
        <v>16793.545148395388</v>
      </c>
      <c r="O185" s="295">
        <f t="shared" si="49"/>
        <v>16793.545148395388</v>
      </c>
      <c r="P185" s="295">
        <f t="shared" si="49"/>
        <v>16793.545148395388</v>
      </c>
      <c r="Q185" s="295">
        <f t="shared" si="49"/>
        <v>16793.545148395388</v>
      </c>
      <c r="R185" s="295">
        <f t="shared" si="49"/>
        <v>16793.545148395388</v>
      </c>
      <c r="S185" s="295">
        <f t="shared" ref="S185:AE194" si="50">R185</f>
        <v>16793.545148395388</v>
      </c>
      <c r="T185" s="295">
        <f t="shared" si="50"/>
        <v>16793.545148395388</v>
      </c>
      <c r="U185" s="295">
        <f t="shared" si="50"/>
        <v>16793.545148395388</v>
      </c>
      <c r="V185" s="295">
        <f t="shared" si="50"/>
        <v>16793.545148395388</v>
      </c>
      <c r="W185" s="295">
        <f t="shared" si="50"/>
        <v>16793.545148395388</v>
      </c>
      <c r="X185" s="295">
        <f t="shared" si="50"/>
        <v>16793.545148395388</v>
      </c>
      <c r="Y185" s="295">
        <f t="shared" si="50"/>
        <v>16793.545148395388</v>
      </c>
      <c r="Z185" s="295">
        <f t="shared" si="50"/>
        <v>16793.545148395388</v>
      </c>
      <c r="AA185" s="295">
        <f t="shared" si="50"/>
        <v>16793.545148395388</v>
      </c>
      <c r="AB185" s="295">
        <f t="shared" si="50"/>
        <v>16793.545148395388</v>
      </c>
      <c r="AC185" s="295">
        <f t="shared" si="50"/>
        <v>16793.545148395388</v>
      </c>
      <c r="AD185" s="295">
        <f t="shared" si="50"/>
        <v>16793.545148395388</v>
      </c>
      <c r="AE185" s="296">
        <f t="shared" si="50"/>
        <v>16793.545148395388</v>
      </c>
    </row>
    <row r="186" spans="1:31">
      <c r="A186" s="1711"/>
      <c r="B186" s="116">
        <v>17</v>
      </c>
      <c r="C186" s="294">
        <f>C185</f>
        <v>16793.545148395388</v>
      </c>
      <c r="D186" s="295">
        <f t="shared" ref="D186:S194" si="51">C186</f>
        <v>16793.545148395388</v>
      </c>
      <c r="E186" s="295">
        <f t="shared" si="51"/>
        <v>16793.545148395388</v>
      </c>
      <c r="F186" s="295">
        <f t="shared" si="51"/>
        <v>16793.545148395388</v>
      </c>
      <c r="G186" s="295">
        <f t="shared" si="51"/>
        <v>16793.545148395388</v>
      </c>
      <c r="H186" s="295">
        <f t="shared" si="51"/>
        <v>16793.545148395388</v>
      </c>
      <c r="I186" s="295">
        <f t="shared" si="51"/>
        <v>16793.545148395388</v>
      </c>
      <c r="J186" s="295">
        <f t="shared" si="51"/>
        <v>16793.545148395388</v>
      </c>
      <c r="K186" s="295">
        <f t="shared" si="51"/>
        <v>16793.545148395388</v>
      </c>
      <c r="L186" s="295">
        <f t="shared" si="51"/>
        <v>16793.545148395388</v>
      </c>
      <c r="M186" s="295">
        <f t="shared" si="51"/>
        <v>16793.545148395388</v>
      </c>
      <c r="N186" s="295">
        <f t="shared" si="51"/>
        <v>16793.545148395388</v>
      </c>
      <c r="O186" s="295">
        <f t="shared" si="51"/>
        <v>16793.545148395388</v>
      </c>
      <c r="P186" s="295">
        <f t="shared" si="51"/>
        <v>16793.545148395388</v>
      </c>
      <c r="Q186" s="295">
        <f t="shared" si="51"/>
        <v>16793.545148395388</v>
      </c>
      <c r="R186" s="295">
        <f t="shared" si="51"/>
        <v>16793.545148395388</v>
      </c>
      <c r="S186" s="295">
        <f t="shared" si="51"/>
        <v>16793.545148395388</v>
      </c>
      <c r="T186" s="295">
        <f t="shared" si="50"/>
        <v>16793.545148395388</v>
      </c>
      <c r="U186" s="295">
        <f t="shared" si="50"/>
        <v>16793.545148395388</v>
      </c>
      <c r="V186" s="295">
        <f t="shared" si="50"/>
        <v>16793.545148395388</v>
      </c>
      <c r="W186" s="295">
        <f t="shared" si="50"/>
        <v>16793.545148395388</v>
      </c>
      <c r="X186" s="295">
        <f t="shared" si="50"/>
        <v>16793.545148395388</v>
      </c>
      <c r="Y186" s="295">
        <f t="shared" si="50"/>
        <v>16793.545148395388</v>
      </c>
      <c r="Z186" s="295">
        <f t="shared" si="50"/>
        <v>16793.545148395388</v>
      </c>
      <c r="AA186" s="295">
        <f t="shared" si="50"/>
        <v>16793.545148395388</v>
      </c>
      <c r="AB186" s="295">
        <f t="shared" si="50"/>
        <v>16793.545148395388</v>
      </c>
      <c r="AC186" s="295">
        <f t="shared" si="50"/>
        <v>16793.545148395388</v>
      </c>
      <c r="AD186" s="295">
        <f t="shared" si="50"/>
        <v>16793.545148395388</v>
      </c>
      <c r="AE186" s="296">
        <f t="shared" si="50"/>
        <v>16793.545148395388</v>
      </c>
    </row>
    <row r="187" spans="1:31">
      <c r="A187" s="1711"/>
      <c r="B187" s="116">
        <v>18</v>
      </c>
      <c r="C187" s="294">
        <f t="shared" ref="C187:C194" si="52">C186</f>
        <v>16793.545148395388</v>
      </c>
      <c r="D187" s="295">
        <f t="shared" si="51"/>
        <v>16793.545148395388</v>
      </c>
      <c r="E187" s="295">
        <f t="shared" si="51"/>
        <v>16793.545148395388</v>
      </c>
      <c r="F187" s="295">
        <f t="shared" si="51"/>
        <v>16793.545148395388</v>
      </c>
      <c r="G187" s="295">
        <f t="shared" si="51"/>
        <v>16793.545148395388</v>
      </c>
      <c r="H187" s="295">
        <f t="shared" si="51"/>
        <v>16793.545148395388</v>
      </c>
      <c r="I187" s="295">
        <f t="shared" si="51"/>
        <v>16793.545148395388</v>
      </c>
      <c r="J187" s="295">
        <f t="shared" si="51"/>
        <v>16793.545148395388</v>
      </c>
      <c r="K187" s="295">
        <f t="shared" si="51"/>
        <v>16793.545148395388</v>
      </c>
      <c r="L187" s="295">
        <f t="shared" si="51"/>
        <v>16793.545148395388</v>
      </c>
      <c r="M187" s="295">
        <f t="shared" si="51"/>
        <v>16793.545148395388</v>
      </c>
      <c r="N187" s="295">
        <f t="shared" si="51"/>
        <v>16793.545148395388</v>
      </c>
      <c r="O187" s="295">
        <f t="shared" si="51"/>
        <v>16793.545148395388</v>
      </c>
      <c r="P187" s="295">
        <f t="shared" si="51"/>
        <v>16793.545148395388</v>
      </c>
      <c r="Q187" s="295">
        <f t="shared" si="51"/>
        <v>16793.545148395388</v>
      </c>
      <c r="R187" s="295">
        <f t="shared" si="51"/>
        <v>16793.545148395388</v>
      </c>
      <c r="S187" s="295">
        <f t="shared" si="51"/>
        <v>16793.545148395388</v>
      </c>
      <c r="T187" s="295">
        <f t="shared" si="50"/>
        <v>16793.545148395388</v>
      </c>
      <c r="U187" s="295">
        <f t="shared" si="50"/>
        <v>16793.545148395388</v>
      </c>
      <c r="V187" s="295">
        <f t="shared" si="50"/>
        <v>16793.545148395388</v>
      </c>
      <c r="W187" s="295">
        <f t="shared" si="50"/>
        <v>16793.545148395388</v>
      </c>
      <c r="X187" s="295">
        <f t="shared" si="50"/>
        <v>16793.545148395388</v>
      </c>
      <c r="Y187" s="295">
        <f t="shared" si="50"/>
        <v>16793.545148395388</v>
      </c>
      <c r="Z187" s="295">
        <f t="shared" si="50"/>
        <v>16793.545148395388</v>
      </c>
      <c r="AA187" s="295">
        <f t="shared" si="50"/>
        <v>16793.545148395388</v>
      </c>
      <c r="AB187" s="295">
        <f t="shared" si="50"/>
        <v>16793.545148395388</v>
      </c>
      <c r="AC187" s="295">
        <f t="shared" si="50"/>
        <v>16793.545148395388</v>
      </c>
      <c r="AD187" s="295">
        <f t="shared" si="50"/>
        <v>16793.545148395388</v>
      </c>
      <c r="AE187" s="296">
        <f t="shared" si="50"/>
        <v>16793.545148395388</v>
      </c>
    </row>
    <row r="188" spans="1:31">
      <c r="A188" s="1711"/>
      <c r="B188" s="116">
        <v>19</v>
      </c>
      <c r="C188" s="294">
        <f t="shared" si="52"/>
        <v>16793.545148395388</v>
      </c>
      <c r="D188" s="295">
        <f t="shared" si="51"/>
        <v>16793.545148395388</v>
      </c>
      <c r="E188" s="295">
        <f t="shared" si="51"/>
        <v>16793.545148395388</v>
      </c>
      <c r="F188" s="295">
        <f t="shared" si="51"/>
        <v>16793.545148395388</v>
      </c>
      <c r="G188" s="295">
        <f t="shared" si="51"/>
        <v>16793.545148395388</v>
      </c>
      <c r="H188" s="295">
        <f t="shared" si="51"/>
        <v>16793.545148395388</v>
      </c>
      <c r="I188" s="295">
        <f t="shared" si="51"/>
        <v>16793.545148395388</v>
      </c>
      <c r="J188" s="295">
        <f t="shared" si="51"/>
        <v>16793.545148395388</v>
      </c>
      <c r="K188" s="295">
        <f t="shared" si="51"/>
        <v>16793.545148395388</v>
      </c>
      <c r="L188" s="295">
        <f t="shared" si="51"/>
        <v>16793.545148395388</v>
      </c>
      <c r="M188" s="295">
        <f t="shared" si="51"/>
        <v>16793.545148395388</v>
      </c>
      <c r="N188" s="295">
        <f t="shared" si="51"/>
        <v>16793.545148395388</v>
      </c>
      <c r="O188" s="295">
        <f t="shared" si="51"/>
        <v>16793.545148395388</v>
      </c>
      <c r="P188" s="295">
        <f t="shared" si="51"/>
        <v>16793.545148395388</v>
      </c>
      <c r="Q188" s="295">
        <f t="shared" si="51"/>
        <v>16793.545148395388</v>
      </c>
      <c r="R188" s="295">
        <f t="shared" si="51"/>
        <v>16793.545148395388</v>
      </c>
      <c r="S188" s="295">
        <f t="shared" si="51"/>
        <v>16793.545148395388</v>
      </c>
      <c r="T188" s="295">
        <f t="shared" si="50"/>
        <v>16793.545148395388</v>
      </c>
      <c r="U188" s="295">
        <f t="shared" si="50"/>
        <v>16793.545148395388</v>
      </c>
      <c r="V188" s="295">
        <f t="shared" si="50"/>
        <v>16793.545148395388</v>
      </c>
      <c r="W188" s="295">
        <f t="shared" si="50"/>
        <v>16793.545148395388</v>
      </c>
      <c r="X188" s="295">
        <f t="shared" si="50"/>
        <v>16793.545148395388</v>
      </c>
      <c r="Y188" s="295">
        <f t="shared" si="50"/>
        <v>16793.545148395388</v>
      </c>
      <c r="Z188" s="295">
        <f t="shared" si="50"/>
        <v>16793.545148395388</v>
      </c>
      <c r="AA188" s="295">
        <f t="shared" si="50"/>
        <v>16793.545148395388</v>
      </c>
      <c r="AB188" s="295">
        <f t="shared" si="50"/>
        <v>16793.545148395388</v>
      </c>
      <c r="AC188" s="295">
        <f t="shared" si="50"/>
        <v>16793.545148395388</v>
      </c>
      <c r="AD188" s="295">
        <f t="shared" si="50"/>
        <v>16793.545148395388</v>
      </c>
      <c r="AE188" s="296">
        <f t="shared" si="50"/>
        <v>16793.545148395388</v>
      </c>
    </row>
    <row r="189" spans="1:31">
      <c r="A189" s="1711"/>
      <c r="B189" s="116">
        <v>20</v>
      </c>
      <c r="C189" s="294">
        <f t="shared" si="52"/>
        <v>16793.545148395388</v>
      </c>
      <c r="D189" s="295">
        <f t="shared" si="51"/>
        <v>16793.545148395388</v>
      </c>
      <c r="E189" s="295">
        <f t="shared" si="51"/>
        <v>16793.545148395388</v>
      </c>
      <c r="F189" s="295">
        <f t="shared" si="51"/>
        <v>16793.545148395388</v>
      </c>
      <c r="G189" s="295">
        <f t="shared" si="51"/>
        <v>16793.545148395388</v>
      </c>
      <c r="H189" s="295">
        <f t="shared" si="51"/>
        <v>16793.545148395388</v>
      </c>
      <c r="I189" s="295">
        <f t="shared" si="51"/>
        <v>16793.545148395388</v>
      </c>
      <c r="J189" s="295">
        <f t="shared" si="51"/>
        <v>16793.545148395388</v>
      </c>
      <c r="K189" s="295">
        <f t="shared" si="51"/>
        <v>16793.545148395388</v>
      </c>
      <c r="L189" s="295">
        <f t="shared" si="51"/>
        <v>16793.545148395388</v>
      </c>
      <c r="M189" s="295">
        <f t="shared" si="51"/>
        <v>16793.545148395388</v>
      </c>
      <c r="N189" s="295">
        <f t="shared" si="51"/>
        <v>16793.545148395388</v>
      </c>
      <c r="O189" s="295">
        <f t="shared" si="51"/>
        <v>16793.545148395388</v>
      </c>
      <c r="P189" s="295">
        <f t="shared" si="51"/>
        <v>16793.545148395388</v>
      </c>
      <c r="Q189" s="295">
        <f t="shared" si="51"/>
        <v>16793.545148395388</v>
      </c>
      <c r="R189" s="295">
        <f t="shared" si="51"/>
        <v>16793.545148395388</v>
      </c>
      <c r="S189" s="295">
        <f t="shared" si="51"/>
        <v>16793.545148395388</v>
      </c>
      <c r="T189" s="295">
        <f t="shared" si="50"/>
        <v>16793.545148395388</v>
      </c>
      <c r="U189" s="295">
        <f t="shared" si="50"/>
        <v>16793.545148395388</v>
      </c>
      <c r="V189" s="295">
        <f t="shared" si="50"/>
        <v>16793.545148395388</v>
      </c>
      <c r="W189" s="295">
        <f t="shared" si="50"/>
        <v>16793.545148395388</v>
      </c>
      <c r="X189" s="295">
        <f t="shared" si="50"/>
        <v>16793.545148395388</v>
      </c>
      <c r="Y189" s="295">
        <f t="shared" si="50"/>
        <v>16793.545148395388</v>
      </c>
      <c r="Z189" s="295">
        <f t="shared" si="50"/>
        <v>16793.545148395388</v>
      </c>
      <c r="AA189" s="295">
        <f t="shared" si="50"/>
        <v>16793.545148395388</v>
      </c>
      <c r="AB189" s="295">
        <f t="shared" si="50"/>
        <v>16793.545148395388</v>
      </c>
      <c r="AC189" s="295">
        <f t="shared" si="50"/>
        <v>16793.545148395388</v>
      </c>
      <c r="AD189" s="295">
        <f t="shared" si="50"/>
        <v>16793.545148395388</v>
      </c>
      <c r="AE189" s="296">
        <f t="shared" si="50"/>
        <v>16793.545148395388</v>
      </c>
    </row>
    <row r="190" spans="1:31">
      <c r="A190" s="1711"/>
      <c r="B190" s="116">
        <v>21</v>
      </c>
      <c r="C190" s="294">
        <f t="shared" si="52"/>
        <v>16793.545148395388</v>
      </c>
      <c r="D190" s="295">
        <f t="shared" si="51"/>
        <v>16793.545148395388</v>
      </c>
      <c r="E190" s="295">
        <f t="shared" si="51"/>
        <v>16793.545148395388</v>
      </c>
      <c r="F190" s="295">
        <f t="shared" si="51"/>
        <v>16793.545148395388</v>
      </c>
      <c r="G190" s="295">
        <f t="shared" si="51"/>
        <v>16793.545148395388</v>
      </c>
      <c r="H190" s="295">
        <f t="shared" si="51"/>
        <v>16793.545148395388</v>
      </c>
      <c r="I190" s="295">
        <f t="shared" si="51"/>
        <v>16793.545148395388</v>
      </c>
      <c r="J190" s="295">
        <f t="shared" si="51"/>
        <v>16793.545148395388</v>
      </c>
      <c r="K190" s="295">
        <f t="shared" si="51"/>
        <v>16793.545148395388</v>
      </c>
      <c r="L190" s="295">
        <f t="shared" si="51"/>
        <v>16793.545148395388</v>
      </c>
      <c r="M190" s="295">
        <f t="shared" si="51"/>
        <v>16793.545148395388</v>
      </c>
      <c r="N190" s="295">
        <f t="shared" si="51"/>
        <v>16793.545148395388</v>
      </c>
      <c r="O190" s="295">
        <f t="shared" si="51"/>
        <v>16793.545148395388</v>
      </c>
      <c r="P190" s="295">
        <f t="shared" si="51"/>
        <v>16793.545148395388</v>
      </c>
      <c r="Q190" s="295">
        <f t="shared" si="51"/>
        <v>16793.545148395388</v>
      </c>
      <c r="R190" s="295">
        <f t="shared" si="51"/>
        <v>16793.545148395388</v>
      </c>
      <c r="S190" s="295">
        <f t="shared" si="51"/>
        <v>16793.545148395388</v>
      </c>
      <c r="T190" s="295">
        <f t="shared" si="50"/>
        <v>16793.545148395388</v>
      </c>
      <c r="U190" s="295">
        <f t="shared" si="50"/>
        <v>16793.545148395388</v>
      </c>
      <c r="V190" s="295">
        <f t="shared" si="50"/>
        <v>16793.545148395388</v>
      </c>
      <c r="W190" s="295">
        <f t="shared" si="50"/>
        <v>16793.545148395388</v>
      </c>
      <c r="X190" s="295">
        <f t="shared" si="50"/>
        <v>16793.545148395388</v>
      </c>
      <c r="Y190" s="295">
        <f t="shared" si="50"/>
        <v>16793.545148395388</v>
      </c>
      <c r="Z190" s="295">
        <f t="shared" si="50"/>
        <v>16793.545148395388</v>
      </c>
      <c r="AA190" s="295">
        <f t="shared" si="50"/>
        <v>16793.545148395388</v>
      </c>
      <c r="AB190" s="295">
        <f t="shared" si="50"/>
        <v>16793.545148395388</v>
      </c>
      <c r="AC190" s="295">
        <f t="shared" si="50"/>
        <v>16793.545148395388</v>
      </c>
      <c r="AD190" s="295">
        <f t="shared" si="50"/>
        <v>16793.545148395388</v>
      </c>
      <c r="AE190" s="296">
        <f t="shared" si="50"/>
        <v>16793.545148395388</v>
      </c>
    </row>
    <row r="191" spans="1:31">
      <c r="A191" s="1711"/>
      <c r="B191" s="116">
        <v>22</v>
      </c>
      <c r="C191" s="294">
        <f t="shared" si="52"/>
        <v>16793.545148395388</v>
      </c>
      <c r="D191" s="295">
        <f t="shared" si="51"/>
        <v>16793.545148395388</v>
      </c>
      <c r="E191" s="295">
        <f t="shared" si="51"/>
        <v>16793.545148395388</v>
      </c>
      <c r="F191" s="295">
        <f t="shared" si="51"/>
        <v>16793.545148395388</v>
      </c>
      <c r="G191" s="295">
        <f t="shared" si="51"/>
        <v>16793.545148395388</v>
      </c>
      <c r="H191" s="295">
        <f t="shared" si="51"/>
        <v>16793.545148395388</v>
      </c>
      <c r="I191" s="295">
        <f t="shared" si="51"/>
        <v>16793.545148395388</v>
      </c>
      <c r="J191" s="295">
        <f t="shared" si="51"/>
        <v>16793.545148395388</v>
      </c>
      <c r="K191" s="295">
        <f t="shared" si="51"/>
        <v>16793.545148395388</v>
      </c>
      <c r="L191" s="295">
        <f t="shared" si="51"/>
        <v>16793.545148395388</v>
      </c>
      <c r="M191" s="295">
        <f t="shared" si="51"/>
        <v>16793.545148395388</v>
      </c>
      <c r="N191" s="295">
        <f t="shared" si="51"/>
        <v>16793.545148395388</v>
      </c>
      <c r="O191" s="295">
        <f t="shared" si="51"/>
        <v>16793.545148395388</v>
      </c>
      <c r="P191" s="295">
        <f t="shared" si="51"/>
        <v>16793.545148395388</v>
      </c>
      <c r="Q191" s="295">
        <f t="shared" si="51"/>
        <v>16793.545148395388</v>
      </c>
      <c r="R191" s="295">
        <f t="shared" si="51"/>
        <v>16793.545148395388</v>
      </c>
      <c r="S191" s="295">
        <f t="shared" si="51"/>
        <v>16793.545148395388</v>
      </c>
      <c r="T191" s="295">
        <f t="shared" si="50"/>
        <v>16793.545148395388</v>
      </c>
      <c r="U191" s="295">
        <f t="shared" si="50"/>
        <v>16793.545148395388</v>
      </c>
      <c r="V191" s="295">
        <f t="shared" si="50"/>
        <v>16793.545148395388</v>
      </c>
      <c r="W191" s="295">
        <f t="shared" si="50"/>
        <v>16793.545148395388</v>
      </c>
      <c r="X191" s="295">
        <f t="shared" si="50"/>
        <v>16793.545148395388</v>
      </c>
      <c r="Y191" s="295">
        <f t="shared" si="50"/>
        <v>16793.545148395388</v>
      </c>
      <c r="Z191" s="295">
        <f t="shared" si="50"/>
        <v>16793.545148395388</v>
      </c>
      <c r="AA191" s="295">
        <f t="shared" si="50"/>
        <v>16793.545148395388</v>
      </c>
      <c r="AB191" s="295">
        <f t="shared" si="50"/>
        <v>16793.545148395388</v>
      </c>
      <c r="AC191" s="295">
        <f t="shared" si="50"/>
        <v>16793.545148395388</v>
      </c>
      <c r="AD191" s="295">
        <f t="shared" si="50"/>
        <v>16793.545148395388</v>
      </c>
      <c r="AE191" s="296">
        <f t="shared" si="50"/>
        <v>16793.545148395388</v>
      </c>
    </row>
    <row r="192" spans="1:31">
      <c r="A192" s="1711"/>
      <c r="B192" s="116">
        <v>23</v>
      </c>
      <c r="C192" s="294">
        <f t="shared" si="52"/>
        <v>16793.545148395388</v>
      </c>
      <c r="D192" s="295">
        <f t="shared" si="51"/>
        <v>16793.545148395388</v>
      </c>
      <c r="E192" s="295">
        <f t="shared" si="51"/>
        <v>16793.545148395388</v>
      </c>
      <c r="F192" s="295">
        <f t="shared" si="51"/>
        <v>16793.545148395388</v>
      </c>
      <c r="G192" s="295">
        <f t="shared" si="51"/>
        <v>16793.545148395388</v>
      </c>
      <c r="H192" s="295">
        <f t="shared" si="51"/>
        <v>16793.545148395388</v>
      </c>
      <c r="I192" s="295">
        <f t="shared" si="51"/>
        <v>16793.545148395388</v>
      </c>
      <c r="J192" s="295">
        <f t="shared" si="51"/>
        <v>16793.545148395388</v>
      </c>
      <c r="K192" s="295">
        <f t="shared" si="51"/>
        <v>16793.545148395388</v>
      </c>
      <c r="L192" s="295">
        <f t="shared" si="51"/>
        <v>16793.545148395388</v>
      </c>
      <c r="M192" s="295">
        <f t="shared" si="51"/>
        <v>16793.545148395388</v>
      </c>
      <c r="N192" s="295">
        <f t="shared" si="51"/>
        <v>16793.545148395388</v>
      </c>
      <c r="O192" s="295">
        <f t="shared" si="51"/>
        <v>16793.545148395388</v>
      </c>
      <c r="P192" s="295">
        <f t="shared" si="51"/>
        <v>16793.545148395388</v>
      </c>
      <c r="Q192" s="295">
        <f t="shared" si="51"/>
        <v>16793.545148395388</v>
      </c>
      <c r="R192" s="295">
        <f t="shared" si="51"/>
        <v>16793.545148395388</v>
      </c>
      <c r="S192" s="295">
        <f t="shared" si="51"/>
        <v>16793.545148395388</v>
      </c>
      <c r="T192" s="295">
        <f t="shared" si="50"/>
        <v>16793.545148395388</v>
      </c>
      <c r="U192" s="295">
        <f t="shared" si="50"/>
        <v>16793.545148395388</v>
      </c>
      <c r="V192" s="295">
        <f t="shared" si="50"/>
        <v>16793.545148395388</v>
      </c>
      <c r="W192" s="295">
        <f t="shared" si="50"/>
        <v>16793.545148395388</v>
      </c>
      <c r="X192" s="295">
        <f t="shared" si="50"/>
        <v>16793.545148395388</v>
      </c>
      <c r="Y192" s="295">
        <f t="shared" si="50"/>
        <v>16793.545148395388</v>
      </c>
      <c r="Z192" s="295">
        <f t="shared" si="50"/>
        <v>16793.545148395388</v>
      </c>
      <c r="AA192" s="295">
        <f t="shared" si="50"/>
        <v>16793.545148395388</v>
      </c>
      <c r="AB192" s="295">
        <f t="shared" si="50"/>
        <v>16793.545148395388</v>
      </c>
      <c r="AC192" s="295">
        <f t="shared" si="50"/>
        <v>16793.545148395388</v>
      </c>
      <c r="AD192" s="295">
        <f t="shared" si="50"/>
        <v>16793.545148395388</v>
      </c>
      <c r="AE192" s="296">
        <f t="shared" si="50"/>
        <v>16793.545148395388</v>
      </c>
    </row>
    <row r="193" spans="1:31">
      <c r="A193" s="1711"/>
      <c r="B193" s="116">
        <v>24</v>
      </c>
      <c r="C193" s="294">
        <f t="shared" si="52"/>
        <v>16793.545148395388</v>
      </c>
      <c r="D193" s="295">
        <f t="shared" si="51"/>
        <v>16793.545148395388</v>
      </c>
      <c r="E193" s="295">
        <f t="shared" si="51"/>
        <v>16793.545148395388</v>
      </c>
      <c r="F193" s="295">
        <f t="shared" si="51"/>
        <v>16793.545148395388</v>
      </c>
      <c r="G193" s="295">
        <f t="shared" si="51"/>
        <v>16793.545148395388</v>
      </c>
      <c r="H193" s="295">
        <f t="shared" si="51"/>
        <v>16793.545148395388</v>
      </c>
      <c r="I193" s="295">
        <f t="shared" si="51"/>
        <v>16793.545148395388</v>
      </c>
      <c r="J193" s="295">
        <f t="shared" si="51"/>
        <v>16793.545148395388</v>
      </c>
      <c r="K193" s="295">
        <f t="shared" si="51"/>
        <v>16793.545148395388</v>
      </c>
      <c r="L193" s="295">
        <f t="shared" si="51"/>
        <v>16793.545148395388</v>
      </c>
      <c r="M193" s="295">
        <f t="shared" si="51"/>
        <v>16793.545148395388</v>
      </c>
      <c r="N193" s="295">
        <f t="shared" si="51"/>
        <v>16793.545148395388</v>
      </c>
      <c r="O193" s="295">
        <f t="shared" si="51"/>
        <v>16793.545148395388</v>
      </c>
      <c r="P193" s="295">
        <f t="shared" si="51"/>
        <v>16793.545148395388</v>
      </c>
      <c r="Q193" s="295">
        <f t="shared" si="51"/>
        <v>16793.545148395388</v>
      </c>
      <c r="R193" s="295">
        <f t="shared" si="51"/>
        <v>16793.545148395388</v>
      </c>
      <c r="S193" s="295">
        <f t="shared" si="51"/>
        <v>16793.545148395388</v>
      </c>
      <c r="T193" s="295">
        <f t="shared" si="50"/>
        <v>16793.545148395388</v>
      </c>
      <c r="U193" s="295">
        <f t="shared" si="50"/>
        <v>16793.545148395388</v>
      </c>
      <c r="V193" s="295">
        <f t="shared" si="50"/>
        <v>16793.545148395388</v>
      </c>
      <c r="W193" s="295">
        <f t="shared" si="50"/>
        <v>16793.545148395388</v>
      </c>
      <c r="X193" s="295">
        <f t="shared" si="50"/>
        <v>16793.545148395388</v>
      </c>
      <c r="Y193" s="295">
        <f t="shared" si="50"/>
        <v>16793.545148395388</v>
      </c>
      <c r="Z193" s="295">
        <f t="shared" si="50"/>
        <v>16793.545148395388</v>
      </c>
      <c r="AA193" s="295">
        <f t="shared" si="50"/>
        <v>16793.545148395388</v>
      </c>
      <c r="AB193" s="295">
        <f t="shared" si="50"/>
        <v>16793.545148395388</v>
      </c>
      <c r="AC193" s="295">
        <f t="shared" si="50"/>
        <v>16793.545148395388</v>
      </c>
      <c r="AD193" s="295">
        <f t="shared" si="50"/>
        <v>16793.545148395388</v>
      </c>
      <c r="AE193" s="296">
        <f t="shared" si="50"/>
        <v>16793.545148395388</v>
      </c>
    </row>
    <row r="194" spans="1:31" ht="15.75" thickBot="1">
      <c r="A194" s="1711"/>
      <c r="B194" s="116">
        <v>25</v>
      </c>
      <c r="C194" s="297">
        <f t="shared" si="52"/>
        <v>16793.545148395388</v>
      </c>
      <c r="D194" s="298">
        <f t="shared" si="51"/>
        <v>16793.545148395388</v>
      </c>
      <c r="E194" s="298">
        <f t="shared" si="51"/>
        <v>16793.545148395388</v>
      </c>
      <c r="F194" s="298">
        <f t="shared" si="51"/>
        <v>16793.545148395388</v>
      </c>
      <c r="G194" s="298">
        <f t="shared" si="51"/>
        <v>16793.545148395388</v>
      </c>
      <c r="H194" s="298">
        <f t="shared" si="51"/>
        <v>16793.545148395388</v>
      </c>
      <c r="I194" s="298">
        <f t="shared" si="51"/>
        <v>16793.545148395388</v>
      </c>
      <c r="J194" s="298">
        <f t="shared" si="51"/>
        <v>16793.545148395388</v>
      </c>
      <c r="K194" s="298">
        <f t="shared" si="51"/>
        <v>16793.545148395388</v>
      </c>
      <c r="L194" s="298">
        <f t="shared" si="51"/>
        <v>16793.545148395388</v>
      </c>
      <c r="M194" s="298">
        <f t="shared" si="51"/>
        <v>16793.545148395388</v>
      </c>
      <c r="N194" s="298">
        <f t="shared" si="51"/>
        <v>16793.545148395388</v>
      </c>
      <c r="O194" s="298">
        <f t="shared" si="51"/>
        <v>16793.545148395388</v>
      </c>
      <c r="P194" s="298">
        <f t="shared" si="51"/>
        <v>16793.545148395388</v>
      </c>
      <c r="Q194" s="298">
        <f t="shared" si="51"/>
        <v>16793.545148395388</v>
      </c>
      <c r="R194" s="298">
        <f t="shared" si="51"/>
        <v>16793.545148395388</v>
      </c>
      <c r="S194" s="298">
        <f t="shared" si="51"/>
        <v>16793.545148395388</v>
      </c>
      <c r="T194" s="298">
        <f t="shared" si="50"/>
        <v>16793.545148395388</v>
      </c>
      <c r="U194" s="298">
        <f t="shared" si="50"/>
        <v>16793.545148395388</v>
      </c>
      <c r="V194" s="298">
        <f t="shared" si="50"/>
        <v>16793.545148395388</v>
      </c>
      <c r="W194" s="298">
        <f t="shared" si="50"/>
        <v>16793.545148395388</v>
      </c>
      <c r="X194" s="298">
        <f t="shared" si="50"/>
        <v>16793.545148395388</v>
      </c>
      <c r="Y194" s="298">
        <f t="shared" si="50"/>
        <v>16793.545148395388</v>
      </c>
      <c r="Z194" s="298">
        <f t="shared" si="50"/>
        <v>16793.545148395388</v>
      </c>
      <c r="AA194" s="298">
        <f t="shared" si="50"/>
        <v>16793.545148395388</v>
      </c>
      <c r="AB194" s="298">
        <f t="shared" si="50"/>
        <v>16793.545148395388</v>
      </c>
      <c r="AC194" s="298">
        <f t="shared" si="50"/>
        <v>16793.545148395388</v>
      </c>
      <c r="AD194" s="298">
        <f t="shared" si="50"/>
        <v>16793.545148395388</v>
      </c>
      <c r="AE194" s="299">
        <f t="shared" si="50"/>
        <v>16793.545148395388</v>
      </c>
    </row>
    <row r="195" spans="1:31" ht="16.5" thickTop="1" thickBot="1">
      <c r="A195" s="1712"/>
      <c r="B195" s="300" t="s">
        <v>39</v>
      </c>
      <c r="C195" s="461">
        <f>IF('CAR Stock'!C224=0,0,SUMPRODUCT(C169:C194,'CAR Stock'!C198:C223)/'CAR Stock'!C224)</f>
        <v>21735.113566341472</v>
      </c>
      <c r="D195" s="461">
        <f>IF('CAR Stock'!D224=0,0,SUMPRODUCT(D169:D194,'CAR Stock'!D198:D223)/'CAR Stock'!D224)</f>
        <v>21304.594916392492</v>
      </c>
      <c r="E195" s="461">
        <f>IF('CAR Stock'!E224=0,0,SUMPRODUCT(E169:E194,'CAR Stock'!E198:E223)/'CAR Stock'!E224)</f>
        <v>20881.389527524669</v>
      </c>
      <c r="F195" s="461">
        <f>IF('CAR Stock'!F224=0,0,SUMPRODUCT(F169:F194,'CAR Stock'!F198:F223)/'CAR Stock'!F224)</f>
        <v>20471.294809316867</v>
      </c>
      <c r="G195" s="461">
        <f>IF('CAR Stock'!G224=0,0,SUMPRODUCT(G169:G194,'CAR Stock'!G198:G223)/'CAR Stock'!G224)</f>
        <v>20083.686886276759</v>
      </c>
      <c r="H195" s="461">
        <f>IF('CAR Stock'!H224=0,0,SUMPRODUCT(H169:H194,'CAR Stock'!H198:H223)/'CAR Stock'!H224)</f>
        <v>19723.315528050141</v>
      </c>
      <c r="I195" s="461">
        <f>IF('CAR Stock'!I224=0,0,SUMPRODUCT(I169:I194,'CAR Stock'!I198:I223)/'CAR Stock'!I224)</f>
        <v>19390.131225273461</v>
      </c>
      <c r="J195" s="461">
        <f>IF('CAR Stock'!J224=0,0,SUMPRODUCT(J169:J194,'CAR Stock'!J198:J223)/'CAR Stock'!J224)</f>
        <v>19082.587186829576</v>
      </c>
      <c r="K195" s="461">
        <f>IF('CAR Stock'!K224=0,0,SUMPRODUCT(K169:K194,'CAR Stock'!K198:K223)/'CAR Stock'!K224)</f>
        <v>18793.835005256551</v>
      </c>
      <c r="L195" s="461">
        <f>IF('CAR Stock'!L224=0,0,SUMPRODUCT(L169:L194,'CAR Stock'!L198:L223)/'CAR Stock'!L224)</f>
        <v>18522.283441001458</v>
      </c>
      <c r="M195" s="461">
        <f>IF('CAR Stock'!M224=0,0,SUMPRODUCT(M169:M194,'CAR Stock'!M198:M223)/'CAR Stock'!M224)</f>
        <v>18271.993942945464</v>
      </c>
      <c r="N195" s="461">
        <f>IF('CAR Stock'!N224=0,0,SUMPRODUCT(N169:N194,'CAR Stock'!N198:N223)/'CAR Stock'!N224)</f>
        <v>18032.684007527892</v>
      </c>
      <c r="O195" s="461">
        <f>IF('CAR Stock'!O224=0,0,SUMPRODUCT(O169:O194,'CAR Stock'!O198:O223)/'CAR Stock'!O224)</f>
        <v>17792.385525059766</v>
      </c>
      <c r="P195" s="461">
        <f>IF('CAR Stock'!P224=0,0,SUMPRODUCT(P169:P194,'CAR Stock'!P198:P223)/'CAR Stock'!P224)</f>
        <v>17541.950942351352</v>
      </c>
      <c r="Q195" s="461">
        <f>IF('CAR Stock'!Q224=0,0,SUMPRODUCT(Q169:Q194,'CAR Stock'!Q198:Q223)/'CAR Stock'!Q224)</f>
        <v>17262.667666018624</v>
      </c>
      <c r="R195" s="461">
        <f>IF('CAR Stock'!R224=0,0,SUMPRODUCT(R169:R194,'CAR Stock'!R198:R223)/'CAR Stock'!R224)</f>
        <v>16984.717376678771</v>
      </c>
      <c r="S195" s="461">
        <f>IF('CAR Stock'!S224=0,0,SUMPRODUCT(S169:S194,'CAR Stock'!S198:S223)/'CAR Stock'!S224)</f>
        <v>16793.545148395388</v>
      </c>
      <c r="T195" s="461">
        <f>IF('CAR Stock'!T224=0,0,SUMPRODUCT(T169:T194,'CAR Stock'!T198:T223)/'CAR Stock'!T224)</f>
        <v>16793.545148395391</v>
      </c>
      <c r="U195" s="461">
        <f>IF('CAR Stock'!U224=0,0,SUMPRODUCT(U169:U194,'CAR Stock'!U198:U223)/'CAR Stock'!U224)</f>
        <v>16793.545148395388</v>
      </c>
      <c r="V195" s="461">
        <f>IF('CAR Stock'!V224=0,0,SUMPRODUCT(V169:V194,'CAR Stock'!V198:V223)/'CAR Stock'!V224)</f>
        <v>16793.545148395388</v>
      </c>
      <c r="W195" s="461">
        <f>IF('CAR Stock'!W224=0,0,SUMPRODUCT(W169:W194,'CAR Stock'!W198:W223)/'CAR Stock'!W224)</f>
        <v>16793.545148395391</v>
      </c>
      <c r="X195" s="461">
        <f>IF('CAR Stock'!X224=0,0,SUMPRODUCT(X169:X194,'CAR Stock'!X198:X223)/'CAR Stock'!X224)</f>
        <v>16793.545148395388</v>
      </c>
      <c r="Y195" s="461">
        <f>IF('CAR Stock'!Y224=0,0,SUMPRODUCT(Y169:Y194,'CAR Stock'!Y198:Y223)/'CAR Stock'!Y224)</f>
        <v>16793.545148395388</v>
      </c>
      <c r="Z195" s="461">
        <f>IF('CAR Stock'!Z224=0,0,SUMPRODUCT(Z169:Z194,'CAR Stock'!Z198:Z223)/'CAR Stock'!Z224)</f>
        <v>16793.545148395391</v>
      </c>
      <c r="AA195" s="461">
        <f>IF('CAR Stock'!AA224=0,0,SUMPRODUCT(AA169:AA194,'CAR Stock'!AA198:AA223)/'CAR Stock'!AA224)</f>
        <v>16793.545148395388</v>
      </c>
      <c r="AB195" s="461">
        <f>IF('CAR Stock'!AB224=0,0,SUMPRODUCT(AB169:AB194,'CAR Stock'!AB198:AB223)/'CAR Stock'!AB224)</f>
        <v>0</v>
      </c>
      <c r="AC195" s="461">
        <f>IF('CAR Stock'!AC224=0,0,SUMPRODUCT(AC169:AC194,'CAR Stock'!AC198:AC223)/'CAR Stock'!AC224)</f>
        <v>0</v>
      </c>
      <c r="AD195" s="461">
        <f>IF('CAR Stock'!AD224=0,0,SUMPRODUCT(AD169:AD194,'CAR Stock'!AD198:AD223)/'CAR Stock'!AD224)</f>
        <v>0</v>
      </c>
      <c r="AE195" s="462">
        <f>IF('CAR Stock'!AE224=0,0,SUMPRODUCT(AE169:AE194,'CAR Stock'!AE198:AE223)/'CAR Stock'!AE224)</f>
        <v>0</v>
      </c>
    </row>
    <row r="196" spans="1:31" ht="15.75" thickBot="1"/>
    <row r="197" spans="1:31" ht="15.75" thickBot="1">
      <c r="A197" s="1710" t="s">
        <v>47</v>
      </c>
      <c r="B197" s="169" t="s">
        <v>10</v>
      </c>
      <c r="C197" s="288">
        <v>2012</v>
      </c>
      <c r="D197" s="289">
        <v>2013</v>
      </c>
      <c r="E197" s="289">
        <v>2014</v>
      </c>
      <c r="F197" s="289">
        <v>2015</v>
      </c>
      <c r="G197" s="288">
        <v>2016</v>
      </c>
      <c r="H197" s="289">
        <v>2017</v>
      </c>
      <c r="I197" s="289">
        <v>2018</v>
      </c>
      <c r="J197" s="289">
        <v>2019</v>
      </c>
      <c r="K197" s="288">
        <v>2020</v>
      </c>
      <c r="L197" s="289">
        <v>2021</v>
      </c>
      <c r="M197" s="289">
        <v>2022</v>
      </c>
      <c r="N197" s="289">
        <v>2023</v>
      </c>
      <c r="O197" s="288">
        <v>2024</v>
      </c>
      <c r="P197" s="289">
        <v>2025</v>
      </c>
      <c r="Q197" s="289">
        <v>2026</v>
      </c>
      <c r="R197" s="289">
        <v>2027</v>
      </c>
      <c r="S197" s="288">
        <v>2028</v>
      </c>
      <c r="T197" s="289">
        <v>2029</v>
      </c>
      <c r="U197" s="289">
        <v>2030</v>
      </c>
      <c r="V197" s="289">
        <v>2031</v>
      </c>
      <c r="W197" s="288">
        <v>2032</v>
      </c>
      <c r="X197" s="289">
        <v>2033</v>
      </c>
      <c r="Y197" s="289">
        <v>2034</v>
      </c>
      <c r="Z197" s="289">
        <v>2035</v>
      </c>
      <c r="AA197" s="288">
        <v>2036</v>
      </c>
      <c r="AB197" s="289">
        <v>2037</v>
      </c>
      <c r="AC197" s="289">
        <v>2038</v>
      </c>
      <c r="AD197" s="289">
        <v>2039</v>
      </c>
      <c r="AE197" s="290">
        <v>2040</v>
      </c>
    </row>
    <row r="198" spans="1:31">
      <c r="A198" s="1711" t="s">
        <v>41</v>
      </c>
      <c r="B198" s="116">
        <v>0</v>
      </c>
      <c r="C198" s="291">
        <f>'CAR Mileage'!K4</f>
        <v>26642.925660145898</v>
      </c>
      <c r="D198" s="292">
        <f>C198</f>
        <v>26642.925660145898</v>
      </c>
      <c r="E198" s="292">
        <f t="shared" ref="E198:T198" si="53">D198</f>
        <v>26642.925660145898</v>
      </c>
      <c r="F198" s="292">
        <f t="shared" si="53"/>
        <v>26642.925660145898</v>
      </c>
      <c r="G198" s="292">
        <f t="shared" si="53"/>
        <v>26642.925660145898</v>
      </c>
      <c r="H198" s="292">
        <f t="shared" si="53"/>
        <v>26642.925660145898</v>
      </c>
      <c r="I198" s="292">
        <f t="shared" si="53"/>
        <v>26642.925660145898</v>
      </c>
      <c r="J198" s="292">
        <f t="shared" si="53"/>
        <v>26642.925660145898</v>
      </c>
      <c r="K198" s="292">
        <f t="shared" si="53"/>
        <v>26642.925660145898</v>
      </c>
      <c r="L198" s="292">
        <f t="shared" si="53"/>
        <v>26642.925660145898</v>
      </c>
      <c r="M198" s="292">
        <f t="shared" si="53"/>
        <v>26642.925660145898</v>
      </c>
      <c r="N198" s="292">
        <f t="shared" si="53"/>
        <v>26642.925660145898</v>
      </c>
      <c r="O198" s="292">
        <f t="shared" si="53"/>
        <v>26642.925660145898</v>
      </c>
      <c r="P198" s="292">
        <f t="shared" si="53"/>
        <v>26642.925660145898</v>
      </c>
      <c r="Q198" s="292">
        <f t="shared" si="53"/>
        <v>26642.925660145898</v>
      </c>
      <c r="R198" s="292">
        <f t="shared" si="53"/>
        <v>26642.925660145898</v>
      </c>
      <c r="S198" s="292">
        <f t="shared" si="53"/>
        <v>26642.925660145898</v>
      </c>
      <c r="T198" s="292">
        <f t="shared" si="53"/>
        <v>26642.925660145898</v>
      </c>
      <c r="U198" s="292">
        <f t="shared" ref="T198:AE213" si="54">T198</f>
        <v>26642.925660145898</v>
      </c>
      <c r="V198" s="292">
        <f t="shared" si="54"/>
        <v>26642.925660145898</v>
      </c>
      <c r="W198" s="292">
        <f t="shared" si="54"/>
        <v>26642.925660145898</v>
      </c>
      <c r="X198" s="292">
        <f t="shared" si="54"/>
        <v>26642.925660145898</v>
      </c>
      <c r="Y198" s="292">
        <f t="shared" si="54"/>
        <v>26642.925660145898</v>
      </c>
      <c r="Z198" s="292">
        <f t="shared" si="54"/>
        <v>26642.925660145898</v>
      </c>
      <c r="AA198" s="292">
        <f t="shared" si="54"/>
        <v>26642.925660145898</v>
      </c>
      <c r="AB198" s="292">
        <f t="shared" si="54"/>
        <v>26642.925660145898</v>
      </c>
      <c r="AC198" s="292">
        <f t="shared" si="54"/>
        <v>26642.925660145898</v>
      </c>
      <c r="AD198" s="292">
        <f t="shared" si="54"/>
        <v>26642.925660145898</v>
      </c>
      <c r="AE198" s="293">
        <f t="shared" si="54"/>
        <v>26642.925660145898</v>
      </c>
    </row>
    <row r="199" spans="1:31">
      <c r="A199" s="1711"/>
      <c r="B199" s="116">
        <v>1</v>
      </c>
      <c r="C199" s="294">
        <f>'CAR Mileage'!K5</f>
        <v>26110.06714694298</v>
      </c>
      <c r="D199" s="295">
        <f t="shared" ref="D199:S214" si="55">C199</f>
        <v>26110.06714694298</v>
      </c>
      <c r="E199" s="295">
        <f t="shared" si="55"/>
        <v>26110.06714694298</v>
      </c>
      <c r="F199" s="295">
        <f t="shared" si="55"/>
        <v>26110.06714694298</v>
      </c>
      <c r="G199" s="295">
        <f t="shared" si="55"/>
        <v>26110.06714694298</v>
      </c>
      <c r="H199" s="295">
        <f t="shared" si="55"/>
        <v>26110.06714694298</v>
      </c>
      <c r="I199" s="295">
        <f t="shared" si="55"/>
        <v>26110.06714694298</v>
      </c>
      <c r="J199" s="295">
        <f t="shared" si="55"/>
        <v>26110.06714694298</v>
      </c>
      <c r="K199" s="295">
        <f t="shared" si="55"/>
        <v>26110.06714694298</v>
      </c>
      <c r="L199" s="295">
        <f t="shared" si="55"/>
        <v>26110.06714694298</v>
      </c>
      <c r="M199" s="295">
        <f t="shared" si="55"/>
        <v>26110.06714694298</v>
      </c>
      <c r="N199" s="295">
        <f t="shared" si="55"/>
        <v>26110.06714694298</v>
      </c>
      <c r="O199" s="295">
        <f t="shared" si="55"/>
        <v>26110.06714694298</v>
      </c>
      <c r="P199" s="295">
        <f t="shared" si="55"/>
        <v>26110.06714694298</v>
      </c>
      <c r="Q199" s="295">
        <f t="shared" si="55"/>
        <v>26110.06714694298</v>
      </c>
      <c r="R199" s="295">
        <f t="shared" si="55"/>
        <v>26110.06714694298</v>
      </c>
      <c r="S199" s="295">
        <f t="shared" si="55"/>
        <v>26110.06714694298</v>
      </c>
      <c r="T199" s="295">
        <f t="shared" si="54"/>
        <v>26110.06714694298</v>
      </c>
      <c r="U199" s="295">
        <f t="shared" si="54"/>
        <v>26110.06714694298</v>
      </c>
      <c r="V199" s="295">
        <f t="shared" si="54"/>
        <v>26110.06714694298</v>
      </c>
      <c r="W199" s="295">
        <f t="shared" si="54"/>
        <v>26110.06714694298</v>
      </c>
      <c r="X199" s="295">
        <f t="shared" si="54"/>
        <v>26110.06714694298</v>
      </c>
      <c r="Y199" s="295">
        <f t="shared" si="54"/>
        <v>26110.06714694298</v>
      </c>
      <c r="Z199" s="295">
        <f t="shared" si="54"/>
        <v>26110.06714694298</v>
      </c>
      <c r="AA199" s="295">
        <f t="shared" si="54"/>
        <v>26110.06714694298</v>
      </c>
      <c r="AB199" s="295">
        <f t="shared" si="54"/>
        <v>26110.06714694298</v>
      </c>
      <c r="AC199" s="295">
        <f t="shared" si="54"/>
        <v>26110.06714694298</v>
      </c>
      <c r="AD199" s="295">
        <f t="shared" si="54"/>
        <v>26110.06714694298</v>
      </c>
      <c r="AE199" s="296">
        <f t="shared" si="54"/>
        <v>26110.06714694298</v>
      </c>
    </row>
    <row r="200" spans="1:31">
      <c r="A200" s="1711"/>
      <c r="B200" s="116">
        <v>2</v>
      </c>
      <c r="C200" s="294">
        <f>'CAR Mileage'!K6</f>
        <v>25587.865804004119</v>
      </c>
      <c r="D200" s="295">
        <f t="shared" si="55"/>
        <v>25587.865804004119</v>
      </c>
      <c r="E200" s="295">
        <f t="shared" si="55"/>
        <v>25587.865804004119</v>
      </c>
      <c r="F200" s="295">
        <f t="shared" si="55"/>
        <v>25587.865804004119</v>
      </c>
      <c r="G200" s="295">
        <f t="shared" si="55"/>
        <v>25587.865804004119</v>
      </c>
      <c r="H200" s="295">
        <f t="shared" si="55"/>
        <v>25587.865804004119</v>
      </c>
      <c r="I200" s="295">
        <f t="shared" si="55"/>
        <v>25587.865804004119</v>
      </c>
      <c r="J200" s="295">
        <f t="shared" si="55"/>
        <v>25587.865804004119</v>
      </c>
      <c r="K200" s="295">
        <f t="shared" si="55"/>
        <v>25587.865804004119</v>
      </c>
      <c r="L200" s="295">
        <f t="shared" si="55"/>
        <v>25587.865804004119</v>
      </c>
      <c r="M200" s="295">
        <f t="shared" si="55"/>
        <v>25587.865804004119</v>
      </c>
      <c r="N200" s="295">
        <f t="shared" si="55"/>
        <v>25587.865804004119</v>
      </c>
      <c r="O200" s="295">
        <f t="shared" si="55"/>
        <v>25587.865804004119</v>
      </c>
      <c r="P200" s="295">
        <f t="shared" si="55"/>
        <v>25587.865804004119</v>
      </c>
      <c r="Q200" s="295">
        <f t="shared" si="55"/>
        <v>25587.865804004119</v>
      </c>
      <c r="R200" s="295">
        <f t="shared" si="55"/>
        <v>25587.865804004119</v>
      </c>
      <c r="S200" s="295">
        <f t="shared" si="55"/>
        <v>25587.865804004119</v>
      </c>
      <c r="T200" s="295">
        <f t="shared" si="54"/>
        <v>25587.865804004119</v>
      </c>
      <c r="U200" s="295">
        <f t="shared" si="54"/>
        <v>25587.865804004119</v>
      </c>
      <c r="V200" s="295">
        <f t="shared" si="54"/>
        <v>25587.865804004119</v>
      </c>
      <c r="W200" s="295">
        <f t="shared" si="54"/>
        <v>25587.865804004119</v>
      </c>
      <c r="X200" s="295">
        <f t="shared" si="54"/>
        <v>25587.865804004119</v>
      </c>
      <c r="Y200" s="295">
        <f t="shared" si="54"/>
        <v>25587.865804004119</v>
      </c>
      <c r="Z200" s="295">
        <f t="shared" si="54"/>
        <v>25587.865804004119</v>
      </c>
      <c r="AA200" s="295">
        <f t="shared" si="54"/>
        <v>25587.865804004119</v>
      </c>
      <c r="AB200" s="295">
        <f t="shared" si="54"/>
        <v>25587.865804004119</v>
      </c>
      <c r="AC200" s="295">
        <f t="shared" si="54"/>
        <v>25587.865804004119</v>
      </c>
      <c r="AD200" s="295">
        <f t="shared" si="54"/>
        <v>25587.865804004119</v>
      </c>
      <c r="AE200" s="296">
        <f t="shared" si="54"/>
        <v>25587.865804004119</v>
      </c>
    </row>
    <row r="201" spans="1:31">
      <c r="A201" s="1711"/>
      <c r="B201" s="116">
        <v>3</v>
      </c>
      <c r="C201" s="294">
        <f>'CAR Mileage'!K7</f>
        <v>25076.108487924037</v>
      </c>
      <c r="D201" s="295">
        <f t="shared" si="55"/>
        <v>25076.108487924037</v>
      </c>
      <c r="E201" s="295">
        <f t="shared" si="55"/>
        <v>25076.108487924037</v>
      </c>
      <c r="F201" s="295">
        <f t="shared" si="55"/>
        <v>25076.108487924037</v>
      </c>
      <c r="G201" s="295">
        <f t="shared" si="55"/>
        <v>25076.108487924037</v>
      </c>
      <c r="H201" s="295">
        <f t="shared" si="55"/>
        <v>25076.108487924037</v>
      </c>
      <c r="I201" s="295">
        <f t="shared" si="55"/>
        <v>25076.108487924037</v>
      </c>
      <c r="J201" s="295">
        <f t="shared" si="55"/>
        <v>25076.108487924037</v>
      </c>
      <c r="K201" s="295">
        <f t="shared" si="55"/>
        <v>25076.108487924037</v>
      </c>
      <c r="L201" s="295">
        <f t="shared" si="55"/>
        <v>25076.108487924037</v>
      </c>
      <c r="M201" s="295">
        <f t="shared" si="55"/>
        <v>25076.108487924037</v>
      </c>
      <c r="N201" s="295">
        <f t="shared" si="55"/>
        <v>25076.108487924037</v>
      </c>
      <c r="O201" s="295">
        <f t="shared" si="55"/>
        <v>25076.108487924037</v>
      </c>
      <c r="P201" s="295">
        <f t="shared" si="55"/>
        <v>25076.108487924037</v>
      </c>
      <c r="Q201" s="295">
        <f t="shared" si="55"/>
        <v>25076.108487924037</v>
      </c>
      <c r="R201" s="295">
        <f t="shared" si="55"/>
        <v>25076.108487924037</v>
      </c>
      <c r="S201" s="295">
        <f t="shared" si="55"/>
        <v>25076.108487924037</v>
      </c>
      <c r="T201" s="295">
        <f t="shared" si="54"/>
        <v>25076.108487924037</v>
      </c>
      <c r="U201" s="295">
        <f t="shared" si="54"/>
        <v>25076.108487924037</v>
      </c>
      <c r="V201" s="295">
        <f t="shared" si="54"/>
        <v>25076.108487924037</v>
      </c>
      <c r="W201" s="295">
        <f t="shared" si="54"/>
        <v>25076.108487924037</v>
      </c>
      <c r="X201" s="295">
        <f t="shared" si="54"/>
        <v>25076.108487924037</v>
      </c>
      <c r="Y201" s="295">
        <f t="shared" si="54"/>
        <v>25076.108487924037</v>
      </c>
      <c r="Z201" s="295">
        <f t="shared" si="54"/>
        <v>25076.108487924037</v>
      </c>
      <c r="AA201" s="295">
        <f t="shared" si="54"/>
        <v>25076.108487924037</v>
      </c>
      <c r="AB201" s="295">
        <f t="shared" si="54"/>
        <v>25076.108487924037</v>
      </c>
      <c r="AC201" s="295">
        <f t="shared" si="54"/>
        <v>25076.108487924037</v>
      </c>
      <c r="AD201" s="295">
        <f t="shared" si="54"/>
        <v>25076.108487924037</v>
      </c>
      <c r="AE201" s="296">
        <f t="shared" si="54"/>
        <v>25076.108487924037</v>
      </c>
    </row>
    <row r="202" spans="1:31">
      <c r="A202" s="1711"/>
      <c r="B202" s="116">
        <v>4</v>
      </c>
      <c r="C202" s="294">
        <f>'CAR Mileage'!K8</f>
        <v>24574.586318165555</v>
      </c>
      <c r="D202" s="295">
        <f t="shared" si="55"/>
        <v>24574.586318165555</v>
      </c>
      <c r="E202" s="295">
        <f t="shared" si="55"/>
        <v>24574.586318165555</v>
      </c>
      <c r="F202" s="295">
        <f t="shared" si="55"/>
        <v>24574.586318165555</v>
      </c>
      <c r="G202" s="295">
        <f t="shared" si="55"/>
        <v>24574.586318165555</v>
      </c>
      <c r="H202" s="295">
        <f t="shared" si="55"/>
        <v>24574.586318165555</v>
      </c>
      <c r="I202" s="295">
        <f t="shared" si="55"/>
        <v>24574.586318165555</v>
      </c>
      <c r="J202" s="295">
        <f t="shared" si="55"/>
        <v>24574.586318165555</v>
      </c>
      <c r="K202" s="295">
        <f t="shared" si="55"/>
        <v>24574.586318165555</v>
      </c>
      <c r="L202" s="295">
        <f t="shared" si="55"/>
        <v>24574.586318165555</v>
      </c>
      <c r="M202" s="295">
        <f t="shared" si="55"/>
        <v>24574.586318165555</v>
      </c>
      <c r="N202" s="295">
        <f t="shared" si="55"/>
        <v>24574.586318165555</v>
      </c>
      <c r="O202" s="295">
        <f t="shared" si="55"/>
        <v>24574.586318165555</v>
      </c>
      <c r="P202" s="295">
        <f t="shared" si="55"/>
        <v>24574.586318165555</v>
      </c>
      <c r="Q202" s="295">
        <f t="shared" si="55"/>
        <v>24574.586318165555</v>
      </c>
      <c r="R202" s="295">
        <f t="shared" si="55"/>
        <v>24574.586318165555</v>
      </c>
      <c r="S202" s="295">
        <f t="shared" si="55"/>
        <v>24574.586318165555</v>
      </c>
      <c r="T202" s="295">
        <f t="shared" si="54"/>
        <v>24574.586318165555</v>
      </c>
      <c r="U202" s="295">
        <f t="shared" si="54"/>
        <v>24574.586318165555</v>
      </c>
      <c r="V202" s="295">
        <f t="shared" si="54"/>
        <v>24574.586318165555</v>
      </c>
      <c r="W202" s="295">
        <f t="shared" si="54"/>
        <v>24574.586318165555</v>
      </c>
      <c r="X202" s="295">
        <f t="shared" si="54"/>
        <v>24574.586318165555</v>
      </c>
      <c r="Y202" s="295">
        <f t="shared" si="54"/>
        <v>24574.586318165555</v>
      </c>
      <c r="Z202" s="295">
        <f t="shared" si="54"/>
        <v>24574.586318165555</v>
      </c>
      <c r="AA202" s="295">
        <f t="shared" si="54"/>
        <v>24574.586318165555</v>
      </c>
      <c r="AB202" s="295">
        <f t="shared" si="54"/>
        <v>24574.586318165555</v>
      </c>
      <c r="AC202" s="295">
        <f t="shared" si="54"/>
        <v>24574.586318165555</v>
      </c>
      <c r="AD202" s="295">
        <f t="shared" si="54"/>
        <v>24574.586318165555</v>
      </c>
      <c r="AE202" s="296">
        <f t="shared" si="54"/>
        <v>24574.586318165555</v>
      </c>
    </row>
    <row r="203" spans="1:31">
      <c r="A203" s="1711"/>
      <c r="B203" s="116">
        <v>5</v>
      </c>
      <c r="C203" s="294">
        <f>'CAR Mileage'!K9</f>
        <v>24083.094591802244</v>
      </c>
      <c r="D203" s="295">
        <f t="shared" si="55"/>
        <v>24083.094591802244</v>
      </c>
      <c r="E203" s="295">
        <f t="shared" si="55"/>
        <v>24083.094591802244</v>
      </c>
      <c r="F203" s="295">
        <f t="shared" si="55"/>
        <v>24083.094591802244</v>
      </c>
      <c r="G203" s="295">
        <f t="shared" si="55"/>
        <v>24083.094591802244</v>
      </c>
      <c r="H203" s="295">
        <f t="shared" si="55"/>
        <v>24083.094591802244</v>
      </c>
      <c r="I203" s="295">
        <f t="shared" si="55"/>
        <v>24083.094591802244</v>
      </c>
      <c r="J203" s="295">
        <f t="shared" si="55"/>
        <v>24083.094591802244</v>
      </c>
      <c r="K203" s="295">
        <f t="shared" si="55"/>
        <v>24083.094591802244</v>
      </c>
      <c r="L203" s="295">
        <f t="shared" si="55"/>
        <v>24083.094591802244</v>
      </c>
      <c r="M203" s="295">
        <f t="shared" si="55"/>
        <v>24083.094591802244</v>
      </c>
      <c r="N203" s="295">
        <f t="shared" si="55"/>
        <v>24083.094591802244</v>
      </c>
      <c r="O203" s="295">
        <f t="shared" si="55"/>
        <v>24083.094591802244</v>
      </c>
      <c r="P203" s="295">
        <f t="shared" si="55"/>
        <v>24083.094591802244</v>
      </c>
      <c r="Q203" s="295">
        <f t="shared" si="55"/>
        <v>24083.094591802244</v>
      </c>
      <c r="R203" s="295">
        <f t="shared" si="55"/>
        <v>24083.094591802244</v>
      </c>
      <c r="S203" s="295">
        <f t="shared" si="55"/>
        <v>24083.094591802244</v>
      </c>
      <c r="T203" s="295">
        <f t="shared" si="54"/>
        <v>24083.094591802244</v>
      </c>
      <c r="U203" s="295">
        <f t="shared" si="54"/>
        <v>24083.094591802244</v>
      </c>
      <c r="V203" s="295">
        <f t="shared" si="54"/>
        <v>24083.094591802244</v>
      </c>
      <c r="W203" s="295">
        <f t="shared" si="54"/>
        <v>24083.094591802244</v>
      </c>
      <c r="X203" s="295">
        <f t="shared" si="54"/>
        <v>24083.094591802244</v>
      </c>
      <c r="Y203" s="295">
        <f t="shared" si="54"/>
        <v>24083.094591802244</v>
      </c>
      <c r="Z203" s="295">
        <f t="shared" si="54"/>
        <v>24083.094591802244</v>
      </c>
      <c r="AA203" s="295">
        <f t="shared" si="54"/>
        <v>24083.094591802244</v>
      </c>
      <c r="AB203" s="295">
        <f t="shared" si="54"/>
        <v>24083.094591802244</v>
      </c>
      <c r="AC203" s="295">
        <f t="shared" si="54"/>
        <v>24083.094591802244</v>
      </c>
      <c r="AD203" s="295">
        <f t="shared" si="54"/>
        <v>24083.094591802244</v>
      </c>
      <c r="AE203" s="296">
        <f t="shared" si="54"/>
        <v>24083.094591802244</v>
      </c>
    </row>
    <row r="204" spans="1:31">
      <c r="A204" s="1711"/>
      <c r="B204" s="116">
        <v>6</v>
      </c>
      <c r="C204" s="294">
        <f>'CAR Mileage'!K10</f>
        <v>23601.432699966201</v>
      </c>
      <c r="D204" s="295">
        <f t="shared" si="55"/>
        <v>23601.432699966201</v>
      </c>
      <c r="E204" s="295">
        <f t="shared" si="55"/>
        <v>23601.432699966201</v>
      </c>
      <c r="F204" s="295">
        <f t="shared" si="55"/>
        <v>23601.432699966201</v>
      </c>
      <c r="G204" s="295">
        <f t="shared" si="55"/>
        <v>23601.432699966201</v>
      </c>
      <c r="H204" s="295">
        <f t="shared" si="55"/>
        <v>23601.432699966201</v>
      </c>
      <c r="I204" s="295">
        <f t="shared" si="55"/>
        <v>23601.432699966201</v>
      </c>
      <c r="J204" s="295">
        <f t="shared" si="55"/>
        <v>23601.432699966201</v>
      </c>
      <c r="K204" s="295">
        <f t="shared" si="55"/>
        <v>23601.432699966201</v>
      </c>
      <c r="L204" s="295">
        <f t="shared" si="55"/>
        <v>23601.432699966201</v>
      </c>
      <c r="M204" s="295">
        <f t="shared" si="55"/>
        <v>23601.432699966201</v>
      </c>
      <c r="N204" s="295">
        <f t="shared" si="55"/>
        <v>23601.432699966201</v>
      </c>
      <c r="O204" s="295">
        <f t="shared" si="55"/>
        <v>23601.432699966201</v>
      </c>
      <c r="P204" s="295">
        <f t="shared" si="55"/>
        <v>23601.432699966201</v>
      </c>
      <c r="Q204" s="295">
        <f t="shared" si="55"/>
        <v>23601.432699966201</v>
      </c>
      <c r="R204" s="295">
        <f t="shared" si="55"/>
        <v>23601.432699966201</v>
      </c>
      <c r="S204" s="295">
        <f t="shared" si="55"/>
        <v>23601.432699966201</v>
      </c>
      <c r="T204" s="295">
        <f t="shared" si="54"/>
        <v>23601.432699966201</v>
      </c>
      <c r="U204" s="295">
        <f t="shared" si="54"/>
        <v>23601.432699966201</v>
      </c>
      <c r="V204" s="295">
        <f t="shared" si="54"/>
        <v>23601.432699966201</v>
      </c>
      <c r="W204" s="295">
        <f t="shared" si="54"/>
        <v>23601.432699966201</v>
      </c>
      <c r="X204" s="295">
        <f t="shared" si="54"/>
        <v>23601.432699966201</v>
      </c>
      <c r="Y204" s="295">
        <f t="shared" si="54"/>
        <v>23601.432699966201</v>
      </c>
      <c r="Z204" s="295">
        <f t="shared" si="54"/>
        <v>23601.432699966201</v>
      </c>
      <c r="AA204" s="295">
        <f t="shared" si="54"/>
        <v>23601.432699966201</v>
      </c>
      <c r="AB204" s="295">
        <f t="shared" si="54"/>
        <v>23601.432699966201</v>
      </c>
      <c r="AC204" s="295">
        <f t="shared" si="54"/>
        <v>23601.432699966201</v>
      </c>
      <c r="AD204" s="295">
        <f t="shared" si="54"/>
        <v>23601.432699966201</v>
      </c>
      <c r="AE204" s="296">
        <f t="shared" si="54"/>
        <v>23601.432699966201</v>
      </c>
    </row>
    <row r="205" spans="1:31">
      <c r="A205" s="1711"/>
      <c r="B205" s="116">
        <v>7</v>
      </c>
      <c r="C205" s="294">
        <f>'CAR Mileage'!K11</f>
        <v>23129.404045966876</v>
      </c>
      <c r="D205" s="295">
        <f t="shared" si="55"/>
        <v>23129.404045966876</v>
      </c>
      <c r="E205" s="295">
        <f t="shared" si="55"/>
        <v>23129.404045966876</v>
      </c>
      <c r="F205" s="295">
        <f t="shared" si="55"/>
        <v>23129.404045966876</v>
      </c>
      <c r="G205" s="295">
        <f t="shared" si="55"/>
        <v>23129.404045966876</v>
      </c>
      <c r="H205" s="295">
        <f t="shared" si="55"/>
        <v>23129.404045966876</v>
      </c>
      <c r="I205" s="295">
        <f t="shared" si="55"/>
        <v>23129.404045966876</v>
      </c>
      <c r="J205" s="295">
        <f t="shared" si="55"/>
        <v>23129.404045966876</v>
      </c>
      <c r="K205" s="295">
        <f t="shared" si="55"/>
        <v>23129.404045966876</v>
      </c>
      <c r="L205" s="295">
        <f t="shared" si="55"/>
        <v>23129.404045966876</v>
      </c>
      <c r="M205" s="295">
        <f t="shared" si="55"/>
        <v>23129.404045966876</v>
      </c>
      <c r="N205" s="295">
        <f t="shared" si="55"/>
        <v>23129.404045966876</v>
      </c>
      <c r="O205" s="295">
        <f t="shared" si="55"/>
        <v>23129.404045966876</v>
      </c>
      <c r="P205" s="295">
        <f t="shared" si="55"/>
        <v>23129.404045966876</v>
      </c>
      <c r="Q205" s="295">
        <f t="shared" si="55"/>
        <v>23129.404045966876</v>
      </c>
      <c r="R205" s="295">
        <f t="shared" si="55"/>
        <v>23129.404045966876</v>
      </c>
      <c r="S205" s="295">
        <f t="shared" si="55"/>
        <v>23129.404045966876</v>
      </c>
      <c r="T205" s="295">
        <f t="shared" si="54"/>
        <v>23129.404045966876</v>
      </c>
      <c r="U205" s="295">
        <f t="shared" si="54"/>
        <v>23129.404045966876</v>
      </c>
      <c r="V205" s="295">
        <f t="shared" si="54"/>
        <v>23129.404045966876</v>
      </c>
      <c r="W205" s="295">
        <f t="shared" si="54"/>
        <v>23129.404045966876</v>
      </c>
      <c r="X205" s="295">
        <f t="shared" si="54"/>
        <v>23129.404045966876</v>
      </c>
      <c r="Y205" s="295">
        <f t="shared" si="54"/>
        <v>23129.404045966876</v>
      </c>
      <c r="Z205" s="295">
        <f t="shared" si="54"/>
        <v>23129.404045966876</v>
      </c>
      <c r="AA205" s="295">
        <f t="shared" si="54"/>
        <v>23129.404045966876</v>
      </c>
      <c r="AB205" s="295">
        <f t="shared" si="54"/>
        <v>23129.404045966876</v>
      </c>
      <c r="AC205" s="295">
        <f t="shared" si="54"/>
        <v>23129.404045966876</v>
      </c>
      <c r="AD205" s="295">
        <f t="shared" si="54"/>
        <v>23129.404045966876</v>
      </c>
      <c r="AE205" s="296">
        <f t="shared" si="54"/>
        <v>23129.404045966876</v>
      </c>
    </row>
    <row r="206" spans="1:31">
      <c r="A206" s="1711"/>
      <c r="B206" s="116">
        <v>8</v>
      </c>
      <c r="C206" s="294">
        <f>'CAR Mileage'!K12</f>
        <v>22666.815965047539</v>
      </c>
      <c r="D206" s="295">
        <f t="shared" si="55"/>
        <v>22666.815965047539</v>
      </c>
      <c r="E206" s="295">
        <f t="shared" si="55"/>
        <v>22666.815965047539</v>
      </c>
      <c r="F206" s="295">
        <f t="shared" si="55"/>
        <v>22666.815965047539</v>
      </c>
      <c r="G206" s="295">
        <f t="shared" si="55"/>
        <v>22666.815965047539</v>
      </c>
      <c r="H206" s="295">
        <f t="shared" si="55"/>
        <v>22666.815965047539</v>
      </c>
      <c r="I206" s="295">
        <f t="shared" si="55"/>
        <v>22666.815965047539</v>
      </c>
      <c r="J206" s="295">
        <f t="shared" si="55"/>
        <v>22666.815965047539</v>
      </c>
      <c r="K206" s="295">
        <f t="shared" si="55"/>
        <v>22666.815965047539</v>
      </c>
      <c r="L206" s="295">
        <f t="shared" si="55"/>
        <v>22666.815965047539</v>
      </c>
      <c r="M206" s="295">
        <f t="shared" si="55"/>
        <v>22666.815965047539</v>
      </c>
      <c r="N206" s="295">
        <f t="shared" si="55"/>
        <v>22666.815965047539</v>
      </c>
      <c r="O206" s="295">
        <f t="shared" si="55"/>
        <v>22666.815965047539</v>
      </c>
      <c r="P206" s="295">
        <f t="shared" si="55"/>
        <v>22666.815965047539</v>
      </c>
      <c r="Q206" s="295">
        <f t="shared" si="55"/>
        <v>22666.815965047539</v>
      </c>
      <c r="R206" s="295">
        <f t="shared" si="55"/>
        <v>22666.815965047539</v>
      </c>
      <c r="S206" s="295">
        <f t="shared" si="55"/>
        <v>22666.815965047539</v>
      </c>
      <c r="T206" s="295">
        <f t="shared" si="54"/>
        <v>22666.815965047539</v>
      </c>
      <c r="U206" s="295">
        <f t="shared" si="54"/>
        <v>22666.815965047539</v>
      </c>
      <c r="V206" s="295">
        <f t="shared" si="54"/>
        <v>22666.815965047539</v>
      </c>
      <c r="W206" s="295">
        <f t="shared" si="54"/>
        <v>22666.815965047539</v>
      </c>
      <c r="X206" s="295">
        <f t="shared" si="54"/>
        <v>22666.815965047539</v>
      </c>
      <c r="Y206" s="295">
        <f t="shared" si="54"/>
        <v>22666.815965047539</v>
      </c>
      <c r="Z206" s="295">
        <f t="shared" si="54"/>
        <v>22666.815965047539</v>
      </c>
      <c r="AA206" s="295">
        <f t="shared" si="54"/>
        <v>22666.815965047539</v>
      </c>
      <c r="AB206" s="295">
        <f t="shared" si="54"/>
        <v>22666.815965047539</v>
      </c>
      <c r="AC206" s="295">
        <f t="shared" si="54"/>
        <v>22666.815965047539</v>
      </c>
      <c r="AD206" s="295">
        <f t="shared" si="54"/>
        <v>22666.815965047539</v>
      </c>
      <c r="AE206" s="296">
        <f t="shared" si="54"/>
        <v>22666.815965047539</v>
      </c>
    </row>
    <row r="207" spans="1:31">
      <c r="A207" s="1711"/>
      <c r="B207" s="116">
        <v>9</v>
      </c>
      <c r="C207" s="294">
        <f>'CAR Mileage'!K13</f>
        <v>22213.479645746589</v>
      </c>
      <c r="D207" s="295">
        <f t="shared" si="55"/>
        <v>22213.479645746589</v>
      </c>
      <c r="E207" s="295">
        <f t="shared" si="55"/>
        <v>22213.479645746589</v>
      </c>
      <c r="F207" s="295">
        <f t="shared" si="55"/>
        <v>22213.479645746589</v>
      </c>
      <c r="G207" s="295">
        <f t="shared" si="55"/>
        <v>22213.479645746589</v>
      </c>
      <c r="H207" s="295">
        <f t="shared" si="55"/>
        <v>22213.479645746589</v>
      </c>
      <c r="I207" s="295">
        <f t="shared" si="55"/>
        <v>22213.479645746589</v>
      </c>
      <c r="J207" s="295">
        <f t="shared" si="55"/>
        <v>22213.479645746589</v>
      </c>
      <c r="K207" s="295">
        <f t="shared" si="55"/>
        <v>22213.479645746589</v>
      </c>
      <c r="L207" s="295">
        <f t="shared" si="55"/>
        <v>22213.479645746589</v>
      </c>
      <c r="M207" s="295">
        <f t="shared" si="55"/>
        <v>22213.479645746589</v>
      </c>
      <c r="N207" s="295">
        <f t="shared" si="55"/>
        <v>22213.479645746589</v>
      </c>
      <c r="O207" s="295">
        <f t="shared" si="55"/>
        <v>22213.479645746589</v>
      </c>
      <c r="P207" s="295">
        <f t="shared" si="55"/>
        <v>22213.479645746589</v>
      </c>
      <c r="Q207" s="295">
        <f t="shared" si="55"/>
        <v>22213.479645746589</v>
      </c>
      <c r="R207" s="295">
        <f t="shared" si="55"/>
        <v>22213.479645746589</v>
      </c>
      <c r="S207" s="295">
        <f t="shared" si="55"/>
        <v>22213.479645746589</v>
      </c>
      <c r="T207" s="295">
        <f t="shared" si="54"/>
        <v>22213.479645746589</v>
      </c>
      <c r="U207" s="295">
        <f t="shared" si="54"/>
        <v>22213.479645746589</v>
      </c>
      <c r="V207" s="295">
        <f t="shared" si="54"/>
        <v>22213.479645746589</v>
      </c>
      <c r="W207" s="295">
        <f t="shared" si="54"/>
        <v>22213.479645746589</v>
      </c>
      <c r="X207" s="295">
        <f t="shared" si="54"/>
        <v>22213.479645746589</v>
      </c>
      <c r="Y207" s="295">
        <f t="shared" si="54"/>
        <v>22213.479645746589</v>
      </c>
      <c r="Z207" s="295">
        <f t="shared" si="54"/>
        <v>22213.479645746589</v>
      </c>
      <c r="AA207" s="295">
        <f t="shared" si="54"/>
        <v>22213.479645746589</v>
      </c>
      <c r="AB207" s="295">
        <f t="shared" si="54"/>
        <v>22213.479645746589</v>
      </c>
      <c r="AC207" s="295">
        <f t="shared" si="54"/>
        <v>22213.479645746589</v>
      </c>
      <c r="AD207" s="295">
        <f t="shared" si="54"/>
        <v>22213.479645746589</v>
      </c>
      <c r="AE207" s="296">
        <f t="shared" si="54"/>
        <v>22213.479645746589</v>
      </c>
    </row>
    <row r="208" spans="1:31">
      <c r="A208" s="1711"/>
      <c r="B208" s="116">
        <v>10</v>
      </c>
      <c r="C208" s="294">
        <f>'CAR Mileage'!K14</f>
        <v>21769.210052831659</v>
      </c>
      <c r="D208" s="295">
        <f t="shared" si="55"/>
        <v>21769.210052831659</v>
      </c>
      <c r="E208" s="295">
        <f t="shared" si="55"/>
        <v>21769.210052831659</v>
      </c>
      <c r="F208" s="295">
        <f t="shared" si="55"/>
        <v>21769.210052831659</v>
      </c>
      <c r="G208" s="295">
        <f t="shared" si="55"/>
        <v>21769.210052831659</v>
      </c>
      <c r="H208" s="295">
        <f t="shared" si="55"/>
        <v>21769.210052831659</v>
      </c>
      <c r="I208" s="295">
        <f t="shared" si="55"/>
        <v>21769.210052831659</v>
      </c>
      <c r="J208" s="295">
        <f t="shared" si="55"/>
        <v>21769.210052831659</v>
      </c>
      <c r="K208" s="295">
        <f t="shared" si="55"/>
        <v>21769.210052831659</v>
      </c>
      <c r="L208" s="295">
        <f t="shared" si="55"/>
        <v>21769.210052831659</v>
      </c>
      <c r="M208" s="295">
        <f t="shared" si="55"/>
        <v>21769.210052831659</v>
      </c>
      <c r="N208" s="295">
        <f t="shared" si="55"/>
        <v>21769.210052831659</v>
      </c>
      <c r="O208" s="295">
        <f t="shared" si="55"/>
        <v>21769.210052831659</v>
      </c>
      <c r="P208" s="295">
        <f t="shared" si="55"/>
        <v>21769.210052831659</v>
      </c>
      <c r="Q208" s="295">
        <f t="shared" si="55"/>
        <v>21769.210052831659</v>
      </c>
      <c r="R208" s="295">
        <f t="shared" si="55"/>
        <v>21769.210052831659</v>
      </c>
      <c r="S208" s="295">
        <f t="shared" si="55"/>
        <v>21769.210052831659</v>
      </c>
      <c r="T208" s="295">
        <f t="shared" si="54"/>
        <v>21769.210052831659</v>
      </c>
      <c r="U208" s="295">
        <f t="shared" si="54"/>
        <v>21769.210052831659</v>
      </c>
      <c r="V208" s="295">
        <f t="shared" si="54"/>
        <v>21769.210052831659</v>
      </c>
      <c r="W208" s="295">
        <f t="shared" si="54"/>
        <v>21769.210052831659</v>
      </c>
      <c r="X208" s="295">
        <f t="shared" si="54"/>
        <v>21769.210052831659</v>
      </c>
      <c r="Y208" s="295">
        <f t="shared" si="54"/>
        <v>21769.210052831659</v>
      </c>
      <c r="Z208" s="295">
        <f t="shared" si="54"/>
        <v>21769.210052831659</v>
      </c>
      <c r="AA208" s="295">
        <f t="shared" si="54"/>
        <v>21769.210052831659</v>
      </c>
      <c r="AB208" s="295">
        <f t="shared" si="54"/>
        <v>21769.210052831659</v>
      </c>
      <c r="AC208" s="295">
        <f t="shared" si="54"/>
        <v>21769.210052831659</v>
      </c>
      <c r="AD208" s="295">
        <f t="shared" si="54"/>
        <v>21769.210052831659</v>
      </c>
      <c r="AE208" s="296">
        <f t="shared" si="54"/>
        <v>21769.210052831659</v>
      </c>
    </row>
    <row r="209" spans="1:31">
      <c r="A209" s="1711"/>
      <c r="B209" s="116">
        <v>11</v>
      </c>
      <c r="C209" s="294">
        <f>'CAR Mileage'!K15</f>
        <v>21333.825851775026</v>
      </c>
      <c r="D209" s="295">
        <f t="shared" si="55"/>
        <v>21333.825851775026</v>
      </c>
      <c r="E209" s="295">
        <f t="shared" si="55"/>
        <v>21333.825851775026</v>
      </c>
      <c r="F209" s="295">
        <f t="shared" si="55"/>
        <v>21333.825851775026</v>
      </c>
      <c r="G209" s="295">
        <f t="shared" si="55"/>
        <v>21333.825851775026</v>
      </c>
      <c r="H209" s="295">
        <f t="shared" si="55"/>
        <v>21333.825851775026</v>
      </c>
      <c r="I209" s="295">
        <f t="shared" si="55"/>
        <v>21333.825851775026</v>
      </c>
      <c r="J209" s="295">
        <f t="shared" si="55"/>
        <v>21333.825851775026</v>
      </c>
      <c r="K209" s="295">
        <f t="shared" si="55"/>
        <v>21333.825851775026</v>
      </c>
      <c r="L209" s="295">
        <f t="shared" si="55"/>
        <v>21333.825851775026</v>
      </c>
      <c r="M209" s="295">
        <f t="shared" si="55"/>
        <v>21333.825851775026</v>
      </c>
      <c r="N209" s="295">
        <f t="shared" si="55"/>
        <v>21333.825851775026</v>
      </c>
      <c r="O209" s="295">
        <f t="shared" si="55"/>
        <v>21333.825851775026</v>
      </c>
      <c r="P209" s="295">
        <f t="shared" si="55"/>
        <v>21333.825851775026</v>
      </c>
      <c r="Q209" s="295">
        <f t="shared" si="55"/>
        <v>21333.825851775026</v>
      </c>
      <c r="R209" s="295">
        <f t="shared" si="55"/>
        <v>21333.825851775026</v>
      </c>
      <c r="S209" s="295">
        <f t="shared" si="55"/>
        <v>21333.825851775026</v>
      </c>
      <c r="T209" s="295">
        <f t="shared" si="54"/>
        <v>21333.825851775026</v>
      </c>
      <c r="U209" s="295">
        <f t="shared" si="54"/>
        <v>21333.825851775026</v>
      </c>
      <c r="V209" s="295">
        <f t="shared" si="54"/>
        <v>21333.825851775026</v>
      </c>
      <c r="W209" s="295">
        <f t="shared" si="54"/>
        <v>21333.825851775026</v>
      </c>
      <c r="X209" s="295">
        <f t="shared" si="54"/>
        <v>21333.825851775026</v>
      </c>
      <c r="Y209" s="295">
        <f t="shared" si="54"/>
        <v>21333.825851775026</v>
      </c>
      <c r="Z209" s="295">
        <f t="shared" si="54"/>
        <v>21333.825851775026</v>
      </c>
      <c r="AA209" s="295">
        <f t="shared" si="54"/>
        <v>21333.825851775026</v>
      </c>
      <c r="AB209" s="295">
        <f t="shared" si="54"/>
        <v>21333.825851775026</v>
      </c>
      <c r="AC209" s="295">
        <f t="shared" si="54"/>
        <v>21333.825851775026</v>
      </c>
      <c r="AD209" s="295">
        <f t="shared" si="54"/>
        <v>21333.825851775026</v>
      </c>
      <c r="AE209" s="296">
        <f t="shared" si="54"/>
        <v>21333.825851775026</v>
      </c>
    </row>
    <row r="210" spans="1:31">
      <c r="A210" s="1711"/>
      <c r="B210" s="116">
        <v>12</v>
      </c>
      <c r="C210" s="294">
        <f>'CAR Mileage'!K16</f>
        <v>20907.149334739526</v>
      </c>
      <c r="D210" s="295">
        <f t="shared" si="55"/>
        <v>20907.149334739526</v>
      </c>
      <c r="E210" s="295">
        <f t="shared" si="55"/>
        <v>20907.149334739526</v>
      </c>
      <c r="F210" s="295">
        <f t="shared" si="55"/>
        <v>20907.149334739526</v>
      </c>
      <c r="G210" s="295">
        <f t="shared" si="55"/>
        <v>20907.149334739526</v>
      </c>
      <c r="H210" s="295">
        <f t="shared" si="55"/>
        <v>20907.149334739526</v>
      </c>
      <c r="I210" s="295">
        <f t="shared" si="55"/>
        <v>20907.149334739526</v>
      </c>
      <c r="J210" s="295">
        <f t="shared" si="55"/>
        <v>20907.149334739526</v>
      </c>
      <c r="K210" s="295">
        <f t="shared" si="55"/>
        <v>20907.149334739526</v>
      </c>
      <c r="L210" s="295">
        <f t="shared" si="55"/>
        <v>20907.149334739526</v>
      </c>
      <c r="M210" s="295">
        <f t="shared" si="55"/>
        <v>20907.149334739526</v>
      </c>
      <c r="N210" s="295">
        <f t="shared" si="55"/>
        <v>20907.149334739526</v>
      </c>
      <c r="O210" s="295">
        <f t="shared" si="55"/>
        <v>20907.149334739526</v>
      </c>
      <c r="P210" s="295">
        <f t="shared" si="55"/>
        <v>20907.149334739526</v>
      </c>
      <c r="Q210" s="295">
        <f t="shared" si="55"/>
        <v>20907.149334739526</v>
      </c>
      <c r="R210" s="295">
        <f t="shared" si="55"/>
        <v>20907.149334739526</v>
      </c>
      <c r="S210" s="295">
        <f t="shared" si="55"/>
        <v>20907.149334739526</v>
      </c>
      <c r="T210" s="295">
        <f t="shared" si="54"/>
        <v>20907.149334739526</v>
      </c>
      <c r="U210" s="295">
        <f t="shared" si="54"/>
        <v>20907.149334739526</v>
      </c>
      <c r="V210" s="295">
        <f t="shared" si="54"/>
        <v>20907.149334739526</v>
      </c>
      <c r="W210" s="295">
        <f t="shared" si="54"/>
        <v>20907.149334739526</v>
      </c>
      <c r="X210" s="295">
        <f t="shared" si="54"/>
        <v>20907.149334739526</v>
      </c>
      <c r="Y210" s="295">
        <f t="shared" si="54"/>
        <v>20907.149334739526</v>
      </c>
      <c r="Z210" s="295">
        <f t="shared" si="54"/>
        <v>20907.149334739526</v>
      </c>
      <c r="AA210" s="295">
        <f t="shared" si="54"/>
        <v>20907.149334739526</v>
      </c>
      <c r="AB210" s="295">
        <f t="shared" si="54"/>
        <v>20907.149334739526</v>
      </c>
      <c r="AC210" s="295">
        <f t="shared" si="54"/>
        <v>20907.149334739526</v>
      </c>
      <c r="AD210" s="295">
        <f t="shared" si="54"/>
        <v>20907.149334739526</v>
      </c>
      <c r="AE210" s="296">
        <f t="shared" si="54"/>
        <v>20907.149334739526</v>
      </c>
    </row>
    <row r="211" spans="1:31">
      <c r="A211" s="1711"/>
      <c r="B211" s="116">
        <v>13</v>
      </c>
      <c r="C211" s="294">
        <f>'CAR Mileage'!K17</f>
        <v>20489.006348044735</v>
      </c>
      <c r="D211" s="295">
        <f t="shared" si="55"/>
        <v>20489.006348044735</v>
      </c>
      <c r="E211" s="295">
        <f t="shared" si="55"/>
        <v>20489.006348044735</v>
      </c>
      <c r="F211" s="295">
        <f t="shared" si="55"/>
        <v>20489.006348044735</v>
      </c>
      <c r="G211" s="295">
        <f t="shared" si="55"/>
        <v>20489.006348044735</v>
      </c>
      <c r="H211" s="295">
        <f t="shared" si="55"/>
        <v>20489.006348044735</v>
      </c>
      <c r="I211" s="295">
        <f t="shared" si="55"/>
        <v>20489.006348044735</v>
      </c>
      <c r="J211" s="295">
        <f t="shared" si="55"/>
        <v>20489.006348044735</v>
      </c>
      <c r="K211" s="295">
        <f t="shared" si="55"/>
        <v>20489.006348044735</v>
      </c>
      <c r="L211" s="295">
        <f t="shared" si="55"/>
        <v>20489.006348044735</v>
      </c>
      <c r="M211" s="295">
        <f t="shared" si="55"/>
        <v>20489.006348044735</v>
      </c>
      <c r="N211" s="295">
        <f t="shared" si="55"/>
        <v>20489.006348044735</v>
      </c>
      <c r="O211" s="295">
        <f t="shared" si="55"/>
        <v>20489.006348044735</v>
      </c>
      <c r="P211" s="295">
        <f t="shared" si="55"/>
        <v>20489.006348044735</v>
      </c>
      <c r="Q211" s="295">
        <f t="shared" si="55"/>
        <v>20489.006348044735</v>
      </c>
      <c r="R211" s="295">
        <f t="shared" si="55"/>
        <v>20489.006348044735</v>
      </c>
      <c r="S211" s="295">
        <f t="shared" si="55"/>
        <v>20489.006348044735</v>
      </c>
      <c r="T211" s="295">
        <f t="shared" si="54"/>
        <v>20489.006348044735</v>
      </c>
      <c r="U211" s="295">
        <f t="shared" si="54"/>
        <v>20489.006348044735</v>
      </c>
      <c r="V211" s="295">
        <f t="shared" si="54"/>
        <v>20489.006348044735</v>
      </c>
      <c r="W211" s="295">
        <f t="shared" si="54"/>
        <v>20489.006348044735</v>
      </c>
      <c r="X211" s="295">
        <f t="shared" si="54"/>
        <v>20489.006348044735</v>
      </c>
      <c r="Y211" s="295">
        <f t="shared" si="54"/>
        <v>20489.006348044735</v>
      </c>
      <c r="Z211" s="295">
        <f t="shared" si="54"/>
        <v>20489.006348044735</v>
      </c>
      <c r="AA211" s="295">
        <f t="shared" si="54"/>
        <v>20489.006348044735</v>
      </c>
      <c r="AB211" s="295">
        <f t="shared" si="54"/>
        <v>20489.006348044735</v>
      </c>
      <c r="AC211" s="295">
        <f t="shared" si="54"/>
        <v>20489.006348044735</v>
      </c>
      <c r="AD211" s="295">
        <f t="shared" si="54"/>
        <v>20489.006348044735</v>
      </c>
      <c r="AE211" s="296">
        <f t="shared" si="54"/>
        <v>20489.006348044735</v>
      </c>
    </row>
    <row r="212" spans="1:31">
      <c r="A212" s="1711"/>
      <c r="B212" s="116">
        <v>14</v>
      </c>
      <c r="C212" s="294">
        <f>'CAR Mileage'!K18</f>
        <v>20079.226221083842</v>
      </c>
      <c r="D212" s="295">
        <f t="shared" si="55"/>
        <v>20079.226221083842</v>
      </c>
      <c r="E212" s="295">
        <f t="shared" si="55"/>
        <v>20079.226221083842</v>
      </c>
      <c r="F212" s="295">
        <f t="shared" si="55"/>
        <v>20079.226221083842</v>
      </c>
      <c r="G212" s="295">
        <f t="shared" si="55"/>
        <v>20079.226221083842</v>
      </c>
      <c r="H212" s="295">
        <f t="shared" si="55"/>
        <v>20079.226221083842</v>
      </c>
      <c r="I212" s="295">
        <f t="shared" si="55"/>
        <v>20079.226221083842</v>
      </c>
      <c r="J212" s="295">
        <f t="shared" si="55"/>
        <v>20079.226221083842</v>
      </c>
      <c r="K212" s="295">
        <f t="shared" si="55"/>
        <v>20079.226221083842</v>
      </c>
      <c r="L212" s="295">
        <f t="shared" si="55"/>
        <v>20079.226221083842</v>
      </c>
      <c r="M212" s="295">
        <f t="shared" si="55"/>
        <v>20079.226221083842</v>
      </c>
      <c r="N212" s="295">
        <f t="shared" si="55"/>
        <v>20079.226221083842</v>
      </c>
      <c r="O212" s="295">
        <f t="shared" si="55"/>
        <v>20079.226221083842</v>
      </c>
      <c r="P212" s="295">
        <f t="shared" si="55"/>
        <v>20079.226221083842</v>
      </c>
      <c r="Q212" s="295">
        <f t="shared" si="55"/>
        <v>20079.226221083842</v>
      </c>
      <c r="R212" s="295">
        <f t="shared" si="55"/>
        <v>20079.226221083842</v>
      </c>
      <c r="S212" s="295">
        <f t="shared" si="55"/>
        <v>20079.226221083842</v>
      </c>
      <c r="T212" s="295">
        <f t="shared" si="54"/>
        <v>20079.226221083842</v>
      </c>
      <c r="U212" s="295">
        <f t="shared" si="54"/>
        <v>20079.226221083842</v>
      </c>
      <c r="V212" s="295">
        <f t="shared" si="54"/>
        <v>20079.226221083842</v>
      </c>
      <c r="W212" s="295">
        <f t="shared" si="54"/>
        <v>20079.226221083842</v>
      </c>
      <c r="X212" s="295">
        <f t="shared" si="54"/>
        <v>20079.226221083842</v>
      </c>
      <c r="Y212" s="295">
        <f t="shared" si="54"/>
        <v>20079.226221083842</v>
      </c>
      <c r="Z212" s="295">
        <f t="shared" si="54"/>
        <v>20079.226221083842</v>
      </c>
      <c r="AA212" s="295">
        <f t="shared" si="54"/>
        <v>20079.226221083842</v>
      </c>
      <c r="AB212" s="295">
        <f t="shared" si="54"/>
        <v>20079.226221083842</v>
      </c>
      <c r="AC212" s="295">
        <f t="shared" si="54"/>
        <v>20079.226221083842</v>
      </c>
      <c r="AD212" s="295">
        <f t="shared" si="54"/>
        <v>20079.226221083842</v>
      </c>
      <c r="AE212" s="296">
        <f t="shared" si="54"/>
        <v>20079.226221083842</v>
      </c>
    </row>
    <row r="213" spans="1:31">
      <c r="A213" s="1711"/>
      <c r="B213" s="116">
        <v>15</v>
      </c>
      <c r="C213" s="294">
        <f>'CAR Mileage'!K19</f>
        <v>19677.641696662165</v>
      </c>
      <c r="D213" s="295">
        <f t="shared" si="55"/>
        <v>19677.641696662165</v>
      </c>
      <c r="E213" s="295">
        <f t="shared" si="55"/>
        <v>19677.641696662165</v>
      </c>
      <c r="F213" s="295">
        <f t="shared" si="55"/>
        <v>19677.641696662165</v>
      </c>
      <c r="G213" s="295">
        <f t="shared" si="55"/>
        <v>19677.641696662165</v>
      </c>
      <c r="H213" s="295">
        <f t="shared" si="55"/>
        <v>19677.641696662165</v>
      </c>
      <c r="I213" s="295">
        <f t="shared" si="55"/>
        <v>19677.641696662165</v>
      </c>
      <c r="J213" s="295">
        <f t="shared" si="55"/>
        <v>19677.641696662165</v>
      </c>
      <c r="K213" s="295">
        <f t="shared" si="55"/>
        <v>19677.641696662165</v>
      </c>
      <c r="L213" s="295">
        <f t="shared" si="55"/>
        <v>19677.641696662165</v>
      </c>
      <c r="M213" s="295">
        <f t="shared" si="55"/>
        <v>19677.641696662165</v>
      </c>
      <c r="N213" s="295">
        <f t="shared" si="55"/>
        <v>19677.641696662165</v>
      </c>
      <c r="O213" s="295">
        <f t="shared" si="55"/>
        <v>19677.641696662165</v>
      </c>
      <c r="P213" s="295">
        <f t="shared" si="55"/>
        <v>19677.641696662165</v>
      </c>
      <c r="Q213" s="295">
        <f t="shared" si="55"/>
        <v>19677.641696662165</v>
      </c>
      <c r="R213" s="295">
        <f t="shared" si="55"/>
        <v>19677.641696662165</v>
      </c>
      <c r="S213" s="295">
        <f t="shared" si="55"/>
        <v>19677.641696662165</v>
      </c>
      <c r="T213" s="295">
        <f t="shared" si="54"/>
        <v>19677.641696662165</v>
      </c>
      <c r="U213" s="295">
        <f t="shared" si="54"/>
        <v>19677.641696662165</v>
      </c>
      <c r="V213" s="295">
        <f t="shared" si="54"/>
        <v>19677.641696662165</v>
      </c>
      <c r="W213" s="295">
        <f t="shared" si="54"/>
        <v>19677.641696662165</v>
      </c>
      <c r="X213" s="295">
        <f t="shared" si="54"/>
        <v>19677.641696662165</v>
      </c>
      <c r="Y213" s="295">
        <f t="shared" si="54"/>
        <v>19677.641696662165</v>
      </c>
      <c r="Z213" s="295">
        <f t="shared" si="54"/>
        <v>19677.641696662165</v>
      </c>
      <c r="AA213" s="295">
        <f t="shared" si="54"/>
        <v>19677.641696662165</v>
      </c>
      <c r="AB213" s="295">
        <f t="shared" si="54"/>
        <v>19677.641696662165</v>
      </c>
      <c r="AC213" s="295">
        <f t="shared" si="54"/>
        <v>19677.641696662165</v>
      </c>
      <c r="AD213" s="295">
        <f t="shared" si="54"/>
        <v>19677.641696662165</v>
      </c>
      <c r="AE213" s="296">
        <f t="shared" si="54"/>
        <v>19677.641696662165</v>
      </c>
    </row>
    <row r="214" spans="1:31">
      <c r="A214" s="1711"/>
      <c r="B214" s="116">
        <v>16</v>
      </c>
      <c r="C214" s="294">
        <f>'CAR Mileage'!K20</f>
        <v>19284.088862728921</v>
      </c>
      <c r="D214" s="295">
        <f t="shared" si="55"/>
        <v>19284.088862728921</v>
      </c>
      <c r="E214" s="295">
        <f t="shared" si="55"/>
        <v>19284.088862728921</v>
      </c>
      <c r="F214" s="295">
        <f t="shared" si="55"/>
        <v>19284.088862728921</v>
      </c>
      <c r="G214" s="295">
        <f t="shared" si="55"/>
        <v>19284.088862728921</v>
      </c>
      <c r="H214" s="295">
        <f t="shared" si="55"/>
        <v>19284.088862728921</v>
      </c>
      <c r="I214" s="295">
        <f t="shared" si="55"/>
        <v>19284.088862728921</v>
      </c>
      <c r="J214" s="295">
        <f t="shared" si="55"/>
        <v>19284.088862728921</v>
      </c>
      <c r="K214" s="295">
        <f t="shared" si="55"/>
        <v>19284.088862728921</v>
      </c>
      <c r="L214" s="295">
        <f t="shared" si="55"/>
        <v>19284.088862728921</v>
      </c>
      <c r="M214" s="295">
        <f t="shared" si="55"/>
        <v>19284.088862728921</v>
      </c>
      <c r="N214" s="295">
        <f t="shared" si="55"/>
        <v>19284.088862728921</v>
      </c>
      <c r="O214" s="295">
        <f t="shared" si="55"/>
        <v>19284.088862728921</v>
      </c>
      <c r="P214" s="295">
        <f t="shared" si="55"/>
        <v>19284.088862728921</v>
      </c>
      <c r="Q214" s="295">
        <f t="shared" si="55"/>
        <v>19284.088862728921</v>
      </c>
      <c r="R214" s="295">
        <f t="shared" si="55"/>
        <v>19284.088862728921</v>
      </c>
      <c r="S214" s="295">
        <f t="shared" ref="S214:AE223" si="56">R214</f>
        <v>19284.088862728921</v>
      </c>
      <c r="T214" s="295">
        <f t="shared" si="56"/>
        <v>19284.088862728921</v>
      </c>
      <c r="U214" s="295">
        <f t="shared" si="56"/>
        <v>19284.088862728921</v>
      </c>
      <c r="V214" s="295">
        <f t="shared" si="56"/>
        <v>19284.088862728921</v>
      </c>
      <c r="W214" s="295">
        <f t="shared" si="56"/>
        <v>19284.088862728921</v>
      </c>
      <c r="X214" s="295">
        <f t="shared" si="56"/>
        <v>19284.088862728921</v>
      </c>
      <c r="Y214" s="295">
        <f t="shared" si="56"/>
        <v>19284.088862728921</v>
      </c>
      <c r="Z214" s="295">
        <f t="shared" si="56"/>
        <v>19284.088862728921</v>
      </c>
      <c r="AA214" s="295">
        <f t="shared" si="56"/>
        <v>19284.088862728921</v>
      </c>
      <c r="AB214" s="295">
        <f t="shared" si="56"/>
        <v>19284.088862728921</v>
      </c>
      <c r="AC214" s="295">
        <f t="shared" si="56"/>
        <v>19284.088862728921</v>
      </c>
      <c r="AD214" s="295">
        <f t="shared" si="56"/>
        <v>19284.088862728921</v>
      </c>
      <c r="AE214" s="296">
        <f t="shared" si="56"/>
        <v>19284.088862728921</v>
      </c>
    </row>
    <row r="215" spans="1:31">
      <c r="A215" s="1711"/>
      <c r="B215" s="116">
        <v>17</v>
      </c>
      <c r="C215" s="294">
        <f>C214</f>
        <v>19284.088862728921</v>
      </c>
      <c r="D215" s="295">
        <f t="shared" ref="D215:S223" si="57">C215</f>
        <v>19284.088862728921</v>
      </c>
      <c r="E215" s="295">
        <f t="shared" si="57"/>
        <v>19284.088862728921</v>
      </c>
      <c r="F215" s="295">
        <f t="shared" si="57"/>
        <v>19284.088862728921</v>
      </c>
      <c r="G215" s="295">
        <f t="shared" si="57"/>
        <v>19284.088862728921</v>
      </c>
      <c r="H215" s="295">
        <f t="shared" si="57"/>
        <v>19284.088862728921</v>
      </c>
      <c r="I215" s="295">
        <f t="shared" si="57"/>
        <v>19284.088862728921</v>
      </c>
      <c r="J215" s="295">
        <f t="shared" si="57"/>
        <v>19284.088862728921</v>
      </c>
      <c r="K215" s="295">
        <f t="shared" si="57"/>
        <v>19284.088862728921</v>
      </c>
      <c r="L215" s="295">
        <f t="shared" si="57"/>
        <v>19284.088862728921</v>
      </c>
      <c r="M215" s="295">
        <f t="shared" si="57"/>
        <v>19284.088862728921</v>
      </c>
      <c r="N215" s="295">
        <f t="shared" si="57"/>
        <v>19284.088862728921</v>
      </c>
      <c r="O215" s="295">
        <f t="shared" si="57"/>
        <v>19284.088862728921</v>
      </c>
      <c r="P215" s="295">
        <f t="shared" si="57"/>
        <v>19284.088862728921</v>
      </c>
      <c r="Q215" s="295">
        <f t="shared" si="57"/>
        <v>19284.088862728921</v>
      </c>
      <c r="R215" s="295">
        <f t="shared" si="57"/>
        <v>19284.088862728921</v>
      </c>
      <c r="S215" s="295">
        <f t="shared" si="57"/>
        <v>19284.088862728921</v>
      </c>
      <c r="T215" s="295">
        <f t="shared" si="56"/>
        <v>19284.088862728921</v>
      </c>
      <c r="U215" s="295">
        <f t="shared" si="56"/>
        <v>19284.088862728921</v>
      </c>
      <c r="V215" s="295">
        <f t="shared" si="56"/>
        <v>19284.088862728921</v>
      </c>
      <c r="W215" s="295">
        <f t="shared" si="56"/>
        <v>19284.088862728921</v>
      </c>
      <c r="X215" s="295">
        <f t="shared" si="56"/>
        <v>19284.088862728921</v>
      </c>
      <c r="Y215" s="295">
        <f t="shared" si="56"/>
        <v>19284.088862728921</v>
      </c>
      <c r="Z215" s="295">
        <f t="shared" si="56"/>
        <v>19284.088862728921</v>
      </c>
      <c r="AA215" s="295">
        <f t="shared" si="56"/>
        <v>19284.088862728921</v>
      </c>
      <c r="AB215" s="295">
        <f t="shared" si="56"/>
        <v>19284.088862728921</v>
      </c>
      <c r="AC215" s="295">
        <f t="shared" si="56"/>
        <v>19284.088862728921</v>
      </c>
      <c r="AD215" s="295">
        <f t="shared" si="56"/>
        <v>19284.088862728921</v>
      </c>
      <c r="AE215" s="296">
        <f t="shared" si="56"/>
        <v>19284.088862728921</v>
      </c>
    </row>
    <row r="216" spans="1:31">
      <c r="A216" s="1711"/>
      <c r="B216" s="116">
        <v>18</v>
      </c>
      <c r="C216" s="294">
        <f t="shared" ref="C216:C223" si="58">C215</f>
        <v>19284.088862728921</v>
      </c>
      <c r="D216" s="295">
        <f t="shared" si="57"/>
        <v>19284.088862728921</v>
      </c>
      <c r="E216" s="295">
        <f t="shared" si="57"/>
        <v>19284.088862728921</v>
      </c>
      <c r="F216" s="295">
        <f t="shared" si="57"/>
        <v>19284.088862728921</v>
      </c>
      <c r="G216" s="295">
        <f t="shared" si="57"/>
        <v>19284.088862728921</v>
      </c>
      <c r="H216" s="295">
        <f t="shared" si="57"/>
        <v>19284.088862728921</v>
      </c>
      <c r="I216" s="295">
        <f t="shared" si="57"/>
        <v>19284.088862728921</v>
      </c>
      <c r="J216" s="295">
        <f t="shared" si="57"/>
        <v>19284.088862728921</v>
      </c>
      <c r="K216" s="295">
        <f t="shared" si="57"/>
        <v>19284.088862728921</v>
      </c>
      <c r="L216" s="295">
        <f t="shared" si="57"/>
        <v>19284.088862728921</v>
      </c>
      <c r="M216" s="295">
        <f t="shared" si="57"/>
        <v>19284.088862728921</v>
      </c>
      <c r="N216" s="295">
        <f t="shared" si="57"/>
        <v>19284.088862728921</v>
      </c>
      <c r="O216" s="295">
        <f t="shared" si="57"/>
        <v>19284.088862728921</v>
      </c>
      <c r="P216" s="295">
        <f t="shared" si="57"/>
        <v>19284.088862728921</v>
      </c>
      <c r="Q216" s="295">
        <f t="shared" si="57"/>
        <v>19284.088862728921</v>
      </c>
      <c r="R216" s="295">
        <f t="shared" si="57"/>
        <v>19284.088862728921</v>
      </c>
      <c r="S216" s="295">
        <f t="shared" si="57"/>
        <v>19284.088862728921</v>
      </c>
      <c r="T216" s="295">
        <f t="shared" si="56"/>
        <v>19284.088862728921</v>
      </c>
      <c r="U216" s="295">
        <f t="shared" si="56"/>
        <v>19284.088862728921</v>
      </c>
      <c r="V216" s="295">
        <f t="shared" si="56"/>
        <v>19284.088862728921</v>
      </c>
      <c r="W216" s="295">
        <f t="shared" si="56"/>
        <v>19284.088862728921</v>
      </c>
      <c r="X216" s="295">
        <f t="shared" si="56"/>
        <v>19284.088862728921</v>
      </c>
      <c r="Y216" s="295">
        <f t="shared" si="56"/>
        <v>19284.088862728921</v>
      </c>
      <c r="Z216" s="295">
        <f t="shared" si="56"/>
        <v>19284.088862728921</v>
      </c>
      <c r="AA216" s="295">
        <f t="shared" si="56"/>
        <v>19284.088862728921</v>
      </c>
      <c r="AB216" s="295">
        <f t="shared" si="56"/>
        <v>19284.088862728921</v>
      </c>
      <c r="AC216" s="295">
        <f t="shared" si="56"/>
        <v>19284.088862728921</v>
      </c>
      <c r="AD216" s="295">
        <f t="shared" si="56"/>
        <v>19284.088862728921</v>
      </c>
      <c r="AE216" s="296">
        <f t="shared" si="56"/>
        <v>19284.088862728921</v>
      </c>
    </row>
    <row r="217" spans="1:31">
      <c r="A217" s="1711"/>
      <c r="B217" s="116">
        <v>19</v>
      </c>
      <c r="C217" s="294">
        <f t="shared" si="58"/>
        <v>19284.088862728921</v>
      </c>
      <c r="D217" s="295">
        <f t="shared" si="57"/>
        <v>19284.088862728921</v>
      </c>
      <c r="E217" s="295">
        <f t="shared" si="57"/>
        <v>19284.088862728921</v>
      </c>
      <c r="F217" s="295">
        <f t="shared" si="57"/>
        <v>19284.088862728921</v>
      </c>
      <c r="G217" s="295">
        <f t="shared" si="57"/>
        <v>19284.088862728921</v>
      </c>
      <c r="H217" s="295">
        <f t="shared" si="57"/>
        <v>19284.088862728921</v>
      </c>
      <c r="I217" s="295">
        <f t="shared" si="57"/>
        <v>19284.088862728921</v>
      </c>
      <c r="J217" s="295">
        <f t="shared" si="57"/>
        <v>19284.088862728921</v>
      </c>
      <c r="K217" s="295">
        <f t="shared" si="57"/>
        <v>19284.088862728921</v>
      </c>
      <c r="L217" s="295">
        <f t="shared" si="57"/>
        <v>19284.088862728921</v>
      </c>
      <c r="M217" s="295">
        <f t="shared" si="57"/>
        <v>19284.088862728921</v>
      </c>
      <c r="N217" s="295">
        <f t="shared" si="57"/>
        <v>19284.088862728921</v>
      </c>
      <c r="O217" s="295">
        <f t="shared" si="57"/>
        <v>19284.088862728921</v>
      </c>
      <c r="P217" s="295">
        <f t="shared" si="57"/>
        <v>19284.088862728921</v>
      </c>
      <c r="Q217" s="295">
        <f t="shared" si="57"/>
        <v>19284.088862728921</v>
      </c>
      <c r="R217" s="295">
        <f t="shared" si="57"/>
        <v>19284.088862728921</v>
      </c>
      <c r="S217" s="295">
        <f t="shared" si="57"/>
        <v>19284.088862728921</v>
      </c>
      <c r="T217" s="295">
        <f t="shared" si="56"/>
        <v>19284.088862728921</v>
      </c>
      <c r="U217" s="295">
        <f t="shared" si="56"/>
        <v>19284.088862728921</v>
      </c>
      <c r="V217" s="295">
        <f t="shared" si="56"/>
        <v>19284.088862728921</v>
      </c>
      <c r="W217" s="295">
        <f t="shared" si="56"/>
        <v>19284.088862728921</v>
      </c>
      <c r="X217" s="295">
        <f t="shared" si="56"/>
        <v>19284.088862728921</v>
      </c>
      <c r="Y217" s="295">
        <f t="shared" si="56"/>
        <v>19284.088862728921</v>
      </c>
      <c r="Z217" s="295">
        <f t="shared" si="56"/>
        <v>19284.088862728921</v>
      </c>
      <c r="AA217" s="295">
        <f t="shared" si="56"/>
        <v>19284.088862728921</v>
      </c>
      <c r="AB217" s="295">
        <f t="shared" si="56"/>
        <v>19284.088862728921</v>
      </c>
      <c r="AC217" s="295">
        <f t="shared" si="56"/>
        <v>19284.088862728921</v>
      </c>
      <c r="AD217" s="295">
        <f t="shared" si="56"/>
        <v>19284.088862728921</v>
      </c>
      <c r="AE217" s="296">
        <f t="shared" si="56"/>
        <v>19284.088862728921</v>
      </c>
    </row>
    <row r="218" spans="1:31">
      <c r="A218" s="1711"/>
      <c r="B218" s="116">
        <v>20</v>
      </c>
      <c r="C218" s="294">
        <f t="shared" si="58"/>
        <v>19284.088862728921</v>
      </c>
      <c r="D218" s="295">
        <f t="shared" si="57"/>
        <v>19284.088862728921</v>
      </c>
      <c r="E218" s="295">
        <f t="shared" si="57"/>
        <v>19284.088862728921</v>
      </c>
      <c r="F218" s="295">
        <f t="shared" si="57"/>
        <v>19284.088862728921</v>
      </c>
      <c r="G218" s="295">
        <f t="shared" si="57"/>
        <v>19284.088862728921</v>
      </c>
      <c r="H218" s="295">
        <f t="shared" si="57"/>
        <v>19284.088862728921</v>
      </c>
      <c r="I218" s="295">
        <f t="shared" si="57"/>
        <v>19284.088862728921</v>
      </c>
      <c r="J218" s="295">
        <f t="shared" si="57"/>
        <v>19284.088862728921</v>
      </c>
      <c r="K218" s="295">
        <f t="shared" si="57"/>
        <v>19284.088862728921</v>
      </c>
      <c r="L218" s="295">
        <f t="shared" si="57"/>
        <v>19284.088862728921</v>
      </c>
      <c r="M218" s="295">
        <f t="shared" si="57"/>
        <v>19284.088862728921</v>
      </c>
      <c r="N218" s="295">
        <f t="shared" si="57"/>
        <v>19284.088862728921</v>
      </c>
      <c r="O218" s="295">
        <f t="shared" si="57"/>
        <v>19284.088862728921</v>
      </c>
      <c r="P218" s="295">
        <f t="shared" si="57"/>
        <v>19284.088862728921</v>
      </c>
      <c r="Q218" s="295">
        <f t="shared" si="57"/>
        <v>19284.088862728921</v>
      </c>
      <c r="R218" s="295">
        <f t="shared" si="57"/>
        <v>19284.088862728921</v>
      </c>
      <c r="S218" s="295">
        <f t="shared" si="57"/>
        <v>19284.088862728921</v>
      </c>
      <c r="T218" s="295">
        <f t="shared" si="56"/>
        <v>19284.088862728921</v>
      </c>
      <c r="U218" s="295">
        <f t="shared" si="56"/>
        <v>19284.088862728921</v>
      </c>
      <c r="V218" s="295">
        <f t="shared" si="56"/>
        <v>19284.088862728921</v>
      </c>
      <c r="W218" s="295">
        <f t="shared" si="56"/>
        <v>19284.088862728921</v>
      </c>
      <c r="X218" s="295">
        <f t="shared" si="56"/>
        <v>19284.088862728921</v>
      </c>
      <c r="Y218" s="295">
        <f t="shared" si="56"/>
        <v>19284.088862728921</v>
      </c>
      <c r="Z218" s="295">
        <f t="shared" si="56"/>
        <v>19284.088862728921</v>
      </c>
      <c r="AA218" s="295">
        <f t="shared" si="56"/>
        <v>19284.088862728921</v>
      </c>
      <c r="AB218" s="295">
        <f t="shared" si="56"/>
        <v>19284.088862728921</v>
      </c>
      <c r="AC218" s="295">
        <f t="shared" si="56"/>
        <v>19284.088862728921</v>
      </c>
      <c r="AD218" s="295">
        <f t="shared" si="56"/>
        <v>19284.088862728921</v>
      </c>
      <c r="AE218" s="296">
        <f t="shared" si="56"/>
        <v>19284.088862728921</v>
      </c>
    </row>
    <row r="219" spans="1:31">
      <c r="A219" s="1711"/>
      <c r="B219" s="116">
        <v>21</v>
      </c>
      <c r="C219" s="294">
        <f t="shared" si="58"/>
        <v>19284.088862728921</v>
      </c>
      <c r="D219" s="295">
        <f t="shared" si="57"/>
        <v>19284.088862728921</v>
      </c>
      <c r="E219" s="295">
        <f t="shared" si="57"/>
        <v>19284.088862728921</v>
      </c>
      <c r="F219" s="295">
        <f t="shared" si="57"/>
        <v>19284.088862728921</v>
      </c>
      <c r="G219" s="295">
        <f t="shared" si="57"/>
        <v>19284.088862728921</v>
      </c>
      <c r="H219" s="295">
        <f t="shared" si="57"/>
        <v>19284.088862728921</v>
      </c>
      <c r="I219" s="295">
        <f t="shared" si="57"/>
        <v>19284.088862728921</v>
      </c>
      <c r="J219" s="295">
        <f t="shared" si="57"/>
        <v>19284.088862728921</v>
      </c>
      <c r="K219" s="295">
        <f t="shared" si="57"/>
        <v>19284.088862728921</v>
      </c>
      <c r="L219" s="295">
        <f t="shared" si="57"/>
        <v>19284.088862728921</v>
      </c>
      <c r="M219" s="295">
        <f t="shared" si="57"/>
        <v>19284.088862728921</v>
      </c>
      <c r="N219" s="295">
        <f t="shared" si="57"/>
        <v>19284.088862728921</v>
      </c>
      <c r="O219" s="295">
        <f t="shared" si="57"/>
        <v>19284.088862728921</v>
      </c>
      <c r="P219" s="295">
        <f t="shared" si="57"/>
        <v>19284.088862728921</v>
      </c>
      <c r="Q219" s="295">
        <f t="shared" si="57"/>
        <v>19284.088862728921</v>
      </c>
      <c r="R219" s="295">
        <f t="shared" si="57"/>
        <v>19284.088862728921</v>
      </c>
      <c r="S219" s="295">
        <f t="shared" si="57"/>
        <v>19284.088862728921</v>
      </c>
      <c r="T219" s="295">
        <f t="shared" si="56"/>
        <v>19284.088862728921</v>
      </c>
      <c r="U219" s="295">
        <f t="shared" si="56"/>
        <v>19284.088862728921</v>
      </c>
      <c r="V219" s="295">
        <f t="shared" si="56"/>
        <v>19284.088862728921</v>
      </c>
      <c r="W219" s="295">
        <f t="shared" si="56"/>
        <v>19284.088862728921</v>
      </c>
      <c r="X219" s="295">
        <f t="shared" si="56"/>
        <v>19284.088862728921</v>
      </c>
      <c r="Y219" s="295">
        <f t="shared" si="56"/>
        <v>19284.088862728921</v>
      </c>
      <c r="Z219" s="295">
        <f t="shared" si="56"/>
        <v>19284.088862728921</v>
      </c>
      <c r="AA219" s="295">
        <f t="shared" si="56"/>
        <v>19284.088862728921</v>
      </c>
      <c r="AB219" s="295">
        <f t="shared" si="56"/>
        <v>19284.088862728921</v>
      </c>
      <c r="AC219" s="295">
        <f t="shared" si="56"/>
        <v>19284.088862728921</v>
      </c>
      <c r="AD219" s="295">
        <f t="shared" si="56"/>
        <v>19284.088862728921</v>
      </c>
      <c r="AE219" s="296">
        <f t="shared" si="56"/>
        <v>19284.088862728921</v>
      </c>
    </row>
    <row r="220" spans="1:31">
      <c r="A220" s="1711"/>
      <c r="B220" s="116">
        <v>22</v>
      </c>
      <c r="C220" s="294">
        <f t="shared" si="58"/>
        <v>19284.088862728921</v>
      </c>
      <c r="D220" s="295">
        <f t="shared" si="57"/>
        <v>19284.088862728921</v>
      </c>
      <c r="E220" s="295">
        <f t="shared" si="57"/>
        <v>19284.088862728921</v>
      </c>
      <c r="F220" s="295">
        <f t="shared" si="57"/>
        <v>19284.088862728921</v>
      </c>
      <c r="G220" s="295">
        <f t="shared" si="57"/>
        <v>19284.088862728921</v>
      </c>
      <c r="H220" s="295">
        <f t="shared" si="57"/>
        <v>19284.088862728921</v>
      </c>
      <c r="I220" s="295">
        <f t="shared" si="57"/>
        <v>19284.088862728921</v>
      </c>
      <c r="J220" s="295">
        <f t="shared" si="57"/>
        <v>19284.088862728921</v>
      </c>
      <c r="K220" s="295">
        <f t="shared" si="57"/>
        <v>19284.088862728921</v>
      </c>
      <c r="L220" s="295">
        <f t="shared" si="57"/>
        <v>19284.088862728921</v>
      </c>
      <c r="M220" s="295">
        <f t="shared" si="57"/>
        <v>19284.088862728921</v>
      </c>
      <c r="N220" s="295">
        <f t="shared" si="57"/>
        <v>19284.088862728921</v>
      </c>
      <c r="O220" s="295">
        <f t="shared" si="57"/>
        <v>19284.088862728921</v>
      </c>
      <c r="P220" s="295">
        <f t="shared" si="57"/>
        <v>19284.088862728921</v>
      </c>
      <c r="Q220" s="295">
        <f t="shared" si="57"/>
        <v>19284.088862728921</v>
      </c>
      <c r="R220" s="295">
        <f t="shared" si="57"/>
        <v>19284.088862728921</v>
      </c>
      <c r="S220" s="295">
        <f t="shared" si="57"/>
        <v>19284.088862728921</v>
      </c>
      <c r="T220" s="295">
        <f t="shared" si="56"/>
        <v>19284.088862728921</v>
      </c>
      <c r="U220" s="295">
        <f t="shared" si="56"/>
        <v>19284.088862728921</v>
      </c>
      <c r="V220" s="295">
        <f t="shared" si="56"/>
        <v>19284.088862728921</v>
      </c>
      <c r="W220" s="295">
        <f t="shared" si="56"/>
        <v>19284.088862728921</v>
      </c>
      <c r="X220" s="295">
        <f t="shared" si="56"/>
        <v>19284.088862728921</v>
      </c>
      <c r="Y220" s="295">
        <f t="shared" si="56"/>
        <v>19284.088862728921</v>
      </c>
      <c r="Z220" s="295">
        <f t="shared" si="56"/>
        <v>19284.088862728921</v>
      </c>
      <c r="AA220" s="295">
        <f t="shared" si="56"/>
        <v>19284.088862728921</v>
      </c>
      <c r="AB220" s="295">
        <f t="shared" si="56"/>
        <v>19284.088862728921</v>
      </c>
      <c r="AC220" s="295">
        <f t="shared" si="56"/>
        <v>19284.088862728921</v>
      </c>
      <c r="AD220" s="295">
        <f t="shared" si="56"/>
        <v>19284.088862728921</v>
      </c>
      <c r="AE220" s="296">
        <f t="shared" si="56"/>
        <v>19284.088862728921</v>
      </c>
    </row>
    <row r="221" spans="1:31">
      <c r="A221" s="1711"/>
      <c r="B221" s="116">
        <v>23</v>
      </c>
      <c r="C221" s="294">
        <f t="shared" si="58"/>
        <v>19284.088862728921</v>
      </c>
      <c r="D221" s="295">
        <f t="shared" si="57"/>
        <v>19284.088862728921</v>
      </c>
      <c r="E221" s="295">
        <f t="shared" si="57"/>
        <v>19284.088862728921</v>
      </c>
      <c r="F221" s="295">
        <f t="shared" si="57"/>
        <v>19284.088862728921</v>
      </c>
      <c r="G221" s="295">
        <f t="shared" si="57"/>
        <v>19284.088862728921</v>
      </c>
      <c r="H221" s="295">
        <f t="shared" si="57"/>
        <v>19284.088862728921</v>
      </c>
      <c r="I221" s="295">
        <f t="shared" si="57"/>
        <v>19284.088862728921</v>
      </c>
      <c r="J221" s="295">
        <f t="shared" si="57"/>
        <v>19284.088862728921</v>
      </c>
      <c r="K221" s="295">
        <f t="shared" si="57"/>
        <v>19284.088862728921</v>
      </c>
      <c r="L221" s="295">
        <f t="shared" si="57"/>
        <v>19284.088862728921</v>
      </c>
      <c r="M221" s="295">
        <f t="shared" si="57"/>
        <v>19284.088862728921</v>
      </c>
      <c r="N221" s="295">
        <f t="shared" si="57"/>
        <v>19284.088862728921</v>
      </c>
      <c r="O221" s="295">
        <f t="shared" si="57"/>
        <v>19284.088862728921</v>
      </c>
      <c r="P221" s="295">
        <f t="shared" si="57"/>
        <v>19284.088862728921</v>
      </c>
      <c r="Q221" s="295">
        <f t="shared" si="57"/>
        <v>19284.088862728921</v>
      </c>
      <c r="R221" s="295">
        <f t="shared" si="57"/>
        <v>19284.088862728921</v>
      </c>
      <c r="S221" s="295">
        <f t="shared" si="57"/>
        <v>19284.088862728921</v>
      </c>
      <c r="T221" s="295">
        <f t="shared" si="56"/>
        <v>19284.088862728921</v>
      </c>
      <c r="U221" s="295">
        <f t="shared" si="56"/>
        <v>19284.088862728921</v>
      </c>
      <c r="V221" s="295">
        <f t="shared" si="56"/>
        <v>19284.088862728921</v>
      </c>
      <c r="W221" s="295">
        <f t="shared" si="56"/>
        <v>19284.088862728921</v>
      </c>
      <c r="X221" s="295">
        <f t="shared" si="56"/>
        <v>19284.088862728921</v>
      </c>
      <c r="Y221" s="295">
        <f t="shared" si="56"/>
        <v>19284.088862728921</v>
      </c>
      <c r="Z221" s="295">
        <f t="shared" si="56"/>
        <v>19284.088862728921</v>
      </c>
      <c r="AA221" s="295">
        <f t="shared" si="56"/>
        <v>19284.088862728921</v>
      </c>
      <c r="AB221" s="295">
        <f t="shared" si="56"/>
        <v>19284.088862728921</v>
      </c>
      <c r="AC221" s="295">
        <f t="shared" si="56"/>
        <v>19284.088862728921</v>
      </c>
      <c r="AD221" s="295">
        <f t="shared" si="56"/>
        <v>19284.088862728921</v>
      </c>
      <c r="AE221" s="296">
        <f t="shared" si="56"/>
        <v>19284.088862728921</v>
      </c>
    </row>
    <row r="222" spans="1:31">
      <c r="A222" s="1711"/>
      <c r="B222" s="116">
        <v>24</v>
      </c>
      <c r="C222" s="294">
        <f t="shared" si="58"/>
        <v>19284.088862728921</v>
      </c>
      <c r="D222" s="295">
        <f t="shared" si="57"/>
        <v>19284.088862728921</v>
      </c>
      <c r="E222" s="295">
        <f t="shared" si="57"/>
        <v>19284.088862728921</v>
      </c>
      <c r="F222" s="295">
        <f t="shared" si="57"/>
        <v>19284.088862728921</v>
      </c>
      <c r="G222" s="295">
        <f t="shared" si="57"/>
        <v>19284.088862728921</v>
      </c>
      <c r="H222" s="295">
        <f t="shared" si="57"/>
        <v>19284.088862728921</v>
      </c>
      <c r="I222" s="295">
        <f t="shared" si="57"/>
        <v>19284.088862728921</v>
      </c>
      <c r="J222" s="295">
        <f t="shared" si="57"/>
        <v>19284.088862728921</v>
      </c>
      <c r="K222" s="295">
        <f t="shared" si="57"/>
        <v>19284.088862728921</v>
      </c>
      <c r="L222" s="295">
        <f t="shared" si="57"/>
        <v>19284.088862728921</v>
      </c>
      <c r="M222" s="295">
        <f t="shared" si="57"/>
        <v>19284.088862728921</v>
      </c>
      <c r="N222" s="295">
        <f t="shared" si="57"/>
        <v>19284.088862728921</v>
      </c>
      <c r="O222" s="295">
        <f t="shared" si="57"/>
        <v>19284.088862728921</v>
      </c>
      <c r="P222" s="295">
        <f t="shared" si="57"/>
        <v>19284.088862728921</v>
      </c>
      <c r="Q222" s="295">
        <f t="shared" si="57"/>
        <v>19284.088862728921</v>
      </c>
      <c r="R222" s="295">
        <f t="shared" si="57"/>
        <v>19284.088862728921</v>
      </c>
      <c r="S222" s="295">
        <f t="shared" si="57"/>
        <v>19284.088862728921</v>
      </c>
      <c r="T222" s="295">
        <f t="shared" si="56"/>
        <v>19284.088862728921</v>
      </c>
      <c r="U222" s="295">
        <f t="shared" si="56"/>
        <v>19284.088862728921</v>
      </c>
      <c r="V222" s="295">
        <f t="shared" si="56"/>
        <v>19284.088862728921</v>
      </c>
      <c r="W222" s="295">
        <f t="shared" si="56"/>
        <v>19284.088862728921</v>
      </c>
      <c r="X222" s="295">
        <f t="shared" si="56"/>
        <v>19284.088862728921</v>
      </c>
      <c r="Y222" s="295">
        <f t="shared" si="56"/>
        <v>19284.088862728921</v>
      </c>
      <c r="Z222" s="295">
        <f t="shared" si="56"/>
        <v>19284.088862728921</v>
      </c>
      <c r="AA222" s="295">
        <f t="shared" si="56"/>
        <v>19284.088862728921</v>
      </c>
      <c r="AB222" s="295">
        <f t="shared" si="56"/>
        <v>19284.088862728921</v>
      </c>
      <c r="AC222" s="295">
        <f t="shared" si="56"/>
        <v>19284.088862728921</v>
      </c>
      <c r="AD222" s="295">
        <f t="shared" si="56"/>
        <v>19284.088862728921</v>
      </c>
      <c r="AE222" s="296">
        <f t="shared" si="56"/>
        <v>19284.088862728921</v>
      </c>
    </row>
    <row r="223" spans="1:31" ht="15.75" thickBot="1">
      <c r="A223" s="1711"/>
      <c r="B223" s="116">
        <v>25</v>
      </c>
      <c r="C223" s="297">
        <f t="shared" si="58"/>
        <v>19284.088862728921</v>
      </c>
      <c r="D223" s="298">
        <f t="shared" si="57"/>
        <v>19284.088862728921</v>
      </c>
      <c r="E223" s="298">
        <f t="shared" si="57"/>
        <v>19284.088862728921</v>
      </c>
      <c r="F223" s="298">
        <f t="shared" si="57"/>
        <v>19284.088862728921</v>
      </c>
      <c r="G223" s="298">
        <f t="shared" si="57"/>
        <v>19284.088862728921</v>
      </c>
      <c r="H223" s="298">
        <f t="shared" si="57"/>
        <v>19284.088862728921</v>
      </c>
      <c r="I223" s="298">
        <f t="shared" si="57"/>
        <v>19284.088862728921</v>
      </c>
      <c r="J223" s="298">
        <f t="shared" si="57"/>
        <v>19284.088862728921</v>
      </c>
      <c r="K223" s="298">
        <f t="shared" si="57"/>
        <v>19284.088862728921</v>
      </c>
      <c r="L223" s="298">
        <f t="shared" si="57"/>
        <v>19284.088862728921</v>
      </c>
      <c r="M223" s="298">
        <f t="shared" si="57"/>
        <v>19284.088862728921</v>
      </c>
      <c r="N223" s="298">
        <f t="shared" si="57"/>
        <v>19284.088862728921</v>
      </c>
      <c r="O223" s="298">
        <f t="shared" si="57"/>
        <v>19284.088862728921</v>
      </c>
      <c r="P223" s="298">
        <f t="shared" si="57"/>
        <v>19284.088862728921</v>
      </c>
      <c r="Q223" s="298">
        <f t="shared" si="57"/>
        <v>19284.088862728921</v>
      </c>
      <c r="R223" s="298">
        <f t="shared" si="57"/>
        <v>19284.088862728921</v>
      </c>
      <c r="S223" s="298">
        <f t="shared" si="57"/>
        <v>19284.088862728921</v>
      </c>
      <c r="T223" s="298">
        <f t="shared" si="56"/>
        <v>19284.088862728921</v>
      </c>
      <c r="U223" s="298">
        <f t="shared" si="56"/>
        <v>19284.088862728921</v>
      </c>
      <c r="V223" s="298">
        <f t="shared" si="56"/>
        <v>19284.088862728921</v>
      </c>
      <c r="W223" s="298">
        <f t="shared" si="56"/>
        <v>19284.088862728921</v>
      </c>
      <c r="X223" s="298">
        <f t="shared" si="56"/>
        <v>19284.088862728921</v>
      </c>
      <c r="Y223" s="298">
        <f t="shared" si="56"/>
        <v>19284.088862728921</v>
      </c>
      <c r="Z223" s="298">
        <f t="shared" si="56"/>
        <v>19284.088862728921</v>
      </c>
      <c r="AA223" s="298">
        <f t="shared" si="56"/>
        <v>19284.088862728921</v>
      </c>
      <c r="AB223" s="298">
        <f t="shared" si="56"/>
        <v>19284.088862728921</v>
      </c>
      <c r="AC223" s="298">
        <f t="shared" si="56"/>
        <v>19284.088862728921</v>
      </c>
      <c r="AD223" s="298">
        <f t="shared" si="56"/>
        <v>19284.088862728921</v>
      </c>
      <c r="AE223" s="299">
        <f t="shared" si="56"/>
        <v>19284.088862728921</v>
      </c>
    </row>
    <row r="224" spans="1:31" ht="16.5" thickTop="1" thickBot="1">
      <c r="A224" s="1712"/>
      <c r="B224" s="300" t="s">
        <v>39</v>
      </c>
      <c r="C224" s="461">
        <f>IF('CAR Stock'!C253=0,0,SUMPRODUCT(C198:C223,'CAR Stock'!C227:C252)/'CAR Stock'!C253)</f>
        <v>23932.524688240166</v>
      </c>
      <c r="D224" s="461">
        <f>IF('CAR Stock'!D253=0,0,SUMPRODUCT(D198:D223,'CAR Stock'!D227:D252)/'CAR Stock'!D253)</f>
        <v>23582.701740625358</v>
      </c>
      <c r="E224" s="461">
        <f>IF('CAR Stock'!E253=0,0,SUMPRODUCT(E198:E223,'CAR Stock'!E227:E252)/'CAR Stock'!E253)</f>
        <v>23220.123530748402</v>
      </c>
      <c r="F224" s="461">
        <f>IF('CAR Stock'!F253=0,0,SUMPRODUCT(F198:F223,'CAR Stock'!F227:F252)/'CAR Stock'!F253)</f>
        <v>22873.114379120896</v>
      </c>
      <c r="G224" s="461">
        <f>IF('CAR Stock'!G253=0,0,SUMPRODUCT(G198:G223,'CAR Stock'!G227:G252)/'CAR Stock'!G253)</f>
        <v>22551.147284335893</v>
      </c>
      <c r="H224" s="461">
        <f>IF('CAR Stock'!H253=0,0,SUMPRODUCT(H198:H223,'CAR Stock'!H227:H252)/'CAR Stock'!H253)</f>
        <v>22252.209100218468</v>
      </c>
      <c r="I224" s="461">
        <f>IF('CAR Stock'!I253=0,0,SUMPRODUCT(I198:I223,'CAR Stock'!I227:I252)/'CAR Stock'!I253)</f>
        <v>21968.873227693231</v>
      </c>
      <c r="J224" s="461">
        <f>IF('CAR Stock'!J253=0,0,SUMPRODUCT(J198:J223,'CAR Stock'!J227:J252)/'CAR Stock'!J253)</f>
        <v>21697.076001165453</v>
      </c>
      <c r="K224" s="461">
        <f>IF('CAR Stock'!K253=0,0,SUMPRODUCT(K198:K223,'CAR Stock'!K227:K252)/'CAR Stock'!K253)</f>
        <v>21434.906988515064</v>
      </c>
      <c r="L224" s="461">
        <f>IF('CAR Stock'!L253=0,0,SUMPRODUCT(L198:L223,'CAR Stock'!L227:L252)/'CAR Stock'!L253)</f>
        <v>21190.85749093624</v>
      </c>
      <c r="M224" s="461">
        <f>IF('CAR Stock'!M253=0,0,SUMPRODUCT(M198:M223,'CAR Stock'!M227:M252)/'CAR Stock'!M253)</f>
        <v>20960.903571241219</v>
      </c>
      <c r="N224" s="461">
        <f>IF('CAR Stock'!N253=0,0,SUMPRODUCT(N198:N223,'CAR Stock'!N227:N252)/'CAR Stock'!N253)</f>
        <v>20730.935295047024</v>
      </c>
      <c r="O224" s="461">
        <f>IF('CAR Stock'!O253=0,0,SUMPRODUCT(O198:O223,'CAR Stock'!O227:O252)/'CAR Stock'!O253)</f>
        <v>20477.917793300279</v>
      </c>
      <c r="P224" s="461">
        <f>IF('CAR Stock'!P253=0,0,SUMPRODUCT(P198:P223,'CAR Stock'!P227:P252)/'CAR Stock'!P253)</f>
        <v>20189.50206914706</v>
      </c>
      <c r="Q224" s="461">
        <f>IF('CAR Stock'!Q253=0,0,SUMPRODUCT(Q198:Q223,'CAR Stock'!Q227:Q252)/'CAR Stock'!Q253)</f>
        <v>19867.518885377467</v>
      </c>
      <c r="R224" s="461">
        <f>IF('CAR Stock'!R253=0,0,SUMPRODUCT(R198:R223,'CAR Stock'!R227:R252)/'CAR Stock'!R253)</f>
        <v>19535.719046030263</v>
      </c>
      <c r="S224" s="461">
        <f>IF('CAR Stock'!S253=0,0,SUMPRODUCT(S198:S223,'CAR Stock'!S227:S252)/'CAR Stock'!S253)</f>
        <v>19284.088862728917</v>
      </c>
      <c r="T224" s="461">
        <f>IF('CAR Stock'!T253=0,0,SUMPRODUCT(T198:T223,'CAR Stock'!T227:T252)/'CAR Stock'!T253)</f>
        <v>19284.088862728917</v>
      </c>
      <c r="U224" s="461">
        <f>IF('CAR Stock'!U253=0,0,SUMPRODUCT(U198:U223,'CAR Stock'!U227:U252)/'CAR Stock'!U253)</f>
        <v>19284.088862728921</v>
      </c>
      <c r="V224" s="461">
        <f>IF('CAR Stock'!V253=0,0,SUMPRODUCT(V198:V223,'CAR Stock'!V227:V252)/'CAR Stock'!V253)</f>
        <v>19284.088862728924</v>
      </c>
      <c r="W224" s="461">
        <f>IF('CAR Stock'!W253=0,0,SUMPRODUCT(W198:W223,'CAR Stock'!W227:W252)/'CAR Stock'!W253)</f>
        <v>19284.088862728913</v>
      </c>
      <c r="X224" s="461">
        <f>IF('CAR Stock'!X253=0,0,SUMPRODUCT(X198:X223,'CAR Stock'!X227:X252)/'CAR Stock'!X253)</f>
        <v>19284.088862728921</v>
      </c>
      <c r="Y224" s="461">
        <f>IF('CAR Stock'!Y253=0,0,SUMPRODUCT(Y198:Y223,'CAR Stock'!Y227:Y252)/'CAR Stock'!Y253)</f>
        <v>19284.088862728917</v>
      </c>
      <c r="Z224" s="461">
        <f>IF('CAR Stock'!Z253=0,0,SUMPRODUCT(Z198:Z223,'CAR Stock'!Z227:Z252)/'CAR Stock'!Z253)</f>
        <v>19284.088862728921</v>
      </c>
      <c r="AA224" s="461">
        <f>IF('CAR Stock'!AA253=0,0,SUMPRODUCT(AA198:AA223,'CAR Stock'!AA227:AA252)/'CAR Stock'!AA253)</f>
        <v>19284.088862728921</v>
      </c>
      <c r="AB224" s="461">
        <f>IF('CAR Stock'!AB253=0,0,SUMPRODUCT(AB198:AB223,'CAR Stock'!AB227:AB252)/'CAR Stock'!AB253)</f>
        <v>0</v>
      </c>
      <c r="AC224" s="461">
        <f>IF('CAR Stock'!AC253=0,0,SUMPRODUCT(AC198:AC223,'CAR Stock'!AC227:AC252)/'CAR Stock'!AC253)</f>
        <v>0</v>
      </c>
      <c r="AD224" s="461">
        <f>IF('CAR Stock'!AD253=0,0,SUMPRODUCT(AD198:AD223,'CAR Stock'!AD227:AD252)/'CAR Stock'!AD253)</f>
        <v>0</v>
      </c>
      <c r="AE224" s="462">
        <f>IF('CAR Stock'!AE253=0,0,SUMPRODUCT(AE198:AE223,'CAR Stock'!AE227:AE252)/'CAR Stock'!AE253)</f>
        <v>0</v>
      </c>
    </row>
    <row r="225" spans="1:31" ht="15.75" thickBot="1"/>
    <row r="226" spans="1:31" ht="15.75" thickBot="1">
      <c r="A226" s="1710" t="s">
        <v>48</v>
      </c>
      <c r="B226" s="169" t="s">
        <v>10</v>
      </c>
      <c r="C226" s="288">
        <v>2012</v>
      </c>
      <c r="D226" s="289">
        <v>2013</v>
      </c>
      <c r="E226" s="289">
        <v>2014</v>
      </c>
      <c r="F226" s="289">
        <v>2015</v>
      </c>
      <c r="G226" s="288">
        <v>2016</v>
      </c>
      <c r="H226" s="289">
        <v>2017</v>
      </c>
      <c r="I226" s="289">
        <v>2018</v>
      </c>
      <c r="J226" s="289">
        <v>2019</v>
      </c>
      <c r="K226" s="288">
        <v>2020</v>
      </c>
      <c r="L226" s="289">
        <v>2021</v>
      </c>
      <c r="M226" s="289">
        <v>2022</v>
      </c>
      <c r="N226" s="289">
        <v>2023</v>
      </c>
      <c r="O226" s="288">
        <v>2024</v>
      </c>
      <c r="P226" s="289">
        <v>2025</v>
      </c>
      <c r="Q226" s="289">
        <v>2026</v>
      </c>
      <c r="R226" s="289">
        <v>2027</v>
      </c>
      <c r="S226" s="288">
        <v>2028</v>
      </c>
      <c r="T226" s="289">
        <v>2029</v>
      </c>
      <c r="U226" s="289">
        <v>2030</v>
      </c>
      <c r="V226" s="289">
        <v>2031</v>
      </c>
      <c r="W226" s="288">
        <v>2032</v>
      </c>
      <c r="X226" s="289">
        <v>2033</v>
      </c>
      <c r="Y226" s="289">
        <v>2034</v>
      </c>
      <c r="Z226" s="289">
        <v>2035</v>
      </c>
      <c r="AA226" s="288">
        <v>2036</v>
      </c>
      <c r="AB226" s="289">
        <v>2037</v>
      </c>
      <c r="AC226" s="289">
        <v>2038</v>
      </c>
      <c r="AD226" s="289">
        <v>2039</v>
      </c>
      <c r="AE226" s="290">
        <v>2040</v>
      </c>
    </row>
    <row r="227" spans="1:31">
      <c r="A227" s="1711" t="s">
        <v>41</v>
      </c>
      <c r="B227" s="116">
        <v>0</v>
      </c>
      <c r="C227" s="291">
        <f>'CAR Mileage'!L4</f>
        <v>26868.444624319873</v>
      </c>
      <c r="D227" s="292">
        <f>C227</f>
        <v>26868.444624319873</v>
      </c>
      <c r="E227" s="292">
        <f t="shared" ref="E227:T227" si="59">D227</f>
        <v>26868.444624319873</v>
      </c>
      <c r="F227" s="292">
        <f t="shared" si="59"/>
        <v>26868.444624319873</v>
      </c>
      <c r="G227" s="292">
        <f t="shared" si="59"/>
        <v>26868.444624319873</v>
      </c>
      <c r="H227" s="292">
        <f t="shared" si="59"/>
        <v>26868.444624319873</v>
      </c>
      <c r="I227" s="292">
        <f t="shared" si="59"/>
        <v>26868.444624319873</v>
      </c>
      <c r="J227" s="292">
        <f t="shared" si="59"/>
        <v>26868.444624319873</v>
      </c>
      <c r="K227" s="292">
        <f t="shared" si="59"/>
        <v>26868.444624319873</v>
      </c>
      <c r="L227" s="292">
        <f t="shared" si="59"/>
        <v>26868.444624319873</v>
      </c>
      <c r="M227" s="292">
        <f t="shared" si="59"/>
        <v>26868.444624319873</v>
      </c>
      <c r="N227" s="292">
        <f t="shared" si="59"/>
        <v>26868.444624319873</v>
      </c>
      <c r="O227" s="292">
        <f t="shared" si="59"/>
        <v>26868.444624319873</v>
      </c>
      <c r="P227" s="292">
        <f t="shared" si="59"/>
        <v>26868.444624319873</v>
      </c>
      <c r="Q227" s="292">
        <f t="shared" si="59"/>
        <v>26868.444624319873</v>
      </c>
      <c r="R227" s="292">
        <f t="shared" si="59"/>
        <v>26868.444624319873</v>
      </c>
      <c r="S227" s="292">
        <f t="shared" si="59"/>
        <v>26868.444624319873</v>
      </c>
      <c r="T227" s="292">
        <f t="shared" si="59"/>
        <v>26868.444624319873</v>
      </c>
      <c r="U227" s="292">
        <f t="shared" ref="T227:AE242" si="60">T227</f>
        <v>26868.444624319873</v>
      </c>
      <c r="V227" s="292">
        <f t="shared" si="60"/>
        <v>26868.444624319873</v>
      </c>
      <c r="W227" s="292">
        <f t="shared" si="60"/>
        <v>26868.444624319873</v>
      </c>
      <c r="X227" s="292">
        <f t="shared" si="60"/>
        <v>26868.444624319873</v>
      </c>
      <c r="Y227" s="292">
        <f t="shared" si="60"/>
        <v>26868.444624319873</v>
      </c>
      <c r="Z227" s="292">
        <f t="shared" si="60"/>
        <v>26868.444624319873</v>
      </c>
      <c r="AA227" s="292">
        <f t="shared" si="60"/>
        <v>26868.444624319873</v>
      </c>
      <c r="AB227" s="292">
        <f t="shared" si="60"/>
        <v>26868.444624319873</v>
      </c>
      <c r="AC227" s="292">
        <f t="shared" si="60"/>
        <v>26868.444624319873</v>
      </c>
      <c r="AD227" s="292">
        <f t="shared" si="60"/>
        <v>26868.444624319873</v>
      </c>
      <c r="AE227" s="293">
        <f t="shared" si="60"/>
        <v>26868.444624319873</v>
      </c>
    </row>
    <row r="228" spans="1:31">
      <c r="A228" s="1711"/>
      <c r="B228" s="116">
        <v>1</v>
      </c>
      <c r="C228" s="294">
        <f>'CAR Mileage'!L5</f>
        <v>26331.075731833476</v>
      </c>
      <c r="D228" s="295">
        <f t="shared" ref="D228:S243" si="61">C228</f>
        <v>26331.075731833476</v>
      </c>
      <c r="E228" s="295">
        <f t="shared" si="61"/>
        <v>26331.075731833476</v>
      </c>
      <c r="F228" s="295">
        <f t="shared" si="61"/>
        <v>26331.075731833476</v>
      </c>
      <c r="G228" s="295">
        <f t="shared" si="61"/>
        <v>26331.075731833476</v>
      </c>
      <c r="H228" s="295">
        <f t="shared" si="61"/>
        <v>26331.075731833476</v>
      </c>
      <c r="I228" s="295">
        <f t="shared" si="61"/>
        <v>26331.075731833476</v>
      </c>
      <c r="J228" s="295">
        <f t="shared" si="61"/>
        <v>26331.075731833476</v>
      </c>
      <c r="K228" s="295">
        <f t="shared" si="61"/>
        <v>26331.075731833476</v>
      </c>
      <c r="L228" s="295">
        <f t="shared" si="61"/>
        <v>26331.075731833476</v>
      </c>
      <c r="M228" s="295">
        <f t="shared" si="61"/>
        <v>26331.075731833476</v>
      </c>
      <c r="N228" s="295">
        <f t="shared" si="61"/>
        <v>26331.075731833476</v>
      </c>
      <c r="O228" s="295">
        <f t="shared" si="61"/>
        <v>26331.075731833476</v>
      </c>
      <c r="P228" s="295">
        <f t="shared" si="61"/>
        <v>26331.075731833476</v>
      </c>
      <c r="Q228" s="295">
        <f t="shared" si="61"/>
        <v>26331.075731833476</v>
      </c>
      <c r="R228" s="295">
        <f t="shared" si="61"/>
        <v>26331.075731833476</v>
      </c>
      <c r="S228" s="295">
        <f t="shared" si="61"/>
        <v>26331.075731833476</v>
      </c>
      <c r="T228" s="295">
        <f t="shared" si="60"/>
        <v>26331.075731833476</v>
      </c>
      <c r="U228" s="295">
        <f t="shared" si="60"/>
        <v>26331.075731833476</v>
      </c>
      <c r="V228" s="295">
        <f t="shared" si="60"/>
        <v>26331.075731833476</v>
      </c>
      <c r="W228" s="295">
        <f t="shared" si="60"/>
        <v>26331.075731833476</v>
      </c>
      <c r="X228" s="295">
        <f t="shared" si="60"/>
        <v>26331.075731833476</v>
      </c>
      <c r="Y228" s="295">
        <f t="shared" si="60"/>
        <v>26331.075731833476</v>
      </c>
      <c r="Z228" s="295">
        <f t="shared" si="60"/>
        <v>26331.075731833476</v>
      </c>
      <c r="AA228" s="295">
        <f t="shared" si="60"/>
        <v>26331.075731833476</v>
      </c>
      <c r="AB228" s="295">
        <f t="shared" si="60"/>
        <v>26331.075731833476</v>
      </c>
      <c r="AC228" s="295">
        <f t="shared" si="60"/>
        <v>26331.075731833476</v>
      </c>
      <c r="AD228" s="295">
        <f t="shared" si="60"/>
        <v>26331.075731833476</v>
      </c>
      <c r="AE228" s="296">
        <f t="shared" si="60"/>
        <v>26331.075731833476</v>
      </c>
    </row>
    <row r="229" spans="1:31">
      <c r="A229" s="1711"/>
      <c r="B229" s="116">
        <v>2</v>
      </c>
      <c r="C229" s="294">
        <f>'CAR Mileage'!L6</f>
        <v>25804.454217196806</v>
      </c>
      <c r="D229" s="295">
        <f t="shared" si="61"/>
        <v>25804.454217196806</v>
      </c>
      <c r="E229" s="295">
        <f t="shared" si="61"/>
        <v>25804.454217196806</v>
      </c>
      <c r="F229" s="295">
        <f t="shared" si="61"/>
        <v>25804.454217196806</v>
      </c>
      <c r="G229" s="295">
        <f t="shared" si="61"/>
        <v>25804.454217196806</v>
      </c>
      <c r="H229" s="295">
        <f t="shared" si="61"/>
        <v>25804.454217196806</v>
      </c>
      <c r="I229" s="295">
        <f t="shared" si="61"/>
        <v>25804.454217196806</v>
      </c>
      <c r="J229" s="295">
        <f t="shared" si="61"/>
        <v>25804.454217196806</v>
      </c>
      <c r="K229" s="295">
        <f t="shared" si="61"/>
        <v>25804.454217196806</v>
      </c>
      <c r="L229" s="295">
        <f t="shared" si="61"/>
        <v>25804.454217196806</v>
      </c>
      <c r="M229" s="295">
        <f t="shared" si="61"/>
        <v>25804.454217196806</v>
      </c>
      <c r="N229" s="295">
        <f t="shared" si="61"/>
        <v>25804.454217196806</v>
      </c>
      <c r="O229" s="295">
        <f t="shared" si="61"/>
        <v>25804.454217196806</v>
      </c>
      <c r="P229" s="295">
        <f t="shared" si="61"/>
        <v>25804.454217196806</v>
      </c>
      <c r="Q229" s="295">
        <f t="shared" si="61"/>
        <v>25804.454217196806</v>
      </c>
      <c r="R229" s="295">
        <f t="shared" si="61"/>
        <v>25804.454217196806</v>
      </c>
      <c r="S229" s="295">
        <f t="shared" si="61"/>
        <v>25804.454217196806</v>
      </c>
      <c r="T229" s="295">
        <f t="shared" si="60"/>
        <v>25804.454217196806</v>
      </c>
      <c r="U229" s="295">
        <f t="shared" si="60"/>
        <v>25804.454217196806</v>
      </c>
      <c r="V229" s="295">
        <f t="shared" si="60"/>
        <v>25804.454217196806</v>
      </c>
      <c r="W229" s="295">
        <f t="shared" si="60"/>
        <v>25804.454217196806</v>
      </c>
      <c r="X229" s="295">
        <f t="shared" si="60"/>
        <v>25804.454217196806</v>
      </c>
      <c r="Y229" s="295">
        <f t="shared" si="60"/>
        <v>25804.454217196806</v>
      </c>
      <c r="Z229" s="295">
        <f t="shared" si="60"/>
        <v>25804.454217196806</v>
      </c>
      <c r="AA229" s="295">
        <f t="shared" si="60"/>
        <v>25804.454217196806</v>
      </c>
      <c r="AB229" s="295">
        <f t="shared" si="60"/>
        <v>25804.454217196806</v>
      </c>
      <c r="AC229" s="295">
        <f t="shared" si="60"/>
        <v>25804.454217196806</v>
      </c>
      <c r="AD229" s="295">
        <f t="shared" si="60"/>
        <v>25804.454217196806</v>
      </c>
      <c r="AE229" s="296">
        <f t="shared" si="60"/>
        <v>25804.454217196806</v>
      </c>
    </row>
    <row r="230" spans="1:31">
      <c r="A230" s="1711"/>
      <c r="B230" s="116">
        <v>3</v>
      </c>
      <c r="C230" s="294">
        <f>'CAR Mileage'!L7</f>
        <v>25288.365132852869</v>
      </c>
      <c r="D230" s="295">
        <f t="shared" si="61"/>
        <v>25288.365132852869</v>
      </c>
      <c r="E230" s="295">
        <f t="shared" si="61"/>
        <v>25288.365132852869</v>
      </c>
      <c r="F230" s="295">
        <f t="shared" si="61"/>
        <v>25288.365132852869</v>
      </c>
      <c r="G230" s="295">
        <f t="shared" si="61"/>
        <v>25288.365132852869</v>
      </c>
      <c r="H230" s="295">
        <f t="shared" si="61"/>
        <v>25288.365132852869</v>
      </c>
      <c r="I230" s="295">
        <f t="shared" si="61"/>
        <v>25288.365132852869</v>
      </c>
      <c r="J230" s="295">
        <f t="shared" si="61"/>
        <v>25288.365132852869</v>
      </c>
      <c r="K230" s="295">
        <f t="shared" si="61"/>
        <v>25288.365132852869</v>
      </c>
      <c r="L230" s="295">
        <f t="shared" si="61"/>
        <v>25288.365132852869</v>
      </c>
      <c r="M230" s="295">
        <f t="shared" si="61"/>
        <v>25288.365132852869</v>
      </c>
      <c r="N230" s="295">
        <f t="shared" si="61"/>
        <v>25288.365132852869</v>
      </c>
      <c r="O230" s="295">
        <f t="shared" si="61"/>
        <v>25288.365132852869</v>
      </c>
      <c r="P230" s="295">
        <f t="shared" si="61"/>
        <v>25288.365132852869</v>
      </c>
      <c r="Q230" s="295">
        <f t="shared" si="61"/>
        <v>25288.365132852869</v>
      </c>
      <c r="R230" s="295">
        <f t="shared" si="61"/>
        <v>25288.365132852869</v>
      </c>
      <c r="S230" s="295">
        <f t="shared" si="61"/>
        <v>25288.365132852869</v>
      </c>
      <c r="T230" s="295">
        <f t="shared" si="60"/>
        <v>25288.365132852869</v>
      </c>
      <c r="U230" s="295">
        <f t="shared" si="60"/>
        <v>25288.365132852869</v>
      </c>
      <c r="V230" s="295">
        <f t="shared" si="60"/>
        <v>25288.365132852869</v>
      </c>
      <c r="W230" s="295">
        <f t="shared" si="60"/>
        <v>25288.365132852869</v>
      </c>
      <c r="X230" s="295">
        <f t="shared" si="60"/>
        <v>25288.365132852869</v>
      </c>
      <c r="Y230" s="295">
        <f t="shared" si="60"/>
        <v>25288.365132852869</v>
      </c>
      <c r="Z230" s="295">
        <f t="shared" si="60"/>
        <v>25288.365132852869</v>
      </c>
      <c r="AA230" s="295">
        <f t="shared" si="60"/>
        <v>25288.365132852869</v>
      </c>
      <c r="AB230" s="295">
        <f t="shared" si="60"/>
        <v>25288.365132852869</v>
      </c>
      <c r="AC230" s="295">
        <f t="shared" si="60"/>
        <v>25288.365132852869</v>
      </c>
      <c r="AD230" s="295">
        <f t="shared" si="60"/>
        <v>25288.365132852869</v>
      </c>
      <c r="AE230" s="296">
        <f t="shared" si="60"/>
        <v>25288.365132852869</v>
      </c>
    </row>
    <row r="231" spans="1:31">
      <c r="A231" s="1711"/>
      <c r="B231" s="116">
        <v>4</v>
      </c>
      <c r="C231" s="294">
        <f>'CAR Mileage'!L8</f>
        <v>24782.597830195809</v>
      </c>
      <c r="D231" s="295">
        <f t="shared" si="61"/>
        <v>24782.597830195809</v>
      </c>
      <c r="E231" s="295">
        <f t="shared" si="61"/>
        <v>24782.597830195809</v>
      </c>
      <c r="F231" s="295">
        <f t="shared" si="61"/>
        <v>24782.597830195809</v>
      </c>
      <c r="G231" s="295">
        <f t="shared" si="61"/>
        <v>24782.597830195809</v>
      </c>
      <c r="H231" s="295">
        <f t="shared" si="61"/>
        <v>24782.597830195809</v>
      </c>
      <c r="I231" s="295">
        <f t="shared" si="61"/>
        <v>24782.597830195809</v>
      </c>
      <c r="J231" s="295">
        <f t="shared" si="61"/>
        <v>24782.597830195809</v>
      </c>
      <c r="K231" s="295">
        <f t="shared" si="61"/>
        <v>24782.597830195809</v>
      </c>
      <c r="L231" s="295">
        <f t="shared" si="61"/>
        <v>24782.597830195809</v>
      </c>
      <c r="M231" s="295">
        <f t="shared" si="61"/>
        <v>24782.597830195809</v>
      </c>
      <c r="N231" s="295">
        <f t="shared" si="61"/>
        <v>24782.597830195809</v>
      </c>
      <c r="O231" s="295">
        <f t="shared" si="61"/>
        <v>24782.597830195809</v>
      </c>
      <c r="P231" s="295">
        <f t="shared" si="61"/>
        <v>24782.597830195809</v>
      </c>
      <c r="Q231" s="295">
        <f t="shared" si="61"/>
        <v>24782.597830195809</v>
      </c>
      <c r="R231" s="295">
        <f t="shared" si="61"/>
        <v>24782.597830195809</v>
      </c>
      <c r="S231" s="295">
        <f t="shared" si="61"/>
        <v>24782.597830195809</v>
      </c>
      <c r="T231" s="295">
        <f t="shared" si="60"/>
        <v>24782.597830195809</v>
      </c>
      <c r="U231" s="295">
        <f t="shared" si="60"/>
        <v>24782.597830195809</v>
      </c>
      <c r="V231" s="295">
        <f t="shared" si="60"/>
        <v>24782.597830195809</v>
      </c>
      <c r="W231" s="295">
        <f t="shared" si="60"/>
        <v>24782.597830195809</v>
      </c>
      <c r="X231" s="295">
        <f t="shared" si="60"/>
        <v>24782.597830195809</v>
      </c>
      <c r="Y231" s="295">
        <f t="shared" si="60"/>
        <v>24782.597830195809</v>
      </c>
      <c r="Z231" s="295">
        <f t="shared" si="60"/>
        <v>24782.597830195809</v>
      </c>
      <c r="AA231" s="295">
        <f t="shared" si="60"/>
        <v>24782.597830195809</v>
      </c>
      <c r="AB231" s="295">
        <f t="shared" si="60"/>
        <v>24782.597830195809</v>
      </c>
      <c r="AC231" s="295">
        <f t="shared" si="60"/>
        <v>24782.597830195809</v>
      </c>
      <c r="AD231" s="295">
        <f t="shared" si="60"/>
        <v>24782.597830195809</v>
      </c>
      <c r="AE231" s="296">
        <f t="shared" si="60"/>
        <v>24782.597830195809</v>
      </c>
    </row>
    <row r="232" spans="1:31">
      <c r="A232" s="1711"/>
      <c r="B232" s="116">
        <v>5</v>
      </c>
      <c r="C232" s="294">
        <f>'CAR Mileage'!L9</f>
        <v>24286.945873591892</v>
      </c>
      <c r="D232" s="295">
        <f t="shared" si="61"/>
        <v>24286.945873591892</v>
      </c>
      <c r="E232" s="295">
        <f t="shared" si="61"/>
        <v>24286.945873591892</v>
      </c>
      <c r="F232" s="295">
        <f t="shared" si="61"/>
        <v>24286.945873591892</v>
      </c>
      <c r="G232" s="295">
        <f t="shared" si="61"/>
        <v>24286.945873591892</v>
      </c>
      <c r="H232" s="295">
        <f t="shared" si="61"/>
        <v>24286.945873591892</v>
      </c>
      <c r="I232" s="295">
        <f t="shared" si="61"/>
        <v>24286.945873591892</v>
      </c>
      <c r="J232" s="295">
        <f t="shared" si="61"/>
        <v>24286.945873591892</v>
      </c>
      <c r="K232" s="295">
        <f t="shared" si="61"/>
        <v>24286.945873591892</v>
      </c>
      <c r="L232" s="295">
        <f t="shared" si="61"/>
        <v>24286.945873591892</v>
      </c>
      <c r="M232" s="295">
        <f t="shared" si="61"/>
        <v>24286.945873591892</v>
      </c>
      <c r="N232" s="295">
        <f t="shared" si="61"/>
        <v>24286.945873591892</v>
      </c>
      <c r="O232" s="295">
        <f t="shared" si="61"/>
        <v>24286.945873591892</v>
      </c>
      <c r="P232" s="295">
        <f t="shared" si="61"/>
        <v>24286.945873591892</v>
      </c>
      <c r="Q232" s="295">
        <f t="shared" si="61"/>
        <v>24286.945873591892</v>
      </c>
      <c r="R232" s="295">
        <f t="shared" si="61"/>
        <v>24286.945873591892</v>
      </c>
      <c r="S232" s="295">
        <f t="shared" si="61"/>
        <v>24286.945873591892</v>
      </c>
      <c r="T232" s="295">
        <f t="shared" si="60"/>
        <v>24286.945873591892</v>
      </c>
      <c r="U232" s="295">
        <f t="shared" si="60"/>
        <v>24286.945873591892</v>
      </c>
      <c r="V232" s="295">
        <f t="shared" si="60"/>
        <v>24286.945873591892</v>
      </c>
      <c r="W232" s="295">
        <f t="shared" si="60"/>
        <v>24286.945873591892</v>
      </c>
      <c r="X232" s="295">
        <f t="shared" si="60"/>
        <v>24286.945873591892</v>
      </c>
      <c r="Y232" s="295">
        <f t="shared" si="60"/>
        <v>24286.945873591892</v>
      </c>
      <c r="Z232" s="295">
        <f t="shared" si="60"/>
        <v>24286.945873591892</v>
      </c>
      <c r="AA232" s="295">
        <f t="shared" si="60"/>
        <v>24286.945873591892</v>
      </c>
      <c r="AB232" s="295">
        <f t="shared" si="60"/>
        <v>24286.945873591892</v>
      </c>
      <c r="AC232" s="295">
        <f t="shared" si="60"/>
        <v>24286.945873591892</v>
      </c>
      <c r="AD232" s="295">
        <f t="shared" si="60"/>
        <v>24286.945873591892</v>
      </c>
      <c r="AE232" s="296">
        <f t="shared" si="60"/>
        <v>24286.945873591892</v>
      </c>
    </row>
    <row r="233" spans="1:31">
      <c r="A233" s="1711"/>
      <c r="B233" s="116">
        <v>6</v>
      </c>
      <c r="C233" s="294">
        <f>'CAR Mileage'!L10</f>
        <v>23801.206956120055</v>
      </c>
      <c r="D233" s="295">
        <f t="shared" si="61"/>
        <v>23801.206956120055</v>
      </c>
      <c r="E233" s="295">
        <f t="shared" si="61"/>
        <v>23801.206956120055</v>
      </c>
      <c r="F233" s="295">
        <f t="shared" si="61"/>
        <v>23801.206956120055</v>
      </c>
      <c r="G233" s="295">
        <f t="shared" si="61"/>
        <v>23801.206956120055</v>
      </c>
      <c r="H233" s="295">
        <f t="shared" si="61"/>
        <v>23801.206956120055</v>
      </c>
      <c r="I233" s="295">
        <f t="shared" si="61"/>
        <v>23801.206956120055</v>
      </c>
      <c r="J233" s="295">
        <f t="shared" si="61"/>
        <v>23801.206956120055</v>
      </c>
      <c r="K233" s="295">
        <f t="shared" si="61"/>
        <v>23801.206956120055</v>
      </c>
      <c r="L233" s="295">
        <f t="shared" si="61"/>
        <v>23801.206956120055</v>
      </c>
      <c r="M233" s="295">
        <f t="shared" si="61"/>
        <v>23801.206956120055</v>
      </c>
      <c r="N233" s="295">
        <f t="shared" si="61"/>
        <v>23801.206956120055</v>
      </c>
      <c r="O233" s="295">
        <f t="shared" si="61"/>
        <v>23801.206956120055</v>
      </c>
      <c r="P233" s="295">
        <f t="shared" si="61"/>
        <v>23801.206956120055</v>
      </c>
      <c r="Q233" s="295">
        <f t="shared" si="61"/>
        <v>23801.206956120055</v>
      </c>
      <c r="R233" s="295">
        <f t="shared" si="61"/>
        <v>23801.206956120055</v>
      </c>
      <c r="S233" s="295">
        <f t="shared" si="61"/>
        <v>23801.206956120055</v>
      </c>
      <c r="T233" s="295">
        <f t="shared" si="60"/>
        <v>23801.206956120055</v>
      </c>
      <c r="U233" s="295">
        <f t="shared" si="60"/>
        <v>23801.206956120055</v>
      </c>
      <c r="V233" s="295">
        <f t="shared" si="60"/>
        <v>23801.206956120055</v>
      </c>
      <c r="W233" s="295">
        <f t="shared" si="60"/>
        <v>23801.206956120055</v>
      </c>
      <c r="X233" s="295">
        <f t="shared" si="60"/>
        <v>23801.206956120055</v>
      </c>
      <c r="Y233" s="295">
        <f t="shared" si="60"/>
        <v>23801.206956120055</v>
      </c>
      <c r="Z233" s="295">
        <f t="shared" si="60"/>
        <v>23801.206956120055</v>
      </c>
      <c r="AA233" s="295">
        <f t="shared" si="60"/>
        <v>23801.206956120055</v>
      </c>
      <c r="AB233" s="295">
        <f t="shared" si="60"/>
        <v>23801.206956120055</v>
      </c>
      <c r="AC233" s="295">
        <f t="shared" si="60"/>
        <v>23801.206956120055</v>
      </c>
      <c r="AD233" s="295">
        <f t="shared" si="60"/>
        <v>23801.206956120055</v>
      </c>
      <c r="AE233" s="296">
        <f t="shared" si="60"/>
        <v>23801.206956120055</v>
      </c>
    </row>
    <row r="234" spans="1:31">
      <c r="A234" s="1711"/>
      <c r="B234" s="116">
        <v>7</v>
      </c>
      <c r="C234" s="294">
        <f>'CAR Mileage'!L11</f>
        <v>23325.182816997654</v>
      </c>
      <c r="D234" s="295">
        <f t="shared" si="61"/>
        <v>23325.182816997654</v>
      </c>
      <c r="E234" s="295">
        <f t="shared" si="61"/>
        <v>23325.182816997654</v>
      </c>
      <c r="F234" s="295">
        <f t="shared" si="61"/>
        <v>23325.182816997654</v>
      </c>
      <c r="G234" s="295">
        <f t="shared" si="61"/>
        <v>23325.182816997654</v>
      </c>
      <c r="H234" s="295">
        <f t="shared" si="61"/>
        <v>23325.182816997654</v>
      </c>
      <c r="I234" s="295">
        <f t="shared" si="61"/>
        <v>23325.182816997654</v>
      </c>
      <c r="J234" s="295">
        <f t="shared" si="61"/>
        <v>23325.182816997654</v>
      </c>
      <c r="K234" s="295">
        <f t="shared" si="61"/>
        <v>23325.182816997654</v>
      </c>
      <c r="L234" s="295">
        <f t="shared" si="61"/>
        <v>23325.182816997654</v>
      </c>
      <c r="M234" s="295">
        <f t="shared" si="61"/>
        <v>23325.182816997654</v>
      </c>
      <c r="N234" s="295">
        <f t="shared" si="61"/>
        <v>23325.182816997654</v>
      </c>
      <c r="O234" s="295">
        <f t="shared" si="61"/>
        <v>23325.182816997654</v>
      </c>
      <c r="P234" s="295">
        <f t="shared" si="61"/>
        <v>23325.182816997654</v>
      </c>
      <c r="Q234" s="295">
        <f t="shared" si="61"/>
        <v>23325.182816997654</v>
      </c>
      <c r="R234" s="295">
        <f t="shared" si="61"/>
        <v>23325.182816997654</v>
      </c>
      <c r="S234" s="295">
        <f t="shared" si="61"/>
        <v>23325.182816997654</v>
      </c>
      <c r="T234" s="295">
        <f t="shared" si="60"/>
        <v>23325.182816997654</v>
      </c>
      <c r="U234" s="295">
        <f t="shared" si="60"/>
        <v>23325.182816997654</v>
      </c>
      <c r="V234" s="295">
        <f t="shared" si="60"/>
        <v>23325.182816997654</v>
      </c>
      <c r="W234" s="295">
        <f t="shared" si="60"/>
        <v>23325.182816997654</v>
      </c>
      <c r="X234" s="295">
        <f t="shared" si="60"/>
        <v>23325.182816997654</v>
      </c>
      <c r="Y234" s="295">
        <f t="shared" si="60"/>
        <v>23325.182816997654</v>
      </c>
      <c r="Z234" s="295">
        <f t="shared" si="60"/>
        <v>23325.182816997654</v>
      </c>
      <c r="AA234" s="295">
        <f t="shared" si="60"/>
        <v>23325.182816997654</v>
      </c>
      <c r="AB234" s="295">
        <f t="shared" si="60"/>
        <v>23325.182816997654</v>
      </c>
      <c r="AC234" s="295">
        <f t="shared" si="60"/>
        <v>23325.182816997654</v>
      </c>
      <c r="AD234" s="295">
        <f t="shared" si="60"/>
        <v>23325.182816997654</v>
      </c>
      <c r="AE234" s="296">
        <f t="shared" si="60"/>
        <v>23325.182816997654</v>
      </c>
    </row>
    <row r="235" spans="1:31">
      <c r="A235" s="1711"/>
      <c r="B235" s="116">
        <v>8</v>
      </c>
      <c r="C235" s="294">
        <f>'CAR Mileage'!L12</f>
        <v>22858.679160657703</v>
      </c>
      <c r="D235" s="295">
        <f t="shared" si="61"/>
        <v>22858.679160657703</v>
      </c>
      <c r="E235" s="295">
        <f t="shared" si="61"/>
        <v>22858.679160657703</v>
      </c>
      <c r="F235" s="295">
        <f t="shared" si="61"/>
        <v>22858.679160657703</v>
      </c>
      <c r="G235" s="295">
        <f t="shared" si="61"/>
        <v>22858.679160657703</v>
      </c>
      <c r="H235" s="295">
        <f t="shared" si="61"/>
        <v>22858.679160657703</v>
      </c>
      <c r="I235" s="295">
        <f t="shared" si="61"/>
        <v>22858.679160657703</v>
      </c>
      <c r="J235" s="295">
        <f t="shared" si="61"/>
        <v>22858.679160657703</v>
      </c>
      <c r="K235" s="295">
        <f t="shared" si="61"/>
        <v>22858.679160657703</v>
      </c>
      <c r="L235" s="295">
        <f t="shared" si="61"/>
        <v>22858.679160657703</v>
      </c>
      <c r="M235" s="295">
        <f t="shared" si="61"/>
        <v>22858.679160657703</v>
      </c>
      <c r="N235" s="295">
        <f t="shared" si="61"/>
        <v>22858.679160657703</v>
      </c>
      <c r="O235" s="295">
        <f t="shared" si="61"/>
        <v>22858.679160657703</v>
      </c>
      <c r="P235" s="295">
        <f t="shared" si="61"/>
        <v>22858.679160657703</v>
      </c>
      <c r="Q235" s="295">
        <f t="shared" si="61"/>
        <v>22858.679160657703</v>
      </c>
      <c r="R235" s="295">
        <f t="shared" si="61"/>
        <v>22858.679160657703</v>
      </c>
      <c r="S235" s="295">
        <f t="shared" si="61"/>
        <v>22858.679160657703</v>
      </c>
      <c r="T235" s="295">
        <f t="shared" si="60"/>
        <v>22858.679160657703</v>
      </c>
      <c r="U235" s="295">
        <f t="shared" si="60"/>
        <v>22858.679160657703</v>
      </c>
      <c r="V235" s="295">
        <f t="shared" si="60"/>
        <v>22858.679160657703</v>
      </c>
      <c r="W235" s="295">
        <f t="shared" si="60"/>
        <v>22858.679160657703</v>
      </c>
      <c r="X235" s="295">
        <f t="shared" si="60"/>
        <v>22858.679160657703</v>
      </c>
      <c r="Y235" s="295">
        <f t="shared" si="60"/>
        <v>22858.679160657703</v>
      </c>
      <c r="Z235" s="295">
        <f t="shared" si="60"/>
        <v>22858.679160657703</v>
      </c>
      <c r="AA235" s="295">
        <f t="shared" si="60"/>
        <v>22858.679160657703</v>
      </c>
      <c r="AB235" s="295">
        <f t="shared" si="60"/>
        <v>22858.679160657703</v>
      </c>
      <c r="AC235" s="295">
        <f t="shared" si="60"/>
        <v>22858.679160657703</v>
      </c>
      <c r="AD235" s="295">
        <f t="shared" si="60"/>
        <v>22858.679160657703</v>
      </c>
      <c r="AE235" s="296">
        <f t="shared" si="60"/>
        <v>22858.679160657703</v>
      </c>
    </row>
    <row r="236" spans="1:31">
      <c r="A236" s="1711"/>
      <c r="B236" s="116">
        <v>9</v>
      </c>
      <c r="C236" s="294">
        <f>'CAR Mileage'!L13</f>
        <v>22401.505577444546</v>
      </c>
      <c r="D236" s="295">
        <f t="shared" si="61"/>
        <v>22401.505577444546</v>
      </c>
      <c r="E236" s="295">
        <f t="shared" si="61"/>
        <v>22401.505577444546</v>
      </c>
      <c r="F236" s="295">
        <f t="shared" si="61"/>
        <v>22401.505577444546</v>
      </c>
      <c r="G236" s="295">
        <f t="shared" si="61"/>
        <v>22401.505577444546</v>
      </c>
      <c r="H236" s="295">
        <f t="shared" si="61"/>
        <v>22401.505577444546</v>
      </c>
      <c r="I236" s="295">
        <f t="shared" si="61"/>
        <v>22401.505577444546</v>
      </c>
      <c r="J236" s="295">
        <f t="shared" si="61"/>
        <v>22401.505577444546</v>
      </c>
      <c r="K236" s="295">
        <f t="shared" si="61"/>
        <v>22401.505577444546</v>
      </c>
      <c r="L236" s="295">
        <f t="shared" si="61"/>
        <v>22401.505577444546</v>
      </c>
      <c r="M236" s="295">
        <f t="shared" si="61"/>
        <v>22401.505577444546</v>
      </c>
      <c r="N236" s="295">
        <f t="shared" si="61"/>
        <v>22401.505577444546</v>
      </c>
      <c r="O236" s="295">
        <f t="shared" si="61"/>
        <v>22401.505577444546</v>
      </c>
      <c r="P236" s="295">
        <f t="shared" si="61"/>
        <v>22401.505577444546</v>
      </c>
      <c r="Q236" s="295">
        <f t="shared" si="61"/>
        <v>22401.505577444546</v>
      </c>
      <c r="R236" s="295">
        <f t="shared" si="61"/>
        <v>22401.505577444546</v>
      </c>
      <c r="S236" s="295">
        <f t="shared" si="61"/>
        <v>22401.505577444546</v>
      </c>
      <c r="T236" s="295">
        <f t="shared" si="60"/>
        <v>22401.505577444546</v>
      </c>
      <c r="U236" s="295">
        <f t="shared" si="60"/>
        <v>22401.505577444546</v>
      </c>
      <c r="V236" s="295">
        <f t="shared" si="60"/>
        <v>22401.505577444546</v>
      </c>
      <c r="W236" s="295">
        <f t="shared" si="60"/>
        <v>22401.505577444546</v>
      </c>
      <c r="X236" s="295">
        <f t="shared" si="60"/>
        <v>22401.505577444546</v>
      </c>
      <c r="Y236" s="295">
        <f t="shared" si="60"/>
        <v>22401.505577444546</v>
      </c>
      <c r="Z236" s="295">
        <f t="shared" si="60"/>
        <v>22401.505577444546</v>
      </c>
      <c r="AA236" s="295">
        <f t="shared" si="60"/>
        <v>22401.505577444546</v>
      </c>
      <c r="AB236" s="295">
        <f t="shared" si="60"/>
        <v>22401.505577444546</v>
      </c>
      <c r="AC236" s="295">
        <f t="shared" si="60"/>
        <v>22401.505577444546</v>
      </c>
      <c r="AD236" s="295">
        <f t="shared" si="60"/>
        <v>22401.505577444546</v>
      </c>
      <c r="AE236" s="296">
        <f t="shared" si="60"/>
        <v>22401.505577444546</v>
      </c>
    </row>
    <row r="237" spans="1:31">
      <c r="A237" s="1711"/>
      <c r="B237" s="116">
        <v>10</v>
      </c>
      <c r="C237" s="294">
        <f>'CAR Mileage'!L14</f>
        <v>21953.475465895655</v>
      </c>
      <c r="D237" s="295">
        <f t="shared" si="61"/>
        <v>21953.475465895655</v>
      </c>
      <c r="E237" s="295">
        <f t="shared" si="61"/>
        <v>21953.475465895655</v>
      </c>
      <c r="F237" s="295">
        <f t="shared" si="61"/>
        <v>21953.475465895655</v>
      </c>
      <c r="G237" s="295">
        <f t="shared" si="61"/>
        <v>21953.475465895655</v>
      </c>
      <c r="H237" s="295">
        <f t="shared" si="61"/>
        <v>21953.475465895655</v>
      </c>
      <c r="I237" s="295">
        <f t="shared" si="61"/>
        <v>21953.475465895655</v>
      </c>
      <c r="J237" s="295">
        <f t="shared" si="61"/>
        <v>21953.475465895655</v>
      </c>
      <c r="K237" s="295">
        <f t="shared" si="61"/>
        <v>21953.475465895655</v>
      </c>
      <c r="L237" s="295">
        <f t="shared" si="61"/>
        <v>21953.475465895655</v>
      </c>
      <c r="M237" s="295">
        <f t="shared" si="61"/>
        <v>21953.475465895655</v>
      </c>
      <c r="N237" s="295">
        <f t="shared" si="61"/>
        <v>21953.475465895655</v>
      </c>
      <c r="O237" s="295">
        <f t="shared" si="61"/>
        <v>21953.475465895655</v>
      </c>
      <c r="P237" s="295">
        <f t="shared" si="61"/>
        <v>21953.475465895655</v>
      </c>
      <c r="Q237" s="295">
        <f t="shared" si="61"/>
        <v>21953.475465895655</v>
      </c>
      <c r="R237" s="295">
        <f t="shared" si="61"/>
        <v>21953.475465895655</v>
      </c>
      <c r="S237" s="295">
        <f t="shared" si="61"/>
        <v>21953.475465895655</v>
      </c>
      <c r="T237" s="295">
        <f t="shared" si="60"/>
        <v>21953.475465895655</v>
      </c>
      <c r="U237" s="295">
        <f t="shared" si="60"/>
        <v>21953.475465895655</v>
      </c>
      <c r="V237" s="295">
        <f t="shared" si="60"/>
        <v>21953.475465895655</v>
      </c>
      <c r="W237" s="295">
        <f t="shared" si="60"/>
        <v>21953.475465895655</v>
      </c>
      <c r="X237" s="295">
        <f t="shared" si="60"/>
        <v>21953.475465895655</v>
      </c>
      <c r="Y237" s="295">
        <f t="shared" si="60"/>
        <v>21953.475465895655</v>
      </c>
      <c r="Z237" s="295">
        <f t="shared" si="60"/>
        <v>21953.475465895655</v>
      </c>
      <c r="AA237" s="295">
        <f t="shared" si="60"/>
        <v>21953.475465895655</v>
      </c>
      <c r="AB237" s="295">
        <f t="shared" si="60"/>
        <v>21953.475465895655</v>
      </c>
      <c r="AC237" s="295">
        <f t="shared" si="60"/>
        <v>21953.475465895655</v>
      </c>
      <c r="AD237" s="295">
        <f t="shared" si="60"/>
        <v>21953.475465895655</v>
      </c>
      <c r="AE237" s="296">
        <f t="shared" si="60"/>
        <v>21953.475465895655</v>
      </c>
    </row>
    <row r="238" spans="1:31">
      <c r="A238" s="1711"/>
      <c r="B238" s="116">
        <v>11</v>
      </c>
      <c r="C238" s="294">
        <f>'CAR Mileage'!L15</f>
        <v>21514.405956577742</v>
      </c>
      <c r="D238" s="295">
        <f t="shared" si="61"/>
        <v>21514.405956577742</v>
      </c>
      <c r="E238" s="295">
        <f t="shared" si="61"/>
        <v>21514.405956577742</v>
      </c>
      <c r="F238" s="295">
        <f t="shared" si="61"/>
        <v>21514.405956577742</v>
      </c>
      <c r="G238" s="295">
        <f t="shared" si="61"/>
        <v>21514.405956577742</v>
      </c>
      <c r="H238" s="295">
        <f t="shared" si="61"/>
        <v>21514.405956577742</v>
      </c>
      <c r="I238" s="295">
        <f t="shared" si="61"/>
        <v>21514.405956577742</v>
      </c>
      <c r="J238" s="295">
        <f t="shared" si="61"/>
        <v>21514.405956577742</v>
      </c>
      <c r="K238" s="295">
        <f t="shared" si="61"/>
        <v>21514.405956577742</v>
      </c>
      <c r="L238" s="295">
        <f t="shared" si="61"/>
        <v>21514.405956577742</v>
      </c>
      <c r="M238" s="295">
        <f t="shared" si="61"/>
        <v>21514.405956577742</v>
      </c>
      <c r="N238" s="295">
        <f t="shared" si="61"/>
        <v>21514.405956577742</v>
      </c>
      <c r="O238" s="295">
        <f t="shared" si="61"/>
        <v>21514.405956577742</v>
      </c>
      <c r="P238" s="295">
        <f t="shared" si="61"/>
        <v>21514.405956577742</v>
      </c>
      <c r="Q238" s="295">
        <f t="shared" si="61"/>
        <v>21514.405956577742</v>
      </c>
      <c r="R238" s="295">
        <f t="shared" si="61"/>
        <v>21514.405956577742</v>
      </c>
      <c r="S238" s="295">
        <f t="shared" si="61"/>
        <v>21514.405956577742</v>
      </c>
      <c r="T238" s="295">
        <f t="shared" si="60"/>
        <v>21514.405956577742</v>
      </c>
      <c r="U238" s="295">
        <f t="shared" si="60"/>
        <v>21514.405956577742</v>
      </c>
      <c r="V238" s="295">
        <f t="shared" si="60"/>
        <v>21514.405956577742</v>
      </c>
      <c r="W238" s="295">
        <f t="shared" si="60"/>
        <v>21514.405956577742</v>
      </c>
      <c r="X238" s="295">
        <f t="shared" si="60"/>
        <v>21514.405956577742</v>
      </c>
      <c r="Y238" s="295">
        <f t="shared" si="60"/>
        <v>21514.405956577742</v>
      </c>
      <c r="Z238" s="295">
        <f t="shared" si="60"/>
        <v>21514.405956577742</v>
      </c>
      <c r="AA238" s="295">
        <f t="shared" si="60"/>
        <v>21514.405956577742</v>
      </c>
      <c r="AB238" s="295">
        <f t="shared" si="60"/>
        <v>21514.405956577742</v>
      </c>
      <c r="AC238" s="295">
        <f t="shared" si="60"/>
        <v>21514.405956577742</v>
      </c>
      <c r="AD238" s="295">
        <f t="shared" si="60"/>
        <v>21514.405956577742</v>
      </c>
      <c r="AE238" s="296">
        <f t="shared" si="60"/>
        <v>21514.405956577742</v>
      </c>
    </row>
    <row r="239" spans="1:31">
      <c r="A239" s="1711"/>
      <c r="B239" s="116">
        <v>12</v>
      </c>
      <c r="C239" s="294">
        <f>'CAR Mileage'!L16</f>
        <v>21084.117837446189</v>
      </c>
      <c r="D239" s="295">
        <f t="shared" si="61"/>
        <v>21084.117837446189</v>
      </c>
      <c r="E239" s="295">
        <f t="shared" si="61"/>
        <v>21084.117837446189</v>
      </c>
      <c r="F239" s="295">
        <f t="shared" si="61"/>
        <v>21084.117837446189</v>
      </c>
      <c r="G239" s="295">
        <f t="shared" si="61"/>
        <v>21084.117837446189</v>
      </c>
      <c r="H239" s="295">
        <f t="shared" si="61"/>
        <v>21084.117837446189</v>
      </c>
      <c r="I239" s="295">
        <f t="shared" si="61"/>
        <v>21084.117837446189</v>
      </c>
      <c r="J239" s="295">
        <f t="shared" si="61"/>
        <v>21084.117837446189</v>
      </c>
      <c r="K239" s="295">
        <f t="shared" si="61"/>
        <v>21084.117837446189</v>
      </c>
      <c r="L239" s="295">
        <f t="shared" si="61"/>
        <v>21084.117837446189</v>
      </c>
      <c r="M239" s="295">
        <f t="shared" si="61"/>
        <v>21084.117837446189</v>
      </c>
      <c r="N239" s="295">
        <f t="shared" si="61"/>
        <v>21084.117837446189</v>
      </c>
      <c r="O239" s="295">
        <f t="shared" si="61"/>
        <v>21084.117837446189</v>
      </c>
      <c r="P239" s="295">
        <f t="shared" si="61"/>
        <v>21084.117837446189</v>
      </c>
      <c r="Q239" s="295">
        <f t="shared" si="61"/>
        <v>21084.117837446189</v>
      </c>
      <c r="R239" s="295">
        <f t="shared" si="61"/>
        <v>21084.117837446189</v>
      </c>
      <c r="S239" s="295">
        <f t="shared" si="61"/>
        <v>21084.117837446189</v>
      </c>
      <c r="T239" s="295">
        <f t="shared" si="60"/>
        <v>21084.117837446189</v>
      </c>
      <c r="U239" s="295">
        <f t="shared" si="60"/>
        <v>21084.117837446189</v>
      </c>
      <c r="V239" s="295">
        <f t="shared" si="60"/>
        <v>21084.117837446189</v>
      </c>
      <c r="W239" s="295">
        <f t="shared" si="60"/>
        <v>21084.117837446189</v>
      </c>
      <c r="X239" s="295">
        <f t="shared" si="60"/>
        <v>21084.117837446189</v>
      </c>
      <c r="Y239" s="295">
        <f t="shared" si="60"/>
        <v>21084.117837446189</v>
      </c>
      <c r="Z239" s="295">
        <f t="shared" si="60"/>
        <v>21084.117837446189</v>
      </c>
      <c r="AA239" s="295">
        <f t="shared" si="60"/>
        <v>21084.117837446189</v>
      </c>
      <c r="AB239" s="295">
        <f t="shared" si="60"/>
        <v>21084.117837446189</v>
      </c>
      <c r="AC239" s="295">
        <f t="shared" si="60"/>
        <v>21084.117837446189</v>
      </c>
      <c r="AD239" s="295">
        <f t="shared" si="60"/>
        <v>21084.117837446189</v>
      </c>
      <c r="AE239" s="296">
        <f t="shared" si="60"/>
        <v>21084.117837446189</v>
      </c>
    </row>
    <row r="240" spans="1:31">
      <c r="A240" s="1711"/>
      <c r="B240" s="116">
        <v>13</v>
      </c>
      <c r="C240" s="294">
        <f>'CAR Mileage'!L17</f>
        <v>20662.435480697266</v>
      </c>
      <c r="D240" s="295">
        <f t="shared" si="61"/>
        <v>20662.435480697266</v>
      </c>
      <c r="E240" s="295">
        <f t="shared" si="61"/>
        <v>20662.435480697266</v>
      </c>
      <c r="F240" s="295">
        <f t="shared" si="61"/>
        <v>20662.435480697266</v>
      </c>
      <c r="G240" s="295">
        <f t="shared" si="61"/>
        <v>20662.435480697266</v>
      </c>
      <c r="H240" s="295">
        <f t="shared" si="61"/>
        <v>20662.435480697266</v>
      </c>
      <c r="I240" s="295">
        <f t="shared" si="61"/>
        <v>20662.435480697266</v>
      </c>
      <c r="J240" s="295">
        <f t="shared" si="61"/>
        <v>20662.435480697266</v>
      </c>
      <c r="K240" s="295">
        <f t="shared" si="61"/>
        <v>20662.435480697266</v>
      </c>
      <c r="L240" s="295">
        <f t="shared" si="61"/>
        <v>20662.435480697266</v>
      </c>
      <c r="M240" s="295">
        <f t="shared" si="61"/>
        <v>20662.435480697266</v>
      </c>
      <c r="N240" s="295">
        <f t="shared" si="61"/>
        <v>20662.435480697266</v>
      </c>
      <c r="O240" s="295">
        <f t="shared" si="61"/>
        <v>20662.435480697266</v>
      </c>
      <c r="P240" s="295">
        <f t="shared" si="61"/>
        <v>20662.435480697266</v>
      </c>
      <c r="Q240" s="295">
        <f t="shared" si="61"/>
        <v>20662.435480697266</v>
      </c>
      <c r="R240" s="295">
        <f t="shared" si="61"/>
        <v>20662.435480697266</v>
      </c>
      <c r="S240" s="295">
        <f t="shared" si="61"/>
        <v>20662.435480697266</v>
      </c>
      <c r="T240" s="295">
        <f t="shared" si="60"/>
        <v>20662.435480697266</v>
      </c>
      <c r="U240" s="295">
        <f t="shared" si="60"/>
        <v>20662.435480697266</v>
      </c>
      <c r="V240" s="295">
        <f t="shared" si="60"/>
        <v>20662.435480697266</v>
      </c>
      <c r="W240" s="295">
        <f t="shared" si="60"/>
        <v>20662.435480697266</v>
      </c>
      <c r="X240" s="295">
        <f t="shared" si="60"/>
        <v>20662.435480697266</v>
      </c>
      <c r="Y240" s="295">
        <f t="shared" si="60"/>
        <v>20662.435480697266</v>
      </c>
      <c r="Z240" s="295">
        <f t="shared" si="60"/>
        <v>20662.435480697266</v>
      </c>
      <c r="AA240" s="295">
        <f t="shared" si="60"/>
        <v>20662.435480697266</v>
      </c>
      <c r="AB240" s="295">
        <f t="shared" si="60"/>
        <v>20662.435480697266</v>
      </c>
      <c r="AC240" s="295">
        <f t="shared" si="60"/>
        <v>20662.435480697266</v>
      </c>
      <c r="AD240" s="295">
        <f t="shared" si="60"/>
        <v>20662.435480697266</v>
      </c>
      <c r="AE240" s="296">
        <f t="shared" si="60"/>
        <v>20662.435480697266</v>
      </c>
    </row>
    <row r="241" spans="1:31">
      <c r="A241" s="1711"/>
      <c r="B241" s="116">
        <v>14</v>
      </c>
      <c r="C241" s="294">
        <f>'CAR Mileage'!L18</f>
        <v>20249.186771083321</v>
      </c>
      <c r="D241" s="295">
        <f t="shared" si="61"/>
        <v>20249.186771083321</v>
      </c>
      <c r="E241" s="295">
        <f t="shared" si="61"/>
        <v>20249.186771083321</v>
      </c>
      <c r="F241" s="295">
        <f t="shared" si="61"/>
        <v>20249.186771083321</v>
      </c>
      <c r="G241" s="295">
        <f t="shared" si="61"/>
        <v>20249.186771083321</v>
      </c>
      <c r="H241" s="295">
        <f t="shared" si="61"/>
        <v>20249.186771083321</v>
      </c>
      <c r="I241" s="295">
        <f t="shared" si="61"/>
        <v>20249.186771083321</v>
      </c>
      <c r="J241" s="295">
        <f t="shared" si="61"/>
        <v>20249.186771083321</v>
      </c>
      <c r="K241" s="295">
        <f t="shared" si="61"/>
        <v>20249.186771083321</v>
      </c>
      <c r="L241" s="295">
        <f t="shared" si="61"/>
        <v>20249.186771083321</v>
      </c>
      <c r="M241" s="295">
        <f t="shared" si="61"/>
        <v>20249.186771083321</v>
      </c>
      <c r="N241" s="295">
        <f t="shared" si="61"/>
        <v>20249.186771083321</v>
      </c>
      <c r="O241" s="295">
        <f t="shared" si="61"/>
        <v>20249.186771083321</v>
      </c>
      <c r="P241" s="295">
        <f t="shared" si="61"/>
        <v>20249.186771083321</v>
      </c>
      <c r="Q241" s="295">
        <f t="shared" si="61"/>
        <v>20249.186771083321</v>
      </c>
      <c r="R241" s="295">
        <f t="shared" si="61"/>
        <v>20249.186771083321</v>
      </c>
      <c r="S241" s="295">
        <f t="shared" si="61"/>
        <v>20249.186771083321</v>
      </c>
      <c r="T241" s="295">
        <f t="shared" si="60"/>
        <v>20249.186771083321</v>
      </c>
      <c r="U241" s="295">
        <f t="shared" si="60"/>
        <v>20249.186771083321</v>
      </c>
      <c r="V241" s="295">
        <f t="shared" si="60"/>
        <v>20249.186771083321</v>
      </c>
      <c r="W241" s="295">
        <f t="shared" si="60"/>
        <v>20249.186771083321</v>
      </c>
      <c r="X241" s="295">
        <f t="shared" si="60"/>
        <v>20249.186771083321</v>
      </c>
      <c r="Y241" s="295">
        <f t="shared" si="60"/>
        <v>20249.186771083321</v>
      </c>
      <c r="Z241" s="295">
        <f t="shared" si="60"/>
        <v>20249.186771083321</v>
      </c>
      <c r="AA241" s="295">
        <f t="shared" si="60"/>
        <v>20249.186771083321</v>
      </c>
      <c r="AB241" s="295">
        <f t="shared" si="60"/>
        <v>20249.186771083321</v>
      </c>
      <c r="AC241" s="295">
        <f t="shared" si="60"/>
        <v>20249.186771083321</v>
      </c>
      <c r="AD241" s="295">
        <f t="shared" si="60"/>
        <v>20249.186771083321</v>
      </c>
      <c r="AE241" s="296">
        <f t="shared" si="60"/>
        <v>20249.186771083321</v>
      </c>
    </row>
    <row r="242" spans="1:31">
      <c r="A242" s="1711"/>
      <c r="B242" s="116">
        <v>15</v>
      </c>
      <c r="C242" s="294">
        <f>'CAR Mileage'!L19</f>
        <v>19844.203035661656</v>
      </c>
      <c r="D242" s="295">
        <f t="shared" si="61"/>
        <v>19844.203035661656</v>
      </c>
      <c r="E242" s="295">
        <f t="shared" si="61"/>
        <v>19844.203035661656</v>
      </c>
      <c r="F242" s="295">
        <f t="shared" si="61"/>
        <v>19844.203035661656</v>
      </c>
      <c r="G242" s="295">
        <f t="shared" si="61"/>
        <v>19844.203035661656</v>
      </c>
      <c r="H242" s="295">
        <f t="shared" si="61"/>
        <v>19844.203035661656</v>
      </c>
      <c r="I242" s="295">
        <f t="shared" si="61"/>
        <v>19844.203035661656</v>
      </c>
      <c r="J242" s="295">
        <f t="shared" si="61"/>
        <v>19844.203035661656</v>
      </c>
      <c r="K242" s="295">
        <f t="shared" si="61"/>
        <v>19844.203035661656</v>
      </c>
      <c r="L242" s="295">
        <f t="shared" si="61"/>
        <v>19844.203035661656</v>
      </c>
      <c r="M242" s="295">
        <f t="shared" si="61"/>
        <v>19844.203035661656</v>
      </c>
      <c r="N242" s="295">
        <f t="shared" si="61"/>
        <v>19844.203035661656</v>
      </c>
      <c r="O242" s="295">
        <f t="shared" si="61"/>
        <v>19844.203035661656</v>
      </c>
      <c r="P242" s="295">
        <f t="shared" si="61"/>
        <v>19844.203035661656</v>
      </c>
      <c r="Q242" s="295">
        <f t="shared" si="61"/>
        <v>19844.203035661656</v>
      </c>
      <c r="R242" s="295">
        <f t="shared" si="61"/>
        <v>19844.203035661656</v>
      </c>
      <c r="S242" s="295">
        <f t="shared" si="61"/>
        <v>19844.203035661656</v>
      </c>
      <c r="T242" s="295">
        <f t="shared" si="60"/>
        <v>19844.203035661656</v>
      </c>
      <c r="U242" s="295">
        <f t="shared" si="60"/>
        <v>19844.203035661656</v>
      </c>
      <c r="V242" s="295">
        <f t="shared" si="60"/>
        <v>19844.203035661656</v>
      </c>
      <c r="W242" s="295">
        <f t="shared" si="60"/>
        <v>19844.203035661656</v>
      </c>
      <c r="X242" s="295">
        <f t="shared" si="60"/>
        <v>19844.203035661656</v>
      </c>
      <c r="Y242" s="295">
        <f t="shared" si="60"/>
        <v>19844.203035661656</v>
      </c>
      <c r="Z242" s="295">
        <f t="shared" si="60"/>
        <v>19844.203035661656</v>
      </c>
      <c r="AA242" s="295">
        <f t="shared" si="60"/>
        <v>19844.203035661656</v>
      </c>
      <c r="AB242" s="295">
        <f t="shared" si="60"/>
        <v>19844.203035661656</v>
      </c>
      <c r="AC242" s="295">
        <f t="shared" si="60"/>
        <v>19844.203035661656</v>
      </c>
      <c r="AD242" s="295">
        <f t="shared" si="60"/>
        <v>19844.203035661656</v>
      </c>
      <c r="AE242" s="296">
        <f t="shared" si="60"/>
        <v>19844.203035661656</v>
      </c>
    </row>
    <row r="243" spans="1:31">
      <c r="A243" s="1711"/>
      <c r="B243" s="116">
        <v>16</v>
      </c>
      <c r="C243" s="294">
        <f>'CAR Mileage'!L20</f>
        <v>19447.318974948423</v>
      </c>
      <c r="D243" s="295">
        <f t="shared" si="61"/>
        <v>19447.318974948423</v>
      </c>
      <c r="E243" s="295">
        <f t="shared" si="61"/>
        <v>19447.318974948423</v>
      </c>
      <c r="F243" s="295">
        <f t="shared" si="61"/>
        <v>19447.318974948423</v>
      </c>
      <c r="G243" s="295">
        <f t="shared" si="61"/>
        <v>19447.318974948423</v>
      </c>
      <c r="H243" s="295">
        <f t="shared" si="61"/>
        <v>19447.318974948423</v>
      </c>
      <c r="I243" s="295">
        <f t="shared" si="61"/>
        <v>19447.318974948423</v>
      </c>
      <c r="J243" s="295">
        <f t="shared" si="61"/>
        <v>19447.318974948423</v>
      </c>
      <c r="K243" s="295">
        <f t="shared" si="61"/>
        <v>19447.318974948423</v>
      </c>
      <c r="L243" s="295">
        <f t="shared" si="61"/>
        <v>19447.318974948423</v>
      </c>
      <c r="M243" s="295">
        <f t="shared" si="61"/>
        <v>19447.318974948423</v>
      </c>
      <c r="N243" s="295">
        <f t="shared" si="61"/>
        <v>19447.318974948423</v>
      </c>
      <c r="O243" s="295">
        <f t="shared" si="61"/>
        <v>19447.318974948423</v>
      </c>
      <c r="P243" s="295">
        <f t="shared" si="61"/>
        <v>19447.318974948423</v>
      </c>
      <c r="Q243" s="295">
        <f t="shared" si="61"/>
        <v>19447.318974948423</v>
      </c>
      <c r="R243" s="295">
        <f t="shared" si="61"/>
        <v>19447.318974948423</v>
      </c>
      <c r="S243" s="295">
        <f t="shared" ref="S243:AE252" si="62">R243</f>
        <v>19447.318974948423</v>
      </c>
      <c r="T243" s="295">
        <f t="shared" si="62"/>
        <v>19447.318974948423</v>
      </c>
      <c r="U243" s="295">
        <f t="shared" si="62"/>
        <v>19447.318974948423</v>
      </c>
      <c r="V243" s="295">
        <f t="shared" si="62"/>
        <v>19447.318974948423</v>
      </c>
      <c r="W243" s="295">
        <f t="shared" si="62"/>
        <v>19447.318974948423</v>
      </c>
      <c r="X243" s="295">
        <f t="shared" si="62"/>
        <v>19447.318974948423</v>
      </c>
      <c r="Y243" s="295">
        <f t="shared" si="62"/>
        <v>19447.318974948423</v>
      </c>
      <c r="Z243" s="295">
        <f t="shared" si="62"/>
        <v>19447.318974948423</v>
      </c>
      <c r="AA243" s="295">
        <f t="shared" si="62"/>
        <v>19447.318974948423</v>
      </c>
      <c r="AB243" s="295">
        <f t="shared" si="62"/>
        <v>19447.318974948423</v>
      </c>
      <c r="AC243" s="295">
        <f t="shared" si="62"/>
        <v>19447.318974948423</v>
      </c>
      <c r="AD243" s="295">
        <f t="shared" si="62"/>
        <v>19447.318974948423</v>
      </c>
      <c r="AE243" s="296">
        <f t="shared" si="62"/>
        <v>19447.318974948423</v>
      </c>
    </row>
    <row r="244" spans="1:31">
      <c r="A244" s="1711"/>
      <c r="B244" s="116">
        <v>17</v>
      </c>
      <c r="C244" s="294">
        <f>C243</f>
        <v>19447.318974948423</v>
      </c>
      <c r="D244" s="295">
        <f t="shared" ref="D244:S252" si="63">C244</f>
        <v>19447.318974948423</v>
      </c>
      <c r="E244" s="295">
        <f t="shared" si="63"/>
        <v>19447.318974948423</v>
      </c>
      <c r="F244" s="295">
        <f t="shared" si="63"/>
        <v>19447.318974948423</v>
      </c>
      <c r="G244" s="295">
        <f t="shared" si="63"/>
        <v>19447.318974948423</v>
      </c>
      <c r="H244" s="295">
        <f t="shared" si="63"/>
        <v>19447.318974948423</v>
      </c>
      <c r="I244" s="295">
        <f t="shared" si="63"/>
        <v>19447.318974948423</v>
      </c>
      <c r="J244" s="295">
        <f t="shared" si="63"/>
        <v>19447.318974948423</v>
      </c>
      <c r="K244" s="295">
        <f t="shared" si="63"/>
        <v>19447.318974948423</v>
      </c>
      <c r="L244" s="295">
        <f t="shared" si="63"/>
        <v>19447.318974948423</v>
      </c>
      <c r="M244" s="295">
        <f t="shared" si="63"/>
        <v>19447.318974948423</v>
      </c>
      <c r="N244" s="295">
        <f t="shared" si="63"/>
        <v>19447.318974948423</v>
      </c>
      <c r="O244" s="295">
        <f t="shared" si="63"/>
        <v>19447.318974948423</v>
      </c>
      <c r="P244" s="295">
        <f t="shared" si="63"/>
        <v>19447.318974948423</v>
      </c>
      <c r="Q244" s="295">
        <f t="shared" si="63"/>
        <v>19447.318974948423</v>
      </c>
      <c r="R244" s="295">
        <f t="shared" si="63"/>
        <v>19447.318974948423</v>
      </c>
      <c r="S244" s="295">
        <f t="shared" si="63"/>
        <v>19447.318974948423</v>
      </c>
      <c r="T244" s="295">
        <f t="shared" si="62"/>
        <v>19447.318974948423</v>
      </c>
      <c r="U244" s="295">
        <f t="shared" si="62"/>
        <v>19447.318974948423</v>
      </c>
      <c r="V244" s="295">
        <f t="shared" si="62"/>
        <v>19447.318974948423</v>
      </c>
      <c r="W244" s="295">
        <f t="shared" si="62"/>
        <v>19447.318974948423</v>
      </c>
      <c r="X244" s="295">
        <f t="shared" si="62"/>
        <v>19447.318974948423</v>
      </c>
      <c r="Y244" s="295">
        <f t="shared" si="62"/>
        <v>19447.318974948423</v>
      </c>
      <c r="Z244" s="295">
        <f t="shared" si="62"/>
        <v>19447.318974948423</v>
      </c>
      <c r="AA244" s="295">
        <f t="shared" si="62"/>
        <v>19447.318974948423</v>
      </c>
      <c r="AB244" s="295">
        <f t="shared" si="62"/>
        <v>19447.318974948423</v>
      </c>
      <c r="AC244" s="295">
        <f t="shared" si="62"/>
        <v>19447.318974948423</v>
      </c>
      <c r="AD244" s="295">
        <f t="shared" si="62"/>
        <v>19447.318974948423</v>
      </c>
      <c r="AE244" s="296">
        <f t="shared" si="62"/>
        <v>19447.318974948423</v>
      </c>
    </row>
    <row r="245" spans="1:31">
      <c r="A245" s="1711"/>
      <c r="B245" s="116">
        <v>18</v>
      </c>
      <c r="C245" s="294">
        <f t="shared" ref="C245:C252" si="64">C244</f>
        <v>19447.318974948423</v>
      </c>
      <c r="D245" s="295">
        <f t="shared" si="63"/>
        <v>19447.318974948423</v>
      </c>
      <c r="E245" s="295">
        <f t="shared" si="63"/>
        <v>19447.318974948423</v>
      </c>
      <c r="F245" s="295">
        <f t="shared" si="63"/>
        <v>19447.318974948423</v>
      </c>
      <c r="G245" s="295">
        <f t="shared" si="63"/>
        <v>19447.318974948423</v>
      </c>
      <c r="H245" s="295">
        <f t="shared" si="63"/>
        <v>19447.318974948423</v>
      </c>
      <c r="I245" s="295">
        <f t="shared" si="63"/>
        <v>19447.318974948423</v>
      </c>
      <c r="J245" s="295">
        <f t="shared" si="63"/>
        <v>19447.318974948423</v>
      </c>
      <c r="K245" s="295">
        <f t="shared" si="63"/>
        <v>19447.318974948423</v>
      </c>
      <c r="L245" s="295">
        <f t="shared" si="63"/>
        <v>19447.318974948423</v>
      </c>
      <c r="M245" s="295">
        <f t="shared" si="63"/>
        <v>19447.318974948423</v>
      </c>
      <c r="N245" s="295">
        <f t="shared" si="63"/>
        <v>19447.318974948423</v>
      </c>
      <c r="O245" s="295">
        <f t="shared" si="63"/>
        <v>19447.318974948423</v>
      </c>
      <c r="P245" s="295">
        <f t="shared" si="63"/>
        <v>19447.318974948423</v>
      </c>
      <c r="Q245" s="295">
        <f t="shared" si="63"/>
        <v>19447.318974948423</v>
      </c>
      <c r="R245" s="295">
        <f t="shared" si="63"/>
        <v>19447.318974948423</v>
      </c>
      <c r="S245" s="295">
        <f t="shared" si="63"/>
        <v>19447.318974948423</v>
      </c>
      <c r="T245" s="295">
        <f t="shared" si="62"/>
        <v>19447.318974948423</v>
      </c>
      <c r="U245" s="295">
        <f t="shared" si="62"/>
        <v>19447.318974948423</v>
      </c>
      <c r="V245" s="295">
        <f t="shared" si="62"/>
        <v>19447.318974948423</v>
      </c>
      <c r="W245" s="295">
        <f t="shared" si="62"/>
        <v>19447.318974948423</v>
      </c>
      <c r="X245" s="295">
        <f t="shared" si="62"/>
        <v>19447.318974948423</v>
      </c>
      <c r="Y245" s="295">
        <f t="shared" si="62"/>
        <v>19447.318974948423</v>
      </c>
      <c r="Z245" s="295">
        <f t="shared" si="62"/>
        <v>19447.318974948423</v>
      </c>
      <c r="AA245" s="295">
        <f t="shared" si="62"/>
        <v>19447.318974948423</v>
      </c>
      <c r="AB245" s="295">
        <f t="shared" si="62"/>
        <v>19447.318974948423</v>
      </c>
      <c r="AC245" s="295">
        <f t="shared" si="62"/>
        <v>19447.318974948423</v>
      </c>
      <c r="AD245" s="295">
        <f t="shared" si="62"/>
        <v>19447.318974948423</v>
      </c>
      <c r="AE245" s="296">
        <f t="shared" si="62"/>
        <v>19447.318974948423</v>
      </c>
    </row>
    <row r="246" spans="1:31">
      <c r="A246" s="1711"/>
      <c r="B246" s="116">
        <v>19</v>
      </c>
      <c r="C246" s="294">
        <f t="shared" si="64"/>
        <v>19447.318974948423</v>
      </c>
      <c r="D246" s="295">
        <f t="shared" si="63"/>
        <v>19447.318974948423</v>
      </c>
      <c r="E246" s="295">
        <f t="shared" si="63"/>
        <v>19447.318974948423</v>
      </c>
      <c r="F246" s="295">
        <f t="shared" si="63"/>
        <v>19447.318974948423</v>
      </c>
      <c r="G246" s="295">
        <f t="shared" si="63"/>
        <v>19447.318974948423</v>
      </c>
      <c r="H246" s="295">
        <f t="shared" si="63"/>
        <v>19447.318974948423</v>
      </c>
      <c r="I246" s="295">
        <f t="shared" si="63"/>
        <v>19447.318974948423</v>
      </c>
      <c r="J246" s="295">
        <f t="shared" si="63"/>
        <v>19447.318974948423</v>
      </c>
      <c r="K246" s="295">
        <f t="shared" si="63"/>
        <v>19447.318974948423</v>
      </c>
      <c r="L246" s="295">
        <f t="shared" si="63"/>
        <v>19447.318974948423</v>
      </c>
      <c r="M246" s="295">
        <f t="shared" si="63"/>
        <v>19447.318974948423</v>
      </c>
      <c r="N246" s="295">
        <f t="shared" si="63"/>
        <v>19447.318974948423</v>
      </c>
      <c r="O246" s="295">
        <f t="shared" si="63"/>
        <v>19447.318974948423</v>
      </c>
      <c r="P246" s="295">
        <f t="shared" si="63"/>
        <v>19447.318974948423</v>
      </c>
      <c r="Q246" s="295">
        <f t="shared" si="63"/>
        <v>19447.318974948423</v>
      </c>
      <c r="R246" s="295">
        <f t="shared" si="63"/>
        <v>19447.318974948423</v>
      </c>
      <c r="S246" s="295">
        <f t="shared" si="63"/>
        <v>19447.318974948423</v>
      </c>
      <c r="T246" s="295">
        <f t="shared" si="62"/>
        <v>19447.318974948423</v>
      </c>
      <c r="U246" s="295">
        <f t="shared" si="62"/>
        <v>19447.318974948423</v>
      </c>
      <c r="V246" s="295">
        <f t="shared" si="62"/>
        <v>19447.318974948423</v>
      </c>
      <c r="W246" s="295">
        <f t="shared" si="62"/>
        <v>19447.318974948423</v>
      </c>
      <c r="X246" s="295">
        <f t="shared" si="62"/>
        <v>19447.318974948423</v>
      </c>
      <c r="Y246" s="295">
        <f t="shared" si="62"/>
        <v>19447.318974948423</v>
      </c>
      <c r="Z246" s="295">
        <f t="shared" si="62"/>
        <v>19447.318974948423</v>
      </c>
      <c r="AA246" s="295">
        <f t="shared" si="62"/>
        <v>19447.318974948423</v>
      </c>
      <c r="AB246" s="295">
        <f t="shared" si="62"/>
        <v>19447.318974948423</v>
      </c>
      <c r="AC246" s="295">
        <f t="shared" si="62"/>
        <v>19447.318974948423</v>
      </c>
      <c r="AD246" s="295">
        <f t="shared" si="62"/>
        <v>19447.318974948423</v>
      </c>
      <c r="AE246" s="296">
        <f t="shared" si="62"/>
        <v>19447.318974948423</v>
      </c>
    </row>
    <row r="247" spans="1:31">
      <c r="A247" s="1711"/>
      <c r="B247" s="116">
        <v>20</v>
      </c>
      <c r="C247" s="294">
        <f t="shared" si="64"/>
        <v>19447.318974948423</v>
      </c>
      <c r="D247" s="295">
        <f t="shared" si="63"/>
        <v>19447.318974948423</v>
      </c>
      <c r="E247" s="295">
        <f t="shared" si="63"/>
        <v>19447.318974948423</v>
      </c>
      <c r="F247" s="295">
        <f t="shared" si="63"/>
        <v>19447.318974948423</v>
      </c>
      <c r="G247" s="295">
        <f t="shared" si="63"/>
        <v>19447.318974948423</v>
      </c>
      <c r="H247" s="295">
        <f t="shared" si="63"/>
        <v>19447.318974948423</v>
      </c>
      <c r="I247" s="295">
        <f t="shared" si="63"/>
        <v>19447.318974948423</v>
      </c>
      <c r="J247" s="295">
        <f t="shared" si="63"/>
        <v>19447.318974948423</v>
      </c>
      <c r="K247" s="295">
        <f t="shared" si="63"/>
        <v>19447.318974948423</v>
      </c>
      <c r="L247" s="295">
        <f t="shared" si="63"/>
        <v>19447.318974948423</v>
      </c>
      <c r="M247" s="295">
        <f t="shared" si="63"/>
        <v>19447.318974948423</v>
      </c>
      <c r="N247" s="295">
        <f t="shared" si="63"/>
        <v>19447.318974948423</v>
      </c>
      <c r="O247" s="295">
        <f t="shared" si="63"/>
        <v>19447.318974948423</v>
      </c>
      <c r="P247" s="295">
        <f t="shared" si="63"/>
        <v>19447.318974948423</v>
      </c>
      <c r="Q247" s="295">
        <f t="shared" si="63"/>
        <v>19447.318974948423</v>
      </c>
      <c r="R247" s="295">
        <f t="shared" si="63"/>
        <v>19447.318974948423</v>
      </c>
      <c r="S247" s="295">
        <f t="shared" si="63"/>
        <v>19447.318974948423</v>
      </c>
      <c r="T247" s="295">
        <f t="shared" si="62"/>
        <v>19447.318974948423</v>
      </c>
      <c r="U247" s="295">
        <f t="shared" si="62"/>
        <v>19447.318974948423</v>
      </c>
      <c r="V247" s="295">
        <f t="shared" si="62"/>
        <v>19447.318974948423</v>
      </c>
      <c r="W247" s="295">
        <f t="shared" si="62"/>
        <v>19447.318974948423</v>
      </c>
      <c r="X247" s="295">
        <f t="shared" si="62"/>
        <v>19447.318974948423</v>
      </c>
      <c r="Y247" s="295">
        <f t="shared" si="62"/>
        <v>19447.318974948423</v>
      </c>
      <c r="Z247" s="295">
        <f t="shared" si="62"/>
        <v>19447.318974948423</v>
      </c>
      <c r="AA247" s="295">
        <f t="shared" si="62"/>
        <v>19447.318974948423</v>
      </c>
      <c r="AB247" s="295">
        <f t="shared" si="62"/>
        <v>19447.318974948423</v>
      </c>
      <c r="AC247" s="295">
        <f t="shared" si="62"/>
        <v>19447.318974948423</v>
      </c>
      <c r="AD247" s="295">
        <f t="shared" si="62"/>
        <v>19447.318974948423</v>
      </c>
      <c r="AE247" s="296">
        <f t="shared" si="62"/>
        <v>19447.318974948423</v>
      </c>
    </row>
    <row r="248" spans="1:31">
      <c r="A248" s="1711"/>
      <c r="B248" s="116">
        <v>21</v>
      </c>
      <c r="C248" s="294">
        <f t="shared" si="64"/>
        <v>19447.318974948423</v>
      </c>
      <c r="D248" s="295">
        <f t="shared" si="63"/>
        <v>19447.318974948423</v>
      </c>
      <c r="E248" s="295">
        <f t="shared" si="63"/>
        <v>19447.318974948423</v>
      </c>
      <c r="F248" s="295">
        <f t="shared" si="63"/>
        <v>19447.318974948423</v>
      </c>
      <c r="G248" s="295">
        <f t="shared" si="63"/>
        <v>19447.318974948423</v>
      </c>
      <c r="H248" s="295">
        <f t="shared" si="63"/>
        <v>19447.318974948423</v>
      </c>
      <c r="I248" s="295">
        <f t="shared" si="63"/>
        <v>19447.318974948423</v>
      </c>
      <c r="J248" s="295">
        <f t="shared" si="63"/>
        <v>19447.318974948423</v>
      </c>
      <c r="K248" s="295">
        <f t="shared" si="63"/>
        <v>19447.318974948423</v>
      </c>
      <c r="L248" s="295">
        <f t="shared" si="63"/>
        <v>19447.318974948423</v>
      </c>
      <c r="M248" s="295">
        <f t="shared" si="63"/>
        <v>19447.318974948423</v>
      </c>
      <c r="N248" s="295">
        <f t="shared" si="63"/>
        <v>19447.318974948423</v>
      </c>
      <c r="O248" s="295">
        <f t="shared" si="63"/>
        <v>19447.318974948423</v>
      </c>
      <c r="P248" s="295">
        <f t="shared" si="63"/>
        <v>19447.318974948423</v>
      </c>
      <c r="Q248" s="295">
        <f t="shared" si="63"/>
        <v>19447.318974948423</v>
      </c>
      <c r="R248" s="295">
        <f t="shared" si="63"/>
        <v>19447.318974948423</v>
      </c>
      <c r="S248" s="295">
        <f t="shared" si="63"/>
        <v>19447.318974948423</v>
      </c>
      <c r="T248" s="295">
        <f t="shared" si="62"/>
        <v>19447.318974948423</v>
      </c>
      <c r="U248" s="295">
        <f t="shared" si="62"/>
        <v>19447.318974948423</v>
      </c>
      <c r="V248" s="295">
        <f t="shared" si="62"/>
        <v>19447.318974948423</v>
      </c>
      <c r="W248" s="295">
        <f t="shared" si="62"/>
        <v>19447.318974948423</v>
      </c>
      <c r="X248" s="295">
        <f t="shared" si="62"/>
        <v>19447.318974948423</v>
      </c>
      <c r="Y248" s="295">
        <f t="shared" si="62"/>
        <v>19447.318974948423</v>
      </c>
      <c r="Z248" s="295">
        <f t="shared" si="62"/>
        <v>19447.318974948423</v>
      </c>
      <c r="AA248" s="295">
        <f t="shared" si="62"/>
        <v>19447.318974948423</v>
      </c>
      <c r="AB248" s="295">
        <f t="shared" si="62"/>
        <v>19447.318974948423</v>
      </c>
      <c r="AC248" s="295">
        <f t="shared" si="62"/>
        <v>19447.318974948423</v>
      </c>
      <c r="AD248" s="295">
        <f t="shared" si="62"/>
        <v>19447.318974948423</v>
      </c>
      <c r="AE248" s="296">
        <f t="shared" si="62"/>
        <v>19447.318974948423</v>
      </c>
    </row>
    <row r="249" spans="1:31">
      <c r="A249" s="1711"/>
      <c r="B249" s="116">
        <v>22</v>
      </c>
      <c r="C249" s="294">
        <f t="shared" si="64"/>
        <v>19447.318974948423</v>
      </c>
      <c r="D249" s="295">
        <f t="shared" si="63"/>
        <v>19447.318974948423</v>
      </c>
      <c r="E249" s="295">
        <f t="shared" si="63"/>
        <v>19447.318974948423</v>
      </c>
      <c r="F249" s="295">
        <f t="shared" si="63"/>
        <v>19447.318974948423</v>
      </c>
      <c r="G249" s="295">
        <f t="shared" si="63"/>
        <v>19447.318974948423</v>
      </c>
      <c r="H249" s="295">
        <f t="shared" si="63"/>
        <v>19447.318974948423</v>
      </c>
      <c r="I249" s="295">
        <f t="shared" si="63"/>
        <v>19447.318974948423</v>
      </c>
      <c r="J249" s="295">
        <f t="shared" si="63"/>
        <v>19447.318974948423</v>
      </c>
      <c r="K249" s="295">
        <f t="shared" si="63"/>
        <v>19447.318974948423</v>
      </c>
      <c r="L249" s="295">
        <f t="shared" si="63"/>
        <v>19447.318974948423</v>
      </c>
      <c r="M249" s="295">
        <f t="shared" si="63"/>
        <v>19447.318974948423</v>
      </c>
      <c r="N249" s="295">
        <f t="shared" si="63"/>
        <v>19447.318974948423</v>
      </c>
      <c r="O249" s="295">
        <f t="shared" si="63"/>
        <v>19447.318974948423</v>
      </c>
      <c r="P249" s="295">
        <f t="shared" si="63"/>
        <v>19447.318974948423</v>
      </c>
      <c r="Q249" s="295">
        <f t="shared" si="63"/>
        <v>19447.318974948423</v>
      </c>
      <c r="R249" s="295">
        <f t="shared" si="63"/>
        <v>19447.318974948423</v>
      </c>
      <c r="S249" s="295">
        <f t="shared" si="63"/>
        <v>19447.318974948423</v>
      </c>
      <c r="T249" s="295">
        <f t="shared" si="62"/>
        <v>19447.318974948423</v>
      </c>
      <c r="U249" s="295">
        <f t="shared" si="62"/>
        <v>19447.318974948423</v>
      </c>
      <c r="V249" s="295">
        <f t="shared" si="62"/>
        <v>19447.318974948423</v>
      </c>
      <c r="W249" s="295">
        <f t="shared" si="62"/>
        <v>19447.318974948423</v>
      </c>
      <c r="X249" s="295">
        <f t="shared" si="62"/>
        <v>19447.318974948423</v>
      </c>
      <c r="Y249" s="295">
        <f t="shared" si="62"/>
        <v>19447.318974948423</v>
      </c>
      <c r="Z249" s="295">
        <f t="shared" si="62"/>
        <v>19447.318974948423</v>
      </c>
      <c r="AA249" s="295">
        <f t="shared" si="62"/>
        <v>19447.318974948423</v>
      </c>
      <c r="AB249" s="295">
        <f t="shared" si="62"/>
        <v>19447.318974948423</v>
      </c>
      <c r="AC249" s="295">
        <f t="shared" si="62"/>
        <v>19447.318974948423</v>
      </c>
      <c r="AD249" s="295">
        <f t="shared" si="62"/>
        <v>19447.318974948423</v>
      </c>
      <c r="AE249" s="296">
        <f t="shared" si="62"/>
        <v>19447.318974948423</v>
      </c>
    </row>
    <row r="250" spans="1:31">
      <c r="A250" s="1711"/>
      <c r="B250" s="116">
        <v>23</v>
      </c>
      <c r="C250" s="294">
        <f t="shared" si="64"/>
        <v>19447.318974948423</v>
      </c>
      <c r="D250" s="295">
        <f t="shared" si="63"/>
        <v>19447.318974948423</v>
      </c>
      <c r="E250" s="295">
        <f t="shared" si="63"/>
        <v>19447.318974948423</v>
      </c>
      <c r="F250" s="295">
        <f t="shared" si="63"/>
        <v>19447.318974948423</v>
      </c>
      <c r="G250" s="295">
        <f t="shared" si="63"/>
        <v>19447.318974948423</v>
      </c>
      <c r="H250" s="295">
        <f t="shared" si="63"/>
        <v>19447.318974948423</v>
      </c>
      <c r="I250" s="295">
        <f t="shared" si="63"/>
        <v>19447.318974948423</v>
      </c>
      <c r="J250" s="295">
        <f t="shared" si="63"/>
        <v>19447.318974948423</v>
      </c>
      <c r="K250" s="295">
        <f t="shared" si="63"/>
        <v>19447.318974948423</v>
      </c>
      <c r="L250" s="295">
        <f t="shared" si="63"/>
        <v>19447.318974948423</v>
      </c>
      <c r="M250" s="295">
        <f t="shared" si="63"/>
        <v>19447.318974948423</v>
      </c>
      <c r="N250" s="295">
        <f t="shared" si="63"/>
        <v>19447.318974948423</v>
      </c>
      <c r="O250" s="295">
        <f t="shared" si="63"/>
        <v>19447.318974948423</v>
      </c>
      <c r="P250" s="295">
        <f t="shared" si="63"/>
        <v>19447.318974948423</v>
      </c>
      <c r="Q250" s="295">
        <f t="shared" si="63"/>
        <v>19447.318974948423</v>
      </c>
      <c r="R250" s="295">
        <f t="shared" si="63"/>
        <v>19447.318974948423</v>
      </c>
      <c r="S250" s="295">
        <f t="shared" si="63"/>
        <v>19447.318974948423</v>
      </c>
      <c r="T250" s="295">
        <f t="shared" si="62"/>
        <v>19447.318974948423</v>
      </c>
      <c r="U250" s="295">
        <f t="shared" si="62"/>
        <v>19447.318974948423</v>
      </c>
      <c r="V250" s="295">
        <f t="shared" si="62"/>
        <v>19447.318974948423</v>
      </c>
      <c r="W250" s="295">
        <f t="shared" si="62"/>
        <v>19447.318974948423</v>
      </c>
      <c r="X250" s="295">
        <f t="shared" si="62"/>
        <v>19447.318974948423</v>
      </c>
      <c r="Y250" s="295">
        <f t="shared" si="62"/>
        <v>19447.318974948423</v>
      </c>
      <c r="Z250" s="295">
        <f t="shared" si="62"/>
        <v>19447.318974948423</v>
      </c>
      <c r="AA250" s="295">
        <f t="shared" si="62"/>
        <v>19447.318974948423</v>
      </c>
      <c r="AB250" s="295">
        <f t="shared" si="62"/>
        <v>19447.318974948423</v>
      </c>
      <c r="AC250" s="295">
        <f t="shared" si="62"/>
        <v>19447.318974948423</v>
      </c>
      <c r="AD250" s="295">
        <f t="shared" si="62"/>
        <v>19447.318974948423</v>
      </c>
      <c r="AE250" s="296">
        <f t="shared" si="62"/>
        <v>19447.318974948423</v>
      </c>
    </row>
    <row r="251" spans="1:31">
      <c r="A251" s="1711"/>
      <c r="B251" s="116">
        <v>24</v>
      </c>
      <c r="C251" s="294">
        <f t="shared" si="64"/>
        <v>19447.318974948423</v>
      </c>
      <c r="D251" s="295">
        <f t="shared" si="63"/>
        <v>19447.318974948423</v>
      </c>
      <c r="E251" s="295">
        <f t="shared" si="63"/>
        <v>19447.318974948423</v>
      </c>
      <c r="F251" s="295">
        <f t="shared" si="63"/>
        <v>19447.318974948423</v>
      </c>
      <c r="G251" s="295">
        <f t="shared" si="63"/>
        <v>19447.318974948423</v>
      </c>
      <c r="H251" s="295">
        <f t="shared" si="63"/>
        <v>19447.318974948423</v>
      </c>
      <c r="I251" s="295">
        <f t="shared" si="63"/>
        <v>19447.318974948423</v>
      </c>
      <c r="J251" s="295">
        <f t="shared" si="63"/>
        <v>19447.318974948423</v>
      </c>
      <c r="K251" s="295">
        <f t="shared" si="63"/>
        <v>19447.318974948423</v>
      </c>
      <c r="L251" s="295">
        <f t="shared" si="63"/>
        <v>19447.318974948423</v>
      </c>
      <c r="M251" s="295">
        <f t="shared" si="63"/>
        <v>19447.318974948423</v>
      </c>
      <c r="N251" s="295">
        <f t="shared" si="63"/>
        <v>19447.318974948423</v>
      </c>
      <c r="O251" s="295">
        <f t="shared" si="63"/>
        <v>19447.318974948423</v>
      </c>
      <c r="P251" s="295">
        <f t="shared" si="63"/>
        <v>19447.318974948423</v>
      </c>
      <c r="Q251" s="295">
        <f t="shared" si="63"/>
        <v>19447.318974948423</v>
      </c>
      <c r="R251" s="295">
        <f t="shared" si="63"/>
        <v>19447.318974948423</v>
      </c>
      <c r="S251" s="295">
        <f t="shared" si="63"/>
        <v>19447.318974948423</v>
      </c>
      <c r="T251" s="295">
        <f t="shared" si="62"/>
        <v>19447.318974948423</v>
      </c>
      <c r="U251" s="295">
        <f t="shared" si="62"/>
        <v>19447.318974948423</v>
      </c>
      <c r="V251" s="295">
        <f t="shared" si="62"/>
        <v>19447.318974948423</v>
      </c>
      <c r="W251" s="295">
        <f t="shared" si="62"/>
        <v>19447.318974948423</v>
      </c>
      <c r="X251" s="295">
        <f t="shared" si="62"/>
        <v>19447.318974948423</v>
      </c>
      <c r="Y251" s="295">
        <f t="shared" si="62"/>
        <v>19447.318974948423</v>
      </c>
      <c r="Z251" s="295">
        <f t="shared" si="62"/>
        <v>19447.318974948423</v>
      </c>
      <c r="AA251" s="295">
        <f t="shared" si="62"/>
        <v>19447.318974948423</v>
      </c>
      <c r="AB251" s="295">
        <f t="shared" si="62"/>
        <v>19447.318974948423</v>
      </c>
      <c r="AC251" s="295">
        <f t="shared" si="62"/>
        <v>19447.318974948423</v>
      </c>
      <c r="AD251" s="295">
        <f t="shared" si="62"/>
        <v>19447.318974948423</v>
      </c>
      <c r="AE251" s="296">
        <f t="shared" si="62"/>
        <v>19447.318974948423</v>
      </c>
    </row>
    <row r="252" spans="1:31" ht="15.75" thickBot="1">
      <c r="A252" s="1711"/>
      <c r="B252" s="116">
        <v>25</v>
      </c>
      <c r="C252" s="297">
        <f t="shared" si="64"/>
        <v>19447.318974948423</v>
      </c>
      <c r="D252" s="298">
        <f t="shared" si="63"/>
        <v>19447.318974948423</v>
      </c>
      <c r="E252" s="298">
        <f t="shared" si="63"/>
        <v>19447.318974948423</v>
      </c>
      <c r="F252" s="298">
        <f t="shared" si="63"/>
        <v>19447.318974948423</v>
      </c>
      <c r="G252" s="298">
        <f t="shared" si="63"/>
        <v>19447.318974948423</v>
      </c>
      <c r="H252" s="298">
        <f t="shared" si="63"/>
        <v>19447.318974948423</v>
      </c>
      <c r="I252" s="298">
        <f t="shared" si="63"/>
        <v>19447.318974948423</v>
      </c>
      <c r="J252" s="298">
        <f t="shared" si="63"/>
        <v>19447.318974948423</v>
      </c>
      <c r="K252" s="298">
        <f t="shared" si="63"/>
        <v>19447.318974948423</v>
      </c>
      <c r="L252" s="298">
        <f t="shared" si="63"/>
        <v>19447.318974948423</v>
      </c>
      <c r="M252" s="298">
        <f t="shared" si="63"/>
        <v>19447.318974948423</v>
      </c>
      <c r="N252" s="298">
        <f t="shared" si="63"/>
        <v>19447.318974948423</v>
      </c>
      <c r="O252" s="298">
        <f t="shared" si="63"/>
        <v>19447.318974948423</v>
      </c>
      <c r="P252" s="298">
        <f t="shared" si="63"/>
        <v>19447.318974948423</v>
      </c>
      <c r="Q252" s="298">
        <f t="shared" si="63"/>
        <v>19447.318974948423</v>
      </c>
      <c r="R252" s="298">
        <f t="shared" si="63"/>
        <v>19447.318974948423</v>
      </c>
      <c r="S252" s="298">
        <f t="shared" si="63"/>
        <v>19447.318974948423</v>
      </c>
      <c r="T252" s="298">
        <f t="shared" si="62"/>
        <v>19447.318974948423</v>
      </c>
      <c r="U252" s="298">
        <f t="shared" si="62"/>
        <v>19447.318974948423</v>
      </c>
      <c r="V252" s="298">
        <f t="shared" si="62"/>
        <v>19447.318974948423</v>
      </c>
      <c r="W252" s="298">
        <f t="shared" si="62"/>
        <v>19447.318974948423</v>
      </c>
      <c r="X252" s="298">
        <f t="shared" si="62"/>
        <v>19447.318974948423</v>
      </c>
      <c r="Y252" s="298">
        <f t="shared" si="62"/>
        <v>19447.318974948423</v>
      </c>
      <c r="Z252" s="298">
        <f t="shared" si="62"/>
        <v>19447.318974948423</v>
      </c>
      <c r="AA252" s="298">
        <f t="shared" si="62"/>
        <v>19447.318974948423</v>
      </c>
      <c r="AB252" s="298">
        <f t="shared" si="62"/>
        <v>19447.318974948423</v>
      </c>
      <c r="AC252" s="298">
        <f t="shared" si="62"/>
        <v>19447.318974948423</v>
      </c>
      <c r="AD252" s="298">
        <f t="shared" si="62"/>
        <v>19447.318974948423</v>
      </c>
      <c r="AE252" s="299">
        <f t="shared" si="62"/>
        <v>19447.318974948423</v>
      </c>
    </row>
    <row r="253" spans="1:31" ht="16.5" thickTop="1" thickBot="1">
      <c r="A253" s="1712"/>
      <c r="B253" s="300" t="s">
        <v>39</v>
      </c>
      <c r="C253" s="461">
        <f>IF('CAR Stock'!C282=0,0,SUMPRODUCT(C227:C252,'CAR Stock'!C256:C281)/'CAR Stock'!C282)</f>
        <v>24183.218282696154</v>
      </c>
      <c r="D253" s="461">
        <f>IF('CAR Stock'!D282=0,0,SUMPRODUCT(D227:D252,'CAR Stock'!D256:D281)/'CAR Stock'!D282)</f>
        <v>23860.824208234986</v>
      </c>
      <c r="E253" s="461">
        <f>IF('CAR Stock'!E282=0,0,SUMPRODUCT(E227:E252,'CAR Stock'!E256:E281)/'CAR Stock'!E282)</f>
        <v>23503.384589125664</v>
      </c>
      <c r="F253" s="461">
        <f>IF('CAR Stock'!F282=0,0,SUMPRODUCT(F227:F252,'CAR Stock'!F256:F281)/'CAR Stock'!F282)</f>
        <v>23148.281227510499</v>
      </c>
      <c r="G253" s="461">
        <f>IF('CAR Stock'!G282=0,0,SUMPRODUCT(G227:G252,'CAR Stock'!G256:G281)/'CAR Stock'!G282)</f>
        <v>22810.622065383512</v>
      </c>
      <c r="H253" s="461">
        <f>IF('CAR Stock'!H282=0,0,SUMPRODUCT(H227:H252,'CAR Stock'!H256:H281)/'CAR Stock'!H282)</f>
        <v>22499.15503229251</v>
      </c>
      <c r="I253" s="461">
        <f>IF('CAR Stock'!I282=0,0,SUMPRODUCT(I227:I252,'CAR Stock'!I256:I281)/'CAR Stock'!I282)</f>
        <v>22215.968124202634</v>
      </c>
      <c r="J253" s="461">
        <f>IF('CAR Stock'!J282=0,0,SUMPRODUCT(J227:J252,'CAR Stock'!J256:J281)/'CAR Stock'!J282)</f>
        <v>21957.929150277669</v>
      </c>
      <c r="K253" s="461">
        <f>IF('CAR Stock'!K282=0,0,SUMPRODUCT(K227:K252,'CAR Stock'!K256:K281)/'CAR Stock'!K282)</f>
        <v>21721.4836111818</v>
      </c>
      <c r="L253" s="461">
        <f>IF('CAR Stock'!L282=0,0,SUMPRODUCT(L227:L252,'CAR Stock'!L256:L281)/'CAR Stock'!L282)</f>
        <v>21498.379784588378</v>
      </c>
      <c r="M253" s="461">
        <f>IF('CAR Stock'!M282=0,0,SUMPRODUCT(M227:M252,'CAR Stock'!M256:M281)/'CAR Stock'!M282)</f>
        <v>21274.275398724571</v>
      </c>
      <c r="N253" s="461">
        <f>IF('CAR Stock'!N282=0,0,SUMPRODUCT(N227:N252,'CAR Stock'!N256:N281)/'CAR Stock'!N282)</f>
        <v>21028.040619526688</v>
      </c>
      <c r="O253" s="461">
        <f>IF('CAR Stock'!O282=0,0,SUMPRODUCT(O227:O252,'CAR Stock'!O256:O281)/'CAR Stock'!O282)</f>
        <v>20739.221574466559</v>
      </c>
      <c r="P253" s="461">
        <f>IF('CAR Stock'!P282=0,0,SUMPRODUCT(P227:P252,'CAR Stock'!P256:P281)/'CAR Stock'!P282)</f>
        <v>20420.355494021078</v>
      </c>
      <c r="Q253" s="461">
        <f>IF('CAR Stock'!Q282=0,0,SUMPRODUCT(Q227:Q252,'CAR Stock'!Q256:Q281)/'CAR Stock'!Q282)</f>
        <v>20076.67209603317</v>
      </c>
      <c r="R253" s="461">
        <f>IF('CAR Stock'!R282=0,0,SUMPRODUCT(R227:R252,'CAR Stock'!R256:R281)/'CAR Stock'!R282)</f>
        <v>19723.079929804877</v>
      </c>
      <c r="S253" s="461">
        <f>IF('CAR Stock'!S282=0,0,SUMPRODUCT(S227:S252,'CAR Stock'!S256:S281)/'CAR Stock'!S282)</f>
        <v>19447.318974948426</v>
      </c>
      <c r="T253" s="461">
        <f>IF('CAR Stock'!T282=0,0,SUMPRODUCT(T227:T252,'CAR Stock'!T256:T281)/'CAR Stock'!T282)</f>
        <v>19447.318974948419</v>
      </c>
      <c r="U253" s="461">
        <f>IF('CAR Stock'!U282=0,0,SUMPRODUCT(U227:U252,'CAR Stock'!U256:U281)/'CAR Stock'!U282)</f>
        <v>19447.318974948426</v>
      </c>
      <c r="V253" s="461">
        <f>IF('CAR Stock'!V282=0,0,SUMPRODUCT(V227:V252,'CAR Stock'!V256:V281)/'CAR Stock'!V282)</f>
        <v>19447.318974948423</v>
      </c>
      <c r="W253" s="461">
        <f>IF('CAR Stock'!W282=0,0,SUMPRODUCT(W227:W252,'CAR Stock'!W256:W281)/'CAR Stock'!W282)</f>
        <v>19447.318974948423</v>
      </c>
      <c r="X253" s="461">
        <f>IF('CAR Stock'!X282=0,0,SUMPRODUCT(X227:X252,'CAR Stock'!X256:X281)/'CAR Stock'!X282)</f>
        <v>19447.318974948423</v>
      </c>
      <c r="Y253" s="461">
        <f>IF('CAR Stock'!Y282=0,0,SUMPRODUCT(Y227:Y252,'CAR Stock'!Y256:Y281)/'CAR Stock'!Y282)</f>
        <v>19447.318974948423</v>
      </c>
      <c r="Z253" s="461">
        <f>IF('CAR Stock'!Z282=0,0,SUMPRODUCT(Z227:Z252,'CAR Stock'!Z256:Z281)/'CAR Stock'!Z282)</f>
        <v>19447.318974948423</v>
      </c>
      <c r="AA253" s="461">
        <f>IF('CAR Stock'!AA282=0,0,SUMPRODUCT(AA227:AA252,'CAR Stock'!AA256:AA281)/'CAR Stock'!AA282)</f>
        <v>19447.318974948423</v>
      </c>
      <c r="AB253" s="461">
        <f>IF('CAR Stock'!AB282=0,0,SUMPRODUCT(AB227:AB252,'CAR Stock'!AB256:AB281)/'CAR Stock'!AB282)</f>
        <v>0</v>
      </c>
      <c r="AC253" s="461">
        <f>IF('CAR Stock'!AC282=0,0,SUMPRODUCT(AC227:AC252,'CAR Stock'!AC256:AC281)/'CAR Stock'!AC282)</f>
        <v>0</v>
      </c>
      <c r="AD253" s="461">
        <f>IF('CAR Stock'!AD282=0,0,SUMPRODUCT(AD227:AD252,'CAR Stock'!AD256:AD281)/'CAR Stock'!AD282)</f>
        <v>0</v>
      </c>
      <c r="AE253" s="462">
        <f>IF('CAR Stock'!AE282=0,0,SUMPRODUCT(AE227:AE252,'CAR Stock'!AE256:AE281)/'CAR Stock'!AE282)</f>
        <v>0</v>
      </c>
    </row>
    <row r="254" spans="1:31" ht="15.75" thickBot="1"/>
    <row r="255" spans="1:31" ht="15.75" thickBot="1">
      <c r="A255" s="1710" t="s">
        <v>49</v>
      </c>
      <c r="B255" s="169" t="s">
        <v>10</v>
      </c>
      <c r="C255" s="288">
        <v>2012</v>
      </c>
      <c r="D255" s="289">
        <v>2013</v>
      </c>
      <c r="E255" s="289">
        <v>2014</v>
      </c>
      <c r="F255" s="289">
        <v>2015</v>
      </c>
      <c r="G255" s="288">
        <v>2016</v>
      </c>
      <c r="H255" s="289">
        <v>2017</v>
      </c>
      <c r="I255" s="289">
        <v>2018</v>
      </c>
      <c r="J255" s="289">
        <v>2019</v>
      </c>
      <c r="K255" s="288">
        <v>2020</v>
      </c>
      <c r="L255" s="289">
        <v>2021</v>
      </c>
      <c r="M255" s="289">
        <v>2022</v>
      </c>
      <c r="N255" s="289">
        <v>2023</v>
      </c>
      <c r="O255" s="288">
        <v>2024</v>
      </c>
      <c r="P255" s="289">
        <v>2025</v>
      </c>
      <c r="Q255" s="289">
        <v>2026</v>
      </c>
      <c r="R255" s="289">
        <v>2027</v>
      </c>
      <c r="S255" s="288">
        <v>2028</v>
      </c>
      <c r="T255" s="289">
        <v>2029</v>
      </c>
      <c r="U255" s="289">
        <v>2030</v>
      </c>
      <c r="V255" s="289">
        <v>2031</v>
      </c>
      <c r="W255" s="288">
        <v>2032</v>
      </c>
      <c r="X255" s="289">
        <v>2033</v>
      </c>
      <c r="Y255" s="289">
        <v>2034</v>
      </c>
      <c r="Z255" s="289">
        <v>2035</v>
      </c>
      <c r="AA255" s="288">
        <v>2036</v>
      </c>
      <c r="AB255" s="289">
        <v>2037</v>
      </c>
      <c r="AC255" s="289">
        <v>2038</v>
      </c>
      <c r="AD255" s="289">
        <v>2039</v>
      </c>
      <c r="AE255" s="290">
        <v>2040</v>
      </c>
    </row>
    <row r="256" spans="1:31">
      <c r="A256" s="1711"/>
      <c r="B256" s="116">
        <v>0</v>
      </c>
      <c r="C256" s="291">
        <f>C24</f>
        <v>14378.939576134428</v>
      </c>
      <c r="D256" s="292">
        <f>C256</f>
        <v>14378.939576134428</v>
      </c>
      <c r="E256" s="292">
        <f t="shared" ref="E256:T256" si="65">D256</f>
        <v>14378.939576134428</v>
      </c>
      <c r="F256" s="292">
        <f t="shared" si="65"/>
        <v>14378.939576134428</v>
      </c>
      <c r="G256" s="292">
        <f t="shared" si="65"/>
        <v>14378.939576134428</v>
      </c>
      <c r="H256" s="292">
        <f t="shared" si="65"/>
        <v>14378.939576134428</v>
      </c>
      <c r="I256" s="292">
        <f t="shared" si="65"/>
        <v>14378.939576134428</v>
      </c>
      <c r="J256" s="292">
        <f t="shared" si="65"/>
        <v>14378.939576134428</v>
      </c>
      <c r="K256" s="292">
        <f t="shared" si="65"/>
        <v>14378.939576134428</v>
      </c>
      <c r="L256" s="292">
        <f t="shared" si="65"/>
        <v>14378.939576134428</v>
      </c>
      <c r="M256" s="292">
        <f t="shared" si="65"/>
        <v>14378.939576134428</v>
      </c>
      <c r="N256" s="292">
        <f t="shared" si="65"/>
        <v>14378.939576134428</v>
      </c>
      <c r="O256" s="292">
        <f t="shared" si="65"/>
        <v>14378.939576134428</v>
      </c>
      <c r="P256" s="292">
        <f t="shared" si="65"/>
        <v>14378.939576134428</v>
      </c>
      <c r="Q256" s="292">
        <f t="shared" si="65"/>
        <v>14378.939576134428</v>
      </c>
      <c r="R256" s="292">
        <f t="shared" si="65"/>
        <v>14378.939576134428</v>
      </c>
      <c r="S256" s="292">
        <f t="shared" si="65"/>
        <v>14378.939576134428</v>
      </c>
      <c r="T256" s="292">
        <f t="shared" si="65"/>
        <v>14378.939576134428</v>
      </c>
      <c r="U256" s="292">
        <f t="shared" ref="T256:AE271" si="66">T256</f>
        <v>14378.939576134428</v>
      </c>
      <c r="V256" s="292">
        <f t="shared" si="66"/>
        <v>14378.939576134428</v>
      </c>
      <c r="W256" s="292">
        <f t="shared" si="66"/>
        <v>14378.939576134428</v>
      </c>
      <c r="X256" s="292">
        <f t="shared" si="66"/>
        <v>14378.939576134428</v>
      </c>
      <c r="Y256" s="292">
        <f t="shared" si="66"/>
        <v>14378.939576134428</v>
      </c>
      <c r="Z256" s="292">
        <f t="shared" si="66"/>
        <v>14378.939576134428</v>
      </c>
      <c r="AA256" s="292">
        <f t="shared" si="66"/>
        <v>14378.939576134428</v>
      </c>
      <c r="AB256" s="292">
        <f t="shared" si="66"/>
        <v>14378.939576134428</v>
      </c>
      <c r="AC256" s="292">
        <f t="shared" si="66"/>
        <v>14378.939576134428</v>
      </c>
      <c r="AD256" s="292">
        <f t="shared" si="66"/>
        <v>14378.939576134428</v>
      </c>
      <c r="AE256" s="293">
        <f t="shared" si="66"/>
        <v>14378.939576134428</v>
      </c>
    </row>
    <row r="257" spans="1:31">
      <c r="A257" s="1711"/>
      <c r="B257" s="116">
        <v>1</v>
      </c>
      <c r="C257" s="294">
        <f t="shared" ref="C257:C320" si="67">C25</f>
        <v>14091.360784611739</v>
      </c>
      <c r="D257" s="295">
        <f t="shared" ref="D257:S272" si="68">C257</f>
        <v>14091.360784611739</v>
      </c>
      <c r="E257" s="295">
        <f t="shared" si="68"/>
        <v>14091.360784611739</v>
      </c>
      <c r="F257" s="295">
        <f t="shared" si="68"/>
        <v>14091.360784611739</v>
      </c>
      <c r="G257" s="295">
        <f t="shared" si="68"/>
        <v>14091.360784611739</v>
      </c>
      <c r="H257" s="295">
        <f t="shared" si="68"/>
        <v>14091.360784611739</v>
      </c>
      <c r="I257" s="295">
        <f t="shared" si="68"/>
        <v>14091.360784611739</v>
      </c>
      <c r="J257" s="295">
        <f t="shared" si="68"/>
        <v>14091.360784611739</v>
      </c>
      <c r="K257" s="295">
        <f t="shared" si="68"/>
        <v>14091.360784611739</v>
      </c>
      <c r="L257" s="295">
        <f t="shared" si="68"/>
        <v>14091.360784611739</v>
      </c>
      <c r="M257" s="295">
        <f t="shared" si="68"/>
        <v>14091.360784611739</v>
      </c>
      <c r="N257" s="295">
        <f t="shared" si="68"/>
        <v>14091.360784611739</v>
      </c>
      <c r="O257" s="295">
        <f t="shared" si="68"/>
        <v>14091.360784611739</v>
      </c>
      <c r="P257" s="295">
        <f t="shared" si="68"/>
        <v>14091.360784611739</v>
      </c>
      <c r="Q257" s="295">
        <f t="shared" si="68"/>
        <v>14091.360784611739</v>
      </c>
      <c r="R257" s="295">
        <f t="shared" si="68"/>
        <v>14091.360784611739</v>
      </c>
      <c r="S257" s="295">
        <f t="shared" si="68"/>
        <v>14091.360784611739</v>
      </c>
      <c r="T257" s="295">
        <f t="shared" si="66"/>
        <v>14091.360784611739</v>
      </c>
      <c r="U257" s="295">
        <f t="shared" si="66"/>
        <v>14091.360784611739</v>
      </c>
      <c r="V257" s="295">
        <f t="shared" si="66"/>
        <v>14091.360784611739</v>
      </c>
      <c r="W257" s="295">
        <f t="shared" si="66"/>
        <v>14091.360784611739</v>
      </c>
      <c r="X257" s="295">
        <f t="shared" si="66"/>
        <v>14091.360784611739</v>
      </c>
      <c r="Y257" s="295">
        <f t="shared" si="66"/>
        <v>14091.360784611739</v>
      </c>
      <c r="Z257" s="295">
        <f t="shared" si="66"/>
        <v>14091.360784611739</v>
      </c>
      <c r="AA257" s="295">
        <f t="shared" si="66"/>
        <v>14091.360784611739</v>
      </c>
      <c r="AB257" s="295">
        <f t="shared" si="66"/>
        <v>14091.360784611739</v>
      </c>
      <c r="AC257" s="295">
        <f t="shared" si="66"/>
        <v>14091.360784611739</v>
      </c>
      <c r="AD257" s="295">
        <f t="shared" si="66"/>
        <v>14091.360784611739</v>
      </c>
      <c r="AE257" s="296">
        <f t="shared" si="66"/>
        <v>14091.360784611739</v>
      </c>
    </row>
    <row r="258" spans="1:31">
      <c r="A258" s="1711"/>
      <c r="B258" s="116">
        <v>2</v>
      </c>
      <c r="C258" s="294">
        <f t="shared" si="67"/>
        <v>13809.533568919504</v>
      </c>
      <c r="D258" s="295">
        <f t="shared" si="68"/>
        <v>13809.533568919504</v>
      </c>
      <c r="E258" s="295">
        <f t="shared" si="68"/>
        <v>13809.533568919504</v>
      </c>
      <c r="F258" s="295">
        <f t="shared" si="68"/>
        <v>13809.533568919504</v>
      </c>
      <c r="G258" s="295">
        <f t="shared" si="68"/>
        <v>13809.533568919504</v>
      </c>
      <c r="H258" s="295">
        <f t="shared" si="68"/>
        <v>13809.533568919504</v>
      </c>
      <c r="I258" s="295">
        <f t="shared" si="68"/>
        <v>13809.533568919504</v>
      </c>
      <c r="J258" s="295">
        <f t="shared" si="68"/>
        <v>13809.533568919504</v>
      </c>
      <c r="K258" s="295">
        <f t="shared" si="68"/>
        <v>13809.533568919504</v>
      </c>
      <c r="L258" s="295">
        <f t="shared" si="68"/>
        <v>13809.533568919504</v>
      </c>
      <c r="M258" s="295">
        <f t="shared" si="68"/>
        <v>13809.533568919504</v>
      </c>
      <c r="N258" s="295">
        <f t="shared" si="68"/>
        <v>13809.533568919504</v>
      </c>
      <c r="O258" s="295">
        <f t="shared" si="68"/>
        <v>13809.533568919504</v>
      </c>
      <c r="P258" s="295">
        <f t="shared" si="68"/>
        <v>13809.533568919504</v>
      </c>
      <c r="Q258" s="295">
        <f t="shared" si="68"/>
        <v>13809.533568919504</v>
      </c>
      <c r="R258" s="295">
        <f t="shared" si="68"/>
        <v>13809.533568919504</v>
      </c>
      <c r="S258" s="295">
        <f t="shared" si="68"/>
        <v>13809.533568919504</v>
      </c>
      <c r="T258" s="295">
        <f t="shared" si="66"/>
        <v>13809.533568919504</v>
      </c>
      <c r="U258" s="295">
        <f t="shared" si="66"/>
        <v>13809.533568919504</v>
      </c>
      <c r="V258" s="295">
        <f t="shared" si="66"/>
        <v>13809.533568919504</v>
      </c>
      <c r="W258" s="295">
        <f t="shared" si="66"/>
        <v>13809.533568919504</v>
      </c>
      <c r="X258" s="295">
        <f t="shared" si="66"/>
        <v>13809.533568919504</v>
      </c>
      <c r="Y258" s="295">
        <f t="shared" si="66"/>
        <v>13809.533568919504</v>
      </c>
      <c r="Z258" s="295">
        <f t="shared" si="66"/>
        <v>13809.533568919504</v>
      </c>
      <c r="AA258" s="295">
        <f t="shared" si="66"/>
        <v>13809.533568919504</v>
      </c>
      <c r="AB258" s="295">
        <f t="shared" si="66"/>
        <v>13809.533568919504</v>
      </c>
      <c r="AC258" s="295">
        <f t="shared" si="66"/>
        <v>13809.533568919504</v>
      </c>
      <c r="AD258" s="295">
        <f t="shared" si="66"/>
        <v>13809.533568919504</v>
      </c>
      <c r="AE258" s="296">
        <f t="shared" si="66"/>
        <v>13809.533568919504</v>
      </c>
    </row>
    <row r="259" spans="1:31">
      <c r="A259" s="1711"/>
      <c r="B259" s="116">
        <v>3</v>
      </c>
      <c r="C259" s="294">
        <f t="shared" si="67"/>
        <v>13533.342897541113</v>
      </c>
      <c r="D259" s="295">
        <f t="shared" si="68"/>
        <v>13533.342897541113</v>
      </c>
      <c r="E259" s="295">
        <f t="shared" si="68"/>
        <v>13533.342897541113</v>
      </c>
      <c r="F259" s="295">
        <f t="shared" si="68"/>
        <v>13533.342897541113</v>
      </c>
      <c r="G259" s="295">
        <f t="shared" si="68"/>
        <v>13533.342897541113</v>
      </c>
      <c r="H259" s="295">
        <f t="shared" si="68"/>
        <v>13533.342897541113</v>
      </c>
      <c r="I259" s="295">
        <f t="shared" si="68"/>
        <v>13533.342897541113</v>
      </c>
      <c r="J259" s="295">
        <f t="shared" si="68"/>
        <v>13533.342897541113</v>
      </c>
      <c r="K259" s="295">
        <f t="shared" si="68"/>
        <v>13533.342897541113</v>
      </c>
      <c r="L259" s="295">
        <f t="shared" si="68"/>
        <v>13533.342897541113</v>
      </c>
      <c r="M259" s="295">
        <f t="shared" si="68"/>
        <v>13533.342897541113</v>
      </c>
      <c r="N259" s="295">
        <f t="shared" si="68"/>
        <v>13533.342897541113</v>
      </c>
      <c r="O259" s="295">
        <f t="shared" si="68"/>
        <v>13533.342897541113</v>
      </c>
      <c r="P259" s="295">
        <f t="shared" si="68"/>
        <v>13533.342897541113</v>
      </c>
      <c r="Q259" s="295">
        <f t="shared" si="68"/>
        <v>13533.342897541113</v>
      </c>
      <c r="R259" s="295">
        <f t="shared" si="68"/>
        <v>13533.342897541113</v>
      </c>
      <c r="S259" s="295">
        <f t="shared" si="68"/>
        <v>13533.342897541113</v>
      </c>
      <c r="T259" s="295">
        <f t="shared" si="66"/>
        <v>13533.342897541113</v>
      </c>
      <c r="U259" s="295">
        <f t="shared" si="66"/>
        <v>13533.342897541113</v>
      </c>
      <c r="V259" s="295">
        <f t="shared" si="66"/>
        <v>13533.342897541113</v>
      </c>
      <c r="W259" s="295">
        <f t="shared" si="66"/>
        <v>13533.342897541113</v>
      </c>
      <c r="X259" s="295">
        <f t="shared" si="66"/>
        <v>13533.342897541113</v>
      </c>
      <c r="Y259" s="295">
        <f t="shared" si="66"/>
        <v>13533.342897541113</v>
      </c>
      <c r="Z259" s="295">
        <f t="shared" si="66"/>
        <v>13533.342897541113</v>
      </c>
      <c r="AA259" s="295">
        <f t="shared" si="66"/>
        <v>13533.342897541113</v>
      </c>
      <c r="AB259" s="295">
        <f t="shared" si="66"/>
        <v>13533.342897541113</v>
      </c>
      <c r="AC259" s="295">
        <f t="shared" si="66"/>
        <v>13533.342897541113</v>
      </c>
      <c r="AD259" s="295">
        <f t="shared" si="66"/>
        <v>13533.342897541113</v>
      </c>
      <c r="AE259" s="296">
        <f t="shared" si="66"/>
        <v>13533.342897541113</v>
      </c>
    </row>
    <row r="260" spans="1:31">
      <c r="A260" s="1711"/>
      <c r="B260" s="116">
        <v>4</v>
      </c>
      <c r="C260" s="294">
        <f t="shared" si="67"/>
        <v>13262.676039590291</v>
      </c>
      <c r="D260" s="295">
        <f t="shared" si="68"/>
        <v>13262.676039590291</v>
      </c>
      <c r="E260" s="295">
        <f t="shared" si="68"/>
        <v>13262.676039590291</v>
      </c>
      <c r="F260" s="295">
        <f t="shared" si="68"/>
        <v>13262.676039590291</v>
      </c>
      <c r="G260" s="295">
        <f t="shared" si="68"/>
        <v>13262.676039590291</v>
      </c>
      <c r="H260" s="295">
        <f t="shared" si="68"/>
        <v>13262.676039590291</v>
      </c>
      <c r="I260" s="295">
        <f t="shared" si="68"/>
        <v>13262.676039590291</v>
      </c>
      <c r="J260" s="295">
        <f t="shared" si="68"/>
        <v>13262.676039590291</v>
      </c>
      <c r="K260" s="295">
        <f t="shared" si="68"/>
        <v>13262.676039590291</v>
      </c>
      <c r="L260" s="295">
        <f t="shared" si="68"/>
        <v>13262.676039590291</v>
      </c>
      <c r="M260" s="295">
        <f t="shared" si="68"/>
        <v>13262.676039590291</v>
      </c>
      <c r="N260" s="295">
        <f t="shared" si="68"/>
        <v>13262.676039590291</v>
      </c>
      <c r="O260" s="295">
        <f t="shared" si="68"/>
        <v>13262.676039590291</v>
      </c>
      <c r="P260" s="295">
        <f t="shared" si="68"/>
        <v>13262.676039590291</v>
      </c>
      <c r="Q260" s="295">
        <f t="shared" si="68"/>
        <v>13262.676039590291</v>
      </c>
      <c r="R260" s="295">
        <f t="shared" si="68"/>
        <v>13262.676039590291</v>
      </c>
      <c r="S260" s="295">
        <f t="shared" si="68"/>
        <v>13262.676039590291</v>
      </c>
      <c r="T260" s="295">
        <f t="shared" si="66"/>
        <v>13262.676039590291</v>
      </c>
      <c r="U260" s="295">
        <f t="shared" si="66"/>
        <v>13262.676039590291</v>
      </c>
      <c r="V260" s="295">
        <f t="shared" si="66"/>
        <v>13262.676039590291</v>
      </c>
      <c r="W260" s="295">
        <f t="shared" si="66"/>
        <v>13262.676039590291</v>
      </c>
      <c r="X260" s="295">
        <f t="shared" si="66"/>
        <v>13262.676039590291</v>
      </c>
      <c r="Y260" s="295">
        <f t="shared" si="66"/>
        <v>13262.676039590291</v>
      </c>
      <c r="Z260" s="295">
        <f t="shared" si="66"/>
        <v>13262.676039590291</v>
      </c>
      <c r="AA260" s="295">
        <f t="shared" si="66"/>
        <v>13262.676039590291</v>
      </c>
      <c r="AB260" s="295">
        <f t="shared" si="66"/>
        <v>13262.676039590291</v>
      </c>
      <c r="AC260" s="295">
        <f t="shared" si="66"/>
        <v>13262.676039590291</v>
      </c>
      <c r="AD260" s="295">
        <f t="shared" si="66"/>
        <v>13262.676039590291</v>
      </c>
      <c r="AE260" s="296">
        <f t="shared" si="66"/>
        <v>13262.676039590291</v>
      </c>
    </row>
    <row r="261" spans="1:31">
      <c r="A261" s="1711"/>
      <c r="B261" s="116">
        <v>5</v>
      </c>
      <c r="C261" s="294">
        <f t="shared" si="67"/>
        <v>12997.422518798485</v>
      </c>
      <c r="D261" s="295">
        <f t="shared" si="68"/>
        <v>12997.422518798485</v>
      </c>
      <c r="E261" s="295">
        <f t="shared" si="68"/>
        <v>12997.422518798485</v>
      </c>
      <c r="F261" s="295">
        <f t="shared" si="68"/>
        <v>12997.422518798485</v>
      </c>
      <c r="G261" s="295">
        <f t="shared" si="68"/>
        <v>12997.422518798485</v>
      </c>
      <c r="H261" s="295">
        <f t="shared" si="68"/>
        <v>12997.422518798485</v>
      </c>
      <c r="I261" s="295">
        <f t="shared" si="68"/>
        <v>12997.422518798485</v>
      </c>
      <c r="J261" s="295">
        <f t="shared" si="68"/>
        <v>12997.422518798485</v>
      </c>
      <c r="K261" s="295">
        <f t="shared" si="68"/>
        <v>12997.422518798485</v>
      </c>
      <c r="L261" s="295">
        <f t="shared" si="68"/>
        <v>12997.422518798485</v>
      </c>
      <c r="M261" s="295">
        <f t="shared" si="68"/>
        <v>12997.422518798485</v>
      </c>
      <c r="N261" s="295">
        <f t="shared" si="68"/>
        <v>12997.422518798485</v>
      </c>
      <c r="O261" s="295">
        <f t="shared" si="68"/>
        <v>12997.422518798485</v>
      </c>
      <c r="P261" s="295">
        <f t="shared" si="68"/>
        <v>12997.422518798485</v>
      </c>
      <c r="Q261" s="295">
        <f t="shared" si="68"/>
        <v>12997.422518798485</v>
      </c>
      <c r="R261" s="295">
        <f t="shared" si="68"/>
        <v>12997.422518798485</v>
      </c>
      <c r="S261" s="295">
        <f t="shared" si="68"/>
        <v>12997.422518798485</v>
      </c>
      <c r="T261" s="295">
        <f t="shared" si="66"/>
        <v>12997.422518798485</v>
      </c>
      <c r="U261" s="295">
        <f t="shared" si="66"/>
        <v>12997.422518798485</v>
      </c>
      <c r="V261" s="295">
        <f t="shared" si="66"/>
        <v>12997.422518798485</v>
      </c>
      <c r="W261" s="295">
        <f t="shared" si="66"/>
        <v>12997.422518798485</v>
      </c>
      <c r="X261" s="295">
        <f t="shared" si="66"/>
        <v>12997.422518798485</v>
      </c>
      <c r="Y261" s="295">
        <f t="shared" si="66"/>
        <v>12997.422518798485</v>
      </c>
      <c r="Z261" s="295">
        <f t="shared" si="66"/>
        <v>12997.422518798485</v>
      </c>
      <c r="AA261" s="295">
        <f t="shared" si="66"/>
        <v>12997.422518798485</v>
      </c>
      <c r="AB261" s="295">
        <f t="shared" si="66"/>
        <v>12997.422518798485</v>
      </c>
      <c r="AC261" s="295">
        <f t="shared" si="66"/>
        <v>12997.422518798485</v>
      </c>
      <c r="AD261" s="295">
        <f t="shared" si="66"/>
        <v>12997.422518798485</v>
      </c>
      <c r="AE261" s="296">
        <f t="shared" si="66"/>
        <v>12997.422518798485</v>
      </c>
    </row>
    <row r="262" spans="1:31">
      <c r="A262" s="1711"/>
      <c r="B262" s="116">
        <v>6</v>
      </c>
      <c r="C262" s="294">
        <f t="shared" si="67"/>
        <v>12737.474068422514</v>
      </c>
      <c r="D262" s="295">
        <f t="shared" si="68"/>
        <v>12737.474068422514</v>
      </c>
      <c r="E262" s="295">
        <f t="shared" si="68"/>
        <v>12737.474068422514</v>
      </c>
      <c r="F262" s="295">
        <f t="shared" si="68"/>
        <v>12737.474068422514</v>
      </c>
      <c r="G262" s="295">
        <f t="shared" si="68"/>
        <v>12737.474068422514</v>
      </c>
      <c r="H262" s="295">
        <f t="shared" si="68"/>
        <v>12737.474068422514</v>
      </c>
      <c r="I262" s="295">
        <f t="shared" si="68"/>
        <v>12737.474068422514</v>
      </c>
      <c r="J262" s="295">
        <f t="shared" si="68"/>
        <v>12737.474068422514</v>
      </c>
      <c r="K262" s="295">
        <f t="shared" si="68"/>
        <v>12737.474068422514</v>
      </c>
      <c r="L262" s="295">
        <f t="shared" si="68"/>
        <v>12737.474068422514</v>
      </c>
      <c r="M262" s="295">
        <f t="shared" si="68"/>
        <v>12737.474068422514</v>
      </c>
      <c r="N262" s="295">
        <f t="shared" si="68"/>
        <v>12737.474068422514</v>
      </c>
      <c r="O262" s="295">
        <f t="shared" si="68"/>
        <v>12737.474068422514</v>
      </c>
      <c r="P262" s="295">
        <f t="shared" si="68"/>
        <v>12737.474068422514</v>
      </c>
      <c r="Q262" s="295">
        <f t="shared" si="68"/>
        <v>12737.474068422514</v>
      </c>
      <c r="R262" s="295">
        <f t="shared" si="68"/>
        <v>12737.474068422514</v>
      </c>
      <c r="S262" s="295">
        <f t="shared" si="68"/>
        <v>12737.474068422514</v>
      </c>
      <c r="T262" s="295">
        <f t="shared" si="66"/>
        <v>12737.474068422514</v>
      </c>
      <c r="U262" s="295">
        <f t="shared" si="66"/>
        <v>12737.474068422514</v>
      </c>
      <c r="V262" s="295">
        <f t="shared" si="66"/>
        <v>12737.474068422514</v>
      </c>
      <c r="W262" s="295">
        <f t="shared" si="66"/>
        <v>12737.474068422514</v>
      </c>
      <c r="X262" s="295">
        <f t="shared" si="66"/>
        <v>12737.474068422514</v>
      </c>
      <c r="Y262" s="295">
        <f t="shared" si="66"/>
        <v>12737.474068422514</v>
      </c>
      <c r="Z262" s="295">
        <f t="shared" si="66"/>
        <v>12737.474068422514</v>
      </c>
      <c r="AA262" s="295">
        <f t="shared" si="66"/>
        <v>12737.474068422514</v>
      </c>
      <c r="AB262" s="295">
        <f t="shared" si="66"/>
        <v>12737.474068422514</v>
      </c>
      <c r="AC262" s="295">
        <f t="shared" si="66"/>
        <v>12737.474068422514</v>
      </c>
      <c r="AD262" s="295">
        <f t="shared" si="66"/>
        <v>12737.474068422514</v>
      </c>
      <c r="AE262" s="296">
        <f t="shared" si="66"/>
        <v>12737.474068422514</v>
      </c>
    </row>
    <row r="263" spans="1:31">
      <c r="A263" s="1711"/>
      <c r="B263" s="116">
        <v>7</v>
      </c>
      <c r="C263" s="294">
        <f t="shared" si="67"/>
        <v>12482.724587054065</v>
      </c>
      <c r="D263" s="295">
        <f t="shared" si="68"/>
        <v>12482.724587054065</v>
      </c>
      <c r="E263" s="295">
        <f t="shared" si="68"/>
        <v>12482.724587054065</v>
      </c>
      <c r="F263" s="295">
        <f t="shared" si="68"/>
        <v>12482.724587054065</v>
      </c>
      <c r="G263" s="295">
        <f t="shared" si="68"/>
        <v>12482.724587054065</v>
      </c>
      <c r="H263" s="295">
        <f t="shared" si="68"/>
        <v>12482.724587054065</v>
      </c>
      <c r="I263" s="295">
        <f t="shared" si="68"/>
        <v>12482.724587054065</v>
      </c>
      <c r="J263" s="295">
        <f t="shared" si="68"/>
        <v>12482.724587054065</v>
      </c>
      <c r="K263" s="295">
        <f t="shared" si="68"/>
        <v>12482.724587054065</v>
      </c>
      <c r="L263" s="295">
        <f t="shared" si="68"/>
        <v>12482.724587054065</v>
      </c>
      <c r="M263" s="295">
        <f t="shared" si="68"/>
        <v>12482.724587054065</v>
      </c>
      <c r="N263" s="295">
        <f t="shared" si="68"/>
        <v>12482.724587054065</v>
      </c>
      <c r="O263" s="295">
        <f t="shared" si="68"/>
        <v>12482.724587054065</v>
      </c>
      <c r="P263" s="295">
        <f t="shared" si="68"/>
        <v>12482.724587054065</v>
      </c>
      <c r="Q263" s="295">
        <f t="shared" si="68"/>
        <v>12482.724587054065</v>
      </c>
      <c r="R263" s="295">
        <f t="shared" si="68"/>
        <v>12482.724587054065</v>
      </c>
      <c r="S263" s="295">
        <f t="shared" si="68"/>
        <v>12482.724587054065</v>
      </c>
      <c r="T263" s="295">
        <f t="shared" si="66"/>
        <v>12482.724587054065</v>
      </c>
      <c r="U263" s="295">
        <f t="shared" si="66"/>
        <v>12482.724587054065</v>
      </c>
      <c r="V263" s="295">
        <f t="shared" si="66"/>
        <v>12482.724587054065</v>
      </c>
      <c r="W263" s="295">
        <f t="shared" si="66"/>
        <v>12482.724587054065</v>
      </c>
      <c r="X263" s="295">
        <f t="shared" si="66"/>
        <v>12482.724587054065</v>
      </c>
      <c r="Y263" s="295">
        <f t="shared" si="66"/>
        <v>12482.724587054065</v>
      </c>
      <c r="Z263" s="295">
        <f t="shared" si="66"/>
        <v>12482.724587054065</v>
      </c>
      <c r="AA263" s="295">
        <f t="shared" si="66"/>
        <v>12482.724587054065</v>
      </c>
      <c r="AB263" s="295">
        <f t="shared" si="66"/>
        <v>12482.724587054065</v>
      </c>
      <c r="AC263" s="295">
        <f t="shared" si="66"/>
        <v>12482.724587054065</v>
      </c>
      <c r="AD263" s="295">
        <f t="shared" si="66"/>
        <v>12482.724587054065</v>
      </c>
      <c r="AE263" s="296">
        <f t="shared" si="66"/>
        <v>12482.724587054065</v>
      </c>
    </row>
    <row r="264" spans="1:31">
      <c r="A264" s="1711"/>
      <c r="B264" s="116">
        <v>8</v>
      </c>
      <c r="C264" s="294">
        <f t="shared" si="67"/>
        <v>12233.070095312984</v>
      </c>
      <c r="D264" s="295">
        <f t="shared" si="68"/>
        <v>12233.070095312984</v>
      </c>
      <c r="E264" s="295">
        <f t="shared" si="68"/>
        <v>12233.070095312984</v>
      </c>
      <c r="F264" s="295">
        <f t="shared" si="68"/>
        <v>12233.070095312984</v>
      </c>
      <c r="G264" s="295">
        <f t="shared" si="68"/>
        <v>12233.070095312984</v>
      </c>
      <c r="H264" s="295">
        <f t="shared" si="68"/>
        <v>12233.070095312984</v>
      </c>
      <c r="I264" s="295">
        <f t="shared" si="68"/>
        <v>12233.070095312984</v>
      </c>
      <c r="J264" s="295">
        <f t="shared" si="68"/>
        <v>12233.070095312984</v>
      </c>
      <c r="K264" s="295">
        <f t="shared" si="68"/>
        <v>12233.070095312984</v>
      </c>
      <c r="L264" s="295">
        <f t="shared" si="68"/>
        <v>12233.070095312984</v>
      </c>
      <c r="M264" s="295">
        <f t="shared" si="68"/>
        <v>12233.070095312984</v>
      </c>
      <c r="N264" s="295">
        <f t="shared" si="68"/>
        <v>12233.070095312984</v>
      </c>
      <c r="O264" s="295">
        <f t="shared" si="68"/>
        <v>12233.070095312984</v>
      </c>
      <c r="P264" s="295">
        <f t="shared" si="68"/>
        <v>12233.070095312984</v>
      </c>
      <c r="Q264" s="295">
        <f t="shared" si="68"/>
        <v>12233.070095312984</v>
      </c>
      <c r="R264" s="295">
        <f t="shared" si="68"/>
        <v>12233.070095312984</v>
      </c>
      <c r="S264" s="295">
        <f t="shared" si="68"/>
        <v>12233.070095312984</v>
      </c>
      <c r="T264" s="295">
        <f t="shared" si="66"/>
        <v>12233.070095312984</v>
      </c>
      <c r="U264" s="295">
        <f t="shared" si="66"/>
        <v>12233.070095312984</v>
      </c>
      <c r="V264" s="295">
        <f t="shared" si="66"/>
        <v>12233.070095312984</v>
      </c>
      <c r="W264" s="295">
        <f t="shared" si="66"/>
        <v>12233.070095312984</v>
      </c>
      <c r="X264" s="295">
        <f t="shared" si="66"/>
        <v>12233.070095312984</v>
      </c>
      <c r="Y264" s="295">
        <f t="shared" si="66"/>
        <v>12233.070095312984</v>
      </c>
      <c r="Z264" s="295">
        <f t="shared" si="66"/>
        <v>12233.070095312984</v>
      </c>
      <c r="AA264" s="295">
        <f t="shared" si="66"/>
        <v>12233.070095312984</v>
      </c>
      <c r="AB264" s="295">
        <f t="shared" si="66"/>
        <v>12233.070095312984</v>
      </c>
      <c r="AC264" s="295">
        <f t="shared" si="66"/>
        <v>12233.070095312984</v>
      </c>
      <c r="AD264" s="295">
        <f t="shared" si="66"/>
        <v>12233.070095312984</v>
      </c>
      <c r="AE264" s="296">
        <f t="shared" si="66"/>
        <v>12233.070095312984</v>
      </c>
    </row>
    <row r="265" spans="1:31">
      <c r="A265" s="1711"/>
      <c r="B265" s="116">
        <v>9</v>
      </c>
      <c r="C265" s="294">
        <f t="shared" si="67"/>
        <v>11988.408693406724</v>
      </c>
      <c r="D265" s="295">
        <f t="shared" si="68"/>
        <v>11988.408693406724</v>
      </c>
      <c r="E265" s="295">
        <f t="shared" si="68"/>
        <v>11988.408693406724</v>
      </c>
      <c r="F265" s="295">
        <f t="shared" si="68"/>
        <v>11988.408693406724</v>
      </c>
      <c r="G265" s="295">
        <f t="shared" si="68"/>
        <v>11988.408693406724</v>
      </c>
      <c r="H265" s="295">
        <f t="shared" si="68"/>
        <v>11988.408693406724</v>
      </c>
      <c r="I265" s="295">
        <f t="shared" si="68"/>
        <v>11988.408693406724</v>
      </c>
      <c r="J265" s="295">
        <f t="shared" si="68"/>
        <v>11988.408693406724</v>
      </c>
      <c r="K265" s="295">
        <f t="shared" si="68"/>
        <v>11988.408693406724</v>
      </c>
      <c r="L265" s="295">
        <f t="shared" si="68"/>
        <v>11988.408693406724</v>
      </c>
      <c r="M265" s="295">
        <f t="shared" si="68"/>
        <v>11988.408693406724</v>
      </c>
      <c r="N265" s="295">
        <f t="shared" si="68"/>
        <v>11988.408693406724</v>
      </c>
      <c r="O265" s="295">
        <f t="shared" si="68"/>
        <v>11988.408693406724</v>
      </c>
      <c r="P265" s="295">
        <f t="shared" si="68"/>
        <v>11988.408693406724</v>
      </c>
      <c r="Q265" s="295">
        <f t="shared" si="68"/>
        <v>11988.408693406724</v>
      </c>
      <c r="R265" s="295">
        <f t="shared" si="68"/>
        <v>11988.408693406724</v>
      </c>
      <c r="S265" s="295">
        <f t="shared" si="68"/>
        <v>11988.408693406724</v>
      </c>
      <c r="T265" s="295">
        <f t="shared" si="66"/>
        <v>11988.408693406724</v>
      </c>
      <c r="U265" s="295">
        <f t="shared" si="66"/>
        <v>11988.408693406724</v>
      </c>
      <c r="V265" s="295">
        <f t="shared" si="66"/>
        <v>11988.408693406724</v>
      </c>
      <c r="W265" s="295">
        <f t="shared" si="66"/>
        <v>11988.408693406724</v>
      </c>
      <c r="X265" s="295">
        <f t="shared" si="66"/>
        <v>11988.408693406724</v>
      </c>
      <c r="Y265" s="295">
        <f t="shared" si="66"/>
        <v>11988.408693406724</v>
      </c>
      <c r="Z265" s="295">
        <f t="shared" si="66"/>
        <v>11988.408693406724</v>
      </c>
      <c r="AA265" s="295">
        <f t="shared" si="66"/>
        <v>11988.408693406724</v>
      </c>
      <c r="AB265" s="295">
        <f t="shared" si="66"/>
        <v>11988.408693406724</v>
      </c>
      <c r="AC265" s="295">
        <f t="shared" si="66"/>
        <v>11988.408693406724</v>
      </c>
      <c r="AD265" s="295">
        <f t="shared" si="66"/>
        <v>11988.408693406724</v>
      </c>
      <c r="AE265" s="296">
        <f t="shared" si="66"/>
        <v>11988.408693406724</v>
      </c>
    </row>
    <row r="266" spans="1:31">
      <c r="A266" s="1711"/>
      <c r="B266" s="116">
        <v>10</v>
      </c>
      <c r="C266" s="294">
        <f t="shared" si="67"/>
        <v>11748.640519538589</v>
      </c>
      <c r="D266" s="295">
        <f t="shared" si="68"/>
        <v>11748.640519538589</v>
      </c>
      <c r="E266" s="295">
        <f t="shared" si="68"/>
        <v>11748.640519538589</v>
      </c>
      <c r="F266" s="295">
        <f t="shared" si="68"/>
        <v>11748.640519538589</v>
      </c>
      <c r="G266" s="295">
        <f t="shared" si="68"/>
        <v>11748.640519538589</v>
      </c>
      <c r="H266" s="295">
        <f t="shared" si="68"/>
        <v>11748.640519538589</v>
      </c>
      <c r="I266" s="295">
        <f t="shared" si="68"/>
        <v>11748.640519538589</v>
      </c>
      <c r="J266" s="295">
        <f t="shared" si="68"/>
        <v>11748.640519538589</v>
      </c>
      <c r="K266" s="295">
        <f t="shared" si="68"/>
        <v>11748.640519538589</v>
      </c>
      <c r="L266" s="295">
        <f t="shared" si="68"/>
        <v>11748.640519538589</v>
      </c>
      <c r="M266" s="295">
        <f t="shared" si="68"/>
        <v>11748.640519538589</v>
      </c>
      <c r="N266" s="295">
        <f t="shared" si="68"/>
        <v>11748.640519538589</v>
      </c>
      <c r="O266" s="295">
        <f t="shared" si="68"/>
        <v>11748.640519538589</v>
      </c>
      <c r="P266" s="295">
        <f t="shared" si="68"/>
        <v>11748.640519538589</v>
      </c>
      <c r="Q266" s="295">
        <f t="shared" si="68"/>
        <v>11748.640519538589</v>
      </c>
      <c r="R266" s="295">
        <f t="shared" si="68"/>
        <v>11748.640519538589</v>
      </c>
      <c r="S266" s="295">
        <f t="shared" si="68"/>
        <v>11748.640519538589</v>
      </c>
      <c r="T266" s="295">
        <f t="shared" si="66"/>
        <v>11748.640519538589</v>
      </c>
      <c r="U266" s="295">
        <f t="shared" si="66"/>
        <v>11748.640519538589</v>
      </c>
      <c r="V266" s="295">
        <f t="shared" si="66"/>
        <v>11748.640519538589</v>
      </c>
      <c r="W266" s="295">
        <f t="shared" si="66"/>
        <v>11748.640519538589</v>
      </c>
      <c r="X266" s="295">
        <f t="shared" si="66"/>
        <v>11748.640519538589</v>
      </c>
      <c r="Y266" s="295">
        <f t="shared" si="66"/>
        <v>11748.640519538589</v>
      </c>
      <c r="Z266" s="295">
        <f t="shared" si="66"/>
        <v>11748.640519538589</v>
      </c>
      <c r="AA266" s="295">
        <f t="shared" si="66"/>
        <v>11748.640519538589</v>
      </c>
      <c r="AB266" s="295">
        <f t="shared" si="66"/>
        <v>11748.640519538589</v>
      </c>
      <c r="AC266" s="295">
        <f t="shared" si="66"/>
        <v>11748.640519538589</v>
      </c>
      <c r="AD266" s="295">
        <f t="shared" si="66"/>
        <v>11748.640519538589</v>
      </c>
      <c r="AE266" s="296">
        <f t="shared" si="66"/>
        <v>11748.640519538589</v>
      </c>
    </row>
    <row r="267" spans="1:31">
      <c r="A267" s="1711"/>
      <c r="B267" s="116">
        <v>11</v>
      </c>
      <c r="C267" s="294">
        <f t="shared" si="67"/>
        <v>11513.667709147816</v>
      </c>
      <c r="D267" s="295">
        <f t="shared" si="68"/>
        <v>11513.667709147816</v>
      </c>
      <c r="E267" s="295">
        <f t="shared" si="68"/>
        <v>11513.667709147816</v>
      </c>
      <c r="F267" s="295">
        <f t="shared" si="68"/>
        <v>11513.667709147816</v>
      </c>
      <c r="G267" s="295">
        <f t="shared" si="68"/>
        <v>11513.667709147816</v>
      </c>
      <c r="H267" s="295">
        <f t="shared" si="68"/>
        <v>11513.667709147816</v>
      </c>
      <c r="I267" s="295">
        <f t="shared" si="68"/>
        <v>11513.667709147816</v>
      </c>
      <c r="J267" s="295">
        <f t="shared" si="68"/>
        <v>11513.667709147816</v>
      </c>
      <c r="K267" s="295">
        <f t="shared" si="68"/>
        <v>11513.667709147816</v>
      </c>
      <c r="L267" s="295">
        <f t="shared" si="68"/>
        <v>11513.667709147816</v>
      </c>
      <c r="M267" s="295">
        <f t="shared" si="68"/>
        <v>11513.667709147816</v>
      </c>
      <c r="N267" s="295">
        <f t="shared" si="68"/>
        <v>11513.667709147816</v>
      </c>
      <c r="O267" s="295">
        <f t="shared" si="68"/>
        <v>11513.667709147816</v>
      </c>
      <c r="P267" s="295">
        <f t="shared" si="68"/>
        <v>11513.667709147816</v>
      </c>
      <c r="Q267" s="295">
        <f t="shared" si="68"/>
        <v>11513.667709147816</v>
      </c>
      <c r="R267" s="295">
        <f t="shared" si="68"/>
        <v>11513.667709147816</v>
      </c>
      <c r="S267" s="295">
        <f t="shared" si="68"/>
        <v>11513.667709147816</v>
      </c>
      <c r="T267" s="295">
        <f t="shared" si="66"/>
        <v>11513.667709147816</v>
      </c>
      <c r="U267" s="295">
        <f t="shared" si="66"/>
        <v>11513.667709147816</v>
      </c>
      <c r="V267" s="295">
        <f t="shared" si="66"/>
        <v>11513.667709147816</v>
      </c>
      <c r="W267" s="295">
        <f t="shared" si="66"/>
        <v>11513.667709147816</v>
      </c>
      <c r="X267" s="295">
        <f t="shared" si="66"/>
        <v>11513.667709147816</v>
      </c>
      <c r="Y267" s="295">
        <f t="shared" si="66"/>
        <v>11513.667709147816</v>
      </c>
      <c r="Z267" s="295">
        <f t="shared" si="66"/>
        <v>11513.667709147816</v>
      </c>
      <c r="AA267" s="295">
        <f t="shared" si="66"/>
        <v>11513.667709147816</v>
      </c>
      <c r="AB267" s="295">
        <f t="shared" si="66"/>
        <v>11513.667709147816</v>
      </c>
      <c r="AC267" s="295">
        <f t="shared" si="66"/>
        <v>11513.667709147816</v>
      </c>
      <c r="AD267" s="295">
        <f t="shared" si="66"/>
        <v>11513.667709147816</v>
      </c>
      <c r="AE267" s="296">
        <f t="shared" si="66"/>
        <v>11513.667709147816</v>
      </c>
    </row>
    <row r="268" spans="1:31">
      <c r="A268" s="1711"/>
      <c r="B268" s="116">
        <v>12</v>
      </c>
      <c r="C268" s="294">
        <f t="shared" si="67"/>
        <v>11283.394354964859</v>
      </c>
      <c r="D268" s="295">
        <f t="shared" si="68"/>
        <v>11283.394354964859</v>
      </c>
      <c r="E268" s="295">
        <f t="shared" si="68"/>
        <v>11283.394354964859</v>
      </c>
      <c r="F268" s="295">
        <f t="shared" si="68"/>
        <v>11283.394354964859</v>
      </c>
      <c r="G268" s="295">
        <f t="shared" si="68"/>
        <v>11283.394354964859</v>
      </c>
      <c r="H268" s="295">
        <f t="shared" si="68"/>
        <v>11283.394354964859</v>
      </c>
      <c r="I268" s="295">
        <f t="shared" si="68"/>
        <v>11283.394354964859</v>
      </c>
      <c r="J268" s="295">
        <f t="shared" si="68"/>
        <v>11283.394354964859</v>
      </c>
      <c r="K268" s="295">
        <f t="shared" si="68"/>
        <v>11283.394354964859</v>
      </c>
      <c r="L268" s="295">
        <f t="shared" si="68"/>
        <v>11283.394354964859</v>
      </c>
      <c r="M268" s="295">
        <f t="shared" si="68"/>
        <v>11283.394354964859</v>
      </c>
      <c r="N268" s="295">
        <f t="shared" si="68"/>
        <v>11283.394354964859</v>
      </c>
      <c r="O268" s="295">
        <f t="shared" si="68"/>
        <v>11283.394354964859</v>
      </c>
      <c r="P268" s="295">
        <f t="shared" si="68"/>
        <v>11283.394354964859</v>
      </c>
      <c r="Q268" s="295">
        <f t="shared" si="68"/>
        <v>11283.394354964859</v>
      </c>
      <c r="R268" s="295">
        <f t="shared" si="68"/>
        <v>11283.394354964859</v>
      </c>
      <c r="S268" s="295">
        <f t="shared" si="68"/>
        <v>11283.394354964859</v>
      </c>
      <c r="T268" s="295">
        <f t="shared" si="66"/>
        <v>11283.394354964859</v>
      </c>
      <c r="U268" s="295">
        <f t="shared" si="66"/>
        <v>11283.394354964859</v>
      </c>
      <c r="V268" s="295">
        <f t="shared" si="66"/>
        <v>11283.394354964859</v>
      </c>
      <c r="W268" s="295">
        <f t="shared" si="66"/>
        <v>11283.394354964859</v>
      </c>
      <c r="X268" s="295">
        <f t="shared" si="66"/>
        <v>11283.394354964859</v>
      </c>
      <c r="Y268" s="295">
        <f t="shared" si="66"/>
        <v>11283.394354964859</v>
      </c>
      <c r="Z268" s="295">
        <f t="shared" si="66"/>
        <v>11283.394354964859</v>
      </c>
      <c r="AA268" s="295">
        <f t="shared" si="66"/>
        <v>11283.394354964859</v>
      </c>
      <c r="AB268" s="295">
        <f t="shared" si="66"/>
        <v>11283.394354964859</v>
      </c>
      <c r="AC268" s="295">
        <f t="shared" si="66"/>
        <v>11283.394354964859</v>
      </c>
      <c r="AD268" s="295">
        <f t="shared" si="66"/>
        <v>11283.394354964859</v>
      </c>
      <c r="AE268" s="296">
        <f t="shared" si="66"/>
        <v>11283.394354964859</v>
      </c>
    </row>
    <row r="269" spans="1:31">
      <c r="A269" s="1711"/>
      <c r="B269" s="116">
        <v>13</v>
      </c>
      <c r="C269" s="294">
        <f t="shared" si="67"/>
        <v>11057.726467865561</v>
      </c>
      <c r="D269" s="295">
        <f t="shared" si="68"/>
        <v>11057.726467865561</v>
      </c>
      <c r="E269" s="295">
        <f t="shared" si="68"/>
        <v>11057.726467865561</v>
      </c>
      <c r="F269" s="295">
        <f t="shared" si="68"/>
        <v>11057.726467865561</v>
      </c>
      <c r="G269" s="295">
        <f t="shared" si="68"/>
        <v>11057.726467865561</v>
      </c>
      <c r="H269" s="295">
        <f t="shared" si="68"/>
        <v>11057.726467865561</v>
      </c>
      <c r="I269" s="295">
        <f t="shared" si="68"/>
        <v>11057.726467865561</v>
      </c>
      <c r="J269" s="295">
        <f t="shared" si="68"/>
        <v>11057.726467865561</v>
      </c>
      <c r="K269" s="295">
        <f t="shared" si="68"/>
        <v>11057.726467865561</v>
      </c>
      <c r="L269" s="295">
        <f t="shared" si="68"/>
        <v>11057.726467865561</v>
      </c>
      <c r="M269" s="295">
        <f t="shared" si="68"/>
        <v>11057.726467865561</v>
      </c>
      <c r="N269" s="295">
        <f t="shared" si="68"/>
        <v>11057.726467865561</v>
      </c>
      <c r="O269" s="295">
        <f t="shared" si="68"/>
        <v>11057.726467865561</v>
      </c>
      <c r="P269" s="295">
        <f t="shared" si="68"/>
        <v>11057.726467865561</v>
      </c>
      <c r="Q269" s="295">
        <f t="shared" si="68"/>
        <v>11057.726467865561</v>
      </c>
      <c r="R269" s="295">
        <f t="shared" si="68"/>
        <v>11057.726467865561</v>
      </c>
      <c r="S269" s="295">
        <f t="shared" si="68"/>
        <v>11057.726467865561</v>
      </c>
      <c r="T269" s="295">
        <f t="shared" si="66"/>
        <v>11057.726467865561</v>
      </c>
      <c r="U269" s="295">
        <f t="shared" si="66"/>
        <v>11057.726467865561</v>
      </c>
      <c r="V269" s="295">
        <f t="shared" si="66"/>
        <v>11057.726467865561</v>
      </c>
      <c r="W269" s="295">
        <f t="shared" si="66"/>
        <v>11057.726467865561</v>
      </c>
      <c r="X269" s="295">
        <f t="shared" si="66"/>
        <v>11057.726467865561</v>
      </c>
      <c r="Y269" s="295">
        <f t="shared" si="66"/>
        <v>11057.726467865561</v>
      </c>
      <c r="Z269" s="295">
        <f t="shared" si="66"/>
        <v>11057.726467865561</v>
      </c>
      <c r="AA269" s="295">
        <f t="shared" si="66"/>
        <v>11057.726467865561</v>
      </c>
      <c r="AB269" s="295">
        <f t="shared" si="66"/>
        <v>11057.726467865561</v>
      </c>
      <c r="AC269" s="295">
        <f t="shared" si="66"/>
        <v>11057.726467865561</v>
      </c>
      <c r="AD269" s="295">
        <f t="shared" si="66"/>
        <v>11057.726467865561</v>
      </c>
      <c r="AE269" s="296">
        <f t="shared" si="66"/>
        <v>11057.726467865561</v>
      </c>
    </row>
    <row r="270" spans="1:31">
      <c r="A270" s="1711"/>
      <c r="B270" s="116">
        <v>14</v>
      </c>
      <c r="C270" s="294">
        <f t="shared" si="67"/>
        <v>10836.57193850825</v>
      </c>
      <c r="D270" s="295">
        <f t="shared" si="68"/>
        <v>10836.57193850825</v>
      </c>
      <c r="E270" s="295">
        <f t="shared" si="68"/>
        <v>10836.57193850825</v>
      </c>
      <c r="F270" s="295">
        <f t="shared" si="68"/>
        <v>10836.57193850825</v>
      </c>
      <c r="G270" s="295">
        <f t="shared" si="68"/>
        <v>10836.57193850825</v>
      </c>
      <c r="H270" s="295">
        <f t="shared" si="68"/>
        <v>10836.57193850825</v>
      </c>
      <c r="I270" s="295">
        <f t="shared" si="68"/>
        <v>10836.57193850825</v>
      </c>
      <c r="J270" s="295">
        <f t="shared" si="68"/>
        <v>10836.57193850825</v>
      </c>
      <c r="K270" s="295">
        <f t="shared" si="68"/>
        <v>10836.57193850825</v>
      </c>
      <c r="L270" s="295">
        <f t="shared" si="68"/>
        <v>10836.57193850825</v>
      </c>
      <c r="M270" s="295">
        <f t="shared" si="68"/>
        <v>10836.57193850825</v>
      </c>
      <c r="N270" s="295">
        <f t="shared" si="68"/>
        <v>10836.57193850825</v>
      </c>
      <c r="O270" s="295">
        <f t="shared" si="68"/>
        <v>10836.57193850825</v>
      </c>
      <c r="P270" s="295">
        <f t="shared" si="68"/>
        <v>10836.57193850825</v>
      </c>
      <c r="Q270" s="295">
        <f t="shared" si="68"/>
        <v>10836.57193850825</v>
      </c>
      <c r="R270" s="295">
        <f t="shared" si="68"/>
        <v>10836.57193850825</v>
      </c>
      <c r="S270" s="295">
        <f t="shared" si="68"/>
        <v>10836.57193850825</v>
      </c>
      <c r="T270" s="295">
        <f t="shared" si="66"/>
        <v>10836.57193850825</v>
      </c>
      <c r="U270" s="295">
        <f t="shared" si="66"/>
        <v>10836.57193850825</v>
      </c>
      <c r="V270" s="295">
        <f t="shared" si="66"/>
        <v>10836.57193850825</v>
      </c>
      <c r="W270" s="295">
        <f t="shared" si="66"/>
        <v>10836.57193850825</v>
      </c>
      <c r="X270" s="295">
        <f t="shared" si="66"/>
        <v>10836.57193850825</v>
      </c>
      <c r="Y270" s="295">
        <f t="shared" si="66"/>
        <v>10836.57193850825</v>
      </c>
      <c r="Z270" s="295">
        <f t="shared" si="66"/>
        <v>10836.57193850825</v>
      </c>
      <c r="AA270" s="295">
        <f t="shared" si="66"/>
        <v>10836.57193850825</v>
      </c>
      <c r="AB270" s="295">
        <f t="shared" si="66"/>
        <v>10836.57193850825</v>
      </c>
      <c r="AC270" s="295">
        <f t="shared" si="66"/>
        <v>10836.57193850825</v>
      </c>
      <c r="AD270" s="295">
        <f t="shared" si="66"/>
        <v>10836.57193850825</v>
      </c>
      <c r="AE270" s="296">
        <f t="shared" si="66"/>
        <v>10836.57193850825</v>
      </c>
    </row>
    <row r="271" spans="1:31">
      <c r="A271" s="1711"/>
      <c r="B271" s="116">
        <v>15</v>
      </c>
      <c r="C271" s="294">
        <f t="shared" si="67"/>
        <v>10619.840499738086</v>
      </c>
      <c r="D271" s="295">
        <f t="shared" si="68"/>
        <v>10619.840499738086</v>
      </c>
      <c r="E271" s="295">
        <f t="shared" si="68"/>
        <v>10619.840499738086</v>
      </c>
      <c r="F271" s="295">
        <f t="shared" si="68"/>
        <v>10619.840499738086</v>
      </c>
      <c r="G271" s="295">
        <f t="shared" si="68"/>
        <v>10619.840499738086</v>
      </c>
      <c r="H271" s="295">
        <f t="shared" si="68"/>
        <v>10619.840499738086</v>
      </c>
      <c r="I271" s="295">
        <f t="shared" si="68"/>
        <v>10619.840499738086</v>
      </c>
      <c r="J271" s="295">
        <f t="shared" si="68"/>
        <v>10619.840499738086</v>
      </c>
      <c r="K271" s="295">
        <f t="shared" si="68"/>
        <v>10619.840499738086</v>
      </c>
      <c r="L271" s="295">
        <f t="shared" si="68"/>
        <v>10619.840499738086</v>
      </c>
      <c r="M271" s="295">
        <f t="shared" si="68"/>
        <v>10619.840499738086</v>
      </c>
      <c r="N271" s="295">
        <f t="shared" si="68"/>
        <v>10619.840499738086</v>
      </c>
      <c r="O271" s="295">
        <f t="shared" si="68"/>
        <v>10619.840499738086</v>
      </c>
      <c r="P271" s="295">
        <f t="shared" si="68"/>
        <v>10619.840499738086</v>
      </c>
      <c r="Q271" s="295">
        <f t="shared" si="68"/>
        <v>10619.840499738086</v>
      </c>
      <c r="R271" s="295">
        <f t="shared" si="68"/>
        <v>10619.840499738086</v>
      </c>
      <c r="S271" s="295">
        <f t="shared" si="68"/>
        <v>10619.840499738086</v>
      </c>
      <c r="T271" s="295">
        <f t="shared" si="66"/>
        <v>10619.840499738086</v>
      </c>
      <c r="U271" s="295">
        <f t="shared" si="66"/>
        <v>10619.840499738086</v>
      </c>
      <c r="V271" s="295">
        <f t="shared" si="66"/>
        <v>10619.840499738086</v>
      </c>
      <c r="W271" s="295">
        <f t="shared" si="66"/>
        <v>10619.840499738086</v>
      </c>
      <c r="X271" s="295">
        <f t="shared" si="66"/>
        <v>10619.840499738086</v>
      </c>
      <c r="Y271" s="295">
        <f t="shared" si="66"/>
        <v>10619.840499738086</v>
      </c>
      <c r="Z271" s="295">
        <f t="shared" si="66"/>
        <v>10619.840499738086</v>
      </c>
      <c r="AA271" s="295">
        <f t="shared" si="66"/>
        <v>10619.840499738086</v>
      </c>
      <c r="AB271" s="295">
        <f t="shared" si="66"/>
        <v>10619.840499738086</v>
      </c>
      <c r="AC271" s="295">
        <f t="shared" si="66"/>
        <v>10619.840499738086</v>
      </c>
      <c r="AD271" s="295">
        <f t="shared" si="66"/>
        <v>10619.840499738086</v>
      </c>
      <c r="AE271" s="296">
        <f t="shared" si="66"/>
        <v>10619.840499738086</v>
      </c>
    </row>
    <row r="272" spans="1:31">
      <c r="A272" s="1711"/>
      <c r="B272" s="116">
        <v>16</v>
      </c>
      <c r="C272" s="294">
        <f t="shared" si="67"/>
        <v>10407.443689743324</v>
      </c>
      <c r="D272" s="295">
        <f t="shared" si="68"/>
        <v>10407.443689743324</v>
      </c>
      <c r="E272" s="295">
        <f t="shared" si="68"/>
        <v>10407.443689743324</v>
      </c>
      <c r="F272" s="295">
        <f t="shared" si="68"/>
        <v>10407.443689743324</v>
      </c>
      <c r="G272" s="295">
        <f t="shared" si="68"/>
        <v>10407.443689743324</v>
      </c>
      <c r="H272" s="295">
        <f t="shared" si="68"/>
        <v>10407.443689743324</v>
      </c>
      <c r="I272" s="295">
        <f t="shared" si="68"/>
        <v>10407.443689743324</v>
      </c>
      <c r="J272" s="295">
        <f t="shared" si="68"/>
        <v>10407.443689743324</v>
      </c>
      <c r="K272" s="295">
        <f t="shared" si="68"/>
        <v>10407.443689743324</v>
      </c>
      <c r="L272" s="295">
        <f t="shared" si="68"/>
        <v>10407.443689743324</v>
      </c>
      <c r="M272" s="295">
        <f t="shared" si="68"/>
        <v>10407.443689743324</v>
      </c>
      <c r="N272" s="295">
        <f t="shared" si="68"/>
        <v>10407.443689743324</v>
      </c>
      <c r="O272" s="295">
        <f t="shared" si="68"/>
        <v>10407.443689743324</v>
      </c>
      <c r="P272" s="295">
        <f t="shared" si="68"/>
        <v>10407.443689743324</v>
      </c>
      <c r="Q272" s="295">
        <f t="shared" si="68"/>
        <v>10407.443689743324</v>
      </c>
      <c r="R272" s="295">
        <f t="shared" si="68"/>
        <v>10407.443689743324</v>
      </c>
      <c r="S272" s="295">
        <f t="shared" ref="S272:AE281" si="69">R272</f>
        <v>10407.443689743324</v>
      </c>
      <c r="T272" s="295">
        <f t="shared" si="69"/>
        <v>10407.443689743324</v>
      </c>
      <c r="U272" s="295">
        <f t="shared" si="69"/>
        <v>10407.443689743324</v>
      </c>
      <c r="V272" s="295">
        <f t="shared" si="69"/>
        <v>10407.443689743324</v>
      </c>
      <c r="W272" s="295">
        <f t="shared" si="69"/>
        <v>10407.443689743324</v>
      </c>
      <c r="X272" s="295">
        <f t="shared" si="69"/>
        <v>10407.443689743324</v>
      </c>
      <c r="Y272" s="295">
        <f t="shared" si="69"/>
        <v>10407.443689743324</v>
      </c>
      <c r="Z272" s="295">
        <f t="shared" si="69"/>
        <v>10407.443689743324</v>
      </c>
      <c r="AA272" s="295">
        <f t="shared" si="69"/>
        <v>10407.443689743324</v>
      </c>
      <c r="AB272" s="295">
        <f t="shared" si="69"/>
        <v>10407.443689743324</v>
      </c>
      <c r="AC272" s="295">
        <f t="shared" si="69"/>
        <v>10407.443689743324</v>
      </c>
      <c r="AD272" s="295">
        <f t="shared" si="69"/>
        <v>10407.443689743324</v>
      </c>
      <c r="AE272" s="296">
        <f t="shared" si="69"/>
        <v>10407.443689743324</v>
      </c>
    </row>
    <row r="273" spans="1:31">
      <c r="A273" s="1711"/>
      <c r="B273" s="116">
        <v>17</v>
      </c>
      <c r="C273" s="294">
        <f t="shared" si="67"/>
        <v>10407.443689743324</v>
      </c>
      <c r="D273" s="295">
        <f t="shared" ref="D273:S281" si="70">C273</f>
        <v>10407.443689743324</v>
      </c>
      <c r="E273" s="295">
        <f t="shared" si="70"/>
        <v>10407.443689743324</v>
      </c>
      <c r="F273" s="295">
        <f t="shared" si="70"/>
        <v>10407.443689743324</v>
      </c>
      <c r="G273" s="295">
        <f t="shared" si="70"/>
        <v>10407.443689743324</v>
      </c>
      <c r="H273" s="295">
        <f t="shared" si="70"/>
        <v>10407.443689743324</v>
      </c>
      <c r="I273" s="295">
        <f t="shared" si="70"/>
        <v>10407.443689743324</v>
      </c>
      <c r="J273" s="295">
        <f t="shared" si="70"/>
        <v>10407.443689743324</v>
      </c>
      <c r="K273" s="295">
        <f t="shared" si="70"/>
        <v>10407.443689743324</v>
      </c>
      <c r="L273" s="295">
        <f t="shared" si="70"/>
        <v>10407.443689743324</v>
      </c>
      <c r="M273" s="295">
        <f t="shared" si="70"/>
        <v>10407.443689743324</v>
      </c>
      <c r="N273" s="295">
        <f t="shared" si="70"/>
        <v>10407.443689743324</v>
      </c>
      <c r="O273" s="295">
        <f t="shared" si="70"/>
        <v>10407.443689743324</v>
      </c>
      <c r="P273" s="295">
        <f t="shared" si="70"/>
        <v>10407.443689743324</v>
      </c>
      <c r="Q273" s="295">
        <f t="shared" si="70"/>
        <v>10407.443689743324</v>
      </c>
      <c r="R273" s="295">
        <f t="shared" si="70"/>
        <v>10407.443689743324</v>
      </c>
      <c r="S273" s="295">
        <f t="shared" si="70"/>
        <v>10407.443689743324</v>
      </c>
      <c r="T273" s="295">
        <f t="shared" si="69"/>
        <v>10407.443689743324</v>
      </c>
      <c r="U273" s="295">
        <f t="shared" si="69"/>
        <v>10407.443689743324</v>
      </c>
      <c r="V273" s="295">
        <f t="shared" si="69"/>
        <v>10407.443689743324</v>
      </c>
      <c r="W273" s="295">
        <f t="shared" si="69"/>
        <v>10407.443689743324</v>
      </c>
      <c r="X273" s="295">
        <f t="shared" si="69"/>
        <v>10407.443689743324</v>
      </c>
      <c r="Y273" s="295">
        <f t="shared" si="69"/>
        <v>10407.443689743324</v>
      </c>
      <c r="Z273" s="295">
        <f t="shared" si="69"/>
        <v>10407.443689743324</v>
      </c>
      <c r="AA273" s="295">
        <f t="shared" si="69"/>
        <v>10407.443689743324</v>
      </c>
      <c r="AB273" s="295">
        <f t="shared" si="69"/>
        <v>10407.443689743324</v>
      </c>
      <c r="AC273" s="295">
        <f t="shared" si="69"/>
        <v>10407.443689743324</v>
      </c>
      <c r="AD273" s="295">
        <f t="shared" si="69"/>
        <v>10407.443689743324</v>
      </c>
      <c r="AE273" s="296">
        <f t="shared" si="69"/>
        <v>10407.443689743324</v>
      </c>
    </row>
    <row r="274" spans="1:31">
      <c r="A274" s="1711"/>
      <c r="B274" s="116">
        <v>18</v>
      </c>
      <c r="C274" s="294">
        <f t="shared" si="67"/>
        <v>10407.443689743324</v>
      </c>
      <c r="D274" s="295">
        <f t="shared" si="70"/>
        <v>10407.443689743324</v>
      </c>
      <c r="E274" s="295">
        <f t="shared" si="70"/>
        <v>10407.443689743324</v>
      </c>
      <c r="F274" s="295">
        <f t="shared" si="70"/>
        <v>10407.443689743324</v>
      </c>
      <c r="G274" s="295">
        <f t="shared" si="70"/>
        <v>10407.443689743324</v>
      </c>
      <c r="H274" s="295">
        <f t="shared" si="70"/>
        <v>10407.443689743324</v>
      </c>
      <c r="I274" s="295">
        <f t="shared" si="70"/>
        <v>10407.443689743324</v>
      </c>
      <c r="J274" s="295">
        <f t="shared" si="70"/>
        <v>10407.443689743324</v>
      </c>
      <c r="K274" s="295">
        <f t="shared" si="70"/>
        <v>10407.443689743324</v>
      </c>
      <c r="L274" s="295">
        <f t="shared" si="70"/>
        <v>10407.443689743324</v>
      </c>
      <c r="M274" s="295">
        <f t="shared" si="70"/>
        <v>10407.443689743324</v>
      </c>
      <c r="N274" s="295">
        <f t="shared" si="70"/>
        <v>10407.443689743324</v>
      </c>
      <c r="O274" s="295">
        <f t="shared" si="70"/>
        <v>10407.443689743324</v>
      </c>
      <c r="P274" s="295">
        <f t="shared" si="70"/>
        <v>10407.443689743324</v>
      </c>
      <c r="Q274" s="295">
        <f t="shared" si="70"/>
        <v>10407.443689743324</v>
      </c>
      <c r="R274" s="295">
        <f t="shared" si="70"/>
        <v>10407.443689743324</v>
      </c>
      <c r="S274" s="295">
        <f t="shared" si="70"/>
        <v>10407.443689743324</v>
      </c>
      <c r="T274" s="295">
        <f t="shared" si="69"/>
        <v>10407.443689743324</v>
      </c>
      <c r="U274" s="295">
        <f t="shared" si="69"/>
        <v>10407.443689743324</v>
      </c>
      <c r="V274" s="295">
        <f t="shared" si="69"/>
        <v>10407.443689743324</v>
      </c>
      <c r="W274" s="295">
        <f t="shared" si="69"/>
        <v>10407.443689743324</v>
      </c>
      <c r="X274" s="295">
        <f t="shared" si="69"/>
        <v>10407.443689743324</v>
      </c>
      <c r="Y274" s="295">
        <f t="shared" si="69"/>
        <v>10407.443689743324</v>
      </c>
      <c r="Z274" s="295">
        <f t="shared" si="69"/>
        <v>10407.443689743324</v>
      </c>
      <c r="AA274" s="295">
        <f t="shared" si="69"/>
        <v>10407.443689743324</v>
      </c>
      <c r="AB274" s="295">
        <f t="shared" si="69"/>
        <v>10407.443689743324</v>
      </c>
      <c r="AC274" s="295">
        <f t="shared" si="69"/>
        <v>10407.443689743324</v>
      </c>
      <c r="AD274" s="295">
        <f t="shared" si="69"/>
        <v>10407.443689743324</v>
      </c>
      <c r="AE274" s="296">
        <f t="shared" si="69"/>
        <v>10407.443689743324</v>
      </c>
    </row>
    <row r="275" spans="1:31">
      <c r="A275" s="1711"/>
      <c r="B275" s="116">
        <v>19</v>
      </c>
      <c r="C275" s="294">
        <f t="shared" si="67"/>
        <v>10407.443689743324</v>
      </c>
      <c r="D275" s="295">
        <f t="shared" si="70"/>
        <v>10407.443689743324</v>
      </c>
      <c r="E275" s="295">
        <f t="shared" si="70"/>
        <v>10407.443689743324</v>
      </c>
      <c r="F275" s="295">
        <f t="shared" si="70"/>
        <v>10407.443689743324</v>
      </c>
      <c r="G275" s="295">
        <f t="shared" si="70"/>
        <v>10407.443689743324</v>
      </c>
      <c r="H275" s="295">
        <f t="shared" si="70"/>
        <v>10407.443689743324</v>
      </c>
      <c r="I275" s="295">
        <f t="shared" si="70"/>
        <v>10407.443689743324</v>
      </c>
      <c r="J275" s="295">
        <f t="shared" si="70"/>
        <v>10407.443689743324</v>
      </c>
      <c r="K275" s="295">
        <f t="shared" si="70"/>
        <v>10407.443689743324</v>
      </c>
      <c r="L275" s="295">
        <f t="shared" si="70"/>
        <v>10407.443689743324</v>
      </c>
      <c r="M275" s="295">
        <f t="shared" si="70"/>
        <v>10407.443689743324</v>
      </c>
      <c r="N275" s="295">
        <f t="shared" si="70"/>
        <v>10407.443689743324</v>
      </c>
      <c r="O275" s="295">
        <f t="shared" si="70"/>
        <v>10407.443689743324</v>
      </c>
      <c r="P275" s="295">
        <f t="shared" si="70"/>
        <v>10407.443689743324</v>
      </c>
      <c r="Q275" s="295">
        <f t="shared" si="70"/>
        <v>10407.443689743324</v>
      </c>
      <c r="R275" s="295">
        <f t="shared" si="70"/>
        <v>10407.443689743324</v>
      </c>
      <c r="S275" s="295">
        <f t="shared" si="70"/>
        <v>10407.443689743324</v>
      </c>
      <c r="T275" s="295">
        <f t="shared" si="69"/>
        <v>10407.443689743324</v>
      </c>
      <c r="U275" s="295">
        <f t="shared" si="69"/>
        <v>10407.443689743324</v>
      </c>
      <c r="V275" s="295">
        <f t="shared" si="69"/>
        <v>10407.443689743324</v>
      </c>
      <c r="W275" s="295">
        <f t="shared" si="69"/>
        <v>10407.443689743324</v>
      </c>
      <c r="X275" s="295">
        <f t="shared" si="69"/>
        <v>10407.443689743324</v>
      </c>
      <c r="Y275" s="295">
        <f t="shared" si="69"/>
        <v>10407.443689743324</v>
      </c>
      <c r="Z275" s="295">
        <f t="shared" si="69"/>
        <v>10407.443689743324</v>
      </c>
      <c r="AA275" s="295">
        <f t="shared" si="69"/>
        <v>10407.443689743324</v>
      </c>
      <c r="AB275" s="295">
        <f t="shared" si="69"/>
        <v>10407.443689743324</v>
      </c>
      <c r="AC275" s="295">
        <f t="shared" si="69"/>
        <v>10407.443689743324</v>
      </c>
      <c r="AD275" s="295">
        <f t="shared" si="69"/>
        <v>10407.443689743324</v>
      </c>
      <c r="AE275" s="296">
        <f t="shared" si="69"/>
        <v>10407.443689743324</v>
      </c>
    </row>
    <row r="276" spans="1:31">
      <c r="A276" s="1711"/>
      <c r="B276" s="116">
        <v>20</v>
      </c>
      <c r="C276" s="294">
        <f t="shared" si="67"/>
        <v>10407.443689743324</v>
      </c>
      <c r="D276" s="295">
        <f t="shared" si="70"/>
        <v>10407.443689743324</v>
      </c>
      <c r="E276" s="295">
        <f t="shared" si="70"/>
        <v>10407.443689743324</v>
      </c>
      <c r="F276" s="295">
        <f t="shared" si="70"/>
        <v>10407.443689743324</v>
      </c>
      <c r="G276" s="295">
        <f t="shared" si="70"/>
        <v>10407.443689743324</v>
      </c>
      <c r="H276" s="295">
        <f t="shared" si="70"/>
        <v>10407.443689743324</v>
      </c>
      <c r="I276" s="295">
        <f t="shared" si="70"/>
        <v>10407.443689743324</v>
      </c>
      <c r="J276" s="295">
        <f t="shared" si="70"/>
        <v>10407.443689743324</v>
      </c>
      <c r="K276" s="295">
        <f t="shared" si="70"/>
        <v>10407.443689743324</v>
      </c>
      <c r="L276" s="295">
        <f t="shared" si="70"/>
        <v>10407.443689743324</v>
      </c>
      <c r="M276" s="295">
        <f t="shared" si="70"/>
        <v>10407.443689743324</v>
      </c>
      <c r="N276" s="295">
        <f t="shared" si="70"/>
        <v>10407.443689743324</v>
      </c>
      <c r="O276" s="295">
        <f t="shared" si="70"/>
        <v>10407.443689743324</v>
      </c>
      <c r="P276" s="295">
        <f t="shared" si="70"/>
        <v>10407.443689743324</v>
      </c>
      <c r="Q276" s="295">
        <f t="shared" si="70"/>
        <v>10407.443689743324</v>
      </c>
      <c r="R276" s="295">
        <f t="shared" si="70"/>
        <v>10407.443689743324</v>
      </c>
      <c r="S276" s="295">
        <f t="shared" si="70"/>
        <v>10407.443689743324</v>
      </c>
      <c r="T276" s="295">
        <f t="shared" si="69"/>
        <v>10407.443689743324</v>
      </c>
      <c r="U276" s="295">
        <f t="shared" si="69"/>
        <v>10407.443689743324</v>
      </c>
      <c r="V276" s="295">
        <f t="shared" si="69"/>
        <v>10407.443689743324</v>
      </c>
      <c r="W276" s="295">
        <f t="shared" si="69"/>
        <v>10407.443689743324</v>
      </c>
      <c r="X276" s="295">
        <f t="shared" si="69"/>
        <v>10407.443689743324</v>
      </c>
      <c r="Y276" s="295">
        <f t="shared" si="69"/>
        <v>10407.443689743324</v>
      </c>
      <c r="Z276" s="295">
        <f t="shared" si="69"/>
        <v>10407.443689743324</v>
      </c>
      <c r="AA276" s="295">
        <f t="shared" si="69"/>
        <v>10407.443689743324</v>
      </c>
      <c r="AB276" s="295">
        <f t="shared" si="69"/>
        <v>10407.443689743324</v>
      </c>
      <c r="AC276" s="295">
        <f t="shared" si="69"/>
        <v>10407.443689743324</v>
      </c>
      <c r="AD276" s="295">
        <f t="shared" si="69"/>
        <v>10407.443689743324</v>
      </c>
      <c r="AE276" s="296">
        <f t="shared" si="69"/>
        <v>10407.443689743324</v>
      </c>
    </row>
    <row r="277" spans="1:31">
      <c r="A277" s="1711"/>
      <c r="B277" s="116">
        <v>21</v>
      </c>
      <c r="C277" s="294">
        <f t="shared" si="67"/>
        <v>10407.443689743324</v>
      </c>
      <c r="D277" s="295">
        <f t="shared" si="70"/>
        <v>10407.443689743324</v>
      </c>
      <c r="E277" s="295">
        <f t="shared" si="70"/>
        <v>10407.443689743324</v>
      </c>
      <c r="F277" s="295">
        <f t="shared" si="70"/>
        <v>10407.443689743324</v>
      </c>
      <c r="G277" s="295">
        <f t="shared" si="70"/>
        <v>10407.443689743324</v>
      </c>
      <c r="H277" s="295">
        <f t="shared" si="70"/>
        <v>10407.443689743324</v>
      </c>
      <c r="I277" s="295">
        <f t="shared" si="70"/>
        <v>10407.443689743324</v>
      </c>
      <c r="J277" s="295">
        <f t="shared" si="70"/>
        <v>10407.443689743324</v>
      </c>
      <c r="K277" s="295">
        <f t="shared" si="70"/>
        <v>10407.443689743324</v>
      </c>
      <c r="L277" s="295">
        <f t="shared" si="70"/>
        <v>10407.443689743324</v>
      </c>
      <c r="M277" s="295">
        <f t="shared" si="70"/>
        <v>10407.443689743324</v>
      </c>
      <c r="N277" s="295">
        <f t="shared" si="70"/>
        <v>10407.443689743324</v>
      </c>
      <c r="O277" s="295">
        <f t="shared" si="70"/>
        <v>10407.443689743324</v>
      </c>
      <c r="P277" s="295">
        <f t="shared" si="70"/>
        <v>10407.443689743324</v>
      </c>
      <c r="Q277" s="295">
        <f t="shared" si="70"/>
        <v>10407.443689743324</v>
      </c>
      <c r="R277" s="295">
        <f t="shared" si="70"/>
        <v>10407.443689743324</v>
      </c>
      <c r="S277" s="295">
        <f t="shared" si="70"/>
        <v>10407.443689743324</v>
      </c>
      <c r="T277" s="295">
        <f t="shared" si="69"/>
        <v>10407.443689743324</v>
      </c>
      <c r="U277" s="295">
        <f t="shared" si="69"/>
        <v>10407.443689743324</v>
      </c>
      <c r="V277" s="295">
        <f t="shared" si="69"/>
        <v>10407.443689743324</v>
      </c>
      <c r="W277" s="295">
        <f t="shared" si="69"/>
        <v>10407.443689743324</v>
      </c>
      <c r="X277" s="295">
        <f t="shared" si="69"/>
        <v>10407.443689743324</v>
      </c>
      <c r="Y277" s="295">
        <f t="shared" si="69"/>
        <v>10407.443689743324</v>
      </c>
      <c r="Z277" s="295">
        <f t="shared" si="69"/>
        <v>10407.443689743324</v>
      </c>
      <c r="AA277" s="295">
        <f t="shared" si="69"/>
        <v>10407.443689743324</v>
      </c>
      <c r="AB277" s="295">
        <f t="shared" si="69"/>
        <v>10407.443689743324</v>
      </c>
      <c r="AC277" s="295">
        <f t="shared" si="69"/>
        <v>10407.443689743324</v>
      </c>
      <c r="AD277" s="295">
        <f t="shared" si="69"/>
        <v>10407.443689743324</v>
      </c>
      <c r="AE277" s="296">
        <f t="shared" si="69"/>
        <v>10407.443689743324</v>
      </c>
    </row>
    <row r="278" spans="1:31">
      <c r="A278" s="1711"/>
      <c r="B278" s="116">
        <v>22</v>
      </c>
      <c r="C278" s="294">
        <f t="shared" si="67"/>
        <v>10407.443689743324</v>
      </c>
      <c r="D278" s="295">
        <f t="shared" si="70"/>
        <v>10407.443689743324</v>
      </c>
      <c r="E278" s="295">
        <f t="shared" si="70"/>
        <v>10407.443689743324</v>
      </c>
      <c r="F278" s="295">
        <f t="shared" si="70"/>
        <v>10407.443689743324</v>
      </c>
      <c r="G278" s="295">
        <f t="shared" si="70"/>
        <v>10407.443689743324</v>
      </c>
      <c r="H278" s="295">
        <f t="shared" si="70"/>
        <v>10407.443689743324</v>
      </c>
      <c r="I278" s="295">
        <f t="shared" si="70"/>
        <v>10407.443689743324</v>
      </c>
      <c r="J278" s="295">
        <f t="shared" si="70"/>
        <v>10407.443689743324</v>
      </c>
      <c r="K278" s="295">
        <f t="shared" si="70"/>
        <v>10407.443689743324</v>
      </c>
      <c r="L278" s="295">
        <f t="shared" si="70"/>
        <v>10407.443689743324</v>
      </c>
      <c r="M278" s="295">
        <f t="shared" si="70"/>
        <v>10407.443689743324</v>
      </c>
      <c r="N278" s="295">
        <f t="shared" si="70"/>
        <v>10407.443689743324</v>
      </c>
      <c r="O278" s="295">
        <f t="shared" si="70"/>
        <v>10407.443689743324</v>
      </c>
      <c r="P278" s="295">
        <f t="shared" si="70"/>
        <v>10407.443689743324</v>
      </c>
      <c r="Q278" s="295">
        <f t="shared" si="70"/>
        <v>10407.443689743324</v>
      </c>
      <c r="R278" s="295">
        <f t="shared" si="70"/>
        <v>10407.443689743324</v>
      </c>
      <c r="S278" s="295">
        <f t="shared" si="70"/>
        <v>10407.443689743324</v>
      </c>
      <c r="T278" s="295">
        <f t="shared" si="69"/>
        <v>10407.443689743324</v>
      </c>
      <c r="U278" s="295">
        <f t="shared" si="69"/>
        <v>10407.443689743324</v>
      </c>
      <c r="V278" s="295">
        <f t="shared" si="69"/>
        <v>10407.443689743324</v>
      </c>
      <c r="W278" s="295">
        <f t="shared" si="69"/>
        <v>10407.443689743324</v>
      </c>
      <c r="X278" s="295">
        <f t="shared" si="69"/>
        <v>10407.443689743324</v>
      </c>
      <c r="Y278" s="295">
        <f t="shared" si="69"/>
        <v>10407.443689743324</v>
      </c>
      <c r="Z278" s="295">
        <f t="shared" si="69"/>
        <v>10407.443689743324</v>
      </c>
      <c r="AA278" s="295">
        <f t="shared" si="69"/>
        <v>10407.443689743324</v>
      </c>
      <c r="AB278" s="295">
        <f t="shared" si="69"/>
        <v>10407.443689743324</v>
      </c>
      <c r="AC278" s="295">
        <f t="shared" si="69"/>
        <v>10407.443689743324</v>
      </c>
      <c r="AD278" s="295">
        <f t="shared" si="69"/>
        <v>10407.443689743324</v>
      </c>
      <c r="AE278" s="296">
        <f t="shared" si="69"/>
        <v>10407.443689743324</v>
      </c>
    </row>
    <row r="279" spans="1:31">
      <c r="A279" s="1711"/>
      <c r="B279" s="116">
        <v>23</v>
      </c>
      <c r="C279" s="294">
        <f t="shared" si="67"/>
        <v>10407.443689743324</v>
      </c>
      <c r="D279" s="295">
        <f t="shared" si="70"/>
        <v>10407.443689743324</v>
      </c>
      <c r="E279" s="295">
        <f t="shared" si="70"/>
        <v>10407.443689743324</v>
      </c>
      <c r="F279" s="295">
        <f t="shared" si="70"/>
        <v>10407.443689743324</v>
      </c>
      <c r="G279" s="295">
        <f t="shared" si="70"/>
        <v>10407.443689743324</v>
      </c>
      <c r="H279" s="295">
        <f t="shared" si="70"/>
        <v>10407.443689743324</v>
      </c>
      <c r="I279" s="295">
        <f t="shared" si="70"/>
        <v>10407.443689743324</v>
      </c>
      <c r="J279" s="295">
        <f t="shared" si="70"/>
        <v>10407.443689743324</v>
      </c>
      <c r="K279" s="295">
        <f t="shared" si="70"/>
        <v>10407.443689743324</v>
      </c>
      <c r="L279" s="295">
        <f t="shared" si="70"/>
        <v>10407.443689743324</v>
      </c>
      <c r="M279" s="295">
        <f t="shared" si="70"/>
        <v>10407.443689743324</v>
      </c>
      <c r="N279" s="295">
        <f t="shared" si="70"/>
        <v>10407.443689743324</v>
      </c>
      <c r="O279" s="295">
        <f t="shared" si="70"/>
        <v>10407.443689743324</v>
      </c>
      <c r="P279" s="295">
        <f t="shared" si="70"/>
        <v>10407.443689743324</v>
      </c>
      <c r="Q279" s="295">
        <f t="shared" si="70"/>
        <v>10407.443689743324</v>
      </c>
      <c r="R279" s="295">
        <f t="shared" si="70"/>
        <v>10407.443689743324</v>
      </c>
      <c r="S279" s="295">
        <f t="shared" si="70"/>
        <v>10407.443689743324</v>
      </c>
      <c r="T279" s="295">
        <f t="shared" si="69"/>
        <v>10407.443689743324</v>
      </c>
      <c r="U279" s="295">
        <f t="shared" si="69"/>
        <v>10407.443689743324</v>
      </c>
      <c r="V279" s="295">
        <f t="shared" si="69"/>
        <v>10407.443689743324</v>
      </c>
      <c r="W279" s="295">
        <f t="shared" si="69"/>
        <v>10407.443689743324</v>
      </c>
      <c r="X279" s="295">
        <f t="shared" si="69"/>
        <v>10407.443689743324</v>
      </c>
      <c r="Y279" s="295">
        <f t="shared" si="69"/>
        <v>10407.443689743324</v>
      </c>
      <c r="Z279" s="295">
        <f t="shared" si="69"/>
        <v>10407.443689743324</v>
      </c>
      <c r="AA279" s="295">
        <f t="shared" si="69"/>
        <v>10407.443689743324</v>
      </c>
      <c r="AB279" s="295">
        <f t="shared" si="69"/>
        <v>10407.443689743324</v>
      </c>
      <c r="AC279" s="295">
        <f t="shared" si="69"/>
        <v>10407.443689743324</v>
      </c>
      <c r="AD279" s="295">
        <f t="shared" si="69"/>
        <v>10407.443689743324</v>
      </c>
      <c r="AE279" s="296">
        <f t="shared" si="69"/>
        <v>10407.443689743324</v>
      </c>
    </row>
    <row r="280" spans="1:31">
      <c r="A280" s="1711"/>
      <c r="B280" s="116">
        <v>24</v>
      </c>
      <c r="C280" s="294">
        <f t="shared" si="67"/>
        <v>10407.443689743324</v>
      </c>
      <c r="D280" s="295">
        <f t="shared" si="70"/>
        <v>10407.443689743324</v>
      </c>
      <c r="E280" s="295">
        <f t="shared" si="70"/>
        <v>10407.443689743324</v>
      </c>
      <c r="F280" s="295">
        <f t="shared" si="70"/>
        <v>10407.443689743324</v>
      </c>
      <c r="G280" s="295">
        <f t="shared" si="70"/>
        <v>10407.443689743324</v>
      </c>
      <c r="H280" s="295">
        <f t="shared" si="70"/>
        <v>10407.443689743324</v>
      </c>
      <c r="I280" s="295">
        <f t="shared" si="70"/>
        <v>10407.443689743324</v>
      </c>
      <c r="J280" s="295">
        <f t="shared" si="70"/>
        <v>10407.443689743324</v>
      </c>
      <c r="K280" s="295">
        <f t="shared" si="70"/>
        <v>10407.443689743324</v>
      </c>
      <c r="L280" s="295">
        <f t="shared" si="70"/>
        <v>10407.443689743324</v>
      </c>
      <c r="M280" s="295">
        <f t="shared" si="70"/>
        <v>10407.443689743324</v>
      </c>
      <c r="N280" s="295">
        <f t="shared" si="70"/>
        <v>10407.443689743324</v>
      </c>
      <c r="O280" s="295">
        <f t="shared" si="70"/>
        <v>10407.443689743324</v>
      </c>
      <c r="P280" s="295">
        <f t="shared" si="70"/>
        <v>10407.443689743324</v>
      </c>
      <c r="Q280" s="295">
        <f t="shared" si="70"/>
        <v>10407.443689743324</v>
      </c>
      <c r="R280" s="295">
        <f t="shared" si="70"/>
        <v>10407.443689743324</v>
      </c>
      <c r="S280" s="295">
        <f t="shared" si="70"/>
        <v>10407.443689743324</v>
      </c>
      <c r="T280" s="295">
        <f t="shared" si="69"/>
        <v>10407.443689743324</v>
      </c>
      <c r="U280" s="295">
        <f t="shared" si="69"/>
        <v>10407.443689743324</v>
      </c>
      <c r="V280" s="295">
        <f t="shared" si="69"/>
        <v>10407.443689743324</v>
      </c>
      <c r="W280" s="295">
        <f t="shared" si="69"/>
        <v>10407.443689743324</v>
      </c>
      <c r="X280" s="295">
        <f t="shared" si="69"/>
        <v>10407.443689743324</v>
      </c>
      <c r="Y280" s="295">
        <f t="shared" si="69"/>
        <v>10407.443689743324</v>
      </c>
      <c r="Z280" s="295">
        <f t="shared" si="69"/>
        <v>10407.443689743324</v>
      </c>
      <c r="AA280" s="295">
        <f t="shared" si="69"/>
        <v>10407.443689743324</v>
      </c>
      <c r="AB280" s="295">
        <f t="shared" si="69"/>
        <v>10407.443689743324</v>
      </c>
      <c r="AC280" s="295">
        <f t="shared" si="69"/>
        <v>10407.443689743324</v>
      </c>
      <c r="AD280" s="295">
        <f t="shared" si="69"/>
        <v>10407.443689743324</v>
      </c>
      <c r="AE280" s="296">
        <f t="shared" si="69"/>
        <v>10407.443689743324</v>
      </c>
    </row>
    <row r="281" spans="1:31" ht="15.75" thickBot="1">
      <c r="A281" s="1711"/>
      <c r="B281" s="116">
        <v>25</v>
      </c>
      <c r="C281" s="297">
        <f t="shared" si="67"/>
        <v>10407.443689743324</v>
      </c>
      <c r="D281" s="298">
        <f t="shared" si="70"/>
        <v>10407.443689743324</v>
      </c>
      <c r="E281" s="298">
        <f t="shared" si="70"/>
        <v>10407.443689743324</v>
      </c>
      <c r="F281" s="298">
        <f t="shared" si="70"/>
        <v>10407.443689743324</v>
      </c>
      <c r="G281" s="298">
        <f t="shared" si="70"/>
        <v>10407.443689743324</v>
      </c>
      <c r="H281" s="298">
        <f t="shared" si="70"/>
        <v>10407.443689743324</v>
      </c>
      <c r="I281" s="298">
        <f t="shared" si="70"/>
        <v>10407.443689743324</v>
      </c>
      <c r="J281" s="298">
        <f t="shared" si="70"/>
        <v>10407.443689743324</v>
      </c>
      <c r="K281" s="298">
        <f t="shared" si="70"/>
        <v>10407.443689743324</v>
      </c>
      <c r="L281" s="298">
        <f t="shared" si="70"/>
        <v>10407.443689743324</v>
      </c>
      <c r="M281" s="298">
        <f t="shared" si="70"/>
        <v>10407.443689743324</v>
      </c>
      <c r="N281" s="298">
        <f t="shared" si="70"/>
        <v>10407.443689743324</v>
      </c>
      <c r="O281" s="298">
        <f t="shared" si="70"/>
        <v>10407.443689743324</v>
      </c>
      <c r="P281" s="298">
        <f t="shared" si="70"/>
        <v>10407.443689743324</v>
      </c>
      <c r="Q281" s="298">
        <f t="shared" si="70"/>
        <v>10407.443689743324</v>
      </c>
      <c r="R281" s="298">
        <f t="shared" si="70"/>
        <v>10407.443689743324</v>
      </c>
      <c r="S281" s="298">
        <f t="shared" si="70"/>
        <v>10407.443689743324</v>
      </c>
      <c r="T281" s="298">
        <f t="shared" si="69"/>
        <v>10407.443689743324</v>
      </c>
      <c r="U281" s="298">
        <f t="shared" si="69"/>
        <v>10407.443689743324</v>
      </c>
      <c r="V281" s="298">
        <f t="shared" si="69"/>
        <v>10407.443689743324</v>
      </c>
      <c r="W281" s="298">
        <f t="shared" si="69"/>
        <v>10407.443689743324</v>
      </c>
      <c r="X281" s="298">
        <f t="shared" si="69"/>
        <v>10407.443689743324</v>
      </c>
      <c r="Y281" s="298">
        <f t="shared" si="69"/>
        <v>10407.443689743324</v>
      </c>
      <c r="Z281" s="298">
        <f t="shared" si="69"/>
        <v>10407.443689743324</v>
      </c>
      <c r="AA281" s="298">
        <f t="shared" si="69"/>
        <v>10407.443689743324</v>
      </c>
      <c r="AB281" s="298">
        <f t="shared" si="69"/>
        <v>10407.443689743324</v>
      </c>
      <c r="AC281" s="298">
        <f t="shared" si="69"/>
        <v>10407.443689743324</v>
      </c>
      <c r="AD281" s="298">
        <f t="shared" si="69"/>
        <v>10407.443689743324</v>
      </c>
      <c r="AE281" s="299">
        <f t="shared" si="69"/>
        <v>10407.443689743324</v>
      </c>
    </row>
    <row r="282" spans="1:31" ht="16.5" thickTop="1" thickBot="1">
      <c r="A282" s="1712"/>
      <c r="B282" s="300" t="s">
        <v>39</v>
      </c>
      <c r="C282" s="461">
        <f>IF('CAR Stock'!C311=0,0,SUMPRODUCT(C256:C281,'CAR Stock'!C285:C310)/'CAR Stock'!C311)</f>
        <v>0</v>
      </c>
      <c r="D282" s="461">
        <f>IF('CAR Stock'!D311=0,0,SUMPRODUCT(D256:D281,'CAR Stock'!D285:D310)/'CAR Stock'!D311)</f>
        <v>0</v>
      </c>
      <c r="E282" s="461">
        <f>IF('CAR Stock'!E311=0,0,SUMPRODUCT(E256:E281,'CAR Stock'!E285:E310)/'CAR Stock'!E311)</f>
        <v>0</v>
      </c>
      <c r="F282" s="461">
        <f>IF('CAR Stock'!F311=0,0,SUMPRODUCT(F256:F281,'CAR Stock'!F285:F310)/'CAR Stock'!F311)</f>
        <v>0</v>
      </c>
      <c r="G282" s="461">
        <f>IF('CAR Stock'!G311=0,0,SUMPRODUCT(G256:G281,'CAR Stock'!G285:G310)/'CAR Stock'!G311)</f>
        <v>0</v>
      </c>
      <c r="H282" s="461">
        <f>IF('CAR Stock'!H311=0,0,SUMPRODUCT(H256:H281,'CAR Stock'!H285:H310)/'CAR Stock'!H311)</f>
        <v>0</v>
      </c>
      <c r="I282" s="461">
        <f>IF('CAR Stock'!I311=0,0,SUMPRODUCT(I256:I281,'CAR Stock'!I285:I310)/'CAR Stock'!I311)</f>
        <v>0</v>
      </c>
      <c r="J282" s="461">
        <f>IF('CAR Stock'!J311=0,0,SUMPRODUCT(J256:J281,'CAR Stock'!J285:J310)/'CAR Stock'!J311)</f>
        <v>0</v>
      </c>
      <c r="K282" s="461">
        <f>IF('CAR Stock'!K311=0,0,SUMPRODUCT(K256:K281,'CAR Stock'!K285:K310)/'CAR Stock'!K311)</f>
        <v>0</v>
      </c>
      <c r="L282" s="461">
        <f>IF('CAR Stock'!L311=0,0,SUMPRODUCT(L256:L281,'CAR Stock'!L285:L310)/'CAR Stock'!L311)</f>
        <v>0</v>
      </c>
      <c r="M282" s="461">
        <f>IF('CAR Stock'!M311=0,0,SUMPRODUCT(M256:M281,'CAR Stock'!M285:M310)/'CAR Stock'!M311)</f>
        <v>0</v>
      </c>
      <c r="N282" s="461">
        <f>IF('CAR Stock'!N311=0,0,SUMPRODUCT(N256:N281,'CAR Stock'!N285:N310)/'CAR Stock'!N311)</f>
        <v>0</v>
      </c>
      <c r="O282" s="461">
        <f>IF('CAR Stock'!O311=0,0,SUMPRODUCT(O256:O281,'CAR Stock'!O285:O310)/'CAR Stock'!O311)</f>
        <v>0</v>
      </c>
      <c r="P282" s="461">
        <f>IF('CAR Stock'!P311=0,0,SUMPRODUCT(P256:P281,'CAR Stock'!P285:P310)/'CAR Stock'!P311)</f>
        <v>0</v>
      </c>
      <c r="Q282" s="461">
        <f>IF('CAR Stock'!Q311=0,0,SUMPRODUCT(Q256:Q281,'CAR Stock'!Q285:Q310)/'CAR Stock'!Q311)</f>
        <v>0</v>
      </c>
      <c r="R282" s="461">
        <f>IF('CAR Stock'!R311=0,0,SUMPRODUCT(R256:R281,'CAR Stock'!R285:R310)/'CAR Stock'!R311)</f>
        <v>0</v>
      </c>
      <c r="S282" s="461">
        <f>IF('CAR Stock'!S311=0,0,SUMPRODUCT(S256:S281,'CAR Stock'!S285:S310)/'CAR Stock'!S311)</f>
        <v>0</v>
      </c>
      <c r="T282" s="461">
        <f>IF('CAR Stock'!T311=0,0,SUMPRODUCT(T256:T281,'CAR Stock'!T285:T310)/'CAR Stock'!T311)</f>
        <v>0</v>
      </c>
      <c r="U282" s="461">
        <f>IF('CAR Stock'!U311=0,0,SUMPRODUCT(U256:U281,'CAR Stock'!U285:U310)/'CAR Stock'!U311)</f>
        <v>0</v>
      </c>
      <c r="V282" s="461">
        <f>IF('CAR Stock'!V311=0,0,SUMPRODUCT(V256:V281,'CAR Stock'!V285:V310)/'CAR Stock'!V311)</f>
        <v>0</v>
      </c>
      <c r="W282" s="461">
        <f>IF('CAR Stock'!W311=0,0,SUMPRODUCT(W256:W281,'CAR Stock'!W285:W310)/'CAR Stock'!W311)</f>
        <v>0</v>
      </c>
      <c r="X282" s="461">
        <f>IF('CAR Stock'!X311=0,0,SUMPRODUCT(X256:X281,'CAR Stock'!X285:X310)/'CAR Stock'!X311)</f>
        <v>0</v>
      </c>
      <c r="Y282" s="461">
        <f>IF('CAR Stock'!Y311=0,0,SUMPRODUCT(Y256:Y281,'CAR Stock'!Y285:Y310)/'CAR Stock'!Y311)</f>
        <v>0</v>
      </c>
      <c r="Z282" s="461">
        <f>IF('CAR Stock'!Z311=0,0,SUMPRODUCT(Z256:Z281,'CAR Stock'!Z285:Z310)/'CAR Stock'!Z311)</f>
        <v>0</v>
      </c>
      <c r="AA282" s="461">
        <f>IF('CAR Stock'!AA311=0,0,SUMPRODUCT(AA256:AA281,'CAR Stock'!AA285:AA310)/'CAR Stock'!AA311)</f>
        <v>0</v>
      </c>
      <c r="AB282" s="461">
        <f>IF('CAR Stock'!AB311=0,0,SUMPRODUCT(AB256:AB281,'CAR Stock'!AB285:AB310)/'CAR Stock'!AB311)</f>
        <v>0</v>
      </c>
      <c r="AC282" s="461">
        <f>IF('CAR Stock'!AC311=0,0,SUMPRODUCT(AC256:AC281,'CAR Stock'!AC285:AC310)/'CAR Stock'!AC311)</f>
        <v>0</v>
      </c>
      <c r="AD282" s="461">
        <f>IF('CAR Stock'!AD311=0,0,SUMPRODUCT(AD256:AD281,'CAR Stock'!AD285:AD310)/'CAR Stock'!AD311)</f>
        <v>0</v>
      </c>
      <c r="AE282" s="462">
        <f>IF('CAR Stock'!AE311=0,0,SUMPRODUCT(AE256:AE281,'CAR Stock'!AE285:AE310)/'CAR Stock'!AE311)</f>
        <v>0</v>
      </c>
    </row>
    <row r="283" spans="1:31" ht="15.75" thickBot="1"/>
    <row r="284" spans="1:31" ht="15.75" thickBot="1">
      <c r="A284" s="1710" t="s">
        <v>50</v>
      </c>
      <c r="B284" s="169" t="s">
        <v>10</v>
      </c>
      <c r="C284" s="288">
        <f t="shared" si="67"/>
        <v>2012</v>
      </c>
      <c r="D284" s="289">
        <v>2013</v>
      </c>
      <c r="E284" s="289">
        <v>2014</v>
      </c>
      <c r="F284" s="289">
        <v>2015</v>
      </c>
      <c r="G284" s="288">
        <v>2016</v>
      </c>
      <c r="H284" s="289">
        <v>2017</v>
      </c>
      <c r="I284" s="289">
        <v>2018</v>
      </c>
      <c r="J284" s="289">
        <v>2019</v>
      </c>
      <c r="K284" s="288">
        <v>2020</v>
      </c>
      <c r="L284" s="289">
        <v>2021</v>
      </c>
      <c r="M284" s="289">
        <v>2022</v>
      </c>
      <c r="N284" s="289">
        <v>2023</v>
      </c>
      <c r="O284" s="288">
        <v>2024</v>
      </c>
      <c r="P284" s="289">
        <v>2025</v>
      </c>
      <c r="Q284" s="289">
        <v>2026</v>
      </c>
      <c r="R284" s="289">
        <v>2027</v>
      </c>
      <c r="S284" s="288">
        <v>2028</v>
      </c>
      <c r="T284" s="289">
        <v>2029</v>
      </c>
      <c r="U284" s="289">
        <v>2030</v>
      </c>
      <c r="V284" s="289">
        <v>2031</v>
      </c>
      <c r="W284" s="288">
        <v>2032</v>
      </c>
      <c r="X284" s="289">
        <v>2033</v>
      </c>
      <c r="Y284" s="289">
        <v>2034</v>
      </c>
      <c r="Z284" s="289">
        <v>2035</v>
      </c>
      <c r="AA284" s="288">
        <v>2036</v>
      </c>
      <c r="AB284" s="289">
        <v>2037</v>
      </c>
      <c r="AC284" s="289">
        <v>2038</v>
      </c>
      <c r="AD284" s="289">
        <v>2039</v>
      </c>
      <c r="AE284" s="290">
        <v>2040</v>
      </c>
    </row>
    <row r="285" spans="1:31">
      <c r="A285" s="1711"/>
      <c r="B285" s="116">
        <v>0</v>
      </c>
      <c r="C285" s="291">
        <f t="shared" si="67"/>
        <v>17173.468220293704</v>
      </c>
      <c r="D285" s="292">
        <f>C285</f>
        <v>17173.468220293704</v>
      </c>
      <c r="E285" s="292">
        <f t="shared" ref="E285:T285" si="71">D285</f>
        <v>17173.468220293704</v>
      </c>
      <c r="F285" s="292">
        <f t="shared" si="71"/>
        <v>17173.468220293704</v>
      </c>
      <c r="G285" s="292">
        <f t="shared" si="71"/>
        <v>17173.468220293704</v>
      </c>
      <c r="H285" s="292">
        <f t="shared" si="71"/>
        <v>17173.468220293704</v>
      </c>
      <c r="I285" s="292">
        <f t="shared" si="71"/>
        <v>17173.468220293704</v>
      </c>
      <c r="J285" s="292">
        <f t="shared" si="71"/>
        <v>17173.468220293704</v>
      </c>
      <c r="K285" s="292">
        <f t="shared" si="71"/>
        <v>17173.468220293704</v>
      </c>
      <c r="L285" s="292">
        <f t="shared" si="71"/>
        <v>17173.468220293704</v>
      </c>
      <c r="M285" s="292">
        <f t="shared" si="71"/>
        <v>17173.468220293704</v>
      </c>
      <c r="N285" s="292">
        <f t="shared" si="71"/>
        <v>17173.468220293704</v>
      </c>
      <c r="O285" s="292">
        <f t="shared" si="71"/>
        <v>17173.468220293704</v>
      </c>
      <c r="P285" s="292">
        <f t="shared" si="71"/>
        <v>17173.468220293704</v>
      </c>
      <c r="Q285" s="292">
        <f t="shared" si="71"/>
        <v>17173.468220293704</v>
      </c>
      <c r="R285" s="292">
        <f t="shared" si="71"/>
        <v>17173.468220293704</v>
      </c>
      <c r="S285" s="292">
        <f t="shared" si="71"/>
        <v>17173.468220293704</v>
      </c>
      <c r="T285" s="292">
        <f t="shared" si="71"/>
        <v>17173.468220293704</v>
      </c>
      <c r="U285" s="292">
        <f t="shared" ref="T285:AE300" si="72">T285</f>
        <v>17173.468220293704</v>
      </c>
      <c r="V285" s="292">
        <f t="shared" si="72"/>
        <v>17173.468220293704</v>
      </c>
      <c r="W285" s="292">
        <f t="shared" si="72"/>
        <v>17173.468220293704</v>
      </c>
      <c r="X285" s="292">
        <f t="shared" si="72"/>
        <v>17173.468220293704</v>
      </c>
      <c r="Y285" s="292">
        <f t="shared" si="72"/>
        <v>17173.468220293704</v>
      </c>
      <c r="Z285" s="292">
        <f t="shared" si="72"/>
        <v>17173.468220293704</v>
      </c>
      <c r="AA285" s="292">
        <f t="shared" si="72"/>
        <v>17173.468220293704</v>
      </c>
      <c r="AB285" s="292">
        <f t="shared" si="72"/>
        <v>17173.468220293704</v>
      </c>
      <c r="AC285" s="292">
        <f t="shared" si="72"/>
        <v>17173.468220293704</v>
      </c>
      <c r="AD285" s="292">
        <f t="shared" si="72"/>
        <v>17173.468220293704</v>
      </c>
      <c r="AE285" s="293">
        <f t="shared" si="72"/>
        <v>17173.468220293704</v>
      </c>
    </row>
    <row r="286" spans="1:31">
      <c r="A286" s="1711"/>
      <c r="B286" s="116">
        <v>1</v>
      </c>
      <c r="C286" s="294">
        <f t="shared" si="67"/>
        <v>16829.998855887829</v>
      </c>
      <c r="D286" s="295">
        <f t="shared" ref="D286:S301" si="73">C286</f>
        <v>16829.998855887829</v>
      </c>
      <c r="E286" s="295">
        <f t="shared" si="73"/>
        <v>16829.998855887829</v>
      </c>
      <c r="F286" s="295">
        <f t="shared" si="73"/>
        <v>16829.998855887829</v>
      </c>
      <c r="G286" s="295">
        <f t="shared" si="73"/>
        <v>16829.998855887829</v>
      </c>
      <c r="H286" s="295">
        <f t="shared" si="73"/>
        <v>16829.998855887829</v>
      </c>
      <c r="I286" s="295">
        <f t="shared" si="73"/>
        <v>16829.998855887829</v>
      </c>
      <c r="J286" s="295">
        <f t="shared" si="73"/>
        <v>16829.998855887829</v>
      </c>
      <c r="K286" s="295">
        <f t="shared" si="73"/>
        <v>16829.998855887829</v>
      </c>
      <c r="L286" s="295">
        <f t="shared" si="73"/>
        <v>16829.998855887829</v>
      </c>
      <c r="M286" s="295">
        <f t="shared" si="73"/>
        <v>16829.998855887829</v>
      </c>
      <c r="N286" s="295">
        <f t="shared" si="73"/>
        <v>16829.998855887829</v>
      </c>
      <c r="O286" s="295">
        <f t="shared" si="73"/>
        <v>16829.998855887829</v>
      </c>
      <c r="P286" s="295">
        <f t="shared" si="73"/>
        <v>16829.998855887829</v>
      </c>
      <c r="Q286" s="295">
        <f t="shared" si="73"/>
        <v>16829.998855887829</v>
      </c>
      <c r="R286" s="295">
        <f t="shared" si="73"/>
        <v>16829.998855887829</v>
      </c>
      <c r="S286" s="295">
        <f t="shared" si="73"/>
        <v>16829.998855887829</v>
      </c>
      <c r="T286" s="295">
        <f t="shared" si="72"/>
        <v>16829.998855887829</v>
      </c>
      <c r="U286" s="295">
        <f t="shared" si="72"/>
        <v>16829.998855887829</v>
      </c>
      <c r="V286" s="295">
        <f t="shared" si="72"/>
        <v>16829.998855887829</v>
      </c>
      <c r="W286" s="295">
        <f t="shared" si="72"/>
        <v>16829.998855887829</v>
      </c>
      <c r="X286" s="295">
        <f t="shared" si="72"/>
        <v>16829.998855887829</v>
      </c>
      <c r="Y286" s="295">
        <f t="shared" si="72"/>
        <v>16829.998855887829</v>
      </c>
      <c r="Z286" s="295">
        <f t="shared" si="72"/>
        <v>16829.998855887829</v>
      </c>
      <c r="AA286" s="295">
        <f t="shared" si="72"/>
        <v>16829.998855887829</v>
      </c>
      <c r="AB286" s="295">
        <f t="shared" si="72"/>
        <v>16829.998855887829</v>
      </c>
      <c r="AC286" s="295">
        <f t="shared" si="72"/>
        <v>16829.998855887829</v>
      </c>
      <c r="AD286" s="295">
        <f t="shared" si="72"/>
        <v>16829.998855887829</v>
      </c>
      <c r="AE286" s="296">
        <f t="shared" si="72"/>
        <v>16829.998855887829</v>
      </c>
    </row>
    <row r="287" spans="1:31">
      <c r="A287" s="1711"/>
      <c r="B287" s="116">
        <v>2</v>
      </c>
      <c r="C287" s="294">
        <f t="shared" si="67"/>
        <v>16493.398878770073</v>
      </c>
      <c r="D287" s="295">
        <f t="shared" si="73"/>
        <v>16493.398878770073</v>
      </c>
      <c r="E287" s="295">
        <f t="shared" si="73"/>
        <v>16493.398878770073</v>
      </c>
      <c r="F287" s="295">
        <f t="shared" si="73"/>
        <v>16493.398878770073</v>
      </c>
      <c r="G287" s="295">
        <f t="shared" si="73"/>
        <v>16493.398878770073</v>
      </c>
      <c r="H287" s="295">
        <f t="shared" si="73"/>
        <v>16493.398878770073</v>
      </c>
      <c r="I287" s="295">
        <f t="shared" si="73"/>
        <v>16493.398878770073</v>
      </c>
      <c r="J287" s="295">
        <f t="shared" si="73"/>
        <v>16493.398878770073</v>
      </c>
      <c r="K287" s="295">
        <f t="shared" si="73"/>
        <v>16493.398878770073</v>
      </c>
      <c r="L287" s="295">
        <f t="shared" si="73"/>
        <v>16493.398878770073</v>
      </c>
      <c r="M287" s="295">
        <f t="shared" si="73"/>
        <v>16493.398878770073</v>
      </c>
      <c r="N287" s="295">
        <f t="shared" si="73"/>
        <v>16493.398878770073</v>
      </c>
      <c r="O287" s="295">
        <f t="shared" si="73"/>
        <v>16493.398878770073</v>
      </c>
      <c r="P287" s="295">
        <f t="shared" si="73"/>
        <v>16493.398878770073</v>
      </c>
      <c r="Q287" s="295">
        <f t="shared" si="73"/>
        <v>16493.398878770073</v>
      </c>
      <c r="R287" s="295">
        <f t="shared" si="73"/>
        <v>16493.398878770073</v>
      </c>
      <c r="S287" s="295">
        <f t="shared" si="73"/>
        <v>16493.398878770073</v>
      </c>
      <c r="T287" s="295">
        <f t="shared" si="72"/>
        <v>16493.398878770073</v>
      </c>
      <c r="U287" s="295">
        <f t="shared" si="72"/>
        <v>16493.398878770073</v>
      </c>
      <c r="V287" s="295">
        <f t="shared" si="72"/>
        <v>16493.398878770073</v>
      </c>
      <c r="W287" s="295">
        <f t="shared" si="72"/>
        <v>16493.398878770073</v>
      </c>
      <c r="X287" s="295">
        <f t="shared" si="72"/>
        <v>16493.398878770073</v>
      </c>
      <c r="Y287" s="295">
        <f t="shared" si="72"/>
        <v>16493.398878770073</v>
      </c>
      <c r="Z287" s="295">
        <f t="shared" si="72"/>
        <v>16493.398878770073</v>
      </c>
      <c r="AA287" s="295">
        <f t="shared" si="72"/>
        <v>16493.398878770073</v>
      </c>
      <c r="AB287" s="295">
        <f t="shared" si="72"/>
        <v>16493.398878770073</v>
      </c>
      <c r="AC287" s="295">
        <f t="shared" si="72"/>
        <v>16493.398878770073</v>
      </c>
      <c r="AD287" s="295">
        <f t="shared" si="72"/>
        <v>16493.398878770073</v>
      </c>
      <c r="AE287" s="296">
        <f t="shared" si="72"/>
        <v>16493.398878770073</v>
      </c>
    </row>
    <row r="288" spans="1:31">
      <c r="A288" s="1711"/>
      <c r="B288" s="116">
        <v>3</v>
      </c>
      <c r="C288" s="294">
        <f t="shared" si="67"/>
        <v>16163.53090119467</v>
      </c>
      <c r="D288" s="295">
        <f t="shared" si="73"/>
        <v>16163.53090119467</v>
      </c>
      <c r="E288" s="295">
        <f t="shared" si="73"/>
        <v>16163.53090119467</v>
      </c>
      <c r="F288" s="295">
        <f t="shared" si="73"/>
        <v>16163.53090119467</v>
      </c>
      <c r="G288" s="295">
        <f t="shared" si="73"/>
        <v>16163.53090119467</v>
      </c>
      <c r="H288" s="295">
        <f t="shared" si="73"/>
        <v>16163.53090119467</v>
      </c>
      <c r="I288" s="295">
        <f t="shared" si="73"/>
        <v>16163.53090119467</v>
      </c>
      <c r="J288" s="295">
        <f t="shared" si="73"/>
        <v>16163.53090119467</v>
      </c>
      <c r="K288" s="295">
        <f t="shared" si="73"/>
        <v>16163.53090119467</v>
      </c>
      <c r="L288" s="295">
        <f t="shared" si="73"/>
        <v>16163.53090119467</v>
      </c>
      <c r="M288" s="295">
        <f t="shared" si="73"/>
        <v>16163.53090119467</v>
      </c>
      <c r="N288" s="295">
        <f t="shared" si="73"/>
        <v>16163.53090119467</v>
      </c>
      <c r="O288" s="295">
        <f t="shared" si="73"/>
        <v>16163.53090119467</v>
      </c>
      <c r="P288" s="295">
        <f t="shared" si="73"/>
        <v>16163.53090119467</v>
      </c>
      <c r="Q288" s="295">
        <f t="shared" si="73"/>
        <v>16163.53090119467</v>
      </c>
      <c r="R288" s="295">
        <f t="shared" si="73"/>
        <v>16163.53090119467</v>
      </c>
      <c r="S288" s="295">
        <f t="shared" si="73"/>
        <v>16163.53090119467</v>
      </c>
      <c r="T288" s="295">
        <f t="shared" si="72"/>
        <v>16163.53090119467</v>
      </c>
      <c r="U288" s="295">
        <f t="shared" si="72"/>
        <v>16163.53090119467</v>
      </c>
      <c r="V288" s="295">
        <f t="shared" si="72"/>
        <v>16163.53090119467</v>
      </c>
      <c r="W288" s="295">
        <f t="shared" si="72"/>
        <v>16163.53090119467</v>
      </c>
      <c r="X288" s="295">
        <f t="shared" si="72"/>
        <v>16163.53090119467</v>
      </c>
      <c r="Y288" s="295">
        <f t="shared" si="72"/>
        <v>16163.53090119467</v>
      </c>
      <c r="Z288" s="295">
        <f t="shared" si="72"/>
        <v>16163.53090119467</v>
      </c>
      <c r="AA288" s="295">
        <f t="shared" si="72"/>
        <v>16163.53090119467</v>
      </c>
      <c r="AB288" s="295">
        <f t="shared" si="72"/>
        <v>16163.53090119467</v>
      </c>
      <c r="AC288" s="295">
        <f t="shared" si="72"/>
        <v>16163.53090119467</v>
      </c>
      <c r="AD288" s="295">
        <f t="shared" si="72"/>
        <v>16163.53090119467</v>
      </c>
      <c r="AE288" s="296">
        <f t="shared" si="72"/>
        <v>16163.53090119467</v>
      </c>
    </row>
    <row r="289" spans="1:31">
      <c r="A289" s="1711"/>
      <c r="B289" s="116">
        <v>4</v>
      </c>
      <c r="C289" s="294">
        <f t="shared" si="67"/>
        <v>15840.260283170777</v>
      </c>
      <c r="D289" s="295">
        <f t="shared" si="73"/>
        <v>15840.260283170777</v>
      </c>
      <c r="E289" s="295">
        <f t="shared" si="73"/>
        <v>15840.260283170777</v>
      </c>
      <c r="F289" s="295">
        <f t="shared" si="73"/>
        <v>15840.260283170777</v>
      </c>
      <c r="G289" s="295">
        <f t="shared" si="73"/>
        <v>15840.260283170777</v>
      </c>
      <c r="H289" s="295">
        <f t="shared" si="73"/>
        <v>15840.260283170777</v>
      </c>
      <c r="I289" s="295">
        <f t="shared" si="73"/>
        <v>15840.260283170777</v>
      </c>
      <c r="J289" s="295">
        <f t="shared" si="73"/>
        <v>15840.260283170777</v>
      </c>
      <c r="K289" s="295">
        <f t="shared" si="73"/>
        <v>15840.260283170777</v>
      </c>
      <c r="L289" s="295">
        <f t="shared" si="73"/>
        <v>15840.260283170777</v>
      </c>
      <c r="M289" s="295">
        <f t="shared" si="73"/>
        <v>15840.260283170777</v>
      </c>
      <c r="N289" s="295">
        <f t="shared" si="73"/>
        <v>15840.260283170777</v>
      </c>
      <c r="O289" s="295">
        <f t="shared" si="73"/>
        <v>15840.260283170777</v>
      </c>
      <c r="P289" s="295">
        <f t="shared" si="73"/>
        <v>15840.260283170777</v>
      </c>
      <c r="Q289" s="295">
        <f t="shared" si="73"/>
        <v>15840.260283170777</v>
      </c>
      <c r="R289" s="295">
        <f t="shared" si="73"/>
        <v>15840.260283170777</v>
      </c>
      <c r="S289" s="295">
        <f t="shared" si="73"/>
        <v>15840.260283170777</v>
      </c>
      <c r="T289" s="295">
        <f t="shared" si="72"/>
        <v>15840.260283170777</v>
      </c>
      <c r="U289" s="295">
        <f t="shared" si="72"/>
        <v>15840.260283170777</v>
      </c>
      <c r="V289" s="295">
        <f t="shared" si="72"/>
        <v>15840.260283170777</v>
      </c>
      <c r="W289" s="295">
        <f t="shared" si="72"/>
        <v>15840.260283170777</v>
      </c>
      <c r="X289" s="295">
        <f t="shared" si="72"/>
        <v>15840.260283170777</v>
      </c>
      <c r="Y289" s="295">
        <f t="shared" si="72"/>
        <v>15840.260283170777</v>
      </c>
      <c r="Z289" s="295">
        <f t="shared" si="72"/>
        <v>15840.260283170777</v>
      </c>
      <c r="AA289" s="295">
        <f t="shared" si="72"/>
        <v>15840.260283170777</v>
      </c>
      <c r="AB289" s="295">
        <f t="shared" si="72"/>
        <v>15840.260283170777</v>
      </c>
      <c r="AC289" s="295">
        <f t="shared" si="72"/>
        <v>15840.260283170777</v>
      </c>
      <c r="AD289" s="295">
        <f t="shared" si="72"/>
        <v>15840.260283170777</v>
      </c>
      <c r="AE289" s="296">
        <f t="shared" si="72"/>
        <v>15840.260283170777</v>
      </c>
    </row>
    <row r="290" spans="1:31">
      <c r="A290" s="1711"/>
      <c r="B290" s="116">
        <v>5</v>
      </c>
      <c r="C290" s="294">
        <f t="shared" si="67"/>
        <v>15523.455077507362</v>
      </c>
      <c r="D290" s="295">
        <f t="shared" si="73"/>
        <v>15523.455077507362</v>
      </c>
      <c r="E290" s="295">
        <f t="shared" si="73"/>
        <v>15523.455077507362</v>
      </c>
      <c r="F290" s="295">
        <f t="shared" si="73"/>
        <v>15523.455077507362</v>
      </c>
      <c r="G290" s="295">
        <f t="shared" si="73"/>
        <v>15523.455077507362</v>
      </c>
      <c r="H290" s="295">
        <f t="shared" si="73"/>
        <v>15523.455077507362</v>
      </c>
      <c r="I290" s="295">
        <f t="shared" si="73"/>
        <v>15523.455077507362</v>
      </c>
      <c r="J290" s="295">
        <f t="shared" si="73"/>
        <v>15523.455077507362</v>
      </c>
      <c r="K290" s="295">
        <f t="shared" si="73"/>
        <v>15523.455077507362</v>
      </c>
      <c r="L290" s="295">
        <f t="shared" si="73"/>
        <v>15523.455077507362</v>
      </c>
      <c r="M290" s="295">
        <f t="shared" si="73"/>
        <v>15523.455077507362</v>
      </c>
      <c r="N290" s="295">
        <f t="shared" si="73"/>
        <v>15523.455077507362</v>
      </c>
      <c r="O290" s="295">
        <f t="shared" si="73"/>
        <v>15523.455077507362</v>
      </c>
      <c r="P290" s="295">
        <f t="shared" si="73"/>
        <v>15523.455077507362</v>
      </c>
      <c r="Q290" s="295">
        <f t="shared" si="73"/>
        <v>15523.455077507362</v>
      </c>
      <c r="R290" s="295">
        <f t="shared" si="73"/>
        <v>15523.455077507362</v>
      </c>
      <c r="S290" s="295">
        <f t="shared" si="73"/>
        <v>15523.455077507362</v>
      </c>
      <c r="T290" s="295">
        <f t="shared" si="72"/>
        <v>15523.455077507362</v>
      </c>
      <c r="U290" s="295">
        <f t="shared" si="72"/>
        <v>15523.455077507362</v>
      </c>
      <c r="V290" s="295">
        <f t="shared" si="72"/>
        <v>15523.455077507362</v>
      </c>
      <c r="W290" s="295">
        <f t="shared" si="72"/>
        <v>15523.455077507362</v>
      </c>
      <c r="X290" s="295">
        <f t="shared" si="72"/>
        <v>15523.455077507362</v>
      </c>
      <c r="Y290" s="295">
        <f t="shared" si="72"/>
        <v>15523.455077507362</v>
      </c>
      <c r="Z290" s="295">
        <f t="shared" si="72"/>
        <v>15523.455077507362</v>
      </c>
      <c r="AA290" s="295">
        <f t="shared" si="72"/>
        <v>15523.455077507362</v>
      </c>
      <c r="AB290" s="295">
        <f t="shared" si="72"/>
        <v>15523.455077507362</v>
      </c>
      <c r="AC290" s="295">
        <f t="shared" si="72"/>
        <v>15523.455077507362</v>
      </c>
      <c r="AD290" s="295">
        <f t="shared" si="72"/>
        <v>15523.455077507362</v>
      </c>
      <c r="AE290" s="296">
        <f t="shared" si="72"/>
        <v>15523.455077507362</v>
      </c>
    </row>
    <row r="291" spans="1:31">
      <c r="A291" s="1711"/>
      <c r="B291" s="116">
        <v>6</v>
      </c>
      <c r="C291" s="294">
        <f t="shared" si="67"/>
        <v>15212.985975957215</v>
      </c>
      <c r="D291" s="295">
        <f t="shared" si="73"/>
        <v>15212.985975957215</v>
      </c>
      <c r="E291" s="295">
        <f t="shared" si="73"/>
        <v>15212.985975957215</v>
      </c>
      <c r="F291" s="295">
        <f t="shared" si="73"/>
        <v>15212.985975957215</v>
      </c>
      <c r="G291" s="295">
        <f t="shared" si="73"/>
        <v>15212.985975957215</v>
      </c>
      <c r="H291" s="295">
        <f t="shared" si="73"/>
        <v>15212.985975957215</v>
      </c>
      <c r="I291" s="295">
        <f t="shared" si="73"/>
        <v>15212.985975957215</v>
      </c>
      <c r="J291" s="295">
        <f t="shared" si="73"/>
        <v>15212.985975957215</v>
      </c>
      <c r="K291" s="295">
        <f t="shared" si="73"/>
        <v>15212.985975957215</v>
      </c>
      <c r="L291" s="295">
        <f t="shared" si="73"/>
        <v>15212.985975957215</v>
      </c>
      <c r="M291" s="295">
        <f t="shared" si="73"/>
        <v>15212.985975957215</v>
      </c>
      <c r="N291" s="295">
        <f t="shared" si="73"/>
        <v>15212.985975957215</v>
      </c>
      <c r="O291" s="295">
        <f t="shared" si="73"/>
        <v>15212.985975957215</v>
      </c>
      <c r="P291" s="295">
        <f t="shared" si="73"/>
        <v>15212.985975957215</v>
      </c>
      <c r="Q291" s="295">
        <f t="shared" si="73"/>
        <v>15212.985975957215</v>
      </c>
      <c r="R291" s="295">
        <f t="shared" si="73"/>
        <v>15212.985975957215</v>
      </c>
      <c r="S291" s="295">
        <f t="shared" si="73"/>
        <v>15212.985975957215</v>
      </c>
      <c r="T291" s="295">
        <f t="shared" si="72"/>
        <v>15212.985975957215</v>
      </c>
      <c r="U291" s="295">
        <f t="shared" si="72"/>
        <v>15212.985975957215</v>
      </c>
      <c r="V291" s="295">
        <f t="shared" si="72"/>
        <v>15212.985975957215</v>
      </c>
      <c r="W291" s="295">
        <f t="shared" si="72"/>
        <v>15212.985975957215</v>
      </c>
      <c r="X291" s="295">
        <f t="shared" si="72"/>
        <v>15212.985975957215</v>
      </c>
      <c r="Y291" s="295">
        <f t="shared" si="72"/>
        <v>15212.985975957215</v>
      </c>
      <c r="Z291" s="295">
        <f t="shared" si="72"/>
        <v>15212.985975957215</v>
      </c>
      <c r="AA291" s="295">
        <f t="shared" si="72"/>
        <v>15212.985975957215</v>
      </c>
      <c r="AB291" s="295">
        <f t="shared" si="72"/>
        <v>15212.985975957215</v>
      </c>
      <c r="AC291" s="295">
        <f t="shared" si="72"/>
        <v>15212.985975957215</v>
      </c>
      <c r="AD291" s="295">
        <f t="shared" si="72"/>
        <v>15212.985975957215</v>
      </c>
      <c r="AE291" s="296">
        <f t="shared" si="72"/>
        <v>15212.985975957215</v>
      </c>
    </row>
    <row r="292" spans="1:31">
      <c r="A292" s="1711"/>
      <c r="B292" s="116">
        <v>7</v>
      </c>
      <c r="C292" s="294">
        <f t="shared" si="67"/>
        <v>14908.726256438071</v>
      </c>
      <c r="D292" s="295">
        <f t="shared" si="73"/>
        <v>14908.726256438071</v>
      </c>
      <c r="E292" s="295">
        <f t="shared" si="73"/>
        <v>14908.726256438071</v>
      </c>
      <c r="F292" s="295">
        <f t="shared" si="73"/>
        <v>14908.726256438071</v>
      </c>
      <c r="G292" s="295">
        <f t="shared" si="73"/>
        <v>14908.726256438071</v>
      </c>
      <c r="H292" s="295">
        <f t="shared" si="73"/>
        <v>14908.726256438071</v>
      </c>
      <c r="I292" s="295">
        <f t="shared" si="73"/>
        <v>14908.726256438071</v>
      </c>
      <c r="J292" s="295">
        <f t="shared" si="73"/>
        <v>14908.726256438071</v>
      </c>
      <c r="K292" s="295">
        <f t="shared" si="73"/>
        <v>14908.726256438071</v>
      </c>
      <c r="L292" s="295">
        <f t="shared" si="73"/>
        <v>14908.726256438071</v>
      </c>
      <c r="M292" s="295">
        <f t="shared" si="73"/>
        <v>14908.726256438071</v>
      </c>
      <c r="N292" s="295">
        <f t="shared" si="73"/>
        <v>14908.726256438071</v>
      </c>
      <c r="O292" s="295">
        <f t="shared" si="73"/>
        <v>14908.726256438071</v>
      </c>
      <c r="P292" s="295">
        <f t="shared" si="73"/>
        <v>14908.726256438071</v>
      </c>
      <c r="Q292" s="295">
        <f t="shared" si="73"/>
        <v>14908.726256438071</v>
      </c>
      <c r="R292" s="295">
        <f t="shared" si="73"/>
        <v>14908.726256438071</v>
      </c>
      <c r="S292" s="295">
        <f t="shared" si="73"/>
        <v>14908.726256438071</v>
      </c>
      <c r="T292" s="295">
        <f t="shared" si="72"/>
        <v>14908.726256438071</v>
      </c>
      <c r="U292" s="295">
        <f t="shared" si="72"/>
        <v>14908.726256438071</v>
      </c>
      <c r="V292" s="295">
        <f t="shared" si="72"/>
        <v>14908.726256438071</v>
      </c>
      <c r="W292" s="295">
        <f t="shared" si="72"/>
        <v>14908.726256438071</v>
      </c>
      <c r="X292" s="295">
        <f t="shared" si="72"/>
        <v>14908.726256438071</v>
      </c>
      <c r="Y292" s="295">
        <f t="shared" si="72"/>
        <v>14908.726256438071</v>
      </c>
      <c r="Z292" s="295">
        <f t="shared" si="72"/>
        <v>14908.726256438071</v>
      </c>
      <c r="AA292" s="295">
        <f t="shared" si="72"/>
        <v>14908.726256438071</v>
      </c>
      <c r="AB292" s="295">
        <f t="shared" si="72"/>
        <v>14908.726256438071</v>
      </c>
      <c r="AC292" s="295">
        <f t="shared" si="72"/>
        <v>14908.726256438071</v>
      </c>
      <c r="AD292" s="295">
        <f t="shared" si="72"/>
        <v>14908.726256438071</v>
      </c>
      <c r="AE292" s="296">
        <f t="shared" si="72"/>
        <v>14908.726256438071</v>
      </c>
    </row>
    <row r="293" spans="1:31">
      <c r="A293" s="1711"/>
      <c r="B293" s="116">
        <v>8</v>
      </c>
      <c r="C293" s="294">
        <f t="shared" si="67"/>
        <v>14610.55173130931</v>
      </c>
      <c r="D293" s="295">
        <f t="shared" si="73"/>
        <v>14610.55173130931</v>
      </c>
      <c r="E293" s="295">
        <f t="shared" si="73"/>
        <v>14610.55173130931</v>
      </c>
      <c r="F293" s="295">
        <f t="shared" si="73"/>
        <v>14610.55173130931</v>
      </c>
      <c r="G293" s="295">
        <f t="shared" si="73"/>
        <v>14610.55173130931</v>
      </c>
      <c r="H293" s="295">
        <f t="shared" si="73"/>
        <v>14610.55173130931</v>
      </c>
      <c r="I293" s="295">
        <f t="shared" si="73"/>
        <v>14610.55173130931</v>
      </c>
      <c r="J293" s="295">
        <f t="shared" si="73"/>
        <v>14610.55173130931</v>
      </c>
      <c r="K293" s="295">
        <f t="shared" si="73"/>
        <v>14610.55173130931</v>
      </c>
      <c r="L293" s="295">
        <f t="shared" si="73"/>
        <v>14610.55173130931</v>
      </c>
      <c r="M293" s="295">
        <f t="shared" si="73"/>
        <v>14610.55173130931</v>
      </c>
      <c r="N293" s="295">
        <f t="shared" si="73"/>
        <v>14610.55173130931</v>
      </c>
      <c r="O293" s="295">
        <f t="shared" si="73"/>
        <v>14610.55173130931</v>
      </c>
      <c r="P293" s="295">
        <f t="shared" si="73"/>
        <v>14610.55173130931</v>
      </c>
      <c r="Q293" s="295">
        <f t="shared" si="73"/>
        <v>14610.55173130931</v>
      </c>
      <c r="R293" s="295">
        <f t="shared" si="73"/>
        <v>14610.55173130931</v>
      </c>
      <c r="S293" s="295">
        <f t="shared" si="73"/>
        <v>14610.55173130931</v>
      </c>
      <c r="T293" s="295">
        <f t="shared" si="72"/>
        <v>14610.55173130931</v>
      </c>
      <c r="U293" s="295">
        <f t="shared" si="72"/>
        <v>14610.55173130931</v>
      </c>
      <c r="V293" s="295">
        <f t="shared" si="72"/>
        <v>14610.55173130931</v>
      </c>
      <c r="W293" s="295">
        <f t="shared" si="72"/>
        <v>14610.55173130931</v>
      </c>
      <c r="X293" s="295">
        <f t="shared" si="72"/>
        <v>14610.55173130931</v>
      </c>
      <c r="Y293" s="295">
        <f t="shared" si="72"/>
        <v>14610.55173130931</v>
      </c>
      <c r="Z293" s="295">
        <f t="shared" si="72"/>
        <v>14610.55173130931</v>
      </c>
      <c r="AA293" s="295">
        <f t="shared" si="72"/>
        <v>14610.55173130931</v>
      </c>
      <c r="AB293" s="295">
        <f t="shared" si="72"/>
        <v>14610.55173130931</v>
      </c>
      <c r="AC293" s="295">
        <f t="shared" si="72"/>
        <v>14610.55173130931</v>
      </c>
      <c r="AD293" s="295">
        <f t="shared" si="72"/>
        <v>14610.55173130931</v>
      </c>
      <c r="AE293" s="296">
        <f t="shared" si="72"/>
        <v>14610.55173130931</v>
      </c>
    </row>
    <row r="294" spans="1:31">
      <c r="A294" s="1711"/>
      <c r="B294" s="116">
        <v>9</v>
      </c>
      <c r="C294" s="294">
        <f t="shared" si="67"/>
        <v>14318.340696683123</v>
      </c>
      <c r="D294" s="295">
        <f t="shared" si="73"/>
        <v>14318.340696683123</v>
      </c>
      <c r="E294" s="295">
        <f t="shared" si="73"/>
        <v>14318.340696683123</v>
      </c>
      <c r="F294" s="295">
        <f t="shared" si="73"/>
        <v>14318.340696683123</v>
      </c>
      <c r="G294" s="295">
        <f t="shared" si="73"/>
        <v>14318.340696683123</v>
      </c>
      <c r="H294" s="295">
        <f t="shared" si="73"/>
        <v>14318.340696683123</v>
      </c>
      <c r="I294" s="295">
        <f t="shared" si="73"/>
        <v>14318.340696683123</v>
      </c>
      <c r="J294" s="295">
        <f t="shared" si="73"/>
        <v>14318.340696683123</v>
      </c>
      <c r="K294" s="295">
        <f t="shared" si="73"/>
        <v>14318.340696683123</v>
      </c>
      <c r="L294" s="295">
        <f t="shared" si="73"/>
        <v>14318.340696683123</v>
      </c>
      <c r="M294" s="295">
        <f t="shared" si="73"/>
        <v>14318.340696683123</v>
      </c>
      <c r="N294" s="295">
        <f t="shared" si="73"/>
        <v>14318.340696683123</v>
      </c>
      <c r="O294" s="295">
        <f t="shared" si="73"/>
        <v>14318.340696683123</v>
      </c>
      <c r="P294" s="295">
        <f t="shared" si="73"/>
        <v>14318.340696683123</v>
      </c>
      <c r="Q294" s="295">
        <f t="shared" si="73"/>
        <v>14318.340696683123</v>
      </c>
      <c r="R294" s="295">
        <f t="shared" si="73"/>
        <v>14318.340696683123</v>
      </c>
      <c r="S294" s="295">
        <f t="shared" si="73"/>
        <v>14318.340696683123</v>
      </c>
      <c r="T294" s="295">
        <f t="shared" si="72"/>
        <v>14318.340696683123</v>
      </c>
      <c r="U294" s="295">
        <f t="shared" si="72"/>
        <v>14318.340696683123</v>
      </c>
      <c r="V294" s="295">
        <f t="shared" si="72"/>
        <v>14318.340696683123</v>
      </c>
      <c r="W294" s="295">
        <f t="shared" si="72"/>
        <v>14318.340696683123</v>
      </c>
      <c r="X294" s="295">
        <f t="shared" si="72"/>
        <v>14318.340696683123</v>
      </c>
      <c r="Y294" s="295">
        <f t="shared" si="72"/>
        <v>14318.340696683123</v>
      </c>
      <c r="Z294" s="295">
        <f t="shared" si="72"/>
        <v>14318.340696683123</v>
      </c>
      <c r="AA294" s="295">
        <f t="shared" si="72"/>
        <v>14318.340696683123</v>
      </c>
      <c r="AB294" s="295">
        <f t="shared" si="72"/>
        <v>14318.340696683123</v>
      </c>
      <c r="AC294" s="295">
        <f t="shared" si="72"/>
        <v>14318.340696683123</v>
      </c>
      <c r="AD294" s="295">
        <f t="shared" si="72"/>
        <v>14318.340696683123</v>
      </c>
      <c r="AE294" s="296">
        <f t="shared" si="72"/>
        <v>14318.340696683123</v>
      </c>
    </row>
    <row r="295" spans="1:31">
      <c r="A295" s="1711"/>
      <c r="B295" s="116">
        <v>10</v>
      </c>
      <c r="C295" s="294">
        <f t="shared" si="67"/>
        <v>14031.97388274946</v>
      </c>
      <c r="D295" s="295">
        <f t="shared" si="73"/>
        <v>14031.97388274946</v>
      </c>
      <c r="E295" s="295">
        <f t="shared" si="73"/>
        <v>14031.97388274946</v>
      </c>
      <c r="F295" s="295">
        <f t="shared" si="73"/>
        <v>14031.97388274946</v>
      </c>
      <c r="G295" s="295">
        <f t="shared" si="73"/>
        <v>14031.97388274946</v>
      </c>
      <c r="H295" s="295">
        <f t="shared" si="73"/>
        <v>14031.97388274946</v>
      </c>
      <c r="I295" s="295">
        <f t="shared" si="73"/>
        <v>14031.97388274946</v>
      </c>
      <c r="J295" s="295">
        <f t="shared" si="73"/>
        <v>14031.97388274946</v>
      </c>
      <c r="K295" s="295">
        <f t="shared" si="73"/>
        <v>14031.97388274946</v>
      </c>
      <c r="L295" s="295">
        <f t="shared" si="73"/>
        <v>14031.97388274946</v>
      </c>
      <c r="M295" s="295">
        <f t="shared" si="73"/>
        <v>14031.97388274946</v>
      </c>
      <c r="N295" s="295">
        <f t="shared" si="73"/>
        <v>14031.97388274946</v>
      </c>
      <c r="O295" s="295">
        <f t="shared" si="73"/>
        <v>14031.97388274946</v>
      </c>
      <c r="P295" s="295">
        <f t="shared" si="73"/>
        <v>14031.97388274946</v>
      </c>
      <c r="Q295" s="295">
        <f t="shared" si="73"/>
        <v>14031.97388274946</v>
      </c>
      <c r="R295" s="295">
        <f t="shared" si="73"/>
        <v>14031.97388274946</v>
      </c>
      <c r="S295" s="295">
        <f t="shared" si="73"/>
        <v>14031.97388274946</v>
      </c>
      <c r="T295" s="295">
        <f t="shared" si="72"/>
        <v>14031.97388274946</v>
      </c>
      <c r="U295" s="295">
        <f t="shared" si="72"/>
        <v>14031.97388274946</v>
      </c>
      <c r="V295" s="295">
        <f t="shared" si="72"/>
        <v>14031.97388274946</v>
      </c>
      <c r="W295" s="295">
        <f t="shared" si="72"/>
        <v>14031.97388274946</v>
      </c>
      <c r="X295" s="295">
        <f t="shared" si="72"/>
        <v>14031.97388274946</v>
      </c>
      <c r="Y295" s="295">
        <f t="shared" si="72"/>
        <v>14031.97388274946</v>
      </c>
      <c r="Z295" s="295">
        <f t="shared" si="72"/>
        <v>14031.97388274946</v>
      </c>
      <c r="AA295" s="295">
        <f t="shared" si="72"/>
        <v>14031.97388274946</v>
      </c>
      <c r="AB295" s="295">
        <f t="shared" si="72"/>
        <v>14031.97388274946</v>
      </c>
      <c r="AC295" s="295">
        <f t="shared" si="72"/>
        <v>14031.97388274946</v>
      </c>
      <c r="AD295" s="295">
        <f t="shared" si="72"/>
        <v>14031.97388274946</v>
      </c>
      <c r="AE295" s="296">
        <f t="shared" si="72"/>
        <v>14031.97388274946</v>
      </c>
    </row>
    <row r="296" spans="1:31">
      <c r="A296" s="1711"/>
      <c r="B296" s="116">
        <v>11</v>
      </c>
      <c r="C296" s="294">
        <f t="shared" si="67"/>
        <v>13751.334405094471</v>
      </c>
      <c r="D296" s="295">
        <f t="shared" si="73"/>
        <v>13751.334405094471</v>
      </c>
      <c r="E296" s="295">
        <f t="shared" si="73"/>
        <v>13751.334405094471</v>
      </c>
      <c r="F296" s="295">
        <f t="shared" si="73"/>
        <v>13751.334405094471</v>
      </c>
      <c r="G296" s="295">
        <f t="shared" si="73"/>
        <v>13751.334405094471</v>
      </c>
      <c r="H296" s="295">
        <f t="shared" si="73"/>
        <v>13751.334405094471</v>
      </c>
      <c r="I296" s="295">
        <f t="shared" si="73"/>
        <v>13751.334405094471</v>
      </c>
      <c r="J296" s="295">
        <f t="shared" si="73"/>
        <v>13751.334405094471</v>
      </c>
      <c r="K296" s="295">
        <f t="shared" si="73"/>
        <v>13751.334405094471</v>
      </c>
      <c r="L296" s="295">
        <f t="shared" si="73"/>
        <v>13751.334405094471</v>
      </c>
      <c r="M296" s="295">
        <f t="shared" si="73"/>
        <v>13751.334405094471</v>
      </c>
      <c r="N296" s="295">
        <f t="shared" si="73"/>
        <v>13751.334405094471</v>
      </c>
      <c r="O296" s="295">
        <f t="shared" si="73"/>
        <v>13751.334405094471</v>
      </c>
      <c r="P296" s="295">
        <f t="shared" si="73"/>
        <v>13751.334405094471</v>
      </c>
      <c r="Q296" s="295">
        <f t="shared" si="73"/>
        <v>13751.334405094471</v>
      </c>
      <c r="R296" s="295">
        <f t="shared" si="73"/>
        <v>13751.334405094471</v>
      </c>
      <c r="S296" s="295">
        <f t="shared" si="73"/>
        <v>13751.334405094471</v>
      </c>
      <c r="T296" s="295">
        <f t="shared" si="72"/>
        <v>13751.334405094471</v>
      </c>
      <c r="U296" s="295">
        <f t="shared" si="72"/>
        <v>13751.334405094471</v>
      </c>
      <c r="V296" s="295">
        <f t="shared" si="72"/>
        <v>13751.334405094471</v>
      </c>
      <c r="W296" s="295">
        <f t="shared" si="72"/>
        <v>13751.334405094471</v>
      </c>
      <c r="X296" s="295">
        <f t="shared" si="72"/>
        <v>13751.334405094471</v>
      </c>
      <c r="Y296" s="295">
        <f t="shared" si="72"/>
        <v>13751.334405094471</v>
      </c>
      <c r="Z296" s="295">
        <f t="shared" si="72"/>
        <v>13751.334405094471</v>
      </c>
      <c r="AA296" s="295">
        <f t="shared" si="72"/>
        <v>13751.334405094471</v>
      </c>
      <c r="AB296" s="295">
        <f t="shared" si="72"/>
        <v>13751.334405094471</v>
      </c>
      <c r="AC296" s="295">
        <f t="shared" si="72"/>
        <v>13751.334405094471</v>
      </c>
      <c r="AD296" s="295">
        <f t="shared" si="72"/>
        <v>13751.334405094471</v>
      </c>
      <c r="AE296" s="296">
        <f t="shared" si="72"/>
        <v>13751.334405094471</v>
      </c>
    </row>
    <row r="297" spans="1:31">
      <c r="A297" s="1711"/>
      <c r="B297" s="116">
        <v>12</v>
      </c>
      <c r="C297" s="294">
        <f t="shared" si="67"/>
        <v>13476.307716992582</v>
      </c>
      <c r="D297" s="295">
        <f t="shared" si="73"/>
        <v>13476.307716992582</v>
      </c>
      <c r="E297" s="295">
        <f t="shared" si="73"/>
        <v>13476.307716992582</v>
      </c>
      <c r="F297" s="295">
        <f t="shared" si="73"/>
        <v>13476.307716992582</v>
      </c>
      <c r="G297" s="295">
        <f t="shared" si="73"/>
        <v>13476.307716992582</v>
      </c>
      <c r="H297" s="295">
        <f t="shared" si="73"/>
        <v>13476.307716992582</v>
      </c>
      <c r="I297" s="295">
        <f t="shared" si="73"/>
        <v>13476.307716992582</v>
      </c>
      <c r="J297" s="295">
        <f t="shared" si="73"/>
        <v>13476.307716992582</v>
      </c>
      <c r="K297" s="295">
        <f t="shared" si="73"/>
        <v>13476.307716992582</v>
      </c>
      <c r="L297" s="295">
        <f t="shared" si="73"/>
        <v>13476.307716992582</v>
      </c>
      <c r="M297" s="295">
        <f t="shared" si="73"/>
        <v>13476.307716992582</v>
      </c>
      <c r="N297" s="295">
        <f t="shared" si="73"/>
        <v>13476.307716992582</v>
      </c>
      <c r="O297" s="295">
        <f t="shared" si="73"/>
        <v>13476.307716992582</v>
      </c>
      <c r="P297" s="295">
        <f t="shared" si="73"/>
        <v>13476.307716992582</v>
      </c>
      <c r="Q297" s="295">
        <f t="shared" si="73"/>
        <v>13476.307716992582</v>
      </c>
      <c r="R297" s="295">
        <f t="shared" si="73"/>
        <v>13476.307716992582</v>
      </c>
      <c r="S297" s="295">
        <f t="shared" si="73"/>
        <v>13476.307716992582</v>
      </c>
      <c r="T297" s="295">
        <f t="shared" si="72"/>
        <v>13476.307716992582</v>
      </c>
      <c r="U297" s="295">
        <f t="shared" si="72"/>
        <v>13476.307716992582</v>
      </c>
      <c r="V297" s="295">
        <f t="shared" si="72"/>
        <v>13476.307716992582</v>
      </c>
      <c r="W297" s="295">
        <f t="shared" si="72"/>
        <v>13476.307716992582</v>
      </c>
      <c r="X297" s="295">
        <f t="shared" si="72"/>
        <v>13476.307716992582</v>
      </c>
      <c r="Y297" s="295">
        <f t="shared" si="72"/>
        <v>13476.307716992582</v>
      </c>
      <c r="Z297" s="295">
        <f t="shared" si="72"/>
        <v>13476.307716992582</v>
      </c>
      <c r="AA297" s="295">
        <f t="shared" si="72"/>
        <v>13476.307716992582</v>
      </c>
      <c r="AB297" s="295">
        <f t="shared" si="72"/>
        <v>13476.307716992582</v>
      </c>
      <c r="AC297" s="295">
        <f t="shared" si="72"/>
        <v>13476.307716992582</v>
      </c>
      <c r="AD297" s="295">
        <f t="shared" si="72"/>
        <v>13476.307716992582</v>
      </c>
      <c r="AE297" s="296">
        <f t="shared" si="72"/>
        <v>13476.307716992582</v>
      </c>
    </row>
    <row r="298" spans="1:31">
      <c r="A298" s="1711"/>
      <c r="B298" s="116">
        <v>13</v>
      </c>
      <c r="C298" s="294">
        <f t="shared" si="67"/>
        <v>13206.78156265273</v>
      </c>
      <c r="D298" s="295">
        <f t="shared" si="73"/>
        <v>13206.78156265273</v>
      </c>
      <c r="E298" s="295">
        <f t="shared" si="73"/>
        <v>13206.78156265273</v>
      </c>
      <c r="F298" s="295">
        <f t="shared" si="73"/>
        <v>13206.78156265273</v>
      </c>
      <c r="G298" s="295">
        <f t="shared" si="73"/>
        <v>13206.78156265273</v>
      </c>
      <c r="H298" s="295">
        <f t="shared" si="73"/>
        <v>13206.78156265273</v>
      </c>
      <c r="I298" s="295">
        <f t="shared" si="73"/>
        <v>13206.78156265273</v>
      </c>
      <c r="J298" s="295">
        <f t="shared" si="73"/>
        <v>13206.78156265273</v>
      </c>
      <c r="K298" s="295">
        <f t="shared" si="73"/>
        <v>13206.78156265273</v>
      </c>
      <c r="L298" s="295">
        <f t="shared" si="73"/>
        <v>13206.78156265273</v>
      </c>
      <c r="M298" s="295">
        <f t="shared" si="73"/>
        <v>13206.78156265273</v>
      </c>
      <c r="N298" s="295">
        <f t="shared" si="73"/>
        <v>13206.78156265273</v>
      </c>
      <c r="O298" s="295">
        <f t="shared" si="73"/>
        <v>13206.78156265273</v>
      </c>
      <c r="P298" s="295">
        <f t="shared" si="73"/>
        <v>13206.78156265273</v>
      </c>
      <c r="Q298" s="295">
        <f t="shared" si="73"/>
        <v>13206.78156265273</v>
      </c>
      <c r="R298" s="295">
        <f t="shared" si="73"/>
        <v>13206.78156265273</v>
      </c>
      <c r="S298" s="295">
        <f t="shared" si="73"/>
        <v>13206.78156265273</v>
      </c>
      <c r="T298" s="295">
        <f t="shared" si="72"/>
        <v>13206.78156265273</v>
      </c>
      <c r="U298" s="295">
        <f t="shared" si="72"/>
        <v>13206.78156265273</v>
      </c>
      <c r="V298" s="295">
        <f t="shared" si="72"/>
        <v>13206.78156265273</v>
      </c>
      <c r="W298" s="295">
        <f t="shared" si="72"/>
        <v>13206.78156265273</v>
      </c>
      <c r="X298" s="295">
        <f t="shared" si="72"/>
        <v>13206.78156265273</v>
      </c>
      <c r="Y298" s="295">
        <f t="shared" si="72"/>
        <v>13206.78156265273</v>
      </c>
      <c r="Z298" s="295">
        <f t="shared" si="72"/>
        <v>13206.78156265273</v>
      </c>
      <c r="AA298" s="295">
        <f t="shared" si="72"/>
        <v>13206.78156265273</v>
      </c>
      <c r="AB298" s="295">
        <f t="shared" si="72"/>
        <v>13206.78156265273</v>
      </c>
      <c r="AC298" s="295">
        <f t="shared" si="72"/>
        <v>13206.78156265273</v>
      </c>
      <c r="AD298" s="295">
        <f t="shared" si="72"/>
        <v>13206.78156265273</v>
      </c>
      <c r="AE298" s="296">
        <f t="shared" si="72"/>
        <v>13206.78156265273</v>
      </c>
    </row>
    <row r="299" spans="1:31">
      <c r="A299" s="1711"/>
      <c r="B299" s="116">
        <v>14</v>
      </c>
      <c r="C299" s="294">
        <f t="shared" si="67"/>
        <v>12942.645931399675</v>
      </c>
      <c r="D299" s="295">
        <f t="shared" si="73"/>
        <v>12942.645931399675</v>
      </c>
      <c r="E299" s="295">
        <f t="shared" si="73"/>
        <v>12942.645931399675</v>
      </c>
      <c r="F299" s="295">
        <f t="shared" si="73"/>
        <v>12942.645931399675</v>
      </c>
      <c r="G299" s="295">
        <f t="shared" si="73"/>
        <v>12942.645931399675</v>
      </c>
      <c r="H299" s="295">
        <f t="shared" si="73"/>
        <v>12942.645931399675</v>
      </c>
      <c r="I299" s="295">
        <f t="shared" si="73"/>
        <v>12942.645931399675</v>
      </c>
      <c r="J299" s="295">
        <f t="shared" si="73"/>
        <v>12942.645931399675</v>
      </c>
      <c r="K299" s="295">
        <f t="shared" si="73"/>
        <v>12942.645931399675</v>
      </c>
      <c r="L299" s="295">
        <f t="shared" si="73"/>
        <v>12942.645931399675</v>
      </c>
      <c r="M299" s="295">
        <f t="shared" si="73"/>
        <v>12942.645931399675</v>
      </c>
      <c r="N299" s="295">
        <f t="shared" si="73"/>
        <v>12942.645931399675</v>
      </c>
      <c r="O299" s="295">
        <f t="shared" si="73"/>
        <v>12942.645931399675</v>
      </c>
      <c r="P299" s="295">
        <f t="shared" si="73"/>
        <v>12942.645931399675</v>
      </c>
      <c r="Q299" s="295">
        <f t="shared" si="73"/>
        <v>12942.645931399675</v>
      </c>
      <c r="R299" s="295">
        <f t="shared" si="73"/>
        <v>12942.645931399675</v>
      </c>
      <c r="S299" s="295">
        <f t="shared" si="73"/>
        <v>12942.645931399675</v>
      </c>
      <c r="T299" s="295">
        <f t="shared" si="72"/>
        <v>12942.645931399675</v>
      </c>
      <c r="U299" s="295">
        <f t="shared" si="72"/>
        <v>12942.645931399675</v>
      </c>
      <c r="V299" s="295">
        <f t="shared" si="72"/>
        <v>12942.645931399675</v>
      </c>
      <c r="W299" s="295">
        <f t="shared" si="72"/>
        <v>12942.645931399675</v>
      </c>
      <c r="X299" s="295">
        <f t="shared" si="72"/>
        <v>12942.645931399675</v>
      </c>
      <c r="Y299" s="295">
        <f t="shared" si="72"/>
        <v>12942.645931399675</v>
      </c>
      <c r="Z299" s="295">
        <f t="shared" si="72"/>
        <v>12942.645931399675</v>
      </c>
      <c r="AA299" s="295">
        <f t="shared" si="72"/>
        <v>12942.645931399675</v>
      </c>
      <c r="AB299" s="295">
        <f t="shared" si="72"/>
        <v>12942.645931399675</v>
      </c>
      <c r="AC299" s="295">
        <f t="shared" si="72"/>
        <v>12942.645931399675</v>
      </c>
      <c r="AD299" s="295">
        <f t="shared" si="72"/>
        <v>12942.645931399675</v>
      </c>
      <c r="AE299" s="296">
        <f t="shared" si="72"/>
        <v>12942.645931399675</v>
      </c>
    </row>
    <row r="300" spans="1:31">
      <c r="A300" s="1711"/>
      <c r="B300" s="116">
        <v>15</v>
      </c>
      <c r="C300" s="294">
        <f t="shared" si="67"/>
        <v>12683.793012771681</v>
      </c>
      <c r="D300" s="295">
        <f t="shared" si="73"/>
        <v>12683.793012771681</v>
      </c>
      <c r="E300" s="295">
        <f t="shared" si="73"/>
        <v>12683.793012771681</v>
      </c>
      <c r="F300" s="295">
        <f t="shared" si="73"/>
        <v>12683.793012771681</v>
      </c>
      <c r="G300" s="295">
        <f t="shared" si="73"/>
        <v>12683.793012771681</v>
      </c>
      <c r="H300" s="295">
        <f t="shared" si="73"/>
        <v>12683.793012771681</v>
      </c>
      <c r="I300" s="295">
        <f t="shared" si="73"/>
        <v>12683.793012771681</v>
      </c>
      <c r="J300" s="295">
        <f t="shared" si="73"/>
        <v>12683.793012771681</v>
      </c>
      <c r="K300" s="295">
        <f t="shared" si="73"/>
        <v>12683.793012771681</v>
      </c>
      <c r="L300" s="295">
        <f t="shared" si="73"/>
        <v>12683.793012771681</v>
      </c>
      <c r="M300" s="295">
        <f t="shared" si="73"/>
        <v>12683.793012771681</v>
      </c>
      <c r="N300" s="295">
        <f t="shared" si="73"/>
        <v>12683.793012771681</v>
      </c>
      <c r="O300" s="295">
        <f t="shared" si="73"/>
        <v>12683.793012771681</v>
      </c>
      <c r="P300" s="295">
        <f t="shared" si="73"/>
        <v>12683.793012771681</v>
      </c>
      <c r="Q300" s="295">
        <f t="shared" si="73"/>
        <v>12683.793012771681</v>
      </c>
      <c r="R300" s="295">
        <f t="shared" si="73"/>
        <v>12683.793012771681</v>
      </c>
      <c r="S300" s="295">
        <f t="shared" si="73"/>
        <v>12683.793012771681</v>
      </c>
      <c r="T300" s="295">
        <f t="shared" si="72"/>
        <v>12683.793012771681</v>
      </c>
      <c r="U300" s="295">
        <f t="shared" si="72"/>
        <v>12683.793012771681</v>
      </c>
      <c r="V300" s="295">
        <f t="shared" si="72"/>
        <v>12683.793012771681</v>
      </c>
      <c r="W300" s="295">
        <f t="shared" si="72"/>
        <v>12683.793012771681</v>
      </c>
      <c r="X300" s="295">
        <f t="shared" si="72"/>
        <v>12683.793012771681</v>
      </c>
      <c r="Y300" s="295">
        <f t="shared" si="72"/>
        <v>12683.793012771681</v>
      </c>
      <c r="Z300" s="295">
        <f t="shared" si="72"/>
        <v>12683.793012771681</v>
      </c>
      <c r="AA300" s="295">
        <f t="shared" si="72"/>
        <v>12683.793012771681</v>
      </c>
      <c r="AB300" s="295">
        <f t="shared" si="72"/>
        <v>12683.793012771681</v>
      </c>
      <c r="AC300" s="295">
        <f t="shared" si="72"/>
        <v>12683.793012771681</v>
      </c>
      <c r="AD300" s="295">
        <f t="shared" si="72"/>
        <v>12683.793012771681</v>
      </c>
      <c r="AE300" s="296">
        <f t="shared" si="72"/>
        <v>12683.793012771681</v>
      </c>
    </row>
    <row r="301" spans="1:31">
      <c r="A301" s="1711"/>
      <c r="B301" s="116">
        <v>16</v>
      </c>
      <c r="C301" s="294">
        <f t="shared" si="67"/>
        <v>12430.117152516246</v>
      </c>
      <c r="D301" s="295">
        <f t="shared" si="73"/>
        <v>12430.117152516246</v>
      </c>
      <c r="E301" s="295">
        <f t="shared" si="73"/>
        <v>12430.117152516246</v>
      </c>
      <c r="F301" s="295">
        <f t="shared" si="73"/>
        <v>12430.117152516246</v>
      </c>
      <c r="G301" s="295">
        <f t="shared" si="73"/>
        <v>12430.117152516246</v>
      </c>
      <c r="H301" s="295">
        <f t="shared" si="73"/>
        <v>12430.117152516246</v>
      </c>
      <c r="I301" s="295">
        <f t="shared" si="73"/>
        <v>12430.117152516246</v>
      </c>
      <c r="J301" s="295">
        <f t="shared" si="73"/>
        <v>12430.117152516246</v>
      </c>
      <c r="K301" s="295">
        <f t="shared" si="73"/>
        <v>12430.117152516246</v>
      </c>
      <c r="L301" s="295">
        <f t="shared" si="73"/>
        <v>12430.117152516246</v>
      </c>
      <c r="M301" s="295">
        <f t="shared" si="73"/>
        <v>12430.117152516246</v>
      </c>
      <c r="N301" s="295">
        <f t="shared" si="73"/>
        <v>12430.117152516246</v>
      </c>
      <c r="O301" s="295">
        <f t="shared" si="73"/>
        <v>12430.117152516246</v>
      </c>
      <c r="P301" s="295">
        <f t="shared" si="73"/>
        <v>12430.117152516246</v>
      </c>
      <c r="Q301" s="295">
        <f t="shared" si="73"/>
        <v>12430.117152516246</v>
      </c>
      <c r="R301" s="295">
        <f t="shared" si="73"/>
        <v>12430.117152516246</v>
      </c>
      <c r="S301" s="295">
        <f t="shared" ref="S301:AE310" si="74">R301</f>
        <v>12430.117152516246</v>
      </c>
      <c r="T301" s="295">
        <f t="shared" si="74"/>
        <v>12430.117152516246</v>
      </c>
      <c r="U301" s="295">
        <f t="shared" si="74"/>
        <v>12430.117152516246</v>
      </c>
      <c r="V301" s="295">
        <f t="shared" si="74"/>
        <v>12430.117152516246</v>
      </c>
      <c r="W301" s="295">
        <f t="shared" si="74"/>
        <v>12430.117152516246</v>
      </c>
      <c r="X301" s="295">
        <f t="shared" si="74"/>
        <v>12430.117152516246</v>
      </c>
      <c r="Y301" s="295">
        <f t="shared" si="74"/>
        <v>12430.117152516246</v>
      </c>
      <c r="Z301" s="295">
        <f t="shared" si="74"/>
        <v>12430.117152516246</v>
      </c>
      <c r="AA301" s="295">
        <f t="shared" si="74"/>
        <v>12430.117152516246</v>
      </c>
      <c r="AB301" s="295">
        <f t="shared" si="74"/>
        <v>12430.117152516246</v>
      </c>
      <c r="AC301" s="295">
        <f t="shared" si="74"/>
        <v>12430.117152516246</v>
      </c>
      <c r="AD301" s="295">
        <f t="shared" si="74"/>
        <v>12430.117152516246</v>
      </c>
      <c r="AE301" s="296">
        <f t="shared" si="74"/>
        <v>12430.117152516246</v>
      </c>
    </row>
    <row r="302" spans="1:31">
      <c r="A302" s="1711"/>
      <c r="B302" s="116">
        <v>17</v>
      </c>
      <c r="C302" s="294">
        <f t="shared" si="67"/>
        <v>12430.117152516246</v>
      </c>
      <c r="D302" s="295">
        <f t="shared" ref="D302:S310" si="75">C302</f>
        <v>12430.117152516246</v>
      </c>
      <c r="E302" s="295">
        <f t="shared" si="75"/>
        <v>12430.117152516246</v>
      </c>
      <c r="F302" s="295">
        <f t="shared" si="75"/>
        <v>12430.117152516246</v>
      </c>
      <c r="G302" s="295">
        <f t="shared" si="75"/>
        <v>12430.117152516246</v>
      </c>
      <c r="H302" s="295">
        <f t="shared" si="75"/>
        <v>12430.117152516246</v>
      </c>
      <c r="I302" s="295">
        <f t="shared" si="75"/>
        <v>12430.117152516246</v>
      </c>
      <c r="J302" s="295">
        <f t="shared" si="75"/>
        <v>12430.117152516246</v>
      </c>
      <c r="K302" s="295">
        <f t="shared" si="75"/>
        <v>12430.117152516246</v>
      </c>
      <c r="L302" s="295">
        <f t="shared" si="75"/>
        <v>12430.117152516246</v>
      </c>
      <c r="M302" s="295">
        <f t="shared" si="75"/>
        <v>12430.117152516246</v>
      </c>
      <c r="N302" s="295">
        <f t="shared" si="75"/>
        <v>12430.117152516246</v>
      </c>
      <c r="O302" s="295">
        <f t="shared" si="75"/>
        <v>12430.117152516246</v>
      </c>
      <c r="P302" s="295">
        <f t="shared" si="75"/>
        <v>12430.117152516246</v>
      </c>
      <c r="Q302" s="295">
        <f t="shared" si="75"/>
        <v>12430.117152516246</v>
      </c>
      <c r="R302" s="295">
        <f t="shared" si="75"/>
        <v>12430.117152516246</v>
      </c>
      <c r="S302" s="295">
        <f t="shared" si="75"/>
        <v>12430.117152516246</v>
      </c>
      <c r="T302" s="295">
        <f t="shared" si="74"/>
        <v>12430.117152516246</v>
      </c>
      <c r="U302" s="295">
        <f t="shared" si="74"/>
        <v>12430.117152516246</v>
      </c>
      <c r="V302" s="295">
        <f t="shared" si="74"/>
        <v>12430.117152516246</v>
      </c>
      <c r="W302" s="295">
        <f t="shared" si="74"/>
        <v>12430.117152516246</v>
      </c>
      <c r="X302" s="295">
        <f t="shared" si="74"/>
        <v>12430.117152516246</v>
      </c>
      <c r="Y302" s="295">
        <f t="shared" si="74"/>
        <v>12430.117152516246</v>
      </c>
      <c r="Z302" s="295">
        <f t="shared" si="74"/>
        <v>12430.117152516246</v>
      </c>
      <c r="AA302" s="295">
        <f t="shared" si="74"/>
        <v>12430.117152516246</v>
      </c>
      <c r="AB302" s="295">
        <f t="shared" si="74"/>
        <v>12430.117152516246</v>
      </c>
      <c r="AC302" s="295">
        <f t="shared" si="74"/>
        <v>12430.117152516246</v>
      </c>
      <c r="AD302" s="295">
        <f t="shared" si="74"/>
        <v>12430.117152516246</v>
      </c>
      <c r="AE302" s="296">
        <f t="shared" si="74"/>
        <v>12430.117152516246</v>
      </c>
    </row>
    <row r="303" spans="1:31">
      <c r="A303" s="1711"/>
      <c r="B303" s="116">
        <v>18</v>
      </c>
      <c r="C303" s="294">
        <f t="shared" si="67"/>
        <v>12430.117152516246</v>
      </c>
      <c r="D303" s="295">
        <f t="shared" si="75"/>
        <v>12430.117152516246</v>
      </c>
      <c r="E303" s="295">
        <f t="shared" si="75"/>
        <v>12430.117152516246</v>
      </c>
      <c r="F303" s="295">
        <f t="shared" si="75"/>
        <v>12430.117152516246</v>
      </c>
      <c r="G303" s="295">
        <f t="shared" si="75"/>
        <v>12430.117152516246</v>
      </c>
      <c r="H303" s="295">
        <f t="shared" si="75"/>
        <v>12430.117152516246</v>
      </c>
      <c r="I303" s="295">
        <f t="shared" si="75"/>
        <v>12430.117152516246</v>
      </c>
      <c r="J303" s="295">
        <f t="shared" si="75"/>
        <v>12430.117152516246</v>
      </c>
      <c r="K303" s="295">
        <f t="shared" si="75"/>
        <v>12430.117152516246</v>
      </c>
      <c r="L303" s="295">
        <f t="shared" si="75"/>
        <v>12430.117152516246</v>
      </c>
      <c r="M303" s="295">
        <f t="shared" si="75"/>
        <v>12430.117152516246</v>
      </c>
      <c r="N303" s="295">
        <f t="shared" si="75"/>
        <v>12430.117152516246</v>
      </c>
      <c r="O303" s="295">
        <f t="shared" si="75"/>
        <v>12430.117152516246</v>
      </c>
      <c r="P303" s="295">
        <f t="shared" si="75"/>
        <v>12430.117152516246</v>
      </c>
      <c r="Q303" s="295">
        <f t="shared" si="75"/>
        <v>12430.117152516246</v>
      </c>
      <c r="R303" s="295">
        <f t="shared" si="75"/>
        <v>12430.117152516246</v>
      </c>
      <c r="S303" s="295">
        <f t="shared" si="75"/>
        <v>12430.117152516246</v>
      </c>
      <c r="T303" s="295">
        <f t="shared" si="74"/>
        <v>12430.117152516246</v>
      </c>
      <c r="U303" s="295">
        <f t="shared" si="74"/>
        <v>12430.117152516246</v>
      </c>
      <c r="V303" s="295">
        <f t="shared" si="74"/>
        <v>12430.117152516246</v>
      </c>
      <c r="W303" s="295">
        <f t="shared" si="74"/>
        <v>12430.117152516246</v>
      </c>
      <c r="X303" s="295">
        <f t="shared" si="74"/>
        <v>12430.117152516246</v>
      </c>
      <c r="Y303" s="295">
        <f t="shared" si="74"/>
        <v>12430.117152516246</v>
      </c>
      <c r="Z303" s="295">
        <f t="shared" si="74"/>
        <v>12430.117152516246</v>
      </c>
      <c r="AA303" s="295">
        <f t="shared" si="74"/>
        <v>12430.117152516246</v>
      </c>
      <c r="AB303" s="295">
        <f t="shared" si="74"/>
        <v>12430.117152516246</v>
      </c>
      <c r="AC303" s="295">
        <f t="shared" si="74"/>
        <v>12430.117152516246</v>
      </c>
      <c r="AD303" s="295">
        <f t="shared" si="74"/>
        <v>12430.117152516246</v>
      </c>
      <c r="AE303" s="296">
        <f t="shared" si="74"/>
        <v>12430.117152516246</v>
      </c>
    </row>
    <row r="304" spans="1:31">
      <c r="A304" s="1711"/>
      <c r="B304" s="116">
        <v>19</v>
      </c>
      <c r="C304" s="294">
        <f t="shared" si="67"/>
        <v>12430.117152516246</v>
      </c>
      <c r="D304" s="295">
        <f t="shared" si="75"/>
        <v>12430.117152516246</v>
      </c>
      <c r="E304" s="295">
        <f t="shared" si="75"/>
        <v>12430.117152516246</v>
      </c>
      <c r="F304" s="295">
        <f t="shared" si="75"/>
        <v>12430.117152516246</v>
      </c>
      <c r="G304" s="295">
        <f t="shared" si="75"/>
        <v>12430.117152516246</v>
      </c>
      <c r="H304" s="295">
        <f t="shared" si="75"/>
        <v>12430.117152516246</v>
      </c>
      <c r="I304" s="295">
        <f t="shared" si="75"/>
        <v>12430.117152516246</v>
      </c>
      <c r="J304" s="295">
        <f t="shared" si="75"/>
        <v>12430.117152516246</v>
      </c>
      <c r="K304" s="295">
        <f t="shared" si="75"/>
        <v>12430.117152516246</v>
      </c>
      <c r="L304" s="295">
        <f t="shared" si="75"/>
        <v>12430.117152516246</v>
      </c>
      <c r="M304" s="295">
        <f t="shared" si="75"/>
        <v>12430.117152516246</v>
      </c>
      <c r="N304" s="295">
        <f t="shared" si="75"/>
        <v>12430.117152516246</v>
      </c>
      <c r="O304" s="295">
        <f t="shared" si="75"/>
        <v>12430.117152516246</v>
      </c>
      <c r="P304" s="295">
        <f t="shared" si="75"/>
        <v>12430.117152516246</v>
      </c>
      <c r="Q304" s="295">
        <f t="shared" si="75"/>
        <v>12430.117152516246</v>
      </c>
      <c r="R304" s="295">
        <f t="shared" si="75"/>
        <v>12430.117152516246</v>
      </c>
      <c r="S304" s="295">
        <f t="shared" si="75"/>
        <v>12430.117152516246</v>
      </c>
      <c r="T304" s="295">
        <f t="shared" si="74"/>
        <v>12430.117152516246</v>
      </c>
      <c r="U304" s="295">
        <f t="shared" si="74"/>
        <v>12430.117152516246</v>
      </c>
      <c r="V304" s="295">
        <f t="shared" si="74"/>
        <v>12430.117152516246</v>
      </c>
      <c r="W304" s="295">
        <f t="shared" si="74"/>
        <v>12430.117152516246</v>
      </c>
      <c r="X304" s="295">
        <f t="shared" si="74"/>
        <v>12430.117152516246</v>
      </c>
      <c r="Y304" s="295">
        <f t="shared" si="74"/>
        <v>12430.117152516246</v>
      </c>
      <c r="Z304" s="295">
        <f t="shared" si="74"/>
        <v>12430.117152516246</v>
      </c>
      <c r="AA304" s="295">
        <f t="shared" si="74"/>
        <v>12430.117152516246</v>
      </c>
      <c r="AB304" s="295">
        <f t="shared" si="74"/>
        <v>12430.117152516246</v>
      </c>
      <c r="AC304" s="295">
        <f t="shared" si="74"/>
        <v>12430.117152516246</v>
      </c>
      <c r="AD304" s="295">
        <f t="shared" si="74"/>
        <v>12430.117152516246</v>
      </c>
      <c r="AE304" s="296">
        <f t="shared" si="74"/>
        <v>12430.117152516246</v>
      </c>
    </row>
    <row r="305" spans="1:31">
      <c r="A305" s="1711"/>
      <c r="B305" s="116">
        <v>20</v>
      </c>
      <c r="C305" s="294">
        <f t="shared" si="67"/>
        <v>12430.117152516246</v>
      </c>
      <c r="D305" s="295">
        <f t="shared" si="75"/>
        <v>12430.117152516246</v>
      </c>
      <c r="E305" s="295">
        <f t="shared" si="75"/>
        <v>12430.117152516246</v>
      </c>
      <c r="F305" s="295">
        <f t="shared" si="75"/>
        <v>12430.117152516246</v>
      </c>
      <c r="G305" s="295">
        <f t="shared" si="75"/>
        <v>12430.117152516246</v>
      </c>
      <c r="H305" s="295">
        <f t="shared" si="75"/>
        <v>12430.117152516246</v>
      </c>
      <c r="I305" s="295">
        <f t="shared" si="75"/>
        <v>12430.117152516246</v>
      </c>
      <c r="J305" s="295">
        <f t="shared" si="75"/>
        <v>12430.117152516246</v>
      </c>
      <c r="K305" s="295">
        <f t="shared" si="75"/>
        <v>12430.117152516246</v>
      </c>
      <c r="L305" s="295">
        <f t="shared" si="75"/>
        <v>12430.117152516246</v>
      </c>
      <c r="M305" s="295">
        <f t="shared" si="75"/>
        <v>12430.117152516246</v>
      </c>
      <c r="N305" s="295">
        <f t="shared" si="75"/>
        <v>12430.117152516246</v>
      </c>
      <c r="O305" s="295">
        <f t="shared" si="75"/>
        <v>12430.117152516246</v>
      </c>
      <c r="P305" s="295">
        <f t="shared" si="75"/>
        <v>12430.117152516246</v>
      </c>
      <c r="Q305" s="295">
        <f t="shared" si="75"/>
        <v>12430.117152516246</v>
      </c>
      <c r="R305" s="295">
        <f t="shared" si="75"/>
        <v>12430.117152516246</v>
      </c>
      <c r="S305" s="295">
        <f t="shared" si="75"/>
        <v>12430.117152516246</v>
      </c>
      <c r="T305" s="295">
        <f t="shared" si="74"/>
        <v>12430.117152516246</v>
      </c>
      <c r="U305" s="295">
        <f t="shared" si="74"/>
        <v>12430.117152516246</v>
      </c>
      <c r="V305" s="295">
        <f t="shared" si="74"/>
        <v>12430.117152516246</v>
      </c>
      <c r="W305" s="295">
        <f t="shared" si="74"/>
        <v>12430.117152516246</v>
      </c>
      <c r="X305" s="295">
        <f t="shared" si="74"/>
        <v>12430.117152516246</v>
      </c>
      <c r="Y305" s="295">
        <f t="shared" si="74"/>
        <v>12430.117152516246</v>
      </c>
      <c r="Z305" s="295">
        <f t="shared" si="74"/>
        <v>12430.117152516246</v>
      </c>
      <c r="AA305" s="295">
        <f t="shared" si="74"/>
        <v>12430.117152516246</v>
      </c>
      <c r="AB305" s="295">
        <f t="shared" si="74"/>
        <v>12430.117152516246</v>
      </c>
      <c r="AC305" s="295">
        <f t="shared" si="74"/>
        <v>12430.117152516246</v>
      </c>
      <c r="AD305" s="295">
        <f t="shared" si="74"/>
        <v>12430.117152516246</v>
      </c>
      <c r="AE305" s="296">
        <f t="shared" si="74"/>
        <v>12430.117152516246</v>
      </c>
    </row>
    <row r="306" spans="1:31">
      <c r="A306" s="1711"/>
      <c r="B306" s="116">
        <v>21</v>
      </c>
      <c r="C306" s="294">
        <f t="shared" si="67"/>
        <v>12430.117152516246</v>
      </c>
      <c r="D306" s="295">
        <f t="shared" si="75"/>
        <v>12430.117152516246</v>
      </c>
      <c r="E306" s="295">
        <f t="shared" si="75"/>
        <v>12430.117152516246</v>
      </c>
      <c r="F306" s="295">
        <f t="shared" si="75"/>
        <v>12430.117152516246</v>
      </c>
      <c r="G306" s="295">
        <f t="shared" si="75"/>
        <v>12430.117152516246</v>
      </c>
      <c r="H306" s="295">
        <f t="shared" si="75"/>
        <v>12430.117152516246</v>
      </c>
      <c r="I306" s="295">
        <f t="shared" si="75"/>
        <v>12430.117152516246</v>
      </c>
      <c r="J306" s="295">
        <f t="shared" si="75"/>
        <v>12430.117152516246</v>
      </c>
      <c r="K306" s="295">
        <f t="shared" si="75"/>
        <v>12430.117152516246</v>
      </c>
      <c r="L306" s="295">
        <f t="shared" si="75"/>
        <v>12430.117152516246</v>
      </c>
      <c r="M306" s="295">
        <f t="shared" si="75"/>
        <v>12430.117152516246</v>
      </c>
      <c r="N306" s="295">
        <f t="shared" si="75"/>
        <v>12430.117152516246</v>
      </c>
      <c r="O306" s="295">
        <f t="shared" si="75"/>
        <v>12430.117152516246</v>
      </c>
      <c r="P306" s="295">
        <f t="shared" si="75"/>
        <v>12430.117152516246</v>
      </c>
      <c r="Q306" s="295">
        <f t="shared" si="75"/>
        <v>12430.117152516246</v>
      </c>
      <c r="R306" s="295">
        <f t="shared" si="75"/>
        <v>12430.117152516246</v>
      </c>
      <c r="S306" s="295">
        <f t="shared" si="75"/>
        <v>12430.117152516246</v>
      </c>
      <c r="T306" s="295">
        <f t="shared" si="74"/>
        <v>12430.117152516246</v>
      </c>
      <c r="U306" s="295">
        <f t="shared" si="74"/>
        <v>12430.117152516246</v>
      </c>
      <c r="V306" s="295">
        <f t="shared" si="74"/>
        <v>12430.117152516246</v>
      </c>
      <c r="W306" s="295">
        <f t="shared" si="74"/>
        <v>12430.117152516246</v>
      </c>
      <c r="X306" s="295">
        <f t="shared" si="74"/>
        <v>12430.117152516246</v>
      </c>
      <c r="Y306" s="295">
        <f t="shared" si="74"/>
        <v>12430.117152516246</v>
      </c>
      <c r="Z306" s="295">
        <f t="shared" si="74"/>
        <v>12430.117152516246</v>
      </c>
      <c r="AA306" s="295">
        <f t="shared" si="74"/>
        <v>12430.117152516246</v>
      </c>
      <c r="AB306" s="295">
        <f t="shared" si="74"/>
        <v>12430.117152516246</v>
      </c>
      <c r="AC306" s="295">
        <f t="shared" si="74"/>
        <v>12430.117152516246</v>
      </c>
      <c r="AD306" s="295">
        <f t="shared" si="74"/>
        <v>12430.117152516246</v>
      </c>
      <c r="AE306" s="296">
        <f t="shared" si="74"/>
        <v>12430.117152516246</v>
      </c>
    </row>
    <row r="307" spans="1:31">
      <c r="A307" s="1711"/>
      <c r="B307" s="116">
        <v>22</v>
      </c>
      <c r="C307" s="294">
        <f t="shared" si="67"/>
        <v>12430.117152516246</v>
      </c>
      <c r="D307" s="295">
        <f t="shared" si="75"/>
        <v>12430.117152516246</v>
      </c>
      <c r="E307" s="295">
        <f t="shared" si="75"/>
        <v>12430.117152516246</v>
      </c>
      <c r="F307" s="295">
        <f t="shared" si="75"/>
        <v>12430.117152516246</v>
      </c>
      <c r="G307" s="295">
        <f t="shared" si="75"/>
        <v>12430.117152516246</v>
      </c>
      <c r="H307" s="295">
        <f t="shared" si="75"/>
        <v>12430.117152516246</v>
      </c>
      <c r="I307" s="295">
        <f t="shared" si="75"/>
        <v>12430.117152516246</v>
      </c>
      <c r="J307" s="295">
        <f t="shared" si="75"/>
        <v>12430.117152516246</v>
      </c>
      <c r="K307" s="295">
        <f t="shared" si="75"/>
        <v>12430.117152516246</v>
      </c>
      <c r="L307" s="295">
        <f t="shared" si="75"/>
        <v>12430.117152516246</v>
      </c>
      <c r="M307" s="295">
        <f t="shared" si="75"/>
        <v>12430.117152516246</v>
      </c>
      <c r="N307" s="295">
        <f t="shared" si="75"/>
        <v>12430.117152516246</v>
      </c>
      <c r="O307" s="295">
        <f t="shared" si="75"/>
        <v>12430.117152516246</v>
      </c>
      <c r="P307" s="295">
        <f t="shared" si="75"/>
        <v>12430.117152516246</v>
      </c>
      <c r="Q307" s="295">
        <f t="shared" si="75"/>
        <v>12430.117152516246</v>
      </c>
      <c r="R307" s="295">
        <f t="shared" si="75"/>
        <v>12430.117152516246</v>
      </c>
      <c r="S307" s="295">
        <f t="shared" si="75"/>
        <v>12430.117152516246</v>
      </c>
      <c r="T307" s="295">
        <f t="shared" si="74"/>
        <v>12430.117152516246</v>
      </c>
      <c r="U307" s="295">
        <f t="shared" si="74"/>
        <v>12430.117152516246</v>
      </c>
      <c r="V307" s="295">
        <f t="shared" si="74"/>
        <v>12430.117152516246</v>
      </c>
      <c r="W307" s="295">
        <f t="shared" si="74"/>
        <v>12430.117152516246</v>
      </c>
      <c r="X307" s="295">
        <f t="shared" si="74"/>
        <v>12430.117152516246</v>
      </c>
      <c r="Y307" s="295">
        <f t="shared" si="74"/>
        <v>12430.117152516246</v>
      </c>
      <c r="Z307" s="295">
        <f t="shared" si="74"/>
        <v>12430.117152516246</v>
      </c>
      <c r="AA307" s="295">
        <f t="shared" si="74"/>
        <v>12430.117152516246</v>
      </c>
      <c r="AB307" s="295">
        <f t="shared" si="74"/>
        <v>12430.117152516246</v>
      </c>
      <c r="AC307" s="295">
        <f t="shared" si="74"/>
        <v>12430.117152516246</v>
      </c>
      <c r="AD307" s="295">
        <f t="shared" si="74"/>
        <v>12430.117152516246</v>
      </c>
      <c r="AE307" s="296">
        <f t="shared" si="74"/>
        <v>12430.117152516246</v>
      </c>
    </row>
    <row r="308" spans="1:31">
      <c r="A308" s="1711"/>
      <c r="B308" s="116">
        <v>23</v>
      </c>
      <c r="C308" s="294">
        <f t="shared" si="67"/>
        <v>12430.117152516246</v>
      </c>
      <c r="D308" s="295">
        <f t="shared" si="75"/>
        <v>12430.117152516246</v>
      </c>
      <c r="E308" s="295">
        <f t="shared" si="75"/>
        <v>12430.117152516246</v>
      </c>
      <c r="F308" s="295">
        <f t="shared" si="75"/>
        <v>12430.117152516246</v>
      </c>
      <c r="G308" s="295">
        <f t="shared" si="75"/>
        <v>12430.117152516246</v>
      </c>
      <c r="H308" s="295">
        <f t="shared" si="75"/>
        <v>12430.117152516246</v>
      </c>
      <c r="I308" s="295">
        <f t="shared" si="75"/>
        <v>12430.117152516246</v>
      </c>
      <c r="J308" s="295">
        <f t="shared" si="75"/>
        <v>12430.117152516246</v>
      </c>
      <c r="K308" s="295">
        <f t="shared" si="75"/>
        <v>12430.117152516246</v>
      </c>
      <c r="L308" s="295">
        <f t="shared" si="75"/>
        <v>12430.117152516246</v>
      </c>
      <c r="M308" s="295">
        <f t="shared" si="75"/>
        <v>12430.117152516246</v>
      </c>
      <c r="N308" s="295">
        <f t="shared" si="75"/>
        <v>12430.117152516246</v>
      </c>
      <c r="O308" s="295">
        <f t="shared" si="75"/>
        <v>12430.117152516246</v>
      </c>
      <c r="P308" s="295">
        <f t="shared" si="75"/>
        <v>12430.117152516246</v>
      </c>
      <c r="Q308" s="295">
        <f t="shared" si="75"/>
        <v>12430.117152516246</v>
      </c>
      <c r="R308" s="295">
        <f t="shared" si="75"/>
        <v>12430.117152516246</v>
      </c>
      <c r="S308" s="295">
        <f t="shared" si="75"/>
        <v>12430.117152516246</v>
      </c>
      <c r="T308" s="295">
        <f t="shared" si="74"/>
        <v>12430.117152516246</v>
      </c>
      <c r="U308" s="295">
        <f t="shared" si="74"/>
        <v>12430.117152516246</v>
      </c>
      <c r="V308" s="295">
        <f t="shared" si="74"/>
        <v>12430.117152516246</v>
      </c>
      <c r="W308" s="295">
        <f t="shared" si="74"/>
        <v>12430.117152516246</v>
      </c>
      <c r="X308" s="295">
        <f t="shared" si="74"/>
        <v>12430.117152516246</v>
      </c>
      <c r="Y308" s="295">
        <f t="shared" si="74"/>
        <v>12430.117152516246</v>
      </c>
      <c r="Z308" s="295">
        <f t="shared" si="74"/>
        <v>12430.117152516246</v>
      </c>
      <c r="AA308" s="295">
        <f t="shared" si="74"/>
        <v>12430.117152516246</v>
      </c>
      <c r="AB308" s="295">
        <f t="shared" si="74"/>
        <v>12430.117152516246</v>
      </c>
      <c r="AC308" s="295">
        <f t="shared" si="74"/>
        <v>12430.117152516246</v>
      </c>
      <c r="AD308" s="295">
        <f t="shared" si="74"/>
        <v>12430.117152516246</v>
      </c>
      <c r="AE308" s="296">
        <f t="shared" si="74"/>
        <v>12430.117152516246</v>
      </c>
    </row>
    <row r="309" spans="1:31">
      <c r="A309" s="1711"/>
      <c r="B309" s="116">
        <v>24</v>
      </c>
      <c r="C309" s="294">
        <f t="shared" si="67"/>
        <v>12430.117152516246</v>
      </c>
      <c r="D309" s="295">
        <f t="shared" si="75"/>
        <v>12430.117152516246</v>
      </c>
      <c r="E309" s="295">
        <f t="shared" si="75"/>
        <v>12430.117152516246</v>
      </c>
      <c r="F309" s="295">
        <f t="shared" si="75"/>
        <v>12430.117152516246</v>
      </c>
      <c r="G309" s="295">
        <f t="shared" si="75"/>
        <v>12430.117152516246</v>
      </c>
      <c r="H309" s="295">
        <f t="shared" si="75"/>
        <v>12430.117152516246</v>
      </c>
      <c r="I309" s="295">
        <f t="shared" si="75"/>
        <v>12430.117152516246</v>
      </c>
      <c r="J309" s="295">
        <f t="shared" si="75"/>
        <v>12430.117152516246</v>
      </c>
      <c r="K309" s="295">
        <f t="shared" si="75"/>
        <v>12430.117152516246</v>
      </c>
      <c r="L309" s="295">
        <f t="shared" si="75"/>
        <v>12430.117152516246</v>
      </c>
      <c r="M309" s="295">
        <f t="shared" si="75"/>
        <v>12430.117152516246</v>
      </c>
      <c r="N309" s="295">
        <f t="shared" si="75"/>
        <v>12430.117152516246</v>
      </c>
      <c r="O309" s="295">
        <f t="shared" si="75"/>
        <v>12430.117152516246</v>
      </c>
      <c r="P309" s="295">
        <f t="shared" si="75"/>
        <v>12430.117152516246</v>
      </c>
      <c r="Q309" s="295">
        <f t="shared" si="75"/>
        <v>12430.117152516246</v>
      </c>
      <c r="R309" s="295">
        <f t="shared" si="75"/>
        <v>12430.117152516246</v>
      </c>
      <c r="S309" s="295">
        <f t="shared" si="75"/>
        <v>12430.117152516246</v>
      </c>
      <c r="T309" s="295">
        <f t="shared" si="74"/>
        <v>12430.117152516246</v>
      </c>
      <c r="U309" s="295">
        <f t="shared" si="74"/>
        <v>12430.117152516246</v>
      </c>
      <c r="V309" s="295">
        <f t="shared" si="74"/>
        <v>12430.117152516246</v>
      </c>
      <c r="W309" s="295">
        <f t="shared" si="74"/>
        <v>12430.117152516246</v>
      </c>
      <c r="X309" s="295">
        <f t="shared" si="74"/>
        <v>12430.117152516246</v>
      </c>
      <c r="Y309" s="295">
        <f t="shared" si="74"/>
        <v>12430.117152516246</v>
      </c>
      <c r="Z309" s="295">
        <f t="shared" si="74"/>
        <v>12430.117152516246</v>
      </c>
      <c r="AA309" s="295">
        <f t="shared" si="74"/>
        <v>12430.117152516246</v>
      </c>
      <c r="AB309" s="295">
        <f t="shared" si="74"/>
        <v>12430.117152516246</v>
      </c>
      <c r="AC309" s="295">
        <f t="shared" si="74"/>
        <v>12430.117152516246</v>
      </c>
      <c r="AD309" s="295">
        <f t="shared" si="74"/>
        <v>12430.117152516246</v>
      </c>
      <c r="AE309" s="296">
        <f t="shared" si="74"/>
        <v>12430.117152516246</v>
      </c>
    </row>
    <row r="310" spans="1:31" ht="15.75" thickBot="1">
      <c r="A310" s="1711"/>
      <c r="B310" s="116">
        <v>25</v>
      </c>
      <c r="C310" s="297">
        <f t="shared" si="67"/>
        <v>12430.117152516246</v>
      </c>
      <c r="D310" s="298">
        <f t="shared" si="75"/>
        <v>12430.117152516246</v>
      </c>
      <c r="E310" s="298">
        <f t="shared" si="75"/>
        <v>12430.117152516246</v>
      </c>
      <c r="F310" s="298">
        <f t="shared" si="75"/>
        <v>12430.117152516246</v>
      </c>
      <c r="G310" s="298">
        <f t="shared" si="75"/>
        <v>12430.117152516246</v>
      </c>
      <c r="H310" s="298">
        <f t="shared" si="75"/>
        <v>12430.117152516246</v>
      </c>
      <c r="I310" s="298">
        <f t="shared" si="75"/>
        <v>12430.117152516246</v>
      </c>
      <c r="J310" s="298">
        <f t="shared" si="75"/>
        <v>12430.117152516246</v>
      </c>
      <c r="K310" s="298">
        <f t="shared" si="75"/>
        <v>12430.117152516246</v>
      </c>
      <c r="L310" s="298">
        <f t="shared" si="75"/>
        <v>12430.117152516246</v>
      </c>
      <c r="M310" s="298">
        <f t="shared" si="75"/>
        <v>12430.117152516246</v>
      </c>
      <c r="N310" s="298">
        <f t="shared" si="75"/>
        <v>12430.117152516246</v>
      </c>
      <c r="O310" s="298">
        <f t="shared" si="75"/>
        <v>12430.117152516246</v>
      </c>
      <c r="P310" s="298">
        <f t="shared" si="75"/>
        <v>12430.117152516246</v>
      </c>
      <c r="Q310" s="298">
        <f t="shared" si="75"/>
        <v>12430.117152516246</v>
      </c>
      <c r="R310" s="298">
        <f t="shared" si="75"/>
        <v>12430.117152516246</v>
      </c>
      <c r="S310" s="298">
        <f t="shared" si="75"/>
        <v>12430.117152516246</v>
      </c>
      <c r="T310" s="298">
        <f t="shared" si="74"/>
        <v>12430.117152516246</v>
      </c>
      <c r="U310" s="298">
        <f t="shared" si="74"/>
        <v>12430.117152516246</v>
      </c>
      <c r="V310" s="298">
        <f t="shared" si="74"/>
        <v>12430.117152516246</v>
      </c>
      <c r="W310" s="298">
        <f t="shared" si="74"/>
        <v>12430.117152516246</v>
      </c>
      <c r="X310" s="298">
        <f t="shared" si="74"/>
        <v>12430.117152516246</v>
      </c>
      <c r="Y310" s="298">
        <f t="shared" si="74"/>
        <v>12430.117152516246</v>
      </c>
      <c r="Z310" s="298">
        <f t="shared" si="74"/>
        <v>12430.117152516246</v>
      </c>
      <c r="AA310" s="298">
        <f t="shared" si="74"/>
        <v>12430.117152516246</v>
      </c>
      <c r="AB310" s="298">
        <f t="shared" si="74"/>
        <v>12430.117152516246</v>
      </c>
      <c r="AC310" s="298">
        <f t="shared" si="74"/>
        <v>12430.117152516246</v>
      </c>
      <c r="AD310" s="298">
        <f t="shared" si="74"/>
        <v>12430.117152516246</v>
      </c>
      <c r="AE310" s="299">
        <f t="shared" si="74"/>
        <v>12430.117152516246</v>
      </c>
    </row>
    <row r="311" spans="1:31" ht="16.5" thickTop="1" thickBot="1">
      <c r="A311" s="1712"/>
      <c r="B311" s="300" t="s">
        <v>39</v>
      </c>
      <c r="C311" s="461">
        <f>IF('CAR Stock'!C340=0,0,SUMPRODUCT(C285:C310,'CAR Stock'!C314:C339)/'CAR Stock'!C340)</f>
        <v>16662.406327474131</v>
      </c>
      <c r="D311" s="461">
        <f>IF('CAR Stock'!D340=0,0,SUMPRODUCT(D285:D310,'CAR Stock'!D314:D339)/'CAR Stock'!D340)</f>
        <v>16329.216044697507</v>
      </c>
      <c r="E311" s="461">
        <f>IF('CAR Stock'!E340=0,0,SUMPRODUCT(E285:E310,'CAR Stock'!E314:E339)/'CAR Stock'!E340)</f>
        <v>16002.713898319149</v>
      </c>
      <c r="F311" s="461">
        <f>IF('CAR Stock'!F340=0,0,SUMPRODUCT(F285:F310,'CAR Stock'!F314:F339)/'CAR Stock'!F340)</f>
        <v>15682.750155189869</v>
      </c>
      <c r="G311" s="461">
        <f>IF('CAR Stock'!G340=0,0,SUMPRODUCT(G285:G310,'CAR Stock'!G314:G339)/'CAR Stock'!G340)</f>
        <v>15369.378311181403</v>
      </c>
      <c r="H311" s="461">
        <f>IF('CAR Stock'!H340=0,0,SUMPRODUCT(H285:H310,'CAR Stock'!H314:H339)/'CAR Stock'!H340)</f>
        <v>15063.445131586672</v>
      </c>
      <c r="I311" s="461">
        <f>IF('CAR Stock'!I340=0,0,SUMPRODUCT(I285:I310,'CAR Stock'!I314:I339)/'CAR Stock'!I340)</f>
        <v>14767.441801892739</v>
      </c>
      <c r="J311" s="461">
        <f>IF('CAR Stock'!J340=0,0,SUMPRODUCT(J285:J310,'CAR Stock'!J314:J339)/'CAR Stock'!J340)</f>
        <v>14484.656120540907</v>
      </c>
      <c r="K311" s="461">
        <f>IF('CAR Stock'!K340=0,0,SUMPRODUCT(K285:K310,'CAR Stock'!K314:K339)/'CAR Stock'!K340)</f>
        <v>14216.429742573497</v>
      </c>
      <c r="L311" s="461">
        <f>IF('CAR Stock'!L340=0,0,SUMPRODUCT(L285:L310,'CAR Stock'!L314:L339)/'CAR Stock'!L340)</f>
        <v>13962.09002784835</v>
      </c>
      <c r="M311" s="461">
        <f>IF('CAR Stock'!M340=0,0,SUMPRODUCT(M285:M310,'CAR Stock'!M314:M339)/'CAR Stock'!M340)</f>
        <v>13721.964133897733</v>
      </c>
      <c r="N311" s="461">
        <f>IF('CAR Stock'!N340=0,0,SUMPRODUCT(N285:N310,'CAR Stock'!N314:N339)/'CAR Stock'!N340)</f>
        <v>13494.137380426169</v>
      </c>
      <c r="O311" s="461">
        <f>IF('CAR Stock'!O340=0,0,SUMPRODUCT(O285:O310,'CAR Stock'!O314:O339)/'CAR Stock'!O340)</f>
        <v>13273.355782567631</v>
      </c>
      <c r="P311" s="461">
        <f>IF('CAR Stock'!P340=0,0,SUMPRODUCT(P285:P310,'CAR Stock'!P314:P339)/'CAR Stock'!P340)</f>
        <v>13055.911382262226</v>
      </c>
      <c r="Q311" s="461">
        <f>IF('CAR Stock'!Q340=0,0,SUMPRODUCT(Q285:Q310,'CAR Stock'!Q314:Q339)/'CAR Stock'!Q340)</f>
        <v>12828.505570659358</v>
      </c>
      <c r="R311" s="461">
        <f>IF('CAR Stock'!R340=0,0,SUMPRODUCT(R285:R310,'CAR Stock'!R314:R339)/'CAR Stock'!R340)</f>
        <v>12609.619499581206</v>
      </c>
      <c r="S311" s="461">
        <f>IF('CAR Stock'!S340=0,0,SUMPRODUCT(S285:S310,'CAR Stock'!S314:S339)/'CAR Stock'!S340)</f>
        <v>12430.117152516248</v>
      </c>
      <c r="T311" s="461">
        <f>IF('CAR Stock'!T340=0,0,SUMPRODUCT(T285:T310,'CAR Stock'!T314:T339)/'CAR Stock'!T340)</f>
        <v>12430.11715251625</v>
      </c>
      <c r="U311" s="461">
        <f>IF('CAR Stock'!U340=0,0,SUMPRODUCT(U285:U310,'CAR Stock'!U314:U339)/'CAR Stock'!U340)</f>
        <v>12430.117152516244</v>
      </c>
      <c r="V311" s="461">
        <f>IF('CAR Stock'!V340=0,0,SUMPRODUCT(V285:V310,'CAR Stock'!V314:V339)/'CAR Stock'!V340)</f>
        <v>12430.117152516248</v>
      </c>
      <c r="W311" s="461">
        <f>IF('CAR Stock'!W340=0,0,SUMPRODUCT(W285:W310,'CAR Stock'!W314:W339)/'CAR Stock'!W340)</f>
        <v>12430.117152516248</v>
      </c>
      <c r="X311" s="461">
        <f>IF('CAR Stock'!X340=0,0,SUMPRODUCT(X285:X310,'CAR Stock'!X314:X339)/'CAR Stock'!X340)</f>
        <v>12430.117152516246</v>
      </c>
      <c r="Y311" s="461">
        <f>IF('CAR Stock'!Y340=0,0,SUMPRODUCT(Y285:Y310,'CAR Stock'!Y314:Y339)/'CAR Stock'!Y340)</f>
        <v>12430.117152516244</v>
      </c>
      <c r="Z311" s="461">
        <f>IF('CAR Stock'!Z340=0,0,SUMPRODUCT(Z285:Z310,'CAR Stock'!Z314:Z339)/'CAR Stock'!Z340)</f>
        <v>12430.117152516246</v>
      </c>
      <c r="AA311" s="461">
        <f>IF('CAR Stock'!AA340=0,0,SUMPRODUCT(AA285:AA310,'CAR Stock'!AA314:AA339)/'CAR Stock'!AA340)</f>
        <v>12430.117152516246</v>
      </c>
      <c r="AB311" s="461">
        <f>IF('CAR Stock'!AB340=0,0,SUMPRODUCT(AB285:AB310,'CAR Stock'!AB314:AB339)/'CAR Stock'!AB340)</f>
        <v>0</v>
      </c>
      <c r="AC311" s="461">
        <f>IF('CAR Stock'!AC340=0,0,SUMPRODUCT(AC285:AC310,'CAR Stock'!AC314:AC339)/'CAR Stock'!AC340)</f>
        <v>0</v>
      </c>
      <c r="AD311" s="461">
        <f>IF('CAR Stock'!AD340=0,0,SUMPRODUCT(AD285:AD310,'CAR Stock'!AD314:AD339)/'CAR Stock'!AD340)</f>
        <v>0</v>
      </c>
      <c r="AE311" s="462">
        <f>IF('CAR Stock'!AE340=0,0,SUMPRODUCT(AE285:AE310,'CAR Stock'!AE314:AE339)/'CAR Stock'!AE340)</f>
        <v>0</v>
      </c>
    </row>
    <row r="312" spans="1:31" ht="15.75" thickBot="1"/>
    <row r="313" spans="1:31" ht="15.75" thickBot="1">
      <c r="A313" s="1710" t="s">
        <v>51</v>
      </c>
      <c r="B313" s="169" t="s">
        <v>10</v>
      </c>
      <c r="C313" s="288">
        <f t="shared" si="67"/>
        <v>2012</v>
      </c>
      <c r="D313" s="289">
        <v>2013</v>
      </c>
      <c r="E313" s="289">
        <v>2014</v>
      </c>
      <c r="F313" s="289">
        <v>2015</v>
      </c>
      <c r="G313" s="288">
        <v>2016</v>
      </c>
      <c r="H313" s="289">
        <v>2017</v>
      </c>
      <c r="I313" s="289">
        <v>2018</v>
      </c>
      <c r="J313" s="289">
        <v>2019</v>
      </c>
      <c r="K313" s="288">
        <v>2020</v>
      </c>
      <c r="L313" s="289">
        <v>2021</v>
      </c>
      <c r="M313" s="289">
        <v>2022</v>
      </c>
      <c r="N313" s="289">
        <v>2023</v>
      </c>
      <c r="O313" s="288">
        <v>2024</v>
      </c>
      <c r="P313" s="289">
        <v>2025</v>
      </c>
      <c r="Q313" s="289">
        <v>2026</v>
      </c>
      <c r="R313" s="289">
        <v>2027</v>
      </c>
      <c r="S313" s="288">
        <v>2028</v>
      </c>
      <c r="T313" s="289">
        <v>2029</v>
      </c>
      <c r="U313" s="289">
        <v>2030</v>
      </c>
      <c r="V313" s="289">
        <v>2031</v>
      </c>
      <c r="W313" s="288">
        <v>2032</v>
      </c>
      <c r="X313" s="289">
        <v>2033</v>
      </c>
      <c r="Y313" s="289">
        <v>2034</v>
      </c>
      <c r="Z313" s="289">
        <v>2035</v>
      </c>
      <c r="AA313" s="288">
        <v>2036</v>
      </c>
      <c r="AB313" s="289">
        <v>2037</v>
      </c>
      <c r="AC313" s="289">
        <v>2038</v>
      </c>
      <c r="AD313" s="289">
        <v>2039</v>
      </c>
      <c r="AE313" s="290">
        <v>2040</v>
      </c>
    </row>
    <row r="314" spans="1:31">
      <c r="A314" s="1711"/>
      <c r="B314" s="116">
        <v>0</v>
      </c>
      <c r="C314" s="291">
        <f t="shared" si="67"/>
        <v>19467.759716307228</v>
      </c>
      <c r="D314" s="292">
        <f>C314</f>
        <v>19467.759716307228</v>
      </c>
      <c r="E314" s="292">
        <f t="shared" ref="E314:T314" si="76">D314</f>
        <v>19467.759716307228</v>
      </c>
      <c r="F314" s="292">
        <f t="shared" si="76"/>
        <v>19467.759716307228</v>
      </c>
      <c r="G314" s="292">
        <f t="shared" si="76"/>
        <v>19467.759716307228</v>
      </c>
      <c r="H314" s="292">
        <f t="shared" si="76"/>
        <v>19467.759716307228</v>
      </c>
      <c r="I314" s="292">
        <f t="shared" si="76"/>
        <v>19467.759716307228</v>
      </c>
      <c r="J314" s="292">
        <f t="shared" si="76"/>
        <v>19467.759716307228</v>
      </c>
      <c r="K314" s="292">
        <f t="shared" si="76"/>
        <v>19467.759716307228</v>
      </c>
      <c r="L314" s="292">
        <f t="shared" si="76"/>
        <v>19467.759716307228</v>
      </c>
      <c r="M314" s="292">
        <f t="shared" si="76"/>
        <v>19467.759716307228</v>
      </c>
      <c r="N314" s="292">
        <f t="shared" si="76"/>
        <v>19467.759716307228</v>
      </c>
      <c r="O314" s="292">
        <f t="shared" si="76"/>
        <v>19467.759716307228</v>
      </c>
      <c r="P314" s="292">
        <f t="shared" si="76"/>
        <v>19467.759716307228</v>
      </c>
      <c r="Q314" s="292">
        <f t="shared" si="76"/>
        <v>19467.759716307228</v>
      </c>
      <c r="R314" s="292">
        <f t="shared" si="76"/>
        <v>19467.759716307228</v>
      </c>
      <c r="S314" s="292">
        <f t="shared" si="76"/>
        <v>19467.759716307228</v>
      </c>
      <c r="T314" s="292">
        <f t="shared" si="76"/>
        <v>19467.759716307228</v>
      </c>
      <c r="U314" s="292">
        <f t="shared" ref="T314:AE329" si="77">T314</f>
        <v>19467.759716307228</v>
      </c>
      <c r="V314" s="292">
        <f t="shared" si="77"/>
        <v>19467.759716307228</v>
      </c>
      <c r="W314" s="292">
        <f t="shared" si="77"/>
        <v>19467.759716307228</v>
      </c>
      <c r="X314" s="292">
        <f t="shared" si="77"/>
        <v>19467.759716307228</v>
      </c>
      <c r="Y314" s="292">
        <f t="shared" si="77"/>
        <v>19467.759716307228</v>
      </c>
      <c r="Z314" s="292">
        <f t="shared" si="77"/>
        <v>19467.759716307228</v>
      </c>
      <c r="AA314" s="292">
        <f t="shared" si="77"/>
        <v>19467.759716307228</v>
      </c>
      <c r="AB314" s="292">
        <f t="shared" si="77"/>
        <v>19467.759716307228</v>
      </c>
      <c r="AC314" s="292">
        <f t="shared" si="77"/>
        <v>19467.759716307228</v>
      </c>
      <c r="AD314" s="292">
        <f t="shared" si="77"/>
        <v>19467.759716307228</v>
      </c>
      <c r="AE314" s="293">
        <f t="shared" si="77"/>
        <v>19467.759716307228</v>
      </c>
    </row>
    <row r="315" spans="1:31">
      <c r="A315" s="1711"/>
      <c r="B315" s="116">
        <v>1</v>
      </c>
      <c r="C315" s="294">
        <f t="shared" si="67"/>
        <v>19078.404521981083</v>
      </c>
      <c r="D315" s="295">
        <f t="shared" ref="D315:S330" si="78">C315</f>
        <v>19078.404521981083</v>
      </c>
      <c r="E315" s="295">
        <f t="shared" si="78"/>
        <v>19078.404521981083</v>
      </c>
      <c r="F315" s="295">
        <f t="shared" si="78"/>
        <v>19078.404521981083</v>
      </c>
      <c r="G315" s="295">
        <f t="shared" si="78"/>
        <v>19078.404521981083</v>
      </c>
      <c r="H315" s="295">
        <f t="shared" si="78"/>
        <v>19078.404521981083</v>
      </c>
      <c r="I315" s="295">
        <f t="shared" si="78"/>
        <v>19078.404521981083</v>
      </c>
      <c r="J315" s="295">
        <f t="shared" si="78"/>
        <v>19078.404521981083</v>
      </c>
      <c r="K315" s="295">
        <f t="shared" si="78"/>
        <v>19078.404521981083</v>
      </c>
      <c r="L315" s="295">
        <f t="shared" si="78"/>
        <v>19078.404521981083</v>
      </c>
      <c r="M315" s="295">
        <f t="shared" si="78"/>
        <v>19078.404521981083</v>
      </c>
      <c r="N315" s="295">
        <f t="shared" si="78"/>
        <v>19078.404521981083</v>
      </c>
      <c r="O315" s="295">
        <f t="shared" si="78"/>
        <v>19078.404521981083</v>
      </c>
      <c r="P315" s="295">
        <f t="shared" si="78"/>
        <v>19078.404521981083</v>
      </c>
      <c r="Q315" s="295">
        <f t="shared" si="78"/>
        <v>19078.404521981083</v>
      </c>
      <c r="R315" s="295">
        <f t="shared" si="78"/>
        <v>19078.404521981083</v>
      </c>
      <c r="S315" s="295">
        <f t="shared" si="78"/>
        <v>19078.404521981083</v>
      </c>
      <c r="T315" s="295">
        <f t="shared" si="77"/>
        <v>19078.404521981083</v>
      </c>
      <c r="U315" s="295">
        <f t="shared" si="77"/>
        <v>19078.404521981083</v>
      </c>
      <c r="V315" s="295">
        <f t="shared" si="77"/>
        <v>19078.404521981083</v>
      </c>
      <c r="W315" s="295">
        <f t="shared" si="77"/>
        <v>19078.404521981083</v>
      </c>
      <c r="X315" s="295">
        <f t="shared" si="77"/>
        <v>19078.404521981083</v>
      </c>
      <c r="Y315" s="295">
        <f t="shared" si="77"/>
        <v>19078.404521981083</v>
      </c>
      <c r="Z315" s="295">
        <f t="shared" si="77"/>
        <v>19078.404521981083</v>
      </c>
      <c r="AA315" s="295">
        <f t="shared" si="77"/>
        <v>19078.404521981083</v>
      </c>
      <c r="AB315" s="295">
        <f t="shared" si="77"/>
        <v>19078.404521981083</v>
      </c>
      <c r="AC315" s="295">
        <f t="shared" si="77"/>
        <v>19078.404521981083</v>
      </c>
      <c r="AD315" s="295">
        <f t="shared" si="77"/>
        <v>19078.404521981083</v>
      </c>
      <c r="AE315" s="296">
        <f t="shared" si="77"/>
        <v>19078.404521981083</v>
      </c>
    </row>
    <row r="316" spans="1:31">
      <c r="A316" s="1711"/>
      <c r="B316" s="116">
        <v>2</v>
      </c>
      <c r="C316" s="294">
        <f t="shared" si="67"/>
        <v>18696.836431541462</v>
      </c>
      <c r="D316" s="295">
        <f t="shared" si="78"/>
        <v>18696.836431541462</v>
      </c>
      <c r="E316" s="295">
        <f t="shared" si="78"/>
        <v>18696.836431541462</v>
      </c>
      <c r="F316" s="295">
        <f t="shared" si="78"/>
        <v>18696.836431541462</v>
      </c>
      <c r="G316" s="295">
        <f t="shared" si="78"/>
        <v>18696.836431541462</v>
      </c>
      <c r="H316" s="295">
        <f t="shared" si="78"/>
        <v>18696.836431541462</v>
      </c>
      <c r="I316" s="295">
        <f t="shared" si="78"/>
        <v>18696.836431541462</v>
      </c>
      <c r="J316" s="295">
        <f t="shared" si="78"/>
        <v>18696.836431541462</v>
      </c>
      <c r="K316" s="295">
        <f t="shared" si="78"/>
        <v>18696.836431541462</v>
      </c>
      <c r="L316" s="295">
        <f t="shared" si="78"/>
        <v>18696.836431541462</v>
      </c>
      <c r="M316" s="295">
        <f t="shared" si="78"/>
        <v>18696.836431541462</v>
      </c>
      <c r="N316" s="295">
        <f t="shared" si="78"/>
        <v>18696.836431541462</v>
      </c>
      <c r="O316" s="295">
        <f t="shared" si="78"/>
        <v>18696.836431541462</v>
      </c>
      <c r="P316" s="295">
        <f t="shared" si="78"/>
        <v>18696.836431541462</v>
      </c>
      <c r="Q316" s="295">
        <f t="shared" si="78"/>
        <v>18696.836431541462</v>
      </c>
      <c r="R316" s="295">
        <f t="shared" si="78"/>
        <v>18696.836431541462</v>
      </c>
      <c r="S316" s="295">
        <f t="shared" si="78"/>
        <v>18696.836431541462</v>
      </c>
      <c r="T316" s="295">
        <f t="shared" si="77"/>
        <v>18696.836431541462</v>
      </c>
      <c r="U316" s="295">
        <f t="shared" si="77"/>
        <v>18696.836431541462</v>
      </c>
      <c r="V316" s="295">
        <f t="shared" si="77"/>
        <v>18696.836431541462</v>
      </c>
      <c r="W316" s="295">
        <f t="shared" si="77"/>
        <v>18696.836431541462</v>
      </c>
      <c r="X316" s="295">
        <f t="shared" si="77"/>
        <v>18696.836431541462</v>
      </c>
      <c r="Y316" s="295">
        <f t="shared" si="77"/>
        <v>18696.836431541462</v>
      </c>
      <c r="Z316" s="295">
        <f t="shared" si="77"/>
        <v>18696.836431541462</v>
      </c>
      <c r="AA316" s="295">
        <f t="shared" si="77"/>
        <v>18696.836431541462</v>
      </c>
      <c r="AB316" s="295">
        <f t="shared" si="77"/>
        <v>18696.836431541462</v>
      </c>
      <c r="AC316" s="295">
        <f t="shared" si="77"/>
        <v>18696.836431541462</v>
      </c>
      <c r="AD316" s="295">
        <f t="shared" si="77"/>
        <v>18696.836431541462</v>
      </c>
      <c r="AE316" s="296">
        <f t="shared" si="77"/>
        <v>18696.836431541462</v>
      </c>
    </row>
    <row r="317" spans="1:31">
      <c r="A317" s="1711"/>
      <c r="B317" s="116">
        <v>3</v>
      </c>
      <c r="C317" s="294">
        <f t="shared" si="67"/>
        <v>18322.899702910632</v>
      </c>
      <c r="D317" s="295">
        <f t="shared" si="78"/>
        <v>18322.899702910632</v>
      </c>
      <c r="E317" s="295">
        <f t="shared" si="78"/>
        <v>18322.899702910632</v>
      </c>
      <c r="F317" s="295">
        <f t="shared" si="78"/>
        <v>18322.899702910632</v>
      </c>
      <c r="G317" s="295">
        <f t="shared" si="78"/>
        <v>18322.899702910632</v>
      </c>
      <c r="H317" s="295">
        <f t="shared" si="78"/>
        <v>18322.899702910632</v>
      </c>
      <c r="I317" s="295">
        <f t="shared" si="78"/>
        <v>18322.899702910632</v>
      </c>
      <c r="J317" s="295">
        <f t="shared" si="78"/>
        <v>18322.899702910632</v>
      </c>
      <c r="K317" s="295">
        <f t="shared" si="78"/>
        <v>18322.899702910632</v>
      </c>
      <c r="L317" s="295">
        <f t="shared" si="78"/>
        <v>18322.899702910632</v>
      </c>
      <c r="M317" s="295">
        <f t="shared" si="78"/>
        <v>18322.899702910632</v>
      </c>
      <c r="N317" s="295">
        <f t="shared" si="78"/>
        <v>18322.899702910632</v>
      </c>
      <c r="O317" s="295">
        <f t="shared" si="78"/>
        <v>18322.899702910632</v>
      </c>
      <c r="P317" s="295">
        <f t="shared" si="78"/>
        <v>18322.899702910632</v>
      </c>
      <c r="Q317" s="295">
        <f t="shared" si="78"/>
        <v>18322.899702910632</v>
      </c>
      <c r="R317" s="295">
        <f t="shared" si="78"/>
        <v>18322.899702910632</v>
      </c>
      <c r="S317" s="295">
        <f t="shared" si="78"/>
        <v>18322.899702910632</v>
      </c>
      <c r="T317" s="295">
        <f t="shared" si="77"/>
        <v>18322.899702910632</v>
      </c>
      <c r="U317" s="295">
        <f t="shared" si="77"/>
        <v>18322.899702910632</v>
      </c>
      <c r="V317" s="295">
        <f t="shared" si="77"/>
        <v>18322.899702910632</v>
      </c>
      <c r="W317" s="295">
        <f t="shared" si="77"/>
        <v>18322.899702910632</v>
      </c>
      <c r="X317" s="295">
        <f t="shared" si="77"/>
        <v>18322.899702910632</v>
      </c>
      <c r="Y317" s="295">
        <f t="shared" si="77"/>
        <v>18322.899702910632</v>
      </c>
      <c r="Z317" s="295">
        <f t="shared" si="77"/>
        <v>18322.899702910632</v>
      </c>
      <c r="AA317" s="295">
        <f t="shared" si="77"/>
        <v>18322.899702910632</v>
      </c>
      <c r="AB317" s="295">
        <f t="shared" si="77"/>
        <v>18322.899702910632</v>
      </c>
      <c r="AC317" s="295">
        <f t="shared" si="77"/>
        <v>18322.899702910632</v>
      </c>
      <c r="AD317" s="295">
        <f t="shared" si="77"/>
        <v>18322.899702910632</v>
      </c>
      <c r="AE317" s="296">
        <f t="shared" si="77"/>
        <v>18322.899702910632</v>
      </c>
    </row>
    <row r="318" spans="1:31">
      <c r="A318" s="1711"/>
      <c r="B318" s="116">
        <v>4</v>
      </c>
      <c r="C318" s="294">
        <f t="shared" si="67"/>
        <v>17956.441708852421</v>
      </c>
      <c r="D318" s="295">
        <f t="shared" si="78"/>
        <v>17956.441708852421</v>
      </c>
      <c r="E318" s="295">
        <f t="shared" si="78"/>
        <v>17956.441708852421</v>
      </c>
      <c r="F318" s="295">
        <f t="shared" si="78"/>
        <v>17956.441708852421</v>
      </c>
      <c r="G318" s="295">
        <f t="shared" si="78"/>
        <v>17956.441708852421</v>
      </c>
      <c r="H318" s="295">
        <f t="shared" si="78"/>
        <v>17956.441708852421</v>
      </c>
      <c r="I318" s="295">
        <f t="shared" si="78"/>
        <v>17956.441708852421</v>
      </c>
      <c r="J318" s="295">
        <f t="shared" si="78"/>
        <v>17956.441708852421</v>
      </c>
      <c r="K318" s="295">
        <f t="shared" si="78"/>
        <v>17956.441708852421</v>
      </c>
      <c r="L318" s="295">
        <f t="shared" si="78"/>
        <v>17956.441708852421</v>
      </c>
      <c r="M318" s="295">
        <f t="shared" si="78"/>
        <v>17956.441708852421</v>
      </c>
      <c r="N318" s="295">
        <f t="shared" si="78"/>
        <v>17956.441708852421</v>
      </c>
      <c r="O318" s="295">
        <f t="shared" si="78"/>
        <v>17956.441708852421</v>
      </c>
      <c r="P318" s="295">
        <f t="shared" si="78"/>
        <v>17956.441708852421</v>
      </c>
      <c r="Q318" s="295">
        <f t="shared" si="78"/>
        <v>17956.441708852421</v>
      </c>
      <c r="R318" s="295">
        <f t="shared" si="78"/>
        <v>17956.441708852421</v>
      </c>
      <c r="S318" s="295">
        <f t="shared" si="78"/>
        <v>17956.441708852421</v>
      </c>
      <c r="T318" s="295">
        <f t="shared" si="77"/>
        <v>17956.441708852421</v>
      </c>
      <c r="U318" s="295">
        <f t="shared" si="77"/>
        <v>17956.441708852421</v>
      </c>
      <c r="V318" s="295">
        <f t="shared" si="77"/>
        <v>17956.441708852421</v>
      </c>
      <c r="W318" s="295">
        <f t="shared" si="77"/>
        <v>17956.441708852421</v>
      </c>
      <c r="X318" s="295">
        <f t="shared" si="77"/>
        <v>17956.441708852421</v>
      </c>
      <c r="Y318" s="295">
        <f t="shared" si="77"/>
        <v>17956.441708852421</v>
      </c>
      <c r="Z318" s="295">
        <f t="shared" si="77"/>
        <v>17956.441708852421</v>
      </c>
      <c r="AA318" s="295">
        <f t="shared" si="77"/>
        <v>17956.441708852421</v>
      </c>
      <c r="AB318" s="295">
        <f t="shared" si="77"/>
        <v>17956.441708852421</v>
      </c>
      <c r="AC318" s="295">
        <f t="shared" si="77"/>
        <v>17956.441708852421</v>
      </c>
      <c r="AD318" s="295">
        <f t="shared" si="77"/>
        <v>17956.441708852421</v>
      </c>
      <c r="AE318" s="296">
        <f t="shared" si="77"/>
        <v>17956.441708852421</v>
      </c>
    </row>
    <row r="319" spans="1:31">
      <c r="A319" s="1711"/>
      <c r="B319" s="116">
        <v>5</v>
      </c>
      <c r="C319" s="294">
        <f t="shared" si="67"/>
        <v>17597.312874675372</v>
      </c>
      <c r="D319" s="295">
        <f t="shared" si="78"/>
        <v>17597.312874675372</v>
      </c>
      <c r="E319" s="295">
        <f t="shared" si="78"/>
        <v>17597.312874675372</v>
      </c>
      <c r="F319" s="295">
        <f t="shared" si="78"/>
        <v>17597.312874675372</v>
      </c>
      <c r="G319" s="295">
        <f t="shared" si="78"/>
        <v>17597.312874675372</v>
      </c>
      <c r="H319" s="295">
        <f t="shared" si="78"/>
        <v>17597.312874675372</v>
      </c>
      <c r="I319" s="295">
        <f t="shared" si="78"/>
        <v>17597.312874675372</v>
      </c>
      <c r="J319" s="295">
        <f t="shared" si="78"/>
        <v>17597.312874675372</v>
      </c>
      <c r="K319" s="295">
        <f t="shared" si="78"/>
        <v>17597.312874675372</v>
      </c>
      <c r="L319" s="295">
        <f t="shared" si="78"/>
        <v>17597.312874675372</v>
      </c>
      <c r="M319" s="295">
        <f t="shared" si="78"/>
        <v>17597.312874675372</v>
      </c>
      <c r="N319" s="295">
        <f t="shared" si="78"/>
        <v>17597.312874675372</v>
      </c>
      <c r="O319" s="295">
        <f t="shared" si="78"/>
        <v>17597.312874675372</v>
      </c>
      <c r="P319" s="295">
        <f t="shared" si="78"/>
        <v>17597.312874675372</v>
      </c>
      <c r="Q319" s="295">
        <f t="shared" si="78"/>
        <v>17597.312874675372</v>
      </c>
      <c r="R319" s="295">
        <f t="shared" si="78"/>
        <v>17597.312874675372</v>
      </c>
      <c r="S319" s="295">
        <f t="shared" si="78"/>
        <v>17597.312874675372</v>
      </c>
      <c r="T319" s="295">
        <f t="shared" si="77"/>
        <v>17597.312874675372</v>
      </c>
      <c r="U319" s="295">
        <f t="shared" si="77"/>
        <v>17597.312874675372</v>
      </c>
      <c r="V319" s="295">
        <f t="shared" si="77"/>
        <v>17597.312874675372</v>
      </c>
      <c r="W319" s="295">
        <f t="shared" si="77"/>
        <v>17597.312874675372</v>
      </c>
      <c r="X319" s="295">
        <f t="shared" si="77"/>
        <v>17597.312874675372</v>
      </c>
      <c r="Y319" s="295">
        <f t="shared" si="77"/>
        <v>17597.312874675372</v>
      </c>
      <c r="Z319" s="295">
        <f t="shared" si="77"/>
        <v>17597.312874675372</v>
      </c>
      <c r="AA319" s="295">
        <f t="shared" si="77"/>
        <v>17597.312874675372</v>
      </c>
      <c r="AB319" s="295">
        <f t="shared" si="77"/>
        <v>17597.312874675372</v>
      </c>
      <c r="AC319" s="295">
        <f t="shared" si="77"/>
        <v>17597.312874675372</v>
      </c>
      <c r="AD319" s="295">
        <f t="shared" si="77"/>
        <v>17597.312874675372</v>
      </c>
      <c r="AE319" s="296">
        <f t="shared" si="77"/>
        <v>17597.312874675372</v>
      </c>
    </row>
    <row r="320" spans="1:31">
      <c r="A320" s="1711"/>
      <c r="B320" s="116">
        <v>6</v>
      </c>
      <c r="C320" s="294">
        <f t="shared" si="67"/>
        <v>17245.366617181866</v>
      </c>
      <c r="D320" s="295">
        <f t="shared" si="78"/>
        <v>17245.366617181866</v>
      </c>
      <c r="E320" s="295">
        <f t="shared" si="78"/>
        <v>17245.366617181866</v>
      </c>
      <c r="F320" s="295">
        <f t="shared" si="78"/>
        <v>17245.366617181866</v>
      </c>
      <c r="G320" s="295">
        <f t="shared" si="78"/>
        <v>17245.366617181866</v>
      </c>
      <c r="H320" s="295">
        <f t="shared" si="78"/>
        <v>17245.366617181866</v>
      </c>
      <c r="I320" s="295">
        <f t="shared" si="78"/>
        <v>17245.366617181866</v>
      </c>
      <c r="J320" s="295">
        <f t="shared" si="78"/>
        <v>17245.366617181866</v>
      </c>
      <c r="K320" s="295">
        <f t="shared" si="78"/>
        <v>17245.366617181866</v>
      </c>
      <c r="L320" s="295">
        <f t="shared" si="78"/>
        <v>17245.366617181866</v>
      </c>
      <c r="M320" s="295">
        <f t="shared" si="78"/>
        <v>17245.366617181866</v>
      </c>
      <c r="N320" s="295">
        <f t="shared" si="78"/>
        <v>17245.366617181866</v>
      </c>
      <c r="O320" s="295">
        <f t="shared" si="78"/>
        <v>17245.366617181866</v>
      </c>
      <c r="P320" s="295">
        <f t="shared" si="78"/>
        <v>17245.366617181866</v>
      </c>
      <c r="Q320" s="295">
        <f t="shared" si="78"/>
        <v>17245.366617181866</v>
      </c>
      <c r="R320" s="295">
        <f t="shared" si="78"/>
        <v>17245.366617181866</v>
      </c>
      <c r="S320" s="295">
        <f t="shared" si="78"/>
        <v>17245.366617181866</v>
      </c>
      <c r="T320" s="295">
        <f t="shared" si="77"/>
        <v>17245.366617181866</v>
      </c>
      <c r="U320" s="295">
        <f t="shared" si="77"/>
        <v>17245.366617181866</v>
      </c>
      <c r="V320" s="295">
        <f t="shared" si="77"/>
        <v>17245.366617181866</v>
      </c>
      <c r="W320" s="295">
        <f t="shared" si="77"/>
        <v>17245.366617181866</v>
      </c>
      <c r="X320" s="295">
        <f t="shared" si="77"/>
        <v>17245.366617181866</v>
      </c>
      <c r="Y320" s="295">
        <f t="shared" si="77"/>
        <v>17245.366617181866</v>
      </c>
      <c r="Z320" s="295">
        <f t="shared" si="77"/>
        <v>17245.366617181866</v>
      </c>
      <c r="AA320" s="295">
        <f t="shared" si="77"/>
        <v>17245.366617181866</v>
      </c>
      <c r="AB320" s="295">
        <f t="shared" si="77"/>
        <v>17245.366617181866</v>
      </c>
      <c r="AC320" s="295">
        <f t="shared" si="77"/>
        <v>17245.366617181866</v>
      </c>
      <c r="AD320" s="295">
        <f t="shared" si="77"/>
        <v>17245.366617181866</v>
      </c>
      <c r="AE320" s="296">
        <f t="shared" si="77"/>
        <v>17245.366617181866</v>
      </c>
    </row>
    <row r="321" spans="1:31">
      <c r="A321" s="1711"/>
      <c r="B321" s="116">
        <v>7</v>
      </c>
      <c r="C321" s="294">
        <f t="shared" ref="C321:C368" si="79">C89</f>
        <v>16900.459284838227</v>
      </c>
      <c r="D321" s="295">
        <f t="shared" si="78"/>
        <v>16900.459284838227</v>
      </c>
      <c r="E321" s="295">
        <f t="shared" si="78"/>
        <v>16900.459284838227</v>
      </c>
      <c r="F321" s="295">
        <f t="shared" si="78"/>
        <v>16900.459284838227</v>
      </c>
      <c r="G321" s="295">
        <f t="shared" si="78"/>
        <v>16900.459284838227</v>
      </c>
      <c r="H321" s="295">
        <f t="shared" si="78"/>
        <v>16900.459284838227</v>
      </c>
      <c r="I321" s="295">
        <f t="shared" si="78"/>
        <v>16900.459284838227</v>
      </c>
      <c r="J321" s="295">
        <f t="shared" si="78"/>
        <v>16900.459284838227</v>
      </c>
      <c r="K321" s="295">
        <f t="shared" si="78"/>
        <v>16900.459284838227</v>
      </c>
      <c r="L321" s="295">
        <f t="shared" si="78"/>
        <v>16900.459284838227</v>
      </c>
      <c r="M321" s="295">
        <f t="shared" si="78"/>
        <v>16900.459284838227</v>
      </c>
      <c r="N321" s="295">
        <f t="shared" si="78"/>
        <v>16900.459284838227</v>
      </c>
      <c r="O321" s="295">
        <f t="shared" si="78"/>
        <v>16900.459284838227</v>
      </c>
      <c r="P321" s="295">
        <f t="shared" si="78"/>
        <v>16900.459284838227</v>
      </c>
      <c r="Q321" s="295">
        <f t="shared" si="78"/>
        <v>16900.459284838227</v>
      </c>
      <c r="R321" s="295">
        <f t="shared" si="78"/>
        <v>16900.459284838227</v>
      </c>
      <c r="S321" s="295">
        <f t="shared" si="78"/>
        <v>16900.459284838227</v>
      </c>
      <c r="T321" s="295">
        <f t="shared" si="77"/>
        <v>16900.459284838227</v>
      </c>
      <c r="U321" s="295">
        <f t="shared" si="77"/>
        <v>16900.459284838227</v>
      </c>
      <c r="V321" s="295">
        <f t="shared" si="77"/>
        <v>16900.459284838227</v>
      </c>
      <c r="W321" s="295">
        <f t="shared" si="77"/>
        <v>16900.459284838227</v>
      </c>
      <c r="X321" s="295">
        <f t="shared" si="77"/>
        <v>16900.459284838227</v>
      </c>
      <c r="Y321" s="295">
        <f t="shared" si="77"/>
        <v>16900.459284838227</v>
      </c>
      <c r="Z321" s="295">
        <f t="shared" si="77"/>
        <v>16900.459284838227</v>
      </c>
      <c r="AA321" s="295">
        <f t="shared" si="77"/>
        <v>16900.459284838227</v>
      </c>
      <c r="AB321" s="295">
        <f t="shared" si="77"/>
        <v>16900.459284838227</v>
      </c>
      <c r="AC321" s="295">
        <f t="shared" si="77"/>
        <v>16900.459284838227</v>
      </c>
      <c r="AD321" s="295">
        <f t="shared" si="77"/>
        <v>16900.459284838227</v>
      </c>
      <c r="AE321" s="296">
        <f t="shared" si="77"/>
        <v>16900.459284838227</v>
      </c>
    </row>
    <row r="322" spans="1:31">
      <c r="A322" s="1711"/>
      <c r="B322" s="116">
        <v>8</v>
      </c>
      <c r="C322" s="294">
        <f t="shared" si="79"/>
        <v>16562.450099141461</v>
      </c>
      <c r="D322" s="295">
        <f t="shared" si="78"/>
        <v>16562.450099141461</v>
      </c>
      <c r="E322" s="295">
        <f t="shared" si="78"/>
        <v>16562.450099141461</v>
      </c>
      <c r="F322" s="295">
        <f t="shared" si="78"/>
        <v>16562.450099141461</v>
      </c>
      <c r="G322" s="295">
        <f t="shared" si="78"/>
        <v>16562.450099141461</v>
      </c>
      <c r="H322" s="295">
        <f t="shared" si="78"/>
        <v>16562.450099141461</v>
      </c>
      <c r="I322" s="295">
        <f t="shared" si="78"/>
        <v>16562.450099141461</v>
      </c>
      <c r="J322" s="295">
        <f t="shared" si="78"/>
        <v>16562.450099141461</v>
      </c>
      <c r="K322" s="295">
        <f t="shared" si="78"/>
        <v>16562.450099141461</v>
      </c>
      <c r="L322" s="295">
        <f t="shared" si="78"/>
        <v>16562.450099141461</v>
      </c>
      <c r="M322" s="295">
        <f t="shared" si="78"/>
        <v>16562.450099141461</v>
      </c>
      <c r="N322" s="295">
        <f t="shared" si="78"/>
        <v>16562.450099141461</v>
      </c>
      <c r="O322" s="295">
        <f t="shared" si="78"/>
        <v>16562.450099141461</v>
      </c>
      <c r="P322" s="295">
        <f t="shared" si="78"/>
        <v>16562.450099141461</v>
      </c>
      <c r="Q322" s="295">
        <f t="shared" si="78"/>
        <v>16562.450099141461</v>
      </c>
      <c r="R322" s="295">
        <f t="shared" si="78"/>
        <v>16562.450099141461</v>
      </c>
      <c r="S322" s="295">
        <f t="shared" si="78"/>
        <v>16562.450099141461</v>
      </c>
      <c r="T322" s="295">
        <f t="shared" si="77"/>
        <v>16562.450099141461</v>
      </c>
      <c r="U322" s="295">
        <f t="shared" si="77"/>
        <v>16562.450099141461</v>
      </c>
      <c r="V322" s="295">
        <f t="shared" si="77"/>
        <v>16562.450099141461</v>
      </c>
      <c r="W322" s="295">
        <f t="shared" si="77"/>
        <v>16562.450099141461</v>
      </c>
      <c r="X322" s="295">
        <f t="shared" si="77"/>
        <v>16562.450099141461</v>
      </c>
      <c r="Y322" s="295">
        <f t="shared" si="77"/>
        <v>16562.450099141461</v>
      </c>
      <c r="Z322" s="295">
        <f t="shared" si="77"/>
        <v>16562.450099141461</v>
      </c>
      <c r="AA322" s="295">
        <f t="shared" si="77"/>
        <v>16562.450099141461</v>
      </c>
      <c r="AB322" s="295">
        <f t="shared" si="77"/>
        <v>16562.450099141461</v>
      </c>
      <c r="AC322" s="295">
        <f t="shared" si="77"/>
        <v>16562.450099141461</v>
      </c>
      <c r="AD322" s="295">
        <f t="shared" si="77"/>
        <v>16562.450099141461</v>
      </c>
      <c r="AE322" s="296">
        <f t="shared" si="77"/>
        <v>16562.450099141461</v>
      </c>
    </row>
    <row r="323" spans="1:31">
      <c r="A323" s="1711"/>
      <c r="B323" s="116">
        <v>9</v>
      </c>
      <c r="C323" s="294">
        <f t="shared" si="79"/>
        <v>16231.201097158631</v>
      </c>
      <c r="D323" s="295">
        <f t="shared" si="78"/>
        <v>16231.201097158631</v>
      </c>
      <c r="E323" s="295">
        <f t="shared" si="78"/>
        <v>16231.201097158631</v>
      </c>
      <c r="F323" s="295">
        <f t="shared" si="78"/>
        <v>16231.201097158631</v>
      </c>
      <c r="G323" s="295">
        <f t="shared" si="78"/>
        <v>16231.201097158631</v>
      </c>
      <c r="H323" s="295">
        <f t="shared" si="78"/>
        <v>16231.201097158631</v>
      </c>
      <c r="I323" s="295">
        <f t="shared" si="78"/>
        <v>16231.201097158631</v>
      </c>
      <c r="J323" s="295">
        <f t="shared" si="78"/>
        <v>16231.201097158631</v>
      </c>
      <c r="K323" s="295">
        <f t="shared" si="78"/>
        <v>16231.201097158631</v>
      </c>
      <c r="L323" s="295">
        <f t="shared" si="78"/>
        <v>16231.201097158631</v>
      </c>
      <c r="M323" s="295">
        <f t="shared" si="78"/>
        <v>16231.201097158631</v>
      </c>
      <c r="N323" s="295">
        <f t="shared" si="78"/>
        <v>16231.201097158631</v>
      </c>
      <c r="O323" s="295">
        <f t="shared" si="78"/>
        <v>16231.201097158631</v>
      </c>
      <c r="P323" s="295">
        <f t="shared" si="78"/>
        <v>16231.201097158631</v>
      </c>
      <c r="Q323" s="295">
        <f t="shared" si="78"/>
        <v>16231.201097158631</v>
      </c>
      <c r="R323" s="295">
        <f t="shared" si="78"/>
        <v>16231.201097158631</v>
      </c>
      <c r="S323" s="295">
        <f t="shared" si="78"/>
        <v>16231.201097158631</v>
      </c>
      <c r="T323" s="295">
        <f t="shared" si="77"/>
        <v>16231.201097158631</v>
      </c>
      <c r="U323" s="295">
        <f t="shared" si="77"/>
        <v>16231.201097158631</v>
      </c>
      <c r="V323" s="295">
        <f t="shared" si="77"/>
        <v>16231.201097158631</v>
      </c>
      <c r="W323" s="295">
        <f t="shared" si="77"/>
        <v>16231.201097158631</v>
      </c>
      <c r="X323" s="295">
        <f t="shared" si="77"/>
        <v>16231.201097158631</v>
      </c>
      <c r="Y323" s="295">
        <f t="shared" si="77"/>
        <v>16231.201097158631</v>
      </c>
      <c r="Z323" s="295">
        <f t="shared" si="77"/>
        <v>16231.201097158631</v>
      </c>
      <c r="AA323" s="295">
        <f t="shared" si="77"/>
        <v>16231.201097158631</v>
      </c>
      <c r="AB323" s="295">
        <f t="shared" si="77"/>
        <v>16231.201097158631</v>
      </c>
      <c r="AC323" s="295">
        <f t="shared" si="77"/>
        <v>16231.201097158631</v>
      </c>
      <c r="AD323" s="295">
        <f t="shared" si="77"/>
        <v>16231.201097158631</v>
      </c>
      <c r="AE323" s="296">
        <f t="shared" si="77"/>
        <v>16231.201097158631</v>
      </c>
    </row>
    <row r="324" spans="1:31">
      <c r="A324" s="1711"/>
      <c r="B324" s="116">
        <v>10</v>
      </c>
      <c r="C324" s="294">
        <f t="shared" si="79"/>
        <v>15906.577075215459</v>
      </c>
      <c r="D324" s="295">
        <f t="shared" si="78"/>
        <v>15906.577075215459</v>
      </c>
      <c r="E324" s="295">
        <f t="shared" si="78"/>
        <v>15906.577075215459</v>
      </c>
      <c r="F324" s="295">
        <f t="shared" si="78"/>
        <v>15906.577075215459</v>
      </c>
      <c r="G324" s="295">
        <f t="shared" si="78"/>
        <v>15906.577075215459</v>
      </c>
      <c r="H324" s="295">
        <f t="shared" si="78"/>
        <v>15906.577075215459</v>
      </c>
      <c r="I324" s="295">
        <f t="shared" si="78"/>
        <v>15906.577075215459</v>
      </c>
      <c r="J324" s="295">
        <f t="shared" si="78"/>
        <v>15906.577075215459</v>
      </c>
      <c r="K324" s="295">
        <f t="shared" si="78"/>
        <v>15906.577075215459</v>
      </c>
      <c r="L324" s="295">
        <f t="shared" si="78"/>
        <v>15906.577075215459</v>
      </c>
      <c r="M324" s="295">
        <f t="shared" si="78"/>
        <v>15906.577075215459</v>
      </c>
      <c r="N324" s="295">
        <f t="shared" si="78"/>
        <v>15906.577075215459</v>
      </c>
      <c r="O324" s="295">
        <f t="shared" si="78"/>
        <v>15906.577075215459</v>
      </c>
      <c r="P324" s="295">
        <f t="shared" si="78"/>
        <v>15906.577075215459</v>
      </c>
      <c r="Q324" s="295">
        <f t="shared" si="78"/>
        <v>15906.577075215459</v>
      </c>
      <c r="R324" s="295">
        <f t="shared" si="78"/>
        <v>15906.577075215459</v>
      </c>
      <c r="S324" s="295">
        <f t="shared" si="78"/>
        <v>15906.577075215459</v>
      </c>
      <c r="T324" s="295">
        <f t="shared" si="77"/>
        <v>15906.577075215459</v>
      </c>
      <c r="U324" s="295">
        <f t="shared" si="77"/>
        <v>15906.577075215459</v>
      </c>
      <c r="V324" s="295">
        <f t="shared" si="77"/>
        <v>15906.577075215459</v>
      </c>
      <c r="W324" s="295">
        <f t="shared" si="77"/>
        <v>15906.577075215459</v>
      </c>
      <c r="X324" s="295">
        <f t="shared" si="77"/>
        <v>15906.577075215459</v>
      </c>
      <c r="Y324" s="295">
        <f t="shared" si="77"/>
        <v>15906.577075215459</v>
      </c>
      <c r="Z324" s="295">
        <f t="shared" si="77"/>
        <v>15906.577075215459</v>
      </c>
      <c r="AA324" s="295">
        <f t="shared" si="77"/>
        <v>15906.577075215459</v>
      </c>
      <c r="AB324" s="295">
        <f t="shared" si="77"/>
        <v>15906.577075215459</v>
      </c>
      <c r="AC324" s="295">
        <f t="shared" si="77"/>
        <v>15906.577075215459</v>
      </c>
      <c r="AD324" s="295">
        <f t="shared" si="77"/>
        <v>15906.577075215459</v>
      </c>
      <c r="AE324" s="296">
        <f t="shared" si="77"/>
        <v>15906.577075215459</v>
      </c>
    </row>
    <row r="325" spans="1:31">
      <c r="A325" s="1711"/>
      <c r="B325" s="116">
        <v>11</v>
      </c>
      <c r="C325" s="294">
        <f t="shared" si="79"/>
        <v>15588.445533711149</v>
      </c>
      <c r="D325" s="295">
        <f t="shared" si="78"/>
        <v>15588.445533711149</v>
      </c>
      <c r="E325" s="295">
        <f t="shared" si="78"/>
        <v>15588.445533711149</v>
      </c>
      <c r="F325" s="295">
        <f t="shared" si="78"/>
        <v>15588.445533711149</v>
      </c>
      <c r="G325" s="295">
        <f t="shared" si="78"/>
        <v>15588.445533711149</v>
      </c>
      <c r="H325" s="295">
        <f t="shared" si="78"/>
        <v>15588.445533711149</v>
      </c>
      <c r="I325" s="295">
        <f t="shared" si="78"/>
        <v>15588.445533711149</v>
      </c>
      <c r="J325" s="295">
        <f t="shared" si="78"/>
        <v>15588.445533711149</v>
      </c>
      <c r="K325" s="295">
        <f t="shared" si="78"/>
        <v>15588.445533711149</v>
      </c>
      <c r="L325" s="295">
        <f t="shared" si="78"/>
        <v>15588.445533711149</v>
      </c>
      <c r="M325" s="295">
        <f t="shared" si="78"/>
        <v>15588.445533711149</v>
      </c>
      <c r="N325" s="295">
        <f t="shared" si="78"/>
        <v>15588.445533711149</v>
      </c>
      <c r="O325" s="295">
        <f t="shared" si="78"/>
        <v>15588.445533711149</v>
      </c>
      <c r="P325" s="295">
        <f t="shared" si="78"/>
        <v>15588.445533711149</v>
      </c>
      <c r="Q325" s="295">
        <f t="shared" si="78"/>
        <v>15588.445533711149</v>
      </c>
      <c r="R325" s="295">
        <f t="shared" si="78"/>
        <v>15588.445533711149</v>
      </c>
      <c r="S325" s="295">
        <f t="shared" si="78"/>
        <v>15588.445533711149</v>
      </c>
      <c r="T325" s="295">
        <f t="shared" si="77"/>
        <v>15588.445533711149</v>
      </c>
      <c r="U325" s="295">
        <f t="shared" si="77"/>
        <v>15588.445533711149</v>
      </c>
      <c r="V325" s="295">
        <f t="shared" si="77"/>
        <v>15588.445533711149</v>
      </c>
      <c r="W325" s="295">
        <f t="shared" si="77"/>
        <v>15588.445533711149</v>
      </c>
      <c r="X325" s="295">
        <f t="shared" si="77"/>
        <v>15588.445533711149</v>
      </c>
      <c r="Y325" s="295">
        <f t="shared" si="77"/>
        <v>15588.445533711149</v>
      </c>
      <c r="Z325" s="295">
        <f t="shared" si="77"/>
        <v>15588.445533711149</v>
      </c>
      <c r="AA325" s="295">
        <f t="shared" si="77"/>
        <v>15588.445533711149</v>
      </c>
      <c r="AB325" s="295">
        <f t="shared" si="77"/>
        <v>15588.445533711149</v>
      </c>
      <c r="AC325" s="295">
        <f t="shared" si="77"/>
        <v>15588.445533711149</v>
      </c>
      <c r="AD325" s="295">
        <f t="shared" si="77"/>
        <v>15588.445533711149</v>
      </c>
      <c r="AE325" s="296">
        <f t="shared" si="77"/>
        <v>15588.445533711149</v>
      </c>
    </row>
    <row r="326" spans="1:31">
      <c r="A326" s="1711"/>
      <c r="B326" s="116">
        <v>12</v>
      </c>
      <c r="C326" s="294">
        <f t="shared" si="79"/>
        <v>15276.676623036925</v>
      </c>
      <c r="D326" s="295">
        <f t="shared" si="78"/>
        <v>15276.676623036925</v>
      </c>
      <c r="E326" s="295">
        <f t="shared" si="78"/>
        <v>15276.676623036925</v>
      </c>
      <c r="F326" s="295">
        <f t="shared" si="78"/>
        <v>15276.676623036925</v>
      </c>
      <c r="G326" s="295">
        <f t="shared" si="78"/>
        <v>15276.676623036925</v>
      </c>
      <c r="H326" s="295">
        <f t="shared" si="78"/>
        <v>15276.676623036925</v>
      </c>
      <c r="I326" s="295">
        <f t="shared" si="78"/>
        <v>15276.676623036925</v>
      </c>
      <c r="J326" s="295">
        <f t="shared" si="78"/>
        <v>15276.676623036925</v>
      </c>
      <c r="K326" s="295">
        <f t="shared" si="78"/>
        <v>15276.676623036925</v>
      </c>
      <c r="L326" s="295">
        <f t="shared" si="78"/>
        <v>15276.676623036925</v>
      </c>
      <c r="M326" s="295">
        <f t="shared" si="78"/>
        <v>15276.676623036925</v>
      </c>
      <c r="N326" s="295">
        <f t="shared" si="78"/>
        <v>15276.676623036925</v>
      </c>
      <c r="O326" s="295">
        <f t="shared" si="78"/>
        <v>15276.676623036925</v>
      </c>
      <c r="P326" s="295">
        <f t="shared" si="78"/>
        <v>15276.676623036925</v>
      </c>
      <c r="Q326" s="295">
        <f t="shared" si="78"/>
        <v>15276.676623036925</v>
      </c>
      <c r="R326" s="295">
        <f t="shared" si="78"/>
        <v>15276.676623036925</v>
      </c>
      <c r="S326" s="295">
        <f t="shared" si="78"/>
        <v>15276.676623036925</v>
      </c>
      <c r="T326" s="295">
        <f t="shared" si="77"/>
        <v>15276.676623036925</v>
      </c>
      <c r="U326" s="295">
        <f t="shared" si="77"/>
        <v>15276.676623036925</v>
      </c>
      <c r="V326" s="295">
        <f t="shared" si="77"/>
        <v>15276.676623036925</v>
      </c>
      <c r="W326" s="295">
        <f t="shared" si="77"/>
        <v>15276.676623036925</v>
      </c>
      <c r="X326" s="295">
        <f t="shared" si="77"/>
        <v>15276.676623036925</v>
      </c>
      <c r="Y326" s="295">
        <f t="shared" si="77"/>
        <v>15276.676623036925</v>
      </c>
      <c r="Z326" s="295">
        <f t="shared" si="77"/>
        <v>15276.676623036925</v>
      </c>
      <c r="AA326" s="295">
        <f t="shared" si="77"/>
        <v>15276.676623036925</v>
      </c>
      <c r="AB326" s="295">
        <f t="shared" si="77"/>
        <v>15276.676623036925</v>
      </c>
      <c r="AC326" s="295">
        <f t="shared" si="77"/>
        <v>15276.676623036925</v>
      </c>
      <c r="AD326" s="295">
        <f t="shared" si="77"/>
        <v>15276.676623036925</v>
      </c>
      <c r="AE326" s="296">
        <f t="shared" si="77"/>
        <v>15276.676623036925</v>
      </c>
    </row>
    <row r="327" spans="1:31">
      <c r="A327" s="1711"/>
      <c r="B327" s="116">
        <v>13</v>
      </c>
      <c r="C327" s="294">
        <f t="shared" si="79"/>
        <v>14971.143090576186</v>
      </c>
      <c r="D327" s="295">
        <f t="shared" si="78"/>
        <v>14971.143090576186</v>
      </c>
      <c r="E327" s="295">
        <f t="shared" si="78"/>
        <v>14971.143090576186</v>
      </c>
      <c r="F327" s="295">
        <f t="shared" si="78"/>
        <v>14971.143090576186</v>
      </c>
      <c r="G327" s="295">
        <f t="shared" si="78"/>
        <v>14971.143090576186</v>
      </c>
      <c r="H327" s="295">
        <f t="shared" si="78"/>
        <v>14971.143090576186</v>
      </c>
      <c r="I327" s="295">
        <f t="shared" si="78"/>
        <v>14971.143090576186</v>
      </c>
      <c r="J327" s="295">
        <f t="shared" si="78"/>
        <v>14971.143090576186</v>
      </c>
      <c r="K327" s="295">
        <f t="shared" si="78"/>
        <v>14971.143090576186</v>
      </c>
      <c r="L327" s="295">
        <f t="shared" si="78"/>
        <v>14971.143090576186</v>
      </c>
      <c r="M327" s="295">
        <f t="shared" si="78"/>
        <v>14971.143090576186</v>
      </c>
      <c r="N327" s="295">
        <f t="shared" si="78"/>
        <v>14971.143090576186</v>
      </c>
      <c r="O327" s="295">
        <f t="shared" si="78"/>
        <v>14971.143090576186</v>
      </c>
      <c r="P327" s="295">
        <f t="shared" si="78"/>
        <v>14971.143090576186</v>
      </c>
      <c r="Q327" s="295">
        <f t="shared" si="78"/>
        <v>14971.143090576186</v>
      </c>
      <c r="R327" s="295">
        <f t="shared" si="78"/>
        <v>14971.143090576186</v>
      </c>
      <c r="S327" s="295">
        <f t="shared" si="78"/>
        <v>14971.143090576186</v>
      </c>
      <c r="T327" s="295">
        <f t="shared" si="77"/>
        <v>14971.143090576186</v>
      </c>
      <c r="U327" s="295">
        <f t="shared" si="77"/>
        <v>14971.143090576186</v>
      </c>
      <c r="V327" s="295">
        <f t="shared" si="77"/>
        <v>14971.143090576186</v>
      </c>
      <c r="W327" s="295">
        <f t="shared" si="77"/>
        <v>14971.143090576186</v>
      </c>
      <c r="X327" s="295">
        <f t="shared" si="77"/>
        <v>14971.143090576186</v>
      </c>
      <c r="Y327" s="295">
        <f t="shared" si="77"/>
        <v>14971.143090576186</v>
      </c>
      <c r="Z327" s="295">
        <f t="shared" si="77"/>
        <v>14971.143090576186</v>
      </c>
      <c r="AA327" s="295">
        <f t="shared" si="77"/>
        <v>14971.143090576186</v>
      </c>
      <c r="AB327" s="295">
        <f t="shared" si="77"/>
        <v>14971.143090576186</v>
      </c>
      <c r="AC327" s="295">
        <f t="shared" si="77"/>
        <v>14971.143090576186</v>
      </c>
      <c r="AD327" s="295">
        <f t="shared" si="77"/>
        <v>14971.143090576186</v>
      </c>
      <c r="AE327" s="296">
        <f t="shared" si="77"/>
        <v>14971.143090576186</v>
      </c>
    </row>
    <row r="328" spans="1:31">
      <c r="A328" s="1711"/>
      <c r="B328" s="116">
        <v>14</v>
      </c>
      <c r="C328" s="294">
        <f t="shared" si="79"/>
        <v>14671.720228764661</v>
      </c>
      <c r="D328" s="295">
        <f t="shared" si="78"/>
        <v>14671.720228764661</v>
      </c>
      <c r="E328" s="295">
        <f t="shared" si="78"/>
        <v>14671.720228764661</v>
      </c>
      <c r="F328" s="295">
        <f t="shared" si="78"/>
        <v>14671.720228764661</v>
      </c>
      <c r="G328" s="295">
        <f t="shared" si="78"/>
        <v>14671.720228764661</v>
      </c>
      <c r="H328" s="295">
        <f t="shared" si="78"/>
        <v>14671.720228764661</v>
      </c>
      <c r="I328" s="295">
        <f t="shared" si="78"/>
        <v>14671.720228764661</v>
      </c>
      <c r="J328" s="295">
        <f t="shared" si="78"/>
        <v>14671.720228764661</v>
      </c>
      <c r="K328" s="295">
        <f t="shared" si="78"/>
        <v>14671.720228764661</v>
      </c>
      <c r="L328" s="295">
        <f t="shared" si="78"/>
        <v>14671.720228764661</v>
      </c>
      <c r="M328" s="295">
        <f t="shared" si="78"/>
        <v>14671.720228764661</v>
      </c>
      <c r="N328" s="295">
        <f t="shared" si="78"/>
        <v>14671.720228764661</v>
      </c>
      <c r="O328" s="295">
        <f t="shared" si="78"/>
        <v>14671.720228764661</v>
      </c>
      <c r="P328" s="295">
        <f t="shared" si="78"/>
        <v>14671.720228764661</v>
      </c>
      <c r="Q328" s="295">
        <f t="shared" si="78"/>
        <v>14671.720228764661</v>
      </c>
      <c r="R328" s="295">
        <f t="shared" si="78"/>
        <v>14671.720228764661</v>
      </c>
      <c r="S328" s="295">
        <f t="shared" si="78"/>
        <v>14671.720228764661</v>
      </c>
      <c r="T328" s="295">
        <f t="shared" si="77"/>
        <v>14671.720228764661</v>
      </c>
      <c r="U328" s="295">
        <f t="shared" si="77"/>
        <v>14671.720228764661</v>
      </c>
      <c r="V328" s="295">
        <f t="shared" si="77"/>
        <v>14671.720228764661</v>
      </c>
      <c r="W328" s="295">
        <f t="shared" si="77"/>
        <v>14671.720228764661</v>
      </c>
      <c r="X328" s="295">
        <f t="shared" si="77"/>
        <v>14671.720228764661</v>
      </c>
      <c r="Y328" s="295">
        <f t="shared" si="77"/>
        <v>14671.720228764661</v>
      </c>
      <c r="Z328" s="295">
        <f t="shared" si="77"/>
        <v>14671.720228764661</v>
      </c>
      <c r="AA328" s="295">
        <f t="shared" si="77"/>
        <v>14671.720228764661</v>
      </c>
      <c r="AB328" s="295">
        <f t="shared" si="77"/>
        <v>14671.720228764661</v>
      </c>
      <c r="AC328" s="295">
        <f t="shared" si="77"/>
        <v>14671.720228764661</v>
      </c>
      <c r="AD328" s="295">
        <f t="shared" si="77"/>
        <v>14671.720228764661</v>
      </c>
      <c r="AE328" s="296">
        <f t="shared" si="77"/>
        <v>14671.720228764661</v>
      </c>
    </row>
    <row r="329" spans="1:31">
      <c r="A329" s="1711"/>
      <c r="B329" s="116">
        <v>15</v>
      </c>
      <c r="C329" s="294">
        <f t="shared" si="79"/>
        <v>14378.285824189368</v>
      </c>
      <c r="D329" s="295">
        <f t="shared" si="78"/>
        <v>14378.285824189368</v>
      </c>
      <c r="E329" s="295">
        <f t="shared" si="78"/>
        <v>14378.285824189368</v>
      </c>
      <c r="F329" s="295">
        <f t="shared" si="78"/>
        <v>14378.285824189368</v>
      </c>
      <c r="G329" s="295">
        <f t="shared" si="78"/>
        <v>14378.285824189368</v>
      </c>
      <c r="H329" s="295">
        <f t="shared" si="78"/>
        <v>14378.285824189368</v>
      </c>
      <c r="I329" s="295">
        <f t="shared" si="78"/>
        <v>14378.285824189368</v>
      </c>
      <c r="J329" s="295">
        <f t="shared" si="78"/>
        <v>14378.285824189368</v>
      </c>
      <c r="K329" s="295">
        <f t="shared" si="78"/>
        <v>14378.285824189368</v>
      </c>
      <c r="L329" s="295">
        <f t="shared" si="78"/>
        <v>14378.285824189368</v>
      </c>
      <c r="M329" s="295">
        <f t="shared" si="78"/>
        <v>14378.285824189368</v>
      </c>
      <c r="N329" s="295">
        <f t="shared" si="78"/>
        <v>14378.285824189368</v>
      </c>
      <c r="O329" s="295">
        <f t="shared" si="78"/>
        <v>14378.285824189368</v>
      </c>
      <c r="P329" s="295">
        <f t="shared" si="78"/>
        <v>14378.285824189368</v>
      </c>
      <c r="Q329" s="295">
        <f t="shared" si="78"/>
        <v>14378.285824189368</v>
      </c>
      <c r="R329" s="295">
        <f t="shared" si="78"/>
        <v>14378.285824189368</v>
      </c>
      <c r="S329" s="295">
        <f t="shared" si="78"/>
        <v>14378.285824189368</v>
      </c>
      <c r="T329" s="295">
        <f t="shared" si="77"/>
        <v>14378.285824189368</v>
      </c>
      <c r="U329" s="295">
        <f t="shared" si="77"/>
        <v>14378.285824189368</v>
      </c>
      <c r="V329" s="295">
        <f t="shared" si="77"/>
        <v>14378.285824189368</v>
      </c>
      <c r="W329" s="295">
        <f t="shared" si="77"/>
        <v>14378.285824189368</v>
      </c>
      <c r="X329" s="295">
        <f t="shared" si="77"/>
        <v>14378.285824189368</v>
      </c>
      <c r="Y329" s="295">
        <f t="shared" si="77"/>
        <v>14378.285824189368</v>
      </c>
      <c r="Z329" s="295">
        <f t="shared" si="77"/>
        <v>14378.285824189368</v>
      </c>
      <c r="AA329" s="295">
        <f t="shared" si="77"/>
        <v>14378.285824189368</v>
      </c>
      <c r="AB329" s="295">
        <f t="shared" si="77"/>
        <v>14378.285824189368</v>
      </c>
      <c r="AC329" s="295">
        <f t="shared" si="77"/>
        <v>14378.285824189368</v>
      </c>
      <c r="AD329" s="295">
        <f t="shared" si="77"/>
        <v>14378.285824189368</v>
      </c>
      <c r="AE329" s="296">
        <f t="shared" si="77"/>
        <v>14378.285824189368</v>
      </c>
    </row>
    <row r="330" spans="1:31">
      <c r="A330" s="1711"/>
      <c r="B330" s="116">
        <v>16</v>
      </c>
      <c r="C330" s="294">
        <f t="shared" si="79"/>
        <v>14090.72010770558</v>
      </c>
      <c r="D330" s="295">
        <f t="shared" si="78"/>
        <v>14090.72010770558</v>
      </c>
      <c r="E330" s="295">
        <f t="shared" si="78"/>
        <v>14090.72010770558</v>
      </c>
      <c r="F330" s="295">
        <f t="shared" si="78"/>
        <v>14090.72010770558</v>
      </c>
      <c r="G330" s="295">
        <f t="shared" si="78"/>
        <v>14090.72010770558</v>
      </c>
      <c r="H330" s="295">
        <f t="shared" si="78"/>
        <v>14090.72010770558</v>
      </c>
      <c r="I330" s="295">
        <f t="shared" si="78"/>
        <v>14090.72010770558</v>
      </c>
      <c r="J330" s="295">
        <f t="shared" si="78"/>
        <v>14090.72010770558</v>
      </c>
      <c r="K330" s="295">
        <f t="shared" si="78"/>
        <v>14090.72010770558</v>
      </c>
      <c r="L330" s="295">
        <f t="shared" si="78"/>
        <v>14090.72010770558</v>
      </c>
      <c r="M330" s="295">
        <f t="shared" si="78"/>
        <v>14090.72010770558</v>
      </c>
      <c r="N330" s="295">
        <f t="shared" si="78"/>
        <v>14090.72010770558</v>
      </c>
      <c r="O330" s="295">
        <f t="shared" si="78"/>
        <v>14090.72010770558</v>
      </c>
      <c r="P330" s="295">
        <f t="shared" si="78"/>
        <v>14090.72010770558</v>
      </c>
      <c r="Q330" s="295">
        <f t="shared" si="78"/>
        <v>14090.72010770558</v>
      </c>
      <c r="R330" s="295">
        <f t="shared" si="78"/>
        <v>14090.72010770558</v>
      </c>
      <c r="S330" s="295">
        <f t="shared" ref="S330:AE339" si="80">R330</f>
        <v>14090.72010770558</v>
      </c>
      <c r="T330" s="295">
        <f t="shared" si="80"/>
        <v>14090.72010770558</v>
      </c>
      <c r="U330" s="295">
        <f t="shared" si="80"/>
        <v>14090.72010770558</v>
      </c>
      <c r="V330" s="295">
        <f t="shared" si="80"/>
        <v>14090.72010770558</v>
      </c>
      <c r="W330" s="295">
        <f t="shared" si="80"/>
        <v>14090.72010770558</v>
      </c>
      <c r="X330" s="295">
        <f t="shared" si="80"/>
        <v>14090.72010770558</v>
      </c>
      <c r="Y330" s="295">
        <f t="shared" si="80"/>
        <v>14090.72010770558</v>
      </c>
      <c r="Z330" s="295">
        <f t="shared" si="80"/>
        <v>14090.72010770558</v>
      </c>
      <c r="AA330" s="295">
        <f t="shared" si="80"/>
        <v>14090.72010770558</v>
      </c>
      <c r="AB330" s="295">
        <f t="shared" si="80"/>
        <v>14090.72010770558</v>
      </c>
      <c r="AC330" s="295">
        <f t="shared" si="80"/>
        <v>14090.72010770558</v>
      </c>
      <c r="AD330" s="295">
        <f t="shared" si="80"/>
        <v>14090.72010770558</v>
      </c>
      <c r="AE330" s="296">
        <f t="shared" si="80"/>
        <v>14090.72010770558</v>
      </c>
    </row>
    <row r="331" spans="1:31">
      <c r="A331" s="1711"/>
      <c r="B331" s="116">
        <v>17</v>
      </c>
      <c r="C331" s="294">
        <f t="shared" si="79"/>
        <v>14090.72010770558</v>
      </c>
      <c r="D331" s="295">
        <f t="shared" ref="D331:S339" si="81">C331</f>
        <v>14090.72010770558</v>
      </c>
      <c r="E331" s="295">
        <f t="shared" si="81"/>
        <v>14090.72010770558</v>
      </c>
      <c r="F331" s="295">
        <f t="shared" si="81"/>
        <v>14090.72010770558</v>
      </c>
      <c r="G331" s="295">
        <f t="shared" si="81"/>
        <v>14090.72010770558</v>
      </c>
      <c r="H331" s="295">
        <f t="shared" si="81"/>
        <v>14090.72010770558</v>
      </c>
      <c r="I331" s="295">
        <f t="shared" si="81"/>
        <v>14090.72010770558</v>
      </c>
      <c r="J331" s="295">
        <f t="shared" si="81"/>
        <v>14090.72010770558</v>
      </c>
      <c r="K331" s="295">
        <f t="shared" si="81"/>
        <v>14090.72010770558</v>
      </c>
      <c r="L331" s="295">
        <f t="shared" si="81"/>
        <v>14090.72010770558</v>
      </c>
      <c r="M331" s="295">
        <f t="shared" si="81"/>
        <v>14090.72010770558</v>
      </c>
      <c r="N331" s="295">
        <f t="shared" si="81"/>
        <v>14090.72010770558</v>
      </c>
      <c r="O331" s="295">
        <f t="shared" si="81"/>
        <v>14090.72010770558</v>
      </c>
      <c r="P331" s="295">
        <f t="shared" si="81"/>
        <v>14090.72010770558</v>
      </c>
      <c r="Q331" s="295">
        <f t="shared" si="81"/>
        <v>14090.72010770558</v>
      </c>
      <c r="R331" s="295">
        <f t="shared" si="81"/>
        <v>14090.72010770558</v>
      </c>
      <c r="S331" s="295">
        <f t="shared" si="81"/>
        <v>14090.72010770558</v>
      </c>
      <c r="T331" s="295">
        <f t="shared" si="80"/>
        <v>14090.72010770558</v>
      </c>
      <c r="U331" s="295">
        <f t="shared" si="80"/>
        <v>14090.72010770558</v>
      </c>
      <c r="V331" s="295">
        <f t="shared" si="80"/>
        <v>14090.72010770558</v>
      </c>
      <c r="W331" s="295">
        <f t="shared" si="80"/>
        <v>14090.72010770558</v>
      </c>
      <c r="X331" s="295">
        <f t="shared" si="80"/>
        <v>14090.72010770558</v>
      </c>
      <c r="Y331" s="295">
        <f t="shared" si="80"/>
        <v>14090.72010770558</v>
      </c>
      <c r="Z331" s="295">
        <f t="shared" si="80"/>
        <v>14090.72010770558</v>
      </c>
      <c r="AA331" s="295">
        <f t="shared" si="80"/>
        <v>14090.72010770558</v>
      </c>
      <c r="AB331" s="295">
        <f t="shared" si="80"/>
        <v>14090.72010770558</v>
      </c>
      <c r="AC331" s="295">
        <f t="shared" si="80"/>
        <v>14090.72010770558</v>
      </c>
      <c r="AD331" s="295">
        <f t="shared" si="80"/>
        <v>14090.72010770558</v>
      </c>
      <c r="AE331" s="296">
        <f t="shared" si="80"/>
        <v>14090.72010770558</v>
      </c>
    </row>
    <row r="332" spans="1:31">
      <c r="A332" s="1711"/>
      <c r="B332" s="116">
        <v>18</v>
      </c>
      <c r="C332" s="294">
        <f t="shared" si="79"/>
        <v>14090.72010770558</v>
      </c>
      <c r="D332" s="295">
        <f t="shared" si="81"/>
        <v>14090.72010770558</v>
      </c>
      <c r="E332" s="295">
        <f t="shared" si="81"/>
        <v>14090.72010770558</v>
      </c>
      <c r="F332" s="295">
        <f t="shared" si="81"/>
        <v>14090.72010770558</v>
      </c>
      <c r="G332" s="295">
        <f t="shared" si="81"/>
        <v>14090.72010770558</v>
      </c>
      <c r="H332" s="295">
        <f t="shared" si="81"/>
        <v>14090.72010770558</v>
      </c>
      <c r="I332" s="295">
        <f t="shared" si="81"/>
        <v>14090.72010770558</v>
      </c>
      <c r="J332" s="295">
        <f t="shared" si="81"/>
        <v>14090.72010770558</v>
      </c>
      <c r="K332" s="295">
        <f t="shared" si="81"/>
        <v>14090.72010770558</v>
      </c>
      <c r="L332" s="295">
        <f t="shared" si="81"/>
        <v>14090.72010770558</v>
      </c>
      <c r="M332" s="295">
        <f t="shared" si="81"/>
        <v>14090.72010770558</v>
      </c>
      <c r="N332" s="295">
        <f t="shared" si="81"/>
        <v>14090.72010770558</v>
      </c>
      <c r="O332" s="295">
        <f t="shared" si="81"/>
        <v>14090.72010770558</v>
      </c>
      <c r="P332" s="295">
        <f t="shared" si="81"/>
        <v>14090.72010770558</v>
      </c>
      <c r="Q332" s="295">
        <f t="shared" si="81"/>
        <v>14090.72010770558</v>
      </c>
      <c r="R332" s="295">
        <f t="shared" si="81"/>
        <v>14090.72010770558</v>
      </c>
      <c r="S332" s="295">
        <f t="shared" si="81"/>
        <v>14090.72010770558</v>
      </c>
      <c r="T332" s="295">
        <f t="shared" si="80"/>
        <v>14090.72010770558</v>
      </c>
      <c r="U332" s="295">
        <f t="shared" si="80"/>
        <v>14090.72010770558</v>
      </c>
      <c r="V332" s="295">
        <f t="shared" si="80"/>
        <v>14090.72010770558</v>
      </c>
      <c r="W332" s="295">
        <f t="shared" si="80"/>
        <v>14090.72010770558</v>
      </c>
      <c r="X332" s="295">
        <f t="shared" si="80"/>
        <v>14090.72010770558</v>
      </c>
      <c r="Y332" s="295">
        <f t="shared" si="80"/>
        <v>14090.72010770558</v>
      </c>
      <c r="Z332" s="295">
        <f t="shared" si="80"/>
        <v>14090.72010770558</v>
      </c>
      <c r="AA332" s="295">
        <f t="shared" si="80"/>
        <v>14090.72010770558</v>
      </c>
      <c r="AB332" s="295">
        <f t="shared" si="80"/>
        <v>14090.72010770558</v>
      </c>
      <c r="AC332" s="295">
        <f t="shared" si="80"/>
        <v>14090.72010770558</v>
      </c>
      <c r="AD332" s="295">
        <f t="shared" si="80"/>
        <v>14090.72010770558</v>
      </c>
      <c r="AE332" s="296">
        <f t="shared" si="80"/>
        <v>14090.72010770558</v>
      </c>
    </row>
    <row r="333" spans="1:31">
      <c r="A333" s="1711"/>
      <c r="B333" s="116">
        <v>19</v>
      </c>
      <c r="C333" s="294">
        <f t="shared" si="79"/>
        <v>14090.72010770558</v>
      </c>
      <c r="D333" s="295">
        <f t="shared" si="81"/>
        <v>14090.72010770558</v>
      </c>
      <c r="E333" s="295">
        <f t="shared" si="81"/>
        <v>14090.72010770558</v>
      </c>
      <c r="F333" s="295">
        <f t="shared" si="81"/>
        <v>14090.72010770558</v>
      </c>
      <c r="G333" s="295">
        <f t="shared" si="81"/>
        <v>14090.72010770558</v>
      </c>
      <c r="H333" s="295">
        <f t="shared" si="81"/>
        <v>14090.72010770558</v>
      </c>
      <c r="I333" s="295">
        <f t="shared" si="81"/>
        <v>14090.72010770558</v>
      </c>
      <c r="J333" s="295">
        <f t="shared" si="81"/>
        <v>14090.72010770558</v>
      </c>
      <c r="K333" s="295">
        <f t="shared" si="81"/>
        <v>14090.72010770558</v>
      </c>
      <c r="L333" s="295">
        <f t="shared" si="81"/>
        <v>14090.72010770558</v>
      </c>
      <c r="M333" s="295">
        <f t="shared" si="81"/>
        <v>14090.72010770558</v>
      </c>
      <c r="N333" s="295">
        <f t="shared" si="81"/>
        <v>14090.72010770558</v>
      </c>
      <c r="O333" s="295">
        <f t="shared" si="81"/>
        <v>14090.72010770558</v>
      </c>
      <c r="P333" s="295">
        <f t="shared" si="81"/>
        <v>14090.72010770558</v>
      </c>
      <c r="Q333" s="295">
        <f t="shared" si="81"/>
        <v>14090.72010770558</v>
      </c>
      <c r="R333" s="295">
        <f t="shared" si="81"/>
        <v>14090.72010770558</v>
      </c>
      <c r="S333" s="295">
        <f t="shared" si="81"/>
        <v>14090.72010770558</v>
      </c>
      <c r="T333" s="295">
        <f t="shared" si="80"/>
        <v>14090.72010770558</v>
      </c>
      <c r="U333" s="295">
        <f t="shared" si="80"/>
        <v>14090.72010770558</v>
      </c>
      <c r="V333" s="295">
        <f t="shared" si="80"/>
        <v>14090.72010770558</v>
      </c>
      <c r="W333" s="295">
        <f t="shared" si="80"/>
        <v>14090.72010770558</v>
      </c>
      <c r="X333" s="295">
        <f t="shared" si="80"/>
        <v>14090.72010770558</v>
      </c>
      <c r="Y333" s="295">
        <f t="shared" si="80"/>
        <v>14090.72010770558</v>
      </c>
      <c r="Z333" s="295">
        <f t="shared" si="80"/>
        <v>14090.72010770558</v>
      </c>
      <c r="AA333" s="295">
        <f t="shared" si="80"/>
        <v>14090.72010770558</v>
      </c>
      <c r="AB333" s="295">
        <f t="shared" si="80"/>
        <v>14090.72010770558</v>
      </c>
      <c r="AC333" s="295">
        <f t="shared" si="80"/>
        <v>14090.72010770558</v>
      </c>
      <c r="AD333" s="295">
        <f t="shared" si="80"/>
        <v>14090.72010770558</v>
      </c>
      <c r="AE333" s="296">
        <f t="shared" si="80"/>
        <v>14090.72010770558</v>
      </c>
    </row>
    <row r="334" spans="1:31">
      <c r="A334" s="1711"/>
      <c r="B334" s="116">
        <v>20</v>
      </c>
      <c r="C334" s="294">
        <f t="shared" si="79"/>
        <v>14090.72010770558</v>
      </c>
      <c r="D334" s="295">
        <f t="shared" si="81"/>
        <v>14090.72010770558</v>
      </c>
      <c r="E334" s="295">
        <f t="shared" si="81"/>
        <v>14090.72010770558</v>
      </c>
      <c r="F334" s="295">
        <f t="shared" si="81"/>
        <v>14090.72010770558</v>
      </c>
      <c r="G334" s="295">
        <f t="shared" si="81"/>
        <v>14090.72010770558</v>
      </c>
      <c r="H334" s="295">
        <f t="shared" si="81"/>
        <v>14090.72010770558</v>
      </c>
      <c r="I334" s="295">
        <f t="shared" si="81"/>
        <v>14090.72010770558</v>
      </c>
      <c r="J334" s="295">
        <f t="shared" si="81"/>
        <v>14090.72010770558</v>
      </c>
      <c r="K334" s="295">
        <f t="shared" si="81"/>
        <v>14090.72010770558</v>
      </c>
      <c r="L334" s="295">
        <f t="shared" si="81"/>
        <v>14090.72010770558</v>
      </c>
      <c r="M334" s="295">
        <f t="shared" si="81"/>
        <v>14090.72010770558</v>
      </c>
      <c r="N334" s="295">
        <f t="shared" si="81"/>
        <v>14090.72010770558</v>
      </c>
      <c r="O334" s="295">
        <f t="shared" si="81"/>
        <v>14090.72010770558</v>
      </c>
      <c r="P334" s="295">
        <f t="shared" si="81"/>
        <v>14090.72010770558</v>
      </c>
      <c r="Q334" s="295">
        <f t="shared" si="81"/>
        <v>14090.72010770558</v>
      </c>
      <c r="R334" s="295">
        <f t="shared" si="81"/>
        <v>14090.72010770558</v>
      </c>
      <c r="S334" s="295">
        <f t="shared" si="81"/>
        <v>14090.72010770558</v>
      </c>
      <c r="T334" s="295">
        <f t="shared" si="80"/>
        <v>14090.72010770558</v>
      </c>
      <c r="U334" s="295">
        <f t="shared" si="80"/>
        <v>14090.72010770558</v>
      </c>
      <c r="V334" s="295">
        <f t="shared" si="80"/>
        <v>14090.72010770558</v>
      </c>
      <c r="W334" s="295">
        <f t="shared" si="80"/>
        <v>14090.72010770558</v>
      </c>
      <c r="X334" s="295">
        <f t="shared" si="80"/>
        <v>14090.72010770558</v>
      </c>
      <c r="Y334" s="295">
        <f t="shared" si="80"/>
        <v>14090.72010770558</v>
      </c>
      <c r="Z334" s="295">
        <f t="shared" si="80"/>
        <v>14090.72010770558</v>
      </c>
      <c r="AA334" s="295">
        <f t="shared" si="80"/>
        <v>14090.72010770558</v>
      </c>
      <c r="AB334" s="295">
        <f t="shared" si="80"/>
        <v>14090.72010770558</v>
      </c>
      <c r="AC334" s="295">
        <f t="shared" si="80"/>
        <v>14090.72010770558</v>
      </c>
      <c r="AD334" s="295">
        <f t="shared" si="80"/>
        <v>14090.72010770558</v>
      </c>
      <c r="AE334" s="296">
        <f t="shared" si="80"/>
        <v>14090.72010770558</v>
      </c>
    </row>
    <row r="335" spans="1:31">
      <c r="A335" s="1711"/>
      <c r="B335" s="116">
        <v>21</v>
      </c>
      <c r="C335" s="294">
        <f t="shared" si="79"/>
        <v>14090.72010770558</v>
      </c>
      <c r="D335" s="295">
        <f t="shared" si="81"/>
        <v>14090.72010770558</v>
      </c>
      <c r="E335" s="295">
        <f t="shared" si="81"/>
        <v>14090.72010770558</v>
      </c>
      <c r="F335" s="295">
        <f t="shared" si="81"/>
        <v>14090.72010770558</v>
      </c>
      <c r="G335" s="295">
        <f t="shared" si="81"/>
        <v>14090.72010770558</v>
      </c>
      <c r="H335" s="295">
        <f t="shared" si="81"/>
        <v>14090.72010770558</v>
      </c>
      <c r="I335" s="295">
        <f t="shared" si="81"/>
        <v>14090.72010770558</v>
      </c>
      <c r="J335" s="295">
        <f t="shared" si="81"/>
        <v>14090.72010770558</v>
      </c>
      <c r="K335" s="295">
        <f t="shared" si="81"/>
        <v>14090.72010770558</v>
      </c>
      <c r="L335" s="295">
        <f t="shared" si="81"/>
        <v>14090.72010770558</v>
      </c>
      <c r="M335" s="295">
        <f t="shared" si="81"/>
        <v>14090.72010770558</v>
      </c>
      <c r="N335" s="295">
        <f t="shared" si="81"/>
        <v>14090.72010770558</v>
      </c>
      <c r="O335" s="295">
        <f t="shared" si="81"/>
        <v>14090.72010770558</v>
      </c>
      <c r="P335" s="295">
        <f t="shared" si="81"/>
        <v>14090.72010770558</v>
      </c>
      <c r="Q335" s="295">
        <f t="shared" si="81"/>
        <v>14090.72010770558</v>
      </c>
      <c r="R335" s="295">
        <f t="shared" si="81"/>
        <v>14090.72010770558</v>
      </c>
      <c r="S335" s="295">
        <f t="shared" si="81"/>
        <v>14090.72010770558</v>
      </c>
      <c r="T335" s="295">
        <f t="shared" si="80"/>
        <v>14090.72010770558</v>
      </c>
      <c r="U335" s="295">
        <f t="shared" si="80"/>
        <v>14090.72010770558</v>
      </c>
      <c r="V335" s="295">
        <f t="shared" si="80"/>
        <v>14090.72010770558</v>
      </c>
      <c r="W335" s="295">
        <f t="shared" si="80"/>
        <v>14090.72010770558</v>
      </c>
      <c r="X335" s="295">
        <f t="shared" si="80"/>
        <v>14090.72010770558</v>
      </c>
      <c r="Y335" s="295">
        <f t="shared" si="80"/>
        <v>14090.72010770558</v>
      </c>
      <c r="Z335" s="295">
        <f t="shared" si="80"/>
        <v>14090.72010770558</v>
      </c>
      <c r="AA335" s="295">
        <f t="shared" si="80"/>
        <v>14090.72010770558</v>
      </c>
      <c r="AB335" s="295">
        <f t="shared" si="80"/>
        <v>14090.72010770558</v>
      </c>
      <c r="AC335" s="295">
        <f t="shared" si="80"/>
        <v>14090.72010770558</v>
      </c>
      <c r="AD335" s="295">
        <f t="shared" si="80"/>
        <v>14090.72010770558</v>
      </c>
      <c r="AE335" s="296">
        <f t="shared" si="80"/>
        <v>14090.72010770558</v>
      </c>
    </row>
    <row r="336" spans="1:31">
      <c r="A336" s="1711"/>
      <c r="B336" s="116">
        <v>22</v>
      </c>
      <c r="C336" s="294">
        <f t="shared" si="79"/>
        <v>14090.72010770558</v>
      </c>
      <c r="D336" s="295">
        <f t="shared" si="81"/>
        <v>14090.72010770558</v>
      </c>
      <c r="E336" s="295">
        <f t="shared" si="81"/>
        <v>14090.72010770558</v>
      </c>
      <c r="F336" s="295">
        <f t="shared" si="81"/>
        <v>14090.72010770558</v>
      </c>
      <c r="G336" s="295">
        <f t="shared" si="81"/>
        <v>14090.72010770558</v>
      </c>
      <c r="H336" s="295">
        <f t="shared" si="81"/>
        <v>14090.72010770558</v>
      </c>
      <c r="I336" s="295">
        <f t="shared" si="81"/>
        <v>14090.72010770558</v>
      </c>
      <c r="J336" s="295">
        <f t="shared" si="81"/>
        <v>14090.72010770558</v>
      </c>
      <c r="K336" s="295">
        <f t="shared" si="81"/>
        <v>14090.72010770558</v>
      </c>
      <c r="L336" s="295">
        <f t="shared" si="81"/>
        <v>14090.72010770558</v>
      </c>
      <c r="M336" s="295">
        <f t="shared" si="81"/>
        <v>14090.72010770558</v>
      </c>
      <c r="N336" s="295">
        <f t="shared" si="81"/>
        <v>14090.72010770558</v>
      </c>
      <c r="O336" s="295">
        <f t="shared" si="81"/>
        <v>14090.72010770558</v>
      </c>
      <c r="P336" s="295">
        <f t="shared" si="81"/>
        <v>14090.72010770558</v>
      </c>
      <c r="Q336" s="295">
        <f t="shared" si="81"/>
        <v>14090.72010770558</v>
      </c>
      <c r="R336" s="295">
        <f t="shared" si="81"/>
        <v>14090.72010770558</v>
      </c>
      <c r="S336" s="295">
        <f t="shared" si="81"/>
        <v>14090.72010770558</v>
      </c>
      <c r="T336" s="295">
        <f t="shared" si="80"/>
        <v>14090.72010770558</v>
      </c>
      <c r="U336" s="295">
        <f t="shared" si="80"/>
        <v>14090.72010770558</v>
      </c>
      <c r="V336" s="295">
        <f t="shared" si="80"/>
        <v>14090.72010770558</v>
      </c>
      <c r="W336" s="295">
        <f t="shared" si="80"/>
        <v>14090.72010770558</v>
      </c>
      <c r="X336" s="295">
        <f t="shared" si="80"/>
        <v>14090.72010770558</v>
      </c>
      <c r="Y336" s="295">
        <f t="shared" si="80"/>
        <v>14090.72010770558</v>
      </c>
      <c r="Z336" s="295">
        <f t="shared" si="80"/>
        <v>14090.72010770558</v>
      </c>
      <c r="AA336" s="295">
        <f t="shared" si="80"/>
        <v>14090.72010770558</v>
      </c>
      <c r="AB336" s="295">
        <f t="shared" si="80"/>
        <v>14090.72010770558</v>
      </c>
      <c r="AC336" s="295">
        <f t="shared" si="80"/>
        <v>14090.72010770558</v>
      </c>
      <c r="AD336" s="295">
        <f t="shared" si="80"/>
        <v>14090.72010770558</v>
      </c>
      <c r="AE336" s="296">
        <f t="shared" si="80"/>
        <v>14090.72010770558</v>
      </c>
    </row>
    <row r="337" spans="1:31">
      <c r="A337" s="1711"/>
      <c r="B337" s="116">
        <v>23</v>
      </c>
      <c r="C337" s="294">
        <f t="shared" si="79"/>
        <v>14090.72010770558</v>
      </c>
      <c r="D337" s="295">
        <f t="shared" si="81"/>
        <v>14090.72010770558</v>
      </c>
      <c r="E337" s="295">
        <f t="shared" si="81"/>
        <v>14090.72010770558</v>
      </c>
      <c r="F337" s="295">
        <f t="shared" si="81"/>
        <v>14090.72010770558</v>
      </c>
      <c r="G337" s="295">
        <f t="shared" si="81"/>
        <v>14090.72010770558</v>
      </c>
      <c r="H337" s="295">
        <f t="shared" si="81"/>
        <v>14090.72010770558</v>
      </c>
      <c r="I337" s="295">
        <f t="shared" si="81"/>
        <v>14090.72010770558</v>
      </c>
      <c r="J337" s="295">
        <f t="shared" si="81"/>
        <v>14090.72010770558</v>
      </c>
      <c r="K337" s="295">
        <f t="shared" si="81"/>
        <v>14090.72010770558</v>
      </c>
      <c r="L337" s="295">
        <f t="shared" si="81"/>
        <v>14090.72010770558</v>
      </c>
      <c r="M337" s="295">
        <f t="shared" si="81"/>
        <v>14090.72010770558</v>
      </c>
      <c r="N337" s="295">
        <f t="shared" si="81"/>
        <v>14090.72010770558</v>
      </c>
      <c r="O337" s="295">
        <f t="shared" si="81"/>
        <v>14090.72010770558</v>
      </c>
      <c r="P337" s="295">
        <f t="shared" si="81"/>
        <v>14090.72010770558</v>
      </c>
      <c r="Q337" s="295">
        <f t="shared" si="81"/>
        <v>14090.72010770558</v>
      </c>
      <c r="R337" s="295">
        <f t="shared" si="81"/>
        <v>14090.72010770558</v>
      </c>
      <c r="S337" s="295">
        <f t="shared" si="81"/>
        <v>14090.72010770558</v>
      </c>
      <c r="T337" s="295">
        <f t="shared" si="80"/>
        <v>14090.72010770558</v>
      </c>
      <c r="U337" s="295">
        <f t="shared" si="80"/>
        <v>14090.72010770558</v>
      </c>
      <c r="V337" s="295">
        <f t="shared" si="80"/>
        <v>14090.72010770558</v>
      </c>
      <c r="W337" s="295">
        <f t="shared" si="80"/>
        <v>14090.72010770558</v>
      </c>
      <c r="X337" s="295">
        <f t="shared" si="80"/>
        <v>14090.72010770558</v>
      </c>
      <c r="Y337" s="295">
        <f t="shared" si="80"/>
        <v>14090.72010770558</v>
      </c>
      <c r="Z337" s="295">
        <f t="shared" si="80"/>
        <v>14090.72010770558</v>
      </c>
      <c r="AA337" s="295">
        <f t="shared" si="80"/>
        <v>14090.72010770558</v>
      </c>
      <c r="AB337" s="295">
        <f t="shared" si="80"/>
        <v>14090.72010770558</v>
      </c>
      <c r="AC337" s="295">
        <f t="shared" si="80"/>
        <v>14090.72010770558</v>
      </c>
      <c r="AD337" s="295">
        <f t="shared" si="80"/>
        <v>14090.72010770558</v>
      </c>
      <c r="AE337" s="296">
        <f t="shared" si="80"/>
        <v>14090.72010770558</v>
      </c>
    </row>
    <row r="338" spans="1:31">
      <c r="A338" s="1711"/>
      <c r="B338" s="116">
        <v>24</v>
      </c>
      <c r="C338" s="294">
        <f t="shared" si="79"/>
        <v>14090.72010770558</v>
      </c>
      <c r="D338" s="295">
        <f t="shared" si="81"/>
        <v>14090.72010770558</v>
      </c>
      <c r="E338" s="295">
        <f t="shared" si="81"/>
        <v>14090.72010770558</v>
      </c>
      <c r="F338" s="295">
        <f t="shared" si="81"/>
        <v>14090.72010770558</v>
      </c>
      <c r="G338" s="295">
        <f t="shared" si="81"/>
        <v>14090.72010770558</v>
      </c>
      <c r="H338" s="295">
        <f t="shared" si="81"/>
        <v>14090.72010770558</v>
      </c>
      <c r="I338" s="295">
        <f t="shared" si="81"/>
        <v>14090.72010770558</v>
      </c>
      <c r="J338" s="295">
        <f t="shared" si="81"/>
        <v>14090.72010770558</v>
      </c>
      <c r="K338" s="295">
        <f t="shared" si="81"/>
        <v>14090.72010770558</v>
      </c>
      <c r="L338" s="295">
        <f t="shared" si="81"/>
        <v>14090.72010770558</v>
      </c>
      <c r="M338" s="295">
        <f t="shared" si="81"/>
        <v>14090.72010770558</v>
      </c>
      <c r="N338" s="295">
        <f t="shared" si="81"/>
        <v>14090.72010770558</v>
      </c>
      <c r="O338" s="295">
        <f t="shared" si="81"/>
        <v>14090.72010770558</v>
      </c>
      <c r="P338" s="295">
        <f t="shared" si="81"/>
        <v>14090.72010770558</v>
      </c>
      <c r="Q338" s="295">
        <f t="shared" si="81"/>
        <v>14090.72010770558</v>
      </c>
      <c r="R338" s="295">
        <f t="shared" si="81"/>
        <v>14090.72010770558</v>
      </c>
      <c r="S338" s="295">
        <f t="shared" si="81"/>
        <v>14090.72010770558</v>
      </c>
      <c r="T338" s="295">
        <f t="shared" si="80"/>
        <v>14090.72010770558</v>
      </c>
      <c r="U338" s="295">
        <f t="shared" si="80"/>
        <v>14090.72010770558</v>
      </c>
      <c r="V338" s="295">
        <f t="shared" si="80"/>
        <v>14090.72010770558</v>
      </c>
      <c r="W338" s="295">
        <f t="shared" si="80"/>
        <v>14090.72010770558</v>
      </c>
      <c r="X338" s="295">
        <f t="shared" si="80"/>
        <v>14090.72010770558</v>
      </c>
      <c r="Y338" s="295">
        <f t="shared" si="80"/>
        <v>14090.72010770558</v>
      </c>
      <c r="Z338" s="295">
        <f t="shared" si="80"/>
        <v>14090.72010770558</v>
      </c>
      <c r="AA338" s="295">
        <f t="shared" si="80"/>
        <v>14090.72010770558</v>
      </c>
      <c r="AB338" s="295">
        <f t="shared" si="80"/>
        <v>14090.72010770558</v>
      </c>
      <c r="AC338" s="295">
        <f t="shared" si="80"/>
        <v>14090.72010770558</v>
      </c>
      <c r="AD338" s="295">
        <f t="shared" si="80"/>
        <v>14090.72010770558</v>
      </c>
      <c r="AE338" s="296">
        <f t="shared" si="80"/>
        <v>14090.72010770558</v>
      </c>
    </row>
    <row r="339" spans="1:31" ht="15.75" thickBot="1">
      <c r="A339" s="1711"/>
      <c r="B339" s="116">
        <v>25</v>
      </c>
      <c r="C339" s="297">
        <f t="shared" si="79"/>
        <v>14090.72010770558</v>
      </c>
      <c r="D339" s="298">
        <f t="shared" si="81"/>
        <v>14090.72010770558</v>
      </c>
      <c r="E339" s="298">
        <f t="shared" si="81"/>
        <v>14090.72010770558</v>
      </c>
      <c r="F339" s="298">
        <f t="shared" si="81"/>
        <v>14090.72010770558</v>
      </c>
      <c r="G339" s="298">
        <f t="shared" si="81"/>
        <v>14090.72010770558</v>
      </c>
      <c r="H339" s="298">
        <f t="shared" si="81"/>
        <v>14090.72010770558</v>
      </c>
      <c r="I339" s="298">
        <f t="shared" si="81"/>
        <v>14090.72010770558</v>
      </c>
      <c r="J339" s="298">
        <f t="shared" si="81"/>
        <v>14090.72010770558</v>
      </c>
      <c r="K339" s="298">
        <f t="shared" si="81"/>
        <v>14090.72010770558</v>
      </c>
      <c r="L339" s="298">
        <f t="shared" si="81"/>
        <v>14090.72010770558</v>
      </c>
      <c r="M339" s="298">
        <f t="shared" si="81"/>
        <v>14090.72010770558</v>
      </c>
      <c r="N339" s="298">
        <f t="shared" si="81"/>
        <v>14090.72010770558</v>
      </c>
      <c r="O339" s="298">
        <f t="shared" si="81"/>
        <v>14090.72010770558</v>
      </c>
      <c r="P339" s="298">
        <f t="shared" si="81"/>
        <v>14090.72010770558</v>
      </c>
      <c r="Q339" s="298">
        <f t="shared" si="81"/>
        <v>14090.72010770558</v>
      </c>
      <c r="R339" s="298">
        <f t="shared" si="81"/>
        <v>14090.72010770558</v>
      </c>
      <c r="S339" s="298">
        <f t="shared" si="81"/>
        <v>14090.72010770558</v>
      </c>
      <c r="T339" s="298">
        <f t="shared" si="80"/>
        <v>14090.72010770558</v>
      </c>
      <c r="U339" s="298">
        <f t="shared" si="80"/>
        <v>14090.72010770558</v>
      </c>
      <c r="V339" s="298">
        <f t="shared" si="80"/>
        <v>14090.72010770558</v>
      </c>
      <c r="W339" s="298">
        <f t="shared" si="80"/>
        <v>14090.72010770558</v>
      </c>
      <c r="X339" s="298">
        <f t="shared" si="80"/>
        <v>14090.72010770558</v>
      </c>
      <c r="Y339" s="298">
        <f t="shared" si="80"/>
        <v>14090.72010770558</v>
      </c>
      <c r="Z339" s="298">
        <f t="shared" si="80"/>
        <v>14090.72010770558</v>
      </c>
      <c r="AA339" s="298">
        <f t="shared" si="80"/>
        <v>14090.72010770558</v>
      </c>
      <c r="AB339" s="298">
        <f t="shared" si="80"/>
        <v>14090.72010770558</v>
      </c>
      <c r="AC339" s="298">
        <f t="shared" si="80"/>
        <v>14090.72010770558</v>
      </c>
      <c r="AD339" s="298">
        <f t="shared" si="80"/>
        <v>14090.72010770558</v>
      </c>
      <c r="AE339" s="299">
        <f t="shared" si="80"/>
        <v>14090.72010770558</v>
      </c>
    </row>
    <row r="340" spans="1:31" ht="16.5" thickTop="1" thickBot="1">
      <c r="A340" s="1712"/>
      <c r="B340" s="300" t="s">
        <v>39</v>
      </c>
      <c r="C340" s="461">
        <f>IF('CAR Stock'!C369=0,0,SUMPRODUCT(C314:C339,'CAR Stock'!C343:C368)/'CAR Stock'!C369)</f>
        <v>17913.615677046884</v>
      </c>
      <c r="D340" s="461">
        <f>IF('CAR Stock'!D369=0,0,SUMPRODUCT(D314:D339,'CAR Stock'!D343:D368)/'CAR Stock'!D369)</f>
        <v>17555.345746774103</v>
      </c>
      <c r="E340" s="461">
        <f>IF('CAR Stock'!E369=0,0,SUMPRODUCT(E314:E339,'CAR Stock'!E343:E368)/'CAR Stock'!E369)</f>
        <v>17204.34443895995</v>
      </c>
      <c r="F340" s="461">
        <f>IF('CAR Stock'!F369=0,0,SUMPRODUCT(F314:F339,'CAR Stock'!F343:F368)/'CAR Stock'!F369)</f>
        <v>16861.4545948499</v>
      </c>
      <c r="G340" s="461">
        <f>IF('CAR Stock'!G369=0,0,SUMPRODUCT(G314:G339,'CAR Stock'!G343:G368)/'CAR Stock'!G369)</f>
        <v>16529.333273145814</v>
      </c>
      <c r="H340" s="461">
        <f>IF('CAR Stock'!H369=0,0,SUMPRODUCT(H314:H339,'CAR Stock'!H343:H368)/'CAR Stock'!H369)</f>
        <v>16208.884075061416</v>
      </c>
      <c r="I340" s="461">
        <f>IF('CAR Stock'!I369=0,0,SUMPRODUCT(I314:I339,'CAR Stock'!I343:I368)/'CAR Stock'!I369)</f>
        <v>15899.652426169094</v>
      </c>
      <c r="J340" s="461">
        <f>IF('CAR Stock'!J369=0,0,SUMPRODUCT(J314:J339,'CAR Stock'!J343:J368)/'CAR Stock'!J369)</f>
        <v>15601.468343991281</v>
      </c>
      <c r="K340" s="461">
        <f>IF('CAR Stock'!K369=0,0,SUMPRODUCT(K314:K339,'CAR Stock'!K343:K368)/'CAR Stock'!K369)</f>
        <v>15313.924368583212</v>
      </c>
      <c r="L340" s="461">
        <f>IF('CAR Stock'!L369=0,0,SUMPRODUCT(L314:L339,'CAR Stock'!L343:L368)/'CAR Stock'!L369)</f>
        <v>15037.437283821651</v>
      </c>
      <c r="M340" s="461">
        <f>IF('CAR Stock'!M369=0,0,SUMPRODUCT(M314:M339,'CAR Stock'!M343:M368)/'CAR Stock'!M369)</f>
        <v>14773.777064698648</v>
      </c>
      <c r="N340" s="461">
        <f>IF('CAR Stock'!N369=0,0,SUMPRODUCT(N314:N339,'CAR Stock'!N343:N368)/'CAR Stock'!N369)</f>
        <v>14522.734181033944</v>
      </c>
      <c r="O340" s="461">
        <f>IF('CAR Stock'!O369=0,0,SUMPRODUCT(O314:O339,'CAR Stock'!O343:O368)/'CAR Stock'!O369)</f>
        <v>14273.77152787926</v>
      </c>
      <c r="P340" s="461">
        <f>IF('CAR Stock'!P369=0,0,SUMPRODUCT(P314:P339,'CAR Stock'!P343:P368)/'CAR Stock'!P369)</f>
        <v>14152.431153132498</v>
      </c>
      <c r="Q340" s="461">
        <f>IF('CAR Stock'!Q369=0,0,SUMPRODUCT(Q314:Q339,'CAR Stock'!Q343:Q368)/'CAR Stock'!Q369)</f>
        <v>14090.720107705582</v>
      </c>
      <c r="R340" s="461">
        <f>IF('CAR Stock'!R369=0,0,SUMPRODUCT(R314:R339,'CAR Stock'!R343:R368)/'CAR Stock'!R369)</f>
        <v>14090.72010770558</v>
      </c>
      <c r="S340" s="461">
        <f>IF('CAR Stock'!S369=0,0,SUMPRODUCT(S314:S339,'CAR Stock'!S343:S368)/'CAR Stock'!S369)</f>
        <v>14090.720107705578</v>
      </c>
      <c r="T340" s="461">
        <f>IF('CAR Stock'!T369=0,0,SUMPRODUCT(T314:T339,'CAR Stock'!T343:T368)/'CAR Stock'!T369)</f>
        <v>14090.72010770558</v>
      </c>
      <c r="U340" s="461">
        <f>IF('CAR Stock'!U369=0,0,SUMPRODUCT(U314:U339,'CAR Stock'!U343:U368)/'CAR Stock'!U369)</f>
        <v>14090.720107705582</v>
      </c>
      <c r="V340" s="461">
        <f>IF('CAR Stock'!V369=0,0,SUMPRODUCT(V314:V339,'CAR Stock'!V343:V368)/'CAR Stock'!V369)</f>
        <v>14090.720107705583</v>
      </c>
      <c r="W340" s="461">
        <f>IF('CAR Stock'!W369=0,0,SUMPRODUCT(W314:W339,'CAR Stock'!W343:W368)/'CAR Stock'!W369)</f>
        <v>14090.720107705582</v>
      </c>
      <c r="X340" s="461">
        <f>IF('CAR Stock'!X369=0,0,SUMPRODUCT(X314:X339,'CAR Stock'!X343:X368)/'CAR Stock'!X369)</f>
        <v>14090.72010770558</v>
      </c>
      <c r="Y340" s="461">
        <f>IF('CAR Stock'!Y369=0,0,SUMPRODUCT(Y314:Y339,'CAR Stock'!Y343:Y368)/'CAR Stock'!Y369)</f>
        <v>14090.72010770558</v>
      </c>
      <c r="Z340" s="461">
        <f>IF('CAR Stock'!Z369=0,0,SUMPRODUCT(Z314:Z339,'CAR Stock'!Z343:Z368)/'CAR Stock'!Z369)</f>
        <v>0</v>
      </c>
      <c r="AA340" s="461">
        <f>IF('CAR Stock'!AA369=0,0,SUMPRODUCT(AA314:AA339,'CAR Stock'!AA343:AA368)/'CAR Stock'!AA369)</f>
        <v>0</v>
      </c>
      <c r="AB340" s="461">
        <f>IF('CAR Stock'!AB369=0,0,SUMPRODUCT(AB314:AB339,'CAR Stock'!AB343:AB368)/'CAR Stock'!AB369)</f>
        <v>0</v>
      </c>
      <c r="AC340" s="461">
        <f>IF('CAR Stock'!AC369=0,0,SUMPRODUCT(AC314:AC339,'CAR Stock'!AC343:AC368)/'CAR Stock'!AC369)</f>
        <v>0</v>
      </c>
      <c r="AD340" s="461">
        <f>IF('CAR Stock'!AD369=0,0,SUMPRODUCT(AD314:AD339,'CAR Stock'!AD343:AD368)/'CAR Stock'!AD369)</f>
        <v>0</v>
      </c>
      <c r="AE340" s="462">
        <f>IF('CAR Stock'!AE369=0,0,SUMPRODUCT(AE314:AE339,'CAR Stock'!AE343:AE368)/'CAR Stock'!AE369)</f>
        <v>0</v>
      </c>
    </row>
    <row r="341" spans="1:31" ht="15.75" thickBot="1"/>
    <row r="342" spans="1:31" ht="15.75" thickBot="1">
      <c r="A342" s="1710" t="s">
        <v>52</v>
      </c>
      <c r="B342" s="169" t="s">
        <v>10</v>
      </c>
      <c r="C342" s="288">
        <f t="shared" si="79"/>
        <v>2012</v>
      </c>
      <c r="D342" s="289">
        <v>2013</v>
      </c>
      <c r="E342" s="289">
        <v>2014</v>
      </c>
      <c r="F342" s="289">
        <v>2015</v>
      </c>
      <c r="G342" s="288">
        <v>2016</v>
      </c>
      <c r="H342" s="289">
        <v>2017</v>
      </c>
      <c r="I342" s="289">
        <v>2018</v>
      </c>
      <c r="J342" s="289">
        <v>2019</v>
      </c>
      <c r="K342" s="288">
        <v>2020</v>
      </c>
      <c r="L342" s="289">
        <v>2021</v>
      </c>
      <c r="M342" s="289">
        <v>2022</v>
      </c>
      <c r="N342" s="289">
        <v>2023</v>
      </c>
      <c r="O342" s="288">
        <v>2024</v>
      </c>
      <c r="P342" s="289">
        <v>2025</v>
      </c>
      <c r="Q342" s="289">
        <v>2026</v>
      </c>
      <c r="R342" s="289">
        <v>2027</v>
      </c>
      <c r="S342" s="288">
        <v>2028</v>
      </c>
      <c r="T342" s="289">
        <v>2029</v>
      </c>
      <c r="U342" s="289">
        <v>2030</v>
      </c>
      <c r="V342" s="289">
        <v>2031</v>
      </c>
      <c r="W342" s="288">
        <v>2032</v>
      </c>
      <c r="X342" s="289">
        <v>2033</v>
      </c>
      <c r="Y342" s="289">
        <v>2034</v>
      </c>
      <c r="Z342" s="289">
        <v>2035</v>
      </c>
      <c r="AA342" s="288">
        <v>2036</v>
      </c>
      <c r="AB342" s="289">
        <v>2037</v>
      </c>
      <c r="AC342" s="289">
        <v>2038</v>
      </c>
      <c r="AD342" s="289">
        <v>2039</v>
      </c>
      <c r="AE342" s="290">
        <v>2040</v>
      </c>
    </row>
    <row r="343" spans="1:31">
      <c r="A343" s="1711" t="s">
        <v>41</v>
      </c>
      <c r="B343" s="116">
        <v>0</v>
      </c>
      <c r="C343" s="291">
        <f t="shared" si="79"/>
        <v>18642.652133209751</v>
      </c>
      <c r="D343" s="292">
        <f>C343</f>
        <v>18642.652133209751</v>
      </c>
      <c r="E343" s="292">
        <f t="shared" ref="E343:T343" si="82">D343</f>
        <v>18642.652133209751</v>
      </c>
      <c r="F343" s="292">
        <f t="shared" si="82"/>
        <v>18642.652133209751</v>
      </c>
      <c r="G343" s="292">
        <f t="shared" si="82"/>
        <v>18642.652133209751</v>
      </c>
      <c r="H343" s="292">
        <f t="shared" si="82"/>
        <v>18642.652133209751</v>
      </c>
      <c r="I343" s="292">
        <f t="shared" si="82"/>
        <v>18642.652133209751</v>
      </c>
      <c r="J343" s="292">
        <f t="shared" si="82"/>
        <v>18642.652133209751</v>
      </c>
      <c r="K343" s="292">
        <f t="shared" si="82"/>
        <v>18642.652133209751</v>
      </c>
      <c r="L343" s="292">
        <f t="shared" si="82"/>
        <v>18642.652133209751</v>
      </c>
      <c r="M343" s="292">
        <f t="shared" si="82"/>
        <v>18642.652133209751</v>
      </c>
      <c r="N343" s="292">
        <f t="shared" si="82"/>
        <v>18642.652133209751</v>
      </c>
      <c r="O343" s="292">
        <f t="shared" si="82"/>
        <v>18642.652133209751</v>
      </c>
      <c r="P343" s="292">
        <f t="shared" si="82"/>
        <v>18642.652133209751</v>
      </c>
      <c r="Q343" s="292">
        <f t="shared" si="82"/>
        <v>18642.652133209751</v>
      </c>
      <c r="R343" s="292">
        <f t="shared" si="82"/>
        <v>18642.652133209751</v>
      </c>
      <c r="S343" s="292">
        <f t="shared" si="82"/>
        <v>18642.652133209751</v>
      </c>
      <c r="T343" s="292">
        <f t="shared" si="82"/>
        <v>18642.652133209751</v>
      </c>
      <c r="U343" s="292">
        <f t="shared" ref="T343:AE358" si="83">T343</f>
        <v>18642.652133209751</v>
      </c>
      <c r="V343" s="292">
        <f t="shared" si="83"/>
        <v>18642.652133209751</v>
      </c>
      <c r="W343" s="292">
        <f t="shared" si="83"/>
        <v>18642.652133209751</v>
      </c>
      <c r="X343" s="292">
        <f t="shared" si="83"/>
        <v>18642.652133209751</v>
      </c>
      <c r="Y343" s="292">
        <f t="shared" si="83"/>
        <v>18642.652133209751</v>
      </c>
      <c r="Z343" s="292">
        <f t="shared" si="83"/>
        <v>18642.652133209751</v>
      </c>
      <c r="AA343" s="292">
        <f t="shared" si="83"/>
        <v>18642.652133209751</v>
      </c>
      <c r="AB343" s="292">
        <f t="shared" si="83"/>
        <v>18642.652133209751</v>
      </c>
      <c r="AC343" s="292">
        <f t="shared" si="83"/>
        <v>18642.652133209751</v>
      </c>
      <c r="AD343" s="292">
        <f t="shared" si="83"/>
        <v>18642.652133209751</v>
      </c>
      <c r="AE343" s="293">
        <f t="shared" si="83"/>
        <v>18642.652133209751</v>
      </c>
    </row>
    <row r="344" spans="1:31">
      <c r="A344" s="1711"/>
      <c r="B344" s="116">
        <v>1</v>
      </c>
      <c r="C344" s="294">
        <f t="shared" si="79"/>
        <v>18269.799090545555</v>
      </c>
      <c r="D344" s="295">
        <f t="shared" ref="D344:S359" si="84">C344</f>
        <v>18269.799090545555</v>
      </c>
      <c r="E344" s="295">
        <f t="shared" si="84"/>
        <v>18269.799090545555</v>
      </c>
      <c r="F344" s="295">
        <f t="shared" si="84"/>
        <v>18269.799090545555</v>
      </c>
      <c r="G344" s="295">
        <f t="shared" si="84"/>
        <v>18269.799090545555</v>
      </c>
      <c r="H344" s="295">
        <f t="shared" si="84"/>
        <v>18269.799090545555</v>
      </c>
      <c r="I344" s="295">
        <f t="shared" si="84"/>
        <v>18269.799090545555</v>
      </c>
      <c r="J344" s="295">
        <f t="shared" si="84"/>
        <v>18269.799090545555</v>
      </c>
      <c r="K344" s="295">
        <f t="shared" si="84"/>
        <v>18269.799090545555</v>
      </c>
      <c r="L344" s="295">
        <f t="shared" si="84"/>
        <v>18269.799090545555</v>
      </c>
      <c r="M344" s="295">
        <f t="shared" si="84"/>
        <v>18269.799090545555</v>
      </c>
      <c r="N344" s="295">
        <f t="shared" si="84"/>
        <v>18269.799090545555</v>
      </c>
      <c r="O344" s="295">
        <f t="shared" si="84"/>
        <v>18269.799090545555</v>
      </c>
      <c r="P344" s="295">
        <f t="shared" si="84"/>
        <v>18269.799090545555</v>
      </c>
      <c r="Q344" s="295">
        <f t="shared" si="84"/>
        <v>18269.799090545555</v>
      </c>
      <c r="R344" s="295">
        <f t="shared" si="84"/>
        <v>18269.799090545555</v>
      </c>
      <c r="S344" s="295">
        <f t="shared" si="84"/>
        <v>18269.799090545555</v>
      </c>
      <c r="T344" s="295">
        <f t="shared" si="83"/>
        <v>18269.799090545555</v>
      </c>
      <c r="U344" s="295">
        <f t="shared" si="83"/>
        <v>18269.799090545555</v>
      </c>
      <c r="V344" s="295">
        <f t="shared" si="83"/>
        <v>18269.799090545555</v>
      </c>
      <c r="W344" s="295">
        <f t="shared" si="83"/>
        <v>18269.799090545555</v>
      </c>
      <c r="X344" s="295">
        <f t="shared" si="83"/>
        <v>18269.799090545555</v>
      </c>
      <c r="Y344" s="295">
        <f t="shared" si="83"/>
        <v>18269.799090545555</v>
      </c>
      <c r="Z344" s="295">
        <f t="shared" si="83"/>
        <v>18269.799090545555</v>
      </c>
      <c r="AA344" s="295">
        <f t="shared" si="83"/>
        <v>18269.799090545555</v>
      </c>
      <c r="AB344" s="295">
        <f t="shared" si="83"/>
        <v>18269.799090545555</v>
      </c>
      <c r="AC344" s="295">
        <f t="shared" si="83"/>
        <v>18269.799090545555</v>
      </c>
      <c r="AD344" s="295">
        <f t="shared" si="83"/>
        <v>18269.799090545555</v>
      </c>
      <c r="AE344" s="296">
        <f t="shared" si="83"/>
        <v>18269.799090545555</v>
      </c>
    </row>
    <row r="345" spans="1:31">
      <c r="A345" s="1711"/>
      <c r="B345" s="116">
        <v>2</v>
      </c>
      <c r="C345" s="294">
        <f t="shared" si="79"/>
        <v>17904.403108734645</v>
      </c>
      <c r="D345" s="295">
        <f t="shared" si="84"/>
        <v>17904.403108734645</v>
      </c>
      <c r="E345" s="295">
        <f t="shared" si="84"/>
        <v>17904.403108734645</v>
      </c>
      <c r="F345" s="295">
        <f t="shared" si="84"/>
        <v>17904.403108734645</v>
      </c>
      <c r="G345" s="295">
        <f t="shared" si="84"/>
        <v>17904.403108734645</v>
      </c>
      <c r="H345" s="295">
        <f t="shared" si="84"/>
        <v>17904.403108734645</v>
      </c>
      <c r="I345" s="295">
        <f t="shared" si="84"/>
        <v>17904.403108734645</v>
      </c>
      <c r="J345" s="295">
        <f t="shared" si="84"/>
        <v>17904.403108734645</v>
      </c>
      <c r="K345" s="295">
        <f t="shared" si="84"/>
        <v>17904.403108734645</v>
      </c>
      <c r="L345" s="295">
        <f t="shared" si="84"/>
        <v>17904.403108734645</v>
      </c>
      <c r="M345" s="295">
        <f t="shared" si="84"/>
        <v>17904.403108734645</v>
      </c>
      <c r="N345" s="295">
        <f t="shared" si="84"/>
        <v>17904.403108734645</v>
      </c>
      <c r="O345" s="295">
        <f t="shared" si="84"/>
        <v>17904.403108734645</v>
      </c>
      <c r="P345" s="295">
        <f t="shared" si="84"/>
        <v>17904.403108734645</v>
      </c>
      <c r="Q345" s="295">
        <f t="shared" si="84"/>
        <v>17904.403108734645</v>
      </c>
      <c r="R345" s="295">
        <f t="shared" si="84"/>
        <v>17904.403108734645</v>
      </c>
      <c r="S345" s="295">
        <f t="shared" si="84"/>
        <v>17904.403108734645</v>
      </c>
      <c r="T345" s="295">
        <f t="shared" si="83"/>
        <v>17904.403108734645</v>
      </c>
      <c r="U345" s="295">
        <f t="shared" si="83"/>
        <v>17904.403108734645</v>
      </c>
      <c r="V345" s="295">
        <f t="shared" si="83"/>
        <v>17904.403108734645</v>
      </c>
      <c r="W345" s="295">
        <f t="shared" si="83"/>
        <v>17904.403108734645</v>
      </c>
      <c r="X345" s="295">
        <f t="shared" si="83"/>
        <v>17904.403108734645</v>
      </c>
      <c r="Y345" s="295">
        <f t="shared" si="83"/>
        <v>17904.403108734645</v>
      </c>
      <c r="Z345" s="295">
        <f t="shared" si="83"/>
        <v>17904.403108734645</v>
      </c>
      <c r="AA345" s="295">
        <f t="shared" si="83"/>
        <v>17904.403108734645</v>
      </c>
      <c r="AB345" s="295">
        <f t="shared" si="83"/>
        <v>17904.403108734645</v>
      </c>
      <c r="AC345" s="295">
        <f t="shared" si="83"/>
        <v>17904.403108734645</v>
      </c>
      <c r="AD345" s="295">
        <f t="shared" si="83"/>
        <v>17904.403108734645</v>
      </c>
      <c r="AE345" s="296">
        <f t="shared" si="83"/>
        <v>17904.403108734645</v>
      </c>
    </row>
    <row r="346" spans="1:31">
      <c r="A346" s="1711"/>
      <c r="B346" s="116">
        <v>3</v>
      </c>
      <c r="C346" s="294">
        <f t="shared" si="79"/>
        <v>17546.31504655995</v>
      </c>
      <c r="D346" s="295">
        <f t="shared" si="84"/>
        <v>17546.31504655995</v>
      </c>
      <c r="E346" s="295">
        <f t="shared" si="84"/>
        <v>17546.31504655995</v>
      </c>
      <c r="F346" s="295">
        <f t="shared" si="84"/>
        <v>17546.31504655995</v>
      </c>
      <c r="G346" s="295">
        <f t="shared" si="84"/>
        <v>17546.31504655995</v>
      </c>
      <c r="H346" s="295">
        <f t="shared" si="84"/>
        <v>17546.31504655995</v>
      </c>
      <c r="I346" s="295">
        <f t="shared" si="84"/>
        <v>17546.31504655995</v>
      </c>
      <c r="J346" s="295">
        <f t="shared" si="84"/>
        <v>17546.31504655995</v>
      </c>
      <c r="K346" s="295">
        <f t="shared" si="84"/>
        <v>17546.31504655995</v>
      </c>
      <c r="L346" s="295">
        <f t="shared" si="84"/>
        <v>17546.31504655995</v>
      </c>
      <c r="M346" s="295">
        <f t="shared" si="84"/>
        <v>17546.31504655995</v>
      </c>
      <c r="N346" s="295">
        <f t="shared" si="84"/>
        <v>17546.31504655995</v>
      </c>
      <c r="O346" s="295">
        <f t="shared" si="84"/>
        <v>17546.31504655995</v>
      </c>
      <c r="P346" s="295">
        <f t="shared" si="84"/>
        <v>17546.31504655995</v>
      </c>
      <c r="Q346" s="295">
        <f t="shared" si="84"/>
        <v>17546.31504655995</v>
      </c>
      <c r="R346" s="295">
        <f t="shared" si="84"/>
        <v>17546.31504655995</v>
      </c>
      <c r="S346" s="295">
        <f t="shared" si="84"/>
        <v>17546.31504655995</v>
      </c>
      <c r="T346" s="295">
        <f t="shared" si="83"/>
        <v>17546.31504655995</v>
      </c>
      <c r="U346" s="295">
        <f t="shared" si="83"/>
        <v>17546.31504655995</v>
      </c>
      <c r="V346" s="295">
        <f t="shared" si="83"/>
        <v>17546.31504655995</v>
      </c>
      <c r="W346" s="295">
        <f t="shared" si="83"/>
        <v>17546.31504655995</v>
      </c>
      <c r="X346" s="295">
        <f t="shared" si="83"/>
        <v>17546.31504655995</v>
      </c>
      <c r="Y346" s="295">
        <f t="shared" si="83"/>
        <v>17546.31504655995</v>
      </c>
      <c r="Z346" s="295">
        <f t="shared" si="83"/>
        <v>17546.31504655995</v>
      </c>
      <c r="AA346" s="295">
        <f t="shared" si="83"/>
        <v>17546.31504655995</v>
      </c>
      <c r="AB346" s="295">
        <f t="shared" si="83"/>
        <v>17546.31504655995</v>
      </c>
      <c r="AC346" s="295">
        <f t="shared" si="83"/>
        <v>17546.31504655995</v>
      </c>
      <c r="AD346" s="295">
        <f t="shared" si="83"/>
        <v>17546.31504655995</v>
      </c>
      <c r="AE346" s="296">
        <f t="shared" si="83"/>
        <v>17546.31504655995</v>
      </c>
    </row>
    <row r="347" spans="1:31">
      <c r="A347" s="1711"/>
      <c r="B347" s="116">
        <v>4</v>
      </c>
      <c r="C347" s="294">
        <f t="shared" si="79"/>
        <v>17195.388745628752</v>
      </c>
      <c r="D347" s="295">
        <f t="shared" si="84"/>
        <v>17195.388745628752</v>
      </c>
      <c r="E347" s="295">
        <f t="shared" si="84"/>
        <v>17195.388745628752</v>
      </c>
      <c r="F347" s="295">
        <f t="shared" si="84"/>
        <v>17195.388745628752</v>
      </c>
      <c r="G347" s="295">
        <f t="shared" si="84"/>
        <v>17195.388745628752</v>
      </c>
      <c r="H347" s="295">
        <f t="shared" si="84"/>
        <v>17195.388745628752</v>
      </c>
      <c r="I347" s="295">
        <f t="shared" si="84"/>
        <v>17195.388745628752</v>
      </c>
      <c r="J347" s="295">
        <f t="shared" si="84"/>
        <v>17195.388745628752</v>
      </c>
      <c r="K347" s="295">
        <f t="shared" si="84"/>
        <v>17195.388745628752</v>
      </c>
      <c r="L347" s="295">
        <f t="shared" si="84"/>
        <v>17195.388745628752</v>
      </c>
      <c r="M347" s="295">
        <f t="shared" si="84"/>
        <v>17195.388745628752</v>
      </c>
      <c r="N347" s="295">
        <f t="shared" si="84"/>
        <v>17195.388745628752</v>
      </c>
      <c r="O347" s="295">
        <f t="shared" si="84"/>
        <v>17195.388745628752</v>
      </c>
      <c r="P347" s="295">
        <f t="shared" si="84"/>
        <v>17195.388745628752</v>
      </c>
      <c r="Q347" s="295">
        <f t="shared" si="84"/>
        <v>17195.388745628752</v>
      </c>
      <c r="R347" s="295">
        <f t="shared" si="84"/>
        <v>17195.388745628752</v>
      </c>
      <c r="S347" s="295">
        <f t="shared" si="84"/>
        <v>17195.388745628752</v>
      </c>
      <c r="T347" s="295">
        <f t="shared" si="83"/>
        <v>17195.388745628752</v>
      </c>
      <c r="U347" s="295">
        <f t="shared" si="83"/>
        <v>17195.388745628752</v>
      </c>
      <c r="V347" s="295">
        <f t="shared" si="83"/>
        <v>17195.388745628752</v>
      </c>
      <c r="W347" s="295">
        <f t="shared" si="83"/>
        <v>17195.388745628752</v>
      </c>
      <c r="X347" s="295">
        <f t="shared" si="83"/>
        <v>17195.388745628752</v>
      </c>
      <c r="Y347" s="295">
        <f t="shared" si="83"/>
        <v>17195.388745628752</v>
      </c>
      <c r="Z347" s="295">
        <f t="shared" si="83"/>
        <v>17195.388745628752</v>
      </c>
      <c r="AA347" s="295">
        <f t="shared" si="83"/>
        <v>17195.388745628752</v>
      </c>
      <c r="AB347" s="295">
        <f t="shared" si="83"/>
        <v>17195.388745628752</v>
      </c>
      <c r="AC347" s="295">
        <f t="shared" si="83"/>
        <v>17195.388745628752</v>
      </c>
      <c r="AD347" s="295">
        <f t="shared" si="83"/>
        <v>17195.388745628752</v>
      </c>
      <c r="AE347" s="296">
        <f t="shared" si="83"/>
        <v>17195.388745628752</v>
      </c>
    </row>
    <row r="348" spans="1:31">
      <c r="A348" s="1711"/>
      <c r="B348" s="116">
        <v>5</v>
      </c>
      <c r="C348" s="294">
        <f t="shared" si="79"/>
        <v>16851.480970716177</v>
      </c>
      <c r="D348" s="295">
        <f t="shared" si="84"/>
        <v>16851.480970716177</v>
      </c>
      <c r="E348" s="295">
        <f t="shared" si="84"/>
        <v>16851.480970716177</v>
      </c>
      <c r="F348" s="295">
        <f t="shared" si="84"/>
        <v>16851.480970716177</v>
      </c>
      <c r="G348" s="295">
        <f t="shared" si="84"/>
        <v>16851.480970716177</v>
      </c>
      <c r="H348" s="295">
        <f t="shared" si="84"/>
        <v>16851.480970716177</v>
      </c>
      <c r="I348" s="295">
        <f t="shared" si="84"/>
        <v>16851.480970716177</v>
      </c>
      <c r="J348" s="295">
        <f t="shared" si="84"/>
        <v>16851.480970716177</v>
      </c>
      <c r="K348" s="295">
        <f t="shared" si="84"/>
        <v>16851.480970716177</v>
      </c>
      <c r="L348" s="295">
        <f t="shared" si="84"/>
        <v>16851.480970716177</v>
      </c>
      <c r="M348" s="295">
        <f t="shared" si="84"/>
        <v>16851.480970716177</v>
      </c>
      <c r="N348" s="295">
        <f t="shared" si="84"/>
        <v>16851.480970716177</v>
      </c>
      <c r="O348" s="295">
        <f t="shared" si="84"/>
        <v>16851.480970716177</v>
      </c>
      <c r="P348" s="295">
        <f t="shared" si="84"/>
        <v>16851.480970716177</v>
      </c>
      <c r="Q348" s="295">
        <f t="shared" si="84"/>
        <v>16851.480970716177</v>
      </c>
      <c r="R348" s="295">
        <f t="shared" si="84"/>
        <v>16851.480970716177</v>
      </c>
      <c r="S348" s="295">
        <f t="shared" si="84"/>
        <v>16851.480970716177</v>
      </c>
      <c r="T348" s="295">
        <f t="shared" si="83"/>
        <v>16851.480970716177</v>
      </c>
      <c r="U348" s="295">
        <f t="shared" si="83"/>
        <v>16851.480970716177</v>
      </c>
      <c r="V348" s="295">
        <f t="shared" si="83"/>
        <v>16851.480970716177</v>
      </c>
      <c r="W348" s="295">
        <f t="shared" si="83"/>
        <v>16851.480970716177</v>
      </c>
      <c r="X348" s="295">
        <f t="shared" si="83"/>
        <v>16851.480970716177</v>
      </c>
      <c r="Y348" s="295">
        <f t="shared" si="83"/>
        <v>16851.480970716177</v>
      </c>
      <c r="Z348" s="295">
        <f t="shared" si="83"/>
        <v>16851.480970716177</v>
      </c>
      <c r="AA348" s="295">
        <f t="shared" si="83"/>
        <v>16851.480970716177</v>
      </c>
      <c r="AB348" s="295">
        <f t="shared" si="83"/>
        <v>16851.480970716177</v>
      </c>
      <c r="AC348" s="295">
        <f t="shared" si="83"/>
        <v>16851.480970716177</v>
      </c>
      <c r="AD348" s="295">
        <f t="shared" si="83"/>
        <v>16851.480970716177</v>
      </c>
      <c r="AE348" s="296">
        <f t="shared" si="83"/>
        <v>16851.480970716177</v>
      </c>
    </row>
    <row r="349" spans="1:31">
      <c r="A349" s="1711"/>
      <c r="B349" s="116">
        <v>6</v>
      </c>
      <c r="C349" s="294">
        <f t="shared" si="79"/>
        <v>16514.451351301854</v>
      </c>
      <c r="D349" s="295">
        <f t="shared" si="84"/>
        <v>16514.451351301854</v>
      </c>
      <c r="E349" s="295">
        <f t="shared" si="84"/>
        <v>16514.451351301854</v>
      </c>
      <c r="F349" s="295">
        <f t="shared" si="84"/>
        <v>16514.451351301854</v>
      </c>
      <c r="G349" s="295">
        <f t="shared" si="84"/>
        <v>16514.451351301854</v>
      </c>
      <c r="H349" s="295">
        <f t="shared" si="84"/>
        <v>16514.451351301854</v>
      </c>
      <c r="I349" s="295">
        <f t="shared" si="84"/>
        <v>16514.451351301854</v>
      </c>
      <c r="J349" s="295">
        <f t="shared" si="84"/>
        <v>16514.451351301854</v>
      </c>
      <c r="K349" s="295">
        <f t="shared" si="84"/>
        <v>16514.451351301854</v>
      </c>
      <c r="L349" s="295">
        <f t="shared" si="84"/>
        <v>16514.451351301854</v>
      </c>
      <c r="M349" s="295">
        <f t="shared" si="84"/>
        <v>16514.451351301854</v>
      </c>
      <c r="N349" s="295">
        <f t="shared" si="84"/>
        <v>16514.451351301854</v>
      </c>
      <c r="O349" s="295">
        <f t="shared" si="84"/>
        <v>16514.451351301854</v>
      </c>
      <c r="P349" s="295">
        <f t="shared" si="84"/>
        <v>16514.451351301854</v>
      </c>
      <c r="Q349" s="295">
        <f t="shared" si="84"/>
        <v>16514.451351301854</v>
      </c>
      <c r="R349" s="295">
        <f t="shared" si="84"/>
        <v>16514.451351301854</v>
      </c>
      <c r="S349" s="295">
        <f t="shared" si="84"/>
        <v>16514.451351301854</v>
      </c>
      <c r="T349" s="295">
        <f t="shared" si="83"/>
        <v>16514.451351301854</v>
      </c>
      <c r="U349" s="295">
        <f t="shared" si="83"/>
        <v>16514.451351301854</v>
      </c>
      <c r="V349" s="295">
        <f t="shared" si="83"/>
        <v>16514.451351301854</v>
      </c>
      <c r="W349" s="295">
        <f t="shared" si="83"/>
        <v>16514.451351301854</v>
      </c>
      <c r="X349" s="295">
        <f t="shared" si="83"/>
        <v>16514.451351301854</v>
      </c>
      <c r="Y349" s="295">
        <f t="shared" si="83"/>
        <v>16514.451351301854</v>
      </c>
      <c r="Z349" s="295">
        <f t="shared" si="83"/>
        <v>16514.451351301854</v>
      </c>
      <c r="AA349" s="295">
        <f t="shared" si="83"/>
        <v>16514.451351301854</v>
      </c>
      <c r="AB349" s="295">
        <f t="shared" si="83"/>
        <v>16514.451351301854</v>
      </c>
      <c r="AC349" s="295">
        <f t="shared" si="83"/>
        <v>16514.451351301854</v>
      </c>
      <c r="AD349" s="295">
        <f t="shared" si="83"/>
        <v>16514.451351301854</v>
      </c>
      <c r="AE349" s="296">
        <f t="shared" si="83"/>
        <v>16514.451351301854</v>
      </c>
    </row>
    <row r="350" spans="1:31">
      <c r="A350" s="1711"/>
      <c r="B350" s="116">
        <v>7</v>
      </c>
      <c r="C350" s="294">
        <f t="shared" si="79"/>
        <v>16184.162324275816</v>
      </c>
      <c r="D350" s="295">
        <f t="shared" si="84"/>
        <v>16184.162324275816</v>
      </c>
      <c r="E350" s="295">
        <f t="shared" si="84"/>
        <v>16184.162324275816</v>
      </c>
      <c r="F350" s="295">
        <f t="shared" si="84"/>
        <v>16184.162324275816</v>
      </c>
      <c r="G350" s="295">
        <f t="shared" si="84"/>
        <v>16184.162324275816</v>
      </c>
      <c r="H350" s="295">
        <f t="shared" si="84"/>
        <v>16184.162324275816</v>
      </c>
      <c r="I350" s="295">
        <f t="shared" si="84"/>
        <v>16184.162324275816</v>
      </c>
      <c r="J350" s="295">
        <f t="shared" si="84"/>
        <v>16184.162324275816</v>
      </c>
      <c r="K350" s="295">
        <f t="shared" si="84"/>
        <v>16184.162324275816</v>
      </c>
      <c r="L350" s="295">
        <f t="shared" si="84"/>
        <v>16184.162324275816</v>
      </c>
      <c r="M350" s="295">
        <f t="shared" si="84"/>
        <v>16184.162324275816</v>
      </c>
      <c r="N350" s="295">
        <f t="shared" si="84"/>
        <v>16184.162324275816</v>
      </c>
      <c r="O350" s="295">
        <f t="shared" si="84"/>
        <v>16184.162324275816</v>
      </c>
      <c r="P350" s="295">
        <f t="shared" si="84"/>
        <v>16184.162324275816</v>
      </c>
      <c r="Q350" s="295">
        <f t="shared" si="84"/>
        <v>16184.162324275816</v>
      </c>
      <c r="R350" s="295">
        <f t="shared" si="84"/>
        <v>16184.162324275816</v>
      </c>
      <c r="S350" s="295">
        <f t="shared" si="84"/>
        <v>16184.162324275816</v>
      </c>
      <c r="T350" s="295">
        <f t="shared" si="83"/>
        <v>16184.162324275816</v>
      </c>
      <c r="U350" s="295">
        <f t="shared" si="83"/>
        <v>16184.162324275816</v>
      </c>
      <c r="V350" s="295">
        <f t="shared" si="83"/>
        <v>16184.162324275816</v>
      </c>
      <c r="W350" s="295">
        <f t="shared" si="83"/>
        <v>16184.162324275816</v>
      </c>
      <c r="X350" s="295">
        <f t="shared" si="83"/>
        <v>16184.162324275816</v>
      </c>
      <c r="Y350" s="295">
        <f t="shared" si="83"/>
        <v>16184.162324275816</v>
      </c>
      <c r="Z350" s="295">
        <f t="shared" si="83"/>
        <v>16184.162324275816</v>
      </c>
      <c r="AA350" s="295">
        <f t="shared" si="83"/>
        <v>16184.162324275816</v>
      </c>
      <c r="AB350" s="295">
        <f t="shared" si="83"/>
        <v>16184.162324275816</v>
      </c>
      <c r="AC350" s="295">
        <f t="shared" si="83"/>
        <v>16184.162324275816</v>
      </c>
      <c r="AD350" s="295">
        <f t="shared" si="83"/>
        <v>16184.162324275816</v>
      </c>
      <c r="AE350" s="296">
        <f t="shared" si="83"/>
        <v>16184.162324275816</v>
      </c>
    </row>
    <row r="351" spans="1:31">
      <c r="A351" s="1711"/>
      <c r="B351" s="116">
        <v>8</v>
      </c>
      <c r="C351" s="294">
        <f t="shared" si="79"/>
        <v>15860.4790777903</v>
      </c>
      <c r="D351" s="295">
        <f t="shared" si="84"/>
        <v>15860.4790777903</v>
      </c>
      <c r="E351" s="295">
        <f t="shared" si="84"/>
        <v>15860.4790777903</v>
      </c>
      <c r="F351" s="295">
        <f t="shared" si="84"/>
        <v>15860.4790777903</v>
      </c>
      <c r="G351" s="295">
        <f t="shared" si="84"/>
        <v>15860.4790777903</v>
      </c>
      <c r="H351" s="295">
        <f t="shared" si="84"/>
        <v>15860.4790777903</v>
      </c>
      <c r="I351" s="295">
        <f t="shared" si="84"/>
        <v>15860.4790777903</v>
      </c>
      <c r="J351" s="295">
        <f t="shared" si="84"/>
        <v>15860.4790777903</v>
      </c>
      <c r="K351" s="295">
        <f t="shared" si="84"/>
        <v>15860.4790777903</v>
      </c>
      <c r="L351" s="295">
        <f t="shared" si="84"/>
        <v>15860.4790777903</v>
      </c>
      <c r="M351" s="295">
        <f t="shared" si="84"/>
        <v>15860.4790777903</v>
      </c>
      <c r="N351" s="295">
        <f t="shared" si="84"/>
        <v>15860.4790777903</v>
      </c>
      <c r="O351" s="295">
        <f t="shared" si="84"/>
        <v>15860.4790777903</v>
      </c>
      <c r="P351" s="295">
        <f t="shared" si="84"/>
        <v>15860.4790777903</v>
      </c>
      <c r="Q351" s="295">
        <f t="shared" si="84"/>
        <v>15860.4790777903</v>
      </c>
      <c r="R351" s="295">
        <f t="shared" si="84"/>
        <v>15860.4790777903</v>
      </c>
      <c r="S351" s="295">
        <f t="shared" si="84"/>
        <v>15860.4790777903</v>
      </c>
      <c r="T351" s="295">
        <f t="shared" si="83"/>
        <v>15860.4790777903</v>
      </c>
      <c r="U351" s="295">
        <f t="shared" si="83"/>
        <v>15860.4790777903</v>
      </c>
      <c r="V351" s="295">
        <f t="shared" si="83"/>
        <v>15860.4790777903</v>
      </c>
      <c r="W351" s="295">
        <f t="shared" si="83"/>
        <v>15860.4790777903</v>
      </c>
      <c r="X351" s="295">
        <f t="shared" si="83"/>
        <v>15860.4790777903</v>
      </c>
      <c r="Y351" s="295">
        <f t="shared" si="83"/>
        <v>15860.4790777903</v>
      </c>
      <c r="Z351" s="295">
        <f t="shared" si="83"/>
        <v>15860.4790777903</v>
      </c>
      <c r="AA351" s="295">
        <f t="shared" si="83"/>
        <v>15860.4790777903</v>
      </c>
      <c r="AB351" s="295">
        <f t="shared" si="83"/>
        <v>15860.4790777903</v>
      </c>
      <c r="AC351" s="295">
        <f t="shared" si="83"/>
        <v>15860.4790777903</v>
      </c>
      <c r="AD351" s="295">
        <f t="shared" si="83"/>
        <v>15860.4790777903</v>
      </c>
      <c r="AE351" s="296">
        <f t="shared" si="83"/>
        <v>15860.4790777903</v>
      </c>
    </row>
    <row r="352" spans="1:31">
      <c r="A352" s="1711"/>
      <c r="B352" s="116">
        <v>9</v>
      </c>
      <c r="C352" s="294">
        <f t="shared" si="79"/>
        <v>15543.269496234494</v>
      </c>
      <c r="D352" s="295">
        <f t="shared" si="84"/>
        <v>15543.269496234494</v>
      </c>
      <c r="E352" s="295">
        <f t="shared" si="84"/>
        <v>15543.269496234494</v>
      </c>
      <c r="F352" s="295">
        <f t="shared" si="84"/>
        <v>15543.269496234494</v>
      </c>
      <c r="G352" s="295">
        <f t="shared" si="84"/>
        <v>15543.269496234494</v>
      </c>
      <c r="H352" s="295">
        <f t="shared" si="84"/>
        <v>15543.269496234494</v>
      </c>
      <c r="I352" s="295">
        <f t="shared" si="84"/>
        <v>15543.269496234494</v>
      </c>
      <c r="J352" s="295">
        <f t="shared" si="84"/>
        <v>15543.269496234494</v>
      </c>
      <c r="K352" s="295">
        <f t="shared" si="84"/>
        <v>15543.269496234494</v>
      </c>
      <c r="L352" s="295">
        <f t="shared" si="84"/>
        <v>15543.269496234494</v>
      </c>
      <c r="M352" s="295">
        <f t="shared" si="84"/>
        <v>15543.269496234494</v>
      </c>
      <c r="N352" s="295">
        <f t="shared" si="84"/>
        <v>15543.269496234494</v>
      </c>
      <c r="O352" s="295">
        <f t="shared" si="84"/>
        <v>15543.269496234494</v>
      </c>
      <c r="P352" s="295">
        <f t="shared" si="84"/>
        <v>15543.269496234494</v>
      </c>
      <c r="Q352" s="295">
        <f t="shared" si="84"/>
        <v>15543.269496234494</v>
      </c>
      <c r="R352" s="295">
        <f t="shared" si="84"/>
        <v>15543.269496234494</v>
      </c>
      <c r="S352" s="295">
        <f t="shared" si="84"/>
        <v>15543.269496234494</v>
      </c>
      <c r="T352" s="295">
        <f t="shared" si="83"/>
        <v>15543.269496234494</v>
      </c>
      <c r="U352" s="295">
        <f t="shared" si="83"/>
        <v>15543.269496234494</v>
      </c>
      <c r="V352" s="295">
        <f t="shared" si="83"/>
        <v>15543.269496234494</v>
      </c>
      <c r="W352" s="295">
        <f t="shared" si="83"/>
        <v>15543.269496234494</v>
      </c>
      <c r="X352" s="295">
        <f t="shared" si="83"/>
        <v>15543.269496234494</v>
      </c>
      <c r="Y352" s="295">
        <f t="shared" si="83"/>
        <v>15543.269496234494</v>
      </c>
      <c r="Z352" s="295">
        <f t="shared" si="83"/>
        <v>15543.269496234494</v>
      </c>
      <c r="AA352" s="295">
        <f t="shared" si="83"/>
        <v>15543.269496234494</v>
      </c>
      <c r="AB352" s="295">
        <f t="shared" si="83"/>
        <v>15543.269496234494</v>
      </c>
      <c r="AC352" s="295">
        <f t="shared" si="83"/>
        <v>15543.269496234494</v>
      </c>
      <c r="AD352" s="295">
        <f t="shared" si="83"/>
        <v>15543.269496234494</v>
      </c>
      <c r="AE352" s="296">
        <f t="shared" si="83"/>
        <v>15543.269496234494</v>
      </c>
    </row>
    <row r="353" spans="1:31">
      <c r="A353" s="1711"/>
      <c r="B353" s="116">
        <v>10</v>
      </c>
      <c r="C353" s="294">
        <f t="shared" si="79"/>
        <v>15232.404106309803</v>
      </c>
      <c r="D353" s="295">
        <f t="shared" si="84"/>
        <v>15232.404106309803</v>
      </c>
      <c r="E353" s="295">
        <f t="shared" si="84"/>
        <v>15232.404106309803</v>
      </c>
      <c r="F353" s="295">
        <f t="shared" si="84"/>
        <v>15232.404106309803</v>
      </c>
      <c r="G353" s="295">
        <f t="shared" si="84"/>
        <v>15232.404106309803</v>
      </c>
      <c r="H353" s="295">
        <f t="shared" si="84"/>
        <v>15232.404106309803</v>
      </c>
      <c r="I353" s="295">
        <f t="shared" si="84"/>
        <v>15232.404106309803</v>
      </c>
      <c r="J353" s="295">
        <f t="shared" si="84"/>
        <v>15232.404106309803</v>
      </c>
      <c r="K353" s="295">
        <f t="shared" si="84"/>
        <v>15232.404106309803</v>
      </c>
      <c r="L353" s="295">
        <f t="shared" si="84"/>
        <v>15232.404106309803</v>
      </c>
      <c r="M353" s="295">
        <f t="shared" si="84"/>
        <v>15232.404106309803</v>
      </c>
      <c r="N353" s="295">
        <f t="shared" si="84"/>
        <v>15232.404106309803</v>
      </c>
      <c r="O353" s="295">
        <f t="shared" si="84"/>
        <v>15232.404106309803</v>
      </c>
      <c r="P353" s="295">
        <f t="shared" si="84"/>
        <v>15232.404106309803</v>
      </c>
      <c r="Q353" s="295">
        <f t="shared" si="84"/>
        <v>15232.404106309803</v>
      </c>
      <c r="R353" s="295">
        <f t="shared" si="84"/>
        <v>15232.404106309803</v>
      </c>
      <c r="S353" s="295">
        <f t="shared" si="84"/>
        <v>15232.404106309803</v>
      </c>
      <c r="T353" s="295">
        <f t="shared" si="83"/>
        <v>15232.404106309803</v>
      </c>
      <c r="U353" s="295">
        <f t="shared" si="83"/>
        <v>15232.404106309803</v>
      </c>
      <c r="V353" s="295">
        <f t="shared" si="83"/>
        <v>15232.404106309803</v>
      </c>
      <c r="W353" s="295">
        <f t="shared" si="83"/>
        <v>15232.404106309803</v>
      </c>
      <c r="X353" s="295">
        <f t="shared" si="83"/>
        <v>15232.404106309803</v>
      </c>
      <c r="Y353" s="295">
        <f t="shared" si="83"/>
        <v>15232.404106309803</v>
      </c>
      <c r="Z353" s="295">
        <f t="shared" si="83"/>
        <v>15232.404106309803</v>
      </c>
      <c r="AA353" s="295">
        <f t="shared" si="83"/>
        <v>15232.404106309803</v>
      </c>
      <c r="AB353" s="295">
        <f t="shared" si="83"/>
        <v>15232.404106309803</v>
      </c>
      <c r="AC353" s="295">
        <f t="shared" si="83"/>
        <v>15232.404106309803</v>
      </c>
      <c r="AD353" s="295">
        <f t="shared" si="83"/>
        <v>15232.404106309803</v>
      </c>
      <c r="AE353" s="296">
        <f t="shared" si="83"/>
        <v>15232.404106309803</v>
      </c>
    </row>
    <row r="354" spans="1:31">
      <c r="A354" s="1711"/>
      <c r="B354" s="116">
        <v>11</v>
      </c>
      <c r="C354" s="294">
        <f t="shared" si="79"/>
        <v>14927.756024183607</v>
      </c>
      <c r="D354" s="295">
        <f t="shared" si="84"/>
        <v>14927.756024183607</v>
      </c>
      <c r="E354" s="295">
        <f t="shared" si="84"/>
        <v>14927.756024183607</v>
      </c>
      <c r="F354" s="295">
        <f t="shared" si="84"/>
        <v>14927.756024183607</v>
      </c>
      <c r="G354" s="295">
        <f t="shared" si="84"/>
        <v>14927.756024183607</v>
      </c>
      <c r="H354" s="295">
        <f t="shared" si="84"/>
        <v>14927.756024183607</v>
      </c>
      <c r="I354" s="295">
        <f t="shared" si="84"/>
        <v>14927.756024183607</v>
      </c>
      <c r="J354" s="295">
        <f t="shared" si="84"/>
        <v>14927.756024183607</v>
      </c>
      <c r="K354" s="295">
        <f t="shared" si="84"/>
        <v>14927.756024183607</v>
      </c>
      <c r="L354" s="295">
        <f t="shared" si="84"/>
        <v>14927.756024183607</v>
      </c>
      <c r="M354" s="295">
        <f t="shared" si="84"/>
        <v>14927.756024183607</v>
      </c>
      <c r="N354" s="295">
        <f t="shared" si="84"/>
        <v>14927.756024183607</v>
      </c>
      <c r="O354" s="295">
        <f t="shared" si="84"/>
        <v>14927.756024183607</v>
      </c>
      <c r="P354" s="295">
        <f t="shared" si="84"/>
        <v>14927.756024183607</v>
      </c>
      <c r="Q354" s="295">
        <f t="shared" si="84"/>
        <v>14927.756024183607</v>
      </c>
      <c r="R354" s="295">
        <f t="shared" si="84"/>
        <v>14927.756024183607</v>
      </c>
      <c r="S354" s="295">
        <f t="shared" si="84"/>
        <v>14927.756024183607</v>
      </c>
      <c r="T354" s="295">
        <f t="shared" si="83"/>
        <v>14927.756024183607</v>
      </c>
      <c r="U354" s="295">
        <f t="shared" si="83"/>
        <v>14927.756024183607</v>
      </c>
      <c r="V354" s="295">
        <f t="shared" si="83"/>
        <v>14927.756024183607</v>
      </c>
      <c r="W354" s="295">
        <f t="shared" si="83"/>
        <v>14927.756024183607</v>
      </c>
      <c r="X354" s="295">
        <f t="shared" si="83"/>
        <v>14927.756024183607</v>
      </c>
      <c r="Y354" s="295">
        <f t="shared" si="83"/>
        <v>14927.756024183607</v>
      </c>
      <c r="Z354" s="295">
        <f t="shared" si="83"/>
        <v>14927.756024183607</v>
      </c>
      <c r="AA354" s="295">
        <f t="shared" si="83"/>
        <v>14927.756024183607</v>
      </c>
      <c r="AB354" s="295">
        <f t="shared" si="83"/>
        <v>14927.756024183607</v>
      </c>
      <c r="AC354" s="295">
        <f t="shared" si="83"/>
        <v>14927.756024183607</v>
      </c>
      <c r="AD354" s="295">
        <f t="shared" si="83"/>
        <v>14927.756024183607</v>
      </c>
      <c r="AE354" s="296">
        <f t="shared" si="83"/>
        <v>14927.756024183607</v>
      </c>
    </row>
    <row r="355" spans="1:31">
      <c r="A355" s="1711"/>
      <c r="B355" s="116">
        <v>12</v>
      </c>
      <c r="C355" s="294">
        <f t="shared" si="79"/>
        <v>14629.200903699935</v>
      </c>
      <c r="D355" s="295">
        <f t="shared" si="84"/>
        <v>14629.200903699935</v>
      </c>
      <c r="E355" s="295">
        <f t="shared" si="84"/>
        <v>14629.200903699935</v>
      </c>
      <c r="F355" s="295">
        <f t="shared" si="84"/>
        <v>14629.200903699935</v>
      </c>
      <c r="G355" s="295">
        <f t="shared" si="84"/>
        <v>14629.200903699935</v>
      </c>
      <c r="H355" s="295">
        <f t="shared" si="84"/>
        <v>14629.200903699935</v>
      </c>
      <c r="I355" s="295">
        <f t="shared" si="84"/>
        <v>14629.200903699935</v>
      </c>
      <c r="J355" s="295">
        <f t="shared" si="84"/>
        <v>14629.200903699935</v>
      </c>
      <c r="K355" s="295">
        <f t="shared" si="84"/>
        <v>14629.200903699935</v>
      </c>
      <c r="L355" s="295">
        <f t="shared" si="84"/>
        <v>14629.200903699935</v>
      </c>
      <c r="M355" s="295">
        <f t="shared" si="84"/>
        <v>14629.200903699935</v>
      </c>
      <c r="N355" s="295">
        <f t="shared" si="84"/>
        <v>14629.200903699935</v>
      </c>
      <c r="O355" s="295">
        <f t="shared" si="84"/>
        <v>14629.200903699935</v>
      </c>
      <c r="P355" s="295">
        <f t="shared" si="84"/>
        <v>14629.200903699935</v>
      </c>
      <c r="Q355" s="295">
        <f t="shared" si="84"/>
        <v>14629.200903699935</v>
      </c>
      <c r="R355" s="295">
        <f t="shared" si="84"/>
        <v>14629.200903699935</v>
      </c>
      <c r="S355" s="295">
        <f t="shared" si="84"/>
        <v>14629.200903699935</v>
      </c>
      <c r="T355" s="295">
        <f t="shared" si="83"/>
        <v>14629.200903699935</v>
      </c>
      <c r="U355" s="295">
        <f t="shared" si="83"/>
        <v>14629.200903699935</v>
      </c>
      <c r="V355" s="295">
        <f t="shared" si="83"/>
        <v>14629.200903699935</v>
      </c>
      <c r="W355" s="295">
        <f t="shared" si="83"/>
        <v>14629.200903699935</v>
      </c>
      <c r="X355" s="295">
        <f t="shared" si="83"/>
        <v>14629.200903699935</v>
      </c>
      <c r="Y355" s="295">
        <f t="shared" si="83"/>
        <v>14629.200903699935</v>
      </c>
      <c r="Z355" s="295">
        <f t="shared" si="83"/>
        <v>14629.200903699935</v>
      </c>
      <c r="AA355" s="295">
        <f t="shared" si="83"/>
        <v>14629.200903699935</v>
      </c>
      <c r="AB355" s="295">
        <f t="shared" si="83"/>
        <v>14629.200903699935</v>
      </c>
      <c r="AC355" s="295">
        <f t="shared" si="83"/>
        <v>14629.200903699935</v>
      </c>
      <c r="AD355" s="295">
        <f t="shared" si="83"/>
        <v>14629.200903699935</v>
      </c>
      <c r="AE355" s="296">
        <f t="shared" si="83"/>
        <v>14629.200903699935</v>
      </c>
    </row>
    <row r="356" spans="1:31">
      <c r="A356" s="1711"/>
      <c r="B356" s="116">
        <v>13</v>
      </c>
      <c r="C356" s="294">
        <f t="shared" si="79"/>
        <v>14336.616885625936</v>
      </c>
      <c r="D356" s="295">
        <f t="shared" si="84"/>
        <v>14336.616885625936</v>
      </c>
      <c r="E356" s="295">
        <f t="shared" si="84"/>
        <v>14336.616885625936</v>
      </c>
      <c r="F356" s="295">
        <f t="shared" si="84"/>
        <v>14336.616885625936</v>
      </c>
      <c r="G356" s="295">
        <f t="shared" si="84"/>
        <v>14336.616885625936</v>
      </c>
      <c r="H356" s="295">
        <f t="shared" si="84"/>
        <v>14336.616885625936</v>
      </c>
      <c r="I356" s="295">
        <f t="shared" si="84"/>
        <v>14336.616885625936</v>
      </c>
      <c r="J356" s="295">
        <f t="shared" si="84"/>
        <v>14336.616885625936</v>
      </c>
      <c r="K356" s="295">
        <f t="shared" si="84"/>
        <v>14336.616885625936</v>
      </c>
      <c r="L356" s="295">
        <f t="shared" si="84"/>
        <v>14336.616885625936</v>
      </c>
      <c r="M356" s="295">
        <f t="shared" si="84"/>
        <v>14336.616885625936</v>
      </c>
      <c r="N356" s="295">
        <f t="shared" si="84"/>
        <v>14336.616885625936</v>
      </c>
      <c r="O356" s="295">
        <f t="shared" si="84"/>
        <v>14336.616885625936</v>
      </c>
      <c r="P356" s="295">
        <f t="shared" si="84"/>
        <v>14336.616885625936</v>
      </c>
      <c r="Q356" s="295">
        <f t="shared" si="84"/>
        <v>14336.616885625936</v>
      </c>
      <c r="R356" s="295">
        <f t="shared" si="84"/>
        <v>14336.616885625936</v>
      </c>
      <c r="S356" s="295">
        <f t="shared" si="84"/>
        <v>14336.616885625936</v>
      </c>
      <c r="T356" s="295">
        <f t="shared" si="83"/>
        <v>14336.616885625936</v>
      </c>
      <c r="U356" s="295">
        <f t="shared" si="83"/>
        <v>14336.616885625936</v>
      </c>
      <c r="V356" s="295">
        <f t="shared" si="83"/>
        <v>14336.616885625936</v>
      </c>
      <c r="W356" s="295">
        <f t="shared" si="83"/>
        <v>14336.616885625936</v>
      </c>
      <c r="X356" s="295">
        <f t="shared" si="83"/>
        <v>14336.616885625936</v>
      </c>
      <c r="Y356" s="295">
        <f t="shared" si="83"/>
        <v>14336.616885625936</v>
      </c>
      <c r="Z356" s="295">
        <f t="shared" si="83"/>
        <v>14336.616885625936</v>
      </c>
      <c r="AA356" s="295">
        <f t="shared" si="83"/>
        <v>14336.616885625936</v>
      </c>
      <c r="AB356" s="295">
        <f t="shared" si="83"/>
        <v>14336.616885625936</v>
      </c>
      <c r="AC356" s="295">
        <f t="shared" si="83"/>
        <v>14336.616885625936</v>
      </c>
      <c r="AD356" s="295">
        <f t="shared" si="83"/>
        <v>14336.616885625936</v>
      </c>
      <c r="AE356" s="296">
        <f t="shared" si="83"/>
        <v>14336.616885625936</v>
      </c>
    </row>
    <row r="357" spans="1:31">
      <c r="A357" s="1711"/>
      <c r="B357" s="116">
        <v>14</v>
      </c>
      <c r="C357" s="294">
        <f t="shared" si="79"/>
        <v>14049.884547913416</v>
      </c>
      <c r="D357" s="295">
        <f t="shared" si="84"/>
        <v>14049.884547913416</v>
      </c>
      <c r="E357" s="295">
        <f t="shared" si="84"/>
        <v>14049.884547913416</v>
      </c>
      <c r="F357" s="295">
        <f t="shared" si="84"/>
        <v>14049.884547913416</v>
      </c>
      <c r="G357" s="295">
        <f t="shared" si="84"/>
        <v>14049.884547913416</v>
      </c>
      <c r="H357" s="295">
        <f t="shared" si="84"/>
        <v>14049.884547913416</v>
      </c>
      <c r="I357" s="295">
        <f t="shared" si="84"/>
        <v>14049.884547913416</v>
      </c>
      <c r="J357" s="295">
        <f t="shared" si="84"/>
        <v>14049.884547913416</v>
      </c>
      <c r="K357" s="295">
        <f t="shared" si="84"/>
        <v>14049.884547913416</v>
      </c>
      <c r="L357" s="295">
        <f t="shared" si="84"/>
        <v>14049.884547913416</v>
      </c>
      <c r="M357" s="295">
        <f t="shared" si="84"/>
        <v>14049.884547913416</v>
      </c>
      <c r="N357" s="295">
        <f t="shared" si="84"/>
        <v>14049.884547913416</v>
      </c>
      <c r="O357" s="295">
        <f t="shared" si="84"/>
        <v>14049.884547913416</v>
      </c>
      <c r="P357" s="295">
        <f t="shared" si="84"/>
        <v>14049.884547913416</v>
      </c>
      <c r="Q357" s="295">
        <f t="shared" si="84"/>
        <v>14049.884547913416</v>
      </c>
      <c r="R357" s="295">
        <f t="shared" si="84"/>
        <v>14049.884547913416</v>
      </c>
      <c r="S357" s="295">
        <f t="shared" si="84"/>
        <v>14049.884547913416</v>
      </c>
      <c r="T357" s="295">
        <f t="shared" si="83"/>
        <v>14049.884547913416</v>
      </c>
      <c r="U357" s="295">
        <f t="shared" si="83"/>
        <v>14049.884547913416</v>
      </c>
      <c r="V357" s="295">
        <f t="shared" si="83"/>
        <v>14049.884547913416</v>
      </c>
      <c r="W357" s="295">
        <f t="shared" si="83"/>
        <v>14049.884547913416</v>
      </c>
      <c r="X357" s="295">
        <f t="shared" si="83"/>
        <v>14049.884547913416</v>
      </c>
      <c r="Y357" s="295">
        <f t="shared" si="83"/>
        <v>14049.884547913416</v>
      </c>
      <c r="Z357" s="295">
        <f t="shared" si="83"/>
        <v>14049.884547913416</v>
      </c>
      <c r="AA357" s="295">
        <f t="shared" si="83"/>
        <v>14049.884547913416</v>
      </c>
      <c r="AB357" s="295">
        <f t="shared" si="83"/>
        <v>14049.884547913416</v>
      </c>
      <c r="AC357" s="295">
        <f t="shared" si="83"/>
        <v>14049.884547913416</v>
      </c>
      <c r="AD357" s="295">
        <f t="shared" si="83"/>
        <v>14049.884547913416</v>
      </c>
      <c r="AE357" s="296">
        <f t="shared" si="83"/>
        <v>14049.884547913416</v>
      </c>
    </row>
    <row r="358" spans="1:31">
      <c r="A358" s="1711"/>
      <c r="B358" s="116">
        <v>15</v>
      </c>
      <c r="C358" s="294">
        <f t="shared" si="79"/>
        <v>13768.886856955147</v>
      </c>
      <c r="D358" s="295">
        <f t="shared" si="84"/>
        <v>13768.886856955147</v>
      </c>
      <c r="E358" s="295">
        <f t="shared" si="84"/>
        <v>13768.886856955147</v>
      </c>
      <c r="F358" s="295">
        <f t="shared" si="84"/>
        <v>13768.886856955147</v>
      </c>
      <c r="G358" s="295">
        <f t="shared" si="84"/>
        <v>13768.886856955147</v>
      </c>
      <c r="H358" s="295">
        <f t="shared" si="84"/>
        <v>13768.886856955147</v>
      </c>
      <c r="I358" s="295">
        <f t="shared" si="84"/>
        <v>13768.886856955147</v>
      </c>
      <c r="J358" s="295">
        <f t="shared" si="84"/>
        <v>13768.886856955147</v>
      </c>
      <c r="K358" s="295">
        <f t="shared" si="84"/>
        <v>13768.886856955147</v>
      </c>
      <c r="L358" s="295">
        <f t="shared" si="84"/>
        <v>13768.886856955147</v>
      </c>
      <c r="M358" s="295">
        <f t="shared" si="84"/>
        <v>13768.886856955147</v>
      </c>
      <c r="N358" s="295">
        <f t="shared" si="84"/>
        <v>13768.886856955147</v>
      </c>
      <c r="O358" s="295">
        <f t="shared" si="84"/>
        <v>13768.886856955147</v>
      </c>
      <c r="P358" s="295">
        <f t="shared" si="84"/>
        <v>13768.886856955147</v>
      </c>
      <c r="Q358" s="295">
        <f t="shared" si="84"/>
        <v>13768.886856955147</v>
      </c>
      <c r="R358" s="295">
        <f t="shared" si="84"/>
        <v>13768.886856955147</v>
      </c>
      <c r="S358" s="295">
        <f t="shared" si="84"/>
        <v>13768.886856955147</v>
      </c>
      <c r="T358" s="295">
        <f t="shared" si="83"/>
        <v>13768.886856955147</v>
      </c>
      <c r="U358" s="295">
        <f t="shared" si="83"/>
        <v>13768.886856955147</v>
      </c>
      <c r="V358" s="295">
        <f t="shared" si="83"/>
        <v>13768.886856955147</v>
      </c>
      <c r="W358" s="295">
        <f t="shared" si="83"/>
        <v>13768.886856955147</v>
      </c>
      <c r="X358" s="295">
        <f t="shared" si="83"/>
        <v>13768.886856955147</v>
      </c>
      <c r="Y358" s="295">
        <f t="shared" si="83"/>
        <v>13768.886856955147</v>
      </c>
      <c r="Z358" s="295">
        <f t="shared" si="83"/>
        <v>13768.886856955147</v>
      </c>
      <c r="AA358" s="295">
        <f t="shared" si="83"/>
        <v>13768.886856955147</v>
      </c>
      <c r="AB358" s="295">
        <f t="shared" si="83"/>
        <v>13768.886856955147</v>
      </c>
      <c r="AC358" s="295">
        <f t="shared" si="83"/>
        <v>13768.886856955147</v>
      </c>
      <c r="AD358" s="295">
        <f t="shared" si="83"/>
        <v>13768.886856955147</v>
      </c>
      <c r="AE358" s="296">
        <f t="shared" si="83"/>
        <v>13768.886856955147</v>
      </c>
    </row>
    <row r="359" spans="1:31">
      <c r="A359" s="1711"/>
      <c r="B359" s="116">
        <v>16</v>
      </c>
      <c r="C359" s="294">
        <f t="shared" si="79"/>
        <v>13493.509119816044</v>
      </c>
      <c r="D359" s="295">
        <f t="shared" si="84"/>
        <v>13493.509119816044</v>
      </c>
      <c r="E359" s="295">
        <f t="shared" si="84"/>
        <v>13493.509119816044</v>
      </c>
      <c r="F359" s="295">
        <f t="shared" si="84"/>
        <v>13493.509119816044</v>
      </c>
      <c r="G359" s="295">
        <f t="shared" si="84"/>
        <v>13493.509119816044</v>
      </c>
      <c r="H359" s="295">
        <f t="shared" si="84"/>
        <v>13493.509119816044</v>
      </c>
      <c r="I359" s="295">
        <f t="shared" si="84"/>
        <v>13493.509119816044</v>
      </c>
      <c r="J359" s="295">
        <f t="shared" si="84"/>
        <v>13493.509119816044</v>
      </c>
      <c r="K359" s="295">
        <f t="shared" si="84"/>
        <v>13493.509119816044</v>
      </c>
      <c r="L359" s="295">
        <f t="shared" si="84"/>
        <v>13493.509119816044</v>
      </c>
      <c r="M359" s="295">
        <f t="shared" si="84"/>
        <v>13493.509119816044</v>
      </c>
      <c r="N359" s="295">
        <f t="shared" si="84"/>
        <v>13493.509119816044</v>
      </c>
      <c r="O359" s="295">
        <f t="shared" si="84"/>
        <v>13493.509119816044</v>
      </c>
      <c r="P359" s="295">
        <f t="shared" si="84"/>
        <v>13493.509119816044</v>
      </c>
      <c r="Q359" s="295">
        <f t="shared" si="84"/>
        <v>13493.509119816044</v>
      </c>
      <c r="R359" s="295">
        <f t="shared" si="84"/>
        <v>13493.509119816044</v>
      </c>
      <c r="S359" s="295">
        <f t="shared" ref="S359:AE368" si="85">R359</f>
        <v>13493.509119816044</v>
      </c>
      <c r="T359" s="295">
        <f t="shared" si="85"/>
        <v>13493.509119816044</v>
      </c>
      <c r="U359" s="295">
        <f t="shared" si="85"/>
        <v>13493.509119816044</v>
      </c>
      <c r="V359" s="295">
        <f t="shared" si="85"/>
        <v>13493.509119816044</v>
      </c>
      <c r="W359" s="295">
        <f t="shared" si="85"/>
        <v>13493.509119816044</v>
      </c>
      <c r="X359" s="295">
        <f t="shared" si="85"/>
        <v>13493.509119816044</v>
      </c>
      <c r="Y359" s="295">
        <f t="shared" si="85"/>
        <v>13493.509119816044</v>
      </c>
      <c r="Z359" s="295">
        <f t="shared" si="85"/>
        <v>13493.509119816044</v>
      </c>
      <c r="AA359" s="295">
        <f t="shared" si="85"/>
        <v>13493.509119816044</v>
      </c>
      <c r="AB359" s="295">
        <f t="shared" si="85"/>
        <v>13493.509119816044</v>
      </c>
      <c r="AC359" s="295">
        <f t="shared" si="85"/>
        <v>13493.509119816044</v>
      </c>
      <c r="AD359" s="295">
        <f t="shared" si="85"/>
        <v>13493.509119816044</v>
      </c>
      <c r="AE359" s="296">
        <f t="shared" si="85"/>
        <v>13493.509119816044</v>
      </c>
    </row>
    <row r="360" spans="1:31">
      <c r="A360" s="1711"/>
      <c r="B360" s="116">
        <v>17</v>
      </c>
      <c r="C360" s="294">
        <f t="shared" si="79"/>
        <v>13493.509119816044</v>
      </c>
      <c r="D360" s="295">
        <f t="shared" ref="D360:S368" si="86">C360</f>
        <v>13493.509119816044</v>
      </c>
      <c r="E360" s="295">
        <f t="shared" si="86"/>
        <v>13493.509119816044</v>
      </c>
      <c r="F360" s="295">
        <f t="shared" si="86"/>
        <v>13493.509119816044</v>
      </c>
      <c r="G360" s="295">
        <f t="shared" si="86"/>
        <v>13493.509119816044</v>
      </c>
      <c r="H360" s="295">
        <f t="shared" si="86"/>
        <v>13493.509119816044</v>
      </c>
      <c r="I360" s="295">
        <f t="shared" si="86"/>
        <v>13493.509119816044</v>
      </c>
      <c r="J360" s="295">
        <f t="shared" si="86"/>
        <v>13493.509119816044</v>
      </c>
      <c r="K360" s="295">
        <f t="shared" si="86"/>
        <v>13493.509119816044</v>
      </c>
      <c r="L360" s="295">
        <f t="shared" si="86"/>
        <v>13493.509119816044</v>
      </c>
      <c r="M360" s="295">
        <f t="shared" si="86"/>
        <v>13493.509119816044</v>
      </c>
      <c r="N360" s="295">
        <f t="shared" si="86"/>
        <v>13493.509119816044</v>
      </c>
      <c r="O360" s="295">
        <f t="shared" si="86"/>
        <v>13493.509119816044</v>
      </c>
      <c r="P360" s="295">
        <f t="shared" si="86"/>
        <v>13493.509119816044</v>
      </c>
      <c r="Q360" s="295">
        <f t="shared" si="86"/>
        <v>13493.509119816044</v>
      </c>
      <c r="R360" s="295">
        <f t="shared" si="86"/>
        <v>13493.509119816044</v>
      </c>
      <c r="S360" s="295">
        <f t="shared" si="86"/>
        <v>13493.509119816044</v>
      </c>
      <c r="T360" s="295">
        <f t="shared" si="85"/>
        <v>13493.509119816044</v>
      </c>
      <c r="U360" s="295">
        <f t="shared" si="85"/>
        <v>13493.509119816044</v>
      </c>
      <c r="V360" s="295">
        <f t="shared" si="85"/>
        <v>13493.509119816044</v>
      </c>
      <c r="W360" s="295">
        <f t="shared" si="85"/>
        <v>13493.509119816044</v>
      </c>
      <c r="X360" s="295">
        <f t="shared" si="85"/>
        <v>13493.509119816044</v>
      </c>
      <c r="Y360" s="295">
        <f t="shared" si="85"/>
        <v>13493.509119816044</v>
      </c>
      <c r="Z360" s="295">
        <f t="shared" si="85"/>
        <v>13493.509119816044</v>
      </c>
      <c r="AA360" s="295">
        <f t="shared" si="85"/>
        <v>13493.509119816044</v>
      </c>
      <c r="AB360" s="295">
        <f t="shared" si="85"/>
        <v>13493.509119816044</v>
      </c>
      <c r="AC360" s="295">
        <f t="shared" si="85"/>
        <v>13493.509119816044</v>
      </c>
      <c r="AD360" s="295">
        <f t="shared" si="85"/>
        <v>13493.509119816044</v>
      </c>
      <c r="AE360" s="296">
        <f t="shared" si="85"/>
        <v>13493.509119816044</v>
      </c>
    </row>
    <row r="361" spans="1:31">
      <c r="A361" s="1711"/>
      <c r="B361" s="116">
        <v>18</v>
      </c>
      <c r="C361" s="294">
        <f t="shared" si="79"/>
        <v>13493.509119816044</v>
      </c>
      <c r="D361" s="295">
        <f t="shared" si="86"/>
        <v>13493.509119816044</v>
      </c>
      <c r="E361" s="295">
        <f t="shared" si="86"/>
        <v>13493.509119816044</v>
      </c>
      <c r="F361" s="295">
        <f t="shared" si="86"/>
        <v>13493.509119816044</v>
      </c>
      <c r="G361" s="295">
        <f t="shared" si="86"/>
        <v>13493.509119816044</v>
      </c>
      <c r="H361" s="295">
        <f t="shared" si="86"/>
        <v>13493.509119816044</v>
      </c>
      <c r="I361" s="295">
        <f t="shared" si="86"/>
        <v>13493.509119816044</v>
      </c>
      <c r="J361" s="295">
        <f t="shared" si="86"/>
        <v>13493.509119816044</v>
      </c>
      <c r="K361" s="295">
        <f t="shared" si="86"/>
        <v>13493.509119816044</v>
      </c>
      <c r="L361" s="295">
        <f t="shared" si="86"/>
        <v>13493.509119816044</v>
      </c>
      <c r="M361" s="295">
        <f t="shared" si="86"/>
        <v>13493.509119816044</v>
      </c>
      <c r="N361" s="295">
        <f t="shared" si="86"/>
        <v>13493.509119816044</v>
      </c>
      <c r="O361" s="295">
        <f t="shared" si="86"/>
        <v>13493.509119816044</v>
      </c>
      <c r="P361" s="295">
        <f t="shared" si="86"/>
        <v>13493.509119816044</v>
      </c>
      <c r="Q361" s="295">
        <f t="shared" si="86"/>
        <v>13493.509119816044</v>
      </c>
      <c r="R361" s="295">
        <f t="shared" si="86"/>
        <v>13493.509119816044</v>
      </c>
      <c r="S361" s="295">
        <f t="shared" si="86"/>
        <v>13493.509119816044</v>
      </c>
      <c r="T361" s="295">
        <f t="shared" si="85"/>
        <v>13493.509119816044</v>
      </c>
      <c r="U361" s="295">
        <f t="shared" si="85"/>
        <v>13493.509119816044</v>
      </c>
      <c r="V361" s="295">
        <f t="shared" si="85"/>
        <v>13493.509119816044</v>
      </c>
      <c r="W361" s="295">
        <f t="shared" si="85"/>
        <v>13493.509119816044</v>
      </c>
      <c r="X361" s="295">
        <f t="shared" si="85"/>
        <v>13493.509119816044</v>
      </c>
      <c r="Y361" s="295">
        <f t="shared" si="85"/>
        <v>13493.509119816044</v>
      </c>
      <c r="Z361" s="295">
        <f t="shared" si="85"/>
        <v>13493.509119816044</v>
      </c>
      <c r="AA361" s="295">
        <f t="shared" si="85"/>
        <v>13493.509119816044</v>
      </c>
      <c r="AB361" s="295">
        <f t="shared" si="85"/>
        <v>13493.509119816044</v>
      </c>
      <c r="AC361" s="295">
        <f t="shared" si="85"/>
        <v>13493.509119816044</v>
      </c>
      <c r="AD361" s="295">
        <f t="shared" si="85"/>
        <v>13493.509119816044</v>
      </c>
      <c r="AE361" s="296">
        <f t="shared" si="85"/>
        <v>13493.509119816044</v>
      </c>
    </row>
    <row r="362" spans="1:31">
      <c r="A362" s="1711"/>
      <c r="B362" s="116">
        <v>19</v>
      </c>
      <c r="C362" s="294">
        <f t="shared" si="79"/>
        <v>13493.509119816044</v>
      </c>
      <c r="D362" s="295">
        <f t="shared" si="86"/>
        <v>13493.509119816044</v>
      </c>
      <c r="E362" s="295">
        <f t="shared" si="86"/>
        <v>13493.509119816044</v>
      </c>
      <c r="F362" s="295">
        <f t="shared" si="86"/>
        <v>13493.509119816044</v>
      </c>
      <c r="G362" s="295">
        <f t="shared" si="86"/>
        <v>13493.509119816044</v>
      </c>
      <c r="H362" s="295">
        <f t="shared" si="86"/>
        <v>13493.509119816044</v>
      </c>
      <c r="I362" s="295">
        <f t="shared" si="86"/>
        <v>13493.509119816044</v>
      </c>
      <c r="J362" s="295">
        <f t="shared" si="86"/>
        <v>13493.509119816044</v>
      </c>
      <c r="K362" s="295">
        <f t="shared" si="86"/>
        <v>13493.509119816044</v>
      </c>
      <c r="L362" s="295">
        <f t="shared" si="86"/>
        <v>13493.509119816044</v>
      </c>
      <c r="M362" s="295">
        <f t="shared" si="86"/>
        <v>13493.509119816044</v>
      </c>
      <c r="N362" s="295">
        <f t="shared" si="86"/>
        <v>13493.509119816044</v>
      </c>
      <c r="O362" s="295">
        <f t="shared" si="86"/>
        <v>13493.509119816044</v>
      </c>
      <c r="P362" s="295">
        <f t="shared" si="86"/>
        <v>13493.509119816044</v>
      </c>
      <c r="Q362" s="295">
        <f t="shared" si="86"/>
        <v>13493.509119816044</v>
      </c>
      <c r="R362" s="295">
        <f t="shared" si="86"/>
        <v>13493.509119816044</v>
      </c>
      <c r="S362" s="295">
        <f t="shared" si="86"/>
        <v>13493.509119816044</v>
      </c>
      <c r="T362" s="295">
        <f t="shared" si="85"/>
        <v>13493.509119816044</v>
      </c>
      <c r="U362" s="295">
        <f t="shared" si="85"/>
        <v>13493.509119816044</v>
      </c>
      <c r="V362" s="295">
        <f t="shared" si="85"/>
        <v>13493.509119816044</v>
      </c>
      <c r="W362" s="295">
        <f t="shared" si="85"/>
        <v>13493.509119816044</v>
      </c>
      <c r="X362" s="295">
        <f t="shared" si="85"/>
        <v>13493.509119816044</v>
      </c>
      <c r="Y362" s="295">
        <f t="shared" si="85"/>
        <v>13493.509119816044</v>
      </c>
      <c r="Z362" s="295">
        <f t="shared" si="85"/>
        <v>13493.509119816044</v>
      </c>
      <c r="AA362" s="295">
        <f t="shared" si="85"/>
        <v>13493.509119816044</v>
      </c>
      <c r="AB362" s="295">
        <f t="shared" si="85"/>
        <v>13493.509119816044</v>
      </c>
      <c r="AC362" s="295">
        <f t="shared" si="85"/>
        <v>13493.509119816044</v>
      </c>
      <c r="AD362" s="295">
        <f t="shared" si="85"/>
        <v>13493.509119816044</v>
      </c>
      <c r="AE362" s="296">
        <f t="shared" si="85"/>
        <v>13493.509119816044</v>
      </c>
    </row>
    <row r="363" spans="1:31">
      <c r="A363" s="1711"/>
      <c r="B363" s="116">
        <v>20</v>
      </c>
      <c r="C363" s="294">
        <f t="shared" si="79"/>
        <v>13493.509119816044</v>
      </c>
      <c r="D363" s="295">
        <f t="shared" si="86"/>
        <v>13493.509119816044</v>
      </c>
      <c r="E363" s="295">
        <f t="shared" si="86"/>
        <v>13493.509119816044</v>
      </c>
      <c r="F363" s="295">
        <f t="shared" si="86"/>
        <v>13493.509119816044</v>
      </c>
      <c r="G363" s="295">
        <f t="shared" si="86"/>
        <v>13493.509119816044</v>
      </c>
      <c r="H363" s="295">
        <f t="shared" si="86"/>
        <v>13493.509119816044</v>
      </c>
      <c r="I363" s="295">
        <f t="shared" si="86"/>
        <v>13493.509119816044</v>
      </c>
      <c r="J363" s="295">
        <f t="shared" si="86"/>
        <v>13493.509119816044</v>
      </c>
      <c r="K363" s="295">
        <f t="shared" si="86"/>
        <v>13493.509119816044</v>
      </c>
      <c r="L363" s="295">
        <f t="shared" si="86"/>
        <v>13493.509119816044</v>
      </c>
      <c r="M363" s="295">
        <f t="shared" si="86"/>
        <v>13493.509119816044</v>
      </c>
      <c r="N363" s="295">
        <f t="shared" si="86"/>
        <v>13493.509119816044</v>
      </c>
      <c r="O363" s="295">
        <f t="shared" si="86"/>
        <v>13493.509119816044</v>
      </c>
      <c r="P363" s="295">
        <f t="shared" si="86"/>
        <v>13493.509119816044</v>
      </c>
      <c r="Q363" s="295">
        <f t="shared" si="86"/>
        <v>13493.509119816044</v>
      </c>
      <c r="R363" s="295">
        <f t="shared" si="86"/>
        <v>13493.509119816044</v>
      </c>
      <c r="S363" s="295">
        <f t="shared" si="86"/>
        <v>13493.509119816044</v>
      </c>
      <c r="T363" s="295">
        <f t="shared" si="85"/>
        <v>13493.509119816044</v>
      </c>
      <c r="U363" s="295">
        <f t="shared" si="85"/>
        <v>13493.509119816044</v>
      </c>
      <c r="V363" s="295">
        <f t="shared" si="85"/>
        <v>13493.509119816044</v>
      </c>
      <c r="W363" s="295">
        <f t="shared" si="85"/>
        <v>13493.509119816044</v>
      </c>
      <c r="X363" s="295">
        <f t="shared" si="85"/>
        <v>13493.509119816044</v>
      </c>
      <c r="Y363" s="295">
        <f t="shared" si="85"/>
        <v>13493.509119816044</v>
      </c>
      <c r="Z363" s="295">
        <f t="shared" si="85"/>
        <v>13493.509119816044</v>
      </c>
      <c r="AA363" s="295">
        <f t="shared" si="85"/>
        <v>13493.509119816044</v>
      </c>
      <c r="AB363" s="295">
        <f t="shared" si="85"/>
        <v>13493.509119816044</v>
      </c>
      <c r="AC363" s="295">
        <f t="shared" si="85"/>
        <v>13493.509119816044</v>
      </c>
      <c r="AD363" s="295">
        <f t="shared" si="85"/>
        <v>13493.509119816044</v>
      </c>
      <c r="AE363" s="296">
        <f t="shared" si="85"/>
        <v>13493.509119816044</v>
      </c>
    </row>
    <row r="364" spans="1:31">
      <c r="A364" s="1711"/>
      <c r="B364" s="116">
        <v>21</v>
      </c>
      <c r="C364" s="294">
        <f t="shared" si="79"/>
        <v>13493.509119816044</v>
      </c>
      <c r="D364" s="295">
        <f t="shared" si="86"/>
        <v>13493.509119816044</v>
      </c>
      <c r="E364" s="295">
        <f t="shared" si="86"/>
        <v>13493.509119816044</v>
      </c>
      <c r="F364" s="295">
        <f t="shared" si="86"/>
        <v>13493.509119816044</v>
      </c>
      <c r="G364" s="295">
        <f t="shared" si="86"/>
        <v>13493.509119816044</v>
      </c>
      <c r="H364" s="295">
        <f t="shared" si="86"/>
        <v>13493.509119816044</v>
      </c>
      <c r="I364" s="295">
        <f t="shared" si="86"/>
        <v>13493.509119816044</v>
      </c>
      <c r="J364" s="295">
        <f t="shared" si="86"/>
        <v>13493.509119816044</v>
      </c>
      <c r="K364" s="295">
        <f t="shared" si="86"/>
        <v>13493.509119816044</v>
      </c>
      <c r="L364" s="295">
        <f t="shared" si="86"/>
        <v>13493.509119816044</v>
      </c>
      <c r="M364" s="295">
        <f t="shared" si="86"/>
        <v>13493.509119816044</v>
      </c>
      <c r="N364" s="295">
        <f t="shared" si="86"/>
        <v>13493.509119816044</v>
      </c>
      <c r="O364" s="295">
        <f t="shared" si="86"/>
        <v>13493.509119816044</v>
      </c>
      <c r="P364" s="295">
        <f t="shared" si="86"/>
        <v>13493.509119816044</v>
      </c>
      <c r="Q364" s="295">
        <f t="shared" si="86"/>
        <v>13493.509119816044</v>
      </c>
      <c r="R364" s="295">
        <f t="shared" si="86"/>
        <v>13493.509119816044</v>
      </c>
      <c r="S364" s="295">
        <f t="shared" si="86"/>
        <v>13493.509119816044</v>
      </c>
      <c r="T364" s="295">
        <f t="shared" si="85"/>
        <v>13493.509119816044</v>
      </c>
      <c r="U364" s="295">
        <f t="shared" si="85"/>
        <v>13493.509119816044</v>
      </c>
      <c r="V364" s="295">
        <f t="shared" si="85"/>
        <v>13493.509119816044</v>
      </c>
      <c r="W364" s="295">
        <f t="shared" si="85"/>
        <v>13493.509119816044</v>
      </c>
      <c r="X364" s="295">
        <f t="shared" si="85"/>
        <v>13493.509119816044</v>
      </c>
      <c r="Y364" s="295">
        <f t="shared" si="85"/>
        <v>13493.509119816044</v>
      </c>
      <c r="Z364" s="295">
        <f t="shared" si="85"/>
        <v>13493.509119816044</v>
      </c>
      <c r="AA364" s="295">
        <f t="shared" si="85"/>
        <v>13493.509119816044</v>
      </c>
      <c r="AB364" s="295">
        <f t="shared" si="85"/>
        <v>13493.509119816044</v>
      </c>
      <c r="AC364" s="295">
        <f t="shared" si="85"/>
        <v>13493.509119816044</v>
      </c>
      <c r="AD364" s="295">
        <f t="shared" si="85"/>
        <v>13493.509119816044</v>
      </c>
      <c r="AE364" s="296">
        <f t="shared" si="85"/>
        <v>13493.509119816044</v>
      </c>
    </row>
    <row r="365" spans="1:31">
      <c r="A365" s="1711"/>
      <c r="B365" s="116">
        <v>22</v>
      </c>
      <c r="C365" s="294">
        <f t="shared" si="79"/>
        <v>13493.509119816044</v>
      </c>
      <c r="D365" s="295">
        <f t="shared" si="86"/>
        <v>13493.509119816044</v>
      </c>
      <c r="E365" s="295">
        <f t="shared" si="86"/>
        <v>13493.509119816044</v>
      </c>
      <c r="F365" s="295">
        <f t="shared" si="86"/>
        <v>13493.509119816044</v>
      </c>
      <c r="G365" s="295">
        <f t="shared" si="86"/>
        <v>13493.509119816044</v>
      </c>
      <c r="H365" s="295">
        <f t="shared" si="86"/>
        <v>13493.509119816044</v>
      </c>
      <c r="I365" s="295">
        <f t="shared" si="86"/>
        <v>13493.509119816044</v>
      </c>
      <c r="J365" s="295">
        <f t="shared" si="86"/>
        <v>13493.509119816044</v>
      </c>
      <c r="K365" s="295">
        <f t="shared" si="86"/>
        <v>13493.509119816044</v>
      </c>
      <c r="L365" s="295">
        <f t="shared" si="86"/>
        <v>13493.509119816044</v>
      </c>
      <c r="M365" s="295">
        <f t="shared" si="86"/>
        <v>13493.509119816044</v>
      </c>
      <c r="N365" s="295">
        <f t="shared" si="86"/>
        <v>13493.509119816044</v>
      </c>
      <c r="O365" s="295">
        <f t="shared" si="86"/>
        <v>13493.509119816044</v>
      </c>
      <c r="P365" s="295">
        <f t="shared" si="86"/>
        <v>13493.509119816044</v>
      </c>
      <c r="Q365" s="295">
        <f t="shared" si="86"/>
        <v>13493.509119816044</v>
      </c>
      <c r="R365" s="295">
        <f t="shared" si="86"/>
        <v>13493.509119816044</v>
      </c>
      <c r="S365" s="295">
        <f t="shared" si="86"/>
        <v>13493.509119816044</v>
      </c>
      <c r="T365" s="295">
        <f t="shared" si="85"/>
        <v>13493.509119816044</v>
      </c>
      <c r="U365" s="295">
        <f t="shared" si="85"/>
        <v>13493.509119816044</v>
      </c>
      <c r="V365" s="295">
        <f t="shared" si="85"/>
        <v>13493.509119816044</v>
      </c>
      <c r="W365" s="295">
        <f t="shared" si="85"/>
        <v>13493.509119816044</v>
      </c>
      <c r="X365" s="295">
        <f t="shared" si="85"/>
        <v>13493.509119816044</v>
      </c>
      <c r="Y365" s="295">
        <f t="shared" si="85"/>
        <v>13493.509119816044</v>
      </c>
      <c r="Z365" s="295">
        <f t="shared" si="85"/>
        <v>13493.509119816044</v>
      </c>
      <c r="AA365" s="295">
        <f t="shared" si="85"/>
        <v>13493.509119816044</v>
      </c>
      <c r="AB365" s="295">
        <f t="shared" si="85"/>
        <v>13493.509119816044</v>
      </c>
      <c r="AC365" s="295">
        <f t="shared" si="85"/>
        <v>13493.509119816044</v>
      </c>
      <c r="AD365" s="295">
        <f t="shared" si="85"/>
        <v>13493.509119816044</v>
      </c>
      <c r="AE365" s="296">
        <f t="shared" si="85"/>
        <v>13493.509119816044</v>
      </c>
    </row>
    <row r="366" spans="1:31">
      <c r="A366" s="1711"/>
      <c r="B366" s="116">
        <v>23</v>
      </c>
      <c r="C366" s="294">
        <f t="shared" si="79"/>
        <v>13493.509119816044</v>
      </c>
      <c r="D366" s="295">
        <f t="shared" si="86"/>
        <v>13493.509119816044</v>
      </c>
      <c r="E366" s="295">
        <f t="shared" si="86"/>
        <v>13493.509119816044</v>
      </c>
      <c r="F366" s="295">
        <f t="shared" si="86"/>
        <v>13493.509119816044</v>
      </c>
      <c r="G366" s="295">
        <f t="shared" si="86"/>
        <v>13493.509119816044</v>
      </c>
      <c r="H366" s="295">
        <f t="shared" si="86"/>
        <v>13493.509119816044</v>
      </c>
      <c r="I366" s="295">
        <f t="shared" si="86"/>
        <v>13493.509119816044</v>
      </c>
      <c r="J366" s="295">
        <f t="shared" si="86"/>
        <v>13493.509119816044</v>
      </c>
      <c r="K366" s="295">
        <f t="shared" si="86"/>
        <v>13493.509119816044</v>
      </c>
      <c r="L366" s="295">
        <f t="shared" si="86"/>
        <v>13493.509119816044</v>
      </c>
      <c r="M366" s="295">
        <f t="shared" si="86"/>
        <v>13493.509119816044</v>
      </c>
      <c r="N366" s="295">
        <f t="shared" si="86"/>
        <v>13493.509119816044</v>
      </c>
      <c r="O366" s="295">
        <f t="shared" si="86"/>
        <v>13493.509119816044</v>
      </c>
      <c r="P366" s="295">
        <f t="shared" si="86"/>
        <v>13493.509119816044</v>
      </c>
      <c r="Q366" s="295">
        <f t="shared" si="86"/>
        <v>13493.509119816044</v>
      </c>
      <c r="R366" s="295">
        <f t="shared" si="86"/>
        <v>13493.509119816044</v>
      </c>
      <c r="S366" s="295">
        <f t="shared" si="86"/>
        <v>13493.509119816044</v>
      </c>
      <c r="T366" s="295">
        <f t="shared" si="85"/>
        <v>13493.509119816044</v>
      </c>
      <c r="U366" s="295">
        <f t="shared" si="85"/>
        <v>13493.509119816044</v>
      </c>
      <c r="V366" s="295">
        <f t="shared" si="85"/>
        <v>13493.509119816044</v>
      </c>
      <c r="W366" s="295">
        <f t="shared" si="85"/>
        <v>13493.509119816044</v>
      </c>
      <c r="X366" s="295">
        <f t="shared" si="85"/>
        <v>13493.509119816044</v>
      </c>
      <c r="Y366" s="295">
        <f t="shared" si="85"/>
        <v>13493.509119816044</v>
      </c>
      <c r="Z366" s="295">
        <f t="shared" si="85"/>
        <v>13493.509119816044</v>
      </c>
      <c r="AA366" s="295">
        <f t="shared" si="85"/>
        <v>13493.509119816044</v>
      </c>
      <c r="AB366" s="295">
        <f t="shared" si="85"/>
        <v>13493.509119816044</v>
      </c>
      <c r="AC366" s="295">
        <f t="shared" si="85"/>
        <v>13493.509119816044</v>
      </c>
      <c r="AD366" s="295">
        <f t="shared" si="85"/>
        <v>13493.509119816044</v>
      </c>
      <c r="AE366" s="296">
        <f t="shared" si="85"/>
        <v>13493.509119816044</v>
      </c>
    </row>
    <row r="367" spans="1:31">
      <c r="A367" s="1711"/>
      <c r="B367" s="116">
        <v>24</v>
      </c>
      <c r="C367" s="294">
        <f t="shared" si="79"/>
        <v>13493.509119816044</v>
      </c>
      <c r="D367" s="295">
        <f t="shared" si="86"/>
        <v>13493.509119816044</v>
      </c>
      <c r="E367" s="295">
        <f t="shared" si="86"/>
        <v>13493.509119816044</v>
      </c>
      <c r="F367" s="295">
        <f t="shared" si="86"/>
        <v>13493.509119816044</v>
      </c>
      <c r="G367" s="295">
        <f t="shared" si="86"/>
        <v>13493.509119816044</v>
      </c>
      <c r="H367" s="295">
        <f t="shared" si="86"/>
        <v>13493.509119816044</v>
      </c>
      <c r="I367" s="295">
        <f t="shared" si="86"/>
        <v>13493.509119816044</v>
      </c>
      <c r="J367" s="295">
        <f t="shared" si="86"/>
        <v>13493.509119816044</v>
      </c>
      <c r="K367" s="295">
        <f t="shared" si="86"/>
        <v>13493.509119816044</v>
      </c>
      <c r="L367" s="295">
        <f t="shared" si="86"/>
        <v>13493.509119816044</v>
      </c>
      <c r="M367" s="295">
        <f t="shared" si="86"/>
        <v>13493.509119816044</v>
      </c>
      <c r="N367" s="295">
        <f t="shared" si="86"/>
        <v>13493.509119816044</v>
      </c>
      <c r="O367" s="295">
        <f t="shared" si="86"/>
        <v>13493.509119816044</v>
      </c>
      <c r="P367" s="295">
        <f t="shared" si="86"/>
        <v>13493.509119816044</v>
      </c>
      <c r="Q367" s="295">
        <f t="shared" si="86"/>
        <v>13493.509119816044</v>
      </c>
      <c r="R367" s="295">
        <f t="shared" si="86"/>
        <v>13493.509119816044</v>
      </c>
      <c r="S367" s="295">
        <f t="shared" si="86"/>
        <v>13493.509119816044</v>
      </c>
      <c r="T367" s="295">
        <f t="shared" si="85"/>
        <v>13493.509119816044</v>
      </c>
      <c r="U367" s="295">
        <f t="shared" si="85"/>
        <v>13493.509119816044</v>
      </c>
      <c r="V367" s="295">
        <f t="shared" si="85"/>
        <v>13493.509119816044</v>
      </c>
      <c r="W367" s="295">
        <f t="shared" si="85"/>
        <v>13493.509119816044</v>
      </c>
      <c r="X367" s="295">
        <f t="shared" si="85"/>
        <v>13493.509119816044</v>
      </c>
      <c r="Y367" s="295">
        <f t="shared" si="85"/>
        <v>13493.509119816044</v>
      </c>
      <c r="Z367" s="295">
        <f t="shared" si="85"/>
        <v>13493.509119816044</v>
      </c>
      <c r="AA367" s="295">
        <f t="shared" si="85"/>
        <v>13493.509119816044</v>
      </c>
      <c r="AB367" s="295">
        <f t="shared" si="85"/>
        <v>13493.509119816044</v>
      </c>
      <c r="AC367" s="295">
        <f t="shared" si="85"/>
        <v>13493.509119816044</v>
      </c>
      <c r="AD367" s="295">
        <f t="shared" si="85"/>
        <v>13493.509119816044</v>
      </c>
      <c r="AE367" s="296">
        <f t="shared" si="85"/>
        <v>13493.509119816044</v>
      </c>
    </row>
    <row r="368" spans="1:31" ht="15.75" thickBot="1">
      <c r="A368" s="1711"/>
      <c r="B368" s="116">
        <v>25</v>
      </c>
      <c r="C368" s="297">
        <f t="shared" si="79"/>
        <v>13493.509119816044</v>
      </c>
      <c r="D368" s="298">
        <f t="shared" si="86"/>
        <v>13493.509119816044</v>
      </c>
      <c r="E368" s="298">
        <f t="shared" si="86"/>
        <v>13493.509119816044</v>
      </c>
      <c r="F368" s="298">
        <f t="shared" si="86"/>
        <v>13493.509119816044</v>
      </c>
      <c r="G368" s="298">
        <f t="shared" si="86"/>
        <v>13493.509119816044</v>
      </c>
      <c r="H368" s="298">
        <f t="shared" si="86"/>
        <v>13493.509119816044</v>
      </c>
      <c r="I368" s="298">
        <f t="shared" si="86"/>
        <v>13493.509119816044</v>
      </c>
      <c r="J368" s="298">
        <f t="shared" si="86"/>
        <v>13493.509119816044</v>
      </c>
      <c r="K368" s="298">
        <f t="shared" si="86"/>
        <v>13493.509119816044</v>
      </c>
      <c r="L368" s="298">
        <f t="shared" si="86"/>
        <v>13493.509119816044</v>
      </c>
      <c r="M368" s="298">
        <f t="shared" si="86"/>
        <v>13493.509119816044</v>
      </c>
      <c r="N368" s="298">
        <f t="shared" si="86"/>
        <v>13493.509119816044</v>
      </c>
      <c r="O368" s="298">
        <f t="shared" si="86"/>
        <v>13493.509119816044</v>
      </c>
      <c r="P368" s="298">
        <f t="shared" si="86"/>
        <v>13493.509119816044</v>
      </c>
      <c r="Q368" s="298">
        <f t="shared" si="86"/>
        <v>13493.509119816044</v>
      </c>
      <c r="R368" s="298">
        <f t="shared" si="86"/>
        <v>13493.509119816044</v>
      </c>
      <c r="S368" s="298">
        <f t="shared" si="86"/>
        <v>13493.509119816044</v>
      </c>
      <c r="T368" s="298">
        <f t="shared" si="85"/>
        <v>13493.509119816044</v>
      </c>
      <c r="U368" s="298">
        <f t="shared" si="85"/>
        <v>13493.509119816044</v>
      </c>
      <c r="V368" s="298">
        <f t="shared" si="85"/>
        <v>13493.509119816044</v>
      </c>
      <c r="W368" s="298">
        <f t="shared" si="85"/>
        <v>13493.509119816044</v>
      </c>
      <c r="X368" s="298">
        <f t="shared" si="85"/>
        <v>13493.509119816044</v>
      </c>
      <c r="Y368" s="298">
        <f t="shared" si="85"/>
        <v>13493.509119816044</v>
      </c>
      <c r="Z368" s="298">
        <f t="shared" si="85"/>
        <v>13493.509119816044</v>
      </c>
      <c r="AA368" s="298">
        <f t="shared" si="85"/>
        <v>13493.509119816044</v>
      </c>
      <c r="AB368" s="298">
        <f t="shared" si="85"/>
        <v>13493.509119816044</v>
      </c>
      <c r="AC368" s="298">
        <f t="shared" si="85"/>
        <v>13493.509119816044</v>
      </c>
      <c r="AD368" s="298">
        <f t="shared" si="85"/>
        <v>13493.509119816044</v>
      </c>
      <c r="AE368" s="299">
        <f t="shared" si="85"/>
        <v>13493.509119816044</v>
      </c>
    </row>
    <row r="369" spans="1:31" ht="16.5" thickTop="1" thickBot="1">
      <c r="A369" s="1712"/>
      <c r="B369" s="300" t="s">
        <v>39</v>
      </c>
      <c r="C369" s="461">
        <f>IF('CAR Stock'!C398=0,0,SUMPRODUCT(C343:C368,'CAR Stock'!C372:C397)/'CAR Stock'!C398)</f>
        <v>17118.431436709459</v>
      </c>
      <c r="D369" s="461">
        <f>IF('CAR Stock'!D398=0,0,SUMPRODUCT(D343:D368,'CAR Stock'!D372:D397)/'CAR Stock'!D398)</f>
        <v>16776.062807975271</v>
      </c>
      <c r="E369" s="461">
        <f>IF('CAR Stock'!E398=0,0,SUMPRODUCT(E343:E368,'CAR Stock'!E372:E397)/'CAR Stock'!E398)</f>
        <v>16440.558584060454</v>
      </c>
      <c r="F369" s="461">
        <f>IF('CAR Stock'!F398=0,0,SUMPRODUCT(F343:F368,'CAR Stock'!F372:F397)/'CAR Stock'!F398)</f>
        <v>16111.958450731605</v>
      </c>
      <c r="G369" s="461">
        <f>IF('CAR Stock'!G398=0,0,SUMPRODUCT(G343:G368,'CAR Stock'!G372:G397)/'CAR Stock'!G398)</f>
        <v>15792.203495595511</v>
      </c>
      <c r="H369" s="461">
        <f>IF('CAR Stock'!H398=0,0,SUMPRODUCT(H343:H368,'CAR Stock'!H372:H397)/'CAR Stock'!H398)</f>
        <v>15484.115065437325</v>
      </c>
      <c r="I369" s="461">
        <f>IF('CAR Stock'!I398=0,0,SUMPRODUCT(I343:I368,'CAR Stock'!I372:I397)/'CAR Stock'!I398)</f>
        <v>15186.155398345938</v>
      </c>
      <c r="J369" s="461">
        <f>IF('CAR Stock'!J398=0,0,SUMPRODUCT(J343:J368,'CAR Stock'!J372:J397)/'CAR Stock'!J398)</f>
        <v>14897.679433739268</v>
      </c>
      <c r="K369" s="461">
        <f>IF('CAR Stock'!K398=0,0,SUMPRODUCT(K343:K368,'CAR Stock'!K372:K397)/'CAR Stock'!K398)</f>
        <v>14617.848116212672</v>
      </c>
      <c r="L369" s="461">
        <f>IF('CAR Stock'!L398=0,0,SUMPRODUCT(L343:L368,'CAR Stock'!L372:L397)/'CAR Stock'!L398)</f>
        <v>14347.083944833003</v>
      </c>
      <c r="M369" s="461">
        <f>IF('CAR Stock'!M398=0,0,SUMPRODUCT(M343:M368,'CAR Stock'!M372:M397)/'CAR Stock'!M398)</f>
        <v>14087.429311126547</v>
      </c>
      <c r="N369" s="461">
        <f>IF('CAR Stock'!N398=0,0,SUMPRODUCT(N343:N368,'CAR Stock'!N372:N397)/'CAR Stock'!N398)</f>
        <v>13838.401704288006</v>
      </c>
      <c r="O369" s="461">
        <f>IF('CAR Stock'!O398=0,0,SUMPRODUCT(O343:O368,'CAR Stock'!O372:O397)/'CAR Stock'!O398)</f>
        <v>13611.150418680865</v>
      </c>
      <c r="P369" s="461">
        <f>IF('CAR Stock'!P398=0,0,SUMPRODUCT(P343:P368,'CAR Stock'!P372:P397)/'CAR Stock'!P398)</f>
        <v>13553.356355479918</v>
      </c>
      <c r="Q369" s="461">
        <f>IF('CAR Stock'!Q398=0,0,SUMPRODUCT(Q343:Q368,'CAR Stock'!Q372:Q397)/'CAR Stock'!Q398)</f>
        <v>13517.084445482385</v>
      </c>
      <c r="R369" s="461">
        <f>IF('CAR Stock'!R398=0,0,SUMPRODUCT(R343:R368,'CAR Stock'!R372:R397)/'CAR Stock'!R398)</f>
        <v>13493.509119816048</v>
      </c>
      <c r="S369" s="461">
        <f>IF('CAR Stock'!S398=0,0,SUMPRODUCT(S343:S368,'CAR Stock'!S372:S397)/'CAR Stock'!S398)</f>
        <v>13493.509119816044</v>
      </c>
      <c r="T369" s="461">
        <f>IF('CAR Stock'!T398=0,0,SUMPRODUCT(T343:T368,'CAR Stock'!T372:T397)/'CAR Stock'!T398)</f>
        <v>13493.509119816046</v>
      </c>
      <c r="U369" s="461">
        <f>IF('CAR Stock'!U398=0,0,SUMPRODUCT(U343:U368,'CAR Stock'!U372:U397)/'CAR Stock'!U398)</f>
        <v>13493.509119816044</v>
      </c>
      <c r="V369" s="461">
        <f>IF('CAR Stock'!V398=0,0,SUMPRODUCT(V343:V368,'CAR Stock'!V372:V397)/'CAR Stock'!V398)</f>
        <v>13493.509119816044</v>
      </c>
      <c r="W369" s="461">
        <f>IF('CAR Stock'!W398=0,0,SUMPRODUCT(W343:W368,'CAR Stock'!W372:W397)/'CAR Stock'!W398)</f>
        <v>13493.509119816044</v>
      </c>
      <c r="X369" s="461">
        <f>IF('CAR Stock'!X398=0,0,SUMPRODUCT(X343:X368,'CAR Stock'!X372:X397)/'CAR Stock'!X398)</f>
        <v>13493.509119816046</v>
      </c>
      <c r="Y369" s="461">
        <f>IF('CAR Stock'!Y398=0,0,SUMPRODUCT(Y343:Y368,'CAR Stock'!Y372:Y397)/'CAR Stock'!Y398)</f>
        <v>13493.509119816044</v>
      </c>
      <c r="Z369" s="461">
        <f>IF('CAR Stock'!Z398=0,0,SUMPRODUCT(Z343:Z368,'CAR Stock'!Z372:Z397)/'CAR Stock'!Z398)</f>
        <v>13493.509119816044</v>
      </c>
      <c r="AA369" s="461">
        <f>IF('CAR Stock'!AA398=0,0,SUMPRODUCT(AA343:AA368,'CAR Stock'!AA372:AA397)/'CAR Stock'!AA398)</f>
        <v>0</v>
      </c>
      <c r="AB369" s="461">
        <f>IF('CAR Stock'!AB398=0,0,SUMPRODUCT(AB343:AB368,'CAR Stock'!AB372:AB397)/'CAR Stock'!AB398)</f>
        <v>0</v>
      </c>
      <c r="AC369" s="461">
        <f>IF('CAR Stock'!AC398=0,0,SUMPRODUCT(AC343:AC368,'CAR Stock'!AC372:AC397)/'CAR Stock'!AC398)</f>
        <v>0</v>
      </c>
      <c r="AD369" s="461">
        <f>IF('CAR Stock'!AD398=0,0,SUMPRODUCT(AD343:AD368,'CAR Stock'!AD372:AD397)/'CAR Stock'!AD398)</f>
        <v>0</v>
      </c>
      <c r="AE369" s="462">
        <f>IF('CAR Stock'!AE398=0,0,SUMPRODUCT(AE343:AE368,'CAR Stock'!AE372:AE397)/'CAR Stock'!AE398)</f>
        <v>0</v>
      </c>
    </row>
    <row r="370" spans="1:31" ht="15.75" thickBot="1"/>
    <row r="371" spans="1:31" ht="15.75" thickBot="1">
      <c r="A371" s="1710" t="s">
        <v>53</v>
      </c>
      <c r="B371" s="169" t="s">
        <v>10</v>
      </c>
      <c r="C371" s="288">
        <v>2012</v>
      </c>
      <c r="D371" s="289">
        <v>2013</v>
      </c>
      <c r="E371" s="289">
        <v>2014</v>
      </c>
      <c r="F371" s="289">
        <v>2015</v>
      </c>
      <c r="G371" s="288">
        <v>2016</v>
      </c>
      <c r="H371" s="289">
        <v>2017</v>
      </c>
      <c r="I371" s="289">
        <v>2018</v>
      </c>
      <c r="J371" s="289">
        <v>2019</v>
      </c>
      <c r="K371" s="288">
        <v>2020</v>
      </c>
      <c r="L371" s="289">
        <v>2021</v>
      </c>
      <c r="M371" s="289">
        <v>2022</v>
      </c>
      <c r="N371" s="289">
        <v>2023</v>
      </c>
      <c r="O371" s="288">
        <v>2024</v>
      </c>
      <c r="P371" s="289">
        <v>2025</v>
      </c>
      <c r="Q371" s="289">
        <v>2026</v>
      </c>
      <c r="R371" s="289">
        <v>2027</v>
      </c>
      <c r="S371" s="288">
        <v>2028</v>
      </c>
      <c r="T371" s="289">
        <v>2029</v>
      </c>
      <c r="U371" s="289">
        <v>2030</v>
      </c>
      <c r="V371" s="289">
        <v>2031</v>
      </c>
      <c r="W371" s="288">
        <v>2032</v>
      </c>
      <c r="X371" s="289">
        <v>2033</v>
      </c>
      <c r="Y371" s="289">
        <v>2034</v>
      </c>
      <c r="Z371" s="289">
        <v>2035</v>
      </c>
      <c r="AA371" s="288">
        <v>2036</v>
      </c>
      <c r="AB371" s="289">
        <v>2037</v>
      </c>
      <c r="AC371" s="289">
        <v>2038</v>
      </c>
      <c r="AD371" s="289">
        <v>2039</v>
      </c>
      <c r="AE371" s="290">
        <v>2040</v>
      </c>
    </row>
    <row r="372" spans="1:31">
      <c r="A372" s="1711"/>
      <c r="B372" s="116">
        <v>0</v>
      </c>
      <c r="C372" s="291">
        <f>C256</f>
        <v>14378.939576134428</v>
      </c>
      <c r="D372" s="292">
        <f>C372</f>
        <v>14378.939576134428</v>
      </c>
      <c r="E372" s="292">
        <f t="shared" ref="E372:T372" si="87">D372</f>
        <v>14378.939576134428</v>
      </c>
      <c r="F372" s="292">
        <f t="shared" si="87"/>
        <v>14378.939576134428</v>
      </c>
      <c r="G372" s="292">
        <f t="shared" si="87"/>
        <v>14378.939576134428</v>
      </c>
      <c r="H372" s="292">
        <f t="shared" si="87"/>
        <v>14378.939576134428</v>
      </c>
      <c r="I372" s="292">
        <f t="shared" si="87"/>
        <v>14378.939576134428</v>
      </c>
      <c r="J372" s="292">
        <f t="shared" si="87"/>
        <v>14378.939576134428</v>
      </c>
      <c r="K372" s="292">
        <f t="shared" si="87"/>
        <v>14378.939576134428</v>
      </c>
      <c r="L372" s="292">
        <f t="shared" si="87"/>
        <v>14378.939576134428</v>
      </c>
      <c r="M372" s="292">
        <f t="shared" si="87"/>
        <v>14378.939576134428</v>
      </c>
      <c r="N372" s="292">
        <f t="shared" si="87"/>
        <v>14378.939576134428</v>
      </c>
      <c r="O372" s="292">
        <f t="shared" si="87"/>
        <v>14378.939576134428</v>
      </c>
      <c r="P372" s="292">
        <f t="shared" si="87"/>
        <v>14378.939576134428</v>
      </c>
      <c r="Q372" s="292">
        <f t="shared" si="87"/>
        <v>14378.939576134428</v>
      </c>
      <c r="R372" s="292">
        <f t="shared" si="87"/>
        <v>14378.939576134428</v>
      </c>
      <c r="S372" s="292">
        <f t="shared" si="87"/>
        <v>14378.939576134428</v>
      </c>
      <c r="T372" s="292">
        <f t="shared" si="87"/>
        <v>14378.939576134428</v>
      </c>
      <c r="U372" s="292">
        <f t="shared" ref="T372:AE387" si="88">T372</f>
        <v>14378.939576134428</v>
      </c>
      <c r="V372" s="292">
        <f t="shared" si="88"/>
        <v>14378.939576134428</v>
      </c>
      <c r="W372" s="292">
        <f t="shared" si="88"/>
        <v>14378.939576134428</v>
      </c>
      <c r="X372" s="292">
        <f t="shared" si="88"/>
        <v>14378.939576134428</v>
      </c>
      <c r="Y372" s="292">
        <f t="shared" si="88"/>
        <v>14378.939576134428</v>
      </c>
      <c r="Z372" s="292">
        <f t="shared" si="88"/>
        <v>14378.939576134428</v>
      </c>
      <c r="AA372" s="292">
        <f t="shared" si="88"/>
        <v>14378.939576134428</v>
      </c>
      <c r="AB372" s="292">
        <f t="shared" si="88"/>
        <v>14378.939576134428</v>
      </c>
      <c r="AC372" s="292">
        <f t="shared" si="88"/>
        <v>14378.939576134428</v>
      </c>
      <c r="AD372" s="292">
        <f t="shared" si="88"/>
        <v>14378.939576134428</v>
      </c>
      <c r="AE372" s="293">
        <f t="shared" si="88"/>
        <v>14378.939576134428</v>
      </c>
    </row>
    <row r="373" spans="1:31">
      <c r="A373" s="1711"/>
      <c r="B373" s="116">
        <v>1</v>
      </c>
      <c r="C373" s="294">
        <f t="shared" ref="C373:C436" si="89">C257</f>
        <v>14091.360784611739</v>
      </c>
      <c r="D373" s="295">
        <f t="shared" ref="D373:S388" si="90">C373</f>
        <v>14091.360784611739</v>
      </c>
      <c r="E373" s="295">
        <f t="shared" si="90"/>
        <v>14091.360784611739</v>
      </c>
      <c r="F373" s="295">
        <f t="shared" si="90"/>
        <v>14091.360784611739</v>
      </c>
      <c r="G373" s="295">
        <f t="shared" si="90"/>
        <v>14091.360784611739</v>
      </c>
      <c r="H373" s="295">
        <f t="shared" si="90"/>
        <v>14091.360784611739</v>
      </c>
      <c r="I373" s="295">
        <f t="shared" si="90"/>
        <v>14091.360784611739</v>
      </c>
      <c r="J373" s="295">
        <f t="shared" si="90"/>
        <v>14091.360784611739</v>
      </c>
      <c r="K373" s="295">
        <f t="shared" si="90"/>
        <v>14091.360784611739</v>
      </c>
      <c r="L373" s="295">
        <f t="shared" si="90"/>
        <v>14091.360784611739</v>
      </c>
      <c r="M373" s="295">
        <f t="shared" si="90"/>
        <v>14091.360784611739</v>
      </c>
      <c r="N373" s="295">
        <f t="shared" si="90"/>
        <v>14091.360784611739</v>
      </c>
      <c r="O373" s="295">
        <f t="shared" si="90"/>
        <v>14091.360784611739</v>
      </c>
      <c r="P373" s="295">
        <f t="shared" si="90"/>
        <v>14091.360784611739</v>
      </c>
      <c r="Q373" s="295">
        <f t="shared" si="90"/>
        <v>14091.360784611739</v>
      </c>
      <c r="R373" s="295">
        <f t="shared" si="90"/>
        <v>14091.360784611739</v>
      </c>
      <c r="S373" s="295">
        <f t="shared" si="90"/>
        <v>14091.360784611739</v>
      </c>
      <c r="T373" s="295">
        <f t="shared" si="88"/>
        <v>14091.360784611739</v>
      </c>
      <c r="U373" s="295">
        <f t="shared" si="88"/>
        <v>14091.360784611739</v>
      </c>
      <c r="V373" s="295">
        <f t="shared" si="88"/>
        <v>14091.360784611739</v>
      </c>
      <c r="W373" s="295">
        <f t="shared" si="88"/>
        <v>14091.360784611739</v>
      </c>
      <c r="X373" s="295">
        <f t="shared" si="88"/>
        <v>14091.360784611739</v>
      </c>
      <c r="Y373" s="295">
        <f t="shared" si="88"/>
        <v>14091.360784611739</v>
      </c>
      <c r="Z373" s="295">
        <f t="shared" si="88"/>
        <v>14091.360784611739</v>
      </c>
      <c r="AA373" s="295">
        <f t="shared" si="88"/>
        <v>14091.360784611739</v>
      </c>
      <c r="AB373" s="295">
        <f t="shared" si="88"/>
        <v>14091.360784611739</v>
      </c>
      <c r="AC373" s="295">
        <f t="shared" si="88"/>
        <v>14091.360784611739</v>
      </c>
      <c r="AD373" s="295">
        <f t="shared" si="88"/>
        <v>14091.360784611739</v>
      </c>
      <c r="AE373" s="296">
        <f t="shared" si="88"/>
        <v>14091.360784611739</v>
      </c>
    </row>
    <row r="374" spans="1:31">
      <c r="A374" s="1711"/>
      <c r="B374" s="116">
        <v>2</v>
      </c>
      <c r="C374" s="294">
        <f t="shared" si="89"/>
        <v>13809.533568919504</v>
      </c>
      <c r="D374" s="295">
        <f t="shared" si="90"/>
        <v>13809.533568919504</v>
      </c>
      <c r="E374" s="295">
        <f t="shared" si="90"/>
        <v>13809.533568919504</v>
      </c>
      <c r="F374" s="295">
        <f t="shared" si="90"/>
        <v>13809.533568919504</v>
      </c>
      <c r="G374" s="295">
        <f t="shared" si="90"/>
        <v>13809.533568919504</v>
      </c>
      <c r="H374" s="295">
        <f t="shared" si="90"/>
        <v>13809.533568919504</v>
      </c>
      <c r="I374" s="295">
        <f t="shared" si="90"/>
        <v>13809.533568919504</v>
      </c>
      <c r="J374" s="295">
        <f t="shared" si="90"/>
        <v>13809.533568919504</v>
      </c>
      <c r="K374" s="295">
        <f t="shared" si="90"/>
        <v>13809.533568919504</v>
      </c>
      <c r="L374" s="295">
        <f t="shared" si="90"/>
        <v>13809.533568919504</v>
      </c>
      <c r="M374" s="295">
        <f t="shared" si="90"/>
        <v>13809.533568919504</v>
      </c>
      <c r="N374" s="295">
        <f t="shared" si="90"/>
        <v>13809.533568919504</v>
      </c>
      <c r="O374" s="295">
        <f t="shared" si="90"/>
        <v>13809.533568919504</v>
      </c>
      <c r="P374" s="295">
        <f t="shared" si="90"/>
        <v>13809.533568919504</v>
      </c>
      <c r="Q374" s="295">
        <f t="shared" si="90"/>
        <v>13809.533568919504</v>
      </c>
      <c r="R374" s="295">
        <f t="shared" si="90"/>
        <v>13809.533568919504</v>
      </c>
      <c r="S374" s="295">
        <f t="shared" si="90"/>
        <v>13809.533568919504</v>
      </c>
      <c r="T374" s="295">
        <f t="shared" si="88"/>
        <v>13809.533568919504</v>
      </c>
      <c r="U374" s="295">
        <f t="shared" si="88"/>
        <v>13809.533568919504</v>
      </c>
      <c r="V374" s="295">
        <f t="shared" si="88"/>
        <v>13809.533568919504</v>
      </c>
      <c r="W374" s="295">
        <f t="shared" si="88"/>
        <v>13809.533568919504</v>
      </c>
      <c r="X374" s="295">
        <f t="shared" si="88"/>
        <v>13809.533568919504</v>
      </c>
      <c r="Y374" s="295">
        <f t="shared" si="88"/>
        <v>13809.533568919504</v>
      </c>
      <c r="Z374" s="295">
        <f t="shared" si="88"/>
        <v>13809.533568919504</v>
      </c>
      <c r="AA374" s="295">
        <f t="shared" si="88"/>
        <v>13809.533568919504</v>
      </c>
      <c r="AB374" s="295">
        <f t="shared" si="88"/>
        <v>13809.533568919504</v>
      </c>
      <c r="AC374" s="295">
        <f t="shared" si="88"/>
        <v>13809.533568919504</v>
      </c>
      <c r="AD374" s="295">
        <f t="shared" si="88"/>
        <v>13809.533568919504</v>
      </c>
      <c r="AE374" s="296">
        <f t="shared" si="88"/>
        <v>13809.533568919504</v>
      </c>
    </row>
    <row r="375" spans="1:31">
      <c r="A375" s="1711"/>
      <c r="B375" s="116">
        <v>3</v>
      </c>
      <c r="C375" s="294">
        <f t="shared" si="89"/>
        <v>13533.342897541113</v>
      </c>
      <c r="D375" s="295">
        <f t="shared" si="90"/>
        <v>13533.342897541113</v>
      </c>
      <c r="E375" s="295">
        <f t="shared" si="90"/>
        <v>13533.342897541113</v>
      </c>
      <c r="F375" s="295">
        <f t="shared" si="90"/>
        <v>13533.342897541113</v>
      </c>
      <c r="G375" s="295">
        <f t="shared" si="90"/>
        <v>13533.342897541113</v>
      </c>
      <c r="H375" s="295">
        <f t="shared" si="90"/>
        <v>13533.342897541113</v>
      </c>
      <c r="I375" s="295">
        <f t="shared" si="90"/>
        <v>13533.342897541113</v>
      </c>
      <c r="J375" s="295">
        <f t="shared" si="90"/>
        <v>13533.342897541113</v>
      </c>
      <c r="K375" s="295">
        <f t="shared" si="90"/>
        <v>13533.342897541113</v>
      </c>
      <c r="L375" s="295">
        <f t="shared" si="90"/>
        <v>13533.342897541113</v>
      </c>
      <c r="M375" s="295">
        <f t="shared" si="90"/>
        <v>13533.342897541113</v>
      </c>
      <c r="N375" s="295">
        <f t="shared" si="90"/>
        <v>13533.342897541113</v>
      </c>
      <c r="O375" s="295">
        <f t="shared" si="90"/>
        <v>13533.342897541113</v>
      </c>
      <c r="P375" s="295">
        <f t="shared" si="90"/>
        <v>13533.342897541113</v>
      </c>
      <c r="Q375" s="295">
        <f t="shared" si="90"/>
        <v>13533.342897541113</v>
      </c>
      <c r="R375" s="295">
        <f t="shared" si="90"/>
        <v>13533.342897541113</v>
      </c>
      <c r="S375" s="295">
        <f t="shared" si="90"/>
        <v>13533.342897541113</v>
      </c>
      <c r="T375" s="295">
        <f t="shared" si="88"/>
        <v>13533.342897541113</v>
      </c>
      <c r="U375" s="295">
        <f t="shared" si="88"/>
        <v>13533.342897541113</v>
      </c>
      <c r="V375" s="295">
        <f t="shared" si="88"/>
        <v>13533.342897541113</v>
      </c>
      <c r="W375" s="295">
        <f t="shared" si="88"/>
        <v>13533.342897541113</v>
      </c>
      <c r="X375" s="295">
        <f t="shared" si="88"/>
        <v>13533.342897541113</v>
      </c>
      <c r="Y375" s="295">
        <f t="shared" si="88"/>
        <v>13533.342897541113</v>
      </c>
      <c r="Z375" s="295">
        <f t="shared" si="88"/>
        <v>13533.342897541113</v>
      </c>
      <c r="AA375" s="295">
        <f t="shared" si="88"/>
        <v>13533.342897541113</v>
      </c>
      <c r="AB375" s="295">
        <f t="shared" si="88"/>
        <v>13533.342897541113</v>
      </c>
      <c r="AC375" s="295">
        <f t="shared" si="88"/>
        <v>13533.342897541113</v>
      </c>
      <c r="AD375" s="295">
        <f t="shared" si="88"/>
        <v>13533.342897541113</v>
      </c>
      <c r="AE375" s="296">
        <f t="shared" si="88"/>
        <v>13533.342897541113</v>
      </c>
    </row>
    <row r="376" spans="1:31">
      <c r="A376" s="1711"/>
      <c r="B376" s="116">
        <v>4</v>
      </c>
      <c r="C376" s="294">
        <f t="shared" si="89"/>
        <v>13262.676039590291</v>
      </c>
      <c r="D376" s="295">
        <f t="shared" si="90"/>
        <v>13262.676039590291</v>
      </c>
      <c r="E376" s="295">
        <f t="shared" si="90"/>
        <v>13262.676039590291</v>
      </c>
      <c r="F376" s="295">
        <f t="shared" si="90"/>
        <v>13262.676039590291</v>
      </c>
      <c r="G376" s="295">
        <f t="shared" si="90"/>
        <v>13262.676039590291</v>
      </c>
      <c r="H376" s="295">
        <f t="shared" si="90"/>
        <v>13262.676039590291</v>
      </c>
      <c r="I376" s="295">
        <f t="shared" si="90"/>
        <v>13262.676039590291</v>
      </c>
      <c r="J376" s="295">
        <f t="shared" si="90"/>
        <v>13262.676039590291</v>
      </c>
      <c r="K376" s="295">
        <f t="shared" si="90"/>
        <v>13262.676039590291</v>
      </c>
      <c r="L376" s="295">
        <f t="shared" si="90"/>
        <v>13262.676039590291</v>
      </c>
      <c r="M376" s="295">
        <f t="shared" si="90"/>
        <v>13262.676039590291</v>
      </c>
      <c r="N376" s="295">
        <f t="shared" si="90"/>
        <v>13262.676039590291</v>
      </c>
      <c r="O376" s="295">
        <f t="shared" si="90"/>
        <v>13262.676039590291</v>
      </c>
      <c r="P376" s="295">
        <f t="shared" si="90"/>
        <v>13262.676039590291</v>
      </c>
      <c r="Q376" s="295">
        <f t="shared" si="90"/>
        <v>13262.676039590291</v>
      </c>
      <c r="R376" s="295">
        <f t="shared" si="90"/>
        <v>13262.676039590291</v>
      </c>
      <c r="S376" s="295">
        <f t="shared" si="90"/>
        <v>13262.676039590291</v>
      </c>
      <c r="T376" s="295">
        <f t="shared" si="88"/>
        <v>13262.676039590291</v>
      </c>
      <c r="U376" s="295">
        <f t="shared" si="88"/>
        <v>13262.676039590291</v>
      </c>
      <c r="V376" s="295">
        <f t="shared" si="88"/>
        <v>13262.676039590291</v>
      </c>
      <c r="W376" s="295">
        <f t="shared" si="88"/>
        <v>13262.676039590291</v>
      </c>
      <c r="X376" s="295">
        <f t="shared" si="88"/>
        <v>13262.676039590291</v>
      </c>
      <c r="Y376" s="295">
        <f t="shared" si="88"/>
        <v>13262.676039590291</v>
      </c>
      <c r="Z376" s="295">
        <f t="shared" si="88"/>
        <v>13262.676039590291</v>
      </c>
      <c r="AA376" s="295">
        <f t="shared" si="88"/>
        <v>13262.676039590291</v>
      </c>
      <c r="AB376" s="295">
        <f t="shared" si="88"/>
        <v>13262.676039590291</v>
      </c>
      <c r="AC376" s="295">
        <f t="shared" si="88"/>
        <v>13262.676039590291</v>
      </c>
      <c r="AD376" s="295">
        <f t="shared" si="88"/>
        <v>13262.676039590291</v>
      </c>
      <c r="AE376" s="296">
        <f t="shared" si="88"/>
        <v>13262.676039590291</v>
      </c>
    </row>
    <row r="377" spans="1:31">
      <c r="A377" s="1711"/>
      <c r="B377" s="116">
        <v>5</v>
      </c>
      <c r="C377" s="294">
        <f t="shared" si="89"/>
        <v>12997.422518798485</v>
      </c>
      <c r="D377" s="295">
        <f t="shared" si="90"/>
        <v>12997.422518798485</v>
      </c>
      <c r="E377" s="295">
        <f t="shared" si="90"/>
        <v>12997.422518798485</v>
      </c>
      <c r="F377" s="295">
        <f t="shared" si="90"/>
        <v>12997.422518798485</v>
      </c>
      <c r="G377" s="295">
        <f t="shared" si="90"/>
        <v>12997.422518798485</v>
      </c>
      <c r="H377" s="295">
        <f t="shared" si="90"/>
        <v>12997.422518798485</v>
      </c>
      <c r="I377" s="295">
        <f t="shared" si="90"/>
        <v>12997.422518798485</v>
      </c>
      <c r="J377" s="295">
        <f t="shared" si="90"/>
        <v>12997.422518798485</v>
      </c>
      <c r="K377" s="295">
        <f t="shared" si="90"/>
        <v>12997.422518798485</v>
      </c>
      <c r="L377" s="295">
        <f t="shared" si="90"/>
        <v>12997.422518798485</v>
      </c>
      <c r="M377" s="295">
        <f t="shared" si="90"/>
        <v>12997.422518798485</v>
      </c>
      <c r="N377" s="295">
        <f t="shared" si="90"/>
        <v>12997.422518798485</v>
      </c>
      <c r="O377" s="295">
        <f t="shared" si="90"/>
        <v>12997.422518798485</v>
      </c>
      <c r="P377" s="295">
        <f t="shared" si="90"/>
        <v>12997.422518798485</v>
      </c>
      <c r="Q377" s="295">
        <f t="shared" si="90"/>
        <v>12997.422518798485</v>
      </c>
      <c r="R377" s="295">
        <f t="shared" si="90"/>
        <v>12997.422518798485</v>
      </c>
      <c r="S377" s="295">
        <f t="shared" si="90"/>
        <v>12997.422518798485</v>
      </c>
      <c r="T377" s="295">
        <f t="shared" si="88"/>
        <v>12997.422518798485</v>
      </c>
      <c r="U377" s="295">
        <f t="shared" si="88"/>
        <v>12997.422518798485</v>
      </c>
      <c r="V377" s="295">
        <f t="shared" si="88"/>
        <v>12997.422518798485</v>
      </c>
      <c r="W377" s="295">
        <f t="shared" si="88"/>
        <v>12997.422518798485</v>
      </c>
      <c r="X377" s="295">
        <f t="shared" si="88"/>
        <v>12997.422518798485</v>
      </c>
      <c r="Y377" s="295">
        <f t="shared" si="88"/>
        <v>12997.422518798485</v>
      </c>
      <c r="Z377" s="295">
        <f t="shared" si="88"/>
        <v>12997.422518798485</v>
      </c>
      <c r="AA377" s="295">
        <f t="shared" si="88"/>
        <v>12997.422518798485</v>
      </c>
      <c r="AB377" s="295">
        <f t="shared" si="88"/>
        <v>12997.422518798485</v>
      </c>
      <c r="AC377" s="295">
        <f t="shared" si="88"/>
        <v>12997.422518798485</v>
      </c>
      <c r="AD377" s="295">
        <f t="shared" si="88"/>
        <v>12997.422518798485</v>
      </c>
      <c r="AE377" s="296">
        <f t="shared" si="88"/>
        <v>12997.422518798485</v>
      </c>
    </row>
    <row r="378" spans="1:31">
      <c r="A378" s="1711"/>
      <c r="B378" s="116">
        <v>6</v>
      </c>
      <c r="C378" s="294">
        <f t="shared" si="89"/>
        <v>12737.474068422514</v>
      </c>
      <c r="D378" s="295">
        <f t="shared" si="90"/>
        <v>12737.474068422514</v>
      </c>
      <c r="E378" s="295">
        <f t="shared" si="90"/>
        <v>12737.474068422514</v>
      </c>
      <c r="F378" s="295">
        <f t="shared" si="90"/>
        <v>12737.474068422514</v>
      </c>
      <c r="G378" s="295">
        <f t="shared" si="90"/>
        <v>12737.474068422514</v>
      </c>
      <c r="H378" s="295">
        <f t="shared" si="90"/>
        <v>12737.474068422514</v>
      </c>
      <c r="I378" s="295">
        <f t="shared" si="90"/>
        <v>12737.474068422514</v>
      </c>
      <c r="J378" s="295">
        <f t="shared" si="90"/>
        <v>12737.474068422514</v>
      </c>
      <c r="K378" s="295">
        <f t="shared" si="90"/>
        <v>12737.474068422514</v>
      </c>
      <c r="L378" s="295">
        <f t="shared" si="90"/>
        <v>12737.474068422514</v>
      </c>
      <c r="M378" s="295">
        <f t="shared" si="90"/>
        <v>12737.474068422514</v>
      </c>
      <c r="N378" s="295">
        <f t="shared" si="90"/>
        <v>12737.474068422514</v>
      </c>
      <c r="O378" s="295">
        <f t="shared" si="90"/>
        <v>12737.474068422514</v>
      </c>
      <c r="P378" s="295">
        <f t="shared" si="90"/>
        <v>12737.474068422514</v>
      </c>
      <c r="Q378" s="295">
        <f t="shared" si="90"/>
        <v>12737.474068422514</v>
      </c>
      <c r="R378" s="295">
        <f t="shared" si="90"/>
        <v>12737.474068422514</v>
      </c>
      <c r="S378" s="295">
        <f t="shared" si="90"/>
        <v>12737.474068422514</v>
      </c>
      <c r="T378" s="295">
        <f t="shared" si="88"/>
        <v>12737.474068422514</v>
      </c>
      <c r="U378" s="295">
        <f t="shared" si="88"/>
        <v>12737.474068422514</v>
      </c>
      <c r="V378" s="295">
        <f t="shared" si="88"/>
        <v>12737.474068422514</v>
      </c>
      <c r="W378" s="295">
        <f t="shared" si="88"/>
        <v>12737.474068422514</v>
      </c>
      <c r="X378" s="295">
        <f t="shared" si="88"/>
        <v>12737.474068422514</v>
      </c>
      <c r="Y378" s="295">
        <f t="shared" si="88"/>
        <v>12737.474068422514</v>
      </c>
      <c r="Z378" s="295">
        <f t="shared" si="88"/>
        <v>12737.474068422514</v>
      </c>
      <c r="AA378" s="295">
        <f t="shared" si="88"/>
        <v>12737.474068422514</v>
      </c>
      <c r="AB378" s="295">
        <f t="shared" si="88"/>
        <v>12737.474068422514</v>
      </c>
      <c r="AC378" s="295">
        <f t="shared" si="88"/>
        <v>12737.474068422514</v>
      </c>
      <c r="AD378" s="295">
        <f t="shared" si="88"/>
        <v>12737.474068422514</v>
      </c>
      <c r="AE378" s="296">
        <f t="shared" si="88"/>
        <v>12737.474068422514</v>
      </c>
    </row>
    <row r="379" spans="1:31">
      <c r="A379" s="1711"/>
      <c r="B379" s="116">
        <v>7</v>
      </c>
      <c r="C379" s="294">
        <f t="shared" si="89"/>
        <v>12482.724587054065</v>
      </c>
      <c r="D379" s="295">
        <f t="shared" si="90"/>
        <v>12482.724587054065</v>
      </c>
      <c r="E379" s="295">
        <f t="shared" si="90"/>
        <v>12482.724587054065</v>
      </c>
      <c r="F379" s="295">
        <f t="shared" si="90"/>
        <v>12482.724587054065</v>
      </c>
      <c r="G379" s="295">
        <f t="shared" si="90"/>
        <v>12482.724587054065</v>
      </c>
      <c r="H379" s="295">
        <f t="shared" si="90"/>
        <v>12482.724587054065</v>
      </c>
      <c r="I379" s="295">
        <f t="shared" si="90"/>
        <v>12482.724587054065</v>
      </c>
      <c r="J379" s="295">
        <f t="shared" si="90"/>
        <v>12482.724587054065</v>
      </c>
      <c r="K379" s="295">
        <f t="shared" si="90"/>
        <v>12482.724587054065</v>
      </c>
      <c r="L379" s="295">
        <f t="shared" si="90"/>
        <v>12482.724587054065</v>
      </c>
      <c r="M379" s="295">
        <f t="shared" si="90"/>
        <v>12482.724587054065</v>
      </c>
      <c r="N379" s="295">
        <f t="shared" si="90"/>
        <v>12482.724587054065</v>
      </c>
      <c r="O379" s="295">
        <f t="shared" si="90"/>
        <v>12482.724587054065</v>
      </c>
      <c r="P379" s="295">
        <f t="shared" si="90"/>
        <v>12482.724587054065</v>
      </c>
      <c r="Q379" s="295">
        <f t="shared" si="90"/>
        <v>12482.724587054065</v>
      </c>
      <c r="R379" s="295">
        <f t="shared" si="90"/>
        <v>12482.724587054065</v>
      </c>
      <c r="S379" s="295">
        <f t="shared" si="90"/>
        <v>12482.724587054065</v>
      </c>
      <c r="T379" s="295">
        <f t="shared" si="88"/>
        <v>12482.724587054065</v>
      </c>
      <c r="U379" s="295">
        <f t="shared" si="88"/>
        <v>12482.724587054065</v>
      </c>
      <c r="V379" s="295">
        <f t="shared" si="88"/>
        <v>12482.724587054065</v>
      </c>
      <c r="W379" s="295">
        <f t="shared" si="88"/>
        <v>12482.724587054065</v>
      </c>
      <c r="X379" s="295">
        <f t="shared" si="88"/>
        <v>12482.724587054065</v>
      </c>
      <c r="Y379" s="295">
        <f t="shared" si="88"/>
        <v>12482.724587054065</v>
      </c>
      <c r="Z379" s="295">
        <f t="shared" si="88"/>
        <v>12482.724587054065</v>
      </c>
      <c r="AA379" s="295">
        <f t="shared" si="88"/>
        <v>12482.724587054065</v>
      </c>
      <c r="AB379" s="295">
        <f t="shared" si="88"/>
        <v>12482.724587054065</v>
      </c>
      <c r="AC379" s="295">
        <f t="shared" si="88"/>
        <v>12482.724587054065</v>
      </c>
      <c r="AD379" s="295">
        <f t="shared" si="88"/>
        <v>12482.724587054065</v>
      </c>
      <c r="AE379" s="296">
        <f t="shared" si="88"/>
        <v>12482.724587054065</v>
      </c>
    </row>
    <row r="380" spans="1:31">
      <c r="A380" s="1711"/>
      <c r="B380" s="116">
        <v>8</v>
      </c>
      <c r="C380" s="294">
        <f t="shared" si="89"/>
        <v>12233.070095312984</v>
      </c>
      <c r="D380" s="295">
        <f t="shared" si="90"/>
        <v>12233.070095312984</v>
      </c>
      <c r="E380" s="295">
        <f t="shared" si="90"/>
        <v>12233.070095312984</v>
      </c>
      <c r="F380" s="295">
        <f t="shared" si="90"/>
        <v>12233.070095312984</v>
      </c>
      <c r="G380" s="295">
        <f t="shared" si="90"/>
        <v>12233.070095312984</v>
      </c>
      <c r="H380" s="295">
        <f t="shared" si="90"/>
        <v>12233.070095312984</v>
      </c>
      <c r="I380" s="295">
        <f t="shared" si="90"/>
        <v>12233.070095312984</v>
      </c>
      <c r="J380" s="295">
        <f t="shared" si="90"/>
        <v>12233.070095312984</v>
      </c>
      <c r="K380" s="295">
        <f t="shared" si="90"/>
        <v>12233.070095312984</v>
      </c>
      <c r="L380" s="295">
        <f t="shared" si="90"/>
        <v>12233.070095312984</v>
      </c>
      <c r="M380" s="295">
        <f t="shared" si="90"/>
        <v>12233.070095312984</v>
      </c>
      <c r="N380" s="295">
        <f t="shared" si="90"/>
        <v>12233.070095312984</v>
      </c>
      <c r="O380" s="295">
        <f t="shared" si="90"/>
        <v>12233.070095312984</v>
      </c>
      <c r="P380" s="295">
        <f t="shared" si="90"/>
        <v>12233.070095312984</v>
      </c>
      <c r="Q380" s="295">
        <f t="shared" si="90"/>
        <v>12233.070095312984</v>
      </c>
      <c r="R380" s="295">
        <f t="shared" si="90"/>
        <v>12233.070095312984</v>
      </c>
      <c r="S380" s="295">
        <f t="shared" si="90"/>
        <v>12233.070095312984</v>
      </c>
      <c r="T380" s="295">
        <f t="shared" si="88"/>
        <v>12233.070095312984</v>
      </c>
      <c r="U380" s="295">
        <f t="shared" si="88"/>
        <v>12233.070095312984</v>
      </c>
      <c r="V380" s="295">
        <f t="shared" si="88"/>
        <v>12233.070095312984</v>
      </c>
      <c r="W380" s="295">
        <f t="shared" si="88"/>
        <v>12233.070095312984</v>
      </c>
      <c r="X380" s="295">
        <f t="shared" si="88"/>
        <v>12233.070095312984</v>
      </c>
      <c r="Y380" s="295">
        <f t="shared" si="88"/>
        <v>12233.070095312984</v>
      </c>
      <c r="Z380" s="295">
        <f t="shared" si="88"/>
        <v>12233.070095312984</v>
      </c>
      <c r="AA380" s="295">
        <f t="shared" si="88"/>
        <v>12233.070095312984</v>
      </c>
      <c r="AB380" s="295">
        <f t="shared" si="88"/>
        <v>12233.070095312984</v>
      </c>
      <c r="AC380" s="295">
        <f t="shared" si="88"/>
        <v>12233.070095312984</v>
      </c>
      <c r="AD380" s="295">
        <f t="shared" si="88"/>
        <v>12233.070095312984</v>
      </c>
      <c r="AE380" s="296">
        <f t="shared" si="88"/>
        <v>12233.070095312984</v>
      </c>
    </row>
    <row r="381" spans="1:31">
      <c r="A381" s="1711"/>
      <c r="B381" s="116">
        <v>9</v>
      </c>
      <c r="C381" s="294">
        <f t="shared" si="89"/>
        <v>11988.408693406724</v>
      </c>
      <c r="D381" s="295">
        <f t="shared" si="90"/>
        <v>11988.408693406724</v>
      </c>
      <c r="E381" s="295">
        <f t="shared" si="90"/>
        <v>11988.408693406724</v>
      </c>
      <c r="F381" s="295">
        <f t="shared" si="90"/>
        <v>11988.408693406724</v>
      </c>
      <c r="G381" s="295">
        <f t="shared" si="90"/>
        <v>11988.408693406724</v>
      </c>
      <c r="H381" s="295">
        <f t="shared" si="90"/>
        <v>11988.408693406724</v>
      </c>
      <c r="I381" s="295">
        <f t="shared" si="90"/>
        <v>11988.408693406724</v>
      </c>
      <c r="J381" s="295">
        <f t="shared" si="90"/>
        <v>11988.408693406724</v>
      </c>
      <c r="K381" s="295">
        <f t="shared" si="90"/>
        <v>11988.408693406724</v>
      </c>
      <c r="L381" s="295">
        <f t="shared" si="90"/>
        <v>11988.408693406724</v>
      </c>
      <c r="M381" s="295">
        <f t="shared" si="90"/>
        <v>11988.408693406724</v>
      </c>
      <c r="N381" s="295">
        <f t="shared" si="90"/>
        <v>11988.408693406724</v>
      </c>
      <c r="O381" s="295">
        <f t="shared" si="90"/>
        <v>11988.408693406724</v>
      </c>
      <c r="P381" s="295">
        <f t="shared" si="90"/>
        <v>11988.408693406724</v>
      </c>
      <c r="Q381" s="295">
        <f t="shared" si="90"/>
        <v>11988.408693406724</v>
      </c>
      <c r="R381" s="295">
        <f t="shared" si="90"/>
        <v>11988.408693406724</v>
      </c>
      <c r="S381" s="295">
        <f t="shared" si="90"/>
        <v>11988.408693406724</v>
      </c>
      <c r="T381" s="295">
        <f t="shared" si="88"/>
        <v>11988.408693406724</v>
      </c>
      <c r="U381" s="295">
        <f t="shared" si="88"/>
        <v>11988.408693406724</v>
      </c>
      <c r="V381" s="295">
        <f t="shared" si="88"/>
        <v>11988.408693406724</v>
      </c>
      <c r="W381" s="295">
        <f t="shared" si="88"/>
        <v>11988.408693406724</v>
      </c>
      <c r="X381" s="295">
        <f t="shared" si="88"/>
        <v>11988.408693406724</v>
      </c>
      <c r="Y381" s="295">
        <f t="shared" si="88"/>
        <v>11988.408693406724</v>
      </c>
      <c r="Z381" s="295">
        <f t="shared" si="88"/>
        <v>11988.408693406724</v>
      </c>
      <c r="AA381" s="295">
        <f t="shared" si="88"/>
        <v>11988.408693406724</v>
      </c>
      <c r="AB381" s="295">
        <f t="shared" si="88"/>
        <v>11988.408693406724</v>
      </c>
      <c r="AC381" s="295">
        <f t="shared" si="88"/>
        <v>11988.408693406724</v>
      </c>
      <c r="AD381" s="295">
        <f t="shared" si="88"/>
        <v>11988.408693406724</v>
      </c>
      <c r="AE381" s="296">
        <f t="shared" si="88"/>
        <v>11988.408693406724</v>
      </c>
    </row>
    <row r="382" spans="1:31">
      <c r="A382" s="1711"/>
      <c r="B382" s="116">
        <v>10</v>
      </c>
      <c r="C382" s="294">
        <f t="shared" si="89"/>
        <v>11748.640519538589</v>
      </c>
      <c r="D382" s="295">
        <f t="shared" si="90"/>
        <v>11748.640519538589</v>
      </c>
      <c r="E382" s="295">
        <f t="shared" si="90"/>
        <v>11748.640519538589</v>
      </c>
      <c r="F382" s="295">
        <f t="shared" si="90"/>
        <v>11748.640519538589</v>
      </c>
      <c r="G382" s="295">
        <f t="shared" si="90"/>
        <v>11748.640519538589</v>
      </c>
      <c r="H382" s="295">
        <f t="shared" si="90"/>
        <v>11748.640519538589</v>
      </c>
      <c r="I382" s="295">
        <f t="shared" si="90"/>
        <v>11748.640519538589</v>
      </c>
      <c r="J382" s="295">
        <f t="shared" si="90"/>
        <v>11748.640519538589</v>
      </c>
      <c r="K382" s="295">
        <f t="shared" si="90"/>
        <v>11748.640519538589</v>
      </c>
      <c r="L382" s="295">
        <f t="shared" si="90"/>
        <v>11748.640519538589</v>
      </c>
      <c r="M382" s="295">
        <f t="shared" si="90"/>
        <v>11748.640519538589</v>
      </c>
      <c r="N382" s="295">
        <f t="shared" si="90"/>
        <v>11748.640519538589</v>
      </c>
      <c r="O382" s="295">
        <f t="shared" si="90"/>
        <v>11748.640519538589</v>
      </c>
      <c r="P382" s="295">
        <f t="shared" si="90"/>
        <v>11748.640519538589</v>
      </c>
      <c r="Q382" s="295">
        <f t="shared" si="90"/>
        <v>11748.640519538589</v>
      </c>
      <c r="R382" s="295">
        <f t="shared" si="90"/>
        <v>11748.640519538589</v>
      </c>
      <c r="S382" s="295">
        <f t="shared" si="90"/>
        <v>11748.640519538589</v>
      </c>
      <c r="T382" s="295">
        <f t="shared" si="88"/>
        <v>11748.640519538589</v>
      </c>
      <c r="U382" s="295">
        <f t="shared" si="88"/>
        <v>11748.640519538589</v>
      </c>
      <c r="V382" s="295">
        <f t="shared" si="88"/>
        <v>11748.640519538589</v>
      </c>
      <c r="W382" s="295">
        <f t="shared" si="88"/>
        <v>11748.640519538589</v>
      </c>
      <c r="X382" s="295">
        <f t="shared" si="88"/>
        <v>11748.640519538589</v>
      </c>
      <c r="Y382" s="295">
        <f t="shared" si="88"/>
        <v>11748.640519538589</v>
      </c>
      <c r="Z382" s="295">
        <f t="shared" si="88"/>
        <v>11748.640519538589</v>
      </c>
      <c r="AA382" s="295">
        <f t="shared" si="88"/>
        <v>11748.640519538589</v>
      </c>
      <c r="AB382" s="295">
        <f t="shared" si="88"/>
        <v>11748.640519538589</v>
      </c>
      <c r="AC382" s="295">
        <f t="shared" si="88"/>
        <v>11748.640519538589</v>
      </c>
      <c r="AD382" s="295">
        <f t="shared" si="88"/>
        <v>11748.640519538589</v>
      </c>
      <c r="AE382" s="296">
        <f t="shared" si="88"/>
        <v>11748.640519538589</v>
      </c>
    </row>
    <row r="383" spans="1:31">
      <c r="A383" s="1711"/>
      <c r="B383" s="116">
        <v>11</v>
      </c>
      <c r="C383" s="294">
        <f t="shared" si="89"/>
        <v>11513.667709147816</v>
      </c>
      <c r="D383" s="295">
        <f t="shared" si="90"/>
        <v>11513.667709147816</v>
      </c>
      <c r="E383" s="295">
        <f t="shared" si="90"/>
        <v>11513.667709147816</v>
      </c>
      <c r="F383" s="295">
        <f t="shared" si="90"/>
        <v>11513.667709147816</v>
      </c>
      <c r="G383" s="295">
        <f t="shared" si="90"/>
        <v>11513.667709147816</v>
      </c>
      <c r="H383" s="295">
        <f t="shared" si="90"/>
        <v>11513.667709147816</v>
      </c>
      <c r="I383" s="295">
        <f t="shared" si="90"/>
        <v>11513.667709147816</v>
      </c>
      <c r="J383" s="295">
        <f t="shared" si="90"/>
        <v>11513.667709147816</v>
      </c>
      <c r="K383" s="295">
        <f t="shared" si="90"/>
        <v>11513.667709147816</v>
      </c>
      <c r="L383" s="295">
        <f t="shared" si="90"/>
        <v>11513.667709147816</v>
      </c>
      <c r="M383" s="295">
        <f t="shared" si="90"/>
        <v>11513.667709147816</v>
      </c>
      <c r="N383" s="295">
        <f t="shared" si="90"/>
        <v>11513.667709147816</v>
      </c>
      <c r="O383" s="295">
        <f t="shared" si="90"/>
        <v>11513.667709147816</v>
      </c>
      <c r="P383" s="295">
        <f t="shared" si="90"/>
        <v>11513.667709147816</v>
      </c>
      <c r="Q383" s="295">
        <f t="shared" si="90"/>
        <v>11513.667709147816</v>
      </c>
      <c r="R383" s="295">
        <f t="shared" si="90"/>
        <v>11513.667709147816</v>
      </c>
      <c r="S383" s="295">
        <f t="shared" si="90"/>
        <v>11513.667709147816</v>
      </c>
      <c r="T383" s="295">
        <f t="shared" si="88"/>
        <v>11513.667709147816</v>
      </c>
      <c r="U383" s="295">
        <f t="shared" si="88"/>
        <v>11513.667709147816</v>
      </c>
      <c r="V383" s="295">
        <f t="shared" si="88"/>
        <v>11513.667709147816</v>
      </c>
      <c r="W383" s="295">
        <f t="shared" si="88"/>
        <v>11513.667709147816</v>
      </c>
      <c r="X383" s="295">
        <f t="shared" si="88"/>
        <v>11513.667709147816</v>
      </c>
      <c r="Y383" s="295">
        <f t="shared" si="88"/>
        <v>11513.667709147816</v>
      </c>
      <c r="Z383" s="295">
        <f t="shared" si="88"/>
        <v>11513.667709147816</v>
      </c>
      <c r="AA383" s="295">
        <f t="shared" si="88"/>
        <v>11513.667709147816</v>
      </c>
      <c r="AB383" s="295">
        <f t="shared" si="88"/>
        <v>11513.667709147816</v>
      </c>
      <c r="AC383" s="295">
        <f t="shared" si="88"/>
        <v>11513.667709147816</v>
      </c>
      <c r="AD383" s="295">
        <f t="shared" si="88"/>
        <v>11513.667709147816</v>
      </c>
      <c r="AE383" s="296">
        <f t="shared" si="88"/>
        <v>11513.667709147816</v>
      </c>
    </row>
    <row r="384" spans="1:31">
      <c r="A384" s="1711"/>
      <c r="B384" s="116">
        <v>12</v>
      </c>
      <c r="C384" s="294">
        <f t="shared" si="89"/>
        <v>11283.394354964859</v>
      </c>
      <c r="D384" s="295">
        <f t="shared" si="90"/>
        <v>11283.394354964859</v>
      </c>
      <c r="E384" s="295">
        <f t="shared" si="90"/>
        <v>11283.394354964859</v>
      </c>
      <c r="F384" s="295">
        <f t="shared" si="90"/>
        <v>11283.394354964859</v>
      </c>
      <c r="G384" s="295">
        <f t="shared" si="90"/>
        <v>11283.394354964859</v>
      </c>
      <c r="H384" s="295">
        <f t="shared" si="90"/>
        <v>11283.394354964859</v>
      </c>
      <c r="I384" s="295">
        <f t="shared" si="90"/>
        <v>11283.394354964859</v>
      </c>
      <c r="J384" s="295">
        <f t="shared" si="90"/>
        <v>11283.394354964859</v>
      </c>
      <c r="K384" s="295">
        <f t="shared" si="90"/>
        <v>11283.394354964859</v>
      </c>
      <c r="L384" s="295">
        <f t="shared" si="90"/>
        <v>11283.394354964859</v>
      </c>
      <c r="M384" s="295">
        <f t="shared" si="90"/>
        <v>11283.394354964859</v>
      </c>
      <c r="N384" s="295">
        <f t="shared" si="90"/>
        <v>11283.394354964859</v>
      </c>
      <c r="O384" s="295">
        <f t="shared" si="90"/>
        <v>11283.394354964859</v>
      </c>
      <c r="P384" s="295">
        <f t="shared" si="90"/>
        <v>11283.394354964859</v>
      </c>
      <c r="Q384" s="295">
        <f t="shared" si="90"/>
        <v>11283.394354964859</v>
      </c>
      <c r="R384" s="295">
        <f t="shared" si="90"/>
        <v>11283.394354964859</v>
      </c>
      <c r="S384" s="295">
        <f t="shared" si="90"/>
        <v>11283.394354964859</v>
      </c>
      <c r="T384" s="295">
        <f t="shared" si="88"/>
        <v>11283.394354964859</v>
      </c>
      <c r="U384" s="295">
        <f t="shared" si="88"/>
        <v>11283.394354964859</v>
      </c>
      <c r="V384" s="295">
        <f t="shared" si="88"/>
        <v>11283.394354964859</v>
      </c>
      <c r="W384" s="295">
        <f t="shared" si="88"/>
        <v>11283.394354964859</v>
      </c>
      <c r="X384" s="295">
        <f t="shared" si="88"/>
        <v>11283.394354964859</v>
      </c>
      <c r="Y384" s="295">
        <f t="shared" si="88"/>
        <v>11283.394354964859</v>
      </c>
      <c r="Z384" s="295">
        <f t="shared" si="88"/>
        <v>11283.394354964859</v>
      </c>
      <c r="AA384" s="295">
        <f t="shared" si="88"/>
        <v>11283.394354964859</v>
      </c>
      <c r="AB384" s="295">
        <f t="shared" si="88"/>
        <v>11283.394354964859</v>
      </c>
      <c r="AC384" s="295">
        <f t="shared" si="88"/>
        <v>11283.394354964859</v>
      </c>
      <c r="AD384" s="295">
        <f t="shared" si="88"/>
        <v>11283.394354964859</v>
      </c>
      <c r="AE384" s="296">
        <f t="shared" si="88"/>
        <v>11283.394354964859</v>
      </c>
    </row>
    <row r="385" spans="1:31">
      <c r="A385" s="1711"/>
      <c r="B385" s="116">
        <v>13</v>
      </c>
      <c r="C385" s="294">
        <f t="shared" si="89"/>
        <v>11057.726467865561</v>
      </c>
      <c r="D385" s="295">
        <f t="shared" si="90"/>
        <v>11057.726467865561</v>
      </c>
      <c r="E385" s="295">
        <f t="shared" si="90"/>
        <v>11057.726467865561</v>
      </c>
      <c r="F385" s="295">
        <f t="shared" si="90"/>
        <v>11057.726467865561</v>
      </c>
      <c r="G385" s="295">
        <f t="shared" si="90"/>
        <v>11057.726467865561</v>
      </c>
      <c r="H385" s="295">
        <f t="shared" si="90"/>
        <v>11057.726467865561</v>
      </c>
      <c r="I385" s="295">
        <f t="shared" si="90"/>
        <v>11057.726467865561</v>
      </c>
      <c r="J385" s="295">
        <f t="shared" si="90"/>
        <v>11057.726467865561</v>
      </c>
      <c r="K385" s="295">
        <f t="shared" si="90"/>
        <v>11057.726467865561</v>
      </c>
      <c r="L385" s="295">
        <f t="shared" si="90"/>
        <v>11057.726467865561</v>
      </c>
      <c r="M385" s="295">
        <f t="shared" si="90"/>
        <v>11057.726467865561</v>
      </c>
      <c r="N385" s="295">
        <f t="shared" si="90"/>
        <v>11057.726467865561</v>
      </c>
      <c r="O385" s="295">
        <f t="shared" si="90"/>
        <v>11057.726467865561</v>
      </c>
      <c r="P385" s="295">
        <f t="shared" si="90"/>
        <v>11057.726467865561</v>
      </c>
      <c r="Q385" s="295">
        <f t="shared" si="90"/>
        <v>11057.726467865561</v>
      </c>
      <c r="R385" s="295">
        <f t="shared" si="90"/>
        <v>11057.726467865561</v>
      </c>
      <c r="S385" s="295">
        <f t="shared" si="90"/>
        <v>11057.726467865561</v>
      </c>
      <c r="T385" s="295">
        <f t="shared" si="88"/>
        <v>11057.726467865561</v>
      </c>
      <c r="U385" s="295">
        <f t="shared" si="88"/>
        <v>11057.726467865561</v>
      </c>
      <c r="V385" s="295">
        <f t="shared" si="88"/>
        <v>11057.726467865561</v>
      </c>
      <c r="W385" s="295">
        <f t="shared" si="88"/>
        <v>11057.726467865561</v>
      </c>
      <c r="X385" s="295">
        <f t="shared" si="88"/>
        <v>11057.726467865561</v>
      </c>
      <c r="Y385" s="295">
        <f t="shared" si="88"/>
        <v>11057.726467865561</v>
      </c>
      <c r="Z385" s="295">
        <f t="shared" si="88"/>
        <v>11057.726467865561</v>
      </c>
      <c r="AA385" s="295">
        <f t="shared" si="88"/>
        <v>11057.726467865561</v>
      </c>
      <c r="AB385" s="295">
        <f t="shared" si="88"/>
        <v>11057.726467865561</v>
      </c>
      <c r="AC385" s="295">
        <f t="shared" si="88"/>
        <v>11057.726467865561</v>
      </c>
      <c r="AD385" s="295">
        <f t="shared" si="88"/>
        <v>11057.726467865561</v>
      </c>
      <c r="AE385" s="296">
        <f t="shared" si="88"/>
        <v>11057.726467865561</v>
      </c>
    </row>
    <row r="386" spans="1:31">
      <c r="A386" s="1711"/>
      <c r="B386" s="116">
        <v>14</v>
      </c>
      <c r="C386" s="294">
        <f t="shared" si="89"/>
        <v>10836.57193850825</v>
      </c>
      <c r="D386" s="295">
        <f t="shared" si="90"/>
        <v>10836.57193850825</v>
      </c>
      <c r="E386" s="295">
        <f t="shared" si="90"/>
        <v>10836.57193850825</v>
      </c>
      <c r="F386" s="295">
        <f t="shared" si="90"/>
        <v>10836.57193850825</v>
      </c>
      <c r="G386" s="295">
        <f t="shared" si="90"/>
        <v>10836.57193850825</v>
      </c>
      <c r="H386" s="295">
        <f t="shared" si="90"/>
        <v>10836.57193850825</v>
      </c>
      <c r="I386" s="295">
        <f t="shared" si="90"/>
        <v>10836.57193850825</v>
      </c>
      <c r="J386" s="295">
        <f t="shared" si="90"/>
        <v>10836.57193850825</v>
      </c>
      <c r="K386" s="295">
        <f t="shared" si="90"/>
        <v>10836.57193850825</v>
      </c>
      <c r="L386" s="295">
        <f t="shared" si="90"/>
        <v>10836.57193850825</v>
      </c>
      <c r="M386" s="295">
        <f t="shared" si="90"/>
        <v>10836.57193850825</v>
      </c>
      <c r="N386" s="295">
        <f t="shared" si="90"/>
        <v>10836.57193850825</v>
      </c>
      <c r="O386" s="295">
        <f t="shared" si="90"/>
        <v>10836.57193850825</v>
      </c>
      <c r="P386" s="295">
        <f t="shared" si="90"/>
        <v>10836.57193850825</v>
      </c>
      <c r="Q386" s="295">
        <f t="shared" si="90"/>
        <v>10836.57193850825</v>
      </c>
      <c r="R386" s="295">
        <f t="shared" si="90"/>
        <v>10836.57193850825</v>
      </c>
      <c r="S386" s="295">
        <f t="shared" si="90"/>
        <v>10836.57193850825</v>
      </c>
      <c r="T386" s="295">
        <f t="shared" si="88"/>
        <v>10836.57193850825</v>
      </c>
      <c r="U386" s="295">
        <f t="shared" si="88"/>
        <v>10836.57193850825</v>
      </c>
      <c r="V386" s="295">
        <f t="shared" si="88"/>
        <v>10836.57193850825</v>
      </c>
      <c r="W386" s="295">
        <f t="shared" si="88"/>
        <v>10836.57193850825</v>
      </c>
      <c r="X386" s="295">
        <f t="shared" si="88"/>
        <v>10836.57193850825</v>
      </c>
      <c r="Y386" s="295">
        <f t="shared" si="88"/>
        <v>10836.57193850825</v>
      </c>
      <c r="Z386" s="295">
        <f t="shared" si="88"/>
        <v>10836.57193850825</v>
      </c>
      <c r="AA386" s="295">
        <f t="shared" si="88"/>
        <v>10836.57193850825</v>
      </c>
      <c r="AB386" s="295">
        <f t="shared" si="88"/>
        <v>10836.57193850825</v>
      </c>
      <c r="AC386" s="295">
        <f t="shared" si="88"/>
        <v>10836.57193850825</v>
      </c>
      <c r="AD386" s="295">
        <f t="shared" si="88"/>
        <v>10836.57193850825</v>
      </c>
      <c r="AE386" s="296">
        <f t="shared" si="88"/>
        <v>10836.57193850825</v>
      </c>
    </row>
    <row r="387" spans="1:31">
      <c r="A387" s="1711"/>
      <c r="B387" s="116">
        <v>15</v>
      </c>
      <c r="C387" s="294">
        <f t="shared" si="89"/>
        <v>10619.840499738086</v>
      </c>
      <c r="D387" s="295">
        <f t="shared" si="90"/>
        <v>10619.840499738086</v>
      </c>
      <c r="E387" s="295">
        <f t="shared" si="90"/>
        <v>10619.840499738086</v>
      </c>
      <c r="F387" s="295">
        <f t="shared" si="90"/>
        <v>10619.840499738086</v>
      </c>
      <c r="G387" s="295">
        <f t="shared" si="90"/>
        <v>10619.840499738086</v>
      </c>
      <c r="H387" s="295">
        <f t="shared" si="90"/>
        <v>10619.840499738086</v>
      </c>
      <c r="I387" s="295">
        <f t="shared" si="90"/>
        <v>10619.840499738086</v>
      </c>
      <c r="J387" s="295">
        <f t="shared" si="90"/>
        <v>10619.840499738086</v>
      </c>
      <c r="K387" s="295">
        <f t="shared" si="90"/>
        <v>10619.840499738086</v>
      </c>
      <c r="L387" s="295">
        <f t="shared" si="90"/>
        <v>10619.840499738086</v>
      </c>
      <c r="M387" s="295">
        <f t="shared" si="90"/>
        <v>10619.840499738086</v>
      </c>
      <c r="N387" s="295">
        <f t="shared" si="90"/>
        <v>10619.840499738086</v>
      </c>
      <c r="O387" s="295">
        <f t="shared" si="90"/>
        <v>10619.840499738086</v>
      </c>
      <c r="P387" s="295">
        <f t="shared" si="90"/>
        <v>10619.840499738086</v>
      </c>
      <c r="Q387" s="295">
        <f t="shared" si="90"/>
        <v>10619.840499738086</v>
      </c>
      <c r="R387" s="295">
        <f t="shared" si="90"/>
        <v>10619.840499738086</v>
      </c>
      <c r="S387" s="295">
        <f t="shared" si="90"/>
        <v>10619.840499738086</v>
      </c>
      <c r="T387" s="295">
        <f t="shared" si="88"/>
        <v>10619.840499738086</v>
      </c>
      <c r="U387" s="295">
        <f t="shared" si="88"/>
        <v>10619.840499738086</v>
      </c>
      <c r="V387" s="295">
        <f t="shared" si="88"/>
        <v>10619.840499738086</v>
      </c>
      <c r="W387" s="295">
        <f t="shared" si="88"/>
        <v>10619.840499738086</v>
      </c>
      <c r="X387" s="295">
        <f t="shared" si="88"/>
        <v>10619.840499738086</v>
      </c>
      <c r="Y387" s="295">
        <f t="shared" si="88"/>
        <v>10619.840499738086</v>
      </c>
      <c r="Z387" s="295">
        <f t="shared" si="88"/>
        <v>10619.840499738086</v>
      </c>
      <c r="AA387" s="295">
        <f t="shared" si="88"/>
        <v>10619.840499738086</v>
      </c>
      <c r="AB387" s="295">
        <f t="shared" si="88"/>
        <v>10619.840499738086</v>
      </c>
      <c r="AC387" s="295">
        <f t="shared" si="88"/>
        <v>10619.840499738086</v>
      </c>
      <c r="AD387" s="295">
        <f t="shared" si="88"/>
        <v>10619.840499738086</v>
      </c>
      <c r="AE387" s="296">
        <f t="shared" si="88"/>
        <v>10619.840499738086</v>
      </c>
    </row>
    <row r="388" spans="1:31">
      <c r="A388" s="1711"/>
      <c r="B388" s="116">
        <v>16</v>
      </c>
      <c r="C388" s="294">
        <f t="shared" si="89"/>
        <v>10407.443689743324</v>
      </c>
      <c r="D388" s="295">
        <f t="shared" si="90"/>
        <v>10407.443689743324</v>
      </c>
      <c r="E388" s="295">
        <f t="shared" si="90"/>
        <v>10407.443689743324</v>
      </c>
      <c r="F388" s="295">
        <f t="shared" si="90"/>
        <v>10407.443689743324</v>
      </c>
      <c r="G388" s="295">
        <f t="shared" si="90"/>
        <v>10407.443689743324</v>
      </c>
      <c r="H388" s="295">
        <f t="shared" si="90"/>
        <v>10407.443689743324</v>
      </c>
      <c r="I388" s="295">
        <f t="shared" si="90"/>
        <v>10407.443689743324</v>
      </c>
      <c r="J388" s="295">
        <f t="shared" si="90"/>
        <v>10407.443689743324</v>
      </c>
      <c r="K388" s="295">
        <f t="shared" si="90"/>
        <v>10407.443689743324</v>
      </c>
      <c r="L388" s="295">
        <f t="shared" si="90"/>
        <v>10407.443689743324</v>
      </c>
      <c r="M388" s="295">
        <f t="shared" si="90"/>
        <v>10407.443689743324</v>
      </c>
      <c r="N388" s="295">
        <f t="shared" si="90"/>
        <v>10407.443689743324</v>
      </c>
      <c r="O388" s="295">
        <f t="shared" si="90"/>
        <v>10407.443689743324</v>
      </c>
      <c r="P388" s="295">
        <f t="shared" si="90"/>
        <v>10407.443689743324</v>
      </c>
      <c r="Q388" s="295">
        <f t="shared" si="90"/>
        <v>10407.443689743324</v>
      </c>
      <c r="R388" s="295">
        <f t="shared" si="90"/>
        <v>10407.443689743324</v>
      </c>
      <c r="S388" s="295">
        <f t="shared" ref="S388:AE397" si="91">R388</f>
        <v>10407.443689743324</v>
      </c>
      <c r="T388" s="295">
        <f t="shared" si="91"/>
        <v>10407.443689743324</v>
      </c>
      <c r="U388" s="295">
        <f t="shared" si="91"/>
        <v>10407.443689743324</v>
      </c>
      <c r="V388" s="295">
        <f t="shared" si="91"/>
        <v>10407.443689743324</v>
      </c>
      <c r="W388" s="295">
        <f t="shared" si="91"/>
        <v>10407.443689743324</v>
      </c>
      <c r="X388" s="295">
        <f t="shared" si="91"/>
        <v>10407.443689743324</v>
      </c>
      <c r="Y388" s="295">
        <f t="shared" si="91"/>
        <v>10407.443689743324</v>
      </c>
      <c r="Z388" s="295">
        <f t="shared" si="91"/>
        <v>10407.443689743324</v>
      </c>
      <c r="AA388" s="295">
        <f t="shared" si="91"/>
        <v>10407.443689743324</v>
      </c>
      <c r="AB388" s="295">
        <f t="shared" si="91"/>
        <v>10407.443689743324</v>
      </c>
      <c r="AC388" s="295">
        <f t="shared" si="91"/>
        <v>10407.443689743324</v>
      </c>
      <c r="AD388" s="295">
        <f t="shared" si="91"/>
        <v>10407.443689743324</v>
      </c>
      <c r="AE388" s="296">
        <f t="shared" si="91"/>
        <v>10407.443689743324</v>
      </c>
    </row>
    <row r="389" spans="1:31">
      <c r="A389" s="1711"/>
      <c r="B389" s="116">
        <v>17</v>
      </c>
      <c r="C389" s="294">
        <f t="shared" si="89"/>
        <v>10407.443689743324</v>
      </c>
      <c r="D389" s="295">
        <f t="shared" ref="D389:S397" si="92">C389</f>
        <v>10407.443689743324</v>
      </c>
      <c r="E389" s="295">
        <f t="shared" si="92"/>
        <v>10407.443689743324</v>
      </c>
      <c r="F389" s="295">
        <f t="shared" si="92"/>
        <v>10407.443689743324</v>
      </c>
      <c r="G389" s="295">
        <f t="shared" si="92"/>
        <v>10407.443689743324</v>
      </c>
      <c r="H389" s="295">
        <f t="shared" si="92"/>
        <v>10407.443689743324</v>
      </c>
      <c r="I389" s="295">
        <f t="shared" si="92"/>
        <v>10407.443689743324</v>
      </c>
      <c r="J389" s="295">
        <f t="shared" si="92"/>
        <v>10407.443689743324</v>
      </c>
      <c r="K389" s="295">
        <f t="shared" si="92"/>
        <v>10407.443689743324</v>
      </c>
      <c r="L389" s="295">
        <f t="shared" si="92"/>
        <v>10407.443689743324</v>
      </c>
      <c r="M389" s="295">
        <f t="shared" si="92"/>
        <v>10407.443689743324</v>
      </c>
      <c r="N389" s="295">
        <f t="shared" si="92"/>
        <v>10407.443689743324</v>
      </c>
      <c r="O389" s="295">
        <f t="shared" si="92"/>
        <v>10407.443689743324</v>
      </c>
      <c r="P389" s="295">
        <f t="shared" si="92"/>
        <v>10407.443689743324</v>
      </c>
      <c r="Q389" s="295">
        <f t="shared" si="92"/>
        <v>10407.443689743324</v>
      </c>
      <c r="R389" s="295">
        <f t="shared" si="92"/>
        <v>10407.443689743324</v>
      </c>
      <c r="S389" s="295">
        <f t="shared" si="92"/>
        <v>10407.443689743324</v>
      </c>
      <c r="T389" s="295">
        <f t="shared" si="91"/>
        <v>10407.443689743324</v>
      </c>
      <c r="U389" s="295">
        <f t="shared" si="91"/>
        <v>10407.443689743324</v>
      </c>
      <c r="V389" s="295">
        <f t="shared" si="91"/>
        <v>10407.443689743324</v>
      </c>
      <c r="W389" s="295">
        <f t="shared" si="91"/>
        <v>10407.443689743324</v>
      </c>
      <c r="X389" s="295">
        <f t="shared" si="91"/>
        <v>10407.443689743324</v>
      </c>
      <c r="Y389" s="295">
        <f t="shared" si="91"/>
        <v>10407.443689743324</v>
      </c>
      <c r="Z389" s="295">
        <f t="shared" si="91"/>
        <v>10407.443689743324</v>
      </c>
      <c r="AA389" s="295">
        <f t="shared" si="91"/>
        <v>10407.443689743324</v>
      </c>
      <c r="AB389" s="295">
        <f t="shared" si="91"/>
        <v>10407.443689743324</v>
      </c>
      <c r="AC389" s="295">
        <f t="shared" si="91"/>
        <v>10407.443689743324</v>
      </c>
      <c r="AD389" s="295">
        <f t="shared" si="91"/>
        <v>10407.443689743324</v>
      </c>
      <c r="AE389" s="296">
        <f t="shared" si="91"/>
        <v>10407.443689743324</v>
      </c>
    </row>
    <row r="390" spans="1:31">
      <c r="A390" s="1711"/>
      <c r="B390" s="116">
        <v>18</v>
      </c>
      <c r="C390" s="294">
        <f t="shared" si="89"/>
        <v>10407.443689743324</v>
      </c>
      <c r="D390" s="295">
        <f t="shared" si="92"/>
        <v>10407.443689743324</v>
      </c>
      <c r="E390" s="295">
        <f t="shared" si="92"/>
        <v>10407.443689743324</v>
      </c>
      <c r="F390" s="295">
        <f t="shared" si="92"/>
        <v>10407.443689743324</v>
      </c>
      <c r="G390" s="295">
        <f t="shared" si="92"/>
        <v>10407.443689743324</v>
      </c>
      <c r="H390" s="295">
        <f t="shared" si="92"/>
        <v>10407.443689743324</v>
      </c>
      <c r="I390" s="295">
        <f t="shared" si="92"/>
        <v>10407.443689743324</v>
      </c>
      <c r="J390" s="295">
        <f t="shared" si="92"/>
        <v>10407.443689743324</v>
      </c>
      <c r="K390" s="295">
        <f t="shared" si="92"/>
        <v>10407.443689743324</v>
      </c>
      <c r="L390" s="295">
        <f t="shared" si="92"/>
        <v>10407.443689743324</v>
      </c>
      <c r="M390" s="295">
        <f t="shared" si="92"/>
        <v>10407.443689743324</v>
      </c>
      <c r="N390" s="295">
        <f t="shared" si="92"/>
        <v>10407.443689743324</v>
      </c>
      <c r="O390" s="295">
        <f t="shared" si="92"/>
        <v>10407.443689743324</v>
      </c>
      <c r="P390" s="295">
        <f t="shared" si="92"/>
        <v>10407.443689743324</v>
      </c>
      <c r="Q390" s="295">
        <f t="shared" si="92"/>
        <v>10407.443689743324</v>
      </c>
      <c r="R390" s="295">
        <f t="shared" si="92"/>
        <v>10407.443689743324</v>
      </c>
      <c r="S390" s="295">
        <f t="shared" si="92"/>
        <v>10407.443689743324</v>
      </c>
      <c r="T390" s="295">
        <f t="shared" si="91"/>
        <v>10407.443689743324</v>
      </c>
      <c r="U390" s="295">
        <f t="shared" si="91"/>
        <v>10407.443689743324</v>
      </c>
      <c r="V390" s="295">
        <f t="shared" si="91"/>
        <v>10407.443689743324</v>
      </c>
      <c r="W390" s="295">
        <f t="shared" si="91"/>
        <v>10407.443689743324</v>
      </c>
      <c r="X390" s="295">
        <f t="shared" si="91"/>
        <v>10407.443689743324</v>
      </c>
      <c r="Y390" s="295">
        <f t="shared" si="91"/>
        <v>10407.443689743324</v>
      </c>
      <c r="Z390" s="295">
        <f t="shared" si="91"/>
        <v>10407.443689743324</v>
      </c>
      <c r="AA390" s="295">
        <f t="shared" si="91"/>
        <v>10407.443689743324</v>
      </c>
      <c r="AB390" s="295">
        <f t="shared" si="91"/>
        <v>10407.443689743324</v>
      </c>
      <c r="AC390" s="295">
        <f t="shared" si="91"/>
        <v>10407.443689743324</v>
      </c>
      <c r="AD390" s="295">
        <f t="shared" si="91"/>
        <v>10407.443689743324</v>
      </c>
      <c r="AE390" s="296">
        <f t="shared" si="91"/>
        <v>10407.443689743324</v>
      </c>
    </row>
    <row r="391" spans="1:31">
      <c r="A391" s="1711"/>
      <c r="B391" s="116">
        <v>19</v>
      </c>
      <c r="C391" s="294">
        <f t="shared" si="89"/>
        <v>10407.443689743324</v>
      </c>
      <c r="D391" s="295">
        <f t="shared" si="92"/>
        <v>10407.443689743324</v>
      </c>
      <c r="E391" s="295">
        <f t="shared" si="92"/>
        <v>10407.443689743324</v>
      </c>
      <c r="F391" s="295">
        <f t="shared" si="92"/>
        <v>10407.443689743324</v>
      </c>
      <c r="G391" s="295">
        <f t="shared" si="92"/>
        <v>10407.443689743324</v>
      </c>
      <c r="H391" s="295">
        <f t="shared" si="92"/>
        <v>10407.443689743324</v>
      </c>
      <c r="I391" s="295">
        <f t="shared" si="92"/>
        <v>10407.443689743324</v>
      </c>
      <c r="J391" s="295">
        <f t="shared" si="92"/>
        <v>10407.443689743324</v>
      </c>
      <c r="K391" s="295">
        <f t="shared" si="92"/>
        <v>10407.443689743324</v>
      </c>
      <c r="L391" s="295">
        <f t="shared" si="92"/>
        <v>10407.443689743324</v>
      </c>
      <c r="M391" s="295">
        <f t="shared" si="92"/>
        <v>10407.443689743324</v>
      </c>
      <c r="N391" s="295">
        <f t="shared" si="92"/>
        <v>10407.443689743324</v>
      </c>
      <c r="O391" s="295">
        <f t="shared" si="92"/>
        <v>10407.443689743324</v>
      </c>
      <c r="P391" s="295">
        <f t="shared" si="92"/>
        <v>10407.443689743324</v>
      </c>
      <c r="Q391" s="295">
        <f t="shared" si="92"/>
        <v>10407.443689743324</v>
      </c>
      <c r="R391" s="295">
        <f t="shared" si="92"/>
        <v>10407.443689743324</v>
      </c>
      <c r="S391" s="295">
        <f t="shared" si="92"/>
        <v>10407.443689743324</v>
      </c>
      <c r="T391" s="295">
        <f t="shared" si="91"/>
        <v>10407.443689743324</v>
      </c>
      <c r="U391" s="295">
        <f t="shared" si="91"/>
        <v>10407.443689743324</v>
      </c>
      <c r="V391" s="295">
        <f t="shared" si="91"/>
        <v>10407.443689743324</v>
      </c>
      <c r="W391" s="295">
        <f t="shared" si="91"/>
        <v>10407.443689743324</v>
      </c>
      <c r="X391" s="295">
        <f t="shared" si="91"/>
        <v>10407.443689743324</v>
      </c>
      <c r="Y391" s="295">
        <f t="shared" si="91"/>
        <v>10407.443689743324</v>
      </c>
      <c r="Z391" s="295">
        <f t="shared" si="91"/>
        <v>10407.443689743324</v>
      </c>
      <c r="AA391" s="295">
        <f t="shared" si="91"/>
        <v>10407.443689743324</v>
      </c>
      <c r="AB391" s="295">
        <f t="shared" si="91"/>
        <v>10407.443689743324</v>
      </c>
      <c r="AC391" s="295">
        <f t="shared" si="91"/>
        <v>10407.443689743324</v>
      </c>
      <c r="AD391" s="295">
        <f t="shared" si="91"/>
        <v>10407.443689743324</v>
      </c>
      <c r="AE391" s="296">
        <f t="shared" si="91"/>
        <v>10407.443689743324</v>
      </c>
    </row>
    <row r="392" spans="1:31">
      <c r="A392" s="1711"/>
      <c r="B392" s="116">
        <v>20</v>
      </c>
      <c r="C392" s="294">
        <f t="shared" si="89"/>
        <v>10407.443689743324</v>
      </c>
      <c r="D392" s="295">
        <f t="shared" si="92"/>
        <v>10407.443689743324</v>
      </c>
      <c r="E392" s="295">
        <f t="shared" si="92"/>
        <v>10407.443689743324</v>
      </c>
      <c r="F392" s="295">
        <f t="shared" si="92"/>
        <v>10407.443689743324</v>
      </c>
      <c r="G392" s="295">
        <f t="shared" si="92"/>
        <v>10407.443689743324</v>
      </c>
      <c r="H392" s="295">
        <f t="shared" si="92"/>
        <v>10407.443689743324</v>
      </c>
      <c r="I392" s="295">
        <f t="shared" si="92"/>
        <v>10407.443689743324</v>
      </c>
      <c r="J392" s="295">
        <f t="shared" si="92"/>
        <v>10407.443689743324</v>
      </c>
      <c r="K392" s="295">
        <f t="shared" si="92"/>
        <v>10407.443689743324</v>
      </c>
      <c r="L392" s="295">
        <f t="shared" si="92"/>
        <v>10407.443689743324</v>
      </c>
      <c r="M392" s="295">
        <f t="shared" si="92"/>
        <v>10407.443689743324</v>
      </c>
      <c r="N392" s="295">
        <f t="shared" si="92"/>
        <v>10407.443689743324</v>
      </c>
      <c r="O392" s="295">
        <f t="shared" si="92"/>
        <v>10407.443689743324</v>
      </c>
      <c r="P392" s="295">
        <f t="shared" si="92"/>
        <v>10407.443689743324</v>
      </c>
      <c r="Q392" s="295">
        <f t="shared" si="92"/>
        <v>10407.443689743324</v>
      </c>
      <c r="R392" s="295">
        <f t="shared" si="92"/>
        <v>10407.443689743324</v>
      </c>
      <c r="S392" s="295">
        <f t="shared" si="92"/>
        <v>10407.443689743324</v>
      </c>
      <c r="T392" s="295">
        <f t="shared" si="91"/>
        <v>10407.443689743324</v>
      </c>
      <c r="U392" s="295">
        <f t="shared" si="91"/>
        <v>10407.443689743324</v>
      </c>
      <c r="V392" s="295">
        <f t="shared" si="91"/>
        <v>10407.443689743324</v>
      </c>
      <c r="W392" s="295">
        <f t="shared" si="91"/>
        <v>10407.443689743324</v>
      </c>
      <c r="X392" s="295">
        <f t="shared" si="91"/>
        <v>10407.443689743324</v>
      </c>
      <c r="Y392" s="295">
        <f t="shared" si="91"/>
        <v>10407.443689743324</v>
      </c>
      <c r="Z392" s="295">
        <f t="shared" si="91"/>
        <v>10407.443689743324</v>
      </c>
      <c r="AA392" s="295">
        <f t="shared" si="91"/>
        <v>10407.443689743324</v>
      </c>
      <c r="AB392" s="295">
        <f t="shared" si="91"/>
        <v>10407.443689743324</v>
      </c>
      <c r="AC392" s="295">
        <f t="shared" si="91"/>
        <v>10407.443689743324</v>
      </c>
      <c r="AD392" s="295">
        <f t="shared" si="91"/>
        <v>10407.443689743324</v>
      </c>
      <c r="AE392" s="296">
        <f t="shared" si="91"/>
        <v>10407.443689743324</v>
      </c>
    </row>
    <row r="393" spans="1:31">
      <c r="A393" s="1711"/>
      <c r="B393" s="116">
        <v>21</v>
      </c>
      <c r="C393" s="294">
        <f t="shared" si="89"/>
        <v>10407.443689743324</v>
      </c>
      <c r="D393" s="295">
        <f t="shared" si="92"/>
        <v>10407.443689743324</v>
      </c>
      <c r="E393" s="295">
        <f t="shared" si="92"/>
        <v>10407.443689743324</v>
      </c>
      <c r="F393" s="295">
        <f t="shared" si="92"/>
        <v>10407.443689743324</v>
      </c>
      <c r="G393" s="295">
        <f t="shared" si="92"/>
        <v>10407.443689743324</v>
      </c>
      <c r="H393" s="295">
        <f t="shared" si="92"/>
        <v>10407.443689743324</v>
      </c>
      <c r="I393" s="295">
        <f t="shared" si="92"/>
        <v>10407.443689743324</v>
      </c>
      <c r="J393" s="295">
        <f t="shared" si="92"/>
        <v>10407.443689743324</v>
      </c>
      <c r="K393" s="295">
        <f t="shared" si="92"/>
        <v>10407.443689743324</v>
      </c>
      <c r="L393" s="295">
        <f t="shared" si="92"/>
        <v>10407.443689743324</v>
      </c>
      <c r="M393" s="295">
        <f t="shared" si="92"/>
        <v>10407.443689743324</v>
      </c>
      <c r="N393" s="295">
        <f t="shared" si="92"/>
        <v>10407.443689743324</v>
      </c>
      <c r="O393" s="295">
        <f t="shared" si="92"/>
        <v>10407.443689743324</v>
      </c>
      <c r="P393" s="295">
        <f t="shared" si="92"/>
        <v>10407.443689743324</v>
      </c>
      <c r="Q393" s="295">
        <f t="shared" si="92"/>
        <v>10407.443689743324</v>
      </c>
      <c r="R393" s="295">
        <f t="shared" si="92"/>
        <v>10407.443689743324</v>
      </c>
      <c r="S393" s="295">
        <f t="shared" si="92"/>
        <v>10407.443689743324</v>
      </c>
      <c r="T393" s="295">
        <f t="shared" si="91"/>
        <v>10407.443689743324</v>
      </c>
      <c r="U393" s="295">
        <f t="shared" si="91"/>
        <v>10407.443689743324</v>
      </c>
      <c r="V393" s="295">
        <f t="shared" si="91"/>
        <v>10407.443689743324</v>
      </c>
      <c r="W393" s="295">
        <f t="shared" si="91"/>
        <v>10407.443689743324</v>
      </c>
      <c r="X393" s="295">
        <f t="shared" si="91"/>
        <v>10407.443689743324</v>
      </c>
      <c r="Y393" s="295">
        <f t="shared" si="91"/>
        <v>10407.443689743324</v>
      </c>
      <c r="Z393" s="295">
        <f t="shared" si="91"/>
        <v>10407.443689743324</v>
      </c>
      <c r="AA393" s="295">
        <f t="shared" si="91"/>
        <v>10407.443689743324</v>
      </c>
      <c r="AB393" s="295">
        <f t="shared" si="91"/>
        <v>10407.443689743324</v>
      </c>
      <c r="AC393" s="295">
        <f t="shared" si="91"/>
        <v>10407.443689743324</v>
      </c>
      <c r="AD393" s="295">
        <f t="shared" si="91"/>
        <v>10407.443689743324</v>
      </c>
      <c r="AE393" s="296">
        <f t="shared" si="91"/>
        <v>10407.443689743324</v>
      </c>
    </row>
    <row r="394" spans="1:31">
      <c r="A394" s="1711"/>
      <c r="B394" s="116">
        <v>22</v>
      </c>
      <c r="C394" s="294">
        <f t="shared" si="89"/>
        <v>10407.443689743324</v>
      </c>
      <c r="D394" s="295">
        <f t="shared" si="92"/>
        <v>10407.443689743324</v>
      </c>
      <c r="E394" s="295">
        <f t="shared" si="92"/>
        <v>10407.443689743324</v>
      </c>
      <c r="F394" s="295">
        <f t="shared" si="92"/>
        <v>10407.443689743324</v>
      </c>
      <c r="G394" s="295">
        <f t="shared" si="92"/>
        <v>10407.443689743324</v>
      </c>
      <c r="H394" s="295">
        <f t="shared" si="92"/>
        <v>10407.443689743324</v>
      </c>
      <c r="I394" s="295">
        <f t="shared" si="92"/>
        <v>10407.443689743324</v>
      </c>
      <c r="J394" s="295">
        <f t="shared" si="92"/>
        <v>10407.443689743324</v>
      </c>
      <c r="K394" s="295">
        <f t="shared" si="92"/>
        <v>10407.443689743324</v>
      </c>
      <c r="L394" s="295">
        <f t="shared" si="92"/>
        <v>10407.443689743324</v>
      </c>
      <c r="M394" s="295">
        <f t="shared" si="92"/>
        <v>10407.443689743324</v>
      </c>
      <c r="N394" s="295">
        <f t="shared" si="92"/>
        <v>10407.443689743324</v>
      </c>
      <c r="O394" s="295">
        <f t="shared" si="92"/>
        <v>10407.443689743324</v>
      </c>
      <c r="P394" s="295">
        <f t="shared" si="92"/>
        <v>10407.443689743324</v>
      </c>
      <c r="Q394" s="295">
        <f t="shared" si="92"/>
        <v>10407.443689743324</v>
      </c>
      <c r="R394" s="295">
        <f t="shared" si="92"/>
        <v>10407.443689743324</v>
      </c>
      <c r="S394" s="295">
        <f t="shared" si="92"/>
        <v>10407.443689743324</v>
      </c>
      <c r="T394" s="295">
        <f t="shared" si="91"/>
        <v>10407.443689743324</v>
      </c>
      <c r="U394" s="295">
        <f t="shared" si="91"/>
        <v>10407.443689743324</v>
      </c>
      <c r="V394" s="295">
        <f t="shared" si="91"/>
        <v>10407.443689743324</v>
      </c>
      <c r="W394" s="295">
        <f t="shared" si="91"/>
        <v>10407.443689743324</v>
      </c>
      <c r="X394" s="295">
        <f t="shared" si="91"/>
        <v>10407.443689743324</v>
      </c>
      <c r="Y394" s="295">
        <f t="shared" si="91"/>
        <v>10407.443689743324</v>
      </c>
      <c r="Z394" s="295">
        <f t="shared" si="91"/>
        <v>10407.443689743324</v>
      </c>
      <c r="AA394" s="295">
        <f t="shared" si="91"/>
        <v>10407.443689743324</v>
      </c>
      <c r="AB394" s="295">
        <f t="shared" si="91"/>
        <v>10407.443689743324</v>
      </c>
      <c r="AC394" s="295">
        <f t="shared" si="91"/>
        <v>10407.443689743324</v>
      </c>
      <c r="AD394" s="295">
        <f t="shared" si="91"/>
        <v>10407.443689743324</v>
      </c>
      <c r="AE394" s="296">
        <f t="shared" si="91"/>
        <v>10407.443689743324</v>
      </c>
    </row>
    <row r="395" spans="1:31">
      <c r="A395" s="1711"/>
      <c r="B395" s="116">
        <v>23</v>
      </c>
      <c r="C395" s="294">
        <f t="shared" si="89"/>
        <v>10407.443689743324</v>
      </c>
      <c r="D395" s="295">
        <f t="shared" si="92"/>
        <v>10407.443689743324</v>
      </c>
      <c r="E395" s="295">
        <f t="shared" si="92"/>
        <v>10407.443689743324</v>
      </c>
      <c r="F395" s="295">
        <f t="shared" si="92"/>
        <v>10407.443689743324</v>
      </c>
      <c r="G395" s="295">
        <f t="shared" si="92"/>
        <v>10407.443689743324</v>
      </c>
      <c r="H395" s="295">
        <f t="shared" si="92"/>
        <v>10407.443689743324</v>
      </c>
      <c r="I395" s="295">
        <f t="shared" si="92"/>
        <v>10407.443689743324</v>
      </c>
      <c r="J395" s="295">
        <f t="shared" si="92"/>
        <v>10407.443689743324</v>
      </c>
      <c r="K395" s="295">
        <f t="shared" si="92"/>
        <v>10407.443689743324</v>
      </c>
      <c r="L395" s="295">
        <f t="shared" si="92"/>
        <v>10407.443689743324</v>
      </c>
      <c r="M395" s="295">
        <f t="shared" si="92"/>
        <v>10407.443689743324</v>
      </c>
      <c r="N395" s="295">
        <f t="shared" si="92"/>
        <v>10407.443689743324</v>
      </c>
      <c r="O395" s="295">
        <f t="shared" si="92"/>
        <v>10407.443689743324</v>
      </c>
      <c r="P395" s="295">
        <f t="shared" si="92"/>
        <v>10407.443689743324</v>
      </c>
      <c r="Q395" s="295">
        <f t="shared" si="92"/>
        <v>10407.443689743324</v>
      </c>
      <c r="R395" s="295">
        <f t="shared" si="92"/>
        <v>10407.443689743324</v>
      </c>
      <c r="S395" s="295">
        <f t="shared" si="92"/>
        <v>10407.443689743324</v>
      </c>
      <c r="T395" s="295">
        <f t="shared" si="91"/>
        <v>10407.443689743324</v>
      </c>
      <c r="U395" s="295">
        <f t="shared" si="91"/>
        <v>10407.443689743324</v>
      </c>
      <c r="V395" s="295">
        <f t="shared" si="91"/>
        <v>10407.443689743324</v>
      </c>
      <c r="W395" s="295">
        <f t="shared" si="91"/>
        <v>10407.443689743324</v>
      </c>
      <c r="X395" s="295">
        <f t="shared" si="91"/>
        <v>10407.443689743324</v>
      </c>
      <c r="Y395" s="295">
        <f t="shared" si="91"/>
        <v>10407.443689743324</v>
      </c>
      <c r="Z395" s="295">
        <f t="shared" si="91"/>
        <v>10407.443689743324</v>
      </c>
      <c r="AA395" s="295">
        <f t="shared" si="91"/>
        <v>10407.443689743324</v>
      </c>
      <c r="AB395" s="295">
        <f t="shared" si="91"/>
        <v>10407.443689743324</v>
      </c>
      <c r="AC395" s="295">
        <f t="shared" si="91"/>
        <v>10407.443689743324</v>
      </c>
      <c r="AD395" s="295">
        <f t="shared" si="91"/>
        <v>10407.443689743324</v>
      </c>
      <c r="AE395" s="296">
        <f t="shared" si="91"/>
        <v>10407.443689743324</v>
      </c>
    </row>
    <row r="396" spans="1:31">
      <c r="A396" s="1711"/>
      <c r="B396" s="116">
        <v>24</v>
      </c>
      <c r="C396" s="294">
        <f t="shared" si="89"/>
        <v>10407.443689743324</v>
      </c>
      <c r="D396" s="295">
        <f t="shared" si="92"/>
        <v>10407.443689743324</v>
      </c>
      <c r="E396" s="295">
        <f t="shared" si="92"/>
        <v>10407.443689743324</v>
      </c>
      <c r="F396" s="295">
        <f t="shared" si="92"/>
        <v>10407.443689743324</v>
      </c>
      <c r="G396" s="295">
        <f t="shared" si="92"/>
        <v>10407.443689743324</v>
      </c>
      <c r="H396" s="295">
        <f t="shared" si="92"/>
        <v>10407.443689743324</v>
      </c>
      <c r="I396" s="295">
        <f t="shared" si="92"/>
        <v>10407.443689743324</v>
      </c>
      <c r="J396" s="295">
        <f t="shared" si="92"/>
        <v>10407.443689743324</v>
      </c>
      <c r="K396" s="295">
        <f t="shared" si="92"/>
        <v>10407.443689743324</v>
      </c>
      <c r="L396" s="295">
        <f t="shared" si="92"/>
        <v>10407.443689743324</v>
      </c>
      <c r="M396" s="295">
        <f t="shared" si="92"/>
        <v>10407.443689743324</v>
      </c>
      <c r="N396" s="295">
        <f t="shared" si="92"/>
        <v>10407.443689743324</v>
      </c>
      <c r="O396" s="295">
        <f t="shared" si="92"/>
        <v>10407.443689743324</v>
      </c>
      <c r="P396" s="295">
        <f t="shared" si="92"/>
        <v>10407.443689743324</v>
      </c>
      <c r="Q396" s="295">
        <f t="shared" si="92"/>
        <v>10407.443689743324</v>
      </c>
      <c r="R396" s="295">
        <f t="shared" si="92"/>
        <v>10407.443689743324</v>
      </c>
      <c r="S396" s="295">
        <f t="shared" si="92"/>
        <v>10407.443689743324</v>
      </c>
      <c r="T396" s="295">
        <f t="shared" si="91"/>
        <v>10407.443689743324</v>
      </c>
      <c r="U396" s="295">
        <f t="shared" si="91"/>
        <v>10407.443689743324</v>
      </c>
      <c r="V396" s="295">
        <f t="shared" si="91"/>
        <v>10407.443689743324</v>
      </c>
      <c r="W396" s="295">
        <f t="shared" si="91"/>
        <v>10407.443689743324</v>
      </c>
      <c r="X396" s="295">
        <f t="shared" si="91"/>
        <v>10407.443689743324</v>
      </c>
      <c r="Y396" s="295">
        <f t="shared" si="91"/>
        <v>10407.443689743324</v>
      </c>
      <c r="Z396" s="295">
        <f t="shared" si="91"/>
        <v>10407.443689743324</v>
      </c>
      <c r="AA396" s="295">
        <f t="shared" si="91"/>
        <v>10407.443689743324</v>
      </c>
      <c r="AB396" s="295">
        <f t="shared" si="91"/>
        <v>10407.443689743324</v>
      </c>
      <c r="AC396" s="295">
        <f t="shared" si="91"/>
        <v>10407.443689743324</v>
      </c>
      <c r="AD396" s="295">
        <f t="shared" si="91"/>
        <v>10407.443689743324</v>
      </c>
      <c r="AE396" s="296">
        <f t="shared" si="91"/>
        <v>10407.443689743324</v>
      </c>
    </row>
    <row r="397" spans="1:31" ht="15.75" thickBot="1">
      <c r="A397" s="1711"/>
      <c r="B397" s="116">
        <v>25</v>
      </c>
      <c r="C397" s="297">
        <f t="shared" si="89"/>
        <v>10407.443689743324</v>
      </c>
      <c r="D397" s="298">
        <f t="shared" si="92"/>
        <v>10407.443689743324</v>
      </c>
      <c r="E397" s="298">
        <f t="shared" si="92"/>
        <v>10407.443689743324</v>
      </c>
      <c r="F397" s="298">
        <f t="shared" si="92"/>
        <v>10407.443689743324</v>
      </c>
      <c r="G397" s="298">
        <f t="shared" si="92"/>
        <v>10407.443689743324</v>
      </c>
      <c r="H397" s="298">
        <f t="shared" si="92"/>
        <v>10407.443689743324</v>
      </c>
      <c r="I397" s="298">
        <f t="shared" si="92"/>
        <v>10407.443689743324</v>
      </c>
      <c r="J397" s="298">
        <f t="shared" si="92"/>
        <v>10407.443689743324</v>
      </c>
      <c r="K397" s="298">
        <f t="shared" si="92"/>
        <v>10407.443689743324</v>
      </c>
      <c r="L397" s="298">
        <f t="shared" si="92"/>
        <v>10407.443689743324</v>
      </c>
      <c r="M397" s="298">
        <f t="shared" si="92"/>
        <v>10407.443689743324</v>
      </c>
      <c r="N397" s="298">
        <f t="shared" si="92"/>
        <v>10407.443689743324</v>
      </c>
      <c r="O397" s="298">
        <f t="shared" si="92"/>
        <v>10407.443689743324</v>
      </c>
      <c r="P397" s="298">
        <f t="shared" si="92"/>
        <v>10407.443689743324</v>
      </c>
      <c r="Q397" s="298">
        <f t="shared" si="92"/>
        <v>10407.443689743324</v>
      </c>
      <c r="R397" s="298">
        <f t="shared" si="92"/>
        <v>10407.443689743324</v>
      </c>
      <c r="S397" s="298">
        <f t="shared" si="92"/>
        <v>10407.443689743324</v>
      </c>
      <c r="T397" s="298">
        <f t="shared" si="91"/>
        <v>10407.443689743324</v>
      </c>
      <c r="U397" s="298">
        <f t="shared" si="91"/>
        <v>10407.443689743324</v>
      </c>
      <c r="V397" s="298">
        <f t="shared" si="91"/>
        <v>10407.443689743324</v>
      </c>
      <c r="W397" s="298">
        <f t="shared" si="91"/>
        <v>10407.443689743324</v>
      </c>
      <c r="X397" s="298">
        <f t="shared" si="91"/>
        <v>10407.443689743324</v>
      </c>
      <c r="Y397" s="298">
        <f t="shared" si="91"/>
        <v>10407.443689743324</v>
      </c>
      <c r="Z397" s="298">
        <f t="shared" si="91"/>
        <v>10407.443689743324</v>
      </c>
      <c r="AA397" s="298">
        <f t="shared" si="91"/>
        <v>10407.443689743324</v>
      </c>
      <c r="AB397" s="298">
        <f t="shared" si="91"/>
        <v>10407.443689743324</v>
      </c>
      <c r="AC397" s="298">
        <f t="shared" si="91"/>
        <v>10407.443689743324</v>
      </c>
      <c r="AD397" s="298">
        <f t="shared" si="91"/>
        <v>10407.443689743324</v>
      </c>
      <c r="AE397" s="299">
        <f t="shared" si="91"/>
        <v>10407.443689743324</v>
      </c>
    </row>
    <row r="398" spans="1:31" ht="16.5" thickTop="1" thickBot="1">
      <c r="A398" s="1712"/>
      <c r="B398" s="300" t="s">
        <v>39</v>
      </c>
      <c r="C398" s="461">
        <f>IF('CAR Stock'!C427=0,0,SUMPRODUCT(C372:C397,'CAR Stock'!C401:C426)/'CAR Stock'!C427)</f>
        <v>11360.152139692511</v>
      </c>
      <c r="D398" s="461">
        <f>IF('CAR Stock'!D427=0,0,SUMPRODUCT(D372:D397,'CAR Stock'!D401:D426)/'CAR Stock'!D427)</f>
        <v>11142.127650935754</v>
      </c>
      <c r="E398" s="461">
        <f>IF('CAR Stock'!E427=0,0,SUMPRODUCT(E372:E397,'CAR Stock'!E401:E426)/'CAR Stock'!E427)</f>
        <v>10931.811724340681</v>
      </c>
      <c r="F398" s="461">
        <f>IF('CAR Stock'!F427=0,0,SUMPRODUCT(F372:F397,'CAR Stock'!F401:F426)/'CAR Stock'!F427)</f>
        <v>10730.588534164172</v>
      </c>
      <c r="G398" s="461">
        <f>IF('CAR Stock'!G427=0,0,SUMPRODUCT(G372:G397,'CAR Stock'!G401:G426)/'CAR Stock'!G427)</f>
        <v>10521.556995249346</v>
      </c>
      <c r="H398" s="461">
        <f>IF('CAR Stock'!H427=0,0,SUMPRODUCT(H372:H397,'CAR Stock'!H401:H426)/'CAR Stock'!H427)</f>
        <v>10407.443689743324</v>
      </c>
      <c r="I398" s="461">
        <f>IF('CAR Stock'!I427=0,0,SUMPRODUCT(I372:I397,'CAR Stock'!I401:I426)/'CAR Stock'!I427)</f>
        <v>10407.443689743326</v>
      </c>
      <c r="J398" s="461">
        <f>IF('CAR Stock'!J427=0,0,SUMPRODUCT(J372:J397,'CAR Stock'!J401:J426)/'CAR Stock'!J427)</f>
        <v>10407.443689743324</v>
      </c>
      <c r="K398" s="461">
        <f>IF('CAR Stock'!K427=0,0,SUMPRODUCT(K372:K397,'CAR Stock'!K401:K426)/'CAR Stock'!K427)</f>
        <v>10407.443689743324</v>
      </c>
      <c r="L398" s="461">
        <f>IF('CAR Stock'!L427=0,0,SUMPRODUCT(L372:L397,'CAR Stock'!L401:L426)/'CAR Stock'!L427)</f>
        <v>10407.443689743324</v>
      </c>
      <c r="M398" s="461">
        <f>IF('CAR Stock'!M427=0,0,SUMPRODUCT(M372:M397,'CAR Stock'!M401:M426)/'CAR Stock'!M427)</f>
        <v>10407.443689743324</v>
      </c>
      <c r="N398" s="461">
        <f>IF('CAR Stock'!N427=0,0,SUMPRODUCT(N372:N397,'CAR Stock'!N401:N426)/'CAR Stock'!N427)</f>
        <v>10407.443689743324</v>
      </c>
      <c r="O398" s="461">
        <f>IF('CAR Stock'!O427=0,0,SUMPRODUCT(O372:O397,'CAR Stock'!O401:O426)/'CAR Stock'!O427)</f>
        <v>10407.443689743324</v>
      </c>
      <c r="P398" s="461">
        <f>IF('CAR Stock'!P427=0,0,SUMPRODUCT(P372:P397,'CAR Stock'!P401:P426)/'CAR Stock'!P427)</f>
        <v>10407.443689743324</v>
      </c>
      <c r="Q398" s="461">
        <f>IF('CAR Stock'!Q427=0,0,SUMPRODUCT(Q372:Q397,'CAR Stock'!Q401:Q426)/'CAR Stock'!Q427)</f>
        <v>0</v>
      </c>
      <c r="R398" s="461">
        <f>IF('CAR Stock'!R427=0,0,SUMPRODUCT(R372:R397,'CAR Stock'!R401:R426)/'CAR Stock'!R427)</f>
        <v>0</v>
      </c>
      <c r="S398" s="461">
        <f>IF('CAR Stock'!S427=0,0,SUMPRODUCT(S372:S397,'CAR Stock'!S401:S426)/'CAR Stock'!S427)</f>
        <v>0</v>
      </c>
      <c r="T398" s="461">
        <f>IF('CAR Stock'!T427=0,0,SUMPRODUCT(T372:T397,'CAR Stock'!T401:T426)/'CAR Stock'!T427)</f>
        <v>0</v>
      </c>
      <c r="U398" s="461">
        <f>IF('CAR Stock'!U427=0,0,SUMPRODUCT(U372:U397,'CAR Stock'!U401:U426)/'CAR Stock'!U427)</f>
        <v>0</v>
      </c>
      <c r="V398" s="461">
        <f>IF('CAR Stock'!V427=0,0,SUMPRODUCT(V372:V397,'CAR Stock'!V401:V426)/'CAR Stock'!V427)</f>
        <v>0</v>
      </c>
      <c r="W398" s="461">
        <f>IF('CAR Stock'!W427=0,0,SUMPRODUCT(W372:W397,'CAR Stock'!W401:W426)/'CAR Stock'!W427)</f>
        <v>0</v>
      </c>
      <c r="X398" s="461">
        <f>IF('CAR Stock'!X427=0,0,SUMPRODUCT(X372:X397,'CAR Stock'!X401:X426)/'CAR Stock'!X427)</f>
        <v>0</v>
      </c>
      <c r="Y398" s="461">
        <f>IF('CAR Stock'!Y427=0,0,SUMPRODUCT(Y372:Y397,'CAR Stock'!Y401:Y426)/'CAR Stock'!Y427)</f>
        <v>0</v>
      </c>
      <c r="Z398" s="461">
        <f>IF('CAR Stock'!Z427=0,0,SUMPRODUCT(Z372:Z397,'CAR Stock'!Z401:Z426)/'CAR Stock'!Z427)</f>
        <v>0</v>
      </c>
      <c r="AA398" s="461">
        <f>IF('CAR Stock'!AA427=0,0,SUMPRODUCT(AA372:AA397,'CAR Stock'!AA401:AA426)/'CAR Stock'!AA427)</f>
        <v>0</v>
      </c>
      <c r="AB398" s="461">
        <f>IF('CAR Stock'!AB427=0,0,SUMPRODUCT(AB372:AB397,'CAR Stock'!AB401:AB426)/'CAR Stock'!AB427)</f>
        <v>0</v>
      </c>
      <c r="AC398" s="461">
        <f>IF('CAR Stock'!AC427=0,0,SUMPRODUCT(AC372:AC397,'CAR Stock'!AC401:AC426)/'CAR Stock'!AC427)</f>
        <v>0</v>
      </c>
      <c r="AD398" s="461">
        <f>IF('CAR Stock'!AD427=0,0,SUMPRODUCT(AD372:AD397,'CAR Stock'!AD401:AD426)/'CAR Stock'!AD427)</f>
        <v>0</v>
      </c>
      <c r="AE398" s="462">
        <f>IF('CAR Stock'!AE427=0,0,SUMPRODUCT(AE372:AE397,'CAR Stock'!AE401:AE426)/'CAR Stock'!AE427)</f>
        <v>0</v>
      </c>
    </row>
    <row r="399" spans="1:31" ht="15.75" thickBot="1"/>
    <row r="400" spans="1:31" ht="15.75" thickBot="1">
      <c r="A400" s="1710" t="s">
        <v>54</v>
      </c>
      <c r="B400" s="169" t="s">
        <v>10</v>
      </c>
      <c r="C400" s="288">
        <f t="shared" si="89"/>
        <v>2012</v>
      </c>
      <c r="D400" s="289">
        <v>2013</v>
      </c>
      <c r="E400" s="289">
        <v>2014</v>
      </c>
      <c r="F400" s="289">
        <v>2015</v>
      </c>
      <c r="G400" s="288">
        <v>2016</v>
      </c>
      <c r="H400" s="289">
        <v>2017</v>
      </c>
      <c r="I400" s="289">
        <v>2018</v>
      </c>
      <c r="J400" s="289">
        <v>2019</v>
      </c>
      <c r="K400" s="288">
        <v>2020</v>
      </c>
      <c r="L400" s="289">
        <v>2021</v>
      </c>
      <c r="M400" s="289">
        <v>2022</v>
      </c>
      <c r="N400" s="289">
        <v>2023</v>
      </c>
      <c r="O400" s="288">
        <v>2024</v>
      </c>
      <c r="P400" s="289">
        <v>2025</v>
      </c>
      <c r="Q400" s="289">
        <v>2026</v>
      </c>
      <c r="R400" s="289">
        <v>2027</v>
      </c>
      <c r="S400" s="288">
        <v>2028</v>
      </c>
      <c r="T400" s="289">
        <v>2029</v>
      </c>
      <c r="U400" s="289">
        <v>2030</v>
      </c>
      <c r="V400" s="289">
        <v>2031</v>
      </c>
      <c r="W400" s="288">
        <v>2032</v>
      </c>
      <c r="X400" s="289">
        <v>2033</v>
      </c>
      <c r="Y400" s="289">
        <v>2034</v>
      </c>
      <c r="Z400" s="289">
        <v>2035</v>
      </c>
      <c r="AA400" s="288">
        <v>2036</v>
      </c>
      <c r="AB400" s="289">
        <v>2037</v>
      </c>
      <c r="AC400" s="289">
        <v>2038</v>
      </c>
      <c r="AD400" s="289">
        <v>2039</v>
      </c>
      <c r="AE400" s="290">
        <v>2040</v>
      </c>
    </row>
    <row r="401" spans="1:31">
      <c r="A401" s="1711"/>
      <c r="B401" s="116">
        <v>0</v>
      </c>
      <c r="C401" s="291">
        <f t="shared" si="89"/>
        <v>17173.468220293704</v>
      </c>
      <c r="D401" s="292">
        <f>C401</f>
        <v>17173.468220293704</v>
      </c>
      <c r="E401" s="292">
        <f t="shared" ref="E401:T401" si="93">D401</f>
        <v>17173.468220293704</v>
      </c>
      <c r="F401" s="292">
        <f t="shared" si="93"/>
        <v>17173.468220293704</v>
      </c>
      <c r="G401" s="292">
        <f t="shared" si="93"/>
        <v>17173.468220293704</v>
      </c>
      <c r="H401" s="292">
        <f t="shared" si="93"/>
        <v>17173.468220293704</v>
      </c>
      <c r="I401" s="292">
        <f t="shared" si="93"/>
        <v>17173.468220293704</v>
      </c>
      <c r="J401" s="292">
        <f t="shared" si="93"/>
        <v>17173.468220293704</v>
      </c>
      <c r="K401" s="292">
        <f t="shared" si="93"/>
        <v>17173.468220293704</v>
      </c>
      <c r="L401" s="292">
        <f t="shared" si="93"/>
        <v>17173.468220293704</v>
      </c>
      <c r="M401" s="292">
        <f t="shared" si="93"/>
        <v>17173.468220293704</v>
      </c>
      <c r="N401" s="292">
        <f t="shared" si="93"/>
        <v>17173.468220293704</v>
      </c>
      <c r="O401" s="292">
        <f t="shared" si="93"/>
        <v>17173.468220293704</v>
      </c>
      <c r="P401" s="292">
        <f t="shared" si="93"/>
        <v>17173.468220293704</v>
      </c>
      <c r="Q401" s="292">
        <f t="shared" si="93"/>
        <v>17173.468220293704</v>
      </c>
      <c r="R401" s="292">
        <f t="shared" si="93"/>
        <v>17173.468220293704</v>
      </c>
      <c r="S401" s="292">
        <f t="shared" si="93"/>
        <v>17173.468220293704</v>
      </c>
      <c r="T401" s="292">
        <f t="shared" si="93"/>
        <v>17173.468220293704</v>
      </c>
      <c r="U401" s="292">
        <f t="shared" ref="T401:AE416" si="94">T401</f>
        <v>17173.468220293704</v>
      </c>
      <c r="V401" s="292">
        <f t="shared" si="94"/>
        <v>17173.468220293704</v>
      </c>
      <c r="W401" s="292">
        <f t="shared" si="94"/>
        <v>17173.468220293704</v>
      </c>
      <c r="X401" s="292">
        <f t="shared" si="94"/>
        <v>17173.468220293704</v>
      </c>
      <c r="Y401" s="292">
        <f t="shared" si="94"/>
        <v>17173.468220293704</v>
      </c>
      <c r="Z401" s="292">
        <f t="shared" si="94"/>
        <v>17173.468220293704</v>
      </c>
      <c r="AA401" s="292">
        <f t="shared" si="94"/>
        <v>17173.468220293704</v>
      </c>
      <c r="AB401" s="292">
        <f t="shared" si="94"/>
        <v>17173.468220293704</v>
      </c>
      <c r="AC401" s="292">
        <f t="shared" si="94"/>
        <v>17173.468220293704</v>
      </c>
      <c r="AD401" s="292">
        <f t="shared" si="94"/>
        <v>17173.468220293704</v>
      </c>
      <c r="AE401" s="293">
        <f t="shared" si="94"/>
        <v>17173.468220293704</v>
      </c>
    </row>
    <row r="402" spans="1:31">
      <c r="A402" s="1711"/>
      <c r="B402" s="116">
        <v>1</v>
      </c>
      <c r="C402" s="294">
        <f t="shared" si="89"/>
        <v>16829.998855887829</v>
      </c>
      <c r="D402" s="295">
        <f t="shared" ref="D402:S417" si="95">C402</f>
        <v>16829.998855887829</v>
      </c>
      <c r="E402" s="295">
        <f t="shared" si="95"/>
        <v>16829.998855887829</v>
      </c>
      <c r="F402" s="295">
        <f t="shared" si="95"/>
        <v>16829.998855887829</v>
      </c>
      <c r="G402" s="295">
        <f t="shared" si="95"/>
        <v>16829.998855887829</v>
      </c>
      <c r="H402" s="295">
        <f t="shared" si="95"/>
        <v>16829.998855887829</v>
      </c>
      <c r="I402" s="295">
        <f t="shared" si="95"/>
        <v>16829.998855887829</v>
      </c>
      <c r="J402" s="295">
        <f t="shared" si="95"/>
        <v>16829.998855887829</v>
      </c>
      <c r="K402" s="295">
        <f t="shared" si="95"/>
        <v>16829.998855887829</v>
      </c>
      <c r="L402" s="295">
        <f t="shared" si="95"/>
        <v>16829.998855887829</v>
      </c>
      <c r="M402" s="295">
        <f t="shared" si="95"/>
        <v>16829.998855887829</v>
      </c>
      <c r="N402" s="295">
        <f t="shared" si="95"/>
        <v>16829.998855887829</v>
      </c>
      <c r="O402" s="295">
        <f t="shared" si="95"/>
        <v>16829.998855887829</v>
      </c>
      <c r="P402" s="295">
        <f t="shared" si="95"/>
        <v>16829.998855887829</v>
      </c>
      <c r="Q402" s="295">
        <f t="shared" si="95"/>
        <v>16829.998855887829</v>
      </c>
      <c r="R402" s="295">
        <f t="shared" si="95"/>
        <v>16829.998855887829</v>
      </c>
      <c r="S402" s="295">
        <f t="shared" si="95"/>
        <v>16829.998855887829</v>
      </c>
      <c r="T402" s="295">
        <f t="shared" si="94"/>
        <v>16829.998855887829</v>
      </c>
      <c r="U402" s="295">
        <f t="shared" si="94"/>
        <v>16829.998855887829</v>
      </c>
      <c r="V402" s="295">
        <f t="shared" si="94"/>
        <v>16829.998855887829</v>
      </c>
      <c r="W402" s="295">
        <f t="shared" si="94"/>
        <v>16829.998855887829</v>
      </c>
      <c r="X402" s="295">
        <f t="shared" si="94"/>
        <v>16829.998855887829</v>
      </c>
      <c r="Y402" s="295">
        <f t="shared" si="94"/>
        <v>16829.998855887829</v>
      </c>
      <c r="Z402" s="295">
        <f t="shared" si="94"/>
        <v>16829.998855887829</v>
      </c>
      <c r="AA402" s="295">
        <f t="shared" si="94"/>
        <v>16829.998855887829</v>
      </c>
      <c r="AB402" s="295">
        <f t="shared" si="94"/>
        <v>16829.998855887829</v>
      </c>
      <c r="AC402" s="295">
        <f t="shared" si="94"/>
        <v>16829.998855887829</v>
      </c>
      <c r="AD402" s="295">
        <f t="shared" si="94"/>
        <v>16829.998855887829</v>
      </c>
      <c r="AE402" s="296">
        <f t="shared" si="94"/>
        <v>16829.998855887829</v>
      </c>
    </row>
    <row r="403" spans="1:31">
      <c r="A403" s="1711"/>
      <c r="B403" s="116">
        <v>2</v>
      </c>
      <c r="C403" s="294">
        <f t="shared" si="89"/>
        <v>16493.398878770073</v>
      </c>
      <c r="D403" s="295">
        <f t="shared" si="95"/>
        <v>16493.398878770073</v>
      </c>
      <c r="E403" s="295">
        <f t="shared" si="95"/>
        <v>16493.398878770073</v>
      </c>
      <c r="F403" s="295">
        <f t="shared" si="95"/>
        <v>16493.398878770073</v>
      </c>
      <c r="G403" s="295">
        <f t="shared" si="95"/>
        <v>16493.398878770073</v>
      </c>
      <c r="H403" s="295">
        <f t="shared" si="95"/>
        <v>16493.398878770073</v>
      </c>
      <c r="I403" s="295">
        <f t="shared" si="95"/>
        <v>16493.398878770073</v>
      </c>
      <c r="J403" s="295">
        <f t="shared" si="95"/>
        <v>16493.398878770073</v>
      </c>
      <c r="K403" s="295">
        <f t="shared" si="95"/>
        <v>16493.398878770073</v>
      </c>
      <c r="L403" s="295">
        <f t="shared" si="95"/>
        <v>16493.398878770073</v>
      </c>
      <c r="M403" s="295">
        <f t="shared" si="95"/>
        <v>16493.398878770073</v>
      </c>
      <c r="N403" s="295">
        <f t="shared" si="95"/>
        <v>16493.398878770073</v>
      </c>
      <c r="O403" s="295">
        <f t="shared" si="95"/>
        <v>16493.398878770073</v>
      </c>
      <c r="P403" s="295">
        <f t="shared" si="95"/>
        <v>16493.398878770073</v>
      </c>
      <c r="Q403" s="295">
        <f t="shared" si="95"/>
        <v>16493.398878770073</v>
      </c>
      <c r="R403" s="295">
        <f t="shared" si="95"/>
        <v>16493.398878770073</v>
      </c>
      <c r="S403" s="295">
        <f t="shared" si="95"/>
        <v>16493.398878770073</v>
      </c>
      <c r="T403" s="295">
        <f t="shared" si="94"/>
        <v>16493.398878770073</v>
      </c>
      <c r="U403" s="295">
        <f t="shared" si="94"/>
        <v>16493.398878770073</v>
      </c>
      <c r="V403" s="295">
        <f t="shared" si="94"/>
        <v>16493.398878770073</v>
      </c>
      <c r="W403" s="295">
        <f t="shared" si="94"/>
        <v>16493.398878770073</v>
      </c>
      <c r="X403" s="295">
        <f t="shared" si="94"/>
        <v>16493.398878770073</v>
      </c>
      <c r="Y403" s="295">
        <f t="shared" si="94"/>
        <v>16493.398878770073</v>
      </c>
      <c r="Z403" s="295">
        <f t="shared" si="94"/>
        <v>16493.398878770073</v>
      </c>
      <c r="AA403" s="295">
        <f t="shared" si="94"/>
        <v>16493.398878770073</v>
      </c>
      <c r="AB403" s="295">
        <f t="shared" si="94"/>
        <v>16493.398878770073</v>
      </c>
      <c r="AC403" s="295">
        <f t="shared" si="94"/>
        <v>16493.398878770073</v>
      </c>
      <c r="AD403" s="295">
        <f t="shared" si="94"/>
        <v>16493.398878770073</v>
      </c>
      <c r="AE403" s="296">
        <f t="shared" si="94"/>
        <v>16493.398878770073</v>
      </c>
    </row>
    <row r="404" spans="1:31">
      <c r="A404" s="1711"/>
      <c r="B404" s="116">
        <v>3</v>
      </c>
      <c r="C404" s="294">
        <f t="shared" si="89"/>
        <v>16163.53090119467</v>
      </c>
      <c r="D404" s="295">
        <f t="shared" si="95"/>
        <v>16163.53090119467</v>
      </c>
      <c r="E404" s="295">
        <f t="shared" si="95"/>
        <v>16163.53090119467</v>
      </c>
      <c r="F404" s="295">
        <f t="shared" si="95"/>
        <v>16163.53090119467</v>
      </c>
      <c r="G404" s="295">
        <f t="shared" si="95"/>
        <v>16163.53090119467</v>
      </c>
      <c r="H404" s="295">
        <f t="shared" si="95"/>
        <v>16163.53090119467</v>
      </c>
      <c r="I404" s="295">
        <f t="shared" si="95"/>
        <v>16163.53090119467</v>
      </c>
      <c r="J404" s="295">
        <f t="shared" si="95"/>
        <v>16163.53090119467</v>
      </c>
      <c r="K404" s="295">
        <f t="shared" si="95"/>
        <v>16163.53090119467</v>
      </c>
      <c r="L404" s="295">
        <f t="shared" si="95"/>
        <v>16163.53090119467</v>
      </c>
      <c r="M404" s="295">
        <f t="shared" si="95"/>
        <v>16163.53090119467</v>
      </c>
      <c r="N404" s="295">
        <f t="shared" si="95"/>
        <v>16163.53090119467</v>
      </c>
      <c r="O404" s="295">
        <f t="shared" si="95"/>
        <v>16163.53090119467</v>
      </c>
      <c r="P404" s="295">
        <f t="shared" si="95"/>
        <v>16163.53090119467</v>
      </c>
      <c r="Q404" s="295">
        <f t="shared" si="95"/>
        <v>16163.53090119467</v>
      </c>
      <c r="R404" s="295">
        <f t="shared" si="95"/>
        <v>16163.53090119467</v>
      </c>
      <c r="S404" s="295">
        <f t="shared" si="95"/>
        <v>16163.53090119467</v>
      </c>
      <c r="T404" s="295">
        <f t="shared" si="94"/>
        <v>16163.53090119467</v>
      </c>
      <c r="U404" s="295">
        <f t="shared" si="94"/>
        <v>16163.53090119467</v>
      </c>
      <c r="V404" s="295">
        <f t="shared" si="94"/>
        <v>16163.53090119467</v>
      </c>
      <c r="W404" s="295">
        <f t="shared" si="94"/>
        <v>16163.53090119467</v>
      </c>
      <c r="X404" s="295">
        <f t="shared" si="94"/>
        <v>16163.53090119467</v>
      </c>
      <c r="Y404" s="295">
        <f t="shared" si="94"/>
        <v>16163.53090119467</v>
      </c>
      <c r="Z404" s="295">
        <f t="shared" si="94"/>
        <v>16163.53090119467</v>
      </c>
      <c r="AA404" s="295">
        <f t="shared" si="94"/>
        <v>16163.53090119467</v>
      </c>
      <c r="AB404" s="295">
        <f t="shared" si="94"/>
        <v>16163.53090119467</v>
      </c>
      <c r="AC404" s="295">
        <f t="shared" si="94"/>
        <v>16163.53090119467</v>
      </c>
      <c r="AD404" s="295">
        <f t="shared" si="94"/>
        <v>16163.53090119467</v>
      </c>
      <c r="AE404" s="296">
        <f t="shared" si="94"/>
        <v>16163.53090119467</v>
      </c>
    </row>
    <row r="405" spans="1:31">
      <c r="A405" s="1711"/>
      <c r="B405" s="116">
        <v>4</v>
      </c>
      <c r="C405" s="294">
        <f t="shared" si="89"/>
        <v>15840.260283170777</v>
      </c>
      <c r="D405" s="295">
        <f t="shared" si="95"/>
        <v>15840.260283170777</v>
      </c>
      <c r="E405" s="295">
        <f t="shared" si="95"/>
        <v>15840.260283170777</v>
      </c>
      <c r="F405" s="295">
        <f t="shared" si="95"/>
        <v>15840.260283170777</v>
      </c>
      <c r="G405" s="295">
        <f t="shared" si="95"/>
        <v>15840.260283170777</v>
      </c>
      <c r="H405" s="295">
        <f t="shared" si="95"/>
        <v>15840.260283170777</v>
      </c>
      <c r="I405" s="295">
        <f t="shared" si="95"/>
        <v>15840.260283170777</v>
      </c>
      <c r="J405" s="295">
        <f t="shared" si="95"/>
        <v>15840.260283170777</v>
      </c>
      <c r="K405" s="295">
        <f t="shared" si="95"/>
        <v>15840.260283170777</v>
      </c>
      <c r="L405" s="295">
        <f t="shared" si="95"/>
        <v>15840.260283170777</v>
      </c>
      <c r="M405" s="295">
        <f t="shared" si="95"/>
        <v>15840.260283170777</v>
      </c>
      <c r="N405" s="295">
        <f t="shared" si="95"/>
        <v>15840.260283170777</v>
      </c>
      <c r="O405" s="295">
        <f t="shared" si="95"/>
        <v>15840.260283170777</v>
      </c>
      <c r="P405" s="295">
        <f t="shared" si="95"/>
        <v>15840.260283170777</v>
      </c>
      <c r="Q405" s="295">
        <f t="shared" si="95"/>
        <v>15840.260283170777</v>
      </c>
      <c r="R405" s="295">
        <f t="shared" si="95"/>
        <v>15840.260283170777</v>
      </c>
      <c r="S405" s="295">
        <f t="shared" si="95"/>
        <v>15840.260283170777</v>
      </c>
      <c r="T405" s="295">
        <f t="shared" si="94"/>
        <v>15840.260283170777</v>
      </c>
      <c r="U405" s="295">
        <f t="shared" si="94"/>
        <v>15840.260283170777</v>
      </c>
      <c r="V405" s="295">
        <f t="shared" si="94"/>
        <v>15840.260283170777</v>
      </c>
      <c r="W405" s="295">
        <f t="shared" si="94"/>
        <v>15840.260283170777</v>
      </c>
      <c r="X405" s="295">
        <f t="shared" si="94"/>
        <v>15840.260283170777</v>
      </c>
      <c r="Y405" s="295">
        <f t="shared" si="94"/>
        <v>15840.260283170777</v>
      </c>
      <c r="Z405" s="295">
        <f t="shared" si="94"/>
        <v>15840.260283170777</v>
      </c>
      <c r="AA405" s="295">
        <f t="shared" si="94"/>
        <v>15840.260283170777</v>
      </c>
      <c r="AB405" s="295">
        <f t="shared" si="94"/>
        <v>15840.260283170777</v>
      </c>
      <c r="AC405" s="295">
        <f t="shared" si="94"/>
        <v>15840.260283170777</v>
      </c>
      <c r="AD405" s="295">
        <f t="shared" si="94"/>
        <v>15840.260283170777</v>
      </c>
      <c r="AE405" s="296">
        <f t="shared" si="94"/>
        <v>15840.260283170777</v>
      </c>
    </row>
    <row r="406" spans="1:31">
      <c r="A406" s="1711"/>
      <c r="B406" s="116">
        <v>5</v>
      </c>
      <c r="C406" s="294">
        <f t="shared" si="89"/>
        <v>15523.455077507362</v>
      </c>
      <c r="D406" s="295">
        <f t="shared" si="95"/>
        <v>15523.455077507362</v>
      </c>
      <c r="E406" s="295">
        <f t="shared" si="95"/>
        <v>15523.455077507362</v>
      </c>
      <c r="F406" s="295">
        <f t="shared" si="95"/>
        <v>15523.455077507362</v>
      </c>
      <c r="G406" s="295">
        <f t="shared" si="95"/>
        <v>15523.455077507362</v>
      </c>
      <c r="H406" s="295">
        <f t="shared" si="95"/>
        <v>15523.455077507362</v>
      </c>
      <c r="I406" s="295">
        <f t="shared" si="95"/>
        <v>15523.455077507362</v>
      </c>
      <c r="J406" s="295">
        <f t="shared" si="95"/>
        <v>15523.455077507362</v>
      </c>
      <c r="K406" s="295">
        <f t="shared" si="95"/>
        <v>15523.455077507362</v>
      </c>
      <c r="L406" s="295">
        <f t="shared" si="95"/>
        <v>15523.455077507362</v>
      </c>
      <c r="M406" s="295">
        <f t="shared" si="95"/>
        <v>15523.455077507362</v>
      </c>
      <c r="N406" s="295">
        <f t="shared" si="95"/>
        <v>15523.455077507362</v>
      </c>
      <c r="O406" s="295">
        <f t="shared" si="95"/>
        <v>15523.455077507362</v>
      </c>
      <c r="P406" s="295">
        <f t="shared" si="95"/>
        <v>15523.455077507362</v>
      </c>
      <c r="Q406" s="295">
        <f t="shared" si="95"/>
        <v>15523.455077507362</v>
      </c>
      <c r="R406" s="295">
        <f t="shared" si="95"/>
        <v>15523.455077507362</v>
      </c>
      <c r="S406" s="295">
        <f t="shared" si="95"/>
        <v>15523.455077507362</v>
      </c>
      <c r="T406" s="295">
        <f t="shared" si="94"/>
        <v>15523.455077507362</v>
      </c>
      <c r="U406" s="295">
        <f t="shared" si="94"/>
        <v>15523.455077507362</v>
      </c>
      <c r="V406" s="295">
        <f t="shared" si="94"/>
        <v>15523.455077507362</v>
      </c>
      <c r="W406" s="295">
        <f t="shared" si="94"/>
        <v>15523.455077507362</v>
      </c>
      <c r="X406" s="295">
        <f t="shared" si="94"/>
        <v>15523.455077507362</v>
      </c>
      <c r="Y406" s="295">
        <f t="shared" si="94"/>
        <v>15523.455077507362</v>
      </c>
      <c r="Z406" s="295">
        <f t="shared" si="94"/>
        <v>15523.455077507362</v>
      </c>
      <c r="AA406" s="295">
        <f t="shared" si="94"/>
        <v>15523.455077507362</v>
      </c>
      <c r="AB406" s="295">
        <f t="shared" si="94"/>
        <v>15523.455077507362</v>
      </c>
      <c r="AC406" s="295">
        <f t="shared" si="94"/>
        <v>15523.455077507362</v>
      </c>
      <c r="AD406" s="295">
        <f t="shared" si="94"/>
        <v>15523.455077507362</v>
      </c>
      <c r="AE406" s="296">
        <f t="shared" si="94"/>
        <v>15523.455077507362</v>
      </c>
    </row>
    <row r="407" spans="1:31">
      <c r="A407" s="1711"/>
      <c r="B407" s="116">
        <v>6</v>
      </c>
      <c r="C407" s="294">
        <f t="shared" si="89"/>
        <v>15212.985975957215</v>
      </c>
      <c r="D407" s="295">
        <f t="shared" si="95"/>
        <v>15212.985975957215</v>
      </c>
      <c r="E407" s="295">
        <f t="shared" si="95"/>
        <v>15212.985975957215</v>
      </c>
      <c r="F407" s="295">
        <f t="shared" si="95"/>
        <v>15212.985975957215</v>
      </c>
      <c r="G407" s="295">
        <f t="shared" si="95"/>
        <v>15212.985975957215</v>
      </c>
      <c r="H407" s="295">
        <f t="shared" si="95"/>
        <v>15212.985975957215</v>
      </c>
      <c r="I407" s="295">
        <f t="shared" si="95"/>
        <v>15212.985975957215</v>
      </c>
      <c r="J407" s="295">
        <f t="shared" si="95"/>
        <v>15212.985975957215</v>
      </c>
      <c r="K407" s="295">
        <f t="shared" si="95"/>
        <v>15212.985975957215</v>
      </c>
      <c r="L407" s="295">
        <f t="shared" si="95"/>
        <v>15212.985975957215</v>
      </c>
      <c r="M407" s="295">
        <f t="shared" si="95"/>
        <v>15212.985975957215</v>
      </c>
      <c r="N407" s="295">
        <f t="shared" si="95"/>
        <v>15212.985975957215</v>
      </c>
      <c r="O407" s="295">
        <f t="shared" si="95"/>
        <v>15212.985975957215</v>
      </c>
      <c r="P407" s="295">
        <f t="shared" si="95"/>
        <v>15212.985975957215</v>
      </c>
      <c r="Q407" s="295">
        <f t="shared" si="95"/>
        <v>15212.985975957215</v>
      </c>
      <c r="R407" s="295">
        <f t="shared" si="95"/>
        <v>15212.985975957215</v>
      </c>
      <c r="S407" s="295">
        <f t="shared" si="95"/>
        <v>15212.985975957215</v>
      </c>
      <c r="T407" s="295">
        <f t="shared" si="94"/>
        <v>15212.985975957215</v>
      </c>
      <c r="U407" s="295">
        <f t="shared" si="94"/>
        <v>15212.985975957215</v>
      </c>
      <c r="V407" s="295">
        <f t="shared" si="94"/>
        <v>15212.985975957215</v>
      </c>
      <c r="W407" s="295">
        <f t="shared" si="94"/>
        <v>15212.985975957215</v>
      </c>
      <c r="X407" s="295">
        <f t="shared" si="94"/>
        <v>15212.985975957215</v>
      </c>
      <c r="Y407" s="295">
        <f t="shared" si="94"/>
        <v>15212.985975957215</v>
      </c>
      <c r="Z407" s="295">
        <f t="shared" si="94"/>
        <v>15212.985975957215</v>
      </c>
      <c r="AA407" s="295">
        <f t="shared" si="94"/>
        <v>15212.985975957215</v>
      </c>
      <c r="AB407" s="295">
        <f t="shared" si="94"/>
        <v>15212.985975957215</v>
      </c>
      <c r="AC407" s="295">
        <f t="shared" si="94"/>
        <v>15212.985975957215</v>
      </c>
      <c r="AD407" s="295">
        <f t="shared" si="94"/>
        <v>15212.985975957215</v>
      </c>
      <c r="AE407" s="296">
        <f t="shared" si="94"/>
        <v>15212.985975957215</v>
      </c>
    </row>
    <row r="408" spans="1:31">
      <c r="A408" s="1711"/>
      <c r="B408" s="116">
        <v>7</v>
      </c>
      <c r="C408" s="294">
        <f t="shared" si="89"/>
        <v>14908.726256438071</v>
      </c>
      <c r="D408" s="295">
        <f t="shared" si="95"/>
        <v>14908.726256438071</v>
      </c>
      <c r="E408" s="295">
        <f t="shared" si="95"/>
        <v>14908.726256438071</v>
      </c>
      <c r="F408" s="295">
        <f t="shared" si="95"/>
        <v>14908.726256438071</v>
      </c>
      <c r="G408" s="295">
        <f t="shared" si="95"/>
        <v>14908.726256438071</v>
      </c>
      <c r="H408" s="295">
        <f t="shared" si="95"/>
        <v>14908.726256438071</v>
      </c>
      <c r="I408" s="295">
        <f t="shared" si="95"/>
        <v>14908.726256438071</v>
      </c>
      <c r="J408" s="295">
        <f t="shared" si="95"/>
        <v>14908.726256438071</v>
      </c>
      <c r="K408" s="295">
        <f t="shared" si="95"/>
        <v>14908.726256438071</v>
      </c>
      <c r="L408" s="295">
        <f t="shared" si="95"/>
        <v>14908.726256438071</v>
      </c>
      <c r="M408" s="295">
        <f t="shared" si="95"/>
        <v>14908.726256438071</v>
      </c>
      <c r="N408" s="295">
        <f t="shared" si="95"/>
        <v>14908.726256438071</v>
      </c>
      <c r="O408" s="295">
        <f t="shared" si="95"/>
        <v>14908.726256438071</v>
      </c>
      <c r="P408" s="295">
        <f t="shared" si="95"/>
        <v>14908.726256438071</v>
      </c>
      <c r="Q408" s="295">
        <f t="shared" si="95"/>
        <v>14908.726256438071</v>
      </c>
      <c r="R408" s="295">
        <f t="shared" si="95"/>
        <v>14908.726256438071</v>
      </c>
      <c r="S408" s="295">
        <f t="shared" si="95"/>
        <v>14908.726256438071</v>
      </c>
      <c r="T408" s="295">
        <f t="shared" si="94"/>
        <v>14908.726256438071</v>
      </c>
      <c r="U408" s="295">
        <f t="shared" si="94"/>
        <v>14908.726256438071</v>
      </c>
      <c r="V408" s="295">
        <f t="shared" si="94"/>
        <v>14908.726256438071</v>
      </c>
      <c r="W408" s="295">
        <f t="shared" si="94"/>
        <v>14908.726256438071</v>
      </c>
      <c r="X408" s="295">
        <f t="shared" si="94"/>
        <v>14908.726256438071</v>
      </c>
      <c r="Y408" s="295">
        <f t="shared" si="94"/>
        <v>14908.726256438071</v>
      </c>
      <c r="Z408" s="295">
        <f t="shared" si="94"/>
        <v>14908.726256438071</v>
      </c>
      <c r="AA408" s="295">
        <f t="shared" si="94"/>
        <v>14908.726256438071</v>
      </c>
      <c r="AB408" s="295">
        <f t="shared" si="94"/>
        <v>14908.726256438071</v>
      </c>
      <c r="AC408" s="295">
        <f t="shared" si="94"/>
        <v>14908.726256438071</v>
      </c>
      <c r="AD408" s="295">
        <f t="shared" si="94"/>
        <v>14908.726256438071</v>
      </c>
      <c r="AE408" s="296">
        <f t="shared" si="94"/>
        <v>14908.726256438071</v>
      </c>
    </row>
    <row r="409" spans="1:31">
      <c r="A409" s="1711"/>
      <c r="B409" s="116">
        <v>8</v>
      </c>
      <c r="C409" s="294">
        <f t="shared" si="89"/>
        <v>14610.55173130931</v>
      </c>
      <c r="D409" s="295">
        <f t="shared" si="95"/>
        <v>14610.55173130931</v>
      </c>
      <c r="E409" s="295">
        <f t="shared" si="95"/>
        <v>14610.55173130931</v>
      </c>
      <c r="F409" s="295">
        <f t="shared" si="95"/>
        <v>14610.55173130931</v>
      </c>
      <c r="G409" s="295">
        <f t="shared" si="95"/>
        <v>14610.55173130931</v>
      </c>
      <c r="H409" s="295">
        <f t="shared" si="95"/>
        <v>14610.55173130931</v>
      </c>
      <c r="I409" s="295">
        <f t="shared" si="95"/>
        <v>14610.55173130931</v>
      </c>
      <c r="J409" s="295">
        <f t="shared" si="95"/>
        <v>14610.55173130931</v>
      </c>
      <c r="K409" s="295">
        <f t="shared" si="95"/>
        <v>14610.55173130931</v>
      </c>
      <c r="L409" s="295">
        <f t="shared" si="95"/>
        <v>14610.55173130931</v>
      </c>
      <c r="M409" s="295">
        <f t="shared" si="95"/>
        <v>14610.55173130931</v>
      </c>
      <c r="N409" s="295">
        <f t="shared" si="95"/>
        <v>14610.55173130931</v>
      </c>
      <c r="O409" s="295">
        <f t="shared" si="95"/>
        <v>14610.55173130931</v>
      </c>
      <c r="P409" s="295">
        <f t="shared" si="95"/>
        <v>14610.55173130931</v>
      </c>
      <c r="Q409" s="295">
        <f t="shared" si="95"/>
        <v>14610.55173130931</v>
      </c>
      <c r="R409" s="295">
        <f t="shared" si="95"/>
        <v>14610.55173130931</v>
      </c>
      <c r="S409" s="295">
        <f t="shared" si="95"/>
        <v>14610.55173130931</v>
      </c>
      <c r="T409" s="295">
        <f t="shared" si="94"/>
        <v>14610.55173130931</v>
      </c>
      <c r="U409" s="295">
        <f t="shared" si="94"/>
        <v>14610.55173130931</v>
      </c>
      <c r="V409" s="295">
        <f t="shared" si="94"/>
        <v>14610.55173130931</v>
      </c>
      <c r="W409" s="295">
        <f t="shared" si="94"/>
        <v>14610.55173130931</v>
      </c>
      <c r="X409" s="295">
        <f t="shared" si="94"/>
        <v>14610.55173130931</v>
      </c>
      <c r="Y409" s="295">
        <f t="shared" si="94"/>
        <v>14610.55173130931</v>
      </c>
      <c r="Z409" s="295">
        <f t="shared" si="94"/>
        <v>14610.55173130931</v>
      </c>
      <c r="AA409" s="295">
        <f t="shared" si="94"/>
        <v>14610.55173130931</v>
      </c>
      <c r="AB409" s="295">
        <f t="shared" si="94"/>
        <v>14610.55173130931</v>
      </c>
      <c r="AC409" s="295">
        <f t="shared" si="94"/>
        <v>14610.55173130931</v>
      </c>
      <c r="AD409" s="295">
        <f t="shared" si="94"/>
        <v>14610.55173130931</v>
      </c>
      <c r="AE409" s="296">
        <f t="shared" si="94"/>
        <v>14610.55173130931</v>
      </c>
    </row>
    <row r="410" spans="1:31">
      <c r="A410" s="1711"/>
      <c r="B410" s="116">
        <v>9</v>
      </c>
      <c r="C410" s="294">
        <f t="shared" si="89"/>
        <v>14318.340696683123</v>
      </c>
      <c r="D410" s="295">
        <f t="shared" si="95"/>
        <v>14318.340696683123</v>
      </c>
      <c r="E410" s="295">
        <f t="shared" si="95"/>
        <v>14318.340696683123</v>
      </c>
      <c r="F410" s="295">
        <f t="shared" si="95"/>
        <v>14318.340696683123</v>
      </c>
      <c r="G410" s="295">
        <f t="shared" si="95"/>
        <v>14318.340696683123</v>
      </c>
      <c r="H410" s="295">
        <f t="shared" si="95"/>
        <v>14318.340696683123</v>
      </c>
      <c r="I410" s="295">
        <f t="shared" si="95"/>
        <v>14318.340696683123</v>
      </c>
      <c r="J410" s="295">
        <f t="shared" si="95"/>
        <v>14318.340696683123</v>
      </c>
      <c r="K410" s="295">
        <f t="shared" si="95"/>
        <v>14318.340696683123</v>
      </c>
      <c r="L410" s="295">
        <f t="shared" si="95"/>
        <v>14318.340696683123</v>
      </c>
      <c r="M410" s="295">
        <f t="shared" si="95"/>
        <v>14318.340696683123</v>
      </c>
      <c r="N410" s="295">
        <f t="shared" si="95"/>
        <v>14318.340696683123</v>
      </c>
      <c r="O410" s="295">
        <f t="shared" si="95"/>
        <v>14318.340696683123</v>
      </c>
      <c r="P410" s="295">
        <f t="shared" si="95"/>
        <v>14318.340696683123</v>
      </c>
      <c r="Q410" s="295">
        <f t="shared" si="95"/>
        <v>14318.340696683123</v>
      </c>
      <c r="R410" s="295">
        <f t="shared" si="95"/>
        <v>14318.340696683123</v>
      </c>
      <c r="S410" s="295">
        <f t="shared" si="95"/>
        <v>14318.340696683123</v>
      </c>
      <c r="T410" s="295">
        <f t="shared" si="94"/>
        <v>14318.340696683123</v>
      </c>
      <c r="U410" s="295">
        <f t="shared" si="94"/>
        <v>14318.340696683123</v>
      </c>
      <c r="V410" s="295">
        <f t="shared" si="94"/>
        <v>14318.340696683123</v>
      </c>
      <c r="W410" s="295">
        <f t="shared" si="94"/>
        <v>14318.340696683123</v>
      </c>
      <c r="X410" s="295">
        <f t="shared" si="94"/>
        <v>14318.340696683123</v>
      </c>
      <c r="Y410" s="295">
        <f t="shared" si="94"/>
        <v>14318.340696683123</v>
      </c>
      <c r="Z410" s="295">
        <f t="shared" si="94"/>
        <v>14318.340696683123</v>
      </c>
      <c r="AA410" s="295">
        <f t="shared" si="94"/>
        <v>14318.340696683123</v>
      </c>
      <c r="AB410" s="295">
        <f t="shared" si="94"/>
        <v>14318.340696683123</v>
      </c>
      <c r="AC410" s="295">
        <f t="shared" si="94"/>
        <v>14318.340696683123</v>
      </c>
      <c r="AD410" s="295">
        <f t="shared" si="94"/>
        <v>14318.340696683123</v>
      </c>
      <c r="AE410" s="296">
        <f t="shared" si="94"/>
        <v>14318.340696683123</v>
      </c>
    </row>
    <row r="411" spans="1:31">
      <c r="A411" s="1711"/>
      <c r="B411" s="116">
        <v>10</v>
      </c>
      <c r="C411" s="294">
        <f t="shared" si="89"/>
        <v>14031.97388274946</v>
      </c>
      <c r="D411" s="295">
        <f t="shared" si="95"/>
        <v>14031.97388274946</v>
      </c>
      <c r="E411" s="295">
        <f t="shared" si="95"/>
        <v>14031.97388274946</v>
      </c>
      <c r="F411" s="295">
        <f t="shared" si="95"/>
        <v>14031.97388274946</v>
      </c>
      <c r="G411" s="295">
        <f t="shared" si="95"/>
        <v>14031.97388274946</v>
      </c>
      <c r="H411" s="295">
        <f t="shared" si="95"/>
        <v>14031.97388274946</v>
      </c>
      <c r="I411" s="295">
        <f t="shared" si="95"/>
        <v>14031.97388274946</v>
      </c>
      <c r="J411" s="295">
        <f t="shared" si="95"/>
        <v>14031.97388274946</v>
      </c>
      <c r="K411" s="295">
        <f t="shared" si="95"/>
        <v>14031.97388274946</v>
      </c>
      <c r="L411" s="295">
        <f t="shared" si="95"/>
        <v>14031.97388274946</v>
      </c>
      <c r="M411" s="295">
        <f t="shared" si="95"/>
        <v>14031.97388274946</v>
      </c>
      <c r="N411" s="295">
        <f t="shared" si="95"/>
        <v>14031.97388274946</v>
      </c>
      <c r="O411" s="295">
        <f t="shared" si="95"/>
        <v>14031.97388274946</v>
      </c>
      <c r="P411" s="295">
        <f t="shared" si="95"/>
        <v>14031.97388274946</v>
      </c>
      <c r="Q411" s="295">
        <f t="shared" si="95"/>
        <v>14031.97388274946</v>
      </c>
      <c r="R411" s="295">
        <f t="shared" si="95"/>
        <v>14031.97388274946</v>
      </c>
      <c r="S411" s="295">
        <f t="shared" si="95"/>
        <v>14031.97388274946</v>
      </c>
      <c r="T411" s="295">
        <f t="shared" si="94"/>
        <v>14031.97388274946</v>
      </c>
      <c r="U411" s="295">
        <f t="shared" si="94"/>
        <v>14031.97388274946</v>
      </c>
      <c r="V411" s="295">
        <f t="shared" si="94"/>
        <v>14031.97388274946</v>
      </c>
      <c r="W411" s="295">
        <f t="shared" si="94"/>
        <v>14031.97388274946</v>
      </c>
      <c r="X411" s="295">
        <f t="shared" si="94"/>
        <v>14031.97388274946</v>
      </c>
      <c r="Y411" s="295">
        <f t="shared" si="94"/>
        <v>14031.97388274946</v>
      </c>
      <c r="Z411" s="295">
        <f t="shared" si="94"/>
        <v>14031.97388274946</v>
      </c>
      <c r="AA411" s="295">
        <f t="shared" si="94"/>
        <v>14031.97388274946</v>
      </c>
      <c r="AB411" s="295">
        <f t="shared" si="94"/>
        <v>14031.97388274946</v>
      </c>
      <c r="AC411" s="295">
        <f t="shared" si="94"/>
        <v>14031.97388274946</v>
      </c>
      <c r="AD411" s="295">
        <f t="shared" si="94"/>
        <v>14031.97388274946</v>
      </c>
      <c r="AE411" s="296">
        <f t="shared" si="94"/>
        <v>14031.97388274946</v>
      </c>
    </row>
    <row r="412" spans="1:31">
      <c r="A412" s="1711"/>
      <c r="B412" s="116">
        <v>11</v>
      </c>
      <c r="C412" s="294">
        <f t="shared" si="89"/>
        <v>13751.334405094471</v>
      </c>
      <c r="D412" s="295">
        <f t="shared" si="95"/>
        <v>13751.334405094471</v>
      </c>
      <c r="E412" s="295">
        <f t="shared" si="95"/>
        <v>13751.334405094471</v>
      </c>
      <c r="F412" s="295">
        <f t="shared" si="95"/>
        <v>13751.334405094471</v>
      </c>
      <c r="G412" s="295">
        <f t="shared" si="95"/>
        <v>13751.334405094471</v>
      </c>
      <c r="H412" s="295">
        <f t="shared" si="95"/>
        <v>13751.334405094471</v>
      </c>
      <c r="I412" s="295">
        <f t="shared" si="95"/>
        <v>13751.334405094471</v>
      </c>
      <c r="J412" s="295">
        <f t="shared" si="95"/>
        <v>13751.334405094471</v>
      </c>
      <c r="K412" s="295">
        <f t="shared" si="95"/>
        <v>13751.334405094471</v>
      </c>
      <c r="L412" s="295">
        <f t="shared" si="95"/>
        <v>13751.334405094471</v>
      </c>
      <c r="M412" s="295">
        <f t="shared" si="95"/>
        <v>13751.334405094471</v>
      </c>
      <c r="N412" s="295">
        <f t="shared" si="95"/>
        <v>13751.334405094471</v>
      </c>
      <c r="O412" s="295">
        <f t="shared" si="95"/>
        <v>13751.334405094471</v>
      </c>
      <c r="P412" s="295">
        <f t="shared" si="95"/>
        <v>13751.334405094471</v>
      </c>
      <c r="Q412" s="295">
        <f t="shared" si="95"/>
        <v>13751.334405094471</v>
      </c>
      <c r="R412" s="295">
        <f t="shared" si="95"/>
        <v>13751.334405094471</v>
      </c>
      <c r="S412" s="295">
        <f t="shared" si="95"/>
        <v>13751.334405094471</v>
      </c>
      <c r="T412" s="295">
        <f t="shared" si="94"/>
        <v>13751.334405094471</v>
      </c>
      <c r="U412" s="295">
        <f t="shared" si="94"/>
        <v>13751.334405094471</v>
      </c>
      <c r="V412" s="295">
        <f t="shared" si="94"/>
        <v>13751.334405094471</v>
      </c>
      <c r="W412" s="295">
        <f t="shared" si="94"/>
        <v>13751.334405094471</v>
      </c>
      <c r="X412" s="295">
        <f t="shared" si="94"/>
        <v>13751.334405094471</v>
      </c>
      <c r="Y412" s="295">
        <f t="shared" si="94"/>
        <v>13751.334405094471</v>
      </c>
      <c r="Z412" s="295">
        <f t="shared" si="94"/>
        <v>13751.334405094471</v>
      </c>
      <c r="AA412" s="295">
        <f t="shared" si="94"/>
        <v>13751.334405094471</v>
      </c>
      <c r="AB412" s="295">
        <f t="shared" si="94"/>
        <v>13751.334405094471</v>
      </c>
      <c r="AC412" s="295">
        <f t="shared" si="94"/>
        <v>13751.334405094471</v>
      </c>
      <c r="AD412" s="295">
        <f t="shared" si="94"/>
        <v>13751.334405094471</v>
      </c>
      <c r="AE412" s="296">
        <f t="shared" si="94"/>
        <v>13751.334405094471</v>
      </c>
    </row>
    <row r="413" spans="1:31">
      <c r="A413" s="1711"/>
      <c r="B413" s="116">
        <v>12</v>
      </c>
      <c r="C413" s="294">
        <f t="shared" si="89"/>
        <v>13476.307716992582</v>
      </c>
      <c r="D413" s="295">
        <f t="shared" si="95"/>
        <v>13476.307716992582</v>
      </c>
      <c r="E413" s="295">
        <f t="shared" si="95"/>
        <v>13476.307716992582</v>
      </c>
      <c r="F413" s="295">
        <f t="shared" si="95"/>
        <v>13476.307716992582</v>
      </c>
      <c r="G413" s="295">
        <f t="shared" si="95"/>
        <v>13476.307716992582</v>
      </c>
      <c r="H413" s="295">
        <f t="shared" si="95"/>
        <v>13476.307716992582</v>
      </c>
      <c r="I413" s="295">
        <f t="shared" si="95"/>
        <v>13476.307716992582</v>
      </c>
      <c r="J413" s="295">
        <f t="shared" si="95"/>
        <v>13476.307716992582</v>
      </c>
      <c r="K413" s="295">
        <f t="shared" si="95"/>
        <v>13476.307716992582</v>
      </c>
      <c r="L413" s="295">
        <f t="shared" si="95"/>
        <v>13476.307716992582</v>
      </c>
      <c r="M413" s="295">
        <f t="shared" si="95"/>
        <v>13476.307716992582</v>
      </c>
      <c r="N413" s="295">
        <f t="shared" si="95"/>
        <v>13476.307716992582</v>
      </c>
      <c r="O413" s="295">
        <f t="shared" si="95"/>
        <v>13476.307716992582</v>
      </c>
      <c r="P413" s="295">
        <f t="shared" si="95"/>
        <v>13476.307716992582</v>
      </c>
      <c r="Q413" s="295">
        <f t="shared" si="95"/>
        <v>13476.307716992582</v>
      </c>
      <c r="R413" s="295">
        <f t="shared" si="95"/>
        <v>13476.307716992582</v>
      </c>
      <c r="S413" s="295">
        <f t="shared" si="95"/>
        <v>13476.307716992582</v>
      </c>
      <c r="T413" s="295">
        <f t="shared" si="94"/>
        <v>13476.307716992582</v>
      </c>
      <c r="U413" s="295">
        <f t="shared" si="94"/>
        <v>13476.307716992582</v>
      </c>
      <c r="V413" s="295">
        <f t="shared" si="94"/>
        <v>13476.307716992582</v>
      </c>
      <c r="W413" s="295">
        <f t="shared" si="94"/>
        <v>13476.307716992582</v>
      </c>
      <c r="X413" s="295">
        <f t="shared" si="94"/>
        <v>13476.307716992582</v>
      </c>
      <c r="Y413" s="295">
        <f t="shared" si="94"/>
        <v>13476.307716992582</v>
      </c>
      <c r="Z413" s="295">
        <f t="shared" si="94"/>
        <v>13476.307716992582</v>
      </c>
      <c r="AA413" s="295">
        <f t="shared" si="94"/>
        <v>13476.307716992582</v>
      </c>
      <c r="AB413" s="295">
        <f t="shared" si="94"/>
        <v>13476.307716992582</v>
      </c>
      <c r="AC413" s="295">
        <f t="shared" si="94"/>
        <v>13476.307716992582</v>
      </c>
      <c r="AD413" s="295">
        <f t="shared" si="94"/>
        <v>13476.307716992582</v>
      </c>
      <c r="AE413" s="296">
        <f t="shared" si="94"/>
        <v>13476.307716992582</v>
      </c>
    </row>
    <row r="414" spans="1:31">
      <c r="A414" s="1711"/>
      <c r="B414" s="116">
        <v>13</v>
      </c>
      <c r="C414" s="294">
        <f t="shared" si="89"/>
        <v>13206.78156265273</v>
      </c>
      <c r="D414" s="295">
        <f t="shared" si="95"/>
        <v>13206.78156265273</v>
      </c>
      <c r="E414" s="295">
        <f t="shared" si="95"/>
        <v>13206.78156265273</v>
      </c>
      <c r="F414" s="295">
        <f t="shared" si="95"/>
        <v>13206.78156265273</v>
      </c>
      <c r="G414" s="295">
        <f t="shared" si="95"/>
        <v>13206.78156265273</v>
      </c>
      <c r="H414" s="295">
        <f t="shared" si="95"/>
        <v>13206.78156265273</v>
      </c>
      <c r="I414" s="295">
        <f t="shared" si="95"/>
        <v>13206.78156265273</v>
      </c>
      <c r="J414" s="295">
        <f t="shared" si="95"/>
        <v>13206.78156265273</v>
      </c>
      <c r="K414" s="295">
        <f t="shared" si="95"/>
        <v>13206.78156265273</v>
      </c>
      <c r="L414" s="295">
        <f t="shared" si="95"/>
        <v>13206.78156265273</v>
      </c>
      <c r="M414" s="295">
        <f t="shared" si="95"/>
        <v>13206.78156265273</v>
      </c>
      <c r="N414" s="295">
        <f t="shared" si="95"/>
        <v>13206.78156265273</v>
      </c>
      <c r="O414" s="295">
        <f t="shared" si="95"/>
        <v>13206.78156265273</v>
      </c>
      <c r="P414" s="295">
        <f t="shared" si="95"/>
        <v>13206.78156265273</v>
      </c>
      <c r="Q414" s="295">
        <f t="shared" si="95"/>
        <v>13206.78156265273</v>
      </c>
      <c r="R414" s="295">
        <f t="shared" si="95"/>
        <v>13206.78156265273</v>
      </c>
      <c r="S414" s="295">
        <f t="shared" si="95"/>
        <v>13206.78156265273</v>
      </c>
      <c r="T414" s="295">
        <f t="shared" si="94"/>
        <v>13206.78156265273</v>
      </c>
      <c r="U414" s="295">
        <f t="shared" si="94"/>
        <v>13206.78156265273</v>
      </c>
      <c r="V414" s="295">
        <f t="shared" si="94"/>
        <v>13206.78156265273</v>
      </c>
      <c r="W414" s="295">
        <f t="shared" si="94"/>
        <v>13206.78156265273</v>
      </c>
      <c r="X414" s="295">
        <f t="shared" si="94"/>
        <v>13206.78156265273</v>
      </c>
      <c r="Y414" s="295">
        <f t="shared" si="94"/>
        <v>13206.78156265273</v>
      </c>
      <c r="Z414" s="295">
        <f t="shared" si="94"/>
        <v>13206.78156265273</v>
      </c>
      <c r="AA414" s="295">
        <f t="shared" si="94"/>
        <v>13206.78156265273</v>
      </c>
      <c r="AB414" s="295">
        <f t="shared" si="94"/>
        <v>13206.78156265273</v>
      </c>
      <c r="AC414" s="295">
        <f t="shared" si="94"/>
        <v>13206.78156265273</v>
      </c>
      <c r="AD414" s="295">
        <f t="shared" si="94"/>
        <v>13206.78156265273</v>
      </c>
      <c r="AE414" s="296">
        <f t="shared" si="94"/>
        <v>13206.78156265273</v>
      </c>
    </row>
    <row r="415" spans="1:31">
      <c r="A415" s="1711"/>
      <c r="B415" s="116">
        <v>14</v>
      </c>
      <c r="C415" s="294">
        <f t="shared" si="89"/>
        <v>12942.645931399675</v>
      </c>
      <c r="D415" s="295">
        <f t="shared" si="95"/>
        <v>12942.645931399675</v>
      </c>
      <c r="E415" s="295">
        <f t="shared" si="95"/>
        <v>12942.645931399675</v>
      </c>
      <c r="F415" s="295">
        <f t="shared" si="95"/>
        <v>12942.645931399675</v>
      </c>
      <c r="G415" s="295">
        <f t="shared" si="95"/>
        <v>12942.645931399675</v>
      </c>
      <c r="H415" s="295">
        <f t="shared" si="95"/>
        <v>12942.645931399675</v>
      </c>
      <c r="I415" s="295">
        <f t="shared" si="95"/>
        <v>12942.645931399675</v>
      </c>
      <c r="J415" s="295">
        <f t="shared" si="95"/>
        <v>12942.645931399675</v>
      </c>
      <c r="K415" s="295">
        <f t="shared" si="95"/>
        <v>12942.645931399675</v>
      </c>
      <c r="L415" s="295">
        <f t="shared" si="95"/>
        <v>12942.645931399675</v>
      </c>
      <c r="M415" s="295">
        <f t="shared" si="95"/>
        <v>12942.645931399675</v>
      </c>
      <c r="N415" s="295">
        <f t="shared" si="95"/>
        <v>12942.645931399675</v>
      </c>
      <c r="O415" s="295">
        <f t="shared" si="95"/>
        <v>12942.645931399675</v>
      </c>
      <c r="P415" s="295">
        <f t="shared" si="95"/>
        <v>12942.645931399675</v>
      </c>
      <c r="Q415" s="295">
        <f t="shared" si="95"/>
        <v>12942.645931399675</v>
      </c>
      <c r="R415" s="295">
        <f t="shared" si="95"/>
        <v>12942.645931399675</v>
      </c>
      <c r="S415" s="295">
        <f t="shared" si="95"/>
        <v>12942.645931399675</v>
      </c>
      <c r="T415" s="295">
        <f t="shared" si="94"/>
        <v>12942.645931399675</v>
      </c>
      <c r="U415" s="295">
        <f t="shared" si="94"/>
        <v>12942.645931399675</v>
      </c>
      <c r="V415" s="295">
        <f t="shared" si="94"/>
        <v>12942.645931399675</v>
      </c>
      <c r="W415" s="295">
        <f t="shared" si="94"/>
        <v>12942.645931399675</v>
      </c>
      <c r="X415" s="295">
        <f t="shared" si="94"/>
        <v>12942.645931399675</v>
      </c>
      <c r="Y415" s="295">
        <f t="shared" si="94"/>
        <v>12942.645931399675</v>
      </c>
      <c r="Z415" s="295">
        <f t="shared" si="94"/>
        <v>12942.645931399675</v>
      </c>
      <c r="AA415" s="295">
        <f t="shared" si="94"/>
        <v>12942.645931399675</v>
      </c>
      <c r="AB415" s="295">
        <f t="shared" si="94"/>
        <v>12942.645931399675</v>
      </c>
      <c r="AC415" s="295">
        <f t="shared" si="94"/>
        <v>12942.645931399675</v>
      </c>
      <c r="AD415" s="295">
        <f t="shared" si="94"/>
        <v>12942.645931399675</v>
      </c>
      <c r="AE415" s="296">
        <f t="shared" si="94"/>
        <v>12942.645931399675</v>
      </c>
    </row>
    <row r="416" spans="1:31">
      <c r="A416" s="1711"/>
      <c r="B416" s="116">
        <v>15</v>
      </c>
      <c r="C416" s="294">
        <f t="shared" si="89"/>
        <v>12683.793012771681</v>
      </c>
      <c r="D416" s="295">
        <f t="shared" si="95"/>
        <v>12683.793012771681</v>
      </c>
      <c r="E416" s="295">
        <f t="shared" si="95"/>
        <v>12683.793012771681</v>
      </c>
      <c r="F416" s="295">
        <f t="shared" si="95"/>
        <v>12683.793012771681</v>
      </c>
      <c r="G416" s="295">
        <f t="shared" si="95"/>
        <v>12683.793012771681</v>
      </c>
      <c r="H416" s="295">
        <f t="shared" si="95"/>
        <v>12683.793012771681</v>
      </c>
      <c r="I416" s="295">
        <f t="shared" si="95"/>
        <v>12683.793012771681</v>
      </c>
      <c r="J416" s="295">
        <f t="shared" si="95"/>
        <v>12683.793012771681</v>
      </c>
      <c r="K416" s="295">
        <f t="shared" si="95"/>
        <v>12683.793012771681</v>
      </c>
      <c r="L416" s="295">
        <f t="shared" si="95"/>
        <v>12683.793012771681</v>
      </c>
      <c r="M416" s="295">
        <f t="shared" si="95"/>
        <v>12683.793012771681</v>
      </c>
      <c r="N416" s="295">
        <f t="shared" si="95"/>
        <v>12683.793012771681</v>
      </c>
      <c r="O416" s="295">
        <f t="shared" si="95"/>
        <v>12683.793012771681</v>
      </c>
      <c r="P416" s="295">
        <f t="shared" si="95"/>
        <v>12683.793012771681</v>
      </c>
      <c r="Q416" s="295">
        <f t="shared" si="95"/>
        <v>12683.793012771681</v>
      </c>
      <c r="R416" s="295">
        <f t="shared" si="95"/>
        <v>12683.793012771681</v>
      </c>
      <c r="S416" s="295">
        <f t="shared" si="95"/>
        <v>12683.793012771681</v>
      </c>
      <c r="T416" s="295">
        <f t="shared" si="94"/>
        <v>12683.793012771681</v>
      </c>
      <c r="U416" s="295">
        <f t="shared" si="94"/>
        <v>12683.793012771681</v>
      </c>
      <c r="V416" s="295">
        <f t="shared" si="94"/>
        <v>12683.793012771681</v>
      </c>
      <c r="W416" s="295">
        <f t="shared" si="94"/>
        <v>12683.793012771681</v>
      </c>
      <c r="X416" s="295">
        <f t="shared" si="94"/>
        <v>12683.793012771681</v>
      </c>
      <c r="Y416" s="295">
        <f t="shared" si="94"/>
        <v>12683.793012771681</v>
      </c>
      <c r="Z416" s="295">
        <f t="shared" si="94"/>
        <v>12683.793012771681</v>
      </c>
      <c r="AA416" s="295">
        <f t="shared" si="94"/>
        <v>12683.793012771681</v>
      </c>
      <c r="AB416" s="295">
        <f t="shared" si="94"/>
        <v>12683.793012771681</v>
      </c>
      <c r="AC416" s="295">
        <f t="shared" si="94"/>
        <v>12683.793012771681</v>
      </c>
      <c r="AD416" s="295">
        <f t="shared" si="94"/>
        <v>12683.793012771681</v>
      </c>
      <c r="AE416" s="296">
        <f t="shared" si="94"/>
        <v>12683.793012771681</v>
      </c>
    </row>
    <row r="417" spans="1:31">
      <c r="A417" s="1711"/>
      <c r="B417" s="116">
        <v>16</v>
      </c>
      <c r="C417" s="294">
        <f t="shared" si="89"/>
        <v>12430.117152516246</v>
      </c>
      <c r="D417" s="295">
        <f t="shared" si="95"/>
        <v>12430.117152516246</v>
      </c>
      <c r="E417" s="295">
        <f t="shared" si="95"/>
        <v>12430.117152516246</v>
      </c>
      <c r="F417" s="295">
        <f t="shared" si="95"/>
        <v>12430.117152516246</v>
      </c>
      <c r="G417" s="295">
        <f t="shared" si="95"/>
        <v>12430.117152516246</v>
      </c>
      <c r="H417" s="295">
        <f t="shared" si="95"/>
        <v>12430.117152516246</v>
      </c>
      <c r="I417" s="295">
        <f t="shared" si="95"/>
        <v>12430.117152516246</v>
      </c>
      <c r="J417" s="295">
        <f t="shared" si="95"/>
        <v>12430.117152516246</v>
      </c>
      <c r="K417" s="295">
        <f t="shared" si="95"/>
        <v>12430.117152516246</v>
      </c>
      <c r="L417" s="295">
        <f t="shared" si="95"/>
        <v>12430.117152516246</v>
      </c>
      <c r="M417" s="295">
        <f t="shared" si="95"/>
        <v>12430.117152516246</v>
      </c>
      <c r="N417" s="295">
        <f t="shared" si="95"/>
        <v>12430.117152516246</v>
      </c>
      <c r="O417" s="295">
        <f t="shared" si="95"/>
        <v>12430.117152516246</v>
      </c>
      <c r="P417" s="295">
        <f t="shared" si="95"/>
        <v>12430.117152516246</v>
      </c>
      <c r="Q417" s="295">
        <f t="shared" si="95"/>
        <v>12430.117152516246</v>
      </c>
      <c r="R417" s="295">
        <f t="shared" si="95"/>
        <v>12430.117152516246</v>
      </c>
      <c r="S417" s="295">
        <f t="shared" ref="S417:AE426" si="96">R417</f>
        <v>12430.117152516246</v>
      </c>
      <c r="T417" s="295">
        <f t="shared" si="96"/>
        <v>12430.117152516246</v>
      </c>
      <c r="U417" s="295">
        <f t="shared" si="96"/>
        <v>12430.117152516246</v>
      </c>
      <c r="V417" s="295">
        <f t="shared" si="96"/>
        <v>12430.117152516246</v>
      </c>
      <c r="W417" s="295">
        <f t="shared" si="96"/>
        <v>12430.117152516246</v>
      </c>
      <c r="X417" s="295">
        <f t="shared" si="96"/>
        <v>12430.117152516246</v>
      </c>
      <c r="Y417" s="295">
        <f t="shared" si="96"/>
        <v>12430.117152516246</v>
      </c>
      <c r="Z417" s="295">
        <f t="shared" si="96"/>
        <v>12430.117152516246</v>
      </c>
      <c r="AA417" s="295">
        <f t="shared" si="96"/>
        <v>12430.117152516246</v>
      </c>
      <c r="AB417" s="295">
        <f t="shared" si="96"/>
        <v>12430.117152516246</v>
      </c>
      <c r="AC417" s="295">
        <f t="shared" si="96"/>
        <v>12430.117152516246</v>
      </c>
      <c r="AD417" s="295">
        <f t="shared" si="96"/>
        <v>12430.117152516246</v>
      </c>
      <c r="AE417" s="296">
        <f t="shared" si="96"/>
        <v>12430.117152516246</v>
      </c>
    </row>
    <row r="418" spans="1:31">
      <c r="A418" s="1711"/>
      <c r="B418" s="116">
        <v>17</v>
      </c>
      <c r="C418" s="294">
        <f t="shared" si="89"/>
        <v>12430.117152516246</v>
      </c>
      <c r="D418" s="295">
        <f t="shared" ref="D418:S426" si="97">C418</f>
        <v>12430.117152516246</v>
      </c>
      <c r="E418" s="295">
        <f t="shared" si="97"/>
        <v>12430.117152516246</v>
      </c>
      <c r="F418" s="295">
        <f t="shared" si="97"/>
        <v>12430.117152516246</v>
      </c>
      <c r="G418" s="295">
        <f t="shared" si="97"/>
        <v>12430.117152516246</v>
      </c>
      <c r="H418" s="295">
        <f t="shared" si="97"/>
        <v>12430.117152516246</v>
      </c>
      <c r="I418" s="295">
        <f t="shared" si="97"/>
        <v>12430.117152516246</v>
      </c>
      <c r="J418" s="295">
        <f t="shared" si="97"/>
        <v>12430.117152516246</v>
      </c>
      <c r="K418" s="295">
        <f t="shared" si="97"/>
        <v>12430.117152516246</v>
      </c>
      <c r="L418" s="295">
        <f t="shared" si="97"/>
        <v>12430.117152516246</v>
      </c>
      <c r="M418" s="295">
        <f t="shared" si="97"/>
        <v>12430.117152516246</v>
      </c>
      <c r="N418" s="295">
        <f t="shared" si="97"/>
        <v>12430.117152516246</v>
      </c>
      <c r="O418" s="295">
        <f t="shared" si="97"/>
        <v>12430.117152516246</v>
      </c>
      <c r="P418" s="295">
        <f t="shared" si="97"/>
        <v>12430.117152516246</v>
      </c>
      <c r="Q418" s="295">
        <f t="shared" si="97"/>
        <v>12430.117152516246</v>
      </c>
      <c r="R418" s="295">
        <f t="shared" si="97"/>
        <v>12430.117152516246</v>
      </c>
      <c r="S418" s="295">
        <f t="shared" si="97"/>
        <v>12430.117152516246</v>
      </c>
      <c r="T418" s="295">
        <f t="shared" si="96"/>
        <v>12430.117152516246</v>
      </c>
      <c r="U418" s="295">
        <f t="shared" si="96"/>
        <v>12430.117152516246</v>
      </c>
      <c r="V418" s="295">
        <f t="shared" si="96"/>
        <v>12430.117152516246</v>
      </c>
      <c r="W418" s="295">
        <f t="shared" si="96"/>
        <v>12430.117152516246</v>
      </c>
      <c r="X418" s="295">
        <f t="shared" si="96"/>
        <v>12430.117152516246</v>
      </c>
      <c r="Y418" s="295">
        <f t="shared" si="96"/>
        <v>12430.117152516246</v>
      </c>
      <c r="Z418" s="295">
        <f t="shared" si="96"/>
        <v>12430.117152516246</v>
      </c>
      <c r="AA418" s="295">
        <f t="shared" si="96"/>
        <v>12430.117152516246</v>
      </c>
      <c r="AB418" s="295">
        <f t="shared" si="96"/>
        <v>12430.117152516246</v>
      </c>
      <c r="AC418" s="295">
        <f t="shared" si="96"/>
        <v>12430.117152516246</v>
      </c>
      <c r="AD418" s="295">
        <f t="shared" si="96"/>
        <v>12430.117152516246</v>
      </c>
      <c r="AE418" s="296">
        <f t="shared" si="96"/>
        <v>12430.117152516246</v>
      </c>
    </row>
    <row r="419" spans="1:31">
      <c r="A419" s="1711"/>
      <c r="B419" s="116">
        <v>18</v>
      </c>
      <c r="C419" s="294">
        <f t="shared" si="89"/>
        <v>12430.117152516246</v>
      </c>
      <c r="D419" s="295">
        <f t="shared" si="97"/>
        <v>12430.117152516246</v>
      </c>
      <c r="E419" s="295">
        <f t="shared" si="97"/>
        <v>12430.117152516246</v>
      </c>
      <c r="F419" s="295">
        <f t="shared" si="97"/>
        <v>12430.117152516246</v>
      </c>
      <c r="G419" s="295">
        <f t="shared" si="97"/>
        <v>12430.117152516246</v>
      </c>
      <c r="H419" s="295">
        <f t="shared" si="97"/>
        <v>12430.117152516246</v>
      </c>
      <c r="I419" s="295">
        <f t="shared" si="97"/>
        <v>12430.117152516246</v>
      </c>
      <c r="J419" s="295">
        <f t="shared" si="97"/>
        <v>12430.117152516246</v>
      </c>
      <c r="K419" s="295">
        <f t="shared" si="97"/>
        <v>12430.117152516246</v>
      </c>
      <c r="L419" s="295">
        <f t="shared" si="97"/>
        <v>12430.117152516246</v>
      </c>
      <c r="M419" s="295">
        <f t="shared" si="97"/>
        <v>12430.117152516246</v>
      </c>
      <c r="N419" s="295">
        <f t="shared" si="97"/>
        <v>12430.117152516246</v>
      </c>
      <c r="O419" s="295">
        <f t="shared" si="97"/>
        <v>12430.117152516246</v>
      </c>
      <c r="P419" s="295">
        <f t="shared" si="97"/>
        <v>12430.117152516246</v>
      </c>
      <c r="Q419" s="295">
        <f t="shared" si="97"/>
        <v>12430.117152516246</v>
      </c>
      <c r="R419" s="295">
        <f t="shared" si="97"/>
        <v>12430.117152516246</v>
      </c>
      <c r="S419" s="295">
        <f t="shared" si="97"/>
        <v>12430.117152516246</v>
      </c>
      <c r="T419" s="295">
        <f t="shared" si="96"/>
        <v>12430.117152516246</v>
      </c>
      <c r="U419" s="295">
        <f t="shared" si="96"/>
        <v>12430.117152516246</v>
      </c>
      <c r="V419" s="295">
        <f t="shared" si="96"/>
        <v>12430.117152516246</v>
      </c>
      <c r="W419" s="295">
        <f t="shared" si="96"/>
        <v>12430.117152516246</v>
      </c>
      <c r="X419" s="295">
        <f t="shared" si="96"/>
        <v>12430.117152516246</v>
      </c>
      <c r="Y419" s="295">
        <f t="shared" si="96"/>
        <v>12430.117152516246</v>
      </c>
      <c r="Z419" s="295">
        <f t="shared" si="96"/>
        <v>12430.117152516246</v>
      </c>
      <c r="AA419" s="295">
        <f t="shared" si="96"/>
        <v>12430.117152516246</v>
      </c>
      <c r="AB419" s="295">
        <f t="shared" si="96"/>
        <v>12430.117152516246</v>
      </c>
      <c r="AC419" s="295">
        <f t="shared" si="96"/>
        <v>12430.117152516246</v>
      </c>
      <c r="AD419" s="295">
        <f t="shared" si="96"/>
        <v>12430.117152516246</v>
      </c>
      <c r="AE419" s="296">
        <f t="shared" si="96"/>
        <v>12430.117152516246</v>
      </c>
    </row>
    <row r="420" spans="1:31">
      <c r="A420" s="1711"/>
      <c r="B420" s="116">
        <v>19</v>
      </c>
      <c r="C420" s="294">
        <f t="shared" si="89"/>
        <v>12430.117152516246</v>
      </c>
      <c r="D420" s="295">
        <f t="shared" si="97"/>
        <v>12430.117152516246</v>
      </c>
      <c r="E420" s="295">
        <f t="shared" si="97"/>
        <v>12430.117152516246</v>
      </c>
      <c r="F420" s="295">
        <f t="shared" si="97"/>
        <v>12430.117152516246</v>
      </c>
      <c r="G420" s="295">
        <f t="shared" si="97"/>
        <v>12430.117152516246</v>
      </c>
      <c r="H420" s="295">
        <f t="shared" si="97"/>
        <v>12430.117152516246</v>
      </c>
      <c r="I420" s="295">
        <f t="shared" si="97"/>
        <v>12430.117152516246</v>
      </c>
      <c r="J420" s="295">
        <f t="shared" si="97"/>
        <v>12430.117152516246</v>
      </c>
      <c r="K420" s="295">
        <f t="shared" si="97"/>
        <v>12430.117152516246</v>
      </c>
      <c r="L420" s="295">
        <f t="shared" si="97"/>
        <v>12430.117152516246</v>
      </c>
      <c r="M420" s="295">
        <f t="shared" si="97"/>
        <v>12430.117152516246</v>
      </c>
      <c r="N420" s="295">
        <f t="shared" si="97"/>
        <v>12430.117152516246</v>
      </c>
      <c r="O420" s="295">
        <f t="shared" si="97"/>
        <v>12430.117152516246</v>
      </c>
      <c r="P420" s="295">
        <f t="shared" si="97"/>
        <v>12430.117152516246</v>
      </c>
      <c r="Q420" s="295">
        <f t="shared" si="97"/>
        <v>12430.117152516246</v>
      </c>
      <c r="R420" s="295">
        <f t="shared" si="97"/>
        <v>12430.117152516246</v>
      </c>
      <c r="S420" s="295">
        <f t="shared" si="97"/>
        <v>12430.117152516246</v>
      </c>
      <c r="T420" s="295">
        <f t="shared" si="96"/>
        <v>12430.117152516246</v>
      </c>
      <c r="U420" s="295">
        <f t="shared" si="96"/>
        <v>12430.117152516246</v>
      </c>
      <c r="V420" s="295">
        <f t="shared" si="96"/>
        <v>12430.117152516246</v>
      </c>
      <c r="W420" s="295">
        <f t="shared" si="96"/>
        <v>12430.117152516246</v>
      </c>
      <c r="X420" s="295">
        <f t="shared" si="96"/>
        <v>12430.117152516246</v>
      </c>
      <c r="Y420" s="295">
        <f t="shared" si="96"/>
        <v>12430.117152516246</v>
      </c>
      <c r="Z420" s="295">
        <f t="shared" si="96"/>
        <v>12430.117152516246</v>
      </c>
      <c r="AA420" s="295">
        <f t="shared" si="96"/>
        <v>12430.117152516246</v>
      </c>
      <c r="AB420" s="295">
        <f t="shared" si="96"/>
        <v>12430.117152516246</v>
      </c>
      <c r="AC420" s="295">
        <f t="shared" si="96"/>
        <v>12430.117152516246</v>
      </c>
      <c r="AD420" s="295">
        <f t="shared" si="96"/>
        <v>12430.117152516246</v>
      </c>
      <c r="AE420" s="296">
        <f t="shared" si="96"/>
        <v>12430.117152516246</v>
      </c>
    </row>
    <row r="421" spans="1:31">
      <c r="A421" s="1711"/>
      <c r="B421" s="116">
        <v>20</v>
      </c>
      <c r="C421" s="294">
        <f t="shared" si="89"/>
        <v>12430.117152516246</v>
      </c>
      <c r="D421" s="295">
        <f t="shared" si="97"/>
        <v>12430.117152516246</v>
      </c>
      <c r="E421" s="295">
        <f t="shared" si="97"/>
        <v>12430.117152516246</v>
      </c>
      <c r="F421" s="295">
        <f t="shared" si="97"/>
        <v>12430.117152516246</v>
      </c>
      <c r="G421" s="295">
        <f t="shared" si="97"/>
        <v>12430.117152516246</v>
      </c>
      <c r="H421" s="295">
        <f t="shared" si="97"/>
        <v>12430.117152516246</v>
      </c>
      <c r="I421" s="295">
        <f t="shared" si="97"/>
        <v>12430.117152516246</v>
      </c>
      <c r="J421" s="295">
        <f t="shared" si="97"/>
        <v>12430.117152516246</v>
      </c>
      <c r="K421" s="295">
        <f t="shared" si="97"/>
        <v>12430.117152516246</v>
      </c>
      <c r="L421" s="295">
        <f t="shared" si="97"/>
        <v>12430.117152516246</v>
      </c>
      <c r="M421" s="295">
        <f t="shared" si="97"/>
        <v>12430.117152516246</v>
      </c>
      <c r="N421" s="295">
        <f t="shared" si="97"/>
        <v>12430.117152516246</v>
      </c>
      <c r="O421" s="295">
        <f t="shared" si="97"/>
        <v>12430.117152516246</v>
      </c>
      <c r="P421" s="295">
        <f t="shared" si="97"/>
        <v>12430.117152516246</v>
      </c>
      <c r="Q421" s="295">
        <f t="shared" si="97"/>
        <v>12430.117152516246</v>
      </c>
      <c r="R421" s="295">
        <f t="shared" si="97"/>
        <v>12430.117152516246</v>
      </c>
      <c r="S421" s="295">
        <f t="shared" si="97"/>
        <v>12430.117152516246</v>
      </c>
      <c r="T421" s="295">
        <f t="shared" si="96"/>
        <v>12430.117152516246</v>
      </c>
      <c r="U421" s="295">
        <f t="shared" si="96"/>
        <v>12430.117152516246</v>
      </c>
      <c r="V421" s="295">
        <f t="shared" si="96"/>
        <v>12430.117152516246</v>
      </c>
      <c r="W421" s="295">
        <f t="shared" si="96"/>
        <v>12430.117152516246</v>
      </c>
      <c r="X421" s="295">
        <f t="shared" si="96"/>
        <v>12430.117152516246</v>
      </c>
      <c r="Y421" s="295">
        <f t="shared" si="96"/>
        <v>12430.117152516246</v>
      </c>
      <c r="Z421" s="295">
        <f t="shared" si="96"/>
        <v>12430.117152516246</v>
      </c>
      <c r="AA421" s="295">
        <f t="shared" si="96"/>
        <v>12430.117152516246</v>
      </c>
      <c r="AB421" s="295">
        <f t="shared" si="96"/>
        <v>12430.117152516246</v>
      </c>
      <c r="AC421" s="295">
        <f t="shared" si="96"/>
        <v>12430.117152516246</v>
      </c>
      <c r="AD421" s="295">
        <f t="shared" si="96"/>
        <v>12430.117152516246</v>
      </c>
      <c r="AE421" s="296">
        <f t="shared" si="96"/>
        <v>12430.117152516246</v>
      </c>
    </row>
    <row r="422" spans="1:31">
      <c r="A422" s="1711"/>
      <c r="B422" s="116">
        <v>21</v>
      </c>
      <c r="C422" s="294">
        <f t="shared" si="89"/>
        <v>12430.117152516246</v>
      </c>
      <c r="D422" s="295">
        <f t="shared" si="97"/>
        <v>12430.117152516246</v>
      </c>
      <c r="E422" s="295">
        <f t="shared" si="97"/>
        <v>12430.117152516246</v>
      </c>
      <c r="F422" s="295">
        <f t="shared" si="97"/>
        <v>12430.117152516246</v>
      </c>
      <c r="G422" s="295">
        <f t="shared" si="97"/>
        <v>12430.117152516246</v>
      </c>
      <c r="H422" s="295">
        <f t="shared" si="97"/>
        <v>12430.117152516246</v>
      </c>
      <c r="I422" s="295">
        <f t="shared" si="97"/>
        <v>12430.117152516246</v>
      </c>
      <c r="J422" s="295">
        <f t="shared" si="97"/>
        <v>12430.117152516246</v>
      </c>
      <c r="K422" s="295">
        <f t="shared" si="97"/>
        <v>12430.117152516246</v>
      </c>
      <c r="L422" s="295">
        <f t="shared" si="97"/>
        <v>12430.117152516246</v>
      </c>
      <c r="M422" s="295">
        <f t="shared" si="97"/>
        <v>12430.117152516246</v>
      </c>
      <c r="N422" s="295">
        <f t="shared" si="97"/>
        <v>12430.117152516246</v>
      </c>
      <c r="O422" s="295">
        <f t="shared" si="97"/>
        <v>12430.117152516246</v>
      </c>
      <c r="P422" s="295">
        <f t="shared" si="97"/>
        <v>12430.117152516246</v>
      </c>
      <c r="Q422" s="295">
        <f t="shared" si="97"/>
        <v>12430.117152516246</v>
      </c>
      <c r="R422" s="295">
        <f t="shared" si="97"/>
        <v>12430.117152516246</v>
      </c>
      <c r="S422" s="295">
        <f t="shared" si="97"/>
        <v>12430.117152516246</v>
      </c>
      <c r="T422" s="295">
        <f t="shared" si="96"/>
        <v>12430.117152516246</v>
      </c>
      <c r="U422" s="295">
        <f t="shared" si="96"/>
        <v>12430.117152516246</v>
      </c>
      <c r="V422" s="295">
        <f t="shared" si="96"/>
        <v>12430.117152516246</v>
      </c>
      <c r="W422" s="295">
        <f t="shared" si="96"/>
        <v>12430.117152516246</v>
      </c>
      <c r="X422" s="295">
        <f t="shared" si="96"/>
        <v>12430.117152516246</v>
      </c>
      <c r="Y422" s="295">
        <f t="shared" si="96"/>
        <v>12430.117152516246</v>
      </c>
      <c r="Z422" s="295">
        <f t="shared" si="96"/>
        <v>12430.117152516246</v>
      </c>
      <c r="AA422" s="295">
        <f t="shared" si="96"/>
        <v>12430.117152516246</v>
      </c>
      <c r="AB422" s="295">
        <f t="shared" si="96"/>
        <v>12430.117152516246</v>
      </c>
      <c r="AC422" s="295">
        <f t="shared" si="96"/>
        <v>12430.117152516246</v>
      </c>
      <c r="AD422" s="295">
        <f t="shared" si="96"/>
        <v>12430.117152516246</v>
      </c>
      <c r="AE422" s="296">
        <f t="shared" si="96"/>
        <v>12430.117152516246</v>
      </c>
    </row>
    <row r="423" spans="1:31">
      <c r="A423" s="1711"/>
      <c r="B423" s="116">
        <v>22</v>
      </c>
      <c r="C423" s="294">
        <f t="shared" si="89"/>
        <v>12430.117152516246</v>
      </c>
      <c r="D423" s="295">
        <f t="shared" si="97"/>
        <v>12430.117152516246</v>
      </c>
      <c r="E423" s="295">
        <f t="shared" si="97"/>
        <v>12430.117152516246</v>
      </c>
      <c r="F423" s="295">
        <f t="shared" si="97"/>
        <v>12430.117152516246</v>
      </c>
      <c r="G423" s="295">
        <f t="shared" si="97"/>
        <v>12430.117152516246</v>
      </c>
      <c r="H423" s="295">
        <f t="shared" si="97"/>
        <v>12430.117152516246</v>
      </c>
      <c r="I423" s="295">
        <f t="shared" si="97"/>
        <v>12430.117152516246</v>
      </c>
      <c r="J423" s="295">
        <f t="shared" si="97"/>
        <v>12430.117152516246</v>
      </c>
      <c r="K423" s="295">
        <f t="shared" si="97"/>
        <v>12430.117152516246</v>
      </c>
      <c r="L423" s="295">
        <f t="shared" si="97"/>
        <v>12430.117152516246</v>
      </c>
      <c r="M423" s="295">
        <f t="shared" si="97"/>
        <v>12430.117152516246</v>
      </c>
      <c r="N423" s="295">
        <f t="shared" si="97"/>
        <v>12430.117152516246</v>
      </c>
      <c r="O423" s="295">
        <f t="shared" si="97"/>
        <v>12430.117152516246</v>
      </c>
      <c r="P423" s="295">
        <f t="shared" si="97"/>
        <v>12430.117152516246</v>
      </c>
      <c r="Q423" s="295">
        <f t="shared" si="97"/>
        <v>12430.117152516246</v>
      </c>
      <c r="R423" s="295">
        <f t="shared" si="97"/>
        <v>12430.117152516246</v>
      </c>
      <c r="S423" s="295">
        <f t="shared" si="97"/>
        <v>12430.117152516246</v>
      </c>
      <c r="T423" s="295">
        <f t="shared" si="96"/>
        <v>12430.117152516246</v>
      </c>
      <c r="U423" s="295">
        <f t="shared" si="96"/>
        <v>12430.117152516246</v>
      </c>
      <c r="V423" s="295">
        <f t="shared" si="96"/>
        <v>12430.117152516246</v>
      </c>
      <c r="W423" s="295">
        <f t="shared" si="96"/>
        <v>12430.117152516246</v>
      </c>
      <c r="X423" s="295">
        <f t="shared" si="96"/>
        <v>12430.117152516246</v>
      </c>
      <c r="Y423" s="295">
        <f t="shared" si="96"/>
        <v>12430.117152516246</v>
      </c>
      <c r="Z423" s="295">
        <f t="shared" si="96"/>
        <v>12430.117152516246</v>
      </c>
      <c r="AA423" s="295">
        <f t="shared" si="96"/>
        <v>12430.117152516246</v>
      </c>
      <c r="AB423" s="295">
        <f t="shared" si="96"/>
        <v>12430.117152516246</v>
      </c>
      <c r="AC423" s="295">
        <f t="shared" si="96"/>
        <v>12430.117152516246</v>
      </c>
      <c r="AD423" s="295">
        <f t="shared" si="96"/>
        <v>12430.117152516246</v>
      </c>
      <c r="AE423" s="296">
        <f t="shared" si="96"/>
        <v>12430.117152516246</v>
      </c>
    </row>
    <row r="424" spans="1:31">
      <c r="A424" s="1711"/>
      <c r="B424" s="116">
        <v>23</v>
      </c>
      <c r="C424" s="294">
        <f t="shared" si="89"/>
        <v>12430.117152516246</v>
      </c>
      <c r="D424" s="295">
        <f t="shared" si="97"/>
        <v>12430.117152516246</v>
      </c>
      <c r="E424" s="295">
        <f t="shared" si="97"/>
        <v>12430.117152516246</v>
      </c>
      <c r="F424" s="295">
        <f t="shared" si="97"/>
        <v>12430.117152516246</v>
      </c>
      <c r="G424" s="295">
        <f t="shared" si="97"/>
        <v>12430.117152516246</v>
      </c>
      <c r="H424" s="295">
        <f t="shared" si="97"/>
        <v>12430.117152516246</v>
      </c>
      <c r="I424" s="295">
        <f t="shared" si="97"/>
        <v>12430.117152516246</v>
      </c>
      <c r="J424" s="295">
        <f t="shared" si="97"/>
        <v>12430.117152516246</v>
      </c>
      <c r="K424" s="295">
        <f t="shared" si="97"/>
        <v>12430.117152516246</v>
      </c>
      <c r="L424" s="295">
        <f t="shared" si="97"/>
        <v>12430.117152516246</v>
      </c>
      <c r="M424" s="295">
        <f t="shared" si="97"/>
        <v>12430.117152516246</v>
      </c>
      <c r="N424" s="295">
        <f t="shared" si="97"/>
        <v>12430.117152516246</v>
      </c>
      <c r="O424" s="295">
        <f t="shared" si="97"/>
        <v>12430.117152516246</v>
      </c>
      <c r="P424" s="295">
        <f t="shared" si="97"/>
        <v>12430.117152516246</v>
      </c>
      <c r="Q424" s="295">
        <f t="shared" si="97"/>
        <v>12430.117152516246</v>
      </c>
      <c r="R424" s="295">
        <f t="shared" si="97"/>
        <v>12430.117152516246</v>
      </c>
      <c r="S424" s="295">
        <f t="shared" si="97"/>
        <v>12430.117152516246</v>
      </c>
      <c r="T424" s="295">
        <f t="shared" si="96"/>
        <v>12430.117152516246</v>
      </c>
      <c r="U424" s="295">
        <f t="shared" si="96"/>
        <v>12430.117152516246</v>
      </c>
      <c r="V424" s="295">
        <f t="shared" si="96"/>
        <v>12430.117152516246</v>
      </c>
      <c r="W424" s="295">
        <f t="shared" si="96"/>
        <v>12430.117152516246</v>
      </c>
      <c r="X424" s="295">
        <f t="shared" si="96"/>
        <v>12430.117152516246</v>
      </c>
      <c r="Y424" s="295">
        <f t="shared" si="96"/>
        <v>12430.117152516246</v>
      </c>
      <c r="Z424" s="295">
        <f t="shared" si="96"/>
        <v>12430.117152516246</v>
      </c>
      <c r="AA424" s="295">
        <f t="shared" si="96"/>
        <v>12430.117152516246</v>
      </c>
      <c r="AB424" s="295">
        <f t="shared" si="96"/>
        <v>12430.117152516246</v>
      </c>
      <c r="AC424" s="295">
        <f t="shared" si="96"/>
        <v>12430.117152516246</v>
      </c>
      <c r="AD424" s="295">
        <f t="shared" si="96"/>
        <v>12430.117152516246</v>
      </c>
      <c r="AE424" s="296">
        <f t="shared" si="96"/>
        <v>12430.117152516246</v>
      </c>
    </row>
    <row r="425" spans="1:31">
      <c r="A425" s="1711"/>
      <c r="B425" s="116">
        <v>24</v>
      </c>
      <c r="C425" s="294">
        <f t="shared" si="89"/>
        <v>12430.117152516246</v>
      </c>
      <c r="D425" s="295">
        <f t="shared" si="97"/>
        <v>12430.117152516246</v>
      </c>
      <c r="E425" s="295">
        <f t="shared" si="97"/>
        <v>12430.117152516246</v>
      </c>
      <c r="F425" s="295">
        <f t="shared" si="97"/>
        <v>12430.117152516246</v>
      </c>
      <c r="G425" s="295">
        <f t="shared" si="97"/>
        <v>12430.117152516246</v>
      </c>
      <c r="H425" s="295">
        <f t="shared" si="97"/>
        <v>12430.117152516246</v>
      </c>
      <c r="I425" s="295">
        <f t="shared" si="97"/>
        <v>12430.117152516246</v>
      </c>
      <c r="J425" s="295">
        <f t="shared" si="97"/>
        <v>12430.117152516246</v>
      </c>
      <c r="K425" s="295">
        <f t="shared" si="97"/>
        <v>12430.117152516246</v>
      </c>
      <c r="L425" s="295">
        <f t="shared" si="97"/>
        <v>12430.117152516246</v>
      </c>
      <c r="M425" s="295">
        <f t="shared" si="97"/>
        <v>12430.117152516246</v>
      </c>
      <c r="N425" s="295">
        <f t="shared" si="97"/>
        <v>12430.117152516246</v>
      </c>
      <c r="O425" s="295">
        <f t="shared" si="97"/>
        <v>12430.117152516246</v>
      </c>
      <c r="P425" s="295">
        <f t="shared" si="97"/>
        <v>12430.117152516246</v>
      </c>
      <c r="Q425" s="295">
        <f t="shared" si="97"/>
        <v>12430.117152516246</v>
      </c>
      <c r="R425" s="295">
        <f t="shared" si="97"/>
        <v>12430.117152516246</v>
      </c>
      <c r="S425" s="295">
        <f t="shared" si="97"/>
        <v>12430.117152516246</v>
      </c>
      <c r="T425" s="295">
        <f t="shared" si="96"/>
        <v>12430.117152516246</v>
      </c>
      <c r="U425" s="295">
        <f t="shared" si="96"/>
        <v>12430.117152516246</v>
      </c>
      <c r="V425" s="295">
        <f t="shared" si="96"/>
        <v>12430.117152516246</v>
      </c>
      <c r="W425" s="295">
        <f t="shared" si="96"/>
        <v>12430.117152516246</v>
      </c>
      <c r="X425" s="295">
        <f t="shared" si="96"/>
        <v>12430.117152516246</v>
      </c>
      <c r="Y425" s="295">
        <f t="shared" si="96"/>
        <v>12430.117152516246</v>
      </c>
      <c r="Z425" s="295">
        <f t="shared" si="96"/>
        <v>12430.117152516246</v>
      </c>
      <c r="AA425" s="295">
        <f t="shared" si="96"/>
        <v>12430.117152516246</v>
      </c>
      <c r="AB425" s="295">
        <f t="shared" si="96"/>
        <v>12430.117152516246</v>
      </c>
      <c r="AC425" s="295">
        <f t="shared" si="96"/>
        <v>12430.117152516246</v>
      </c>
      <c r="AD425" s="295">
        <f t="shared" si="96"/>
        <v>12430.117152516246</v>
      </c>
      <c r="AE425" s="296">
        <f t="shared" si="96"/>
        <v>12430.117152516246</v>
      </c>
    </row>
    <row r="426" spans="1:31" ht="15.75" thickBot="1">
      <c r="A426" s="1711"/>
      <c r="B426" s="116">
        <v>25</v>
      </c>
      <c r="C426" s="297">
        <f t="shared" si="89"/>
        <v>12430.117152516246</v>
      </c>
      <c r="D426" s="298">
        <f t="shared" si="97"/>
        <v>12430.117152516246</v>
      </c>
      <c r="E426" s="298">
        <f t="shared" si="97"/>
        <v>12430.117152516246</v>
      </c>
      <c r="F426" s="298">
        <f t="shared" si="97"/>
        <v>12430.117152516246</v>
      </c>
      <c r="G426" s="298">
        <f t="shared" si="97"/>
        <v>12430.117152516246</v>
      </c>
      <c r="H426" s="298">
        <f t="shared" si="97"/>
        <v>12430.117152516246</v>
      </c>
      <c r="I426" s="298">
        <f t="shared" si="97"/>
        <v>12430.117152516246</v>
      </c>
      <c r="J426" s="298">
        <f t="shared" si="97"/>
        <v>12430.117152516246</v>
      </c>
      <c r="K426" s="298">
        <f t="shared" si="97"/>
        <v>12430.117152516246</v>
      </c>
      <c r="L426" s="298">
        <f t="shared" si="97"/>
        <v>12430.117152516246</v>
      </c>
      <c r="M426" s="298">
        <f t="shared" si="97"/>
        <v>12430.117152516246</v>
      </c>
      <c r="N426" s="298">
        <f t="shared" si="97"/>
        <v>12430.117152516246</v>
      </c>
      <c r="O426" s="298">
        <f t="shared" si="97"/>
        <v>12430.117152516246</v>
      </c>
      <c r="P426" s="298">
        <f t="shared" si="97"/>
        <v>12430.117152516246</v>
      </c>
      <c r="Q426" s="298">
        <f t="shared" si="97"/>
        <v>12430.117152516246</v>
      </c>
      <c r="R426" s="298">
        <f t="shared" si="97"/>
        <v>12430.117152516246</v>
      </c>
      <c r="S426" s="298">
        <f t="shared" si="97"/>
        <v>12430.117152516246</v>
      </c>
      <c r="T426" s="298">
        <f t="shared" si="96"/>
        <v>12430.117152516246</v>
      </c>
      <c r="U426" s="298">
        <f t="shared" si="96"/>
        <v>12430.117152516246</v>
      </c>
      <c r="V426" s="298">
        <f t="shared" si="96"/>
        <v>12430.117152516246</v>
      </c>
      <c r="W426" s="298">
        <f t="shared" si="96"/>
        <v>12430.117152516246</v>
      </c>
      <c r="X426" s="298">
        <f t="shared" si="96"/>
        <v>12430.117152516246</v>
      </c>
      <c r="Y426" s="298">
        <f t="shared" si="96"/>
        <v>12430.117152516246</v>
      </c>
      <c r="Z426" s="298">
        <f t="shared" si="96"/>
        <v>12430.117152516246</v>
      </c>
      <c r="AA426" s="298">
        <f t="shared" si="96"/>
        <v>12430.117152516246</v>
      </c>
      <c r="AB426" s="298">
        <f t="shared" si="96"/>
        <v>12430.117152516246</v>
      </c>
      <c r="AC426" s="298">
        <f t="shared" si="96"/>
        <v>12430.117152516246</v>
      </c>
      <c r="AD426" s="298">
        <f t="shared" si="96"/>
        <v>12430.117152516246</v>
      </c>
      <c r="AE426" s="299">
        <f t="shared" si="96"/>
        <v>12430.117152516246</v>
      </c>
    </row>
    <row r="427" spans="1:31" ht="16.5" thickTop="1" thickBot="1">
      <c r="A427" s="1712"/>
      <c r="B427" s="300" t="s">
        <v>39</v>
      </c>
      <c r="C427" s="461">
        <f>IF('CAR Stock'!C456=0,0,SUMPRODUCT(C401:C426,'CAR Stock'!C430:C455)/'CAR Stock'!C456)</f>
        <v>15617.20393521697</v>
      </c>
      <c r="D427" s="461">
        <f>IF('CAR Stock'!D456=0,0,SUMPRODUCT(D401:D426,'CAR Stock'!D430:D455)/'CAR Stock'!D456)</f>
        <v>15323.436196055312</v>
      </c>
      <c r="E427" s="461">
        <f>IF('CAR Stock'!E456=0,0,SUMPRODUCT(E401:E426,'CAR Stock'!E430:E455)/'CAR Stock'!E456)</f>
        <v>15041.289018642721</v>
      </c>
      <c r="F427" s="461">
        <f>IF('CAR Stock'!F456=0,0,SUMPRODUCT(F401:F426,'CAR Stock'!F430:F455)/'CAR Stock'!F456)</f>
        <v>14775.608707146146</v>
      </c>
      <c r="G427" s="461">
        <f>IF('CAR Stock'!G456=0,0,SUMPRODUCT(G401:G426,'CAR Stock'!G430:G455)/'CAR Stock'!G456)</f>
        <v>14527.970757188654</v>
      </c>
      <c r="H427" s="461">
        <f>IF('CAR Stock'!H456=0,0,SUMPRODUCT(H401:H426,'CAR Stock'!H430:H455)/'CAR Stock'!H456)</f>
        <v>14296.214797753366</v>
      </c>
      <c r="I427" s="461">
        <f>IF('CAR Stock'!I456=0,0,SUMPRODUCT(I401:I426,'CAR Stock'!I430:I455)/'CAR Stock'!I456)</f>
        <v>14077.403701859874</v>
      </c>
      <c r="J427" s="461">
        <f>IF('CAR Stock'!J456=0,0,SUMPRODUCT(J401:J426,'CAR Stock'!J430:J455)/'CAR Stock'!J456)</f>
        <v>13871.243951369084</v>
      </c>
      <c r="K427" s="461">
        <f>IF('CAR Stock'!K456=0,0,SUMPRODUCT(K401:K426,'CAR Stock'!K430:K455)/'CAR Stock'!K456)</f>
        <v>13680.345500478998</v>
      </c>
      <c r="L427" s="461">
        <f>IF('CAR Stock'!L456=0,0,SUMPRODUCT(L401:L426,'CAR Stock'!L430:L455)/'CAR Stock'!L456)</f>
        <v>13508.65351387983</v>
      </c>
      <c r="M427" s="461">
        <f>IF('CAR Stock'!M456=0,0,SUMPRODUCT(M401:M426,'CAR Stock'!M430:M455)/'CAR Stock'!M456)</f>
        <v>13357.511677171244</v>
      </c>
      <c r="N427" s="461">
        <f>IF('CAR Stock'!N456=0,0,SUMPRODUCT(N401:N426,'CAR Stock'!N430:N455)/'CAR Stock'!N456)</f>
        <v>13220.451237885</v>
      </c>
      <c r="O427" s="461">
        <f>IF('CAR Stock'!O456=0,0,SUMPRODUCT(O401:O426,'CAR Stock'!O430:O455)/'CAR Stock'!O456)</f>
        <v>13075.879315203192</v>
      </c>
      <c r="P427" s="461">
        <f>IF('CAR Stock'!P456=0,0,SUMPRODUCT(P401:P426,'CAR Stock'!P430:P455)/'CAR Stock'!P456)</f>
        <v>12922.367514175579</v>
      </c>
      <c r="Q427" s="461">
        <f>IF('CAR Stock'!Q456=0,0,SUMPRODUCT(Q401:Q426,'CAR Stock'!Q430:Q455)/'CAR Stock'!Q456)</f>
        <v>12748.319168078788</v>
      </c>
      <c r="R427" s="461">
        <f>IF('CAR Stock'!R456=0,0,SUMPRODUCT(R401:R426,'CAR Stock'!R430:R455)/'CAR Stock'!R456)</f>
        <v>12570.458332805565</v>
      </c>
      <c r="S427" s="461">
        <f>IF('CAR Stock'!S456=0,0,SUMPRODUCT(S401:S426,'CAR Stock'!S430:S455)/'CAR Stock'!S456)</f>
        <v>12430.117152516248</v>
      </c>
      <c r="T427" s="461">
        <f>IF('CAR Stock'!T456=0,0,SUMPRODUCT(T401:T426,'CAR Stock'!T430:T455)/'CAR Stock'!T456)</f>
        <v>12430.117152516248</v>
      </c>
      <c r="U427" s="461">
        <f>IF('CAR Stock'!U456=0,0,SUMPRODUCT(U401:U426,'CAR Stock'!U430:U455)/'CAR Stock'!U456)</f>
        <v>12430.11715251625</v>
      </c>
      <c r="V427" s="461">
        <f>IF('CAR Stock'!V456=0,0,SUMPRODUCT(V401:V426,'CAR Stock'!V430:V455)/'CAR Stock'!V456)</f>
        <v>12430.117152516243</v>
      </c>
      <c r="W427" s="461">
        <f>IF('CAR Stock'!W456=0,0,SUMPRODUCT(W401:W426,'CAR Stock'!W430:W455)/'CAR Stock'!W456)</f>
        <v>12430.117152516243</v>
      </c>
      <c r="X427" s="461">
        <f>IF('CAR Stock'!X456=0,0,SUMPRODUCT(X401:X426,'CAR Stock'!X430:X455)/'CAR Stock'!X456)</f>
        <v>12430.117152516248</v>
      </c>
      <c r="Y427" s="461">
        <f>IF('CAR Stock'!Y456=0,0,SUMPRODUCT(Y401:Y426,'CAR Stock'!Y430:Y455)/'CAR Stock'!Y456)</f>
        <v>12430.117152516248</v>
      </c>
      <c r="Z427" s="461">
        <f>IF('CAR Stock'!Z456=0,0,SUMPRODUCT(Z401:Z426,'CAR Stock'!Z430:Z455)/'CAR Stock'!Z456)</f>
        <v>12430.117152516246</v>
      </c>
      <c r="AA427" s="461">
        <f>IF('CAR Stock'!AA456=0,0,SUMPRODUCT(AA401:AA426,'CAR Stock'!AA430:AA455)/'CAR Stock'!AA456)</f>
        <v>12430.117152516246</v>
      </c>
      <c r="AB427" s="461">
        <f>IF('CAR Stock'!AB456=0,0,SUMPRODUCT(AB401:AB426,'CAR Stock'!AB430:AB455)/'CAR Stock'!AB456)</f>
        <v>0</v>
      </c>
      <c r="AC427" s="461">
        <f>IF('CAR Stock'!AC456=0,0,SUMPRODUCT(AC401:AC426,'CAR Stock'!AC430:AC455)/'CAR Stock'!AC456)</f>
        <v>0</v>
      </c>
      <c r="AD427" s="461">
        <f>IF('CAR Stock'!AD456=0,0,SUMPRODUCT(AD401:AD426,'CAR Stock'!AD430:AD455)/'CAR Stock'!AD456)</f>
        <v>0</v>
      </c>
      <c r="AE427" s="462">
        <f>IF('CAR Stock'!AE456=0,0,SUMPRODUCT(AE401:AE426,'CAR Stock'!AE430:AE455)/'CAR Stock'!AE456)</f>
        <v>0</v>
      </c>
    </row>
    <row r="428" spans="1:31" ht="15.75" thickBot="1"/>
    <row r="429" spans="1:31" ht="15.75" thickBot="1">
      <c r="A429" s="1710" t="s">
        <v>55</v>
      </c>
      <c r="B429" s="169" t="s">
        <v>10</v>
      </c>
      <c r="C429" s="288">
        <f t="shared" si="89"/>
        <v>2012</v>
      </c>
      <c r="D429" s="289">
        <v>2013</v>
      </c>
      <c r="E429" s="289">
        <v>2014</v>
      </c>
      <c r="F429" s="289">
        <v>2015</v>
      </c>
      <c r="G429" s="288">
        <v>2016</v>
      </c>
      <c r="H429" s="289">
        <v>2017</v>
      </c>
      <c r="I429" s="289">
        <v>2018</v>
      </c>
      <c r="J429" s="289">
        <v>2019</v>
      </c>
      <c r="K429" s="288">
        <v>2020</v>
      </c>
      <c r="L429" s="289">
        <v>2021</v>
      </c>
      <c r="M429" s="289">
        <v>2022</v>
      </c>
      <c r="N429" s="289">
        <v>2023</v>
      </c>
      <c r="O429" s="288">
        <v>2024</v>
      </c>
      <c r="P429" s="289">
        <v>2025</v>
      </c>
      <c r="Q429" s="289">
        <v>2026</v>
      </c>
      <c r="R429" s="289">
        <v>2027</v>
      </c>
      <c r="S429" s="288">
        <v>2028</v>
      </c>
      <c r="T429" s="289">
        <v>2029</v>
      </c>
      <c r="U429" s="289">
        <v>2030</v>
      </c>
      <c r="V429" s="289">
        <v>2031</v>
      </c>
      <c r="W429" s="288">
        <v>2032</v>
      </c>
      <c r="X429" s="289">
        <v>2033</v>
      </c>
      <c r="Y429" s="289">
        <v>2034</v>
      </c>
      <c r="Z429" s="289">
        <v>2035</v>
      </c>
      <c r="AA429" s="288">
        <v>2036</v>
      </c>
      <c r="AB429" s="289">
        <v>2037</v>
      </c>
      <c r="AC429" s="289">
        <v>2038</v>
      </c>
      <c r="AD429" s="289">
        <v>2039</v>
      </c>
      <c r="AE429" s="290">
        <v>2040</v>
      </c>
    </row>
    <row r="430" spans="1:31">
      <c r="A430" s="1711"/>
      <c r="B430" s="116">
        <v>0</v>
      </c>
      <c r="C430" s="291">
        <f t="shared" si="89"/>
        <v>19467.759716307228</v>
      </c>
      <c r="D430" s="292">
        <f>C430</f>
        <v>19467.759716307228</v>
      </c>
      <c r="E430" s="292">
        <f t="shared" ref="E430:T430" si="98">D430</f>
        <v>19467.759716307228</v>
      </c>
      <c r="F430" s="292">
        <f t="shared" si="98"/>
        <v>19467.759716307228</v>
      </c>
      <c r="G430" s="292">
        <f t="shared" si="98"/>
        <v>19467.759716307228</v>
      </c>
      <c r="H430" s="292">
        <f t="shared" si="98"/>
        <v>19467.759716307228</v>
      </c>
      <c r="I430" s="292">
        <f t="shared" si="98"/>
        <v>19467.759716307228</v>
      </c>
      <c r="J430" s="292">
        <f t="shared" si="98"/>
        <v>19467.759716307228</v>
      </c>
      <c r="K430" s="292">
        <f t="shared" si="98"/>
        <v>19467.759716307228</v>
      </c>
      <c r="L430" s="292">
        <f t="shared" si="98"/>
        <v>19467.759716307228</v>
      </c>
      <c r="M430" s="292">
        <f t="shared" si="98"/>
        <v>19467.759716307228</v>
      </c>
      <c r="N430" s="292">
        <f t="shared" si="98"/>
        <v>19467.759716307228</v>
      </c>
      <c r="O430" s="292">
        <f t="shared" si="98"/>
        <v>19467.759716307228</v>
      </c>
      <c r="P430" s="292">
        <f t="shared" si="98"/>
        <v>19467.759716307228</v>
      </c>
      <c r="Q430" s="292">
        <f t="shared" si="98"/>
        <v>19467.759716307228</v>
      </c>
      <c r="R430" s="292">
        <f t="shared" si="98"/>
        <v>19467.759716307228</v>
      </c>
      <c r="S430" s="292">
        <f t="shared" si="98"/>
        <v>19467.759716307228</v>
      </c>
      <c r="T430" s="292">
        <f t="shared" si="98"/>
        <v>19467.759716307228</v>
      </c>
      <c r="U430" s="292">
        <f t="shared" ref="T430:AE445" si="99">T430</f>
        <v>19467.759716307228</v>
      </c>
      <c r="V430" s="292">
        <f t="shared" si="99"/>
        <v>19467.759716307228</v>
      </c>
      <c r="W430" s="292">
        <f t="shared" si="99"/>
        <v>19467.759716307228</v>
      </c>
      <c r="X430" s="292">
        <f t="shared" si="99"/>
        <v>19467.759716307228</v>
      </c>
      <c r="Y430" s="292">
        <f t="shared" si="99"/>
        <v>19467.759716307228</v>
      </c>
      <c r="Z430" s="292">
        <f t="shared" si="99"/>
        <v>19467.759716307228</v>
      </c>
      <c r="AA430" s="292">
        <f t="shared" si="99"/>
        <v>19467.759716307228</v>
      </c>
      <c r="AB430" s="292">
        <f t="shared" si="99"/>
        <v>19467.759716307228</v>
      </c>
      <c r="AC430" s="292">
        <f t="shared" si="99"/>
        <v>19467.759716307228</v>
      </c>
      <c r="AD430" s="292">
        <f t="shared" si="99"/>
        <v>19467.759716307228</v>
      </c>
      <c r="AE430" s="293">
        <f t="shared" si="99"/>
        <v>19467.759716307228</v>
      </c>
    </row>
    <row r="431" spans="1:31">
      <c r="A431" s="1711"/>
      <c r="B431" s="116">
        <v>1</v>
      </c>
      <c r="C431" s="294">
        <f t="shared" si="89"/>
        <v>19078.404521981083</v>
      </c>
      <c r="D431" s="295">
        <f t="shared" ref="D431:S446" si="100">C431</f>
        <v>19078.404521981083</v>
      </c>
      <c r="E431" s="295">
        <f t="shared" si="100"/>
        <v>19078.404521981083</v>
      </c>
      <c r="F431" s="295">
        <f t="shared" si="100"/>
        <v>19078.404521981083</v>
      </c>
      <c r="G431" s="295">
        <f t="shared" si="100"/>
        <v>19078.404521981083</v>
      </c>
      <c r="H431" s="295">
        <f t="shared" si="100"/>
        <v>19078.404521981083</v>
      </c>
      <c r="I431" s="295">
        <f t="shared" si="100"/>
        <v>19078.404521981083</v>
      </c>
      <c r="J431" s="295">
        <f t="shared" si="100"/>
        <v>19078.404521981083</v>
      </c>
      <c r="K431" s="295">
        <f t="shared" si="100"/>
        <v>19078.404521981083</v>
      </c>
      <c r="L431" s="295">
        <f t="shared" si="100"/>
        <v>19078.404521981083</v>
      </c>
      <c r="M431" s="295">
        <f t="shared" si="100"/>
        <v>19078.404521981083</v>
      </c>
      <c r="N431" s="295">
        <f t="shared" si="100"/>
        <v>19078.404521981083</v>
      </c>
      <c r="O431" s="295">
        <f t="shared" si="100"/>
        <v>19078.404521981083</v>
      </c>
      <c r="P431" s="295">
        <f t="shared" si="100"/>
        <v>19078.404521981083</v>
      </c>
      <c r="Q431" s="295">
        <f t="shared" si="100"/>
        <v>19078.404521981083</v>
      </c>
      <c r="R431" s="295">
        <f t="shared" si="100"/>
        <v>19078.404521981083</v>
      </c>
      <c r="S431" s="295">
        <f t="shared" si="100"/>
        <v>19078.404521981083</v>
      </c>
      <c r="T431" s="295">
        <f t="shared" si="99"/>
        <v>19078.404521981083</v>
      </c>
      <c r="U431" s="295">
        <f t="shared" si="99"/>
        <v>19078.404521981083</v>
      </c>
      <c r="V431" s="295">
        <f t="shared" si="99"/>
        <v>19078.404521981083</v>
      </c>
      <c r="W431" s="295">
        <f t="shared" si="99"/>
        <v>19078.404521981083</v>
      </c>
      <c r="X431" s="295">
        <f t="shared" si="99"/>
        <v>19078.404521981083</v>
      </c>
      <c r="Y431" s="295">
        <f t="shared" si="99"/>
        <v>19078.404521981083</v>
      </c>
      <c r="Z431" s="295">
        <f t="shared" si="99"/>
        <v>19078.404521981083</v>
      </c>
      <c r="AA431" s="295">
        <f t="shared" si="99"/>
        <v>19078.404521981083</v>
      </c>
      <c r="AB431" s="295">
        <f t="shared" si="99"/>
        <v>19078.404521981083</v>
      </c>
      <c r="AC431" s="295">
        <f t="shared" si="99"/>
        <v>19078.404521981083</v>
      </c>
      <c r="AD431" s="295">
        <f t="shared" si="99"/>
        <v>19078.404521981083</v>
      </c>
      <c r="AE431" s="296">
        <f t="shared" si="99"/>
        <v>19078.404521981083</v>
      </c>
    </row>
    <row r="432" spans="1:31">
      <c r="A432" s="1711"/>
      <c r="B432" s="116">
        <v>2</v>
      </c>
      <c r="C432" s="294">
        <f t="shared" si="89"/>
        <v>18696.836431541462</v>
      </c>
      <c r="D432" s="295">
        <f t="shared" si="100"/>
        <v>18696.836431541462</v>
      </c>
      <c r="E432" s="295">
        <f t="shared" si="100"/>
        <v>18696.836431541462</v>
      </c>
      <c r="F432" s="295">
        <f t="shared" si="100"/>
        <v>18696.836431541462</v>
      </c>
      <c r="G432" s="295">
        <f t="shared" si="100"/>
        <v>18696.836431541462</v>
      </c>
      <c r="H432" s="295">
        <f t="shared" si="100"/>
        <v>18696.836431541462</v>
      </c>
      <c r="I432" s="295">
        <f t="shared" si="100"/>
        <v>18696.836431541462</v>
      </c>
      <c r="J432" s="295">
        <f t="shared" si="100"/>
        <v>18696.836431541462</v>
      </c>
      <c r="K432" s="295">
        <f t="shared" si="100"/>
        <v>18696.836431541462</v>
      </c>
      <c r="L432" s="295">
        <f t="shared" si="100"/>
        <v>18696.836431541462</v>
      </c>
      <c r="M432" s="295">
        <f t="shared" si="100"/>
        <v>18696.836431541462</v>
      </c>
      <c r="N432" s="295">
        <f t="shared" si="100"/>
        <v>18696.836431541462</v>
      </c>
      <c r="O432" s="295">
        <f t="shared" si="100"/>
        <v>18696.836431541462</v>
      </c>
      <c r="P432" s="295">
        <f t="shared" si="100"/>
        <v>18696.836431541462</v>
      </c>
      <c r="Q432" s="295">
        <f t="shared" si="100"/>
        <v>18696.836431541462</v>
      </c>
      <c r="R432" s="295">
        <f t="shared" si="100"/>
        <v>18696.836431541462</v>
      </c>
      <c r="S432" s="295">
        <f t="shared" si="100"/>
        <v>18696.836431541462</v>
      </c>
      <c r="T432" s="295">
        <f t="shared" si="99"/>
        <v>18696.836431541462</v>
      </c>
      <c r="U432" s="295">
        <f t="shared" si="99"/>
        <v>18696.836431541462</v>
      </c>
      <c r="V432" s="295">
        <f t="shared" si="99"/>
        <v>18696.836431541462</v>
      </c>
      <c r="W432" s="295">
        <f t="shared" si="99"/>
        <v>18696.836431541462</v>
      </c>
      <c r="X432" s="295">
        <f t="shared" si="99"/>
        <v>18696.836431541462</v>
      </c>
      <c r="Y432" s="295">
        <f t="shared" si="99"/>
        <v>18696.836431541462</v>
      </c>
      <c r="Z432" s="295">
        <f t="shared" si="99"/>
        <v>18696.836431541462</v>
      </c>
      <c r="AA432" s="295">
        <f t="shared" si="99"/>
        <v>18696.836431541462</v>
      </c>
      <c r="AB432" s="295">
        <f t="shared" si="99"/>
        <v>18696.836431541462</v>
      </c>
      <c r="AC432" s="295">
        <f t="shared" si="99"/>
        <v>18696.836431541462</v>
      </c>
      <c r="AD432" s="295">
        <f t="shared" si="99"/>
        <v>18696.836431541462</v>
      </c>
      <c r="AE432" s="296">
        <f t="shared" si="99"/>
        <v>18696.836431541462</v>
      </c>
    </row>
    <row r="433" spans="1:31">
      <c r="A433" s="1711"/>
      <c r="B433" s="116">
        <v>3</v>
      </c>
      <c r="C433" s="294">
        <f t="shared" si="89"/>
        <v>18322.899702910632</v>
      </c>
      <c r="D433" s="295">
        <f t="shared" si="100"/>
        <v>18322.899702910632</v>
      </c>
      <c r="E433" s="295">
        <f t="shared" si="100"/>
        <v>18322.899702910632</v>
      </c>
      <c r="F433" s="295">
        <f t="shared" si="100"/>
        <v>18322.899702910632</v>
      </c>
      <c r="G433" s="295">
        <f t="shared" si="100"/>
        <v>18322.899702910632</v>
      </c>
      <c r="H433" s="295">
        <f t="shared" si="100"/>
        <v>18322.899702910632</v>
      </c>
      <c r="I433" s="295">
        <f t="shared" si="100"/>
        <v>18322.899702910632</v>
      </c>
      <c r="J433" s="295">
        <f t="shared" si="100"/>
        <v>18322.899702910632</v>
      </c>
      <c r="K433" s="295">
        <f t="shared" si="100"/>
        <v>18322.899702910632</v>
      </c>
      <c r="L433" s="295">
        <f t="shared" si="100"/>
        <v>18322.899702910632</v>
      </c>
      <c r="M433" s="295">
        <f t="shared" si="100"/>
        <v>18322.899702910632</v>
      </c>
      <c r="N433" s="295">
        <f t="shared" si="100"/>
        <v>18322.899702910632</v>
      </c>
      <c r="O433" s="295">
        <f t="shared" si="100"/>
        <v>18322.899702910632</v>
      </c>
      <c r="P433" s="295">
        <f t="shared" si="100"/>
        <v>18322.899702910632</v>
      </c>
      <c r="Q433" s="295">
        <f t="shared" si="100"/>
        <v>18322.899702910632</v>
      </c>
      <c r="R433" s="295">
        <f t="shared" si="100"/>
        <v>18322.899702910632</v>
      </c>
      <c r="S433" s="295">
        <f t="shared" si="100"/>
        <v>18322.899702910632</v>
      </c>
      <c r="T433" s="295">
        <f t="shared" si="99"/>
        <v>18322.899702910632</v>
      </c>
      <c r="U433" s="295">
        <f t="shared" si="99"/>
        <v>18322.899702910632</v>
      </c>
      <c r="V433" s="295">
        <f t="shared" si="99"/>
        <v>18322.899702910632</v>
      </c>
      <c r="W433" s="295">
        <f t="shared" si="99"/>
        <v>18322.899702910632</v>
      </c>
      <c r="X433" s="295">
        <f t="shared" si="99"/>
        <v>18322.899702910632</v>
      </c>
      <c r="Y433" s="295">
        <f t="shared" si="99"/>
        <v>18322.899702910632</v>
      </c>
      <c r="Z433" s="295">
        <f t="shared" si="99"/>
        <v>18322.899702910632</v>
      </c>
      <c r="AA433" s="295">
        <f t="shared" si="99"/>
        <v>18322.899702910632</v>
      </c>
      <c r="AB433" s="295">
        <f t="shared" si="99"/>
        <v>18322.899702910632</v>
      </c>
      <c r="AC433" s="295">
        <f t="shared" si="99"/>
        <v>18322.899702910632</v>
      </c>
      <c r="AD433" s="295">
        <f t="shared" si="99"/>
        <v>18322.899702910632</v>
      </c>
      <c r="AE433" s="296">
        <f t="shared" si="99"/>
        <v>18322.899702910632</v>
      </c>
    </row>
    <row r="434" spans="1:31">
      <c r="A434" s="1711"/>
      <c r="B434" s="116">
        <v>4</v>
      </c>
      <c r="C434" s="294">
        <f t="shared" si="89"/>
        <v>17956.441708852421</v>
      </c>
      <c r="D434" s="295">
        <f t="shared" si="100"/>
        <v>17956.441708852421</v>
      </c>
      <c r="E434" s="295">
        <f t="shared" si="100"/>
        <v>17956.441708852421</v>
      </c>
      <c r="F434" s="295">
        <f t="shared" si="100"/>
        <v>17956.441708852421</v>
      </c>
      <c r="G434" s="295">
        <f t="shared" si="100"/>
        <v>17956.441708852421</v>
      </c>
      <c r="H434" s="295">
        <f t="shared" si="100"/>
        <v>17956.441708852421</v>
      </c>
      <c r="I434" s="295">
        <f t="shared" si="100"/>
        <v>17956.441708852421</v>
      </c>
      <c r="J434" s="295">
        <f t="shared" si="100"/>
        <v>17956.441708852421</v>
      </c>
      <c r="K434" s="295">
        <f t="shared" si="100"/>
        <v>17956.441708852421</v>
      </c>
      <c r="L434" s="295">
        <f t="shared" si="100"/>
        <v>17956.441708852421</v>
      </c>
      <c r="M434" s="295">
        <f t="shared" si="100"/>
        <v>17956.441708852421</v>
      </c>
      <c r="N434" s="295">
        <f t="shared" si="100"/>
        <v>17956.441708852421</v>
      </c>
      <c r="O434" s="295">
        <f t="shared" si="100"/>
        <v>17956.441708852421</v>
      </c>
      <c r="P434" s="295">
        <f t="shared" si="100"/>
        <v>17956.441708852421</v>
      </c>
      <c r="Q434" s="295">
        <f t="shared" si="100"/>
        <v>17956.441708852421</v>
      </c>
      <c r="R434" s="295">
        <f t="shared" si="100"/>
        <v>17956.441708852421</v>
      </c>
      <c r="S434" s="295">
        <f t="shared" si="100"/>
        <v>17956.441708852421</v>
      </c>
      <c r="T434" s="295">
        <f t="shared" si="99"/>
        <v>17956.441708852421</v>
      </c>
      <c r="U434" s="295">
        <f t="shared" si="99"/>
        <v>17956.441708852421</v>
      </c>
      <c r="V434" s="295">
        <f t="shared" si="99"/>
        <v>17956.441708852421</v>
      </c>
      <c r="W434" s="295">
        <f t="shared" si="99"/>
        <v>17956.441708852421</v>
      </c>
      <c r="X434" s="295">
        <f t="shared" si="99"/>
        <v>17956.441708852421</v>
      </c>
      <c r="Y434" s="295">
        <f t="shared" si="99"/>
        <v>17956.441708852421</v>
      </c>
      <c r="Z434" s="295">
        <f t="shared" si="99"/>
        <v>17956.441708852421</v>
      </c>
      <c r="AA434" s="295">
        <f t="shared" si="99"/>
        <v>17956.441708852421</v>
      </c>
      <c r="AB434" s="295">
        <f t="shared" si="99"/>
        <v>17956.441708852421</v>
      </c>
      <c r="AC434" s="295">
        <f t="shared" si="99"/>
        <v>17956.441708852421</v>
      </c>
      <c r="AD434" s="295">
        <f t="shared" si="99"/>
        <v>17956.441708852421</v>
      </c>
      <c r="AE434" s="296">
        <f t="shared" si="99"/>
        <v>17956.441708852421</v>
      </c>
    </row>
    <row r="435" spans="1:31">
      <c r="A435" s="1711"/>
      <c r="B435" s="116">
        <v>5</v>
      </c>
      <c r="C435" s="294">
        <f t="shared" si="89"/>
        <v>17597.312874675372</v>
      </c>
      <c r="D435" s="295">
        <f t="shared" si="100"/>
        <v>17597.312874675372</v>
      </c>
      <c r="E435" s="295">
        <f t="shared" si="100"/>
        <v>17597.312874675372</v>
      </c>
      <c r="F435" s="295">
        <f t="shared" si="100"/>
        <v>17597.312874675372</v>
      </c>
      <c r="G435" s="295">
        <f t="shared" si="100"/>
        <v>17597.312874675372</v>
      </c>
      <c r="H435" s="295">
        <f t="shared" si="100"/>
        <v>17597.312874675372</v>
      </c>
      <c r="I435" s="295">
        <f t="shared" si="100"/>
        <v>17597.312874675372</v>
      </c>
      <c r="J435" s="295">
        <f t="shared" si="100"/>
        <v>17597.312874675372</v>
      </c>
      <c r="K435" s="295">
        <f t="shared" si="100"/>
        <v>17597.312874675372</v>
      </c>
      <c r="L435" s="295">
        <f t="shared" si="100"/>
        <v>17597.312874675372</v>
      </c>
      <c r="M435" s="295">
        <f t="shared" si="100"/>
        <v>17597.312874675372</v>
      </c>
      <c r="N435" s="295">
        <f t="shared" si="100"/>
        <v>17597.312874675372</v>
      </c>
      <c r="O435" s="295">
        <f t="shared" si="100"/>
        <v>17597.312874675372</v>
      </c>
      <c r="P435" s="295">
        <f t="shared" si="100"/>
        <v>17597.312874675372</v>
      </c>
      <c r="Q435" s="295">
        <f t="shared" si="100"/>
        <v>17597.312874675372</v>
      </c>
      <c r="R435" s="295">
        <f t="shared" si="100"/>
        <v>17597.312874675372</v>
      </c>
      <c r="S435" s="295">
        <f t="shared" si="100"/>
        <v>17597.312874675372</v>
      </c>
      <c r="T435" s="295">
        <f t="shared" si="99"/>
        <v>17597.312874675372</v>
      </c>
      <c r="U435" s="295">
        <f t="shared" si="99"/>
        <v>17597.312874675372</v>
      </c>
      <c r="V435" s="295">
        <f t="shared" si="99"/>
        <v>17597.312874675372</v>
      </c>
      <c r="W435" s="295">
        <f t="shared" si="99"/>
        <v>17597.312874675372</v>
      </c>
      <c r="X435" s="295">
        <f t="shared" si="99"/>
        <v>17597.312874675372</v>
      </c>
      <c r="Y435" s="295">
        <f t="shared" si="99"/>
        <v>17597.312874675372</v>
      </c>
      <c r="Z435" s="295">
        <f t="shared" si="99"/>
        <v>17597.312874675372</v>
      </c>
      <c r="AA435" s="295">
        <f t="shared" si="99"/>
        <v>17597.312874675372</v>
      </c>
      <c r="AB435" s="295">
        <f t="shared" si="99"/>
        <v>17597.312874675372</v>
      </c>
      <c r="AC435" s="295">
        <f t="shared" si="99"/>
        <v>17597.312874675372</v>
      </c>
      <c r="AD435" s="295">
        <f t="shared" si="99"/>
        <v>17597.312874675372</v>
      </c>
      <c r="AE435" s="296">
        <f t="shared" si="99"/>
        <v>17597.312874675372</v>
      </c>
    </row>
    <row r="436" spans="1:31">
      <c r="A436" s="1711"/>
      <c r="B436" s="116">
        <v>6</v>
      </c>
      <c r="C436" s="294">
        <f t="shared" si="89"/>
        <v>17245.366617181866</v>
      </c>
      <c r="D436" s="295">
        <f t="shared" si="100"/>
        <v>17245.366617181866</v>
      </c>
      <c r="E436" s="295">
        <f t="shared" si="100"/>
        <v>17245.366617181866</v>
      </c>
      <c r="F436" s="295">
        <f t="shared" si="100"/>
        <v>17245.366617181866</v>
      </c>
      <c r="G436" s="295">
        <f t="shared" si="100"/>
        <v>17245.366617181866</v>
      </c>
      <c r="H436" s="295">
        <f t="shared" si="100"/>
        <v>17245.366617181866</v>
      </c>
      <c r="I436" s="295">
        <f t="shared" si="100"/>
        <v>17245.366617181866</v>
      </c>
      <c r="J436" s="295">
        <f t="shared" si="100"/>
        <v>17245.366617181866</v>
      </c>
      <c r="K436" s="295">
        <f t="shared" si="100"/>
        <v>17245.366617181866</v>
      </c>
      <c r="L436" s="295">
        <f t="shared" si="100"/>
        <v>17245.366617181866</v>
      </c>
      <c r="M436" s="295">
        <f t="shared" si="100"/>
        <v>17245.366617181866</v>
      </c>
      <c r="N436" s="295">
        <f t="shared" si="100"/>
        <v>17245.366617181866</v>
      </c>
      <c r="O436" s="295">
        <f t="shared" si="100"/>
        <v>17245.366617181866</v>
      </c>
      <c r="P436" s="295">
        <f t="shared" si="100"/>
        <v>17245.366617181866</v>
      </c>
      <c r="Q436" s="295">
        <f t="shared" si="100"/>
        <v>17245.366617181866</v>
      </c>
      <c r="R436" s="295">
        <f t="shared" si="100"/>
        <v>17245.366617181866</v>
      </c>
      <c r="S436" s="295">
        <f t="shared" si="100"/>
        <v>17245.366617181866</v>
      </c>
      <c r="T436" s="295">
        <f t="shared" si="99"/>
        <v>17245.366617181866</v>
      </c>
      <c r="U436" s="295">
        <f t="shared" si="99"/>
        <v>17245.366617181866</v>
      </c>
      <c r="V436" s="295">
        <f t="shared" si="99"/>
        <v>17245.366617181866</v>
      </c>
      <c r="W436" s="295">
        <f t="shared" si="99"/>
        <v>17245.366617181866</v>
      </c>
      <c r="X436" s="295">
        <f t="shared" si="99"/>
        <v>17245.366617181866</v>
      </c>
      <c r="Y436" s="295">
        <f t="shared" si="99"/>
        <v>17245.366617181866</v>
      </c>
      <c r="Z436" s="295">
        <f t="shared" si="99"/>
        <v>17245.366617181866</v>
      </c>
      <c r="AA436" s="295">
        <f t="shared" si="99"/>
        <v>17245.366617181866</v>
      </c>
      <c r="AB436" s="295">
        <f t="shared" si="99"/>
        <v>17245.366617181866</v>
      </c>
      <c r="AC436" s="295">
        <f t="shared" si="99"/>
        <v>17245.366617181866</v>
      </c>
      <c r="AD436" s="295">
        <f t="shared" si="99"/>
        <v>17245.366617181866</v>
      </c>
      <c r="AE436" s="296">
        <f t="shared" si="99"/>
        <v>17245.366617181866</v>
      </c>
    </row>
    <row r="437" spans="1:31">
      <c r="A437" s="1711"/>
      <c r="B437" s="116">
        <v>7</v>
      </c>
      <c r="C437" s="294">
        <f t="shared" ref="C437:C484" si="101">C321</f>
        <v>16900.459284838227</v>
      </c>
      <c r="D437" s="295">
        <f t="shared" si="100"/>
        <v>16900.459284838227</v>
      </c>
      <c r="E437" s="295">
        <f t="shared" si="100"/>
        <v>16900.459284838227</v>
      </c>
      <c r="F437" s="295">
        <f t="shared" si="100"/>
        <v>16900.459284838227</v>
      </c>
      <c r="G437" s="295">
        <f t="shared" si="100"/>
        <v>16900.459284838227</v>
      </c>
      <c r="H437" s="295">
        <f t="shared" si="100"/>
        <v>16900.459284838227</v>
      </c>
      <c r="I437" s="295">
        <f t="shared" si="100"/>
        <v>16900.459284838227</v>
      </c>
      <c r="J437" s="295">
        <f t="shared" si="100"/>
        <v>16900.459284838227</v>
      </c>
      <c r="K437" s="295">
        <f t="shared" si="100"/>
        <v>16900.459284838227</v>
      </c>
      <c r="L437" s="295">
        <f t="shared" si="100"/>
        <v>16900.459284838227</v>
      </c>
      <c r="M437" s="295">
        <f t="shared" si="100"/>
        <v>16900.459284838227</v>
      </c>
      <c r="N437" s="295">
        <f t="shared" si="100"/>
        <v>16900.459284838227</v>
      </c>
      <c r="O437" s="295">
        <f t="shared" si="100"/>
        <v>16900.459284838227</v>
      </c>
      <c r="P437" s="295">
        <f t="shared" si="100"/>
        <v>16900.459284838227</v>
      </c>
      <c r="Q437" s="295">
        <f t="shared" si="100"/>
        <v>16900.459284838227</v>
      </c>
      <c r="R437" s="295">
        <f t="shared" si="100"/>
        <v>16900.459284838227</v>
      </c>
      <c r="S437" s="295">
        <f t="shared" si="100"/>
        <v>16900.459284838227</v>
      </c>
      <c r="T437" s="295">
        <f t="shared" si="99"/>
        <v>16900.459284838227</v>
      </c>
      <c r="U437" s="295">
        <f t="shared" si="99"/>
        <v>16900.459284838227</v>
      </c>
      <c r="V437" s="295">
        <f t="shared" si="99"/>
        <v>16900.459284838227</v>
      </c>
      <c r="W437" s="295">
        <f t="shared" si="99"/>
        <v>16900.459284838227</v>
      </c>
      <c r="X437" s="295">
        <f t="shared" si="99"/>
        <v>16900.459284838227</v>
      </c>
      <c r="Y437" s="295">
        <f t="shared" si="99"/>
        <v>16900.459284838227</v>
      </c>
      <c r="Z437" s="295">
        <f t="shared" si="99"/>
        <v>16900.459284838227</v>
      </c>
      <c r="AA437" s="295">
        <f t="shared" si="99"/>
        <v>16900.459284838227</v>
      </c>
      <c r="AB437" s="295">
        <f t="shared" si="99"/>
        <v>16900.459284838227</v>
      </c>
      <c r="AC437" s="295">
        <f t="shared" si="99"/>
        <v>16900.459284838227</v>
      </c>
      <c r="AD437" s="295">
        <f t="shared" si="99"/>
        <v>16900.459284838227</v>
      </c>
      <c r="AE437" s="296">
        <f t="shared" si="99"/>
        <v>16900.459284838227</v>
      </c>
    </row>
    <row r="438" spans="1:31">
      <c r="A438" s="1711"/>
      <c r="B438" s="116">
        <v>8</v>
      </c>
      <c r="C438" s="294">
        <f t="shared" si="101"/>
        <v>16562.450099141461</v>
      </c>
      <c r="D438" s="295">
        <f t="shared" si="100"/>
        <v>16562.450099141461</v>
      </c>
      <c r="E438" s="295">
        <f t="shared" si="100"/>
        <v>16562.450099141461</v>
      </c>
      <c r="F438" s="295">
        <f t="shared" si="100"/>
        <v>16562.450099141461</v>
      </c>
      <c r="G438" s="295">
        <f t="shared" si="100"/>
        <v>16562.450099141461</v>
      </c>
      <c r="H438" s="295">
        <f t="shared" si="100"/>
        <v>16562.450099141461</v>
      </c>
      <c r="I438" s="295">
        <f t="shared" si="100"/>
        <v>16562.450099141461</v>
      </c>
      <c r="J438" s="295">
        <f t="shared" si="100"/>
        <v>16562.450099141461</v>
      </c>
      <c r="K438" s="295">
        <f t="shared" si="100"/>
        <v>16562.450099141461</v>
      </c>
      <c r="L438" s="295">
        <f t="shared" si="100"/>
        <v>16562.450099141461</v>
      </c>
      <c r="M438" s="295">
        <f t="shared" si="100"/>
        <v>16562.450099141461</v>
      </c>
      <c r="N438" s="295">
        <f t="shared" si="100"/>
        <v>16562.450099141461</v>
      </c>
      <c r="O438" s="295">
        <f t="shared" si="100"/>
        <v>16562.450099141461</v>
      </c>
      <c r="P438" s="295">
        <f t="shared" si="100"/>
        <v>16562.450099141461</v>
      </c>
      <c r="Q438" s="295">
        <f t="shared" si="100"/>
        <v>16562.450099141461</v>
      </c>
      <c r="R438" s="295">
        <f t="shared" si="100"/>
        <v>16562.450099141461</v>
      </c>
      <c r="S438" s="295">
        <f t="shared" si="100"/>
        <v>16562.450099141461</v>
      </c>
      <c r="T438" s="295">
        <f t="shared" si="99"/>
        <v>16562.450099141461</v>
      </c>
      <c r="U438" s="295">
        <f t="shared" si="99"/>
        <v>16562.450099141461</v>
      </c>
      <c r="V438" s="295">
        <f t="shared" si="99"/>
        <v>16562.450099141461</v>
      </c>
      <c r="W438" s="295">
        <f t="shared" si="99"/>
        <v>16562.450099141461</v>
      </c>
      <c r="X438" s="295">
        <f t="shared" si="99"/>
        <v>16562.450099141461</v>
      </c>
      <c r="Y438" s="295">
        <f t="shared" si="99"/>
        <v>16562.450099141461</v>
      </c>
      <c r="Z438" s="295">
        <f t="shared" si="99"/>
        <v>16562.450099141461</v>
      </c>
      <c r="AA438" s="295">
        <f t="shared" si="99"/>
        <v>16562.450099141461</v>
      </c>
      <c r="AB438" s="295">
        <f t="shared" si="99"/>
        <v>16562.450099141461</v>
      </c>
      <c r="AC438" s="295">
        <f t="shared" si="99"/>
        <v>16562.450099141461</v>
      </c>
      <c r="AD438" s="295">
        <f t="shared" si="99"/>
        <v>16562.450099141461</v>
      </c>
      <c r="AE438" s="296">
        <f t="shared" si="99"/>
        <v>16562.450099141461</v>
      </c>
    </row>
    <row r="439" spans="1:31">
      <c r="A439" s="1711"/>
      <c r="B439" s="116">
        <v>9</v>
      </c>
      <c r="C439" s="294">
        <f t="shared" si="101"/>
        <v>16231.201097158631</v>
      </c>
      <c r="D439" s="295">
        <f t="shared" si="100"/>
        <v>16231.201097158631</v>
      </c>
      <c r="E439" s="295">
        <f t="shared" si="100"/>
        <v>16231.201097158631</v>
      </c>
      <c r="F439" s="295">
        <f t="shared" si="100"/>
        <v>16231.201097158631</v>
      </c>
      <c r="G439" s="295">
        <f t="shared" si="100"/>
        <v>16231.201097158631</v>
      </c>
      <c r="H439" s="295">
        <f t="shared" si="100"/>
        <v>16231.201097158631</v>
      </c>
      <c r="I439" s="295">
        <f t="shared" si="100"/>
        <v>16231.201097158631</v>
      </c>
      <c r="J439" s="295">
        <f t="shared" si="100"/>
        <v>16231.201097158631</v>
      </c>
      <c r="K439" s="295">
        <f t="shared" si="100"/>
        <v>16231.201097158631</v>
      </c>
      <c r="L439" s="295">
        <f t="shared" si="100"/>
        <v>16231.201097158631</v>
      </c>
      <c r="M439" s="295">
        <f t="shared" si="100"/>
        <v>16231.201097158631</v>
      </c>
      <c r="N439" s="295">
        <f t="shared" si="100"/>
        <v>16231.201097158631</v>
      </c>
      <c r="O439" s="295">
        <f t="shared" si="100"/>
        <v>16231.201097158631</v>
      </c>
      <c r="P439" s="295">
        <f t="shared" si="100"/>
        <v>16231.201097158631</v>
      </c>
      <c r="Q439" s="295">
        <f t="shared" si="100"/>
        <v>16231.201097158631</v>
      </c>
      <c r="R439" s="295">
        <f t="shared" si="100"/>
        <v>16231.201097158631</v>
      </c>
      <c r="S439" s="295">
        <f t="shared" si="100"/>
        <v>16231.201097158631</v>
      </c>
      <c r="T439" s="295">
        <f t="shared" si="99"/>
        <v>16231.201097158631</v>
      </c>
      <c r="U439" s="295">
        <f t="shared" si="99"/>
        <v>16231.201097158631</v>
      </c>
      <c r="V439" s="295">
        <f t="shared" si="99"/>
        <v>16231.201097158631</v>
      </c>
      <c r="W439" s="295">
        <f t="shared" si="99"/>
        <v>16231.201097158631</v>
      </c>
      <c r="X439" s="295">
        <f t="shared" si="99"/>
        <v>16231.201097158631</v>
      </c>
      <c r="Y439" s="295">
        <f t="shared" si="99"/>
        <v>16231.201097158631</v>
      </c>
      <c r="Z439" s="295">
        <f t="shared" si="99"/>
        <v>16231.201097158631</v>
      </c>
      <c r="AA439" s="295">
        <f t="shared" si="99"/>
        <v>16231.201097158631</v>
      </c>
      <c r="AB439" s="295">
        <f t="shared" si="99"/>
        <v>16231.201097158631</v>
      </c>
      <c r="AC439" s="295">
        <f t="shared" si="99"/>
        <v>16231.201097158631</v>
      </c>
      <c r="AD439" s="295">
        <f t="shared" si="99"/>
        <v>16231.201097158631</v>
      </c>
      <c r="AE439" s="296">
        <f t="shared" si="99"/>
        <v>16231.201097158631</v>
      </c>
    </row>
    <row r="440" spans="1:31">
      <c r="A440" s="1711"/>
      <c r="B440" s="116">
        <v>10</v>
      </c>
      <c r="C440" s="294">
        <f t="shared" si="101"/>
        <v>15906.577075215459</v>
      </c>
      <c r="D440" s="295">
        <f t="shared" si="100"/>
        <v>15906.577075215459</v>
      </c>
      <c r="E440" s="295">
        <f t="shared" si="100"/>
        <v>15906.577075215459</v>
      </c>
      <c r="F440" s="295">
        <f t="shared" si="100"/>
        <v>15906.577075215459</v>
      </c>
      <c r="G440" s="295">
        <f t="shared" si="100"/>
        <v>15906.577075215459</v>
      </c>
      <c r="H440" s="295">
        <f t="shared" si="100"/>
        <v>15906.577075215459</v>
      </c>
      <c r="I440" s="295">
        <f t="shared" si="100"/>
        <v>15906.577075215459</v>
      </c>
      <c r="J440" s="295">
        <f t="shared" si="100"/>
        <v>15906.577075215459</v>
      </c>
      <c r="K440" s="295">
        <f t="shared" si="100"/>
        <v>15906.577075215459</v>
      </c>
      <c r="L440" s="295">
        <f t="shared" si="100"/>
        <v>15906.577075215459</v>
      </c>
      <c r="M440" s="295">
        <f t="shared" si="100"/>
        <v>15906.577075215459</v>
      </c>
      <c r="N440" s="295">
        <f t="shared" si="100"/>
        <v>15906.577075215459</v>
      </c>
      <c r="O440" s="295">
        <f t="shared" si="100"/>
        <v>15906.577075215459</v>
      </c>
      <c r="P440" s="295">
        <f t="shared" si="100"/>
        <v>15906.577075215459</v>
      </c>
      <c r="Q440" s="295">
        <f t="shared" si="100"/>
        <v>15906.577075215459</v>
      </c>
      <c r="R440" s="295">
        <f t="shared" si="100"/>
        <v>15906.577075215459</v>
      </c>
      <c r="S440" s="295">
        <f t="shared" si="100"/>
        <v>15906.577075215459</v>
      </c>
      <c r="T440" s="295">
        <f t="shared" si="99"/>
        <v>15906.577075215459</v>
      </c>
      <c r="U440" s="295">
        <f t="shared" si="99"/>
        <v>15906.577075215459</v>
      </c>
      <c r="V440" s="295">
        <f t="shared" si="99"/>
        <v>15906.577075215459</v>
      </c>
      <c r="W440" s="295">
        <f t="shared" si="99"/>
        <v>15906.577075215459</v>
      </c>
      <c r="X440" s="295">
        <f t="shared" si="99"/>
        <v>15906.577075215459</v>
      </c>
      <c r="Y440" s="295">
        <f t="shared" si="99"/>
        <v>15906.577075215459</v>
      </c>
      <c r="Z440" s="295">
        <f t="shared" si="99"/>
        <v>15906.577075215459</v>
      </c>
      <c r="AA440" s="295">
        <f t="shared" si="99"/>
        <v>15906.577075215459</v>
      </c>
      <c r="AB440" s="295">
        <f t="shared" si="99"/>
        <v>15906.577075215459</v>
      </c>
      <c r="AC440" s="295">
        <f t="shared" si="99"/>
        <v>15906.577075215459</v>
      </c>
      <c r="AD440" s="295">
        <f t="shared" si="99"/>
        <v>15906.577075215459</v>
      </c>
      <c r="AE440" s="296">
        <f t="shared" si="99"/>
        <v>15906.577075215459</v>
      </c>
    </row>
    <row r="441" spans="1:31">
      <c r="A441" s="1711"/>
      <c r="B441" s="116">
        <v>11</v>
      </c>
      <c r="C441" s="294">
        <f t="shared" si="101"/>
        <v>15588.445533711149</v>
      </c>
      <c r="D441" s="295">
        <f t="shared" si="100"/>
        <v>15588.445533711149</v>
      </c>
      <c r="E441" s="295">
        <f t="shared" si="100"/>
        <v>15588.445533711149</v>
      </c>
      <c r="F441" s="295">
        <f t="shared" si="100"/>
        <v>15588.445533711149</v>
      </c>
      <c r="G441" s="295">
        <f t="shared" si="100"/>
        <v>15588.445533711149</v>
      </c>
      <c r="H441" s="295">
        <f t="shared" si="100"/>
        <v>15588.445533711149</v>
      </c>
      <c r="I441" s="295">
        <f t="shared" si="100"/>
        <v>15588.445533711149</v>
      </c>
      <c r="J441" s="295">
        <f t="shared" si="100"/>
        <v>15588.445533711149</v>
      </c>
      <c r="K441" s="295">
        <f t="shared" si="100"/>
        <v>15588.445533711149</v>
      </c>
      <c r="L441" s="295">
        <f t="shared" si="100"/>
        <v>15588.445533711149</v>
      </c>
      <c r="M441" s="295">
        <f t="shared" si="100"/>
        <v>15588.445533711149</v>
      </c>
      <c r="N441" s="295">
        <f t="shared" si="100"/>
        <v>15588.445533711149</v>
      </c>
      <c r="O441" s="295">
        <f t="shared" si="100"/>
        <v>15588.445533711149</v>
      </c>
      <c r="P441" s="295">
        <f t="shared" si="100"/>
        <v>15588.445533711149</v>
      </c>
      <c r="Q441" s="295">
        <f t="shared" si="100"/>
        <v>15588.445533711149</v>
      </c>
      <c r="R441" s="295">
        <f t="shared" si="100"/>
        <v>15588.445533711149</v>
      </c>
      <c r="S441" s="295">
        <f t="shared" si="100"/>
        <v>15588.445533711149</v>
      </c>
      <c r="T441" s="295">
        <f t="shared" si="99"/>
        <v>15588.445533711149</v>
      </c>
      <c r="U441" s="295">
        <f t="shared" si="99"/>
        <v>15588.445533711149</v>
      </c>
      <c r="V441" s="295">
        <f t="shared" si="99"/>
        <v>15588.445533711149</v>
      </c>
      <c r="W441" s="295">
        <f t="shared" si="99"/>
        <v>15588.445533711149</v>
      </c>
      <c r="X441" s="295">
        <f t="shared" si="99"/>
        <v>15588.445533711149</v>
      </c>
      <c r="Y441" s="295">
        <f t="shared" si="99"/>
        <v>15588.445533711149</v>
      </c>
      <c r="Z441" s="295">
        <f t="shared" si="99"/>
        <v>15588.445533711149</v>
      </c>
      <c r="AA441" s="295">
        <f t="shared" si="99"/>
        <v>15588.445533711149</v>
      </c>
      <c r="AB441" s="295">
        <f t="shared" si="99"/>
        <v>15588.445533711149</v>
      </c>
      <c r="AC441" s="295">
        <f t="shared" si="99"/>
        <v>15588.445533711149</v>
      </c>
      <c r="AD441" s="295">
        <f t="shared" si="99"/>
        <v>15588.445533711149</v>
      </c>
      <c r="AE441" s="296">
        <f t="shared" si="99"/>
        <v>15588.445533711149</v>
      </c>
    </row>
    <row r="442" spans="1:31">
      <c r="A442" s="1711"/>
      <c r="B442" s="116">
        <v>12</v>
      </c>
      <c r="C442" s="294">
        <f t="shared" si="101"/>
        <v>15276.676623036925</v>
      </c>
      <c r="D442" s="295">
        <f t="shared" si="100"/>
        <v>15276.676623036925</v>
      </c>
      <c r="E442" s="295">
        <f t="shared" si="100"/>
        <v>15276.676623036925</v>
      </c>
      <c r="F442" s="295">
        <f t="shared" si="100"/>
        <v>15276.676623036925</v>
      </c>
      <c r="G442" s="295">
        <f t="shared" si="100"/>
        <v>15276.676623036925</v>
      </c>
      <c r="H442" s="295">
        <f t="shared" si="100"/>
        <v>15276.676623036925</v>
      </c>
      <c r="I442" s="295">
        <f t="shared" si="100"/>
        <v>15276.676623036925</v>
      </c>
      <c r="J442" s="295">
        <f t="shared" si="100"/>
        <v>15276.676623036925</v>
      </c>
      <c r="K442" s="295">
        <f t="shared" si="100"/>
        <v>15276.676623036925</v>
      </c>
      <c r="L442" s="295">
        <f t="shared" si="100"/>
        <v>15276.676623036925</v>
      </c>
      <c r="M442" s="295">
        <f t="shared" si="100"/>
        <v>15276.676623036925</v>
      </c>
      <c r="N442" s="295">
        <f t="shared" si="100"/>
        <v>15276.676623036925</v>
      </c>
      <c r="O442" s="295">
        <f t="shared" si="100"/>
        <v>15276.676623036925</v>
      </c>
      <c r="P442" s="295">
        <f t="shared" si="100"/>
        <v>15276.676623036925</v>
      </c>
      <c r="Q442" s="295">
        <f t="shared" si="100"/>
        <v>15276.676623036925</v>
      </c>
      <c r="R442" s="295">
        <f t="shared" si="100"/>
        <v>15276.676623036925</v>
      </c>
      <c r="S442" s="295">
        <f t="shared" si="100"/>
        <v>15276.676623036925</v>
      </c>
      <c r="T442" s="295">
        <f t="shared" si="99"/>
        <v>15276.676623036925</v>
      </c>
      <c r="U442" s="295">
        <f t="shared" si="99"/>
        <v>15276.676623036925</v>
      </c>
      <c r="V442" s="295">
        <f t="shared" si="99"/>
        <v>15276.676623036925</v>
      </c>
      <c r="W442" s="295">
        <f t="shared" si="99"/>
        <v>15276.676623036925</v>
      </c>
      <c r="X442" s="295">
        <f t="shared" si="99"/>
        <v>15276.676623036925</v>
      </c>
      <c r="Y442" s="295">
        <f t="shared" si="99"/>
        <v>15276.676623036925</v>
      </c>
      <c r="Z442" s="295">
        <f t="shared" si="99"/>
        <v>15276.676623036925</v>
      </c>
      <c r="AA442" s="295">
        <f t="shared" si="99"/>
        <v>15276.676623036925</v>
      </c>
      <c r="AB442" s="295">
        <f t="shared" si="99"/>
        <v>15276.676623036925</v>
      </c>
      <c r="AC442" s="295">
        <f t="shared" si="99"/>
        <v>15276.676623036925</v>
      </c>
      <c r="AD442" s="295">
        <f t="shared" si="99"/>
        <v>15276.676623036925</v>
      </c>
      <c r="AE442" s="296">
        <f t="shared" si="99"/>
        <v>15276.676623036925</v>
      </c>
    </row>
    <row r="443" spans="1:31">
      <c r="A443" s="1711"/>
      <c r="B443" s="116">
        <v>13</v>
      </c>
      <c r="C443" s="294">
        <f t="shared" si="101"/>
        <v>14971.143090576186</v>
      </c>
      <c r="D443" s="295">
        <f t="shared" si="100"/>
        <v>14971.143090576186</v>
      </c>
      <c r="E443" s="295">
        <f t="shared" si="100"/>
        <v>14971.143090576186</v>
      </c>
      <c r="F443" s="295">
        <f t="shared" si="100"/>
        <v>14971.143090576186</v>
      </c>
      <c r="G443" s="295">
        <f t="shared" si="100"/>
        <v>14971.143090576186</v>
      </c>
      <c r="H443" s="295">
        <f t="shared" si="100"/>
        <v>14971.143090576186</v>
      </c>
      <c r="I443" s="295">
        <f t="shared" si="100"/>
        <v>14971.143090576186</v>
      </c>
      <c r="J443" s="295">
        <f t="shared" si="100"/>
        <v>14971.143090576186</v>
      </c>
      <c r="K443" s="295">
        <f t="shared" si="100"/>
        <v>14971.143090576186</v>
      </c>
      <c r="L443" s="295">
        <f t="shared" si="100"/>
        <v>14971.143090576186</v>
      </c>
      <c r="M443" s="295">
        <f t="shared" si="100"/>
        <v>14971.143090576186</v>
      </c>
      <c r="N443" s="295">
        <f t="shared" si="100"/>
        <v>14971.143090576186</v>
      </c>
      <c r="O443" s="295">
        <f t="shared" si="100"/>
        <v>14971.143090576186</v>
      </c>
      <c r="P443" s="295">
        <f t="shared" si="100"/>
        <v>14971.143090576186</v>
      </c>
      <c r="Q443" s="295">
        <f t="shared" si="100"/>
        <v>14971.143090576186</v>
      </c>
      <c r="R443" s="295">
        <f t="shared" si="100"/>
        <v>14971.143090576186</v>
      </c>
      <c r="S443" s="295">
        <f t="shared" si="100"/>
        <v>14971.143090576186</v>
      </c>
      <c r="T443" s="295">
        <f t="shared" si="99"/>
        <v>14971.143090576186</v>
      </c>
      <c r="U443" s="295">
        <f t="shared" si="99"/>
        <v>14971.143090576186</v>
      </c>
      <c r="V443" s="295">
        <f t="shared" si="99"/>
        <v>14971.143090576186</v>
      </c>
      <c r="W443" s="295">
        <f t="shared" si="99"/>
        <v>14971.143090576186</v>
      </c>
      <c r="X443" s="295">
        <f t="shared" si="99"/>
        <v>14971.143090576186</v>
      </c>
      <c r="Y443" s="295">
        <f t="shared" si="99"/>
        <v>14971.143090576186</v>
      </c>
      <c r="Z443" s="295">
        <f t="shared" si="99"/>
        <v>14971.143090576186</v>
      </c>
      <c r="AA443" s="295">
        <f t="shared" si="99"/>
        <v>14971.143090576186</v>
      </c>
      <c r="AB443" s="295">
        <f t="shared" si="99"/>
        <v>14971.143090576186</v>
      </c>
      <c r="AC443" s="295">
        <f t="shared" si="99"/>
        <v>14971.143090576186</v>
      </c>
      <c r="AD443" s="295">
        <f t="shared" si="99"/>
        <v>14971.143090576186</v>
      </c>
      <c r="AE443" s="296">
        <f t="shared" si="99"/>
        <v>14971.143090576186</v>
      </c>
    </row>
    <row r="444" spans="1:31">
      <c r="A444" s="1711"/>
      <c r="B444" s="116">
        <v>14</v>
      </c>
      <c r="C444" s="294">
        <f t="shared" si="101"/>
        <v>14671.720228764661</v>
      </c>
      <c r="D444" s="295">
        <f t="shared" si="100"/>
        <v>14671.720228764661</v>
      </c>
      <c r="E444" s="295">
        <f t="shared" si="100"/>
        <v>14671.720228764661</v>
      </c>
      <c r="F444" s="295">
        <f t="shared" si="100"/>
        <v>14671.720228764661</v>
      </c>
      <c r="G444" s="295">
        <f t="shared" si="100"/>
        <v>14671.720228764661</v>
      </c>
      <c r="H444" s="295">
        <f t="shared" si="100"/>
        <v>14671.720228764661</v>
      </c>
      <c r="I444" s="295">
        <f t="shared" si="100"/>
        <v>14671.720228764661</v>
      </c>
      <c r="J444" s="295">
        <f t="shared" si="100"/>
        <v>14671.720228764661</v>
      </c>
      <c r="K444" s="295">
        <f t="shared" si="100"/>
        <v>14671.720228764661</v>
      </c>
      <c r="L444" s="295">
        <f t="shared" si="100"/>
        <v>14671.720228764661</v>
      </c>
      <c r="M444" s="295">
        <f t="shared" si="100"/>
        <v>14671.720228764661</v>
      </c>
      <c r="N444" s="295">
        <f t="shared" si="100"/>
        <v>14671.720228764661</v>
      </c>
      <c r="O444" s="295">
        <f t="shared" si="100"/>
        <v>14671.720228764661</v>
      </c>
      <c r="P444" s="295">
        <f t="shared" si="100"/>
        <v>14671.720228764661</v>
      </c>
      <c r="Q444" s="295">
        <f t="shared" si="100"/>
        <v>14671.720228764661</v>
      </c>
      <c r="R444" s="295">
        <f t="shared" si="100"/>
        <v>14671.720228764661</v>
      </c>
      <c r="S444" s="295">
        <f t="shared" si="100"/>
        <v>14671.720228764661</v>
      </c>
      <c r="T444" s="295">
        <f t="shared" si="99"/>
        <v>14671.720228764661</v>
      </c>
      <c r="U444" s="295">
        <f t="shared" si="99"/>
        <v>14671.720228764661</v>
      </c>
      <c r="V444" s="295">
        <f t="shared" si="99"/>
        <v>14671.720228764661</v>
      </c>
      <c r="W444" s="295">
        <f t="shared" si="99"/>
        <v>14671.720228764661</v>
      </c>
      <c r="X444" s="295">
        <f t="shared" si="99"/>
        <v>14671.720228764661</v>
      </c>
      <c r="Y444" s="295">
        <f t="shared" si="99"/>
        <v>14671.720228764661</v>
      </c>
      <c r="Z444" s="295">
        <f t="shared" si="99"/>
        <v>14671.720228764661</v>
      </c>
      <c r="AA444" s="295">
        <f t="shared" si="99"/>
        <v>14671.720228764661</v>
      </c>
      <c r="AB444" s="295">
        <f t="shared" si="99"/>
        <v>14671.720228764661</v>
      </c>
      <c r="AC444" s="295">
        <f t="shared" si="99"/>
        <v>14671.720228764661</v>
      </c>
      <c r="AD444" s="295">
        <f t="shared" si="99"/>
        <v>14671.720228764661</v>
      </c>
      <c r="AE444" s="296">
        <f t="shared" si="99"/>
        <v>14671.720228764661</v>
      </c>
    </row>
    <row r="445" spans="1:31">
      <c r="A445" s="1711"/>
      <c r="B445" s="116">
        <v>15</v>
      </c>
      <c r="C445" s="294">
        <f t="shared" si="101"/>
        <v>14378.285824189368</v>
      </c>
      <c r="D445" s="295">
        <f t="shared" si="100"/>
        <v>14378.285824189368</v>
      </c>
      <c r="E445" s="295">
        <f t="shared" si="100"/>
        <v>14378.285824189368</v>
      </c>
      <c r="F445" s="295">
        <f t="shared" si="100"/>
        <v>14378.285824189368</v>
      </c>
      <c r="G445" s="295">
        <f t="shared" si="100"/>
        <v>14378.285824189368</v>
      </c>
      <c r="H445" s="295">
        <f t="shared" si="100"/>
        <v>14378.285824189368</v>
      </c>
      <c r="I445" s="295">
        <f t="shared" si="100"/>
        <v>14378.285824189368</v>
      </c>
      <c r="J445" s="295">
        <f t="shared" si="100"/>
        <v>14378.285824189368</v>
      </c>
      <c r="K445" s="295">
        <f t="shared" si="100"/>
        <v>14378.285824189368</v>
      </c>
      <c r="L445" s="295">
        <f t="shared" si="100"/>
        <v>14378.285824189368</v>
      </c>
      <c r="M445" s="295">
        <f t="shared" si="100"/>
        <v>14378.285824189368</v>
      </c>
      <c r="N445" s="295">
        <f t="shared" si="100"/>
        <v>14378.285824189368</v>
      </c>
      <c r="O445" s="295">
        <f t="shared" si="100"/>
        <v>14378.285824189368</v>
      </c>
      <c r="P445" s="295">
        <f t="shared" si="100"/>
        <v>14378.285824189368</v>
      </c>
      <c r="Q445" s="295">
        <f t="shared" si="100"/>
        <v>14378.285824189368</v>
      </c>
      <c r="R445" s="295">
        <f t="shared" si="100"/>
        <v>14378.285824189368</v>
      </c>
      <c r="S445" s="295">
        <f t="shared" si="100"/>
        <v>14378.285824189368</v>
      </c>
      <c r="T445" s="295">
        <f t="shared" si="99"/>
        <v>14378.285824189368</v>
      </c>
      <c r="U445" s="295">
        <f t="shared" si="99"/>
        <v>14378.285824189368</v>
      </c>
      <c r="V445" s="295">
        <f t="shared" si="99"/>
        <v>14378.285824189368</v>
      </c>
      <c r="W445" s="295">
        <f t="shared" si="99"/>
        <v>14378.285824189368</v>
      </c>
      <c r="X445" s="295">
        <f t="shared" si="99"/>
        <v>14378.285824189368</v>
      </c>
      <c r="Y445" s="295">
        <f t="shared" si="99"/>
        <v>14378.285824189368</v>
      </c>
      <c r="Z445" s="295">
        <f t="shared" si="99"/>
        <v>14378.285824189368</v>
      </c>
      <c r="AA445" s="295">
        <f t="shared" si="99"/>
        <v>14378.285824189368</v>
      </c>
      <c r="AB445" s="295">
        <f t="shared" si="99"/>
        <v>14378.285824189368</v>
      </c>
      <c r="AC445" s="295">
        <f t="shared" si="99"/>
        <v>14378.285824189368</v>
      </c>
      <c r="AD445" s="295">
        <f t="shared" si="99"/>
        <v>14378.285824189368</v>
      </c>
      <c r="AE445" s="296">
        <f t="shared" si="99"/>
        <v>14378.285824189368</v>
      </c>
    </row>
    <row r="446" spans="1:31">
      <c r="A446" s="1711"/>
      <c r="B446" s="116">
        <v>16</v>
      </c>
      <c r="C446" s="294">
        <f t="shared" si="101"/>
        <v>14090.72010770558</v>
      </c>
      <c r="D446" s="295">
        <f t="shared" si="100"/>
        <v>14090.72010770558</v>
      </c>
      <c r="E446" s="295">
        <f t="shared" si="100"/>
        <v>14090.72010770558</v>
      </c>
      <c r="F446" s="295">
        <f t="shared" si="100"/>
        <v>14090.72010770558</v>
      </c>
      <c r="G446" s="295">
        <f t="shared" si="100"/>
        <v>14090.72010770558</v>
      </c>
      <c r="H446" s="295">
        <f t="shared" si="100"/>
        <v>14090.72010770558</v>
      </c>
      <c r="I446" s="295">
        <f t="shared" si="100"/>
        <v>14090.72010770558</v>
      </c>
      <c r="J446" s="295">
        <f t="shared" si="100"/>
        <v>14090.72010770558</v>
      </c>
      <c r="K446" s="295">
        <f t="shared" si="100"/>
        <v>14090.72010770558</v>
      </c>
      <c r="L446" s="295">
        <f t="shared" si="100"/>
        <v>14090.72010770558</v>
      </c>
      <c r="M446" s="295">
        <f t="shared" si="100"/>
        <v>14090.72010770558</v>
      </c>
      <c r="N446" s="295">
        <f t="shared" si="100"/>
        <v>14090.72010770558</v>
      </c>
      <c r="O446" s="295">
        <f t="shared" si="100"/>
        <v>14090.72010770558</v>
      </c>
      <c r="P446" s="295">
        <f t="shared" si="100"/>
        <v>14090.72010770558</v>
      </c>
      <c r="Q446" s="295">
        <f t="shared" si="100"/>
        <v>14090.72010770558</v>
      </c>
      <c r="R446" s="295">
        <f t="shared" si="100"/>
        <v>14090.72010770558</v>
      </c>
      <c r="S446" s="295">
        <f t="shared" ref="S446:AE455" si="102">R446</f>
        <v>14090.72010770558</v>
      </c>
      <c r="T446" s="295">
        <f t="shared" si="102"/>
        <v>14090.72010770558</v>
      </c>
      <c r="U446" s="295">
        <f t="shared" si="102"/>
        <v>14090.72010770558</v>
      </c>
      <c r="V446" s="295">
        <f t="shared" si="102"/>
        <v>14090.72010770558</v>
      </c>
      <c r="W446" s="295">
        <f t="shared" si="102"/>
        <v>14090.72010770558</v>
      </c>
      <c r="X446" s="295">
        <f t="shared" si="102"/>
        <v>14090.72010770558</v>
      </c>
      <c r="Y446" s="295">
        <f t="shared" si="102"/>
        <v>14090.72010770558</v>
      </c>
      <c r="Z446" s="295">
        <f t="shared" si="102"/>
        <v>14090.72010770558</v>
      </c>
      <c r="AA446" s="295">
        <f t="shared" si="102"/>
        <v>14090.72010770558</v>
      </c>
      <c r="AB446" s="295">
        <f t="shared" si="102"/>
        <v>14090.72010770558</v>
      </c>
      <c r="AC446" s="295">
        <f t="shared" si="102"/>
        <v>14090.72010770558</v>
      </c>
      <c r="AD446" s="295">
        <f t="shared" si="102"/>
        <v>14090.72010770558</v>
      </c>
      <c r="AE446" s="296">
        <f t="shared" si="102"/>
        <v>14090.72010770558</v>
      </c>
    </row>
    <row r="447" spans="1:31">
      <c r="A447" s="1711"/>
      <c r="B447" s="116">
        <v>17</v>
      </c>
      <c r="C447" s="294">
        <f t="shared" si="101"/>
        <v>14090.72010770558</v>
      </c>
      <c r="D447" s="295">
        <f t="shared" ref="D447:S455" si="103">C447</f>
        <v>14090.72010770558</v>
      </c>
      <c r="E447" s="295">
        <f t="shared" si="103"/>
        <v>14090.72010770558</v>
      </c>
      <c r="F447" s="295">
        <f t="shared" si="103"/>
        <v>14090.72010770558</v>
      </c>
      <c r="G447" s="295">
        <f t="shared" si="103"/>
        <v>14090.72010770558</v>
      </c>
      <c r="H447" s="295">
        <f t="shared" si="103"/>
        <v>14090.72010770558</v>
      </c>
      <c r="I447" s="295">
        <f t="shared" si="103"/>
        <v>14090.72010770558</v>
      </c>
      <c r="J447" s="295">
        <f t="shared" si="103"/>
        <v>14090.72010770558</v>
      </c>
      <c r="K447" s="295">
        <f t="shared" si="103"/>
        <v>14090.72010770558</v>
      </c>
      <c r="L447" s="295">
        <f t="shared" si="103"/>
        <v>14090.72010770558</v>
      </c>
      <c r="M447" s="295">
        <f t="shared" si="103"/>
        <v>14090.72010770558</v>
      </c>
      <c r="N447" s="295">
        <f t="shared" si="103"/>
        <v>14090.72010770558</v>
      </c>
      <c r="O447" s="295">
        <f t="shared" si="103"/>
        <v>14090.72010770558</v>
      </c>
      <c r="P447" s="295">
        <f t="shared" si="103"/>
        <v>14090.72010770558</v>
      </c>
      <c r="Q447" s="295">
        <f t="shared" si="103"/>
        <v>14090.72010770558</v>
      </c>
      <c r="R447" s="295">
        <f t="shared" si="103"/>
        <v>14090.72010770558</v>
      </c>
      <c r="S447" s="295">
        <f t="shared" si="103"/>
        <v>14090.72010770558</v>
      </c>
      <c r="T447" s="295">
        <f t="shared" si="102"/>
        <v>14090.72010770558</v>
      </c>
      <c r="U447" s="295">
        <f t="shared" si="102"/>
        <v>14090.72010770558</v>
      </c>
      <c r="V447" s="295">
        <f t="shared" si="102"/>
        <v>14090.72010770558</v>
      </c>
      <c r="W447" s="295">
        <f t="shared" si="102"/>
        <v>14090.72010770558</v>
      </c>
      <c r="X447" s="295">
        <f t="shared" si="102"/>
        <v>14090.72010770558</v>
      </c>
      <c r="Y447" s="295">
        <f t="shared" si="102"/>
        <v>14090.72010770558</v>
      </c>
      <c r="Z447" s="295">
        <f t="shared" si="102"/>
        <v>14090.72010770558</v>
      </c>
      <c r="AA447" s="295">
        <f t="shared" si="102"/>
        <v>14090.72010770558</v>
      </c>
      <c r="AB447" s="295">
        <f t="shared" si="102"/>
        <v>14090.72010770558</v>
      </c>
      <c r="AC447" s="295">
        <f t="shared" si="102"/>
        <v>14090.72010770558</v>
      </c>
      <c r="AD447" s="295">
        <f t="shared" si="102"/>
        <v>14090.72010770558</v>
      </c>
      <c r="AE447" s="296">
        <f t="shared" si="102"/>
        <v>14090.72010770558</v>
      </c>
    </row>
    <row r="448" spans="1:31">
      <c r="A448" s="1711"/>
      <c r="B448" s="116">
        <v>18</v>
      </c>
      <c r="C448" s="294">
        <f t="shared" si="101"/>
        <v>14090.72010770558</v>
      </c>
      <c r="D448" s="295">
        <f t="shared" si="103"/>
        <v>14090.72010770558</v>
      </c>
      <c r="E448" s="295">
        <f t="shared" si="103"/>
        <v>14090.72010770558</v>
      </c>
      <c r="F448" s="295">
        <f t="shared" si="103"/>
        <v>14090.72010770558</v>
      </c>
      <c r="G448" s="295">
        <f t="shared" si="103"/>
        <v>14090.72010770558</v>
      </c>
      <c r="H448" s="295">
        <f t="shared" si="103"/>
        <v>14090.72010770558</v>
      </c>
      <c r="I448" s="295">
        <f t="shared" si="103"/>
        <v>14090.72010770558</v>
      </c>
      <c r="J448" s="295">
        <f t="shared" si="103"/>
        <v>14090.72010770558</v>
      </c>
      <c r="K448" s="295">
        <f t="shared" si="103"/>
        <v>14090.72010770558</v>
      </c>
      <c r="L448" s="295">
        <f t="shared" si="103"/>
        <v>14090.72010770558</v>
      </c>
      <c r="M448" s="295">
        <f t="shared" si="103"/>
        <v>14090.72010770558</v>
      </c>
      <c r="N448" s="295">
        <f t="shared" si="103"/>
        <v>14090.72010770558</v>
      </c>
      <c r="O448" s="295">
        <f t="shared" si="103"/>
        <v>14090.72010770558</v>
      </c>
      <c r="P448" s="295">
        <f t="shared" si="103"/>
        <v>14090.72010770558</v>
      </c>
      <c r="Q448" s="295">
        <f t="shared" si="103"/>
        <v>14090.72010770558</v>
      </c>
      <c r="R448" s="295">
        <f t="shared" si="103"/>
        <v>14090.72010770558</v>
      </c>
      <c r="S448" s="295">
        <f t="shared" si="103"/>
        <v>14090.72010770558</v>
      </c>
      <c r="T448" s="295">
        <f t="shared" si="102"/>
        <v>14090.72010770558</v>
      </c>
      <c r="U448" s="295">
        <f t="shared" si="102"/>
        <v>14090.72010770558</v>
      </c>
      <c r="V448" s="295">
        <f t="shared" si="102"/>
        <v>14090.72010770558</v>
      </c>
      <c r="W448" s="295">
        <f t="shared" si="102"/>
        <v>14090.72010770558</v>
      </c>
      <c r="X448" s="295">
        <f t="shared" si="102"/>
        <v>14090.72010770558</v>
      </c>
      <c r="Y448" s="295">
        <f t="shared" si="102"/>
        <v>14090.72010770558</v>
      </c>
      <c r="Z448" s="295">
        <f t="shared" si="102"/>
        <v>14090.72010770558</v>
      </c>
      <c r="AA448" s="295">
        <f t="shared" si="102"/>
        <v>14090.72010770558</v>
      </c>
      <c r="AB448" s="295">
        <f t="shared" si="102"/>
        <v>14090.72010770558</v>
      </c>
      <c r="AC448" s="295">
        <f t="shared" si="102"/>
        <v>14090.72010770558</v>
      </c>
      <c r="AD448" s="295">
        <f t="shared" si="102"/>
        <v>14090.72010770558</v>
      </c>
      <c r="AE448" s="296">
        <f t="shared" si="102"/>
        <v>14090.72010770558</v>
      </c>
    </row>
    <row r="449" spans="1:31">
      <c r="A449" s="1711"/>
      <c r="B449" s="116">
        <v>19</v>
      </c>
      <c r="C449" s="294">
        <f t="shared" si="101"/>
        <v>14090.72010770558</v>
      </c>
      <c r="D449" s="295">
        <f t="shared" si="103"/>
        <v>14090.72010770558</v>
      </c>
      <c r="E449" s="295">
        <f t="shared" si="103"/>
        <v>14090.72010770558</v>
      </c>
      <c r="F449" s="295">
        <f t="shared" si="103"/>
        <v>14090.72010770558</v>
      </c>
      <c r="G449" s="295">
        <f t="shared" si="103"/>
        <v>14090.72010770558</v>
      </c>
      <c r="H449" s="295">
        <f t="shared" si="103"/>
        <v>14090.72010770558</v>
      </c>
      <c r="I449" s="295">
        <f t="shared" si="103"/>
        <v>14090.72010770558</v>
      </c>
      <c r="J449" s="295">
        <f t="shared" si="103"/>
        <v>14090.72010770558</v>
      </c>
      <c r="K449" s="295">
        <f t="shared" si="103"/>
        <v>14090.72010770558</v>
      </c>
      <c r="L449" s="295">
        <f t="shared" si="103"/>
        <v>14090.72010770558</v>
      </c>
      <c r="M449" s="295">
        <f t="shared" si="103"/>
        <v>14090.72010770558</v>
      </c>
      <c r="N449" s="295">
        <f t="shared" si="103"/>
        <v>14090.72010770558</v>
      </c>
      <c r="O449" s="295">
        <f t="shared" si="103"/>
        <v>14090.72010770558</v>
      </c>
      <c r="P449" s="295">
        <f t="shared" si="103"/>
        <v>14090.72010770558</v>
      </c>
      <c r="Q449" s="295">
        <f t="shared" si="103"/>
        <v>14090.72010770558</v>
      </c>
      <c r="R449" s="295">
        <f t="shared" si="103"/>
        <v>14090.72010770558</v>
      </c>
      <c r="S449" s="295">
        <f t="shared" si="103"/>
        <v>14090.72010770558</v>
      </c>
      <c r="T449" s="295">
        <f t="shared" si="102"/>
        <v>14090.72010770558</v>
      </c>
      <c r="U449" s="295">
        <f t="shared" si="102"/>
        <v>14090.72010770558</v>
      </c>
      <c r="V449" s="295">
        <f t="shared" si="102"/>
        <v>14090.72010770558</v>
      </c>
      <c r="W449" s="295">
        <f t="shared" si="102"/>
        <v>14090.72010770558</v>
      </c>
      <c r="X449" s="295">
        <f t="shared" si="102"/>
        <v>14090.72010770558</v>
      </c>
      <c r="Y449" s="295">
        <f t="shared" si="102"/>
        <v>14090.72010770558</v>
      </c>
      <c r="Z449" s="295">
        <f t="shared" si="102"/>
        <v>14090.72010770558</v>
      </c>
      <c r="AA449" s="295">
        <f t="shared" si="102"/>
        <v>14090.72010770558</v>
      </c>
      <c r="AB449" s="295">
        <f t="shared" si="102"/>
        <v>14090.72010770558</v>
      </c>
      <c r="AC449" s="295">
        <f t="shared" si="102"/>
        <v>14090.72010770558</v>
      </c>
      <c r="AD449" s="295">
        <f t="shared" si="102"/>
        <v>14090.72010770558</v>
      </c>
      <c r="AE449" s="296">
        <f t="shared" si="102"/>
        <v>14090.72010770558</v>
      </c>
    </row>
    <row r="450" spans="1:31">
      <c r="A450" s="1711"/>
      <c r="B450" s="116">
        <v>20</v>
      </c>
      <c r="C450" s="294">
        <f t="shared" si="101"/>
        <v>14090.72010770558</v>
      </c>
      <c r="D450" s="295">
        <f t="shared" si="103"/>
        <v>14090.72010770558</v>
      </c>
      <c r="E450" s="295">
        <f t="shared" si="103"/>
        <v>14090.72010770558</v>
      </c>
      <c r="F450" s="295">
        <f t="shared" si="103"/>
        <v>14090.72010770558</v>
      </c>
      <c r="G450" s="295">
        <f t="shared" si="103"/>
        <v>14090.72010770558</v>
      </c>
      <c r="H450" s="295">
        <f t="shared" si="103"/>
        <v>14090.72010770558</v>
      </c>
      <c r="I450" s="295">
        <f t="shared" si="103"/>
        <v>14090.72010770558</v>
      </c>
      <c r="J450" s="295">
        <f t="shared" si="103"/>
        <v>14090.72010770558</v>
      </c>
      <c r="K450" s="295">
        <f t="shared" si="103"/>
        <v>14090.72010770558</v>
      </c>
      <c r="L450" s="295">
        <f t="shared" si="103"/>
        <v>14090.72010770558</v>
      </c>
      <c r="M450" s="295">
        <f t="shared" si="103"/>
        <v>14090.72010770558</v>
      </c>
      <c r="N450" s="295">
        <f t="shared" si="103"/>
        <v>14090.72010770558</v>
      </c>
      <c r="O450" s="295">
        <f t="shared" si="103"/>
        <v>14090.72010770558</v>
      </c>
      <c r="P450" s="295">
        <f t="shared" si="103"/>
        <v>14090.72010770558</v>
      </c>
      <c r="Q450" s="295">
        <f t="shared" si="103"/>
        <v>14090.72010770558</v>
      </c>
      <c r="R450" s="295">
        <f t="shared" si="103"/>
        <v>14090.72010770558</v>
      </c>
      <c r="S450" s="295">
        <f t="shared" si="103"/>
        <v>14090.72010770558</v>
      </c>
      <c r="T450" s="295">
        <f t="shared" si="102"/>
        <v>14090.72010770558</v>
      </c>
      <c r="U450" s="295">
        <f t="shared" si="102"/>
        <v>14090.72010770558</v>
      </c>
      <c r="V450" s="295">
        <f t="shared" si="102"/>
        <v>14090.72010770558</v>
      </c>
      <c r="W450" s="295">
        <f t="shared" si="102"/>
        <v>14090.72010770558</v>
      </c>
      <c r="X450" s="295">
        <f t="shared" si="102"/>
        <v>14090.72010770558</v>
      </c>
      <c r="Y450" s="295">
        <f t="shared" si="102"/>
        <v>14090.72010770558</v>
      </c>
      <c r="Z450" s="295">
        <f t="shared" si="102"/>
        <v>14090.72010770558</v>
      </c>
      <c r="AA450" s="295">
        <f t="shared" si="102"/>
        <v>14090.72010770558</v>
      </c>
      <c r="AB450" s="295">
        <f t="shared" si="102"/>
        <v>14090.72010770558</v>
      </c>
      <c r="AC450" s="295">
        <f t="shared" si="102"/>
        <v>14090.72010770558</v>
      </c>
      <c r="AD450" s="295">
        <f t="shared" si="102"/>
        <v>14090.72010770558</v>
      </c>
      <c r="AE450" s="296">
        <f t="shared" si="102"/>
        <v>14090.72010770558</v>
      </c>
    </row>
    <row r="451" spans="1:31">
      <c r="A451" s="1711"/>
      <c r="B451" s="116">
        <v>21</v>
      </c>
      <c r="C451" s="294">
        <f t="shared" si="101"/>
        <v>14090.72010770558</v>
      </c>
      <c r="D451" s="295">
        <f t="shared" si="103"/>
        <v>14090.72010770558</v>
      </c>
      <c r="E451" s="295">
        <f t="shared" si="103"/>
        <v>14090.72010770558</v>
      </c>
      <c r="F451" s="295">
        <f t="shared" si="103"/>
        <v>14090.72010770558</v>
      </c>
      <c r="G451" s="295">
        <f t="shared" si="103"/>
        <v>14090.72010770558</v>
      </c>
      <c r="H451" s="295">
        <f t="shared" si="103"/>
        <v>14090.72010770558</v>
      </c>
      <c r="I451" s="295">
        <f t="shared" si="103"/>
        <v>14090.72010770558</v>
      </c>
      <c r="J451" s="295">
        <f t="shared" si="103"/>
        <v>14090.72010770558</v>
      </c>
      <c r="K451" s="295">
        <f t="shared" si="103"/>
        <v>14090.72010770558</v>
      </c>
      <c r="L451" s="295">
        <f t="shared" si="103"/>
        <v>14090.72010770558</v>
      </c>
      <c r="M451" s="295">
        <f t="shared" si="103"/>
        <v>14090.72010770558</v>
      </c>
      <c r="N451" s="295">
        <f t="shared" si="103"/>
        <v>14090.72010770558</v>
      </c>
      <c r="O451" s="295">
        <f t="shared" si="103"/>
        <v>14090.72010770558</v>
      </c>
      <c r="P451" s="295">
        <f t="shared" si="103"/>
        <v>14090.72010770558</v>
      </c>
      <c r="Q451" s="295">
        <f t="shared" si="103"/>
        <v>14090.72010770558</v>
      </c>
      <c r="R451" s="295">
        <f t="shared" si="103"/>
        <v>14090.72010770558</v>
      </c>
      <c r="S451" s="295">
        <f t="shared" si="103"/>
        <v>14090.72010770558</v>
      </c>
      <c r="T451" s="295">
        <f t="shared" si="102"/>
        <v>14090.72010770558</v>
      </c>
      <c r="U451" s="295">
        <f t="shared" si="102"/>
        <v>14090.72010770558</v>
      </c>
      <c r="V451" s="295">
        <f t="shared" si="102"/>
        <v>14090.72010770558</v>
      </c>
      <c r="W451" s="295">
        <f t="shared" si="102"/>
        <v>14090.72010770558</v>
      </c>
      <c r="X451" s="295">
        <f t="shared" si="102"/>
        <v>14090.72010770558</v>
      </c>
      <c r="Y451" s="295">
        <f t="shared" si="102"/>
        <v>14090.72010770558</v>
      </c>
      <c r="Z451" s="295">
        <f t="shared" si="102"/>
        <v>14090.72010770558</v>
      </c>
      <c r="AA451" s="295">
        <f t="shared" si="102"/>
        <v>14090.72010770558</v>
      </c>
      <c r="AB451" s="295">
        <f t="shared" si="102"/>
        <v>14090.72010770558</v>
      </c>
      <c r="AC451" s="295">
        <f t="shared" si="102"/>
        <v>14090.72010770558</v>
      </c>
      <c r="AD451" s="295">
        <f t="shared" si="102"/>
        <v>14090.72010770558</v>
      </c>
      <c r="AE451" s="296">
        <f t="shared" si="102"/>
        <v>14090.72010770558</v>
      </c>
    </row>
    <row r="452" spans="1:31">
      <c r="A452" s="1711"/>
      <c r="B452" s="116">
        <v>22</v>
      </c>
      <c r="C452" s="294">
        <f t="shared" si="101"/>
        <v>14090.72010770558</v>
      </c>
      <c r="D452" s="295">
        <f t="shared" si="103"/>
        <v>14090.72010770558</v>
      </c>
      <c r="E452" s="295">
        <f t="shared" si="103"/>
        <v>14090.72010770558</v>
      </c>
      <c r="F452" s="295">
        <f t="shared" si="103"/>
        <v>14090.72010770558</v>
      </c>
      <c r="G452" s="295">
        <f t="shared" si="103"/>
        <v>14090.72010770558</v>
      </c>
      <c r="H452" s="295">
        <f t="shared" si="103"/>
        <v>14090.72010770558</v>
      </c>
      <c r="I452" s="295">
        <f t="shared" si="103"/>
        <v>14090.72010770558</v>
      </c>
      <c r="J452" s="295">
        <f t="shared" si="103"/>
        <v>14090.72010770558</v>
      </c>
      <c r="K452" s="295">
        <f t="shared" si="103"/>
        <v>14090.72010770558</v>
      </c>
      <c r="L452" s="295">
        <f t="shared" si="103"/>
        <v>14090.72010770558</v>
      </c>
      <c r="M452" s="295">
        <f t="shared" si="103"/>
        <v>14090.72010770558</v>
      </c>
      <c r="N452" s="295">
        <f t="shared" si="103"/>
        <v>14090.72010770558</v>
      </c>
      <c r="O452" s="295">
        <f t="shared" si="103"/>
        <v>14090.72010770558</v>
      </c>
      <c r="P452" s="295">
        <f t="shared" si="103"/>
        <v>14090.72010770558</v>
      </c>
      <c r="Q452" s="295">
        <f t="shared" si="103"/>
        <v>14090.72010770558</v>
      </c>
      <c r="R452" s="295">
        <f t="shared" si="103"/>
        <v>14090.72010770558</v>
      </c>
      <c r="S452" s="295">
        <f t="shared" si="103"/>
        <v>14090.72010770558</v>
      </c>
      <c r="T452" s="295">
        <f t="shared" si="102"/>
        <v>14090.72010770558</v>
      </c>
      <c r="U452" s="295">
        <f t="shared" si="102"/>
        <v>14090.72010770558</v>
      </c>
      <c r="V452" s="295">
        <f t="shared" si="102"/>
        <v>14090.72010770558</v>
      </c>
      <c r="W452" s="295">
        <f t="shared" si="102"/>
        <v>14090.72010770558</v>
      </c>
      <c r="X452" s="295">
        <f t="shared" si="102"/>
        <v>14090.72010770558</v>
      </c>
      <c r="Y452" s="295">
        <f t="shared" si="102"/>
        <v>14090.72010770558</v>
      </c>
      <c r="Z452" s="295">
        <f t="shared" si="102"/>
        <v>14090.72010770558</v>
      </c>
      <c r="AA452" s="295">
        <f t="shared" si="102"/>
        <v>14090.72010770558</v>
      </c>
      <c r="AB452" s="295">
        <f t="shared" si="102"/>
        <v>14090.72010770558</v>
      </c>
      <c r="AC452" s="295">
        <f t="shared" si="102"/>
        <v>14090.72010770558</v>
      </c>
      <c r="AD452" s="295">
        <f t="shared" si="102"/>
        <v>14090.72010770558</v>
      </c>
      <c r="AE452" s="296">
        <f t="shared" si="102"/>
        <v>14090.72010770558</v>
      </c>
    </row>
    <row r="453" spans="1:31">
      <c r="A453" s="1711"/>
      <c r="B453" s="116">
        <v>23</v>
      </c>
      <c r="C453" s="294">
        <f t="shared" si="101"/>
        <v>14090.72010770558</v>
      </c>
      <c r="D453" s="295">
        <f t="shared" si="103"/>
        <v>14090.72010770558</v>
      </c>
      <c r="E453" s="295">
        <f t="shared" si="103"/>
        <v>14090.72010770558</v>
      </c>
      <c r="F453" s="295">
        <f t="shared" si="103"/>
        <v>14090.72010770558</v>
      </c>
      <c r="G453" s="295">
        <f t="shared" si="103"/>
        <v>14090.72010770558</v>
      </c>
      <c r="H453" s="295">
        <f t="shared" si="103"/>
        <v>14090.72010770558</v>
      </c>
      <c r="I453" s="295">
        <f t="shared" si="103"/>
        <v>14090.72010770558</v>
      </c>
      <c r="J453" s="295">
        <f t="shared" si="103"/>
        <v>14090.72010770558</v>
      </c>
      <c r="K453" s="295">
        <f t="shared" si="103"/>
        <v>14090.72010770558</v>
      </c>
      <c r="L453" s="295">
        <f t="shared" si="103"/>
        <v>14090.72010770558</v>
      </c>
      <c r="M453" s="295">
        <f t="shared" si="103"/>
        <v>14090.72010770558</v>
      </c>
      <c r="N453" s="295">
        <f t="shared" si="103"/>
        <v>14090.72010770558</v>
      </c>
      <c r="O453" s="295">
        <f t="shared" si="103"/>
        <v>14090.72010770558</v>
      </c>
      <c r="P453" s="295">
        <f t="shared" si="103"/>
        <v>14090.72010770558</v>
      </c>
      <c r="Q453" s="295">
        <f t="shared" si="103"/>
        <v>14090.72010770558</v>
      </c>
      <c r="R453" s="295">
        <f t="shared" si="103"/>
        <v>14090.72010770558</v>
      </c>
      <c r="S453" s="295">
        <f t="shared" si="103"/>
        <v>14090.72010770558</v>
      </c>
      <c r="T453" s="295">
        <f t="shared" si="102"/>
        <v>14090.72010770558</v>
      </c>
      <c r="U453" s="295">
        <f t="shared" si="102"/>
        <v>14090.72010770558</v>
      </c>
      <c r="V453" s="295">
        <f t="shared" si="102"/>
        <v>14090.72010770558</v>
      </c>
      <c r="W453" s="295">
        <f t="shared" si="102"/>
        <v>14090.72010770558</v>
      </c>
      <c r="X453" s="295">
        <f t="shared" si="102"/>
        <v>14090.72010770558</v>
      </c>
      <c r="Y453" s="295">
        <f t="shared" si="102"/>
        <v>14090.72010770558</v>
      </c>
      <c r="Z453" s="295">
        <f t="shared" si="102"/>
        <v>14090.72010770558</v>
      </c>
      <c r="AA453" s="295">
        <f t="shared" si="102"/>
        <v>14090.72010770558</v>
      </c>
      <c r="AB453" s="295">
        <f t="shared" si="102"/>
        <v>14090.72010770558</v>
      </c>
      <c r="AC453" s="295">
        <f t="shared" si="102"/>
        <v>14090.72010770558</v>
      </c>
      <c r="AD453" s="295">
        <f t="shared" si="102"/>
        <v>14090.72010770558</v>
      </c>
      <c r="AE453" s="296">
        <f t="shared" si="102"/>
        <v>14090.72010770558</v>
      </c>
    </row>
    <row r="454" spans="1:31">
      <c r="A454" s="1711"/>
      <c r="B454" s="116">
        <v>24</v>
      </c>
      <c r="C454" s="294">
        <f t="shared" si="101"/>
        <v>14090.72010770558</v>
      </c>
      <c r="D454" s="295">
        <f t="shared" si="103"/>
        <v>14090.72010770558</v>
      </c>
      <c r="E454" s="295">
        <f t="shared" si="103"/>
        <v>14090.72010770558</v>
      </c>
      <c r="F454" s="295">
        <f t="shared" si="103"/>
        <v>14090.72010770558</v>
      </c>
      <c r="G454" s="295">
        <f t="shared" si="103"/>
        <v>14090.72010770558</v>
      </c>
      <c r="H454" s="295">
        <f t="shared" si="103"/>
        <v>14090.72010770558</v>
      </c>
      <c r="I454" s="295">
        <f t="shared" si="103"/>
        <v>14090.72010770558</v>
      </c>
      <c r="J454" s="295">
        <f t="shared" si="103"/>
        <v>14090.72010770558</v>
      </c>
      <c r="K454" s="295">
        <f t="shared" si="103"/>
        <v>14090.72010770558</v>
      </c>
      <c r="L454" s="295">
        <f t="shared" si="103"/>
        <v>14090.72010770558</v>
      </c>
      <c r="M454" s="295">
        <f t="shared" si="103"/>
        <v>14090.72010770558</v>
      </c>
      <c r="N454" s="295">
        <f t="shared" si="103"/>
        <v>14090.72010770558</v>
      </c>
      <c r="O454" s="295">
        <f t="shared" si="103"/>
        <v>14090.72010770558</v>
      </c>
      <c r="P454" s="295">
        <f t="shared" si="103"/>
        <v>14090.72010770558</v>
      </c>
      <c r="Q454" s="295">
        <f t="shared" si="103"/>
        <v>14090.72010770558</v>
      </c>
      <c r="R454" s="295">
        <f t="shared" si="103"/>
        <v>14090.72010770558</v>
      </c>
      <c r="S454" s="295">
        <f t="shared" si="103"/>
        <v>14090.72010770558</v>
      </c>
      <c r="T454" s="295">
        <f t="shared" si="102"/>
        <v>14090.72010770558</v>
      </c>
      <c r="U454" s="295">
        <f t="shared" si="102"/>
        <v>14090.72010770558</v>
      </c>
      <c r="V454" s="295">
        <f t="shared" si="102"/>
        <v>14090.72010770558</v>
      </c>
      <c r="W454" s="295">
        <f t="shared" si="102"/>
        <v>14090.72010770558</v>
      </c>
      <c r="X454" s="295">
        <f t="shared" si="102"/>
        <v>14090.72010770558</v>
      </c>
      <c r="Y454" s="295">
        <f t="shared" si="102"/>
        <v>14090.72010770558</v>
      </c>
      <c r="Z454" s="295">
        <f t="shared" si="102"/>
        <v>14090.72010770558</v>
      </c>
      <c r="AA454" s="295">
        <f t="shared" si="102"/>
        <v>14090.72010770558</v>
      </c>
      <c r="AB454" s="295">
        <f t="shared" si="102"/>
        <v>14090.72010770558</v>
      </c>
      <c r="AC454" s="295">
        <f t="shared" si="102"/>
        <v>14090.72010770558</v>
      </c>
      <c r="AD454" s="295">
        <f t="shared" si="102"/>
        <v>14090.72010770558</v>
      </c>
      <c r="AE454" s="296">
        <f t="shared" si="102"/>
        <v>14090.72010770558</v>
      </c>
    </row>
    <row r="455" spans="1:31" ht="15.75" thickBot="1">
      <c r="A455" s="1711"/>
      <c r="B455" s="116">
        <v>25</v>
      </c>
      <c r="C455" s="297">
        <f t="shared" si="101"/>
        <v>14090.72010770558</v>
      </c>
      <c r="D455" s="298">
        <f t="shared" si="103"/>
        <v>14090.72010770558</v>
      </c>
      <c r="E455" s="298">
        <f t="shared" si="103"/>
        <v>14090.72010770558</v>
      </c>
      <c r="F455" s="298">
        <f t="shared" si="103"/>
        <v>14090.72010770558</v>
      </c>
      <c r="G455" s="298">
        <f t="shared" si="103"/>
        <v>14090.72010770558</v>
      </c>
      <c r="H455" s="298">
        <f t="shared" si="103"/>
        <v>14090.72010770558</v>
      </c>
      <c r="I455" s="298">
        <f t="shared" si="103"/>
        <v>14090.72010770558</v>
      </c>
      <c r="J455" s="298">
        <f t="shared" si="103"/>
        <v>14090.72010770558</v>
      </c>
      <c r="K455" s="298">
        <f t="shared" si="103"/>
        <v>14090.72010770558</v>
      </c>
      <c r="L455" s="298">
        <f t="shared" si="103"/>
        <v>14090.72010770558</v>
      </c>
      <c r="M455" s="298">
        <f t="shared" si="103"/>
        <v>14090.72010770558</v>
      </c>
      <c r="N455" s="298">
        <f t="shared" si="103"/>
        <v>14090.72010770558</v>
      </c>
      <c r="O455" s="298">
        <f t="shared" si="103"/>
        <v>14090.72010770558</v>
      </c>
      <c r="P455" s="298">
        <f t="shared" si="103"/>
        <v>14090.72010770558</v>
      </c>
      <c r="Q455" s="298">
        <f t="shared" si="103"/>
        <v>14090.72010770558</v>
      </c>
      <c r="R455" s="298">
        <f t="shared" si="103"/>
        <v>14090.72010770558</v>
      </c>
      <c r="S455" s="298">
        <f t="shared" si="103"/>
        <v>14090.72010770558</v>
      </c>
      <c r="T455" s="298">
        <f t="shared" si="102"/>
        <v>14090.72010770558</v>
      </c>
      <c r="U455" s="298">
        <f t="shared" si="102"/>
        <v>14090.72010770558</v>
      </c>
      <c r="V455" s="298">
        <f t="shared" si="102"/>
        <v>14090.72010770558</v>
      </c>
      <c r="W455" s="298">
        <f t="shared" si="102"/>
        <v>14090.72010770558</v>
      </c>
      <c r="X455" s="298">
        <f t="shared" si="102"/>
        <v>14090.72010770558</v>
      </c>
      <c r="Y455" s="298">
        <f t="shared" si="102"/>
        <v>14090.72010770558</v>
      </c>
      <c r="Z455" s="298">
        <f t="shared" si="102"/>
        <v>14090.72010770558</v>
      </c>
      <c r="AA455" s="298">
        <f t="shared" si="102"/>
        <v>14090.72010770558</v>
      </c>
      <c r="AB455" s="298">
        <f t="shared" si="102"/>
        <v>14090.72010770558</v>
      </c>
      <c r="AC455" s="298">
        <f t="shared" si="102"/>
        <v>14090.72010770558</v>
      </c>
      <c r="AD455" s="298">
        <f t="shared" si="102"/>
        <v>14090.72010770558</v>
      </c>
      <c r="AE455" s="299">
        <f t="shared" si="102"/>
        <v>14090.72010770558</v>
      </c>
    </row>
    <row r="456" spans="1:31" ht="16.5" thickTop="1" thickBot="1">
      <c r="A456" s="1712"/>
      <c r="B456" s="300" t="s">
        <v>39</v>
      </c>
      <c r="C456" s="461">
        <f>IF('CAR Stock'!C485=0,0,SUMPRODUCT(C430:C455,'CAR Stock'!C459:C484)/'CAR Stock'!C485)</f>
        <v>19068.505885920731</v>
      </c>
      <c r="D456" s="461">
        <f>IF('CAR Stock'!D485=0,0,SUMPRODUCT(D430:D455,'CAR Stock'!D459:D484)/'CAR Stock'!D485)</f>
        <v>18687.135768202319</v>
      </c>
      <c r="E456" s="461">
        <f>IF('CAR Stock'!E485=0,0,SUMPRODUCT(E430:E455,'CAR Stock'!E459:E484)/'CAR Stock'!E485)</f>
        <v>18313.393052838273</v>
      </c>
      <c r="F456" s="461">
        <f>IF('CAR Stock'!F485=0,0,SUMPRODUCT(F430:F455,'CAR Stock'!F459:F484)/'CAR Stock'!F485)</f>
        <v>17947.125191781506</v>
      </c>
      <c r="G456" s="461">
        <f>IF('CAR Stock'!G485=0,0,SUMPRODUCT(G430:G455,'CAR Stock'!G459:G484)/'CAR Stock'!G485)</f>
        <v>17588.186840616898</v>
      </c>
      <c r="H456" s="461">
        <f>IF('CAR Stock'!H485=0,0,SUMPRODUCT(H430:H455,'CAR Stock'!H459:H484)/'CAR Stock'!H485)</f>
        <v>17236.576684350377</v>
      </c>
      <c r="I456" s="461">
        <f>IF('CAR Stock'!I485=0,0,SUMPRODUCT(I430:I455,'CAR Stock'!I459:I484)/'CAR Stock'!I485)</f>
        <v>16893.667595305516</v>
      </c>
      <c r="J456" s="461">
        <f>IF('CAR Stock'!J485=0,0,SUMPRODUCT(J430:J455,'CAR Stock'!J459:J484)/'CAR Stock'!J485)</f>
        <v>16564.858144219328</v>
      </c>
      <c r="K456" s="461">
        <f>IF('CAR Stock'!K485=0,0,SUMPRODUCT(K430:K455,'CAR Stock'!K459:K484)/'CAR Stock'!K485)</f>
        <v>16254.074939733509</v>
      </c>
      <c r="L456" s="461">
        <f>IF('CAR Stock'!L485=0,0,SUMPRODUCT(L430:L455,'CAR Stock'!L459:L484)/'CAR Stock'!L485)</f>
        <v>15959.445367265473</v>
      </c>
      <c r="M456" s="461">
        <f>IF('CAR Stock'!M485=0,0,SUMPRODUCT(M430:M455,'CAR Stock'!M459:M484)/'CAR Stock'!M485)</f>
        <v>15679.19957966997</v>
      </c>
      <c r="N456" s="461">
        <f>IF('CAR Stock'!N485=0,0,SUMPRODUCT(N430:N455,'CAR Stock'!N459:N484)/'CAR Stock'!N485)</f>
        <v>15408.166964898362</v>
      </c>
      <c r="O456" s="461">
        <f>IF('CAR Stock'!O485=0,0,SUMPRODUCT(O430:O455,'CAR Stock'!O459:O484)/'CAR Stock'!O485)</f>
        <v>15139.725608186303</v>
      </c>
      <c r="P456" s="461">
        <f>IF('CAR Stock'!P485=0,0,SUMPRODUCT(P430:P455,'CAR Stock'!P459:P484)/'CAR Stock'!P485)</f>
        <v>14871.707157304769</v>
      </c>
      <c r="Q456" s="461">
        <f>IF('CAR Stock'!Q485=0,0,SUMPRODUCT(Q430:Q455,'CAR Stock'!Q459:Q484)/'CAR Stock'!Q485)</f>
        <v>14597.64823369929</v>
      </c>
      <c r="R456" s="461">
        <f>IF('CAR Stock'!R485=0,0,SUMPRODUCT(R430:R455,'CAR Stock'!R459:R484)/'CAR Stock'!R485)</f>
        <v>14324.650926215032</v>
      </c>
      <c r="S456" s="461">
        <f>IF('CAR Stock'!S485=0,0,SUMPRODUCT(S430:S455,'CAR Stock'!S459:S484)/'CAR Stock'!S485)</f>
        <v>14090.720107705583</v>
      </c>
      <c r="T456" s="461">
        <f>IF('CAR Stock'!T485=0,0,SUMPRODUCT(T430:T455,'CAR Stock'!T459:T484)/'CAR Stock'!T485)</f>
        <v>14090.72010770558</v>
      </c>
      <c r="U456" s="461">
        <f>IF('CAR Stock'!U485=0,0,SUMPRODUCT(U430:U455,'CAR Stock'!U459:U484)/'CAR Stock'!U485)</f>
        <v>14090.72010770558</v>
      </c>
      <c r="V456" s="461">
        <f>IF('CAR Stock'!V485=0,0,SUMPRODUCT(V430:V455,'CAR Stock'!V459:V484)/'CAR Stock'!V485)</f>
        <v>14090.72010770558</v>
      </c>
      <c r="W456" s="461">
        <f>IF('CAR Stock'!W485=0,0,SUMPRODUCT(W430:W455,'CAR Stock'!W459:W484)/'CAR Stock'!W485)</f>
        <v>14090.72010770558</v>
      </c>
      <c r="X456" s="461">
        <f>IF('CAR Stock'!X485=0,0,SUMPRODUCT(X430:X455,'CAR Stock'!X459:X484)/'CAR Stock'!X485)</f>
        <v>14090.72010770558</v>
      </c>
      <c r="Y456" s="461">
        <f>IF('CAR Stock'!Y485=0,0,SUMPRODUCT(Y430:Y455,'CAR Stock'!Y459:Y484)/'CAR Stock'!Y485)</f>
        <v>14090.720107705582</v>
      </c>
      <c r="Z456" s="461">
        <f>IF('CAR Stock'!Z485=0,0,SUMPRODUCT(Z430:Z455,'CAR Stock'!Z459:Z484)/'CAR Stock'!Z485)</f>
        <v>14090.720107705578</v>
      </c>
      <c r="AA456" s="461">
        <f>IF('CAR Stock'!AA485=0,0,SUMPRODUCT(AA430:AA455,'CAR Stock'!AA459:AA484)/'CAR Stock'!AA485)</f>
        <v>14090.72010770558</v>
      </c>
      <c r="AB456" s="461">
        <f>IF('CAR Stock'!AB485=0,0,SUMPRODUCT(AB430:AB455,'CAR Stock'!AB459:AB484)/'CAR Stock'!AB485)</f>
        <v>0</v>
      </c>
      <c r="AC456" s="461">
        <f>IF('CAR Stock'!AC485=0,0,SUMPRODUCT(AC430:AC455,'CAR Stock'!AC459:AC484)/'CAR Stock'!AC485)</f>
        <v>0</v>
      </c>
      <c r="AD456" s="461">
        <f>IF('CAR Stock'!AD485=0,0,SUMPRODUCT(AD430:AD455,'CAR Stock'!AD459:AD484)/'CAR Stock'!AD485)</f>
        <v>0</v>
      </c>
      <c r="AE456" s="462">
        <f>IF('CAR Stock'!AE485=0,0,SUMPRODUCT(AE430:AE455,'CAR Stock'!AE459:AE484)/'CAR Stock'!AE485)</f>
        <v>0</v>
      </c>
    </row>
    <row r="457" spans="1:31" ht="15.75" thickBot="1"/>
    <row r="458" spans="1:31" ht="15.75" thickBot="1">
      <c r="A458" s="1710" t="s">
        <v>56</v>
      </c>
      <c r="B458" s="169" t="s">
        <v>10</v>
      </c>
      <c r="C458" s="288">
        <f t="shared" si="101"/>
        <v>2012</v>
      </c>
      <c r="D458" s="289">
        <v>2013</v>
      </c>
      <c r="E458" s="289">
        <v>2014</v>
      </c>
      <c r="F458" s="289">
        <v>2015</v>
      </c>
      <c r="G458" s="288">
        <v>2016</v>
      </c>
      <c r="H458" s="289">
        <v>2017</v>
      </c>
      <c r="I458" s="289">
        <v>2018</v>
      </c>
      <c r="J458" s="289">
        <v>2019</v>
      </c>
      <c r="K458" s="288">
        <v>2020</v>
      </c>
      <c r="L458" s="289">
        <v>2021</v>
      </c>
      <c r="M458" s="289">
        <v>2022</v>
      </c>
      <c r="N458" s="289">
        <v>2023</v>
      </c>
      <c r="O458" s="288">
        <v>2024</v>
      </c>
      <c r="P458" s="289">
        <v>2025</v>
      </c>
      <c r="Q458" s="289">
        <v>2026</v>
      </c>
      <c r="R458" s="289">
        <v>2027</v>
      </c>
      <c r="S458" s="288">
        <v>2028</v>
      </c>
      <c r="T458" s="289">
        <v>2029</v>
      </c>
      <c r="U458" s="289">
        <v>2030</v>
      </c>
      <c r="V458" s="289">
        <v>2031</v>
      </c>
      <c r="W458" s="288">
        <v>2032</v>
      </c>
      <c r="X458" s="289">
        <v>2033</v>
      </c>
      <c r="Y458" s="289">
        <v>2034</v>
      </c>
      <c r="Z458" s="289">
        <v>2035</v>
      </c>
      <c r="AA458" s="288">
        <v>2036</v>
      </c>
      <c r="AB458" s="289">
        <v>2037</v>
      </c>
      <c r="AC458" s="289">
        <v>2038</v>
      </c>
      <c r="AD458" s="289">
        <v>2039</v>
      </c>
      <c r="AE458" s="290">
        <v>2040</v>
      </c>
    </row>
    <row r="459" spans="1:31">
      <c r="A459" s="1711" t="s">
        <v>41</v>
      </c>
      <c r="B459" s="116">
        <v>0</v>
      </c>
      <c r="C459" s="291">
        <f t="shared" si="101"/>
        <v>18642.652133209751</v>
      </c>
      <c r="D459" s="292">
        <f>C459</f>
        <v>18642.652133209751</v>
      </c>
      <c r="E459" s="292">
        <f t="shared" ref="E459:T459" si="104">D459</f>
        <v>18642.652133209751</v>
      </c>
      <c r="F459" s="292">
        <f t="shared" si="104"/>
        <v>18642.652133209751</v>
      </c>
      <c r="G459" s="292">
        <f t="shared" si="104"/>
        <v>18642.652133209751</v>
      </c>
      <c r="H459" s="292">
        <f t="shared" si="104"/>
        <v>18642.652133209751</v>
      </c>
      <c r="I459" s="292">
        <f t="shared" si="104"/>
        <v>18642.652133209751</v>
      </c>
      <c r="J459" s="292">
        <f t="shared" si="104"/>
        <v>18642.652133209751</v>
      </c>
      <c r="K459" s="292">
        <f t="shared" si="104"/>
        <v>18642.652133209751</v>
      </c>
      <c r="L459" s="292">
        <f t="shared" si="104"/>
        <v>18642.652133209751</v>
      </c>
      <c r="M459" s="292">
        <f t="shared" si="104"/>
        <v>18642.652133209751</v>
      </c>
      <c r="N459" s="292">
        <f t="shared" si="104"/>
        <v>18642.652133209751</v>
      </c>
      <c r="O459" s="292">
        <f t="shared" si="104"/>
        <v>18642.652133209751</v>
      </c>
      <c r="P459" s="292">
        <f t="shared" si="104"/>
        <v>18642.652133209751</v>
      </c>
      <c r="Q459" s="292">
        <f t="shared" si="104"/>
        <v>18642.652133209751</v>
      </c>
      <c r="R459" s="292">
        <f t="shared" si="104"/>
        <v>18642.652133209751</v>
      </c>
      <c r="S459" s="292">
        <f t="shared" si="104"/>
        <v>18642.652133209751</v>
      </c>
      <c r="T459" s="292">
        <f t="shared" si="104"/>
        <v>18642.652133209751</v>
      </c>
      <c r="U459" s="292">
        <f t="shared" ref="T459:AE474" si="105">T459</f>
        <v>18642.652133209751</v>
      </c>
      <c r="V459" s="292">
        <f t="shared" si="105"/>
        <v>18642.652133209751</v>
      </c>
      <c r="W459" s="292">
        <f t="shared" si="105"/>
        <v>18642.652133209751</v>
      </c>
      <c r="X459" s="292">
        <f t="shared" si="105"/>
        <v>18642.652133209751</v>
      </c>
      <c r="Y459" s="292">
        <f t="shared" si="105"/>
        <v>18642.652133209751</v>
      </c>
      <c r="Z459" s="292">
        <f t="shared" si="105"/>
        <v>18642.652133209751</v>
      </c>
      <c r="AA459" s="292">
        <f t="shared" si="105"/>
        <v>18642.652133209751</v>
      </c>
      <c r="AB459" s="292">
        <f t="shared" si="105"/>
        <v>18642.652133209751</v>
      </c>
      <c r="AC459" s="292">
        <f t="shared" si="105"/>
        <v>18642.652133209751</v>
      </c>
      <c r="AD459" s="292">
        <f t="shared" si="105"/>
        <v>18642.652133209751</v>
      </c>
      <c r="AE459" s="293">
        <f t="shared" si="105"/>
        <v>18642.652133209751</v>
      </c>
    </row>
    <row r="460" spans="1:31">
      <c r="A460" s="1711"/>
      <c r="B460" s="116">
        <v>1</v>
      </c>
      <c r="C460" s="294">
        <f t="shared" si="101"/>
        <v>18269.799090545555</v>
      </c>
      <c r="D460" s="295">
        <f t="shared" ref="D460:S475" si="106">C460</f>
        <v>18269.799090545555</v>
      </c>
      <c r="E460" s="295">
        <f t="shared" si="106"/>
        <v>18269.799090545555</v>
      </c>
      <c r="F460" s="295">
        <f t="shared" si="106"/>
        <v>18269.799090545555</v>
      </c>
      <c r="G460" s="295">
        <f t="shared" si="106"/>
        <v>18269.799090545555</v>
      </c>
      <c r="H460" s="295">
        <f t="shared" si="106"/>
        <v>18269.799090545555</v>
      </c>
      <c r="I460" s="295">
        <f t="shared" si="106"/>
        <v>18269.799090545555</v>
      </c>
      <c r="J460" s="295">
        <f t="shared" si="106"/>
        <v>18269.799090545555</v>
      </c>
      <c r="K460" s="295">
        <f t="shared" si="106"/>
        <v>18269.799090545555</v>
      </c>
      <c r="L460" s="295">
        <f t="shared" si="106"/>
        <v>18269.799090545555</v>
      </c>
      <c r="M460" s="295">
        <f t="shared" si="106"/>
        <v>18269.799090545555</v>
      </c>
      <c r="N460" s="295">
        <f t="shared" si="106"/>
        <v>18269.799090545555</v>
      </c>
      <c r="O460" s="295">
        <f t="shared" si="106"/>
        <v>18269.799090545555</v>
      </c>
      <c r="P460" s="295">
        <f t="shared" si="106"/>
        <v>18269.799090545555</v>
      </c>
      <c r="Q460" s="295">
        <f t="shared" si="106"/>
        <v>18269.799090545555</v>
      </c>
      <c r="R460" s="295">
        <f t="shared" si="106"/>
        <v>18269.799090545555</v>
      </c>
      <c r="S460" s="295">
        <f t="shared" si="106"/>
        <v>18269.799090545555</v>
      </c>
      <c r="T460" s="295">
        <f t="shared" si="105"/>
        <v>18269.799090545555</v>
      </c>
      <c r="U460" s="295">
        <f t="shared" si="105"/>
        <v>18269.799090545555</v>
      </c>
      <c r="V460" s="295">
        <f t="shared" si="105"/>
        <v>18269.799090545555</v>
      </c>
      <c r="W460" s="295">
        <f t="shared" si="105"/>
        <v>18269.799090545555</v>
      </c>
      <c r="X460" s="295">
        <f t="shared" si="105"/>
        <v>18269.799090545555</v>
      </c>
      <c r="Y460" s="295">
        <f t="shared" si="105"/>
        <v>18269.799090545555</v>
      </c>
      <c r="Z460" s="295">
        <f t="shared" si="105"/>
        <v>18269.799090545555</v>
      </c>
      <c r="AA460" s="295">
        <f t="shared" si="105"/>
        <v>18269.799090545555</v>
      </c>
      <c r="AB460" s="295">
        <f t="shared" si="105"/>
        <v>18269.799090545555</v>
      </c>
      <c r="AC460" s="295">
        <f t="shared" si="105"/>
        <v>18269.799090545555</v>
      </c>
      <c r="AD460" s="295">
        <f t="shared" si="105"/>
        <v>18269.799090545555</v>
      </c>
      <c r="AE460" s="296">
        <f t="shared" si="105"/>
        <v>18269.799090545555</v>
      </c>
    </row>
    <row r="461" spans="1:31">
      <c r="A461" s="1711"/>
      <c r="B461" s="116">
        <v>2</v>
      </c>
      <c r="C461" s="294">
        <f t="shared" si="101"/>
        <v>17904.403108734645</v>
      </c>
      <c r="D461" s="295">
        <f t="shared" si="106"/>
        <v>17904.403108734645</v>
      </c>
      <c r="E461" s="295">
        <f t="shared" si="106"/>
        <v>17904.403108734645</v>
      </c>
      <c r="F461" s="295">
        <f t="shared" si="106"/>
        <v>17904.403108734645</v>
      </c>
      <c r="G461" s="295">
        <f t="shared" si="106"/>
        <v>17904.403108734645</v>
      </c>
      <c r="H461" s="295">
        <f t="shared" si="106"/>
        <v>17904.403108734645</v>
      </c>
      <c r="I461" s="295">
        <f t="shared" si="106"/>
        <v>17904.403108734645</v>
      </c>
      <c r="J461" s="295">
        <f t="shared" si="106"/>
        <v>17904.403108734645</v>
      </c>
      <c r="K461" s="295">
        <f t="shared" si="106"/>
        <v>17904.403108734645</v>
      </c>
      <c r="L461" s="295">
        <f t="shared" si="106"/>
        <v>17904.403108734645</v>
      </c>
      <c r="M461" s="295">
        <f t="shared" si="106"/>
        <v>17904.403108734645</v>
      </c>
      <c r="N461" s="295">
        <f t="shared" si="106"/>
        <v>17904.403108734645</v>
      </c>
      <c r="O461" s="295">
        <f t="shared" si="106"/>
        <v>17904.403108734645</v>
      </c>
      <c r="P461" s="295">
        <f t="shared" si="106"/>
        <v>17904.403108734645</v>
      </c>
      <c r="Q461" s="295">
        <f t="shared" si="106"/>
        <v>17904.403108734645</v>
      </c>
      <c r="R461" s="295">
        <f t="shared" si="106"/>
        <v>17904.403108734645</v>
      </c>
      <c r="S461" s="295">
        <f t="shared" si="106"/>
        <v>17904.403108734645</v>
      </c>
      <c r="T461" s="295">
        <f t="shared" si="105"/>
        <v>17904.403108734645</v>
      </c>
      <c r="U461" s="295">
        <f t="shared" si="105"/>
        <v>17904.403108734645</v>
      </c>
      <c r="V461" s="295">
        <f t="shared" si="105"/>
        <v>17904.403108734645</v>
      </c>
      <c r="W461" s="295">
        <f t="shared" si="105"/>
        <v>17904.403108734645</v>
      </c>
      <c r="X461" s="295">
        <f t="shared" si="105"/>
        <v>17904.403108734645</v>
      </c>
      <c r="Y461" s="295">
        <f t="shared" si="105"/>
        <v>17904.403108734645</v>
      </c>
      <c r="Z461" s="295">
        <f t="shared" si="105"/>
        <v>17904.403108734645</v>
      </c>
      <c r="AA461" s="295">
        <f t="shared" si="105"/>
        <v>17904.403108734645</v>
      </c>
      <c r="AB461" s="295">
        <f t="shared" si="105"/>
        <v>17904.403108734645</v>
      </c>
      <c r="AC461" s="295">
        <f t="shared" si="105"/>
        <v>17904.403108734645</v>
      </c>
      <c r="AD461" s="295">
        <f t="shared" si="105"/>
        <v>17904.403108734645</v>
      </c>
      <c r="AE461" s="296">
        <f t="shared" si="105"/>
        <v>17904.403108734645</v>
      </c>
    </row>
    <row r="462" spans="1:31">
      <c r="A462" s="1711"/>
      <c r="B462" s="116">
        <v>3</v>
      </c>
      <c r="C462" s="294">
        <f t="shared" si="101"/>
        <v>17546.31504655995</v>
      </c>
      <c r="D462" s="295">
        <f t="shared" si="106"/>
        <v>17546.31504655995</v>
      </c>
      <c r="E462" s="295">
        <f t="shared" si="106"/>
        <v>17546.31504655995</v>
      </c>
      <c r="F462" s="295">
        <f t="shared" si="106"/>
        <v>17546.31504655995</v>
      </c>
      <c r="G462" s="295">
        <f t="shared" si="106"/>
        <v>17546.31504655995</v>
      </c>
      <c r="H462" s="295">
        <f t="shared" si="106"/>
        <v>17546.31504655995</v>
      </c>
      <c r="I462" s="295">
        <f t="shared" si="106"/>
        <v>17546.31504655995</v>
      </c>
      <c r="J462" s="295">
        <f t="shared" si="106"/>
        <v>17546.31504655995</v>
      </c>
      <c r="K462" s="295">
        <f t="shared" si="106"/>
        <v>17546.31504655995</v>
      </c>
      <c r="L462" s="295">
        <f t="shared" si="106"/>
        <v>17546.31504655995</v>
      </c>
      <c r="M462" s="295">
        <f t="shared" si="106"/>
        <v>17546.31504655995</v>
      </c>
      <c r="N462" s="295">
        <f t="shared" si="106"/>
        <v>17546.31504655995</v>
      </c>
      <c r="O462" s="295">
        <f t="shared" si="106"/>
        <v>17546.31504655995</v>
      </c>
      <c r="P462" s="295">
        <f t="shared" si="106"/>
        <v>17546.31504655995</v>
      </c>
      <c r="Q462" s="295">
        <f t="shared" si="106"/>
        <v>17546.31504655995</v>
      </c>
      <c r="R462" s="295">
        <f t="shared" si="106"/>
        <v>17546.31504655995</v>
      </c>
      <c r="S462" s="295">
        <f t="shared" si="106"/>
        <v>17546.31504655995</v>
      </c>
      <c r="T462" s="295">
        <f t="shared" si="105"/>
        <v>17546.31504655995</v>
      </c>
      <c r="U462" s="295">
        <f t="shared" si="105"/>
        <v>17546.31504655995</v>
      </c>
      <c r="V462" s="295">
        <f t="shared" si="105"/>
        <v>17546.31504655995</v>
      </c>
      <c r="W462" s="295">
        <f t="shared" si="105"/>
        <v>17546.31504655995</v>
      </c>
      <c r="X462" s="295">
        <f t="shared" si="105"/>
        <v>17546.31504655995</v>
      </c>
      <c r="Y462" s="295">
        <f t="shared" si="105"/>
        <v>17546.31504655995</v>
      </c>
      <c r="Z462" s="295">
        <f t="shared" si="105"/>
        <v>17546.31504655995</v>
      </c>
      <c r="AA462" s="295">
        <f t="shared" si="105"/>
        <v>17546.31504655995</v>
      </c>
      <c r="AB462" s="295">
        <f t="shared" si="105"/>
        <v>17546.31504655995</v>
      </c>
      <c r="AC462" s="295">
        <f t="shared" si="105"/>
        <v>17546.31504655995</v>
      </c>
      <c r="AD462" s="295">
        <f t="shared" si="105"/>
        <v>17546.31504655995</v>
      </c>
      <c r="AE462" s="296">
        <f t="shared" si="105"/>
        <v>17546.31504655995</v>
      </c>
    </row>
    <row r="463" spans="1:31">
      <c r="A463" s="1711"/>
      <c r="B463" s="116">
        <v>4</v>
      </c>
      <c r="C463" s="294">
        <f t="shared" si="101"/>
        <v>17195.388745628752</v>
      </c>
      <c r="D463" s="295">
        <f t="shared" si="106"/>
        <v>17195.388745628752</v>
      </c>
      <c r="E463" s="295">
        <f t="shared" si="106"/>
        <v>17195.388745628752</v>
      </c>
      <c r="F463" s="295">
        <f t="shared" si="106"/>
        <v>17195.388745628752</v>
      </c>
      <c r="G463" s="295">
        <f t="shared" si="106"/>
        <v>17195.388745628752</v>
      </c>
      <c r="H463" s="295">
        <f t="shared" si="106"/>
        <v>17195.388745628752</v>
      </c>
      <c r="I463" s="295">
        <f t="shared" si="106"/>
        <v>17195.388745628752</v>
      </c>
      <c r="J463" s="295">
        <f t="shared" si="106"/>
        <v>17195.388745628752</v>
      </c>
      <c r="K463" s="295">
        <f t="shared" si="106"/>
        <v>17195.388745628752</v>
      </c>
      <c r="L463" s="295">
        <f t="shared" si="106"/>
        <v>17195.388745628752</v>
      </c>
      <c r="M463" s="295">
        <f t="shared" si="106"/>
        <v>17195.388745628752</v>
      </c>
      <c r="N463" s="295">
        <f t="shared" si="106"/>
        <v>17195.388745628752</v>
      </c>
      <c r="O463" s="295">
        <f t="shared" si="106"/>
        <v>17195.388745628752</v>
      </c>
      <c r="P463" s="295">
        <f t="shared" si="106"/>
        <v>17195.388745628752</v>
      </c>
      <c r="Q463" s="295">
        <f t="shared" si="106"/>
        <v>17195.388745628752</v>
      </c>
      <c r="R463" s="295">
        <f t="shared" si="106"/>
        <v>17195.388745628752</v>
      </c>
      <c r="S463" s="295">
        <f t="shared" si="106"/>
        <v>17195.388745628752</v>
      </c>
      <c r="T463" s="295">
        <f t="shared" si="105"/>
        <v>17195.388745628752</v>
      </c>
      <c r="U463" s="295">
        <f t="shared" si="105"/>
        <v>17195.388745628752</v>
      </c>
      <c r="V463" s="295">
        <f t="shared" si="105"/>
        <v>17195.388745628752</v>
      </c>
      <c r="W463" s="295">
        <f t="shared" si="105"/>
        <v>17195.388745628752</v>
      </c>
      <c r="X463" s="295">
        <f t="shared" si="105"/>
        <v>17195.388745628752</v>
      </c>
      <c r="Y463" s="295">
        <f t="shared" si="105"/>
        <v>17195.388745628752</v>
      </c>
      <c r="Z463" s="295">
        <f t="shared" si="105"/>
        <v>17195.388745628752</v>
      </c>
      <c r="AA463" s="295">
        <f t="shared" si="105"/>
        <v>17195.388745628752</v>
      </c>
      <c r="AB463" s="295">
        <f t="shared" si="105"/>
        <v>17195.388745628752</v>
      </c>
      <c r="AC463" s="295">
        <f t="shared" si="105"/>
        <v>17195.388745628752</v>
      </c>
      <c r="AD463" s="295">
        <f t="shared" si="105"/>
        <v>17195.388745628752</v>
      </c>
      <c r="AE463" s="296">
        <f t="shared" si="105"/>
        <v>17195.388745628752</v>
      </c>
    </row>
    <row r="464" spans="1:31">
      <c r="A464" s="1711"/>
      <c r="B464" s="116">
        <v>5</v>
      </c>
      <c r="C464" s="294">
        <f t="shared" si="101"/>
        <v>16851.480970716177</v>
      </c>
      <c r="D464" s="295">
        <f t="shared" si="106"/>
        <v>16851.480970716177</v>
      </c>
      <c r="E464" s="295">
        <f t="shared" si="106"/>
        <v>16851.480970716177</v>
      </c>
      <c r="F464" s="295">
        <f t="shared" si="106"/>
        <v>16851.480970716177</v>
      </c>
      <c r="G464" s="295">
        <f t="shared" si="106"/>
        <v>16851.480970716177</v>
      </c>
      <c r="H464" s="295">
        <f t="shared" si="106"/>
        <v>16851.480970716177</v>
      </c>
      <c r="I464" s="295">
        <f t="shared" si="106"/>
        <v>16851.480970716177</v>
      </c>
      <c r="J464" s="295">
        <f t="shared" si="106"/>
        <v>16851.480970716177</v>
      </c>
      <c r="K464" s="295">
        <f t="shared" si="106"/>
        <v>16851.480970716177</v>
      </c>
      <c r="L464" s="295">
        <f t="shared" si="106"/>
        <v>16851.480970716177</v>
      </c>
      <c r="M464" s="295">
        <f t="shared" si="106"/>
        <v>16851.480970716177</v>
      </c>
      <c r="N464" s="295">
        <f t="shared" si="106"/>
        <v>16851.480970716177</v>
      </c>
      <c r="O464" s="295">
        <f t="shared" si="106"/>
        <v>16851.480970716177</v>
      </c>
      <c r="P464" s="295">
        <f t="shared" si="106"/>
        <v>16851.480970716177</v>
      </c>
      <c r="Q464" s="295">
        <f t="shared" si="106"/>
        <v>16851.480970716177</v>
      </c>
      <c r="R464" s="295">
        <f t="shared" si="106"/>
        <v>16851.480970716177</v>
      </c>
      <c r="S464" s="295">
        <f t="shared" si="106"/>
        <v>16851.480970716177</v>
      </c>
      <c r="T464" s="295">
        <f t="shared" si="105"/>
        <v>16851.480970716177</v>
      </c>
      <c r="U464" s="295">
        <f t="shared" si="105"/>
        <v>16851.480970716177</v>
      </c>
      <c r="V464" s="295">
        <f t="shared" si="105"/>
        <v>16851.480970716177</v>
      </c>
      <c r="W464" s="295">
        <f t="shared" si="105"/>
        <v>16851.480970716177</v>
      </c>
      <c r="X464" s="295">
        <f t="shared" si="105"/>
        <v>16851.480970716177</v>
      </c>
      <c r="Y464" s="295">
        <f t="shared" si="105"/>
        <v>16851.480970716177</v>
      </c>
      <c r="Z464" s="295">
        <f t="shared" si="105"/>
        <v>16851.480970716177</v>
      </c>
      <c r="AA464" s="295">
        <f t="shared" si="105"/>
        <v>16851.480970716177</v>
      </c>
      <c r="AB464" s="295">
        <f t="shared" si="105"/>
        <v>16851.480970716177</v>
      </c>
      <c r="AC464" s="295">
        <f t="shared" si="105"/>
        <v>16851.480970716177</v>
      </c>
      <c r="AD464" s="295">
        <f t="shared" si="105"/>
        <v>16851.480970716177</v>
      </c>
      <c r="AE464" s="296">
        <f t="shared" si="105"/>
        <v>16851.480970716177</v>
      </c>
    </row>
    <row r="465" spans="1:31">
      <c r="A465" s="1711"/>
      <c r="B465" s="116">
        <v>6</v>
      </c>
      <c r="C465" s="294">
        <f t="shared" si="101"/>
        <v>16514.451351301854</v>
      </c>
      <c r="D465" s="295">
        <f t="shared" si="106"/>
        <v>16514.451351301854</v>
      </c>
      <c r="E465" s="295">
        <f t="shared" si="106"/>
        <v>16514.451351301854</v>
      </c>
      <c r="F465" s="295">
        <f t="shared" si="106"/>
        <v>16514.451351301854</v>
      </c>
      <c r="G465" s="295">
        <f t="shared" si="106"/>
        <v>16514.451351301854</v>
      </c>
      <c r="H465" s="295">
        <f t="shared" si="106"/>
        <v>16514.451351301854</v>
      </c>
      <c r="I465" s="295">
        <f t="shared" si="106"/>
        <v>16514.451351301854</v>
      </c>
      <c r="J465" s="295">
        <f t="shared" si="106"/>
        <v>16514.451351301854</v>
      </c>
      <c r="K465" s="295">
        <f t="shared" si="106"/>
        <v>16514.451351301854</v>
      </c>
      <c r="L465" s="295">
        <f t="shared" si="106"/>
        <v>16514.451351301854</v>
      </c>
      <c r="M465" s="295">
        <f t="shared" si="106"/>
        <v>16514.451351301854</v>
      </c>
      <c r="N465" s="295">
        <f t="shared" si="106"/>
        <v>16514.451351301854</v>
      </c>
      <c r="O465" s="295">
        <f t="shared" si="106"/>
        <v>16514.451351301854</v>
      </c>
      <c r="P465" s="295">
        <f t="shared" si="106"/>
        <v>16514.451351301854</v>
      </c>
      <c r="Q465" s="295">
        <f t="shared" si="106"/>
        <v>16514.451351301854</v>
      </c>
      <c r="R465" s="295">
        <f t="shared" si="106"/>
        <v>16514.451351301854</v>
      </c>
      <c r="S465" s="295">
        <f t="shared" si="106"/>
        <v>16514.451351301854</v>
      </c>
      <c r="T465" s="295">
        <f t="shared" si="105"/>
        <v>16514.451351301854</v>
      </c>
      <c r="U465" s="295">
        <f t="shared" si="105"/>
        <v>16514.451351301854</v>
      </c>
      <c r="V465" s="295">
        <f t="shared" si="105"/>
        <v>16514.451351301854</v>
      </c>
      <c r="W465" s="295">
        <f t="shared" si="105"/>
        <v>16514.451351301854</v>
      </c>
      <c r="X465" s="295">
        <f t="shared" si="105"/>
        <v>16514.451351301854</v>
      </c>
      <c r="Y465" s="295">
        <f t="shared" si="105"/>
        <v>16514.451351301854</v>
      </c>
      <c r="Z465" s="295">
        <f t="shared" si="105"/>
        <v>16514.451351301854</v>
      </c>
      <c r="AA465" s="295">
        <f t="shared" si="105"/>
        <v>16514.451351301854</v>
      </c>
      <c r="AB465" s="295">
        <f t="shared" si="105"/>
        <v>16514.451351301854</v>
      </c>
      <c r="AC465" s="295">
        <f t="shared" si="105"/>
        <v>16514.451351301854</v>
      </c>
      <c r="AD465" s="295">
        <f t="shared" si="105"/>
        <v>16514.451351301854</v>
      </c>
      <c r="AE465" s="296">
        <f t="shared" si="105"/>
        <v>16514.451351301854</v>
      </c>
    </row>
    <row r="466" spans="1:31">
      <c r="A466" s="1711"/>
      <c r="B466" s="116">
        <v>7</v>
      </c>
      <c r="C466" s="294">
        <f t="shared" si="101"/>
        <v>16184.162324275816</v>
      </c>
      <c r="D466" s="295">
        <f t="shared" si="106"/>
        <v>16184.162324275816</v>
      </c>
      <c r="E466" s="295">
        <f t="shared" si="106"/>
        <v>16184.162324275816</v>
      </c>
      <c r="F466" s="295">
        <f t="shared" si="106"/>
        <v>16184.162324275816</v>
      </c>
      <c r="G466" s="295">
        <f t="shared" si="106"/>
        <v>16184.162324275816</v>
      </c>
      <c r="H466" s="295">
        <f t="shared" si="106"/>
        <v>16184.162324275816</v>
      </c>
      <c r="I466" s="295">
        <f t="shared" si="106"/>
        <v>16184.162324275816</v>
      </c>
      <c r="J466" s="295">
        <f t="shared" si="106"/>
        <v>16184.162324275816</v>
      </c>
      <c r="K466" s="295">
        <f t="shared" si="106"/>
        <v>16184.162324275816</v>
      </c>
      <c r="L466" s="295">
        <f t="shared" si="106"/>
        <v>16184.162324275816</v>
      </c>
      <c r="M466" s="295">
        <f t="shared" si="106"/>
        <v>16184.162324275816</v>
      </c>
      <c r="N466" s="295">
        <f t="shared" si="106"/>
        <v>16184.162324275816</v>
      </c>
      <c r="O466" s="295">
        <f t="shared" si="106"/>
        <v>16184.162324275816</v>
      </c>
      <c r="P466" s="295">
        <f t="shared" si="106"/>
        <v>16184.162324275816</v>
      </c>
      <c r="Q466" s="295">
        <f t="shared" si="106"/>
        <v>16184.162324275816</v>
      </c>
      <c r="R466" s="295">
        <f t="shared" si="106"/>
        <v>16184.162324275816</v>
      </c>
      <c r="S466" s="295">
        <f t="shared" si="106"/>
        <v>16184.162324275816</v>
      </c>
      <c r="T466" s="295">
        <f t="shared" si="105"/>
        <v>16184.162324275816</v>
      </c>
      <c r="U466" s="295">
        <f t="shared" si="105"/>
        <v>16184.162324275816</v>
      </c>
      <c r="V466" s="295">
        <f t="shared" si="105"/>
        <v>16184.162324275816</v>
      </c>
      <c r="W466" s="295">
        <f t="shared" si="105"/>
        <v>16184.162324275816</v>
      </c>
      <c r="X466" s="295">
        <f t="shared" si="105"/>
        <v>16184.162324275816</v>
      </c>
      <c r="Y466" s="295">
        <f t="shared" si="105"/>
        <v>16184.162324275816</v>
      </c>
      <c r="Z466" s="295">
        <f t="shared" si="105"/>
        <v>16184.162324275816</v>
      </c>
      <c r="AA466" s="295">
        <f t="shared" si="105"/>
        <v>16184.162324275816</v>
      </c>
      <c r="AB466" s="295">
        <f t="shared" si="105"/>
        <v>16184.162324275816</v>
      </c>
      <c r="AC466" s="295">
        <f t="shared" si="105"/>
        <v>16184.162324275816</v>
      </c>
      <c r="AD466" s="295">
        <f t="shared" si="105"/>
        <v>16184.162324275816</v>
      </c>
      <c r="AE466" s="296">
        <f t="shared" si="105"/>
        <v>16184.162324275816</v>
      </c>
    </row>
    <row r="467" spans="1:31">
      <c r="A467" s="1711"/>
      <c r="B467" s="116">
        <v>8</v>
      </c>
      <c r="C467" s="294">
        <f t="shared" si="101"/>
        <v>15860.4790777903</v>
      </c>
      <c r="D467" s="295">
        <f t="shared" si="106"/>
        <v>15860.4790777903</v>
      </c>
      <c r="E467" s="295">
        <f t="shared" si="106"/>
        <v>15860.4790777903</v>
      </c>
      <c r="F467" s="295">
        <f t="shared" si="106"/>
        <v>15860.4790777903</v>
      </c>
      <c r="G467" s="295">
        <f t="shared" si="106"/>
        <v>15860.4790777903</v>
      </c>
      <c r="H467" s="295">
        <f t="shared" si="106"/>
        <v>15860.4790777903</v>
      </c>
      <c r="I467" s="295">
        <f t="shared" si="106"/>
        <v>15860.4790777903</v>
      </c>
      <c r="J467" s="295">
        <f t="shared" si="106"/>
        <v>15860.4790777903</v>
      </c>
      <c r="K467" s="295">
        <f t="shared" si="106"/>
        <v>15860.4790777903</v>
      </c>
      <c r="L467" s="295">
        <f t="shared" si="106"/>
        <v>15860.4790777903</v>
      </c>
      <c r="M467" s="295">
        <f t="shared" si="106"/>
        <v>15860.4790777903</v>
      </c>
      <c r="N467" s="295">
        <f t="shared" si="106"/>
        <v>15860.4790777903</v>
      </c>
      <c r="O467" s="295">
        <f t="shared" si="106"/>
        <v>15860.4790777903</v>
      </c>
      <c r="P467" s="295">
        <f t="shared" si="106"/>
        <v>15860.4790777903</v>
      </c>
      <c r="Q467" s="295">
        <f t="shared" si="106"/>
        <v>15860.4790777903</v>
      </c>
      <c r="R467" s="295">
        <f t="shared" si="106"/>
        <v>15860.4790777903</v>
      </c>
      <c r="S467" s="295">
        <f t="shared" si="106"/>
        <v>15860.4790777903</v>
      </c>
      <c r="T467" s="295">
        <f t="shared" si="105"/>
        <v>15860.4790777903</v>
      </c>
      <c r="U467" s="295">
        <f t="shared" si="105"/>
        <v>15860.4790777903</v>
      </c>
      <c r="V467" s="295">
        <f t="shared" si="105"/>
        <v>15860.4790777903</v>
      </c>
      <c r="W467" s="295">
        <f t="shared" si="105"/>
        <v>15860.4790777903</v>
      </c>
      <c r="X467" s="295">
        <f t="shared" si="105"/>
        <v>15860.4790777903</v>
      </c>
      <c r="Y467" s="295">
        <f t="shared" si="105"/>
        <v>15860.4790777903</v>
      </c>
      <c r="Z467" s="295">
        <f t="shared" si="105"/>
        <v>15860.4790777903</v>
      </c>
      <c r="AA467" s="295">
        <f t="shared" si="105"/>
        <v>15860.4790777903</v>
      </c>
      <c r="AB467" s="295">
        <f t="shared" si="105"/>
        <v>15860.4790777903</v>
      </c>
      <c r="AC467" s="295">
        <f t="shared" si="105"/>
        <v>15860.4790777903</v>
      </c>
      <c r="AD467" s="295">
        <f t="shared" si="105"/>
        <v>15860.4790777903</v>
      </c>
      <c r="AE467" s="296">
        <f t="shared" si="105"/>
        <v>15860.4790777903</v>
      </c>
    </row>
    <row r="468" spans="1:31">
      <c r="A468" s="1711"/>
      <c r="B468" s="116">
        <v>9</v>
      </c>
      <c r="C468" s="294">
        <f t="shared" si="101"/>
        <v>15543.269496234494</v>
      </c>
      <c r="D468" s="295">
        <f t="shared" si="106"/>
        <v>15543.269496234494</v>
      </c>
      <c r="E468" s="295">
        <f t="shared" si="106"/>
        <v>15543.269496234494</v>
      </c>
      <c r="F468" s="295">
        <f t="shared" si="106"/>
        <v>15543.269496234494</v>
      </c>
      <c r="G468" s="295">
        <f t="shared" si="106"/>
        <v>15543.269496234494</v>
      </c>
      <c r="H468" s="295">
        <f t="shared" si="106"/>
        <v>15543.269496234494</v>
      </c>
      <c r="I468" s="295">
        <f t="shared" si="106"/>
        <v>15543.269496234494</v>
      </c>
      <c r="J468" s="295">
        <f t="shared" si="106"/>
        <v>15543.269496234494</v>
      </c>
      <c r="K468" s="295">
        <f t="shared" si="106"/>
        <v>15543.269496234494</v>
      </c>
      <c r="L468" s="295">
        <f t="shared" si="106"/>
        <v>15543.269496234494</v>
      </c>
      <c r="M468" s="295">
        <f t="shared" si="106"/>
        <v>15543.269496234494</v>
      </c>
      <c r="N468" s="295">
        <f t="shared" si="106"/>
        <v>15543.269496234494</v>
      </c>
      <c r="O468" s="295">
        <f t="shared" si="106"/>
        <v>15543.269496234494</v>
      </c>
      <c r="P468" s="295">
        <f t="shared" si="106"/>
        <v>15543.269496234494</v>
      </c>
      <c r="Q468" s="295">
        <f t="shared" si="106"/>
        <v>15543.269496234494</v>
      </c>
      <c r="R468" s="295">
        <f t="shared" si="106"/>
        <v>15543.269496234494</v>
      </c>
      <c r="S468" s="295">
        <f t="shared" si="106"/>
        <v>15543.269496234494</v>
      </c>
      <c r="T468" s="295">
        <f t="shared" si="105"/>
        <v>15543.269496234494</v>
      </c>
      <c r="U468" s="295">
        <f t="shared" si="105"/>
        <v>15543.269496234494</v>
      </c>
      <c r="V468" s="295">
        <f t="shared" si="105"/>
        <v>15543.269496234494</v>
      </c>
      <c r="W468" s="295">
        <f t="shared" si="105"/>
        <v>15543.269496234494</v>
      </c>
      <c r="X468" s="295">
        <f t="shared" si="105"/>
        <v>15543.269496234494</v>
      </c>
      <c r="Y468" s="295">
        <f t="shared" si="105"/>
        <v>15543.269496234494</v>
      </c>
      <c r="Z468" s="295">
        <f t="shared" si="105"/>
        <v>15543.269496234494</v>
      </c>
      <c r="AA468" s="295">
        <f t="shared" si="105"/>
        <v>15543.269496234494</v>
      </c>
      <c r="AB468" s="295">
        <f t="shared" si="105"/>
        <v>15543.269496234494</v>
      </c>
      <c r="AC468" s="295">
        <f t="shared" si="105"/>
        <v>15543.269496234494</v>
      </c>
      <c r="AD468" s="295">
        <f t="shared" si="105"/>
        <v>15543.269496234494</v>
      </c>
      <c r="AE468" s="296">
        <f t="shared" si="105"/>
        <v>15543.269496234494</v>
      </c>
    </row>
    <row r="469" spans="1:31">
      <c r="A469" s="1711"/>
      <c r="B469" s="116">
        <v>10</v>
      </c>
      <c r="C469" s="294">
        <f t="shared" si="101"/>
        <v>15232.404106309803</v>
      </c>
      <c r="D469" s="295">
        <f t="shared" si="106"/>
        <v>15232.404106309803</v>
      </c>
      <c r="E469" s="295">
        <f t="shared" si="106"/>
        <v>15232.404106309803</v>
      </c>
      <c r="F469" s="295">
        <f t="shared" si="106"/>
        <v>15232.404106309803</v>
      </c>
      <c r="G469" s="295">
        <f t="shared" si="106"/>
        <v>15232.404106309803</v>
      </c>
      <c r="H469" s="295">
        <f t="shared" si="106"/>
        <v>15232.404106309803</v>
      </c>
      <c r="I469" s="295">
        <f t="shared" si="106"/>
        <v>15232.404106309803</v>
      </c>
      <c r="J469" s="295">
        <f t="shared" si="106"/>
        <v>15232.404106309803</v>
      </c>
      <c r="K469" s="295">
        <f t="shared" si="106"/>
        <v>15232.404106309803</v>
      </c>
      <c r="L469" s="295">
        <f t="shared" si="106"/>
        <v>15232.404106309803</v>
      </c>
      <c r="M469" s="295">
        <f t="shared" si="106"/>
        <v>15232.404106309803</v>
      </c>
      <c r="N469" s="295">
        <f t="shared" si="106"/>
        <v>15232.404106309803</v>
      </c>
      <c r="O469" s="295">
        <f t="shared" si="106"/>
        <v>15232.404106309803</v>
      </c>
      <c r="P469" s="295">
        <f t="shared" si="106"/>
        <v>15232.404106309803</v>
      </c>
      <c r="Q469" s="295">
        <f t="shared" si="106"/>
        <v>15232.404106309803</v>
      </c>
      <c r="R469" s="295">
        <f t="shared" si="106"/>
        <v>15232.404106309803</v>
      </c>
      <c r="S469" s="295">
        <f t="shared" si="106"/>
        <v>15232.404106309803</v>
      </c>
      <c r="T469" s="295">
        <f t="shared" si="105"/>
        <v>15232.404106309803</v>
      </c>
      <c r="U469" s="295">
        <f t="shared" si="105"/>
        <v>15232.404106309803</v>
      </c>
      <c r="V469" s="295">
        <f t="shared" si="105"/>
        <v>15232.404106309803</v>
      </c>
      <c r="W469" s="295">
        <f t="shared" si="105"/>
        <v>15232.404106309803</v>
      </c>
      <c r="X469" s="295">
        <f t="shared" si="105"/>
        <v>15232.404106309803</v>
      </c>
      <c r="Y469" s="295">
        <f t="shared" si="105"/>
        <v>15232.404106309803</v>
      </c>
      <c r="Z469" s="295">
        <f t="shared" si="105"/>
        <v>15232.404106309803</v>
      </c>
      <c r="AA469" s="295">
        <f t="shared" si="105"/>
        <v>15232.404106309803</v>
      </c>
      <c r="AB469" s="295">
        <f t="shared" si="105"/>
        <v>15232.404106309803</v>
      </c>
      <c r="AC469" s="295">
        <f t="shared" si="105"/>
        <v>15232.404106309803</v>
      </c>
      <c r="AD469" s="295">
        <f t="shared" si="105"/>
        <v>15232.404106309803</v>
      </c>
      <c r="AE469" s="296">
        <f t="shared" si="105"/>
        <v>15232.404106309803</v>
      </c>
    </row>
    <row r="470" spans="1:31">
      <c r="A470" s="1711"/>
      <c r="B470" s="116">
        <v>11</v>
      </c>
      <c r="C470" s="294">
        <f t="shared" si="101"/>
        <v>14927.756024183607</v>
      </c>
      <c r="D470" s="295">
        <f t="shared" si="106"/>
        <v>14927.756024183607</v>
      </c>
      <c r="E470" s="295">
        <f t="shared" si="106"/>
        <v>14927.756024183607</v>
      </c>
      <c r="F470" s="295">
        <f t="shared" si="106"/>
        <v>14927.756024183607</v>
      </c>
      <c r="G470" s="295">
        <f t="shared" si="106"/>
        <v>14927.756024183607</v>
      </c>
      <c r="H470" s="295">
        <f t="shared" si="106"/>
        <v>14927.756024183607</v>
      </c>
      <c r="I470" s="295">
        <f t="shared" si="106"/>
        <v>14927.756024183607</v>
      </c>
      <c r="J470" s="295">
        <f t="shared" si="106"/>
        <v>14927.756024183607</v>
      </c>
      <c r="K470" s="295">
        <f t="shared" si="106"/>
        <v>14927.756024183607</v>
      </c>
      <c r="L470" s="295">
        <f t="shared" si="106"/>
        <v>14927.756024183607</v>
      </c>
      <c r="M470" s="295">
        <f t="shared" si="106"/>
        <v>14927.756024183607</v>
      </c>
      <c r="N470" s="295">
        <f t="shared" si="106"/>
        <v>14927.756024183607</v>
      </c>
      <c r="O470" s="295">
        <f t="shared" si="106"/>
        <v>14927.756024183607</v>
      </c>
      <c r="P470" s="295">
        <f t="shared" si="106"/>
        <v>14927.756024183607</v>
      </c>
      <c r="Q470" s="295">
        <f t="shared" si="106"/>
        <v>14927.756024183607</v>
      </c>
      <c r="R470" s="295">
        <f t="shared" si="106"/>
        <v>14927.756024183607</v>
      </c>
      <c r="S470" s="295">
        <f t="shared" si="106"/>
        <v>14927.756024183607</v>
      </c>
      <c r="T470" s="295">
        <f t="shared" si="105"/>
        <v>14927.756024183607</v>
      </c>
      <c r="U470" s="295">
        <f t="shared" si="105"/>
        <v>14927.756024183607</v>
      </c>
      <c r="V470" s="295">
        <f t="shared" si="105"/>
        <v>14927.756024183607</v>
      </c>
      <c r="W470" s="295">
        <f t="shared" si="105"/>
        <v>14927.756024183607</v>
      </c>
      <c r="X470" s="295">
        <f t="shared" si="105"/>
        <v>14927.756024183607</v>
      </c>
      <c r="Y470" s="295">
        <f t="shared" si="105"/>
        <v>14927.756024183607</v>
      </c>
      <c r="Z470" s="295">
        <f t="shared" si="105"/>
        <v>14927.756024183607</v>
      </c>
      <c r="AA470" s="295">
        <f t="shared" si="105"/>
        <v>14927.756024183607</v>
      </c>
      <c r="AB470" s="295">
        <f t="shared" si="105"/>
        <v>14927.756024183607</v>
      </c>
      <c r="AC470" s="295">
        <f t="shared" si="105"/>
        <v>14927.756024183607</v>
      </c>
      <c r="AD470" s="295">
        <f t="shared" si="105"/>
        <v>14927.756024183607</v>
      </c>
      <c r="AE470" s="296">
        <f t="shared" si="105"/>
        <v>14927.756024183607</v>
      </c>
    </row>
    <row r="471" spans="1:31">
      <c r="A471" s="1711"/>
      <c r="B471" s="116">
        <v>12</v>
      </c>
      <c r="C471" s="294">
        <f t="shared" si="101"/>
        <v>14629.200903699935</v>
      </c>
      <c r="D471" s="295">
        <f t="shared" si="106"/>
        <v>14629.200903699935</v>
      </c>
      <c r="E471" s="295">
        <f t="shared" si="106"/>
        <v>14629.200903699935</v>
      </c>
      <c r="F471" s="295">
        <f t="shared" si="106"/>
        <v>14629.200903699935</v>
      </c>
      <c r="G471" s="295">
        <f t="shared" si="106"/>
        <v>14629.200903699935</v>
      </c>
      <c r="H471" s="295">
        <f t="shared" si="106"/>
        <v>14629.200903699935</v>
      </c>
      <c r="I471" s="295">
        <f t="shared" si="106"/>
        <v>14629.200903699935</v>
      </c>
      <c r="J471" s="295">
        <f t="shared" si="106"/>
        <v>14629.200903699935</v>
      </c>
      <c r="K471" s="295">
        <f t="shared" si="106"/>
        <v>14629.200903699935</v>
      </c>
      <c r="L471" s="295">
        <f t="shared" si="106"/>
        <v>14629.200903699935</v>
      </c>
      <c r="M471" s="295">
        <f t="shared" si="106"/>
        <v>14629.200903699935</v>
      </c>
      <c r="N471" s="295">
        <f t="shared" si="106"/>
        <v>14629.200903699935</v>
      </c>
      <c r="O471" s="295">
        <f t="shared" si="106"/>
        <v>14629.200903699935</v>
      </c>
      <c r="P471" s="295">
        <f t="shared" si="106"/>
        <v>14629.200903699935</v>
      </c>
      <c r="Q471" s="295">
        <f t="shared" si="106"/>
        <v>14629.200903699935</v>
      </c>
      <c r="R471" s="295">
        <f t="shared" si="106"/>
        <v>14629.200903699935</v>
      </c>
      <c r="S471" s="295">
        <f t="shared" si="106"/>
        <v>14629.200903699935</v>
      </c>
      <c r="T471" s="295">
        <f t="shared" si="105"/>
        <v>14629.200903699935</v>
      </c>
      <c r="U471" s="295">
        <f t="shared" si="105"/>
        <v>14629.200903699935</v>
      </c>
      <c r="V471" s="295">
        <f t="shared" si="105"/>
        <v>14629.200903699935</v>
      </c>
      <c r="W471" s="295">
        <f t="shared" si="105"/>
        <v>14629.200903699935</v>
      </c>
      <c r="X471" s="295">
        <f t="shared" si="105"/>
        <v>14629.200903699935</v>
      </c>
      <c r="Y471" s="295">
        <f t="shared" si="105"/>
        <v>14629.200903699935</v>
      </c>
      <c r="Z471" s="295">
        <f t="shared" si="105"/>
        <v>14629.200903699935</v>
      </c>
      <c r="AA471" s="295">
        <f t="shared" si="105"/>
        <v>14629.200903699935</v>
      </c>
      <c r="AB471" s="295">
        <f t="shared" si="105"/>
        <v>14629.200903699935</v>
      </c>
      <c r="AC471" s="295">
        <f t="shared" si="105"/>
        <v>14629.200903699935</v>
      </c>
      <c r="AD471" s="295">
        <f t="shared" si="105"/>
        <v>14629.200903699935</v>
      </c>
      <c r="AE471" s="296">
        <f t="shared" si="105"/>
        <v>14629.200903699935</v>
      </c>
    </row>
    <row r="472" spans="1:31">
      <c r="A472" s="1711"/>
      <c r="B472" s="116">
        <v>13</v>
      </c>
      <c r="C472" s="294">
        <f t="shared" si="101"/>
        <v>14336.616885625936</v>
      </c>
      <c r="D472" s="295">
        <f t="shared" si="106"/>
        <v>14336.616885625936</v>
      </c>
      <c r="E472" s="295">
        <f t="shared" si="106"/>
        <v>14336.616885625936</v>
      </c>
      <c r="F472" s="295">
        <f t="shared" si="106"/>
        <v>14336.616885625936</v>
      </c>
      <c r="G472" s="295">
        <f t="shared" si="106"/>
        <v>14336.616885625936</v>
      </c>
      <c r="H472" s="295">
        <f t="shared" si="106"/>
        <v>14336.616885625936</v>
      </c>
      <c r="I472" s="295">
        <f t="shared" si="106"/>
        <v>14336.616885625936</v>
      </c>
      <c r="J472" s="295">
        <f t="shared" si="106"/>
        <v>14336.616885625936</v>
      </c>
      <c r="K472" s="295">
        <f t="shared" si="106"/>
        <v>14336.616885625936</v>
      </c>
      <c r="L472" s="295">
        <f t="shared" si="106"/>
        <v>14336.616885625936</v>
      </c>
      <c r="M472" s="295">
        <f t="shared" si="106"/>
        <v>14336.616885625936</v>
      </c>
      <c r="N472" s="295">
        <f t="shared" si="106"/>
        <v>14336.616885625936</v>
      </c>
      <c r="O472" s="295">
        <f t="shared" si="106"/>
        <v>14336.616885625936</v>
      </c>
      <c r="P472" s="295">
        <f t="shared" si="106"/>
        <v>14336.616885625936</v>
      </c>
      <c r="Q472" s="295">
        <f t="shared" si="106"/>
        <v>14336.616885625936</v>
      </c>
      <c r="R472" s="295">
        <f t="shared" si="106"/>
        <v>14336.616885625936</v>
      </c>
      <c r="S472" s="295">
        <f t="shared" si="106"/>
        <v>14336.616885625936</v>
      </c>
      <c r="T472" s="295">
        <f t="shared" si="105"/>
        <v>14336.616885625936</v>
      </c>
      <c r="U472" s="295">
        <f t="shared" si="105"/>
        <v>14336.616885625936</v>
      </c>
      <c r="V472" s="295">
        <f t="shared" si="105"/>
        <v>14336.616885625936</v>
      </c>
      <c r="W472" s="295">
        <f t="shared" si="105"/>
        <v>14336.616885625936</v>
      </c>
      <c r="X472" s="295">
        <f t="shared" si="105"/>
        <v>14336.616885625936</v>
      </c>
      <c r="Y472" s="295">
        <f t="shared" si="105"/>
        <v>14336.616885625936</v>
      </c>
      <c r="Z472" s="295">
        <f t="shared" si="105"/>
        <v>14336.616885625936</v>
      </c>
      <c r="AA472" s="295">
        <f t="shared" si="105"/>
        <v>14336.616885625936</v>
      </c>
      <c r="AB472" s="295">
        <f t="shared" si="105"/>
        <v>14336.616885625936</v>
      </c>
      <c r="AC472" s="295">
        <f t="shared" si="105"/>
        <v>14336.616885625936</v>
      </c>
      <c r="AD472" s="295">
        <f t="shared" si="105"/>
        <v>14336.616885625936</v>
      </c>
      <c r="AE472" s="296">
        <f t="shared" si="105"/>
        <v>14336.616885625936</v>
      </c>
    </row>
    <row r="473" spans="1:31">
      <c r="A473" s="1711"/>
      <c r="B473" s="116">
        <v>14</v>
      </c>
      <c r="C473" s="294">
        <f t="shared" si="101"/>
        <v>14049.884547913416</v>
      </c>
      <c r="D473" s="295">
        <f t="shared" si="106"/>
        <v>14049.884547913416</v>
      </c>
      <c r="E473" s="295">
        <f t="shared" si="106"/>
        <v>14049.884547913416</v>
      </c>
      <c r="F473" s="295">
        <f t="shared" si="106"/>
        <v>14049.884547913416</v>
      </c>
      <c r="G473" s="295">
        <f t="shared" si="106"/>
        <v>14049.884547913416</v>
      </c>
      <c r="H473" s="295">
        <f t="shared" si="106"/>
        <v>14049.884547913416</v>
      </c>
      <c r="I473" s="295">
        <f t="shared" si="106"/>
        <v>14049.884547913416</v>
      </c>
      <c r="J473" s="295">
        <f t="shared" si="106"/>
        <v>14049.884547913416</v>
      </c>
      <c r="K473" s="295">
        <f t="shared" si="106"/>
        <v>14049.884547913416</v>
      </c>
      <c r="L473" s="295">
        <f t="shared" si="106"/>
        <v>14049.884547913416</v>
      </c>
      <c r="M473" s="295">
        <f t="shared" si="106"/>
        <v>14049.884547913416</v>
      </c>
      <c r="N473" s="295">
        <f t="shared" si="106"/>
        <v>14049.884547913416</v>
      </c>
      <c r="O473" s="295">
        <f t="shared" si="106"/>
        <v>14049.884547913416</v>
      </c>
      <c r="P473" s="295">
        <f t="shared" si="106"/>
        <v>14049.884547913416</v>
      </c>
      <c r="Q473" s="295">
        <f t="shared" si="106"/>
        <v>14049.884547913416</v>
      </c>
      <c r="R473" s="295">
        <f t="shared" si="106"/>
        <v>14049.884547913416</v>
      </c>
      <c r="S473" s="295">
        <f t="shared" si="106"/>
        <v>14049.884547913416</v>
      </c>
      <c r="T473" s="295">
        <f t="shared" si="105"/>
        <v>14049.884547913416</v>
      </c>
      <c r="U473" s="295">
        <f t="shared" si="105"/>
        <v>14049.884547913416</v>
      </c>
      <c r="V473" s="295">
        <f t="shared" si="105"/>
        <v>14049.884547913416</v>
      </c>
      <c r="W473" s="295">
        <f t="shared" si="105"/>
        <v>14049.884547913416</v>
      </c>
      <c r="X473" s="295">
        <f t="shared" si="105"/>
        <v>14049.884547913416</v>
      </c>
      <c r="Y473" s="295">
        <f t="shared" si="105"/>
        <v>14049.884547913416</v>
      </c>
      <c r="Z473" s="295">
        <f t="shared" si="105"/>
        <v>14049.884547913416</v>
      </c>
      <c r="AA473" s="295">
        <f t="shared" si="105"/>
        <v>14049.884547913416</v>
      </c>
      <c r="AB473" s="295">
        <f t="shared" si="105"/>
        <v>14049.884547913416</v>
      </c>
      <c r="AC473" s="295">
        <f t="shared" si="105"/>
        <v>14049.884547913416</v>
      </c>
      <c r="AD473" s="295">
        <f t="shared" si="105"/>
        <v>14049.884547913416</v>
      </c>
      <c r="AE473" s="296">
        <f t="shared" si="105"/>
        <v>14049.884547913416</v>
      </c>
    </row>
    <row r="474" spans="1:31">
      <c r="A474" s="1711"/>
      <c r="B474" s="116">
        <v>15</v>
      </c>
      <c r="C474" s="294">
        <f t="shared" si="101"/>
        <v>13768.886856955147</v>
      </c>
      <c r="D474" s="295">
        <f t="shared" si="106"/>
        <v>13768.886856955147</v>
      </c>
      <c r="E474" s="295">
        <f t="shared" si="106"/>
        <v>13768.886856955147</v>
      </c>
      <c r="F474" s="295">
        <f t="shared" si="106"/>
        <v>13768.886856955147</v>
      </c>
      <c r="G474" s="295">
        <f t="shared" si="106"/>
        <v>13768.886856955147</v>
      </c>
      <c r="H474" s="295">
        <f t="shared" si="106"/>
        <v>13768.886856955147</v>
      </c>
      <c r="I474" s="295">
        <f t="shared" si="106"/>
        <v>13768.886856955147</v>
      </c>
      <c r="J474" s="295">
        <f t="shared" si="106"/>
        <v>13768.886856955147</v>
      </c>
      <c r="K474" s="295">
        <f t="shared" si="106"/>
        <v>13768.886856955147</v>
      </c>
      <c r="L474" s="295">
        <f t="shared" si="106"/>
        <v>13768.886856955147</v>
      </c>
      <c r="M474" s="295">
        <f t="shared" si="106"/>
        <v>13768.886856955147</v>
      </c>
      <c r="N474" s="295">
        <f t="shared" si="106"/>
        <v>13768.886856955147</v>
      </c>
      <c r="O474" s="295">
        <f t="shared" si="106"/>
        <v>13768.886856955147</v>
      </c>
      <c r="P474" s="295">
        <f t="shared" si="106"/>
        <v>13768.886856955147</v>
      </c>
      <c r="Q474" s="295">
        <f t="shared" si="106"/>
        <v>13768.886856955147</v>
      </c>
      <c r="R474" s="295">
        <f t="shared" si="106"/>
        <v>13768.886856955147</v>
      </c>
      <c r="S474" s="295">
        <f t="shared" si="106"/>
        <v>13768.886856955147</v>
      </c>
      <c r="T474" s="295">
        <f t="shared" si="105"/>
        <v>13768.886856955147</v>
      </c>
      <c r="U474" s="295">
        <f t="shared" si="105"/>
        <v>13768.886856955147</v>
      </c>
      <c r="V474" s="295">
        <f t="shared" si="105"/>
        <v>13768.886856955147</v>
      </c>
      <c r="W474" s="295">
        <f t="shared" si="105"/>
        <v>13768.886856955147</v>
      </c>
      <c r="X474" s="295">
        <f t="shared" si="105"/>
        <v>13768.886856955147</v>
      </c>
      <c r="Y474" s="295">
        <f t="shared" si="105"/>
        <v>13768.886856955147</v>
      </c>
      <c r="Z474" s="295">
        <f t="shared" si="105"/>
        <v>13768.886856955147</v>
      </c>
      <c r="AA474" s="295">
        <f t="shared" si="105"/>
        <v>13768.886856955147</v>
      </c>
      <c r="AB474" s="295">
        <f t="shared" si="105"/>
        <v>13768.886856955147</v>
      </c>
      <c r="AC474" s="295">
        <f t="shared" si="105"/>
        <v>13768.886856955147</v>
      </c>
      <c r="AD474" s="295">
        <f t="shared" si="105"/>
        <v>13768.886856955147</v>
      </c>
      <c r="AE474" s="296">
        <f t="shared" si="105"/>
        <v>13768.886856955147</v>
      </c>
    </row>
    <row r="475" spans="1:31">
      <c r="A475" s="1711"/>
      <c r="B475" s="116">
        <v>16</v>
      </c>
      <c r="C475" s="294">
        <f t="shared" si="101"/>
        <v>13493.509119816044</v>
      </c>
      <c r="D475" s="295">
        <f t="shared" si="106"/>
        <v>13493.509119816044</v>
      </c>
      <c r="E475" s="295">
        <f t="shared" si="106"/>
        <v>13493.509119816044</v>
      </c>
      <c r="F475" s="295">
        <f t="shared" si="106"/>
        <v>13493.509119816044</v>
      </c>
      <c r="G475" s="295">
        <f t="shared" si="106"/>
        <v>13493.509119816044</v>
      </c>
      <c r="H475" s="295">
        <f t="shared" si="106"/>
        <v>13493.509119816044</v>
      </c>
      <c r="I475" s="295">
        <f t="shared" si="106"/>
        <v>13493.509119816044</v>
      </c>
      <c r="J475" s="295">
        <f t="shared" si="106"/>
        <v>13493.509119816044</v>
      </c>
      <c r="K475" s="295">
        <f t="shared" si="106"/>
        <v>13493.509119816044</v>
      </c>
      <c r="L475" s="295">
        <f t="shared" si="106"/>
        <v>13493.509119816044</v>
      </c>
      <c r="M475" s="295">
        <f t="shared" si="106"/>
        <v>13493.509119816044</v>
      </c>
      <c r="N475" s="295">
        <f t="shared" si="106"/>
        <v>13493.509119816044</v>
      </c>
      <c r="O475" s="295">
        <f t="shared" si="106"/>
        <v>13493.509119816044</v>
      </c>
      <c r="P475" s="295">
        <f t="shared" si="106"/>
        <v>13493.509119816044</v>
      </c>
      <c r="Q475" s="295">
        <f t="shared" si="106"/>
        <v>13493.509119816044</v>
      </c>
      <c r="R475" s="295">
        <f t="shared" si="106"/>
        <v>13493.509119816044</v>
      </c>
      <c r="S475" s="295">
        <f t="shared" ref="S475:AE484" si="107">R475</f>
        <v>13493.509119816044</v>
      </c>
      <c r="T475" s="295">
        <f t="shared" si="107"/>
        <v>13493.509119816044</v>
      </c>
      <c r="U475" s="295">
        <f t="shared" si="107"/>
        <v>13493.509119816044</v>
      </c>
      <c r="V475" s="295">
        <f t="shared" si="107"/>
        <v>13493.509119816044</v>
      </c>
      <c r="W475" s="295">
        <f t="shared" si="107"/>
        <v>13493.509119816044</v>
      </c>
      <c r="X475" s="295">
        <f t="shared" si="107"/>
        <v>13493.509119816044</v>
      </c>
      <c r="Y475" s="295">
        <f t="shared" si="107"/>
        <v>13493.509119816044</v>
      </c>
      <c r="Z475" s="295">
        <f t="shared" si="107"/>
        <v>13493.509119816044</v>
      </c>
      <c r="AA475" s="295">
        <f t="shared" si="107"/>
        <v>13493.509119816044</v>
      </c>
      <c r="AB475" s="295">
        <f t="shared" si="107"/>
        <v>13493.509119816044</v>
      </c>
      <c r="AC475" s="295">
        <f t="shared" si="107"/>
        <v>13493.509119816044</v>
      </c>
      <c r="AD475" s="295">
        <f t="shared" si="107"/>
        <v>13493.509119816044</v>
      </c>
      <c r="AE475" s="296">
        <f t="shared" si="107"/>
        <v>13493.509119816044</v>
      </c>
    </row>
    <row r="476" spans="1:31">
      <c r="A476" s="1711"/>
      <c r="B476" s="116">
        <v>17</v>
      </c>
      <c r="C476" s="294">
        <f t="shared" si="101"/>
        <v>13493.509119816044</v>
      </c>
      <c r="D476" s="295">
        <f t="shared" ref="D476:S484" si="108">C476</f>
        <v>13493.509119816044</v>
      </c>
      <c r="E476" s="295">
        <f t="shared" si="108"/>
        <v>13493.509119816044</v>
      </c>
      <c r="F476" s="295">
        <f t="shared" si="108"/>
        <v>13493.509119816044</v>
      </c>
      <c r="G476" s="295">
        <f t="shared" si="108"/>
        <v>13493.509119816044</v>
      </c>
      <c r="H476" s="295">
        <f t="shared" si="108"/>
        <v>13493.509119816044</v>
      </c>
      <c r="I476" s="295">
        <f t="shared" si="108"/>
        <v>13493.509119816044</v>
      </c>
      <c r="J476" s="295">
        <f t="shared" si="108"/>
        <v>13493.509119816044</v>
      </c>
      <c r="K476" s="295">
        <f t="shared" si="108"/>
        <v>13493.509119816044</v>
      </c>
      <c r="L476" s="295">
        <f t="shared" si="108"/>
        <v>13493.509119816044</v>
      </c>
      <c r="M476" s="295">
        <f t="shared" si="108"/>
        <v>13493.509119816044</v>
      </c>
      <c r="N476" s="295">
        <f t="shared" si="108"/>
        <v>13493.509119816044</v>
      </c>
      <c r="O476" s="295">
        <f t="shared" si="108"/>
        <v>13493.509119816044</v>
      </c>
      <c r="P476" s="295">
        <f t="shared" si="108"/>
        <v>13493.509119816044</v>
      </c>
      <c r="Q476" s="295">
        <f t="shared" si="108"/>
        <v>13493.509119816044</v>
      </c>
      <c r="R476" s="295">
        <f t="shared" si="108"/>
        <v>13493.509119816044</v>
      </c>
      <c r="S476" s="295">
        <f t="shared" si="108"/>
        <v>13493.509119816044</v>
      </c>
      <c r="T476" s="295">
        <f t="shared" si="107"/>
        <v>13493.509119816044</v>
      </c>
      <c r="U476" s="295">
        <f t="shared" si="107"/>
        <v>13493.509119816044</v>
      </c>
      <c r="V476" s="295">
        <f t="shared" si="107"/>
        <v>13493.509119816044</v>
      </c>
      <c r="W476" s="295">
        <f t="shared" si="107"/>
        <v>13493.509119816044</v>
      </c>
      <c r="X476" s="295">
        <f t="shared" si="107"/>
        <v>13493.509119816044</v>
      </c>
      <c r="Y476" s="295">
        <f t="shared" si="107"/>
        <v>13493.509119816044</v>
      </c>
      <c r="Z476" s="295">
        <f t="shared" si="107"/>
        <v>13493.509119816044</v>
      </c>
      <c r="AA476" s="295">
        <f t="shared" si="107"/>
        <v>13493.509119816044</v>
      </c>
      <c r="AB476" s="295">
        <f t="shared" si="107"/>
        <v>13493.509119816044</v>
      </c>
      <c r="AC476" s="295">
        <f t="shared" si="107"/>
        <v>13493.509119816044</v>
      </c>
      <c r="AD476" s="295">
        <f t="shared" si="107"/>
        <v>13493.509119816044</v>
      </c>
      <c r="AE476" s="296">
        <f t="shared" si="107"/>
        <v>13493.509119816044</v>
      </c>
    </row>
    <row r="477" spans="1:31">
      <c r="A477" s="1711"/>
      <c r="B477" s="116">
        <v>18</v>
      </c>
      <c r="C477" s="294">
        <f t="shared" si="101"/>
        <v>13493.509119816044</v>
      </c>
      <c r="D477" s="295">
        <f t="shared" si="108"/>
        <v>13493.509119816044</v>
      </c>
      <c r="E477" s="295">
        <f t="shared" si="108"/>
        <v>13493.509119816044</v>
      </c>
      <c r="F477" s="295">
        <f t="shared" si="108"/>
        <v>13493.509119816044</v>
      </c>
      <c r="G477" s="295">
        <f t="shared" si="108"/>
        <v>13493.509119816044</v>
      </c>
      <c r="H477" s="295">
        <f t="shared" si="108"/>
        <v>13493.509119816044</v>
      </c>
      <c r="I477" s="295">
        <f t="shared" si="108"/>
        <v>13493.509119816044</v>
      </c>
      <c r="J477" s="295">
        <f t="shared" si="108"/>
        <v>13493.509119816044</v>
      </c>
      <c r="K477" s="295">
        <f t="shared" si="108"/>
        <v>13493.509119816044</v>
      </c>
      <c r="L477" s="295">
        <f t="shared" si="108"/>
        <v>13493.509119816044</v>
      </c>
      <c r="M477" s="295">
        <f t="shared" si="108"/>
        <v>13493.509119816044</v>
      </c>
      <c r="N477" s="295">
        <f t="shared" si="108"/>
        <v>13493.509119816044</v>
      </c>
      <c r="O477" s="295">
        <f t="shared" si="108"/>
        <v>13493.509119816044</v>
      </c>
      <c r="P477" s="295">
        <f t="shared" si="108"/>
        <v>13493.509119816044</v>
      </c>
      <c r="Q477" s="295">
        <f t="shared" si="108"/>
        <v>13493.509119816044</v>
      </c>
      <c r="R477" s="295">
        <f t="shared" si="108"/>
        <v>13493.509119816044</v>
      </c>
      <c r="S477" s="295">
        <f t="shared" si="108"/>
        <v>13493.509119816044</v>
      </c>
      <c r="T477" s="295">
        <f t="shared" si="107"/>
        <v>13493.509119816044</v>
      </c>
      <c r="U477" s="295">
        <f t="shared" si="107"/>
        <v>13493.509119816044</v>
      </c>
      <c r="V477" s="295">
        <f t="shared" si="107"/>
        <v>13493.509119816044</v>
      </c>
      <c r="W477" s="295">
        <f t="shared" si="107"/>
        <v>13493.509119816044</v>
      </c>
      <c r="X477" s="295">
        <f t="shared" si="107"/>
        <v>13493.509119816044</v>
      </c>
      <c r="Y477" s="295">
        <f t="shared" si="107"/>
        <v>13493.509119816044</v>
      </c>
      <c r="Z477" s="295">
        <f t="shared" si="107"/>
        <v>13493.509119816044</v>
      </c>
      <c r="AA477" s="295">
        <f t="shared" si="107"/>
        <v>13493.509119816044</v>
      </c>
      <c r="AB477" s="295">
        <f t="shared" si="107"/>
        <v>13493.509119816044</v>
      </c>
      <c r="AC477" s="295">
        <f t="shared" si="107"/>
        <v>13493.509119816044</v>
      </c>
      <c r="AD477" s="295">
        <f t="shared" si="107"/>
        <v>13493.509119816044</v>
      </c>
      <c r="AE477" s="296">
        <f t="shared" si="107"/>
        <v>13493.509119816044</v>
      </c>
    </row>
    <row r="478" spans="1:31">
      <c r="A478" s="1711"/>
      <c r="B478" s="116">
        <v>19</v>
      </c>
      <c r="C478" s="294">
        <f t="shared" si="101"/>
        <v>13493.509119816044</v>
      </c>
      <c r="D478" s="295">
        <f t="shared" si="108"/>
        <v>13493.509119816044</v>
      </c>
      <c r="E478" s="295">
        <f t="shared" si="108"/>
        <v>13493.509119816044</v>
      </c>
      <c r="F478" s="295">
        <f t="shared" si="108"/>
        <v>13493.509119816044</v>
      </c>
      <c r="G478" s="295">
        <f t="shared" si="108"/>
        <v>13493.509119816044</v>
      </c>
      <c r="H478" s="295">
        <f t="shared" si="108"/>
        <v>13493.509119816044</v>
      </c>
      <c r="I478" s="295">
        <f t="shared" si="108"/>
        <v>13493.509119816044</v>
      </c>
      <c r="J478" s="295">
        <f t="shared" si="108"/>
        <v>13493.509119816044</v>
      </c>
      <c r="K478" s="295">
        <f t="shared" si="108"/>
        <v>13493.509119816044</v>
      </c>
      <c r="L478" s="295">
        <f t="shared" si="108"/>
        <v>13493.509119816044</v>
      </c>
      <c r="M478" s="295">
        <f t="shared" si="108"/>
        <v>13493.509119816044</v>
      </c>
      <c r="N478" s="295">
        <f t="shared" si="108"/>
        <v>13493.509119816044</v>
      </c>
      <c r="O478" s="295">
        <f t="shared" si="108"/>
        <v>13493.509119816044</v>
      </c>
      <c r="P478" s="295">
        <f t="shared" si="108"/>
        <v>13493.509119816044</v>
      </c>
      <c r="Q478" s="295">
        <f t="shared" si="108"/>
        <v>13493.509119816044</v>
      </c>
      <c r="R478" s="295">
        <f t="shared" si="108"/>
        <v>13493.509119816044</v>
      </c>
      <c r="S478" s="295">
        <f t="shared" si="108"/>
        <v>13493.509119816044</v>
      </c>
      <c r="T478" s="295">
        <f t="shared" si="107"/>
        <v>13493.509119816044</v>
      </c>
      <c r="U478" s="295">
        <f t="shared" si="107"/>
        <v>13493.509119816044</v>
      </c>
      <c r="V478" s="295">
        <f t="shared" si="107"/>
        <v>13493.509119816044</v>
      </c>
      <c r="W478" s="295">
        <f t="shared" si="107"/>
        <v>13493.509119816044</v>
      </c>
      <c r="X478" s="295">
        <f t="shared" si="107"/>
        <v>13493.509119816044</v>
      </c>
      <c r="Y478" s="295">
        <f t="shared" si="107"/>
        <v>13493.509119816044</v>
      </c>
      <c r="Z478" s="295">
        <f t="shared" si="107"/>
        <v>13493.509119816044</v>
      </c>
      <c r="AA478" s="295">
        <f t="shared" si="107"/>
        <v>13493.509119816044</v>
      </c>
      <c r="AB478" s="295">
        <f t="shared" si="107"/>
        <v>13493.509119816044</v>
      </c>
      <c r="AC478" s="295">
        <f t="shared" si="107"/>
        <v>13493.509119816044</v>
      </c>
      <c r="AD478" s="295">
        <f t="shared" si="107"/>
        <v>13493.509119816044</v>
      </c>
      <c r="AE478" s="296">
        <f t="shared" si="107"/>
        <v>13493.509119816044</v>
      </c>
    </row>
    <row r="479" spans="1:31">
      <c r="A479" s="1711"/>
      <c r="B479" s="116">
        <v>20</v>
      </c>
      <c r="C479" s="294">
        <f t="shared" si="101"/>
        <v>13493.509119816044</v>
      </c>
      <c r="D479" s="295">
        <f t="shared" si="108"/>
        <v>13493.509119816044</v>
      </c>
      <c r="E479" s="295">
        <f t="shared" si="108"/>
        <v>13493.509119816044</v>
      </c>
      <c r="F479" s="295">
        <f t="shared" si="108"/>
        <v>13493.509119816044</v>
      </c>
      <c r="G479" s="295">
        <f t="shared" si="108"/>
        <v>13493.509119816044</v>
      </c>
      <c r="H479" s="295">
        <f t="shared" si="108"/>
        <v>13493.509119816044</v>
      </c>
      <c r="I479" s="295">
        <f t="shared" si="108"/>
        <v>13493.509119816044</v>
      </c>
      <c r="J479" s="295">
        <f t="shared" si="108"/>
        <v>13493.509119816044</v>
      </c>
      <c r="K479" s="295">
        <f t="shared" si="108"/>
        <v>13493.509119816044</v>
      </c>
      <c r="L479" s="295">
        <f t="shared" si="108"/>
        <v>13493.509119816044</v>
      </c>
      <c r="M479" s="295">
        <f t="shared" si="108"/>
        <v>13493.509119816044</v>
      </c>
      <c r="N479" s="295">
        <f t="shared" si="108"/>
        <v>13493.509119816044</v>
      </c>
      <c r="O479" s="295">
        <f t="shared" si="108"/>
        <v>13493.509119816044</v>
      </c>
      <c r="P479" s="295">
        <f t="shared" si="108"/>
        <v>13493.509119816044</v>
      </c>
      <c r="Q479" s="295">
        <f t="shared" si="108"/>
        <v>13493.509119816044</v>
      </c>
      <c r="R479" s="295">
        <f t="shared" si="108"/>
        <v>13493.509119816044</v>
      </c>
      <c r="S479" s="295">
        <f t="shared" si="108"/>
        <v>13493.509119816044</v>
      </c>
      <c r="T479" s="295">
        <f t="shared" si="107"/>
        <v>13493.509119816044</v>
      </c>
      <c r="U479" s="295">
        <f t="shared" si="107"/>
        <v>13493.509119816044</v>
      </c>
      <c r="V479" s="295">
        <f t="shared" si="107"/>
        <v>13493.509119816044</v>
      </c>
      <c r="W479" s="295">
        <f t="shared" si="107"/>
        <v>13493.509119816044</v>
      </c>
      <c r="X479" s="295">
        <f t="shared" si="107"/>
        <v>13493.509119816044</v>
      </c>
      <c r="Y479" s="295">
        <f t="shared" si="107"/>
        <v>13493.509119816044</v>
      </c>
      <c r="Z479" s="295">
        <f t="shared" si="107"/>
        <v>13493.509119816044</v>
      </c>
      <c r="AA479" s="295">
        <f t="shared" si="107"/>
        <v>13493.509119816044</v>
      </c>
      <c r="AB479" s="295">
        <f t="shared" si="107"/>
        <v>13493.509119816044</v>
      </c>
      <c r="AC479" s="295">
        <f t="shared" si="107"/>
        <v>13493.509119816044</v>
      </c>
      <c r="AD479" s="295">
        <f t="shared" si="107"/>
        <v>13493.509119816044</v>
      </c>
      <c r="AE479" s="296">
        <f t="shared" si="107"/>
        <v>13493.509119816044</v>
      </c>
    </row>
    <row r="480" spans="1:31">
      <c r="A480" s="1711"/>
      <c r="B480" s="116">
        <v>21</v>
      </c>
      <c r="C480" s="294">
        <f t="shared" si="101"/>
        <v>13493.509119816044</v>
      </c>
      <c r="D480" s="295">
        <f t="shared" si="108"/>
        <v>13493.509119816044</v>
      </c>
      <c r="E480" s="295">
        <f t="shared" si="108"/>
        <v>13493.509119816044</v>
      </c>
      <c r="F480" s="295">
        <f t="shared" si="108"/>
        <v>13493.509119816044</v>
      </c>
      <c r="G480" s="295">
        <f t="shared" si="108"/>
        <v>13493.509119816044</v>
      </c>
      <c r="H480" s="295">
        <f t="shared" si="108"/>
        <v>13493.509119816044</v>
      </c>
      <c r="I480" s="295">
        <f t="shared" si="108"/>
        <v>13493.509119816044</v>
      </c>
      <c r="J480" s="295">
        <f t="shared" si="108"/>
        <v>13493.509119816044</v>
      </c>
      <c r="K480" s="295">
        <f t="shared" si="108"/>
        <v>13493.509119816044</v>
      </c>
      <c r="L480" s="295">
        <f t="shared" si="108"/>
        <v>13493.509119816044</v>
      </c>
      <c r="M480" s="295">
        <f t="shared" si="108"/>
        <v>13493.509119816044</v>
      </c>
      <c r="N480" s="295">
        <f t="shared" si="108"/>
        <v>13493.509119816044</v>
      </c>
      <c r="O480" s="295">
        <f t="shared" si="108"/>
        <v>13493.509119816044</v>
      </c>
      <c r="P480" s="295">
        <f t="shared" si="108"/>
        <v>13493.509119816044</v>
      </c>
      <c r="Q480" s="295">
        <f t="shared" si="108"/>
        <v>13493.509119816044</v>
      </c>
      <c r="R480" s="295">
        <f t="shared" si="108"/>
        <v>13493.509119816044</v>
      </c>
      <c r="S480" s="295">
        <f t="shared" si="108"/>
        <v>13493.509119816044</v>
      </c>
      <c r="T480" s="295">
        <f t="shared" si="107"/>
        <v>13493.509119816044</v>
      </c>
      <c r="U480" s="295">
        <f t="shared" si="107"/>
        <v>13493.509119816044</v>
      </c>
      <c r="V480" s="295">
        <f t="shared" si="107"/>
        <v>13493.509119816044</v>
      </c>
      <c r="W480" s="295">
        <f t="shared" si="107"/>
        <v>13493.509119816044</v>
      </c>
      <c r="X480" s="295">
        <f t="shared" si="107"/>
        <v>13493.509119816044</v>
      </c>
      <c r="Y480" s="295">
        <f t="shared" si="107"/>
        <v>13493.509119816044</v>
      </c>
      <c r="Z480" s="295">
        <f t="shared" si="107"/>
        <v>13493.509119816044</v>
      </c>
      <c r="AA480" s="295">
        <f t="shared" si="107"/>
        <v>13493.509119816044</v>
      </c>
      <c r="AB480" s="295">
        <f t="shared" si="107"/>
        <v>13493.509119816044</v>
      </c>
      <c r="AC480" s="295">
        <f t="shared" si="107"/>
        <v>13493.509119816044</v>
      </c>
      <c r="AD480" s="295">
        <f t="shared" si="107"/>
        <v>13493.509119816044</v>
      </c>
      <c r="AE480" s="296">
        <f t="shared" si="107"/>
        <v>13493.509119816044</v>
      </c>
    </row>
    <row r="481" spans="1:31">
      <c r="A481" s="1711"/>
      <c r="B481" s="116">
        <v>22</v>
      </c>
      <c r="C481" s="294">
        <f t="shared" si="101"/>
        <v>13493.509119816044</v>
      </c>
      <c r="D481" s="295">
        <f t="shared" si="108"/>
        <v>13493.509119816044</v>
      </c>
      <c r="E481" s="295">
        <f t="shared" si="108"/>
        <v>13493.509119816044</v>
      </c>
      <c r="F481" s="295">
        <f t="shared" si="108"/>
        <v>13493.509119816044</v>
      </c>
      <c r="G481" s="295">
        <f t="shared" si="108"/>
        <v>13493.509119816044</v>
      </c>
      <c r="H481" s="295">
        <f t="shared" si="108"/>
        <v>13493.509119816044</v>
      </c>
      <c r="I481" s="295">
        <f t="shared" si="108"/>
        <v>13493.509119816044</v>
      </c>
      <c r="J481" s="295">
        <f t="shared" si="108"/>
        <v>13493.509119816044</v>
      </c>
      <c r="K481" s="295">
        <f t="shared" si="108"/>
        <v>13493.509119816044</v>
      </c>
      <c r="L481" s="295">
        <f t="shared" si="108"/>
        <v>13493.509119816044</v>
      </c>
      <c r="M481" s="295">
        <f t="shared" si="108"/>
        <v>13493.509119816044</v>
      </c>
      <c r="N481" s="295">
        <f t="shared" si="108"/>
        <v>13493.509119816044</v>
      </c>
      <c r="O481" s="295">
        <f t="shared" si="108"/>
        <v>13493.509119816044</v>
      </c>
      <c r="P481" s="295">
        <f t="shared" si="108"/>
        <v>13493.509119816044</v>
      </c>
      <c r="Q481" s="295">
        <f t="shared" si="108"/>
        <v>13493.509119816044</v>
      </c>
      <c r="R481" s="295">
        <f t="shared" si="108"/>
        <v>13493.509119816044</v>
      </c>
      <c r="S481" s="295">
        <f t="shared" si="108"/>
        <v>13493.509119816044</v>
      </c>
      <c r="T481" s="295">
        <f t="shared" si="107"/>
        <v>13493.509119816044</v>
      </c>
      <c r="U481" s="295">
        <f t="shared" si="107"/>
        <v>13493.509119816044</v>
      </c>
      <c r="V481" s="295">
        <f t="shared" si="107"/>
        <v>13493.509119816044</v>
      </c>
      <c r="W481" s="295">
        <f t="shared" si="107"/>
        <v>13493.509119816044</v>
      </c>
      <c r="X481" s="295">
        <f t="shared" si="107"/>
        <v>13493.509119816044</v>
      </c>
      <c r="Y481" s="295">
        <f t="shared" si="107"/>
        <v>13493.509119816044</v>
      </c>
      <c r="Z481" s="295">
        <f t="shared" si="107"/>
        <v>13493.509119816044</v>
      </c>
      <c r="AA481" s="295">
        <f t="shared" si="107"/>
        <v>13493.509119816044</v>
      </c>
      <c r="AB481" s="295">
        <f t="shared" si="107"/>
        <v>13493.509119816044</v>
      </c>
      <c r="AC481" s="295">
        <f t="shared" si="107"/>
        <v>13493.509119816044</v>
      </c>
      <c r="AD481" s="295">
        <f t="shared" si="107"/>
        <v>13493.509119816044</v>
      </c>
      <c r="AE481" s="296">
        <f t="shared" si="107"/>
        <v>13493.509119816044</v>
      </c>
    </row>
    <row r="482" spans="1:31">
      <c r="A482" s="1711"/>
      <c r="B482" s="116">
        <v>23</v>
      </c>
      <c r="C482" s="294">
        <f t="shared" si="101"/>
        <v>13493.509119816044</v>
      </c>
      <c r="D482" s="295">
        <f t="shared" si="108"/>
        <v>13493.509119816044</v>
      </c>
      <c r="E482" s="295">
        <f t="shared" si="108"/>
        <v>13493.509119816044</v>
      </c>
      <c r="F482" s="295">
        <f t="shared" si="108"/>
        <v>13493.509119816044</v>
      </c>
      <c r="G482" s="295">
        <f t="shared" si="108"/>
        <v>13493.509119816044</v>
      </c>
      <c r="H482" s="295">
        <f t="shared" si="108"/>
        <v>13493.509119816044</v>
      </c>
      <c r="I482" s="295">
        <f t="shared" si="108"/>
        <v>13493.509119816044</v>
      </c>
      <c r="J482" s="295">
        <f t="shared" si="108"/>
        <v>13493.509119816044</v>
      </c>
      <c r="K482" s="295">
        <f t="shared" si="108"/>
        <v>13493.509119816044</v>
      </c>
      <c r="L482" s="295">
        <f t="shared" si="108"/>
        <v>13493.509119816044</v>
      </c>
      <c r="M482" s="295">
        <f t="shared" si="108"/>
        <v>13493.509119816044</v>
      </c>
      <c r="N482" s="295">
        <f t="shared" si="108"/>
        <v>13493.509119816044</v>
      </c>
      <c r="O482" s="295">
        <f t="shared" si="108"/>
        <v>13493.509119816044</v>
      </c>
      <c r="P482" s="295">
        <f t="shared" si="108"/>
        <v>13493.509119816044</v>
      </c>
      <c r="Q482" s="295">
        <f t="shared" si="108"/>
        <v>13493.509119816044</v>
      </c>
      <c r="R482" s="295">
        <f t="shared" si="108"/>
        <v>13493.509119816044</v>
      </c>
      <c r="S482" s="295">
        <f t="shared" si="108"/>
        <v>13493.509119816044</v>
      </c>
      <c r="T482" s="295">
        <f t="shared" si="107"/>
        <v>13493.509119816044</v>
      </c>
      <c r="U482" s="295">
        <f t="shared" si="107"/>
        <v>13493.509119816044</v>
      </c>
      <c r="V482" s="295">
        <f t="shared" si="107"/>
        <v>13493.509119816044</v>
      </c>
      <c r="W482" s="295">
        <f t="shared" si="107"/>
        <v>13493.509119816044</v>
      </c>
      <c r="X482" s="295">
        <f t="shared" si="107"/>
        <v>13493.509119816044</v>
      </c>
      <c r="Y482" s="295">
        <f t="shared" si="107"/>
        <v>13493.509119816044</v>
      </c>
      <c r="Z482" s="295">
        <f t="shared" si="107"/>
        <v>13493.509119816044</v>
      </c>
      <c r="AA482" s="295">
        <f t="shared" si="107"/>
        <v>13493.509119816044</v>
      </c>
      <c r="AB482" s="295">
        <f t="shared" si="107"/>
        <v>13493.509119816044</v>
      </c>
      <c r="AC482" s="295">
        <f t="shared" si="107"/>
        <v>13493.509119816044</v>
      </c>
      <c r="AD482" s="295">
        <f t="shared" si="107"/>
        <v>13493.509119816044</v>
      </c>
      <c r="AE482" s="296">
        <f t="shared" si="107"/>
        <v>13493.509119816044</v>
      </c>
    </row>
    <row r="483" spans="1:31">
      <c r="A483" s="1711"/>
      <c r="B483" s="116">
        <v>24</v>
      </c>
      <c r="C483" s="294">
        <f t="shared" si="101"/>
        <v>13493.509119816044</v>
      </c>
      <c r="D483" s="295">
        <f t="shared" si="108"/>
        <v>13493.509119816044</v>
      </c>
      <c r="E483" s="295">
        <f t="shared" si="108"/>
        <v>13493.509119816044</v>
      </c>
      <c r="F483" s="295">
        <f t="shared" si="108"/>
        <v>13493.509119816044</v>
      </c>
      <c r="G483" s="295">
        <f t="shared" si="108"/>
        <v>13493.509119816044</v>
      </c>
      <c r="H483" s="295">
        <f t="shared" si="108"/>
        <v>13493.509119816044</v>
      </c>
      <c r="I483" s="295">
        <f t="shared" si="108"/>
        <v>13493.509119816044</v>
      </c>
      <c r="J483" s="295">
        <f t="shared" si="108"/>
        <v>13493.509119816044</v>
      </c>
      <c r="K483" s="295">
        <f t="shared" si="108"/>
        <v>13493.509119816044</v>
      </c>
      <c r="L483" s="295">
        <f t="shared" si="108"/>
        <v>13493.509119816044</v>
      </c>
      <c r="M483" s="295">
        <f t="shared" si="108"/>
        <v>13493.509119816044</v>
      </c>
      <c r="N483" s="295">
        <f t="shared" si="108"/>
        <v>13493.509119816044</v>
      </c>
      <c r="O483" s="295">
        <f t="shared" si="108"/>
        <v>13493.509119816044</v>
      </c>
      <c r="P483" s="295">
        <f t="shared" si="108"/>
        <v>13493.509119816044</v>
      </c>
      <c r="Q483" s="295">
        <f t="shared" si="108"/>
        <v>13493.509119816044</v>
      </c>
      <c r="R483" s="295">
        <f t="shared" si="108"/>
        <v>13493.509119816044</v>
      </c>
      <c r="S483" s="295">
        <f t="shared" si="108"/>
        <v>13493.509119816044</v>
      </c>
      <c r="T483" s="295">
        <f t="shared" si="107"/>
        <v>13493.509119816044</v>
      </c>
      <c r="U483" s="295">
        <f t="shared" si="107"/>
        <v>13493.509119816044</v>
      </c>
      <c r="V483" s="295">
        <f t="shared" si="107"/>
        <v>13493.509119816044</v>
      </c>
      <c r="W483" s="295">
        <f t="shared" si="107"/>
        <v>13493.509119816044</v>
      </c>
      <c r="X483" s="295">
        <f t="shared" si="107"/>
        <v>13493.509119816044</v>
      </c>
      <c r="Y483" s="295">
        <f t="shared" si="107"/>
        <v>13493.509119816044</v>
      </c>
      <c r="Z483" s="295">
        <f t="shared" si="107"/>
        <v>13493.509119816044</v>
      </c>
      <c r="AA483" s="295">
        <f t="shared" si="107"/>
        <v>13493.509119816044</v>
      </c>
      <c r="AB483" s="295">
        <f t="shared" si="107"/>
        <v>13493.509119816044</v>
      </c>
      <c r="AC483" s="295">
        <f t="shared" si="107"/>
        <v>13493.509119816044</v>
      </c>
      <c r="AD483" s="295">
        <f t="shared" si="107"/>
        <v>13493.509119816044</v>
      </c>
      <c r="AE483" s="296">
        <f t="shared" si="107"/>
        <v>13493.509119816044</v>
      </c>
    </row>
    <row r="484" spans="1:31" ht="15.75" thickBot="1">
      <c r="A484" s="1711"/>
      <c r="B484" s="116">
        <v>25</v>
      </c>
      <c r="C484" s="297">
        <f t="shared" si="101"/>
        <v>13493.509119816044</v>
      </c>
      <c r="D484" s="298">
        <f t="shared" si="108"/>
        <v>13493.509119816044</v>
      </c>
      <c r="E484" s="298">
        <f t="shared" si="108"/>
        <v>13493.509119816044</v>
      </c>
      <c r="F484" s="298">
        <f t="shared" si="108"/>
        <v>13493.509119816044</v>
      </c>
      <c r="G484" s="298">
        <f t="shared" si="108"/>
        <v>13493.509119816044</v>
      </c>
      <c r="H484" s="298">
        <f t="shared" si="108"/>
        <v>13493.509119816044</v>
      </c>
      <c r="I484" s="298">
        <f t="shared" si="108"/>
        <v>13493.509119816044</v>
      </c>
      <c r="J484" s="298">
        <f t="shared" si="108"/>
        <v>13493.509119816044</v>
      </c>
      <c r="K484" s="298">
        <f t="shared" si="108"/>
        <v>13493.509119816044</v>
      </c>
      <c r="L484" s="298">
        <f t="shared" si="108"/>
        <v>13493.509119816044</v>
      </c>
      <c r="M484" s="298">
        <f t="shared" si="108"/>
        <v>13493.509119816044</v>
      </c>
      <c r="N484" s="298">
        <f t="shared" si="108"/>
        <v>13493.509119816044</v>
      </c>
      <c r="O484" s="298">
        <f t="shared" si="108"/>
        <v>13493.509119816044</v>
      </c>
      <c r="P484" s="298">
        <f t="shared" si="108"/>
        <v>13493.509119816044</v>
      </c>
      <c r="Q484" s="298">
        <f t="shared" si="108"/>
        <v>13493.509119816044</v>
      </c>
      <c r="R484" s="298">
        <f t="shared" si="108"/>
        <v>13493.509119816044</v>
      </c>
      <c r="S484" s="298">
        <f t="shared" si="108"/>
        <v>13493.509119816044</v>
      </c>
      <c r="T484" s="298">
        <f t="shared" si="107"/>
        <v>13493.509119816044</v>
      </c>
      <c r="U484" s="298">
        <f t="shared" si="107"/>
        <v>13493.509119816044</v>
      </c>
      <c r="V484" s="298">
        <f t="shared" si="107"/>
        <v>13493.509119816044</v>
      </c>
      <c r="W484" s="298">
        <f t="shared" si="107"/>
        <v>13493.509119816044</v>
      </c>
      <c r="X484" s="298">
        <f t="shared" si="107"/>
        <v>13493.509119816044</v>
      </c>
      <c r="Y484" s="298">
        <f t="shared" si="107"/>
        <v>13493.509119816044</v>
      </c>
      <c r="Z484" s="298">
        <f t="shared" si="107"/>
        <v>13493.509119816044</v>
      </c>
      <c r="AA484" s="298">
        <f t="shared" si="107"/>
        <v>13493.509119816044</v>
      </c>
      <c r="AB484" s="298">
        <f t="shared" si="107"/>
        <v>13493.509119816044</v>
      </c>
      <c r="AC484" s="298">
        <f t="shared" si="107"/>
        <v>13493.509119816044</v>
      </c>
      <c r="AD484" s="298">
        <f t="shared" si="107"/>
        <v>13493.509119816044</v>
      </c>
      <c r="AE484" s="299">
        <f t="shared" si="107"/>
        <v>13493.509119816044</v>
      </c>
    </row>
    <row r="485" spans="1:31" ht="16.5" thickTop="1" thickBot="1">
      <c r="A485" s="1712"/>
      <c r="B485" s="300" t="s">
        <v>39</v>
      </c>
      <c r="C485" s="461">
        <f>IF('CAR Stock'!C514=0,0,SUMPRODUCT(C459:C484,'CAR Stock'!C488:C513)/'CAR Stock'!C514)</f>
        <v>17207.240866170017</v>
      </c>
      <c r="D485" s="461">
        <f>IF('CAR Stock'!D514=0,0,SUMPRODUCT(D459:D484,'CAR Stock'!D488:D513)/'CAR Stock'!D514)</f>
        <v>16869.55144420241</v>
      </c>
      <c r="E485" s="461">
        <f>IF('CAR Stock'!E514=0,0,SUMPRODUCT(E459:E484,'CAR Stock'!E488:E513)/'CAR Stock'!E514)</f>
        <v>16540.42156732221</v>
      </c>
      <c r="F485" s="461">
        <f>IF('CAR Stock'!F514=0,0,SUMPRODUCT(F459:F484,'CAR Stock'!F488:F513)/'CAR Stock'!F514)</f>
        <v>16222.188185967776</v>
      </c>
      <c r="G485" s="461">
        <f>IF('CAR Stock'!G514=0,0,SUMPRODUCT(G459:G484,'CAR Stock'!G488:G513)/'CAR Stock'!G514)</f>
        <v>15923.585279464087</v>
      </c>
      <c r="H485" s="461">
        <f>IF('CAR Stock'!H514=0,0,SUMPRODUCT(H459:H484,'CAR Stock'!H488:H513)/'CAR Stock'!H514)</f>
        <v>15654.161747519469</v>
      </c>
      <c r="I485" s="461">
        <f>IF('CAR Stock'!I514=0,0,SUMPRODUCT(I459:I484,'CAR Stock'!I488:I513)/'CAR Stock'!I514)</f>
        <v>15421.272962394301</v>
      </c>
      <c r="J485" s="461">
        <f>IF('CAR Stock'!J514=0,0,SUMPRODUCT(J459:J484,'CAR Stock'!J488:J513)/'CAR Stock'!J514)</f>
        <v>15228.94908885977</v>
      </c>
      <c r="K485" s="461">
        <f>IF('CAR Stock'!K514=0,0,SUMPRODUCT(K459:K484,'CAR Stock'!K488:K513)/'CAR Stock'!K514)</f>
        <v>15071.399792691114</v>
      </c>
      <c r="L485" s="461">
        <f>IF('CAR Stock'!L514=0,0,SUMPRODUCT(L459:L484,'CAR Stock'!L488:L513)/'CAR Stock'!L514)</f>
        <v>14928.556941013378</v>
      </c>
      <c r="M485" s="461">
        <f>IF('CAR Stock'!M514=0,0,SUMPRODUCT(M459:M484,'CAR Stock'!M488:M513)/'CAR Stock'!M514)</f>
        <v>14772.461753323714</v>
      </c>
      <c r="N485" s="461">
        <f>IF('CAR Stock'!N514=0,0,SUMPRODUCT(N459:N484,'CAR Stock'!N488:N513)/'CAR Stock'!N514)</f>
        <v>14588.063345021816</v>
      </c>
      <c r="O485" s="461">
        <f>IF('CAR Stock'!O514=0,0,SUMPRODUCT(O459:O484,'CAR Stock'!O488:O513)/'CAR Stock'!O514)</f>
        <v>14376.162170244896</v>
      </c>
      <c r="P485" s="461">
        <f>IF('CAR Stock'!P514=0,0,SUMPRODUCT(P459:P484,'CAR Stock'!P488:P513)/'CAR Stock'!P514)</f>
        <v>14151.312060969423</v>
      </c>
      <c r="Q485" s="461">
        <f>IF('CAR Stock'!Q514=0,0,SUMPRODUCT(Q459:Q484,'CAR Stock'!Q488:Q513)/'CAR Stock'!Q514)</f>
        <v>13909.289518664784</v>
      </c>
      <c r="R485" s="461">
        <f>IF('CAR Stock'!R514=0,0,SUMPRODUCT(R459:R484,'CAR Stock'!R488:R513)/'CAR Stock'!R514)</f>
        <v>13672.261040675379</v>
      </c>
      <c r="S485" s="461">
        <f>IF('CAR Stock'!S514=0,0,SUMPRODUCT(S459:S484,'CAR Stock'!S488:S513)/'CAR Stock'!S514)</f>
        <v>13493.509119816048</v>
      </c>
      <c r="T485" s="461">
        <f>IF('CAR Stock'!T514=0,0,SUMPRODUCT(T459:T484,'CAR Stock'!T488:T513)/'CAR Stock'!T514)</f>
        <v>13493.509119816046</v>
      </c>
      <c r="U485" s="461">
        <f>IF('CAR Stock'!U514=0,0,SUMPRODUCT(U459:U484,'CAR Stock'!U488:U513)/'CAR Stock'!U514)</f>
        <v>13493.509119816044</v>
      </c>
      <c r="V485" s="461">
        <f>IF('CAR Stock'!V514=0,0,SUMPRODUCT(V459:V484,'CAR Stock'!V488:V513)/'CAR Stock'!V514)</f>
        <v>13493.509119816046</v>
      </c>
      <c r="W485" s="461">
        <f>IF('CAR Stock'!W514=0,0,SUMPRODUCT(W459:W484,'CAR Stock'!W488:W513)/'CAR Stock'!W514)</f>
        <v>13493.509119816044</v>
      </c>
      <c r="X485" s="461">
        <f>IF('CAR Stock'!X514=0,0,SUMPRODUCT(X459:X484,'CAR Stock'!X488:X513)/'CAR Stock'!X514)</f>
        <v>13493.509119816044</v>
      </c>
      <c r="Y485" s="461">
        <f>IF('CAR Stock'!Y514=0,0,SUMPRODUCT(Y459:Y484,'CAR Stock'!Y488:Y513)/'CAR Stock'!Y514)</f>
        <v>13493.509119816044</v>
      </c>
      <c r="Z485" s="461">
        <f>IF('CAR Stock'!Z514=0,0,SUMPRODUCT(Z459:Z484,'CAR Stock'!Z488:Z513)/'CAR Stock'!Z514)</f>
        <v>13493.509119816043</v>
      </c>
      <c r="AA485" s="461">
        <f>IF('CAR Stock'!AA514=0,0,SUMPRODUCT(AA459:AA484,'CAR Stock'!AA488:AA513)/'CAR Stock'!AA514)</f>
        <v>13493.509119816044</v>
      </c>
      <c r="AB485" s="461">
        <f>IF('CAR Stock'!AB514=0,0,SUMPRODUCT(AB459:AB484,'CAR Stock'!AB488:AB513)/'CAR Stock'!AB514)</f>
        <v>0</v>
      </c>
      <c r="AC485" s="461">
        <f>IF('CAR Stock'!AC514=0,0,SUMPRODUCT(AC459:AC484,'CAR Stock'!AC488:AC513)/'CAR Stock'!AC514)</f>
        <v>0</v>
      </c>
      <c r="AD485" s="461">
        <f>IF('CAR Stock'!AD514=0,0,SUMPRODUCT(AD459:AD484,'CAR Stock'!AD488:AD513)/'CAR Stock'!AD514)</f>
        <v>0</v>
      </c>
      <c r="AE485" s="462">
        <f>IF('CAR Stock'!AE514=0,0,SUMPRODUCT(AE459:AE484,'CAR Stock'!AE488:AE513)/'CAR Stock'!AE514)</f>
        <v>0</v>
      </c>
    </row>
  </sheetData>
  <mergeCells count="21">
    <mergeCell ref="AC2:AD2"/>
    <mergeCell ref="A2:F2"/>
    <mergeCell ref="H2:M2"/>
    <mergeCell ref="O2:T2"/>
    <mergeCell ref="V2:AA2"/>
    <mergeCell ref="A168:A195"/>
    <mergeCell ref="A23:A50"/>
    <mergeCell ref="A52:A79"/>
    <mergeCell ref="A81:A108"/>
    <mergeCell ref="A110:A137"/>
    <mergeCell ref="A139:A166"/>
    <mergeCell ref="A371:A398"/>
    <mergeCell ref="A400:A427"/>
    <mergeCell ref="A429:A456"/>
    <mergeCell ref="A458:A485"/>
    <mergeCell ref="A197:A224"/>
    <mergeCell ref="A226:A253"/>
    <mergeCell ref="A255:A282"/>
    <mergeCell ref="A284:A311"/>
    <mergeCell ref="A313:A340"/>
    <mergeCell ref="A342:A369"/>
  </mergeCells>
  <pageMargins left="0.7" right="0.7" top="0.75" bottom="0.75" header="0.3" footer="0.3"/>
  <pageSetup paperSize="9"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0">
    <tabColor theme="4"/>
  </sheetPr>
  <dimension ref="A1:BK464"/>
  <sheetViews>
    <sheetView workbookViewId="0"/>
  </sheetViews>
  <sheetFormatPr defaultRowHeight="15"/>
  <cols>
    <col min="3" max="27" width="12.140625" bestFit="1" customWidth="1"/>
    <col min="28" max="31" width="10.140625" bestFit="1" customWidth="1"/>
    <col min="35" max="35" width="22.28515625" bestFit="1" customWidth="1"/>
    <col min="36" max="36" width="22.42578125" bestFit="1" customWidth="1"/>
    <col min="37" max="37" width="22" bestFit="1" customWidth="1"/>
    <col min="38" max="38" width="21.7109375" bestFit="1" customWidth="1"/>
    <col min="39" max="39" width="21.42578125" bestFit="1" customWidth="1"/>
    <col min="40" max="41" width="22" bestFit="1" customWidth="1"/>
    <col min="42" max="42" width="21.7109375" bestFit="1" customWidth="1"/>
    <col min="43" max="43" width="22" bestFit="1" customWidth="1"/>
    <col min="44" max="44" width="21.42578125" bestFit="1" customWidth="1"/>
    <col min="45" max="46" width="22" bestFit="1" customWidth="1"/>
    <col min="47" max="47" width="21.7109375" bestFit="1" customWidth="1"/>
    <col min="48" max="48" width="20.85546875" bestFit="1" customWidth="1"/>
    <col min="49" max="49" width="19.5703125" bestFit="1" customWidth="1"/>
    <col min="50" max="50" width="18.5703125" bestFit="1" customWidth="1"/>
    <col min="51" max="51" width="17.28515625" bestFit="1" customWidth="1"/>
    <col min="52" max="52" width="17.85546875" bestFit="1" customWidth="1"/>
    <col min="53" max="53" width="16" bestFit="1" customWidth="1"/>
    <col min="54" max="54" width="15.7109375" bestFit="1" customWidth="1"/>
    <col min="55" max="55" width="14.140625" bestFit="1" customWidth="1"/>
    <col min="56" max="56" width="12.140625" bestFit="1" customWidth="1"/>
    <col min="57" max="57" width="10.85546875" bestFit="1" customWidth="1"/>
    <col min="58" max="58" width="9" bestFit="1" customWidth="1"/>
    <col min="59" max="63" width="8.42578125" bestFit="1" customWidth="1"/>
  </cols>
  <sheetData>
    <row r="1" spans="1:63" ht="15.75" thickBot="1">
      <c r="A1" t="s">
        <v>182</v>
      </c>
      <c r="AG1" t="s">
        <v>1096</v>
      </c>
    </row>
    <row r="2" spans="1:63" ht="15.75" customHeight="1" thickBot="1">
      <c r="A2" s="1710" t="s">
        <v>181</v>
      </c>
      <c r="B2" s="169" t="s">
        <v>10</v>
      </c>
      <c r="C2" s="288">
        <v>2012</v>
      </c>
      <c r="D2" s="289">
        <v>2013</v>
      </c>
      <c r="E2" s="289">
        <v>2014</v>
      </c>
      <c r="F2" s="289">
        <v>2015</v>
      </c>
      <c r="G2" s="288">
        <v>2016</v>
      </c>
      <c r="H2" s="289">
        <v>2017</v>
      </c>
      <c r="I2" s="289">
        <v>2018</v>
      </c>
      <c r="J2" s="289">
        <v>2019</v>
      </c>
      <c r="K2" s="288">
        <v>2020</v>
      </c>
      <c r="L2" s="289">
        <v>2021</v>
      </c>
      <c r="M2" s="289">
        <v>2022</v>
      </c>
      <c r="N2" s="289">
        <v>2023</v>
      </c>
      <c r="O2" s="288">
        <v>2024</v>
      </c>
      <c r="P2" s="289">
        <v>2025</v>
      </c>
      <c r="Q2" s="289">
        <v>2026</v>
      </c>
      <c r="R2" s="289">
        <v>2027</v>
      </c>
      <c r="S2" s="288">
        <v>2028</v>
      </c>
      <c r="T2" s="289">
        <v>2029</v>
      </c>
      <c r="U2" s="289">
        <v>2030</v>
      </c>
      <c r="V2" s="289">
        <v>2031</v>
      </c>
      <c r="W2" s="288">
        <v>2032</v>
      </c>
      <c r="X2" s="289">
        <v>2033</v>
      </c>
      <c r="Y2" s="289">
        <v>2034</v>
      </c>
      <c r="Z2" s="289">
        <v>2035</v>
      </c>
      <c r="AA2" s="288">
        <v>2036</v>
      </c>
      <c r="AB2" s="289">
        <v>2037</v>
      </c>
      <c r="AC2" s="289">
        <v>2038</v>
      </c>
      <c r="AD2" s="289">
        <v>2039</v>
      </c>
      <c r="AE2" s="290">
        <v>2040</v>
      </c>
      <c r="AG2" s="1710" t="s">
        <v>41</v>
      </c>
      <c r="AH2" s="169" t="s">
        <v>10</v>
      </c>
      <c r="AI2" s="288">
        <v>2012</v>
      </c>
      <c r="AJ2" s="289">
        <v>2013</v>
      </c>
      <c r="AK2" s="289">
        <v>2014</v>
      </c>
      <c r="AL2" s="289">
        <v>2015</v>
      </c>
      <c r="AM2" s="288">
        <v>2016</v>
      </c>
      <c r="AN2" s="289">
        <v>2017</v>
      </c>
      <c r="AO2" s="289">
        <v>2018</v>
      </c>
      <c r="AP2" s="289">
        <v>2019</v>
      </c>
      <c r="AQ2" s="288">
        <v>2020</v>
      </c>
      <c r="AR2" s="289">
        <v>2021</v>
      </c>
      <c r="AS2" s="289">
        <v>2022</v>
      </c>
      <c r="AT2" s="289">
        <v>2023</v>
      </c>
      <c r="AU2" s="288">
        <v>2024</v>
      </c>
      <c r="AV2" s="289">
        <v>2025</v>
      </c>
      <c r="AW2" s="289">
        <v>2026</v>
      </c>
      <c r="AX2" s="289">
        <v>2027</v>
      </c>
      <c r="AY2" s="288">
        <v>2028</v>
      </c>
      <c r="AZ2" s="289">
        <v>2029</v>
      </c>
      <c r="BA2" s="289">
        <v>2030</v>
      </c>
      <c r="BB2" s="289">
        <v>2031</v>
      </c>
      <c r="BC2" s="288">
        <v>2032</v>
      </c>
      <c r="BD2" s="289">
        <v>2033</v>
      </c>
      <c r="BE2" s="289">
        <v>2034</v>
      </c>
      <c r="BF2" s="289">
        <v>2035</v>
      </c>
      <c r="BG2" s="288">
        <v>2036</v>
      </c>
      <c r="BH2" s="289">
        <v>2037</v>
      </c>
      <c r="BI2" s="289">
        <v>2038</v>
      </c>
      <c r="BJ2" s="289">
        <v>2039</v>
      </c>
      <c r="BK2" s="290">
        <v>2040</v>
      </c>
    </row>
    <row r="3" spans="1:63">
      <c r="A3" s="1711"/>
      <c r="B3" s="116">
        <v>0</v>
      </c>
      <c r="C3" s="291">
        <f>'CAR Mileage'!C24*CAR!$I$58</f>
        <v>21453.54353368398</v>
      </c>
      <c r="D3" s="292">
        <f>'CAR Mileage'!D24*CAR!$I$58</f>
        <v>21453.54353368398</v>
      </c>
      <c r="E3" s="292">
        <f>'CAR Mileage'!E24*CAR!$I$58</f>
        <v>21453.54353368398</v>
      </c>
      <c r="F3" s="292">
        <f>'CAR Mileage'!F24*CAR!$I$58</f>
        <v>21453.54353368398</v>
      </c>
      <c r="G3" s="292">
        <f>'CAR Mileage'!G24*CAR!$I$58</f>
        <v>21453.54353368398</v>
      </c>
      <c r="H3" s="292">
        <f>'CAR Mileage'!H24*CAR!$I$58</f>
        <v>21453.54353368398</v>
      </c>
      <c r="I3" s="292">
        <f>'CAR Mileage'!I24*CAR!$I$58</f>
        <v>21453.54353368398</v>
      </c>
      <c r="J3" s="292">
        <f>'CAR Mileage'!J24*CAR!$I$58</f>
        <v>21453.54353368398</v>
      </c>
      <c r="K3" s="292">
        <f>'CAR Mileage'!K24*CAR!$I$58</f>
        <v>21453.54353368398</v>
      </c>
      <c r="L3" s="292">
        <f>'CAR Mileage'!L24*CAR!$I$58</f>
        <v>21453.54353368398</v>
      </c>
      <c r="M3" s="292">
        <f>'CAR Mileage'!M24*CAR!$I$58</f>
        <v>21453.54353368398</v>
      </c>
      <c r="N3" s="292">
        <f>'CAR Mileage'!N24*CAR!$I$58</f>
        <v>21453.54353368398</v>
      </c>
      <c r="O3" s="292">
        <f>'CAR Mileage'!O24*CAR!$I$58</f>
        <v>21453.54353368398</v>
      </c>
      <c r="P3" s="292">
        <f>'CAR Mileage'!P24*CAR!$I$58</f>
        <v>21453.54353368398</v>
      </c>
      <c r="Q3" s="292">
        <f>'CAR Mileage'!Q24*CAR!$I$58</f>
        <v>21453.54353368398</v>
      </c>
      <c r="R3" s="292">
        <f>'CAR Mileage'!R24*CAR!$I$58</f>
        <v>21453.54353368398</v>
      </c>
      <c r="S3" s="292">
        <f>'CAR Mileage'!S24*CAR!$I$58</f>
        <v>21453.54353368398</v>
      </c>
      <c r="T3" s="292">
        <f>'CAR Mileage'!T24*CAR!$I$58</f>
        <v>21453.54353368398</v>
      </c>
      <c r="U3" s="292">
        <f>'CAR Mileage'!U24*CAR!$I$58</f>
        <v>21453.54353368398</v>
      </c>
      <c r="V3" s="292">
        <f>'CAR Mileage'!V24*CAR!$I$58</f>
        <v>21453.54353368398</v>
      </c>
      <c r="W3" s="292">
        <f>'CAR Mileage'!W24*CAR!$I$58</f>
        <v>21453.54353368398</v>
      </c>
      <c r="X3" s="292">
        <f>'CAR Mileage'!X24*CAR!$I$58</f>
        <v>21453.54353368398</v>
      </c>
      <c r="Y3" s="292">
        <f>'CAR Mileage'!Y24*CAR!$I$58</f>
        <v>21453.54353368398</v>
      </c>
      <c r="Z3" s="292">
        <f>'CAR Mileage'!Z24*CAR!$I$58</f>
        <v>21453.54353368398</v>
      </c>
      <c r="AA3" s="292">
        <f>'CAR Mileage'!AA24*CAR!$I$58</f>
        <v>21453.54353368398</v>
      </c>
      <c r="AB3" s="292">
        <f>'CAR Mileage'!AB24*CAR!$I$58</f>
        <v>21453.54353368398</v>
      </c>
      <c r="AC3" s="292">
        <f>'CAR Mileage'!AC24*CAR!$I$58</f>
        <v>21453.54353368398</v>
      </c>
      <c r="AD3" s="292">
        <f>'CAR Mileage'!AD24*CAR!$I$58</f>
        <v>21453.54353368398</v>
      </c>
      <c r="AE3" s="293">
        <f>'CAR Mileage'!AE24*CAR!$I$58</f>
        <v>21453.54353368398</v>
      </c>
      <c r="AG3" s="1711"/>
      <c r="AH3" s="116">
        <v>0</v>
      </c>
      <c r="AI3" s="291">
        <f>'CAR Passenger Kilometres'!C3*'CAR Stock'!C53</f>
        <v>69445120.418535039</v>
      </c>
      <c r="AJ3" s="292">
        <f>'CAR Passenger Kilometres'!D3*'CAR Stock'!D53</f>
        <v>0</v>
      </c>
      <c r="AK3" s="292">
        <f>'CAR Passenger Kilometres'!E3*'CAR Stock'!E53</f>
        <v>0</v>
      </c>
      <c r="AL3" s="292">
        <f>'CAR Passenger Kilometres'!F3*'CAR Stock'!F53</f>
        <v>0</v>
      </c>
      <c r="AM3" s="292">
        <f>'CAR Passenger Kilometres'!G3*'CAR Stock'!G53</f>
        <v>0</v>
      </c>
      <c r="AN3" s="292">
        <f>'CAR Passenger Kilometres'!H3*'CAR Stock'!H53</f>
        <v>0</v>
      </c>
      <c r="AO3" s="292">
        <f>'CAR Passenger Kilometres'!I3*'CAR Stock'!I53</f>
        <v>0</v>
      </c>
      <c r="AP3" s="292">
        <f>'CAR Passenger Kilometres'!J3*'CAR Stock'!J53</f>
        <v>0</v>
      </c>
      <c r="AQ3" s="292">
        <f>'CAR Passenger Kilometres'!K3*'CAR Stock'!K53</f>
        <v>0</v>
      </c>
      <c r="AR3" s="292">
        <f>'CAR Passenger Kilometres'!L3*'CAR Stock'!L53</f>
        <v>0</v>
      </c>
      <c r="AS3" s="292">
        <f>'CAR Passenger Kilometres'!M3*'CAR Stock'!M53</f>
        <v>0</v>
      </c>
      <c r="AT3" s="292">
        <f>'CAR Passenger Kilometres'!N3*'CAR Stock'!N53</f>
        <v>0</v>
      </c>
      <c r="AU3" s="292">
        <f>'CAR Passenger Kilometres'!O3*'CAR Stock'!O53</f>
        <v>0</v>
      </c>
      <c r="AV3" s="292">
        <f>'CAR Passenger Kilometres'!P3*'CAR Stock'!P53</f>
        <v>0</v>
      </c>
      <c r="AW3" s="292">
        <f>'CAR Passenger Kilometres'!Q3*'CAR Stock'!Q53</f>
        <v>0</v>
      </c>
      <c r="AX3" s="292">
        <f>'CAR Passenger Kilometres'!R3*'CAR Stock'!R53</f>
        <v>0</v>
      </c>
      <c r="AY3" s="292">
        <f>'CAR Passenger Kilometres'!S3*'CAR Stock'!S53</f>
        <v>0</v>
      </c>
      <c r="AZ3" s="292">
        <f>'CAR Passenger Kilometres'!T3*'CAR Stock'!T53</f>
        <v>0</v>
      </c>
      <c r="BA3" s="292">
        <f>'CAR Passenger Kilometres'!U3*'CAR Stock'!U53</f>
        <v>0</v>
      </c>
      <c r="BB3" s="292">
        <f>'CAR Passenger Kilometres'!V3*'CAR Stock'!V53</f>
        <v>0</v>
      </c>
      <c r="BC3" s="292">
        <f>'CAR Passenger Kilometres'!W3*'CAR Stock'!W53</f>
        <v>0</v>
      </c>
      <c r="BD3" s="292">
        <f>'CAR Passenger Kilometres'!X3*'CAR Stock'!X53</f>
        <v>0</v>
      </c>
      <c r="BE3" s="292">
        <f>'CAR Passenger Kilometres'!Y3*'CAR Stock'!Y53</f>
        <v>0</v>
      </c>
      <c r="BF3" s="292">
        <f>'CAR Passenger Kilometres'!Z3*'CAR Stock'!Z53</f>
        <v>0</v>
      </c>
      <c r="BG3" s="292">
        <f>'CAR Passenger Kilometres'!AA3*'CAR Stock'!AA53</f>
        <v>0</v>
      </c>
      <c r="BH3" s="292">
        <f>'CAR Passenger Kilometres'!AB3*'CAR Stock'!AB53</f>
        <v>0</v>
      </c>
      <c r="BI3" s="292">
        <f>'CAR Passenger Kilometres'!AC3*'CAR Stock'!AC53</f>
        <v>0</v>
      </c>
      <c r="BJ3" s="292">
        <f>'CAR Passenger Kilometres'!AD3*'CAR Stock'!AD53</f>
        <v>0</v>
      </c>
      <c r="BK3" s="293">
        <f>'CAR Passenger Kilometres'!AE3*'CAR Stock'!AE53</f>
        <v>0</v>
      </c>
    </row>
    <row r="4" spans="1:63">
      <c r="A4" s="1711"/>
      <c r="B4" s="116">
        <v>1</v>
      </c>
      <c r="C4" s="294">
        <f>'CAR Mileage'!C25*CAR!$I$58</f>
        <v>21024.4726630103</v>
      </c>
      <c r="D4" s="295">
        <f>'CAR Mileage'!D25*CAR!$I$58</f>
        <v>21024.4726630103</v>
      </c>
      <c r="E4" s="295">
        <f>'CAR Mileage'!E25*CAR!$I$58</f>
        <v>21024.4726630103</v>
      </c>
      <c r="F4" s="295">
        <f>'CAR Mileage'!F25*CAR!$I$58</f>
        <v>21024.4726630103</v>
      </c>
      <c r="G4" s="295">
        <f>'CAR Mileage'!G25*CAR!$I$58</f>
        <v>21024.4726630103</v>
      </c>
      <c r="H4" s="295">
        <f>'CAR Mileage'!H25*CAR!$I$58</f>
        <v>21024.4726630103</v>
      </c>
      <c r="I4" s="295">
        <f>'CAR Mileage'!I25*CAR!$I$58</f>
        <v>21024.4726630103</v>
      </c>
      <c r="J4" s="295">
        <f>'CAR Mileage'!J25*CAR!$I$58</f>
        <v>21024.4726630103</v>
      </c>
      <c r="K4" s="295">
        <f>'CAR Mileage'!K25*CAR!$I$58</f>
        <v>21024.4726630103</v>
      </c>
      <c r="L4" s="295">
        <f>'CAR Mileage'!L25*CAR!$I$58</f>
        <v>21024.4726630103</v>
      </c>
      <c r="M4" s="295">
        <f>'CAR Mileage'!M25*CAR!$I$58</f>
        <v>21024.4726630103</v>
      </c>
      <c r="N4" s="295">
        <f>'CAR Mileage'!N25*CAR!$I$58</f>
        <v>21024.4726630103</v>
      </c>
      <c r="O4" s="295">
        <f>'CAR Mileage'!O25*CAR!$I$58</f>
        <v>21024.4726630103</v>
      </c>
      <c r="P4" s="295">
        <f>'CAR Mileage'!P25*CAR!$I$58</f>
        <v>21024.4726630103</v>
      </c>
      <c r="Q4" s="295">
        <f>'CAR Mileage'!Q25*CAR!$I$58</f>
        <v>21024.4726630103</v>
      </c>
      <c r="R4" s="295">
        <f>'CAR Mileage'!R25*CAR!$I$58</f>
        <v>21024.4726630103</v>
      </c>
      <c r="S4" s="295">
        <f>'CAR Mileage'!S25*CAR!$I$58</f>
        <v>21024.4726630103</v>
      </c>
      <c r="T4" s="295">
        <f>'CAR Mileage'!T25*CAR!$I$58</f>
        <v>21024.4726630103</v>
      </c>
      <c r="U4" s="295">
        <f>'CAR Mileage'!U25*CAR!$I$58</f>
        <v>21024.4726630103</v>
      </c>
      <c r="V4" s="295">
        <f>'CAR Mileage'!V25*CAR!$I$58</f>
        <v>21024.4726630103</v>
      </c>
      <c r="W4" s="295">
        <f>'CAR Mileage'!W25*CAR!$I$58</f>
        <v>21024.4726630103</v>
      </c>
      <c r="X4" s="295">
        <f>'CAR Mileage'!X25*CAR!$I$58</f>
        <v>21024.4726630103</v>
      </c>
      <c r="Y4" s="295">
        <f>'CAR Mileage'!Y25*CAR!$I$58</f>
        <v>21024.4726630103</v>
      </c>
      <c r="Z4" s="295">
        <f>'CAR Mileage'!Z25*CAR!$I$58</f>
        <v>21024.4726630103</v>
      </c>
      <c r="AA4" s="295">
        <f>'CAR Mileage'!AA25*CAR!$I$58</f>
        <v>21024.4726630103</v>
      </c>
      <c r="AB4" s="295">
        <f>'CAR Mileage'!AB25*CAR!$I$58</f>
        <v>21024.4726630103</v>
      </c>
      <c r="AC4" s="295">
        <f>'CAR Mileage'!AC25*CAR!$I$58</f>
        <v>21024.4726630103</v>
      </c>
      <c r="AD4" s="295">
        <f>'CAR Mileage'!AD25*CAR!$I$58</f>
        <v>21024.4726630103</v>
      </c>
      <c r="AE4" s="296">
        <f>'CAR Mileage'!AE25*CAR!$I$58</f>
        <v>21024.4726630103</v>
      </c>
      <c r="AG4" s="1711"/>
      <c r="AH4" s="116">
        <v>1</v>
      </c>
      <c r="AI4" s="294">
        <f>'CAR Passenger Kilometres'!C4*'CAR Stock'!C54</f>
        <v>74111266.137111306</v>
      </c>
      <c r="AJ4" s="295">
        <f>'CAR Passenger Kilometres'!D4*'CAR Stock'!D54</f>
        <v>68056218.010164335</v>
      </c>
      <c r="AK4" s="295">
        <f>'CAR Passenger Kilometres'!E4*'CAR Stock'!E54</f>
        <v>0</v>
      </c>
      <c r="AL4" s="295">
        <f>'CAR Passenger Kilometres'!F4*'CAR Stock'!F54</f>
        <v>0</v>
      </c>
      <c r="AM4" s="295">
        <f>'CAR Passenger Kilometres'!G4*'CAR Stock'!G54</f>
        <v>0</v>
      </c>
      <c r="AN4" s="295">
        <f>'CAR Passenger Kilometres'!H4*'CAR Stock'!H54</f>
        <v>0</v>
      </c>
      <c r="AO4" s="295">
        <f>'CAR Passenger Kilometres'!I4*'CAR Stock'!I54</f>
        <v>0</v>
      </c>
      <c r="AP4" s="295">
        <f>'CAR Passenger Kilometres'!J4*'CAR Stock'!J54</f>
        <v>0</v>
      </c>
      <c r="AQ4" s="295">
        <f>'CAR Passenger Kilometres'!K4*'CAR Stock'!K54</f>
        <v>0</v>
      </c>
      <c r="AR4" s="295">
        <f>'CAR Passenger Kilometres'!L4*'CAR Stock'!L54</f>
        <v>0</v>
      </c>
      <c r="AS4" s="295">
        <f>'CAR Passenger Kilometres'!M4*'CAR Stock'!M54</f>
        <v>0</v>
      </c>
      <c r="AT4" s="295">
        <f>'CAR Passenger Kilometres'!N4*'CAR Stock'!N54</f>
        <v>0</v>
      </c>
      <c r="AU4" s="295">
        <f>'CAR Passenger Kilometres'!O4*'CAR Stock'!O54</f>
        <v>0</v>
      </c>
      <c r="AV4" s="295">
        <f>'CAR Passenger Kilometres'!P4*'CAR Stock'!P54</f>
        <v>0</v>
      </c>
      <c r="AW4" s="295">
        <f>'CAR Passenger Kilometres'!Q4*'CAR Stock'!Q54</f>
        <v>0</v>
      </c>
      <c r="AX4" s="295">
        <f>'CAR Passenger Kilometres'!R4*'CAR Stock'!R54</f>
        <v>0</v>
      </c>
      <c r="AY4" s="295">
        <f>'CAR Passenger Kilometres'!S4*'CAR Stock'!S54</f>
        <v>0</v>
      </c>
      <c r="AZ4" s="295">
        <f>'CAR Passenger Kilometres'!T4*'CAR Stock'!T54</f>
        <v>0</v>
      </c>
      <c r="BA4" s="295">
        <f>'CAR Passenger Kilometres'!U4*'CAR Stock'!U54</f>
        <v>0</v>
      </c>
      <c r="BB4" s="295">
        <f>'CAR Passenger Kilometres'!V4*'CAR Stock'!V54</f>
        <v>0</v>
      </c>
      <c r="BC4" s="295">
        <f>'CAR Passenger Kilometres'!W4*'CAR Stock'!W54</f>
        <v>0</v>
      </c>
      <c r="BD4" s="295">
        <f>'CAR Passenger Kilometres'!X4*'CAR Stock'!X54</f>
        <v>0</v>
      </c>
      <c r="BE4" s="295">
        <f>'CAR Passenger Kilometres'!Y4*'CAR Stock'!Y54</f>
        <v>0</v>
      </c>
      <c r="BF4" s="295">
        <f>'CAR Passenger Kilometres'!Z4*'CAR Stock'!Z54</f>
        <v>0</v>
      </c>
      <c r="BG4" s="295">
        <f>'CAR Passenger Kilometres'!AA4*'CAR Stock'!AA54</f>
        <v>0</v>
      </c>
      <c r="BH4" s="295">
        <f>'CAR Passenger Kilometres'!AB4*'CAR Stock'!AB54</f>
        <v>0</v>
      </c>
      <c r="BI4" s="295">
        <f>'CAR Passenger Kilometres'!AC4*'CAR Stock'!AC54</f>
        <v>0</v>
      </c>
      <c r="BJ4" s="295">
        <f>'CAR Passenger Kilometres'!AD4*'CAR Stock'!AD54</f>
        <v>0</v>
      </c>
      <c r="BK4" s="296">
        <f>'CAR Passenger Kilometres'!AE4*'CAR Stock'!AE54</f>
        <v>0</v>
      </c>
    </row>
    <row r="5" spans="1:63">
      <c r="A5" s="1711"/>
      <c r="B5" s="116">
        <v>2</v>
      </c>
      <c r="C5" s="294">
        <f>'CAR Mileage'!C26*CAR!$I$58</f>
        <v>20603.983209750095</v>
      </c>
      <c r="D5" s="295">
        <f>'CAR Mileage'!D26*CAR!$I$58</f>
        <v>20603.983209750095</v>
      </c>
      <c r="E5" s="295">
        <f>'CAR Mileage'!E26*CAR!$I$58</f>
        <v>20603.983209750095</v>
      </c>
      <c r="F5" s="295">
        <f>'CAR Mileage'!F26*CAR!$I$58</f>
        <v>20603.983209750095</v>
      </c>
      <c r="G5" s="295">
        <f>'CAR Mileage'!G26*CAR!$I$58</f>
        <v>20603.983209750095</v>
      </c>
      <c r="H5" s="295">
        <f>'CAR Mileage'!H26*CAR!$I$58</f>
        <v>20603.983209750095</v>
      </c>
      <c r="I5" s="295">
        <f>'CAR Mileage'!I26*CAR!$I$58</f>
        <v>20603.983209750095</v>
      </c>
      <c r="J5" s="295">
        <f>'CAR Mileage'!J26*CAR!$I$58</f>
        <v>20603.983209750095</v>
      </c>
      <c r="K5" s="295">
        <f>'CAR Mileage'!K26*CAR!$I$58</f>
        <v>20603.983209750095</v>
      </c>
      <c r="L5" s="295">
        <f>'CAR Mileage'!L26*CAR!$I$58</f>
        <v>20603.983209750095</v>
      </c>
      <c r="M5" s="295">
        <f>'CAR Mileage'!M26*CAR!$I$58</f>
        <v>20603.983209750095</v>
      </c>
      <c r="N5" s="295">
        <f>'CAR Mileage'!N26*CAR!$I$58</f>
        <v>20603.983209750095</v>
      </c>
      <c r="O5" s="295">
        <f>'CAR Mileage'!O26*CAR!$I$58</f>
        <v>20603.983209750095</v>
      </c>
      <c r="P5" s="295">
        <f>'CAR Mileage'!P26*CAR!$I$58</f>
        <v>20603.983209750095</v>
      </c>
      <c r="Q5" s="295">
        <f>'CAR Mileage'!Q26*CAR!$I$58</f>
        <v>20603.983209750095</v>
      </c>
      <c r="R5" s="295">
        <f>'CAR Mileage'!R26*CAR!$I$58</f>
        <v>20603.983209750095</v>
      </c>
      <c r="S5" s="295">
        <f>'CAR Mileage'!S26*CAR!$I$58</f>
        <v>20603.983209750095</v>
      </c>
      <c r="T5" s="295">
        <f>'CAR Mileage'!T26*CAR!$I$58</f>
        <v>20603.983209750095</v>
      </c>
      <c r="U5" s="295">
        <f>'CAR Mileage'!U26*CAR!$I$58</f>
        <v>20603.983209750095</v>
      </c>
      <c r="V5" s="295">
        <f>'CAR Mileage'!V26*CAR!$I$58</f>
        <v>20603.983209750095</v>
      </c>
      <c r="W5" s="295">
        <f>'CAR Mileage'!W26*CAR!$I$58</f>
        <v>20603.983209750095</v>
      </c>
      <c r="X5" s="295">
        <f>'CAR Mileage'!X26*CAR!$I$58</f>
        <v>20603.983209750095</v>
      </c>
      <c r="Y5" s="295">
        <f>'CAR Mileage'!Y26*CAR!$I$58</f>
        <v>20603.983209750095</v>
      </c>
      <c r="Z5" s="295">
        <f>'CAR Mileage'!Z26*CAR!$I$58</f>
        <v>20603.983209750095</v>
      </c>
      <c r="AA5" s="295">
        <f>'CAR Mileage'!AA26*CAR!$I$58</f>
        <v>20603.983209750095</v>
      </c>
      <c r="AB5" s="295">
        <f>'CAR Mileage'!AB26*CAR!$I$58</f>
        <v>20603.983209750095</v>
      </c>
      <c r="AC5" s="295">
        <f>'CAR Mileage'!AC26*CAR!$I$58</f>
        <v>20603.983209750095</v>
      </c>
      <c r="AD5" s="295">
        <f>'CAR Mileage'!AD26*CAR!$I$58</f>
        <v>20603.983209750095</v>
      </c>
      <c r="AE5" s="296">
        <f>'CAR Mileage'!AE26*CAR!$I$58</f>
        <v>20603.983209750095</v>
      </c>
      <c r="AG5" s="1711"/>
      <c r="AH5" s="116">
        <v>2</v>
      </c>
      <c r="AI5" s="294">
        <f>'CAR Passenger Kilometres'!C5*'CAR Stock'!C55</f>
        <v>74792459.051392838</v>
      </c>
      <c r="AJ5" s="295">
        <f>'CAR Passenger Kilometres'!D5*'CAR Stock'!D55</f>
        <v>72629040.814369082</v>
      </c>
      <c r="AK5" s="295">
        <f>'CAR Passenger Kilometres'!E5*'CAR Stock'!E55</f>
        <v>66695093.649961054</v>
      </c>
      <c r="AL5" s="295">
        <f>'CAR Passenger Kilometres'!F5*'CAR Stock'!F55</f>
        <v>0</v>
      </c>
      <c r="AM5" s="295">
        <f>'CAR Passenger Kilometres'!G5*'CAR Stock'!G55</f>
        <v>0</v>
      </c>
      <c r="AN5" s="295">
        <f>'CAR Passenger Kilometres'!H5*'CAR Stock'!H55</f>
        <v>0</v>
      </c>
      <c r="AO5" s="295">
        <f>'CAR Passenger Kilometres'!I5*'CAR Stock'!I55</f>
        <v>0</v>
      </c>
      <c r="AP5" s="295">
        <f>'CAR Passenger Kilometres'!J5*'CAR Stock'!J55</f>
        <v>0</v>
      </c>
      <c r="AQ5" s="295">
        <f>'CAR Passenger Kilometres'!K5*'CAR Stock'!K55</f>
        <v>0</v>
      </c>
      <c r="AR5" s="295">
        <f>'CAR Passenger Kilometres'!L5*'CAR Stock'!L55</f>
        <v>0</v>
      </c>
      <c r="AS5" s="295">
        <f>'CAR Passenger Kilometres'!M5*'CAR Stock'!M55</f>
        <v>0</v>
      </c>
      <c r="AT5" s="295">
        <f>'CAR Passenger Kilometres'!N5*'CAR Stock'!N55</f>
        <v>0</v>
      </c>
      <c r="AU5" s="295">
        <f>'CAR Passenger Kilometres'!O5*'CAR Stock'!O55</f>
        <v>0</v>
      </c>
      <c r="AV5" s="295">
        <f>'CAR Passenger Kilometres'!P5*'CAR Stock'!P55</f>
        <v>0</v>
      </c>
      <c r="AW5" s="295">
        <f>'CAR Passenger Kilometres'!Q5*'CAR Stock'!Q55</f>
        <v>0</v>
      </c>
      <c r="AX5" s="295">
        <f>'CAR Passenger Kilometres'!R5*'CAR Stock'!R55</f>
        <v>0</v>
      </c>
      <c r="AY5" s="295">
        <f>'CAR Passenger Kilometres'!S5*'CAR Stock'!S55</f>
        <v>0</v>
      </c>
      <c r="AZ5" s="295">
        <f>'CAR Passenger Kilometres'!T5*'CAR Stock'!T55</f>
        <v>0</v>
      </c>
      <c r="BA5" s="295">
        <f>'CAR Passenger Kilometres'!U5*'CAR Stock'!U55</f>
        <v>0</v>
      </c>
      <c r="BB5" s="295">
        <f>'CAR Passenger Kilometres'!V5*'CAR Stock'!V55</f>
        <v>0</v>
      </c>
      <c r="BC5" s="295">
        <f>'CAR Passenger Kilometres'!W5*'CAR Stock'!W55</f>
        <v>0</v>
      </c>
      <c r="BD5" s="295">
        <f>'CAR Passenger Kilometres'!X5*'CAR Stock'!X55</f>
        <v>0</v>
      </c>
      <c r="BE5" s="295">
        <f>'CAR Passenger Kilometres'!Y5*'CAR Stock'!Y55</f>
        <v>0</v>
      </c>
      <c r="BF5" s="295">
        <f>'CAR Passenger Kilometres'!Z5*'CAR Stock'!Z55</f>
        <v>0</v>
      </c>
      <c r="BG5" s="295">
        <f>'CAR Passenger Kilometres'!AA5*'CAR Stock'!AA55</f>
        <v>0</v>
      </c>
      <c r="BH5" s="295">
        <f>'CAR Passenger Kilometres'!AB5*'CAR Stock'!AB55</f>
        <v>0</v>
      </c>
      <c r="BI5" s="295">
        <f>'CAR Passenger Kilometres'!AC5*'CAR Stock'!AC55</f>
        <v>0</v>
      </c>
      <c r="BJ5" s="295">
        <f>'CAR Passenger Kilometres'!AD5*'CAR Stock'!AD55</f>
        <v>0</v>
      </c>
      <c r="BK5" s="296">
        <f>'CAR Passenger Kilometres'!AE5*'CAR Stock'!AE55</f>
        <v>0</v>
      </c>
    </row>
    <row r="6" spans="1:63">
      <c r="A6" s="1711"/>
      <c r="B6" s="116">
        <v>3</v>
      </c>
      <c r="C6" s="294">
        <f>'CAR Mileage'!C27*CAR!$I$58</f>
        <v>20191.903545555091</v>
      </c>
      <c r="D6" s="295">
        <f>'CAR Mileage'!D27*CAR!$I$58</f>
        <v>20191.903545555091</v>
      </c>
      <c r="E6" s="295">
        <f>'CAR Mileage'!E27*CAR!$I$58</f>
        <v>20191.903545555091</v>
      </c>
      <c r="F6" s="295">
        <f>'CAR Mileage'!F27*CAR!$I$58</f>
        <v>20191.903545555091</v>
      </c>
      <c r="G6" s="295">
        <f>'CAR Mileage'!G27*CAR!$I$58</f>
        <v>20191.903545555091</v>
      </c>
      <c r="H6" s="295">
        <f>'CAR Mileage'!H27*CAR!$I$58</f>
        <v>20191.903545555091</v>
      </c>
      <c r="I6" s="295">
        <f>'CAR Mileage'!I27*CAR!$I$58</f>
        <v>20191.903545555091</v>
      </c>
      <c r="J6" s="295">
        <f>'CAR Mileage'!J27*CAR!$I$58</f>
        <v>20191.903545555091</v>
      </c>
      <c r="K6" s="295">
        <f>'CAR Mileage'!K27*CAR!$I$58</f>
        <v>20191.903545555091</v>
      </c>
      <c r="L6" s="295">
        <f>'CAR Mileage'!L27*CAR!$I$58</f>
        <v>20191.903545555091</v>
      </c>
      <c r="M6" s="295">
        <f>'CAR Mileage'!M27*CAR!$I$58</f>
        <v>20191.903545555091</v>
      </c>
      <c r="N6" s="295">
        <f>'CAR Mileage'!N27*CAR!$I$58</f>
        <v>20191.903545555091</v>
      </c>
      <c r="O6" s="295">
        <f>'CAR Mileage'!O27*CAR!$I$58</f>
        <v>20191.903545555091</v>
      </c>
      <c r="P6" s="295">
        <f>'CAR Mileage'!P27*CAR!$I$58</f>
        <v>20191.903545555091</v>
      </c>
      <c r="Q6" s="295">
        <f>'CAR Mileage'!Q27*CAR!$I$58</f>
        <v>20191.903545555091</v>
      </c>
      <c r="R6" s="295">
        <f>'CAR Mileage'!R27*CAR!$I$58</f>
        <v>20191.903545555091</v>
      </c>
      <c r="S6" s="295">
        <f>'CAR Mileage'!S27*CAR!$I$58</f>
        <v>20191.903545555091</v>
      </c>
      <c r="T6" s="295">
        <f>'CAR Mileage'!T27*CAR!$I$58</f>
        <v>20191.903545555091</v>
      </c>
      <c r="U6" s="295">
        <f>'CAR Mileage'!U27*CAR!$I$58</f>
        <v>20191.903545555091</v>
      </c>
      <c r="V6" s="295">
        <f>'CAR Mileage'!V27*CAR!$I$58</f>
        <v>20191.903545555091</v>
      </c>
      <c r="W6" s="295">
        <f>'CAR Mileage'!W27*CAR!$I$58</f>
        <v>20191.903545555091</v>
      </c>
      <c r="X6" s="295">
        <f>'CAR Mileage'!X27*CAR!$I$58</f>
        <v>20191.903545555091</v>
      </c>
      <c r="Y6" s="295">
        <f>'CAR Mileage'!Y27*CAR!$I$58</f>
        <v>20191.903545555091</v>
      </c>
      <c r="Z6" s="295">
        <f>'CAR Mileage'!Z27*CAR!$I$58</f>
        <v>20191.903545555091</v>
      </c>
      <c r="AA6" s="295">
        <f>'CAR Mileage'!AA27*CAR!$I$58</f>
        <v>20191.903545555091</v>
      </c>
      <c r="AB6" s="295">
        <f>'CAR Mileage'!AB27*CAR!$I$58</f>
        <v>20191.903545555091</v>
      </c>
      <c r="AC6" s="295">
        <f>'CAR Mileage'!AC27*CAR!$I$58</f>
        <v>20191.903545555091</v>
      </c>
      <c r="AD6" s="295">
        <f>'CAR Mileage'!AD27*CAR!$I$58</f>
        <v>20191.903545555091</v>
      </c>
      <c r="AE6" s="296">
        <f>'CAR Mileage'!AE27*CAR!$I$58</f>
        <v>20191.903545555091</v>
      </c>
      <c r="AG6" s="1711"/>
      <c r="AH6" s="116">
        <v>3</v>
      </c>
      <c r="AI6" s="294">
        <f>'CAR Passenger Kilometres'!C6*'CAR Stock'!C56</f>
        <v>45997156.276774496</v>
      </c>
      <c r="AJ6" s="295">
        <f>'CAR Passenger Kilometres'!D6*'CAR Stock'!D56</f>
        <v>73296609.870364979</v>
      </c>
      <c r="AK6" s="295">
        <f>'CAR Passenger Kilometres'!E6*'CAR Stock'!E56</f>
        <v>71176459.998081699</v>
      </c>
      <c r="AL6" s="295">
        <f>'CAR Passenger Kilometres'!F6*'CAR Stock'!F56</f>
        <v>65361191.776961833</v>
      </c>
      <c r="AM6" s="295">
        <f>'CAR Passenger Kilometres'!G6*'CAR Stock'!G56</f>
        <v>0</v>
      </c>
      <c r="AN6" s="295">
        <f>'CAR Passenger Kilometres'!H6*'CAR Stock'!H56</f>
        <v>0</v>
      </c>
      <c r="AO6" s="295">
        <f>'CAR Passenger Kilometres'!I6*'CAR Stock'!I56</f>
        <v>0</v>
      </c>
      <c r="AP6" s="295">
        <f>'CAR Passenger Kilometres'!J6*'CAR Stock'!J56</f>
        <v>0</v>
      </c>
      <c r="AQ6" s="295">
        <f>'CAR Passenger Kilometres'!K6*'CAR Stock'!K56</f>
        <v>0</v>
      </c>
      <c r="AR6" s="295">
        <f>'CAR Passenger Kilometres'!L6*'CAR Stock'!L56</f>
        <v>0</v>
      </c>
      <c r="AS6" s="295">
        <f>'CAR Passenger Kilometres'!M6*'CAR Stock'!M56</f>
        <v>0</v>
      </c>
      <c r="AT6" s="295">
        <f>'CAR Passenger Kilometres'!N6*'CAR Stock'!N56</f>
        <v>0</v>
      </c>
      <c r="AU6" s="295">
        <f>'CAR Passenger Kilometres'!O6*'CAR Stock'!O56</f>
        <v>0</v>
      </c>
      <c r="AV6" s="295">
        <f>'CAR Passenger Kilometres'!P6*'CAR Stock'!P56</f>
        <v>0</v>
      </c>
      <c r="AW6" s="295">
        <f>'CAR Passenger Kilometres'!Q6*'CAR Stock'!Q56</f>
        <v>0</v>
      </c>
      <c r="AX6" s="295">
        <f>'CAR Passenger Kilometres'!R6*'CAR Stock'!R56</f>
        <v>0</v>
      </c>
      <c r="AY6" s="295">
        <f>'CAR Passenger Kilometres'!S6*'CAR Stock'!S56</f>
        <v>0</v>
      </c>
      <c r="AZ6" s="295">
        <f>'CAR Passenger Kilometres'!T6*'CAR Stock'!T56</f>
        <v>0</v>
      </c>
      <c r="BA6" s="295">
        <f>'CAR Passenger Kilometres'!U6*'CAR Stock'!U56</f>
        <v>0</v>
      </c>
      <c r="BB6" s="295">
        <f>'CAR Passenger Kilometres'!V6*'CAR Stock'!V56</f>
        <v>0</v>
      </c>
      <c r="BC6" s="295">
        <f>'CAR Passenger Kilometres'!W6*'CAR Stock'!W56</f>
        <v>0</v>
      </c>
      <c r="BD6" s="295">
        <f>'CAR Passenger Kilometres'!X6*'CAR Stock'!X56</f>
        <v>0</v>
      </c>
      <c r="BE6" s="295">
        <f>'CAR Passenger Kilometres'!Y6*'CAR Stock'!Y56</f>
        <v>0</v>
      </c>
      <c r="BF6" s="295">
        <f>'CAR Passenger Kilometres'!Z6*'CAR Stock'!Z56</f>
        <v>0</v>
      </c>
      <c r="BG6" s="295">
        <f>'CAR Passenger Kilometres'!AA6*'CAR Stock'!AA56</f>
        <v>0</v>
      </c>
      <c r="BH6" s="295">
        <f>'CAR Passenger Kilometres'!AB6*'CAR Stock'!AB56</f>
        <v>0</v>
      </c>
      <c r="BI6" s="295">
        <f>'CAR Passenger Kilometres'!AC6*'CAR Stock'!AC56</f>
        <v>0</v>
      </c>
      <c r="BJ6" s="295">
        <f>'CAR Passenger Kilometres'!AD6*'CAR Stock'!AD56</f>
        <v>0</v>
      </c>
      <c r="BK6" s="296">
        <f>'CAR Passenger Kilometres'!AE6*'CAR Stock'!AE56</f>
        <v>0</v>
      </c>
    </row>
    <row r="7" spans="1:63">
      <c r="A7" s="1711"/>
      <c r="B7" s="116">
        <v>4</v>
      </c>
      <c r="C7" s="294">
        <f>'CAR Mileage'!C28*CAR!$I$58</f>
        <v>19788.06547464399</v>
      </c>
      <c r="D7" s="295">
        <f>'CAR Mileage'!D28*CAR!$I$58</f>
        <v>19788.06547464399</v>
      </c>
      <c r="E7" s="295">
        <f>'CAR Mileage'!E28*CAR!$I$58</f>
        <v>19788.06547464399</v>
      </c>
      <c r="F7" s="295">
        <f>'CAR Mileage'!F28*CAR!$I$58</f>
        <v>19788.06547464399</v>
      </c>
      <c r="G7" s="295">
        <f>'CAR Mileage'!G28*CAR!$I$58</f>
        <v>19788.06547464399</v>
      </c>
      <c r="H7" s="295">
        <f>'CAR Mileage'!H28*CAR!$I$58</f>
        <v>19788.06547464399</v>
      </c>
      <c r="I7" s="295">
        <f>'CAR Mileage'!I28*CAR!$I$58</f>
        <v>19788.06547464399</v>
      </c>
      <c r="J7" s="295">
        <f>'CAR Mileage'!J28*CAR!$I$58</f>
        <v>19788.06547464399</v>
      </c>
      <c r="K7" s="295">
        <f>'CAR Mileage'!K28*CAR!$I$58</f>
        <v>19788.06547464399</v>
      </c>
      <c r="L7" s="295">
        <f>'CAR Mileage'!L28*CAR!$I$58</f>
        <v>19788.06547464399</v>
      </c>
      <c r="M7" s="295">
        <f>'CAR Mileage'!M28*CAR!$I$58</f>
        <v>19788.06547464399</v>
      </c>
      <c r="N7" s="295">
        <f>'CAR Mileage'!N28*CAR!$I$58</f>
        <v>19788.06547464399</v>
      </c>
      <c r="O7" s="295">
        <f>'CAR Mileage'!O28*CAR!$I$58</f>
        <v>19788.06547464399</v>
      </c>
      <c r="P7" s="295">
        <f>'CAR Mileage'!P28*CAR!$I$58</f>
        <v>19788.06547464399</v>
      </c>
      <c r="Q7" s="295">
        <f>'CAR Mileage'!Q28*CAR!$I$58</f>
        <v>19788.06547464399</v>
      </c>
      <c r="R7" s="295">
        <f>'CAR Mileage'!R28*CAR!$I$58</f>
        <v>19788.06547464399</v>
      </c>
      <c r="S7" s="295">
        <f>'CAR Mileage'!S28*CAR!$I$58</f>
        <v>19788.06547464399</v>
      </c>
      <c r="T7" s="295">
        <f>'CAR Mileage'!T28*CAR!$I$58</f>
        <v>19788.06547464399</v>
      </c>
      <c r="U7" s="295">
        <f>'CAR Mileage'!U28*CAR!$I$58</f>
        <v>19788.06547464399</v>
      </c>
      <c r="V7" s="295">
        <f>'CAR Mileage'!V28*CAR!$I$58</f>
        <v>19788.06547464399</v>
      </c>
      <c r="W7" s="295">
        <f>'CAR Mileage'!W28*CAR!$I$58</f>
        <v>19788.06547464399</v>
      </c>
      <c r="X7" s="295">
        <f>'CAR Mileage'!X28*CAR!$I$58</f>
        <v>19788.06547464399</v>
      </c>
      <c r="Y7" s="295">
        <f>'CAR Mileage'!Y28*CAR!$I$58</f>
        <v>19788.06547464399</v>
      </c>
      <c r="Z7" s="295">
        <f>'CAR Mileage'!Z28*CAR!$I$58</f>
        <v>19788.06547464399</v>
      </c>
      <c r="AA7" s="295">
        <f>'CAR Mileage'!AA28*CAR!$I$58</f>
        <v>19788.06547464399</v>
      </c>
      <c r="AB7" s="295">
        <f>'CAR Mileage'!AB28*CAR!$I$58</f>
        <v>19788.06547464399</v>
      </c>
      <c r="AC7" s="295">
        <f>'CAR Mileage'!AC28*CAR!$I$58</f>
        <v>19788.06547464399</v>
      </c>
      <c r="AD7" s="295">
        <f>'CAR Mileage'!AD28*CAR!$I$58</f>
        <v>19788.06547464399</v>
      </c>
      <c r="AE7" s="296">
        <f>'CAR Mileage'!AE28*CAR!$I$58</f>
        <v>19788.06547464399</v>
      </c>
      <c r="AG7" s="1711"/>
      <c r="AH7" s="116">
        <v>4</v>
      </c>
      <c r="AI7" s="294">
        <f>'CAR Passenger Kilometres'!C7*'CAR Stock'!C57</f>
        <v>101690868.47419547</v>
      </c>
      <c r="AJ7" s="295">
        <f>'CAR Passenger Kilometres'!D7*'CAR Stock'!D57</f>
        <v>45077213.151239008</v>
      </c>
      <c r="AK7" s="295">
        <f>'CAR Passenger Kilometres'!E7*'CAR Stock'!E57</f>
        <v>71830677.672957689</v>
      </c>
      <c r="AL7" s="295">
        <f>'CAR Passenger Kilometres'!F7*'CAR Stock'!F57</f>
        <v>69752930.798120067</v>
      </c>
      <c r="AM7" s="295">
        <f>'CAR Passenger Kilometres'!G7*'CAR Stock'!G57</f>
        <v>64053967.941422597</v>
      </c>
      <c r="AN7" s="295">
        <f>'CAR Passenger Kilometres'!H7*'CAR Stock'!H57</f>
        <v>0</v>
      </c>
      <c r="AO7" s="295">
        <f>'CAR Passenger Kilometres'!I7*'CAR Stock'!I57</f>
        <v>0</v>
      </c>
      <c r="AP7" s="295">
        <f>'CAR Passenger Kilometres'!J7*'CAR Stock'!J57</f>
        <v>0</v>
      </c>
      <c r="AQ7" s="295">
        <f>'CAR Passenger Kilometres'!K7*'CAR Stock'!K57</f>
        <v>0</v>
      </c>
      <c r="AR7" s="295">
        <f>'CAR Passenger Kilometres'!L7*'CAR Stock'!L57</f>
        <v>0</v>
      </c>
      <c r="AS7" s="295">
        <f>'CAR Passenger Kilometres'!M7*'CAR Stock'!M57</f>
        <v>0</v>
      </c>
      <c r="AT7" s="295">
        <f>'CAR Passenger Kilometres'!N7*'CAR Stock'!N57</f>
        <v>0</v>
      </c>
      <c r="AU7" s="295">
        <f>'CAR Passenger Kilometres'!O7*'CAR Stock'!O57</f>
        <v>0</v>
      </c>
      <c r="AV7" s="295">
        <f>'CAR Passenger Kilometres'!P7*'CAR Stock'!P57</f>
        <v>0</v>
      </c>
      <c r="AW7" s="295">
        <f>'CAR Passenger Kilometres'!Q7*'CAR Stock'!Q57</f>
        <v>0</v>
      </c>
      <c r="AX7" s="295">
        <f>'CAR Passenger Kilometres'!R7*'CAR Stock'!R57</f>
        <v>0</v>
      </c>
      <c r="AY7" s="295">
        <f>'CAR Passenger Kilometres'!S7*'CAR Stock'!S57</f>
        <v>0</v>
      </c>
      <c r="AZ7" s="295">
        <f>'CAR Passenger Kilometres'!T7*'CAR Stock'!T57</f>
        <v>0</v>
      </c>
      <c r="BA7" s="295">
        <f>'CAR Passenger Kilometres'!U7*'CAR Stock'!U57</f>
        <v>0</v>
      </c>
      <c r="BB7" s="295">
        <f>'CAR Passenger Kilometres'!V7*'CAR Stock'!V57</f>
        <v>0</v>
      </c>
      <c r="BC7" s="295">
        <f>'CAR Passenger Kilometres'!W7*'CAR Stock'!W57</f>
        <v>0</v>
      </c>
      <c r="BD7" s="295">
        <f>'CAR Passenger Kilometres'!X7*'CAR Stock'!X57</f>
        <v>0</v>
      </c>
      <c r="BE7" s="295">
        <f>'CAR Passenger Kilometres'!Y7*'CAR Stock'!Y57</f>
        <v>0</v>
      </c>
      <c r="BF7" s="295">
        <f>'CAR Passenger Kilometres'!Z7*'CAR Stock'!Z57</f>
        <v>0</v>
      </c>
      <c r="BG7" s="295">
        <f>'CAR Passenger Kilometres'!AA7*'CAR Stock'!AA57</f>
        <v>0</v>
      </c>
      <c r="BH7" s="295">
        <f>'CAR Passenger Kilometres'!AB7*'CAR Stock'!AB57</f>
        <v>0</v>
      </c>
      <c r="BI7" s="295">
        <f>'CAR Passenger Kilometres'!AC7*'CAR Stock'!AC57</f>
        <v>0</v>
      </c>
      <c r="BJ7" s="295">
        <f>'CAR Passenger Kilometres'!AD7*'CAR Stock'!AD57</f>
        <v>0</v>
      </c>
      <c r="BK7" s="296">
        <f>'CAR Passenger Kilometres'!AE7*'CAR Stock'!AE57</f>
        <v>0</v>
      </c>
    </row>
    <row r="8" spans="1:63">
      <c r="A8" s="1711"/>
      <c r="B8" s="116">
        <v>5</v>
      </c>
      <c r="C8" s="294">
        <f>'CAR Mileage'!C29*CAR!$I$58</f>
        <v>19392.304165151108</v>
      </c>
      <c r="D8" s="295">
        <f>'CAR Mileage'!D29*CAR!$I$58</f>
        <v>19392.304165151108</v>
      </c>
      <c r="E8" s="295">
        <f>'CAR Mileage'!E29*CAR!$I$58</f>
        <v>19392.304165151108</v>
      </c>
      <c r="F8" s="295">
        <f>'CAR Mileage'!F29*CAR!$I$58</f>
        <v>19392.304165151108</v>
      </c>
      <c r="G8" s="295">
        <f>'CAR Mileage'!G29*CAR!$I$58</f>
        <v>19392.304165151108</v>
      </c>
      <c r="H8" s="295">
        <f>'CAR Mileage'!H29*CAR!$I$58</f>
        <v>19392.304165151108</v>
      </c>
      <c r="I8" s="295">
        <f>'CAR Mileage'!I29*CAR!$I$58</f>
        <v>19392.304165151108</v>
      </c>
      <c r="J8" s="295">
        <f>'CAR Mileage'!J29*CAR!$I$58</f>
        <v>19392.304165151108</v>
      </c>
      <c r="K8" s="295">
        <f>'CAR Mileage'!K29*CAR!$I$58</f>
        <v>19392.304165151108</v>
      </c>
      <c r="L8" s="295">
        <f>'CAR Mileage'!L29*CAR!$I$58</f>
        <v>19392.304165151108</v>
      </c>
      <c r="M8" s="295">
        <f>'CAR Mileage'!M29*CAR!$I$58</f>
        <v>19392.304165151108</v>
      </c>
      <c r="N8" s="295">
        <f>'CAR Mileage'!N29*CAR!$I$58</f>
        <v>19392.304165151108</v>
      </c>
      <c r="O8" s="295">
        <f>'CAR Mileage'!O29*CAR!$I$58</f>
        <v>19392.304165151108</v>
      </c>
      <c r="P8" s="295">
        <f>'CAR Mileage'!P29*CAR!$I$58</f>
        <v>19392.304165151108</v>
      </c>
      <c r="Q8" s="295">
        <f>'CAR Mileage'!Q29*CAR!$I$58</f>
        <v>19392.304165151108</v>
      </c>
      <c r="R8" s="295">
        <f>'CAR Mileage'!R29*CAR!$I$58</f>
        <v>19392.304165151108</v>
      </c>
      <c r="S8" s="295">
        <f>'CAR Mileage'!S29*CAR!$I$58</f>
        <v>19392.304165151108</v>
      </c>
      <c r="T8" s="295">
        <f>'CAR Mileage'!T29*CAR!$I$58</f>
        <v>19392.304165151108</v>
      </c>
      <c r="U8" s="295">
        <f>'CAR Mileage'!U29*CAR!$I$58</f>
        <v>19392.304165151108</v>
      </c>
      <c r="V8" s="295">
        <f>'CAR Mileage'!V29*CAR!$I$58</f>
        <v>19392.304165151108</v>
      </c>
      <c r="W8" s="295">
        <f>'CAR Mileage'!W29*CAR!$I$58</f>
        <v>19392.304165151108</v>
      </c>
      <c r="X8" s="295">
        <f>'CAR Mileage'!X29*CAR!$I$58</f>
        <v>19392.304165151108</v>
      </c>
      <c r="Y8" s="295">
        <f>'CAR Mileage'!Y29*CAR!$I$58</f>
        <v>19392.304165151108</v>
      </c>
      <c r="Z8" s="295">
        <f>'CAR Mileage'!Z29*CAR!$I$58</f>
        <v>19392.304165151108</v>
      </c>
      <c r="AA8" s="295">
        <f>'CAR Mileage'!AA29*CAR!$I$58</f>
        <v>19392.304165151108</v>
      </c>
      <c r="AB8" s="295">
        <f>'CAR Mileage'!AB29*CAR!$I$58</f>
        <v>19392.304165151108</v>
      </c>
      <c r="AC8" s="295">
        <f>'CAR Mileage'!AC29*CAR!$I$58</f>
        <v>19392.304165151108</v>
      </c>
      <c r="AD8" s="295">
        <f>'CAR Mileage'!AD29*CAR!$I$58</f>
        <v>19392.304165151108</v>
      </c>
      <c r="AE8" s="296">
        <f>'CAR Mileage'!AE29*CAR!$I$58</f>
        <v>19392.304165151108</v>
      </c>
      <c r="AG8" s="1711"/>
      <c r="AH8" s="116">
        <v>5</v>
      </c>
      <c r="AI8" s="294">
        <f>'CAR Passenger Kilometres'!C8*'CAR Stock'!C58</f>
        <v>134194744.82284567</v>
      </c>
      <c r="AJ8" s="295">
        <f>'CAR Passenger Kilometres'!D8*'CAR Stock'!D58</f>
        <v>99657051.104711547</v>
      </c>
      <c r="AK8" s="295">
        <f>'CAR Passenger Kilometres'!E8*'CAR Stock'!E58</f>
        <v>44175668.888214223</v>
      </c>
      <c r="AL8" s="295">
        <f>'CAR Passenger Kilometres'!F8*'CAR Stock'!F58</f>
        <v>70394064.119498521</v>
      </c>
      <c r="AM8" s="295">
        <f>'CAR Passenger Kilometres'!G8*'CAR Stock'!G58</f>
        <v>68357872.182157651</v>
      </c>
      <c r="AN8" s="295">
        <f>'CAR Passenger Kilometres'!H8*'CAR Stock'!H58</f>
        <v>62772888.582594141</v>
      </c>
      <c r="AO8" s="295">
        <f>'CAR Passenger Kilometres'!I8*'CAR Stock'!I58</f>
        <v>0</v>
      </c>
      <c r="AP8" s="295">
        <f>'CAR Passenger Kilometres'!J8*'CAR Stock'!J58</f>
        <v>0</v>
      </c>
      <c r="AQ8" s="295">
        <f>'CAR Passenger Kilometres'!K8*'CAR Stock'!K58</f>
        <v>0</v>
      </c>
      <c r="AR8" s="295">
        <f>'CAR Passenger Kilometres'!L8*'CAR Stock'!L58</f>
        <v>0</v>
      </c>
      <c r="AS8" s="295">
        <f>'CAR Passenger Kilometres'!M8*'CAR Stock'!M58</f>
        <v>0</v>
      </c>
      <c r="AT8" s="295">
        <f>'CAR Passenger Kilometres'!N8*'CAR Stock'!N58</f>
        <v>0</v>
      </c>
      <c r="AU8" s="295">
        <f>'CAR Passenger Kilometres'!O8*'CAR Stock'!O58</f>
        <v>0</v>
      </c>
      <c r="AV8" s="295">
        <f>'CAR Passenger Kilometres'!P8*'CAR Stock'!P58</f>
        <v>0</v>
      </c>
      <c r="AW8" s="295">
        <f>'CAR Passenger Kilometres'!Q8*'CAR Stock'!Q58</f>
        <v>0</v>
      </c>
      <c r="AX8" s="295">
        <f>'CAR Passenger Kilometres'!R8*'CAR Stock'!R58</f>
        <v>0</v>
      </c>
      <c r="AY8" s="295">
        <f>'CAR Passenger Kilometres'!S8*'CAR Stock'!S58</f>
        <v>0</v>
      </c>
      <c r="AZ8" s="295">
        <f>'CAR Passenger Kilometres'!T8*'CAR Stock'!T58</f>
        <v>0</v>
      </c>
      <c r="BA8" s="295">
        <f>'CAR Passenger Kilometres'!U8*'CAR Stock'!U58</f>
        <v>0</v>
      </c>
      <c r="BB8" s="295">
        <f>'CAR Passenger Kilometres'!V8*'CAR Stock'!V58</f>
        <v>0</v>
      </c>
      <c r="BC8" s="295">
        <f>'CAR Passenger Kilometres'!W8*'CAR Stock'!W58</f>
        <v>0</v>
      </c>
      <c r="BD8" s="295">
        <f>'CAR Passenger Kilometres'!X8*'CAR Stock'!X58</f>
        <v>0</v>
      </c>
      <c r="BE8" s="295">
        <f>'CAR Passenger Kilometres'!Y8*'CAR Stock'!Y58</f>
        <v>0</v>
      </c>
      <c r="BF8" s="295">
        <f>'CAR Passenger Kilometres'!Z8*'CAR Stock'!Z58</f>
        <v>0</v>
      </c>
      <c r="BG8" s="295">
        <f>'CAR Passenger Kilometres'!AA8*'CAR Stock'!AA58</f>
        <v>0</v>
      </c>
      <c r="BH8" s="295">
        <f>'CAR Passenger Kilometres'!AB8*'CAR Stock'!AB58</f>
        <v>0</v>
      </c>
      <c r="BI8" s="295">
        <f>'CAR Passenger Kilometres'!AC8*'CAR Stock'!AC58</f>
        <v>0</v>
      </c>
      <c r="BJ8" s="295">
        <f>'CAR Passenger Kilometres'!AD8*'CAR Stock'!AD58</f>
        <v>0</v>
      </c>
      <c r="BK8" s="296">
        <f>'CAR Passenger Kilometres'!AE8*'CAR Stock'!AE58</f>
        <v>0</v>
      </c>
    </row>
    <row r="9" spans="1:63">
      <c r="A9" s="1711"/>
      <c r="B9" s="116">
        <v>6</v>
      </c>
      <c r="C9" s="294">
        <f>'CAR Mileage'!C30*CAR!$I$58</f>
        <v>19004.458081848086</v>
      </c>
      <c r="D9" s="295">
        <f>'CAR Mileage'!D30*CAR!$I$58</f>
        <v>19004.458081848086</v>
      </c>
      <c r="E9" s="295">
        <f>'CAR Mileage'!E30*CAR!$I$58</f>
        <v>19004.458081848086</v>
      </c>
      <c r="F9" s="295">
        <f>'CAR Mileage'!F30*CAR!$I$58</f>
        <v>19004.458081848086</v>
      </c>
      <c r="G9" s="295">
        <f>'CAR Mileage'!G30*CAR!$I$58</f>
        <v>19004.458081848086</v>
      </c>
      <c r="H9" s="295">
        <f>'CAR Mileage'!H30*CAR!$I$58</f>
        <v>19004.458081848086</v>
      </c>
      <c r="I9" s="295">
        <f>'CAR Mileage'!I30*CAR!$I$58</f>
        <v>19004.458081848086</v>
      </c>
      <c r="J9" s="295">
        <f>'CAR Mileage'!J30*CAR!$I$58</f>
        <v>19004.458081848086</v>
      </c>
      <c r="K9" s="295">
        <f>'CAR Mileage'!K30*CAR!$I$58</f>
        <v>19004.458081848086</v>
      </c>
      <c r="L9" s="295">
        <f>'CAR Mileage'!L30*CAR!$I$58</f>
        <v>19004.458081848086</v>
      </c>
      <c r="M9" s="295">
        <f>'CAR Mileage'!M30*CAR!$I$58</f>
        <v>19004.458081848086</v>
      </c>
      <c r="N9" s="295">
        <f>'CAR Mileage'!N30*CAR!$I$58</f>
        <v>19004.458081848086</v>
      </c>
      <c r="O9" s="295">
        <f>'CAR Mileage'!O30*CAR!$I$58</f>
        <v>19004.458081848086</v>
      </c>
      <c r="P9" s="295">
        <f>'CAR Mileage'!P30*CAR!$I$58</f>
        <v>19004.458081848086</v>
      </c>
      <c r="Q9" s="295">
        <f>'CAR Mileage'!Q30*CAR!$I$58</f>
        <v>19004.458081848086</v>
      </c>
      <c r="R9" s="295">
        <f>'CAR Mileage'!R30*CAR!$I$58</f>
        <v>19004.458081848086</v>
      </c>
      <c r="S9" s="295">
        <f>'CAR Mileage'!S30*CAR!$I$58</f>
        <v>19004.458081848086</v>
      </c>
      <c r="T9" s="295">
        <f>'CAR Mileage'!T30*CAR!$I$58</f>
        <v>19004.458081848086</v>
      </c>
      <c r="U9" s="295">
        <f>'CAR Mileage'!U30*CAR!$I$58</f>
        <v>19004.458081848086</v>
      </c>
      <c r="V9" s="295">
        <f>'CAR Mileage'!V30*CAR!$I$58</f>
        <v>19004.458081848086</v>
      </c>
      <c r="W9" s="295">
        <f>'CAR Mileage'!W30*CAR!$I$58</f>
        <v>19004.458081848086</v>
      </c>
      <c r="X9" s="295">
        <f>'CAR Mileage'!X30*CAR!$I$58</f>
        <v>19004.458081848086</v>
      </c>
      <c r="Y9" s="295">
        <f>'CAR Mileage'!Y30*CAR!$I$58</f>
        <v>19004.458081848086</v>
      </c>
      <c r="Z9" s="295">
        <f>'CAR Mileage'!Z30*CAR!$I$58</f>
        <v>19004.458081848086</v>
      </c>
      <c r="AA9" s="295">
        <f>'CAR Mileage'!AA30*CAR!$I$58</f>
        <v>19004.458081848086</v>
      </c>
      <c r="AB9" s="295">
        <f>'CAR Mileage'!AB30*CAR!$I$58</f>
        <v>19004.458081848086</v>
      </c>
      <c r="AC9" s="295">
        <f>'CAR Mileage'!AC30*CAR!$I$58</f>
        <v>19004.458081848086</v>
      </c>
      <c r="AD9" s="295">
        <f>'CAR Mileage'!AD30*CAR!$I$58</f>
        <v>19004.458081848086</v>
      </c>
      <c r="AE9" s="296">
        <f>'CAR Mileage'!AE30*CAR!$I$58</f>
        <v>19004.458081848086</v>
      </c>
      <c r="AG9" s="1711"/>
      <c r="AH9" s="116">
        <v>6</v>
      </c>
      <c r="AI9" s="294">
        <f>'CAR Passenger Kilometres'!C9*'CAR Stock'!C59</f>
        <v>185901608.95663798</v>
      </c>
      <c r="AJ9" s="295">
        <f>'CAR Passenger Kilometres'!D9*'CAR Stock'!D59</f>
        <v>131510849.92638876</v>
      </c>
      <c r="AK9" s="295">
        <f>'CAR Passenger Kilometres'!E9*'CAR Stock'!E59</f>
        <v>97663910.082617313</v>
      </c>
      <c r="AL9" s="295">
        <f>'CAR Passenger Kilometres'!F9*'CAR Stock'!F59</f>
        <v>43292155.510449938</v>
      </c>
      <c r="AM9" s="295">
        <f>'CAR Passenger Kilometres'!G9*'CAR Stock'!G59</f>
        <v>68986182.837108552</v>
      </c>
      <c r="AN9" s="295">
        <f>'CAR Passenger Kilometres'!H9*'CAR Stock'!H59</f>
        <v>66990714.738514505</v>
      </c>
      <c r="AO9" s="295">
        <f>'CAR Passenger Kilometres'!I9*'CAR Stock'!I59</f>
        <v>61517430.810942255</v>
      </c>
      <c r="AP9" s="295">
        <f>'CAR Passenger Kilometres'!J9*'CAR Stock'!J59</f>
        <v>0</v>
      </c>
      <c r="AQ9" s="295">
        <f>'CAR Passenger Kilometres'!K9*'CAR Stock'!K59</f>
        <v>0</v>
      </c>
      <c r="AR9" s="295">
        <f>'CAR Passenger Kilometres'!L9*'CAR Stock'!L59</f>
        <v>0</v>
      </c>
      <c r="AS9" s="295">
        <f>'CAR Passenger Kilometres'!M9*'CAR Stock'!M59</f>
        <v>0</v>
      </c>
      <c r="AT9" s="295">
        <f>'CAR Passenger Kilometres'!N9*'CAR Stock'!N59</f>
        <v>0</v>
      </c>
      <c r="AU9" s="295">
        <f>'CAR Passenger Kilometres'!O9*'CAR Stock'!O59</f>
        <v>0</v>
      </c>
      <c r="AV9" s="295">
        <f>'CAR Passenger Kilometres'!P9*'CAR Stock'!P59</f>
        <v>0</v>
      </c>
      <c r="AW9" s="295">
        <f>'CAR Passenger Kilometres'!Q9*'CAR Stock'!Q59</f>
        <v>0</v>
      </c>
      <c r="AX9" s="295">
        <f>'CAR Passenger Kilometres'!R9*'CAR Stock'!R59</f>
        <v>0</v>
      </c>
      <c r="AY9" s="295">
        <f>'CAR Passenger Kilometres'!S9*'CAR Stock'!S59</f>
        <v>0</v>
      </c>
      <c r="AZ9" s="295">
        <f>'CAR Passenger Kilometres'!T9*'CAR Stock'!T59</f>
        <v>0</v>
      </c>
      <c r="BA9" s="295">
        <f>'CAR Passenger Kilometres'!U9*'CAR Stock'!U59</f>
        <v>0</v>
      </c>
      <c r="BB9" s="295">
        <f>'CAR Passenger Kilometres'!V9*'CAR Stock'!V59</f>
        <v>0</v>
      </c>
      <c r="BC9" s="295">
        <f>'CAR Passenger Kilometres'!W9*'CAR Stock'!W59</f>
        <v>0</v>
      </c>
      <c r="BD9" s="295">
        <f>'CAR Passenger Kilometres'!X9*'CAR Stock'!X59</f>
        <v>0</v>
      </c>
      <c r="BE9" s="295">
        <f>'CAR Passenger Kilometres'!Y9*'CAR Stock'!Y59</f>
        <v>0</v>
      </c>
      <c r="BF9" s="295">
        <f>'CAR Passenger Kilometres'!Z9*'CAR Stock'!Z59</f>
        <v>0</v>
      </c>
      <c r="BG9" s="295">
        <f>'CAR Passenger Kilometres'!AA9*'CAR Stock'!AA59</f>
        <v>0</v>
      </c>
      <c r="BH9" s="295">
        <f>'CAR Passenger Kilometres'!AB9*'CAR Stock'!AB59</f>
        <v>0</v>
      </c>
      <c r="BI9" s="295">
        <f>'CAR Passenger Kilometres'!AC9*'CAR Stock'!AC59</f>
        <v>0</v>
      </c>
      <c r="BJ9" s="295">
        <f>'CAR Passenger Kilometres'!AD9*'CAR Stock'!AD59</f>
        <v>0</v>
      </c>
      <c r="BK9" s="296">
        <f>'CAR Passenger Kilometres'!AE9*'CAR Stock'!AE59</f>
        <v>0</v>
      </c>
    </row>
    <row r="10" spans="1:63">
      <c r="A10" s="1711"/>
      <c r="B10" s="116">
        <v>7</v>
      </c>
      <c r="C10" s="294">
        <f>'CAR Mileage'!C31*CAR!$I$58</f>
        <v>18624.368920211124</v>
      </c>
      <c r="D10" s="295">
        <f>'CAR Mileage'!D31*CAR!$I$58</f>
        <v>18624.368920211124</v>
      </c>
      <c r="E10" s="295">
        <f>'CAR Mileage'!E31*CAR!$I$58</f>
        <v>18624.368920211124</v>
      </c>
      <c r="F10" s="295">
        <f>'CAR Mileage'!F31*CAR!$I$58</f>
        <v>18624.368920211124</v>
      </c>
      <c r="G10" s="295">
        <f>'CAR Mileage'!G31*CAR!$I$58</f>
        <v>18624.368920211124</v>
      </c>
      <c r="H10" s="295">
        <f>'CAR Mileage'!H31*CAR!$I$58</f>
        <v>18624.368920211124</v>
      </c>
      <c r="I10" s="295">
        <f>'CAR Mileage'!I31*CAR!$I$58</f>
        <v>18624.368920211124</v>
      </c>
      <c r="J10" s="295">
        <f>'CAR Mileage'!J31*CAR!$I$58</f>
        <v>18624.368920211124</v>
      </c>
      <c r="K10" s="295">
        <f>'CAR Mileage'!K31*CAR!$I$58</f>
        <v>18624.368920211124</v>
      </c>
      <c r="L10" s="295">
        <f>'CAR Mileage'!L31*CAR!$I$58</f>
        <v>18624.368920211124</v>
      </c>
      <c r="M10" s="295">
        <f>'CAR Mileage'!M31*CAR!$I$58</f>
        <v>18624.368920211124</v>
      </c>
      <c r="N10" s="295">
        <f>'CAR Mileage'!N31*CAR!$I$58</f>
        <v>18624.368920211124</v>
      </c>
      <c r="O10" s="295">
        <f>'CAR Mileage'!O31*CAR!$I$58</f>
        <v>18624.368920211124</v>
      </c>
      <c r="P10" s="295">
        <f>'CAR Mileage'!P31*CAR!$I$58</f>
        <v>18624.368920211124</v>
      </c>
      <c r="Q10" s="295">
        <f>'CAR Mileage'!Q31*CAR!$I$58</f>
        <v>18624.368920211124</v>
      </c>
      <c r="R10" s="295">
        <f>'CAR Mileage'!R31*CAR!$I$58</f>
        <v>18624.368920211124</v>
      </c>
      <c r="S10" s="295">
        <f>'CAR Mileage'!S31*CAR!$I$58</f>
        <v>18624.368920211124</v>
      </c>
      <c r="T10" s="295">
        <f>'CAR Mileage'!T31*CAR!$I$58</f>
        <v>18624.368920211124</v>
      </c>
      <c r="U10" s="295">
        <f>'CAR Mileage'!U31*CAR!$I$58</f>
        <v>18624.368920211124</v>
      </c>
      <c r="V10" s="295">
        <f>'CAR Mileage'!V31*CAR!$I$58</f>
        <v>18624.368920211124</v>
      </c>
      <c r="W10" s="295">
        <f>'CAR Mileage'!W31*CAR!$I$58</f>
        <v>18624.368920211124</v>
      </c>
      <c r="X10" s="295">
        <f>'CAR Mileage'!X31*CAR!$I$58</f>
        <v>18624.368920211124</v>
      </c>
      <c r="Y10" s="295">
        <f>'CAR Mileage'!Y31*CAR!$I$58</f>
        <v>18624.368920211124</v>
      </c>
      <c r="Z10" s="295">
        <f>'CAR Mileage'!Z31*CAR!$I$58</f>
        <v>18624.368920211124</v>
      </c>
      <c r="AA10" s="295">
        <f>'CAR Mileage'!AA31*CAR!$I$58</f>
        <v>18624.368920211124</v>
      </c>
      <c r="AB10" s="295">
        <f>'CAR Mileage'!AB31*CAR!$I$58</f>
        <v>18624.368920211124</v>
      </c>
      <c r="AC10" s="295">
        <f>'CAR Mileage'!AC31*CAR!$I$58</f>
        <v>18624.368920211124</v>
      </c>
      <c r="AD10" s="295">
        <f>'CAR Mileage'!AD31*CAR!$I$58</f>
        <v>18624.368920211124</v>
      </c>
      <c r="AE10" s="296">
        <f>'CAR Mileage'!AE31*CAR!$I$58</f>
        <v>18624.368920211124</v>
      </c>
      <c r="AG10" s="1711"/>
      <c r="AH10" s="116">
        <v>7</v>
      </c>
      <c r="AI10" s="294">
        <f>'CAR Passenger Kilometres'!C10*'CAR Stock'!C60</f>
        <v>165682385.91419816</v>
      </c>
      <c r="AJ10" s="295">
        <f>'CAR Passenger Kilometres'!D10*'CAR Stock'!D60</f>
        <v>182183576.77750522</v>
      </c>
      <c r="AK10" s="295">
        <f>'CAR Passenger Kilometres'!E10*'CAR Stock'!E60</f>
        <v>128880632.92786098</v>
      </c>
      <c r="AL10" s="295">
        <f>'CAR Passenger Kilometres'!F10*'CAR Stock'!F60</f>
        <v>95710631.880964965</v>
      </c>
      <c r="AM10" s="295">
        <f>'CAR Passenger Kilometres'!G10*'CAR Stock'!G60</f>
        <v>42426312.400240943</v>
      </c>
      <c r="AN10" s="295">
        <f>'CAR Passenger Kilometres'!H10*'CAR Stock'!H60</f>
        <v>67606459.180366382</v>
      </c>
      <c r="AO10" s="295">
        <f>'CAR Passenger Kilometres'!I10*'CAR Stock'!I60</f>
        <v>65650900.443744212</v>
      </c>
      <c r="AP10" s="295">
        <f>'CAR Passenger Kilometres'!J10*'CAR Stock'!J60</f>
        <v>60287082.194723405</v>
      </c>
      <c r="AQ10" s="295">
        <f>'CAR Passenger Kilometres'!K10*'CAR Stock'!K60</f>
        <v>0</v>
      </c>
      <c r="AR10" s="295">
        <f>'CAR Passenger Kilometres'!L10*'CAR Stock'!L60</f>
        <v>0</v>
      </c>
      <c r="AS10" s="295">
        <f>'CAR Passenger Kilometres'!M10*'CAR Stock'!M60</f>
        <v>0</v>
      </c>
      <c r="AT10" s="295">
        <f>'CAR Passenger Kilometres'!N10*'CAR Stock'!N60</f>
        <v>0</v>
      </c>
      <c r="AU10" s="295">
        <f>'CAR Passenger Kilometres'!O10*'CAR Stock'!O60</f>
        <v>0</v>
      </c>
      <c r="AV10" s="295">
        <f>'CAR Passenger Kilometres'!P10*'CAR Stock'!P60</f>
        <v>0</v>
      </c>
      <c r="AW10" s="295">
        <f>'CAR Passenger Kilometres'!Q10*'CAR Stock'!Q60</f>
        <v>0</v>
      </c>
      <c r="AX10" s="295">
        <f>'CAR Passenger Kilometres'!R10*'CAR Stock'!R60</f>
        <v>0</v>
      </c>
      <c r="AY10" s="295">
        <f>'CAR Passenger Kilometres'!S10*'CAR Stock'!S60</f>
        <v>0</v>
      </c>
      <c r="AZ10" s="295">
        <f>'CAR Passenger Kilometres'!T10*'CAR Stock'!T60</f>
        <v>0</v>
      </c>
      <c r="BA10" s="295">
        <f>'CAR Passenger Kilometres'!U10*'CAR Stock'!U60</f>
        <v>0</v>
      </c>
      <c r="BB10" s="295">
        <f>'CAR Passenger Kilometres'!V10*'CAR Stock'!V60</f>
        <v>0</v>
      </c>
      <c r="BC10" s="295">
        <f>'CAR Passenger Kilometres'!W10*'CAR Stock'!W60</f>
        <v>0</v>
      </c>
      <c r="BD10" s="295">
        <f>'CAR Passenger Kilometres'!X10*'CAR Stock'!X60</f>
        <v>0</v>
      </c>
      <c r="BE10" s="295">
        <f>'CAR Passenger Kilometres'!Y10*'CAR Stock'!Y60</f>
        <v>0</v>
      </c>
      <c r="BF10" s="295">
        <f>'CAR Passenger Kilometres'!Z10*'CAR Stock'!Z60</f>
        <v>0</v>
      </c>
      <c r="BG10" s="295">
        <f>'CAR Passenger Kilometres'!AA10*'CAR Stock'!AA60</f>
        <v>0</v>
      </c>
      <c r="BH10" s="295">
        <f>'CAR Passenger Kilometres'!AB10*'CAR Stock'!AB60</f>
        <v>0</v>
      </c>
      <c r="BI10" s="295">
        <f>'CAR Passenger Kilometres'!AC10*'CAR Stock'!AC60</f>
        <v>0</v>
      </c>
      <c r="BJ10" s="295">
        <f>'CAR Passenger Kilometres'!AD10*'CAR Stock'!AD60</f>
        <v>0</v>
      </c>
      <c r="BK10" s="296">
        <f>'CAR Passenger Kilometres'!AE10*'CAR Stock'!AE60</f>
        <v>0</v>
      </c>
    </row>
    <row r="11" spans="1:63">
      <c r="A11" s="1711"/>
      <c r="B11" s="116">
        <v>8</v>
      </c>
      <c r="C11" s="294">
        <f>'CAR Mileage'!C32*CAR!$I$58</f>
        <v>18251.881541806903</v>
      </c>
      <c r="D11" s="295">
        <f>'CAR Mileage'!D32*CAR!$I$58</f>
        <v>18251.881541806903</v>
      </c>
      <c r="E11" s="295">
        <f>'CAR Mileage'!E32*CAR!$I$58</f>
        <v>18251.881541806903</v>
      </c>
      <c r="F11" s="295">
        <f>'CAR Mileage'!F32*CAR!$I$58</f>
        <v>18251.881541806903</v>
      </c>
      <c r="G11" s="295">
        <f>'CAR Mileage'!G32*CAR!$I$58</f>
        <v>18251.881541806903</v>
      </c>
      <c r="H11" s="295">
        <f>'CAR Mileage'!H32*CAR!$I$58</f>
        <v>18251.881541806903</v>
      </c>
      <c r="I11" s="295">
        <f>'CAR Mileage'!I32*CAR!$I$58</f>
        <v>18251.881541806903</v>
      </c>
      <c r="J11" s="295">
        <f>'CAR Mileage'!J32*CAR!$I$58</f>
        <v>18251.881541806903</v>
      </c>
      <c r="K11" s="295">
        <f>'CAR Mileage'!K32*CAR!$I$58</f>
        <v>18251.881541806903</v>
      </c>
      <c r="L11" s="295">
        <f>'CAR Mileage'!L32*CAR!$I$58</f>
        <v>18251.881541806903</v>
      </c>
      <c r="M11" s="295">
        <f>'CAR Mileage'!M32*CAR!$I$58</f>
        <v>18251.881541806903</v>
      </c>
      <c r="N11" s="295">
        <f>'CAR Mileage'!N32*CAR!$I$58</f>
        <v>18251.881541806903</v>
      </c>
      <c r="O11" s="295">
        <f>'CAR Mileage'!O32*CAR!$I$58</f>
        <v>18251.881541806903</v>
      </c>
      <c r="P11" s="295">
        <f>'CAR Mileage'!P32*CAR!$I$58</f>
        <v>18251.881541806903</v>
      </c>
      <c r="Q11" s="295">
        <f>'CAR Mileage'!Q32*CAR!$I$58</f>
        <v>18251.881541806903</v>
      </c>
      <c r="R11" s="295">
        <f>'CAR Mileage'!R32*CAR!$I$58</f>
        <v>18251.881541806903</v>
      </c>
      <c r="S11" s="295">
        <f>'CAR Mileage'!S32*CAR!$I$58</f>
        <v>18251.881541806903</v>
      </c>
      <c r="T11" s="295">
        <f>'CAR Mileage'!T32*CAR!$I$58</f>
        <v>18251.881541806903</v>
      </c>
      <c r="U11" s="295">
        <f>'CAR Mileage'!U32*CAR!$I$58</f>
        <v>18251.881541806903</v>
      </c>
      <c r="V11" s="295">
        <f>'CAR Mileage'!V32*CAR!$I$58</f>
        <v>18251.881541806903</v>
      </c>
      <c r="W11" s="295">
        <f>'CAR Mileage'!W32*CAR!$I$58</f>
        <v>18251.881541806903</v>
      </c>
      <c r="X11" s="295">
        <f>'CAR Mileage'!X32*CAR!$I$58</f>
        <v>18251.881541806903</v>
      </c>
      <c r="Y11" s="295">
        <f>'CAR Mileage'!Y32*CAR!$I$58</f>
        <v>18251.881541806903</v>
      </c>
      <c r="Z11" s="295">
        <f>'CAR Mileage'!Z32*CAR!$I$58</f>
        <v>18251.881541806903</v>
      </c>
      <c r="AA11" s="295">
        <f>'CAR Mileage'!AA32*CAR!$I$58</f>
        <v>18251.881541806903</v>
      </c>
      <c r="AB11" s="295">
        <f>'CAR Mileage'!AB32*CAR!$I$58</f>
        <v>18251.881541806903</v>
      </c>
      <c r="AC11" s="295">
        <f>'CAR Mileage'!AC32*CAR!$I$58</f>
        <v>18251.881541806903</v>
      </c>
      <c r="AD11" s="295">
        <f>'CAR Mileage'!AD32*CAR!$I$58</f>
        <v>18251.881541806903</v>
      </c>
      <c r="AE11" s="296">
        <f>'CAR Mileage'!AE32*CAR!$I$58</f>
        <v>18251.881541806903</v>
      </c>
      <c r="AG11" s="1711"/>
      <c r="AH11" s="116">
        <v>8</v>
      </c>
      <c r="AI11" s="294">
        <f>'CAR Passenger Kilometres'!C11*'CAR Stock'!C61</f>
        <v>172188250.46540633</v>
      </c>
      <c r="AJ11" s="295">
        <f>'CAR Passenger Kilometres'!D11*'CAR Stock'!D61</f>
        <v>162368738.19591421</v>
      </c>
      <c r="AK11" s="295">
        <f>'CAR Passenger Kilometres'!E11*'CAR Stock'!E61</f>
        <v>178539905.24195513</v>
      </c>
      <c r="AL11" s="295">
        <f>'CAR Passenger Kilometres'!F11*'CAR Stock'!F61</f>
        <v>126303020.26930377</v>
      </c>
      <c r="AM11" s="295">
        <f>'CAR Passenger Kilometres'!G11*'CAR Stock'!G61</f>
        <v>93796419.243345678</v>
      </c>
      <c r="AN11" s="295">
        <f>'CAR Passenger Kilometres'!H11*'CAR Stock'!H61</f>
        <v>41577786.152236126</v>
      </c>
      <c r="AO11" s="295">
        <f>'CAR Passenger Kilometres'!I11*'CAR Stock'!I61</f>
        <v>66254329.996759057</v>
      </c>
      <c r="AP11" s="295">
        <f>'CAR Passenger Kilometres'!J11*'CAR Stock'!J61</f>
        <v>64337882.434869334</v>
      </c>
      <c r="AQ11" s="295">
        <f>'CAR Passenger Kilometres'!K11*'CAR Stock'!K61</f>
        <v>59081340.550828941</v>
      </c>
      <c r="AR11" s="295">
        <f>'CAR Passenger Kilometres'!L11*'CAR Stock'!L61</f>
        <v>0</v>
      </c>
      <c r="AS11" s="295">
        <f>'CAR Passenger Kilometres'!M11*'CAR Stock'!M61</f>
        <v>0</v>
      </c>
      <c r="AT11" s="295">
        <f>'CAR Passenger Kilometres'!N11*'CAR Stock'!N61</f>
        <v>0</v>
      </c>
      <c r="AU11" s="295">
        <f>'CAR Passenger Kilometres'!O11*'CAR Stock'!O61</f>
        <v>0</v>
      </c>
      <c r="AV11" s="295">
        <f>'CAR Passenger Kilometres'!P11*'CAR Stock'!P61</f>
        <v>0</v>
      </c>
      <c r="AW11" s="295">
        <f>'CAR Passenger Kilometres'!Q11*'CAR Stock'!Q61</f>
        <v>0</v>
      </c>
      <c r="AX11" s="295">
        <f>'CAR Passenger Kilometres'!R11*'CAR Stock'!R61</f>
        <v>0</v>
      </c>
      <c r="AY11" s="295">
        <f>'CAR Passenger Kilometres'!S11*'CAR Stock'!S61</f>
        <v>0</v>
      </c>
      <c r="AZ11" s="295">
        <f>'CAR Passenger Kilometres'!T11*'CAR Stock'!T61</f>
        <v>0</v>
      </c>
      <c r="BA11" s="295">
        <f>'CAR Passenger Kilometres'!U11*'CAR Stock'!U61</f>
        <v>0</v>
      </c>
      <c r="BB11" s="295">
        <f>'CAR Passenger Kilometres'!V11*'CAR Stock'!V61</f>
        <v>0</v>
      </c>
      <c r="BC11" s="295">
        <f>'CAR Passenger Kilometres'!W11*'CAR Stock'!W61</f>
        <v>0</v>
      </c>
      <c r="BD11" s="295">
        <f>'CAR Passenger Kilometres'!X11*'CAR Stock'!X61</f>
        <v>0</v>
      </c>
      <c r="BE11" s="295">
        <f>'CAR Passenger Kilometres'!Y11*'CAR Stock'!Y61</f>
        <v>0</v>
      </c>
      <c r="BF11" s="295">
        <f>'CAR Passenger Kilometres'!Z11*'CAR Stock'!Z61</f>
        <v>0</v>
      </c>
      <c r="BG11" s="295">
        <f>'CAR Passenger Kilometres'!AA11*'CAR Stock'!AA61</f>
        <v>0</v>
      </c>
      <c r="BH11" s="295">
        <f>'CAR Passenger Kilometres'!AB11*'CAR Stock'!AB61</f>
        <v>0</v>
      </c>
      <c r="BI11" s="295">
        <f>'CAR Passenger Kilometres'!AC11*'CAR Stock'!AC61</f>
        <v>0</v>
      </c>
      <c r="BJ11" s="295">
        <f>'CAR Passenger Kilometres'!AD11*'CAR Stock'!AD61</f>
        <v>0</v>
      </c>
      <c r="BK11" s="296">
        <f>'CAR Passenger Kilometres'!AE11*'CAR Stock'!AE61</f>
        <v>0</v>
      </c>
    </row>
    <row r="12" spans="1:63">
      <c r="A12" s="1711"/>
      <c r="B12" s="116">
        <v>9</v>
      </c>
      <c r="C12" s="294">
        <f>'CAR Mileage'!C33*CAR!$I$58</f>
        <v>17886.843910970765</v>
      </c>
      <c r="D12" s="295">
        <f>'CAR Mileage'!D33*CAR!$I$58</f>
        <v>17886.843910970765</v>
      </c>
      <c r="E12" s="295">
        <f>'CAR Mileage'!E33*CAR!$I$58</f>
        <v>17886.843910970765</v>
      </c>
      <c r="F12" s="295">
        <f>'CAR Mileage'!F33*CAR!$I$58</f>
        <v>17886.843910970765</v>
      </c>
      <c r="G12" s="295">
        <f>'CAR Mileage'!G33*CAR!$I$58</f>
        <v>17886.843910970765</v>
      </c>
      <c r="H12" s="295">
        <f>'CAR Mileage'!H33*CAR!$I$58</f>
        <v>17886.843910970765</v>
      </c>
      <c r="I12" s="295">
        <f>'CAR Mileage'!I33*CAR!$I$58</f>
        <v>17886.843910970765</v>
      </c>
      <c r="J12" s="295">
        <f>'CAR Mileage'!J33*CAR!$I$58</f>
        <v>17886.843910970765</v>
      </c>
      <c r="K12" s="295">
        <f>'CAR Mileage'!K33*CAR!$I$58</f>
        <v>17886.843910970765</v>
      </c>
      <c r="L12" s="295">
        <f>'CAR Mileage'!L33*CAR!$I$58</f>
        <v>17886.843910970765</v>
      </c>
      <c r="M12" s="295">
        <f>'CAR Mileage'!M33*CAR!$I$58</f>
        <v>17886.843910970765</v>
      </c>
      <c r="N12" s="295">
        <f>'CAR Mileage'!N33*CAR!$I$58</f>
        <v>17886.843910970765</v>
      </c>
      <c r="O12" s="295">
        <f>'CAR Mileage'!O33*CAR!$I$58</f>
        <v>17886.843910970765</v>
      </c>
      <c r="P12" s="295">
        <f>'CAR Mileage'!P33*CAR!$I$58</f>
        <v>17886.843910970765</v>
      </c>
      <c r="Q12" s="295">
        <f>'CAR Mileage'!Q33*CAR!$I$58</f>
        <v>17886.843910970765</v>
      </c>
      <c r="R12" s="295">
        <f>'CAR Mileage'!R33*CAR!$I$58</f>
        <v>17886.843910970765</v>
      </c>
      <c r="S12" s="295">
        <f>'CAR Mileage'!S33*CAR!$I$58</f>
        <v>17886.843910970765</v>
      </c>
      <c r="T12" s="295">
        <f>'CAR Mileage'!T33*CAR!$I$58</f>
        <v>17886.843910970765</v>
      </c>
      <c r="U12" s="295">
        <f>'CAR Mileage'!U33*CAR!$I$58</f>
        <v>17886.843910970765</v>
      </c>
      <c r="V12" s="295">
        <f>'CAR Mileage'!V33*CAR!$I$58</f>
        <v>17886.843910970765</v>
      </c>
      <c r="W12" s="295">
        <f>'CAR Mileage'!W33*CAR!$I$58</f>
        <v>17886.843910970765</v>
      </c>
      <c r="X12" s="295">
        <f>'CAR Mileage'!X33*CAR!$I$58</f>
        <v>17886.843910970765</v>
      </c>
      <c r="Y12" s="295">
        <f>'CAR Mileage'!Y33*CAR!$I$58</f>
        <v>17886.843910970765</v>
      </c>
      <c r="Z12" s="295">
        <f>'CAR Mileage'!Z33*CAR!$I$58</f>
        <v>17886.843910970765</v>
      </c>
      <c r="AA12" s="295">
        <f>'CAR Mileage'!AA33*CAR!$I$58</f>
        <v>17886.843910970765</v>
      </c>
      <c r="AB12" s="295">
        <f>'CAR Mileage'!AB33*CAR!$I$58</f>
        <v>17886.843910970765</v>
      </c>
      <c r="AC12" s="295">
        <f>'CAR Mileage'!AC33*CAR!$I$58</f>
        <v>17886.843910970765</v>
      </c>
      <c r="AD12" s="295">
        <f>'CAR Mileage'!AD33*CAR!$I$58</f>
        <v>17886.843910970765</v>
      </c>
      <c r="AE12" s="296">
        <f>'CAR Mileage'!AE33*CAR!$I$58</f>
        <v>17886.843910970765</v>
      </c>
      <c r="AG12" s="1711"/>
      <c r="AH12" s="116">
        <v>9</v>
      </c>
      <c r="AI12" s="294">
        <f>'CAR Passenger Kilometres'!C12*'CAR Stock'!C62</f>
        <v>179351383.89530388</v>
      </c>
      <c r="AJ12" s="295">
        <f>'CAR Passenger Kilometres'!D12*'CAR Stock'!D62</f>
        <v>166455305.18549857</v>
      </c>
      <c r="AK12" s="295">
        <f>'CAR Passenger Kilometres'!E12*'CAR Stock'!E62</f>
        <v>156962730.01168063</v>
      </c>
      <c r="AL12" s="295">
        <f>'CAR Passenger Kilometres'!F12*'CAR Stock'!F62</f>
        <v>172595483.92246628</v>
      </c>
      <c r="AM12" s="295">
        <f>'CAR Passenger Kilometres'!G12*'CAR Stock'!G62</f>
        <v>122097807.06843863</v>
      </c>
      <c r="AN12" s="295">
        <f>'CAR Passenger Kilometres'!H12*'CAR Stock'!H62</f>
        <v>90673501.520911291</v>
      </c>
      <c r="AO12" s="295">
        <f>'CAR Passenger Kilometres'!I12*'CAR Stock'!I62</f>
        <v>40193468.858656533</v>
      </c>
      <c r="AP12" s="295">
        <f>'CAR Passenger Kilometres'!J12*'CAR Stock'!J62</f>
        <v>64048416.135611594</v>
      </c>
      <c r="AQ12" s="295">
        <f>'CAR Passenger Kilometres'!K12*'CAR Stock'!K62</f>
        <v>62195775.999457538</v>
      </c>
      <c r="AR12" s="295">
        <f>'CAR Passenger Kilometres'!L12*'CAR Stock'!L62</f>
        <v>57114248.768863559</v>
      </c>
      <c r="AS12" s="295">
        <f>'CAR Passenger Kilometres'!M12*'CAR Stock'!M62</f>
        <v>0</v>
      </c>
      <c r="AT12" s="295">
        <f>'CAR Passenger Kilometres'!N12*'CAR Stock'!N62</f>
        <v>0</v>
      </c>
      <c r="AU12" s="295">
        <f>'CAR Passenger Kilometres'!O12*'CAR Stock'!O62</f>
        <v>0</v>
      </c>
      <c r="AV12" s="295">
        <f>'CAR Passenger Kilometres'!P12*'CAR Stock'!P62</f>
        <v>0</v>
      </c>
      <c r="AW12" s="295">
        <f>'CAR Passenger Kilometres'!Q12*'CAR Stock'!Q62</f>
        <v>0</v>
      </c>
      <c r="AX12" s="295">
        <f>'CAR Passenger Kilometres'!R12*'CAR Stock'!R62</f>
        <v>0</v>
      </c>
      <c r="AY12" s="295">
        <f>'CAR Passenger Kilometres'!S12*'CAR Stock'!S62</f>
        <v>0</v>
      </c>
      <c r="AZ12" s="295">
        <f>'CAR Passenger Kilometres'!T12*'CAR Stock'!T62</f>
        <v>0</v>
      </c>
      <c r="BA12" s="295">
        <f>'CAR Passenger Kilometres'!U12*'CAR Stock'!U62</f>
        <v>0</v>
      </c>
      <c r="BB12" s="295">
        <f>'CAR Passenger Kilometres'!V12*'CAR Stock'!V62</f>
        <v>0</v>
      </c>
      <c r="BC12" s="295">
        <f>'CAR Passenger Kilometres'!W12*'CAR Stock'!W62</f>
        <v>0</v>
      </c>
      <c r="BD12" s="295">
        <f>'CAR Passenger Kilometres'!X12*'CAR Stock'!X62</f>
        <v>0</v>
      </c>
      <c r="BE12" s="295">
        <f>'CAR Passenger Kilometres'!Y12*'CAR Stock'!Y62</f>
        <v>0</v>
      </c>
      <c r="BF12" s="295">
        <f>'CAR Passenger Kilometres'!Z12*'CAR Stock'!Z62</f>
        <v>0</v>
      </c>
      <c r="BG12" s="295">
        <f>'CAR Passenger Kilometres'!AA12*'CAR Stock'!AA62</f>
        <v>0</v>
      </c>
      <c r="BH12" s="295">
        <f>'CAR Passenger Kilometres'!AB12*'CAR Stock'!AB62</f>
        <v>0</v>
      </c>
      <c r="BI12" s="295">
        <f>'CAR Passenger Kilometres'!AC12*'CAR Stock'!AC62</f>
        <v>0</v>
      </c>
      <c r="BJ12" s="295">
        <f>'CAR Passenger Kilometres'!AD12*'CAR Stock'!AD62</f>
        <v>0</v>
      </c>
      <c r="BK12" s="296">
        <f>'CAR Passenger Kilometres'!AE12*'CAR Stock'!AE62</f>
        <v>0</v>
      </c>
    </row>
    <row r="13" spans="1:63">
      <c r="A13" s="1711"/>
      <c r="B13" s="116">
        <v>10</v>
      </c>
      <c r="C13" s="294">
        <f>'CAR Mileage'!C34*CAR!$I$58</f>
        <v>17529.107032751348</v>
      </c>
      <c r="D13" s="295">
        <f>'CAR Mileage'!D34*CAR!$I$58</f>
        <v>17529.107032751348</v>
      </c>
      <c r="E13" s="295">
        <f>'CAR Mileage'!E34*CAR!$I$58</f>
        <v>17529.107032751348</v>
      </c>
      <c r="F13" s="295">
        <f>'CAR Mileage'!F34*CAR!$I$58</f>
        <v>17529.107032751348</v>
      </c>
      <c r="G13" s="295">
        <f>'CAR Mileage'!G34*CAR!$I$58</f>
        <v>17529.107032751348</v>
      </c>
      <c r="H13" s="295">
        <f>'CAR Mileage'!H34*CAR!$I$58</f>
        <v>17529.107032751348</v>
      </c>
      <c r="I13" s="295">
        <f>'CAR Mileage'!I34*CAR!$I$58</f>
        <v>17529.107032751348</v>
      </c>
      <c r="J13" s="295">
        <f>'CAR Mileage'!J34*CAR!$I$58</f>
        <v>17529.107032751348</v>
      </c>
      <c r="K13" s="295">
        <f>'CAR Mileage'!K34*CAR!$I$58</f>
        <v>17529.107032751348</v>
      </c>
      <c r="L13" s="295">
        <f>'CAR Mileage'!L34*CAR!$I$58</f>
        <v>17529.107032751348</v>
      </c>
      <c r="M13" s="295">
        <f>'CAR Mileage'!M34*CAR!$I$58</f>
        <v>17529.107032751348</v>
      </c>
      <c r="N13" s="295">
        <f>'CAR Mileage'!N34*CAR!$I$58</f>
        <v>17529.107032751348</v>
      </c>
      <c r="O13" s="295">
        <f>'CAR Mileage'!O34*CAR!$I$58</f>
        <v>17529.107032751348</v>
      </c>
      <c r="P13" s="295">
        <f>'CAR Mileage'!P34*CAR!$I$58</f>
        <v>17529.107032751348</v>
      </c>
      <c r="Q13" s="295">
        <f>'CAR Mileage'!Q34*CAR!$I$58</f>
        <v>17529.107032751348</v>
      </c>
      <c r="R13" s="295">
        <f>'CAR Mileage'!R34*CAR!$I$58</f>
        <v>17529.107032751348</v>
      </c>
      <c r="S13" s="295">
        <f>'CAR Mileage'!S34*CAR!$I$58</f>
        <v>17529.107032751348</v>
      </c>
      <c r="T13" s="295">
        <f>'CAR Mileage'!T34*CAR!$I$58</f>
        <v>17529.107032751348</v>
      </c>
      <c r="U13" s="295">
        <f>'CAR Mileage'!U34*CAR!$I$58</f>
        <v>17529.107032751348</v>
      </c>
      <c r="V13" s="295">
        <f>'CAR Mileage'!V34*CAR!$I$58</f>
        <v>17529.107032751348</v>
      </c>
      <c r="W13" s="295">
        <f>'CAR Mileage'!W34*CAR!$I$58</f>
        <v>17529.107032751348</v>
      </c>
      <c r="X13" s="295">
        <f>'CAR Mileage'!X34*CAR!$I$58</f>
        <v>17529.107032751348</v>
      </c>
      <c r="Y13" s="295">
        <f>'CAR Mileage'!Y34*CAR!$I$58</f>
        <v>17529.107032751348</v>
      </c>
      <c r="Z13" s="295">
        <f>'CAR Mileage'!Z34*CAR!$I$58</f>
        <v>17529.107032751348</v>
      </c>
      <c r="AA13" s="295">
        <f>'CAR Mileage'!AA34*CAR!$I$58</f>
        <v>17529.107032751348</v>
      </c>
      <c r="AB13" s="295">
        <f>'CAR Mileage'!AB34*CAR!$I$58</f>
        <v>17529.107032751348</v>
      </c>
      <c r="AC13" s="295">
        <f>'CAR Mileage'!AC34*CAR!$I$58</f>
        <v>17529.107032751348</v>
      </c>
      <c r="AD13" s="295">
        <f>'CAR Mileage'!AD34*CAR!$I$58</f>
        <v>17529.107032751348</v>
      </c>
      <c r="AE13" s="296">
        <f>'CAR Mileage'!AE34*CAR!$I$58</f>
        <v>17529.107032751348</v>
      </c>
      <c r="AG13" s="1711"/>
      <c r="AH13" s="116">
        <v>10</v>
      </c>
      <c r="AI13" s="294">
        <f>'CAR Passenger Kilometres'!C13*'CAR Stock'!C63</f>
        <v>180181691.1896511</v>
      </c>
      <c r="AJ13" s="295">
        <f>'CAR Passenger Kilometres'!D13*'CAR Stock'!D63</f>
        <v>162330768.66494676</v>
      </c>
      <c r="AK13" s="295">
        <f>'CAR Passenger Kilometres'!E13*'CAR Stock'!E63</f>
        <v>150658539.96919057</v>
      </c>
      <c r="AL13" s="295">
        <f>'CAR Passenger Kilometres'!F13*'CAR Stock'!F63</f>
        <v>142066819.11871096</v>
      </c>
      <c r="AM13" s="295">
        <f>'CAR Passenger Kilometres'!G13*'CAR Stock'!G63</f>
        <v>156216009.96169409</v>
      </c>
      <c r="AN13" s="295">
        <f>'CAR Passenger Kilometres'!H13*'CAR Stock'!H63</f>
        <v>110510610.19575991</v>
      </c>
      <c r="AO13" s="295">
        <f>'CAR Passenger Kilometres'!I13*'CAR Stock'!I63</f>
        <v>82068500.837573722</v>
      </c>
      <c r="AP13" s="295">
        <f>'CAR Passenger Kilometres'!J13*'CAR Stock'!J63</f>
        <v>36379070.812997267</v>
      </c>
      <c r="AQ13" s="295">
        <f>'CAR Passenger Kilometres'!K13*'CAR Stock'!K63</f>
        <v>57970161.128700644</v>
      </c>
      <c r="AR13" s="295">
        <f>'CAR Passenger Kilometres'!L13*'CAR Stock'!L63</f>
        <v>56293338.286134914</v>
      </c>
      <c r="AS13" s="295">
        <f>'CAR Passenger Kilometres'!M13*'CAR Stock'!M63</f>
        <v>51694052.775097512</v>
      </c>
      <c r="AT13" s="295">
        <f>'CAR Passenger Kilometres'!N13*'CAR Stock'!N63</f>
        <v>0</v>
      </c>
      <c r="AU13" s="295">
        <f>'CAR Passenger Kilometres'!O13*'CAR Stock'!O63</f>
        <v>0</v>
      </c>
      <c r="AV13" s="295">
        <f>'CAR Passenger Kilometres'!P13*'CAR Stock'!P63</f>
        <v>0</v>
      </c>
      <c r="AW13" s="295">
        <f>'CAR Passenger Kilometres'!Q13*'CAR Stock'!Q63</f>
        <v>0</v>
      </c>
      <c r="AX13" s="295">
        <f>'CAR Passenger Kilometres'!R13*'CAR Stock'!R63</f>
        <v>0</v>
      </c>
      <c r="AY13" s="295">
        <f>'CAR Passenger Kilometres'!S13*'CAR Stock'!S63</f>
        <v>0</v>
      </c>
      <c r="AZ13" s="295">
        <f>'CAR Passenger Kilometres'!T13*'CAR Stock'!T63</f>
        <v>0</v>
      </c>
      <c r="BA13" s="295">
        <f>'CAR Passenger Kilometres'!U13*'CAR Stock'!U63</f>
        <v>0</v>
      </c>
      <c r="BB13" s="295">
        <f>'CAR Passenger Kilometres'!V13*'CAR Stock'!V63</f>
        <v>0</v>
      </c>
      <c r="BC13" s="295">
        <f>'CAR Passenger Kilometres'!W13*'CAR Stock'!W63</f>
        <v>0</v>
      </c>
      <c r="BD13" s="295">
        <f>'CAR Passenger Kilometres'!X13*'CAR Stock'!X63</f>
        <v>0</v>
      </c>
      <c r="BE13" s="295">
        <f>'CAR Passenger Kilometres'!Y13*'CAR Stock'!Y63</f>
        <v>0</v>
      </c>
      <c r="BF13" s="295">
        <f>'CAR Passenger Kilometres'!Z13*'CAR Stock'!Z63</f>
        <v>0</v>
      </c>
      <c r="BG13" s="295">
        <f>'CAR Passenger Kilometres'!AA13*'CAR Stock'!AA63</f>
        <v>0</v>
      </c>
      <c r="BH13" s="295">
        <f>'CAR Passenger Kilometres'!AB13*'CAR Stock'!AB63</f>
        <v>0</v>
      </c>
      <c r="BI13" s="295">
        <f>'CAR Passenger Kilometres'!AC13*'CAR Stock'!AC63</f>
        <v>0</v>
      </c>
      <c r="BJ13" s="295">
        <f>'CAR Passenger Kilometres'!AD13*'CAR Stock'!AD63</f>
        <v>0</v>
      </c>
      <c r="BK13" s="296">
        <f>'CAR Passenger Kilometres'!AE13*'CAR Stock'!AE63</f>
        <v>0</v>
      </c>
    </row>
    <row r="14" spans="1:63">
      <c r="A14" s="1711"/>
      <c r="B14" s="116">
        <v>11</v>
      </c>
      <c r="C14" s="294">
        <f>'CAR Mileage'!C35*CAR!$I$58</f>
        <v>17178.52489209632</v>
      </c>
      <c r="D14" s="295">
        <f>'CAR Mileage'!D35*CAR!$I$58</f>
        <v>17178.52489209632</v>
      </c>
      <c r="E14" s="295">
        <f>'CAR Mileage'!E35*CAR!$I$58</f>
        <v>17178.52489209632</v>
      </c>
      <c r="F14" s="295">
        <f>'CAR Mileage'!F35*CAR!$I$58</f>
        <v>17178.52489209632</v>
      </c>
      <c r="G14" s="295">
        <f>'CAR Mileage'!G35*CAR!$I$58</f>
        <v>17178.52489209632</v>
      </c>
      <c r="H14" s="295">
        <f>'CAR Mileage'!H35*CAR!$I$58</f>
        <v>17178.52489209632</v>
      </c>
      <c r="I14" s="295">
        <f>'CAR Mileage'!I35*CAR!$I$58</f>
        <v>17178.52489209632</v>
      </c>
      <c r="J14" s="295">
        <f>'CAR Mileage'!J35*CAR!$I$58</f>
        <v>17178.52489209632</v>
      </c>
      <c r="K14" s="295">
        <f>'CAR Mileage'!K35*CAR!$I$58</f>
        <v>17178.52489209632</v>
      </c>
      <c r="L14" s="295">
        <f>'CAR Mileage'!L35*CAR!$I$58</f>
        <v>17178.52489209632</v>
      </c>
      <c r="M14" s="295">
        <f>'CAR Mileage'!M35*CAR!$I$58</f>
        <v>17178.52489209632</v>
      </c>
      <c r="N14" s="295">
        <f>'CAR Mileage'!N35*CAR!$I$58</f>
        <v>17178.52489209632</v>
      </c>
      <c r="O14" s="295">
        <f>'CAR Mileage'!O35*CAR!$I$58</f>
        <v>17178.52489209632</v>
      </c>
      <c r="P14" s="295">
        <f>'CAR Mileage'!P35*CAR!$I$58</f>
        <v>17178.52489209632</v>
      </c>
      <c r="Q14" s="295">
        <f>'CAR Mileage'!Q35*CAR!$I$58</f>
        <v>17178.52489209632</v>
      </c>
      <c r="R14" s="295">
        <f>'CAR Mileage'!R35*CAR!$I$58</f>
        <v>17178.52489209632</v>
      </c>
      <c r="S14" s="295">
        <f>'CAR Mileage'!S35*CAR!$I$58</f>
        <v>17178.52489209632</v>
      </c>
      <c r="T14" s="295">
        <f>'CAR Mileage'!T35*CAR!$I$58</f>
        <v>17178.52489209632</v>
      </c>
      <c r="U14" s="295">
        <f>'CAR Mileage'!U35*CAR!$I$58</f>
        <v>17178.52489209632</v>
      </c>
      <c r="V14" s="295">
        <f>'CAR Mileage'!V35*CAR!$I$58</f>
        <v>17178.52489209632</v>
      </c>
      <c r="W14" s="295">
        <f>'CAR Mileage'!W35*CAR!$I$58</f>
        <v>17178.52489209632</v>
      </c>
      <c r="X14" s="295">
        <f>'CAR Mileage'!X35*CAR!$I$58</f>
        <v>17178.52489209632</v>
      </c>
      <c r="Y14" s="295">
        <f>'CAR Mileage'!Y35*CAR!$I$58</f>
        <v>17178.52489209632</v>
      </c>
      <c r="Z14" s="295">
        <f>'CAR Mileage'!Z35*CAR!$I$58</f>
        <v>17178.52489209632</v>
      </c>
      <c r="AA14" s="295">
        <f>'CAR Mileage'!AA35*CAR!$I$58</f>
        <v>17178.52489209632</v>
      </c>
      <c r="AB14" s="295">
        <f>'CAR Mileage'!AB35*CAR!$I$58</f>
        <v>17178.52489209632</v>
      </c>
      <c r="AC14" s="295">
        <f>'CAR Mileage'!AC35*CAR!$I$58</f>
        <v>17178.52489209632</v>
      </c>
      <c r="AD14" s="295">
        <f>'CAR Mileage'!AD35*CAR!$I$58</f>
        <v>17178.52489209632</v>
      </c>
      <c r="AE14" s="296">
        <f>'CAR Mileage'!AE35*CAR!$I$58</f>
        <v>17178.52489209632</v>
      </c>
      <c r="AG14" s="1711"/>
      <c r="AH14" s="116">
        <v>11</v>
      </c>
      <c r="AI14" s="294">
        <f>'CAR Passenger Kilometres'!C14*'CAR Stock'!C64</f>
        <v>273739794.15555489</v>
      </c>
      <c r="AJ14" s="295">
        <f>'CAR Passenger Kilometres'!D14*'CAR Stock'!D64</f>
        <v>147389560.15250862</v>
      </c>
      <c r="AK14" s="295">
        <f>'CAR Passenger Kilometres'!E14*'CAR Stock'!E64</f>
        <v>132787412.72087325</v>
      </c>
      <c r="AL14" s="295">
        <f>'CAR Passenger Kilometres'!F14*'CAR Stock'!F64</f>
        <v>123239468.96416706</v>
      </c>
      <c r="AM14" s="295">
        <f>'CAR Passenger Kilometres'!G14*'CAR Stock'!G64</f>
        <v>116211396.64036784</v>
      </c>
      <c r="AN14" s="295">
        <f>'CAR Passenger Kilometres'!H14*'CAR Stock'!H64</f>
        <v>127785508.31115985</v>
      </c>
      <c r="AO14" s="295">
        <f>'CAR Passenger Kilometres'!I14*'CAR Stock'!I64</f>
        <v>90398253.68158111</v>
      </c>
      <c r="AP14" s="295">
        <f>'CAR Passenger Kilometres'!J14*'CAR Stock'!J64</f>
        <v>67132460.35688515</v>
      </c>
      <c r="AQ14" s="295">
        <f>'CAR Passenger Kilometres'!K14*'CAR Stock'!K64</f>
        <v>29758269.058763258</v>
      </c>
      <c r="AR14" s="295">
        <f>'CAR Passenger Kilometres'!L14*'CAR Stock'!L64</f>
        <v>47419893.188459449</v>
      </c>
      <c r="AS14" s="295">
        <f>'CAR Passenger Kilometres'!M14*'CAR Stock'!M64</f>
        <v>46048243.385487482</v>
      </c>
      <c r="AT14" s="295">
        <f>'CAR Passenger Kilometres'!N14*'CAR Stock'!N64</f>
        <v>42286003.925907232</v>
      </c>
      <c r="AU14" s="295">
        <f>'CAR Passenger Kilometres'!O14*'CAR Stock'!O64</f>
        <v>0</v>
      </c>
      <c r="AV14" s="295">
        <f>'CAR Passenger Kilometres'!P14*'CAR Stock'!P64</f>
        <v>0</v>
      </c>
      <c r="AW14" s="295">
        <f>'CAR Passenger Kilometres'!Q14*'CAR Stock'!Q64</f>
        <v>0</v>
      </c>
      <c r="AX14" s="295">
        <f>'CAR Passenger Kilometres'!R14*'CAR Stock'!R64</f>
        <v>0</v>
      </c>
      <c r="AY14" s="295">
        <f>'CAR Passenger Kilometres'!S14*'CAR Stock'!S64</f>
        <v>0</v>
      </c>
      <c r="AZ14" s="295">
        <f>'CAR Passenger Kilometres'!T14*'CAR Stock'!T64</f>
        <v>0</v>
      </c>
      <c r="BA14" s="295">
        <f>'CAR Passenger Kilometres'!U14*'CAR Stock'!U64</f>
        <v>0</v>
      </c>
      <c r="BB14" s="295">
        <f>'CAR Passenger Kilometres'!V14*'CAR Stock'!V64</f>
        <v>0</v>
      </c>
      <c r="BC14" s="295">
        <f>'CAR Passenger Kilometres'!W14*'CAR Stock'!W64</f>
        <v>0</v>
      </c>
      <c r="BD14" s="295">
        <f>'CAR Passenger Kilometres'!X14*'CAR Stock'!X64</f>
        <v>0</v>
      </c>
      <c r="BE14" s="295">
        <f>'CAR Passenger Kilometres'!Y14*'CAR Stock'!Y64</f>
        <v>0</v>
      </c>
      <c r="BF14" s="295">
        <f>'CAR Passenger Kilometres'!Z14*'CAR Stock'!Z64</f>
        <v>0</v>
      </c>
      <c r="BG14" s="295">
        <f>'CAR Passenger Kilometres'!AA14*'CAR Stock'!AA64</f>
        <v>0</v>
      </c>
      <c r="BH14" s="295">
        <f>'CAR Passenger Kilometres'!AB14*'CAR Stock'!AB64</f>
        <v>0</v>
      </c>
      <c r="BI14" s="295">
        <f>'CAR Passenger Kilometres'!AC14*'CAR Stock'!AC64</f>
        <v>0</v>
      </c>
      <c r="BJ14" s="295">
        <f>'CAR Passenger Kilometres'!AD14*'CAR Stock'!AD64</f>
        <v>0</v>
      </c>
      <c r="BK14" s="296">
        <f>'CAR Passenger Kilometres'!AE14*'CAR Stock'!AE64</f>
        <v>0</v>
      </c>
    </row>
    <row r="15" spans="1:63">
      <c r="A15" s="1711"/>
      <c r="B15" s="116">
        <v>12</v>
      </c>
      <c r="C15" s="294">
        <f>'CAR Mileage'!C36*CAR!$I$58</f>
        <v>16834.954394254393</v>
      </c>
      <c r="D15" s="295">
        <f>'CAR Mileage'!D36*CAR!$I$58</f>
        <v>16834.954394254393</v>
      </c>
      <c r="E15" s="295">
        <f>'CAR Mileage'!E36*CAR!$I$58</f>
        <v>16834.954394254393</v>
      </c>
      <c r="F15" s="295">
        <f>'CAR Mileage'!F36*CAR!$I$58</f>
        <v>16834.954394254393</v>
      </c>
      <c r="G15" s="295">
        <f>'CAR Mileage'!G36*CAR!$I$58</f>
        <v>16834.954394254393</v>
      </c>
      <c r="H15" s="295">
        <f>'CAR Mileage'!H36*CAR!$I$58</f>
        <v>16834.954394254393</v>
      </c>
      <c r="I15" s="295">
        <f>'CAR Mileage'!I36*CAR!$I$58</f>
        <v>16834.954394254393</v>
      </c>
      <c r="J15" s="295">
        <f>'CAR Mileage'!J36*CAR!$I$58</f>
        <v>16834.954394254393</v>
      </c>
      <c r="K15" s="295">
        <f>'CAR Mileage'!K36*CAR!$I$58</f>
        <v>16834.954394254393</v>
      </c>
      <c r="L15" s="295">
        <f>'CAR Mileage'!L36*CAR!$I$58</f>
        <v>16834.954394254393</v>
      </c>
      <c r="M15" s="295">
        <f>'CAR Mileage'!M36*CAR!$I$58</f>
        <v>16834.954394254393</v>
      </c>
      <c r="N15" s="295">
        <f>'CAR Mileage'!N36*CAR!$I$58</f>
        <v>16834.954394254393</v>
      </c>
      <c r="O15" s="295">
        <f>'CAR Mileage'!O36*CAR!$I$58</f>
        <v>16834.954394254393</v>
      </c>
      <c r="P15" s="295">
        <f>'CAR Mileage'!P36*CAR!$I$58</f>
        <v>16834.954394254393</v>
      </c>
      <c r="Q15" s="295">
        <f>'CAR Mileage'!Q36*CAR!$I$58</f>
        <v>16834.954394254393</v>
      </c>
      <c r="R15" s="295">
        <f>'CAR Mileage'!R36*CAR!$I$58</f>
        <v>16834.954394254393</v>
      </c>
      <c r="S15" s="295">
        <f>'CAR Mileage'!S36*CAR!$I$58</f>
        <v>16834.954394254393</v>
      </c>
      <c r="T15" s="295">
        <f>'CAR Mileage'!T36*CAR!$I$58</f>
        <v>16834.954394254393</v>
      </c>
      <c r="U15" s="295">
        <f>'CAR Mileage'!U36*CAR!$I$58</f>
        <v>16834.954394254393</v>
      </c>
      <c r="V15" s="295">
        <f>'CAR Mileage'!V36*CAR!$I$58</f>
        <v>16834.954394254393</v>
      </c>
      <c r="W15" s="295">
        <f>'CAR Mileage'!W36*CAR!$I$58</f>
        <v>16834.954394254393</v>
      </c>
      <c r="X15" s="295">
        <f>'CAR Mileage'!X36*CAR!$I$58</f>
        <v>16834.954394254393</v>
      </c>
      <c r="Y15" s="295">
        <f>'CAR Mileage'!Y36*CAR!$I$58</f>
        <v>16834.954394254393</v>
      </c>
      <c r="Z15" s="295">
        <f>'CAR Mileage'!Z36*CAR!$I$58</f>
        <v>16834.954394254393</v>
      </c>
      <c r="AA15" s="295">
        <f>'CAR Mileage'!AA36*CAR!$I$58</f>
        <v>16834.954394254393</v>
      </c>
      <c r="AB15" s="295">
        <f>'CAR Mileage'!AB36*CAR!$I$58</f>
        <v>16834.954394254393</v>
      </c>
      <c r="AC15" s="295">
        <f>'CAR Mileage'!AC36*CAR!$I$58</f>
        <v>16834.954394254393</v>
      </c>
      <c r="AD15" s="295">
        <f>'CAR Mileage'!AD36*CAR!$I$58</f>
        <v>16834.954394254393</v>
      </c>
      <c r="AE15" s="296">
        <f>'CAR Mileage'!AE36*CAR!$I$58</f>
        <v>16834.954394254393</v>
      </c>
      <c r="AG15" s="1711"/>
      <c r="AH15" s="116">
        <v>12</v>
      </c>
      <c r="AI15" s="294">
        <f>'CAR Passenger Kilometres'!C15*'CAR Stock'!C65</f>
        <v>404106245.27968246</v>
      </c>
      <c r="AJ15" s="295">
        <f>'CAR Passenger Kilometres'!D15*'CAR Stock'!D65</f>
        <v>194614746.00913271</v>
      </c>
      <c r="AK15" s="295">
        <f>'CAR Passenger Kilometres'!E15*'CAR Stock'!E65</f>
        <v>104786305.92225197</v>
      </c>
      <c r="AL15" s="295">
        <f>'CAR Passenger Kilometres'!F15*'CAR Stock'!F65</f>
        <v>94404939.112350911</v>
      </c>
      <c r="AM15" s="295">
        <f>'CAR Passenger Kilometres'!G15*'CAR Stock'!G65</f>
        <v>87616848.053639352</v>
      </c>
      <c r="AN15" s="295">
        <f>'CAR Passenger Kilometres'!H15*'CAR Stock'!H65</f>
        <v>82620254.429210916</v>
      </c>
      <c r="AO15" s="295">
        <f>'CAR Passenger Kilometres'!I15*'CAR Stock'!I65</f>
        <v>90848845.41665256</v>
      </c>
      <c r="AP15" s="295">
        <f>'CAR Passenger Kilometres'!J15*'CAR Stock'!J65</f>
        <v>64268453.310492314</v>
      </c>
      <c r="AQ15" s="295">
        <f>'CAR Passenger Kilometres'!K15*'CAR Stock'!K65</f>
        <v>47727685.196910396</v>
      </c>
      <c r="AR15" s="295">
        <f>'CAR Passenger Kilometres'!L15*'CAR Stock'!L65</f>
        <v>21156580.439494435</v>
      </c>
      <c r="AS15" s="295">
        <f>'CAR Passenger Kilometres'!M15*'CAR Stock'!M65</f>
        <v>33713075.94177559</v>
      </c>
      <c r="AT15" s="295">
        <f>'CAR Passenger Kilometres'!N15*'CAR Stock'!N65</f>
        <v>32737904.323625054</v>
      </c>
      <c r="AU15" s="295">
        <f>'CAR Passenger Kilometres'!O15*'CAR Stock'!O65</f>
        <v>30063147.88526931</v>
      </c>
      <c r="AV15" s="295">
        <f>'CAR Passenger Kilometres'!P15*'CAR Stock'!P65</f>
        <v>0</v>
      </c>
      <c r="AW15" s="295">
        <f>'CAR Passenger Kilometres'!Q15*'CAR Stock'!Q65</f>
        <v>0</v>
      </c>
      <c r="AX15" s="295">
        <f>'CAR Passenger Kilometres'!R15*'CAR Stock'!R65</f>
        <v>0</v>
      </c>
      <c r="AY15" s="295">
        <f>'CAR Passenger Kilometres'!S15*'CAR Stock'!S65</f>
        <v>0</v>
      </c>
      <c r="AZ15" s="295">
        <f>'CAR Passenger Kilometres'!T15*'CAR Stock'!T65</f>
        <v>0</v>
      </c>
      <c r="BA15" s="295">
        <f>'CAR Passenger Kilometres'!U15*'CAR Stock'!U65</f>
        <v>0</v>
      </c>
      <c r="BB15" s="295">
        <f>'CAR Passenger Kilometres'!V15*'CAR Stock'!V65</f>
        <v>0</v>
      </c>
      <c r="BC15" s="295">
        <f>'CAR Passenger Kilometres'!W15*'CAR Stock'!W65</f>
        <v>0</v>
      </c>
      <c r="BD15" s="295">
        <f>'CAR Passenger Kilometres'!X15*'CAR Stock'!X65</f>
        <v>0</v>
      </c>
      <c r="BE15" s="295">
        <f>'CAR Passenger Kilometres'!Y15*'CAR Stock'!Y65</f>
        <v>0</v>
      </c>
      <c r="BF15" s="295">
        <f>'CAR Passenger Kilometres'!Z15*'CAR Stock'!Z65</f>
        <v>0</v>
      </c>
      <c r="BG15" s="295">
        <f>'CAR Passenger Kilometres'!AA15*'CAR Stock'!AA65</f>
        <v>0</v>
      </c>
      <c r="BH15" s="295">
        <f>'CAR Passenger Kilometres'!AB15*'CAR Stock'!AB65</f>
        <v>0</v>
      </c>
      <c r="BI15" s="295">
        <f>'CAR Passenger Kilometres'!AC15*'CAR Stock'!AC65</f>
        <v>0</v>
      </c>
      <c r="BJ15" s="295">
        <f>'CAR Passenger Kilometres'!AD15*'CAR Stock'!AD65</f>
        <v>0</v>
      </c>
      <c r="BK15" s="296">
        <f>'CAR Passenger Kilometres'!AE15*'CAR Stock'!AE65</f>
        <v>0</v>
      </c>
    </row>
    <row r="16" spans="1:63">
      <c r="A16" s="1711"/>
      <c r="B16" s="116">
        <v>13</v>
      </c>
      <c r="C16" s="294">
        <f>'CAR Mileage'!C37*CAR!$I$58</f>
        <v>16498.255306369305</v>
      </c>
      <c r="D16" s="295">
        <f>'CAR Mileage'!D37*CAR!$I$58</f>
        <v>16498.255306369305</v>
      </c>
      <c r="E16" s="295">
        <f>'CAR Mileage'!E37*CAR!$I$58</f>
        <v>16498.255306369305</v>
      </c>
      <c r="F16" s="295">
        <f>'CAR Mileage'!F37*CAR!$I$58</f>
        <v>16498.255306369305</v>
      </c>
      <c r="G16" s="295">
        <f>'CAR Mileage'!G37*CAR!$I$58</f>
        <v>16498.255306369305</v>
      </c>
      <c r="H16" s="295">
        <f>'CAR Mileage'!H37*CAR!$I$58</f>
        <v>16498.255306369305</v>
      </c>
      <c r="I16" s="295">
        <f>'CAR Mileage'!I37*CAR!$I$58</f>
        <v>16498.255306369305</v>
      </c>
      <c r="J16" s="295">
        <f>'CAR Mileage'!J37*CAR!$I$58</f>
        <v>16498.255306369305</v>
      </c>
      <c r="K16" s="295">
        <f>'CAR Mileage'!K37*CAR!$I$58</f>
        <v>16498.255306369305</v>
      </c>
      <c r="L16" s="295">
        <f>'CAR Mileage'!L37*CAR!$I$58</f>
        <v>16498.255306369305</v>
      </c>
      <c r="M16" s="295">
        <f>'CAR Mileage'!M37*CAR!$I$58</f>
        <v>16498.255306369305</v>
      </c>
      <c r="N16" s="295">
        <f>'CAR Mileage'!N37*CAR!$I$58</f>
        <v>16498.255306369305</v>
      </c>
      <c r="O16" s="295">
        <f>'CAR Mileage'!O37*CAR!$I$58</f>
        <v>16498.255306369305</v>
      </c>
      <c r="P16" s="295">
        <f>'CAR Mileage'!P37*CAR!$I$58</f>
        <v>16498.255306369305</v>
      </c>
      <c r="Q16" s="295">
        <f>'CAR Mileage'!Q37*CAR!$I$58</f>
        <v>16498.255306369305</v>
      </c>
      <c r="R16" s="295">
        <f>'CAR Mileage'!R37*CAR!$I$58</f>
        <v>16498.255306369305</v>
      </c>
      <c r="S16" s="295">
        <f>'CAR Mileage'!S37*CAR!$I$58</f>
        <v>16498.255306369305</v>
      </c>
      <c r="T16" s="295">
        <f>'CAR Mileage'!T37*CAR!$I$58</f>
        <v>16498.255306369305</v>
      </c>
      <c r="U16" s="295">
        <f>'CAR Mileage'!U37*CAR!$I$58</f>
        <v>16498.255306369305</v>
      </c>
      <c r="V16" s="295">
        <f>'CAR Mileage'!V37*CAR!$I$58</f>
        <v>16498.255306369305</v>
      </c>
      <c r="W16" s="295">
        <f>'CAR Mileage'!W37*CAR!$I$58</f>
        <v>16498.255306369305</v>
      </c>
      <c r="X16" s="295">
        <f>'CAR Mileage'!X37*CAR!$I$58</f>
        <v>16498.255306369305</v>
      </c>
      <c r="Y16" s="295">
        <f>'CAR Mileage'!Y37*CAR!$I$58</f>
        <v>16498.255306369305</v>
      </c>
      <c r="Z16" s="295">
        <f>'CAR Mileage'!Z37*CAR!$I$58</f>
        <v>16498.255306369305</v>
      </c>
      <c r="AA16" s="295">
        <f>'CAR Mileage'!AA37*CAR!$I$58</f>
        <v>16498.255306369305</v>
      </c>
      <c r="AB16" s="295">
        <f>'CAR Mileage'!AB37*CAR!$I$58</f>
        <v>16498.255306369305</v>
      </c>
      <c r="AC16" s="295">
        <f>'CAR Mileage'!AC37*CAR!$I$58</f>
        <v>16498.255306369305</v>
      </c>
      <c r="AD16" s="295">
        <f>'CAR Mileage'!AD37*CAR!$I$58</f>
        <v>16498.255306369305</v>
      </c>
      <c r="AE16" s="296">
        <f>'CAR Mileage'!AE37*CAR!$I$58</f>
        <v>16498.255306369305</v>
      </c>
      <c r="AG16" s="1711"/>
      <c r="AH16" s="116">
        <v>13</v>
      </c>
      <c r="AI16" s="294">
        <f>'CAR Passenger Kilometres'!C16*'CAR Stock'!C66</f>
        <v>224937212.8470391</v>
      </c>
      <c r="AJ16" s="295">
        <f>'CAR Passenger Kilometres'!D16*'CAR Stock'!D66</f>
        <v>240433319.42240962</v>
      </c>
      <c r="AK16" s="295">
        <f>'CAR Passenger Kilometres'!E16*'CAR Stock'!E66</f>
        <v>115791007.78098644</v>
      </c>
      <c r="AL16" s="295">
        <f>'CAR Passenger Kilometres'!F16*'CAR Stock'!F66</f>
        <v>62345285.818243816</v>
      </c>
      <c r="AM16" s="295">
        <f>'CAR Passenger Kilometres'!G16*'CAR Stock'!G66</f>
        <v>56168626.804922603</v>
      </c>
      <c r="AN16" s="295">
        <f>'CAR Passenger Kilometres'!H16*'CAR Stock'!H66</f>
        <v>52129878.864617869</v>
      </c>
      <c r="AO16" s="295">
        <f>'CAR Passenger Kilometres'!I16*'CAR Stock'!I66</f>
        <v>49157028.024129808</v>
      </c>
      <c r="AP16" s="295">
        <f>'CAR Passenger Kilometres'!J16*'CAR Stock'!J66</f>
        <v>54052838.144338764</v>
      </c>
      <c r="AQ16" s="295">
        <f>'CAR Passenger Kilometres'!K16*'CAR Stock'!K66</f>
        <v>38238155.792151339</v>
      </c>
      <c r="AR16" s="295">
        <f>'CAR Passenger Kilometres'!L16*'CAR Stock'!L66</f>
        <v>28396803.846223362</v>
      </c>
      <c r="AS16" s="295">
        <f>'CAR Passenger Kilometres'!M16*'CAR Stock'!M66</f>
        <v>12587647.239092592</v>
      </c>
      <c r="AT16" s="295">
        <f>'CAR Passenger Kilometres'!N16*'CAR Stock'!N66</f>
        <v>20058454.55570944</v>
      </c>
      <c r="AU16" s="295">
        <f>'CAR Passenger Kilometres'!O16*'CAR Stock'!O66</f>
        <v>19478251.32475917</v>
      </c>
      <c r="AV16" s="295">
        <f>'CAR Passenger Kilometres'!P16*'CAR Stock'!P66</f>
        <v>17886836.748438422</v>
      </c>
      <c r="AW16" s="295">
        <f>'CAR Passenger Kilometres'!Q16*'CAR Stock'!Q66</f>
        <v>0</v>
      </c>
      <c r="AX16" s="295">
        <f>'CAR Passenger Kilometres'!R16*'CAR Stock'!R66</f>
        <v>0</v>
      </c>
      <c r="AY16" s="295">
        <f>'CAR Passenger Kilometres'!S16*'CAR Stock'!S66</f>
        <v>0</v>
      </c>
      <c r="AZ16" s="295">
        <f>'CAR Passenger Kilometres'!T16*'CAR Stock'!T66</f>
        <v>0</v>
      </c>
      <c r="BA16" s="295">
        <f>'CAR Passenger Kilometres'!U16*'CAR Stock'!U66</f>
        <v>0</v>
      </c>
      <c r="BB16" s="295">
        <f>'CAR Passenger Kilometres'!V16*'CAR Stock'!V66</f>
        <v>0</v>
      </c>
      <c r="BC16" s="295">
        <f>'CAR Passenger Kilometres'!W16*'CAR Stock'!W66</f>
        <v>0</v>
      </c>
      <c r="BD16" s="295">
        <f>'CAR Passenger Kilometres'!X16*'CAR Stock'!X66</f>
        <v>0</v>
      </c>
      <c r="BE16" s="295">
        <f>'CAR Passenger Kilometres'!Y16*'CAR Stock'!Y66</f>
        <v>0</v>
      </c>
      <c r="BF16" s="295">
        <f>'CAR Passenger Kilometres'!Z16*'CAR Stock'!Z66</f>
        <v>0</v>
      </c>
      <c r="BG16" s="295">
        <f>'CAR Passenger Kilometres'!AA16*'CAR Stock'!AA66</f>
        <v>0</v>
      </c>
      <c r="BH16" s="295">
        <f>'CAR Passenger Kilometres'!AB16*'CAR Stock'!AB66</f>
        <v>0</v>
      </c>
      <c r="BI16" s="295">
        <f>'CAR Passenger Kilometres'!AC16*'CAR Stock'!AC66</f>
        <v>0</v>
      </c>
      <c r="BJ16" s="295">
        <f>'CAR Passenger Kilometres'!AD16*'CAR Stock'!AD66</f>
        <v>0</v>
      </c>
      <c r="BK16" s="296">
        <f>'CAR Passenger Kilometres'!AE16*'CAR Stock'!AE66</f>
        <v>0</v>
      </c>
    </row>
    <row r="17" spans="1:63">
      <c r="A17" s="1711"/>
      <c r="B17" s="116">
        <v>14</v>
      </c>
      <c r="C17" s="294">
        <f>'CAR Mileage'!C38*CAR!$I$58</f>
        <v>16168.290200241918</v>
      </c>
      <c r="D17" s="295">
        <f>'CAR Mileage'!D38*CAR!$I$58</f>
        <v>16168.290200241918</v>
      </c>
      <c r="E17" s="295">
        <f>'CAR Mileage'!E38*CAR!$I$58</f>
        <v>16168.290200241918</v>
      </c>
      <c r="F17" s="295">
        <f>'CAR Mileage'!F38*CAR!$I$58</f>
        <v>16168.290200241918</v>
      </c>
      <c r="G17" s="295">
        <f>'CAR Mileage'!G38*CAR!$I$58</f>
        <v>16168.290200241918</v>
      </c>
      <c r="H17" s="295">
        <f>'CAR Mileage'!H38*CAR!$I$58</f>
        <v>16168.290200241918</v>
      </c>
      <c r="I17" s="295">
        <f>'CAR Mileage'!I38*CAR!$I$58</f>
        <v>16168.290200241918</v>
      </c>
      <c r="J17" s="295">
        <f>'CAR Mileage'!J38*CAR!$I$58</f>
        <v>16168.290200241918</v>
      </c>
      <c r="K17" s="295">
        <f>'CAR Mileage'!K38*CAR!$I$58</f>
        <v>16168.290200241918</v>
      </c>
      <c r="L17" s="295">
        <f>'CAR Mileage'!L38*CAR!$I$58</f>
        <v>16168.290200241918</v>
      </c>
      <c r="M17" s="295">
        <f>'CAR Mileage'!M38*CAR!$I$58</f>
        <v>16168.290200241918</v>
      </c>
      <c r="N17" s="295">
        <f>'CAR Mileage'!N38*CAR!$I$58</f>
        <v>16168.290200241918</v>
      </c>
      <c r="O17" s="295">
        <f>'CAR Mileage'!O38*CAR!$I$58</f>
        <v>16168.290200241918</v>
      </c>
      <c r="P17" s="295">
        <f>'CAR Mileage'!P38*CAR!$I$58</f>
        <v>16168.290200241918</v>
      </c>
      <c r="Q17" s="295">
        <f>'CAR Mileage'!Q38*CAR!$I$58</f>
        <v>16168.290200241918</v>
      </c>
      <c r="R17" s="295">
        <f>'CAR Mileage'!R38*CAR!$I$58</f>
        <v>16168.290200241918</v>
      </c>
      <c r="S17" s="295">
        <f>'CAR Mileage'!S38*CAR!$I$58</f>
        <v>16168.290200241918</v>
      </c>
      <c r="T17" s="295">
        <f>'CAR Mileage'!T38*CAR!$I$58</f>
        <v>16168.290200241918</v>
      </c>
      <c r="U17" s="295">
        <f>'CAR Mileage'!U38*CAR!$I$58</f>
        <v>16168.290200241918</v>
      </c>
      <c r="V17" s="295">
        <f>'CAR Mileage'!V38*CAR!$I$58</f>
        <v>16168.290200241918</v>
      </c>
      <c r="W17" s="295">
        <f>'CAR Mileage'!W38*CAR!$I$58</f>
        <v>16168.290200241918</v>
      </c>
      <c r="X17" s="295">
        <f>'CAR Mileage'!X38*CAR!$I$58</f>
        <v>16168.290200241918</v>
      </c>
      <c r="Y17" s="295">
        <f>'CAR Mileage'!Y38*CAR!$I$58</f>
        <v>16168.290200241918</v>
      </c>
      <c r="Z17" s="295">
        <f>'CAR Mileage'!Z38*CAR!$I$58</f>
        <v>16168.290200241918</v>
      </c>
      <c r="AA17" s="295">
        <f>'CAR Mileage'!AA38*CAR!$I$58</f>
        <v>16168.290200241918</v>
      </c>
      <c r="AB17" s="295">
        <f>'CAR Mileage'!AB38*CAR!$I$58</f>
        <v>16168.290200241918</v>
      </c>
      <c r="AC17" s="295">
        <f>'CAR Mileage'!AC38*CAR!$I$58</f>
        <v>16168.290200241918</v>
      </c>
      <c r="AD17" s="295">
        <f>'CAR Mileage'!AD38*CAR!$I$58</f>
        <v>16168.290200241918</v>
      </c>
      <c r="AE17" s="296">
        <f>'CAR Mileage'!AE38*CAR!$I$58</f>
        <v>16168.290200241918</v>
      </c>
      <c r="AG17" s="1711"/>
      <c r="AH17" s="116">
        <v>14</v>
      </c>
      <c r="AI17" s="294">
        <f>'CAR Passenger Kilometres'!C17*'CAR Stock'!C67</f>
        <v>96767216.848447874</v>
      </c>
      <c r="AJ17" s="295">
        <f>'CAR Passenger Kilometres'!D17*'CAR Stock'!D67</f>
        <v>105712731.93155253</v>
      </c>
      <c r="AK17" s="295">
        <f>'CAR Passenger Kilometres'!E17*'CAR Stock'!E67</f>
        <v>112995367.55973944</v>
      </c>
      <c r="AL17" s="295">
        <f>'CAR Passenger Kilometres'!F17*'CAR Stock'!F67</f>
        <v>54417780.013836682</v>
      </c>
      <c r="AM17" s="295">
        <f>'CAR Passenger Kilometres'!G17*'CAR Stock'!G67</f>
        <v>29300134.039545543</v>
      </c>
      <c r="AN17" s="295">
        <f>'CAR Passenger Kilometres'!H17*'CAR Stock'!H67</f>
        <v>26397317.336860381</v>
      </c>
      <c r="AO17" s="295">
        <f>'CAR Passenger Kilometres'!I17*'CAR Stock'!I67</f>
        <v>24499245.101730146</v>
      </c>
      <c r="AP17" s="295">
        <f>'CAR Passenger Kilometres'!J17*'CAR Stock'!J67</f>
        <v>23102107.740618125</v>
      </c>
      <c r="AQ17" s="295">
        <f>'CAR Passenger Kilometres'!K17*'CAR Stock'!K67</f>
        <v>25402969.640144609</v>
      </c>
      <c r="AR17" s="295">
        <f>'CAR Passenger Kilometres'!L17*'CAR Stock'!L67</f>
        <v>17970614.384563562</v>
      </c>
      <c r="AS17" s="295">
        <f>'CAR Passenger Kilometres'!M17*'CAR Stock'!M67</f>
        <v>13345518.399172273</v>
      </c>
      <c r="AT17" s="295">
        <f>'CAR Passenger Kilometres'!N17*'CAR Stock'!N67</f>
        <v>5915760.0531843631</v>
      </c>
      <c r="AU17" s="295">
        <f>'CAR Passenger Kilometres'!O17*'CAR Stock'!O67</f>
        <v>9426781.8231164329</v>
      </c>
      <c r="AV17" s="295">
        <f>'CAR Passenger Kilometres'!P17*'CAR Stock'!P67</f>
        <v>9154106.3158362079</v>
      </c>
      <c r="AW17" s="295">
        <f>'CAR Passenger Kilometres'!Q17*'CAR Stock'!Q67</f>
        <v>8406196.3530104402</v>
      </c>
      <c r="AX17" s="295">
        <f>'CAR Passenger Kilometres'!R17*'CAR Stock'!R67</f>
        <v>0</v>
      </c>
      <c r="AY17" s="295">
        <f>'CAR Passenger Kilometres'!S17*'CAR Stock'!S67</f>
        <v>0</v>
      </c>
      <c r="AZ17" s="295">
        <f>'CAR Passenger Kilometres'!T17*'CAR Stock'!T67</f>
        <v>0</v>
      </c>
      <c r="BA17" s="295">
        <f>'CAR Passenger Kilometres'!U17*'CAR Stock'!U67</f>
        <v>0</v>
      </c>
      <c r="BB17" s="295">
        <f>'CAR Passenger Kilometres'!V17*'CAR Stock'!V67</f>
        <v>0</v>
      </c>
      <c r="BC17" s="295">
        <f>'CAR Passenger Kilometres'!W17*'CAR Stock'!W67</f>
        <v>0</v>
      </c>
      <c r="BD17" s="295">
        <f>'CAR Passenger Kilometres'!X17*'CAR Stock'!X67</f>
        <v>0</v>
      </c>
      <c r="BE17" s="295">
        <f>'CAR Passenger Kilometres'!Y17*'CAR Stock'!Y67</f>
        <v>0</v>
      </c>
      <c r="BF17" s="295">
        <f>'CAR Passenger Kilometres'!Z17*'CAR Stock'!Z67</f>
        <v>0</v>
      </c>
      <c r="BG17" s="295">
        <f>'CAR Passenger Kilometres'!AA17*'CAR Stock'!AA67</f>
        <v>0</v>
      </c>
      <c r="BH17" s="295">
        <f>'CAR Passenger Kilometres'!AB17*'CAR Stock'!AB67</f>
        <v>0</v>
      </c>
      <c r="BI17" s="295">
        <f>'CAR Passenger Kilometres'!AC17*'CAR Stock'!AC67</f>
        <v>0</v>
      </c>
      <c r="BJ17" s="295">
        <f>'CAR Passenger Kilometres'!AD17*'CAR Stock'!AD67</f>
        <v>0</v>
      </c>
      <c r="BK17" s="296">
        <f>'CAR Passenger Kilometres'!AE17*'CAR Stock'!AE67</f>
        <v>0</v>
      </c>
    </row>
    <row r="18" spans="1:63">
      <c r="A18" s="1711"/>
      <c r="B18" s="116">
        <v>15</v>
      </c>
      <c r="C18" s="294">
        <f>'CAR Mileage'!C39*CAR!$I$58</f>
        <v>15844.92439623708</v>
      </c>
      <c r="D18" s="295">
        <f>'CAR Mileage'!D39*CAR!$I$58</f>
        <v>15844.92439623708</v>
      </c>
      <c r="E18" s="295">
        <f>'CAR Mileage'!E39*CAR!$I$58</f>
        <v>15844.92439623708</v>
      </c>
      <c r="F18" s="295">
        <f>'CAR Mileage'!F39*CAR!$I$58</f>
        <v>15844.92439623708</v>
      </c>
      <c r="G18" s="295">
        <f>'CAR Mileage'!G39*CAR!$I$58</f>
        <v>15844.92439623708</v>
      </c>
      <c r="H18" s="295">
        <f>'CAR Mileage'!H39*CAR!$I$58</f>
        <v>15844.92439623708</v>
      </c>
      <c r="I18" s="295">
        <f>'CAR Mileage'!I39*CAR!$I$58</f>
        <v>15844.92439623708</v>
      </c>
      <c r="J18" s="295">
        <f>'CAR Mileage'!J39*CAR!$I$58</f>
        <v>15844.92439623708</v>
      </c>
      <c r="K18" s="295">
        <f>'CAR Mileage'!K39*CAR!$I$58</f>
        <v>15844.92439623708</v>
      </c>
      <c r="L18" s="295">
        <f>'CAR Mileage'!L39*CAR!$I$58</f>
        <v>15844.92439623708</v>
      </c>
      <c r="M18" s="295">
        <f>'CAR Mileage'!M39*CAR!$I$58</f>
        <v>15844.92439623708</v>
      </c>
      <c r="N18" s="295">
        <f>'CAR Mileage'!N39*CAR!$I$58</f>
        <v>15844.92439623708</v>
      </c>
      <c r="O18" s="295">
        <f>'CAR Mileage'!O39*CAR!$I$58</f>
        <v>15844.92439623708</v>
      </c>
      <c r="P18" s="295">
        <f>'CAR Mileage'!P39*CAR!$I$58</f>
        <v>15844.92439623708</v>
      </c>
      <c r="Q18" s="295">
        <f>'CAR Mileage'!Q39*CAR!$I$58</f>
        <v>15844.92439623708</v>
      </c>
      <c r="R18" s="295">
        <f>'CAR Mileage'!R39*CAR!$I$58</f>
        <v>15844.92439623708</v>
      </c>
      <c r="S18" s="295">
        <f>'CAR Mileage'!S39*CAR!$I$58</f>
        <v>15844.92439623708</v>
      </c>
      <c r="T18" s="295">
        <f>'CAR Mileage'!T39*CAR!$I$58</f>
        <v>15844.92439623708</v>
      </c>
      <c r="U18" s="295">
        <f>'CAR Mileage'!U39*CAR!$I$58</f>
        <v>15844.92439623708</v>
      </c>
      <c r="V18" s="295">
        <f>'CAR Mileage'!V39*CAR!$I$58</f>
        <v>15844.92439623708</v>
      </c>
      <c r="W18" s="295">
        <f>'CAR Mileage'!W39*CAR!$I$58</f>
        <v>15844.92439623708</v>
      </c>
      <c r="X18" s="295">
        <f>'CAR Mileage'!X39*CAR!$I$58</f>
        <v>15844.92439623708</v>
      </c>
      <c r="Y18" s="295">
        <f>'CAR Mileage'!Y39*CAR!$I$58</f>
        <v>15844.92439623708</v>
      </c>
      <c r="Z18" s="295">
        <f>'CAR Mileage'!Z39*CAR!$I$58</f>
        <v>15844.92439623708</v>
      </c>
      <c r="AA18" s="295">
        <f>'CAR Mileage'!AA39*CAR!$I$58</f>
        <v>15844.92439623708</v>
      </c>
      <c r="AB18" s="295">
        <f>'CAR Mileage'!AB39*CAR!$I$58</f>
        <v>15844.92439623708</v>
      </c>
      <c r="AC18" s="295">
        <f>'CAR Mileage'!AC39*CAR!$I$58</f>
        <v>15844.92439623708</v>
      </c>
      <c r="AD18" s="295">
        <f>'CAR Mileage'!AD39*CAR!$I$58</f>
        <v>15844.92439623708</v>
      </c>
      <c r="AE18" s="296">
        <f>'CAR Mileage'!AE39*CAR!$I$58</f>
        <v>15844.92439623708</v>
      </c>
      <c r="AG18" s="1711"/>
      <c r="AH18" s="116">
        <v>15</v>
      </c>
      <c r="AI18" s="294">
        <f>'CAR Passenger Kilometres'!C18*'CAR Stock'!C68</f>
        <v>73377844.878973916</v>
      </c>
      <c r="AJ18" s="295">
        <f>'CAR Passenger Kilometres'!D18*'CAR Stock'!D68</f>
        <v>32918338.037533265</v>
      </c>
      <c r="AK18" s="295">
        <f>'CAR Passenger Kilometres'!E18*'CAR Stock'!E68</f>
        <v>35961429.479200728</v>
      </c>
      <c r="AL18" s="295">
        <f>'CAR Passenger Kilometres'!F18*'CAR Stock'!F68</f>
        <v>38438841.450119525</v>
      </c>
      <c r="AM18" s="295">
        <f>'CAR Passenger Kilometres'!G18*'CAR Stock'!G68</f>
        <v>18511877.63881968</v>
      </c>
      <c r="AN18" s="295">
        <f>'CAR Passenger Kilometres'!H18*'CAR Stock'!H68</f>
        <v>9967339.645299159</v>
      </c>
      <c r="AO18" s="295">
        <f>'CAR Passenger Kilometres'!I18*'CAR Stock'!I68</f>
        <v>8979857.47321558</v>
      </c>
      <c r="AP18" s="295">
        <f>'CAR Passenger Kilometres'!J18*'CAR Stock'!J68</f>
        <v>8334169.9615707155</v>
      </c>
      <c r="AQ18" s="295">
        <f>'CAR Passenger Kilometres'!K18*'CAR Stock'!K68</f>
        <v>7858890.8181188349</v>
      </c>
      <c r="AR18" s="295">
        <f>'CAR Passenger Kilometres'!L18*'CAR Stock'!L68</f>
        <v>8641599.5933946073</v>
      </c>
      <c r="AS18" s="295">
        <f>'CAR Passenger Kilometres'!M18*'CAR Stock'!M68</f>
        <v>6113255.8971877629</v>
      </c>
      <c r="AT18" s="295">
        <f>'CAR Passenger Kilometres'!N18*'CAR Stock'!N68</f>
        <v>4539887.5802959409</v>
      </c>
      <c r="AU18" s="295">
        <f>'CAR Passenger Kilometres'!O18*'CAR Stock'!O68</f>
        <v>2012427.3025713474</v>
      </c>
      <c r="AV18" s="295">
        <f>'CAR Passenger Kilometres'!P18*'CAR Stock'!P68</f>
        <v>3206809.0905768177</v>
      </c>
      <c r="AW18" s="295">
        <f>'CAR Passenger Kilometres'!Q18*'CAR Stock'!Q68</f>
        <v>3114050.1499402984</v>
      </c>
      <c r="AX18" s="295">
        <f>'CAR Passenger Kilometres'!R18*'CAR Stock'!R68</f>
        <v>2859625.6270515588</v>
      </c>
      <c r="AY18" s="295">
        <f>'CAR Passenger Kilometres'!S18*'CAR Stock'!S68</f>
        <v>0</v>
      </c>
      <c r="AZ18" s="295">
        <f>'CAR Passenger Kilometres'!T18*'CAR Stock'!T68</f>
        <v>0</v>
      </c>
      <c r="BA18" s="295">
        <f>'CAR Passenger Kilometres'!U18*'CAR Stock'!U68</f>
        <v>0</v>
      </c>
      <c r="BB18" s="295">
        <f>'CAR Passenger Kilometres'!V18*'CAR Stock'!V68</f>
        <v>0</v>
      </c>
      <c r="BC18" s="295">
        <f>'CAR Passenger Kilometres'!W18*'CAR Stock'!W68</f>
        <v>0</v>
      </c>
      <c r="BD18" s="295">
        <f>'CAR Passenger Kilometres'!X18*'CAR Stock'!X68</f>
        <v>0</v>
      </c>
      <c r="BE18" s="295">
        <f>'CAR Passenger Kilometres'!Y18*'CAR Stock'!Y68</f>
        <v>0</v>
      </c>
      <c r="BF18" s="295">
        <f>'CAR Passenger Kilometres'!Z18*'CAR Stock'!Z68</f>
        <v>0</v>
      </c>
      <c r="BG18" s="295">
        <f>'CAR Passenger Kilometres'!AA18*'CAR Stock'!AA68</f>
        <v>0</v>
      </c>
      <c r="BH18" s="295">
        <f>'CAR Passenger Kilometres'!AB18*'CAR Stock'!AB68</f>
        <v>0</v>
      </c>
      <c r="BI18" s="295">
        <f>'CAR Passenger Kilometres'!AC18*'CAR Stock'!AC68</f>
        <v>0</v>
      </c>
      <c r="BJ18" s="295">
        <f>'CAR Passenger Kilometres'!AD18*'CAR Stock'!AD68</f>
        <v>0</v>
      </c>
      <c r="BK18" s="296">
        <f>'CAR Passenger Kilometres'!AE18*'CAR Stock'!AE68</f>
        <v>0</v>
      </c>
    </row>
    <row r="19" spans="1:63">
      <c r="A19" s="1711"/>
      <c r="B19" s="116">
        <v>16</v>
      </c>
      <c r="C19" s="294">
        <f>'CAR Mileage'!C40*CAR!$I$58</f>
        <v>15528.025908312338</v>
      </c>
      <c r="D19" s="295">
        <f>'CAR Mileage'!D40*CAR!$I$58</f>
        <v>15528.025908312338</v>
      </c>
      <c r="E19" s="295">
        <f>'CAR Mileage'!E40*CAR!$I$58</f>
        <v>15528.025908312338</v>
      </c>
      <c r="F19" s="295">
        <f>'CAR Mileage'!F40*CAR!$I$58</f>
        <v>15528.025908312338</v>
      </c>
      <c r="G19" s="295">
        <f>'CAR Mileage'!G40*CAR!$I$58</f>
        <v>15528.025908312338</v>
      </c>
      <c r="H19" s="295">
        <f>'CAR Mileage'!H40*CAR!$I$58</f>
        <v>15528.025908312338</v>
      </c>
      <c r="I19" s="295">
        <f>'CAR Mileage'!I40*CAR!$I$58</f>
        <v>15528.025908312338</v>
      </c>
      <c r="J19" s="295">
        <f>'CAR Mileage'!J40*CAR!$I$58</f>
        <v>15528.025908312338</v>
      </c>
      <c r="K19" s="295">
        <f>'CAR Mileage'!K40*CAR!$I$58</f>
        <v>15528.025908312338</v>
      </c>
      <c r="L19" s="295">
        <f>'CAR Mileage'!L40*CAR!$I$58</f>
        <v>15528.025908312338</v>
      </c>
      <c r="M19" s="295">
        <f>'CAR Mileage'!M40*CAR!$I$58</f>
        <v>15528.025908312338</v>
      </c>
      <c r="N19" s="295">
        <f>'CAR Mileage'!N40*CAR!$I$58</f>
        <v>15528.025908312338</v>
      </c>
      <c r="O19" s="295">
        <f>'CAR Mileage'!O40*CAR!$I$58</f>
        <v>15528.025908312338</v>
      </c>
      <c r="P19" s="295">
        <f>'CAR Mileage'!P40*CAR!$I$58</f>
        <v>15528.025908312338</v>
      </c>
      <c r="Q19" s="295">
        <f>'CAR Mileage'!Q40*CAR!$I$58</f>
        <v>15528.025908312338</v>
      </c>
      <c r="R19" s="295">
        <f>'CAR Mileage'!R40*CAR!$I$58</f>
        <v>15528.025908312338</v>
      </c>
      <c r="S19" s="295">
        <f>'CAR Mileage'!S40*CAR!$I$58</f>
        <v>15528.025908312338</v>
      </c>
      <c r="T19" s="295">
        <f>'CAR Mileage'!T40*CAR!$I$58</f>
        <v>15528.025908312338</v>
      </c>
      <c r="U19" s="295">
        <f>'CAR Mileage'!U40*CAR!$I$58</f>
        <v>15528.025908312338</v>
      </c>
      <c r="V19" s="295">
        <f>'CAR Mileage'!V40*CAR!$I$58</f>
        <v>15528.025908312338</v>
      </c>
      <c r="W19" s="295">
        <f>'CAR Mileage'!W40*CAR!$I$58</f>
        <v>15528.025908312338</v>
      </c>
      <c r="X19" s="295">
        <f>'CAR Mileage'!X40*CAR!$I$58</f>
        <v>15528.025908312338</v>
      </c>
      <c r="Y19" s="295">
        <f>'CAR Mileage'!Y40*CAR!$I$58</f>
        <v>15528.025908312338</v>
      </c>
      <c r="Z19" s="295">
        <f>'CAR Mileage'!Z40*CAR!$I$58</f>
        <v>15528.025908312338</v>
      </c>
      <c r="AA19" s="295">
        <f>'CAR Mileage'!AA40*CAR!$I$58</f>
        <v>15528.025908312338</v>
      </c>
      <c r="AB19" s="295">
        <f>'CAR Mileage'!AB40*CAR!$I$58</f>
        <v>15528.025908312338</v>
      </c>
      <c r="AC19" s="295">
        <f>'CAR Mileage'!AC40*CAR!$I$58</f>
        <v>15528.025908312338</v>
      </c>
      <c r="AD19" s="295">
        <f>'CAR Mileage'!AD40*CAR!$I$58</f>
        <v>15528.025908312338</v>
      </c>
      <c r="AE19" s="296">
        <f>'CAR Mileage'!AE40*CAR!$I$58</f>
        <v>15528.025908312338</v>
      </c>
      <c r="AG19" s="1711"/>
      <c r="AH19" s="116">
        <v>16</v>
      </c>
      <c r="AI19" s="294">
        <f>'CAR Passenger Kilometres'!C19*'CAR Stock'!C69</f>
        <v>60918282.56317126</v>
      </c>
      <c r="AJ19" s="295">
        <f>'CAR Passenger Kilometres'!D19*'CAR Stock'!D69</f>
        <v>22465552.929741386</v>
      </c>
      <c r="AK19" s="295">
        <f>'CAR Passenger Kilometres'!E19*'CAR Stock'!E69</f>
        <v>10078364.481282705</v>
      </c>
      <c r="AL19" s="295">
        <f>'CAR Passenger Kilometres'!F19*'CAR Stock'!F69</f>
        <v>11010045.317175077</v>
      </c>
      <c r="AM19" s="295">
        <f>'CAR Passenger Kilometres'!G19*'CAR Stock'!G69</f>
        <v>11768536.246600006</v>
      </c>
      <c r="AN19" s="295">
        <f>'CAR Passenger Kilometres'!H19*'CAR Stock'!H69</f>
        <v>5667644.8812271934</v>
      </c>
      <c r="AO19" s="295">
        <f>'CAR Passenger Kilometres'!I19*'CAR Stock'!I69</f>
        <v>3051626.7783484841</v>
      </c>
      <c r="AP19" s="295">
        <f>'CAR Passenger Kilometres'!J19*'CAR Stock'!J69</f>
        <v>2749296.653489823</v>
      </c>
      <c r="AQ19" s="295">
        <f>'CAR Passenger Kilometres'!K19*'CAR Stock'!K69</f>
        <v>2551611.2759367512</v>
      </c>
      <c r="AR19" s="295">
        <f>'CAR Passenger Kilometres'!L19*'CAR Stock'!L69</f>
        <v>2406098.5701434533</v>
      </c>
      <c r="AS19" s="295">
        <f>'CAR Passenger Kilometres'!M19*'CAR Stock'!M69</f>
        <v>2645734.7361896643</v>
      </c>
      <c r="AT19" s="295">
        <f>'CAR Passenger Kilometres'!N19*'CAR Stock'!N69</f>
        <v>1871650.4165234598</v>
      </c>
      <c r="AU19" s="295">
        <f>'CAR Passenger Kilometres'!O19*'CAR Stock'!O69</f>
        <v>1389943.8570107021</v>
      </c>
      <c r="AV19" s="295">
        <f>'CAR Passenger Kilometres'!P19*'CAR Stock'!P69</f>
        <v>616130.00705786725</v>
      </c>
      <c r="AW19" s="295">
        <f>'CAR Passenger Kilometres'!Q19*'CAR Stock'!Q69</f>
        <v>981805.05953470489</v>
      </c>
      <c r="AX19" s="295">
        <f>'CAR Passenger Kilometres'!R19*'CAR Stock'!R69</f>
        <v>953405.73963080859</v>
      </c>
      <c r="AY19" s="295">
        <f>'CAR Passenger Kilometres'!S19*'CAR Stock'!S69</f>
        <v>875510.46218012122</v>
      </c>
      <c r="AZ19" s="295">
        <f>'CAR Passenger Kilometres'!T19*'CAR Stock'!T69</f>
        <v>0</v>
      </c>
      <c r="BA19" s="295">
        <f>'CAR Passenger Kilometres'!U19*'CAR Stock'!U69</f>
        <v>0</v>
      </c>
      <c r="BB19" s="295">
        <f>'CAR Passenger Kilometres'!V19*'CAR Stock'!V69</f>
        <v>0</v>
      </c>
      <c r="BC19" s="295">
        <f>'CAR Passenger Kilometres'!W19*'CAR Stock'!W69</f>
        <v>0</v>
      </c>
      <c r="BD19" s="295">
        <f>'CAR Passenger Kilometres'!X19*'CAR Stock'!X69</f>
        <v>0</v>
      </c>
      <c r="BE19" s="295">
        <f>'CAR Passenger Kilometres'!Y19*'CAR Stock'!Y69</f>
        <v>0</v>
      </c>
      <c r="BF19" s="295">
        <f>'CAR Passenger Kilometres'!Z19*'CAR Stock'!Z69</f>
        <v>0</v>
      </c>
      <c r="BG19" s="295">
        <f>'CAR Passenger Kilometres'!AA19*'CAR Stock'!AA69</f>
        <v>0</v>
      </c>
      <c r="BH19" s="295">
        <f>'CAR Passenger Kilometres'!AB19*'CAR Stock'!AB69</f>
        <v>0</v>
      </c>
      <c r="BI19" s="295">
        <f>'CAR Passenger Kilometres'!AC19*'CAR Stock'!AC69</f>
        <v>0</v>
      </c>
      <c r="BJ19" s="295">
        <f>'CAR Passenger Kilometres'!AD19*'CAR Stock'!AD69</f>
        <v>0</v>
      </c>
      <c r="BK19" s="296">
        <f>'CAR Passenger Kilometres'!AE19*'CAR Stock'!AE69</f>
        <v>0</v>
      </c>
    </row>
    <row r="20" spans="1:63">
      <c r="A20" s="1711"/>
      <c r="B20" s="116">
        <v>17</v>
      </c>
      <c r="C20" s="294">
        <f>'CAR Mileage'!C41*CAR!$I$58</f>
        <v>15528.025908312338</v>
      </c>
      <c r="D20" s="295">
        <f>'CAR Mileage'!D41*CAR!$I$58</f>
        <v>15528.025908312338</v>
      </c>
      <c r="E20" s="295">
        <f>'CAR Mileage'!E41*CAR!$I$58</f>
        <v>15528.025908312338</v>
      </c>
      <c r="F20" s="295">
        <f>'CAR Mileage'!F41*CAR!$I$58</f>
        <v>15528.025908312338</v>
      </c>
      <c r="G20" s="295">
        <f>'CAR Mileage'!G41*CAR!$I$58</f>
        <v>15528.025908312338</v>
      </c>
      <c r="H20" s="295">
        <f>'CAR Mileage'!H41*CAR!$I$58</f>
        <v>15528.025908312338</v>
      </c>
      <c r="I20" s="295">
        <f>'CAR Mileage'!I41*CAR!$I$58</f>
        <v>15528.025908312338</v>
      </c>
      <c r="J20" s="295">
        <f>'CAR Mileage'!J41*CAR!$I$58</f>
        <v>15528.025908312338</v>
      </c>
      <c r="K20" s="295">
        <f>'CAR Mileage'!K41*CAR!$I$58</f>
        <v>15528.025908312338</v>
      </c>
      <c r="L20" s="295">
        <f>'CAR Mileage'!L41*CAR!$I$58</f>
        <v>15528.025908312338</v>
      </c>
      <c r="M20" s="295">
        <f>'CAR Mileage'!M41*CAR!$I$58</f>
        <v>15528.025908312338</v>
      </c>
      <c r="N20" s="295">
        <f>'CAR Mileage'!N41*CAR!$I$58</f>
        <v>15528.025908312338</v>
      </c>
      <c r="O20" s="295">
        <f>'CAR Mileage'!O41*CAR!$I$58</f>
        <v>15528.025908312338</v>
      </c>
      <c r="P20" s="295">
        <f>'CAR Mileage'!P41*CAR!$I$58</f>
        <v>15528.025908312338</v>
      </c>
      <c r="Q20" s="295">
        <f>'CAR Mileage'!Q41*CAR!$I$58</f>
        <v>15528.025908312338</v>
      </c>
      <c r="R20" s="295">
        <f>'CAR Mileage'!R41*CAR!$I$58</f>
        <v>15528.025908312338</v>
      </c>
      <c r="S20" s="295">
        <f>'CAR Mileage'!S41*CAR!$I$58</f>
        <v>15528.025908312338</v>
      </c>
      <c r="T20" s="295">
        <f>'CAR Mileage'!T41*CAR!$I$58</f>
        <v>15528.025908312338</v>
      </c>
      <c r="U20" s="295">
        <f>'CAR Mileage'!U41*CAR!$I$58</f>
        <v>15528.025908312338</v>
      </c>
      <c r="V20" s="295">
        <f>'CAR Mileage'!V41*CAR!$I$58</f>
        <v>15528.025908312338</v>
      </c>
      <c r="W20" s="295">
        <f>'CAR Mileage'!W41*CAR!$I$58</f>
        <v>15528.025908312338</v>
      </c>
      <c r="X20" s="295">
        <f>'CAR Mileage'!X41*CAR!$I$58</f>
        <v>15528.025908312338</v>
      </c>
      <c r="Y20" s="295">
        <f>'CAR Mileage'!Y41*CAR!$I$58</f>
        <v>15528.025908312338</v>
      </c>
      <c r="Z20" s="295">
        <f>'CAR Mileage'!Z41*CAR!$I$58</f>
        <v>15528.025908312338</v>
      </c>
      <c r="AA20" s="295">
        <f>'CAR Mileage'!AA41*CAR!$I$58</f>
        <v>15528.025908312338</v>
      </c>
      <c r="AB20" s="295">
        <f>'CAR Mileage'!AB41*CAR!$I$58</f>
        <v>15528.025908312338</v>
      </c>
      <c r="AC20" s="295">
        <f>'CAR Mileage'!AC41*CAR!$I$58</f>
        <v>15528.025908312338</v>
      </c>
      <c r="AD20" s="295">
        <f>'CAR Mileage'!AD41*CAR!$I$58</f>
        <v>15528.025908312338</v>
      </c>
      <c r="AE20" s="296">
        <f>'CAR Mileage'!AE41*CAR!$I$58</f>
        <v>15528.025908312338</v>
      </c>
      <c r="AG20" s="1711"/>
      <c r="AH20" s="116">
        <v>17</v>
      </c>
      <c r="AI20" s="294">
        <f>'CAR Passenger Kilometres'!C20*'CAR Stock'!C70</f>
        <v>22410583.746463466</v>
      </c>
      <c r="AJ20" s="295">
        <f>'CAR Passenger Kilometres'!D20*'CAR Stock'!D70</f>
        <v>16916916.770468324</v>
      </c>
      <c r="AK20" s="295">
        <f>'CAR Passenger Kilometres'!E20*'CAR Stock'!E70</f>
        <v>6238650.7485808125</v>
      </c>
      <c r="AL20" s="295">
        <f>'CAR Passenger Kilometres'!F20*'CAR Stock'!F70</f>
        <v>2798746.8775979253</v>
      </c>
      <c r="AM20" s="295">
        <f>'CAR Passenger Kilometres'!G20*'CAR Stock'!G70</f>
        <v>3057473.2647229652</v>
      </c>
      <c r="AN20" s="295">
        <f>'CAR Passenger Kilometres'!H20*'CAR Stock'!H70</f>
        <v>3268105.0715361466</v>
      </c>
      <c r="AO20" s="295">
        <f>'CAR Passenger Kilometres'!I20*'CAR Stock'!I70</f>
        <v>1573896.5825385218</v>
      </c>
      <c r="AP20" s="295">
        <f>'CAR Passenger Kilometres'!J20*'CAR Stock'!J70</f>
        <v>847432.23301346903</v>
      </c>
      <c r="AQ20" s="295">
        <f>'CAR Passenger Kilometres'!K20*'CAR Stock'!K70</f>
        <v>763475.60547500197</v>
      </c>
      <c r="AR20" s="295">
        <f>'CAR Passenger Kilometres'!L20*'CAR Stock'!L70</f>
        <v>708578.66915155901</v>
      </c>
      <c r="AS20" s="295">
        <f>'CAR Passenger Kilometres'!M20*'CAR Stock'!M70</f>
        <v>668170.00644183462</v>
      </c>
      <c r="AT20" s="295">
        <f>'CAR Passenger Kilometres'!N20*'CAR Stock'!N70</f>
        <v>734716.61454743985</v>
      </c>
      <c r="AU20" s="295">
        <f>'CAR Passenger Kilometres'!O20*'CAR Stock'!O70</f>
        <v>519754.54637786606</v>
      </c>
      <c r="AV20" s="295">
        <f>'CAR Passenger Kilometres'!P20*'CAR Stock'!P70</f>
        <v>385985.34882020997</v>
      </c>
      <c r="AW20" s="295">
        <f>'CAR Passenger Kilometres'!Q20*'CAR Stock'!Q70</f>
        <v>171098.38968912986</v>
      </c>
      <c r="AX20" s="295">
        <f>'CAR Passenger Kilometres'!R20*'CAR Stock'!R70</f>
        <v>272645.80973289791</v>
      </c>
      <c r="AY20" s="295">
        <f>'CAR Passenger Kilometres'!S20*'CAR Stock'!S70</f>
        <v>264759.36069103726</v>
      </c>
      <c r="AZ20" s="295">
        <f>'CAR Passenger Kilometres'!T20*'CAR Stock'!T70</f>
        <v>243127.95760479078</v>
      </c>
      <c r="BA20" s="295">
        <f>'CAR Passenger Kilometres'!U20*'CAR Stock'!U70</f>
        <v>0</v>
      </c>
      <c r="BB20" s="295">
        <f>'CAR Passenger Kilometres'!V20*'CAR Stock'!V70</f>
        <v>0</v>
      </c>
      <c r="BC20" s="295">
        <f>'CAR Passenger Kilometres'!W20*'CAR Stock'!W70</f>
        <v>0</v>
      </c>
      <c r="BD20" s="295">
        <f>'CAR Passenger Kilometres'!X20*'CAR Stock'!X70</f>
        <v>0</v>
      </c>
      <c r="BE20" s="295">
        <f>'CAR Passenger Kilometres'!Y20*'CAR Stock'!Y70</f>
        <v>0</v>
      </c>
      <c r="BF20" s="295">
        <f>'CAR Passenger Kilometres'!Z20*'CAR Stock'!Z70</f>
        <v>0</v>
      </c>
      <c r="BG20" s="295">
        <f>'CAR Passenger Kilometres'!AA20*'CAR Stock'!AA70</f>
        <v>0</v>
      </c>
      <c r="BH20" s="295">
        <f>'CAR Passenger Kilometres'!AB20*'CAR Stock'!AB70</f>
        <v>0</v>
      </c>
      <c r="BI20" s="295">
        <f>'CAR Passenger Kilometres'!AC20*'CAR Stock'!AC70</f>
        <v>0</v>
      </c>
      <c r="BJ20" s="295">
        <f>'CAR Passenger Kilometres'!AD20*'CAR Stock'!AD70</f>
        <v>0</v>
      </c>
      <c r="BK20" s="296">
        <f>'CAR Passenger Kilometres'!AE20*'CAR Stock'!AE70</f>
        <v>0</v>
      </c>
    </row>
    <row r="21" spans="1:63">
      <c r="A21" s="1711"/>
      <c r="B21" s="116">
        <v>18</v>
      </c>
      <c r="C21" s="294">
        <f>'CAR Mileage'!C42*CAR!$I$58</f>
        <v>15528.025908312338</v>
      </c>
      <c r="D21" s="295">
        <f>'CAR Mileage'!D42*CAR!$I$58</f>
        <v>15528.025908312338</v>
      </c>
      <c r="E21" s="295">
        <f>'CAR Mileage'!E42*CAR!$I$58</f>
        <v>15528.025908312338</v>
      </c>
      <c r="F21" s="295">
        <f>'CAR Mileage'!F42*CAR!$I$58</f>
        <v>15528.025908312338</v>
      </c>
      <c r="G21" s="295">
        <f>'CAR Mileage'!G42*CAR!$I$58</f>
        <v>15528.025908312338</v>
      </c>
      <c r="H21" s="295">
        <f>'CAR Mileage'!H42*CAR!$I$58</f>
        <v>15528.025908312338</v>
      </c>
      <c r="I21" s="295">
        <f>'CAR Mileage'!I42*CAR!$I$58</f>
        <v>15528.025908312338</v>
      </c>
      <c r="J21" s="295">
        <f>'CAR Mileage'!J42*CAR!$I$58</f>
        <v>15528.025908312338</v>
      </c>
      <c r="K21" s="295">
        <f>'CAR Mileage'!K42*CAR!$I$58</f>
        <v>15528.025908312338</v>
      </c>
      <c r="L21" s="295">
        <f>'CAR Mileage'!L42*CAR!$I$58</f>
        <v>15528.025908312338</v>
      </c>
      <c r="M21" s="295">
        <f>'CAR Mileage'!M42*CAR!$I$58</f>
        <v>15528.025908312338</v>
      </c>
      <c r="N21" s="295">
        <f>'CAR Mileage'!N42*CAR!$I$58</f>
        <v>15528.025908312338</v>
      </c>
      <c r="O21" s="295">
        <f>'CAR Mileage'!O42*CAR!$I$58</f>
        <v>15528.025908312338</v>
      </c>
      <c r="P21" s="295">
        <f>'CAR Mileage'!P42*CAR!$I$58</f>
        <v>15528.025908312338</v>
      </c>
      <c r="Q21" s="295">
        <f>'CAR Mileage'!Q42*CAR!$I$58</f>
        <v>15528.025908312338</v>
      </c>
      <c r="R21" s="295">
        <f>'CAR Mileage'!R42*CAR!$I$58</f>
        <v>15528.025908312338</v>
      </c>
      <c r="S21" s="295">
        <f>'CAR Mileage'!S42*CAR!$I$58</f>
        <v>15528.025908312338</v>
      </c>
      <c r="T21" s="295">
        <f>'CAR Mileage'!T42*CAR!$I$58</f>
        <v>15528.025908312338</v>
      </c>
      <c r="U21" s="295">
        <f>'CAR Mileage'!U42*CAR!$I$58</f>
        <v>15528.025908312338</v>
      </c>
      <c r="V21" s="295">
        <f>'CAR Mileage'!V42*CAR!$I$58</f>
        <v>15528.025908312338</v>
      </c>
      <c r="W21" s="295">
        <f>'CAR Mileage'!W42*CAR!$I$58</f>
        <v>15528.025908312338</v>
      </c>
      <c r="X21" s="295">
        <f>'CAR Mileage'!X42*CAR!$I$58</f>
        <v>15528.025908312338</v>
      </c>
      <c r="Y21" s="295">
        <f>'CAR Mileage'!Y42*CAR!$I$58</f>
        <v>15528.025908312338</v>
      </c>
      <c r="Z21" s="295">
        <f>'CAR Mileage'!Z42*CAR!$I$58</f>
        <v>15528.025908312338</v>
      </c>
      <c r="AA21" s="295">
        <f>'CAR Mileage'!AA42*CAR!$I$58</f>
        <v>15528.025908312338</v>
      </c>
      <c r="AB21" s="295">
        <f>'CAR Mileage'!AB42*CAR!$I$58</f>
        <v>15528.025908312338</v>
      </c>
      <c r="AC21" s="295">
        <f>'CAR Mileage'!AC42*CAR!$I$58</f>
        <v>15528.025908312338</v>
      </c>
      <c r="AD21" s="295">
        <f>'CAR Mileage'!AD42*CAR!$I$58</f>
        <v>15528.025908312338</v>
      </c>
      <c r="AE21" s="296">
        <f>'CAR Mileage'!AE42*CAR!$I$58</f>
        <v>15528.025908312338</v>
      </c>
      <c r="AG21" s="1711"/>
      <c r="AH21" s="116">
        <v>18</v>
      </c>
      <c r="AI21" s="294">
        <f>'CAR Passenger Kilometres'!C21*'CAR Stock'!C71</f>
        <v>8244393.0249747867</v>
      </c>
      <c r="AJ21" s="295">
        <f>'CAR Passenger Kilometres'!D21*'CAR Stock'!D71</f>
        <v>5445462.6518807281</v>
      </c>
      <c r="AK21" s="295">
        <f>'CAR Passenger Kilometres'!E21*'CAR Stock'!E71</f>
        <v>4110577.3727601906</v>
      </c>
      <c r="AL21" s="295">
        <f>'CAR Passenger Kilometres'!F21*'CAR Stock'!F71</f>
        <v>1515906.0573281862</v>
      </c>
      <c r="AM21" s="295">
        <f>'CAR Passenger Kilometres'!G21*'CAR Stock'!G71</f>
        <v>680056.87698484655</v>
      </c>
      <c r="AN21" s="295">
        <f>'CAR Passenger Kilometres'!H21*'CAR Stock'!H71</f>
        <v>742923.81941189384</v>
      </c>
      <c r="AO21" s="295">
        <f>'CAR Passenger Kilometres'!I21*'CAR Stock'!I71</f>
        <v>794104.44238341006</v>
      </c>
      <c r="AP21" s="295">
        <f>'CAR Passenger Kilometres'!J21*'CAR Stock'!J71</f>
        <v>382435.15452776768</v>
      </c>
      <c r="AQ21" s="295">
        <f>'CAR Passenger Kilometres'!K21*'CAR Stock'!K71</f>
        <v>205914.3406116298</v>
      </c>
      <c r="AR21" s="295">
        <f>'CAR Passenger Kilometres'!L21*'CAR Stock'!L71</f>
        <v>185514.03846819588</v>
      </c>
      <c r="AS21" s="295">
        <f>'CAR Passenger Kilometres'!M21*'CAR Stock'!M71</f>
        <v>172174.84035386037</v>
      </c>
      <c r="AT21" s="295">
        <f>'CAR Passenger Kilometres'!N21*'CAR Stock'!N71</f>
        <v>162356.0928331505</v>
      </c>
      <c r="AU21" s="295">
        <f>'CAR Passenger Kilometres'!O21*'CAR Stock'!O71</f>
        <v>178526.00046019311</v>
      </c>
      <c r="AV21" s="295">
        <f>'CAR Passenger Kilometres'!P21*'CAR Stock'!P71</f>
        <v>126293.18372362878</v>
      </c>
      <c r="AW21" s="295">
        <f>'CAR Passenger Kilometres'!Q21*'CAR Stock'!Q71</f>
        <v>93789.114328862444</v>
      </c>
      <c r="AX21" s="295">
        <f>'CAR Passenger Kilometres'!R21*'CAR Stock'!R71</f>
        <v>41574.548052373742</v>
      </c>
      <c r="AY21" s="295">
        <f>'CAR Passenger Kilometres'!S21*'CAR Stock'!S71</f>
        <v>66249.170074678084</v>
      </c>
      <c r="AZ21" s="295">
        <f>'CAR Passenger Kilometres'!T21*'CAR Stock'!T71</f>
        <v>64332.871766732867</v>
      </c>
      <c r="BA21" s="295">
        <f>'CAR Passenger Kilometres'!U21*'CAR Stock'!U71</f>
        <v>59076.739264940217</v>
      </c>
      <c r="BB21" s="295">
        <f>'CAR Passenger Kilometres'!V21*'CAR Stock'!V71</f>
        <v>0</v>
      </c>
      <c r="BC21" s="295">
        <f>'CAR Passenger Kilometres'!W21*'CAR Stock'!W71</f>
        <v>0</v>
      </c>
      <c r="BD21" s="295">
        <f>'CAR Passenger Kilometres'!X21*'CAR Stock'!X71</f>
        <v>0</v>
      </c>
      <c r="BE21" s="295">
        <f>'CAR Passenger Kilometres'!Y21*'CAR Stock'!Y71</f>
        <v>0</v>
      </c>
      <c r="BF21" s="295">
        <f>'CAR Passenger Kilometres'!Z21*'CAR Stock'!Z71</f>
        <v>0</v>
      </c>
      <c r="BG21" s="295">
        <f>'CAR Passenger Kilometres'!AA21*'CAR Stock'!AA71</f>
        <v>0</v>
      </c>
      <c r="BH21" s="295">
        <f>'CAR Passenger Kilometres'!AB21*'CAR Stock'!AB71</f>
        <v>0</v>
      </c>
      <c r="BI21" s="295">
        <f>'CAR Passenger Kilometres'!AC21*'CAR Stock'!AC71</f>
        <v>0</v>
      </c>
      <c r="BJ21" s="295">
        <f>'CAR Passenger Kilometres'!AD21*'CAR Stock'!AD71</f>
        <v>0</v>
      </c>
      <c r="BK21" s="296">
        <f>'CAR Passenger Kilometres'!AE21*'CAR Stock'!AE71</f>
        <v>0</v>
      </c>
    </row>
    <row r="22" spans="1:63">
      <c r="A22" s="1711"/>
      <c r="B22" s="116">
        <v>19</v>
      </c>
      <c r="C22" s="294">
        <f>'CAR Mileage'!C43*CAR!$I$58</f>
        <v>15528.025908312338</v>
      </c>
      <c r="D22" s="295">
        <f>'CAR Mileage'!D43*CAR!$I$58</f>
        <v>15528.025908312338</v>
      </c>
      <c r="E22" s="295">
        <f>'CAR Mileage'!E43*CAR!$I$58</f>
        <v>15528.025908312338</v>
      </c>
      <c r="F22" s="295">
        <f>'CAR Mileage'!F43*CAR!$I$58</f>
        <v>15528.025908312338</v>
      </c>
      <c r="G22" s="295">
        <f>'CAR Mileage'!G43*CAR!$I$58</f>
        <v>15528.025908312338</v>
      </c>
      <c r="H22" s="295">
        <f>'CAR Mileage'!H43*CAR!$I$58</f>
        <v>15528.025908312338</v>
      </c>
      <c r="I22" s="295">
        <f>'CAR Mileage'!I43*CAR!$I$58</f>
        <v>15528.025908312338</v>
      </c>
      <c r="J22" s="295">
        <f>'CAR Mileage'!J43*CAR!$I$58</f>
        <v>15528.025908312338</v>
      </c>
      <c r="K22" s="295">
        <f>'CAR Mileage'!K43*CAR!$I$58</f>
        <v>15528.025908312338</v>
      </c>
      <c r="L22" s="295">
        <f>'CAR Mileage'!L43*CAR!$I$58</f>
        <v>15528.025908312338</v>
      </c>
      <c r="M22" s="295">
        <f>'CAR Mileage'!M43*CAR!$I$58</f>
        <v>15528.025908312338</v>
      </c>
      <c r="N22" s="295">
        <f>'CAR Mileage'!N43*CAR!$I$58</f>
        <v>15528.025908312338</v>
      </c>
      <c r="O22" s="295">
        <f>'CAR Mileage'!O43*CAR!$I$58</f>
        <v>15528.025908312338</v>
      </c>
      <c r="P22" s="295">
        <f>'CAR Mileage'!P43*CAR!$I$58</f>
        <v>15528.025908312338</v>
      </c>
      <c r="Q22" s="295">
        <f>'CAR Mileage'!Q43*CAR!$I$58</f>
        <v>15528.025908312338</v>
      </c>
      <c r="R22" s="295">
        <f>'CAR Mileage'!R43*CAR!$I$58</f>
        <v>15528.025908312338</v>
      </c>
      <c r="S22" s="295">
        <f>'CAR Mileage'!S43*CAR!$I$58</f>
        <v>15528.025908312338</v>
      </c>
      <c r="T22" s="295">
        <f>'CAR Mileage'!T43*CAR!$I$58</f>
        <v>15528.025908312338</v>
      </c>
      <c r="U22" s="295">
        <f>'CAR Mileage'!U43*CAR!$I$58</f>
        <v>15528.025908312338</v>
      </c>
      <c r="V22" s="295">
        <f>'CAR Mileage'!V43*CAR!$I$58</f>
        <v>15528.025908312338</v>
      </c>
      <c r="W22" s="295">
        <f>'CAR Mileage'!W43*CAR!$I$58</f>
        <v>15528.025908312338</v>
      </c>
      <c r="X22" s="295">
        <f>'CAR Mileage'!X43*CAR!$I$58</f>
        <v>15528.025908312338</v>
      </c>
      <c r="Y22" s="295">
        <f>'CAR Mileage'!Y43*CAR!$I$58</f>
        <v>15528.025908312338</v>
      </c>
      <c r="Z22" s="295">
        <f>'CAR Mileage'!Z43*CAR!$I$58</f>
        <v>15528.025908312338</v>
      </c>
      <c r="AA22" s="295">
        <f>'CAR Mileage'!AA43*CAR!$I$58</f>
        <v>15528.025908312338</v>
      </c>
      <c r="AB22" s="295">
        <f>'CAR Mileage'!AB43*CAR!$I$58</f>
        <v>15528.025908312338</v>
      </c>
      <c r="AC22" s="295">
        <f>'CAR Mileage'!AC43*CAR!$I$58</f>
        <v>15528.025908312338</v>
      </c>
      <c r="AD22" s="295">
        <f>'CAR Mileage'!AD43*CAR!$I$58</f>
        <v>15528.025908312338</v>
      </c>
      <c r="AE22" s="296">
        <f>'CAR Mileage'!AE43*CAR!$I$58</f>
        <v>15528.025908312338</v>
      </c>
      <c r="AG22" s="1711"/>
      <c r="AH22" s="116">
        <v>19</v>
      </c>
      <c r="AI22" s="294">
        <f>'CAR Passenger Kilometres'!C22*'CAR Stock'!C72</f>
        <v>3032942.6988254613</v>
      </c>
      <c r="AJ22" s="295">
        <f>'CAR Passenger Kilometres'!D22*'CAR Stock'!D72</f>
        <v>1717091.7919661507</v>
      </c>
      <c r="AK22" s="295">
        <f>'CAR Passenger Kilometres'!E22*'CAR Stock'!E72</f>
        <v>1134147.680087246</v>
      </c>
      <c r="AL22" s="295">
        <f>'CAR Passenger Kilometres'!F22*'CAR Stock'!F72</f>
        <v>856125.93257341639</v>
      </c>
      <c r="AM22" s="295">
        <f>'CAR Passenger Kilometres'!G22*'CAR Stock'!G72</f>
        <v>315723.64885381702</v>
      </c>
      <c r="AN22" s="295">
        <f>'CAR Passenger Kilometres'!H22*'CAR Stock'!H72</f>
        <v>141638.09003324239</v>
      </c>
      <c r="AO22" s="295">
        <f>'CAR Passenger Kilometres'!I22*'CAR Stock'!I72</f>
        <v>154731.63257791279</v>
      </c>
      <c r="AP22" s="295">
        <f>'CAR Passenger Kilometres'!J22*'CAR Stock'!J72</f>
        <v>165391.21992969039</v>
      </c>
      <c r="AQ22" s="295">
        <f>'CAR Passenger Kilometres'!K22*'CAR Stock'!K72</f>
        <v>79651.256655239908</v>
      </c>
      <c r="AR22" s="295">
        <f>'CAR Passenger Kilometres'!L22*'CAR Stock'!L72</f>
        <v>42886.580375446501</v>
      </c>
      <c r="AS22" s="295">
        <f>'CAR Passenger Kilometres'!M22*'CAR Stock'!M72</f>
        <v>38637.730125585091</v>
      </c>
      <c r="AT22" s="295">
        <f>'CAR Passenger Kilometres'!N22*'CAR Stock'!N72</f>
        <v>35859.523467538733</v>
      </c>
      <c r="AU22" s="295">
        <f>'CAR Passenger Kilometres'!O22*'CAR Stock'!O72</f>
        <v>33814.534743186836</v>
      </c>
      <c r="AV22" s="295">
        <f>'CAR Passenger Kilometres'!P22*'CAR Stock'!P72</f>
        <v>37182.304278086056</v>
      </c>
      <c r="AW22" s="295">
        <f>'CAR Passenger Kilometres'!Q22*'CAR Stock'!Q72</f>
        <v>26303.57243961926</v>
      </c>
      <c r="AX22" s="295">
        <f>'CAR Passenger Kilometres'!R22*'CAR Stock'!R72</f>
        <v>19533.823521272159</v>
      </c>
      <c r="AY22" s="295">
        <f>'CAR Passenger Kilometres'!S22*'CAR Stock'!S72</f>
        <v>8658.8927770885348</v>
      </c>
      <c r="AZ22" s="295">
        <f>'CAR Passenger Kilometres'!T22*'CAR Stock'!T72</f>
        <v>13797.97224795056</v>
      </c>
      <c r="BA22" s="295">
        <f>'CAR Passenger Kilometres'!U22*'CAR Stock'!U72</f>
        <v>13398.857348216457</v>
      </c>
      <c r="BB22" s="295">
        <f>'CAR Passenger Kilometres'!V22*'CAR Stock'!V72</f>
        <v>12304.142194660048</v>
      </c>
      <c r="BC22" s="295">
        <f>'CAR Passenger Kilometres'!W22*'CAR Stock'!W72</f>
        <v>0</v>
      </c>
      <c r="BD22" s="295">
        <f>'CAR Passenger Kilometres'!X22*'CAR Stock'!X72</f>
        <v>0</v>
      </c>
      <c r="BE22" s="295">
        <f>'CAR Passenger Kilometres'!Y22*'CAR Stock'!Y72</f>
        <v>0</v>
      </c>
      <c r="BF22" s="295">
        <f>'CAR Passenger Kilometres'!Z22*'CAR Stock'!Z72</f>
        <v>0</v>
      </c>
      <c r="BG22" s="295">
        <f>'CAR Passenger Kilometres'!AA22*'CAR Stock'!AA72</f>
        <v>0</v>
      </c>
      <c r="BH22" s="295">
        <f>'CAR Passenger Kilometres'!AB22*'CAR Stock'!AB72</f>
        <v>0</v>
      </c>
      <c r="BI22" s="295">
        <f>'CAR Passenger Kilometres'!AC22*'CAR Stock'!AC72</f>
        <v>0</v>
      </c>
      <c r="BJ22" s="295">
        <f>'CAR Passenger Kilometres'!AD22*'CAR Stock'!AD72</f>
        <v>0</v>
      </c>
      <c r="BK22" s="296">
        <f>'CAR Passenger Kilometres'!AE22*'CAR Stock'!AE72</f>
        <v>0</v>
      </c>
    </row>
    <row r="23" spans="1:63">
      <c r="A23" s="1711"/>
      <c r="B23" s="116">
        <v>20</v>
      </c>
      <c r="C23" s="294">
        <f>'CAR Mileage'!C44*CAR!$I$58</f>
        <v>15528.025908312338</v>
      </c>
      <c r="D23" s="295">
        <f>'CAR Mileage'!D44*CAR!$I$58</f>
        <v>15528.025908312338</v>
      </c>
      <c r="E23" s="295">
        <f>'CAR Mileage'!E44*CAR!$I$58</f>
        <v>15528.025908312338</v>
      </c>
      <c r="F23" s="295">
        <f>'CAR Mileage'!F44*CAR!$I$58</f>
        <v>15528.025908312338</v>
      </c>
      <c r="G23" s="295">
        <f>'CAR Mileage'!G44*CAR!$I$58</f>
        <v>15528.025908312338</v>
      </c>
      <c r="H23" s="295">
        <f>'CAR Mileage'!H44*CAR!$I$58</f>
        <v>15528.025908312338</v>
      </c>
      <c r="I23" s="295">
        <f>'CAR Mileage'!I44*CAR!$I$58</f>
        <v>15528.025908312338</v>
      </c>
      <c r="J23" s="295">
        <f>'CAR Mileage'!J44*CAR!$I$58</f>
        <v>15528.025908312338</v>
      </c>
      <c r="K23" s="295">
        <f>'CAR Mileage'!K44*CAR!$I$58</f>
        <v>15528.025908312338</v>
      </c>
      <c r="L23" s="295">
        <f>'CAR Mileage'!L44*CAR!$I$58</f>
        <v>15528.025908312338</v>
      </c>
      <c r="M23" s="295">
        <f>'CAR Mileage'!M44*CAR!$I$58</f>
        <v>15528.025908312338</v>
      </c>
      <c r="N23" s="295">
        <f>'CAR Mileage'!N44*CAR!$I$58</f>
        <v>15528.025908312338</v>
      </c>
      <c r="O23" s="295">
        <f>'CAR Mileage'!O44*CAR!$I$58</f>
        <v>15528.025908312338</v>
      </c>
      <c r="P23" s="295">
        <f>'CAR Mileage'!P44*CAR!$I$58</f>
        <v>15528.025908312338</v>
      </c>
      <c r="Q23" s="295">
        <f>'CAR Mileage'!Q44*CAR!$I$58</f>
        <v>15528.025908312338</v>
      </c>
      <c r="R23" s="295">
        <f>'CAR Mileage'!R44*CAR!$I$58</f>
        <v>15528.025908312338</v>
      </c>
      <c r="S23" s="295">
        <f>'CAR Mileage'!S44*CAR!$I$58</f>
        <v>15528.025908312338</v>
      </c>
      <c r="T23" s="295">
        <f>'CAR Mileage'!T44*CAR!$I$58</f>
        <v>15528.025908312338</v>
      </c>
      <c r="U23" s="295">
        <f>'CAR Mileage'!U44*CAR!$I$58</f>
        <v>15528.025908312338</v>
      </c>
      <c r="V23" s="295">
        <f>'CAR Mileage'!V44*CAR!$I$58</f>
        <v>15528.025908312338</v>
      </c>
      <c r="W23" s="295">
        <f>'CAR Mileage'!W44*CAR!$I$58</f>
        <v>15528.025908312338</v>
      </c>
      <c r="X23" s="295">
        <f>'CAR Mileage'!X44*CAR!$I$58</f>
        <v>15528.025908312338</v>
      </c>
      <c r="Y23" s="295">
        <f>'CAR Mileage'!Y44*CAR!$I$58</f>
        <v>15528.025908312338</v>
      </c>
      <c r="Z23" s="295">
        <f>'CAR Mileage'!Z44*CAR!$I$58</f>
        <v>15528.025908312338</v>
      </c>
      <c r="AA23" s="295">
        <f>'CAR Mileage'!AA44*CAR!$I$58</f>
        <v>15528.025908312338</v>
      </c>
      <c r="AB23" s="295">
        <f>'CAR Mileage'!AB44*CAR!$I$58</f>
        <v>15528.025908312338</v>
      </c>
      <c r="AC23" s="295">
        <f>'CAR Mileage'!AC44*CAR!$I$58</f>
        <v>15528.025908312338</v>
      </c>
      <c r="AD23" s="295">
        <f>'CAR Mileage'!AD44*CAR!$I$58</f>
        <v>15528.025908312338</v>
      </c>
      <c r="AE23" s="296">
        <f>'CAR Mileage'!AE44*CAR!$I$58</f>
        <v>15528.025908312338</v>
      </c>
      <c r="AG23" s="1711"/>
      <c r="AH23" s="116">
        <v>20</v>
      </c>
      <c r="AI23" s="294">
        <f>'CAR Passenger Kilometres'!C23*'CAR Stock'!C73</f>
        <v>1115757.2651489167</v>
      </c>
      <c r="AJ23" s="295">
        <f>'CAR Passenger Kilometres'!D23*'CAR Stock'!D73</f>
        <v>526402.30739048182</v>
      </c>
      <c r="AK23" s="295">
        <f>'CAR Passenger Kilometres'!E23*'CAR Stock'!E73</f>
        <v>298021.15339741705</v>
      </c>
      <c r="AL23" s="295">
        <f>'CAR Passenger Kilometres'!F23*'CAR Stock'!F73</f>
        <v>196844.45602968024</v>
      </c>
      <c r="AM23" s="295">
        <f>'CAR Passenger Kilometres'!G23*'CAR Stock'!G73</f>
        <v>148590.56404131858</v>
      </c>
      <c r="AN23" s="295">
        <f>'CAR Passenger Kilometres'!H23*'CAR Stock'!H73</f>
        <v>54797.493311941995</v>
      </c>
      <c r="AO23" s="295">
        <f>'CAR Passenger Kilometres'!I23*'CAR Stock'!I73</f>
        <v>24582.929785238997</v>
      </c>
      <c r="AP23" s="295">
        <f>'CAR Passenger Kilometres'!J23*'CAR Stock'!J73</f>
        <v>26855.465633047508</v>
      </c>
      <c r="AQ23" s="295">
        <f>'CAR Passenger Kilometres'!K23*'CAR Stock'!K73</f>
        <v>28705.560387550824</v>
      </c>
      <c r="AR23" s="295">
        <f>'CAR Passenger Kilometres'!L23*'CAR Stock'!L73</f>
        <v>13824.397442822457</v>
      </c>
      <c r="AS23" s="295">
        <f>'CAR Passenger Kilometres'!M23*'CAR Stock'!M73</f>
        <v>7443.462375489331</v>
      </c>
      <c r="AT23" s="295">
        <f>'CAR Passenger Kilometres'!N23*'CAR Stock'!N73</f>
        <v>6706.0252402114966</v>
      </c>
      <c r="AU23" s="295">
        <f>'CAR Passenger Kilometres'!O23*'CAR Stock'!O73</f>
        <v>6223.8353209065417</v>
      </c>
      <c r="AV23" s="295">
        <f>'CAR Passenger Kilometres'!P23*'CAR Stock'!P73</f>
        <v>5868.9038599517271</v>
      </c>
      <c r="AW23" s="295">
        <f>'CAR Passenger Kilometres'!Q23*'CAR Stock'!Q73</f>
        <v>6453.4192398884661</v>
      </c>
      <c r="AX23" s="295">
        <f>'CAR Passenger Kilometres'!R23*'CAR Stock'!R73</f>
        <v>4565.2894234336736</v>
      </c>
      <c r="AY23" s="295">
        <f>'CAR Passenger Kilometres'!S23*'CAR Stock'!S73</f>
        <v>3390.3211484141102</v>
      </c>
      <c r="AZ23" s="295">
        <f>'CAR Passenger Kilometres'!T23*'CAR Stock'!T73</f>
        <v>1502.8510558644375</v>
      </c>
      <c r="BA23" s="295">
        <f>'CAR Passenger Kilometres'!U23*'CAR Stock'!U73</f>
        <v>2394.7977755873167</v>
      </c>
      <c r="BB23" s="295">
        <f>'CAR Passenger Kilometres'!V23*'CAR Stock'!V73</f>
        <v>2325.5267655496673</v>
      </c>
      <c r="BC23" s="295">
        <f>'CAR Passenger Kilometres'!W23*'CAR Stock'!W73</f>
        <v>2135.5262808749712</v>
      </c>
      <c r="BD23" s="295">
        <f>'CAR Passenger Kilometres'!X23*'CAR Stock'!X73</f>
        <v>0</v>
      </c>
      <c r="BE23" s="295">
        <f>'CAR Passenger Kilometres'!Y23*'CAR Stock'!Y73</f>
        <v>0</v>
      </c>
      <c r="BF23" s="295">
        <f>'CAR Passenger Kilometres'!Z23*'CAR Stock'!Z73</f>
        <v>0</v>
      </c>
      <c r="BG23" s="295">
        <f>'CAR Passenger Kilometres'!AA23*'CAR Stock'!AA73</f>
        <v>0</v>
      </c>
      <c r="BH23" s="295">
        <f>'CAR Passenger Kilometres'!AB23*'CAR Stock'!AB73</f>
        <v>0</v>
      </c>
      <c r="BI23" s="295">
        <f>'CAR Passenger Kilometres'!AC23*'CAR Stock'!AC73</f>
        <v>0</v>
      </c>
      <c r="BJ23" s="295">
        <f>'CAR Passenger Kilometres'!AD23*'CAR Stock'!AD73</f>
        <v>0</v>
      </c>
      <c r="BK23" s="296">
        <f>'CAR Passenger Kilometres'!AE23*'CAR Stock'!AE73</f>
        <v>0</v>
      </c>
    </row>
    <row r="24" spans="1:63">
      <c r="A24" s="1711"/>
      <c r="B24" s="116">
        <v>21</v>
      </c>
      <c r="C24" s="294">
        <f>'CAR Mileage'!C45*CAR!$I$58</f>
        <v>15528.025908312338</v>
      </c>
      <c r="D24" s="295">
        <f>'CAR Mileage'!D45*CAR!$I$58</f>
        <v>15528.025908312338</v>
      </c>
      <c r="E24" s="295">
        <f>'CAR Mileage'!E45*CAR!$I$58</f>
        <v>15528.025908312338</v>
      </c>
      <c r="F24" s="295">
        <f>'CAR Mileage'!F45*CAR!$I$58</f>
        <v>15528.025908312338</v>
      </c>
      <c r="G24" s="295">
        <f>'CAR Mileage'!G45*CAR!$I$58</f>
        <v>15528.025908312338</v>
      </c>
      <c r="H24" s="295">
        <f>'CAR Mileage'!H45*CAR!$I$58</f>
        <v>15528.025908312338</v>
      </c>
      <c r="I24" s="295">
        <f>'CAR Mileage'!I45*CAR!$I$58</f>
        <v>15528.025908312338</v>
      </c>
      <c r="J24" s="295">
        <f>'CAR Mileage'!J45*CAR!$I$58</f>
        <v>15528.025908312338</v>
      </c>
      <c r="K24" s="295">
        <f>'CAR Mileage'!K45*CAR!$I$58</f>
        <v>15528.025908312338</v>
      </c>
      <c r="L24" s="295">
        <f>'CAR Mileage'!L45*CAR!$I$58</f>
        <v>15528.025908312338</v>
      </c>
      <c r="M24" s="295">
        <f>'CAR Mileage'!M45*CAR!$I$58</f>
        <v>15528.025908312338</v>
      </c>
      <c r="N24" s="295">
        <f>'CAR Mileage'!N45*CAR!$I$58</f>
        <v>15528.025908312338</v>
      </c>
      <c r="O24" s="295">
        <f>'CAR Mileage'!O45*CAR!$I$58</f>
        <v>15528.025908312338</v>
      </c>
      <c r="P24" s="295">
        <f>'CAR Mileage'!P45*CAR!$I$58</f>
        <v>15528.025908312338</v>
      </c>
      <c r="Q24" s="295">
        <f>'CAR Mileage'!Q45*CAR!$I$58</f>
        <v>15528.025908312338</v>
      </c>
      <c r="R24" s="295">
        <f>'CAR Mileage'!R45*CAR!$I$58</f>
        <v>15528.025908312338</v>
      </c>
      <c r="S24" s="295">
        <f>'CAR Mileage'!S45*CAR!$I$58</f>
        <v>15528.025908312338</v>
      </c>
      <c r="T24" s="295">
        <f>'CAR Mileage'!T45*CAR!$I$58</f>
        <v>15528.025908312338</v>
      </c>
      <c r="U24" s="295">
        <f>'CAR Mileage'!U45*CAR!$I$58</f>
        <v>15528.025908312338</v>
      </c>
      <c r="V24" s="295">
        <f>'CAR Mileage'!V45*CAR!$I$58</f>
        <v>15528.025908312338</v>
      </c>
      <c r="W24" s="295">
        <f>'CAR Mileage'!W45*CAR!$I$58</f>
        <v>15528.025908312338</v>
      </c>
      <c r="X24" s="295">
        <f>'CAR Mileage'!X45*CAR!$I$58</f>
        <v>15528.025908312338</v>
      </c>
      <c r="Y24" s="295">
        <f>'CAR Mileage'!Y45*CAR!$I$58</f>
        <v>15528.025908312338</v>
      </c>
      <c r="Z24" s="295">
        <f>'CAR Mileage'!Z45*CAR!$I$58</f>
        <v>15528.025908312338</v>
      </c>
      <c r="AA24" s="295">
        <f>'CAR Mileage'!AA45*CAR!$I$58</f>
        <v>15528.025908312338</v>
      </c>
      <c r="AB24" s="295">
        <f>'CAR Mileage'!AB45*CAR!$I$58</f>
        <v>15528.025908312338</v>
      </c>
      <c r="AC24" s="295">
        <f>'CAR Mileage'!AC45*CAR!$I$58</f>
        <v>15528.025908312338</v>
      </c>
      <c r="AD24" s="295">
        <f>'CAR Mileage'!AD45*CAR!$I$58</f>
        <v>15528.025908312338</v>
      </c>
      <c r="AE24" s="296">
        <f>'CAR Mileage'!AE45*CAR!$I$58</f>
        <v>15528.025908312338</v>
      </c>
      <c r="AG24" s="1711"/>
      <c r="AH24" s="116">
        <v>21</v>
      </c>
      <c r="AI24" s="294">
        <f>'CAR Passenger Kilometres'!C24*'CAR Stock'!C74</f>
        <v>410464.15918596036</v>
      </c>
      <c r="AJ24" s="295">
        <f>'CAR Passenger Kilometres'!D24*'CAR Stock'!D74</f>
        <v>154922.06933933462</v>
      </c>
      <c r="AK24" s="295">
        <f>'CAR Passenger Kilometres'!E24*'CAR Stock'!E74</f>
        <v>73090.570246073665</v>
      </c>
      <c r="AL24" s="295">
        <f>'CAR Passenger Kilometres'!F24*'CAR Stock'!F74</f>
        <v>41380.016275368762</v>
      </c>
      <c r="AM24" s="295">
        <f>'CAR Passenger Kilometres'!G24*'CAR Stock'!G74</f>
        <v>27331.706831434858</v>
      </c>
      <c r="AN24" s="295">
        <f>'CAR Passenger Kilometres'!H24*'CAR Stock'!H74</f>
        <v>20631.689691491803</v>
      </c>
      <c r="AO24" s="295">
        <f>'CAR Passenger Kilometres'!I24*'CAR Stock'!I74</f>
        <v>7608.5913340312009</v>
      </c>
      <c r="AP24" s="295">
        <f>'CAR Passenger Kilometres'!J24*'CAR Stock'!J74</f>
        <v>3413.3215814144746</v>
      </c>
      <c r="AQ24" s="295">
        <f>'CAR Passenger Kilometres'!K24*'CAR Stock'!K74</f>
        <v>3728.8614996271731</v>
      </c>
      <c r="AR24" s="295">
        <f>'CAR Passenger Kilometres'!L24*'CAR Stock'!L74</f>
        <v>3985.7457851202621</v>
      </c>
      <c r="AS24" s="295">
        <f>'CAR Passenger Kilometres'!M24*'CAR Stock'!M74</f>
        <v>1919.5073391931837</v>
      </c>
      <c r="AT24" s="295">
        <f>'CAR Passenger Kilometres'!N24*'CAR Stock'!N74</f>
        <v>1033.5192342273283</v>
      </c>
      <c r="AU24" s="295">
        <f>'CAR Passenger Kilometres'!O24*'CAR Stock'!O74</f>
        <v>931.12663453436085</v>
      </c>
      <c r="AV24" s="295">
        <f>'CAR Passenger Kilometres'!P24*'CAR Stock'!P74</f>
        <v>864.17492160662107</v>
      </c>
      <c r="AW24" s="295">
        <f>'CAR Passenger Kilometres'!Q24*'CAR Stock'!Q74</f>
        <v>814.89295130511982</v>
      </c>
      <c r="AX24" s="295">
        <f>'CAR Passenger Kilometres'!R24*'CAR Stock'!R74</f>
        <v>896.05247860461805</v>
      </c>
      <c r="AY24" s="295">
        <f>'CAR Passenger Kilometres'!S24*'CAR Stock'!S74</f>
        <v>633.88705294867702</v>
      </c>
      <c r="AZ24" s="295">
        <f>'CAR Passenger Kilometres'!T24*'CAR Stock'!T74</f>
        <v>470.74357877214601</v>
      </c>
      <c r="BA24" s="295">
        <f>'CAR Passenger Kilometres'!U24*'CAR Stock'!U74</f>
        <v>208.66975529148641</v>
      </c>
      <c r="BB24" s="295">
        <f>'CAR Passenger Kilometres'!V24*'CAR Stock'!V74</f>
        <v>332.51589627221057</v>
      </c>
      <c r="BC24" s="295">
        <f>'CAR Passenger Kilometres'!W24*'CAR Stock'!W74</f>
        <v>322.89766786764255</v>
      </c>
      <c r="BD24" s="295">
        <f>'CAR Passenger Kilometres'!X24*'CAR Stock'!X74</f>
        <v>296.51624138654148</v>
      </c>
      <c r="BE24" s="295">
        <f>'CAR Passenger Kilometres'!Y24*'CAR Stock'!Y74</f>
        <v>0</v>
      </c>
      <c r="BF24" s="295">
        <f>'CAR Passenger Kilometres'!Z24*'CAR Stock'!Z74</f>
        <v>0</v>
      </c>
      <c r="BG24" s="295">
        <f>'CAR Passenger Kilometres'!AA24*'CAR Stock'!AA74</f>
        <v>0</v>
      </c>
      <c r="BH24" s="295">
        <f>'CAR Passenger Kilometres'!AB24*'CAR Stock'!AB74</f>
        <v>0</v>
      </c>
      <c r="BI24" s="295">
        <f>'CAR Passenger Kilometres'!AC24*'CAR Stock'!AC74</f>
        <v>0</v>
      </c>
      <c r="BJ24" s="295">
        <f>'CAR Passenger Kilometres'!AD24*'CAR Stock'!AD74</f>
        <v>0</v>
      </c>
      <c r="BK24" s="296">
        <f>'CAR Passenger Kilometres'!AE24*'CAR Stock'!AE74</f>
        <v>0</v>
      </c>
    </row>
    <row r="25" spans="1:63">
      <c r="A25" s="1711"/>
      <c r="B25" s="116">
        <v>22</v>
      </c>
      <c r="C25" s="294">
        <f>'CAR Mileage'!C46*CAR!$I$58</f>
        <v>15528.025908312338</v>
      </c>
      <c r="D25" s="295">
        <f>'CAR Mileage'!D46*CAR!$I$58</f>
        <v>15528.025908312338</v>
      </c>
      <c r="E25" s="295">
        <f>'CAR Mileage'!E46*CAR!$I$58</f>
        <v>15528.025908312338</v>
      </c>
      <c r="F25" s="295">
        <f>'CAR Mileage'!F46*CAR!$I$58</f>
        <v>15528.025908312338</v>
      </c>
      <c r="G25" s="295">
        <f>'CAR Mileage'!G46*CAR!$I$58</f>
        <v>15528.025908312338</v>
      </c>
      <c r="H25" s="295">
        <f>'CAR Mileage'!H46*CAR!$I$58</f>
        <v>15528.025908312338</v>
      </c>
      <c r="I25" s="295">
        <f>'CAR Mileage'!I46*CAR!$I$58</f>
        <v>15528.025908312338</v>
      </c>
      <c r="J25" s="295">
        <f>'CAR Mileage'!J46*CAR!$I$58</f>
        <v>15528.025908312338</v>
      </c>
      <c r="K25" s="295">
        <f>'CAR Mileage'!K46*CAR!$I$58</f>
        <v>15528.025908312338</v>
      </c>
      <c r="L25" s="295">
        <f>'CAR Mileage'!L46*CAR!$I$58</f>
        <v>15528.025908312338</v>
      </c>
      <c r="M25" s="295">
        <f>'CAR Mileage'!M46*CAR!$I$58</f>
        <v>15528.025908312338</v>
      </c>
      <c r="N25" s="295">
        <f>'CAR Mileage'!N46*CAR!$I$58</f>
        <v>15528.025908312338</v>
      </c>
      <c r="O25" s="295">
        <f>'CAR Mileage'!O46*CAR!$I$58</f>
        <v>15528.025908312338</v>
      </c>
      <c r="P25" s="295">
        <f>'CAR Mileage'!P46*CAR!$I$58</f>
        <v>15528.025908312338</v>
      </c>
      <c r="Q25" s="295">
        <f>'CAR Mileage'!Q46*CAR!$I$58</f>
        <v>15528.025908312338</v>
      </c>
      <c r="R25" s="295">
        <f>'CAR Mileage'!R46*CAR!$I$58</f>
        <v>15528.025908312338</v>
      </c>
      <c r="S25" s="295">
        <f>'CAR Mileage'!S46*CAR!$I$58</f>
        <v>15528.025908312338</v>
      </c>
      <c r="T25" s="295">
        <f>'CAR Mileage'!T46*CAR!$I$58</f>
        <v>15528.025908312338</v>
      </c>
      <c r="U25" s="295">
        <f>'CAR Mileage'!U46*CAR!$I$58</f>
        <v>15528.025908312338</v>
      </c>
      <c r="V25" s="295">
        <f>'CAR Mileage'!V46*CAR!$I$58</f>
        <v>15528.025908312338</v>
      </c>
      <c r="W25" s="295">
        <f>'CAR Mileage'!W46*CAR!$I$58</f>
        <v>15528.025908312338</v>
      </c>
      <c r="X25" s="295">
        <f>'CAR Mileage'!X46*CAR!$I$58</f>
        <v>15528.025908312338</v>
      </c>
      <c r="Y25" s="295">
        <f>'CAR Mileage'!Y46*CAR!$I$58</f>
        <v>15528.025908312338</v>
      </c>
      <c r="Z25" s="295">
        <f>'CAR Mileage'!Z46*CAR!$I$58</f>
        <v>15528.025908312338</v>
      </c>
      <c r="AA25" s="295">
        <f>'CAR Mileage'!AA46*CAR!$I$58</f>
        <v>15528.025908312338</v>
      </c>
      <c r="AB25" s="295">
        <f>'CAR Mileage'!AB46*CAR!$I$58</f>
        <v>15528.025908312338</v>
      </c>
      <c r="AC25" s="295">
        <f>'CAR Mileage'!AC46*CAR!$I$58</f>
        <v>15528.025908312338</v>
      </c>
      <c r="AD25" s="295">
        <f>'CAR Mileage'!AD46*CAR!$I$58</f>
        <v>15528.025908312338</v>
      </c>
      <c r="AE25" s="296">
        <f>'CAR Mileage'!AE46*CAR!$I$58</f>
        <v>15528.025908312338</v>
      </c>
      <c r="AG25" s="1711"/>
      <c r="AH25" s="116">
        <v>22</v>
      </c>
      <c r="AI25" s="294">
        <f>'CAR Passenger Kilometres'!C25*'CAR Stock'!C75</f>
        <v>151001.32550223707</v>
      </c>
      <c r="AJ25" s="295">
        <f>'CAR Passenger Kilometres'!D25*'CAR Stock'!D75</f>
        <v>42744.483220258393</v>
      </c>
      <c r="AK25" s="295">
        <f>'CAR Passenger Kilometres'!E25*'CAR Stock'!E75</f>
        <v>16133.110882216582</v>
      </c>
      <c r="AL25" s="295">
        <f>'CAR Passenger Kilometres'!F25*'CAR Stock'!F75</f>
        <v>7611.4286315239269</v>
      </c>
      <c r="AM25" s="295">
        <f>'CAR Passenger Kilometres'!G25*'CAR Stock'!G75</f>
        <v>4309.1884437471217</v>
      </c>
      <c r="AN25" s="295">
        <f>'CAR Passenger Kilometres'!H25*'CAR Stock'!H75</f>
        <v>2846.2404277982314</v>
      </c>
      <c r="AO25" s="295">
        <f>'CAR Passenger Kilometres'!I25*'CAR Stock'!I75</f>
        <v>2148.5211170995562</v>
      </c>
      <c r="AP25" s="295">
        <f>'CAR Passenger Kilometres'!J25*'CAR Stock'!J75</f>
        <v>792.33545080353088</v>
      </c>
      <c r="AQ25" s="295">
        <f>'CAR Passenger Kilometres'!K25*'CAR Stock'!K75</f>
        <v>355.45287888586819</v>
      </c>
      <c r="AR25" s="295">
        <f>'CAR Passenger Kilometres'!L25*'CAR Stock'!L75</f>
        <v>388.31224172552078</v>
      </c>
      <c r="AS25" s="295">
        <f>'CAR Passenger Kilometres'!M25*'CAR Stock'!M75</f>
        <v>415.06338621663514</v>
      </c>
      <c r="AT25" s="295">
        <f>'CAR Passenger Kilometres'!N25*'CAR Stock'!N75</f>
        <v>199.89162857489333</v>
      </c>
      <c r="AU25" s="295">
        <f>'CAR Passenger Kilometres'!O25*'CAR Stock'!O75</f>
        <v>107.62753477150703</v>
      </c>
      <c r="AV25" s="295">
        <f>'CAR Passenger Kilometres'!P25*'CAR Stock'!P75</f>
        <v>96.964682336023586</v>
      </c>
      <c r="AW25" s="295">
        <f>'CAR Passenger Kilometres'!Q25*'CAR Stock'!Q75</f>
        <v>89.992535546196834</v>
      </c>
      <c r="AX25" s="295">
        <f>'CAR Passenger Kilometres'!R25*'CAR Stock'!R75</f>
        <v>84.860461757363467</v>
      </c>
      <c r="AY25" s="295">
        <f>'CAR Passenger Kilometres'!S25*'CAR Stock'!S75</f>
        <v>93.31216691889945</v>
      </c>
      <c r="AZ25" s="295">
        <f>'CAR Passenger Kilometres'!T25*'CAR Stock'!T75</f>
        <v>66.01106062960379</v>
      </c>
      <c r="BA25" s="295">
        <f>'CAR Passenger Kilometres'!U25*'CAR Stock'!U75</f>
        <v>49.021797771030897</v>
      </c>
      <c r="BB25" s="295">
        <f>'CAR Passenger Kilometres'!V25*'CAR Stock'!V75</f>
        <v>21.730230652346446</v>
      </c>
      <c r="BC25" s="295">
        <f>'CAR Passenger Kilometres'!W25*'CAR Stock'!W75</f>
        <v>34.627189318708339</v>
      </c>
      <c r="BD25" s="295">
        <f>'CAR Passenger Kilometres'!X25*'CAR Stock'!X75</f>
        <v>33.625576404530833</v>
      </c>
      <c r="BE25" s="295">
        <f>'CAR Passenger Kilometres'!Y25*'CAR Stock'!Y75</f>
        <v>30.878295268501081</v>
      </c>
      <c r="BF25" s="295">
        <f>'CAR Passenger Kilometres'!Z25*'CAR Stock'!Z75</f>
        <v>0</v>
      </c>
      <c r="BG25" s="295">
        <f>'CAR Passenger Kilometres'!AA25*'CAR Stock'!AA75</f>
        <v>0</v>
      </c>
      <c r="BH25" s="295">
        <f>'CAR Passenger Kilometres'!AB25*'CAR Stock'!AB75</f>
        <v>0</v>
      </c>
      <c r="BI25" s="295">
        <f>'CAR Passenger Kilometres'!AC25*'CAR Stock'!AC75</f>
        <v>0</v>
      </c>
      <c r="BJ25" s="295">
        <f>'CAR Passenger Kilometres'!AD25*'CAR Stock'!AD75</f>
        <v>0</v>
      </c>
      <c r="BK25" s="296">
        <f>'CAR Passenger Kilometres'!AE25*'CAR Stock'!AE75</f>
        <v>0</v>
      </c>
    </row>
    <row r="26" spans="1:63">
      <c r="A26" s="1711"/>
      <c r="B26" s="116">
        <v>23</v>
      </c>
      <c r="C26" s="294">
        <f>'CAR Mileage'!C47*CAR!$I$58</f>
        <v>15528.025908312338</v>
      </c>
      <c r="D26" s="295">
        <f>'CAR Mileage'!D47*CAR!$I$58</f>
        <v>15528.025908312338</v>
      </c>
      <c r="E26" s="295">
        <f>'CAR Mileage'!E47*CAR!$I$58</f>
        <v>15528.025908312338</v>
      </c>
      <c r="F26" s="295">
        <f>'CAR Mileage'!F47*CAR!$I$58</f>
        <v>15528.025908312338</v>
      </c>
      <c r="G26" s="295">
        <f>'CAR Mileage'!G47*CAR!$I$58</f>
        <v>15528.025908312338</v>
      </c>
      <c r="H26" s="295">
        <f>'CAR Mileage'!H47*CAR!$I$58</f>
        <v>15528.025908312338</v>
      </c>
      <c r="I26" s="295">
        <f>'CAR Mileage'!I47*CAR!$I$58</f>
        <v>15528.025908312338</v>
      </c>
      <c r="J26" s="295">
        <f>'CAR Mileage'!J47*CAR!$I$58</f>
        <v>15528.025908312338</v>
      </c>
      <c r="K26" s="295">
        <f>'CAR Mileage'!K47*CAR!$I$58</f>
        <v>15528.025908312338</v>
      </c>
      <c r="L26" s="295">
        <f>'CAR Mileage'!L47*CAR!$I$58</f>
        <v>15528.025908312338</v>
      </c>
      <c r="M26" s="295">
        <f>'CAR Mileage'!M47*CAR!$I$58</f>
        <v>15528.025908312338</v>
      </c>
      <c r="N26" s="295">
        <f>'CAR Mileage'!N47*CAR!$I$58</f>
        <v>15528.025908312338</v>
      </c>
      <c r="O26" s="295">
        <f>'CAR Mileage'!O47*CAR!$I$58</f>
        <v>15528.025908312338</v>
      </c>
      <c r="P26" s="295">
        <f>'CAR Mileage'!P47*CAR!$I$58</f>
        <v>15528.025908312338</v>
      </c>
      <c r="Q26" s="295">
        <f>'CAR Mileage'!Q47*CAR!$I$58</f>
        <v>15528.025908312338</v>
      </c>
      <c r="R26" s="295">
        <f>'CAR Mileage'!R47*CAR!$I$58</f>
        <v>15528.025908312338</v>
      </c>
      <c r="S26" s="295">
        <f>'CAR Mileage'!S47*CAR!$I$58</f>
        <v>15528.025908312338</v>
      </c>
      <c r="T26" s="295">
        <f>'CAR Mileage'!T47*CAR!$I$58</f>
        <v>15528.025908312338</v>
      </c>
      <c r="U26" s="295">
        <f>'CAR Mileage'!U47*CAR!$I$58</f>
        <v>15528.025908312338</v>
      </c>
      <c r="V26" s="295">
        <f>'CAR Mileage'!V47*CAR!$I$58</f>
        <v>15528.025908312338</v>
      </c>
      <c r="W26" s="295">
        <f>'CAR Mileage'!W47*CAR!$I$58</f>
        <v>15528.025908312338</v>
      </c>
      <c r="X26" s="295">
        <f>'CAR Mileage'!X47*CAR!$I$58</f>
        <v>15528.025908312338</v>
      </c>
      <c r="Y26" s="295">
        <f>'CAR Mileage'!Y47*CAR!$I$58</f>
        <v>15528.025908312338</v>
      </c>
      <c r="Z26" s="295">
        <f>'CAR Mileage'!Z47*CAR!$I$58</f>
        <v>15528.025908312338</v>
      </c>
      <c r="AA26" s="295">
        <f>'CAR Mileage'!AA47*CAR!$I$58</f>
        <v>15528.025908312338</v>
      </c>
      <c r="AB26" s="295">
        <f>'CAR Mileage'!AB47*CAR!$I$58</f>
        <v>15528.025908312338</v>
      </c>
      <c r="AC26" s="295">
        <f>'CAR Mileage'!AC47*CAR!$I$58</f>
        <v>15528.025908312338</v>
      </c>
      <c r="AD26" s="295">
        <f>'CAR Mileage'!AD47*CAR!$I$58</f>
        <v>15528.025908312338</v>
      </c>
      <c r="AE26" s="296">
        <f>'CAR Mileage'!AE47*CAR!$I$58</f>
        <v>15528.025908312338</v>
      </c>
      <c r="AG26" s="1711"/>
      <c r="AH26" s="116">
        <v>23</v>
      </c>
      <c r="AI26" s="294">
        <f>'CAR Passenger Kilometres'!C26*'CAR Stock'!C76</f>
        <v>55550.28324191003</v>
      </c>
      <c r="AJ26" s="295">
        <f>'CAR Passenger Kilometres'!D26*'CAR Stock'!D76</f>
        <v>10483.211066820506</v>
      </c>
      <c r="AK26" s="295">
        <f>'CAR Passenger Kilometres'!E26*'CAR Stock'!E76</f>
        <v>2967.5199078533769</v>
      </c>
      <c r="AL26" s="295">
        <f>'CAR Passenger Kilometres'!F26*'CAR Stock'!F76</f>
        <v>1120.0352445925359</v>
      </c>
      <c r="AM26" s="295">
        <f>'CAR Passenger Kilometres'!G26*'CAR Stock'!G76</f>
        <v>528.42061219604318</v>
      </c>
      <c r="AN26" s="295">
        <f>'CAR Passenger Kilometres'!H26*'CAR Stock'!H76</f>
        <v>299.16381086228023</v>
      </c>
      <c r="AO26" s="295">
        <f>'CAR Passenger Kilometres'!I26*'CAR Stock'!I76</f>
        <v>197.59918697590712</v>
      </c>
      <c r="AP26" s="295">
        <f>'CAR Passenger Kilometres'!J26*'CAR Stock'!J76</f>
        <v>149.16028238269962</v>
      </c>
      <c r="AQ26" s="295">
        <f>'CAR Passenger Kilometres'!K26*'CAR Stock'!K76</f>
        <v>55.007595058327716</v>
      </c>
      <c r="AR26" s="295">
        <f>'CAR Passenger Kilometres'!L26*'CAR Stock'!L76</f>
        <v>24.677184397393503</v>
      </c>
      <c r="AS26" s="295">
        <f>'CAR Passenger Kilometres'!M26*'CAR Stock'!M76</f>
        <v>26.958433485926925</v>
      </c>
      <c r="AT26" s="295">
        <f>'CAR Passenger Kilometres'!N26*'CAR Stock'!N76</f>
        <v>28.815621779119823</v>
      </c>
      <c r="AU26" s="295">
        <f>'CAR Passenger Kilometres'!O26*'CAR Stock'!O76</f>
        <v>13.877402240485971</v>
      </c>
      <c r="AV26" s="295">
        <f>'CAR Passenger Kilometres'!P26*'CAR Stock'!P76</f>
        <v>7.472001718253499</v>
      </c>
      <c r="AW26" s="295">
        <f>'CAR Passenger Kilometres'!Q26*'CAR Stock'!Q76</f>
        <v>6.7317371392258281</v>
      </c>
      <c r="AX26" s="295">
        <f>'CAR Passenger Kilometres'!R26*'CAR Stock'!R76</f>
        <v>6.2476984319925855</v>
      </c>
      <c r="AY26" s="295">
        <f>'CAR Passenger Kilometres'!S26*'CAR Stock'!S76</f>
        <v>5.8914061109821958</v>
      </c>
      <c r="AZ26" s="295">
        <f>'CAR Passenger Kilometres'!T26*'CAR Stock'!T76</f>
        <v>6.4781626098952154</v>
      </c>
      <c r="BA26" s="295">
        <f>'CAR Passenger Kilometres'!U26*'CAR Stock'!U76</f>
        <v>4.5827934226615117</v>
      </c>
      <c r="BB26" s="295">
        <f>'CAR Passenger Kilometres'!V26*'CAR Stock'!V76</f>
        <v>3.4033201443724712</v>
      </c>
      <c r="BC26" s="295">
        <f>'CAR Passenger Kilometres'!W26*'CAR Stock'!W76</f>
        <v>1.5086132105235435</v>
      </c>
      <c r="BD26" s="295">
        <f>'CAR Passenger Kilometres'!X26*'CAR Stock'!X76</f>
        <v>2.4039797867429598</v>
      </c>
      <c r="BE26" s="295">
        <f>'CAR Passenger Kilometres'!Y26*'CAR Stock'!Y76</f>
        <v>2.3344431813413045</v>
      </c>
      <c r="BF26" s="295">
        <f>'CAR Passenger Kilometres'!Z26*'CAR Stock'!Z76</f>
        <v>2.1437142065253338</v>
      </c>
      <c r="BG26" s="295">
        <f>'CAR Passenger Kilometres'!AA26*'CAR Stock'!AA76</f>
        <v>0</v>
      </c>
      <c r="BH26" s="295">
        <f>'CAR Passenger Kilometres'!AB26*'CAR Stock'!AB76</f>
        <v>0</v>
      </c>
      <c r="BI26" s="295">
        <f>'CAR Passenger Kilometres'!AC26*'CAR Stock'!AC76</f>
        <v>0</v>
      </c>
      <c r="BJ26" s="295">
        <f>'CAR Passenger Kilometres'!AD26*'CAR Stock'!AD76</f>
        <v>0</v>
      </c>
      <c r="BK26" s="296">
        <f>'CAR Passenger Kilometres'!AE26*'CAR Stock'!AE76</f>
        <v>0</v>
      </c>
    </row>
    <row r="27" spans="1:63">
      <c r="A27" s="1711"/>
      <c r="B27" s="116">
        <v>24</v>
      </c>
      <c r="C27" s="294">
        <f>'CAR Mileage'!C48*CAR!$I$58</f>
        <v>15528.025908312338</v>
      </c>
      <c r="D27" s="295">
        <f>'CAR Mileage'!D48*CAR!$I$58</f>
        <v>15528.025908312338</v>
      </c>
      <c r="E27" s="295">
        <f>'CAR Mileage'!E48*CAR!$I$58</f>
        <v>15528.025908312338</v>
      </c>
      <c r="F27" s="295">
        <f>'CAR Mileage'!F48*CAR!$I$58</f>
        <v>15528.025908312338</v>
      </c>
      <c r="G27" s="295">
        <f>'CAR Mileage'!G48*CAR!$I$58</f>
        <v>15528.025908312338</v>
      </c>
      <c r="H27" s="295">
        <f>'CAR Mileage'!H48*CAR!$I$58</f>
        <v>15528.025908312338</v>
      </c>
      <c r="I27" s="295">
        <f>'CAR Mileage'!I48*CAR!$I$58</f>
        <v>15528.025908312338</v>
      </c>
      <c r="J27" s="295">
        <f>'CAR Mileage'!J48*CAR!$I$58</f>
        <v>15528.025908312338</v>
      </c>
      <c r="K27" s="295">
        <f>'CAR Mileage'!K48*CAR!$I$58</f>
        <v>15528.025908312338</v>
      </c>
      <c r="L27" s="295">
        <f>'CAR Mileage'!L48*CAR!$I$58</f>
        <v>15528.025908312338</v>
      </c>
      <c r="M27" s="295">
        <f>'CAR Mileage'!M48*CAR!$I$58</f>
        <v>15528.025908312338</v>
      </c>
      <c r="N27" s="295">
        <f>'CAR Mileage'!N48*CAR!$I$58</f>
        <v>15528.025908312338</v>
      </c>
      <c r="O27" s="295">
        <f>'CAR Mileage'!O48*CAR!$I$58</f>
        <v>15528.025908312338</v>
      </c>
      <c r="P27" s="295">
        <f>'CAR Mileage'!P48*CAR!$I$58</f>
        <v>15528.025908312338</v>
      </c>
      <c r="Q27" s="295">
        <f>'CAR Mileage'!Q48*CAR!$I$58</f>
        <v>15528.025908312338</v>
      </c>
      <c r="R27" s="295">
        <f>'CAR Mileage'!R48*CAR!$I$58</f>
        <v>15528.025908312338</v>
      </c>
      <c r="S27" s="295">
        <f>'CAR Mileage'!S48*CAR!$I$58</f>
        <v>15528.025908312338</v>
      </c>
      <c r="T27" s="295">
        <f>'CAR Mileage'!T48*CAR!$I$58</f>
        <v>15528.025908312338</v>
      </c>
      <c r="U27" s="295">
        <f>'CAR Mileage'!U48*CAR!$I$58</f>
        <v>15528.025908312338</v>
      </c>
      <c r="V27" s="295">
        <f>'CAR Mileage'!V48*CAR!$I$58</f>
        <v>15528.025908312338</v>
      </c>
      <c r="W27" s="295">
        <f>'CAR Mileage'!W48*CAR!$I$58</f>
        <v>15528.025908312338</v>
      </c>
      <c r="X27" s="295">
        <f>'CAR Mileage'!X48*CAR!$I$58</f>
        <v>15528.025908312338</v>
      </c>
      <c r="Y27" s="295">
        <f>'CAR Mileage'!Y48*CAR!$I$58</f>
        <v>15528.025908312338</v>
      </c>
      <c r="Z27" s="295">
        <f>'CAR Mileage'!Z48*CAR!$I$58</f>
        <v>15528.025908312338</v>
      </c>
      <c r="AA27" s="295">
        <f>'CAR Mileage'!AA48*CAR!$I$58</f>
        <v>15528.025908312338</v>
      </c>
      <c r="AB27" s="295">
        <f>'CAR Mileage'!AB48*CAR!$I$58</f>
        <v>15528.025908312338</v>
      </c>
      <c r="AC27" s="295">
        <f>'CAR Mileage'!AC48*CAR!$I$58</f>
        <v>15528.025908312338</v>
      </c>
      <c r="AD27" s="295">
        <f>'CAR Mileage'!AD48*CAR!$I$58</f>
        <v>15528.025908312338</v>
      </c>
      <c r="AE27" s="296">
        <f>'CAR Mileage'!AE48*CAR!$I$58</f>
        <v>15528.025908312338</v>
      </c>
      <c r="AG27" s="1711"/>
      <c r="AH27" s="116">
        <v>24</v>
      </c>
      <c r="AI27" s="294">
        <f>'CAR Passenger Kilometres'!C27*'CAR Stock'!C77</f>
        <v>20435.807155949198</v>
      </c>
      <c r="AJ27" s="295">
        <f>'CAR Passenger Kilometres'!D27*'CAR Stock'!D77</f>
        <v>1928.2789144721053</v>
      </c>
      <c r="AK27" s="295">
        <f>'CAR Passenger Kilometres'!E27*'CAR Stock'!E77</f>
        <v>363.89652178874388</v>
      </c>
      <c r="AL27" s="295">
        <f>'CAR Passenger Kilometres'!F27*'CAR Stock'!F77</f>
        <v>103.00948496825559</v>
      </c>
      <c r="AM27" s="295">
        <f>'CAR Passenger Kilometres'!G27*'CAR Stock'!G77</f>
        <v>38.879015903630417</v>
      </c>
      <c r="AN27" s="295">
        <f>'CAR Passenger Kilometres'!H27*'CAR Stock'!H77</f>
        <v>18.342702593122482</v>
      </c>
      <c r="AO27" s="295">
        <f>'CAR Passenger Kilometres'!I27*'CAR Stock'!I77</f>
        <v>10.384668354375449</v>
      </c>
      <c r="AP27" s="295">
        <f>'CAR Passenger Kilometres'!J27*'CAR Stock'!J77</f>
        <v>6.859125165990271</v>
      </c>
      <c r="AQ27" s="295">
        <f>'CAR Passenger Kilometres'!K27*'CAR Stock'!K77</f>
        <v>5.1776986652386183</v>
      </c>
      <c r="AR27" s="295">
        <f>'CAR Passenger Kilometres'!L27*'CAR Stock'!L77</f>
        <v>1.9094409514507857</v>
      </c>
      <c r="AS27" s="295">
        <f>'CAR Passenger Kilometres'!M27*'CAR Stock'!M77</f>
        <v>0.85660219111418845</v>
      </c>
      <c r="AT27" s="295">
        <f>'CAR Passenger Kilometres'!N27*'CAR Stock'!N77</f>
        <v>0.93578962742160521</v>
      </c>
      <c r="AU27" s="295">
        <f>'CAR Passenger Kilometres'!O27*'CAR Stock'!O77</f>
        <v>1.0002569319423222</v>
      </c>
      <c r="AV27" s="295">
        <f>'CAR Passenger Kilometres'!P27*'CAR Stock'!P77</f>
        <v>0.48171675401626546</v>
      </c>
      <c r="AW27" s="295">
        <f>'CAR Passenger Kilometres'!Q27*'CAR Stock'!Q77</f>
        <v>0.25937047520465817</v>
      </c>
      <c r="AX27" s="295">
        <f>'CAR Passenger Kilometres'!R27*'CAR Stock'!R77</f>
        <v>0.23367417816412936</v>
      </c>
      <c r="AY27" s="295">
        <f>'CAR Passenger Kilometres'!S27*'CAR Stock'!S77</f>
        <v>0.21687207422378402</v>
      </c>
      <c r="AZ27" s="295">
        <f>'CAR Passenger Kilometres'!T27*'CAR Stock'!T77</f>
        <v>0.20450434304587473</v>
      </c>
      <c r="BA27" s="295">
        <f>'CAR Passenger Kilometres'!U27*'CAR Stock'!U77</f>
        <v>0.22487201929797063</v>
      </c>
      <c r="BB27" s="295">
        <f>'CAR Passenger Kilometres'!V27*'CAR Stock'!V77</f>
        <v>0.15907936756715982</v>
      </c>
      <c r="BC27" s="295">
        <f>'CAR Passenger Kilometres'!W27*'CAR Stock'!W77</f>
        <v>0.11813711993173902</v>
      </c>
      <c r="BD27" s="295">
        <f>'CAR Passenger Kilometres'!X27*'CAR Stock'!X77</f>
        <v>5.2367456548842478E-2</v>
      </c>
      <c r="BE27" s="295">
        <f>'CAR Passenger Kilometres'!Y27*'CAR Stock'!Y77</f>
        <v>8.3447702929015877E-2</v>
      </c>
      <c r="BF27" s="295">
        <f>'CAR Passenger Kilometres'!Z27*'CAR Stock'!Z77</f>
        <v>8.1033926398011311E-2</v>
      </c>
      <c r="BG27" s="295">
        <f>'CAR Passenger Kilometres'!AA27*'CAR Stock'!AA77</f>
        <v>7.4413282198684427E-2</v>
      </c>
      <c r="BH27" s="295">
        <f>'CAR Passenger Kilometres'!AB27*'CAR Stock'!AB77</f>
        <v>0</v>
      </c>
      <c r="BI27" s="295">
        <f>'CAR Passenger Kilometres'!AC27*'CAR Stock'!AC77</f>
        <v>0</v>
      </c>
      <c r="BJ27" s="295">
        <f>'CAR Passenger Kilometres'!AD27*'CAR Stock'!AD77</f>
        <v>0</v>
      </c>
      <c r="BK27" s="296">
        <f>'CAR Passenger Kilometres'!AE27*'CAR Stock'!AE77</f>
        <v>0</v>
      </c>
    </row>
    <row r="28" spans="1:63" ht="15.75" thickBot="1">
      <c r="A28" s="1711"/>
      <c r="B28" s="116">
        <v>25</v>
      </c>
      <c r="C28" s="297">
        <f>'CAR Mileage'!C49*CAR!$I$58</f>
        <v>15528.025908312338</v>
      </c>
      <c r="D28" s="298">
        <f>'CAR Mileage'!D49*CAR!$I$58</f>
        <v>15528.025908312338</v>
      </c>
      <c r="E28" s="298">
        <f>'CAR Mileage'!E49*CAR!$I$58</f>
        <v>15528.025908312338</v>
      </c>
      <c r="F28" s="298">
        <f>'CAR Mileage'!F49*CAR!$I$58</f>
        <v>15528.025908312338</v>
      </c>
      <c r="G28" s="298">
        <f>'CAR Mileage'!G49*CAR!$I$58</f>
        <v>15528.025908312338</v>
      </c>
      <c r="H28" s="298">
        <f>'CAR Mileage'!H49*CAR!$I$58</f>
        <v>15528.025908312338</v>
      </c>
      <c r="I28" s="298">
        <f>'CAR Mileage'!I49*CAR!$I$58</f>
        <v>15528.025908312338</v>
      </c>
      <c r="J28" s="298">
        <f>'CAR Mileage'!J49*CAR!$I$58</f>
        <v>15528.025908312338</v>
      </c>
      <c r="K28" s="298">
        <f>'CAR Mileage'!K49*CAR!$I$58</f>
        <v>15528.025908312338</v>
      </c>
      <c r="L28" s="298">
        <f>'CAR Mileage'!L49*CAR!$I$58</f>
        <v>15528.025908312338</v>
      </c>
      <c r="M28" s="298">
        <f>'CAR Mileage'!M49*CAR!$I$58</f>
        <v>15528.025908312338</v>
      </c>
      <c r="N28" s="298">
        <f>'CAR Mileage'!N49*CAR!$I$58</f>
        <v>15528.025908312338</v>
      </c>
      <c r="O28" s="298">
        <f>'CAR Mileage'!O49*CAR!$I$58</f>
        <v>15528.025908312338</v>
      </c>
      <c r="P28" s="298">
        <f>'CAR Mileage'!P49*CAR!$I$58</f>
        <v>15528.025908312338</v>
      </c>
      <c r="Q28" s="298">
        <f>'CAR Mileage'!Q49*CAR!$I$58</f>
        <v>15528.025908312338</v>
      </c>
      <c r="R28" s="298">
        <f>'CAR Mileage'!R49*CAR!$I$58</f>
        <v>15528.025908312338</v>
      </c>
      <c r="S28" s="298">
        <f>'CAR Mileage'!S49*CAR!$I$58</f>
        <v>15528.025908312338</v>
      </c>
      <c r="T28" s="298">
        <f>'CAR Mileage'!T49*CAR!$I$58</f>
        <v>15528.025908312338</v>
      </c>
      <c r="U28" s="298">
        <f>'CAR Mileage'!U49*CAR!$I$58</f>
        <v>15528.025908312338</v>
      </c>
      <c r="V28" s="298">
        <f>'CAR Mileage'!V49*CAR!$I$58</f>
        <v>15528.025908312338</v>
      </c>
      <c r="W28" s="298">
        <f>'CAR Mileage'!W49*CAR!$I$58</f>
        <v>15528.025908312338</v>
      </c>
      <c r="X28" s="298">
        <f>'CAR Mileage'!X49*CAR!$I$58</f>
        <v>15528.025908312338</v>
      </c>
      <c r="Y28" s="298">
        <f>'CAR Mileage'!Y49*CAR!$I$58</f>
        <v>15528.025908312338</v>
      </c>
      <c r="Z28" s="298">
        <f>'CAR Mileage'!Z49*CAR!$I$58</f>
        <v>15528.025908312338</v>
      </c>
      <c r="AA28" s="298">
        <f>'CAR Mileage'!AA49*CAR!$I$58</f>
        <v>15528.025908312338</v>
      </c>
      <c r="AB28" s="298">
        <f>'CAR Mileage'!AB49*CAR!$I$58</f>
        <v>15528.025908312338</v>
      </c>
      <c r="AC28" s="298">
        <f>'CAR Mileage'!AC49*CAR!$I$58</f>
        <v>15528.025908312338</v>
      </c>
      <c r="AD28" s="298">
        <f>'CAR Mileage'!AD49*CAR!$I$58</f>
        <v>15528.025908312338</v>
      </c>
      <c r="AE28" s="299">
        <f>'CAR Mileage'!AE49*CAR!$I$58</f>
        <v>15528.025908312338</v>
      </c>
      <c r="AG28" s="1711"/>
      <c r="AH28" s="116">
        <v>25</v>
      </c>
      <c r="AI28" s="297">
        <f>'CAR Passenger Kilometres'!C28*'CAR Stock'!C78</f>
        <v>7517.913316417953</v>
      </c>
      <c r="AJ28" s="298">
        <f>'CAR Passenger Kilometres'!D28*'CAR Stock'!D78</f>
        <v>0</v>
      </c>
      <c r="AK28" s="298">
        <f>'CAR Passenger Kilometres'!E28*'CAR Stock'!E78</f>
        <v>0</v>
      </c>
      <c r="AL28" s="298">
        <f>'CAR Passenger Kilometres'!F28*'CAR Stock'!F78</f>
        <v>0</v>
      </c>
      <c r="AM28" s="298">
        <f>'CAR Passenger Kilometres'!G28*'CAR Stock'!G78</f>
        <v>0</v>
      </c>
      <c r="AN28" s="298">
        <f>'CAR Passenger Kilometres'!H28*'CAR Stock'!H78</f>
        <v>0</v>
      </c>
      <c r="AO28" s="298">
        <f>'CAR Passenger Kilometres'!I28*'CAR Stock'!I78</f>
        <v>0</v>
      </c>
      <c r="AP28" s="298">
        <f>'CAR Passenger Kilometres'!J28*'CAR Stock'!J78</f>
        <v>0</v>
      </c>
      <c r="AQ28" s="298">
        <f>'CAR Passenger Kilometres'!K28*'CAR Stock'!K78</f>
        <v>0</v>
      </c>
      <c r="AR28" s="298">
        <f>'CAR Passenger Kilometres'!L28*'CAR Stock'!L78</f>
        <v>0</v>
      </c>
      <c r="AS28" s="298">
        <f>'CAR Passenger Kilometres'!M28*'CAR Stock'!M78</f>
        <v>0</v>
      </c>
      <c r="AT28" s="298">
        <f>'CAR Passenger Kilometres'!N28*'CAR Stock'!N78</f>
        <v>0</v>
      </c>
      <c r="AU28" s="298">
        <f>'CAR Passenger Kilometres'!O28*'CAR Stock'!O78</f>
        <v>0</v>
      </c>
      <c r="AV28" s="298">
        <f>'CAR Passenger Kilometres'!P28*'CAR Stock'!P78</f>
        <v>0</v>
      </c>
      <c r="AW28" s="298">
        <f>'CAR Passenger Kilometres'!Q28*'CAR Stock'!Q78</f>
        <v>0</v>
      </c>
      <c r="AX28" s="298">
        <f>'CAR Passenger Kilometres'!R28*'CAR Stock'!R78</f>
        <v>0</v>
      </c>
      <c r="AY28" s="298">
        <f>'CAR Passenger Kilometres'!S28*'CAR Stock'!S78</f>
        <v>0</v>
      </c>
      <c r="AZ28" s="298">
        <f>'CAR Passenger Kilometres'!T28*'CAR Stock'!T78</f>
        <v>0</v>
      </c>
      <c r="BA28" s="298">
        <f>'CAR Passenger Kilometres'!U28*'CAR Stock'!U78</f>
        <v>0</v>
      </c>
      <c r="BB28" s="298">
        <f>'CAR Passenger Kilometres'!V28*'CAR Stock'!V78</f>
        <v>0</v>
      </c>
      <c r="BC28" s="298">
        <f>'CAR Passenger Kilometres'!W28*'CAR Stock'!W78</f>
        <v>0</v>
      </c>
      <c r="BD28" s="298">
        <f>'CAR Passenger Kilometres'!X28*'CAR Stock'!X78</f>
        <v>0</v>
      </c>
      <c r="BE28" s="298">
        <f>'CAR Passenger Kilometres'!Y28*'CAR Stock'!Y78</f>
        <v>0</v>
      </c>
      <c r="BF28" s="298">
        <f>'CAR Passenger Kilometres'!Z28*'CAR Stock'!Z78</f>
        <v>0</v>
      </c>
      <c r="BG28" s="298">
        <f>'CAR Passenger Kilometres'!AA28*'CAR Stock'!AA78</f>
        <v>0</v>
      </c>
      <c r="BH28" s="298">
        <f>'CAR Passenger Kilometres'!AB28*'CAR Stock'!AB78</f>
        <v>0</v>
      </c>
      <c r="BI28" s="298">
        <f>'CAR Passenger Kilometres'!AC28*'CAR Stock'!AC78</f>
        <v>0</v>
      </c>
      <c r="BJ28" s="298">
        <f>'CAR Passenger Kilometres'!AD28*'CAR Stock'!AD78</f>
        <v>0</v>
      </c>
      <c r="BK28" s="299">
        <f>'CAR Passenger Kilometres'!AE28*'CAR Stock'!AE78</f>
        <v>0</v>
      </c>
    </row>
    <row r="29" spans="1:63" ht="16.5" thickTop="1" thickBot="1">
      <c r="A29" s="1712"/>
      <c r="B29" s="300" t="s">
        <v>39</v>
      </c>
      <c r="C29" s="301">
        <f>'CAR Mileage'!C50*CAR!$I$58</f>
        <v>17784.56603919925</v>
      </c>
      <c r="D29" s="301">
        <f>'CAR Mileage'!D50*CAR!$I$58</f>
        <v>17830.707095522808</v>
      </c>
      <c r="E29" s="301">
        <f>'CAR Mileage'!E50*CAR!$I$58</f>
        <v>17849.097174532879</v>
      </c>
      <c r="F29" s="301">
        <f>'CAR Mileage'!F50*CAR!$I$58</f>
        <v>17828.114923557558</v>
      </c>
      <c r="G29" s="301">
        <f>'CAR Mileage'!G50*CAR!$I$58</f>
        <v>17753.867014230076</v>
      </c>
      <c r="H29" s="301">
        <f>'CAR Mileage'!H50*CAR!$I$58</f>
        <v>17643.101317981895</v>
      </c>
      <c r="I29" s="301">
        <f>'CAR Mileage'!I50*CAR!$I$58</f>
        <v>17519.002533223698</v>
      </c>
      <c r="J29" s="301">
        <f>'CAR Mileage'!J50*CAR!$I$58</f>
        <v>17396.846092678017</v>
      </c>
      <c r="K29" s="301">
        <f>'CAR Mileage'!K50*CAR!$I$58</f>
        <v>17278.028464442836</v>
      </c>
      <c r="L29" s="301">
        <f>'CAR Mileage'!L50*CAR!$I$58</f>
        <v>17148.380400277336</v>
      </c>
      <c r="M29" s="301">
        <f>'CAR Mileage'!M50*CAR!$I$58</f>
        <v>16985.597924671747</v>
      </c>
      <c r="N29" s="301">
        <f>'CAR Mileage'!N50*CAR!$I$58</f>
        <v>16784.153954267062</v>
      </c>
      <c r="O29" s="301">
        <f>'CAR Mileage'!O50*CAR!$I$58</f>
        <v>16548.826613289864</v>
      </c>
      <c r="P29" s="301">
        <f>'CAR Mileage'!P50*CAR!$I$58</f>
        <v>16294.804524671385</v>
      </c>
      <c r="Q29" s="301">
        <f>'CAR Mileage'!Q50*CAR!$I$58</f>
        <v>16022.659955545187</v>
      </c>
      <c r="R29" s="301">
        <f>'CAR Mileage'!R50*CAR!$I$58</f>
        <v>15744.889208765419</v>
      </c>
      <c r="S29" s="301">
        <f>'CAR Mileage'!S50*CAR!$I$58</f>
        <v>15528.025908312338</v>
      </c>
      <c r="T29" s="301">
        <f>'CAR Mileage'!T50*CAR!$I$58</f>
        <v>15528.025908312342</v>
      </c>
      <c r="U29" s="301">
        <f>'CAR Mileage'!U50*CAR!$I$58</f>
        <v>15528.025908312338</v>
      </c>
      <c r="V29" s="301">
        <f>'CAR Mileage'!V50*CAR!$I$58</f>
        <v>15528.025908312338</v>
      </c>
      <c r="W29" s="301">
        <f>'CAR Mileage'!W50*CAR!$I$58</f>
        <v>15528.025908312342</v>
      </c>
      <c r="X29" s="301">
        <f>'CAR Mileage'!X50*CAR!$I$58</f>
        <v>15528.025908312336</v>
      </c>
      <c r="Y29" s="301">
        <f>'CAR Mileage'!Y50*CAR!$I$58</f>
        <v>15528.025908312338</v>
      </c>
      <c r="Z29" s="301">
        <f>'CAR Mileage'!Z50*CAR!$I$58</f>
        <v>15528.025908312338</v>
      </c>
      <c r="AA29" s="301">
        <f>'CAR Mileage'!AA50*CAR!$I$58</f>
        <v>15528.025908312338</v>
      </c>
      <c r="AB29" s="301">
        <f>'CAR Mileage'!AB50*CAR!$I$58</f>
        <v>0</v>
      </c>
      <c r="AC29" s="301">
        <f>'CAR Mileage'!AC50*CAR!$I$58</f>
        <v>0</v>
      </c>
      <c r="AD29" s="301">
        <f>'CAR Mileage'!AD50*CAR!$I$58</f>
        <v>0</v>
      </c>
      <c r="AE29" s="302">
        <f>'CAR Mileage'!AE50*CAR!$I$58</f>
        <v>0</v>
      </c>
      <c r="AG29" s="1712"/>
      <c r="AH29" s="300" t="s">
        <v>39</v>
      </c>
      <c r="AI29" s="301">
        <f t="shared" ref="AI29:BK29" si="0">SUM(AI3:AI28)</f>
        <v>2552832178.3987365</v>
      </c>
      <c r="AJ29" s="301">
        <f t="shared" si="0"/>
        <v>1931915571.7482269</v>
      </c>
      <c r="AK29" s="301">
        <f t="shared" si="0"/>
        <v>1490857458.4392376</v>
      </c>
      <c r="AL29" s="301">
        <f t="shared" si="0"/>
        <v>1174750495.8855352</v>
      </c>
      <c r="AM29" s="301">
        <f t="shared" si="0"/>
        <v>939746043.60780954</v>
      </c>
      <c r="AN29" s="301">
        <f t="shared" si="0"/>
        <v>748931163.74968386</v>
      </c>
      <c r="AO29" s="301">
        <f t="shared" si="0"/>
        <v>585176768.10692489</v>
      </c>
      <c r="AP29" s="301">
        <f t="shared" si="0"/>
        <v>446118253.49514025</v>
      </c>
      <c r="AQ29" s="301">
        <f t="shared" si="0"/>
        <v>331866750.72381389</v>
      </c>
      <c r="AR29" s="301">
        <f t="shared" si="0"/>
        <v>240354381.40736753</v>
      </c>
      <c r="AS29" s="301">
        <f t="shared" si="0"/>
        <v>167036316.79906067</v>
      </c>
      <c r="AT29" s="301">
        <f t="shared" si="0"/>
        <v>108350562.27360803</v>
      </c>
      <c r="AU29" s="301">
        <f t="shared" si="0"/>
        <v>63109924.741457596</v>
      </c>
      <c r="AV29" s="301">
        <f t="shared" si="0"/>
        <v>31420180.995913606</v>
      </c>
      <c r="AW29" s="301">
        <f t="shared" si="0"/>
        <v>12800607.934777411</v>
      </c>
      <c r="AX29" s="301">
        <f t="shared" si="0"/>
        <v>4152338.2317253174</v>
      </c>
      <c r="AY29" s="301">
        <f t="shared" si="0"/>
        <v>1219301.5143693918</v>
      </c>
      <c r="AZ29" s="301">
        <f t="shared" si="0"/>
        <v>323305.08998169331</v>
      </c>
      <c r="BA29" s="301">
        <f t="shared" si="0"/>
        <v>75132.89360724845</v>
      </c>
      <c r="BB29" s="301">
        <f t="shared" si="0"/>
        <v>14987.477486646212</v>
      </c>
      <c r="BC29" s="301">
        <f t="shared" si="0"/>
        <v>2494.6778883917773</v>
      </c>
      <c r="BD29" s="301">
        <f t="shared" si="0"/>
        <v>332.59816503436411</v>
      </c>
      <c r="BE29" s="301">
        <f t="shared" si="0"/>
        <v>33.296186152771398</v>
      </c>
      <c r="BF29" s="301">
        <f t="shared" si="0"/>
        <v>2.2247481329233452</v>
      </c>
      <c r="BG29" s="301">
        <f t="shared" si="0"/>
        <v>7.4413282198684427E-2</v>
      </c>
      <c r="BH29" s="301">
        <f t="shared" si="0"/>
        <v>0</v>
      </c>
      <c r="BI29" s="301">
        <f t="shared" si="0"/>
        <v>0</v>
      </c>
      <c r="BJ29" s="301">
        <f t="shared" si="0"/>
        <v>0</v>
      </c>
      <c r="BK29" s="302">
        <f t="shared" si="0"/>
        <v>0</v>
      </c>
    </row>
    <row r="30" spans="1:63" ht="15.75" thickBot="1"/>
    <row r="31" spans="1:63" ht="15.75" thickBot="1">
      <c r="A31" s="1710" t="s">
        <v>42</v>
      </c>
      <c r="B31" s="169" t="s">
        <v>10</v>
      </c>
      <c r="C31" s="288">
        <v>2012</v>
      </c>
      <c r="D31" s="289">
        <v>2013</v>
      </c>
      <c r="E31" s="289">
        <v>2014</v>
      </c>
      <c r="F31" s="289">
        <v>2015</v>
      </c>
      <c r="G31" s="288">
        <v>2016</v>
      </c>
      <c r="H31" s="289">
        <v>2017</v>
      </c>
      <c r="I31" s="289">
        <v>2018</v>
      </c>
      <c r="J31" s="289">
        <v>2019</v>
      </c>
      <c r="K31" s="288">
        <v>2020</v>
      </c>
      <c r="L31" s="289">
        <v>2021</v>
      </c>
      <c r="M31" s="289">
        <v>2022</v>
      </c>
      <c r="N31" s="289">
        <v>2023</v>
      </c>
      <c r="O31" s="288">
        <v>2024</v>
      </c>
      <c r="P31" s="289">
        <v>2025</v>
      </c>
      <c r="Q31" s="289">
        <v>2026</v>
      </c>
      <c r="R31" s="289">
        <v>2027</v>
      </c>
      <c r="S31" s="288">
        <v>2028</v>
      </c>
      <c r="T31" s="289">
        <v>2029</v>
      </c>
      <c r="U31" s="289">
        <v>2030</v>
      </c>
      <c r="V31" s="289">
        <v>2031</v>
      </c>
      <c r="W31" s="288">
        <v>2032</v>
      </c>
      <c r="X31" s="289">
        <v>2033</v>
      </c>
      <c r="Y31" s="289">
        <v>2034</v>
      </c>
      <c r="Z31" s="289">
        <v>2035</v>
      </c>
      <c r="AA31" s="288">
        <v>2036</v>
      </c>
      <c r="AB31" s="289">
        <v>2037</v>
      </c>
      <c r="AC31" s="289">
        <v>2038</v>
      </c>
      <c r="AD31" s="289">
        <v>2039</v>
      </c>
      <c r="AE31" s="290">
        <v>2040</v>
      </c>
      <c r="AG31" s="1710" t="s">
        <v>42</v>
      </c>
      <c r="AH31" s="169" t="s">
        <v>10</v>
      </c>
      <c r="AI31" s="288">
        <v>2012</v>
      </c>
      <c r="AJ31" s="289">
        <v>2013</v>
      </c>
      <c r="AK31" s="289">
        <v>2014</v>
      </c>
      <c r="AL31" s="289">
        <v>2015</v>
      </c>
      <c r="AM31" s="288">
        <v>2016</v>
      </c>
      <c r="AN31" s="289">
        <v>2017</v>
      </c>
      <c r="AO31" s="289">
        <v>2018</v>
      </c>
      <c r="AP31" s="289">
        <v>2019</v>
      </c>
      <c r="AQ31" s="288">
        <v>2020</v>
      </c>
      <c r="AR31" s="289">
        <v>2021</v>
      </c>
      <c r="AS31" s="289">
        <v>2022</v>
      </c>
      <c r="AT31" s="289">
        <v>2023</v>
      </c>
      <c r="AU31" s="288">
        <v>2024</v>
      </c>
      <c r="AV31" s="289">
        <v>2025</v>
      </c>
      <c r="AW31" s="289">
        <v>2026</v>
      </c>
      <c r="AX31" s="289">
        <v>2027</v>
      </c>
      <c r="AY31" s="288">
        <v>2028</v>
      </c>
      <c r="AZ31" s="289">
        <v>2029</v>
      </c>
      <c r="BA31" s="289">
        <v>2030</v>
      </c>
      <c r="BB31" s="289">
        <v>2031</v>
      </c>
      <c r="BC31" s="288">
        <v>2032</v>
      </c>
      <c r="BD31" s="289">
        <v>2033</v>
      </c>
      <c r="BE31" s="289">
        <v>2034</v>
      </c>
      <c r="BF31" s="289">
        <v>2035</v>
      </c>
      <c r="BG31" s="288">
        <v>2036</v>
      </c>
      <c r="BH31" s="289">
        <v>2037</v>
      </c>
      <c r="BI31" s="289">
        <v>2038</v>
      </c>
      <c r="BJ31" s="289">
        <v>2039</v>
      </c>
      <c r="BK31" s="290">
        <v>2040</v>
      </c>
    </row>
    <row r="32" spans="1:63">
      <c r="A32" s="1711"/>
      <c r="B32" s="116">
        <v>0</v>
      </c>
      <c r="C32" s="291">
        <f>'CAR Mileage'!C53*CAR!$I$58</f>
        <v>25623.012471651051</v>
      </c>
      <c r="D32" s="292">
        <f>'CAR Mileage'!D53*CAR!$I$58</f>
        <v>25623.012471651051</v>
      </c>
      <c r="E32" s="292">
        <f>'CAR Mileage'!E53*CAR!$I$58</f>
        <v>25623.012471651051</v>
      </c>
      <c r="F32" s="292">
        <f>'CAR Mileage'!F53*CAR!$I$58</f>
        <v>25623.012471651051</v>
      </c>
      <c r="G32" s="292">
        <f>'CAR Mileage'!G53*CAR!$I$58</f>
        <v>25623.012471651051</v>
      </c>
      <c r="H32" s="292">
        <f>'CAR Mileage'!H53*CAR!$I$58</f>
        <v>25623.012471651051</v>
      </c>
      <c r="I32" s="292">
        <f>'CAR Mileage'!I53*CAR!$I$58</f>
        <v>25623.012471651051</v>
      </c>
      <c r="J32" s="292">
        <f>'CAR Mileage'!J53*CAR!$I$58</f>
        <v>25623.012471651051</v>
      </c>
      <c r="K32" s="292">
        <f>'CAR Mileage'!K53*CAR!$I$58</f>
        <v>25623.012471651051</v>
      </c>
      <c r="L32" s="292">
        <f>'CAR Mileage'!L53*CAR!$I$58</f>
        <v>25623.012471651051</v>
      </c>
      <c r="M32" s="292">
        <f>'CAR Mileage'!M53*CAR!$I$58</f>
        <v>25623.012471651051</v>
      </c>
      <c r="N32" s="292">
        <f>'CAR Mileage'!N53*CAR!$I$58</f>
        <v>25623.012471651051</v>
      </c>
      <c r="O32" s="292">
        <f>'CAR Mileage'!O53*CAR!$I$58</f>
        <v>25623.012471651051</v>
      </c>
      <c r="P32" s="292">
        <f>'CAR Mileage'!P53*CAR!$I$58</f>
        <v>25623.012471651051</v>
      </c>
      <c r="Q32" s="292">
        <f>'CAR Mileage'!Q53*CAR!$I$58</f>
        <v>25623.012471651051</v>
      </c>
      <c r="R32" s="292">
        <f>'CAR Mileage'!R53*CAR!$I$58</f>
        <v>25623.012471651051</v>
      </c>
      <c r="S32" s="292">
        <f>'CAR Mileage'!S53*CAR!$I$58</f>
        <v>25623.012471651051</v>
      </c>
      <c r="T32" s="292">
        <f>'CAR Mileage'!T53*CAR!$I$58</f>
        <v>25623.012471651051</v>
      </c>
      <c r="U32" s="292">
        <f>'CAR Mileage'!U53*CAR!$I$58</f>
        <v>25623.012471651051</v>
      </c>
      <c r="V32" s="292">
        <f>'CAR Mileage'!V53*CAR!$I$58</f>
        <v>25623.012471651051</v>
      </c>
      <c r="W32" s="292">
        <f>'CAR Mileage'!W53*CAR!$I$58</f>
        <v>25623.012471651051</v>
      </c>
      <c r="X32" s="292">
        <f>'CAR Mileage'!X53*CAR!$I$58</f>
        <v>25623.012471651051</v>
      </c>
      <c r="Y32" s="292">
        <f>'CAR Mileage'!Y53*CAR!$I$58</f>
        <v>25623.012471651051</v>
      </c>
      <c r="Z32" s="292">
        <f>'CAR Mileage'!Z53*CAR!$I$58</f>
        <v>25623.012471651051</v>
      </c>
      <c r="AA32" s="292">
        <f>'CAR Mileage'!AA53*CAR!$I$58</f>
        <v>25623.012471651051</v>
      </c>
      <c r="AB32" s="292">
        <f>'CAR Mileage'!AB53*CAR!$I$58</f>
        <v>25623.012471651051</v>
      </c>
      <c r="AC32" s="292">
        <f>'CAR Mileage'!AC53*CAR!$I$58</f>
        <v>25623.012471651051</v>
      </c>
      <c r="AD32" s="292">
        <f>'CAR Mileage'!AD53*CAR!$I$58</f>
        <v>25623.012471651051</v>
      </c>
      <c r="AE32" s="293">
        <f>'CAR Mileage'!AE53*CAR!$I$58</f>
        <v>25623.012471651051</v>
      </c>
      <c r="AG32" s="1711"/>
      <c r="AH32" s="116">
        <v>0</v>
      </c>
      <c r="AI32" s="291">
        <f>'CAR Passenger Kilometres'!C32*'CAR Stock'!C82</f>
        <v>313574426.62806559</v>
      </c>
      <c r="AJ32" s="292">
        <f>'CAR Passenger Kilometres'!D32*'CAR Stock'!D82</f>
        <v>0</v>
      </c>
      <c r="AK32" s="292">
        <f>'CAR Passenger Kilometres'!E32*'CAR Stock'!E82</f>
        <v>0</v>
      </c>
      <c r="AL32" s="292">
        <f>'CAR Passenger Kilometres'!F32*'CAR Stock'!F82</f>
        <v>0</v>
      </c>
      <c r="AM32" s="292">
        <f>'CAR Passenger Kilometres'!G32*'CAR Stock'!G82</f>
        <v>0</v>
      </c>
      <c r="AN32" s="292">
        <f>'CAR Passenger Kilometres'!H32*'CAR Stock'!H82</f>
        <v>0</v>
      </c>
      <c r="AO32" s="292">
        <f>'CAR Passenger Kilometres'!I32*'CAR Stock'!I82</f>
        <v>0</v>
      </c>
      <c r="AP32" s="292">
        <f>'CAR Passenger Kilometres'!J32*'CAR Stock'!J82</f>
        <v>0</v>
      </c>
      <c r="AQ32" s="292">
        <f>'CAR Passenger Kilometres'!K32*'CAR Stock'!K82</f>
        <v>0</v>
      </c>
      <c r="AR32" s="292">
        <f>'CAR Passenger Kilometres'!L32*'CAR Stock'!L82</f>
        <v>0</v>
      </c>
      <c r="AS32" s="292">
        <f>'CAR Passenger Kilometres'!M32*'CAR Stock'!M82</f>
        <v>0</v>
      </c>
      <c r="AT32" s="292">
        <f>'CAR Passenger Kilometres'!N32*'CAR Stock'!N82</f>
        <v>0</v>
      </c>
      <c r="AU32" s="292">
        <f>'CAR Passenger Kilometres'!O32*'CAR Stock'!O82</f>
        <v>0</v>
      </c>
      <c r="AV32" s="292">
        <f>'CAR Passenger Kilometres'!P32*'CAR Stock'!P82</f>
        <v>0</v>
      </c>
      <c r="AW32" s="292">
        <f>'CAR Passenger Kilometres'!Q32*'CAR Stock'!Q82</f>
        <v>0</v>
      </c>
      <c r="AX32" s="292">
        <f>'CAR Passenger Kilometres'!R32*'CAR Stock'!R82</f>
        <v>0</v>
      </c>
      <c r="AY32" s="292">
        <f>'CAR Passenger Kilometres'!S32*'CAR Stock'!S82</f>
        <v>0</v>
      </c>
      <c r="AZ32" s="292">
        <f>'CAR Passenger Kilometres'!T32*'CAR Stock'!T82</f>
        <v>0</v>
      </c>
      <c r="BA32" s="292">
        <f>'CAR Passenger Kilometres'!U32*'CAR Stock'!U82</f>
        <v>0</v>
      </c>
      <c r="BB32" s="292">
        <f>'CAR Passenger Kilometres'!V32*'CAR Stock'!V82</f>
        <v>0</v>
      </c>
      <c r="BC32" s="292">
        <f>'CAR Passenger Kilometres'!W32*'CAR Stock'!W82</f>
        <v>0</v>
      </c>
      <c r="BD32" s="292">
        <f>'CAR Passenger Kilometres'!X32*'CAR Stock'!X82</f>
        <v>0</v>
      </c>
      <c r="BE32" s="292">
        <f>'CAR Passenger Kilometres'!Y32*'CAR Stock'!Y82</f>
        <v>0</v>
      </c>
      <c r="BF32" s="292">
        <f>'CAR Passenger Kilometres'!Z32*'CAR Stock'!Z82</f>
        <v>0</v>
      </c>
      <c r="BG32" s="292">
        <f>'CAR Passenger Kilometres'!AA32*'CAR Stock'!AA82</f>
        <v>0</v>
      </c>
      <c r="BH32" s="292">
        <f>'CAR Passenger Kilometres'!AB32*'CAR Stock'!AB82</f>
        <v>0</v>
      </c>
      <c r="BI32" s="292">
        <f>'CAR Passenger Kilometres'!AC32*'CAR Stock'!AC82</f>
        <v>0</v>
      </c>
      <c r="BJ32" s="292">
        <f>'CAR Passenger Kilometres'!AD32*'CAR Stock'!AD82</f>
        <v>0</v>
      </c>
      <c r="BK32" s="293">
        <f>'CAR Passenger Kilometres'!AE32*'CAR Stock'!AE82</f>
        <v>0</v>
      </c>
    </row>
    <row r="33" spans="1:63">
      <c r="A33" s="1711"/>
      <c r="B33" s="116">
        <v>1</v>
      </c>
      <c r="C33" s="294">
        <f>'CAR Mileage'!C54*CAR!$I$58</f>
        <v>25110.55222221803</v>
      </c>
      <c r="D33" s="295">
        <f>'CAR Mileage'!D54*CAR!$I$58</f>
        <v>25110.55222221803</v>
      </c>
      <c r="E33" s="295">
        <f>'CAR Mileage'!E54*CAR!$I$58</f>
        <v>25110.55222221803</v>
      </c>
      <c r="F33" s="295">
        <f>'CAR Mileage'!F54*CAR!$I$58</f>
        <v>25110.55222221803</v>
      </c>
      <c r="G33" s="295">
        <f>'CAR Mileage'!G54*CAR!$I$58</f>
        <v>25110.55222221803</v>
      </c>
      <c r="H33" s="295">
        <f>'CAR Mileage'!H54*CAR!$I$58</f>
        <v>25110.55222221803</v>
      </c>
      <c r="I33" s="295">
        <f>'CAR Mileage'!I54*CAR!$I$58</f>
        <v>25110.55222221803</v>
      </c>
      <c r="J33" s="295">
        <f>'CAR Mileage'!J54*CAR!$I$58</f>
        <v>25110.55222221803</v>
      </c>
      <c r="K33" s="295">
        <f>'CAR Mileage'!K54*CAR!$I$58</f>
        <v>25110.55222221803</v>
      </c>
      <c r="L33" s="295">
        <f>'CAR Mileage'!L54*CAR!$I$58</f>
        <v>25110.55222221803</v>
      </c>
      <c r="M33" s="295">
        <f>'CAR Mileage'!M54*CAR!$I$58</f>
        <v>25110.55222221803</v>
      </c>
      <c r="N33" s="295">
        <f>'CAR Mileage'!N54*CAR!$I$58</f>
        <v>25110.55222221803</v>
      </c>
      <c r="O33" s="295">
        <f>'CAR Mileage'!O54*CAR!$I$58</f>
        <v>25110.55222221803</v>
      </c>
      <c r="P33" s="295">
        <f>'CAR Mileage'!P54*CAR!$I$58</f>
        <v>25110.55222221803</v>
      </c>
      <c r="Q33" s="295">
        <f>'CAR Mileage'!Q54*CAR!$I$58</f>
        <v>25110.55222221803</v>
      </c>
      <c r="R33" s="295">
        <f>'CAR Mileage'!R54*CAR!$I$58</f>
        <v>25110.55222221803</v>
      </c>
      <c r="S33" s="295">
        <f>'CAR Mileage'!S54*CAR!$I$58</f>
        <v>25110.55222221803</v>
      </c>
      <c r="T33" s="295">
        <f>'CAR Mileage'!T54*CAR!$I$58</f>
        <v>25110.55222221803</v>
      </c>
      <c r="U33" s="295">
        <f>'CAR Mileage'!U54*CAR!$I$58</f>
        <v>25110.55222221803</v>
      </c>
      <c r="V33" s="295">
        <f>'CAR Mileage'!V54*CAR!$I$58</f>
        <v>25110.55222221803</v>
      </c>
      <c r="W33" s="295">
        <f>'CAR Mileage'!W54*CAR!$I$58</f>
        <v>25110.55222221803</v>
      </c>
      <c r="X33" s="295">
        <f>'CAR Mileage'!X54*CAR!$I$58</f>
        <v>25110.55222221803</v>
      </c>
      <c r="Y33" s="295">
        <f>'CAR Mileage'!Y54*CAR!$I$58</f>
        <v>25110.55222221803</v>
      </c>
      <c r="Z33" s="295">
        <f>'CAR Mileage'!Z54*CAR!$I$58</f>
        <v>25110.55222221803</v>
      </c>
      <c r="AA33" s="295">
        <f>'CAR Mileage'!AA54*CAR!$I$58</f>
        <v>25110.55222221803</v>
      </c>
      <c r="AB33" s="295">
        <f>'CAR Mileage'!AB54*CAR!$I$58</f>
        <v>25110.55222221803</v>
      </c>
      <c r="AC33" s="295">
        <f>'CAR Mileage'!AC54*CAR!$I$58</f>
        <v>25110.55222221803</v>
      </c>
      <c r="AD33" s="295">
        <f>'CAR Mileage'!AD54*CAR!$I$58</f>
        <v>25110.55222221803</v>
      </c>
      <c r="AE33" s="296">
        <f>'CAR Mileage'!AE54*CAR!$I$58</f>
        <v>25110.55222221803</v>
      </c>
      <c r="AG33" s="1711"/>
      <c r="AH33" s="116">
        <v>1</v>
      </c>
      <c r="AI33" s="294">
        <f>'CAR Passenger Kilometres'!C33*'CAR Stock'!C83</f>
        <v>429767101.2832616</v>
      </c>
      <c r="AJ33" s="295">
        <f>'CAR Passenger Kilometres'!D33*'CAR Stock'!D83</f>
        <v>307302938.09550422</v>
      </c>
      <c r="AK33" s="295">
        <f>'CAR Passenger Kilometres'!E33*'CAR Stock'!E83</f>
        <v>0</v>
      </c>
      <c r="AL33" s="295">
        <f>'CAR Passenger Kilometres'!F33*'CAR Stock'!F83</f>
        <v>0</v>
      </c>
      <c r="AM33" s="295">
        <f>'CAR Passenger Kilometres'!G33*'CAR Stock'!G83</f>
        <v>0</v>
      </c>
      <c r="AN33" s="295">
        <f>'CAR Passenger Kilometres'!H33*'CAR Stock'!H83</f>
        <v>0</v>
      </c>
      <c r="AO33" s="295">
        <f>'CAR Passenger Kilometres'!I33*'CAR Stock'!I83</f>
        <v>0</v>
      </c>
      <c r="AP33" s="295">
        <f>'CAR Passenger Kilometres'!J33*'CAR Stock'!J83</f>
        <v>0</v>
      </c>
      <c r="AQ33" s="295">
        <f>'CAR Passenger Kilometres'!K33*'CAR Stock'!K83</f>
        <v>0</v>
      </c>
      <c r="AR33" s="295">
        <f>'CAR Passenger Kilometres'!L33*'CAR Stock'!L83</f>
        <v>0</v>
      </c>
      <c r="AS33" s="295">
        <f>'CAR Passenger Kilometres'!M33*'CAR Stock'!M83</f>
        <v>0</v>
      </c>
      <c r="AT33" s="295">
        <f>'CAR Passenger Kilometres'!N33*'CAR Stock'!N83</f>
        <v>0</v>
      </c>
      <c r="AU33" s="295">
        <f>'CAR Passenger Kilometres'!O33*'CAR Stock'!O83</f>
        <v>0</v>
      </c>
      <c r="AV33" s="295">
        <f>'CAR Passenger Kilometres'!P33*'CAR Stock'!P83</f>
        <v>0</v>
      </c>
      <c r="AW33" s="295">
        <f>'CAR Passenger Kilometres'!Q33*'CAR Stock'!Q83</f>
        <v>0</v>
      </c>
      <c r="AX33" s="295">
        <f>'CAR Passenger Kilometres'!R33*'CAR Stock'!R83</f>
        <v>0</v>
      </c>
      <c r="AY33" s="295">
        <f>'CAR Passenger Kilometres'!S33*'CAR Stock'!S83</f>
        <v>0</v>
      </c>
      <c r="AZ33" s="295">
        <f>'CAR Passenger Kilometres'!T33*'CAR Stock'!T83</f>
        <v>0</v>
      </c>
      <c r="BA33" s="295">
        <f>'CAR Passenger Kilometres'!U33*'CAR Stock'!U83</f>
        <v>0</v>
      </c>
      <c r="BB33" s="295">
        <f>'CAR Passenger Kilometres'!V33*'CAR Stock'!V83</f>
        <v>0</v>
      </c>
      <c r="BC33" s="295">
        <f>'CAR Passenger Kilometres'!W33*'CAR Stock'!W83</f>
        <v>0</v>
      </c>
      <c r="BD33" s="295">
        <f>'CAR Passenger Kilometres'!X33*'CAR Stock'!X83</f>
        <v>0</v>
      </c>
      <c r="BE33" s="295">
        <f>'CAR Passenger Kilometres'!Y33*'CAR Stock'!Y83</f>
        <v>0</v>
      </c>
      <c r="BF33" s="295">
        <f>'CAR Passenger Kilometres'!Z33*'CAR Stock'!Z83</f>
        <v>0</v>
      </c>
      <c r="BG33" s="295">
        <f>'CAR Passenger Kilometres'!AA33*'CAR Stock'!AA83</f>
        <v>0</v>
      </c>
      <c r="BH33" s="295">
        <f>'CAR Passenger Kilometres'!AB33*'CAR Stock'!AB83</f>
        <v>0</v>
      </c>
      <c r="BI33" s="295">
        <f>'CAR Passenger Kilometres'!AC33*'CAR Stock'!AC83</f>
        <v>0</v>
      </c>
      <c r="BJ33" s="295">
        <f>'CAR Passenger Kilometres'!AD33*'CAR Stock'!AD83</f>
        <v>0</v>
      </c>
      <c r="BK33" s="296">
        <f>'CAR Passenger Kilometres'!AE33*'CAR Stock'!AE83</f>
        <v>0</v>
      </c>
    </row>
    <row r="34" spans="1:63">
      <c r="A34" s="1711"/>
      <c r="B34" s="116">
        <v>2</v>
      </c>
      <c r="C34" s="294">
        <f>'CAR Mileage'!C55*CAR!$I$58</f>
        <v>24608.341177773669</v>
      </c>
      <c r="D34" s="295">
        <f>'CAR Mileage'!D55*CAR!$I$58</f>
        <v>24608.341177773669</v>
      </c>
      <c r="E34" s="295">
        <f>'CAR Mileage'!E55*CAR!$I$58</f>
        <v>24608.341177773669</v>
      </c>
      <c r="F34" s="295">
        <f>'CAR Mileage'!F55*CAR!$I$58</f>
        <v>24608.341177773669</v>
      </c>
      <c r="G34" s="295">
        <f>'CAR Mileage'!G55*CAR!$I$58</f>
        <v>24608.341177773669</v>
      </c>
      <c r="H34" s="295">
        <f>'CAR Mileage'!H55*CAR!$I$58</f>
        <v>24608.341177773669</v>
      </c>
      <c r="I34" s="295">
        <f>'CAR Mileage'!I55*CAR!$I$58</f>
        <v>24608.341177773669</v>
      </c>
      <c r="J34" s="295">
        <f>'CAR Mileage'!J55*CAR!$I$58</f>
        <v>24608.341177773669</v>
      </c>
      <c r="K34" s="295">
        <f>'CAR Mileage'!K55*CAR!$I$58</f>
        <v>24608.341177773669</v>
      </c>
      <c r="L34" s="295">
        <f>'CAR Mileage'!L55*CAR!$I$58</f>
        <v>24608.341177773669</v>
      </c>
      <c r="M34" s="295">
        <f>'CAR Mileage'!M55*CAR!$I$58</f>
        <v>24608.341177773669</v>
      </c>
      <c r="N34" s="295">
        <f>'CAR Mileage'!N55*CAR!$I$58</f>
        <v>24608.341177773669</v>
      </c>
      <c r="O34" s="295">
        <f>'CAR Mileage'!O55*CAR!$I$58</f>
        <v>24608.341177773669</v>
      </c>
      <c r="P34" s="295">
        <f>'CAR Mileage'!P55*CAR!$I$58</f>
        <v>24608.341177773669</v>
      </c>
      <c r="Q34" s="295">
        <f>'CAR Mileage'!Q55*CAR!$I$58</f>
        <v>24608.341177773669</v>
      </c>
      <c r="R34" s="295">
        <f>'CAR Mileage'!R55*CAR!$I$58</f>
        <v>24608.341177773669</v>
      </c>
      <c r="S34" s="295">
        <f>'CAR Mileage'!S55*CAR!$I$58</f>
        <v>24608.341177773669</v>
      </c>
      <c r="T34" s="295">
        <f>'CAR Mileage'!T55*CAR!$I$58</f>
        <v>24608.341177773669</v>
      </c>
      <c r="U34" s="295">
        <f>'CAR Mileage'!U55*CAR!$I$58</f>
        <v>24608.341177773669</v>
      </c>
      <c r="V34" s="295">
        <f>'CAR Mileage'!V55*CAR!$I$58</f>
        <v>24608.341177773669</v>
      </c>
      <c r="W34" s="295">
        <f>'CAR Mileage'!W55*CAR!$I$58</f>
        <v>24608.341177773669</v>
      </c>
      <c r="X34" s="295">
        <f>'CAR Mileage'!X55*CAR!$I$58</f>
        <v>24608.341177773669</v>
      </c>
      <c r="Y34" s="295">
        <f>'CAR Mileage'!Y55*CAR!$I$58</f>
        <v>24608.341177773669</v>
      </c>
      <c r="Z34" s="295">
        <f>'CAR Mileage'!Z55*CAR!$I$58</f>
        <v>24608.341177773669</v>
      </c>
      <c r="AA34" s="295">
        <f>'CAR Mileage'!AA55*CAR!$I$58</f>
        <v>24608.341177773669</v>
      </c>
      <c r="AB34" s="295">
        <f>'CAR Mileage'!AB55*CAR!$I$58</f>
        <v>24608.341177773669</v>
      </c>
      <c r="AC34" s="295">
        <f>'CAR Mileage'!AC55*CAR!$I$58</f>
        <v>24608.341177773669</v>
      </c>
      <c r="AD34" s="295">
        <f>'CAR Mileage'!AD55*CAR!$I$58</f>
        <v>24608.341177773669</v>
      </c>
      <c r="AE34" s="296">
        <f>'CAR Mileage'!AE55*CAR!$I$58</f>
        <v>24608.341177773669</v>
      </c>
      <c r="AG34" s="1711"/>
      <c r="AH34" s="116">
        <v>2</v>
      </c>
      <c r="AI34" s="294">
        <f>'CAR Passenger Kilometres'!C34*'CAR Stock'!C84</f>
        <v>511139854.6035369</v>
      </c>
      <c r="AJ34" s="295">
        <f>'CAR Passenger Kilometres'!D34*'CAR Stock'!D84</f>
        <v>421171759.25759637</v>
      </c>
      <c r="AK34" s="295">
        <f>'CAR Passenger Kilometres'!E34*'CAR Stock'!E84</f>
        <v>301156879.33359414</v>
      </c>
      <c r="AL34" s="295">
        <f>'CAR Passenger Kilometres'!F34*'CAR Stock'!F84</f>
        <v>0</v>
      </c>
      <c r="AM34" s="295">
        <f>'CAR Passenger Kilometres'!G34*'CAR Stock'!G84</f>
        <v>0</v>
      </c>
      <c r="AN34" s="295">
        <f>'CAR Passenger Kilometres'!H34*'CAR Stock'!H84</f>
        <v>0</v>
      </c>
      <c r="AO34" s="295">
        <f>'CAR Passenger Kilometres'!I34*'CAR Stock'!I84</f>
        <v>0</v>
      </c>
      <c r="AP34" s="295">
        <f>'CAR Passenger Kilometres'!J34*'CAR Stock'!J84</f>
        <v>0</v>
      </c>
      <c r="AQ34" s="295">
        <f>'CAR Passenger Kilometres'!K34*'CAR Stock'!K84</f>
        <v>0</v>
      </c>
      <c r="AR34" s="295">
        <f>'CAR Passenger Kilometres'!L34*'CAR Stock'!L84</f>
        <v>0</v>
      </c>
      <c r="AS34" s="295">
        <f>'CAR Passenger Kilometres'!M34*'CAR Stock'!M84</f>
        <v>0</v>
      </c>
      <c r="AT34" s="295">
        <f>'CAR Passenger Kilometres'!N34*'CAR Stock'!N84</f>
        <v>0</v>
      </c>
      <c r="AU34" s="295">
        <f>'CAR Passenger Kilometres'!O34*'CAR Stock'!O84</f>
        <v>0</v>
      </c>
      <c r="AV34" s="295">
        <f>'CAR Passenger Kilometres'!P34*'CAR Stock'!P84</f>
        <v>0</v>
      </c>
      <c r="AW34" s="295">
        <f>'CAR Passenger Kilometres'!Q34*'CAR Stock'!Q84</f>
        <v>0</v>
      </c>
      <c r="AX34" s="295">
        <f>'CAR Passenger Kilometres'!R34*'CAR Stock'!R84</f>
        <v>0</v>
      </c>
      <c r="AY34" s="295">
        <f>'CAR Passenger Kilometres'!S34*'CAR Stock'!S84</f>
        <v>0</v>
      </c>
      <c r="AZ34" s="295">
        <f>'CAR Passenger Kilometres'!T34*'CAR Stock'!T84</f>
        <v>0</v>
      </c>
      <c r="BA34" s="295">
        <f>'CAR Passenger Kilometres'!U34*'CAR Stock'!U84</f>
        <v>0</v>
      </c>
      <c r="BB34" s="295">
        <f>'CAR Passenger Kilometres'!V34*'CAR Stock'!V84</f>
        <v>0</v>
      </c>
      <c r="BC34" s="295">
        <f>'CAR Passenger Kilometres'!W34*'CAR Stock'!W84</f>
        <v>0</v>
      </c>
      <c r="BD34" s="295">
        <f>'CAR Passenger Kilometres'!X34*'CAR Stock'!X84</f>
        <v>0</v>
      </c>
      <c r="BE34" s="295">
        <f>'CAR Passenger Kilometres'!Y34*'CAR Stock'!Y84</f>
        <v>0</v>
      </c>
      <c r="BF34" s="295">
        <f>'CAR Passenger Kilometres'!Z34*'CAR Stock'!Z84</f>
        <v>0</v>
      </c>
      <c r="BG34" s="295">
        <f>'CAR Passenger Kilometres'!AA34*'CAR Stock'!AA84</f>
        <v>0</v>
      </c>
      <c r="BH34" s="295">
        <f>'CAR Passenger Kilometres'!AB34*'CAR Stock'!AB84</f>
        <v>0</v>
      </c>
      <c r="BI34" s="295">
        <f>'CAR Passenger Kilometres'!AC34*'CAR Stock'!AC84</f>
        <v>0</v>
      </c>
      <c r="BJ34" s="295">
        <f>'CAR Passenger Kilometres'!AD34*'CAR Stock'!AD84</f>
        <v>0</v>
      </c>
      <c r="BK34" s="296">
        <f>'CAR Passenger Kilometres'!AE34*'CAR Stock'!AE84</f>
        <v>0</v>
      </c>
    </row>
    <row r="35" spans="1:63">
      <c r="A35" s="1711"/>
      <c r="B35" s="116">
        <v>3</v>
      </c>
      <c r="C35" s="294">
        <f>'CAR Mileage'!C56*CAR!$I$58</f>
        <v>24116.174354218194</v>
      </c>
      <c r="D35" s="295">
        <f>'CAR Mileage'!D56*CAR!$I$58</f>
        <v>24116.174354218194</v>
      </c>
      <c r="E35" s="295">
        <f>'CAR Mileage'!E56*CAR!$I$58</f>
        <v>24116.174354218194</v>
      </c>
      <c r="F35" s="295">
        <f>'CAR Mileage'!F56*CAR!$I$58</f>
        <v>24116.174354218194</v>
      </c>
      <c r="G35" s="295">
        <f>'CAR Mileage'!G56*CAR!$I$58</f>
        <v>24116.174354218194</v>
      </c>
      <c r="H35" s="295">
        <f>'CAR Mileage'!H56*CAR!$I$58</f>
        <v>24116.174354218194</v>
      </c>
      <c r="I35" s="295">
        <f>'CAR Mileage'!I56*CAR!$I$58</f>
        <v>24116.174354218194</v>
      </c>
      <c r="J35" s="295">
        <f>'CAR Mileage'!J56*CAR!$I$58</f>
        <v>24116.174354218194</v>
      </c>
      <c r="K35" s="295">
        <f>'CAR Mileage'!K56*CAR!$I$58</f>
        <v>24116.174354218194</v>
      </c>
      <c r="L35" s="295">
        <f>'CAR Mileage'!L56*CAR!$I$58</f>
        <v>24116.174354218194</v>
      </c>
      <c r="M35" s="295">
        <f>'CAR Mileage'!M56*CAR!$I$58</f>
        <v>24116.174354218194</v>
      </c>
      <c r="N35" s="295">
        <f>'CAR Mileage'!N56*CAR!$I$58</f>
        <v>24116.174354218194</v>
      </c>
      <c r="O35" s="295">
        <f>'CAR Mileage'!O56*CAR!$I$58</f>
        <v>24116.174354218194</v>
      </c>
      <c r="P35" s="295">
        <f>'CAR Mileage'!P56*CAR!$I$58</f>
        <v>24116.174354218194</v>
      </c>
      <c r="Q35" s="295">
        <f>'CAR Mileage'!Q56*CAR!$I$58</f>
        <v>24116.174354218194</v>
      </c>
      <c r="R35" s="295">
        <f>'CAR Mileage'!R56*CAR!$I$58</f>
        <v>24116.174354218194</v>
      </c>
      <c r="S35" s="295">
        <f>'CAR Mileage'!S56*CAR!$I$58</f>
        <v>24116.174354218194</v>
      </c>
      <c r="T35" s="295">
        <f>'CAR Mileage'!T56*CAR!$I$58</f>
        <v>24116.174354218194</v>
      </c>
      <c r="U35" s="295">
        <f>'CAR Mileage'!U56*CAR!$I$58</f>
        <v>24116.174354218194</v>
      </c>
      <c r="V35" s="295">
        <f>'CAR Mileage'!V56*CAR!$I$58</f>
        <v>24116.174354218194</v>
      </c>
      <c r="W35" s="295">
        <f>'CAR Mileage'!W56*CAR!$I$58</f>
        <v>24116.174354218194</v>
      </c>
      <c r="X35" s="295">
        <f>'CAR Mileage'!X56*CAR!$I$58</f>
        <v>24116.174354218194</v>
      </c>
      <c r="Y35" s="295">
        <f>'CAR Mileage'!Y56*CAR!$I$58</f>
        <v>24116.174354218194</v>
      </c>
      <c r="Z35" s="295">
        <f>'CAR Mileage'!Z56*CAR!$I$58</f>
        <v>24116.174354218194</v>
      </c>
      <c r="AA35" s="295">
        <f>'CAR Mileage'!AA56*CAR!$I$58</f>
        <v>24116.174354218194</v>
      </c>
      <c r="AB35" s="295">
        <f>'CAR Mileage'!AB56*CAR!$I$58</f>
        <v>24116.174354218194</v>
      </c>
      <c r="AC35" s="295">
        <f>'CAR Mileage'!AC56*CAR!$I$58</f>
        <v>24116.174354218194</v>
      </c>
      <c r="AD35" s="295">
        <f>'CAR Mileage'!AD56*CAR!$I$58</f>
        <v>24116.174354218194</v>
      </c>
      <c r="AE35" s="296">
        <f>'CAR Mileage'!AE56*CAR!$I$58</f>
        <v>24116.174354218194</v>
      </c>
      <c r="AG35" s="1711"/>
      <c r="AH35" s="116">
        <v>3</v>
      </c>
      <c r="AI35" s="294">
        <f>'CAR Passenger Kilometres'!C35*'CAR Stock'!C85</f>
        <v>364877717.9793213</v>
      </c>
      <c r="AJ35" s="295">
        <f>'CAR Passenger Kilometres'!D35*'CAR Stock'!D85</f>
        <v>500917057.51146609</v>
      </c>
      <c r="AK35" s="295">
        <f>'CAR Passenger Kilometres'!E35*'CAR Stock'!E85</f>
        <v>412748324.07244438</v>
      </c>
      <c r="AL35" s="295">
        <f>'CAR Passenger Kilometres'!F35*'CAR Stock'!F85</f>
        <v>295133741.74692225</v>
      </c>
      <c r="AM35" s="295">
        <f>'CAR Passenger Kilometres'!G35*'CAR Stock'!G85</f>
        <v>0</v>
      </c>
      <c r="AN35" s="295">
        <f>'CAR Passenger Kilometres'!H35*'CAR Stock'!H85</f>
        <v>0</v>
      </c>
      <c r="AO35" s="295">
        <f>'CAR Passenger Kilometres'!I35*'CAR Stock'!I85</f>
        <v>0</v>
      </c>
      <c r="AP35" s="295">
        <f>'CAR Passenger Kilometres'!J35*'CAR Stock'!J85</f>
        <v>0</v>
      </c>
      <c r="AQ35" s="295">
        <f>'CAR Passenger Kilometres'!K35*'CAR Stock'!K85</f>
        <v>0</v>
      </c>
      <c r="AR35" s="295">
        <f>'CAR Passenger Kilometres'!L35*'CAR Stock'!L85</f>
        <v>0</v>
      </c>
      <c r="AS35" s="295">
        <f>'CAR Passenger Kilometres'!M35*'CAR Stock'!M85</f>
        <v>0</v>
      </c>
      <c r="AT35" s="295">
        <f>'CAR Passenger Kilometres'!N35*'CAR Stock'!N85</f>
        <v>0</v>
      </c>
      <c r="AU35" s="295">
        <f>'CAR Passenger Kilometres'!O35*'CAR Stock'!O85</f>
        <v>0</v>
      </c>
      <c r="AV35" s="295">
        <f>'CAR Passenger Kilometres'!P35*'CAR Stock'!P85</f>
        <v>0</v>
      </c>
      <c r="AW35" s="295">
        <f>'CAR Passenger Kilometres'!Q35*'CAR Stock'!Q85</f>
        <v>0</v>
      </c>
      <c r="AX35" s="295">
        <f>'CAR Passenger Kilometres'!R35*'CAR Stock'!R85</f>
        <v>0</v>
      </c>
      <c r="AY35" s="295">
        <f>'CAR Passenger Kilometres'!S35*'CAR Stock'!S85</f>
        <v>0</v>
      </c>
      <c r="AZ35" s="295">
        <f>'CAR Passenger Kilometres'!T35*'CAR Stock'!T85</f>
        <v>0</v>
      </c>
      <c r="BA35" s="295">
        <f>'CAR Passenger Kilometres'!U35*'CAR Stock'!U85</f>
        <v>0</v>
      </c>
      <c r="BB35" s="295">
        <f>'CAR Passenger Kilometres'!V35*'CAR Stock'!V85</f>
        <v>0</v>
      </c>
      <c r="BC35" s="295">
        <f>'CAR Passenger Kilometres'!W35*'CAR Stock'!W85</f>
        <v>0</v>
      </c>
      <c r="BD35" s="295">
        <f>'CAR Passenger Kilometres'!X35*'CAR Stock'!X85</f>
        <v>0</v>
      </c>
      <c r="BE35" s="295">
        <f>'CAR Passenger Kilometres'!Y35*'CAR Stock'!Y85</f>
        <v>0</v>
      </c>
      <c r="BF35" s="295">
        <f>'CAR Passenger Kilometres'!Z35*'CAR Stock'!Z85</f>
        <v>0</v>
      </c>
      <c r="BG35" s="295">
        <f>'CAR Passenger Kilometres'!AA35*'CAR Stock'!AA85</f>
        <v>0</v>
      </c>
      <c r="BH35" s="295">
        <f>'CAR Passenger Kilometres'!AB35*'CAR Stock'!AB85</f>
        <v>0</v>
      </c>
      <c r="BI35" s="295">
        <f>'CAR Passenger Kilometres'!AC35*'CAR Stock'!AC85</f>
        <v>0</v>
      </c>
      <c r="BJ35" s="295">
        <f>'CAR Passenger Kilometres'!AD35*'CAR Stock'!AD85</f>
        <v>0</v>
      </c>
      <c r="BK35" s="296">
        <f>'CAR Passenger Kilometres'!AE35*'CAR Stock'!AE85</f>
        <v>0</v>
      </c>
    </row>
    <row r="36" spans="1:63">
      <c r="A36" s="1711"/>
      <c r="B36" s="116">
        <v>4</v>
      </c>
      <c r="C36" s="294">
        <f>'CAR Mileage'!C57*CAR!$I$58</f>
        <v>23633.850867133831</v>
      </c>
      <c r="D36" s="295">
        <f>'CAR Mileage'!D57*CAR!$I$58</f>
        <v>23633.850867133831</v>
      </c>
      <c r="E36" s="295">
        <f>'CAR Mileage'!E57*CAR!$I$58</f>
        <v>23633.850867133831</v>
      </c>
      <c r="F36" s="295">
        <f>'CAR Mileage'!F57*CAR!$I$58</f>
        <v>23633.850867133831</v>
      </c>
      <c r="G36" s="295">
        <f>'CAR Mileage'!G57*CAR!$I$58</f>
        <v>23633.850867133831</v>
      </c>
      <c r="H36" s="295">
        <f>'CAR Mileage'!H57*CAR!$I$58</f>
        <v>23633.850867133831</v>
      </c>
      <c r="I36" s="295">
        <f>'CAR Mileage'!I57*CAR!$I$58</f>
        <v>23633.850867133831</v>
      </c>
      <c r="J36" s="295">
        <f>'CAR Mileage'!J57*CAR!$I$58</f>
        <v>23633.850867133831</v>
      </c>
      <c r="K36" s="295">
        <f>'CAR Mileage'!K57*CAR!$I$58</f>
        <v>23633.850867133831</v>
      </c>
      <c r="L36" s="295">
        <f>'CAR Mileage'!L57*CAR!$I$58</f>
        <v>23633.850867133831</v>
      </c>
      <c r="M36" s="295">
        <f>'CAR Mileage'!M57*CAR!$I$58</f>
        <v>23633.850867133831</v>
      </c>
      <c r="N36" s="295">
        <f>'CAR Mileage'!N57*CAR!$I$58</f>
        <v>23633.850867133831</v>
      </c>
      <c r="O36" s="295">
        <f>'CAR Mileage'!O57*CAR!$I$58</f>
        <v>23633.850867133831</v>
      </c>
      <c r="P36" s="295">
        <f>'CAR Mileage'!P57*CAR!$I$58</f>
        <v>23633.850867133831</v>
      </c>
      <c r="Q36" s="295">
        <f>'CAR Mileage'!Q57*CAR!$I$58</f>
        <v>23633.850867133831</v>
      </c>
      <c r="R36" s="295">
        <f>'CAR Mileage'!R57*CAR!$I$58</f>
        <v>23633.850867133831</v>
      </c>
      <c r="S36" s="295">
        <f>'CAR Mileage'!S57*CAR!$I$58</f>
        <v>23633.850867133831</v>
      </c>
      <c r="T36" s="295">
        <f>'CAR Mileage'!T57*CAR!$I$58</f>
        <v>23633.850867133831</v>
      </c>
      <c r="U36" s="295">
        <f>'CAR Mileage'!U57*CAR!$I$58</f>
        <v>23633.850867133831</v>
      </c>
      <c r="V36" s="295">
        <f>'CAR Mileage'!V57*CAR!$I$58</f>
        <v>23633.850867133831</v>
      </c>
      <c r="W36" s="295">
        <f>'CAR Mileage'!W57*CAR!$I$58</f>
        <v>23633.850867133831</v>
      </c>
      <c r="X36" s="295">
        <f>'CAR Mileage'!X57*CAR!$I$58</f>
        <v>23633.850867133831</v>
      </c>
      <c r="Y36" s="295">
        <f>'CAR Mileage'!Y57*CAR!$I$58</f>
        <v>23633.850867133831</v>
      </c>
      <c r="Z36" s="295">
        <f>'CAR Mileage'!Z57*CAR!$I$58</f>
        <v>23633.850867133831</v>
      </c>
      <c r="AA36" s="295">
        <f>'CAR Mileage'!AA57*CAR!$I$58</f>
        <v>23633.850867133831</v>
      </c>
      <c r="AB36" s="295">
        <f>'CAR Mileage'!AB57*CAR!$I$58</f>
        <v>23633.850867133831</v>
      </c>
      <c r="AC36" s="295">
        <f>'CAR Mileage'!AC57*CAR!$I$58</f>
        <v>23633.850867133831</v>
      </c>
      <c r="AD36" s="295">
        <f>'CAR Mileage'!AD57*CAR!$I$58</f>
        <v>23633.850867133831</v>
      </c>
      <c r="AE36" s="296">
        <f>'CAR Mileage'!AE57*CAR!$I$58</f>
        <v>23633.850867133831</v>
      </c>
      <c r="AG36" s="1711"/>
      <c r="AH36" s="116">
        <v>4</v>
      </c>
      <c r="AI36" s="294">
        <f>'CAR Passenger Kilometres'!C36*'CAR Stock'!C86</f>
        <v>1221444680.5152106</v>
      </c>
      <c r="AJ36" s="295">
        <f>'CAR Passenger Kilometres'!D36*'CAR Stock'!D86</f>
        <v>357580163.61973488</v>
      </c>
      <c r="AK36" s="295">
        <f>'CAR Passenger Kilometres'!E36*'CAR Stock'!E86</f>
        <v>490898716.36123681</v>
      </c>
      <c r="AL36" s="295">
        <f>'CAR Passenger Kilometres'!F36*'CAR Stock'!F86</f>
        <v>404493357.59099555</v>
      </c>
      <c r="AM36" s="295">
        <f>'CAR Passenger Kilometres'!G36*'CAR Stock'!G86</f>
        <v>289231066.91198385</v>
      </c>
      <c r="AN36" s="295">
        <f>'CAR Passenger Kilometres'!H36*'CAR Stock'!H86</f>
        <v>0</v>
      </c>
      <c r="AO36" s="295">
        <f>'CAR Passenger Kilometres'!I36*'CAR Stock'!I86</f>
        <v>0</v>
      </c>
      <c r="AP36" s="295">
        <f>'CAR Passenger Kilometres'!J36*'CAR Stock'!J86</f>
        <v>0</v>
      </c>
      <c r="AQ36" s="295">
        <f>'CAR Passenger Kilometres'!K36*'CAR Stock'!K86</f>
        <v>0</v>
      </c>
      <c r="AR36" s="295">
        <f>'CAR Passenger Kilometres'!L36*'CAR Stock'!L86</f>
        <v>0</v>
      </c>
      <c r="AS36" s="295">
        <f>'CAR Passenger Kilometres'!M36*'CAR Stock'!M86</f>
        <v>0</v>
      </c>
      <c r="AT36" s="295">
        <f>'CAR Passenger Kilometres'!N36*'CAR Stock'!N86</f>
        <v>0</v>
      </c>
      <c r="AU36" s="295">
        <f>'CAR Passenger Kilometres'!O36*'CAR Stock'!O86</f>
        <v>0</v>
      </c>
      <c r="AV36" s="295">
        <f>'CAR Passenger Kilometres'!P36*'CAR Stock'!P86</f>
        <v>0</v>
      </c>
      <c r="AW36" s="295">
        <f>'CAR Passenger Kilometres'!Q36*'CAR Stock'!Q86</f>
        <v>0</v>
      </c>
      <c r="AX36" s="295">
        <f>'CAR Passenger Kilometres'!R36*'CAR Stock'!R86</f>
        <v>0</v>
      </c>
      <c r="AY36" s="295">
        <f>'CAR Passenger Kilometres'!S36*'CAR Stock'!S86</f>
        <v>0</v>
      </c>
      <c r="AZ36" s="295">
        <f>'CAR Passenger Kilometres'!T36*'CAR Stock'!T86</f>
        <v>0</v>
      </c>
      <c r="BA36" s="295">
        <f>'CAR Passenger Kilometres'!U36*'CAR Stock'!U86</f>
        <v>0</v>
      </c>
      <c r="BB36" s="295">
        <f>'CAR Passenger Kilometres'!V36*'CAR Stock'!V86</f>
        <v>0</v>
      </c>
      <c r="BC36" s="295">
        <f>'CAR Passenger Kilometres'!W36*'CAR Stock'!W86</f>
        <v>0</v>
      </c>
      <c r="BD36" s="295">
        <f>'CAR Passenger Kilometres'!X36*'CAR Stock'!X86</f>
        <v>0</v>
      </c>
      <c r="BE36" s="295">
        <f>'CAR Passenger Kilometres'!Y36*'CAR Stock'!Y86</f>
        <v>0</v>
      </c>
      <c r="BF36" s="295">
        <f>'CAR Passenger Kilometres'!Z36*'CAR Stock'!Z86</f>
        <v>0</v>
      </c>
      <c r="BG36" s="295">
        <f>'CAR Passenger Kilometres'!AA36*'CAR Stock'!AA86</f>
        <v>0</v>
      </c>
      <c r="BH36" s="295">
        <f>'CAR Passenger Kilometres'!AB36*'CAR Stock'!AB86</f>
        <v>0</v>
      </c>
      <c r="BI36" s="295">
        <f>'CAR Passenger Kilometres'!AC36*'CAR Stock'!AC86</f>
        <v>0</v>
      </c>
      <c r="BJ36" s="295">
        <f>'CAR Passenger Kilometres'!AD36*'CAR Stock'!AD86</f>
        <v>0</v>
      </c>
      <c r="BK36" s="296">
        <f>'CAR Passenger Kilometres'!AE36*'CAR Stock'!AE86</f>
        <v>0</v>
      </c>
    </row>
    <row r="37" spans="1:63">
      <c r="A37" s="1711"/>
      <c r="B37" s="116">
        <v>5</v>
      </c>
      <c r="C37" s="294">
        <f>'CAR Mileage'!C58*CAR!$I$58</f>
        <v>23161.173849791154</v>
      </c>
      <c r="D37" s="295">
        <f>'CAR Mileage'!D58*CAR!$I$58</f>
        <v>23161.173849791154</v>
      </c>
      <c r="E37" s="295">
        <f>'CAR Mileage'!E58*CAR!$I$58</f>
        <v>23161.173849791154</v>
      </c>
      <c r="F37" s="295">
        <f>'CAR Mileage'!F58*CAR!$I$58</f>
        <v>23161.173849791154</v>
      </c>
      <c r="G37" s="295">
        <f>'CAR Mileage'!G58*CAR!$I$58</f>
        <v>23161.173849791154</v>
      </c>
      <c r="H37" s="295">
        <f>'CAR Mileage'!H58*CAR!$I$58</f>
        <v>23161.173849791154</v>
      </c>
      <c r="I37" s="295">
        <f>'CAR Mileage'!I58*CAR!$I$58</f>
        <v>23161.173849791154</v>
      </c>
      <c r="J37" s="295">
        <f>'CAR Mileage'!J58*CAR!$I$58</f>
        <v>23161.173849791154</v>
      </c>
      <c r="K37" s="295">
        <f>'CAR Mileage'!K58*CAR!$I$58</f>
        <v>23161.173849791154</v>
      </c>
      <c r="L37" s="295">
        <f>'CAR Mileage'!L58*CAR!$I$58</f>
        <v>23161.173849791154</v>
      </c>
      <c r="M37" s="295">
        <f>'CAR Mileage'!M58*CAR!$I$58</f>
        <v>23161.173849791154</v>
      </c>
      <c r="N37" s="295">
        <f>'CAR Mileage'!N58*CAR!$I$58</f>
        <v>23161.173849791154</v>
      </c>
      <c r="O37" s="295">
        <f>'CAR Mileage'!O58*CAR!$I$58</f>
        <v>23161.173849791154</v>
      </c>
      <c r="P37" s="295">
        <f>'CAR Mileage'!P58*CAR!$I$58</f>
        <v>23161.173849791154</v>
      </c>
      <c r="Q37" s="295">
        <f>'CAR Mileage'!Q58*CAR!$I$58</f>
        <v>23161.173849791154</v>
      </c>
      <c r="R37" s="295">
        <f>'CAR Mileage'!R58*CAR!$I$58</f>
        <v>23161.173849791154</v>
      </c>
      <c r="S37" s="295">
        <f>'CAR Mileage'!S58*CAR!$I$58</f>
        <v>23161.173849791154</v>
      </c>
      <c r="T37" s="295">
        <f>'CAR Mileage'!T58*CAR!$I$58</f>
        <v>23161.173849791154</v>
      </c>
      <c r="U37" s="295">
        <f>'CAR Mileage'!U58*CAR!$I$58</f>
        <v>23161.173849791154</v>
      </c>
      <c r="V37" s="295">
        <f>'CAR Mileage'!V58*CAR!$I$58</f>
        <v>23161.173849791154</v>
      </c>
      <c r="W37" s="295">
        <f>'CAR Mileage'!W58*CAR!$I$58</f>
        <v>23161.173849791154</v>
      </c>
      <c r="X37" s="295">
        <f>'CAR Mileage'!X58*CAR!$I$58</f>
        <v>23161.173849791154</v>
      </c>
      <c r="Y37" s="295">
        <f>'CAR Mileage'!Y58*CAR!$I$58</f>
        <v>23161.173849791154</v>
      </c>
      <c r="Z37" s="295">
        <f>'CAR Mileage'!Z58*CAR!$I$58</f>
        <v>23161.173849791154</v>
      </c>
      <c r="AA37" s="295">
        <f>'CAR Mileage'!AA58*CAR!$I$58</f>
        <v>23161.173849791154</v>
      </c>
      <c r="AB37" s="295">
        <f>'CAR Mileage'!AB58*CAR!$I$58</f>
        <v>23161.173849791154</v>
      </c>
      <c r="AC37" s="295">
        <f>'CAR Mileage'!AC58*CAR!$I$58</f>
        <v>23161.173849791154</v>
      </c>
      <c r="AD37" s="295">
        <f>'CAR Mileage'!AD58*CAR!$I$58</f>
        <v>23161.173849791154</v>
      </c>
      <c r="AE37" s="296">
        <f>'CAR Mileage'!AE58*CAR!$I$58</f>
        <v>23161.173849791154</v>
      </c>
      <c r="AG37" s="1711"/>
      <c r="AH37" s="116">
        <v>5</v>
      </c>
      <c r="AI37" s="294">
        <f>'CAR Passenger Kilometres'!C37*'CAR Stock'!C87</f>
        <v>1553697864.1916902</v>
      </c>
      <c r="AJ37" s="295">
        <f>'CAR Passenger Kilometres'!D37*'CAR Stock'!D87</f>
        <v>1197015786.9049065</v>
      </c>
      <c r="AK37" s="295">
        <f>'CAR Passenger Kilometres'!E37*'CAR Stock'!E87</f>
        <v>350428560.34734017</v>
      </c>
      <c r="AL37" s="295">
        <f>'CAR Passenger Kilometres'!F37*'CAR Stock'!F87</f>
        <v>481080742.03401208</v>
      </c>
      <c r="AM37" s="295">
        <f>'CAR Passenger Kilometres'!G37*'CAR Stock'!G87</f>
        <v>396403490.43917561</v>
      </c>
      <c r="AN37" s="295">
        <f>'CAR Passenger Kilometres'!H37*'CAR Stock'!H87</f>
        <v>283446445.57374412</v>
      </c>
      <c r="AO37" s="295">
        <f>'CAR Passenger Kilometres'!I37*'CAR Stock'!I87</f>
        <v>0</v>
      </c>
      <c r="AP37" s="295">
        <f>'CAR Passenger Kilometres'!J37*'CAR Stock'!J87</f>
        <v>0</v>
      </c>
      <c r="AQ37" s="295">
        <f>'CAR Passenger Kilometres'!K37*'CAR Stock'!K87</f>
        <v>0</v>
      </c>
      <c r="AR37" s="295">
        <f>'CAR Passenger Kilometres'!L37*'CAR Stock'!L87</f>
        <v>0</v>
      </c>
      <c r="AS37" s="295">
        <f>'CAR Passenger Kilometres'!M37*'CAR Stock'!M87</f>
        <v>0</v>
      </c>
      <c r="AT37" s="295">
        <f>'CAR Passenger Kilometres'!N37*'CAR Stock'!N87</f>
        <v>0</v>
      </c>
      <c r="AU37" s="295">
        <f>'CAR Passenger Kilometres'!O37*'CAR Stock'!O87</f>
        <v>0</v>
      </c>
      <c r="AV37" s="295">
        <f>'CAR Passenger Kilometres'!P37*'CAR Stock'!P87</f>
        <v>0</v>
      </c>
      <c r="AW37" s="295">
        <f>'CAR Passenger Kilometres'!Q37*'CAR Stock'!Q87</f>
        <v>0</v>
      </c>
      <c r="AX37" s="295">
        <f>'CAR Passenger Kilometres'!R37*'CAR Stock'!R87</f>
        <v>0</v>
      </c>
      <c r="AY37" s="295">
        <f>'CAR Passenger Kilometres'!S37*'CAR Stock'!S87</f>
        <v>0</v>
      </c>
      <c r="AZ37" s="295">
        <f>'CAR Passenger Kilometres'!T37*'CAR Stock'!T87</f>
        <v>0</v>
      </c>
      <c r="BA37" s="295">
        <f>'CAR Passenger Kilometres'!U37*'CAR Stock'!U87</f>
        <v>0</v>
      </c>
      <c r="BB37" s="295">
        <f>'CAR Passenger Kilometres'!V37*'CAR Stock'!V87</f>
        <v>0</v>
      </c>
      <c r="BC37" s="295">
        <f>'CAR Passenger Kilometres'!W37*'CAR Stock'!W87</f>
        <v>0</v>
      </c>
      <c r="BD37" s="295">
        <f>'CAR Passenger Kilometres'!X37*'CAR Stock'!X87</f>
        <v>0</v>
      </c>
      <c r="BE37" s="295">
        <f>'CAR Passenger Kilometres'!Y37*'CAR Stock'!Y87</f>
        <v>0</v>
      </c>
      <c r="BF37" s="295">
        <f>'CAR Passenger Kilometres'!Z37*'CAR Stock'!Z87</f>
        <v>0</v>
      </c>
      <c r="BG37" s="295">
        <f>'CAR Passenger Kilometres'!AA37*'CAR Stock'!AA87</f>
        <v>0</v>
      </c>
      <c r="BH37" s="295">
        <f>'CAR Passenger Kilometres'!AB37*'CAR Stock'!AB87</f>
        <v>0</v>
      </c>
      <c r="BI37" s="295">
        <f>'CAR Passenger Kilometres'!AC37*'CAR Stock'!AC87</f>
        <v>0</v>
      </c>
      <c r="BJ37" s="295">
        <f>'CAR Passenger Kilometres'!AD37*'CAR Stock'!AD87</f>
        <v>0</v>
      </c>
      <c r="BK37" s="296">
        <f>'CAR Passenger Kilometres'!AE37*'CAR Stock'!AE87</f>
        <v>0</v>
      </c>
    </row>
    <row r="38" spans="1:63">
      <c r="A38" s="1711"/>
      <c r="B38" s="116">
        <v>6</v>
      </c>
      <c r="C38" s="294">
        <f>'CAR Mileage'!C59*CAR!$I$58</f>
        <v>22697.950372795331</v>
      </c>
      <c r="D38" s="295">
        <f>'CAR Mileage'!D59*CAR!$I$58</f>
        <v>22697.950372795331</v>
      </c>
      <c r="E38" s="295">
        <f>'CAR Mileage'!E59*CAR!$I$58</f>
        <v>22697.950372795331</v>
      </c>
      <c r="F38" s="295">
        <f>'CAR Mileage'!F59*CAR!$I$58</f>
        <v>22697.950372795331</v>
      </c>
      <c r="G38" s="295">
        <f>'CAR Mileage'!G59*CAR!$I$58</f>
        <v>22697.950372795331</v>
      </c>
      <c r="H38" s="295">
        <f>'CAR Mileage'!H59*CAR!$I$58</f>
        <v>22697.950372795331</v>
      </c>
      <c r="I38" s="295">
        <f>'CAR Mileage'!I59*CAR!$I$58</f>
        <v>22697.950372795331</v>
      </c>
      <c r="J38" s="295">
        <f>'CAR Mileage'!J59*CAR!$I$58</f>
        <v>22697.950372795331</v>
      </c>
      <c r="K38" s="295">
        <f>'CAR Mileage'!K59*CAR!$I$58</f>
        <v>22697.950372795331</v>
      </c>
      <c r="L38" s="295">
        <f>'CAR Mileage'!L59*CAR!$I$58</f>
        <v>22697.950372795331</v>
      </c>
      <c r="M38" s="295">
        <f>'CAR Mileage'!M59*CAR!$I$58</f>
        <v>22697.950372795331</v>
      </c>
      <c r="N38" s="295">
        <f>'CAR Mileage'!N59*CAR!$I$58</f>
        <v>22697.950372795331</v>
      </c>
      <c r="O38" s="295">
        <f>'CAR Mileage'!O59*CAR!$I$58</f>
        <v>22697.950372795331</v>
      </c>
      <c r="P38" s="295">
        <f>'CAR Mileage'!P59*CAR!$I$58</f>
        <v>22697.950372795331</v>
      </c>
      <c r="Q38" s="295">
        <f>'CAR Mileage'!Q59*CAR!$I$58</f>
        <v>22697.950372795331</v>
      </c>
      <c r="R38" s="295">
        <f>'CAR Mileage'!R59*CAR!$I$58</f>
        <v>22697.950372795331</v>
      </c>
      <c r="S38" s="295">
        <f>'CAR Mileage'!S59*CAR!$I$58</f>
        <v>22697.950372795331</v>
      </c>
      <c r="T38" s="295">
        <f>'CAR Mileage'!T59*CAR!$I$58</f>
        <v>22697.950372795331</v>
      </c>
      <c r="U38" s="295">
        <f>'CAR Mileage'!U59*CAR!$I$58</f>
        <v>22697.950372795331</v>
      </c>
      <c r="V38" s="295">
        <f>'CAR Mileage'!V59*CAR!$I$58</f>
        <v>22697.950372795331</v>
      </c>
      <c r="W38" s="295">
        <f>'CAR Mileage'!W59*CAR!$I$58</f>
        <v>22697.950372795331</v>
      </c>
      <c r="X38" s="295">
        <f>'CAR Mileage'!X59*CAR!$I$58</f>
        <v>22697.950372795331</v>
      </c>
      <c r="Y38" s="295">
        <f>'CAR Mileage'!Y59*CAR!$I$58</f>
        <v>22697.950372795331</v>
      </c>
      <c r="Z38" s="295">
        <f>'CAR Mileage'!Z59*CAR!$I$58</f>
        <v>22697.950372795331</v>
      </c>
      <c r="AA38" s="295">
        <f>'CAR Mileage'!AA59*CAR!$I$58</f>
        <v>22697.950372795331</v>
      </c>
      <c r="AB38" s="295">
        <f>'CAR Mileage'!AB59*CAR!$I$58</f>
        <v>22697.950372795331</v>
      </c>
      <c r="AC38" s="295">
        <f>'CAR Mileage'!AC59*CAR!$I$58</f>
        <v>22697.950372795331</v>
      </c>
      <c r="AD38" s="295">
        <f>'CAR Mileage'!AD59*CAR!$I$58</f>
        <v>22697.950372795331</v>
      </c>
      <c r="AE38" s="296">
        <f>'CAR Mileage'!AE59*CAR!$I$58</f>
        <v>22697.950372795331</v>
      </c>
      <c r="AG38" s="1711"/>
      <c r="AH38" s="116">
        <v>6</v>
      </c>
      <c r="AI38" s="294">
        <f>'CAR Passenger Kilometres'!C38*'CAR Stock'!C88</f>
        <v>1470600204.6534095</v>
      </c>
      <c r="AJ38" s="295">
        <f>'CAR Passenger Kilometres'!D38*'CAR Stock'!D88</f>
        <v>1522623906.9078565</v>
      </c>
      <c r="AK38" s="295">
        <f>'CAR Passenger Kilometres'!E38*'CAR Stock'!E88</f>
        <v>1173075471.1668084</v>
      </c>
      <c r="AL38" s="295">
        <f>'CAR Passenger Kilometres'!F38*'CAR Stock'!F88</f>
        <v>343419989.14039338</v>
      </c>
      <c r="AM38" s="295">
        <f>'CAR Passenger Kilometres'!G38*'CAR Stock'!G88</f>
        <v>471459127.19333184</v>
      </c>
      <c r="AN38" s="295">
        <f>'CAR Passenger Kilometres'!H38*'CAR Stock'!H88</f>
        <v>388475420.63039207</v>
      </c>
      <c r="AO38" s="295">
        <f>'CAR Passenger Kilometres'!I38*'CAR Stock'!I88</f>
        <v>277777516.66226923</v>
      </c>
      <c r="AP38" s="295">
        <f>'CAR Passenger Kilometres'!J38*'CAR Stock'!J88</f>
        <v>0</v>
      </c>
      <c r="AQ38" s="295">
        <f>'CAR Passenger Kilometres'!K38*'CAR Stock'!K88</f>
        <v>0</v>
      </c>
      <c r="AR38" s="295">
        <f>'CAR Passenger Kilometres'!L38*'CAR Stock'!L88</f>
        <v>0</v>
      </c>
      <c r="AS38" s="295">
        <f>'CAR Passenger Kilometres'!M38*'CAR Stock'!M88</f>
        <v>0</v>
      </c>
      <c r="AT38" s="295">
        <f>'CAR Passenger Kilometres'!N38*'CAR Stock'!N88</f>
        <v>0</v>
      </c>
      <c r="AU38" s="295">
        <f>'CAR Passenger Kilometres'!O38*'CAR Stock'!O88</f>
        <v>0</v>
      </c>
      <c r="AV38" s="295">
        <f>'CAR Passenger Kilometres'!P38*'CAR Stock'!P88</f>
        <v>0</v>
      </c>
      <c r="AW38" s="295">
        <f>'CAR Passenger Kilometres'!Q38*'CAR Stock'!Q88</f>
        <v>0</v>
      </c>
      <c r="AX38" s="295">
        <f>'CAR Passenger Kilometres'!R38*'CAR Stock'!R88</f>
        <v>0</v>
      </c>
      <c r="AY38" s="295">
        <f>'CAR Passenger Kilometres'!S38*'CAR Stock'!S88</f>
        <v>0</v>
      </c>
      <c r="AZ38" s="295">
        <f>'CAR Passenger Kilometres'!T38*'CAR Stock'!T88</f>
        <v>0</v>
      </c>
      <c r="BA38" s="295">
        <f>'CAR Passenger Kilometres'!U38*'CAR Stock'!U88</f>
        <v>0</v>
      </c>
      <c r="BB38" s="295">
        <f>'CAR Passenger Kilometres'!V38*'CAR Stock'!V88</f>
        <v>0</v>
      </c>
      <c r="BC38" s="295">
        <f>'CAR Passenger Kilometres'!W38*'CAR Stock'!W88</f>
        <v>0</v>
      </c>
      <c r="BD38" s="295">
        <f>'CAR Passenger Kilometres'!X38*'CAR Stock'!X88</f>
        <v>0</v>
      </c>
      <c r="BE38" s="295">
        <f>'CAR Passenger Kilometres'!Y38*'CAR Stock'!Y88</f>
        <v>0</v>
      </c>
      <c r="BF38" s="295">
        <f>'CAR Passenger Kilometres'!Z38*'CAR Stock'!Z88</f>
        <v>0</v>
      </c>
      <c r="BG38" s="295">
        <f>'CAR Passenger Kilometres'!AA38*'CAR Stock'!AA88</f>
        <v>0</v>
      </c>
      <c r="BH38" s="295">
        <f>'CAR Passenger Kilometres'!AB38*'CAR Stock'!AB88</f>
        <v>0</v>
      </c>
      <c r="BI38" s="295">
        <f>'CAR Passenger Kilometres'!AC38*'CAR Stock'!AC88</f>
        <v>0</v>
      </c>
      <c r="BJ38" s="295">
        <f>'CAR Passenger Kilometres'!AD38*'CAR Stock'!AD88</f>
        <v>0</v>
      </c>
      <c r="BK38" s="296">
        <f>'CAR Passenger Kilometres'!AE38*'CAR Stock'!AE88</f>
        <v>0</v>
      </c>
    </row>
    <row r="39" spans="1:63">
      <c r="A39" s="1711"/>
      <c r="B39" s="116">
        <v>7</v>
      </c>
      <c r="C39" s="294">
        <f>'CAR Mileage'!C60*CAR!$I$58</f>
        <v>22243.991365339425</v>
      </c>
      <c r="D39" s="295">
        <f>'CAR Mileage'!D60*CAR!$I$58</f>
        <v>22243.991365339425</v>
      </c>
      <c r="E39" s="295">
        <f>'CAR Mileage'!E60*CAR!$I$58</f>
        <v>22243.991365339425</v>
      </c>
      <c r="F39" s="295">
        <f>'CAR Mileage'!F60*CAR!$I$58</f>
        <v>22243.991365339425</v>
      </c>
      <c r="G39" s="295">
        <f>'CAR Mileage'!G60*CAR!$I$58</f>
        <v>22243.991365339425</v>
      </c>
      <c r="H39" s="295">
        <f>'CAR Mileage'!H60*CAR!$I$58</f>
        <v>22243.991365339425</v>
      </c>
      <c r="I39" s="295">
        <f>'CAR Mileage'!I60*CAR!$I$58</f>
        <v>22243.991365339425</v>
      </c>
      <c r="J39" s="295">
        <f>'CAR Mileage'!J60*CAR!$I$58</f>
        <v>22243.991365339425</v>
      </c>
      <c r="K39" s="295">
        <f>'CAR Mileage'!K60*CAR!$I$58</f>
        <v>22243.991365339425</v>
      </c>
      <c r="L39" s="295">
        <f>'CAR Mileage'!L60*CAR!$I$58</f>
        <v>22243.991365339425</v>
      </c>
      <c r="M39" s="295">
        <f>'CAR Mileage'!M60*CAR!$I$58</f>
        <v>22243.991365339425</v>
      </c>
      <c r="N39" s="295">
        <f>'CAR Mileage'!N60*CAR!$I$58</f>
        <v>22243.991365339425</v>
      </c>
      <c r="O39" s="295">
        <f>'CAR Mileage'!O60*CAR!$I$58</f>
        <v>22243.991365339425</v>
      </c>
      <c r="P39" s="295">
        <f>'CAR Mileage'!P60*CAR!$I$58</f>
        <v>22243.991365339425</v>
      </c>
      <c r="Q39" s="295">
        <f>'CAR Mileage'!Q60*CAR!$I$58</f>
        <v>22243.991365339425</v>
      </c>
      <c r="R39" s="295">
        <f>'CAR Mileage'!R60*CAR!$I$58</f>
        <v>22243.991365339425</v>
      </c>
      <c r="S39" s="295">
        <f>'CAR Mileage'!S60*CAR!$I$58</f>
        <v>22243.991365339425</v>
      </c>
      <c r="T39" s="295">
        <f>'CAR Mileage'!T60*CAR!$I$58</f>
        <v>22243.991365339425</v>
      </c>
      <c r="U39" s="295">
        <f>'CAR Mileage'!U60*CAR!$I$58</f>
        <v>22243.991365339425</v>
      </c>
      <c r="V39" s="295">
        <f>'CAR Mileage'!V60*CAR!$I$58</f>
        <v>22243.991365339425</v>
      </c>
      <c r="W39" s="295">
        <f>'CAR Mileage'!W60*CAR!$I$58</f>
        <v>22243.991365339425</v>
      </c>
      <c r="X39" s="295">
        <f>'CAR Mileage'!X60*CAR!$I$58</f>
        <v>22243.991365339425</v>
      </c>
      <c r="Y39" s="295">
        <f>'CAR Mileage'!Y60*CAR!$I$58</f>
        <v>22243.991365339425</v>
      </c>
      <c r="Z39" s="295">
        <f>'CAR Mileage'!Z60*CAR!$I$58</f>
        <v>22243.991365339425</v>
      </c>
      <c r="AA39" s="295">
        <f>'CAR Mileage'!AA60*CAR!$I$58</f>
        <v>22243.991365339425</v>
      </c>
      <c r="AB39" s="295">
        <f>'CAR Mileage'!AB60*CAR!$I$58</f>
        <v>22243.991365339425</v>
      </c>
      <c r="AC39" s="295">
        <f>'CAR Mileage'!AC60*CAR!$I$58</f>
        <v>22243.991365339425</v>
      </c>
      <c r="AD39" s="295">
        <f>'CAR Mileage'!AD60*CAR!$I$58</f>
        <v>22243.991365339425</v>
      </c>
      <c r="AE39" s="296">
        <f>'CAR Mileage'!AE60*CAR!$I$58</f>
        <v>22243.991365339425</v>
      </c>
      <c r="AG39" s="1711"/>
      <c r="AH39" s="116">
        <v>7</v>
      </c>
      <c r="AI39" s="294">
        <f>'CAR Passenger Kilometres'!C39*'CAR Stock'!C89</f>
        <v>1430333132.7740557</v>
      </c>
      <c r="AJ39" s="295">
        <f>'CAR Passenger Kilometres'!D39*'CAR Stock'!D89</f>
        <v>1441188200.5603414</v>
      </c>
      <c r="AK39" s="295">
        <f>'CAR Passenger Kilometres'!E39*'CAR Stock'!E89</f>
        <v>1492171428.7696993</v>
      </c>
      <c r="AL39" s="295">
        <f>'CAR Passenger Kilometres'!F39*'CAR Stock'!F89</f>
        <v>1149613961.7434721</v>
      </c>
      <c r="AM39" s="295">
        <f>'CAR Passenger Kilometres'!G39*'CAR Stock'!G89</f>
        <v>336551589.35758549</v>
      </c>
      <c r="AN39" s="295">
        <f>'CAR Passenger Kilometres'!H39*'CAR Stock'!H89</f>
        <v>462029944.6494652</v>
      </c>
      <c r="AO39" s="295">
        <f>'CAR Passenger Kilometres'!I39*'CAR Stock'!I89</f>
        <v>380705912.21778429</v>
      </c>
      <c r="AP39" s="295">
        <f>'CAR Passenger Kilometres'!J39*'CAR Stock'!J89</f>
        <v>272221966.3290239</v>
      </c>
      <c r="AQ39" s="295">
        <f>'CAR Passenger Kilometres'!K39*'CAR Stock'!K89</f>
        <v>0</v>
      </c>
      <c r="AR39" s="295">
        <f>'CAR Passenger Kilometres'!L39*'CAR Stock'!L89</f>
        <v>0</v>
      </c>
      <c r="AS39" s="295">
        <f>'CAR Passenger Kilometres'!M39*'CAR Stock'!M89</f>
        <v>0</v>
      </c>
      <c r="AT39" s="295">
        <f>'CAR Passenger Kilometres'!N39*'CAR Stock'!N89</f>
        <v>0</v>
      </c>
      <c r="AU39" s="295">
        <f>'CAR Passenger Kilometres'!O39*'CAR Stock'!O89</f>
        <v>0</v>
      </c>
      <c r="AV39" s="295">
        <f>'CAR Passenger Kilometres'!P39*'CAR Stock'!P89</f>
        <v>0</v>
      </c>
      <c r="AW39" s="295">
        <f>'CAR Passenger Kilometres'!Q39*'CAR Stock'!Q89</f>
        <v>0</v>
      </c>
      <c r="AX39" s="295">
        <f>'CAR Passenger Kilometres'!R39*'CAR Stock'!R89</f>
        <v>0</v>
      </c>
      <c r="AY39" s="295">
        <f>'CAR Passenger Kilometres'!S39*'CAR Stock'!S89</f>
        <v>0</v>
      </c>
      <c r="AZ39" s="295">
        <f>'CAR Passenger Kilometres'!T39*'CAR Stock'!T89</f>
        <v>0</v>
      </c>
      <c r="BA39" s="295">
        <f>'CAR Passenger Kilometres'!U39*'CAR Stock'!U89</f>
        <v>0</v>
      </c>
      <c r="BB39" s="295">
        <f>'CAR Passenger Kilometres'!V39*'CAR Stock'!V89</f>
        <v>0</v>
      </c>
      <c r="BC39" s="295">
        <f>'CAR Passenger Kilometres'!W39*'CAR Stock'!W89</f>
        <v>0</v>
      </c>
      <c r="BD39" s="295">
        <f>'CAR Passenger Kilometres'!X39*'CAR Stock'!X89</f>
        <v>0</v>
      </c>
      <c r="BE39" s="295">
        <f>'CAR Passenger Kilometres'!Y39*'CAR Stock'!Y89</f>
        <v>0</v>
      </c>
      <c r="BF39" s="295">
        <f>'CAR Passenger Kilometres'!Z39*'CAR Stock'!Z89</f>
        <v>0</v>
      </c>
      <c r="BG39" s="295">
        <f>'CAR Passenger Kilometres'!AA39*'CAR Stock'!AA89</f>
        <v>0</v>
      </c>
      <c r="BH39" s="295">
        <f>'CAR Passenger Kilometres'!AB39*'CAR Stock'!AB89</f>
        <v>0</v>
      </c>
      <c r="BI39" s="295">
        <f>'CAR Passenger Kilometres'!AC39*'CAR Stock'!AC89</f>
        <v>0</v>
      </c>
      <c r="BJ39" s="295">
        <f>'CAR Passenger Kilometres'!AD39*'CAR Stock'!AD89</f>
        <v>0</v>
      </c>
      <c r="BK39" s="296">
        <f>'CAR Passenger Kilometres'!AE39*'CAR Stock'!AE89</f>
        <v>0</v>
      </c>
    </row>
    <row r="40" spans="1:63">
      <c r="A40" s="1711"/>
      <c r="B40" s="116">
        <v>8</v>
      </c>
      <c r="C40" s="294">
        <f>'CAR Mileage'!C61*CAR!$I$58</f>
        <v>21799.111538032637</v>
      </c>
      <c r="D40" s="295">
        <f>'CAR Mileage'!D61*CAR!$I$58</f>
        <v>21799.111538032637</v>
      </c>
      <c r="E40" s="295">
        <f>'CAR Mileage'!E61*CAR!$I$58</f>
        <v>21799.111538032637</v>
      </c>
      <c r="F40" s="295">
        <f>'CAR Mileage'!F61*CAR!$I$58</f>
        <v>21799.111538032637</v>
      </c>
      <c r="G40" s="295">
        <f>'CAR Mileage'!G61*CAR!$I$58</f>
        <v>21799.111538032637</v>
      </c>
      <c r="H40" s="295">
        <f>'CAR Mileage'!H61*CAR!$I$58</f>
        <v>21799.111538032637</v>
      </c>
      <c r="I40" s="295">
        <f>'CAR Mileage'!I61*CAR!$I$58</f>
        <v>21799.111538032637</v>
      </c>
      <c r="J40" s="295">
        <f>'CAR Mileage'!J61*CAR!$I$58</f>
        <v>21799.111538032637</v>
      </c>
      <c r="K40" s="295">
        <f>'CAR Mileage'!K61*CAR!$I$58</f>
        <v>21799.111538032637</v>
      </c>
      <c r="L40" s="295">
        <f>'CAR Mileage'!L61*CAR!$I$58</f>
        <v>21799.111538032637</v>
      </c>
      <c r="M40" s="295">
        <f>'CAR Mileage'!M61*CAR!$I$58</f>
        <v>21799.111538032637</v>
      </c>
      <c r="N40" s="295">
        <f>'CAR Mileage'!N61*CAR!$I$58</f>
        <v>21799.111538032637</v>
      </c>
      <c r="O40" s="295">
        <f>'CAR Mileage'!O61*CAR!$I$58</f>
        <v>21799.111538032637</v>
      </c>
      <c r="P40" s="295">
        <f>'CAR Mileage'!P61*CAR!$I$58</f>
        <v>21799.111538032637</v>
      </c>
      <c r="Q40" s="295">
        <f>'CAR Mileage'!Q61*CAR!$I$58</f>
        <v>21799.111538032637</v>
      </c>
      <c r="R40" s="295">
        <f>'CAR Mileage'!R61*CAR!$I$58</f>
        <v>21799.111538032637</v>
      </c>
      <c r="S40" s="295">
        <f>'CAR Mileage'!S61*CAR!$I$58</f>
        <v>21799.111538032637</v>
      </c>
      <c r="T40" s="295">
        <f>'CAR Mileage'!T61*CAR!$I$58</f>
        <v>21799.111538032637</v>
      </c>
      <c r="U40" s="295">
        <f>'CAR Mileage'!U61*CAR!$I$58</f>
        <v>21799.111538032637</v>
      </c>
      <c r="V40" s="295">
        <f>'CAR Mileage'!V61*CAR!$I$58</f>
        <v>21799.111538032637</v>
      </c>
      <c r="W40" s="295">
        <f>'CAR Mileage'!W61*CAR!$I$58</f>
        <v>21799.111538032637</v>
      </c>
      <c r="X40" s="295">
        <f>'CAR Mileage'!X61*CAR!$I$58</f>
        <v>21799.111538032637</v>
      </c>
      <c r="Y40" s="295">
        <f>'CAR Mileage'!Y61*CAR!$I$58</f>
        <v>21799.111538032637</v>
      </c>
      <c r="Z40" s="295">
        <f>'CAR Mileage'!Z61*CAR!$I$58</f>
        <v>21799.111538032637</v>
      </c>
      <c r="AA40" s="295">
        <f>'CAR Mileage'!AA61*CAR!$I$58</f>
        <v>21799.111538032637</v>
      </c>
      <c r="AB40" s="295">
        <f>'CAR Mileage'!AB61*CAR!$I$58</f>
        <v>21799.111538032637</v>
      </c>
      <c r="AC40" s="295">
        <f>'CAR Mileage'!AC61*CAR!$I$58</f>
        <v>21799.111538032637</v>
      </c>
      <c r="AD40" s="295">
        <f>'CAR Mileage'!AD61*CAR!$I$58</f>
        <v>21799.111538032637</v>
      </c>
      <c r="AE40" s="296">
        <f>'CAR Mileage'!AE61*CAR!$I$58</f>
        <v>21799.111538032637</v>
      </c>
      <c r="AG40" s="1711"/>
      <c r="AH40" s="116">
        <v>8</v>
      </c>
      <c r="AI40" s="294">
        <f>'CAR Passenger Kilometres'!C40*'CAR Stock'!C90</f>
        <v>1287651719.4400499</v>
      </c>
      <c r="AJ40" s="295">
        <f>'CAR Passenger Kilometres'!D40*'CAR Stock'!D90</f>
        <v>1381164847.6346953</v>
      </c>
      <c r="AK40" s="295">
        <f>'CAR Passenger Kilometres'!E40*'CAR Stock'!E90</f>
        <v>1391646768.0360162</v>
      </c>
      <c r="AL40" s="295">
        <f>'CAR Passenger Kilometres'!F40*'CAR Stock'!F90</f>
        <v>1440877426.9700885</v>
      </c>
      <c r="AM40" s="295">
        <f>'CAR Passenger Kilometres'!G40*'CAR Stock'!G90</f>
        <v>1110095512.6661119</v>
      </c>
      <c r="AN40" s="295">
        <f>'CAR Passenger Kilometres'!H40*'CAR Stock'!H90</f>
        <v>324982491.13111472</v>
      </c>
      <c r="AO40" s="295">
        <f>'CAR Passenger Kilometres'!I40*'CAR Stock'!I90</f>
        <v>446147476.75375968</v>
      </c>
      <c r="AP40" s="295">
        <f>'CAR Passenger Kilometres'!J40*'CAR Stock'!J90</f>
        <v>367618991.12419224</v>
      </c>
      <c r="AQ40" s="295">
        <f>'CAR Passenger Kilometres'!K40*'CAR Stock'!K90</f>
        <v>262864225.14623809</v>
      </c>
      <c r="AR40" s="295">
        <f>'CAR Passenger Kilometres'!L40*'CAR Stock'!L90</f>
        <v>0</v>
      </c>
      <c r="AS40" s="295">
        <f>'CAR Passenger Kilometres'!M40*'CAR Stock'!M90</f>
        <v>0</v>
      </c>
      <c r="AT40" s="295">
        <f>'CAR Passenger Kilometres'!N40*'CAR Stock'!N90</f>
        <v>0</v>
      </c>
      <c r="AU40" s="295">
        <f>'CAR Passenger Kilometres'!O40*'CAR Stock'!O90</f>
        <v>0</v>
      </c>
      <c r="AV40" s="295">
        <f>'CAR Passenger Kilometres'!P40*'CAR Stock'!P90</f>
        <v>0</v>
      </c>
      <c r="AW40" s="295">
        <f>'CAR Passenger Kilometres'!Q40*'CAR Stock'!Q90</f>
        <v>0</v>
      </c>
      <c r="AX40" s="295">
        <f>'CAR Passenger Kilometres'!R40*'CAR Stock'!R90</f>
        <v>0</v>
      </c>
      <c r="AY40" s="295">
        <f>'CAR Passenger Kilometres'!S40*'CAR Stock'!S90</f>
        <v>0</v>
      </c>
      <c r="AZ40" s="295">
        <f>'CAR Passenger Kilometres'!T40*'CAR Stock'!T90</f>
        <v>0</v>
      </c>
      <c r="BA40" s="295">
        <f>'CAR Passenger Kilometres'!U40*'CAR Stock'!U90</f>
        <v>0</v>
      </c>
      <c r="BB40" s="295">
        <f>'CAR Passenger Kilometres'!V40*'CAR Stock'!V90</f>
        <v>0</v>
      </c>
      <c r="BC40" s="295">
        <f>'CAR Passenger Kilometres'!W40*'CAR Stock'!W90</f>
        <v>0</v>
      </c>
      <c r="BD40" s="295">
        <f>'CAR Passenger Kilometres'!X40*'CAR Stock'!X90</f>
        <v>0</v>
      </c>
      <c r="BE40" s="295">
        <f>'CAR Passenger Kilometres'!Y40*'CAR Stock'!Y90</f>
        <v>0</v>
      </c>
      <c r="BF40" s="295">
        <f>'CAR Passenger Kilometres'!Z40*'CAR Stock'!Z90</f>
        <v>0</v>
      </c>
      <c r="BG40" s="295">
        <f>'CAR Passenger Kilometres'!AA40*'CAR Stock'!AA90</f>
        <v>0</v>
      </c>
      <c r="BH40" s="295">
        <f>'CAR Passenger Kilometres'!AB40*'CAR Stock'!AB90</f>
        <v>0</v>
      </c>
      <c r="BI40" s="295">
        <f>'CAR Passenger Kilometres'!AC40*'CAR Stock'!AC90</f>
        <v>0</v>
      </c>
      <c r="BJ40" s="295">
        <f>'CAR Passenger Kilometres'!AD40*'CAR Stock'!AD90</f>
        <v>0</v>
      </c>
      <c r="BK40" s="296">
        <f>'CAR Passenger Kilometres'!AE40*'CAR Stock'!AE90</f>
        <v>0</v>
      </c>
    </row>
    <row r="41" spans="1:63">
      <c r="A41" s="1711"/>
      <c r="B41" s="116">
        <v>9</v>
      </c>
      <c r="C41" s="294">
        <f>'CAR Mileage'!C62*CAR!$I$58</f>
        <v>21363.129307271982</v>
      </c>
      <c r="D41" s="295">
        <f>'CAR Mileage'!D62*CAR!$I$58</f>
        <v>21363.129307271982</v>
      </c>
      <c r="E41" s="295">
        <f>'CAR Mileage'!E62*CAR!$I$58</f>
        <v>21363.129307271982</v>
      </c>
      <c r="F41" s="295">
        <f>'CAR Mileage'!F62*CAR!$I$58</f>
        <v>21363.129307271982</v>
      </c>
      <c r="G41" s="295">
        <f>'CAR Mileage'!G62*CAR!$I$58</f>
        <v>21363.129307271982</v>
      </c>
      <c r="H41" s="295">
        <f>'CAR Mileage'!H62*CAR!$I$58</f>
        <v>21363.129307271982</v>
      </c>
      <c r="I41" s="295">
        <f>'CAR Mileage'!I62*CAR!$I$58</f>
        <v>21363.129307271982</v>
      </c>
      <c r="J41" s="295">
        <f>'CAR Mileage'!J62*CAR!$I$58</f>
        <v>21363.129307271982</v>
      </c>
      <c r="K41" s="295">
        <f>'CAR Mileage'!K62*CAR!$I$58</f>
        <v>21363.129307271982</v>
      </c>
      <c r="L41" s="295">
        <f>'CAR Mileage'!L62*CAR!$I$58</f>
        <v>21363.129307271982</v>
      </c>
      <c r="M41" s="295">
        <f>'CAR Mileage'!M62*CAR!$I$58</f>
        <v>21363.129307271982</v>
      </c>
      <c r="N41" s="295">
        <f>'CAR Mileage'!N62*CAR!$I$58</f>
        <v>21363.129307271982</v>
      </c>
      <c r="O41" s="295">
        <f>'CAR Mileage'!O62*CAR!$I$58</f>
        <v>21363.129307271982</v>
      </c>
      <c r="P41" s="295">
        <f>'CAR Mileage'!P62*CAR!$I$58</f>
        <v>21363.129307271982</v>
      </c>
      <c r="Q41" s="295">
        <f>'CAR Mileage'!Q62*CAR!$I$58</f>
        <v>21363.129307271982</v>
      </c>
      <c r="R41" s="295">
        <f>'CAR Mileage'!R62*CAR!$I$58</f>
        <v>21363.129307271982</v>
      </c>
      <c r="S41" s="295">
        <f>'CAR Mileage'!S62*CAR!$I$58</f>
        <v>21363.129307271982</v>
      </c>
      <c r="T41" s="295">
        <f>'CAR Mileage'!T62*CAR!$I$58</f>
        <v>21363.129307271982</v>
      </c>
      <c r="U41" s="295">
        <f>'CAR Mileage'!U62*CAR!$I$58</f>
        <v>21363.129307271982</v>
      </c>
      <c r="V41" s="295">
        <f>'CAR Mileage'!V62*CAR!$I$58</f>
        <v>21363.129307271982</v>
      </c>
      <c r="W41" s="295">
        <f>'CAR Mileage'!W62*CAR!$I$58</f>
        <v>21363.129307271982</v>
      </c>
      <c r="X41" s="295">
        <f>'CAR Mileage'!X62*CAR!$I$58</f>
        <v>21363.129307271982</v>
      </c>
      <c r="Y41" s="295">
        <f>'CAR Mileage'!Y62*CAR!$I$58</f>
        <v>21363.129307271982</v>
      </c>
      <c r="Z41" s="295">
        <f>'CAR Mileage'!Z62*CAR!$I$58</f>
        <v>21363.129307271982</v>
      </c>
      <c r="AA41" s="295">
        <f>'CAR Mileage'!AA62*CAR!$I$58</f>
        <v>21363.129307271982</v>
      </c>
      <c r="AB41" s="295">
        <f>'CAR Mileage'!AB62*CAR!$I$58</f>
        <v>21363.129307271982</v>
      </c>
      <c r="AC41" s="295">
        <f>'CAR Mileage'!AC62*CAR!$I$58</f>
        <v>21363.129307271982</v>
      </c>
      <c r="AD41" s="295">
        <f>'CAR Mileage'!AD62*CAR!$I$58</f>
        <v>21363.129307271982</v>
      </c>
      <c r="AE41" s="296">
        <f>'CAR Mileage'!AE62*CAR!$I$58</f>
        <v>21363.129307271982</v>
      </c>
      <c r="AG41" s="1711"/>
      <c r="AH41" s="116">
        <v>9</v>
      </c>
      <c r="AI41" s="294">
        <f>'CAR Passenger Kilometres'!C41*'CAR Stock'!C91</f>
        <v>1221928270.1173427</v>
      </c>
      <c r="AJ41" s="295">
        <f>'CAR Passenger Kilometres'!D41*'CAR Stock'!D91</f>
        <v>1179323606.7489519</v>
      </c>
      <c r="AK41" s="295">
        <f>'CAR Passenger Kilometres'!E41*'CAR Stock'!E91</f>
        <v>1264969622.6365738</v>
      </c>
      <c r="AL41" s="295">
        <f>'CAR Passenger Kilometres'!F41*'CAR Stock'!F91</f>
        <v>1274569715.5706451</v>
      </c>
      <c r="AM41" s="295">
        <f>'CAR Passenger Kilometres'!G41*'CAR Stock'!G91</f>
        <v>1319658676.6462419</v>
      </c>
      <c r="AN41" s="295">
        <f>'CAR Passenger Kilometres'!H41*'CAR Stock'!H91</f>
        <v>1016704924.2185844</v>
      </c>
      <c r="AO41" s="295">
        <f>'CAR Passenger Kilometres'!I41*'CAR Stock'!I91</f>
        <v>297642225.59938043</v>
      </c>
      <c r="AP41" s="295">
        <f>'CAR Passenger Kilometres'!J41*'CAR Stock'!J91</f>
        <v>408613791.66719973</v>
      </c>
      <c r="AQ41" s="295">
        <f>'CAR Passenger Kilometres'!K41*'CAR Stock'!K91</f>
        <v>336691783.94801033</v>
      </c>
      <c r="AR41" s="295">
        <f>'CAR Passenger Kilometres'!L41*'CAR Stock'!L91</f>
        <v>240749871.57205671</v>
      </c>
      <c r="AS41" s="295">
        <f>'CAR Passenger Kilometres'!M41*'CAR Stock'!M91</f>
        <v>0</v>
      </c>
      <c r="AT41" s="295">
        <f>'CAR Passenger Kilometres'!N41*'CAR Stock'!N91</f>
        <v>0</v>
      </c>
      <c r="AU41" s="295">
        <f>'CAR Passenger Kilometres'!O41*'CAR Stock'!O91</f>
        <v>0</v>
      </c>
      <c r="AV41" s="295">
        <f>'CAR Passenger Kilometres'!P41*'CAR Stock'!P91</f>
        <v>0</v>
      </c>
      <c r="AW41" s="295">
        <f>'CAR Passenger Kilometres'!Q41*'CAR Stock'!Q91</f>
        <v>0</v>
      </c>
      <c r="AX41" s="295">
        <f>'CAR Passenger Kilometres'!R41*'CAR Stock'!R91</f>
        <v>0</v>
      </c>
      <c r="AY41" s="295">
        <f>'CAR Passenger Kilometres'!S41*'CAR Stock'!S91</f>
        <v>0</v>
      </c>
      <c r="AZ41" s="295">
        <f>'CAR Passenger Kilometres'!T41*'CAR Stock'!T91</f>
        <v>0</v>
      </c>
      <c r="BA41" s="295">
        <f>'CAR Passenger Kilometres'!U41*'CAR Stock'!U91</f>
        <v>0</v>
      </c>
      <c r="BB41" s="295">
        <f>'CAR Passenger Kilometres'!V41*'CAR Stock'!V91</f>
        <v>0</v>
      </c>
      <c r="BC41" s="295">
        <f>'CAR Passenger Kilometres'!W41*'CAR Stock'!W91</f>
        <v>0</v>
      </c>
      <c r="BD41" s="295">
        <f>'CAR Passenger Kilometres'!X41*'CAR Stock'!X91</f>
        <v>0</v>
      </c>
      <c r="BE41" s="295">
        <f>'CAR Passenger Kilometres'!Y41*'CAR Stock'!Y91</f>
        <v>0</v>
      </c>
      <c r="BF41" s="295">
        <f>'CAR Passenger Kilometres'!Z41*'CAR Stock'!Z91</f>
        <v>0</v>
      </c>
      <c r="BG41" s="295">
        <f>'CAR Passenger Kilometres'!AA41*'CAR Stock'!AA91</f>
        <v>0</v>
      </c>
      <c r="BH41" s="295">
        <f>'CAR Passenger Kilometres'!AB41*'CAR Stock'!AB91</f>
        <v>0</v>
      </c>
      <c r="BI41" s="295">
        <f>'CAR Passenger Kilometres'!AC41*'CAR Stock'!AC91</f>
        <v>0</v>
      </c>
      <c r="BJ41" s="295">
        <f>'CAR Passenger Kilometres'!AD41*'CAR Stock'!AD91</f>
        <v>0</v>
      </c>
      <c r="BK41" s="296">
        <f>'CAR Passenger Kilometres'!AE41*'CAR Stock'!AE91</f>
        <v>0</v>
      </c>
    </row>
    <row r="42" spans="1:63">
      <c r="A42" s="1711"/>
      <c r="B42" s="116">
        <v>10</v>
      </c>
      <c r="C42" s="294">
        <f>'CAR Mileage'!C63*CAR!$I$58</f>
        <v>20935.866721126542</v>
      </c>
      <c r="D42" s="295">
        <f>'CAR Mileage'!D63*CAR!$I$58</f>
        <v>20935.866721126542</v>
      </c>
      <c r="E42" s="295">
        <f>'CAR Mileage'!E63*CAR!$I$58</f>
        <v>20935.866721126542</v>
      </c>
      <c r="F42" s="295">
        <f>'CAR Mileage'!F63*CAR!$I$58</f>
        <v>20935.866721126542</v>
      </c>
      <c r="G42" s="295">
        <f>'CAR Mileage'!G63*CAR!$I$58</f>
        <v>20935.866721126542</v>
      </c>
      <c r="H42" s="295">
        <f>'CAR Mileage'!H63*CAR!$I$58</f>
        <v>20935.866721126542</v>
      </c>
      <c r="I42" s="295">
        <f>'CAR Mileage'!I63*CAR!$I$58</f>
        <v>20935.866721126542</v>
      </c>
      <c r="J42" s="295">
        <f>'CAR Mileage'!J63*CAR!$I$58</f>
        <v>20935.866721126542</v>
      </c>
      <c r="K42" s="295">
        <f>'CAR Mileage'!K63*CAR!$I$58</f>
        <v>20935.866721126542</v>
      </c>
      <c r="L42" s="295">
        <f>'CAR Mileage'!L63*CAR!$I$58</f>
        <v>20935.866721126542</v>
      </c>
      <c r="M42" s="295">
        <f>'CAR Mileage'!M63*CAR!$I$58</f>
        <v>20935.866721126542</v>
      </c>
      <c r="N42" s="295">
        <f>'CAR Mileage'!N63*CAR!$I$58</f>
        <v>20935.866721126542</v>
      </c>
      <c r="O42" s="295">
        <f>'CAR Mileage'!O63*CAR!$I$58</f>
        <v>20935.866721126542</v>
      </c>
      <c r="P42" s="295">
        <f>'CAR Mileage'!P63*CAR!$I$58</f>
        <v>20935.866721126542</v>
      </c>
      <c r="Q42" s="295">
        <f>'CAR Mileage'!Q63*CAR!$I$58</f>
        <v>20935.866721126542</v>
      </c>
      <c r="R42" s="295">
        <f>'CAR Mileage'!R63*CAR!$I$58</f>
        <v>20935.866721126542</v>
      </c>
      <c r="S42" s="295">
        <f>'CAR Mileage'!S63*CAR!$I$58</f>
        <v>20935.866721126542</v>
      </c>
      <c r="T42" s="295">
        <f>'CAR Mileage'!T63*CAR!$I$58</f>
        <v>20935.866721126542</v>
      </c>
      <c r="U42" s="295">
        <f>'CAR Mileage'!U63*CAR!$I$58</f>
        <v>20935.866721126542</v>
      </c>
      <c r="V42" s="295">
        <f>'CAR Mileage'!V63*CAR!$I$58</f>
        <v>20935.866721126542</v>
      </c>
      <c r="W42" s="295">
        <f>'CAR Mileage'!W63*CAR!$I$58</f>
        <v>20935.866721126542</v>
      </c>
      <c r="X42" s="295">
        <f>'CAR Mileage'!X63*CAR!$I$58</f>
        <v>20935.866721126542</v>
      </c>
      <c r="Y42" s="295">
        <f>'CAR Mileage'!Y63*CAR!$I$58</f>
        <v>20935.866721126542</v>
      </c>
      <c r="Z42" s="295">
        <f>'CAR Mileage'!Z63*CAR!$I$58</f>
        <v>20935.866721126542</v>
      </c>
      <c r="AA42" s="295">
        <f>'CAR Mileage'!AA63*CAR!$I$58</f>
        <v>20935.866721126542</v>
      </c>
      <c r="AB42" s="295">
        <f>'CAR Mileage'!AB63*CAR!$I$58</f>
        <v>20935.866721126542</v>
      </c>
      <c r="AC42" s="295">
        <f>'CAR Mileage'!AC63*CAR!$I$58</f>
        <v>20935.866721126542</v>
      </c>
      <c r="AD42" s="295">
        <f>'CAR Mileage'!AD63*CAR!$I$58</f>
        <v>20935.866721126542</v>
      </c>
      <c r="AE42" s="296">
        <f>'CAR Mileage'!AE63*CAR!$I$58</f>
        <v>20935.866721126542</v>
      </c>
      <c r="AG42" s="1711"/>
      <c r="AH42" s="116">
        <v>10</v>
      </c>
      <c r="AI42" s="294">
        <f>'CAR Passenger Kilometres'!C42*'CAR Stock'!C92</f>
        <v>1172157305.9824328</v>
      </c>
      <c r="AJ42" s="295">
        <f>'CAR Passenger Kilometres'!D42*'CAR Stock'!D92</f>
        <v>1018897148.0097198</v>
      </c>
      <c r="AK42" s="295">
        <f>'CAR Passenger Kilometres'!E42*'CAR Stock'!E92</f>
        <v>983371519.32956898</v>
      </c>
      <c r="AL42" s="295">
        <f>'CAR Passenger Kilometres'!F42*'CAR Stock'!F92</f>
        <v>1054786907.1721903</v>
      </c>
      <c r="AM42" s="295">
        <f>'CAR Passenger Kilometres'!G42*'CAR Stock'!G92</f>
        <v>1062791883.8556532</v>
      </c>
      <c r="AN42" s="295">
        <f>'CAR Passenger Kilometres'!H42*'CAR Stock'!H92</f>
        <v>1100389028.4427369</v>
      </c>
      <c r="AO42" s="295">
        <f>'CAR Passenger Kilometres'!I42*'CAR Stock'!I92</f>
        <v>847772960.9728024</v>
      </c>
      <c r="AP42" s="295">
        <f>'CAR Passenger Kilometres'!J42*'CAR Stock'!J92</f>
        <v>248187084.46883827</v>
      </c>
      <c r="AQ42" s="295">
        <f>'CAR Passenger Kilometres'!K42*'CAR Stock'!K92</f>
        <v>340720021.91026038</v>
      </c>
      <c r="AR42" s="295">
        <f>'CAR Passenger Kilometres'!L42*'CAR Stock'!L92</f>
        <v>280748311.34726816</v>
      </c>
      <c r="AS42" s="295">
        <f>'CAR Passenger Kilometres'!M42*'CAR Stock'!M92</f>
        <v>200747755.43487394</v>
      </c>
      <c r="AT42" s="295">
        <f>'CAR Passenger Kilometres'!N42*'CAR Stock'!N92</f>
        <v>0</v>
      </c>
      <c r="AU42" s="295">
        <f>'CAR Passenger Kilometres'!O42*'CAR Stock'!O92</f>
        <v>0</v>
      </c>
      <c r="AV42" s="295">
        <f>'CAR Passenger Kilometres'!P42*'CAR Stock'!P92</f>
        <v>0</v>
      </c>
      <c r="AW42" s="295">
        <f>'CAR Passenger Kilometres'!Q42*'CAR Stock'!Q92</f>
        <v>0</v>
      </c>
      <c r="AX42" s="295">
        <f>'CAR Passenger Kilometres'!R42*'CAR Stock'!R92</f>
        <v>0</v>
      </c>
      <c r="AY42" s="295">
        <f>'CAR Passenger Kilometres'!S42*'CAR Stock'!S92</f>
        <v>0</v>
      </c>
      <c r="AZ42" s="295">
        <f>'CAR Passenger Kilometres'!T42*'CAR Stock'!T92</f>
        <v>0</v>
      </c>
      <c r="BA42" s="295">
        <f>'CAR Passenger Kilometres'!U42*'CAR Stock'!U92</f>
        <v>0</v>
      </c>
      <c r="BB42" s="295">
        <f>'CAR Passenger Kilometres'!V42*'CAR Stock'!V92</f>
        <v>0</v>
      </c>
      <c r="BC42" s="295">
        <f>'CAR Passenger Kilometres'!W42*'CAR Stock'!W92</f>
        <v>0</v>
      </c>
      <c r="BD42" s="295">
        <f>'CAR Passenger Kilometres'!X42*'CAR Stock'!X92</f>
        <v>0</v>
      </c>
      <c r="BE42" s="295">
        <f>'CAR Passenger Kilometres'!Y42*'CAR Stock'!Y92</f>
        <v>0</v>
      </c>
      <c r="BF42" s="295">
        <f>'CAR Passenger Kilometres'!Z42*'CAR Stock'!Z92</f>
        <v>0</v>
      </c>
      <c r="BG42" s="295">
        <f>'CAR Passenger Kilometres'!AA42*'CAR Stock'!AA92</f>
        <v>0</v>
      </c>
      <c r="BH42" s="295">
        <f>'CAR Passenger Kilometres'!AB42*'CAR Stock'!AB92</f>
        <v>0</v>
      </c>
      <c r="BI42" s="295">
        <f>'CAR Passenger Kilometres'!AC42*'CAR Stock'!AC92</f>
        <v>0</v>
      </c>
      <c r="BJ42" s="295">
        <f>'CAR Passenger Kilometres'!AD42*'CAR Stock'!AD92</f>
        <v>0</v>
      </c>
      <c r="BK42" s="296">
        <f>'CAR Passenger Kilometres'!AE42*'CAR Stock'!AE92</f>
        <v>0</v>
      </c>
    </row>
    <row r="43" spans="1:63">
      <c r="A43" s="1711"/>
      <c r="B43" s="116">
        <v>11</v>
      </c>
      <c r="C43" s="294">
        <f>'CAR Mileage'!C64*CAR!$I$58</f>
        <v>20517.149386704012</v>
      </c>
      <c r="D43" s="295">
        <f>'CAR Mileage'!D64*CAR!$I$58</f>
        <v>20517.149386704012</v>
      </c>
      <c r="E43" s="295">
        <f>'CAR Mileage'!E64*CAR!$I$58</f>
        <v>20517.149386704012</v>
      </c>
      <c r="F43" s="295">
        <f>'CAR Mileage'!F64*CAR!$I$58</f>
        <v>20517.149386704012</v>
      </c>
      <c r="G43" s="295">
        <f>'CAR Mileage'!G64*CAR!$I$58</f>
        <v>20517.149386704012</v>
      </c>
      <c r="H43" s="295">
        <f>'CAR Mileage'!H64*CAR!$I$58</f>
        <v>20517.149386704012</v>
      </c>
      <c r="I43" s="295">
        <f>'CAR Mileage'!I64*CAR!$I$58</f>
        <v>20517.149386704012</v>
      </c>
      <c r="J43" s="295">
        <f>'CAR Mileage'!J64*CAR!$I$58</f>
        <v>20517.149386704012</v>
      </c>
      <c r="K43" s="295">
        <f>'CAR Mileage'!K64*CAR!$I$58</f>
        <v>20517.149386704012</v>
      </c>
      <c r="L43" s="295">
        <f>'CAR Mileage'!L64*CAR!$I$58</f>
        <v>20517.149386704012</v>
      </c>
      <c r="M43" s="295">
        <f>'CAR Mileage'!M64*CAR!$I$58</f>
        <v>20517.149386704012</v>
      </c>
      <c r="N43" s="295">
        <f>'CAR Mileage'!N64*CAR!$I$58</f>
        <v>20517.149386704012</v>
      </c>
      <c r="O43" s="295">
        <f>'CAR Mileage'!O64*CAR!$I$58</f>
        <v>20517.149386704012</v>
      </c>
      <c r="P43" s="295">
        <f>'CAR Mileage'!P64*CAR!$I$58</f>
        <v>20517.149386704012</v>
      </c>
      <c r="Q43" s="295">
        <f>'CAR Mileage'!Q64*CAR!$I$58</f>
        <v>20517.149386704012</v>
      </c>
      <c r="R43" s="295">
        <f>'CAR Mileage'!R64*CAR!$I$58</f>
        <v>20517.149386704012</v>
      </c>
      <c r="S43" s="295">
        <f>'CAR Mileage'!S64*CAR!$I$58</f>
        <v>20517.149386704012</v>
      </c>
      <c r="T43" s="295">
        <f>'CAR Mileage'!T64*CAR!$I$58</f>
        <v>20517.149386704012</v>
      </c>
      <c r="U43" s="295">
        <f>'CAR Mileage'!U64*CAR!$I$58</f>
        <v>20517.149386704012</v>
      </c>
      <c r="V43" s="295">
        <f>'CAR Mileage'!V64*CAR!$I$58</f>
        <v>20517.149386704012</v>
      </c>
      <c r="W43" s="295">
        <f>'CAR Mileage'!W64*CAR!$I$58</f>
        <v>20517.149386704012</v>
      </c>
      <c r="X43" s="295">
        <f>'CAR Mileage'!X64*CAR!$I$58</f>
        <v>20517.149386704012</v>
      </c>
      <c r="Y43" s="295">
        <f>'CAR Mileage'!Y64*CAR!$I$58</f>
        <v>20517.149386704012</v>
      </c>
      <c r="Z43" s="295">
        <f>'CAR Mileage'!Z64*CAR!$I$58</f>
        <v>20517.149386704012</v>
      </c>
      <c r="AA43" s="295">
        <f>'CAR Mileage'!AA64*CAR!$I$58</f>
        <v>20517.149386704012</v>
      </c>
      <c r="AB43" s="295">
        <f>'CAR Mileage'!AB64*CAR!$I$58</f>
        <v>20517.149386704012</v>
      </c>
      <c r="AC43" s="295">
        <f>'CAR Mileage'!AC64*CAR!$I$58</f>
        <v>20517.149386704012</v>
      </c>
      <c r="AD43" s="295">
        <f>'CAR Mileage'!AD64*CAR!$I$58</f>
        <v>20517.149386704012</v>
      </c>
      <c r="AE43" s="296">
        <f>'CAR Mileage'!AE64*CAR!$I$58</f>
        <v>20517.149386704012</v>
      </c>
      <c r="AG43" s="1711"/>
      <c r="AH43" s="116">
        <v>11</v>
      </c>
      <c r="AI43" s="294">
        <f>'CAR Passenger Kilometres'!C43*'CAR Stock'!C93</f>
        <v>1010572193.0421062</v>
      </c>
      <c r="AJ43" s="295">
        <f>'CAR Passenger Kilometres'!D43*'CAR Stock'!D93</f>
        <v>856855448.90934741</v>
      </c>
      <c r="AK43" s="295">
        <f>'CAR Passenger Kilometres'!E43*'CAR Stock'!E93</f>
        <v>744821167.51265359</v>
      </c>
      <c r="AL43" s="295">
        <f>'CAR Passenger Kilometres'!F43*'CAR Stock'!F93</f>
        <v>718851676.59607041</v>
      </c>
      <c r="AM43" s="295">
        <f>'CAR Passenger Kilometres'!G43*'CAR Stock'!G93</f>
        <v>771056840.43936217</v>
      </c>
      <c r="AN43" s="295">
        <f>'CAR Passenger Kilometres'!H43*'CAR Stock'!H93</f>
        <v>776908536.15853739</v>
      </c>
      <c r="AO43" s="295">
        <f>'CAR Passenger Kilometres'!I43*'CAR Stock'!I93</f>
        <v>804392320.15105724</v>
      </c>
      <c r="AP43" s="295">
        <f>'CAR Passenger Kilometres'!J43*'CAR Stock'!J93</f>
        <v>619728151.96396875</v>
      </c>
      <c r="AQ43" s="295">
        <f>'CAR Passenger Kilometres'!K43*'CAR Stock'!K93</f>
        <v>181426549.65393841</v>
      </c>
      <c r="AR43" s="295">
        <f>'CAR Passenger Kilometres'!L43*'CAR Stock'!L93</f>
        <v>249068794.63727397</v>
      </c>
      <c r="AS43" s="295">
        <f>'CAR Passenger Kilometres'!M43*'CAR Stock'!M93</f>
        <v>205229041.46246901</v>
      </c>
      <c r="AT43" s="295">
        <f>'CAR Passenger Kilometres'!N43*'CAR Stock'!N93</f>
        <v>146748057.80997348</v>
      </c>
      <c r="AU43" s="295">
        <f>'CAR Passenger Kilometres'!O43*'CAR Stock'!O93</f>
        <v>0</v>
      </c>
      <c r="AV43" s="295">
        <f>'CAR Passenger Kilometres'!P43*'CAR Stock'!P93</f>
        <v>0</v>
      </c>
      <c r="AW43" s="295">
        <f>'CAR Passenger Kilometres'!Q43*'CAR Stock'!Q93</f>
        <v>0</v>
      </c>
      <c r="AX43" s="295">
        <f>'CAR Passenger Kilometres'!R43*'CAR Stock'!R93</f>
        <v>0</v>
      </c>
      <c r="AY43" s="295">
        <f>'CAR Passenger Kilometres'!S43*'CAR Stock'!S93</f>
        <v>0</v>
      </c>
      <c r="AZ43" s="295">
        <f>'CAR Passenger Kilometres'!T43*'CAR Stock'!T93</f>
        <v>0</v>
      </c>
      <c r="BA43" s="295">
        <f>'CAR Passenger Kilometres'!U43*'CAR Stock'!U93</f>
        <v>0</v>
      </c>
      <c r="BB43" s="295">
        <f>'CAR Passenger Kilometres'!V43*'CAR Stock'!V93</f>
        <v>0</v>
      </c>
      <c r="BC43" s="295">
        <f>'CAR Passenger Kilometres'!W43*'CAR Stock'!W93</f>
        <v>0</v>
      </c>
      <c r="BD43" s="295">
        <f>'CAR Passenger Kilometres'!X43*'CAR Stock'!X93</f>
        <v>0</v>
      </c>
      <c r="BE43" s="295">
        <f>'CAR Passenger Kilometres'!Y43*'CAR Stock'!Y93</f>
        <v>0</v>
      </c>
      <c r="BF43" s="295">
        <f>'CAR Passenger Kilometres'!Z43*'CAR Stock'!Z93</f>
        <v>0</v>
      </c>
      <c r="BG43" s="295">
        <f>'CAR Passenger Kilometres'!AA43*'CAR Stock'!AA93</f>
        <v>0</v>
      </c>
      <c r="BH43" s="295">
        <f>'CAR Passenger Kilometres'!AB43*'CAR Stock'!AB93</f>
        <v>0</v>
      </c>
      <c r="BI43" s="295">
        <f>'CAR Passenger Kilometres'!AC43*'CAR Stock'!AC93</f>
        <v>0</v>
      </c>
      <c r="BJ43" s="295">
        <f>'CAR Passenger Kilometres'!AD43*'CAR Stock'!AD93</f>
        <v>0</v>
      </c>
      <c r="BK43" s="296">
        <f>'CAR Passenger Kilometres'!AE43*'CAR Stock'!AE93</f>
        <v>0</v>
      </c>
    </row>
    <row r="44" spans="1:63">
      <c r="A44" s="1711"/>
      <c r="B44" s="116">
        <v>12</v>
      </c>
      <c r="C44" s="294">
        <f>'CAR Mileage'!C65*CAR!$I$58</f>
        <v>20106.806398969933</v>
      </c>
      <c r="D44" s="295">
        <f>'CAR Mileage'!D65*CAR!$I$58</f>
        <v>20106.806398969933</v>
      </c>
      <c r="E44" s="295">
        <f>'CAR Mileage'!E65*CAR!$I$58</f>
        <v>20106.806398969933</v>
      </c>
      <c r="F44" s="295">
        <f>'CAR Mileage'!F65*CAR!$I$58</f>
        <v>20106.806398969933</v>
      </c>
      <c r="G44" s="295">
        <f>'CAR Mileage'!G65*CAR!$I$58</f>
        <v>20106.806398969933</v>
      </c>
      <c r="H44" s="295">
        <f>'CAR Mileage'!H65*CAR!$I$58</f>
        <v>20106.806398969933</v>
      </c>
      <c r="I44" s="295">
        <f>'CAR Mileage'!I65*CAR!$I$58</f>
        <v>20106.806398969933</v>
      </c>
      <c r="J44" s="295">
        <f>'CAR Mileage'!J65*CAR!$I$58</f>
        <v>20106.806398969933</v>
      </c>
      <c r="K44" s="295">
        <f>'CAR Mileage'!K65*CAR!$I$58</f>
        <v>20106.806398969933</v>
      </c>
      <c r="L44" s="295">
        <f>'CAR Mileage'!L65*CAR!$I$58</f>
        <v>20106.806398969933</v>
      </c>
      <c r="M44" s="295">
        <f>'CAR Mileage'!M65*CAR!$I$58</f>
        <v>20106.806398969933</v>
      </c>
      <c r="N44" s="295">
        <f>'CAR Mileage'!N65*CAR!$I$58</f>
        <v>20106.806398969933</v>
      </c>
      <c r="O44" s="295">
        <f>'CAR Mileage'!O65*CAR!$I$58</f>
        <v>20106.806398969933</v>
      </c>
      <c r="P44" s="295">
        <f>'CAR Mileage'!P65*CAR!$I$58</f>
        <v>20106.806398969933</v>
      </c>
      <c r="Q44" s="295">
        <f>'CAR Mileage'!Q65*CAR!$I$58</f>
        <v>20106.806398969933</v>
      </c>
      <c r="R44" s="295">
        <f>'CAR Mileage'!R65*CAR!$I$58</f>
        <v>20106.806398969933</v>
      </c>
      <c r="S44" s="295">
        <f>'CAR Mileage'!S65*CAR!$I$58</f>
        <v>20106.806398969933</v>
      </c>
      <c r="T44" s="295">
        <f>'CAR Mileage'!T65*CAR!$I$58</f>
        <v>20106.806398969933</v>
      </c>
      <c r="U44" s="295">
        <f>'CAR Mileage'!U65*CAR!$I$58</f>
        <v>20106.806398969933</v>
      </c>
      <c r="V44" s="295">
        <f>'CAR Mileage'!V65*CAR!$I$58</f>
        <v>20106.806398969933</v>
      </c>
      <c r="W44" s="295">
        <f>'CAR Mileage'!W65*CAR!$I$58</f>
        <v>20106.806398969933</v>
      </c>
      <c r="X44" s="295">
        <f>'CAR Mileage'!X65*CAR!$I$58</f>
        <v>20106.806398969933</v>
      </c>
      <c r="Y44" s="295">
        <f>'CAR Mileage'!Y65*CAR!$I$58</f>
        <v>20106.806398969933</v>
      </c>
      <c r="Z44" s="295">
        <f>'CAR Mileage'!Z65*CAR!$I$58</f>
        <v>20106.806398969933</v>
      </c>
      <c r="AA44" s="295">
        <f>'CAR Mileage'!AA65*CAR!$I$58</f>
        <v>20106.806398969933</v>
      </c>
      <c r="AB44" s="295">
        <f>'CAR Mileage'!AB65*CAR!$I$58</f>
        <v>20106.806398969933</v>
      </c>
      <c r="AC44" s="295">
        <f>'CAR Mileage'!AC65*CAR!$I$58</f>
        <v>20106.806398969933</v>
      </c>
      <c r="AD44" s="295">
        <f>'CAR Mileage'!AD65*CAR!$I$58</f>
        <v>20106.806398969933</v>
      </c>
      <c r="AE44" s="296">
        <f>'CAR Mileage'!AE65*CAR!$I$58</f>
        <v>20106.806398969933</v>
      </c>
      <c r="AG44" s="1711"/>
      <c r="AH44" s="116">
        <v>12</v>
      </c>
      <c r="AI44" s="294">
        <f>'CAR Passenger Kilometres'!C44*'CAR Stock'!C94</f>
        <v>1221146673.028641</v>
      </c>
      <c r="AJ44" s="295">
        <f>'CAR Passenger Kilometres'!D44*'CAR Stock'!D94</f>
        <v>611152880.25341284</v>
      </c>
      <c r="AK44" s="295">
        <f>'CAR Passenger Kilometres'!E44*'CAR Stock'!E94</f>
        <v>518191257.5541842</v>
      </c>
      <c r="AL44" s="295">
        <f>'CAR Passenger Kilometres'!F44*'CAR Stock'!F94</f>
        <v>450437489.70451015</v>
      </c>
      <c r="AM44" s="295">
        <f>'CAR Passenger Kilometres'!G44*'CAR Stock'!G94</f>
        <v>434732199.88784945</v>
      </c>
      <c r="AN44" s="295">
        <f>'CAR Passenger Kilometres'!H44*'CAR Stock'!H94</f>
        <v>466303755.55364025</v>
      </c>
      <c r="AO44" s="295">
        <f>'CAR Passenger Kilometres'!I44*'CAR Stock'!I94</f>
        <v>469842622.66057581</v>
      </c>
      <c r="AP44" s="295">
        <f>'CAR Passenger Kilometres'!J44*'CAR Stock'!J94</f>
        <v>486463695.22019982</v>
      </c>
      <c r="AQ44" s="295">
        <f>'CAR Passenger Kilometres'!K44*'CAR Stock'!K94</f>
        <v>374786331.59968954</v>
      </c>
      <c r="AR44" s="295">
        <f>'CAR Passenger Kilometres'!L44*'CAR Stock'!L94</f>
        <v>109719383.86872223</v>
      </c>
      <c r="AS44" s="295">
        <f>'CAR Passenger Kilometres'!M44*'CAR Stock'!M94</f>
        <v>150626657.12737802</v>
      </c>
      <c r="AT44" s="295">
        <f>'CAR Passenger Kilometres'!N44*'CAR Stock'!N94</f>
        <v>124114160.9327945</v>
      </c>
      <c r="AU44" s="295">
        <f>'CAR Passenger Kilometres'!O44*'CAR Stock'!O94</f>
        <v>88747245.194013387</v>
      </c>
      <c r="AV44" s="295">
        <f>'CAR Passenger Kilometres'!P44*'CAR Stock'!P94</f>
        <v>0</v>
      </c>
      <c r="AW44" s="295">
        <f>'CAR Passenger Kilometres'!Q44*'CAR Stock'!Q94</f>
        <v>0</v>
      </c>
      <c r="AX44" s="295">
        <f>'CAR Passenger Kilometres'!R44*'CAR Stock'!R94</f>
        <v>0</v>
      </c>
      <c r="AY44" s="295">
        <f>'CAR Passenger Kilometres'!S44*'CAR Stock'!S94</f>
        <v>0</v>
      </c>
      <c r="AZ44" s="295">
        <f>'CAR Passenger Kilometres'!T44*'CAR Stock'!T94</f>
        <v>0</v>
      </c>
      <c r="BA44" s="295">
        <f>'CAR Passenger Kilometres'!U44*'CAR Stock'!U94</f>
        <v>0</v>
      </c>
      <c r="BB44" s="295">
        <f>'CAR Passenger Kilometres'!V44*'CAR Stock'!V94</f>
        <v>0</v>
      </c>
      <c r="BC44" s="295">
        <f>'CAR Passenger Kilometres'!W44*'CAR Stock'!W94</f>
        <v>0</v>
      </c>
      <c r="BD44" s="295">
        <f>'CAR Passenger Kilometres'!X44*'CAR Stock'!X94</f>
        <v>0</v>
      </c>
      <c r="BE44" s="295">
        <f>'CAR Passenger Kilometres'!Y44*'CAR Stock'!Y94</f>
        <v>0</v>
      </c>
      <c r="BF44" s="295">
        <f>'CAR Passenger Kilometres'!Z44*'CAR Stock'!Z94</f>
        <v>0</v>
      </c>
      <c r="BG44" s="295">
        <f>'CAR Passenger Kilometres'!AA44*'CAR Stock'!AA94</f>
        <v>0</v>
      </c>
      <c r="BH44" s="295">
        <f>'CAR Passenger Kilometres'!AB44*'CAR Stock'!AB94</f>
        <v>0</v>
      </c>
      <c r="BI44" s="295">
        <f>'CAR Passenger Kilometres'!AC44*'CAR Stock'!AC94</f>
        <v>0</v>
      </c>
      <c r="BJ44" s="295">
        <f>'CAR Passenger Kilometres'!AD44*'CAR Stock'!AD94</f>
        <v>0</v>
      </c>
      <c r="BK44" s="296">
        <f>'CAR Passenger Kilometres'!AE44*'CAR Stock'!AE94</f>
        <v>0</v>
      </c>
    </row>
    <row r="45" spans="1:63">
      <c r="A45" s="1711"/>
      <c r="B45" s="116">
        <v>13</v>
      </c>
      <c r="C45" s="294">
        <f>'CAR Mileage'!C66*CAR!$I$58</f>
        <v>19704.670270990533</v>
      </c>
      <c r="D45" s="295">
        <f>'CAR Mileage'!D66*CAR!$I$58</f>
        <v>19704.670270990533</v>
      </c>
      <c r="E45" s="295">
        <f>'CAR Mileage'!E66*CAR!$I$58</f>
        <v>19704.670270990533</v>
      </c>
      <c r="F45" s="295">
        <f>'CAR Mileage'!F66*CAR!$I$58</f>
        <v>19704.670270990533</v>
      </c>
      <c r="G45" s="295">
        <f>'CAR Mileage'!G66*CAR!$I$58</f>
        <v>19704.670270990533</v>
      </c>
      <c r="H45" s="295">
        <f>'CAR Mileage'!H66*CAR!$I$58</f>
        <v>19704.670270990533</v>
      </c>
      <c r="I45" s="295">
        <f>'CAR Mileage'!I66*CAR!$I$58</f>
        <v>19704.670270990533</v>
      </c>
      <c r="J45" s="295">
        <f>'CAR Mileage'!J66*CAR!$I$58</f>
        <v>19704.670270990533</v>
      </c>
      <c r="K45" s="295">
        <f>'CAR Mileage'!K66*CAR!$I$58</f>
        <v>19704.670270990533</v>
      </c>
      <c r="L45" s="295">
        <f>'CAR Mileage'!L66*CAR!$I$58</f>
        <v>19704.670270990533</v>
      </c>
      <c r="M45" s="295">
        <f>'CAR Mileage'!M66*CAR!$I$58</f>
        <v>19704.670270990533</v>
      </c>
      <c r="N45" s="295">
        <f>'CAR Mileage'!N66*CAR!$I$58</f>
        <v>19704.670270990533</v>
      </c>
      <c r="O45" s="295">
        <f>'CAR Mileage'!O66*CAR!$I$58</f>
        <v>19704.670270990533</v>
      </c>
      <c r="P45" s="295">
        <f>'CAR Mileage'!P66*CAR!$I$58</f>
        <v>19704.670270990533</v>
      </c>
      <c r="Q45" s="295">
        <f>'CAR Mileage'!Q66*CAR!$I$58</f>
        <v>19704.670270990533</v>
      </c>
      <c r="R45" s="295">
        <f>'CAR Mileage'!R66*CAR!$I$58</f>
        <v>19704.670270990533</v>
      </c>
      <c r="S45" s="295">
        <f>'CAR Mileage'!S66*CAR!$I$58</f>
        <v>19704.670270990533</v>
      </c>
      <c r="T45" s="295">
        <f>'CAR Mileage'!T66*CAR!$I$58</f>
        <v>19704.670270990533</v>
      </c>
      <c r="U45" s="295">
        <f>'CAR Mileage'!U66*CAR!$I$58</f>
        <v>19704.670270990533</v>
      </c>
      <c r="V45" s="295">
        <f>'CAR Mileage'!V66*CAR!$I$58</f>
        <v>19704.670270990533</v>
      </c>
      <c r="W45" s="295">
        <f>'CAR Mileage'!W66*CAR!$I$58</f>
        <v>19704.670270990533</v>
      </c>
      <c r="X45" s="295">
        <f>'CAR Mileage'!X66*CAR!$I$58</f>
        <v>19704.670270990533</v>
      </c>
      <c r="Y45" s="295">
        <f>'CAR Mileage'!Y66*CAR!$I$58</f>
        <v>19704.670270990533</v>
      </c>
      <c r="Z45" s="295">
        <f>'CAR Mileage'!Z66*CAR!$I$58</f>
        <v>19704.670270990533</v>
      </c>
      <c r="AA45" s="295">
        <f>'CAR Mileage'!AA66*CAR!$I$58</f>
        <v>19704.670270990533</v>
      </c>
      <c r="AB45" s="295">
        <f>'CAR Mileage'!AB66*CAR!$I$58</f>
        <v>19704.670270990533</v>
      </c>
      <c r="AC45" s="295">
        <f>'CAR Mileage'!AC66*CAR!$I$58</f>
        <v>19704.670270990533</v>
      </c>
      <c r="AD45" s="295">
        <f>'CAR Mileage'!AD66*CAR!$I$58</f>
        <v>19704.670270990533</v>
      </c>
      <c r="AE45" s="296">
        <f>'CAR Mileage'!AE66*CAR!$I$58</f>
        <v>19704.670270990533</v>
      </c>
      <c r="AG45" s="1711"/>
      <c r="AH45" s="116">
        <v>13</v>
      </c>
      <c r="AI45" s="294">
        <f>'CAR Passenger Kilometres'!C45*'CAR Stock'!C95</f>
        <v>712914970.40443754</v>
      </c>
      <c r="AJ45" s="295">
        <f>'CAR Passenger Kilometres'!D45*'CAR Stock'!D95</f>
        <v>588757974.61957681</v>
      </c>
      <c r="AK45" s="295">
        <f>'CAR Passenger Kilometres'!E45*'CAR Stock'!E95</f>
        <v>294658405.83138597</v>
      </c>
      <c r="AL45" s="295">
        <f>'CAR Passenger Kilometres'!F45*'CAR Stock'!F95</f>
        <v>249838321.63789335</v>
      </c>
      <c r="AM45" s="295">
        <f>'CAR Passenger Kilometres'!G45*'CAR Stock'!G95</f>
        <v>217171835.28283167</v>
      </c>
      <c r="AN45" s="295">
        <f>'CAR Passenger Kilometres'!H45*'CAR Stock'!H95</f>
        <v>209599759.93144283</v>
      </c>
      <c r="AO45" s="295">
        <f>'CAR Passenger Kilometres'!I45*'CAR Stock'!I95</f>
        <v>224821522.86945173</v>
      </c>
      <c r="AP45" s="295">
        <f>'CAR Passenger Kilometres'!J45*'CAR Stock'!J95</f>
        <v>226527735.78911659</v>
      </c>
      <c r="AQ45" s="295">
        <f>'CAR Passenger Kilometres'!K45*'CAR Stock'!K95</f>
        <v>234541342.37082142</v>
      </c>
      <c r="AR45" s="295">
        <f>'CAR Passenger Kilometres'!L45*'CAR Stock'!L95</f>
        <v>180697737.93877336</v>
      </c>
      <c r="AS45" s="295">
        <f>'CAR Passenger Kilometres'!M45*'CAR Stock'!M95</f>
        <v>52899593.185512178</v>
      </c>
      <c r="AT45" s="295">
        <f>'CAR Passenger Kilometres'!N45*'CAR Stock'!N95</f>
        <v>72622435.562212393</v>
      </c>
      <c r="AU45" s="295">
        <f>'CAR Passenger Kilometres'!O45*'CAR Stock'!O95</f>
        <v>59839824.01652617</v>
      </c>
      <c r="AV45" s="295">
        <f>'CAR Passenger Kilometres'!P45*'CAR Stock'!P95</f>
        <v>42788183.833727561</v>
      </c>
      <c r="AW45" s="295">
        <f>'CAR Passenger Kilometres'!Q45*'CAR Stock'!Q95</f>
        <v>0</v>
      </c>
      <c r="AX45" s="295">
        <f>'CAR Passenger Kilometres'!R45*'CAR Stock'!R95</f>
        <v>0</v>
      </c>
      <c r="AY45" s="295">
        <f>'CAR Passenger Kilometres'!S45*'CAR Stock'!S95</f>
        <v>0</v>
      </c>
      <c r="AZ45" s="295">
        <f>'CAR Passenger Kilometres'!T45*'CAR Stock'!T95</f>
        <v>0</v>
      </c>
      <c r="BA45" s="295">
        <f>'CAR Passenger Kilometres'!U45*'CAR Stock'!U95</f>
        <v>0</v>
      </c>
      <c r="BB45" s="295">
        <f>'CAR Passenger Kilometres'!V45*'CAR Stock'!V95</f>
        <v>0</v>
      </c>
      <c r="BC45" s="295">
        <f>'CAR Passenger Kilometres'!W45*'CAR Stock'!W95</f>
        <v>0</v>
      </c>
      <c r="BD45" s="295">
        <f>'CAR Passenger Kilometres'!X45*'CAR Stock'!X95</f>
        <v>0</v>
      </c>
      <c r="BE45" s="295">
        <f>'CAR Passenger Kilometres'!Y45*'CAR Stock'!Y95</f>
        <v>0</v>
      </c>
      <c r="BF45" s="295">
        <f>'CAR Passenger Kilometres'!Z45*'CAR Stock'!Z95</f>
        <v>0</v>
      </c>
      <c r="BG45" s="295">
        <f>'CAR Passenger Kilometres'!AA45*'CAR Stock'!AA95</f>
        <v>0</v>
      </c>
      <c r="BH45" s="295">
        <f>'CAR Passenger Kilometres'!AB45*'CAR Stock'!AB95</f>
        <v>0</v>
      </c>
      <c r="BI45" s="295">
        <f>'CAR Passenger Kilometres'!AC45*'CAR Stock'!AC95</f>
        <v>0</v>
      </c>
      <c r="BJ45" s="295">
        <f>'CAR Passenger Kilometres'!AD45*'CAR Stock'!AD95</f>
        <v>0</v>
      </c>
      <c r="BK45" s="296">
        <f>'CAR Passenger Kilometres'!AE45*'CAR Stock'!AE95</f>
        <v>0</v>
      </c>
    </row>
    <row r="46" spans="1:63">
      <c r="A46" s="1711"/>
      <c r="B46" s="116">
        <v>14</v>
      </c>
      <c r="C46" s="294">
        <f>'CAR Mileage'!C67*CAR!$I$58</f>
        <v>19310.576865570722</v>
      </c>
      <c r="D46" s="295">
        <f>'CAR Mileage'!D67*CAR!$I$58</f>
        <v>19310.576865570722</v>
      </c>
      <c r="E46" s="295">
        <f>'CAR Mileage'!E67*CAR!$I$58</f>
        <v>19310.576865570722</v>
      </c>
      <c r="F46" s="295">
        <f>'CAR Mileage'!F67*CAR!$I$58</f>
        <v>19310.576865570722</v>
      </c>
      <c r="G46" s="295">
        <f>'CAR Mileage'!G67*CAR!$I$58</f>
        <v>19310.576865570722</v>
      </c>
      <c r="H46" s="295">
        <f>'CAR Mileage'!H67*CAR!$I$58</f>
        <v>19310.576865570722</v>
      </c>
      <c r="I46" s="295">
        <f>'CAR Mileage'!I67*CAR!$I$58</f>
        <v>19310.576865570722</v>
      </c>
      <c r="J46" s="295">
        <f>'CAR Mileage'!J67*CAR!$I$58</f>
        <v>19310.576865570722</v>
      </c>
      <c r="K46" s="295">
        <f>'CAR Mileage'!K67*CAR!$I$58</f>
        <v>19310.576865570722</v>
      </c>
      <c r="L46" s="295">
        <f>'CAR Mileage'!L67*CAR!$I$58</f>
        <v>19310.576865570722</v>
      </c>
      <c r="M46" s="295">
        <f>'CAR Mileage'!M67*CAR!$I$58</f>
        <v>19310.576865570722</v>
      </c>
      <c r="N46" s="295">
        <f>'CAR Mileage'!N67*CAR!$I$58</f>
        <v>19310.576865570722</v>
      </c>
      <c r="O46" s="295">
        <f>'CAR Mileage'!O67*CAR!$I$58</f>
        <v>19310.576865570722</v>
      </c>
      <c r="P46" s="295">
        <f>'CAR Mileage'!P67*CAR!$I$58</f>
        <v>19310.576865570722</v>
      </c>
      <c r="Q46" s="295">
        <f>'CAR Mileage'!Q67*CAR!$I$58</f>
        <v>19310.576865570722</v>
      </c>
      <c r="R46" s="295">
        <f>'CAR Mileage'!R67*CAR!$I$58</f>
        <v>19310.576865570722</v>
      </c>
      <c r="S46" s="295">
        <f>'CAR Mileage'!S67*CAR!$I$58</f>
        <v>19310.576865570722</v>
      </c>
      <c r="T46" s="295">
        <f>'CAR Mileage'!T67*CAR!$I$58</f>
        <v>19310.576865570722</v>
      </c>
      <c r="U46" s="295">
        <f>'CAR Mileage'!U67*CAR!$I$58</f>
        <v>19310.576865570722</v>
      </c>
      <c r="V46" s="295">
        <f>'CAR Mileage'!V67*CAR!$I$58</f>
        <v>19310.576865570722</v>
      </c>
      <c r="W46" s="295">
        <f>'CAR Mileage'!W67*CAR!$I$58</f>
        <v>19310.576865570722</v>
      </c>
      <c r="X46" s="295">
        <f>'CAR Mileage'!X67*CAR!$I$58</f>
        <v>19310.576865570722</v>
      </c>
      <c r="Y46" s="295">
        <f>'CAR Mileage'!Y67*CAR!$I$58</f>
        <v>19310.576865570722</v>
      </c>
      <c r="Z46" s="295">
        <f>'CAR Mileage'!Z67*CAR!$I$58</f>
        <v>19310.576865570722</v>
      </c>
      <c r="AA46" s="295">
        <f>'CAR Mileage'!AA67*CAR!$I$58</f>
        <v>19310.576865570722</v>
      </c>
      <c r="AB46" s="295">
        <f>'CAR Mileage'!AB67*CAR!$I$58</f>
        <v>19310.576865570722</v>
      </c>
      <c r="AC46" s="295">
        <f>'CAR Mileage'!AC67*CAR!$I$58</f>
        <v>19310.576865570722</v>
      </c>
      <c r="AD46" s="295">
        <f>'CAR Mileage'!AD67*CAR!$I$58</f>
        <v>19310.576865570722</v>
      </c>
      <c r="AE46" s="296">
        <f>'CAR Mileage'!AE67*CAR!$I$58</f>
        <v>19310.576865570722</v>
      </c>
      <c r="AG46" s="1711"/>
      <c r="AH46" s="116">
        <v>14</v>
      </c>
      <c r="AI46" s="294">
        <f>'CAR Passenger Kilometres'!C46*'CAR Stock'!C96</f>
        <v>418402268.94632083</v>
      </c>
      <c r="AJ46" s="295">
        <f>'CAR Passenger Kilometres'!D46*'CAR Stock'!D96</f>
        <v>264763754.40911156</v>
      </c>
      <c r="AK46" s="295">
        <f>'CAR Passenger Kilometres'!E46*'CAR Stock'!E96</f>
        <v>218654086.77019599</v>
      </c>
      <c r="AL46" s="295">
        <f>'CAR Passenger Kilometres'!F46*'CAR Stock'!F96</f>
        <v>109430814.38150117</v>
      </c>
      <c r="AM46" s="295">
        <f>'CAR Passenger Kilometres'!G46*'CAR Stock'!G96</f>
        <v>92785443.956372395</v>
      </c>
      <c r="AN46" s="295">
        <f>'CAR Passenger Kilometres'!H46*'CAR Stock'!H96</f>
        <v>80653700.43889007</v>
      </c>
      <c r="AO46" s="295">
        <f>'CAR Passenger Kilometres'!I46*'CAR Stock'!I96</f>
        <v>77841568.302619904</v>
      </c>
      <c r="AP46" s="295">
        <f>'CAR Passenger Kilometres'!J46*'CAR Stock'!J96</f>
        <v>83494656.358698159</v>
      </c>
      <c r="AQ46" s="295">
        <f>'CAR Passenger Kilometres'!K46*'CAR Stock'!K96</f>
        <v>84128313.045940295</v>
      </c>
      <c r="AR46" s="295">
        <f>'CAR Passenger Kilometres'!L46*'CAR Stock'!L96</f>
        <v>87104421.913069412</v>
      </c>
      <c r="AS46" s="295">
        <f>'CAR Passenger Kilometres'!M46*'CAR Stock'!M96</f>
        <v>67107878.914034374</v>
      </c>
      <c r="AT46" s="295">
        <f>'CAR Passenger Kilometres'!N46*'CAR Stock'!N96</f>
        <v>19645954.258142874</v>
      </c>
      <c r="AU46" s="295">
        <f>'CAR Passenger Kilometres'!O46*'CAR Stock'!O96</f>
        <v>26970661.98915305</v>
      </c>
      <c r="AV46" s="295">
        <f>'CAR Passenger Kilometres'!P46*'CAR Stock'!P96</f>
        <v>22223430.742109399</v>
      </c>
      <c r="AW46" s="295">
        <f>'CAR Passenger Kilometres'!Q46*'CAR Stock'!Q96</f>
        <v>15890759.300142264</v>
      </c>
      <c r="AX46" s="295">
        <f>'CAR Passenger Kilometres'!R46*'CAR Stock'!R96</f>
        <v>0</v>
      </c>
      <c r="AY46" s="295">
        <f>'CAR Passenger Kilometres'!S46*'CAR Stock'!S96</f>
        <v>0</v>
      </c>
      <c r="AZ46" s="295">
        <f>'CAR Passenger Kilometres'!T46*'CAR Stock'!T96</f>
        <v>0</v>
      </c>
      <c r="BA46" s="295">
        <f>'CAR Passenger Kilometres'!U46*'CAR Stock'!U96</f>
        <v>0</v>
      </c>
      <c r="BB46" s="295">
        <f>'CAR Passenger Kilometres'!V46*'CAR Stock'!V96</f>
        <v>0</v>
      </c>
      <c r="BC46" s="295">
        <f>'CAR Passenger Kilometres'!W46*'CAR Stock'!W96</f>
        <v>0</v>
      </c>
      <c r="BD46" s="295">
        <f>'CAR Passenger Kilometres'!X46*'CAR Stock'!X96</f>
        <v>0</v>
      </c>
      <c r="BE46" s="295">
        <f>'CAR Passenger Kilometres'!Y46*'CAR Stock'!Y96</f>
        <v>0</v>
      </c>
      <c r="BF46" s="295">
        <f>'CAR Passenger Kilometres'!Z46*'CAR Stock'!Z96</f>
        <v>0</v>
      </c>
      <c r="BG46" s="295">
        <f>'CAR Passenger Kilometres'!AA46*'CAR Stock'!AA96</f>
        <v>0</v>
      </c>
      <c r="BH46" s="295">
        <f>'CAR Passenger Kilometres'!AB46*'CAR Stock'!AB96</f>
        <v>0</v>
      </c>
      <c r="BI46" s="295">
        <f>'CAR Passenger Kilometres'!AC46*'CAR Stock'!AC96</f>
        <v>0</v>
      </c>
      <c r="BJ46" s="295">
        <f>'CAR Passenger Kilometres'!AD46*'CAR Stock'!AD96</f>
        <v>0</v>
      </c>
      <c r="BK46" s="296">
        <f>'CAR Passenger Kilometres'!AE46*'CAR Stock'!AE96</f>
        <v>0</v>
      </c>
    </row>
    <row r="47" spans="1:63">
      <c r="A47" s="1711"/>
      <c r="B47" s="116">
        <v>15</v>
      </c>
      <c r="C47" s="294">
        <f>'CAR Mileage'!C68*CAR!$I$58</f>
        <v>18924.365328259308</v>
      </c>
      <c r="D47" s="295">
        <f>'CAR Mileage'!D68*CAR!$I$58</f>
        <v>18924.365328259308</v>
      </c>
      <c r="E47" s="295">
        <f>'CAR Mileage'!E68*CAR!$I$58</f>
        <v>18924.365328259308</v>
      </c>
      <c r="F47" s="295">
        <f>'CAR Mileage'!F68*CAR!$I$58</f>
        <v>18924.365328259308</v>
      </c>
      <c r="G47" s="295">
        <f>'CAR Mileage'!G68*CAR!$I$58</f>
        <v>18924.365328259308</v>
      </c>
      <c r="H47" s="295">
        <f>'CAR Mileage'!H68*CAR!$I$58</f>
        <v>18924.365328259308</v>
      </c>
      <c r="I47" s="295">
        <f>'CAR Mileage'!I68*CAR!$I$58</f>
        <v>18924.365328259308</v>
      </c>
      <c r="J47" s="295">
        <f>'CAR Mileage'!J68*CAR!$I$58</f>
        <v>18924.365328259308</v>
      </c>
      <c r="K47" s="295">
        <f>'CAR Mileage'!K68*CAR!$I$58</f>
        <v>18924.365328259308</v>
      </c>
      <c r="L47" s="295">
        <f>'CAR Mileage'!L68*CAR!$I$58</f>
        <v>18924.365328259308</v>
      </c>
      <c r="M47" s="295">
        <f>'CAR Mileage'!M68*CAR!$I$58</f>
        <v>18924.365328259308</v>
      </c>
      <c r="N47" s="295">
        <f>'CAR Mileage'!N68*CAR!$I$58</f>
        <v>18924.365328259308</v>
      </c>
      <c r="O47" s="295">
        <f>'CAR Mileage'!O68*CAR!$I$58</f>
        <v>18924.365328259308</v>
      </c>
      <c r="P47" s="295">
        <f>'CAR Mileage'!P68*CAR!$I$58</f>
        <v>18924.365328259308</v>
      </c>
      <c r="Q47" s="295">
        <f>'CAR Mileage'!Q68*CAR!$I$58</f>
        <v>18924.365328259308</v>
      </c>
      <c r="R47" s="295">
        <f>'CAR Mileage'!R68*CAR!$I$58</f>
        <v>18924.365328259308</v>
      </c>
      <c r="S47" s="295">
        <f>'CAR Mileage'!S68*CAR!$I$58</f>
        <v>18924.365328259308</v>
      </c>
      <c r="T47" s="295">
        <f>'CAR Mileage'!T68*CAR!$I$58</f>
        <v>18924.365328259308</v>
      </c>
      <c r="U47" s="295">
        <f>'CAR Mileage'!U68*CAR!$I$58</f>
        <v>18924.365328259308</v>
      </c>
      <c r="V47" s="295">
        <f>'CAR Mileage'!V68*CAR!$I$58</f>
        <v>18924.365328259308</v>
      </c>
      <c r="W47" s="295">
        <f>'CAR Mileage'!W68*CAR!$I$58</f>
        <v>18924.365328259308</v>
      </c>
      <c r="X47" s="295">
        <f>'CAR Mileage'!X68*CAR!$I$58</f>
        <v>18924.365328259308</v>
      </c>
      <c r="Y47" s="295">
        <f>'CAR Mileage'!Y68*CAR!$I$58</f>
        <v>18924.365328259308</v>
      </c>
      <c r="Z47" s="295">
        <f>'CAR Mileage'!Z68*CAR!$I$58</f>
        <v>18924.365328259308</v>
      </c>
      <c r="AA47" s="295">
        <f>'CAR Mileage'!AA68*CAR!$I$58</f>
        <v>18924.365328259308</v>
      </c>
      <c r="AB47" s="295">
        <f>'CAR Mileage'!AB68*CAR!$I$58</f>
        <v>18924.365328259308</v>
      </c>
      <c r="AC47" s="295">
        <f>'CAR Mileage'!AC68*CAR!$I$58</f>
        <v>18924.365328259308</v>
      </c>
      <c r="AD47" s="295">
        <f>'CAR Mileage'!AD68*CAR!$I$58</f>
        <v>18924.365328259308</v>
      </c>
      <c r="AE47" s="296">
        <f>'CAR Mileage'!AE68*CAR!$I$58</f>
        <v>18924.365328259308</v>
      </c>
      <c r="AG47" s="1711"/>
      <c r="AH47" s="116">
        <v>15</v>
      </c>
      <c r="AI47" s="294">
        <f>'CAR Passenger Kilometres'!C47*'CAR Stock'!C97</f>
        <v>301427290.94851428</v>
      </c>
      <c r="AJ47" s="295">
        <f>'CAR Passenger Kilometres'!D47*'CAR Stock'!D97</f>
        <v>112811318.25380018</v>
      </c>
      <c r="AK47" s="295">
        <f>'CAR Passenger Kilometres'!E47*'CAR Stock'!E97</f>
        <v>71386678.27001974</v>
      </c>
      <c r="AL47" s="295">
        <f>'CAR Passenger Kilometres'!F47*'CAR Stock'!F97</f>
        <v>58954402.499407209</v>
      </c>
      <c r="AM47" s="295">
        <f>'CAR Passenger Kilometres'!G47*'CAR Stock'!G97</f>
        <v>29505180.407011312</v>
      </c>
      <c r="AN47" s="295">
        <f>'CAR Passenger Kilometres'!H47*'CAR Stock'!H97</f>
        <v>25017188.06124679</v>
      </c>
      <c r="AO47" s="295">
        <f>'CAR Passenger Kilometres'!I47*'CAR Stock'!I97</f>
        <v>21746178.125352398</v>
      </c>
      <c r="AP47" s="295">
        <f>'CAR Passenger Kilometres'!J47*'CAR Stock'!J97</f>
        <v>20987959.64294447</v>
      </c>
      <c r="AQ47" s="295">
        <f>'CAR Passenger Kilometres'!K47*'CAR Stock'!K97</f>
        <v>22512168.193287726</v>
      </c>
      <c r="AR47" s="295">
        <f>'CAR Passenger Kilometres'!L47*'CAR Stock'!L97</f>
        <v>22683017.281625945</v>
      </c>
      <c r="AS47" s="295">
        <f>'CAR Passenger Kilometres'!M47*'CAR Stock'!M97</f>
        <v>23485447.835870221</v>
      </c>
      <c r="AT47" s="295">
        <f>'CAR Passenger Kilometres'!N47*'CAR Stock'!N97</f>
        <v>18093898.736672204</v>
      </c>
      <c r="AU47" s="295">
        <f>'CAR Passenger Kilometres'!O47*'CAR Stock'!O97</f>
        <v>5297021.9396666232</v>
      </c>
      <c r="AV47" s="295">
        <f>'CAR Passenger Kilometres'!P47*'CAR Stock'!P97</f>
        <v>7271939.3726910399</v>
      </c>
      <c r="AW47" s="295">
        <f>'CAR Passenger Kilometres'!Q47*'CAR Stock'!Q97</f>
        <v>5991971.6125177955</v>
      </c>
      <c r="AX47" s="295">
        <f>'CAR Passenger Kilometres'!R47*'CAR Stock'!R97</f>
        <v>4284531.0309081385</v>
      </c>
      <c r="AY47" s="295">
        <f>'CAR Passenger Kilometres'!S47*'CAR Stock'!S97</f>
        <v>0</v>
      </c>
      <c r="AZ47" s="295">
        <f>'CAR Passenger Kilometres'!T47*'CAR Stock'!T97</f>
        <v>0</v>
      </c>
      <c r="BA47" s="295">
        <f>'CAR Passenger Kilometres'!U47*'CAR Stock'!U97</f>
        <v>0</v>
      </c>
      <c r="BB47" s="295">
        <f>'CAR Passenger Kilometres'!V47*'CAR Stock'!V97</f>
        <v>0</v>
      </c>
      <c r="BC47" s="295">
        <f>'CAR Passenger Kilometres'!W47*'CAR Stock'!W97</f>
        <v>0</v>
      </c>
      <c r="BD47" s="295">
        <f>'CAR Passenger Kilometres'!X47*'CAR Stock'!X97</f>
        <v>0</v>
      </c>
      <c r="BE47" s="295">
        <f>'CAR Passenger Kilometres'!Y47*'CAR Stock'!Y97</f>
        <v>0</v>
      </c>
      <c r="BF47" s="295">
        <f>'CAR Passenger Kilometres'!Z47*'CAR Stock'!Z97</f>
        <v>0</v>
      </c>
      <c r="BG47" s="295">
        <f>'CAR Passenger Kilometres'!AA47*'CAR Stock'!AA97</f>
        <v>0</v>
      </c>
      <c r="BH47" s="295">
        <f>'CAR Passenger Kilometres'!AB47*'CAR Stock'!AB97</f>
        <v>0</v>
      </c>
      <c r="BI47" s="295">
        <f>'CAR Passenger Kilometres'!AC47*'CAR Stock'!AC97</f>
        <v>0</v>
      </c>
      <c r="BJ47" s="295">
        <f>'CAR Passenger Kilometres'!AD47*'CAR Stock'!AD97</f>
        <v>0</v>
      </c>
      <c r="BK47" s="296">
        <f>'CAR Passenger Kilometres'!AE47*'CAR Stock'!AE97</f>
        <v>0</v>
      </c>
    </row>
    <row r="48" spans="1:63">
      <c r="A48" s="1711"/>
      <c r="B48" s="116">
        <v>16</v>
      </c>
      <c r="C48" s="294">
        <f>'CAR Mileage'!C69*CAR!$I$58</f>
        <v>18545.87802169412</v>
      </c>
      <c r="D48" s="295">
        <f>'CAR Mileage'!D69*CAR!$I$58</f>
        <v>18545.87802169412</v>
      </c>
      <c r="E48" s="295">
        <f>'CAR Mileage'!E69*CAR!$I$58</f>
        <v>18545.87802169412</v>
      </c>
      <c r="F48" s="295">
        <f>'CAR Mileage'!F69*CAR!$I$58</f>
        <v>18545.87802169412</v>
      </c>
      <c r="G48" s="295">
        <f>'CAR Mileage'!G69*CAR!$I$58</f>
        <v>18545.87802169412</v>
      </c>
      <c r="H48" s="295">
        <f>'CAR Mileage'!H69*CAR!$I$58</f>
        <v>18545.87802169412</v>
      </c>
      <c r="I48" s="295">
        <f>'CAR Mileage'!I69*CAR!$I$58</f>
        <v>18545.87802169412</v>
      </c>
      <c r="J48" s="295">
        <f>'CAR Mileage'!J69*CAR!$I$58</f>
        <v>18545.87802169412</v>
      </c>
      <c r="K48" s="295">
        <f>'CAR Mileage'!K69*CAR!$I$58</f>
        <v>18545.87802169412</v>
      </c>
      <c r="L48" s="295">
        <f>'CAR Mileage'!L69*CAR!$I$58</f>
        <v>18545.87802169412</v>
      </c>
      <c r="M48" s="295">
        <f>'CAR Mileage'!M69*CAR!$I$58</f>
        <v>18545.87802169412</v>
      </c>
      <c r="N48" s="295">
        <f>'CAR Mileage'!N69*CAR!$I$58</f>
        <v>18545.87802169412</v>
      </c>
      <c r="O48" s="295">
        <f>'CAR Mileage'!O69*CAR!$I$58</f>
        <v>18545.87802169412</v>
      </c>
      <c r="P48" s="295">
        <f>'CAR Mileage'!P69*CAR!$I$58</f>
        <v>18545.87802169412</v>
      </c>
      <c r="Q48" s="295">
        <f>'CAR Mileage'!Q69*CAR!$I$58</f>
        <v>18545.87802169412</v>
      </c>
      <c r="R48" s="295">
        <f>'CAR Mileage'!R69*CAR!$I$58</f>
        <v>18545.87802169412</v>
      </c>
      <c r="S48" s="295">
        <f>'CAR Mileage'!S69*CAR!$I$58</f>
        <v>18545.87802169412</v>
      </c>
      <c r="T48" s="295">
        <f>'CAR Mileage'!T69*CAR!$I$58</f>
        <v>18545.87802169412</v>
      </c>
      <c r="U48" s="295">
        <f>'CAR Mileage'!U69*CAR!$I$58</f>
        <v>18545.87802169412</v>
      </c>
      <c r="V48" s="295">
        <f>'CAR Mileage'!V69*CAR!$I$58</f>
        <v>18545.87802169412</v>
      </c>
      <c r="W48" s="295">
        <f>'CAR Mileage'!W69*CAR!$I$58</f>
        <v>18545.87802169412</v>
      </c>
      <c r="X48" s="295">
        <f>'CAR Mileage'!X69*CAR!$I$58</f>
        <v>18545.87802169412</v>
      </c>
      <c r="Y48" s="295">
        <f>'CAR Mileage'!Y69*CAR!$I$58</f>
        <v>18545.87802169412</v>
      </c>
      <c r="Z48" s="295">
        <f>'CAR Mileage'!Z69*CAR!$I$58</f>
        <v>18545.87802169412</v>
      </c>
      <c r="AA48" s="295">
        <f>'CAR Mileage'!AA69*CAR!$I$58</f>
        <v>18545.87802169412</v>
      </c>
      <c r="AB48" s="295">
        <f>'CAR Mileage'!AB69*CAR!$I$58</f>
        <v>18545.87802169412</v>
      </c>
      <c r="AC48" s="295">
        <f>'CAR Mileage'!AC69*CAR!$I$58</f>
        <v>18545.87802169412</v>
      </c>
      <c r="AD48" s="295">
        <f>'CAR Mileage'!AD69*CAR!$I$58</f>
        <v>18545.87802169412</v>
      </c>
      <c r="AE48" s="296">
        <f>'CAR Mileage'!AE69*CAR!$I$58</f>
        <v>18545.87802169412</v>
      </c>
      <c r="AG48" s="1711"/>
      <c r="AH48" s="116">
        <v>16</v>
      </c>
      <c r="AI48" s="294">
        <f>'CAR Passenger Kilometres'!C48*'CAR Stock'!C98</f>
        <v>234932487.49960503</v>
      </c>
      <c r="AJ48" s="295">
        <f>'CAR Passenger Kilometres'!D48*'CAR Stock'!D98</f>
        <v>73144844.844382644</v>
      </c>
      <c r="AK48" s="295">
        <f>'CAR Passenger Kilometres'!E48*'CAR Stock'!E98</f>
        <v>27374981.025768857</v>
      </c>
      <c r="AL48" s="295">
        <f>'CAR Passenger Kilometres'!F48*'CAR Stock'!F98</f>
        <v>17322809.389904693</v>
      </c>
      <c r="AM48" s="295">
        <f>'CAR Passenger Kilometres'!G48*'CAR Stock'!G98</f>
        <v>14305972.794112325</v>
      </c>
      <c r="AN48" s="295">
        <f>'CAR Passenger Kilometres'!H48*'CAR Stock'!H98</f>
        <v>7159775.8656331748</v>
      </c>
      <c r="AO48" s="295">
        <f>'CAR Passenger Kilometres'!I48*'CAR Stock'!I98</f>
        <v>6070712.2219241699</v>
      </c>
      <c r="AP48" s="295">
        <f>'CAR Passenger Kilometres'!J48*'CAR Stock'!J98</f>
        <v>5276963.5421263082</v>
      </c>
      <c r="AQ48" s="295">
        <f>'CAR Passenger Kilometres'!K48*'CAR Stock'!K98</f>
        <v>5092972.991438766</v>
      </c>
      <c r="AR48" s="295">
        <f>'CAR Passenger Kilometres'!L48*'CAR Stock'!L98</f>
        <v>5462839.9586085752</v>
      </c>
      <c r="AS48" s="295">
        <f>'CAR Passenger Kilometres'!M48*'CAR Stock'!M98</f>
        <v>5504298.4808909455</v>
      </c>
      <c r="AT48" s="295">
        <f>'CAR Passenger Kilometres'!N48*'CAR Stock'!N98</f>
        <v>5699017.6060368326</v>
      </c>
      <c r="AU48" s="295">
        <f>'CAR Passenger Kilometres'!O48*'CAR Stock'!O98</f>
        <v>4390695.3864702247</v>
      </c>
      <c r="AV48" s="295">
        <f>'CAR Passenger Kilometres'!P48*'CAR Stock'!P98</f>
        <v>1285384.1027300509</v>
      </c>
      <c r="AW48" s="295">
        <f>'CAR Passenger Kilometres'!Q48*'CAR Stock'!Q98</f>
        <v>1764620.8326375338</v>
      </c>
      <c r="AX48" s="295">
        <f>'CAR Passenger Kilometres'!R48*'CAR Stock'!R98</f>
        <v>1454021.7394728896</v>
      </c>
      <c r="AY48" s="295">
        <f>'CAR Passenger Kilometres'!S48*'CAR Stock'!S98</f>
        <v>1039691.3846140358</v>
      </c>
      <c r="AZ48" s="295">
        <f>'CAR Passenger Kilometres'!T48*'CAR Stock'!T98</f>
        <v>0</v>
      </c>
      <c r="BA48" s="295">
        <f>'CAR Passenger Kilometres'!U48*'CAR Stock'!U98</f>
        <v>0</v>
      </c>
      <c r="BB48" s="295">
        <f>'CAR Passenger Kilometres'!V48*'CAR Stock'!V98</f>
        <v>0</v>
      </c>
      <c r="BC48" s="295">
        <f>'CAR Passenger Kilometres'!W48*'CAR Stock'!W98</f>
        <v>0</v>
      </c>
      <c r="BD48" s="295">
        <f>'CAR Passenger Kilometres'!X48*'CAR Stock'!X98</f>
        <v>0</v>
      </c>
      <c r="BE48" s="295">
        <f>'CAR Passenger Kilometres'!Y48*'CAR Stock'!Y98</f>
        <v>0</v>
      </c>
      <c r="BF48" s="295">
        <f>'CAR Passenger Kilometres'!Z48*'CAR Stock'!Z98</f>
        <v>0</v>
      </c>
      <c r="BG48" s="295">
        <f>'CAR Passenger Kilometres'!AA48*'CAR Stock'!AA98</f>
        <v>0</v>
      </c>
      <c r="BH48" s="295">
        <f>'CAR Passenger Kilometres'!AB48*'CAR Stock'!AB98</f>
        <v>0</v>
      </c>
      <c r="BI48" s="295">
        <f>'CAR Passenger Kilometres'!AC48*'CAR Stock'!AC98</f>
        <v>0</v>
      </c>
      <c r="BJ48" s="295">
        <f>'CAR Passenger Kilometres'!AD48*'CAR Stock'!AD98</f>
        <v>0</v>
      </c>
      <c r="BK48" s="296">
        <f>'CAR Passenger Kilometres'!AE48*'CAR Stock'!AE98</f>
        <v>0</v>
      </c>
    </row>
    <row r="49" spans="1:63">
      <c r="A49" s="1711"/>
      <c r="B49" s="116">
        <v>17</v>
      </c>
      <c r="C49" s="294">
        <f>'CAR Mileage'!C70*CAR!$I$58</f>
        <v>18545.87802169412</v>
      </c>
      <c r="D49" s="295">
        <f>'CAR Mileage'!D70*CAR!$I$58</f>
        <v>18545.87802169412</v>
      </c>
      <c r="E49" s="295">
        <f>'CAR Mileage'!E70*CAR!$I$58</f>
        <v>18545.87802169412</v>
      </c>
      <c r="F49" s="295">
        <f>'CAR Mileage'!F70*CAR!$I$58</f>
        <v>18545.87802169412</v>
      </c>
      <c r="G49" s="295">
        <f>'CAR Mileage'!G70*CAR!$I$58</f>
        <v>18545.87802169412</v>
      </c>
      <c r="H49" s="295">
        <f>'CAR Mileage'!H70*CAR!$I$58</f>
        <v>18545.87802169412</v>
      </c>
      <c r="I49" s="295">
        <f>'CAR Mileage'!I70*CAR!$I$58</f>
        <v>18545.87802169412</v>
      </c>
      <c r="J49" s="295">
        <f>'CAR Mileage'!J70*CAR!$I$58</f>
        <v>18545.87802169412</v>
      </c>
      <c r="K49" s="295">
        <f>'CAR Mileage'!K70*CAR!$I$58</f>
        <v>18545.87802169412</v>
      </c>
      <c r="L49" s="295">
        <f>'CAR Mileage'!L70*CAR!$I$58</f>
        <v>18545.87802169412</v>
      </c>
      <c r="M49" s="295">
        <f>'CAR Mileage'!M70*CAR!$I$58</f>
        <v>18545.87802169412</v>
      </c>
      <c r="N49" s="295">
        <f>'CAR Mileage'!N70*CAR!$I$58</f>
        <v>18545.87802169412</v>
      </c>
      <c r="O49" s="295">
        <f>'CAR Mileage'!O70*CAR!$I$58</f>
        <v>18545.87802169412</v>
      </c>
      <c r="P49" s="295">
        <f>'CAR Mileage'!P70*CAR!$I$58</f>
        <v>18545.87802169412</v>
      </c>
      <c r="Q49" s="295">
        <f>'CAR Mileage'!Q70*CAR!$I$58</f>
        <v>18545.87802169412</v>
      </c>
      <c r="R49" s="295">
        <f>'CAR Mileage'!R70*CAR!$I$58</f>
        <v>18545.87802169412</v>
      </c>
      <c r="S49" s="295">
        <f>'CAR Mileage'!S70*CAR!$I$58</f>
        <v>18545.87802169412</v>
      </c>
      <c r="T49" s="295">
        <f>'CAR Mileage'!T70*CAR!$I$58</f>
        <v>18545.87802169412</v>
      </c>
      <c r="U49" s="295">
        <f>'CAR Mileage'!U70*CAR!$I$58</f>
        <v>18545.87802169412</v>
      </c>
      <c r="V49" s="295">
        <f>'CAR Mileage'!V70*CAR!$I$58</f>
        <v>18545.87802169412</v>
      </c>
      <c r="W49" s="295">
        <f>'CAR Mileage'!W70*CAR!$I$58</f>
        <v>18545.87802169412</v>
      </c>
      <c r="X49" s="295">
        <f>'CAR Mileage'!X70*CAR!$I$58</f>
        <v>18545.87802169412</v>
      </c>
      <c r="Y49" s="295">
        <f>'CAR Mileage'!Y70*CAR!$I$58</f>
        <v>18545.87802169412</v>
      </c>
      <c r="Z49" s="295">
        <f>'CAR Mileage'!Z70*CAR!$I$58</f>
        <v>18545.87802169412</v>
      </c>
      <c r="AA49" s="295">
        <f>'CAR Mileage'!AA70*CAR!$I$58</f>
        <v>18545.87802169412</v>
      </c>
      <c r="AB49" s="295">
        <f>'CAR Mileage'!AB70*CAR!$I$58</f>
        <v>18545.87802169412</v>
      </c>
      <c r="AC49" s="295">
        <f>'CAR Mileage'!AC70*CAR!$I$58</f>
        <v>18545.87802169412</v>
      </c>
      <c r="AD49" s="295">
        <f>'CAR Mileage'!AD70*CAR!$I$58</f>
        <v>18545.87802169412</v>
      </c>
      <c r="AE49" s="296">
        <f>'CAR Mileage'!AE70*CAR!$I$58</f>
        <v>18545.87802169412</v>
      </c>
      <c r="AG49" s="1711"/>
      <c r="AH49" s="116">
        <v>17</v>
      </c>
      <c r="AI49" s="294">
        <f>'CAR Passenger Kilometres'!C49*'CAR Stock'!C99</f>
        <v>86426832.214371562</v>
      </c>
      <c r="AJ49" s="295">
        <f>'CAR Passenger Kilometres'!D49*'CAR Stock'!D99</f>
        <v>51708939.580490917</v>
      </c>
      <c r="AK49" s="295">
        <f>'CAR Passenger Kilometres'!E49*'CAR Stock'!E99</f>
        <v>16099273.467612365</v>
      </c>
      <c r="AL49" s="295">
        <f>'CAR Passenger Kilometres'!F49*'CAR Stock'!F99</f>
        <v>6025268.1736107143</v>
      </c>
      <c r="AM49" s="295">
        <f>'CAR Passenger Kilometres'!G49*'CAR Stock'!G99</f>
        <v>3812772.3995960681</v>
      </c>
      <c r="AN49" s="295">
        <f>'CAR Passenger Kilometres'!H49*'CAR Stock'!H99</f>
        <v>3148762.8242651829</v>
      </c>
      <c r="AO49" s="295">
        <f>'CAR Passenger Kilometres'!I49*'CAR Stock'!I99</f>
        <v>1575875.7828097541</v>
      </c>
      <c r="AP49" s="295">
        <f>'CAR Passenger Kilometres'!J49*'CAR Stock'!J99</f>
        <v>1336171.488392181</v>
      </c>
      <c r="AQ49" s="295">
        <f>'CAR Passenger Kilometres'!K49*'CAR Stock'!K99</f>
        <v>1161466.3934834527</v>
      </c>
      <c r="AR49" s="295">
        <f>'CAR Passenger Kilometres'!L49*'CAR Stock'!L99</f>
        <v>1120969.8390471519</v>
      </c>
      <c r="AS49" s="295">
        <f>'CAR Passenger Kilometres'!M49*'CAR Stock'!M99</f>
        <v>1202378.0293819825</v>
      </c>
      <c r="AT49" s="295">
        <f>'CAR Passenger Kilometres'!N49*'CAR Stock'!N99</f>
        <v>1211503.1029152847</v>
      </c>
      <c r="AU49" s="295">
        <f>'CAR Passenger Kilometres'!O49*'CAR Stock'!O99</f>
        <v>1254361.030247926</v>
      </c>
      <c r="AV49" s="295">
        <f>'CAR Passenger Kilometres'!P49*'CAR Stock'!P99</f>
        <v>966397.64415600791</v>
      </c>
      <c r="AW49" s="295">
        <f>'CAR Passenger Kilometres'!Q49*'CAR Stock'!Q99</f>
        <v>282914.67737472226</v>
      </c>
      <c r="AX49" s="295">
        <f>'CAR Passenger Kilometres'!R49*'CAR Stock'!R99</f>
        <v>388395.29172176844</v>
      </c>
      <c r="AY49" s="295">
        <f>'CAR Passenger Kilometres'!S49*'CAR Stock'!S99</f>
        <v>320032.03590670001</v>
      </c>
      <c r="AZ49" s="295">
        <f>'CAR Passenger Kilometres'!T49*'CAR Stock'!T99</f>
        <v>228837.39733720099</v>
      </c>
      <c r="BA49" s="295">
        <f>'CAR Passenger Kilometres'!U49*'CAR Stock'!U99</f>
        <v>0</v>
      </c>
      <c r="BB49" s="295">
        <f>'CAR Passenger Kilometres'!V49*'CAR Stock'!V99</f>
        <v>0</v>
      </c>
      <c r="BC49" s="295">
        <f>'CAR Passenger Kilometres'!W49*'CAR Stock'!W99</f>
        <v>0</v>
      </c>
      <c r="BD49" s="295">
        <f>'CAR Passenger Kilometres'!X49*'CAR Stock'!X99</f>
        <v>0</v>
      </c>
      <c r="BE49" s="295">
        <f>'CAR Passenger Kilometres'!Y49*'CAR Stock'!Y99</f>
        <v>0</v>
      </c>
      <c r="BF49" s="295">
        <f>'CAR Passenger Kilometres'!Z49*'CAR Stock'!Z99</f>
        <v>0</v>
      </c>
      <c r="BG49" s="295">
        <f>'CAR Passenger Kilometres'!AA49*'CAR Stock'!AA99</f>
        <v>0</v>
      </c>
      <c r="BH49" s="295">
        <f>'CAR Passenger Kilometres'!AB49*'CAR Stock'!AB99</f>
        <v>0</v>
      </c>
      <c r="BI49" s="295">
        <f>'CAR Passenger Kilometres'!AC49*'CAR Stock'!AC99</f>
        <v>0</v>
      </c>
      <c r="BJ49" s="295">
        <f>'CAR Passenger Kilometres'!AD49*'CAR Stock'!AD99</f>
        <v>0</v>
      </c>
      <c r="BK49" s="296">
        <f>'CAR Passenger Kilometres'!AE49*'CAR Stock'!AE99</f>
        <v>0</v>
      </c>
    </row>
    <row r="50" spans="1:63">
      <c r="A50" s="1711"/>
      <c r="B50" s="116">
        <v>18</v>
      </c>
      <c r="C50" s="294">
        <f>'CAR Mileage'!C71*CAR!$I$58</f>
        <v>18545.87802169412</v>
      </c>
      <c r="D50" s="295">
        <f>'CAR Mileage'!D71*CAR!$I$58</f>
        <v>18545.87802169412</v>
      </c>
      <c r="E50" s="295">
        <f>'CAR Mileage'!E71*CAR!$I$58</f>
        <v>18545.87802169412</v>
      </c>
      <c r="F50" s="295">
        <f>'CAR Mileage'!F71*CAR!$I$58</f>
        <v>18545.87802169412</v>
      </c>
      <c r="G50" s="295">
        <f>'CAR Mileage'!G71*CAR!$I$58</f>
        <v>18545.87802169412</v>
      </c>
      <c r="H50" s="295">
        <f>'CAR Mileage'!H71*CAR!$I$58</f>
        <v>18545.87802169412</v>
      </c>
      <c r="I50" s="295">
        <f>'CAR Mileage'!I71*CAR!$I$58</f>
        <v>18545.87802169412</v>
      </c>
      <c r="J50" s="295">
        <f>'CAR Mileage'!J71*CAR!$I$58</f>
        <v>18545.87802169412</v>
      </c>
      <c r="K50" s="295">
        <f>'CAR Mileage'!K71*CAR!$I$58</f>
        <v>18545.87802169412</v>
      </c>
      <c r="L50" s="295">
        <f>'CAR Mileage'!L71*CAR!$I$58</f>
        <v>18545.87802169412</v>
      </c>
      <c r="M50" s="295">
        <f>'CAR Mileage'!M71*CAR!$I$58</f>
        <v>18545.87802169412</v>
      </c>
      <c r="N50" s="295">
        <f>'CAR Mileage'!N71*CAR!$I$58</f>
        <v>18545.87802169412</v>
      </c>
      <c r="O50" s="295">
        <f>'CAR Mileage'!O71*CAR!$I$58</f>
        <v>18545.87802169412</v>
      </c>
      <c r="P50" s="295">
        <f>'CAR Mileage'!P71*CAR!$I$58</f>
        <v>18545.87802169412</v>
      </c>
      <c r="Q50" s="295">
        <f>'CAR Mileage'!Q71*CAR!$I$58</f>
        <v>18545.87802169412</v>
      </c>
      <c r="R50" s="295">
        <f>'CAR Mileage'!R71*CAR!$I$58</f>
        <v>18545.87802169412</v>
      </c>
      <c r="S50" s="295">
        <f>'CAR Mileage'!S71*CAR!$I$58</f>
        <v>18545.87802169412</v>
      </c>
      <c r="T50" s="295">
        <f>'CAR Mileage'!T71*CAR!$I$58</f>
        <v>18545.87802169412</v>
      </c>
      <c r="U50" s="295">
        <f>'CAR Mileage'!U71*CAR!$I$58</f>
        <v>18545.87802169412</v>
      </c>
      <c r="V50" s="295">
        <f>'CAR Mileage'!V71*CAR!$I$58</f>
        <v>18545.87802169412</v>
      </c>
      <c r="W50" s="295">
        <f>'CAR Mileage'!W71*CAR!$I$58</f>
        <v>18545.87802169412</v>
      </c>
      <c r="X50" s="295">
        <f>'CAR Mileage'!X71*CAR!$I$58</f>
        <v>18545.87802169412</v>
      </c>
      <c r="Y50" s="295">
        <f>'CAR Mileage'!Y71*CAR!$I$58</f>
        <v>18545.87802169412</v>
      </c>
      <c r="Z50" s="295">
        <f>'CAR Mileage'!Z71*CAR!$I$58</f>
        <v>18545.87802169412</v>
      </c>
      <c r="AA50" s="295">
        <f>'CAR Mileage'!AA71*CAR!$I$58</f>
        <v>18545.87802169412</v>
      </c>
      <c r="AB50" s="295">
        <f>'CAR Mileage'!AB71*CAR!$I$58</f>
        <v>18545.87802169412</v>
      </c>
      <c r="AC50" s="295">
        <f>'CAR Mileage'!AC71*CAR!$I$58</f>
        <v>18545.87802169412</v>
      </c>
      <c r="AD50" s="295">
        <f>'CAR Mileage'!AD71*CAR!$I$58</f>
        <v>18545.87802169412</v>
      </c>
      <c r="AE50" s="296">
        <f>'CAR Mileage'!AE71*CAR!$I$58</f>
        <v>18545.87802169412</v>
      </c>
      <c r="AG50" s="1711"/>
      <c r="AH50" s="116">
        <v>18</v>
      </c>
      <c r="AI50" s="294">
        <f>'CAR Passenger Kilometres'!C50*'CAR Stock'!C100</f>
        <v>31794654.737241015</v>
      </c>
      <c r="AJ50" s="295">
        <f>'CAR Passenger Kilometres'!D50*'CAR Stock'!D100</f>
        <v>16644823.821884017</v>
      </c>
      <c r="AK50" s="295">
        <f>'CAR Passenger Kilometres'!E50*'CAR Stock'!E100</f>
        <v>9958553.0012124702</v>
      </c>
      <c r="AL50" s="295">
        <f>'CAR Passenger Kilometres'!F50*'CAR Stock'!F100</f>
        <v>3100536.7622878123</v>
      </c>
      <c r="AM50" s="295">
        <f>'CAR Passenger Kilometres'!G50*'CAR Stock'!G100</f>
        <v>1160398.0460674397</v>
      </c>
      <c r="AN50" s="295">
        <f>'CAR Passenger Kilometres'!H50*'CAR Stock'!H100</f>
        <v>734296.55164042371</v>
      </c>
      <c r="AO50" s="295">
        <f>'CAR Passenger Kilometres'!I50*'CAR Stock'!I100</f>
        <v>606415.86789613671</v>
      </c>
      <c r="AP50" s="295">
        <f>'CAR Passenger Kilometres'!J50*'CAR Stock'!J100</f>
        <v>303495.73272546963</v>
      </c>
      <c r="AQ50" s="295">
        <f>'CAR Passenger Kilometres'!K50*'CAR Stock'!K100</f>
        <v>257331.41491230248</v>
      </c>
      <c r="AR50" s="295">
        <f>'CAR Passenger Kilometres'!L50*'CAR Stock'!L100</f>
        <v>223685.20283862014</v>
      </c>
      <c r="AS50" s="295">
        <f>'CAR Passenger Kilometres'!M50*'CAR Stock'!M100</f>
        <v>215886.02755109317</v>
      </c>
      <c r="AT50" s="295">
        <f>'CAR Passenger Kilometres'!N50*'CAR Stock'!N100</f>
        <v>231564.31808962265</v>
      </c>
      <c r="AU50" s="295">
        <f>'CAR Passenger Kilometres'!O50*'CAR Stock'!O100</f>
        <v>233321.70335334283</v>
      </c>
      <c r="AV50" s="295">
        <f>'CAR Passenger Kilometres'!P50*'CAR Stock'!P100</f>
        <v>241575.65217393028</v>
      </c>
      <c r="AW50" s="295">
        <f>'CAR Passenger Kilometres'!Q50*'CAR Stock'!Q100</f>
        <v>186117.18278603896</v>
      </c>
      <c r="AX50" s="295">
        <f>'CAR Passenger Kilometres'!R50*'CAR Stock'!R100</f>
        <v>54486.145573947782</v>
      </c>
      <c r="AY50" s="295">
        <f>'CAR Passenger Kilometres'!S50*'CAR Stock'!S100</f>
        <v>74800.510886746168</v>
      </c>
      <c r="AZ50" s="295">
        <f>'CAR Passenger Kilometres'!T50*'CAR Stock'!T100</f>
        <v>61634.526206088318</v>
      </c>
      <c r="BA50" s="295">
        <f>'CAR Passenger Kilometres'!U50*'CAR Stock'!U100</f>
        <v>44071.477166819095</v>
      </c>
      <c r="BB50" s="295">
        <f>'CAR Passenger Kilometres'!V50*'CAR Stock'!V100</f>
        <v>0</v>
      </c>
      <c r="BC50" s="295">
        <f>'CAR Passenger Kilometres'!W50*'CAR Stock'!W100</f>
        <v>0</v>
      </c>
      <c r="BD50" s="295">
        <f>'CAR Passenger Kilometres'!X50*'CAR Stock'!X100</f>
        <v>0</v>
      </c>
      <c r="BE50" s="295">
        <f>'CAR Passenger Kilometres'!Y50*'CAR Stock'!Y100</f>
        <v>0</v>
      </c>
      <c r="BF50" s="295">
        <f>'CAR Passenger Kilometres'!Z50*'CAR Stock'!Z100</f>
        <v>0</v>
      </c>
      <c r="BG50" s="295">
        <f>'CAR Passenger Kilometres'!AA50*'CAR Stock'!AA100</f>
        <v>0</v>
      </c>
      <c r="BH50" s="295">
        <f>'CAR Passenger Kilometres'!AB50*'CAR Stock'!AB100</f>
        <v>0</v>
      </c>
      <c r="BI50" s="295">
        <f>'CAR Passenger Kilometres'!AC50*'CAR Stock'!AC100</f>
        <v>0</v>
      </c>
      <c r="BJ50" s="295">
        <f>'CAR Passenger Kilometres'!AD50*'CAR Stock'!AD100</f>
        <v>0</v>
      </c>
      <c r="BK50" s="296">
        <f>'CAR Passenger Kilometres'!AE50*'CAR Stock'!AE100</f>
        <v>0</v>
      </c>
    </row>
    <row r="51" spans="1:63">
      <c r="A51" s="1711"/>
      <c r="B51" s="116">
        <v>19</v>
      </c>
      <c r="C51" s="294">
        <f>'CAR Mileage'!C72*CAR!$I$58</f>
        <v>18545.87802169412</v>
      </c>
      <c r="D51" s="295">
        <f>'CAR Mileage'!D72*CAR!$I$58</f>
        <v>18545.87802169412</v>
      </c>
      <c r="E51" s="295">
        <f>'CAR Mileage'!E72*CAR!$I$58</f>
        <v>18545.87802169412</v>
      </c>
      <c r="F51" s="295">
        <f>'CAR Mileage'!F72*CAR!$I$58</f>
        <v>18545.87802169412</v>
      </c>
      <c r="G51" s="295">
        <f>'CAR Mileage'!G72*CAR!$I$58</f>
        <v>18545.87802169412</v>
      </c>
      <c r="H51" s="295">
        <f>'CAR Mileage'!H72*CAR!$I$58</f>
        <v>18545.87802169412</v>
      </c>
      <c r="I51" s="295">
        <f>'CAR Mileage'!I72*CAR!$I$58</f>
        <v>18545.87802169412</v>
      </c>
      <c r="J51" s="295">
        <f>'CAR Mileage'!J72*CAR!$I$58</f>
        <v>18545.87802169412</v>
      </c>
      <c r="K51" s="295">
        <f>'CAR Mileage'!K72*CAR!$I$58</f>
        <v>18545.87802169412</v>
      </c>
      <c r="L51" s="295">
        <f>'CAR Mileage'!L72*CAR!$I$58</f>
        <v>18545.87802169412</v>
      </c>
      <c r="M51" s="295">
        <f>'CAR Mileage'!M72*CAR!$I$58</f>
        <v>18545.87802169412</v>
      </c>
      <c r="N51" s="295">
        <f>'CAR Mileage'!N72*CAR!$I$58</f>
        <v>18545.87802169412</v>
      </c>
      <c r="O51" s="295">
        <f>'CAR Mileage'!O72*CAR!$I$58</f>
        <v>18545.87802169412</v>
      </c>
      <c r="P51" s="295">
        <f>'CAR Mileage'!P72*CAR!$I$58</f>
        <v>18545.87802169412</v>
      </c>
      <c r="Q51" s="295">
        <f>'CAR Mileage'!Q72*CAR!$I$58</f>
        <v>18545.87802169412</v>
      </c>
      <c r="R51" s="295">
        <f>'CAR Mileage'!R72*CAR!$I$58</f>
        <v>18545.87802169412</v>
      </c>
      <c r="S51" s="295">
        <f>'CAR Mileage'!S72*CAR!$I$58</f>
        <v>18545.87802169412</v>
      </c>
      <c r="T51" s="295">
        <f>'CAR Mileage'!T72*CAR!$I$58</f>
        <v>18545.87802169412</v>
      </c>
      <c r="U51" s="295">
        <f>'CAR Mileage'!U72*CAR!$I$58</f>
        <v>18545.87802169412</v>
      </c>
      <c r="V51" s="295">
        <f>'CAR Mileage'!V72*CAR!$I$58</f>
        <v>18545.87802169412</v>
      </c>
      <c r="W51" s="295">
        <f>'CAR Mileage'!W72*CAR!$I$58</f>
        <v>18545.87802169412</v>
      </c>
      <c r="X51" s="295">
        <f>'CAR Mileage'!X72*CAR!$I$58</f>
        <v>18545.87802169412</v>
      </c>
      <c r="Y51" s="295">
        <f>'CAR Mileage'!Y72*CAR!$I$58</f>
        <v>18545.87802169412</v>
      </c>
      <c r="Z51" s="295">
        <f>'CAR Mileage'!Z72*CAR!$I$58</f>
        <v>18545.87802169412</v>
      </c>
      <c r="AA51" s="295">
        <f>'CAR Mileage'!AA72*CAR!$I$58</f>
        <v>18545.87802169412</v>
      </c>
      <c r="AB51" s="295">
        <f>'CAR Mileage'!AB72*CAR!$I$58</f>
        <v>18545.87802169412</v>
      </c>
      <c r="AC51" s="295">
        <f>'CAR Mileage'!AC72*CAR!$I$58</f>
        <v>18545.87802169412</v>
      </c>
      <c r="AD51" s="295">
        <f>'CAR Mileage'!AD72*CAR!$I$58</f>
        <v>18545.87802169412</v>
      </c>
      <c r="AE51" s="296">
        <f>'CAR Mileage'!AE72*CAR!$I$58</f>
        <v>18545.87802169412</v>
      </c>
      <c r="AG51" s="1711"/>
      <c r="AH51" s="116">
        <v>19</v>
      </c>
      <c r="AI51" s="294">
        <f>'CAR Passenger Kilometres'!C51*'CAR Stock'!C101</f>
        <v>11696599.816975174</v>
      </c>
      <c r="AJ51" s="295">
        <f>'CAR Passenger Kilometres'!D51*'CAR Stock'!D101</f>
        <v>5248532.9879929749</v>
      </c>
      <c r="AK51" s="295">
        <f>'CAR Passenger Kilometres'!E51*'CAR Stock'!E101</f>
        <v>2747660.1847216762</v>
      </c>
      <c r="AL51" s="295">
        <f>'CAR Passenger Kilometres'!F51*'CAR Stock'!F101</f>
        <v>1643917.6450096476</v>
      </c>
      <c r="AM51" s="295">
        <f>'CAR Passenger Kilometres'!G51*'CAR Stock'!G101</f>
        <v>511824.06639854674</v>
      </c>
      <c r="AN51" s="295">
        <f>'CAR Passenger Kilometres'!H51*'CAR Stock'!H101</f>
        <v>191553.81539192784</v>
      </c>
      <c r="AO51" s="295">
        <f>'CAR Passenger Kilometres'!I51*'CAR Stock'!I101</f>
        <v>121214.70436161372</v>
      </c>
      <c r="AP51" s="295">
        <f>'CAR Passenger Kilometres'!J51*'CAR Stock'!J101</f>
        <v>100104.6783932289</v>
      </c>
      <c r="AQ51" s="295">
        <f>'CAR Passenger Kilometres'!K51*'CAR Stock'!K101</f>
        <v>50099.847854581574</v>
      </c>
      <c r="AR51" s="295">
        <f>'CAR Passenger Kilometres'!L51*'CAR Stock'!L101</f>
        <v>42479.22901430841</v>
      </c>
      <c r="AS51" s="295">
        <f>'CAR Passenger Kilometres'!M51*'CAR Stock'!M101</f>
        <v>36925.048431152522</v>
      </c>
      <c r="AT51" s="295">
        <f>'CAR Passenger Kilometres'!N51*'CAR Stock'!N101</f>
        <v>35637.592123983421</v>
      </c>
      <c r="AU51" s="295">
        <f>'CAR Passenger Kilometres'!O51*'CAR Stock'!O101</f>
        <v>38225.70090411829</v>
      </c>
      <c r="AV51" s="295">
        <f>'CAR Passenger Kilometres'!P51*'CAR Stock'!P101</f>
        <v>38515.802954462124</v>
      </c>
      <c r="AW51" s="295">
        <f>'CAR Passenger Kilometres'!Q51*'CAR Stock'!Q101</f>
        <v>39878.331436814762</v>
      </c>
      <c r="AX51" s="295">
        <f>'CAR Passenger Kilometres'!R51*'CAR Stock'!R101</f>
        <v>30723.471651373853</v>
      </c>
      <c r="AY51" s="295">
        <f>'CAR Passenger Kilometres'!S51*'CAR Stock'!S101</f>
        <v>8994.3525034883769</v>
      </c>
      <c r="AZ51" s="295">
        <f>'CAR Passenger Kilometres'!T51*'CAR Stock'!T101</f>
        <v>12347.765753467093</v>
      </c>
      <c r="BA51" s="295">
        <f>'CAR Passenger Kilometres'!U51*'CAR Stock'!U101</f>
        <v>10174.378261546834</v>
      </c>
      <c r="BB51" s="295">
        <f>'CAR Passenger Kilometres'!V51*'CAR Stock'!V101</f>
        <v>7275.1411723523306</v>
      </c>
      <c r="BC51" s="295">
        <f>'CAR Passenger Kilometres'!W51*'CAR Stock'!W101</f>
        <v>0</v>
      </c>
      <c r="BD51" s="295">
        <f>'CAR Passenger Kilometres'!X51*'CAR Stock'!X101</f>
        <v>0</v>
      </c>
      <c r="BE51" s="295">
        <f>'CAR Passenger Kilometres'!Y51*'CAR Stock'!Y101</f>
        <v>0</v>
      </c>
      <c r="BF51" s="295">
        <f>'CAR Passenger Kilometres'!Z51*'CAR Stock'!Z101</f>
        <v>0</v>
      </c>
      <c r="BG51" s="295">
        <f>'CAR Passenger Kilometres'!AA51*'CAR Stock'!AA101</f>
        <v>0</v>
      </c>
      <c r="BH51" s="295">
        <f>'CAR Passenger Kilometres'!AB51*'CAR Stock'!AB101</f>
        <v>0</v>
      </c>
      <c r="BI51" s="295">
        <f>'CAR Passenger Kilometres'!AC51*'CAR Stock'!AC101</f>
        <v>0</v>
      </c>
      <c r="BJ51" s="295">
        <f>'CAR Passenger Kilometres'!AD51*'CAR Stock'!AD101</f>
        <v>0</v>
      </c>
      <c r="BK51" s="296">
        <f>'CAR Passenger Kilometres'!AE51*'CAR Stock'!AE101</f>
        <v>0</v>
      </c>
    </row>
    <row r="52" spans="1:63">
      <c r="A52" s="1711"/>
      <c r="B52" s="116">
        <v>20</v>
      </c>
      <c r="C52" s="294">
        <f>'CAR Mileage'!C73*CAR!$I$58</f>
        <v>18545.87802169412</v>
      </c>
      <c r="D52" s="295">
        <f>'CAR Mileage'!D73*CAR!$I$58</f>
        <v>18545.87802169412</v>
      </c>
      <c r="E52" s="295">
        <f>'CAR Mileage'!E73*CAR!$I$58</f>
        <v>18545.87802169412</v>
      </c>
      <c r="F52" s="295">
        <f>'CAR Mileage'!F73*CAR!$I$58</f>
        <v>18545.87802169412</v>
      </c>
      <c r="G52" s="295">
        <f>'CAR Mileage'!G73*CAR!$I$58</f>
        <v>18545.87802169412</v>
      </c>
      <c r="H52" s="295">
        <f>'CAR Mileage'!H73*CAR!$I$58</f>
        <v>18545.87802169412</v>
      </c>
      <c r="I52" s="295">
        <f>'CAR Mileage'!I73*CAR!$I$58</f>
        <v>18545.87802169412</v>
      </c>
      <c r="J52" s="295">
        <f>'CAR Mileage'!J73*CAR!$I$58</f>
        <v>18545.87802169412</v>
      </c>
      <c r="K52" s="295">
        <f>'CAR Mileage'!K73*CAR!$I$58</f>
        <v>18545.87802169412</v>
      </c>
      <c r="L52" s="295">
        <f>'CAR Mileage'!L73*CAR!$I$58</f>
        <v>18545.87802169412</v>
      </c>
      <c r="M52" s="295">
        <f>'CAR Mileage'!M73*CAR!$I$58</f>
        <v>18545.87802169412</v>
      </c>
      <c r="N52" s="295">
        <f>'CAR Mileage'!N73*CAR!$I$58</f>
        <v>18545.87802169412</v>
      </c>
      <c r="O52" s="295">
        <f>'CAR Mileage'!O73*CAR!$I$58</f>
        <v>18545.87802169412</v>
      </c>
      <c r="P52" s="295">
        <f>'CAR Mileage'!P73*CAR!$I$58</f>
        <v>18545.87802169412</v>
      </c>
      <c r="Q52" s="295">
        <f>'CAR Mileage'!Q73*CAR!$I$58</f>
        <v>18545.87802169412</v>
      </c>
      <c r="R52" s="295">
        <f>'CAR Mileage'!R73*CAR!$I$58</f>
        <v>18545.87802169412</v>
      </c>
      <c r="S52" s="295">
        <f>'CAR Mileage'!S73*CAR!$I$58</f>
        <v>18545.87802169412</v>
      </c>
      <c r="T52" s="295">
        <f>'CAR Mileage'!T73*CAR!$I$58</f>
        <v>18545.87802169412</v>
      </c>
      <c r="U52" s="295">
        <f>'CAR Mileage'!U73*CAR!$I$58</f>
        <v>18545.87802169412</v>
      </c>
      <c r="V52" s="295">
        <f>'CAR Mileage'!V73*CAR!$I$58</f>
        <v>18545.87802169412</v>
      </c>
      <c r="W52" s="295">
        <f>'CAR Mileage'!W73*CAR!$I$58</f>
        <v>18545.87802169412</v>
      </c>
      <c r="X52" s="295">
        <f>'CAR Mileage'!X73*CAR!$I$58</f>
        <v>18545.87802169412</v>
      </c>
      <c r="Y52" s="295">
        <f>'CAR Mileage'!Y73*CAR!$I$58</f>
        <v>18545.87802169412</v>
      </c>
      <c r="Z52" s="295">
        <f>'CAR Mileage'!Z73*CAR!$I$58</f>
        <v>18545.87802169412</v>
      </c>
      <c r="AA52" s="295">
        <f>'CAR Mileage'!AA73*CAR!$I$58</f>
        <v>18545.87802169412</v>
      </c>
      <c r="AB52" s="295">
        <f>'CAR Mileage'!AB73*CAR!$I$58</f>
        <v>18545.87802169412</v>
      </c>
      <c r="AC52" s="295">
        <f>'CAR Mileage'!AC73*CAR!$I$58</f>
        <v>18545.87802169412</v>
      </c>
      <c r="AD52" s="295">
        <f>'CAR Mileage'!AD73*CAR!$I$58</f>
        <v>18545.87802169412</v>
      </c>
      <c r="AE52" s="296">
        <f>'CAR Mileage'!AE73*CAR!$I$58</f>
        <v>18545.87802169412</v>
      </c>
      <c r="AG52" s="1711"/>
      <c r="AH52" s="116">
        <v>20</v>
      </c>
      <c r="AI52" s="294">
        <f>'CAR Passenger Kilometres'!C52*'CAR Stock'!C102</f>
        <v>4302938.6042748215</v>
      </c>
      <c r="AJ52" s="295">
        <f>'CAR Passenger Kilometres'!D52*'CAR Stock'!D102</f>
        <v>1609022.8188272798</v>
      </c>
      <c r="AK52" s="295">
        <f>'CAR Passenger Kilometres'!E52*'CAR Stock'!E102</f>
        <v>722005.49520316592</v>
      </c>
      <c r="AL52" s="295">
        <f>'CAR Passenger Kilometres'!F52*'CAR Stock'!F102</f>
        <v>377977.19036126434</v>
      </c>
      <c r="AM52" s="295">
        <f>'CAR Passenger Kilometres'!G52*'CAR Stock'!G102</f>
        <v>226142.72903946959</v>
      </c>
      <c r="AN52" s="295">
        <f>'CAR Passenger Kilometres'!H52*'CAR Stock'!H102</f>
        <v>70408.205371362623</v>
      </c>
      <c r="AO52" s="295">
        <f>'CAR Passenger Kilometres'!I52*'CAR Stock'!I102</f>
        <v>26350.774141364665</v>
      </c>
      <c r="AP52" s="295">
        <f>'CAR Passenger Kilometres'!J52*'CAR Stock'!J102</f>
        <v>16674.694214312029</v>
      </c>
      <c r="AQ52" s="295">
        <f>'CAR Passenger Kilometres'!K52*'CAR Stock'!K102</f>
        <v>13770.729470654445</v>
      </c>
      <c r="AR52" s="295">
        <f>'CAR Passenger Kilometres'!L52*'CAR Stock'!L102</f>
        <v>6891.9001828895161</v>
      </c>
      <c r="AS52" s="295">
        <f>'CAR Passenger Kilometres'!M52*'CAR Stock'!M102</f>
        <v>5843.5827402606565</v>
      </c>
      <c r="AT52" s="295">
        <f>'CAR Passenger Kilometres'!N52*'CAR Stock'!N102</f>
        <v>5079.5313545566396</v>
      </c>
      <c r="AU52" s="295">
        <f>'CAR Passenger Kilometres'!O52*'CAR Stock'!O102</f>
        <v>4902.4246219255238</v>
      </c>
      <c r="AV52" s="295">
        <f>'CAR Passenger Kilometres'!P52*'CAR Stock'!P102</f>
        <v>5258.4533952448073</v>
      </c>
      <c r="AW52" s="295">
        <f>'CAR Passenger Kilometres'!Q52*'CAR Stock'!Q102</f>
        <v>5298.3607893675326</v>
      </c>
      <c r="AX52" s="295">
        <f>'CAR Passenger Kilometres'!R52*'CAR Stock'!R102</f>
        <v>5485.7946978291848</v>
      </c>
      <c r="AY52" s="295">
        <f>'CAR Passenger Kilometres'!S52*'CAR Stock'!S102</f>
        <v>4226.4220144481069</v>
      </c>
      <c r="AZ52" s="295">
        <f>'CAR Passenger Kilometres'!T52*'CAR Stock'!T102</f>
        <v>1237.2927726984221</v>
      </c>
      <c r="BA52" s="295">
        <f>'CAR Passenger Kilometres'!U52*'CAR Stock'!U102</f>
        <v>1698.5993510719713</v>
      </c>
      <c r="BB52" s="295">
        <f>'CAR Passenger Kilometres'!V52*'CAR Stock'!V102</f>
        <v>1399.6210049394244</v>
      </c>
      <c r="BC52" s="295">
        <f>'CAR Passenger Kilometres'!W52*'CAR Stock'!W102</f>
        <v>1000.7923960530924</v>
      </c>
      <c r="BD52" s="295">
        <f>'CAR Passenger Kilometres'!X52*'CAR Stock'!X102</f>
        <v>0</v>
      </c>
      <c r="BE52" s="295">
        <f>'CAR Passenger Kilometres'!Y52*'CAR Stock'!Y102</f>
        <v>0</v>
      </c>
      <c r="BF52" s="295">
        <f>'CAR Passenger Kilometres'!Z52*'CAR Stock'!Z102</f>
        <v>0</v>
      </c>
      <c r="BG52" s="295">
        <f>'CAR Passenger Kilometres'!AA52*'CAR Stock'!AA102</f>
        <v>0</v>
      </c>
      <c r="BH52" s="295">
        <f>'CAR Passenger Kilometres'!AB52*'CAR Stock'!AB102</f>
        <v>0</v>
      </c>
      <c r="BI52" s="295">
        <f>'CAR Passenger Kilometres'!AC52*'CAR Stock'!AC102</f>
        <v>0</v>
      </c>
      <c r="BJ52" s="295">
        <f>'CAR Passenger Kilometres'!AD52*'CAR Stock'!AD102</f>
        <v>0</v>
      </c>
      <c r="BK52" s="296">
        <f>'CAR Passenger Kilometres'!AE52*'CAR Stock'!AE102</f>
        <v>0</v>
      </c>
    </row>
    <row r="53" spans="1:63">
      <c r="A53" s="1711"/>
      <c r="B53" s="116">
        <v>21</v>
      </c>
      <c r="C53" s="294">
        <f>'CAR Mileage'!C74*CAR!$I$58</f>
        <v>18545.87802169412</v>
      </c>
      <c r="D53" s="295">
        <f>'CAR Mileage'!D74*CAR!$I$58</f>
        <v>18545.87802169412</v>
      </c>
      <c r="E53" s="295">
        <f>'CAR Mileage'!E74*CAR!$I$58</f>
        <v>18545.87802169412</v>
      </c>
      <c r="F53" s="295">
        <f>'CAR Mileage'!F74*CAR!$I$58</f>
        <v>18545.87802169412</v>
      </c>
      <c r="G53" s="295">
        <f>'CAR Mileage'!G74*CAR!$I$58</f>
        <v>18545.87802169412</v>
      </c>
      <c r="H53" s="295">
        <f>'CAR Mileage'!H74*CAR!$I$58</f>
        <v>18545.87802169412</v>
      </c>
      <c r="I53" s="295">
        <f>'CAR Mileage'!I74*CAR!$I$58</f>
        <v>18545.87802169412</v>
      </c>
      <c r="J53" s="295">
        <f>'CAR Mileage'!J74*CAR!$I$58</f>
        <v>18545.87802169412</v>
      </c>
      <c r="K53" s="295">
        <f>'CAR Mileage'!K74*CAR!$I$58</f>
        <v>18545.87802169412</v>
      </c>
      <c r="L53" s="295">
        <f>'CAR Mileage'!L74*CAR!$I$58</f>
        <v>18545.87802169412</v>
      </c>
      <c r="M53" s="295">
        <f>'CAR Mileage'!M74*CAR!$I$58</f>
        <v>18545.87802169412</v>
      </c>
      <c r="N53" s="295">
        <f>'CAR Mileage'!N74*CAR!$I$58</f>
        <v>18545.87802169412</v>
      </c>
      <c r="O53" s="295">
        <f>'CAR Mileage'!O74*CAR!$I$58</f>
        <v>18545.87802169412</v>
      </c>
      <c r="P53" s="295">
        <f>'CAR Mileage'!P74*CAR!$I$58</f>
        <v>18545.87802169412</v>
      </c>
      <c r="Q53" s="295">
        <f>'CAR Mileage'!Q74*CAR!$I$58</f>
        <v>18545.87802169412</v>
      </c>
      <c r="R53" s="295">
        <f>'CAR Mileage'!R74*CAR!$I$58</f>
        <v>18545.87802169412</v>
      </c>
      <c r="S53" s="295">
        <f>'CAR Mileage'!S74*CAR!$I$58</f>
        <v>18545.87802169412</v>
      </c>
      <c r="T53" s="295">
        <f>'CAR Mileage'!T74*CAR!$I$58</f>
        <v>18545.87802169412</v>
      </c>
      <c r="U53" s="295">
        <f>'CAR Mileage'!U74*CAR!$I$58</f>
        <v>18545.87802169412</v>
      </c>
      <c r="V53" s="295">
        <f>'CAR Mileage'!V74*CAR!$I$58</f>
        <v>18545.87802169412</v>
      </c>
      <c r="W53" s="295">
        <f>'CAR Mileage'!W74*CAR!$I$58</f>
        <v>18545.87802169412</v>
      </c>
      <c r="X53" s="295">
        <f>'CAR Mileage'!X74*CAR!$I$58</f>
        <v>18545.87802169412</v>
      </c>
      <c r="Y53" s="295">
        <f>'CAR Mileage'!Y74*CAR!$I$58</f>
        <v>18545.87802169412</v>
      </c>
      <c r="Z53" s="295">
        <f>'CAR Mileage'!Z74*CAR!$I$58</f>
        <v>18545.87802169412</v>
      </c>
      <c r="AA53" s="295">
        <f>'CAR Mileage'!AA74*CAR!$I$58</f>
        <v>18545.87802169412</v>
      </c>
      <c r="AB53" s="295">
        <f>'CAR Mileage'!AB74*CAR!$I$58</f>
        <v>18545.87802169412</v>
      </c>
      <c r="AC53" s="295">
        <f>'CAR Mileage'!AC74*CAR!$I$58</f>
        <v>18545.87802169412</v>
      </c>
      <c r="AD53" s="295">
        <f>'CAR Mileage'!AD74*CAR!$I$58</f>
        <v>18545.87802169412</v>
      </c>
      <c r="AE53" s="296">
        <f>'CAR Mileage'!AE74*CAR!$I$58</f>
        <v>18545.87802169412</v>
      </c>
      <c r="AG53" s="1711"/>
      <c r="AH53" s="116">
        <v>21</v>
      </c>
      <c r="AI53" s="294">
        <f>'CAR Passenger Kilometres'!C53*'CAR Stock'!C103</f>
        <v>1582962.6491356476</v>
      </c>
      <c r="AJ53" s="295">
        <f>'CAR Passenger Kilometres'!D53*'CAR Stock'!D103</f>
        <v>473541.13233782287</v>
      </c>
      <c r="AK53" s="295">
        <f>'CAR Passenger Kilometres'!E53*'CAR Stock'!E103</f>
        <v>177073.98539870078</v>
      </c>
      <c r="AL53" s="295">
        <f>'CAR Passenger Kilometres'!F53*'CAR Stock'!F103</f>
        <v>79457.164323230754</v>
      </c>
      <c r="AM53" s="295">
        <f>'CAR Passenger Kilometres'!G53*'CAR Stock'!G103</f>
        <v>41596.630392012506</v>
      </c>
      <c r="AN53" s="295">
        <f>'CAR Passenger Kilometres'!H53*'CAR Stock'!H103</f>
        <v>24887.151276787394</v>
      </c>
      <c r="AO53" s="295">
        <f>'CAR Passenger Kilometres'!I53*'CAR Stock'!I103</f>
        <v>7748.4678178549229</v>
      </c>
      <c r="AP53" s="295">
        <f>'CAR Passenger Kilometres'!J53*'CAR Stock'!J103</f>
        <v>2899.9194672411559</v>
      </c>
      <c r="AQ53" s="295">
        <f>'CAR Passenger Kilometres'!K53*'CAR Stock'!K103</f>
        <v>1835.0607121811368</v>
      </c>
      <c r="AR53" s="295">
        <f>'CAR Passenger Kilometres'!L53*'CAR Stock'!L103</f>
        <v>1515.4775436891287</v>
      </c>
      <c r="AS53" s="295">
        <f>'CAR Passenger Kilometres'!M53*'CAR Stock'!M103</f>
        <v>758.45800200878466</v>
      </c>
      <c r="AT53" s="295">
        <f>'CAR Passenger Kilometres'!N53*'CAR Stock'!N103</f>
        <v>643.09000016493235</v>
      </c>
      <c r="AU53" s="295">
        <f>'CAR Passenger Kilometres'!O53*'CAR Stock'!O103</f>
        <v>559.00565882873093</v>
      </c>
      <c r="AV53" s="295">
        <f>'CAR Passenger Kilometres'!P53*'CAR Stock'!P103</f>
        <v>539.51495016942727</v>
      </c>
      <c r="AW53" s="295">
        <f>'CAR Passenger Kilometres'!Q53*'CAR Stock'!Q103</f>
        <v>578.69614329520584</v>
      </c>
      <c r="AX53" s="295">
        <f>'CAR Passenger Kilometres'!R53*'CAR Stock'!R103</f>
        <v>583.08797742055287</v>
      </c>
      <c r="AY53" s="295">
        <f>'CAR Passenger Kilometres'!S53*'CAR Stock'!S103</f>
        <v>603.7151983535349</v>
      </c>
      <c r="AZ53" s="295">
        <f>'CAR Passenger Kilometres'!T53*'CAR Stock'!T103</f>
        <v>465.12043292250371</v>
      </c>
      <c r="BA53" s="295">
        <f>'CAR Passenger Kilometres'!U53*'CAR Stock'!U103</f>
        <v>136.16485720594173</v>
      </c>
      <c r="BB53" s="295">
        <f>'CAR Passenger Kilometres'!V53*'CAR Stock'!V103</f>
        <v>186.93193979012659</v>
      </c>
      <c r="BC53" s="295">
        <f>'CAR Passenger Kilometres'!W53*'CAR Stock'!W103</f>
        <v>154.02918249039607</v>
      </c>
      <c r="BD53" s="295">
        <f>'CAR Passenger Kilometres'!X53*'CAR Stock'!X103</f>
        <v>110.13784021720519</v>
      </c>
      <c r="BE53" s="295">
        <f>'CAR Passenger Kilometres'!Y53*'CAR Stock'!Y103</f>
        <v>0</v>
      </c>
      <c r="BF53" s="295">
        <f>'CAR Passenger Kilometres'!Z53*'CAR Stock'!Z103</f>
        <v>0</v>
      </c>
      <c r="BG53" s="295">
        <f>'CAR Passenger Kilometres'!AA53*'CAR Stock'!AA103</f>
        <v>0</v>
      </c>
      <c r="BH53" s="295">
        <f>'CAR Passenger Kilometres'!AB53*'CAR Stock'!AB103</f>
        <v>0</v>
      </c>
      <c r="BI53" s="295">
        <f>'CAR Passenger Kilometres'!AC53*'CAR Stock'!AC103</f>
        <v>0</v>
      </c>
      <c r="BJ53" s="295">
        <f>'CAR Passenger Kilometres'!AD53*'CAR Stock'!AD103</f>
        <v>0</v>
      </c>
      <c r="BK53" s="296">
        <f>'CAR Passenger Kilometres'!AE53*'CAR Stock'!AE103</f>
        <v>0</v>
      </c>
    </row>
    <row r="54" spans="1:63">
      <c r="A54" s="1711"/>
      <c r="B54" s="116">
        <v>22</v>
      </c>
      <c r="C54" s="294">
        <f>'CAR Mileage'!C75*CAR!$I$58</f>
        <v>18545.87802169412</v>
      </c>
      <c r="D54" s="295">
        <f>'CAR Mileage'!D75*CAR!$I$58</f>
        <v>18545.87802169412</v>
      </c>
      <c r="E54" s="295">
        <f>'CAR Mileage'!E75*CAR!$I$58</f>
        <v>18545.87802169412</v>
      </c>
      <c r="F54" s="295">
        <f>'CAR Mileage'!F75*CAR!$I$58</f>
        <v>18545.87802169412</v>
      </c>
      <c r="G54" s="295">
        <f>'CAR Mileage'!G75*CAR!$I$58</f>
        <v>18545.87802169412</v>
      </c>
      <c r="H54" s="295">
        <f>'CAR Mileage'!H75*CAR!$I$58</f>
        <v>18545.87802169412</v>
      </c>
      <c r="I54" s="295">
        <f>'CAR Mileage'!I75*CAR!$I$58</f>
        <v>18545.87802169412</v>
      </c>
      <c r="J54" s="295">
        <f>'CAR Mileage'!J75*CAR!$I$58</f>
        <v>18545.87802169412</v>
      </c>
      <c r="K54" s="295">
        <f>'CAR Mileage'!K75*CAR!$I$58</f>
        <v>18545.87802169412</v>
      </c>
      <c r="L54" s="295">
        <f>'CAR Mileage'!L75*CAR!$I$58</f>
        <v>18545.87802169412</v>
      </c>
      <c r="M54" s="295">
        <f>'CAR Mileage'!M75*CAR!$I$58</f>
        <v>18545.87802169412</v>
      </c>
      <c r="N54" s="295">
        <f>'CAR Mileage'!N75*CAR!$I$58</f>
        <v>18545.87802169412</v>
      </c>
      <c r="O54" s="295">
        <f>'CAR Mileage'!O75*CAR!$I$58</f>
        <v>18545.87802169412</v>
      </c>
      <c r="P54" s="295">
        <f>'CAR Mileage'!P75*CAR!$I$58</f>
        <v>18545.87802169412</v>
      </c>
      <c r="Q54" s="295">
        <f>'CAR Mileage'!Q75*CAR!$I$58</f>
        <v>18545.87802169412</v>
      </c>
      <c r="R54" s="295">
        <f>'CAR Mileage'!R75*CAR!$I$58</f>
        <v>18545.87802169412</v>
      </c>
      <c r="S54" s="295">
        <f>'CAR Mileage'!S75*CAR!$I$58</f>
        <v>18545.87802169412</v>
      </c>
      <c r="T54" s="295">
        <f>'CAR Mileage'!T75*CAR!$I$58</f>
        <v>18545.87802169412</v>
      </c>
      <c r="U54" s="295">
        <f>'CAR Mileage'!U75*CAR!$I$58</f>
        <v>18545.87802169412</v>
      </c>
      <c r="V54" s="295">
        <f>'CAR Mileage'!V75*CAR!$I$58</f>
        <v>18545.87802169412</v>
      </c>
      <c r="W54" s="295">
        <f>'CAR Mileage'!W75*CAR!$I$58</f>
        <v>18545.87802169412</v>
      </c>
      <c r="X54" s="295">
        <f>'CAR Mileage'!X75*CAR!$I$58</f>
        <v>18545.87802169412</v>
      </c>
      <c r="Y54" s="295">
        <f>'CAR Mileage'!Y75*CAR!$I$58</f>
        <v>18545.87802169412</v>
      </c>
      <c r="Z54" s="295">
        <f>'CAR Mileage'!Z75*CAR!$I$58</f>
        <v>18545.87802169412</v>
      </c>
      <c r="AA54" s="295">
        <f>'CAR Mileage'!AA75*CAR!$I$58</f>
        <v>18545.87802169412</v>
      </c>
      <c r="AB54" s="295">
        <f>'CAR Mileage'!AB75*CAR!$I$58</f>
        <v>18545.87802169412</v>
      </c>
      <c r="AC54" s="295">
        <f>'CAR Mileage'!AC75*CAR!$I$58</f>
        <v>18545.87802169412</v>
      </c>
      <c r="AD54" s="295">
        <f>'CAR Mileage'!AD75*CAR!$I$58</f>
        <v>18545.87802169412</v>
      </c>
      <c r="AE54" s="296">
        <f>'CAR Mileage'!AE75*CAR!$I$58</f>
        <v>18545.87802169412</v>
      </c>
      <c r="AG54" s="1711"/>
      <c r="AH54" s="116">
        <v>22</v>
      </c>
      <c r="AI54" s="294">
        <f>'CAR Passenger Kilometres'!C54*'CAR Stock'!C104</f>
        <v>582339.41475928784</v>
      </c>
      <c r="AJ54" s="295">
        <f>'CAR Passenger Kilometres'!D54*'CAR Stock'!D104</f>
        <v>130654.53535209774</v>
      </c>
      <c r="AK54" s="295">
        <f>'CAR Passenger Kilometres'!E54*'CAR Stock'!E104</f>
        <v>39085.127276684507</v>
      </c>
      <c r="AL54" s="295">
        <f>'CAR Passenger Kilometres'!F54*'CAR Stock'!F104</f>
        <v>14615.328604148797</v>
      </c>
      <c r="AM54" s="295">
        <f>'CAR Passenger Kilometres'!G54*'CAR Stock'!G104</f>
        <v>6558.2336328122565</v>
      </c>
      <c r="AN54" s="295">
        <f>'CAR Passenger Kilometres'!H54*'CAR Stock'!H104</f>
        <v>3433.3017390201367</v>
      </c>
      <c r="AO54" s="295">
        <f>'CAR Passenger Kilometres'!I54*'CAR Stock'!I104</f>
        <v>2054.1351295190188</v>
      </c>
      <c r="AP54" s="295">
        <f>'CAR Passenger Kilometres'!J54*'CAR Stock'!J104</f>
        <v>639.5428615989822</v>
      </c>
      <c r="AQ54" s="295">
        <f>'CAR Passenger Kilometres'!K54*'CAR Stock'!K104</f>
        <v>239.35348743558907</v>
      </c>
      <c r="AR54" s="295">
        <f>'CAR Passenger Kilometres'!L54*'CAR Stock'!L104</f>
        <v>151.46219958116683</v>
      </c>
      <c r="AS54" s="295">
        <f>'CAR Passenger Kilometres'!M54*'CAR Stock'!M104</f>
        <v>125.08445124422775</v>
      </c>
      <c r="AT54" s="295">
        <f>'CAR Passenger Kilometres'!N54*'CAR Stock'!N104</f>
        <v>62.601589425150372</v>
      </c>
      <c r="AU54" s="295">
        <f>'CAR Passenger Kilometres'!O54*'CAR Stock'!O104</f>
        <v>53.079347896811697</v>
      </c>
      <c r="AV54" s="295">
        <f>'CAR Passenger Kilometres'!P54*'CAR Stock'!P104</f>
        <v>46.139196432298412</v>
      </c>
      <c r="AW54" s="295">
        <f>'CAR Passenger Kilometres'!Q54*'CAR Stock'!Q104</f>
        <v>44.530472761556766</v>
      </c>
      <c r="AX54" s="295">
        <f>'CAR Passenger Kilometres'!R54*'CAR Stock'!R104</f>
        <v>47.764409194096508</v>
      </c>
      <c r="AY54" s="295">
        <f>'CAR Passenger Kilometres'!S54*'CAR Stock'!S104</f>
        <v>48.126902299858685</v>
      </c>
      <c r="AZ54" s="295">
        <f>'CAR Passenger Kilometres'!T54*'CAR Stock'!T104</f>
        <v>49.829431394954781</v>
      </c>
      <c r="BA54" s="295">
        <f>'CAR Passenger Kilometres'!U54*'CAR Stock'!U104</f>
        <v>38.39009977868956</v>
      </c>
      <c r="BB54" s="295">
        <f>'CAR Passenger Kilometres'!V54*'CAR Stock'!V104</f>
        <v>11.238771906109923</v>
      </c>
      <c r="BC54" s="295">
        <f>'CAR Passenger Kilometres'!W54*'CAR Stock'!W104</f>
        <v>15.428984220873048</v>
      </c>
      <c r="BD54" s="295">
        <f>'CAR Passenger Kilometres'!X54*'CAR Stock'!X104</f>
        <v>12.71325718262203</v>
      </c>
      <c r="BE54" s="295">
        <f>'CAR Passenger Kilometres'!Y54*'CAR Stock'!Y104</f>
        <v>9.0905545662242702</v>
      </c>
      <c r="BF54" s="295">
        <f>'CAR Passenger Kilometres'!Z54*'CAR Stock'!Z104</f>
        <v>0</v>
      </c>
      <c r="BG54" s="295">
        <f>'CAR Passenger Kilometres'!AA54*'CAR Stock'!AA104</f>
        <v>0</v>
      </c>
      <c r="BH54" s="295">
        <f>'CAR Passenger Kilometres'!AB54*'CAR Stock'!AB104</f>
        <v>0</v>
      </c>
      <c r="BI54" s="295">
        <f>'CAR Passenger Kilometres'!AC54*'CAR Stock'!AC104</f>
        <v>0</v>
      </c>
      <c r="BJ54" s="295">
        <f>'CAR Passenger Kilometres'!AD54*'CAR Stock'!AD104</f>
        <v>0</v>
      </c>
      <c r="BK54" s="296">
        <f>'CAR Passenger Kilometres'!AE54*'CAR Stock'!AE104</f>
        <v>0</v>
      </c>
    </row>
    <row r="55" spans="1:63">
      <c r="A55" s="1711"/>
      <c r="B55" s="116">
        <v>23</v>
      </c>
      <c r="C55" s="294">
        <f>'CAR Mileage'!C76*CAR!$I$58</f>
        <v>18545.87802169412</v>
      </c>
      <c r="D55" s="295">
        <f>'CAR Mileage'!D76*CAR!$I$58</f>
        <v>18545.87802169412</v>
      </c>
      <c r="E55" s="295">
        <f>'CAR Mileage'!E76*CAR!$I$58</f>
        <v>18545.87802169412</v>
      </c>
      <c r="F55" s="295">
        <f>'CAR Mileage'!F76*CAR!$I$58</f>
        <v>18545.87802169412</v>
      </c>
      <c r="G55" s="295">
        <f>'CAR Mileage'!G76*CAR!$I$58</f>
        <v>18545.87802169412</v>
      </c>
      <c r="H55" s="295">
        <f>'CAR Mileage'!H76*CAR!$I$58</f>
        <v>18545.87802169412</v>
      </c>
      <c r="I55" s="295">
        <f>'CAR Mileage'!I76*CAR!$I$58</f>
        <v>18545.87802169412</v>
      </c>
      <c r="J55" s="295">
        <f>'CAR Mileage'!J76*CAR!$I$58</f>
        <v>18545.87802169412</v>
      </c>
      <c r="K55" s="295">
        <f>'CAR Mileage'!K76*CAR!$I$58</f>
        <v>18545.87802169412</v>
      </c>
      <c r="L55" s="295">
        <f>'CAR Mileage'!L76*CAR!$I$58</f>
        <v>18545.87802169412</v>
      </c>
      <c r="M55" s="295">
        <f>'CAR Mileage'!M76*CAR!$I$58</f>
        <v>18545.87802169412</v>
      </c>
      <c r="N55" s="295">
        <f>'CAR Mileage'!N76*CAR!$I$58</f>
        <v>18545.87802169412</v>
      </c>
      <c r="O55" s="295">
        <f>'CAR Mileage'!O76*CAR!$I$58</f>
        <v>18545.87802169412</v>
      </c>
      <c r="P55" s="295">
        <f>'CAR Mileage'!P76*CAR!$I$58</f>
        <v>18545.87802169412</v>
      </c>
      <c r="Q55" s="295">
        <f>'CAR Mileage'!Q76*CAR!$I$58</f>
        <v>18545.87802169412</v>
      </c>
      <c r="R55" s="295">
        <f>'CAR Mileage'!R76*CAR!$I$58</f>
        <v>18545.87802169412</v>
      </c>
      <c r="S55" s="295">
        <f>'CAR Mileage'!S76*CAR!$I$58</f>
        <v>18545.87802169412</v>
      </c>
      <c r="T55" s="295">
        <f>'CAR Mileage'!T76*CAR!$I$58</f>
        <v>18545.87802169412</v>
      </c>
      <c r="U55" s="295">
        <f>'CAR Mileage'!U76*CAR!$I$58</f>
        <v>18545.87802169412</v>
      </c>
      <c r="V55" s="295">
        <f>'CAR Mileage'!V76*CAR!$I$58</f>
        <v>18545.87802169412</v>
      </c>
      <c r="W55" s="295">
        <f>'CAR Mileage'!W76*CAR!$I$58</f>
        <v>18545.87802169412</v>
      </c>
      <c r="X55" s="295">
        <f>'CAR Mileage'!X76*CAR!$I$58</f>
        <v>18545.87802169412</v>
      </c>
      <c r="Y55" s="295">
        <f>'CAR Mileage'!Y76*CAR!$I$58</f>
        <v>18545.87802169412</v>
      </c>
      <c r="Z55" s="295">
        <f>'CAR Mileage'!Z76*CAR!$I$58</f>
        <v>18545.87802169412</v>
      </c>
      <c r="AA55" s="295">
        <f>'CAR Mileage'!AA76*CAR!$I$58</f>
        <v>18545.87802169412</v>
      </c>
      <c r="AB55" s="295">
        <f>'CAR Mileage'!AB76*CAR!$I$58</f>
        <v>18545.87802169412</v>
      </c>
      <c r="AC55" s="295">
        <f>'CAR Mileage'!AC76*CAR!$I$58</f>
        <v>18545.87802169412</v>
      </c>
      <c r="AD55" s="295">
        <f>'CAR Mileage'!AD76*CAR!$I$58</f>
        <v>18545.87802169412</v>
      </c>
      <c r="AE55" s="296">
        <f>'CAR Mileage'!AE76*CAR!$I$58</f>
        <v>18545.87802169412</v>
      </c>
      <c r="AG55" s="1711"/>
      <c r="AH55" s="116">
        <v>23</v>
      </c>
      <c r="AI55" s="294">
        <f>'CAR Passenger Kilometres'!C55*'CAR Stock'!C105</f>
        <v>214230.69847375163</v>
      </c>
      <c r="AJ55" s="295">
        <f>'CAR Passenger Kilometres'!D55*'CAR Stock'!D105</f>
        <v>32043.411634562781</v>
      </c>
      <c r="AK55" s="295">
        <f>'CAR Passenger Kilometres'!E55*'CAR Stock'!E105</f>
        <v>7189.3073903306995</v>
      </c>
      <c r="AL55" s="295">
        <f>'CAR Passenger Kilometres'!F55*'CAR Stock'!F105</f>
        <v>2150.6715677725033</v>
      </c>
      <c r="AM55" s="295">
        <f>'CAR Passenger Kilometres'!G55*'CAR Stock'!G105</f>
        <v>804.21310797024387</v>
      </c>
      <c r="AN55" s="295">
        <f>'CAR Passenger Kilometres'!H55*'CAR Stock'!H105</f>
        <v>360.86889289247699</v>
      </c>
      <c r="AO55" s="295">
        <f>'CAR Passenger Kilometres'!I55*'CAR Stock'!I105</f>
        <v>188.91852088452137</v>
      </c>
      <c r="AP55" s="295">
        <f>'CAR Passenger Kilometres'!J55*'CAR Stock'!J105</f>
        <v>113.02943925820549</v>
      </c>
      <c r="AQ55" s="295">
        <f>'CAR Passenger Kilometres'!K55*'CAR Stock'!K105</f>
        <v>35.191049502691335</v>
      </c>
      <c r="AR55" s="295">
        <f>'CAR Passenger Kilometres'!L55*'CAR Stock'!L105</f>
        <v>13.170501823643573</v>
      </c>
      <c r="AS55" s="295">
        <f>'CAR Passenger Kilometres'!M55*'CAR Stock'!M105</f>
        <v>8.3342557368571519</v>
      </c>
      <c r="AT55" s="295">
        <f>'CAR Passenger Kilometres'!N55*'CAR Stock'!N105</f>
        <v>6.8828117395401867</v>
      </c>
      <c r="AU55" s="295">
        <f>'CAR Passenger Kilometres'!O55*'CAR Stock'!O105</f>
        <v>3.4446723819255141</v>
      </c>
      <c r="AV55" s="295">
        <f>'CAR Passenger Kilometres'!P55*'CAR Stock'!P105</f>
        <v>2.920708011245901</v>
      </c>
      <c r="AW55" s="295">
        <f>'CAR Passenger Kilometres'!Q55*'CAR Stock'!Q105</f>
        <v>2.5388239681135341</v>
      </c>
      <c r="AX55" s="295">
        <f>'CAR Passenger Kilometres'!R55*'CAR Stock'!R105</f>
        <v>2.4503034361328035</v>
      </c>
      <c r="AY55" s="295">
        <f>'CAR Passenger Kilometres'!S55*'CAR Stock'!S105</f>
        <v>2.6282518175775231</v>
      </c>
      <c r="AZ55" s="295">
        <f>'CAR Passenger Kilometres'!T55*'CAR Stock'!T105</f>
        <v>2.6481981160904442</v>
      </c>
      <c r="BA55" s="295">
        <f>'CAR Passenger Kilometres'!U55*'CAR Stock'!U105</f>
        <v>2.7418803214011294</v>
      </c>
      <c r="BB55" s="295">
        <f>'CAR Passenger Kilometres'!V55*'CAR Stock'!V105</f>
        <v>2.112427458493384</v>
      </c>
      <c r="BC55" s="295">
        <f>'CAR Passenger Kilometres'!W55*'CAR Stock'!W105</f>
        <v>0.61841700102559694</v>
      </c>
      <c r="BD55" s="295">
        <f>'CAR Passenger Kilometres'!X55*'CAR Stock'!X105</f>
        <v>0.84898476723745353</v>
      </c>
      <c r="BE55" s="295">
        <f>'CAR Passenger Kilometres'!Y55*'CAR Stock'!Y105</f>
        <v>0.69955102264065361</v>
      </c>
      <c r="BF55" s="295">
        <f>'CAR Passenger Kilometres'!Z55*'CAR Stock'!Z105</f>
        <v>0.50021065819902533</v>
      </c>
      <c r="BG55" s="295">
        <f>'CAR Passenger Kilometres'!AA55*'CAR Stock'!AA105</f>
        <v>0</v>
      </c>
      <c r="BH55" s="295">
        <f>'CAR Passenger Kilometres'!AB55*'CAR Stock'!AB105</f>
        <v>0</v>
      </c>
      <c r="BI55" s="295">
        <f>'CAR Passenger Kilometres'!AC55*'CAR Stock'!AC105</f>
        <v>0</v>
      </c>
      <c r="BJ55" s="295">
        <f>'CAR Passenger Kilometres'!AD55*'CAR Stock'!AD105</f>
        <v>0</v>
      </c>
      <c r="BK55" s="296">
        <f>'CAR Passenger Kilometres'!AE55*'CAR Stock'!AE105</f>
        <v>0</v>
      </c>
    </row>
    <row r="56" spans="1:63">
      <c r="A56" s="1711"/>
      <c r="B56" s="116">
        <v>24</v>
      </c>
      <c r="C56" s="294">
        <f>'CAR Mileage'!C77*CAR!$I$58</f>
        <v>18545.87802169412</v>
      </c>
      <c r="D56" s="295">
        <f>'CAR Mileage'!D77*CAR!$I$58</f>
        <v>18545.87802169412</v>
      </c>
      <c r="E56" s="295">
        <f>'CAR Mileage'!E77*CAR!$I$58</f>
        <v>18545.87802169412</v>
      </c>
      <c r="F56" s="295">
        <f>'CAR Mileage'!F77*CAR!$I$58</f>
        <v>18545.87802169412</v>
      </c>
      <c r="G56" s="295">
        <f>'CAR Mileage'!G77*CAR!$I$58</f>
        <v>18545.87802169412</v>
      </c>
      <c r="H56" s="295">
        <f>'CAR Mileage'!H77*CAR!$I$58</f>
        <v>18545.87802169412</v>
      </c>
      <c r="I56" s="295">
        <f>'CAR Mileage'!I77*CAR!$I$58</f>
        <v>18545.87802169412</v>
      </c>
      <c r="J56" s="295">
        <f>'CAR Mileage'!J77*CAR!$I$58</f>
        <v>18545.87802169412</v>
      </c>
      <c r="K56" s="295">
        <f>'CAR Mileage'!K77*CAR!$I$58</f>
        <v>18545.87802169412</v>
      </c>
      <c r="L56" s="295">
        <f>'CAR Mileage'!L77*CAR!$I$58</f>
        <v>18545.87802169412</v>
      </c>
      <c r="M56" s="295">
        <f>'CAR Mileage'!M77*CAR!$I$58</f>
        <v>18545.87802169412</v>
      </c>
      <c r="N56" s="295">
        <f>'CAR Mileage'!N77*CAR!$I$58</f>
        <v>18545.87802169412</v>
      </c>
      <c r="O56" s="295">
        <f>'CAR Mileage'!O77*CAR!$I$58</f>
        <v>18545.87802169412</v>
      </c>
      <c r="P56" s="295">
        <f>'CAR Mileage'!P77*CAR!$I$58</f>
        <v>18545.87802169412</v>
      </c>
      <c r="Q56" s="295">
        <f>'CAR Mileage'!Q77*CAR!$I$58</f>
        <v>18545.87802169412</v>
      </c>
      <c r="R56" s="295">
        <f>'CAR Mileage'!R77*CAR!$I$58</f>
        <v>18545.87802169412</v>
      </c>
      <c r="S56" s="295">
        <f>'CAR Mileage'!S77*CAR!$I$58</f>
        <v>18545.87802169412</v>
      </c>
      <c r="T56" s="295">
        <f>'CAR Mileage'!T77*CAR!$I$58</f>
        <v>18545.87802169412</v>
      </c>
      <c r="U56" s="295">
        <f>'CAR Mileage'!U77*CAR!$I$58</f>
        <v>18545.87802169412</v>
      </c>
      <c r="V56" s="295">
        <f>'CAR Mileage'!V77*CAR!$I$58</f>
        <v>18545.87802169412</v>
      </c>
      <c r="W56" s="295">
        <f>'CAR Mileage'!W77*CAR!$I$58</f>
        <v>18545.87802169412</v>
      </c>
      <c r="X56" s="295">
        <f>'CAR Mileage'!X77*CAR!$I$58</f>
        <v>18545.87802169412</v>
      </c>
      <c r="Y56" s="295">
        <f>'CAR Mileage'!Y77*CAR!$I$58</f>
        <v>18545.87802169412</v>
      </c>
      <c r="Z56" s="295">
        <f>'CAR Mileage'!Z77*CAR!$I$58</f>
        <v>18545.87802169412</v>
      </c>
      <c r="AA56" s="295">
        <f>'CAR Mileage'!AA77*CAR!$I$58</f>
        <v>18545.87802169412</v>
      </c>
      <c r="AB56" s="295">
        <f>'CAR Mileage'!AB77*CAR!$I$58</f>
        <v>18545.87802169412</v>
      </c>
      <c r="AC56" s="295">
        <f>'CAR Mileage'!AC77*CAR!$I$58</f>
        <v>18545.87802169412</v>
      </c>
      <c r="AD56" s="295">
        <f>'CAR Mileage'!AD77*CAR!$I$58</f>
        <v>18545.87802169412</v>
      </c>
      <c r="AE56" s="296">
        <f>'CAR Mileage'!AE77*CAR!$I$58</f>
        <v>18545.87802169412</v>
      </c>
      <c r="AG56" s="1711"/>
      <c r="AH56" s="116">
        <v>24</v>
      </c>
      <c r="AI56" s="294">
        <f>'CAR Passenger Kilometres'!C56*'CAR Stock'!C106</f>
        <v>78811.069636291504</v>
      </c>
      <c r="AJ56" s="295">
        <f>'CAR Passenger Kilometres'!D56*'CAR Stock'!D106</f>
        <v>5894.0561826747307</v>
      </c>
      <c r="AK56" s="295">
        <f>'CAR Passenger Kilometres'!E56*'CAR Stock'!E106</f>
        <v>881.59946172152684</v>
      </c>
      <c r="AL56" s="295">
        <f>'CAR Passenger Kilometres'!F56*'CAR Stock'!F106</f>
        <v>197.79696362386477</v>
      </c>
      <c r="AM56" s="295">
        <f>'CAR Passenger Kilometres'!G56*'CAR Stock'!G106</f>
        <v>59.170693748568503</v>
      </c>
      <c r="AN56" s="295">
        <f>'CAR Passenger Kilometres'!H56*'CAR Stock'!H106</f>
        <v>22.126041108906943</v>
      </c>
      <c r="AO56" s="295">
        <f>'CAR Passenger Kilometres'!I56*'CAR Stock'!I106</f>
        <v>9.928462841419039</v>
      </c>
      <c r="AP56" s="295">
        <f>'CAR Passenger Kilometres'!J56*'CAR Stock'!J106</f>
        <v>5.1976508687787728</v>
      </c>
      <c r="AQ56" s="295">
        <f>'CAR Passenger Kilometres'!K56*'CAR Stock'!K106</f>
        <v>3.1097404341689603</v>
      </c>
      <c r="AR56" s="295">
        <f>'CAR Passenger Kilometres'!L56*'CAR Stock'!L106</f>
        <v>0.96819934945767838</v>
      </c>
      <c r="AS56" s="295">
        <f>'CAR Passenger Kilometres'!M56*'CAR Stock'!M106</f>
        <v>0.36235552726859294</v>
      </c>
      <c r="AT56" s="295">
        <f>'CAR Passenger Kilometres'!N56*'CAR Stock'!N106</f>
        <v>0.22929753720535961</v>
      </c>
      <c r="AU56" s="295">
        <f>'CAR Passenger Kilometres'!O56*'CAR Stock'!O106</f>
        <v>0.18936445325828763</v>
      </c>
      <c r="AV56" s="295">
        <f>'CAR Passenger Kilometres'!P56*'CAR Stock'!P106</f>
        <v>9.477209706462579E-2</v>
      </c>
      <c r="AW56" s="295">
        <f>'CAR Passenger Kilometres'!Q56*'CAR Stock'!Q106</f>
        <v>8.0356443936911978E-2</v>
      </c>
      <c r="AX56" s="295">
        <f>'CAR Passenger Kilometres'!R56*'CAR Stock'!R106</f>
        <v>6.9849798430339394E-2</v>
      </c>
      <c r="AY56" s="295">
        <f>'CAR Passenger Kilometres'!S56*'CAR Stock'!S106</f>
        <v>6.7414363207788389E-2</v>
      </c>
      <c r="AZ56" s="295">
        <f>'CAR Passenger Kilometres'!T56*'CAR Stock'!T106</f>
        <v>7.2310196369531635E-2</v>
      </c>
      <c r="BA56" s="295">
        <f>'CAR Passenger Kilometres'!U56*'CAR Stock'!U106</f>
        <v>7.2858972081458653E-2</v>
      </c>
      <c r="BB56" s="295">
        <f>'CAR Passenger Kilometres'!V56*'CAR Stock'!V106</f>
        <v>7.543641866288639E-2</v>
      </c>
      <c r="BC56" s="295">
        <f>'CAR Passenger Kilometres'!W56*'CAR Stock'!W106</f>
        <v>5.8118496606172972E-2</v>
      </c>
      <c r="BD56" s="295">
        <f>'CAR Passenger Kilometres'!X56*'CAR Stock'!X106</f>
        <v>1.7014296150524303E-2</v>
      </c>
      <c r="BE56" s="295">
        <f>'CAR Passenger Kilometres'!Y56*'CAR Stock'!Y106</f>
        <v>2.3357828509090569E-2</v>
      </c>
      <c r="BF56" s="295">
        <f>'CAR Passenger Kilometres'!Z56*'CAR Stock'!Z106</f>
        <v>1.9246508831211064E-2</v>
      </c>
      <c r="BG56" s="295">
        <f>'CAR Passenger Kilometres'!AA56*'CAR Stock'!AA106</f>
        <v>1.3762125333120712E-2</v>
      </c>
      <c r="BH56" s="295">
        <f>'CAR Passenger Kilometres'!AB56*'CAR Stock'!AB106</f>
        <v>0</v>
      </c>
      <c r="BI56" s="295">
        <f>'CAR Passenger Kilometres'!AC56*'CAR Stock'!AC106</f>
        <v>0</v>
      </c>
      <c r="BJ56" s="295">
        <f>'CAR Passenger Kilometres'!AD56*'CAR Stock'!AD106</f>
        <v>0</v>
      </c>
      <c r="BK56" s="296">
        <f>'CAR Passenger Kilometres'!AE56*'CAR Stock'!AE106</f>
        <v>0</v>
      </c>
    </row>
    <row r="57" spans="1:63" ht="15.75" thickBot="1">
      <c r="A57" s="1711"/>
      <c r="B57" s="116">
        <v>25</v>
      </c>
      <c r="C57" s="297">
        <f>'CAR Mileage'!C78*CAR!$I$58</f>
        <v>18545.87802169412</v>
      </c>
      <c r="D57" s="298">
        <f>'CAR Mileage'!D78*CAR!$I$58</f>
        <v>18545.87802169412</v>
      </c>
      <c r="E57" s="298">
        <f>'CAR Mileage'!E78*CAR!$I$58</f>
        <v>18545.87802169412</v>
      </c>
      <c r="F57" s="298">
        <f>'CAR Mileage'!F78*CAR!$I$58</f>
        <v>18545.87802169412</v>
      </c>
      <c r="G57" s="298">
        <f>'CAR Mileage'!G78*CAR!$I$58</f>
        <v>18545.87802169412</v>
      </c>
      <c r="H57" s="298">
        <f>'CAR Mileage'!H78*CAR!$I$58</f>
        <v>18545.87802169412</v>
      </c>
      <c r="I57" s="298">
        <f>'CAR Mileage'!I78*CAR!$I$58</f>
        <v>18545.87802169412</v>
      </c>
      <c r="J57" s="298">
        <f>'CAR Mileage'!J78*CAR!$I$58</f>
        <v>18545.87802169412</v>
      </c>
      <c r="K57" s="298">
        <f>'CAR Mileage'!K78*CAR!$I$58</f>
        <v>18545.87802169412</v>
      </c>
      <c r="L57" s="298">
        <f>'CAR Mileage'!L78*CAR!$I$58</f>
        <v>18545.87802169412</v>
      </c>
      <c r="M57" s="298">
        <f>'CAR Mileage'!M78*CAR!$I$58</f>
        <v>18545.87802169412</v>
      </c>
      <c r="N57" s="298">
        <f>'CAR Mileage'!N78*CAR!$I$58</f>
        <v>18545.87802169412</v>
      </c>
      <c r="O57" s="298">
        <f>'CAR Mileage'!O78*CAR!$I$58</f>
        <v>18545.87802169412</v>
      </c>
      <c r="P57" s="298">
        <f>'CAR Mileage'!P78*CAR!$I$58</f>
        <v>18545.87802169412</v>
      </c>
      <c r="Q57" s="298">
        <f>'CAR Mileage'!Q78*CAR!$I$58</f>
        <v>18545.87802169412</v>
      </c>
      <c r="R57" s="298">
        <f>'CAR Mileage'!R78*CAR!$I$58</f>
        <v>18545.87802169412</v>
      </c>
      <c r="S57" s="298">
        <f>'CAR Mileage'!S78*CAR!$I$58</f>
        <v>18545.87802169412</v>
      </c>
      <c r="T57" s="298">
        <f>'CAR Mileage'!T78*CAR!$I$58</f>
        <v>18545.87802169412</v>
      </c>
      <c r="U57" s="298">
        <f>'CAR Mileage'!U78*CAR!$I$58</f>
        <v>18545.87802169412</v>
      </c>
      <c r="V57" s="298">
        <f>'CAR Mileage'!V78*CAR!$I$58</f>
        <v>18545.87802169412</v>
      </c>
      <c r="W57" s="298">
        <f>'CAR Mileage'!W78*CAR!$I$58</f>
        <v>18545.87802169412</v>
      </c>
      <c r="X57" s="298">
        <f>'CAR Mileage'!X78*CAR!$I$58</f>
        <v>18545.87802169412</v>
      </c>
      <c r="Y57" s="298">
        <f>'CAR Mileage'!Y78*CAR!$I$58</f>
        <v>18545.87802169412</v>
      </c>
      <c r="Z57" s="298">
        <f>'CAR Mileage'!Z78*CAR!$I$58</f>
        <v>18545.87802169412</v>
      </c>
      <c r="AA57" s="298">
        <f>'CAR Mileage'!AA78*CAR!$I$58</f>
        <v>18545.87802169412</v>
      </c>
      <c r="AB57" s="298">
        <f>'CAR Mileage'!AB78*CAR!$I$58</f>
        <v>18545.87802169412</v>
      </c>
      <c r="AC57" s="298">
        <f>'CAR Mileage'!AC78*CAR!$I$58</f>
        <v>18545.87802169412</v>
      </c>
      <c r="AD57" s="298">
        <f>'CAR Mileage'!AD78*CAR!$I$58</f>
        <v>18545.87802169412</v>
      </c>
      <c r="AE57" s="299">
        <f>'CAR Mileage'!AE78*CAR!$I$58</f>
        <v>18545.87802169412</v>
      </c>
      <c r="AG57" s="1711"/>
      <c r="AH57" s="116">
        <v>25</v>
      </c>
      <c r="AI57" s="297">
        <f>'CAR Passenger Kilometres'!C57*'CAR Stock'!C107</f>
        <v>28992.972255922545</v>
      </c>
      <c r="AJ57" s="298">
        <f>'CAR Passenger Kilometres'!D57*'CAR Stock'!D107</f>
        <v>0</v>
      </c>
      <c r="AK57" s="298">
        <f>'CAR Passenger Kilometres'!E57*'CAR Stock'!E107</f>
        <v>0</v>
      </c>
      <c r="AL57" s="298">
        <f>'CAR Passenger Kilometres'!F57*'CAR Stock'!F107</f>
        <v>0</v>
      </c>
      <c r="AM57" s="298">
        <f>'CAR Passenger Kilometres'!G57*'CAR Stock'!G107</f>
        <v>0</v>
      </c>
      <c r="AN57" s="298">
        <f>'CAR Passenger Kilometres'!H57*'CAR Stock'!H107</f>
        <v>0</v>
      </c>
      <c r="AO57" s="298">
        <f>'CAR Passenger Kilometres'!I57*'CAR Stock'!I107</f>
        <v>0</v>
      </c>
      <c r="AP57" s="298">
        <f>'CAR Passenger Kilometres'!J57*'CAR Stock'!J107</f>
        <v>0</v>
      </c>
      <c r="AQ57" s="298">
        <f>'CAR Passenger Kilometres'!K57*'CAR Stock'!K107</f>
        <v>0</v>
      </c>
      <c r="AR57" s="298">
        <f>'CAR Passenger Kilometres'!L57*'CAR Stock'!L107</f>
        <v>0</v>
      </c>
      <c r="AS57" s="298">
        <f>'CAR Passenger Kilometres'!M57*'CAR Stock'!M107</f>
        <v>0</v>
      </c>
      <c r="AT57" s="298">
        <f>'CAR Passenger Kilometres'!N57*'CAR Stock'!N107</f>
        <v>0</v>
      </c>
      <c r="AU57" s="298">
        <f>'CAR Passenger Kilometres'!O57*'CAR Stock'!O107</f>
        <v>0</v>
      </c>
      <c r="AV57" s="298">
        <f>'CAR Passenger Kilometres'!P57*'CAR Stock'!P107</f>
        <v>0</v>
      </c>
      <c r="AW57" s="298">
        <f>'CAR Passenger Kilometres'!Q57*'CAR Stock'!Q107</f>
        <v>0</v>
      </c>
      <c r="AX57" s="298">
        <f>'CAR Passenger Kilometres'!R57*'CAR Stock'!R107</f>
        <v>0</v>
      </c>
      <c r="AY57" s="298">
        <f>'CAR Passenger Kilometres'!S57*'CAR Stock'!S107</f>
        <v>0</v>
      </c>
      <c r="AZ57" s="298">
        <f>'CAR Passenger Kilometres'!T57*'CAR Stock'!T107</f>
        <v>0</v>
      </c>
      <c r="BA57" s="298">
        <f>'CAR Passenger Kilometres'!U57*'CAR Stock'!U107</f>
        <v>0</v>
      </c>
      <c r="BB57" s="298">
        <f>'CAR Passenger Kilometres'!V57*'CAR Stock'!V107</f>
        <v>0</v>
      </c>
      <c r="BC57" s="298">
        <f>'CAR Passenger Kilometres'!W57*'CAR Stock'!W107</f>
        <v>0</v>
      </c>
      <c r="BD57" s="298">
        <f>'CAR Passenger Kilometres'!X57*'CAR Stock'!X107</f>
        <v>0</v>
      </c>
      <c r="BE57" s="298">
        <f>'CAR Passenger Kilometres'!Y57*'CAR Stock'!Y107</f>
        <v>0</v>
      </c>
      <c r="BF57" s="298">
        <f>'CAR Passenger Kilometres'!Z57*'CAR Stock'!Z107</f>
        <v>0</v>
      </c>
      <c r="BG57" s="298">
        <f>'CAR Passenger Kilometres'!AA57*'CAR Stock'!AA107</f>
        <v>0</v>
      </c>
      <c r="BH57" s="298">
        <f>'CAR Passenger Kilometres'!AB57*'CAR Stock'!AB107</f>
        <v>0</v>
      </c>
      <c r="BI57" s="298">
        <f>'CAR Passenger Kilometres'!AC57*'CAR Stock'!AC107</f>
        <v>0</v>
      </c>
      <c r="BJ57" s="298">
        <f>'CAR Passenger Kilometres'!AD57*'CAR Stock'!AD107</f>
        <v>0</v>
      </c>
      <c r="BK57" s="299">
        <f>'CAR Passenger Kilometres'!AE57*'CAR Stock'!AE107</f>
        <v>0</v>
      </c>
    </row>
    <row r="58" spans="1:63" ht="16.5" thickTop="1" thickBot="1">
      <c r="A58" s="1712"/>
      <c r="B58" s="300" t="s">
        <v>39</v>
      </c>
      <c r="C58" s="301">
        <f>'CAR Mileage'!C79*CAR!$I$58</f>
        <v>21784.67123964892</v>
      </c>
      <c r="D58" s="301">
        <f>'CAR Mileage'!D79*CAR!$I$58</f>
        <v>21822.887924032031</v>
      </c>
      <c r="E58" s="301">
        <f>'CAR Mileage'!E79*CAR!$I$58</f>
        <v>21737.169428443936</v>
      </c>
      <c r="F58" s="301">
        <f>'CAR Mileage'!F79*CAR!$I$58</f>
        <v>21578.736152692352</v>
      </c>
      <c r="G58" s="301">
        <f>'CAR Mileage'!G79*CAR!$I$58</f>
        <v>21383.302274303183</v>
      </c>
      <c r="H58" s="301">
        <f>'CAR Mileage'!H79*CAR!$I$58</f>
        <v>21177.35716106823</v>
      </c>
      <c r="I58" s="301">
        <f>'CAR Mileage'!I79*CAR!$I$58</f>
        <v>20978.234428465505</v>
      </c>
      <c r="J58" s="301">
        <f>'CAR Mileage'!J79*CAR!$I$58</f>
        <v>20797.116579157144</v>
      </c>
      <c r="K58" s="301">
        <f>'CAR Mileage'!K79*CAR!$I$58</f>
        <v>20633.909425419424</v>
      </c>
      <c r="L58" s="301">
        <f>'CAR Mileage'!L79*CAR!$I$58</f>
        <v>20471.57233082626</v>
      </c>
      <c r="M58" s="301">
        <f>'CAR Mileage'!M79*CAR!$I$58</f>
        <v>20283.339448904946</v>
      </c>
      <c r="N58" s="301">
        <f>'CAR Mileage'!N79*CAR!$I$58</f>
        <v>20050.417308757613</v>
      </c>
      <c r="O58" s="301">
        <f>'CAR Mileage'!O79*CAR!$I$58</f>
        <v>19772.00538402098</v>
      </c>
      <c r="P58" s="301">
        <f>'CAR Mileage'!P79*CAR!$I$58</f>
        <v>19467.395589044365</v>
      </c>
      <c r="Q58" s="301">
        <f>'CAR Mileage'!Q79*CAR!$I$58</f>
        <v>19139.263085552073</v>
      </c>
      <c r="R58" s="301">
        <f>'CAR Mileage'!R79*CAR!$I$58</f>
        <v>18805.019554978007</v>
      </c>
      <c r="S58" s="301">
        <f>'CAR Mileage'!S79*CAR!$I$58</f>
        <v>18545.878021694123</v>
      </c>
      <c r="T58" s="301">
        <f>'CAR Mileage'!T79*CAR!$I$58</f>
        <v>18545.878021694116</v>
      </c>
      <c r="U58" s="301">
        <f>'CAR Mileage'!U79*CAR!$I$58</f>
        <v>18545.878021694123</v>
      </c>
      <c r="V58" s="301">
        <f>'CAR Mileage'!V79*CAR!$I$58</f>
        <v>18545.878021694123</v>
      </c>
      <c r="W58" s="301">
        <f>'CAR Mileage'!W79*CAR!$I$58</f>
        <v>18545.878021694116</v>
      </c>
      <c r="X58" s="301">
        <f>'CAR Mileage'!X79*CAR!$I$58</f>
        <v>18545.878021694123</v>
      </c>
      <c r="Y58" s="301">
        <f>'CAR Mileage'!Y79*CAR!$I$58</f>
        <v>18545.878021694116</v>
      </c>
      <c r="Z58" s="301">
        <f>'CAR Mileage'!Z79*CAR!$I$58</f>
        <v>18545.878021694123</v>
      </c>
      <c r="AA58" s="301">
        <f>'CAR Mileage'!AA79*CAR!$I$58</f>
        <v>18545.87802169412</v>
      </c>
      <c r="AB58" s="301">
        <f>'CAR Mileage'!AB79*CAR!$I$58</f>
        <v>0</v>
      </c>
      <c r="AC58" s="301">
        <f>'CAR Mileage'!AC79*CAR!$I$58</f>
        <v>0</v>
      </c>
      <c r="AD58" s="301">
        <f>'CAR Mileage'!AD79*CAR!$I$58</f>
        <v>0</v>
      </c>
      <c r="AE58" s="302">
        <f>'CAR Mileage'!AE79*CAR!$I$58</f>
        <v>0</v>
      </c>
      <c r="AG58" s="1712"/>
      <c r="AH58" s="300" t="s">
        <v>39</v>
      </c>
      <c r="AI58" s="301">
        <f t="shared" ref="AI58:BK58" si="1">SUM(AI32:AI57)</f>
        <v>15013276524.215124</v>
      </c>
      <c r="AJ58" s="301">
        <f t="shared" si="1"/>
        <v>11910525088.885103</v>
      </c>
      <c r="AK58" s="301">
        <f t="shared" si="1"/>
        <v>9765305589.18577</v>
      </c>
      <c r="AL58" s="301">
        <f t="shared" si="1"/>
        <v>8060055476.9107342</v>
      </c>
      <c r="AM58" s="301">
        <f t="shared" si="1"/>
        <v>6551508975.3265514</v>
      </c>
      <c r="AN58" s="301">
        <f t="shared" si="1"/>
        <v>5145844695.5000467</v>
      </c>
      <c r="AO58" s="301">
        <f t="shared" si="1"/>
        <v>3857100875.116117</v>
      </c>
      <c r="AP58" s="301">
        <f t="shared" si="1"/>
        <v>2740881100.3894529</v>
      </c>
      <c r="AQ58" s="301">
        <f t="shared" si="1"/>
        <v>1844248489.9603357</v>
      </c>
      <c r="AR58" s="301">
        <f t="shared" si="1"/>
        <v>1177630085.7669261</v>
      </c>
      <c r="AS58" s="301">
        <f t="shared" si="1"/>
        <v>707062597.36819756</v>
      </c>
      <c r="AT58" s="301">
        <f t="shared" si="1"/>
        <v>388408022.25401461</v>
      </c>
      <c r="AU58" s="301">
        <f t="shared" si="1"/>
        <v>186776875.10400039</v>
      </c>
      <c r="AV58" s="301">
        <f t="shared" si="1"/>
        <v>74821274.273564413</v>
      </c>
      <c r="AW58" s="301">
        <f t="shared" si="1"/>
        <v>24162186.143481009</v>
      </c>
      <c r="AX58" s="301">
        <f t="shared" si="1"/>
        <v>6218276.8465657961</v>
      </c>
      <c r="AY58" s="301">
        <f t="shared" si="1"/>
        <v>1448399.2436922528</v>
      </c>
      <c r="AZ58" s="301">
        <f t="shared" si="1"/>
        <v>304574.65244208474</v>
      </c>
      <c r="BA58" s="301">
        <f t="shared" si="1"/>
        <v>56121.824475716021</v>
      </c>
      <c r="BB58" s="301">
        <f t="shared" si="1"/>
        <v>8875.1207528651485</v>
      </c>
      <c r="BC58" s="301">
        <f t="shared" si="1"/>
        <v>1170.927098261993</v>
      </c>
      <c r="BD58" s="301">
        <f t="shared" si="1"/>
        <v>123.7170964632152</v>
      </c>
      <c r="BE58" s="301">
        <f t="shared" si="1"/>
        <v>9.813463417374015</v>
      </c>
      <c r="BF58" s="301">
        <f t="shared" si="1"/>
        <v>0.51945716703023637</v>
      </c>
      <c r="BG58" s="301">
        <f t="shared" si="1"/>
        <v>1.3762125333120712E-2</v>
      </c>
      <c r="BH58" s="301">
        <f t="shared" si="1"/>
        <v>0</v>
      </c>
      <c r="BI58" s="301">
        <f t="shared" si="1"/>
        <v>0</v>
      </c>
      <c r="BJ58" s="301">
        <f t="shared" si="1"/>
        <v>0</v>
      </c>
      <c r="BK58" s="302">
        <f t="shared" si="1"/>
        <v>0</v>
      </c>
    </row>
    <row r="59" spans="1:63" ht="15.75" thickBot="1"/>
    <row r="60" spans="1:63" ht="15.75" thickBot="1">
      <c r="A60" s="1710" t="s">
        <v>43</v>
      </c>
      <c r="B60" s="169" t="s">
        <v>10</v>
      </c>
      <c r="C60" s="288">
        <v>2012</v>
      </c>
      <c r="D60" s="289">
        <v>2013</v>
      </c>
      <c r="E60" s="289">
        <v>2014</v>
      </c>
      <c r="F60" s="289">
        <v>2015</v>
      </c>
      <c r="G60" s="288">
        <v>2016</v>
      </c>
      <c r="H60" s="289">
        <v>2017</v>
      </c>
      <c r="I60" s="289">
        <v>2018</v>
      </c>
      <c r="J60" s="289">
        <v>2019</v>
      </c>
      <c r="K60" s="288">
        <v>2020</v>
      </c>
      <c r="L60" s="289">
        <v>2021</v>
      </c>
      <c r="M60" s="289">
        <v>2022</v>
      </c>
      <c r="N60" s="289">
        <v>2023</v>
      </c>
      <c r="O60" s="288">
        <v>2024</v>
      </c>
      <c r="P60" s="289">
        <v>2025</v>
      </c>
      <c r="Q60" s="289">
        <v>2026</v>
      </c>
      <c r="R60" s="289">
        <v>2027</v>
      </c>
      <c r="S60" s="288">
        <v>2028</v>
      </c>
      <c r="T60" s="289">
        <v>2029</v>
      </c>
      <c r="U60" s="289">
        <v>2030</v>
      </c>
      <c r="V60" s="289">
        <v>2031</v>
      </c>
      <c r="W60" s="288">
        <v>2032</v>
      </c>
      <c r="X60" s="289">
        <v>2033</v>
      </c>
      <c r="Y60" s="289">
        <v>2034</v>
      </c>
      <c r="Z60" s="289">
        <v>2035</v>
      </c>
      <c r="AA60" s="288">
        <v>2036</v>
      </c>
      <c r="AB60" s="289">
        <v>2037</v>
      </c>
      <c r="AC60" s="289">
        <v>2038</v>
      </c>
      <c r="AD60" s="289">
        <v>2039</v>
      </c>
      <c r="AE60" s="290">
        <v>2040</v>
      </c>
      <c r="AG60" s="1710" t="s">
        <v>43</v>
      </c>
      <c r="AH60" s="169" t="s">
        <v>10</v>
      </c>
      <c r="AI60" s="288">
        <v>2012</v>
      </c>
      <c r="AJ60" s="289">
        <v>2013</v>
      </c>
      <c r="AK60" s="289">
        <v>2014</v>
      </c>
      <c r="AL60" s="289">
        <v>2015</v>
      </c>
      <c r="AM60" s="288">
        <v>2016</v>
      </c>
      <c r="AN60" s="289">
        <v>2017</v>
      </c>
      <c r="AO60" s="289">
        <v>2018</v>
      </c>
      <c r="AP60" s="289">
        <v>2019</v>
      </c>
      <c r="AQ60" s="288">
        <v>2020</v>
      </c>
      <c r="AR60" s="289">
        <v>2021</v>
      </c>
      <c r="AS60" s="289">
        <v>2022</v>
      </c>
      <c r="AT60" s="289">
        <v>2023</v>
      </c>
      <c r="AU60" s="288">
        <v>2024</v>
      </c>
      <c r="AV60" s="289">
        <v>2025</v>
      </c>
      <c r="AW60" s="289">
        <v>2026</v>
      </c>
      <c r="AX60" s="289">
        <v>2027</v>
      </c>
      <c r="AY60" s="288">
        <v>2028</v>
      </c>
      <c r="AZ60" s="289">
        <v>2029</v>
      </c>
      <c r="BA60" s="289">
        <v>2030</v>
      </c>
      <c r="BB60" s="289">
        <v>2031</v>
      </c>
      <c r="BC60" s="288">
        <v>2032</v>
      </c>
      <c r="BD60" s="289">
        <v>2033</v>
      </c>
      <c r="BE60" s="289">
        <v>2034</v>
      </c>
      <c r="BF60" s="289">
        <v>2035</v>
      </c>
      <c r="BG60" s="288">
        <v>2036</v>
      </c>
      <c r="BH60" s="289">
        <v>2037</v>
      </c>
      <c r="BI60" s="289">
        <v>2038</v>
      </c>
      <c r="BJ60" s="289">
        <v>2039</v>
      </c>
      <c r="BK60" s="290">
        <v>2040</v>
      </c>
    </row>
    <row r="61" spans="1:63">
      <c r="A61" s="1711"/>
      <c r="B61" s="116">
        <v>0</v>
      </c>
      <c r="C61" s="291">
        <f>'CAR Mileage'!C82*CAR!$I$58</f>
        <v>29046.121820436518</v>
      </c>
      <c r="D61" s="292">
        <f>'CAR Mileage'!D82*CAR!$I$58</f>
        <v>29046.121820436518</v>
      </c>
      <c r="E61" s="292">
        <f>'CAR Mileage'!E82*CAR!$I$58</f>
        <v>29046.121820436518</v>
      </c>
      <c r="F61" s="292">
        <f>'CAR Mileage'!F82*CAR!$I$58</f>
        <v>29046.121820436518</v>
      </c>
      <c r="G61" s="292">
        <f>'CAR Mileage'!G82*CAR!$I$58</f>
        <v>29046.121820436518</v>
      </c>
      <c r="H61" s="292">
        <f>'CAR Mileage'!H82*CAR!$I$58</f>
        <v>29046.121820436518</v>
      </c>
      <c r="I61" s="292">
        <f>'CAR Mileage'!I82*CAR!$I$58</f>
        <v>29046.121820436518</v>
      </c>
      <c r="J61" s="292">
        <f>'CAR Mileage'!J82*CAR!$I$58</f>
        <v>29046.121820436518</v>
      </c>
      <c r="K61" s="292">
        <f>'CAR Mileage'!K82*CAR!$I$58</f>
        <v>29046.121820436518</v>
      </c>
      <c r="L61" s="292">
        <f>'CAR Mileage'!L82*CAR!$I$58</f>
        <v>29046.121820436518</v>
      </c>
      <c r="M61" s="292">
        <f>'CAR Mileage'!M82*CAR!$I$58</f>
        <v>29046.121820436518</v>
      </c>
      <c r="N61" s="292">
        <f>'CAR Mileage'!N82*CAR!$I$58</f>
        <v>29046.121820436518</v>
      </c>
      <c r="O61" s="292">
        <f>'CAR Mileage'!O82*CAR!$I$58</f>
        <v>29046.121820436518</v>
      </c>
      <c r="P61" s="292">
        <f>'CAR Mileage'!P82*CAR!$I$58</f>
        <v>29046.121820436518</v>
      </c>
      <c r="Q61" s="292">
        <f>'CAR Mileage'!Q82*CAR!$I$58</f>
        <v>29046.121820436518</v>
      </c>
      <c r="R61" s="292">
        <f>'CAR Mileage'!R82*CAR!$I$58</f>
        <v>29046.121820436518</v>
      </c>
      <c r="S61" s="292">
        <f>'CAR Mileage'!S82*CAR!$I$58</f>
        <v>29046.121820436518</v>
      </c>
      <c r="T61" s="292">
        <f>'CAR Mileage'!T82*CAR!$I$58</f>
        <v>29046.121820436518</v>
      </c>
      <c r="U61" s="292">
        <f>'CAR Mileage'!U82*CAR!$I$58</f>
        <v>29046.121820436518</v>
      </c>
      <c r="V61" s="292">
        <f>'CAR Mileage'!V82*CAR!$I$58</f>
        <v>29046.121820436518</v>
      </c>
      <c r="W61" s="292">
        <f>'CAR Mileage'!W82*CAR!$I$58</f>
        <v>29046.121820436518</v>
      </c>
      <c r="X61" s="292">
        <f>'CAR Mileage'!X82*CAR!$I$58</f>
        <v>29046.121820436518</v>
      </c>
      <c r="Y61" s="292">
        <f>'CAR Mileage'!Y82*CAR!$I$58</f>
        <v>29046.121820436518</v>
      </c>
      <c r="Z61" s="292">
        <f>'CAR Mileage'!Z82*CAR!$I$58</f>
        <v>29046.121820436518</v>
      </c>
      <c r="AA61" s="292">
        <f>'CAR Mileage'!AA82*CAR!$I$58</f>
        <v>29046.121820436518</v>
      </c>
      <c r="AB61" s="292">
        <f>'CAR Mileage'!AB82*CAR!$I$58</f>
        <v>29046.121820436518</v>
      </c>
      <c r="AC61" s="292">
        <f>'CAR Mileage'!AC82*CAR!$I$58</f>
        <v>29046.121820436518</v>
      </c>
      <c r="AD61" s="292">
        <f>'CAR Mileage'!AD82*CAR!$I$58</f>
        <v>29046.121820436518</v>
      </c>
      <c r="AE61" s="293">
        <f>'CAR Mileage'!AE82*CAR!$I$58</f>
        <v>29046.121820436518</v>
      </c>
      <c r="AG61" s="1711"/>
      <c r="AH61" s="116">
        <v>0</v>
      </c>
      <c r="AI61" s="291">
        <f>'CAR Passenger Kilometres'!C61*'CAR Stock'!C111</f>
        <v>40722662.792251997</v>
      </c>
      <c r="AJ61" s="292">
        <f>'CAR Passenger Kilometres'!D61*'CAR Stock'!D111</f>
        <v>0</v>
      </c>
      <c r="AK61" s="292">
        <f>'CAR Passenger Kilometres'!E61*'CAR Stock'!E111</f>
        <v>0</v>
      </c>
      <c r="AL61" s="292">
        <f>'CAR Passenger Kilometres'!F61*'CAR Stock'!F111</f>
        <v>0</v>
      </c>
      <c r="AM61" s="292">
        <f>'CAR Passenger Kilometres'!G61*'CAR Stock'!G111</f>
        <v>0</v>
      </c>
      <c r="AN61" s="292">
        <f>'CAR Passenger Kilometres'!H61*'CAR Stock'!H111</f>
        <v>0</v>
      </c>
      <c r="AO61" s="292">
        <f>'CAR Passenger Kilometres'!I61*'CAR Stock'!I111</f>
        <v>0</v>
      </c>
      <c r="AP61" s="292">
        <f>'CAR Passenger Kilometres'!J61*'CAR Stock'!J111</f>
        <v>0</v>
      </c>
      <c r="AQ61" s="292">
        <f>'CAR Passenger Kilometres'!K61*'CAR Stock'!K111</f>
        <v>0</v>
      </c>
      <c r="AR61" s="292">
        <f>'CAR Passenger Kilometres'!L61*'CAR Stock'!L111</f>
        <v>0</v>
      </c>
      <c r="AS61" s="292">
        <f>'CAR Passenger Kilometres'!M61*'CAR Stock'!M111</f>
        <v>0</v>
      </c>
      <c r="AT61" s="292">
        <f>'CAR Passenger Kilometres'!N61*'CAR Stock'!N111</f>
        <v>0</v>
      </c>
      <c r="AU61" s="292">
        <f>'CAR Passenger Kilometres'!O61*'CAR Stock'!O111</f>
        <v>0</v>
      </c>
      <c r="AV61" s="292">
        <f>'CAR Passenger Kilometres'!P61*'CAR Stock'!P111</f>
        <v>0</v>
      </c>
      <c r="AW61" s="292">
        <f>'CAR Passenger Kilometres'!Q61*'CAR Stock'!Q111</f>
        <v>0</v>
      </c>
      <c r="AX61" s="292">
        <f>'CAR Passenger Kilometres'!R61*'CAR Stock'!R111</f>
        <v>0</v>
      </c>
      <c r="AY61" s="292">
        <f>'CAR Passenger Kilometres'!S61*'CAR Stock'!S111</f>
        <v>0</v>
      </c>
      <c r="AZ61" s="292">
        <f>'CAR Passenger Kilometres'!T61*'CAR Stock'!T111</f>
        <v>0</v>
      </c>
      <c r="BA61" s="292">
        <f>'CAR Passenger Kilometres'!U61*'CAR Stock'!U111</f>
        <v>0</v>
      </c>
      <c r="BB61" s="292">
        <f>'CAR Passenger Kilometres'!V61*'CAR Stock'!V111</f>
        <v>0</v>
      </c>
      <c r="BC61" s="292">
        <f>'CAR Passenger Kilometres'!W61*'CAR Stock'!W111</f>
        <v>0</v>
      </c>
      <c r="BD61" s="292">
        <f>'CAR Passenger Kilometres'!X61*'CAR Stock'!X111</f>
        <v>0</v>
      </c>
      <c r="BE61" s="292">
        <f>'CAR Passenger Kilometres'!Y61*'CAR Stock'!Y111</f>
        <v>0</v>
      </c>
      <c r="BF61" s="292">
        <f>'CAR Passenger Kilometres'!Z61*'CAR Stock'!Z111</f>
        <v>0</v>
      </c>
      <c r="BG61" s="292">
        <f>'CAR Passenger Kilometres'!AA61*'CAR Stock'!AA111</f>
        <v>0</v>
      </c>
      <c r="BH61" s="292">
        <f>'CAR Passenger Kilometres'!AB61*'CAR Stock'!AB111</f>
        <v>0</v>
      </c>
      <c r="BI61" s="292">
        <f>'CAR Passenger Kilometres'!AC61*'CAR Stock'!AC111</f>
        <v>0</v>
      </c>
      <c r="BJ61" s="292">
        <f>'CAR Passenger Kilometres'!AD61*'CAR Stock'!AD111</f>
        <v>0</v>
      </c>
      <c r="BK61" s="293">
        <f>'CAR Passenger Kilometres'!AE61*'CAR Stock'!AE111</f>
        <v>0</v>
      </c>
    </row>
    <row r="62" spans="1:63">
      <c r="A62" s="1711"/>
      <c r="B62" s="116">
        <v>1</v>
      </c>
      <c r="C62" s="294">
        <f>'CAR Mileage'!C83*CAR!$I$58</f>
        <v>28465.199384027786</v>
      </c>
      <c r="D62" s="295">
        <f>'CAR Mileage'!D83*CAR!$I$58</f>
        <v>28465.199384027786</v>
      </c>
      <c r="E62" s="295">
        <f>'CAR Mileage'!E83*CAR!$I$58</f>
        <v>28465.199384027786</v>
      </c>
      <c r="F62" s="295">
        <f>'CAR Mileage'!F83*CAR!$I$58</f>
        <v>28465.199384027786</v>
      </c>
      <c r="G62" s="295">
        <f>'CAR Mileage'!G83*CAR!$I$58</f>
        <v>28465.199384027786</v>
      </c>
      <c r="H62" s="295">
        <f>'CAR Mileage'!H83*CAR!$I$58</f>
        <v>28465.199384027786</v>
      </c>
      <c r="I62" s="295">
        <f>'CAR Mileage'!I83*CAR!$I$58</f>
        <v>28465.199384027786</v>
      </c>
      <c r="J62" s="295">
        <f>'CAR Mileage'!J83*CAR!$I$58</f>
        <v>28465.199384027786</v>
      </c>
      <c r="K62" s="295">
        <f>'CAR Mileage'!K83*CAR!$I$58</f>
        <v>28465.199384027786</v>
      </c>
      <c r="L62" s="295">
        <f>'CAR Mileage'!L83*CAR!$I$58</f>
        <v>28465.199384027786</v>
      </c>
      <c r="M62" s="295">
        <f>'CAR Mileage'!M83*CAR!$I$58</f>
        <v>28465.199384027786</v>
      </c>
      <c r="N62" s="295">
        <f>'CAR Mileage'!N83*CAR!$I$58</f>
        <v>28465.199384027786</v>
      </c>
      <c r="O62" s="295">
        <f>'CAR Mileage'!O83*CAR!$I$58</f>
        <v>28465.199384027786</v>
      </c>
      <c r="P62" s="295">
        <f>'CAR Mileage'!P83*CAR!$I$58</f>
        <v>28465.199384027786</v>
      </c>
      <c r="Q62" s="295">
        <f>'CAR Mileage'!Q83*CAR!$I$58</f>
        <v>28465.199384027786</v>
      </c>
      <c r="R62" s="295">
        <f>'CAR Mileage'!R83*CAR!$I$58</f>
        <v>28465.199384027786</v>
      </c>
      <c r="S62" s="295">
        <f>'CAR Mileage'!S83*CAR!$I$58</f>
        <v>28465.199384027786</v>
      </c>
      <c r="T62" s="295">
        <f>'CAR Mileage'!T83*CAR!$I$58</f>
        <v>28465.199384027786</v>
      </c>
      <c r="U62" s="295">
        <f>'CAR Mileage'!U83*CAR!$I$58</f>
        <v>28465.199384027786</v>
      </c>
      <c r="V62" s="295">
        <f>'CAR Mileage'!V83*CAR!$I$58</f>
        <v>28465.199384027786</v>
      </c>
      <c r="W62" s="295">
        <f>'CAR Mileage'!W83*CAR!$I$58</f>
        <v>28465.199384027786</v>
      </c>
      <c r="X62" s="295">
        <f>'CAR Mileage'!X83*CAR!$I$58</f>
        <v>28465.199384027786</v>
      </c>
      <c r="Y62" s="295">
        <f>'CAR Mileage'!Y83*CAR!$I$58</f>
        <v>28465.199384027786</v>
      </c>
      <c r="Z62" s="295">
        <f>'CAR Mileage'!Z83*CAR!$I$58</f>
        <v>28465.199384027786</v>
      </c>
      <c r="AA62" s="295">
        <f>'CAR Mileage'!AA83*CAR!$I$58</f>
        <v>28465.199384027786</v>
      </c>
      <c r="AB62" s="295">
        <f>'CAR Mileage'!AB83*CAR!$I$58</f>
        <v>28465.199384027786</v>
      </c>
      <c r="AC62" s="295">
        <f>'CAR Mileage'!AC83*CAR!$I$58</f>
        <v>28465.199384027786</v>
      </c>
      <c r="AD62" s="295">
        <f>'CAR Mileage'!AD83*CAR!$I$58</f>
        <v>28465.199384027786</v>
      </c>
      <c r="AE62" s="296">
        <f>'CAR Mileage'!AE83*CAR!$I$58</f>
        <v>28465.199384027786</v>
      </c>
      <c r="AG62" s="1711"/>
      <c r="AH62" s="116">
        <v>1</v>
      </c>
      <c r="AI62" s="294">
        <f>'CAR Passenger Kilometres'!C62*'CAR Stock'!C112</f>
        <v>58382123.936640993</v>
      </c>
      <c r="AJ62" s="295">
        <f>'CAR Passenger Kilometres'!D62*'CAR Stock'!D112</f>
        <v>39908209.536406957</v>
      </c>
      <c r="AK62" s="295">
        <f>'CAR Passenger Kilometres'!E62*'CAR Stock'!E112</f>
        <v>0</v>
      </c>
      <c r="AL62" s="295">
        <f>'CAR Passenger Kilometres'!F62*'CAR Stock'!F112</f>
        <v>0</v>
      </c>
      <c r="AM62" s="295">
        <f>'CAR Passenger Kilometres'!G62*'CAR Stock'!G112</f>
        <v>0</v>
      </c>
      <c r="AN62" s="295">
        <f>'CAR Passenger Kilometres'!H62*'CAR Stock'!H112</f>
        <v>0</v>
      </c>
      <c r="AO62" s="295">
        <f>'CAR Passenger Kilometres'!I62*'CAR Stock'!I112</f>
        <v>0</v>
      </c>
      <c r="AP62" s="295">
        <f>'CAR Passenger Kilometres'!J62*'CAR Stock'!J112</f>
        <v>0</v>
      </c>
      <c r="AQ62" s="295">
        <f>'CAR Passenger Kilometres'!K62*'CAR Stock'!K112</f>
        <v>0</v>
      </c>
      <c r="AR62" s="295">
        <f>'CAR Passenger Kilometres'!L62*'CAR Stock'!L112</f>
        <v>0</v>
      </c>
      <c r="AS62" s="295">
        <f>'CAR Passenger Kilometres'!M62*'CAR Stock'!M112</f>
        <v>0</v>
      </c>
      <c r="AT62" s="295">
        <f>'CAR Passenger Kilometres'!N62*'CAR Stock'!N112</f>
        <v>0</v>
      </c>
      <c r="AU62" s="295">
        <f>'CAR Passenger Kilometres'!O62*'CAR Stock'!O112</f>
        <v>0</v>
      </c>
      <c r="AV62" s="295">
        <f>'CAR Passenger Kilometres'!P62*'CAR Stock'!P112</f>
        <v>0</v>
      </c>
      <c r="AW62" s="295">
        <f>'CAR Passenger Kilometres'!Q62*'CAR Stock'!Q112</f>
        <v>0</v>
      </c>
      <c r="AX62" s="295">
        <f>'CAR Passenger Kilometres'!R62*'CAR Stock'!R112</f>
        <v>0</v>
      </c>
      <c r="AY62" s="295">
        <f>'CAR Passenger Kilometres'!S62*'CAR Stock'!S112</f>
        <v>0</v>
      </c>
      <c r="AZ62" s="295">
        <f>'CAR Passenger Kilometres'!T62*'CAR Stock'!T112</f>
        <v>0</v>
      </c>
      <c r="BA62" s="295">
        <f>'CAR Passenger Kilometres'!U62*'CAR Stock'!U112</f>
        <v>0</v>
      </c>
      <c r="BB62" s="295">
        <f>'CAR Passenger Kilometres'!V62*'CAR Stock'!V112</f>
        <v>0</v>
      </c>
      <c r="BC62" s="295">
        <f>'CAR Passenger Kilometres'!W62*'CAR Stock'!W112</f>
        <v>0</v>
      </c>
      <c r="BD62" s="295">
        <f>'CAR Passenger Kilometres'!X62*'CAR Stock'!X112</f>
        <v>0</v>
      </c>
      <c r="BE62" s="295">
        <f>'CAR Passenger Kilometres'!Y62*'CAR Stock'!Y112</f>
        <v>0</v>
      </c>
      <c r="BF62" s="295">
        <f>'CAR Passenger Kilometres'!Z62*'CAR Stock'!Z112</f>
        <v>0</v>
      </c>
      <c r="BG62" s="295">
        <f>'CAR Passenger Kilometres'!AA62*'CAR Stock'!AA112</f>
        <v>0</v>
      </c>
      <c r="BH62" s="295">
        <f>'CAR Passenger Kilometres'!AB62*'CAR Stock'!AB112</f>
        <v>0</v>
      </c>
      <c r="BI62" s="295">
        <f>'CAR Passenger Kilometres'!AC62*'CAR Stock'!AC112</f>
        <v>0</v>
      </c>
      <c r="BJ62" s="295">
        <f>'CAR Passenger Kilometres'!AD62*'CAR Stock'!AD112</f>
        <v>0</v>
      </c>
      <c r="BK62" s="296">
        <f>'CAR Passenger Kilometres'!AE62*'CAR Stock'!AE112</f>
        <v>0</v>
      </c>
    </row>
    <row r="63" spans="1:63">
      <c r="A63" s="1711"/>
      <c r="B63" s="116">
        <v>2</v>
      </c>
      <c r="C63" s="294">
        <f>'CAR Mileage'!C84*CAR!$I$58</f>
        <v>27895.89539634723</v>
      </c>
      <c r="D63" s="295">
        <f>'CAR Mileage'!D84*CAR!$I$58</f>
        <v>27895.89539634723</v>
      </c>
      <c r="E63" s="295">
        <f>'CAR Mileage'!E84*CAR!$I$58</f>
        <v>27895.89539634723</v>
      </c>
      <c r="F63" s="295">
        <f>'CAR Mileage'!F84*CAR!$I$58</f>
        <v>27895.89539634723</v>
      </c>
      <c r="G63" s="295">
        <f>'CAR Mileage'!G84*CAR!$I$58</f>
        <v>27895.89539634723</v>
      </c>
      <c r="H63" s="295">
        <f>'CAR Mileage'!H84*CAR!$I$58</f>
        <v>27895.89539634723</v>
      </c>
      <c r="I63" s="295">
        <f>'CAR Mileage'!I84*CAR!$I$58</f>
        <v>27895.89539634723</v>
      </c>
      <c r="J63" s="295">
        <f>'CAR Mileage'!J84*CAR!$I$58</f>
        <v>27895.89539634723</v>
      </c>
      <c r="K63" s="295">
        <f>'CAR Mileage'!K84*CAR!$I$58</f>
        <v>27895.89539634723</v>
      </c>
      <c r="L63" s="295">
        <f>'CAR Mileage'!L84*CAR!$I$58</f>
        <v>27895.89539634723</v>
      </c>
      <c r="M63" s="295">
        <f>'CAR Mileage'!M84*CAR!$I$58</f>
        <v>27895.89539634723</v>
      </c>
      <c r="N63" s="295">
        <f>'CAR Mileage'!N84*CAR!$I$58</f>
        <v>27895.89539634723</v>
      </c>
      <c r="O63" s="295">
        <f>'CAR Mileage'!O84*CAR!$I$58</f>
        <v>27895.89539634723</v>
      </c>
      <c r="P63" s="295">
        <f>'CAR Mileage'!P84*CAR!$I$58</f>
        <v>27895.89539634723</v>
      </c>
      <c r="Q63" s="295">
        <f>'CAR Mileage'!Q84*CAR!$I$58</f>
        <v>27895.89539634723</v>
      </c>
      <c r="R63" s="295">
        <f>'CAR Mileage'!R84*CAR!$I$58</f>
        <v>27895.89539634723</v>
      </c>
      <c r="S63" s="295">
        <f>'CAR Mileage'!S84*CAR!$I$58</f>
        <v>27895.89539634723</v>
      </c>
      <c r="T63" s="295">
        <f>'CAR Mileage'!T84*CAR!$I$58</f>
        <v>27895.89539634723</v>
      </c>
      <c r="U63" s="295">
        <f>'CAR Mileage'!U84*CAR!$I$58</f>
        <v>27895.89539634723</v>
      </c>
      <c r="V63" s="295">
        <f>'CAR Mileage'!V84*CAR!$I$58</f>
        <v>27895.89539634723</v>
      </c>
      <c r="W63" s="295">
        <f>'CAR Mileage'!W84*CAR!$I$58</f>
        <v>27895.89539634723</v>
      </c>
      <c r="X63" s="295">
        <f>'CAR Mileage'!X84*CAR!$I$58</f>
        <v>27895.89539634723</v>
      </c>
      <c r="Y63" s="295">
        <f>'CAR Mileage'!Y84*CAR!$I$58</f>
        <v>27895.89539634723</v>
      </c>
      <c r="Z63" s="295">
        <f>'CAR Mileage'!Z84*CAR!$I$58</f>
        <v>27895.89539634723</v>
      </c>
      <c r="AA63" s="295">
        <f>'CAR Mileage'!AA84*CAR!$I$58</f>
        <v>27895.89539634723</v>
      </c>
      <c r="AB63" s="295">
        <f>'CAR Mileage'!AB84*CAR!$I$58</f>
        <v>27895.89539634723</v>
      </c>
      <c r="AC63" s="295">
        <f>'CAR Mileage'!AC84*CAR!$I$58</f>
        <v>27895.89539634723</v>
      </c>
      <c r="AD63" s="295">
        <f>'CAR Mileage'!AD84*CAR!$I$58</f>
        <v>27895.89539634723</v>
      </c>
      <c r="AE63" s="296">
        <f>'CAR Mileage'!AE84*CAR!$I$58</f>
        <v>27895.89539634723</v>
      </c>
      <c r="AG63" s="1711"/>
      <c r="AH63" s="116">
        <v>2</v>
      </c>
      <c r="AI63" s="294">
        <f>'CAR Passenger Kilometres'!C63*'CAR Stock'!C113</f>
        <v>67368587.38217856</v>
      </c>
      <c r="AJ63" s="295">
        <f>'CAR Passenger Kilometres'!D63*'CAR Stock'!D113</f>
        <v>57214481.457908168</v>
      </c>
      <c r="AK63" s="295">
        <f>'CAR Passenger Kilometres'!E63*'CAR Stock'!E113</f>
        <v>39110045.345678814</v>
      </c>
      <c r="AL63" s="295">
        <f>'CAR Passenger Kilometres'!F63*'CAR Stock'!F113</f>
        <v>0</v>
      </c>
      <c r="AM63" s="295">
        <f>'CAR Passenger Kilometres'!G63*'CAR Stock'!G113</f>
        <v>0</v>
      </c>
      <c r="AN63" s="295">
        <f>'CAR Passenger Kilometres'!H63*'CAR Stock'!H113</f>
        <v>0</v>
      </c>
      <c r="AO63" s="295">
        <f>'CAR Passenger Kilometres'!I63*'CAR Stock'!I113</f>
        <v>0</v>
      </c>
      <c r="AP63" s="295">
        <f>'CAR Passenger Kilometres'!J63*'CAR Stock'!J113</f>
        <v>0</v>
      </c>
      <c r="AQ63" s="295">
        <f>'CAR Passenger Kilometres'!K63*'CAR Stock'!K113</f>
        <v>0</v>
      </c>
      <c r="AR63" s="295">
        <f>'CAR Passenger Kilometres'!L63*'CAR Stock'!L113</f>
        <v>0</v>
      </c>
      <c r="AS63" s="295">
        <f>'CAR Passenger Kilometres'!M63*'CAR Stock'!M113</f>
        <v>0</v>
      </c>
      <c r="AT63" s="295">
        <f>'CAR Passenger Kilometres'!N63*'CAR Stock'!N113</f>
        <v>0</v>
      </c>
      <c r="AU63" s="295">
        <f>'CAR Passenger Kilometres'!O63*'CAR Stock'!O113</f>
        <v>0</v>
      </c>
      <c r="AV63" s="295">
        <f>'CAR Passenger Kilometres'!P63*'CAR Stock'!P113</f>
        <v>0</v>
      </c>
      <c r="AW63" s="295">
        <f>'CAR Passenger Kilometres'!Q63*'CAR Stock'!Q113</f>
        <v>0</v>
      </c>
      <c r="AX63" s="295">
        <f>'CAR Passenger Kilometres'!R63*'CAR Stock'!R113</f>
        <v>0</v>
      </c>
      <c r="AY63" s="295">
        <f>'CAR Passenger Kilometres'!S63*'CAR Stock'!S113</f>
        <v>0</v>
      </c>
      <c r="AZ63" s="295">
        <f>'CAR Passenger Kilometres'!T63*'CAR Stock'!T113</f>
        <v>0</v>
      </c>
      <c r="BA63" s="295">
        <f>'CAR Passenger Kilometres'!U63*'CAR Stock'!U113</f>
        <v>0</v>
      </c>
      <c r="BB63" s="295">
        <f>'CAR Passenger Kilometres'!V63*'CAR Stock'!V113</f>
        <v>0</v>
      </c>
      <c r="BC63" s="295">
        <f>'CAR Passenger Kilometres'!W63*'CAR Stock'!W113</f>
        <v>0</v>
      </c>
      <c r="BD63" s="295">
        <f>'CAR Passenger Kilometres'!X63*'CAR Stock'!X113</f>
        <v>0</v>
      </c>
      <c r="BE63" s="295">
        <f>'CAR Passenger Kilometres'!Y63*'CAR Stock'!Y113</f>
        <v>0</v>
      </c>
      <c r="BF63" s="295">
        <f>'CAR Passenger Kilometres'!Z63*'CAR Stock'!Z113</f>
        <v>0</v>
      </c>
      <c r="BG63" s="295">
        <f>'CAR Passenger Kilometres'!AA63*'CAR Stock'!AA113</f>
        <v>0</v>
      </c>
      <c r="BH63" s="295">
        <f>'CAR Passenger Kilometres'!AB63*'CAR Stock'!AB113</f>
        <v>0</v>
      </c>
      <c r="BI63" s="295">
        <f>'CAR Passenger Kilometres'!AC63*'CAR Stock'!AC113</f>
        <v>0</v>
      </c>
      <c r="BJ63" s="295">
        <f>'CAR Passenger Kilometres'!AD63*'CAR Stock'!AD113</f>
        <v>0</v>
      </c>
      <c r="BK63" s="296">
        <f>'CAR Passenger Kilometres'!AE63*'CAR Stock'!AE113</f>
        <v>0</v>
      </c>
    </row>
    <row r="64" spans="1:63">
      <c r="A64" s="1711"/>
      <c r="B64" s="116">
        <v>3</v>
      </c>
      <c r="C64" s="294">
        <f>'CAR Mileage'!C85*CAR!$I$58</f>
        <v>27337.977488420285</v>
      </c>
      <c r="D64" s="295">
        <f>'CAR Mileage'!D85*CAR!$I$58</f>
        <v>27337.977488420285</v>
      </c>
      <c r="E64" s="295">
        <f>'CAR Mileage'!E85*CAR!$I$58</f>
        <v>27337.977488420285</v>
      </c>
      <c r="F64" s="295">
        <f>'CAR Mileage'!F85*CAR!$I$58</f>
        <v>27337.977488420285</v>
      </c>
      <c r="G64" s="295">
        <f>'CAR Mileage'!G85*CAR!$I$58</f>
        <v>27337.977488420285</v>
      </c>
      <c r="H64" s="295">
        <f>'CAR Mileage'!H85*CAR!$I$58</f>
        <v>27337.977488420285</v>
      </c>
      <c r="I64" s="295">
        <f>'CAR Mileage'!I85*CAR!$I$58</f>
        <v>27337.977488420285</v>
      </c>
      <c r="J64" s="295">
        <f>'CAR Mileage'!J85*CAR!$I$58</f>
        <v>27337.977488420285</v>
      </c>
      <c r="K64" s="295">
        <f>'CAR Mileage'!K85*CAR!$I$58</f>
        <v>27337.977488420285</v>
      </c>
      <c r="L64" s="295">
        <f>'CAR Mileage'!L85*CAR!$I$58</f>
        <v>27337.977488420285</v>
      </c>
      <c r="M64" s="295">
        <f>'CAR Mileage'!M85*CAR!$I$58</f>
        <v>27337.977488420285</v>
      </c>
      <c r="N64" s="295">
        <f>'CAR Mileage'!N85*CAR!$I$58</f>
        <v>27337.977488420285</v>
      </c>
      <c r="O64" s="295">
        <f>'CAR Mileage'!O85*CAR!$I$58</f>
        <v>27337.977488420285</v>
      </c>
      <c r="P64" s="295">
        <f>'CAR Mileage'!P85*CAR!$I$58</f>
        <v>27337.977488420285</v>
      </c>
      <c r="Q64" s="295">
        <f>'CAR Mileage'!Q85*CAR!$I$58</f>
        <v>27337.977488420285</v>
      </c>
      <c r="R64" s="295">
        <f>'CAR Mileage'!R85*CAR!$I$58</f>
        <v>27337.977488420285</v>
      </c>
      <c r="S64" s="295">
        <f>'CAR Mileage'!S85*CAR!$I$58</f>
        <v>27337.977488420285</v>
      </c>
      <c r="T64" s="295">
        <f>'CAR Mileage'!T85*CAR!$I$58</f>
        <v>27337.977488420285</v>
      </c>
      <c r="U64" s="295">
        <f>'CAR Mileage'!U85*CAR!$I$58</f>
        <v>27337.977488420285</v>
      </c>
      <c r="V64" s="295">
        <f>'CAR Mileage'!V85*CAR!$I$58</f>
        <v>27337.977488420285</v>
      </c>
      <c r="W64" s="295">
        <f>'CAR Mileage'!W85*CAR!$I$58</f>
        <v>27337.977488420285</v>
      </c>
      <c r="X64" s="295">
        <f>'CAR Mileage'!X85*CAR!$I$58</f>
        <v>27337.977488420285</v>
      </c>
      <c r="Y64" s="295">
        <f>'CAR Mileage'!Y85*CAR!$I$58</f>
        <v>27337.977488420285</v>
      </c>
      <c r="Z64" s="295">
        <f>'CAR Mileage'!Z85*CAR!$I$58</f>
        <v>27337.977488420285</v>
      </c>
      <c r="AA64" s="295">
        <f>'CAR Mileage'!AA85*CAR!$I$58</f>
        <v>27337.977488420285</v>
      </c>
      <c r="AB64" s="295">
        <f>'CAR Mileage'!AB85*CAR!$I$58</f>
        <v>27337.977488420285</v>
      </c>
      <c r="AC64" s="295">
        <f>'CAR Mileage'!AC85*CAR!$I$58</f>
        <v>27337.977488420285</v>
      </c>
      <c r="AD64" s="295">
        <f>'CAR Mileage'!AD85*CAR!$I$58</f>
        <v>27337.977488420285</v>
      </c>
      <c r="AE64" s="296">
        <f>'CAR Mileage'!AE85*CAR!$I$58</f>
        <v>27337.977488420285</v>
      </c>
      <c r="AG64" s="1711"/>
      <c r="AH64" s="116">
        <v>3</v>
      </c>
      <c r="AI64" s="294">
        <f>'CAR Passenger Kilometres'!C64*'CAR Stock'!C114</f>
        <v>133682709.91837519</v>
      </c>
      <c r="AJ64" s="295">
        <f>'CAR Passenger Kilometres'!D64*'CAR Stock'!D114</f>
        <v>66021215.634534992</v>
      </c>
      <c r="AK64" s="295">
        <f>'CAR Passenger Kilometres'!E64*'CAR Stock'!E114</f>
        <v>56070191.828750007</v>
      </c>
      <c r="AL64" s="295">
        <f>'CAR Passenger Kilometres'!F64*'CAR Stock'!F114</f>
        <v>38327844.438765243</v>
      </c>
      <c r="AM64" s="295">
        <f>'CAR Passenger Kilometres'!G64*'CAR Stock'!G114</f>
        <v>0</v>
      </c>
      <c r="AN64" s="295">
        <f>'CAR Passenger Kilometres'!H64*'CAR Stock'!H114</f>
        <v>0</v>
      </c>
      <c r="AO64" s="295">
        <f>'CAR Passenger Kilometres'!I64*'CAR Stock'!I114</f>
        <v>0</v>
      </c>
      <c r="AP64" s="295">
        <f>'CAR Passenger Kilometres'!J64*'CAR Stock'!J114</f>
        <v>0</v>
      </c>
      <c r="AQ64" s="295">
        <f>'CAR Passenger Kilometres'!K64*'CAR Stock'!K114</f>
        <v>0</v>
      </c>
      <c r="AR64" s="295">
        <f>'CAR Passenger Kilometres'!L64*'CAR Stock'!L114</f>
        <v>0</v>
      </c>
      <c r="AS64" s="295">
        <f>'CAR Passenger Kilometres'!M64*'CAR Stock'!M114</f>
        <v>0</v>
      </c>
      <c r="AT64" s="295">
        <f>'CAR Passenger Kilometres'!N64*'CAR Stock'!N114</f>
        <v>0</v>
      </c>
      <c r="AU64" s="295">
        <f>'CAR Passenger Kilometres'!O64*'CAR Stock'!O114</f>
        <v>0</v>
      </c>
      <c r="AV64" s="295">
        <f>'CAR Passenger Kilometres'!P64*'CAR Stock'!P114</f>
        <v>0</v>
      </c>
      <c r="AW64" s="295">
        <f>'CAR Passenger Kilometres'!Q64*'CAR Stock'!Q114</f>
        <v>0</v>
      </c>
      <c r="AX64" s="295">
        <f>'CAR Passenger Kilometres'!R64*'CAR Stock'!R114</f>
        <v>0</v>
      </c>
      <c r="AY64" s="295">
        <f>'CAR Passenger Kilometres'!S64*'CAR Stock'!S114</f>
        <v>0</v>
      </c>
      <c r="AZ64" s="295">
        <f>'CAR Passenger Kilometres'!T64*'CAR Stock'!T114</f>
        <v>0</v>
      </c>
      <c r="BA64" s="295">
        <f>'CAR Passenger Kilometres'!U64*'CAR Stock'!U114</f>
        <v>0</v>
      </c>
      <c r="BB64" s="295">
        <f>'CAR Passenger Kilometres'!V64*'CAR Stock'!V114</f>
        <v>0</v>
      </c>
      <c r="BC64" s="295">
        <f>'CAR Passenger Kilometres'!W64*'CAR Stock'!W114</f>
        <v>0</v>
      </c>
      <c r="BD64" s="295">
        <f>'CAR Passenger Kilometres'!X64*'CAR Stock'!X114</f>
        <v>0</v>
      </c>
      <c r="BE64" s="295">
        <f>'CAR Passenger Kilometres'!Y64*'CAR Stock'!Y114</f>
        <v>0</v>
      </c>
      <c r="BF64" s="295">
        <f>'CAR Passenger Kilometres'!Z64*'CAR Stock'!Z114</f>
        <v>0</v>
      </c>
      <c r="BG64" s="295">
        <f>'CAR Passenger Kilometres'!AA64*'CAR Stock'!AA114</f>
        <v>0</v>
      </c>
      <c r="BH64" s="295">
        <f>'CAR Passenger Kilometres'!AB64*'CAR Stock'!AB114</f>
        <v>0</v>
      </c>
      <c r="BI64" s="295">
        <f>'CAR Passenger Kilometres'!AC64*'CAR Stock'!AC114</f>
        <v>0</v>
      </c>
      <c r="BJ64" s="295">
        <f>'CAR Passenger Kilometres'!AD64*'CAR Stock'!AD114</f>
        <v>0</v>
      </c>
      <c r="BK64" s="296">
        <f>'CAR Passenger Kilometres'!AE64*'CAR Stock'!AE114</f>
        <v>0</v>
      </c>
    </row>
    <row r="65" spans="1:63">
      <c r="A65" s="1711"/>
      <c r="B65" s="116">
        <v>4</v>
      </c>
      <c r="C65" s="294">
        <f>'CAR Mileage'!C86*CAR!$I$58</f>
        <v>26791.21793865188</v>
      </c>
      <c r="D65" s="295">
        <f>'CAR Mileage'!D86*CAR!$I$58</f>
        <v>26791.21793865188</v>
      </c>
      <c r="E65" s="295">
        <f>'CAR Mileage'!E86*CAR!$I$58</f>
        <v>26791.21793865188</v>
      </c>
      <c r="F65" s="295">
        <f>'CAR Mileage'!F86*CAR!$I$58</f>
        <v>26791.21793865188</v>
      </c>
      <c r="G65" s="295">
        <f>'CAR Mileage'!G86*CAR!$I$58</f>
        <v>26791.21793865188</v>
      </c>
      <c r="H65" s="295">
        <f>'CAR Mileage'!H86*CAR!$I$58</f>
        <v>26791.21793865188</v>
      </c>
      <c r="I65" s="295">
        <f>'CAR Mileage'!I86*CAR!$I$58</f>
        <v>26791.21793865188</v>
      </c>
      <c r="J65" s="295">
        <f>'CAR Mileage'!J86*CAR!$I$58</f>
        <v>26791.21793865188</v>
      </c>
      <c r="K65" s="295">
        <f>'CAR Mileage'!K86*CAR!$I$58</f>
        <v>26791.21793865188</v>
      </c>
      <c r="L65" s="295">
        <f>'CAR Mileage'!L86*CAR!$I$58</f>
        <v>26791.21793865188</v>
      </c>
      <c r="M65" s="295">
        <f>'CAR Mileage'!M86*CAR!$I$58</f>
        <v>26791.21793865188</v>
      </c>
      <c r="N65" s="295">
        <f>'CAR Mileage'!N86*CAR!$I$58</f>
        <v>26791.21793865188</v>
      </c>
      <c r="O65" s="295">
        <f>'CAR Mileage'!O86*CAR!$I$58</f>
        <v>26791.21793865188</v>
      </c>
      <c r="P65" s="295">
        <f>'CAR Mileage'!P86*CAR!$I$58</f>
        <v>26791.21793865188</v>
      </c>
      <c r="Q65" s="295">
        <f>'CAR Mileage'!Q86*CAR!$I$58</f>
        <v>26791.21793865188</v>
      </c>
      <c r="R65" s="295">
        <f>'CAR Mileage'!R86*CAR!$I$58</f>
        <v>26791.21793865188</v>
      </c>
      <c r="S65" s="295">
        <f>'CAR Mileage'!S86*CAR!$I$58</f>
        <v>26791.21793865188</v>
      </c>
      <c r="T65" s="295">
        <f>'CAR Mileage'!T86*CAR!$I$58</f>
        <v>26791.21793865188</v>
      </c>
      <c r="U65" s="295">
        <f>'CAR Mileage'!U86*CAR!$I$58</f>
        <v>26791.21793865188</v>
      </c>
      <c r="V65" s="295">
        <f>'CAR Mileage'!V86*CAR!$I$58</f>
        <v>26791.21793865188</v>
      </c>
      <c r="W65" s="295">
        <f>'CAR Mileage'!W86*CAR!$I$58</f>
        <v>26791.21793865188</v>
      </c>
      <c r="X65" s="295">
        <f>'CAR Mileage'!X86*CAR!$I$58</f>
        <v>26791.21793865188</v>
      </c>
      <c r="Y65" s="295">
        <f>'CAR Mileage'!Y86*CAR!$I$58</f>
        <v>26791.21793865188</v>
      </c>
      <c r="Z65" s="295">
        <f>'CAR Mileage'!Z86*CAR!$I$58</f>
        <v>26791.21793865188</v>
      </c>
      <c r="AA65" s="295">
        <f>'CAR Mileage'!AA86*CAR!$I$58</f>
        <v>26791.21793865188</v>
      </c>
      <c r="AB65" s="295">
        <f>'CAR Mileage'!AB86*CAR!$I$58</f>
        <v>26791.21793865188</v>
      </c>
      <c r="AC65" s="295">
        <f>'CAR Mileage'!AC86*CAR!$I$58</f>
        <v>26791.21793865188</v>
      </c>
      <c r="AD65" s="295">
        <f>'CAR Mileage'!AD86*CAR!$I$58</f>
        <v>26791.21793865188</v>
      </c>
      <c r="AE65" s="296">
        <f>'CAR Mileage'!AE86*CAR!$I$58</f>
        <v>26791.21793865188</v>
      </c>
      <c r="AG65" s="1711"/>
      <c r="AH65" s="116">
        <v>4</v>
      </c>
      <c r="AI65" s="294">
        <f>'CAR Passenger Kilometres'!C65*'CAR Stock'!C115</f>
        <v>729176578.63628817</v>
      </c>
      <c r="AJ65" s="295">
        <f>'CAR Passenger Kilometres'!D65*'CAR Stock'!D115</f>
        <v>131009055.72000769</v>
      </c>
      <c r="AK65" s="295">
        <f>'CAR Passenger Kilometres'!E65*'CAR Stock'!E115</f>
        <v>64700791.321844287</v>
      </c>
      <c r="AL65" s="295">
        <f>'CAR Passenger Kilometres'!F65*'CAR Stock'!F115</f>
        <v>54948787.992175005</v>
      </c>
      <c r="AM65" s="295">
        <f>'CAR Passenger Kilometres'!G65*'CAR Stock'!G115</f>
        <v>37561287.549989939</v>
      </c>
      <c r="AN65" s="295">
        <f>'CAR Passenger Kilometres'!H65*'CAR Stock'!H115</f>
        <v>0</v>
      </c>
      <c r="AO65" s="295">
        <f>'CAR Passenger Kilometres'!I65*'CAR Stock'!I115</f>
        <v>0</v>
      </c>
      <c r="AP65" s="295">
        <f>'CAR Passenger Kilometres'!J65*'CAR Stock'!J115</f>
        <v>0</v>
      </c>
      <c r="AQ65" s="295">
        <f>'CAR Passenger Kilometres'!K65*'CAR Stock'!K115</f>
        <v>0</v>
      </c>
      <c r="AR65" s="295">
        <f>'CAR Passenger Kilometres'!L65*'CAR Stock'!L115</f>
        <v>0</v>
      </c>
      <c r="AS65" s="295">
        <f>'CAR Passenger Kilometres'!M65*'CAR Stock'!M115</f>
        <v>0</v>
      </c>
      <c r="AT65" s="295">
        <f>'CAR Passenger Kilometres'!N65*'CAR Stock'!N115</f>
        <v>0</v>
      </c>
      <c r="AU65" s="295">
        <f>'CAR Passenger Kilometres'!O65*'CAR Stock'!O115</f>
        <v>0</v>
      </c>
      <c r="AV65" s="295">
        <f>'CAR Passenger Kilometres'!P65*'CAR Stock'!P115</f>
        <v>0</v>
      </c>
      <c r="AW65" s="295">
        <f>'CAR Passenger Kilometres'!Q65*'CAR Stock'!Q115</f>
        <v>0</v>
      </c>
      <c r="AX65" s="295">
        <f>'CAR Passenger Kilometres'!R65*'CAR Stock'!R115</f>
        <v>0</v>
      </c>
      <c r="AY65" s="295">
        <f>'CAR Passenger Kilometres'!S65*'CAR Stock'!S115</f>
        <v>0</v>
      </c>
      <c r="AZ65" s="295">
        <f>'CAR Passenger Kilometres'!T65*'CAR Stock'!T115</f>
        <v>0</v>
      </c>
      <c r="BA65" s="295">
        <f>'CAR Passenger Kilometres'!U65*'CAR Stock'!U115</f>
        <v>0</v>
      </c>
      <c r="BB65" s="295">
        <f>'CAR Passenger Kilometres'!V65*'CAR Stock'!V115</f>
        <v>0</v>
      </c>
      <c r="BC65" s="295">
        <f>'CAR Passenger Kilometres'!W65*'CAR Stock'!W115</f>
        <v>0</v>
      </c>
      <c r="BD65" s="295">
        <f>'CAR Passenger Kilometres'!X65*'CAR Stock'!X115</f>
        <v>0</v>
      </c>
      <c r="BE65" s="295">
        <f>'CAR Passenger Kilometres'!Y65*'CAR Stock'!Y115</f>
        <v>0</v>
      </c>
      <c r="BF65" s="295">
        <f>'CAR Passenger Kilometres'!Z65*'CAR Stock'!Z115</f>
        <v>0</v>
      </c>
      <c r="BG65" s="295">
        <f>'CAR Passenger Kilometres'!AA65*'CAR Stock'!AA115</f>
        <v>0</v>
      </c>
      <c r="BH65" s="295">
        <f>'CAR Passenger Kilometres'!AB65*'CAR Stock'!AB115</f>
        <v>0</v>
      </c>
      <c r="BI65" s="295">
        <f>'CAR Passenger Kilometres'!AC65*'CAR Stock'!AC115</f>
        <v>0</v>
      </c>
      <c r="BJ65" s="295">
        <f>'CAR Passenger Kilometres'!AD65*'CAR Stock'!AD115</f>
        <v>0</v>
      </c>
      <c r="BK65" s="296">
        <f>'CAR Passenger Kilometres'!AE65*'CAR Stock'!AE115</f>
        <v>0</v>
      </c>
    </row>
    <row r="66" spans="1:63">
      <c r="A66" s="1711"/>
      <c r="B66" s="116">
        <v>5</v>
      </c>
      <c r="C66" s="294">
        <f>'CAR Mileage'!C87*CAR!$I$58</f>
        <v>26255.393579878844</v>
      </c>
      <c r="D66" s="295">
        <f>'CAR Mileage'!D87*CAR!$I$58</f>
        <v>26255.393579878844</v>
      </c>
      <c r="E66" s="295">
        <f>'CAR Mileage'!E87*CAR!$I$58</f>
        <v>26255.393579878844</v>
      </c>
      <c r="F66" s="295">
        <f>'CAR Mileage'!F87*CAR!$I$58</f>
        <v>26255.393579878844</v>
      </c>
      <c r="G66" s="295">
        <f>'CAR Mileage'!G87*CAR!$I$58</f>
        <v>26255.393579878844</v>
      </c>
      <c r="H66" s="295">
        <f>'CAR Mileage'!H87*CAR!$I$58</f>
        <v>26255.393579878844</v>
      </c>
      <c r="I66" s="295">
        <f>'CAR Mileage'!I87*CAR!$I$58</f>
        <v>26255.393579878844</v>
      </c>
      <c r="J66" s="295">
        <f>'CAR Mileage'!J87*CAR!$I$58</f>
        <v>26255.393579878844</v>
      </c>
      <c r="K66" s="295">
        <f>'CAR Mileage'!K87*CAR!$I$58</f>
        <v>26255.393579878844</v>
      </c>
      <c r="L66" s="295">
        <f>'CAR Mileage'!L87*CAR!$I$58</f>
        <v>26255.393579878844</v>
      </c>
      <c r="M66" s="295">
        <f>'CAR Mileage'!M87*CAR!$I$58</f>
        <v>26255.393579878844</v>
      </c>
      <c r="N66" s="295">
        <f>'CAR Mileage'!N87*CAR!$I$58</f>
        <v>26255.393579878844</v>
      </c>
      <c r="O66" s="295">
        <f>'CAR Mileage'!O87*CAR!$I$58</f>
        <v>26255.393579878844</v>
      </c>
      <c r="P66" s="295">
        <f>'CAR Mileage'!P87*CAR!$I$58</f>
        <v>26255.393579878844</v>
      </c>
      <c r="Q66" s="295">
        <f>'CAR Mileage'!Q87*CAR!$I$58</f>
        <v>26255.393579878844</v>
      </c>
      <c r="R66" s="295">
        <f>'CAR Mileage'!R87*CAR!$I$58</f>
        <v>26255.393579878844</v>
      </c>
      <c r="S66" s="295">
        <f>'CAR Mileage'!S87*CAR!$I$58</f>
        <v>26255.393579878844</v>
      </c>
      <c r="T66" s="295">
        <f>'CAR Mileage'!T87*CAR!$I$58</f>
        <v>26255.393579878844</v>
      </c>
      <c r="U66" s="295">
        <f>'CAR Mileage'!U87*CAR!$I$58</f>
        <v>26255.393579878844</v>
      </c>
      <c r="V66" s="295">
        <f>'CAR Mileage'!V87*CAR!$I$58</f>
        <v>26255.393579878844</v>
      </c>
      <c r="W66" s="295">
        <f>'CAR Mileage'!W87*CAR!$I$58</f>
        <v>26255.393579878844</v>
      </c>
      <c r="X66" s="295">
        <f>'CAR Mileage'!X87*CAR!$I$58</f>
        <v>26255.393579878844</v>
      </c>
      <c r="Y66" s="295">
        <f>'CAR Mileage'!Y87*CAR!$I$58</f>
        <v>26255.393579878844</v>
      </c>
      <c r="Z66" s="295">
        <f>'CAR Mileage'!Z87*CAR!$I$58</f>
        <v>26255.393579878844</v>
      </c>
      <c r="AA66" s="295">
        <f>'CAR Mileage'!AA87*CAR!$I$58</f>
        <v>26255.393579878844</v>
      </c>
      <c r="AB66" s="295">
        <f>'CAR Mileage'!AB87*CAR!$I$58</f>
        <v>26255.393579878844</v>
      </c>
      <c r="AC66" s="295">
        <f>'CAR Mileage'!AC87*CAR!$I$58</f>
        <v>26255.393579878844</v>
      </c>
      <c r="AD66" s="295">
        <f>'CAR Mileage'!AD87*CAR!$I$58</f>
        <v>26255.393579878844</v>
      </c>
      <c r="AE66" s="296">
        <f>'CAR Mileage'!AE87*CAR!$I$58</f>
        <v>26255.393579878844</v>
      </c>
      <c r="AG66" s="1711"/>
      <c r="AH66" s="116">
        <v>5</v>
      </c>
      <c r="AI66" s="294">
        <f>'CAR Passenger Kilometres'!C66*'CAR Stock'!C116</f>
        <v>1022857623.08492</v>
      </c>
      <c r="AJ66" s="295">
        <f>'CAR Passenger Kilometres'!D66*'CAR Stock'!D116</f>
        <v>714593047.06356251</v>
      </c>
      <c r="AK66" s="295">
        <f>'CAR Passenger Kilometres'!E66*'CAR Stock'!E116</f>
        <v>128388874.60560755</v>
      </c>
      <c r="AL66" s="295">
        <f>'CAR Passenger Kilometres'!F66*'CAR Stock'!F116</f>
        <v>63406775.49540741</v>
      </c>
      <c r="AM66" s="295">
        <f>'CAR Passenger Kilometres'!G66*'CAR Stock'!G116</f>
        <v>53849812.232331507</v>
      </c>
      <c r="AN66" s="295">
        <f>'CAR Passenger Kilometres'!H66*'CAR Stock'!H116</f>
        <v>36810061.798990138</v>
      </c>
      <c r="AO66" s="295">
        <f>'CAR Passenger Kilometres'!I66*'CAR Stock'!I116</f>
        <v>0</v>
      </c>
      <c r="AP66" s="295">
        <f>'CAR Passenger Kilometres'!J66*'CAR Stock'!J116</f>
        <v>0</v>
      </c>
      <c r="AQ66" s="295">
        <f>'CAR Passenger Kilometres'!K66*'CAR Stock'!K116</f>
        <v>0</v>
      </c>
      <c r="AR66" s="295">
        <f>'CAR Passenger Kilometres'!L66*'CAR Stock'!L116</f>
        <v>0</v>
      </c>
      <c r="AS66" s="295">
        <f>'CAR Passenger Kilometres'!M66*'CAR Stock'!M116</f>
        <v>0</v>
      </c>
      <c r="AT66" s="295">
        <f>'CAR Passenger Kilometres'!N66*'CAR Stock'!N116</f>
        <v>0</v>
      </c>
      <c r="AU66" s="295">
        <f>'CAR Passenger Kilometres'!O66*'CAR Stock'!O116</f>
        <v>0</v>
      </c>
      <c r="AV66" s="295">
        <f>'CAR Passenger Kilometres'!P66*'CAR Stock'!P116</f>
        <v>0</v>
      </c>
      <c r="AW66" s="295">
        <f>'CAR Passenger Kilometres'!Q66*'CAR Stock'!Q116</f>
        <v>0</v>
      </c>
      <c r="AX66" s="295">
        <f>'CAR Passenger Kilometres'!R66*'CAR Stock'!R116</f>
        <v>0</v>
      </c>
      <c r="AY66" s="295">
        <f>'CAR Passenger Kilometres'!S66*'CAR Stock'!S116</f>
        <v>0</v>
      </c>
      <c r="AZ66" s="295">
        <f>'CAR Passenger Kilometres'!T66*'CAR Stock'!T116</f>
        <v>0</v>
      </c>
      <c r="BA66" s="295">
        <f>'CAR Passenger Kilometres'!U66*'CAR Stock'!U116</f>
        <v>0</v>
      </c>
      <c r="BB66" s="295">
        <f>'CAR Passenger Kilometres'!V66*'CAR Stock'!V116</f>
        <v>0</v>
      </c>
      <c r="BC66" s="295">
        <f>'CAR Passenger Kilometres'!W66*'CAR Stock'!W116</f>
        <v>0</v>
      </c>
      <c r="BD66" s="295">
        <f>'CAR Passenger Kilometres'!X66*'CAR Stock'!X116</f>
        <v>0</v>
      </c>
      <c r="BE66" s="295">
        <f>'CAR Passenger Kilometres'!Y66*'CAR Stock'!Y116</f>
        <v>0</v>
      </c>
      <c r="BF66" s="295">
        <f>'CAR Passenger Kilometres'!Z66*'CAR Stock'!Z116</f>
        <v>0</v>
      </c>
      <c r="BG66" s="295">
        <f>'CAR Passenger Kilometres'!AA66*'CAR Stock'!AA116</f>
        <v>0</v>
      </c>
      <c r="BH66" s="295">
        <f>'CAR Passenger Kilometres'!AB66*'CAR Stock'!AB116</f>
        <v>0</v>
      </c>
      <c r="BI66" s="295">
        <f>'CAR Passenger Kilometres'!AC66*'CAR Stock'!AC116</f>
        <v>0</v>
      </c>
      <c r="BJ66" s="295">
        <f>'CAR Passenger Kilometres'!AD66*'CAR Stock'!AD116</f>
        <v>0</v>
      </c>
      <c r="BK66" s="296">
        <f>'CAR Passenger Kilometres'!AE66*'CAR Stock'!AE116</f>
        <v>0</v>
      </c>
    </row>
    <row r="67" spans="1:63">
      <c r="A67" s="1711"/>
      <c r="B67" s="116">
        <v>6</v>
      </c>
      <c r="C67" s="294">
        <f>'CAR Mileage'!C88*CAR!$I$58</f>
        <v>25730.28570828127</v>
      </c>
      <c r="D67" s="295">
        <f>'CAR Mileage'!D88*CAR!$I$58</f>
        <v>25730.28570828127</v>
      </c>
      <c r="E67" s="295">
        <f>'CAR Mileage'!E88*CAR!$I$58</f>
        <v>25730.28570828127</v>
      </c>
      <c r="F67" s="295">
        <f>'CAR Mileage'!F88*CAR!$I$58</f>
        <v>25730.28570828127</v>
      </c>
      <c r="G67" s="295">
        <f>'CAR Mileage'!G88*CAR!$I$58</f>
        <v>25730.28570828127</v>
      </c>
      <c r="H67" s="295">
        <f>'CAR Mileage'!H88*CAR!$I$58</f>
        <v>25730.28570828127</v>
      </c>
      <c r="I67" s="295">
        <f>'CAR Mileage'!I88*CAR!$I$58</f>
        <v>25730.28570828127</v>
      </c>
      <c r="J67" s="295">
        <f>'CAR Mileage'!J88*CAR!$I$58</f>
        <v>25730.28570828127</v>
      </c>
      <c r="K67" s="295">
        <f>'CAR Mileage'!K88*CAR!$I$58</f>
        <v>25730.28570828127</v>
      </c>
      <c r="L67" s="295">
        <f>'CAR Mileage'!L88*CAR!$I$58</f>
        <v>25730.28570828127</v>
      </c>
      <c r="M67" s="295">
        <f>'CAR Mileage'!M88*CAR!$I$58</f>
        <v>25730.28570828127</v>
      </c>
      <c r="N67" s="295">
        <f>'CAR Mileage'!N88*CAR!$I$58</f>
        <v>25730.28570828127</v>
      </c>
      <c r="O67" s="295">
        <f>'CAR Mileage'!O88*CAR!$I$58</f>
        <v>25730.28570828127</v>
      </c>
      <c r="P67" s="295">
        <f>'CAR Mileage'!P88*CAR!$I$58</f>
        <v>25730.28570828127</v>
      </c>
      <c r="Q67" s="295">
        <f>'CAR Mileage'!Q88*CAR!$I$58</f>
        <v>25730.28570828127</v>
      </c>
      <c r="R67" s="295">
        <f>'CAR Mileage'!R88*CAR!$I$58</f>
        <v>25730.28570828127</v>
      </c>
      <c r="S67" s="295">
        <f>'CAR Mileage'!S88*CAR!$I$58</f>
        <v>25730.28570828127</v>
      </c>
      <c r="T67" s="295">
        <f>'CAR Mileage'!T88*CAR!$I$58</f>
        <v>25730.28570828127</v>
      </c>
      <c r="U67" s="295">
        <f>'CAR Mileage'!U88*CAR!$I$58</f>
        <v>25730.28570828127</v>
      </c>
      <c r="V67" s="295">
        <f>'CAR Mileage'!V88*CAR!$I$58</f>
        <v>25730.28570828127</v>
      </c>
      <c r="W67" s="295">
        <f>'CAR Mileage'!W88*CAR!$I$58</f>
        <v>25730.28570828127</v>
      </c>
      <c r="X67" s="295">
        <f>'CAR Mileage'!X88*CAR!$I$58</f>
        <v>25730.28570828127</v>
      </c>
      <c r="Y67" s="295">
        <f>'CAR Mileage'!Y88*CAR!$I$58</f>
        <v>25730.28570828127</v>
      </c>
      <c r="Z67" s="295">
        <f>'CAR Mileage'!Z88*CAR!$I$58</f>
        <v>25730.28570828127</v>
      </c>
      <c r="AA67" s="295">
        <f>'CAR Mileage'!AA88*CAR!$I$58</f>
        <v>25730.28570828127</v>
      </c>
      <c r="AB67" s="295">
        <f>'CAR Mileage'!AB88*CAR!$I$58</f>
        <v>25730.28570828127</v>
      </c>
      <c r="AC67" s="295">
        <f>'CAR Mileage'!AC88*CAR!$I$58</f>
        <v>25730.28570828127</v>
      </c>
      <c r="AD67" s="295">
        <f>'CAR Mileage'!AD88*CAR!$I$58</f>
        <v>25730.28570828127</v>
      </c>
      <c r="AE67" s="296">
        <f>'CAR Mileage'!AE88*CAR!$I$58</f>
        <v>25730.28570828127</v>
      </c>
      <c r="AG67" s="1711"/>
      <c r="AH67" s="116">
        <v>6</v>
      </c>
      <c r="AI67" s="294">
        <f>'CAR Passenger Kilometres'!C67*'CAR Stock'!C117</f>
        <v>975949736.91510856</v>
      </c>
      <c r="AJ67" s="295">
        <f>'CAR Passenger Kilometres'!D67*'CAR Stock'!D117</f>
        <v>1002400470.6232218</v>
      </c>
      <c r="AK67" s="295">
        <f>'CAR Passenger Kilometres'!E67*'CAR Stock'!E117</f>
        <v>700301186.12229133</v>
      </c>
      <c r="AL67" s="295">
        <f>'CAR Passenger Kilometres'!F67*'CAR Stock'!F117</f>
        <v>125821097.11349541</v>
      </c>
      <c r="AM67" s="295">
        <f>'CAR Passenger Kilometres'!G67*'CAR Stock'!G117</f>
        <v>62138639.985499263</v>
      </c>
      <c r="AN67" s="295">
        <f>'CAR Passenger Kilometres'!H67*'CAR Stock'!H117</f>
        <v>52772815.987684883</v>
      </c>
      <c r="AO67" s="295">
        <f>'CAR Passenger Kilometres'!I67*'CAR Stock'!I117</f>
        <v>36073860.563010342</v>
      </c>
      <c r="AP67" s="295">
        <f>'CAR Passenger Kilometres'!J67*'CAR Stock'!J117</f>
        <v>0</v>
      </c>
      <c r="AQ67" s="295">
        <f>'CAR Passenger Kilometres'!K67*'CAR Stock'!K117</f>
        <v>0</v>
      </c>
      <c r="AR67" s="295">
        <f>'CAR Passenger Kilometres'!L67*'CAR Stock'!L117</f>
        <v>0</v>
      </c>
      <c r="AS67" s="295">
        <f>'CAR Passenger Kilometres'!M67*'CAR Stock'!M117</f>
        <v>0</v>
      </c>
      <c r="AT67" s="295">
        <f>'CAR Passenger Kilometres'!N67*'CAR Stock'!N117</f>
        <v>0</v>
      </c>
      <c r="AU67" s="295">
        <f>'CAR Passenger Kilometres'!O67*'CAR Stock'!O117</f>
        <v>0</v>
      </c>
      <c r="AV67" s="295">
        <f>'CAR Passenger Kilometres'!P67*'CAR Stock'!P117</f>
        <v>0</v>
      </c>
      <c r="AW67" s="295">
        <f>'CAR Passenger Kilometres'!Q67*'CAR Stock'!Q117</f>
        <v>0</v>
      </c>
      <c r="AX67" s="295">
        <f>'CAR Passenger Kilometres'!R67*'CAR Stock'!R117</f>
        <v>0</v>
      </c>
      <c r="AY67" s="295">
        <f>'CAR Passenger Kilometres'!S67*'CAR Stock'!S117</f>
        <v>0</v>
      </c>
      <c r="AZ67" s="295">
        <f>'CAR Passenger Kilometres'!T67*'CAR Stock'!T117</f>
        <v>0</v>
      </c>
      <c r="BA67" s="295">
        <f>'CAR Passenger Kilometres'!U67*'CAR Stock'!U117</f>
        <v>0</v>
      </c>
      <c r="BB67" s="295">
        <f>'CAR Passenger Kilometres'!V67*'CAR Stock'!V117</f>
        <v>0</v>
      </c>
      <c r="BC67" s="295">
        <f>'CAR Passenger Kilometres'!W67*'CAR Stock'!W117</f>
        <v>0</v>
      </c>
      <c r="BD67" s="295">
        <f>'CAR Passenger Kilometres'!X67*'CAR Stock'!X117</f>
        <v>0</v>
      </c>
      <c r="BE67" s="295">
        <f>'CAR Passenger Kilometres'!Y67*'CAR Stock'!Y117</f>
        <v>0</v>
      </c>
      <c r="BF67" s="295">
        <f>'CAR Passenger Kilometres'!Z67*'CAR Stock'!Z117</f>
        <v>0</v>
      </c>
      <c r="BG67" s="295">
        <f>'CAR Passenger Kilometres'!AA67*'CAR Stock'!AA117</f>
        <v>0</v>
      </c>
      <c r="BH67" s="295">
        <f>'CAR Passenger Kilometres'!AB67*'CAR Stock'!AB117</f>
        <v>0</v>
      </c>
      <c r="BI67" s="295">
        <f>'CAR Passenger Kilometres'!AC67*'CAR Stock'!AC117</f>
        <v>0</v>
      </c>
      <c r="BJ67" s="295">
        <f>'CAR Passenger Kilometres'!AD67*'CAR Stock'!AD117</f>
        <v>0</v>
      </c>
      <c r="BK67" s="296">
        <f>'CAR Passenger Kilometres'!AE67*'CAR Stock'!AE117</f>
        <v>0</v>
      </c>
    </row>
    <row r="68" spans="1:63">
      <c r="A68" s="1711"/>
      <c r="B68" s="116">
        <v>7</v>
      </c>
      <c r="C68" s="294">
        <f>'CAR Mileage'!C89*CAR!$I$58</f>
        <v>25215.679994115642</v>
      </c>
      <c r="D68" s="295">
        <f>'CAR Mileage'!D89*CAR!$I$58</f>
        <v>25215.679994115642</v>
      </c>
      <c r="E68" s="295">
        <f>'CAR Mileage'!E89*CAR!$I$58</f>
        <v>25215.679994115642</v>
      </c>
      <c r="F68" s="295">
        <f>'CAR Mileage'!F89*CAR!$I$58</f>
        <v>25215.679994115642</v>
      </c>
      <c r="G68" s="295">
        <f>'CAR Mileage'!G89*CAR!$I$58</f>
        <v>25215.679994115642</v>
      </c>
      <c r="H68" s="295">
        <f>'CAR Mileage'!H89*CAR!$I$58</f>
        <v>25215.679994115642</v>
      </c>
      <c r="I68" s="295">
        <f>'CAR Mileage'!I89*CAR!$I$58</f>
        <v>25215.679994115642</v>
      </c>
      <c r="J68" s="295">
        <f>'CAR Mileage'!J89*CAR!$I$58</f>
        <v>25215.679994115642</v>
      </c>
      <c r="K68" s="295">
        <f>'CAR Mileage'!K89*CAR!$I$58</f>
        <v>25215.679994115642</v>
      </c>
      <c r="L68" s="295">
        <f>'CAR Mileage'!L89*CAR!$I$58</f>
        <v>25215.679994115642</v>
      </c>
      <c r="M68" s="295">
        <f>'CAR Mileage'!M89*CAR!$I$58</f>
        <v>25215.679994115642</v>
      </c>
      <c r="N68" s="295">
        <f>'CAR Mileage'!N89*CAR!$I$58</f>
        <v>25215.679994115642</v>
      </c>
      <c r="O68" s="295">
        <f>'CAR Mileage'!O89*CAR!$I$58</f>
        <v>25215.679994115642</v>
      </c>
      <c r="P68" s="295">
        <f>'CAR Mileage'!P89*CAR!$I$58</f>
        <v>25215.679994115642</v>
      </c>
      <c r="Q68" s="295">
        <f>'CAR Mileage'!Q89*CAR!$I$58</f>
        <v>25215.679994115642</v>
      </c>
      <c r="R68" s="295">
        <f>'CAR Mileage'!R89*CAR!$I$58</f>
        <v>25215.679994115642</v>
      </c>
      <c r="S68" s="295">
        <f>'CAR Mileage'!S89*CAR!$I$58</f>
        <v>25215.679994115642</v>
      </c>
      <c r="T68" s="295">
        <f>'CAR Mileage'!T89*CAR!$I$58</f>
        <v>25215.679994115642</v>
      </c>
      <c r="U68" s="295">
        <f>'CAR Mileage'!U89*CAR!$I$58</f>
        <v>25215.679994115642</v>
      </c>
      <c r="V68" s="295">
        <f>'CAR Mileage'!V89*CAR!$I$58</f>
        <v>25215.679994115642</v>
      </c>
      <c r="W68" s="295">
        <f>'CAR Mileage'!W89*CAR!$I$58</f>
        <v>25215.679994115642</v>
      </c>
      <c r="X68" s="295">
        <f>'CAR Mileage'!X89*CAR!$I$58</f>
        <v>25215.679994115642</v>
      </c>
      <c r="Y68" s="295">
        <f>'CAR Mileage'!Y89*CAR!$I$58</f>
        <v>25215.679994115642</v>
      </c>
      <c r="Z68" s="295">
        <f>'CAR Mileage'!Z89*CAR!$I$58</f>
        <v>25215.679994115642</v>
      </c>
      <c r="AA68" s="295">
        <f>'CAR Mileage'!AA89*CAR!$I$58</f>
        <v>25215.679994115642</v>
      </c>
      <c r="AB68" s="295">
        <f>'CAR Mileage'!AB89*CAR!$I$58</f>
        <v>25215.679994115642</v>
      </c>
      <c r="AC68" s="295">
        <f>'CAR Mileage'!AC89*CAR!$I$58</f>
        <v>25215.679994115642</v>
      </c>
      <c r="AD68" s="295">
        <f>'CAR Mileage'!AD89*CAR!$I$58</f>
        <v>25215.679994115642</v>
      </c>
      <c r="AE68" s="296">
        <f>'CAR Mileage'!AE89*CAR!$I$58</f>
        <v>25215.679994115642</v>
      </c>
      <c r="AG68" s="1711"/>
      <c r="AH68" s="116">
        <v>7</v>
      </c>
      <c r="AI68" s="294">
        <f>'CAR Passenger Kilometres'!C68*'CAR Stock'!C118</f>
        <v>997557516.24720895</v>
      </c>
      <c r="AJ68" s="295">
        <f>'CAR Passenger Kilometres'!D68*'CAR Stock'!D118</f>
        <v>956430742.17680633</v>
      </c>
      <c r="AK68" s="295">
        <f>'CAR Passenger Kilometres'!E68*'CAR Stock'!E118</f>
        <v>982352461.21075714</v>
      </c>
      <c r="AL68" s="295">
        <f>'CAR Passenger Kilometres'!F68*'CAR Stock'!F118</f>
        <v>686295162.39984548</v>
      </c>
      <c r="AM68" s="295">
        <f>'CAR Passenger Kilometres'!G68*'CAR Stock'!G118</f>
        <v>123304675.17122549</v>
      </c>
      <c r="AN68" s="295">
        <f>'CAR Passenger Kilometres'!H68*'CAR Stock'!H118</f>
        <v>60895867.18578928</v>
      </c>
      <c r="AO68" s="295">
        <f>'CAR Passenger Kilometres'!I68*'CAR Stock'!I118</f>
        <v>51717359.667931184</v>
      </c>
      <c r="AP68" s="295">
        <f>'CAR Passenger Kilometres'!J68*'CAR Stock'!J118</f>
        <v>35352383.351750128</v>
      </c>
      <c r="AQ68" s="295">
        <f>'CAR Passenger Kilometres'!K68*'CAR Stock'!K118</f>
        <v>0</v>
      </c>
      <c r="AR68" s="295">
        <f>'CAR Passenger Kilometres'!L68*'CAR Stock'!L118</f>
        <v>0</v>
      </c>
      <c r="AS68" s="295">
        <f>'CAR Passenger Kilometres'!M68*'CAR Stock'!M118</f>
        <v>0</v>
      </c>
      <c r="AT68" s="295">
        <f>'CAR Passenger Kilometres'!N68*'CAR Stock'!N118</f>
        <v>0</v>
      </c>
      <c r="AU68" s="295">
        <f>'CAR Passenger Kilometres'!O68*'CAR Stock'!O118</f>
        <v>0</v>
      </c>
      <c r="AV68" s="295">
        <f>'CAR Passenger Kilometres'!P68*'CAR Stock'!P118</f>
        <v>0</v>
      </c>
      <c r="AW68" s="295">
        <f>'CAR Passenger Kilometres'!Q68*'CAR Stock'!Q118</f>
        <v>0</v>
      </c>
      <c r="AX68" s="295">
        <f>'CAR Passenger Kilometres'!R68*'CAR Stock'!R118</f>
        <v>0</v>
      </c>
      <c r="AY68" s="295">
        <f>'CAR Passenger Kilometres'!S68*'CAR Stock'!S118</f>
        <v>0</v>
      </c>
      <c r="AZ68" s="295">
        <f>'CAR Passenger Kilometres'!T68*'CAR Stock'!T118</f>
        <v>0</v>
      </c>
      <c r="BA68" s="295">
        <f>'CAR Passenger Kilometres'!U68*'CAR Stock'!U118</f>
        <v>0</v>
      </c>
      <c r="BB68" s="295">
        <f>'CAR Passenger Kilometres'!V68*'CAR Stock'!V118</f>
        <v>0</v>
      </c>
      <c r="BC68" s="295">
        <f>'CAR Passenger Kilometres'!W68*'CAR Stock'!W118</f>
        <v>0</v>
      </c>
      <c r="BD68" s="295">
        <f>'CAR Passenger Kilometres'!X68*'CAR Stock'!X118</f>
        <v>0</v>
      </c>
      <c r="BE68" s="295">
        <f>'CAR Passenger Kilometres'!Y68*'CAR Stock'!Y118</f>
        <v>0</v>
      </c>
      <c r="BF68" s="295">
        <f>'CAR Passenger Kilometres'!Z68*'CAR Stock'!Z118</f>
        <v>0</v>
      </c>
      <c r="BG68" s="295">
        <f>'CAR Passenger Kilometres'!AA68*'CAR Stock'!AA118</f>
        <v>0</v>
      </c>
      <c r="BH68" s="295">
        <f>'CAR Passenger Kilometres'!AB68*'CAR Stock'!AB118</f>
        <v>0</v>
      </c>
      <c r="BI68" s="295">
        <f>'CAR Passenger Kilometres'!AC68*'CAR Stock'!AC118</f>
        <v>0</v>
      </c>
      <c r="BJ68" s="295">
        <f>'CAR Passenger Kilometres'!AD68*'CAR Stock'!AD118</f>
        <v>0</v>
      </c>
      <c r="BK68" s="296">
        <f>'CAR Passenger Kilometres'!AE68*'CAR Stock'!AE118</f>
        <v>0</v>
      </c>
    </row>
    <row r="69" spans="1:63">
      <c r="A69" s="1711"/>
      <c r="B69" s="116">
        <v>8</v>
      </c>
      <c r="C69" s="294">
        <f>'CAR Mileage'!C90*CAR!$I$58</f>
        <v>24711.366394233326</v>
      </c>
      <c r="D69" s="295">
        <f>'CAR Mileage'!D90*CAR!$I$58</f>
        <v>24711.366394233326</v>
      </c>
      <c r="E69" s="295">
        <f>'CAR Mileage'!E90*CAR!$I$58</f>
        <v>24711.366394233326</v>
      </c>
      <c r="F69" s="295">
        <f>'CAR Mileage'!F90*CAR!$I$58</f>
        <v>24711.366394233326</v>
      </c>
      <c r="G69" s="295">
        <f>'CAR Mileage'!G90*CAR!$I$58</f>
        <v>24711.366394233326</v>
      </c>
      <c r="H69" s="295">
        <f>'CAR Mileage'!H90*CAR!$I$58</f>
        <v>24711.366394233326</v>
      </c>
      <c r="I69" s="295">
        <f>'CAR Mileage'!I90*CAR!$I$58</f>
        <v>24711.366394233326</v>
      </c>
      <c r="J69" s="295">
        <f>'CAR Mileage'!J90*CAR!$I$58</f>
        <v>24711.366394233326</v>
      </c>
      <c r="K69" s="295">
        <f>'CAR Mileage'!K90*CAR!$I$58</f>
        <v>24711.366394233326</v>
      </c>
      <c r="L69" s="295">
        <f>'CAR Mileage'!L90*CAR!$I$58</f>
        <v>24711.366394233326</v>
      </c>
      <c r="M69" s="295">
        <f>'CAR Mileage'!M90*CAR!$I$58</f>
        <v>24711.366394233326</v>
      </c>
      <c r="N69" s="295">
        <f>'CAR Mileage'!N90*CAR!$I$58</f>
        <v>24711.366394233326</v>
      </c>
      <c r="O69" s="295">
        <f>'CAR Mileage'!O90*CAR!$I$58</f>
        <v>24711.366394233326</v>
      </c>
      <c r="P69" s="295">
        <f>'CAR Mileage'!P90*CAR!$I$58</f>
        <v>24711.366394233326</v>
      </c>
      <c r="Q69" s="295">
        <f>'CAR Mileage'!Q90*CAR!$I$58</f>
        <v>24711.366394233326</v>
      </c>
      <c r="R69" s="295">
        <f>'CAR Mileage'!R90*CAR!$I$58</f>
        <v>24711.366394233326</v>
      </c>
      <c r="S69" s="295">
        <f>'CAR Mileage'!S90*CAR!$I$58</f>
        <v>24711.366394233326</v>
      </c>
      <c r="T69" s="295">
        <f>'CAR Mileage'!T90*CAR!$I$58</f>
        <v>24711.366394233326</v>
      </c>
      <c r="U69" s="295">
        <f>'CAR Mileage'!U90*CAR!$I$58</f>
        <v>24711.366394233326</v>
      </c>
      <c r="V69" s="295">
        <f>'CAR Mileage'!V90*CAR!$I$58</f>
        <v>24711.366394233326</v>
      </c>
      <c r="W69" s="295">
        <f>'CAR Mileage'!W90*CAR!$I$58</f>
        <v>24711.366394233326</v>
      </c>
      <c r="X69" s="295">
        <f>'CAR Mileage'!X90*CAR!$I$58</f>
        <v>24711.366394233326</v>
      </c>
      <c r="Y69" s="295">
        <f>'CAR Mileage'!Y90*CAR!$I$58</f>
        <v>24711.366394233326</v>
      </c>
      <c r="Z69" s="295">
        <f>'CAR Mileage'!Z90*CAR!$I$58</f>
        <v>24711.366394233326</v>
      </c>
      <c r="AA69" s="295">
        <f>'CAR Mileage'!AA90*CAR!$I$58</f>
        <v>24711.366394233326</v>
      </c>
      <c r="AB69" s="295">
        <f>'CAR Mileage'!AB90*CAR!$I$58</f>
        <v>24711.366394233326</v>
      </c>
      <c r="AC69" s="295">
        <f>'CAR Mileage'!AC90*CAR!$I$58</f>
        <v>24711.366394233326</v>
      </c>
      <c r="AD69" s="295">
        <f>'CAR Mileage'!AD90*CAR!$I$58</f>
        <v>24711.366394233326</v>
      </c>
      <c r="AE69" s="296">
        <f>'CAR Mileage'!AE90*CAR!$I$58</f>
        <v>24711.366394233326</v>
      </c>
      <c r="AG69" s="1711"/>
      <c r="AH69" s="116">
        <v>8</v>
      </c>
      <c r="AI69" s="294">
        <f>'CAR Passenger Kilometres'!C69*'CAR Stock'!C119</f>
        <v>879082148.10845637</v>
      </c>
      <c r="AJ69" s="295">
        <f>'CAR Passenger Kilometres'!D69*'CAR Stock'!D119</f>
        <v>972718462.75318694</v>
      </c>
      <c r="AK69" s="295">
        <f>'CAR Passenger Kilometres'!E69*'CAR Stock'!E119</f>
        <v>932615740.05278909</v>
      </c>
      <c r="AL69" s="295">
        <f>'CAR Passenger Kilometres'!F69*'CAR Stock'!F119</f>
        <v>957892011.62606251</v>
      </c>
      <c r="AM69" s="295">
        <f>'CAR Passenger Kilometres'!G69*'CAR Stock'!G119</f>
        <v>669206501.37138832</v>
      </c>
      <c r="AN69" s="295">
        <f>'CAR Passenger Kilometres'!H69*'CAR Stock'!H119</f>
        <v>120234404.66275081</v>
      </c>
      <c r="AO69" s="295">
        <f>'CAR Passenger Kilometres'!I69*'CAR Stock'!I119</f>
        <v>59379567.946941346</v>
      </c>
      <c r="AP69" s="295">
        <f>'CAR Passenger Kilometres'!J69*'CAR Stock'!J119</f>
        <v>50429604.082474828</v>
      </c>
      <c r="AQ69" s="295">
        <f>'CAR Passenger Kilometres'!K69*'CAR Stock'!K119</f>
        <v>34472113.565884791</v>
      </c>
      <c r="AR69" s="295">
        <f>'CAR Passenger Kilometres'!L69*'CAR Stock'!L119</f>
        <v>0</v>
      </c>
      <c r="AS69" s="295">
        <f>'CAR Passenger Kilometres'!M69*'CAR Stock'!M119</f>
        <v>0</v>
      </c>
      <c r="AT69" s="295">
        <f>'CAR Passenger Kilometres'!N69*'CAR Stock'!N119</f>
        <v>0</v>
      </c>
      <c r="AU69" s="295">
        <f>'CAR Passenger Kilometres'!O69*'CAR Stock'!O119</f>
        <v>0</v>
      </c>
      <c r="AV69" s="295">
        <f>'CAR Passenger Kilometres'!P69*'CAR Stock'!P119</f>
        <v>0</v>
      </c>
      <c r="AW69" s="295">
        <f>'CAR Passenger Kilometres'!Q69*'CAR Stock'!Q119</f>
        <v>0</v>
      </c>
      <c r="AX69" s="295">
        <f>'CAR Passenger Kilometres'!R69*'CAR Stock'!R119</f>
        <v>0</v>
      </c>
      <c r="AY69" s="295">
        <f>'CAR Passenger Kilometres'!S69*'CAR Stock'!S119</f>
        <v>0</v>
      </c>
      <c r="AZ69" s="295">
        <f>'CAR Passenger Kilometres'!T69*'CAR Stock'!T119</f>
        <v>0</v>
      </c>
      <c r="BA69" s="295">
        <f>'CAR Passenger Kilometres'!U69*'CAR Stock'!U119</f>
        <v>0</v>
      </c>
      <c r="BB69" s="295">
        <f>'CAR Passenger Kilometres'!V69*'CAR Stock'!V119</f>
        <v>0</v>
      </c>
      <c r="BC69" s="295">
        <f>'CAR Passenger Kilometres'!W69*'CAR Stock'!W119</f>
        <v>0</v>
      </c>
      <c r="BD69" s="295">
        <f>'CAR Passenger Kilometres'!X69*'CAR Stock'!X119</f>
        <v>0</v>
      </c>
      <c r="BE69" s="295">
        <f>'CAR Passenger Kilometres'!Y69*'CAR Stock'!Y119</f>
        <v>0</v>
      </c>
      <c r="BF69" s="295">
        <f>'CAR Passenger Kilometres'!Z69*'CAR Stock'!Z119</f>
        <v>0</v>
      </c>
      <c r="BG69" s="295">
        <f>'CAR Passenger Kilometres'!AA69*'CAR Stock'!AA119</f>
        <v>0</v>
      </c>
      <c r="BH69" s="295">
        <f>'CAR Passenger Kilometres'!AB69*'CAR Stock'!AB119</f>
        <v>0</v>
      </c>
      <c r="BI69" s="295">
        <f>'CAR Passenger Kilometres'!AC69*'CAR Stock'!AC119</f>
        <v>0</v>
      </c>
      <c r="BJ69" s="295">
        <f>'CAR Passenger Kilometres'!AD69*'CAR Stock'!AD119</f>
        <v>0</v>
      </c>
      <c r="BK69" s="296">
        <f>'CAR Passenger Kilometres'!AE69*'CAR Stock'!AE119</f>
        <v>0</v>
      </c>
    </row>
    <row r="70" spans="1:63">
      <c r="A70" s="1711"/>
      <c r="B70" s="116">
        <v>9</v>
      </c>
      <c r="C70" s="294">
        <f>'CAR Mileage'!C91*CAR!$I$58</f>
        <v>24217.13906634866</v>
      </c>
      <c r="D70" s="295">
        <f>'CAR Mileage'!D91*CAR!$I$58</f>
        <v>24217.13906634866</v>
      </c>
      <c r="E70" s="295">
        <f>'CAR Mileage'!E91*CAR!$I$58</f>
        <v>24217.13906634866</v>
      </c>
      <c r="F70" s="295">
        <f>'CAR Mileage'!F91*CAR!$I$58</f>
        <v>24217.13906634866</v>
      </c>
      <c r="G70" s="295">
        <f>'CAR Mileage'!G91*CAR!$I$58</f>
        <v>24217.13906634866</v>
      </c>
      <c r="H70" s="295">
        <f>'CAR Mileage'!H91*CAR!$I$58</f>
        <v>24217.13906634866</v>
      </c>
      <c r="I70" s="295">
        <f>'CAR Mileage'!I91*CAR!$I$58</f>
        <v>24217.13906634866</v>
      </c>
      <c r="J70" s="295">
        <f>'CAR Mileage'!J91*CAR!$I$58</f>
        <v>24217.13906634866</v>
      </c>
      <c r="K70" s="295">
        <f>'CAR Mileage'!K91*CAR!$I$58</f>
        <v>24217.13906634866</v>
      </c>
      <c r="L70" s="295">
        <f>'CAR Mileage'!L91*CAR!$I$58</f>
        <v>24217.13906634866</v>
      </c>
      <c r="M70" s="295">
        <f>'CAR Mileage'!M91*CAR!$I$58</f>
        <v>24217.13906634866</v>
      </c>
      <c r="N70" s="295">
        <f>'CAR Mileage'!N91*CAR!$I$58</f>
        <v>24217.13906634866</v>
      </c>
      <c r="O70" s="295">
        <f>'CAR Mileage'!O91*CAR!$I$58</f>
        <v>24217.13906634866</v>
      </c>
      <c r="P70" s="295">
        <f>'CAR Mileage'!P91*CAR!$I$58</f>
        <v>24217.13906634866</v>
      </c>
      <c r="Q70" s="295">
        <f>'CAR Mileage'!Q91*CAR!$I$58</f>
        <v>24217.13906634866</v>
      </c>
      <c r="R70" s="295">
        <f>'CAR Mileage'!R91*CAR!$I$58</f>
        <v>24217.13906634866</v>
      </c>
      <c r="S70" s="295">
        <f>'CAR Mileage'!S91*CAR!$I$58</f>
        <v>24217.13906634866</v>
      </c>
      <c r="T70" s="295">
        <f>'CAR Mileage'!T91*CAR!$I$58</f>
        <v>24217.13906634866</v>
      </c>
      <c r="U70" s="295">
        <f>'CAR Mileage'!U91*CAR!$I$58</f>
        <v>24217.13906634866</v>
      </c>
      <c r="V70" s="295">
        <f>'CAR Mileage'!V91*CAR!$I$58</f>
        <v>24217.13906634866</v>
      </c>
      <c r="W70" s="295">
        <f>'CAR Mileage'!W91*CAR!$I$58</f>
        <v>24217.13906634866</v>
      </c>
      <c r="X70" s="295">
        <f>'CAR Mileage'!X91*CAR!$I$58</f>
        <v>24217.13906634866</v>
      </c>
      <c r="Y70" s="295">
        <f>'CAR Mileage'!Y91*CAR!$I$58</f>
        <v>24217.13906634866</v>
      </c>
      <c r="Z70" s="295">
        <f>'CAR Mileage'!Z91*CAR!$I$58</f>
        <v>24217.13906634866</v>
      </c>
      <c r="AA70" s="295">
        <f>'CAR Mileage'!AA91*CAR!$I$58</f>
        <v>24217.13906634866</v>
      </c>
      <c r="AB70" s="295">
        <f>'CAR Mileage'!AB91*CAR!$I$58</f>
        <v>24217.13906634866</v>
      </c>
      <c r="AC70" s="295">
        <f>'CAR Mileage'!AC91*CAR!$I$58</f>
        <v>24217.13906634866</v>
      </c>
      <c r="AD70" s="295">
        <f>'CAR Mileage'!AD91*CAR!$I$58</f>
        <v>24217.13906634866</v>
      </c>
      <c r="AE70" s="296">
        <f>'CAR Mileage'!AE91*CAR!$I$58</f>
        <v>24217.13906634866</v>
      </c>
      <c r="AG70" s="1711"/>
      <c r="AH70" s="116">
        <v>9</v>
      </c>
      <c r="AI70" s="294">
        <f>'CAR Passenger Kilometres'!C70*'CAR Stock'!C120</f>
        <v>707188895.01551354</v>
      </c>
      <c r="AJ70" s="295">
        <f>'CAR Passenger Kilometres'!D70*'CAR Stock'!D120</f>
        <v>814264164.63014841</v>
      </c>
      <c r="AK70" s="295">
        <f>'CAR Passenger Kilometres'!E70*'CAR Stock'!E120</f>
        <v>900996326.90564787</v>
      </c>
      <c r="AL70" s="295">
        <f>'CAR Passenger Kilometres'!F70*'CAR Stock'!F120</f>
        <v>863850526.51680255</v>
      </c>
      <c r="AM70" s="295">
        <f>'CAR Passenger Kilometres'!G70*'CAR Stock'!G120</f>
        <v>887263084.94704962</v>
      </c>
      <c r="AN70" s="295">
        <f>'CAR Passenger Kilometres'!H70*'CAR Stock'!H120</f>
        <v>619863426.84439278</v>
      </c>
      <c r="AO70" s="295">
        <f>'CAR Passenger Kilometres'!I70*'CAR Stock'!I120</f>
        <v>111369076.57967743</v>
      </c>
      <c r="AP70" s="295">
        <f>'CAR Passenger Kilometres'!J70*'CAR Stock'!J120</f>
        <v>55001292.421251737</v>
      </c>
      <c r="AQ70" s="295">
        <f>'CAR Passenger Kilometres'!K70*'CAR Stock'!K120</f>
        <v>46711242.549063064</v>
      </c>
      <c r="AR70" s="295">
        <f>'CAR Passenger Kilometres'!L70*'CAR Stock'!L120</f>
        <v>31930356.925298106</v>
      </c>
      <c r="AS70" s="295">
        <f>'CAR Passenger Kilometres'!M70*'CAR Stock'!M120</f>
        <v>0</v>
      </c>
      <c r="AT70" s="295">
        <f>'CAR Passenger Kilometres'!N70*'CAR Stock'!N120</f>
        <v>0</v>
      </c>
      <c r="AU70" s="295">
        <f>'CAR Passenger Kilometres'!O70*'CAR Stock'!O120</f>
        <v>0</v>
      </c>
      <c r="AV70" s="295">
        <f>'CAR Passenger Kilometres'!P70*'CAR Stock'!P120</f>
        <v>0</v>
      </c>
      <c r="AW70" s="295">
        <f>'CAR Passenger Kilometres'!Q70*'CAR Stock'!Q120</f>
        <v>0</v>
      </c>
      <c r="AX70" s="295">
        <f>'CAR Passenger Kilometres'!R70*'CAR Stock'!R120</f>
        <v>0</v>
      </c>
      <c r="AY70" s="295">
        <f>'CAR Passenger Kilometres'!S70*'CAR Stock'!S120</f>
        <v>0</v>
      </c>
      <c r="AZ70" s="295">
        <f>'CAR Passenger Kilometres'!T70*'CAR Stock'!T120</f>
        <v>0</v>
      </c>
      <c r="BA70" s="295">
        <f>'CAR Passenger Kilometres'!U70*'CAR Stock'!U120</f>
        <v>0</v>
      </c>
      <c r="BB70" s="295">
        <f>'CAR Passenger Kilometres'!V70*'CAR Stock'!V120</f>
        <v>0</v>
      </c>
      <c r="BC70" s="295">
        <f>'CAR Passenger Kilometres'!W70*'CAR Stock'!W120</f>
        <v>0</v>
      </c>
      <c r="BD70" s="295">
        <f>'CAR Passenger Kilometres'!X70*'CAR Stock'!X120</f>
        <v>0</v>
      </c>
      <c r="BE70" s="295">
        <f>'CAR Passenger Kilometres'!Y70*'CAR Stock'!Y120</f>
        <v>0</v>
      </c>
      <c r="BF70" s="295">
        <f>'CAR Passenger Kilometres'!Z70*'CAR Stock'!Z120</f>
        <v>0</v>
      </c>
      <c r="BG70" s="295">
        <f>'CAR Passenger Kilometres'!AA70*'CAR Stock'!AA120</f>
        <v>0</v>
      </c>
      <c r="BH70" s="295">
        <f>'CAR Passenger Kilometres'!AB70*'CAR Stock'!AB120</f>
        <v>0</v>
      </c>
      <c r="BI70" s="295">
        <f>'CAR Passenger Kilometres'!AC70*'CAR Stock'!AC120</f>
        <v>0</v>
      </c>
      <c r="BJ70" s="295">
        <f>'CAR Passenger Kilometres'!AD70*'CAR Stock'!AD120</f>
        <v>0</v>
      </c>
      <c r="BK70" s="296">
        <f>'CAR Passenger Kilometres'!AE70*'CAR Stock'!AE120</f>
        <v>0</v>
      </c>
    </row>
    <row r="71" spans="1:63">
      <c r="A71" s="1711"/>
      <c r="B71" s="116">
        <v>10</v>
      </c>
      <c r="C71" s="294">
        <f>'CAR Mileage'!C92*CAR!$I$58</f>
        <v>23732.796285021686</v>
      </c>
      <c r="D71" s="295">
        <f>'CAR Mileage'!D92*CAR!$I$58</f>
        <v>23732.796285021686</v>
      </c>
      <c r="E71" s="295">
        <f>'CAR Mileage'!E92*CAR!$I$58</f>
        <v>23732.796285021686</v>
      </c>
      <c r="F71" s="295">
        <f>'CAR Mileage'!F92*CAR!$I$58</f>
        <v>23732.796285021686</v>
      </c>
      <c r="G71" s="295">
        <f>'CAR Mileage'!G92*CAR!$I$58</f>
        <v>23732.796285021686</v>
      </c>
      <c r="H71" s="295">
        <f>'CAR Mileage'!H92*CAR!$I$58</f>
        <v>23732.796285021686</v>
      </c>
      <c r="I71" s="295">
        <f>'CAR Mileage'!I92*CAR!$I$58</f>
        <v>23732.796285021686</v>
      </c>
      <c r="J71" s="295">
        <f>'CAR Mileage'!J92*CAR!$I$58</f>
        <v>23732.796285021686</v>
      </c>
      <c r="K71" s="295">
        <f>'CAR Mileage'!K92*CAR!$I$58</f>
        <v>23732.796285021686</v>
      </c>
      <c r="L71" s="295">
        <f>'CAR Mileage'!L92*CAR!$I$58</f>
        <v>23732.796285021686</v>
      </c>
      <c r="M71" s="295">
        <f>'CAR Mileage'!M92*CAR!$I$58</f>
        <v>23732.796285021686</v>
      </c>
      <c r="N71" s="295">
        <f>'CAR Mileage'!N92*CAR!$I$58</f>
        <v>23732.796285021686</v>
      </c>
      <c r="O71" s="295">
        <f>'CAR Mileage'!O92*CAR!$I$58</f>
        <v>23732.796285021686</v>
      </c>
      <c r="P71" s="295">
        <f>'CAR Mileage'!P92*CAR!$I$58</f>
        <v>23732.796285021686</v>
      </c>
      <c r="Q71" s="295">
        <f>'CAR Mileage'!Q92*CAR!$I$58</f>
        <v>23732.796285021686</v>
      </c>
      <c r="R71" s="295">
        <f>'CAR Mileage'!R92*CAR!$I$58</f>
        <v>23732.796285021686</v>
      </c>
      <c r="S71" s="295">
        <f>'CAR Mileage'!S92*CAR!$I$58</f>
        <v>23732.796285021686</v>
      </c>
      <c r="T71" s="295">
        <f>'CAR Mileage'!T92*CAR!$I$58</f>
        <v>23732.796285021686</v>
      </c>
      <c r="U71" s="295">
        <f>'CAR Mileage'!U92*CAR!$I$58</f>
        <v>23732.796285021686</v>
      </c>
      <c r="V71" s="295">
        <f>'CAR Mileage'!V92*CAR!$I$58</f>
        <v>23732.796285021686</v>
      </c>
      <c r="W71" s="295">
        <f>'CAR Mileage'!W92*CAR!$I$58</f>
        <v>23732.796285021686</v>
      </c>
      <c r="X71" s="295">
        <f>'CAR Mileage'!X92*CAR!$I$58</f>
        <v>23732.796285021686</v>
      </c>
      <c r="Y71" s="295">
        <f>'CAR Mileage'!Y92*CAR!$I$58</f>
        <v>23732.796285021686</v>
      </c>
      <c r="Z71" s="295">
        <f>'CAR Mileage'!Z92*CAR!$I$58</f>
        <v>23732.796285021686</v>
      </c>
      <c r="AA71" s="295">
        <f>'CAR Mileage'!AA92*CAR!$I$58</f>
        <v>23732.796285021686</v>
      </c>
      <c r="AB71" s="295">
        <f>'CAR Mileage'!AB92*CAR!$I$58</f>
        <v>23732.796285021686</v>
      </c>
      <c r="AC71" s="295">
        <f>'CAR Mileage'!AC92*CAR!$I$58</f>
        <v>23732.796285021686</v>
      </c>
      <c r="AD71" s="295">
        <f>'CAR Mileage'!AD92*CAR!$I$58</f>
        <v>23732.796285021686</v>
      </c>
      <c r="AE71" s="296">
        <f>'CAR Mileage'!AE92*CAR!$I$58</f>
        <v>23732.796285021686</v>
      </c>
      <c r="AG71" s="1711"/>
      <c r="AH71" s="116">
        <v>10</v>
      </c>
      <c r="AI71" s="294">
        <f>'CAR Passenger Kilometres'!C71*'CAR Stock'!C121</f>
        <v>584847298.85178947</v>
      </c>
      <c r="AJ71" s="295">
        <f>'CAR Passenger Kilometres'!D71*'CAR Stock'!D121</f>
        <v>593091812.38249874</v>
      </c>
      <c r="AK71" s="295">
        <f>'CAR Passenger Kilometres'!E71*'CAR Stock'!E121</f>
        <v>682891675.14150786</v>
      </c>
      <c r="AL71" s="295">
        <f>'CAR Passenger Kilometres'!F71*'CAR Stock'!F121</f>
        <v>755630565.24342406</v>
      </c>
      <c r="AM71" s="295">
        <f>'CAR Passenger Kilometres'!G71*'CAR Stock'!G121</f>
        <v>724477827.65054166</v>
      </c>
      <c r="AN71" s="295">
        <f>'CAR Passenger Kilometres'!H71*'CAR Stock'!H121</f>
        <v>744113029.51779068</v>
      </c>
      <c r="AO71" s="295">
        <f>'CAR Passenger Kilometres'!I71*'CAR Stock'!I121</f>
        <v>519855339.70906389</v>
      </c>
      <c r="AP71" s="295">
        <f>'CAR Passenger Kilometres'!J71*'CAR Stock'!J121</f>
        <v>93400911.605883181</v>
      </c>
      <c r="AQ71" s="295">
        <f>'CAR Passenger Kilometres'!K71*'CAR Stock'!K121</f>
        <v>46127444.075298131</v>
      </c>
      <c r="AR71" s="295">
        <f>'CAR Passenger Kilometres'!L71*'CAR Stock'!L121</f>
        <v>39174901.779890873</v>
      </c>
      <c r="AS71" s="295">
        <f>'CAR Passenger Kilometres'!M71*'CAR Stock'!M121</f>
        <v>26778748.071870796</v>
      </c>
      <c r="AT71" s="295">
        <f>'CAR Passenger Kilometres'!N71*'CAR Stock'!N121</f>
        <v>0</v>
      </c>
      <c r="AU71" s="295">
        <f>'CAR Passenger Kilometres'!O71*'CAR Stock'!O121</f>
        <v>0</v>
      </c>
      <c r="AV71" s="295">
        <f>'CAR Passenger Kilometres'!P71*'CAR Stock'!P121</f>
        <v>0</v>
      </c>
      <c r="AW71" s="295">
        <f>'CAR Passenger Kilometres'!Q71*'CAR Stock'!Q121</f>
        <v>0</v>
      </c>
      <c r="AX71" s="295">
        <f>'CAR Passenger Kilometres'!R71*'CAR Stock'!R121</f>
        <v>0</v>
      </c>
      <c r="AY71" s="295">
        <f>'CAR Passenger Kilometres'!S71*'CAR Stock'!S121</f>
        <v>0</v>
      </c>
      <c r="AZ71" s="295">
        <f>'CAR Passenger Kilometres'!T71*'CAR Stock'!T121</f>
        <v>0</v>
      </c>
      <c r="BA71" s="295">
        <f>'CAR Passenger Kilometres'!U71*'CAR Stock'!U121</f>
        <v>0</v>
      </c>
      <c r="BB71" s="295">
        <f>'CAR Passenger Kilometres'!V71*'CAR Stock'!V121</f>
        <v>0</v>
      </c>
      <c r="BC71" s="295">
        <f>'CAR Passenger Kilometres'!W71*'CAR Stock'!W121</f>
        <v>0</v>
      </c>
      <c r="BD71" s="295">
        <f>'CAR Passenger Kilometres'!X71*'CAR Stock'!X121</f>
        <v>0</v>
      </c>
      <c r="BE71" s="295">
        <f>'CAR Passenger Kilometres'!Y71*'CAR Stock'!Y121</f>
        <v>0</v>
      </c>
      <c r="BF71" s="295">
        <f>'CAR Passenger Kilometres'!Z71*'CAR Stock'!Z121</f>
        <v>0</v>
      </c>
      <c r="BG71" s="295">
        <f>'CAR Passenger Kilometres'!AA71*'CAR Stock'!AA121</f>
        <v>0</v>
      </c>
      <c r="BH71" s="295">
        <f>'CAR Passenger Kilometres'!AB71*'CAR Stock'!AB121</f>
        <v>0</v>
      </c>
      <c r="BI71" s="295">
        <f>'CAR Passenger Kilometres'!AC71*'CAR Stock'!AC121</f>
        <v>0</v>
      </c>
      <c r="BJ71" s="295">
        <f>'CAR Passenger Kilometres'!AD71*'CAR Stock'!AD121</f>
        <v>0</v>
      </c>
      <c r="BK71" s="296">
        <f>'CAR Passenger Kilometres'!AE71*'CAR Stock'!AE121</f>
        <v>0</v>
      </c>
    </row>
    <row r="72" spans="1:63">
      <c r="A72" s="1711"/>
      <c r="B72" s="116">
        <v>11</v>
      </c>
      <c r="C72" s="294">
        <f>'CAR Mileage'!C93*CAR!$I$58</f>
        <v>23258.140359321249</v>
      </c>
      <c r="D72" s="295">
        <f>'CAR Mileage'!D93*CAR!$I$58</f>
        <v>23258.140359321249</v>
      </c>
      <c r="E72" s="295">
        <f>'CAR Mileage'!E93*CAR!$I$58</f>
        <v>23258.140359321249</v>
      </c>
      <c r="F72" s="295">
        <f>'CAR Mileage'!F93*CAR!$I$58</f>
        <v>23258.140359321249</v>
      </c>
      <c r="G72" s="295">
        <f>'CAR Mileage'!G93*CAR!$I$58</f>
        <v>23258.140359321249</v>
      </c>
      <c r="H72" s="295">
        <f>'CAR Mileage'!H93*CAR!$I$58</f>
        <v>23258.140359321249</v>
      </c>
      <c r="I72" s="295">
        <f>'CAR Mileage'!I93*CAR!$I$58</f>
        <v>23258.140359321249</v>
      </c>
      <c r="J72" s="295">
        <f>'CAR Mileage'!J93*CAR!$I$58</f>
        <v>23258.140359321249</v>
      </c>
      <c r="K72" s="295">
        <f>'CAR Mileage'!K93*CAR!$I$58</f>
        <v>23258.140359321249</v>
      </c>
      <c r="L72" s="295">
        <f>'CAR Mileage'!L93*CAR!$I$58</f>
        <v>23258.140359321249</v>
      </c>
      <c r="M72" s="295">
        <f>'CAR Mileage'!M93*CAR!$I$58</f>
        <v>23258.140359321249</v>
      </c>
      <c r="N72" s="295">
        <f>'CAR Mileage'!N93*CAR!$I$58</f>
        <v>23258.140359321249</v>
      </c>
      <c r="O72" s="295">
        <f>'CAR Mileage'!O93*CAR!$I$58</f>
        <v>23258.140359321249</v>
      </c>
      <c r="P72" s="295">
        <f>'CAR Mileage'!P93*CAR!$I$58</f>
        <v>23258.140359321249</v>
      </c>
      <c r="Q72" s="295">
        <f>'CAR Mileage'!Q93*CAR!$I$58</f>
        <v>23258.140359321249</v>
      </c>
      <c r="R72" s="295">
        <f>'CAR Mileage'!R93*CAR!$I$58</f>
        <v>23258.140359321249</v>
      </c>
      <c r="S72" s="295">
        <f>'CAR Mileage'!S93*CAR!$I$58</f>
        <v>23258.140359321249</v>
      </c>
      <c r="T72" s="295">
        <f>'CAR Mileage'!T93*CAR!$I$58</f>
        <v>23258.140359321249</v>
      </c>
      <c r="U72" s="295">
        <f>'CAR Mileage'!U93*CAR!$I$58</f>
        <v>23258.140359321249</v>
      </c>
      <c r="V72" s="295">
        <f>'CAR Mileage'!V93*CAR!$I$58</f>
        <v>23258.140359321249</v>
      </c>
      <c r="W72" s="295">
        <f>'CAR Mileage'!W93*CAR!$I$58</f>
        <v>23258.140359321249</v>
      </c>
      <c r="X72" s="295">
        <f>'CAR Mileage'!X93*CAR!$I$58</f>
        <v>23258.140359321249</v>
      </c>
      <c r="Y72" s="295">
        <f>'CAR Mileage'!Y93*CAR!$I$58</f>
        <v>23258.140359321249</v>
      </c>
      <c r="Z72" s="295">
        <f>'CAR Mileage'!Z93*CAR!$I$58</f>
        <v>23258.140359321249</v>
      </c>
      <c r="AA72" s="295">
        <f>'CAR Mileage'!AA93*CAR!$I$58</f>
        <v>23258.140359321249</v>
      </c>
      <c r="AB72" s="295">
        <f>'CAR Mileage'!AB93*CAR!$I$58</f>
        <v>23258.140359321249</v>
      </c>
      <c r="AC72" s="295">
        <f>'CAR Mileage'!AC93*CAR!$I$58</f>
        <v>23258.140359321249</v>
      </c>
      <c r="AD72" s="295">
        <f>'CAR Mileage'!AD93*CAR!$I$58</f>
        <v>23258.140359321249</v>
      </c>
      <c r="AE72" s="296">
        <f>'CAR Mileage'!AE93*CAR!$I$58</f>
        <v>23258.140359321249</v>
      </c>
      <c r="AG72" s="1711"/>
      <c r="AH72" s="116">
        <v>11</v>
      </c>
      <c r="AI72" s="294">
        <f>'CAR Passenger Kilometres'!C72*'CAR Stock'!C122</f>
        <v>522331316.18963659</v>
      </c>
      <c r="AJ72" s="295">
        <f>'CAR Passenger Kilometres'!D72*'CAR Stock'!D122</f>
        <v>424050607.80444068</v>
      </c>
      <c r="AK72" s="295">
        <f>'CAR Passenger Kilometres'!E72*'CAR Stock'!E122</f>
        <v>430028392.05789107</v>
      </c>
      <c r="AL72" s="295">
        <f>'CAR Passenger Kilometres'!F72*'CAR Stock'!F122</f>
        <v>495138868.68738693</v>
      </c>
      <c r="AM72" s="295">
        <f>'CAR Passenger Kilometres'!G72*'CAR Stock'!G122</f>
        <v>547879080.7381134</v>
      </c>
      <c r="AN72" s="295">
        <f>'CAR Passenger Kilometres'!H72*'CAR Stock'!H122</f>
        <v>525291411.55169588</v>
      </c>
      <c r="AO72" s="295">
        <f>'CAR Passenger Kilometres'!I72*'CAR Stock'!I122</f>
        <v>539528152.15478432</v>
      </c>
      <c r="AP72" s="295">
        <f>'CAR Passenger Kilometres'!J72*'CAR Stock'!J122</f>
        <v>376927401.74538648</v>
      </c>
      <c r="AQ72" s="295">
        <f>'CAR Passenger Kilometres'!K72*'CAR Stock'!K122</f>
        <v>67721460.650877759</v>
      </c>
      <c r="AR72" s="295">
        <f>'CAR Passenger Kilometres'!L72*'CAR Stock'!L122</f>
        <v>33445261.241691157</v>
      </c>
      <c r="AS72" s="295">
        <f>'CAR Passenger Kilometres'!M72*'CAR Stock'!M122</f>
        <v>28404236.358885538</v>
      </c>
      <c r="AT72" s="295">
        <f>'CAR Passenger Kilometres'!N72*'CAR Stock'!N122</f>
        <v>19416255.180476606</v>
      </c>
      <c r="AU72" s="295">
        <f>'CAR Passenger Kilometres'!O72*'CAR Stock'!O122</f>
        <v>0</v>
      </c>
      <c r="AV72" s="295">
        <f>'CAR Passenger Kilometres'!P72*'CAR Stock'!P122</f>
        <v>0</v>
      </c>
      <c r="AW72" s="295">
        <f>'CAR Passenger Kilometres'!Q72*'CAR Stock'!Q122</f>
        <v>0</v>
      </c>
      <c r="AX72" s="295">
        <f>'CAR Passenger Kilometres'!R72*'CAR Stock'!R122</f>
        <v>0</v>
      </c>
      <c r="AY72" s="295">
        <f>'CAR Passenger Kilometres'!S72*'CAR Stock'!S122</f>
        <v>0</v>
      </c>
      <c r="AZ72" s="295">
        <f>'CAR Passenger Kilometres'!T72*'CAR Stock'!T122</f>
        <v>0</v>
      </c>
      <c r="BA72" s="295">
        <f>'CAR Passenger Kilometres'!U72*'CAR Stock'!U122</f>
        <v>0</v>
      </c>
      <c r="BB72" s="295">
        <f>'CAR Passenger Kilometres'!V72*'CAR Stock'!V122</f>
        <v>0</v>
      </c>
      <c r="BC72" s="295">
        <f>'CAR Passenger Kilometres'!W72*'CAR Stock'!W122</f>
        <v>0</v>
      </c>
      <c r="BD72" s="295">
        <f>'CAR Passenger Kilometres'!X72*'CAR Stock'!X122</f>
        <v>0</v>
      </c>
      <c r="BE72" s="295">
        <f>'CAR Passenger Kilometres'!Y72*'CAR Stock'!Y122</f>
        <v>0</v>
      </c>
      <c r="BF72" s="295">
        <f>'CAR Passenger Kilometres'!Z72*'CAR Stock'!Z122</f>
        <v>0</v>
      </c>
      <c r="BG72" s="295">
        <f>'CAR Passenger Kilometres'!AA72*'CAR Stock'!AA122</f>
        <v>0</v>
      </c>
      <c r="BH72" s="295">
        <f>'CAR Passenger Kilometres'!AB72*'CAR Stock'!AB122</f>
        <v>0</v>
      </c>
      <c r="BI72" s="295">
        <f>'CAR Passenger Kilometres'!AC72*'CAR Stock'!AC122</f>
        <v>0</v>
      </c>
      <c r="BJ72" s="295">
        <f>'CAR Passenger Kilometres'!AD72*'CAR Stock'!AD122</f>
        <v>0</v>
      </c>
      <c r="BK72" s="296">
        <f>'CAR Passenger Kilometres'!AE72*'CAR Stock'!AE122</f>
        <v>0</v>
      </c>
    </row>
    <row r="73" spans="1:63">
      <c r="A73" s="1711"/>
      <c r="B73" s="116">
        <v>12</v>
      </c>
      <c r="C73" s="294">
        <f>'CAR Mileage'!C94*CAR!$I$58</f>
        <v>22792.977552134824</v>
      </c>
      <c r="D73" s="295">
        <f>'CAR Mileage'!D94*CAR!$I$58</f>
        <v>22792.977552134824</v>
      </c>
      <c r="E73" s="295">
        <f>'CAR Mileage'!E94*CAR!$I$58</f>
        <v>22792.977552134824</v>
      </c>
      <c r="F73" s="295">
        <f>'CAR Mileage'!F94*CAR!$I$58</f>
        <v>22792.977552134824</v>
      </c>
      <c r="G73" s="295">
        <f>'CAR Mileage'!G94*CAR!$I$58</f>
        <v>22792.977552134824</v>
      </c>
      <c r="H73" s="295">
        <f>'CAR Mileage'!H94*CAR!$I$58</f>
        <v>22792.977552134824</v>
      </c>
      <c r="I73" s="295">
        <f>'CAR Mileage'!I94*CAR!$I$58</f>
        <v>22792.977552134824</v>
      </c>
      <c r="J73" s="295">
        <f>'CAR Mileage'!J94*CAR!$I$58</f>
        <v>22792.977552134824</v>
      </c>
      <c r="K73" s="295">
        <f>'CAR Mileage'!K94*CAR!$I$58</f>
        <v>22792.977552134824</v>
      </c>
      <c r="L73" s="295">
        <f>'CAR Mileage'!L94*CAR!$I$58</f>
        <v>22792.977552134824</v>
      </c>
      <c r="M73" s="295">
        <f>'CAR Mileage'!M94*CAR!$I$58</f>
        <v>22792.977552134824</v>
      </c>
      <c r="N73" s="295">
        <f>'CAR Mileage'!N94*CAR!$I$58</f>
        <v>22792.977552134824</v>
      </c>
      <c r="O73" s="295">
        <f>'CAR Mileage'!O94*CAR!$I$58</f>
        <v>22792.977552134824</v>
      </c>
      <c r="P73" s="295">
        <f>'CAR Mileage'!P94*CAR!$I$58</f>
        <v>22792.977552134824</v>
      </c>
      <c r="Q73" s="295">
        <f>'CAR Mileage'!Q94*CAR!$I$58</f>
        <v>22792.977552134824</v>
      </c>
      <c r="R73" s="295">
        <f>'CAR Mileage'!R94*CAR!$I$58</f>
        <v>22792.977552134824</v>
      </c>
      <c r="S73" s="295">
        <f>'CAR Mileage'!S94*CAR!$I$58</f>
        <v>22792.977552134824</v>
      </c>
      <c r="T73" s="295">
        <f>'CAR Mileage'!T94*CAR!$I$58</f>
        <v>22792.977552134824</v>
      </c>
      <c r="U73" s="295">
        <f>'CAR Mileage'!U94*CAR!$I$58</f>
        <v>22792.977552134824</v>
      </c>
      <c r="V73" s="295">
        <f>'CAR Mileage'!V94*CAR!$I$58</f>
        <v>22792.977552134824</v>
      </c>
      <c r="W73" s="295">
        <f>'CAR Mileage'!W94*CAR!$I$58</f>
        <v>22792.977552134824</v>
      </c>
      <c r="X73" s="295">
        <f>'CAR Mileage'!X94*CAR!$I$58</f>
        <v>22792.977552134824</v>
      </c>
      <c r="Y73" s="295">
        <f>'CAR Mileage'!Y94*CAR!$I$58</f>
        <v>22792.977552134824</v>
      </c>
      <c r="Z73" s="295">
        <f>'CAR Mileage'!Z94*CAR!$I$58</f>
        <v>22792.977552134824</v>
      </c>
      <c r="AA73" s="295">
        <f>'CAR Mileage'!AA94*CAR!$I$58</f>
        <v>22792.977552134824</v>
      </c>
      <c r="AB73" s="295">
        <f>'CAR Mileage'!AB94*CAR!$I$58</f>
        <v>22792.977552134824</v>
      </c>
      <c r="AC73" s="295">
        <f>'CAR Mileage'!AC94*CAR!$I$58</f>
        <v>22792.977552134824</v>
      </c>
      <c r="AD73" s="295">
        <f>'CAR Mileage'!AD94*CAR!$I$58</f>
        <v>22792.977552134824</v>
      </c>
      <c r="AE73" s="296">
        <f>'CAR Mileage'!AE94*CAR!$I$58</f>
        <v>22792.977552134824</v>
      </c>
      <c r="AG73" s="1711"/>
      <c r="AH73" s="116">
        <v>12</v>
      </c>
      <c r="AI73" s="294">
        <f>'CAR Passenger Kilometres'!C73*'CAR Stock'!C123</f>
        <v>475256374.93956321</v>
      </c>
      <c r="AJ73" s="295">
        <f>'CAR Passenger Kilometres'!D73*'CAR Stock'!D123</f>
        <v>307041157.92602468</v>
      </c>
      <c r="AK73" s="295">
        <f>'CAR Passenger Kilometres'!E73*'CAR Stock'!E123</f>
        <v>249268970.86951518</v>
      </c>
      <c r="AL73" s="295">
        <f>'CAR Passenger Kilometres'!F73*'CAR Stock'!F123</f>
        <v>252782881.94879076</v>
      </c>
      <c r="AM73" s="295">
        <f>'CAR Passenger Kilometres'!G73*'CAR Stock'!G123</f>
        <v>291056666.26498455</v>
      </c>
      <c r="AN73" s="295">
        <f>'CAR Passenger Kilometres'!H73*'CAR Stock'!H123</f>
        <v>322058858.31322086</v>
      </c>
      <c r="AO73" s="295">
        <f>'CAR Passenger Kilometres'!I73*'CAR Stock'!I123</f>
        <v>308781185.91088361</v>
      </c>
      <c r="AP73" s="295">
        <f>'CAR Passenger Kilometres'!J73*'CAR Stock'!J123</f>
        <v>317149945.70831013</v>
      </c>
      <c r="AQ73" s="295">
        <f>'CAR Passenger Kilometres'!K73*'CAR Stock'!K123</f>
        <v>221568614.20871395</v>
      </c>
      <c r="AR73" s="295">
        <f>'CAR Passenger Kilometres'!L73*'CAR Stock'!L123</f>
        <v>39808594.756241001</v>
      </c>
      <c r="AS73" s="295">
        <f>'CAR Passenger Kilometres'!M73*'CAR Stock'!M123</f>
        <v>19660072.870413493</v>
      </c>
      <c r="AT73" s="295">
        <f>'CAR Passenger Kilometres'!N73*'CAR Stock'!N123</f>
        <v>16696815.510235233</v>
      </c>
      <c r="AU73" s="295">
        <f>'CAR Passenger Kilometres'!O73*'CAR Stock'!O123</f>
        <v>11413425.326840464</v>
      </c>
      <c r="AV73" s="295">
        <f>'CAR Passenger Kilometres'!P73*'CAR Stock'!P123</f>
        <v>0</v>
      </c>
      <c r="AW73" s="295">
        <f>'CAR Passenger Kilometres'!Q73*'CAR Stock'!Q123</f>
        <v>0</v>
      </c>
      <c r="AX73" s="295">
        <f>'CAR Passenger Kilometres'!R73*'CAR Stock'!R123</f>
        <v>0</v>
      </c>
      <c r="AY73" s="295">
        <f>'CAR Passenger Kilometres'!S73*'CAR Stock'!S123</f>
        <v>0</v>
      </c>
      <c r="AZ73" s="295">
        <f>'CAR Passenger Kilometres'!T73*'CAR Stock'!T123</f>
        <v>0</v>
      </c>
      <c r="BA73" s="295">
        <f>'CAR Passenger Kilometres'!U73*'CAR Stock'!U123</f>
        <v>0</v>
      </c>
      <c r="BB73" s="295">
        <f>'CAR Passenger Kilometres'!V73*'CAR Stock'!V123</f>
        <v>0</v>
      </c>
      <c r="BC73" s="295">
        <f>'CAR Passenger Kilometres'!W73*'CAR Stock'!W123</f>
        <v>0</v>
      </c>
      <c r="BD73" s="295">
        <f>'CAR Passenger Kilometres'!X73*'CAR Stock'!X123</f>
        <v>0</v>
      </c>
      <c r="BE73" s="295">
        <f>'CAR Passenger Kilometres'!Y73*'CAR Stock'!Y123</f>
        <v>0</v>
      </c>
      <c r="BF73" s="295">
        <f>'CAR Passenger Kilometres'!Z73*'CAR Stock'!Z123</f>
        <v>0</v>
      </c>
      <c r="BG73" s="295">
        <f>'CAR Passenger Kilometres'!AA73*'CAR Stock'!AA123</f>
        <v>0</v>
      </c>
      <c r="BH73" s="295">
        <f>'CAR Passenger Kilometres'!AB73*'CAR Stock'!AB123</f>
        <v>0</v>
      </c>
      <c r="BI73" s="295">
        <f>'CAR Passenger Kilometres'!AC73*'CAR Stock'!AC123</f>
        <v>0</v>
      </c>
      <c r="BJ73" s="295">
        <f>'CAR Passenger Kilometres'!AD73*'CAR Stock'!AD123</f>
        <v>0</v>
      </c>
      <c r="BK73" s="296">
        <f>'CAR Passenger Kilometres'!AE73*'CAR Stock'!AE123</f>
        <v>0</v>
      </c>
    </row>
    <row r="74" spans="1:63">
      <c r="A74" s="1711"/>
      <c r="B74" s="116">
        <v>13</v>
      </c>
      <c r="C74" s="294">
        <f>'CAR Mileage'!C95*CAR!$I$58</f>
        <v>22337.118001092127</v>
      </c>
      <c r="D74" s="295">
        <f>'CAR Mileage'!D95*CAR!$I$58</f>
        <v>22337.118001092127</v>
      </c>
      <c r="E74" s="295">
        <f>'CAR Mileage'!E95*CAR!$I$58</f>
        <v>22337.118001092127</v>
      </c>
      <c r="F74" s="295">
        <f>'CAR Mileage'!F95*CAR!$I$58</f>
        <v>22337.118001092127</v>
      </c>
      <c r="G74" s="295">
        <f>'CAR Mileage'!G95*CAR!$I$58</f>
        <v>22337.118001092127</v>
      </c>
      <c r="H74" s="295">
        <f>'CAR Mileage'!H95*CAR!$I$58</f>
        <v>22337.118001092127</v>
      </c>
      <c r="I74" s="295">
        <f>'CAR Mileage'!I95*CAR!$I$58</f>
        <v>22337.118001092127</v>
      </c>
      <c r="J74" s="295">
        <f>'CAR Mileage'!J95*CAR!$I$58</f>
        <v>22337.118001092127</v>
      </c>
      <c r="K74" s="295">
        <f>'CAR Mileage'!K95*CAR!$I$58</f>
        <v>22337.118001092127</v>
      </c>
      <c r="L74" s="295">
        <f>'CAR Mileage'!L95*CAR!$I$58</f>
        <v>22337.118001092127</v>
      </c>
      <c r="M74" s="295">
        <f>'CAR Mileage'!M95*CAR!$I$58</f>
        <v>22337.118001092127</v>
      </c>
      <c r="N74" s="295">
        <f>'CAR Mileage'!N95*CAR!$I$58</f>
        <v>22337.118001092127</v>
      </c>
      <c r="O74" s="295">
        <f>'CAR Mileage'!O95*CAR!$I$58</f>
        <v>22337.118001092127</v>
      </c>
      <c r="P74" s="295">
        <f>'CAR Mileage'!P95*CAR!$I$58</f>
        <v>22337.118001092127</v>
      </c>
      <c r="Q74" s="295">
        <f>'CAR Mileage'!Q95*CAR!$I$58</f>
        <v>22337.118001092127</v>
      </c>
      <c r="R74" s="295">
        <f>'CAR Mileage'!R95*CAR!$I$58</f>
        <v>22337.118001092127</v>
      </c>
      <c r="S74" s="295">
        <f>'CAR Mileage'!S95*CAR!$I$58</f>
        <v>22337.118001092127</v>
      </c>
      <c r="T74" s="295">
        <f>'CAR Mileage'!T95*CAR!$I$58</f>
        <v>22337.118001092127</v>
      </c>
      <c r="U74" s="295">
        <f>'CAR Mileage'!U95*CAR!$I$58</f>
        <v>22337.118001092127</v>
      </c>
      <c r="V74" s="295">
        <f>'CAR Mileage'!V95*CAR!$I$58</f>
        <v>22337.118001092127</v>
      </c>
      <c r="W74" s="295">
        <f>'CAR Mileage'!W95*CAR!$I$58</f>
        <v>22337.118001092127</v>
      </c>
      <c r="X74" s="295">
        <f>'CAR Mileage'!X95*CAR!$I$58</f>
        <v>22337.118001092127</v>
      </c>
      <c r="Y74" s="295">
        <f>'CAR Mileage'!Y95*CAR!$I$58</f>
        <v>22337.118001092127</v>
      </c>
      <c r="Z74" s="295">
        <f>'CAR Mileage'!Z95*CAR!$I$58</f>
        <v>22337.118001092127</v>
      </c>
      <c r="AA74" s="295">
        <f>'CAR Mileage'!AA95*CAR!$I$58</f>
        <v>22337.118001092127</v>
      </c>
      <c r="AB74" s="295">
        <f>'CAR Mileage'!AB95*CAR!$I$58</f>
        <v>22337.118001092127</v>
      </c>
      <c r="AC74" s="295">
        <f>'CAR Mileage'!AC95*CAR!$I$58</f>
        <v>22337.118001092127</v>
      </c>
      <c r="AD74" s="295">
        <f>'CAR Mileage'!AD95*CAR!$I$58</f>
        <v>22337.118001092127</v>
      </c>
      <c r="AE74" s="296">
        <f>'CAR Mileage'!AE95*CAR!$I$58</f>
        <v>22337.118001092127</v>
      </c>
      <c r="AG74" s="1711"/>
      <c r="AH74" s="116">
        <v>13</v>
      </c>
      <c r="AI74" s="294">
        <f>'CAR Passenger Kilometres'!C74*'CAR Stock'!C124</f>
        <v>296257196.04848486</v>
      </c>
      <c r="AJ74" s="295">
        <f>'CAR Passenger Kilometres'!D74*'CAR Stock'!D124</f>
        <v>220724108.80040681</v>
      </c>
      <c r="AK74" s="295">
        <f>'CAR Passenger Kilometres'!E74*'CAR Stock'!E124</f>
        <v>142599635.73741654</v>
      </c>
      <c r="AL74" s="295">
        <f>'CAR Passenger Kilometres'!F74*'CAR Stock'!F124</f>
        <v>115768402.7989419</v>
      </c>
      <c r="AM74" s="295">
        <f>'CAR Passenger Kilometres'!G74*'CAR Stock'!G124</f>
        <v>117400374.36686797</v>
      </c>
      <c r="AN74" s="295">
        <f>'CAR Passenger Kilometres'!H74*'CAR Stock'!H124</f>
        <v>135175931.68513677</v>
      </c>
      <c r="AO74" s="295">
        <f>'CAR Passenger Kilometres'!I74*'CAR Stock'!I124</f>
        <v>149574331.31013119</v>
      </c>
      <c r="AP74" s="295">
        <f>'CAR Passenger Kilometres'!J74*'CAR Stock'!J124</f>
        <v>143407759.82895467</v>
      </c>
      <c r="AQ74" s="295">
        <f>'CAR Passenger Kilometres'!K74*'CAR Stock'!K124</f>
        <v>147294476.86307451</v>
      </c>
      <c r="AR74" s="295">
        <f>'CAR Passenger Kilometres'!L74*'CAR Stock'!L124</f>
        <v>102903480.07552491</v>
      </c>
      <c r="AS74" s="295">
        <f>'CAR Passenger Kilometres'!M74*'CAR Stock'!M124</f>
        <v>18488371.884091444</v>
      </c>
      <c r="AT74" s="295">
        <f>'CAR Passenger Kilometres'!N74*'CAR Stock'!N124</f>
        <v>9130760.3476647921</v>
      </c>
      <c r="AU74" s="295">
        <f>'CAR Passenger Kilometres'!O74*'CAR Stock'!O124</f>
        <v>7754529.8025095202</v>
      </c>
      <c r="AV74" s="295">
        <f>'CAR Passenger Kilometres'!P74*'CAR Stock'!P124</f>
        <v>5300756.1107354192</v>
      </c>
      <c r="AW74" s="295">
        <f>'CAR Passenger Kilometres'!Q74*'CAR Stock'!Q124</f>
        <v>0</v>
      </c>
      <c r="AX74" s="295">
        <f>'CAR Passenger Kilometres'!R74*'CAR Stock'!R124</f>
        <v>0</v>
      </c>
      <c r="AY74" s="295">
        <f>'CAR Passenger Kilometres'!S74*'CAR Stock'!S124</f>
        <v>0</v>
      </c>
      <c r="AZ74" s="295">
        <f>'CAR Passenger Kilometres'!T74*'CAR Stock'!T124</f>
        <v>0</v>
      </c>
      <c r="BA74" s="295">
        <f>'CAR Passenger Kilometres'!U74*'CAR Stock'!U124</f>
        <v>0</v>
      </c>
      <c r="BB74" s="295">
        <f>'CAR Passenger Kilometres'!V74*'CAR Stock'!V124</f>
        <v>0</v>
      </c>
      <c r="BC74" s="295">
        <f>'CAR Passenger Kilometres'!W74*'CAR Stock'!W124</f>
        <v>0</v>
      </c>
      <c r="BD74" s="295">
        <f>'CAR Passenger Kilometres'!X74*'CAR Stock'!X124</f>
        <v>0</v>
      </c>
      <c r="BE74" s="295">
        <f>'CAR Passenger Kilometres'!Y74*'CAR Stock'!Y124</f>
        <v>0</v>
      </c>
      <c r="BF74" s="295">
        <f>'CAR Passenger Kilometres'!Z74*'CAR Stock'!Z124</f>
        <v>0</v>
      </c>
      <c r="BG74" s="295">
        <f>'CAR Passenger Kilometres'!AA74*'CAR Stock'!AA124</f>
        <v>0</v>
      </c>
      <c r="BH74" s="295">
        <f>'CAR Passenger Kilometres'!AB74*'CAR Stock'!AB124</f>
        <v>0</v>
      </c>
      <c r="BI74" s="295">
        <f>'CAR Passenger Kilometres'!AC74*'CAR Stock'!AC124</f>
        <v>0</v>
      </c>
      <c r="BJ74" s="295">
        <f>'CAR Passenger Kilometres'!AD74*'CAR Stock'!AD124</f>
        <v>0</v>
      </c>
      <c r="BK74" s="296">
        <f>'CAR Passenger Kilometres'!AE74*'CAR Stock'!AE124</f>
        <v>0</v>
      </c>
    </row>
    <row r="75" spans="1:63">
      <c r="A75" s="1711"/>
      <c r="B75" s="116">
        <v>14</v>
      </c>
      <c r="C75" s="294">
        <f>'CAR Mileage'!C96*CAR!$I$58</f>
        <v>21890.375641070284</v>
      </c>
      <c r="D75" s="295">
        <f>'CAR Mileage'!D96*CAR!$I$58</f>
        <v>21890.375641070284</v>
      </c>
      <c r="E75" s="295">
        <f>'CAR Mileage'!E96*CAR!$I$58</f>
        <v>21890.375641070284</v>
      </c>
      <c r="F75" s="295">
        <f>'CAR Mileage'!F96*CAR!$I$58</f>
        <v>21890.375641070284</v>
      </c>
      <c r="G75" s="295">
        <f>'CAR Mileage'!G96*CAR!$I$58</f>
        <v>21890.375641070284</v>
      </c>
      <c r="H75" s="295">
        <f>'CAR Mileage'!H96*CAR!$I$58</f>
        <v>21890.375641070284</v>
      </c>
      <c r="I75" s="295">
        <f>'CAR Mileage'!I96*CAR!$I$58</f>
        <v>21890.375641070284</v>
      </c>
      <c r="J75" s="295">
        <f>'CAR Mileage'!J96*CAR!$I$58</f>
        <v>21890.375641070284</v>
      </c>
      <c r="K75" s="295">
        <f>'CAR Mileage'!K96*CAR!$I$58</f>
        <v>21890.375641070284</v>
      </c>
      <c r="L75" s="295">
        <f>'CAR Mileage'!L96*CAR!$I$58</f>
        <v>21890.375641070284</v>
      </c>
      <c r="M75" s="295">
        <f>'CAR Mileage'!M96*CAR!$I$58</f>
        <v>21890.375641070284</v>
      </c>
      <c r="N75" s="295">
        <f>'CAR Mileage'!N96*CAR!$I$58</f>
        <v>21890.375641070284</v>
      </c>
      <c r="O75" s="295">
        <f>'CAR Mileage'!O96*CAR!$I$58</f>
        <v>21890.375641070284</v>
      </c>
      <c r="P75" s="295">
        <f>'CAR Mileage'!P96*CAR!$I$58</f>
        <v>21890.375641070284</v>
      </c>
      <c r="Q75" s="295">
        <f>'CAR Mileage'!Q96*CAR!$I$58</f>
        <v>21890.375641070284</v>
      </c>
      <c r="R75" s="295">
        <f>'CAR Mileage'!R96*CAR!$I$58</f>
        <v>21890.375641070284</v>
      </c>
      <c r="S75" s="295">
        <f>'CAR Mileage'!S96*CAR!$I$58</f>
        <v>21890.375641070284</v>
      </c>
      <c r="T75" s="295">
        <f>'CAR Mileage'!T96*CAR!$I$58</f>
        <v>21890.375641070284</v>
      </c>
      <c r="U75" s="295">
        <f>'CAR Mileage'!U96*CAR!$I$58</f>
        <v>21890.375641070284</v>
      </c>
      <c r="V75" s="295">
        <f>'CAR Mileage'!V96*CAR!$I$58</f>
        <v>21890.375641070284</v>
      </c>
      <c r="W75" s="295">
        <f>'CAR Mileage'!W96*CAR!$I$58</f>
        <v>21890.375641070284</v>
      </c>
      <c r="X75" s="295">
        <f>'CAR Mileage'!X96*CAR!$I$58</f>
        <v>21890.375641070284</v>
      </c>
      <c r="Y75" s="295">
        <f>'CAR Mileage'!Y96*CAR!$I$58</f>
        <v>21890.375641070284</v>
      </c>
      <c r="Z75" s="295">
        <f>'CAR Mileage'!Z96*CAR!$I$58</f>
        <v>21890.375641070284</v>
      </c>
      <c r="AA75" s="295">
        <f>'CAR Mileage'!AA96*CAR!$I$58</f>
        <v>21890.375641070284</v>
      </c>
      <c r="AB75" s="295">
        <f>'CAR Mileage'!AB96*CAR!$I$58</f>
        <v>21890.375641070284</v>
      </c>
      <c r="AC75" s="295">
        <f>'CAR Mileage'!AC96*CAR!$I$58</f>
        <v>21890.375641070284</v>
      </c>
      <c r="AD75" s="295">
        <f>'CAR Mileage'!AD96*CAR!$I$58</f>
        <v>21890.375641070284</v>
      </c>
      <c r="AE75" s="296">
        <f>'CAR Mileage'!AE96*CAR!$I$58</f>
        <v>21890.375641070284</v>
      </c>
      <c r="AG75" s="1711"/>
      <c r="AH75" s="116">
        <v>14</v>
      </c>
      <c r="AI75" s="294">
        <f>'CAR Passenger Kilometres'!C75*'CAR Stock'!C125</f>
        <v>173349884.70163557</v>
      </c>
      <c r="AJ75" s="295">
        <f>'CAR Passenger Kilometres'!D75*'CAR Stock'!D125</f>
        <v>104382457.82936078</v>
      </c>
      <c r="AK75" s="295">
        <f>'CAR Passenger Kilometres'!E75*'CAR Stock'!E125</f>
        <v>77769334.504236192</v>
      </c>
      <c r="AL75" s="295">
        <f>'CAR Passenger Kilometres'!F75*'CAR Stock'!F125</f>
        <v>50243169.321723603</v>
      </c>
      <c r="AM75" s="295">
        <f>'CAR Passenger Kilometres'!G75*'CAR Stock'!G125</f>
        <v>40789525.399934344</v>
      </c>
      <c r="AN75" s="295">
        <f>'CAR Passenger Kilometres'!H75*'CAR Stock'!H125</f>
        <v>41364529.840804972</v>
      </c>
      <c r="AO75" s="295">
        <f>'CAR Passenger Kilometres'!I75*'CAR Stock'!I125</f>
        <v>47627521.548401907</v>
      </c>
      <c r="AP75" s="295">
        <f>'CAR Passenger Kilometres'!J75*'CAR Stock'!J125</f>
        <v>52700614.663818739</v>
      </c>
      <c r="AQ75" s="295">
        <f>'CAR Passenger Kilometres'!K75*'CAR Stock'!K125</f>
        <v>50527901.574748993</v>
      </c>
      <c r="AR75" s="295">
        <f>'CAR Passenger Kilometres'!L75*'CAR Stock'!L125</f>
        <v>51897336.924573459</v>
      </c>
      <c r="AS75" s="295">
        <f>'CAR Passenger Kilometres'!M75*'CAR Stock'!M125</f>
        <v>36256733.38149073</v>
      </c>
      <c r="AT75" s="295">
        <f>'CAR Passenger Kilometres'!N75*'CAR Stock'!N125</f>
        <v>6514142.8605463393</v>
      </c>
      <c r="AU75" s="295">
        <f>'CAR Passenger Kilometres'!O75*'CAR Stock'!O125</f>
        <v>3217107.36364405</v>
      </c>
      <c r="AV75" s="295">
        <f>'CAR Passenger Kilometres'!P75*'CAR Stock'!P125</f>
        <v>2732210.0218774113</v>
      </c>
      <c r="AW75" s="295">
        <f>'CAR Passenger Kilometres'!Q75*'CAR Stock'!Q125</f>
        <v>1867654.047134144</v>
      </c>
      <c r="AX75" s="295">
        <f>'CAR Passenger Kilometres'!R75*'CAR Stock'!R125</f>
        <v>0</v>
      </c>
      <c r="AY75" s="295">
        <f>'CAR Passenger Kilometres'!S75*'CAR Stock'!S125</f>
        <v>0</v>
      </c>
      <c r="AZ75" s="295">
        <f>'CAR Passenger Kilometres'!T75*'CAR Stock'!T125</f>
        <v>0</v>
      </c>
      <c r="BA75" s="295">
        <f>'CAR Passenger Kilometres'!U75*'CAR Stock'!U125</f>
        <v>0</v>
      </c>
      <c r="BB75" s="295">
        <f>'CAR Passenger Kilometres'!V75*'CAR Stock'!V125</f>
        <v>0</v>
      </c>
      <c r="BC75" s="295">
        <f>'CAR Passenger Kilometres'!W75*'CAR Stock'!W125</f>
        <v>0</v>
      </c>
      <c r="BD75" s="295">
        <f>'CAR Passenger Kilometres'!X75*'CAR Stock'!X125</f>
        <v>0</v>
      </c>
      <c r="BE75" s="295">
        <f>'CAR Passenger Kilometres'!Y75*'CAR Stock'!Y125</f>
        <v>0</v>
      </c>
      <c r="BF75" s="295">
        <f>'CAR Passenger Kilometres'!Z75*'CAR Stock'!Z125</f>
        <v>0</v>
      </c>
      <c r="BG75" s="295">
        <f>'CAR Passenger Kilometres'!AA75*'CAR Stock'!AA125</f>
        <v>0</v>
      </c>
      <c r="BH75" s="295">
        <f>'CAR Passenger Kilometres'!AB75*'CAR Stock'!AB125</f>
        <v>0</v>
      </c>
      <c r="BI75" s="295">
        <f>'CAR Passenger Kilometres'!AC75*'CAR Stock'!AC125</f>
        <v>0</v>
      </c>
      <c r="BJ75" s="295">
        <f>'CAR Passenger Kilometres'!AD75*'CAR Stock'!AD125</f>
        <v>0</v>
      </c>
      <c r="BK75" s="296">
        <f>'CAR Passenger Kilometres'!AE75*'CAR Stock'!AE125</f>
        <v>0</v>
      </c>
    </row>
    <row r="76" spans="1:63">
      <c r="A76" s="1711"/>
      <c r="B76" s="116">
        <v>15</v>
      </c>
      <c r="C76" s="294">
        <f>'CAR Mileage'!C97*CAR!$I$58</f>
        <v>21452.568128248877</v>
      </c>
      <c r="D76" s="295">
        <f>'CAR Mileage'!D97*CAR!$I$58</f>
        <v>21452.568128248877</v>
      </c>
      <c r="E76" s="295">
        <f>'CAR Mileage'!E97*CAR!$I$58</f>
        <v>21452.568128248877</v>
      </c>
      <c r="F76" s="295">
        <f>'CAR Mileage'!F97*CAR!$I$58</f>
        <v>21452.568128248877</v>
      </c>
      <c r="G76" s="295">
        <f>'CAR Mileage'!G97*CAR!$I$58</f>
        <v>21452.568128248877</v>
      </c>
      <c r="H76" s="295">
        <f>'CAR Mileage'!H97*CAR!$I$58</f>
        <v>21452.568128248877</v>
      </c>
      <c r="I76" s="295">
        <f>'CAR Mileage'!I97*CAR!$I$58</f>
        <v>21452.568128248877</v>
      </c>
      <c r="J76" s="295">
        <f>'CAR Mileage'!J97*CAR!$I$58</f>
        <v>21452.568128248877</v>
      </c>
      <c r="K76" s="295">
        <f>'CAR Mileage'!K97*CAR!$I$58</f>
        <v>21452.568128248877</v>
      </c>
      <c r="L76" s="295">
        <f>'CAR Mileage'!L97*CAR!$I$58</f>
        <v>21452.568128248877</v>
      </c>
      <c r="M76" s="295">
        <f>'CAR Mileage'!M97*CAR!$I$58</f>
        <v>21452.568128248877</v>
      </c>
      <c r="N76" s="295">
        <f>'CAR Mileage'!N97*CAR!$I$58</f>
        <v>21452.568128248877</v>
      </c>
      <c r="O76" s="295">
        <f>'CAR Mileage'!O97*CAR!$I$58</f>
        <v>21452.568128248877</v>
      </c>
      <c r="P76" s="295">
        <f>'CAR Mileage'!P97*CAR!$I$58</f>
        <v>21452.568128248877</v>
      </c>
      <c r="Q76" s="295">
        <f>'CAR Mileage'!Q97*CAR!$I$58</f>
        <v>21452.568128248877</v>
      </c>
      <c r="R76" s="295">
        <f>'CAR Mileage'!R97*CAR!$I$58</f>
        <v>21452.568128248877</v>
      </c>
      <c r="S76" s="295">
        <f>'CAR Mileage'!S97*CAR!$I$58</f>
        <v>21452.568128248877</v>
      </c>
      <c r="T76" s="295">
        <f>'CAR Mileage'!T97*CAR!$I$58</f>
        <v>21452.568128248877</v>
      </c>
      <c r="U76" s="295">
        <f>'CAR Mileage'!U97*CAR!$I$58</f>
        <v>21452.568128248877</v>
      </c>
      <c r="V76" s="295">
        <f>'CAR Mileage'!V97*CAR!$I$58</f>
        <v>21452.568128248877</v>
      </c>
      <c r="W76" s="295">
        <f>'CAR Mileage'!W97*CAR!$I$58</f>
        <v>21452.568128248877</v>
      </c>
      <c r="X76" s="295">
        <f>'CAR Mileage'!X97*CAR!$I$58</f>
        <v>21452.568128248877</v>
      </c>
      <c r="Y76" s="295">
        <f>'CAR Mileage'!Y97*CAR!$I$58</f>
        <v>21452.568128248877</v>
      </c>
      <c r="Z76" s="295">
        <f>'CAR Mileage'!Z97*CAR!$I$58</f>
        <v>21452.568128248877</v>
      </c>
      <c r="AA76" s="295">
        <f>'CAR Mileage'!AA97*CAR!$I$58</f>
        <v>21452.568128248877</v>
      </c>
      <c r="AB76" s="295">
        <f>'CAR Mileage'!AB97*CAR!$I$58</f>
        <v>21452.568128248877</v>
      </c>
      <c r="AC76" s="295">
        <f>'CAR Mileage'!AC97*CAR!$I$58</f>
        <v>21452.568128248877</v>
      </c>
      <c r="AD76" s="295">
        <f>'CAR Mileage'!AD97*CAR!$I$58</f>
        <v>21452.568128248877</v>
      </c>
      <c r="AE76" s="296">
        <f>'CAR Mileage'!AE97*CAR!$I$58</f>
        <v>21452.568128248877</v>
      </c>
      <c r="AG76" s="1711"/>
      <c r="AH76" s="116">
        <v>15</v>
      </c>
      <c r="AI76" s="294">
        <f>'CAR Passenger Kilometres'!C76*'CAR Stock'!C126</f>
        <v>82120430.794936702</v>
      </c>
      <c r="AJ76" s="295">
        <f>'CAR Passenger Kilometres'!D76*'CAR Stock'!D126</f>
        <v>44872682.84195362</v>
      </c>
      <c r="AK76" s="295">
        <f>'CAR Passenger Kilometres'!E76*'CAR Stock'!E126</f>
        <v>27020040.610366274</v>
      </c>
      <c r="AL76" s="295">
        <f>'CAR Passenger Kilometres'!F76*'CAR Stock'!F126</f>
        <v>20131070.107400335</v>
      </c>
      <c r="AM76" s="295">
        <f>'CAR Passenger Kilometres'!G76*'CAR Stock'!G126</f>
        <v>13005753.109260678</v>
      </c>
      <c r="AN76" s="295">
        <f>'CAR Passenger Kilometres'!H76*'CAR Stock'!H126</f>
        <v>10558619.290087108</v>
      </c>
      <c r="AO76" s="295">
        <f>'CAR Passenger Kilometres'!I76*'CAR Stock'!I126</f>
        <v>10707462.722849188</v>
      </c>
      <c r="AP76" s="295">
        <f>'CAR Passenger Kilometres'!J76*'CAR Stock'!J126</f>
        <v>12328676.610706657</v>
      </c>
      <c r="AQ76" s="295">
        <f>'CAR Passenger Kilometres'!K76*'CAR Stock'!K126</f>
        <v>13641877.936381668</v>
      </c>
      <c r="AR76" s="295">
        <f>'CAR Passenger Kilometres'!L76*'CAR Stock'!L126</f>
        <v>13079457.802556979</v>
      </c>
      <c r="AS76" s="295">
        <f>'CAR Passenger Kilometres'!M76*'CAR Stock'!M126</f>
        <v>13433944.557659237</v>
      </c>
      <c r="AT76" s="295">
        <f>'CAR Passenger Kilometres'!N76*'CAR Stock'!N126</f>
        <v>9385278.2233639155</v>
      </c>
      <c r="AU76" s="295">
        <f>'CAR Passenger Kilometres'!O76*'CAR Stock'!O126</f>
        <v>1686225.9070525612</v>
      </c>
      <c r="AV76" s="295">
        <f>'CAR Passenger Kilometres'!P76*'CAR Stock'!P126</f>
        <v>832768.009311234</v>
      </c>
      <c r="AW76" s="295">
        <f>'CAR Passenger Kilometres'!Q76*'CAR Stock'!Q126</f>
        <v>707249.35283533798</v>
      </c>
      <c r="AX76" s="295">
        <f>'CAR Passenger Kilometres'!R76*'CAR Stock'!R126</f>
        <v>483453.72631650104</v>
      </c>
      <c r="AY76" s="295">
        <f>'CAR Passenger Kilometres'!S76*'CAR Stock'!S126</f>
        <v>0</v>
      </c>
      <c r="AZ76" s="295">
        <f>'CAR Passenger Kilometres'!T76*'CAR Stock'!T126</f>
        <v>0</v>
      </c>
      <c r="BA76" s="295">
        <f>'CAR Passenger Kilometres'!U76*'CAR Stock'!U126</f>
        <v>0</v>
      </c>
      <c r="BB76" s="295">
        <f>'CAR Passenger Kilometres'!V76*'CAR Stock'!V126</f>
        <v>0</v>
      </c>
      <c r="BC76" s="295">
        <f>'CAR Passenger Kilometres'!W76*'CAR Stock'!W126</f>
        <v>0</v>
      </c>
      <c r="BD76" s="295">
        <f>'CAR Passenger Kilometres'!X76*'CAR Stock'!X126</f>
        <v>0</v>
      </c>
      <c r="BE76" s="295">
        <f>'CAR Passenger Kilometres'!Y76*'CAR Stock'!Y126</f>
        <v>0</v>
      </c>
      <c r="BF76" s="295">
        <f>'CAR Passenger Kilometres'!Z76*'CAR Stock'!Z126</f>
        <v>0</v>
      </c>
      <c r="BG76" s="295">
        <f>'CAR Passenger Kilometres'!AA76*'CAR Stock'!AA126</f>
        <v>0</v>
      </c>
      <c r="BH76" s="295">
        <f>'CAR Passenger Kilometres'!AB76*'CAR Stock'!AB126</f>
        <v>0</v>
      </c>
      <c r="BI76" s="295">
        <f>'CAR Passenger Kilometres'!AC76*'CAR Stock'!AC126</f>
        <v>0</v>
      </c>
      <c r="BJ76" s="295">
        <f>'CAR Passenger Kilometres'!AD76*'CAR Stock'!AD126</f>
        <v>0</v>
      </c>
      <c r="BK76" s="296">
        <f>'CAR Passenger Kilometres'!AE76*'CAR Stock'!AE126</f>
        <v>0</v>
      </c>
    </row>
    <row r="77" spans="1:63">
      <c r="A77" s="1711"/>
      <c r="B77" s="116">
        <v>16</v>
      </c>
      <c r="C77" s="294">
        <f>'CAR Mileage'!C98*CAR!$I$58</f>
        <v>21023.5167656839</v>
      </c>
      <c r="D77" s="295">
        <f>'CAR Mileage'!D98*CAR!$I$58</f>
        <v>21023.5167656839</v>
      </c>
      <c r="E77" s="295">
        <f>'CAR Mileage'!E98*CAR!$I$58</f>
        <v>21023.5167656839</v>
      </c>
      <c r="F77" s="295">
        <f>'CAR Mileage'!F98*CAR!$I$58</f>
        <v>21023.5167656839</v>
      </c>
      <c r="G77" s="295">
        <f>'CAR Mileage'!G98*CAR!$I$58</f>
        <v>21023.5167656839</v>
      </c>
      <c r="H77" s="295">
        <f>'CAR Mileage'!H98*CAR!$I$58</f>
        <v>21023.5167656839</v>
      </c>
      <c r="I77" s="295">
        <f>'CAR Mileage'!I98*CAR!$I$58</f>
        <v>21023.5167656839</v>
      </c>
      <c r="J77" s="295">
        <f>'CAR Mileage'!J98*CAR!$I$58</f>
        <v>21023.5167656839</v>
      </c>
      <c r="K77" s="295">
        <f>'CAR Mileage'!K98*CAR!$I$58</f>
        <v>21023.5167656839</v>
      </c>
      <c r="L77" s="295">
        <f>'CAR Mileage'!L98*CAR!$I$58</f>
        <v>21023.5167656839</v>
      </c>
      <c r="M77" s="295">
        <f>'CAR Mileage'!M98*CAR!$I$58</f>
        <v>21023.5167656839</v>
      </c>
      <c r="N77" s="295">
        <f>'CAR Mileage'!N98*CAR!$I$58</f>
        <v>21023.5167656839</v>
      </c>
      <c r="O77" s="295">
        <f>'CAR Mileage'!O98*CAR!$I$58</f>
        <v>21023.5167656839</v>
      </c>
      <c r="P77" s="295">
        <f>'CAR Mileage'!P98*CAR!$I$58</f>
        <v>21023.5167656839</v>
      </c>
      <c r="Q77" s="295">
        <f>'CAR Mileage'!Q98*CAR!$I$58</f>
        <v>21023.5167656839</v>
      </c>
      <c r="R77" s="295">
        <f>'CAR Mileage'!R98*CAR!$I$58</f>
        <v>21023.5167656839</v>
      </c>
      <c r="S77" s="295">
        <f>'CAR Mileage'!S98*CAR!$I$58</f>
        <v>21023.5167656839</v>
      </c>
      <c r="T77" s="295">
        <f>'CAR Mileage'!T98*CAR!$I$58</f>
        <v>21023.5167656839</v>
      </c>
      <c r="U77" s="295">
        <f>'CAR Mileage'!U98*CAR!$I$58</f>
        <v>21023.5167656839</v>
      </c>
      <c r="V77" s="295">
        <f>'CAR Mileage'!V98*CAR!$I$58</f>
        <v>21023.5167656839</v>
      </c>
      <c r="W77" s="295">
        <f>'CAR Mileage'!W98*CAR!$I$58</f>
        <v>21023.5167656839</v>
      </c>
      <c r="X77" s="295">
        <f>'CAR Mileage'!X98*CAR!$I$58</f>
        <v>21023.5167656839</v>
      </c>
      <c r="Y77" s="295">
        <f>'CAR Mileage'!Y98*CAR!$I$58</f>
        <v>21023.5167656839</v>
      </c>
      <c r="Z77" s="295">
        <f>'CAR Mileage'!Z98*CAR!$I$58</f>
        <v>21023.5167656839</v>
      </c>
      <c r="AA77" s="295">
        <f>'CAR Mileage'!AA98*CAR!$I$58</f>
        <v>21023.5167656839</v>
      </c>
      <c r="AB77" s="295">
        <f>'CAR Mileage'!AB98*CAR!$I$58</f>
        <v>21023.5167656839</v>
      </c>
      <c r="AC77" s="295">
        <f>'CAR Mileage'!AC98*CAR!$I$58</f>
        <v>21023.5167656839</v>
      </c>
      <c r="AD77" s="295">
        <f>'CAR Mileage'!AD98*CAR!$I$58</f>
        <v>21023.5167656839</v>
      </c>
      <c r="AE77" s="296">
        <f>'CAR Mileage'!AE98*CAR!$I$58</f>
        <v>21023.5167656839</v>
      </c>
      <c r="AG77" s="1711"/>
      <c r="AH77" s="116">
        <v>16</v>
      </c>
      <c r="AI77" s="294">
        <f>'CAR Passenger Kilometres'!C77*'CAR Stock'!C127</f>
        <v>90956763.63797155</v>
      </c>
      <c r="AJ77" s="295">
        <f>'CAR Passenger Kilometres'!D77*'CAR Stock'!D127</f>
        <v>19131640.306674663</v>
      </c>
      <c r="AK77" s="295">
        <f>'CAR Passenger Kilometres'!E77*'CAR Stock'!E127</f>
        <v>10454012.715440847</v>
      </c>
      <c r="AL77" s="295">
        <f>'CAR Passenger Kilometres'!F77*'CAR Stock'!F127</f>
        <v>6294873.1883800887</v>
      </c>
      <c r="AM77" s="295">
        <f>'CAR Passenger Kilometres'!G77*'CAR Stock'!G127</f>
        <v>4689946.0774258422</v>
      </c>
      <c r="AN77" s="295">
        <f>'CAR Passenger Kilometres'!H77*'CAR Stock'!H127</f>
        <v>3029957.1981681869</v>
      </c>
      <c r="AO77" s="295">
        <f>'CAR Passenger Kilometres'!I77*'CAR Stock'!I127</f>
        <v>2459847.1347220214</v>
      </c>
      <c r="AP77" s="295">
        <f>'CAR Passenger Kilometres'!J77*'CAR Stock'!J127</f>
        <v>2494523.26817687</v>
      </c>
      <c r="AQ77" s="295">
        <f>'CAR Passenger Kilometres'!K77*'CAR Stock'!K127</f>
        <v>2872218.3272800799</v>
      </c>
      <c r="AR77" s="295">
        <f>'CAR Passenger Kilometres'!L77*'CAR Stock'!L127</f>
        <v>3178155.5364479073</v>
      </c>
      <c r="AS77" s="295">
        <f>'CAR Passenger Kilometres'!M77*'CAR Stock'!M127</f>
        <v>3047128.2196473577</v>
      </c>
      <c r="AT77" s="295">
        <f>'CAR Passenger Kilometres'!N77*'CAR Stock'!N127</f>
        <v>3129713.1869502179</v>
      </c>
      <c r="AU77" s="295">
        <f>'CAR Passenger Kilometres'!O77*'CAR Stock'!O127</f>
        <v>2186493.2442431357</v>
      </c>
      <c r="AV77" s="295">
        <f>'CAR Passenger Kilometres'!P77*'CAR Stock'!P127</f>
        <v>392840.9436877296</v>
      </c>
      <c r="AW77" s="295">
        <f>'CAR Passenger Kilometres'!Q77*'CAR Stock'!Q127</f>
        <v>194010.40470467621</v>
      </c>
      <c r="AX77" s="295">
        <f>'CAR Passenger Kilometres'!R77*'CAR Stock'!R127</f>
        <v>164768.25674918879</v>
      </c>
      <c r="AY77" s="295">
        <f>'CAR Passenger Kilometres'!S77*'CAR Stock'!S127</f>
        <v>112630.47097141038</v>
      </c>
      <c r="AZ77" s="295">
        <f>'CAR Passenger Kilometres'!T77*'CAR Stock'!T127</f>
        <v>0</v>
      </c>
      <c r="BA77" s="295">
        <f>'CAR Passenger Kilometres'!U77*'CAR Stock'!U127</f>
        <v>0</v>
      </c>
      <c r="BB77" s="295">
        <f>'CAR Passenger Kilometres'!V77*'CAR Stock'!V127</f>
        <v>0</v>
      </c>
      <c r="BC77" s="295">
        <f>'CAR Passenger Kilometres'!W77*'CAR Stock'!W127</f>
        <v>0</v>
      </c>
      <c r="BD77" s="295">
        <f>'CAR Passenger Kilometres'!X77*'CAR Stock'!X127</f>
        <v>0</v>
      </c>
      <c r="BE77" s="295">
        <f>'CAR Passenger Kilometres'!Y77*'CAR Stock'!Y127</f>
        <v>0</v>
      </c>
      <c r="BF77" s="295">
        <f>'CAR Passenger Kilometres'!Z77*'CAR Stock'!Z127</f>
        <v>0</v>
      </c>
      <c r="BG77" s="295">
        <f>'CAR Passenger Kilometres'!AA77*'CAR Stock'!AA127</f>
        <v>0</v>
      </c>
      <c r="BH77" s="295">
        <f>'CAR Passenger Kilometres'!AB77*'CAR Stock'!AB127</f>
        <v>0</v>
      </c>
      <c r="BI77" s="295">
        <f>'CAR Passenger Kilometres'!AC77*'CAR Stock'!AC127</f>
        <v>0</v>
      </c>
      <c r="BJ77" s="295">
        <f>'CAR Passenger Kilometres'!AD77*'CAR Stock'!AD127</f>
        <v>0</v>
      </c>
      <c r="BK77" s="296">
        <f>'CAR Passenger Kilometres'!AE77*'CAR Stock'!AE127</f>
        <v>0</v>
      </c>
    </row>
    <row r="78" spans="1:63">
      <c r="A78" s="1711"/>
      <c r="B78" s="116">
        <v>17</v>
      </c>
      <c r="C78" s="294">
        <f>'CAR Mileage'!C99*CAR!$I$58</f>
        <v>21023.5167656839</v>
      </c>
      <c r="D78" s="295">
        <f>'CAR Mileage'!D99*CAR!$I$58</f>
        <v>21023.5167656839</v>
      </c>
      <c r="E78" s="295">
        <f>'CAR Mileage'!E99*CAR!$I$58</f>
        <v>21023.5167656839</v>
      </c>
      <c r="F78" s="295">
        <f>'CAR Mileage'!F99*CAR!$I$58</f>
        <v>21023.5167656839</v>
      </c>
      <c r="G78" s="295">
        <f>'CAR Mileage'!G99*CAR!$I$58</f>
        <v>21023.5167656839</v>
      </c>
      <c r="H78" s="295">
        <f>'CAR Mileage'!H99*CAR!$I$58</f>
        <v>21023.5167656839</v>
      </c>
      <c r="I78" s="295">
        <f>'CAR Mileage'!I99*CAR!$I$58</f>
        <v>21023.5167656839</v>
      </c>
      <c r="J78" s="295">
        <f>'CAR Mileage'!J99*CAR!$I$58</f>
        <v>21023.5167656839</v>
      </c>
      <c r="K78" s="295">
        <f>'CAR Mileage'!K99*CAR!$I$58</f>
        <v>21023.5167656839</v>
      </c>
      <c r="L78" s="295">
        <f>'CAR Mileage'!L99*CAR!$I$58</f>
        <v>21023.5167656839</v>
      </c>
      <c r="M78" s="295">
        <f>'CAR Mileage'!M99*CAR!$I$58</f>
        <v>21023.5167656839</v>
      </c>
      <c r="N78" s="295">
        <f>'CAR Mileage'!N99*CAR!$I$58</f>
        <v>21023.5167656839</v>
      </c>
      <c r="O78" s="295">
        <f>'CAR Mileage'!O99*CAR!$I$58</f>
        <v>21023.5167656839</v>
      </c>
      <c r="P78" s="295">
        <f>'CAR Mileage'!P99*CAR!$I$58</f>
        <v>21023.5167656839</v>
      </c>
      <c r="Q78" s="295">
        <f>'CAR Mileage'!Q99*CAR!$I$58</f>
        <v>21023.5167656839</v>
      </c>
      <c r="R78" s="295">
        <f>'CAR Mileage'!R99*CAR!$I$58</f>
        <v>21023.5167656839</v>
      </c>
      <c r="S78" s="295">
        <f>'CAR Mileage'!S99*CAR!$I$58</f>
        <v>21023.5167656839</v>
      </c>
      <c r="T78" s="295">
        <f>'CAR Mileage'!T99*CAR!$I$58</f>
        <v>21023.5167656839</v>
      </c>
      <c r="U78" s="295">
        <f>'CAR Mileage'!U99*CAR!$I$58</f>
        <v>21023.5167656839</v>
      </c>
      <c r="V78" s="295">
        <f>'CAR Mileage'!V99*CAR!$I$58</f>
        <v>21023.5167656839</v>
      </c>
      <c r="W78" s="295">
        <f>'CAR Mileage'!W99*CAR!$I$58</f>
        <v>21023.5167656839</v>
      </c>
      <c r="X78" s="295">
        <f>'CAR Mileage'!X99*CAR!$I$58</f>
        <v>21023.5167656839</v>
      </c>
      <c r="Y78" s="295">
        <f>'CAR Mileage'!Y99*CAR!$I$58</f>
        <v>21023.5167656839</v>
      </c>
      <c r="Z78" s="295">
        <f>'CAR Mileage'!Z99*CAR!$I$58</f>
        <v>21023.5167656839</v>
      </c>
      <c r="AA78" s="295">
        <f>'CAR Mileage'!AA99*CAR!$I$58</f>
        <v>21023.5167656839</v>
      </c>
      <c r="AB78" s="295">
        <f>'CAR Mileage'!AB99*CAR!$I$58</f>
        <v>21023.5167656839</v>
      </c>
      <c r="AC78" s="295">
        <f>'CAR Mileage'!AC99*CAR!$I$58</f>
        <v>21023.5167656839</v>
      </c>
      <c r="AD78" s="295">
        <f>'CAR Mileage'!AD99*CAR!$I$58</f>
        <v>21023.5167656839</v>
      </c>
      <c r="AE78" s="296">
        <f>'CAR Mileage'!AE99*CAR!$I$58</f>
        <v>21023.5167656839</v>
      </c>
      <c r="AG78" s="1711"/>
      <c r="AH78" s="116">
        <v>17</v>
      </c>
      <c r="AI78" s="294">
        <f>'CAR Passenger Kilometres'!C78*'CAR Stock'!C128</f>
        <v>33461123.377899941</v>
      </c>
      <c r="AJ78" s="295">
        <f>'CAR Passenger Kilometres'!D78*'CAR Stock'!D128</f>
        <v>19220177.283069488</v>
      </c>
      <c r="AK78" s="295">
        <f>'CAR Passenger Kilometres'!E78*'CAR Stock'!E128</f>
        <v>4042728.6955128233</v>
      </c>
      <c r="AL78" s="295">
        <f>'CAR Passenger Kilometres'!F78*'CAR Stock'!F128</f>
        <v>2209049.3293052339</v>
      </c>
      <c r="AM78" s="295">
        <f>'CAR Passenger Kilometres'!G78*'CAR Stock'!G128</f>
        <v>1330176.8204579931</v>
      </c>
      <c r="AN78" s="295">
        <f>'CAR Passenger Kilometres'!H78*'CAR Stock'!H128</f>
        <v>991037.84535413899</v>
      </c>
      <c r="AO78" s="295">
        <f>'CAR Passenger Kilometres'!I78*'CAR Stock'!I128</f>
        <v>640263.7052995722</v>
      </c>
      <c r="AP78" s="295">
        <f>'CAR Passenger Kilometres'!J78*'CAR Stock'!J128</f>
        <v>519793.09869453643</v>
      </c>
      <c r="AQ78" s="295">
        <f>'CAR Passenger Kilometres'!K78*'CAR Stock'!K128</f>
        <v>527120.55193535646</v>
      </c>
      <c r="AR78" s="295">
        <f>'CAR Passenger Kilometres'!L78*'CAR Stock'!L128</f>
        <v>606931.72489877697</v>
      </c>
      <c r="AS78" s="295">
        <f>'CAR Passenger Kilometres'!M78*'CAR Stock'!M128</f>
        <v>671579.66489252564</v>
      </c>
      <c r="AT78" s="295">
        <f>'CAR Passenger Kilometres'!N78*'CAR Stock'!N128</f>
        <v>643892.13339838467</v>
      </c>
      <c r="AU78" s="295">
        <f>'CAR Passenger Kilometres'!O78*'CAR Stock'!O128</f>
        <v>661343.25686618162</v>
      </c>
      <c r="AV78" s="295">
        <f>'CAR Passenger Kilometres'!P78*'CAR Stock'!P128</f>
        <v>462030.37687065214</v>
      </c>
      <c r="AW78" s="295">
        <f>'CAR Passenger Kilometres'!Q78*'CAR Stock'!Q128</f>
        <v>83011.667079306673</v>
      </c>
      <c r="AX78" s="295">
        <f>'CAR Passenger Kilometres'!R78*'CAR Stock'!R128</f>
        <v>40996.559508491933</v>
      </c>
      <c r="AY78" s="295">
        <f>'CAR Passenger Kilometres'!S78*'CAR Stock'!S128</f>
        <v>34817.367930400396</v>
      </c>
      <c r="AZ78" s="295">
        <f>'CAR Passenger Kilometres'!T78*'CAR Stock'!T128</f>
        <v>23800.073056275647</v>
      </c>
      <c r="BA78" s="295">
        <f>'CAR Passenger Kilometres'!U78*'CAR Stock'!U128</f>
        <v>0</v>
      </c>
      <c r="BB78" s="295">
        <f>'CAR Passenger Kilometres'!V78*'CAR Stock'!V128</f>
        <v>0</v>
      </c>
      <c r="BC78" s="295">
        <f>'CAR Passenger Kilometres'!W78*'CAR Stock'!W128</f>
        <v>0</v>
      </c>
      <c r="BD78" s="295">
        <f>'CAR Passenger Kilometres'!X78*'CAR Stock'!X128</f>
        <v>0</v>
      </c>
      <c r="BE78" s="295">
        <f>'CAR Passenger Kilometres'!Y78*'CAR Stock'!Y128</f>
        <v>0</v>
      </c>
      <c r="BF78" s="295">
        <f>'CAR Passenger Kilometres'!Z78*'CAR Stock'!Z128</f>
        <v>0</v>
      </c>
      <c r="BG78" s="295">
        <f>'CAR Passenger Kilometres'!AA78*'CAR Stock'!AA128</f>
        <v>0</v>
      </c>
      <c r="BH78" s="295">
        <f>'CAR Passenger Kilometres'!AB78*'CAR Stock'!AB128</f>
        <v>0</v>
      </c>
      <c r="BI78" s="295">
        <f>'CAR Passenger Kilometres'!AC78*'CAR Stock'!AC128</f>
        <v>0</v>
      </c>
      <c r="BJ78" s="295">
        <f>'CAR Passenger Kilometres'!AD78*'CAR Stock'!AD128</f>
        <v>0</v>
      </c>
      <c r="BK78" s="296">
        <f>'CAR Passenger Kilometres'!AE78*'CAR Stock'!AE128</f>
        <v>0</v>
      </c>
    </row>
    <row r="79" spans="1:63">
      <c r="A79" s="1711"/>
      <c r="B79" s="116">
        <v>18</v>
      </c>
      <c r="C79" s="294">
        <f>'CAR Mileage'!C100*CAR!$I$58</f>
        <v>21023.5167656839</v>
      </c>
      <c r="D79" s="295">
        <f>'CAR Mileage'!D100*CAR!$I$58</f>
        <v>21023.5167656839</v>
      </c>
      <c r="E79" s="295">
        <f>'CAR Mileage'!E100*CAR!$I$58</f>
        <v>21023.5167656839</v>
      </c>
      <c r="F79" s="295">
        <f>'CAR Mileage'!F100*CAR!$I$58</f>
        <v>21023.5167656839</v>
      </c>
      <c r="G79" s="295">
        <f>'CAR Mileage'!G100*CAR!$I$58</f>
        <v>21023.5167656839</v>
      </c>
      <c r="H79" s="295">
        <f>'CAR Mileage'!H100*CAR!$I$58</f>
        <v>21023.5167656839</v>
      </c>
      <c r="I79" s="295">
        <f>'CAR Mileage'!I100*CAR!$I$58</f>
        <v>21023.5167656839</v>
      </c>
      <c r="J79" s="295">
        <f>'CAR Mileage'!J100*CAR!$I$58</f>
        <v>21023.5167656839</v>
      </c>
      <c r="K79" s="295">
        <f>'CAR Mileage'!K100*CAR!$I$58</f>
        <v>21023.5167656839</v>
      </c>
      <c r="L79" s="295">
        <f>'CAR Mileage'!L100*CAR!$I$58</f>
        <v>21023.5167656839</v>
      </c>
      <c r="M79" s="295">
        <f>'CAR Mileage'!M100*CAR!$I$58</f>
        <v>21023.5167656839</v>
      </c>
      <c r="N79" s="295">
        <f>'CAR Mileage'!N100*CAR!$I$58</f>
        <v>21023.5167656839</v>
      </c>
      <c r="O79" s="295">
        <f>'CAR Mileage'!O100*CAR!$I$58</f>
        <v>21023.5167656839</v>
      </c>
      <c r="P79" s="295">
        <f>'CAR Mileage'!P100*CAR!$I$58</f>
        <v>21023.5167656839</v>
      </c>
      <c r="Q79" s="295">
        <f>'CAR Mileage'!Q100*CAR!$I$58</f>
        <v>21023.5167656839</v>
      </c>
      <c r="R79" s="295">
        <f>'CAR Mileage'!R100*CAR!$I$58</f>
        <v>21023.5167656839</v>
      </c>
      <c r="S79" s="295">
        <f>'CAR Mileage'!S100*CAR!$I$58</f>
        <v>21023.5167656839</v>
      </c>
      <c r="T79" s="295">
        <f>'CAR Mileage'!T100*CAR!$I$58</f>
        <v>21023.5167656839</v>
      </c>
      <c r="U79" s="295">
        <f>'CAR Mileage'!U100*CAR!$I$58</f>
        <v>21023.5167656839</v>
      </c>
      <c r="V79" s="295">
        <f>'CAR Mileage'!V100*CAR!$I$58</f>
        <v>21023.5167656839</v>
      </c>
      <c r="W79" s="295">
        <f>'CAR Mileage'!W100*CAR!$I$58</f>
        <v>21023.5167656839</v>
      </c>
      <c r="X79" s="295">
        <f>'CAR Mileage'!X100*CAR!$I$58</f>
        <v>21023.5167656839</v>
      </c>
      <c r="Y79" s="295">
        <f>'CAR Mileage'!Y100*CAR!$I$58</f>
        <v>21023.5167656839</v>
      </c>
      <c r="Z79" s="295">
        <f>'CAR Mileage'!Z100*CAR!$I$58</f>
        <v>21023.5167656839</v>
      </c>
      <c r="AA79" s="295">
        <f>'CAR Mileage'!AA100*CAR!$I$58</f>
        <v>21023.5167656839</v>
      </c>
      <c r="AB79" s="295">
        <f>'CAR Mileage'!AB100*CAR!$I$58</f>
        <v>21023.5167656839</v>
      </c>
      <c r="AC79" s="295">
        <f>'CAR Mileage'!AC100*CAR!$I$58</f>
        <v>21023.5167656839</v>
      </c>
      <c r="AD79" s="295">
        <f>'CAR Mileage'!AD100*CAR!$I$58</f>
        <v>21023.5167656839</v>
      </c>
      <c r="AE79" s="296">
        <f>'CAR Mileage'!AE100*CAR!$I$58</f>
        <v>21023.5167656839</v>
      </c>
      <c r="AG79" s="1711"/>
      <c r="AH79" s="116">
        <v>18</v>
      </c>
      <c r="AI79" s="294">
        <f>'CAR Passenger Kilometres'!C79*'CAR Stock'!C129</f>
        <v>12309659.369230514</v>
      </c>
      <c r="AJ79" s="295">
        <f>'CAR Passenger Kilometres'!D79*'CAR Stock'!D129</f>
        <v>6186869.5683476981</v>
      </c>
      <c r="AK79" s="295">
        <f>'CAR Passenger Kilometres'!E79*'CAR Stock'!E129</f>
        <v>3553757.8516986845</v>
      </c>
      <c r="AL79" s="295">
        <f>'CAR Passenger Kilometres'!F79*'CAR Stock'!F129</f>
        <v>747489.4030567375</v>
      </c>
      <c r="AM79" s="295">
        <f>'CAR Passenger Kilometres'!G79*'CAR Stock'!G129</f>
        <v>408447.13777554006</v>
      </c>
      <c r="AN79" s="295">
        <f>'CAR Passenger Kilometres'!H79*'CAR Stock'!H129</f>
        <v>245946.03110212606</v>
      </c>
      <c r="AO79" s="295">
        <f>'CAR Passenger Kilometres'!I79*'CAR Stock'!I129</f>
        <v>183240.16851604011</v>
      </c>
      <c r="AP79" s="295">
        <f>'CAR Passenger Kilometres'!J79*'CAR Stock'!J129</f>
        <v>118382.99597113147</v>
      </c>
      <c r="AQ79" s="295">
        <f>'CAR Passenger Kilometres'!K79*'CAR Stock'!K129</f>
        <v>96108.312558160498</v>
      </c>
      <c r="AR79" s="295">
        <f>'CAR Passenger Kilometres'!L79*'CAR Stock'!L129</f>
        <v>97463.138484269773</v>
      </c>
      <c r="AS79" s="295">
        <f>'CAR Passenger Kilometres'!M79*'CAR Stock'!M129</f>
        <v>112220.00458362042</v>
      </c>
      <c r="AT79" s="295">
        <f>'CAR Passenger Kilometres'!N79*'CAR Stock'!N129</f>
        <v>124173.23066292948</v>
      </c>
      <c r="AU79" s="295">
        <f>'CAR Passenger Kilometres'!O79*'CAR Stock'!O129</f>
        <v>119053.88233474671</v>
      </c>
      <c r="AV79" s="295">
        <f>'CAR Passenger Kilometres'!P79*'CAR Stock'!P129</f>
        <v>122280.54700756822</v>
      </c>
      <c r="AW79" s="295">
        <f>'CAR Passenger Kilometres'!Q79*'CAR Stock'!Q129</f>
        <v>85428.144358154532</v>
      </c>
      <c r="AX79" s="295">
        <f>'CAR Passenger Kilometres'!R79*'CAR Stock'!R129</f>
        <v>15348.628647954432</v>
      </c>
      <c r="AY79" s="295">
        <f>'CAR Passenger Kilometres'!S79*'CAR Stock'!S129</f>
        <v>7580.1509580388438</v>
      </c>
      <c r="AZ79" s="295">
        <f>'CAR Passenger Kilometres'!T79*'CAR Stock'!T129</f>
        <v>6437.6354513199449</v>
      </c>
      <c r="BA79" s="295">
        <f>'CAR Passenger Kilometres'!U79*'CAR Stock'!U129</f>
        <v>4400.5679681865249</v>
      </c>
      <c r="BB79" s="295">
        <f>'CAR Passenger Kilometres'!V79*'CAR Stock'!V129</f>
        <v>0</v>
      </c>
      <c r="BC79" s="295">
        <f>'CAR Passenger Kilometres'!W79*'CAR Stock'!W129</f>
        <v>0</v>
      </c>
      <c r="BD79" s="295">
        <f>'CAR Passenger Kilometres'!X79*'CAR Stock'!X129</f>
        <v>0</v>
      </c>
      <c r="BE79" s="295">
        <f>'CAR Passenger Kilometres'!Y79*'CAR Stock'!Y129</f>
        <v>0</v>
      </c>
      <c r="BF79" s="295">
        <f>'CAR Passenger Kilometres'!Z79*'CAR Stock'!Z129</f>
        <v>0</v>
      </c>
      <c r="BG79" s="295">
        <f>'CAR Passenger Kilometres'!AA79*'CAR Stock'!AA129</f>
        <v>0</v>
      </c>
      <c r="BH79" s="295">
        <f>'CAR Passenger Kilometres'!AB79*'CAR Stock'!AB129</f>
        <v>0</v>
      </c>
      <c r="BI79" s="295">
        <f>'CAR Passenger Kilometres'!AC79*'CAR Stock'!AC129</f>
        <v>0</v>
      </c>
      <c r="BJ79" s="295">
        <f>'CAR Passenger Kilometres'!AD79*'CAR Stock'!AD129</f>
        <v>0</v>
      </c>
      <c r="BK79" s="296">
        <f>'CAR Passenger Kilometres'!AE79*'CAR Stock'!AE129</f>
        <v>0</v>
      </c>
    </row>
    <row r="80" spans="1:63">
      <c r="A80" s="1711"/>
      <c r="B80" s="116">
        <v>19</v>
      </c>
      <c r="C80" s="294">
        <f>'CAR Mileage'!C101*CAR!$I$58</f>
        <v>21023.5167656839</v>
      </c>
      <c r="D80" s="295">
        <f>'CAR Mileage'!D101*CAR!$I$58</f>
        <v>21023.5167656839</v>
      </c>
      <c r="E80" s="295">
        <f>'CAR Mileage'!E101*CAR!$I$58</f>
        <v>21023.5167656839</v>
      </c>
      <c r="F80" s="295">
        <f>'CAR Mileage'!F101*CAR!$I$58</f>
        <v>21023.5167656839</v>
      </c>
      <c r="G80" s="295">
        <f>'CAR Mileage'!G101*CAR!$I$58</f>
        <v>21023.5167656839</v>
      </c>
      <c r="H80" s="295">
        <f>'CAR Mileage'!H101*CAR!$I$58</f>
        <v>21023.5167656839</v>
      </c>
      <c r="I80" s="295">
        <f>'CAR Mileage'!I101*CAR!$I$58</f>
        <v>21023.5167656839</v>
      </c>
      <c r="J80" s="295">
        <f>'CAR Mileage'!J101*CAR!$I$58</f>
        <v>21023.5167656839</v>
      </c>
      <c r="K80" s="295">
        <f>'CAR Mileage'!K101*CAR!$I$58</f>
        <v>21023.5167656839</v>
      </c>
      <c r="L80" s="295">
        <f>'CAR Mileage'!L101*CAR!$I$58</f>
        <v>21023.5167656839</v>
      </c>
      <c r="M80" s="295">
        <f>'CAR Mileage'!M101*CAR!$I$58</f>
        <v>21023.5167656839</v>
      </c>
      <c r="N80" s="295">
        <f>'CAR Mileage'!N101*CAR!$I$58</f>
        <v>21023.5167656839</v>
      </c>
      <c r="O80" s="295">
        <f>'CAR Mileage'!O101*CAR!$I$58</f>
        <v>21023.5167656839</v>
      </c>
      <c r="P80" s="295">
        <f>'CAR Mileage'!P101*CAR!$I$58</f>
        <v>21023.5167656839</v>
      </c>
      <c r="Q80" s="295">
        <f>'CAR Mileage'!Q101*CAR!$I$58</f>
        <v>21023.5167656839</v>
      </c>
      <c r="R80" s="295">
        <f>'CAR Mileage'!R101*CAR!$I$58</f>
        <v>21023.5167656839</v>
      </c>
      <c r="S80" s="295">
        <f>'CAR Mileage'!S101*CAR!$I$58</f>
        <v>21023.5167656839</v>
      </c>
      <c r="T80" s="295">
        <f>'CAR Mileage'!T101*CAR!$I$58</f>
        <v>21023.5167656839</v>
      </c>
      <c r="U80" s="295">
        <f>'CAR Mileage'!U101*CAR!$I$58</f>
        <v>21023.5167656839</v>
      </c>
      <c r="V80" s="295">
        <f>'CAR Mileage'!V101*CAR!$I$58</f>
        <v>21023.5167656839</v>
      </c>
      <c r="W80" s="295">
        <f>'CAR Mileage'!W101*CAR!$I$58</f>
        <v>21023.5167656839</v>
      </c>
      <c r="X80" s="295">
        <f>'CAR Mileage'!X101*CAR!$I$58</f>
        <v>21023.5167656839</v>
      </c>
      <c r="Y80" s="295">
        <f>'CAR Mileage'!Y101*CAR!$I$58</f>
        <v>21023.5167656839</v>
      </c>
      <c r="Z80" s="295">
        <f>'CAR Mileage'!Z101*CAR!$I$58</f>
        <v>21023.5167656839</v>
      </c>
      <c r="AA80" s="295">
        <f>'CAR Mileage'!AA101*CAR!$I$58</f>
        <v>21023.5167656839</v>
      </c>
      <c r="AB80" s="295">
        <f>'CAR Mileage'!AB101*CAR!$I$58</f>
        <v>21023.5167656839</v>
      </c>
      <c r="AC80" s="295">
        <f>'CAR Mileage'!AC101*CAR!$I$58</f>
        <v>21023.5167656839</v>
      </c>
      <c r="AD80" s="295">
        <f>'CAR Mileage'!AD101*CAR!$I$58</f>
        <v>21023.5167656839</v>
      </c>
      <c r="AE80" s="296">
        <f>'CAR Mileage'!AE101*CAR!$I$58</f>
        <v>21023.5167656839</v>
      </c>
      <c r="AG80" s="1711"/>
      <c r="AH80" s="116">
        <v>19</v>
      </c>
      <c r="AI80" s="294">
        <f>'CAR Passenger Kilometres'!C80*'CAR Stock'!C130</f>
        <v>4528470.6097633308</v>
      </c>
      <c r="AJ80" s="295">
        <f>'CAR Passenger Kilometres'!D80*'CAR Stock'!D130</f>
        <v>1950876.1023465886</v>
      </c>
      <c r="AK80" s="295">
        <f>'CAR Passenger Kilometres'!E80*'CAR Stock'!E130</f>
        <v>980515.83940615342</v>
      </c>
      <c r="AL80" s="295">
        <f>'CAR Passenger Kilometres'!F80*'CAR Stock'!F130</f>
        <v>563211.46332734788</v>
      </c>
      <c r="AM80" s="295">
        <f>'CAR Passenger Kilometres'!G80*'CAR Stock'!G130</f>
        <v>118464.62760990787</v>
      </c>
      <c r="AN80" s="295">
        <f>'CAR Passenger Kilometres'!H80*'CAR Stock'!H130</f>
        <v>64732.07229031359</v>
      </c>
      <c r="AO80" s="295">
        <f>'CAR Passenger Kilometres'!I80*'CAR Stock'!I130</f>
        <v>38978.351890343314</v>
      </c>
      <c r="AP80" s="295">
        <f>'CAR Passenger Kilometres'!J80*'CAR Stock'!J130</f>
        <v>29040.51647777242</v>
      </c>
      <c r="AQ80" s="295">
        <f>'CAR Passenger Kilometres'!K80*'CAR Stock'!K130</f>
        <v>18761.734247623597</v>
      </c>
      <c r="AR80" s="295">
        <f>'CAR Passenger Kilometres'!L80*'CAR Stock'!L130</f>
        <v>15231.567713014003</v>
      </c>
      <c r="AS80" s="295">
        <f>'CAR Passenger Kilometres'!M80*'CAR Stock'!M130</f>
        <v>15446.285069750367</v>
      </c>
      <c r="AT80" s="295">
        <f>'CAR Passenger Kilometres'!N80*'CAR Stock'!N130</f>
        <v>17785.002702401751</v>
      </c>
      <c r="AU80" s="295">
        <f>'CAR Passenger Kilometres'!O80*'CAR Stock'!O130</f>
        <v>19679.390061515795</v>
      </c>
      <c r="AV80" s="295">
        <f>'CAR Passenger Kilometres'!P80*'CAR Stock'!P130</f>
        <v>18868.058568622986</v>
      </c>
      <c r="AW80" s="295">
        <f>'CAR Passenger Kilometres'!Q80*'CAR Stock'!Q130</f>
        <v>19379.431207920232</v>
      </c>
      <c r="AX80" s="295">
        <f>'CAR Passenger Kilometres'!R80*'CAR Stock'!R130</f>
        <v>13538.938836335667</v>
      </c>
      <c r="AY80" s="295">
        <f>'CAR Passenger Kilometres'!S80*'CAR Stock'!S130</f>
        <v>2432.5021460734624</v>
      </c>
      <c r="AZ80" s="295">
        <f>'CAR Passenger Kilometres'!T80*'CAR Stock'!T130</f>
        <v>1201.3277469872005</v>
      </c>
      <c r="BA80" s="295">
        <f>'CAR Passenger Kilometres'!U80*'CAR Stock'!U130</f>
        <v>1020.2580575862311</v>
      </c>
      <c r="BB80" s="295">
        <f>'CAR Passenger Kilometres'!V80*'CAR Stock'!V130</f>
        <v>697.41677071472247</v>
      </c>
      <c r="BC80" s="295">
        <f>'CAR Passenger Kilometres'!W80*'CAR Stock'!W130</f>
        <v>0</v>
      </c>
      <c r="BD80" s="295">
        <f>'CAR Passenger Kilometres'!X80*'CAR Stock'!X130</f>
        <v>0</v>
      </c>
      <c r="BE80" s="295">
        <f>'CAR Passenger Kilometres'!Y80*'CAR Stock'!Y130</f>
        <v>0</v>
      </c>
      <c r="BF80" s="295">
        <f>'CAR Passenger Kilometres'!Z80*'CAR Stock'!Z130</f>
        <v>0</v>
      </c>
      <c r="BG80" s="295">
        <f>'CAR Passenger Kilometres'!AA80*'CAR Stock'!AA130</f>
        <v>0</v>
      </c>
      <c r="BH80" s="295">
        <f>'CAR Passenger Kilometres'!AB80*'CAR Stock'!AB130</f>
        <v>0</v>
      </c>
      <c r="BI80" s="295">
        <f>'CAR Passenger Kilometres'!AC80*'CAR Stock'!AC130</f>
        <v>0</v>
      </c>
      <c r="BJ80" s="295">
        <f>'CAR Passenger Kilometres'!AD80*'CAR Stock'!AD130</f>
        <v>0</v>
      </c>
      <c r="BK80" s="296">
        <f>'CAR Passenger Kilometres'!AE80*'CAR Stock'!AE130</f>
        <v>0</v>
      </c>
    </row>
    <row r="81" spans="1:63">
      <c r="A81" s="1711"/>
      <c r="B81" s="116">
        <v>20</v>
      </c>
      <c r="C81" s="294">
        <f>'CAR Mileage'!C102*CAR!$I$58</f>
        <v>21023.5167656839</v>
      </c>
      <c r="D81" s="295">
        <f>'CAR Mileage'!D102*CAR!$I$58</f>
        <v>21023.5167656839</v>
      </c>
      <c r="E81" s="295">
        <f>'CAR Mileage'!E102*CAR!$I$58</f>
        <v>21023.5167656839</v>
      </c>
      <c r="F81" s="295">
        <f>'CAR Mileage'!F102*CAR!$I$58</f>
        <v>21023.5167656839</v>
      </c>
      <c r="G81" s="295">
        <f>'CAR Mileage'!G102*CAR!$I$58</f>
        <v>21023.5167656839</v>
      </c>
      <c r="H81" s="295">
        <f>'CAR Mileage'!H102*CAR!$I$58</f>
        <v>21023.5167656839</v>
      </c>
      <c r="I81" s="295">
        <f>'CAR Mileage'!I102*CAR!$I$58</f>
        <v>21023.5167656839</v>
      </c>
      <c r="J81" s="295">
        <f>'CAR Mileage'!J102*CAR!$I$58</f>
        <v>21023.5167656839</v>
      </c>
      <c r="K81" s="295">
        <f>'CAR Mileage'!K102*CAR!$I$58</f>
        <v>21023.5167656839</v>
      </c>
      <c r="L81" s="295">
        <f>'CAR Mileage'!L102*CAR!$I$58</f>
        <v>21023.5167656839</v>
      </c>
      <c r="M81" s="295">
        <f>'CAR Mileage'!M102*CAR!$I$58</f>
        <v>21023.5167656839</v>
      </c>
      <c r="N81" s="295">
        <f>'CAR Mileage'!N102*CAR!$I$58</f>
        <v>21023.5167656839</v>
      </c>
      <c r="O81" s="295">
        <f>'CAR Mileage'!O102*CAR!$I$58</f>
        <v>21023.5167656839</v>
      </c>
      <c r="P81" s="295">
        <f>'CAR Mileage'!P102*CAR!$I$58</f>
        <v>21023.5167656839</v>
      </c>
      <c r="Q81" s="295">
        <f>'CAR Mileage'!Q102*CAR!$I$58</f>
        <v>21023.5167656839</v>
      </c>
      <c r="R81" s="295">
        <f>'CAR Mileage'!R102*CAR!$I$58</f>
        <v>21023.5167656839</v>
      </c>
      <c r="S81" s="295">
        <f>'CAR Mileage'!S102*CAR!$I$58</f>
        <v>21023.5167656839</v>
      </c>
      <c r="T81" s="295">
        <f>'CAR Mileage'!T102*CAR!$I$58</f>
        <v>21023.5167656839</v>
      </c>
      <c r="U81" s="295">
        <f>'CAR Mileage'!U102*CAR!$I$58</f>
        <v>21023.5167656839</v>
      </c>
      <c r="V81" s="295">
        <f>'CAR Mileage'!V102*CAR!$I$58</f>
        <v>21023.5167656839</v>
      </c>
      <c r="W81" s="295">
        <f>'CAR Mileage'!W102*CAR!$I$58</f>
        <v>21023.5167656839</v>
      </c>
      <c r="X81" s="295">
        <f>'CAR Mileage'!X102*CAR!$I$58</f>
        <v>21023.5167656839</v>
      </c>
      <c r="Y81" s="295">
        <f>'CAR Mileage'!Y102*CAR!$I$58</f>
        <v>21023.5167656839</v>
      </c>
      <c r="Z81" s="295">
        <f>'CAR Mileage'!Z102*CAR!$I$58</f>
        <v>21023.5167656839</v>
      </c>
      <c r="AA81" s="295">
        <f>'CAR Mileage'!AA102*CAR!$I$58</f>
        <v>21023.5167656839</v>
      </c>
      <c r="AB81" s="295">
        <f>'CAR Mileage'!AB102*CAR!$I$58</f>
        <v>21023.5167656839</v>
      </c>
      <c r="AC81" s="295">
        <f>'CAR Mileage'!AC102*CAR!$I$58</f>
        <v>21023.5167656839</v>
      </c>
      <c r="AD81" s="295">
        <f>'CAR Mileage'!AD102*CAR!$I$58</f>
        <v>21023.5167656839</v>
      </c>
      <c r="AE81" s="296">
        <f>'CAR Mileage'!AE102*CAR!$I$58</f>
        <v>21023.5167656839</v>
      </c>
      <c r="AG81" s="1711"/>
      <c r="AH81" s="116">
        <v>20</v>
      </c>
      <c r="AI81" s="294">
        <f>'CAR Passenger Kilometres'!C81*'CAR Stock'!C131</f>
        <v>1665931.2372810345</v>
      </c>
      <c r="AJ81" s="295">
        <f>'CAR Passenger Kilometres'!D81*'CAR Stock'!D131</f>
        <v>598072.67527165369</v>
      </c>
      <c r="AK81" s="295">
        <f>'CAR Passenger Kilometres'!E81*'CAR Stock'!E131</f>
        <v>257651.15647177378</v>
      </c>
      <c r="AL81" s="295">
        <f>'CAR Passenger Kilometres'!F81*'CAR Stock'!F131</f>
        <v>129496.19899388441</v>
      </c>
      <c r="AM81" s="295">
        <f>'CAR Passenger Kilometres'!G81*'CAR Stock'!G131</f>
        <v>74383.034724708967</v>
      </c>
      <c r="AN81" s="295">
        <f>'CAR Passenger Kilometres'!H81*'CAR Stock'!H131</f>
        <v>15645.559586268495</v>
      </c>
      <c r="AO81" s="295">
        <f>'CAR Passenger Kilometres'!I81*'CAR Stock'!I131</f>
        <v>8549.1299351878206</v>
      </c>
      <c r="AP81" s="295">
        <f>'CAR Passenger Kilometres'!J81*'CAR Stock'!J131</f>
        <v>5147.8499479443208</v>
      </c>
      <c r="AQ81" s="295">
        <f>'CAR Passenger Kilometres'!K81*'CAR Stock'!K131</f>
        <v>3835.3653756051667</v>
      </c>
      <c r="AR81" s="295">
        <f>'CAR Passenger Kilometres'!L81*'CAR Stock'!L131</f>
        <v>2477.8521406366121</v>
      </c>
      <c r="AS81" s="295">
        <f>'CAR Passenger Kilometres'!M81*'CAR Stock'!M131</f>
        <v>2011.624947076717</v>
      </c>
      <c r="AT81" s="295">
        <f>'CAR Passenger Kilometres'!N81*'CAR Stock'!N131</f>
        <v>2039.9825527755838</v>
      </c>
      <c r="AU81" s="295">
        <f>'CAR Passenger Kilometres'!O81*'CAR Stock'!O131</f>
        <v>2348.8557313381589</v>
      </c>
      <c r="AV81" s="295">
        <f>'CAR Passenger Kilometres'!P81*'CAR Stock'!P131</f>
        <v>2599.0464499051391</v>
      </c>
      <c r="AW81" s="295">
        <f>'CAR Passenger Kilometres'!Q81*'CAR Stock'!Q131</f>
        <v>2491.8943364652541</v>
      </c>
      <c r="AX81" s="295">
        <f>'CAR Passenger Kilometres'!R81*'CAR Stock'!R131</f>
        <v>2559.4310456106873</v>
      </c>
      <c r="AY81" s="295">
        <f>'CAR Passenger Kilometres'!S81*'CAR Stock'!S131</f>
        <v>1788.0803626568631</v>
      </c>
      <c r="AZ81" s="295">
        <f>'CAR Passenger Kilometres'!T81*'CAR Stock'!T131</f>
        <v>321.25924875600043</v>
      </c>
      <c r="BA81" s="295">
        <f>'CAR Passenger Kilometres'!U81*'CAR Stock'!U131</f>
        <v>158.65870874146029</v>
      </c>
      <c r="BB81" s="295">
        <f>'CAR Passenger Kilometres'!V81*'CAR Stock'!V131</f>
        <v>134.74493235144305</v>
      </c>
      <c r="BC81" s="295">
        <f>'CAR Passenger Kilometres'!W81*'CAR Stock'!W131</f>
        <v>92.107457414297016</v>
      </c>
      <c r="BD81" s="295">
        <f>'CAR Passenger Kilometres'!X81*'CAR Stock'!X131</f>
        <v>0</v>
      </c>
      <c r="BE81" s="295">
        <f>'CAR Passenger Kilometres'!Y81*'CAR Stock'!Y131</f>
        <v>0</v>
      </c>
      <c r="BF81" s="295">
        <f>'CAR Passenger Kilometres'!Z81*'CAR Stock'!Z131</f>
        <v>0</v>
      </c>
      <c r="BG81" s="295">
        <f>'CAR Passenger Kilometres'!AA81*'CAR Stock'!AA131</f>
        <v>0</v>
      </c>
      <c r="BH81" s="295">
        <f>'CAR Passenger Kilometres'!AB81*'CAR Stock'!AB131</f>
        <v>0</v>
      </c>
      <c r="BI81" s="295">
        <f>'CAR Passenger Kilometres'!AC81*'CAR Stock'!AC131</f>
        <v>0</v>
      </c>
      <c r="BJ81" s="295">
        <f>'CAR Passenger Kilometres'!AD81*'CAR Stock'!AD131</f>
        <v>0</v>
      </c>
      <c r="BK81" s="296">
        <f>'CAR Passenger Kilometres'!AE81*'CAR Stock'!AE131</f>
        <v>0</v>
      </c>
    </row>
    <row r="82" spans="1:63">
      <c r="A82" s="1711"/>
      <c r="B82" s="116">
        <v>21</v>
      </c>
      <c r="C82" s="294">
        <f>'CAR Mileage'!C103*CAR!$I$58</f>
        <v>21023.5167656839</v>
      </c>
      <c r="D82" s="295">
        <f>'CAR Mileage'!D103*CAR!$I$58</f>
        <v>21023.5167656839</v>
      </c>
      <c r="E82" s="295">
        <f>'CAR Mileage'!E103*CAR!$I$58</f>
        <v>21023.5167656839</v>
      </c>
      <c r="F82" s="295">
        <f>'CAR Mileage'!F103*CAR!$I$58</f>
        <v>21023.5167656839</v>
      </c>
      <c r="G82" s="295">
        <f>'CAR Mileage'!G103*CAR!$I$58</f>
        <v>21023.5167656839</v>
      </c>
      <c r="H82" s="295">
        <f>'CAR Mileage'!H103*CAR!$I$58</f>
        <v>21023.5167656839</v>
      </c>
      <c r="I82" s="295">
        <f>'CAR Mileage'!I103*CAR!$I$58</f>
        <v>21023.5167656839</v>
      </c>
      <c r="J82" s="295">
        <f>'CAR Mileage'!J103*CAR!$I$58</f>
        <v>21023.5167656839</v>
      </c>
      <c r="K82" s="295">
        <f>'CAR Mileage'!K103*CAR!$I$58</f>
        <v>21023.5167656839</v>
      </c>
      <c r="L82" s="295">
        <f>'CAR Mileage'!L103*CAR!$I$58</f>
        <v>21023.5167656839</v>
      </c>
      <c r="M82" s="295">
        <f>'CAR Mileage'!M103*CAR!$I$58</f>
        <v>21023.5167656839</v>
      </c>
      <c r="N82" s="295">
        <f>'CAR Mileage'!N103*CAR!$I$58</f>
        <v>21023.5167656839</v>
      </c>
      <c r="O82" s="295">
        <f>'CAR Mileage'!O103*CAR!$I$58</f>
        <v>21023.5167656839</v>
      </c>
      <c r="P82" s="295">
        <f>'CAR Mileage'!P103*CAR!$I$58</f>
        <v>21023.5167656839</v>
      </c>
      <c r="Q82" s="295">
        <f>'CAR Mileage'!Q103*CAR!$I$58</f>
        <v>21023.5167656839</v>
      </c>
      <c r="R82" s="295">
        <f>'CAR Mileage'!R103*CAR!$I$58</f>
        <v>21023.5167656839</v>
      </c>
      <c r="S82" s="295">
        <f>'CAR Mileage'!S103*CAR!$I$58</f>
        <v>21023.5167656839</v>
      </c>
      <c r="T82" s="295">
        <f>'CAR Mileage'!T103*CAR!$I$58</f>
        <v>21023.5167656839</v>
      </c>
      <c r="U82" s="295">
        <f>'CAR Mileage'!U103*CAR!$I$58</f>
        <v>21023.5167656839</v>
      </c>
      <c r="V82" s="295">
        <f>'CAR Mileage'!V103*CAR!$I$58</f>
        <v>21023.5167656839</v>
      </c>
      <c r="W82" s="295">
        <f>'CAR Mileage'!W103*CAR!$I$58</f>
        <v>21023.5167656839</v>
      </c>
      <c r="X82" s="295">
        <f>'CAR Mileage'!X103*CAR!$I$58</f>
        <v>21023.5167656839</v>
      </c>
      <c r="Y82" s="295">
        <f>'CAR Mileage'!Y103*CAR!$I$58</f>
        <v>21023.5167656839</v>
      </c>
      <c r="Z82" s="295">
        <f>'CAR Mileage'!Z103*CAR!$I$58</f>
        <v>21023.5167656839</v>
      </c>
      <c r="AA82" s="295">
        <f>'CAR Mileage'!AA103*CAR!$I$58</f>
        <v>21023.5167656839</v>
      </c>
      <c r="AB82" s="295">
        <f>'CAR Mileage'!AB103*CAR!$I$58</f>
        <v>21023.5167656839</v>
      </c>
      <c r="AC82" s="295">
        <f>'CAR Mileage'!AC103*CAR!$I$58</f>
        <v>21023.5167656839</v>
      </c>
      <c r="AD82" s="295">
        <f>'CAR Mileage'!AD103*CAR!$I$58</f>
        <v>21023.5167656839</v>
      </c>
      <c r="AE82" s="296">
        <f>'CAR Mileage'!AE103*CAR!$I$58</f>
        <v>21023.5167656839</v>
      </c>
      <c r="AG82" s="1711"/>
      <c r="AH82" s="116">
        <v>21</v>
      </c>
      <c r="AI82" s="294">
        <f>'CAR Passenger Kilometres'!C82*'CAR Stock'!C132</f>
        <v>612861.8526009965</v>
      </c>
      <c r="AJ82" s="295">
        <f>'CAR Passenger Kilometres'!D82*'CAR Stock'!D132</f>
        <v>176014.9132470763</v>
      </c>
      <c r="AK82" s="295">
        <f>'CAR Passenger Kilometres'!E82*'CAR Stock'!E132</f>
        <v>63189.708973341294</v>
      </c>
      <c r="AL82" s="295">
        <f>'CAR Passenger Kilometres'!F82*'CAR Stock'!F132</f>
        <v>27222.279611254897</v>
      </c>
      <c r="AM82" s="295">
        <f>'CAR Passenger Kilometres'!G82*'CAR Stock'!G132</f>
        <v>13681.99462358096</v>
      </c>
      <c r="AN82" s="295">
        <f>'CAR Passenger Kilometres'!H82*'CAR Stock'!H132</f>
        <v>7858.9818782029761</v>
      </c>
      <c r="AO82" s="295">
        <f>'CAR Passenger Kilometres'!I82*'CAR Stock'!I132</f>
        <v>1653.0405047050874</v>
      </c>
      <c r="AP82" s="295">
        <f>'CAR Passenger Kilometres'!J82*'CAR Stock'!J132</f>
        <v>903.26319010381769</v>
      </c>
      <c r="AQ82" s="295">
        <f>'CAR Passenger Kilometres'!K82*'CAR Stock'!K132</f>
        <v>543.89901678968965</v>
      </c>
      <c r="AR82" s="295">
        <f>'CAR Passenger Kilometres'!L82*'CAR Stock'!L132</f>
        <v>405.22771213521617</v>
      </c>
      <c r="AS82" s="295">
        <f>'CAR Passenger Kilometres'!M82*'CAR Stock'!M132</f>
        <v>261.79887849696468</v>
      </c>
      <c r="AT82" s="295">
        <f>'CAR Passenger Kilometres'!N82*'CAR Stock'!N132</f>
        <v>212.53937895014803</v>
      </c>
      <c r="AU82" s="295">
        <f>'CAR Passenger Kilometres'!O82*'CAR Stock'!O132</f>
        <v>215.5355179235232</v>
      </c>
      <c r="AV82" s="295">
        <f>'CAR Passenger Kilometres'!P82*'CAR Stock'!P132</f>
        <v>248.16968943817199</v>
      </c>
      <c r="AW82" s="295">
        <f>'CAR Passenger Kilometres'!Q82*'CAR Stock'!Q132</f>
        <v>274.60373223555894</v>
      </c>
      <c r="AX82" s="295">
        <f>'CAR Passenger Kilometres'!R82*'CAR Stock'!R132</f>
        <v>263.28251469110364</v>
      </c>
      <c r="AY82" s="295">
        <f>'CAR Passenger Kilometres'!S82*'CAR Stock'!S132</f>
        <v>270.4181441427898</v>
      </c>
      <c r="AZ82" s="295">
        <f>'CAR Passenger Kilometres'!T82*'CAR Stock'!T132</f>
        <v>188.92064862504003</v>
      </c>
      <c r="BA82" s="295">
        <f>'CAR Passenger Kilometres'!U82*'CAR Stock'!U132</f>
        <v>33.942828812008891</v>
      </c>
      <c r="BB82" s="295">
        <f>'CAR Passenger Kilometres'!V82*'CAR Stock'!V132</f>
        <v>16.763176192433832</v>
      </c>
      <c r="BC82" s="295">
        <f>'CAR Passenger Kilometres'!W82*'CAR Stock'!W132</f>
        <v>14.236552534443804</v>
      </c>
      <c r="BD82" s="295">
        <f>'CAR Passenger Kilometres'!X82*'CAR Stock'!X132</f>
        <v>9.7316658475330158</v>
      </c>
      <c r="BE82" s="295">
        <f>'CAR Passenger Kilometres'!Y82*'CAR Stock'!Y132</f>
        <v>0</v>
      </c>
      <c r="BF82" s="295">
        <f>'CAR Passenger Kilometres'!Z82*'CAR Stock'!Z132</f>
        <v>0</v>
      </c>
      <c r="BG82" s="295">
        <f>'CAR Passenger Kilometres'!AA82*'CAR Stock'!AA132</f>
        <v>0</v>
      </c>
      <c r="BH82" s="295">
        <f>'CAR Passenger Kilometres'!AB82*'CAR Stock'!AB132</f>
        <v>0</v>
      </c>
      <c r="BI82" s="295">
        <f>'CAR Passenger Kilometres'!AC82*'CAR Stock'!AC132</f>
        <v>0</v>
      </c>
      <c r="BJ82" s="295">
        <f>'CAR Passenger Kilometres'!AD82*'CAR Stock'!AD132</f>
        <v>0</v>
      </c>
      <c r="BK82" s="296">
        <f>'CAR Passenger Kilometres'!AE82*'CAR Stock'!AE132</f>
        <v>0</v>
      </c>
    </row>
    <row r="83" spans="1:63">
      <c r="A83" s="1711"/>
      <c r="B83" s="116">
        <v>22</v>
      </c>
      <c r="C83" s="294">
        <f>'CAR Mileage'!C104*CAR!$I$58</f>
        <v>21023.5167656839</v>
      </c>
      <c r="D83" s="295">
        <f>'CAR Mileage'!D104*CAR!$I$58</f>
        <v>21023.5167656839</v>
      </c>
      <c r="E83" s="295">
        <f>'CAR Mileage'!E104*CAR!$I$58</f>
        <v>21023.5167656839</v>
      </c>
      <c r="F83" s="295">
        <f>'CAR Mileage'!F104*CAR!$I$58</f>
        <v>21023.5167656839</v>
      </c>
      <c r="G83" s="295">
        <f>'CAR Mileage'!G104*CAR!$I$58</f>
        <v>21023.5167656839</v>
      </c>
      <c r="H83" s="295">
        <f>'CAR Mileage'!H104*CAR!$I$58</f>
        <v>21023.5167656839</v>
      </c>
      <c r="I83" s="295">
        <f>'CAR Mileage'!I104*CAR!$I$58</f>
        <v>21023.5167656839</v>
      </c>
      <c r="J83" s="295">
        <f>'CAR Mileage'!J104*CAR!$I$58</f>
        <v>21023.5167656839</v>
      </c>
      <c r="K83" s="295">
        <f>'CAR Mileage'!K104*CAR!$I$58</f>
        <v>21023.5167656839</v>
      </c>
      <c r="L83" s="295">
        <f>'CAR Mileage'!L104*CAR!$I$58</f>
        <v>21023.5167656839</v>
      </c>
      <c r="M83" s="295">
        <f>'CAR Mileage'!M104*CAR!$I$58</f>
        <v>21023.5167656839</v>
      </c>
      <c r="N83" s="295">
        <f>'CAR Mileage'!N104*CAR!$I$58</f>
        <v>21023.5167656839</v>
      </c>
      <c r="O83" s="295">
        <f>'CAR Mileage'!O104*CAR!$I$58</f>
        <v>21023.5167656839</v>
      </c>
      <c r="P83" s="295">
        <f>'CAR Mileage'!P104*CAR!$I$58</f>
        <v>21023.5167656839</v>
      </c>
      <c r="Q83" s="295">
        <f>'CAR Mileage'!Q104*CAR!$I$58</f>
        <v>21023.5167656839</v>
      </c>
      <c r="R83" s="295">
        <f>'CAR Mileage'!R104*CAR!$I$58</f>
        <v>21023.5167656839</v>
      </c>
      <c r="S83" s="295">
        <f>'CAR Mileage'!S104*CAR!$I$58</f>
        <v>21023.5167656839</v>
      </c>
      <c r="T83" s="295">
        <f>'CAR Mileage'!T104*CAR!$I$58</f>
        <v>21023.5167656839</v>
      </c>
      <c r="U83" s="295">
        <f>'CAR Mileage'!U104*CAR!$I$58</f>
        <v>21023.5167656839</v>
      </c>
      <c r="V83" s="295">
        <f>'CAR Mileage'!V104*CAR!$I$58</f>
        <v>21023.5167656839</v>
      </c>
      <c r="W83" s="295">
        <f>'CAR Mileage'!W104*CAR!$I$58</f>
        <v>21023.5167656839</v>
      </c>
      <c r="X83" s="295">
        <f>'CAR Mileage'!X104*CAR!$I$58</f>
        <v>21023.5167656839</v>
      </c>
      <c r="Y83" s="295">
        <f>'CAR Mileage'!Y104*CAR!$I$58</f>
        <v>21023.5167656839</v>
      </c>
      <c r="Z83" s="295">
        <f>'CAR Mileage'!Z104*CAR!$I$58</f>
        <v>21023.5167656839</v>
      </c>
      <c r="AA83" s="295">
        <f>'CAR Mileage'!AA104*CAR!$I$58</f>
        <v>21023.5167656839</v>
      </c>
      <c r="AB83" s="295">
        <f>'CAR Mileage'!AB104*CAR!$I$58</f>
        <v>21023.5167656839</v>
      </c>
      <c r="AC83" s="295">
        <f>'CAR Mileage'!AC104*CAR!$I$58</f>
        <v>21023.5167656839</v>
      </c>
      <c r="AD83" s="295">
        <f>'CAR Mileage'!AD104*CAR!$I$58</f>
        <v>21023.5167656839</v>
      </c>
      <c r="AE83" s="296">
        <f>'CAR Mileage'!AE104*CAR!$I$58</f>
        <v>21023.5167656839</v>
      </c>
      <c r="AG83" s="1711"/>
      <c r="AH83" s="116">
        <v>22</v>
      </c>
      <c r="AI83" s="294">
        <f>'CAR Passenger Kilometres'!C83*'CAR Stock'!C133</f>
        <v>225459.27585014945</v>
      </c>
      <c r="AJ83" s="295">
        <f>'CAR Passenger Kilometres'!D83*'CAR Stock'!D133</f>
        <v>48564.200942380747</v>
      </c>
      <c r="AK83" s="295">
        <f>'CAR Passenger Kilometres'!E83*'CAR Stock'!E133</f>
        <v>13947.716894939316</v>
      </c>
      <c r="AL83" s="295">
        <f>'CAR Passenger Kilometres'!F83*'CAR Stock'!F133</f>
        <v>5007.2585054005958</v>
      </c>
      <c r="AM83" s="295">
        <f>'CAR Passenger Kilometres'!G83*'CAR Stock'!G133</f>
        <v>2157.1390869572742</v>
      </c>
      <c r="AN83" s="295">
        <f>'CAR Passenger Kilometres'!H83*'CAR Stock'!H133</f>
        <v>1084.1841980736756</v>
      </c>
      <c r="AO83" s="295">
        <f>'CAR Passenger Kilometres'!I83*'CAR Stock'!I133</f>
        <v>622.75890319455254</v>
      </c>
      <c r="AP83" s="295">
        <f>'CAR Passenger Kilometres'!J83*'CAR Stock'!J133</f>
        <v>130.98970166879954</v>
      </c>
      <c r="AQ83" s="295">
        <f>'CAR Passenger Kilometres'!K83*'CAR Stock'!K133</f>
        <v>71.576089916330247</v>
      </c>
      <c r="AR83" s="295">
        <f>'CAR Passenger Kilometres'!L83*'CAR Stock'!L133</f>
        <v>43.099470185060852</v>
      </c>
      <c r="AS83" s="295">
        <f>'CAR Passenger Kilometres'!M83*'CAR Stock'!M133</f>
        <v>32.11092345858281</v>
      </c>
      <c r="AT83" s="295">
        <f>'CAR Passenger Kilometres'!N83*'CAR Stock'!N133</f>
        <v>20.745382157264064</v>
      </c>
      <c r="AU83" s="295">
        <f>'CAR Passenger Kilometres'!O83*'CAR Stock'!O133</f>
        <v>16.841976807167676</v>
      </c>
      <c r="AV83" s="295">
        <f>'CAR Passenger Kilometres'!P83*'CAR Stock'!P133</f>
        <v>17.079395883810744</v>
      </c>
      <c r="AW83" s="295">
        <f>'CAR Passenger Kilometres'!Q83*'CAR Stock'!Q133</f>
        <v>19.665382360696814</v>
      </c>
      <c r="AX83" s="295">
        <f>'CAR Passenger Kilometres'!R83*'CAR Stock'!R133</f>
        <v>21.760060240684844</v>
      </c>
      <c r="AY83" s="295">
        <f>'CAR Passenger Kilometres'!S83*'CAR Stock'!S133</f>
        <v>20.862947977280054</v>
      </c>
      <c r="AZ83" s="295">
        <f>'CAR Passenger Kilometres'!T83*'CAR Stock'!T133</f>
        <v>21.42838722116732</v>
      </c>
      <c r="BA83" s="295">
        <f>'CAR Passenger Kilometres'!U83*'CAR Stock'!U133</f>
        <v>14.970389008637786</v>
      </c>
      <c r="BB83" s="295">
        <f>'CAR Passenger Kilometres'!V83*'CAR Stock'!V133</f>
        <v>2.6896866756894142</v>
      </c>
      <c r="BC83" s="295">
        <f>'CAR Passenger Kilometres'!W83*'CAR Stock'!W133</f>
        <v>1.3283421925950787</v>
      </c>
      <c r="BD83" s="295">
        <f>'CAR Passenger Kilometres'!X83*'CAR Stock'!X133</f>
        <v>1.1281282968995885</v>
      </c>
      <c r="BE83" s="295">
        <f>'CAR Passenger Kilometres'!Y83*'CAR Stock'!Y133</f>
        <v>0.77115352133262938</v>
      </c>
      <c r="BF83" s="295">
        <f>'CAR Passenger Kilometres'!Z83*'CAR Stock'!Z133</f>
        <v>0</v>
      </c>
      <c r="BG83" s="295">
        <f>'CAR Passenger Kilometres'!AA83*'CAR Stock'!AA133</f>
        <v>0</v>
      </c>
      <c r="BH83" s="295">
        <f>'CAR Passenger Kilometres'!AB83*'CAR Stock'!AB133</f>
        <v>0</v>
      </c>
      <c r="BI83" s="295">
        <f>'CAR Passenger Kilometres'!AC83*'CAR Stock'!AC133</f>
        <v>0</v>
      </c>
      <c r="BJ83" s="295">
        <f>'CAR Passenger Kilometres'!AD83*'CAR Stock'!AD133</f>
        <v>0</v>
      </c>
      <c r="BK83" s="296">
        <f>'CAR Passenger Kilometres'!AE83*'CAR Stock'!AE133</f>
        <v>0</v>
      </c>
    </row>
    <row r="84" spans="1:63">
      <c r="A84" s="1711"/>
      <c r="B84" s="116">
        <v>23</v>
      </c>
      <c r="C84" s="294">
        <f>'CAR Mileage'!C105*CAR!$I$58</f>
        <v>21023.5167656839</v>
      </c>
      <c r="D84" s="295">
        <f>'CAR Mileage'!D105*CAR!$I$58</f>
        <v>21023.5167656839</v>
      </c>
      <c r="E84" s="295">
        <f>'CAR Mileage'!E105*CAR!$I$58</f>
        <v>21023.5167656839</v>
      </c>
      <c r="F84" s="295">
        <f>'CAR Mileage'!F105*CAR!$I$58</f>
        <v>21023.5167656839</v>
      </c>
      <c r="G84" s="295">
        <f>'CAR Mileage'!G105*CAR!$I$58</f>
        <v>21023.5167656839</v>
      </c>
      <c r="H84" s="295">
        <f>'CAR Mileage'!H105*CAR!$I$58</f>
        <v>21023.5167656839</v>
      </c>
      <c r="I84" s="295">
        <f>'CAR Mileage'!I105*CAR!$I$58</f>
        <v>21023.5167656839</v>
      </c>
      <c r="J84" s="295">
        <f>'CAR Mileage'!J105*CAR!$I$58</f>
        <v>21023.5167656839</v>
      </c>
      <c r="K84" s="295">
        <f>'CAR Mileage'!K105*CAR!$I$58</f>
        <v>21023.5167656839</v>
      </c>
      <c r="L84" s="295">
        <f>'CAR Mileage'!L105*CAR!$I$58</f>
        <v>21023.5167656839</v>
      </c>
      <c r="M84" s="295">
        <f>'CAR Mileage'!M105*CAR!$I$58</f>
        <v>21023.5167656839</v>
      </c>
      <c r="N84" s="295">
        <f>'CAR Mileage'!N105*CAR!$I$58</f>
        <v>21023.5167656839</v>
      </c>
      <c r="O84" s="295">
        <f>'CAR Mileage'!O105*CAR!$I$58</f>
        <v>21023.5167656839</v>
      </c>
      <c r="P84" s="295">
        <f>'CAR Mileage'!P105*CAR!$I$58</f>
        <v>21023.5167656839</v>
      </c>
      <c r="Q84" s="295">
        <f>'CAR Mileage'!Q105*CAR!$I$58</f>
        <v>21023.5167656839</v>
      </c>
      <c r="R84" s="295">
        <f>'CAR Mileage'!R105*CAR!$I$58</f>
        <v>21023.5167656839</v>
      </c>
      <c r="S84" s="295">
        <f>'CAR Mileage'!S105*CAR!$I$58</f>
        <v>21023.5167656839</v>
      </c>
      <c r="T84" s="295">
        <f>'CAR Mileage'!T105*CAR!$I$58</f>
        <v>21023.5167656839</v>
      </c>
      <c r="U84" s="295">
        <f>'CAR Mileage'!U105*CAR!$I$58</f>
        <v>21023.5167656839</v>
      </c>
      <c r="V84" s="295">
        <f>'CAR Mileage'!V105*CAR!$I$58</f>
        <v>21023.5167656839</v>
      </c>
      <c r="W84" s="295">
        <f>'CAR Mileage'!W105*CAR!$I$58</f>
        <v>21023.5167656839</v>
      </c>
      <c r="X84" s="295">
        <f>'CAR Mileage'!X105*CAR!$I$58</f>
        <v>21023.5167656839</v>
      </c>
      <c r="Y84" s="295">
        <f>'CAR Mileage'!Y105*CAR!$I$58</f>
        <v>21023.5167656839</v>
      </c>
      <c r="Z84" s="295">
        <f>'CAR Mileage'!Z105*CAR!$I$58</f>
        <v>21023.5167656839</v>
      </c>
      <c r="AA84" s="295">
        <f>'CAR Mileage'!AA105*CAR!$I$58</f>
        <v>21023.5167656839</v>
      </c>
      <c r="AB84" s="295">
        <f>'CAR Mileage'!AB105*CAR!$I$58</f>
        <v>21023.5167656839</v>
      </c>
      <c r="AC84" s="295">
        <f>'CAR Mileage'!AC105*CAR!$I$58</f>
        <v>21023.5167656839</v>
      </c>
      <c r="AD84" s="295">
        <f>'CAR Mileage'!AD105*CAR!$I$58</f>
        <v>21023.5167656839</v>
      </c>
      <c r="AE84" s="296">
        <f>'CAR Mileage'!AE105*CAR!$I$58</f>
        <v>21023.5167656839</v>
      </c>
      <c r="AG84" s="1711"/>
      <c r="AH84" s="116">
        <v>23</v>
      </c>
      <c r="AI84" s="294">
        <f>'CAR Passenger Kilometres'!C84*'CAR Stock'!C134</f>
        <v>82941.832406671048</v>
      </c>
      <c r="AJ84" s="295">
        <f>'CAR Passenger Kilometres'!D84*'CAR Stock'!D134</f>
        <v>11910.514069080433</v>
      </c>
      <c r="AK84" s="295">
        <f>'CAR Passenger Kilometres'!E84*'CAR Stock'!E134</f>
        <v>2565.5391484638785</v>
      </c>
      <c r="AL84" s="295">
        <f>'CAR Passenger Kilometres'!F84*'CAR Stock'!F134</f>
        <v>736.82698430708831</v>
      </c>
      <c r="AM84" s="295">
        <f>'CAR Passenger Kilometres'!G84*'CAR Stock'!G134</f>
        <v>264.52237394630544</v>
      </c>
      <c r="AN84" s="295">
        <f>'CAR Passenger Kilometres'!H84*'CAR Stock'!H134</f>
        <v>113.95687911835765</v>
      </c>
      <c r="AO84" s="295">
        <f>'CAR Passenger Kilometres'!I84*'CAR Stock'!I134</f>
        <v>57.275049322938031</v>
      </c>
      <c r="AP84" s="295">
        <f>'CAR Passenger Kilometres'!J84*'CAR Stock'!J134</f>
        <v>32.89897321888742</v>
      </c>
      <c r="AQ84" s="295">
        <f>'CAR Passenger Kilometres'!K84*'CAR Stock'!K134</f>
        <v>6.9198957494560389</v>
      </c>
      <c r="AR84" s="295">
        <f>'CAR Passenger Kilometres'!L84*'CAR Stock'!L134</f>
        <v>3.781206263275827</v>
      </c>
      <c r="AS84" s="295">
        <f>'CAR Passenger Kilometres'!M84*'CAR Stock'!M134</f>
        <v>2.2768495289156654</v>
      </c>
      <c r="AT84" s="295">
        <f>'CAR Passenger Kilometres'!N84*'CAR Stock'!N134</f>
        <v>1.6963489489730033</v>
      </c>
      <c r="AU84" s="295">
        <f>'CAR Passenger Kilometres'!O84*'CAR Stock'!O134</f>
        <v>1.0959325808212474</v>
      </c>
      <c r="AV84" s="295">
        <f>'CAR Passenger Kilometres'!P84*'CAR Stock'!P134</f>
        <v>0.88972432363449361</v>
      </c>
      <c r="AW84" s="295">
        <f>'CAR Passenger Kilometres'!Q84*'CAR Stock'!Q134</f>
        <v>0.90226664748416674</v>
      </c>
      <c r="AX84" s="295">
        <f>'CAR Passenger Kilometres'!R84*'CAR Stock'!R134</f>
        <v>1.0388785841599266</v>
      </c>
      <c r="AY84" s="295">
        <f>'CAR Passenger Kilometres'!S84*'CAR Stock'!S134</f>
        <v>1.1495357760883307</v>
      </c>
      <c r="AZ84" s="295">
        <f>'CAR Passenger Kilometres'!T84*'CAR Stock'!T134</f>
        <v>1.102143322641753</v>
      </c>
      <c r="BA84" s="295">
        <f>'CAR Passenger Kilometres'!U84*'CAR Stock'!U134</f>
        <v>1.1320142252432748</v>
      </c>
      <c r="BB84" s="295">
        <f>'CAR Passenger Kilometres'!V84*'CAR Stock'!V134</f>
        <v>0.79085248648406514</v>
      </c>
      <c r="BC84" s="295">
        <f>'CAR Passenger Kilometres'!W84*'CAR Stock'!W134</f>
        <v>0.14209018844498217</v>
      </c>
      <c r="BD84" s="295">
        <f>'CAR Passenger Kilometres'!X84*'CAR Stock'!X134</f>
        <v>7.017337527497583E-2</v>
      </c>
      <c r="BE84" s="295">
        <f>'CAR Passenger Kilometres'!Y84*'CAR Stock'!Y134</f>
        <v>5.9596518711791065E-2</v>
      </c>
      <c r="BF84" s="295">
        <f>'CAR Passenger Kilometres'!Z84*'CAR Stock'!Z134</f>
        <v>4.0738332147211641E-2</v>
      </c>
      <c r="BG84" s="295">
        <f>'CAR Passenger Kilometres'!AA84*'CAR Stock'!AA134</f>
        <v>0</v>
      </c>
      <c r="BH84" s="295">
        <f>'CAR Passenger Kilometres'!AB84*'CAR Stock'!AB134</f>
        <v>0</v>
      </c>
      <c r="BI84" s="295">
        <f>'CAR Passenger Kilometres'!AC84*'CAR Stock'!AC134</f>
        <v>0</v>
      </c>
      <c r="BJ84" s="295">
        <f>'CAR Passenger Kilometres'!AD84*'CAR Stock'!AD134</f>
        <v>0</v>
      </c>
      <c r="BK84" s="296">
        <f>'CAR Passenger Kilometres'!AE84*'CAR Stock'!AE134</f>
        <v>0</v>
      </c>
    </row>
    <row r="85" spans="1:63">
      <c r="A85" s="1711"/>
      <c r="B85" s="116">
        <v>24</v>
      </c>
      <c r="C85" s="294">
        <f>'CAR Mileage'!C106*CAR!$I$58</f>
        <v>21023.5167656839</v>
      </c>
      <c r="D85" s="295">
        <f>'CAR Mileage'!D106*CAR!$I$58</f>
        <v>21023.5167656839</v>
      </c>
      <c r="E85" s="295">
        <f>'CAR Mileage'!E106*CAR!$I$58</f>
        <v>21023.5167656839</v>
      </c>
      <c r="F85" s="295">
        <f>'CAR Mileage'!F106*CAR!$I$58</f>
        <v>21023.5167656839</v>
      </c>
      <c r="G85" s="295">
        <f>'CAR Mileage'!G106*CAR!$I$58</f>
        <v>21023.5167656839</v>
      </c>
      <c r="H85" s="295">
        <f>'CAR Mileage'!H106*CAR!$I$58</f>
        <v>21023.5167656839</v>
      </c>
      <c r="I85" s="295">
        <f>'CAR Mileage'!I106*CAR!$I$58</f>
        <v>21023.5167656839</v>
      </c>
      <c r="J85" s="295">
        <f>'CAR Mileage'!J106*CAR!$I$58</f>
        <v>21023.5167656839</v>
      </c>
      <c r="K85" s="295">
        <f>'CAR Mileage'!K106*CAR!$I$58</f>
        <v>21023.5167656839</v>
      </c>
      <c r="L85" s="295">
        <f>'CAR Mileage'!L106*CAR!$I$58</f>
        <v>21023.5167656839</v>
      </c>
      <c r="M85" s="295">
        <f>'CAR Mileage'!M106*CAR!$I$58</f>
        <v>21023.5167656839</v>
      </c>
      <c r="N85" s="295">
        <f>'CAR Mileage'!N106*CAR!$I$58</f>
        <v>21023.5167656839</v>
      </c>
      <c r="O85" s="295">
        <f>'CAR Mileage'!O106*CAR!$I$58</f>
        <v>21023.5167656839</v>
      </c>
      <c r="P85" s="295">
        <f>'CAR Mileage'!P106*CAR!$I$58</f>
        <v>21023.5167656839</v>
      </c>
      <c r="Q85" s="295">
        <f>'CAR Mileage'!Q106*CAR!$I$58</f>
        <v>21023.5167656839</v>
      </c>
      <c r="R85" s="295">
        <f>'CAR Mileage'!R106*CAR!$I$58</f>
        <v>21023.5167656839</v>
      </c>
      <c r="S85" s="295">
        <f>'CAR Mileage'!S106*CAR!$I$58</f>
        <v>21023.5167656839</v>
      </c>
      <c r="T85" s="295">
        <f>'CAR Mileage'!T106*CAR!$I$58</f>
        <v>21023.5167656839</v>
      </c>
      <c r="U85" s="295">
        <f>'CAR Mileage'!U106*CAR!$I$58</f>
        <v>21023.5167656839</v>
      </c>
      <c r="V85" s="295">
        <f>'CAR Mileage'!V106*CAR!$I$58</f>
        <v>21023.5167656839</v>
      </c>
      <c r="W85" s="295">
        <f>'CAR Mileage'!W106*CAR!$I$58</f>
        <v>21023.5167656839</v>
      </c>
      <c r="X85" s="295">
        <f>'CAR Mileage'!X106*CAR!$I$58</f>
        <v>21023.5167656839</v>
      </c>
      <c r="Y85" s="295">
        <f>'CAR Mileage'!Y106*CAR!$I$58</f>
        <v>21023.5167656839</v>
      </c>
      <c r="Z85" s="295">
        <f>'CAR Mileage'!Z106*CAR!$I$58</f>
        <v>21023.5167656839</v>
      </c>
      <c r="AA85" s="295">
        <f>'CAR Mileage'!AA106*CAR!$I$58</f>
        <v>21023.5167656839</v>
      </c>
      <c r="AB85" s="295">
        <f>'CAR Mileage'!AB106*CAR!$I$58</f>
        <v>21023.5167656839</v>
      </c>
      <c r="AC85" s="295">
        <f>'CAR Mileage'!AC106*CAR!$I$58</f>
        <v>21023.5167656839</v>
      </c>
      <c r="AD85" s="295">
        <f>'CAR Mileage'!AD106*CAR!$I$58</f>
        <v>21023.5167656839</v>
      </c>
      <c r="AE85" s="296">
        <f>'CAR Mileage'!AE106*CAR!$I$58</f>
        <v>21023.5167656839</v>
      </c>
      <c r="AG85" s="1711"/>
      <c r="AH85" s="116">
        <v>24</v>
      </c>
      <c r="AI85" s="294">
        <f>'CAR Passenger Kilometres'!C85*'CAR Stock'!C135</f>
        <v>30512.594955501569</v>
      </c>
      <c r="AJ85" s="295">
        <f>'CAR Passenger Kilometres'!D85*'CAR Stock'!D135</f>
        <v>2190.8166298989531</v>
      </c>
      <c r="AK85" s="295">
        <f>'CAR Passenger Kilometres'!E85*'CAR Stock'!E135</f>
        <v>314.60303608011588</v>
      </c>
      <c r="AL85" s="295">
        <f>'CAR Passenger Kilometres'!F85*'CAR Stock'!F135</f>
        <v>67.765874806732555</v>
      </c>
      <c r="AM85" s="295">
        <f>'CAR Passenger Kilometres'!G85*'CAR Stock'!G135</f>
        <v>19.46246862094198</v>
      </c>
      <c r="AN85" s="295">
        <f>'CAR Passenger Kilometres'!H85*'CAR Stock'!H135</f>
        <v>6.9870655012838174</v>
      </c>
      <c r="AO85" s="295">
        <f>'CAR Passenger Kilometres'!I85*'CAR Stock'!I135</f>
        <v>3.010044733998456</v>
      </c>
      <c r="AP85" s="295">
        <f>'CAR Passenger Kilometres'!J85*'CAR Stock'!J135</f>
        <v>1.5128569853598153</v>
      </c>
      <c r="AQ85" s="295">
        <f>'CAR Passenger Kilometres'!K85*'CAR Stock'!K135</f>
        <v>0.86898993599690189</v>
      </c>
      <c r="AR85" s="295">
        <f>'CAR Passenger Kilometres'!L85*'CAR Stock'!L135</f>
        <v>0.18278138118221782</v>
      </c>
      <c r="AS85" s="295">
        <f>'CAR Passenger Kilometres'!M85*'CAR Stock'!M135</f>
        <v>9.9876375072664531E-2</v>
      </c>
      <c r="AT85" s="295">
        <f>'CAR Passenger Kilometres'!N85*'CAR Stock'!N135</f>
        <v>6.0140458282482281E-2</v>
      </c>
      <c r="AU85" s="295">
        <f>'CAR Passenger Kilometres'!O85*'CAR Stock'!O135</f>
        <v>4.480717847297952E-2</v>
      </c>
      <c r="AV85" s="295">
        <f>'CAR Passenger Kilometres'!P85*'CAR Stock'!P135</f>
        <v>2.8947845178281285E-2</v>
      </c>
      <c r="AW85" s="295">
        <f>'CAR Passenger Kilometres'!Q85*'CAR Stock'!Q135</f>
        <v>2.3501082477739785E-2</v>
      </c>
      <c r="AX85" s="295">
        <f>'CAR Passenger Kilometres'!R85*'CAR Stock'!R135</f>
        <v>2.3832374069330326E-2</v>
      </c>
      <c r="AY85" s="295">
        <f>'CAR Passenger Kilometres'!S85*'CAR Stock'!S135</f>
        <v>2.744082705412217E-2</v>
      </c>
      <c r="AZ85" s="295">
        <f>'CAR Passenger Kilometres'!T85*'CAR Stock'!T135</f>
        <v>3.0363714206000061E-2</v>
      </c>
      <c r="BA85" s="295">
        <f>'CAR Passenger Kilometres'!U85*'CAR Stock'!U135</f>
        <v>2.9111895043946876E-2</v>
      </c>
      <c r="BB85" s="295">
        <f>'CAR Passenger Kilometres'!V85*'CAR Stock'!V135</f>
        <v>2.9900901848723509E-2</v>
      </c>
      <c r="BC85" s="295">
        <f>'CAR Passenger Kilometres'!W85*'CAR Stock'!W135</f>
        <v>2.0889492417904092E-2</v>
      </c>
      <c r="BD85" s="295">
        <f>'CAR Passenger Kilometres'!X85*'CAR Stock'!X135</f>
        <v>3.7531549371183828E-3</v>
      </c>
      <c r="BE85" s="295">
        <f>'CAR Passenger Kilometres'!Y85*'CAR Stock'!Y135</f>
        <v>1.8535519781474219E-3</v>
      </c>
      <c r="BF85" s="295">
        <f>'CAR Passenger Kilometres'!Z85*'CAR Stock'!Z135</f>
        <v>1.5741760278179552E-3</v>
      </c>
      <c r="BG85" s="295">
        <f>'CAR Passenger Kilometres'!AA85*'CAR Stock'!AA135</f>
        <v>1.0760579185766814E-3</v>
      </c>
      <c r="BH85" s="295">
        <f>'CAR Passenger Kilometres'!AB85*'CAR Stock'!AB135</f>
        <v>0</v>
      </c>
      <c r="BI85" s="295">
        <f>'CAR Passenger Kilometres'!AC85*'CAR Stock'!AC135</f>
        <v>0</v>
      </c>
      <c r="BJ85" s="295">
        <f>'CAR Passenger Kilometres'!AD85*'CAR Stock'!AD135</f>
        <v>0</v>
      </c>
      <c r="BK85" s="296">
        <f>'CAR Passenger Kilometres'!AE85*'CAR Stock'!AE135</f>
        <v>0</v>
      </c>
    </row>
    <row r="86" spans="1:63" ht="15.75" thickBot="1">
      <c r="A86" s="1711"/>
      <c r="B86" s="116">
        <v>25</v>
      </c>
      <c r="C86" s="297">
        <f>'CAR Mileage'!C107*CAR!$I$58</f>
        <v>21023.5167656839</v>
      </c>
      <c r="D86" s="298">
        <f>'CAR Mileage'!D107*CAR!$I$58</f>
        <v>21023.5167656839</v>
      </c>
      <c r="E86" s="298">
        <f>'CAR Mileage'!E107*CAR!$I$58</f>
        <v>21023.5167656839</v>
      </c>
      <c r="F86" s="298">
        <f>'CAR Mileage'!F107*CAR!$I$58</f>
        <v>21023.5167656839</v>
      </c>
      <c r="G86" s="298">
        <f>'CAR Mileage'!G107*CAR!$I$58</f>
        <v>21023.5167656839</v>
      </c>
      <c r="H86" s="298">
        <f>'CAR Mileage'!H107*CAR!$I$58</f>
        <v>21023.5167656839</v>
      </c>
      <c r="I86" s="298">
        <f>'CAR Mileage'!I107*CAR!$I$58</f>
        <v>21023.5167656839</v>
      </c>
      <c r="J86" s="298">
        <f>'CAR Mileage'!J107*CAR!$I$58</f>
        <v>21023.5167656839</v>
      </c>
      <c r="K86" s="298">
        <f>'CAR Mileage'!K107*CAR!$I$58</f>
        <v>21023.5167656839</v>
      </c>
      <c r="L86" s="298">
        <f>'CAR Mileage'!L107*CAR!$I$58</f>
        <v>21023.5167656839</v>
      </c>
      <c r="M86" s="298">
        <f>'CAR Mileage'!M107*CAR!$I$58</f>
        <v>21023.5167656839</v>
      </c>
      <c r="N86" s="298">
        <f>'CAR Mileage'!N107*CAR!$I$58</f>
        <v>21023.5167656839</v>
      </c>
      <c r="O86" s="298">
        <f>'CAR Mileage'!O107*CAR!$I$58</f>
        <v>21023.5167656839</v>
      </c>
      <c r="P86" s="298">
        <f>'CAR Mileage'!P107*CAR!$I$58</f>
        <v>21023.5167656839</v>
      </c>
      <c r="Q86" s="298">
        <f>'CAR Mileage'!Q107*CAR!$I$58</f>
        <v>21023.5167656839</v>
      </c>
      <c r="R86" s="298">
        <f>'CAR Mileage'!R107*CAR!$I$58</f>
        <v>21023.5167656839</v>
      </c>
      <c r="S86" s="298">
        <f>'CAR Mileage'!S107*CAR!$I$58</f>
        <v>21023.5167656839</v>
      </c>
      <c r="T86" s="298">
        <f>'CAR Mileage'!T107*CAR!$I$58</f>
        <v>21023.5167656839</v>
      </c>
      <c r="U86" s="298">
        <f>'CAR Mileage'!U107*CAR!$I$58</f>
        <v>21023.5167656839</v>
      </c>
      <c r="V86" s="298">
        <f>'CAR Mileage'!V107*CAR!$I$58</f>
        <v>21023.5167656839</v>
      </c>
      <c r="W86" s="298">
        <f>'CAR Mileage'!W107*CAR!$I$58</f>
        <v>21023.5167656839</v>
      </c>
      <c r="X86" s="298">
        <f>'CAR Mileage'!X107*CAR!$I$58</f>
        <v>21023.5167656839</v>
      </c>
      <c r="Y86" s="298">
        <f>'CAR Mileage'!Y107*CAR!$I$58</f>
        <v>21023.5167656839</v>
      </c>
      <c r="Z86" s="298">
        <f>'CAR Mileage'!Z107*CAR!$I$58</f>
        <v>21023.5167656839</v>
      </c>
      <c r="AA86" s="298">
        <f>'CAR Mileage'!AA107*CAR!$I$58</f>
        <v>21023.5167656839</v>
      </c>
      <c r="AB86" s="298">
        <f>'CAR Mileage'!AB107*CAR!$I$58</f>
        <v>21023.5167656839</v>
      </c>
      <c r="AC86" s="298">
        <f>'CAR Mileage'!AC107*CAR!$I$58</f>
        <v>21023.5167656839</v>
      </c>
      <c r="AD86" s="298">
        <f>'CAR Mileage'!AD107*CAR!$I$58</f>
        <v>21023.5167656839</v>
      </c>
      <c r="AE86" s="299">
        <f>'CAR Mileage'!AE107*CAR!$I$58</f>
        <v>21023.5167656839</v>
      </c>
      <c r="AG86" s="1711"/>
      <c r="AH86" s="116">
        <v>25</v>
      </c>
      <c r="AI86" s="297">
        <f>'CAR Passenger Kilometres'!C86*'CAR Stock'!C136</f>
        <v>11224.956380920488</v>
      </c>
      <c r="AJ86" s="298">
        <f>'CAR Passenger Kilometres'!D86*'CAR Stock'!D136</f>
        <v>0</v>
      </c>
      <c r="AK86" s="298">
        <f>'CAR Passenger Kilometres'!E86*'CAR Stock'!E136</f>
        <v>0</v>
      </c>
      <c r="AL86" s="298">
        <f>'CAR Passenger Kilometres'!F86*'CAR Stock'!F136</f>
        <v>0</v>
      </c>
      <c r="AM86" s="298">
        <f>'CAR Passenger Kilometres'!G86*'CAR Stock'!G136</f>
        <v>0</v>
      </c>
      <c r="AN86" s="298">
        <f>'CAR Passenger Kilometres'!H86*'CAR Stock'!H136</f>
        <v>0</v>
      </c>
      <c r="AO86" s="298">
        <f>'CAR Passenger Kilometres'!I86*'CAR Stock'!I136</f>
        <v>0</v>
      </c>
      <c r="AP86" s="298">
        <f>'CAR Passenger Kilometres'!J86*'CAR Stock'!J136</f>
        <v>0</v>
      </c>
      <c r="AQ86" s="298">
        <f>'CAR Passenger Kilometres'!K86*'CAR Stock'!K136</f>
        <v>0</v>
      </c>
      <c r="AR86" s="298">
        <f>'CAR Passenger Kilometres'!L86*'CAR Stock'!L136</f>
        <v>0</v>
      </c>
      <c r="AS86" s="298">
        <f>'CAR Passenger Kilometres'!M86*'CAR Stock'!M136</f>
        <v>0</v>
      </c>
      <c r="AT86" s="298">
        <f>'CAR Passenger Kilometres'!N86*'CAR Stock'!N136</f>
        <v>0</v>
      </c>
      <c r="AU86" s="298">
        <f>'CAR Passenger Kilometres'!O86*'CAR Stock'!O136</f>
        <v>0</v>
      </c>
      <c r="AV86" s="298">
        <f>'CAR Passenger Kilometres'!P86*'CAR Stock'!P136</f>
        <v>0</v>
      </c>
      <c r="AW86" s="298">
        <f>'CAR Passenger Kilometres'!Q86*'CAR Stock'!Q136</f>
        <v>0</v>
      </c>
      <c r="AX86" s="298">
        <f>'CAR Passenger Kilometres'!R86*'CAR Stock'!R136</f>
        <v>0</v>
      </c>
      <c r="AY86" s="298">
        <f>'CAR Passenger Kilometres'!S86*'CAR Stock'!S136</f>
        <v>0</v>
      </c>
      <c r="AZ86" s="298">
        <f>'CAR Passenger Kilometres'!T86*'CAR Stock'!T136</f>
        <v>0</v>
      </c>
      <c r="BA86" s="298">
        <f>'CAR Passenger Kilometres'!U86*'CAR Stock'!U136</f>
        <v>0</v>
      </c>
      <c r="BB86" s="298">
        <f>'CAR Passenger Kilometres'!V86*'CAR Stock'!V136</f>
        <v>0</v>
      </c>
      <c r="BC86" s="298">
        <f>'CAR Passenger Kilometres'!W86*'CAR Stock'!W136</f>
        <v>0</v>
      </c>
      <c r="BD86" s="298">
        <f>'CAR Passenger Kilometres'!X86*'CAR Stock'!X136</f>
        <v>0</v>
      </c>
      <c r="BE86" s="298">
        <f>'CAR Passenger Kilometres'!Y86*'CAR Stock'!Y136</f>
        <v>0</v>
      </c>
      <c r="BF86" s="298">
        <f>'CAR Passenger Kilometres'!Z86*'CAR Stock'!Z136</f>
        <v>0</v>
      </c>
      <c r="BG86" s="298">
        <f>'CAR Passenger Kilometres'!AA86*'CAR Stock'!AA136</f>
        <v>0</v>
      </c>
      <c r="BH86" s="298">
        <f>'CAR Passenger Kilometres'!AB86*'CAR Stock'!AB136</f>
        <v>0</v>
      </c>
      <c r="BI86" s="298">
        <f>'CAR Passenger Kilometres'!AC86*'CAR Stock'!AC136</f>
        <v>0</v>
      </c>
      <c r="BJ86" s="298">
        <f>'CAR Passenger Kilometres'!AD86*'CAR Stock'!AD136</f>
        <v>0</v>
      </c>
      <c r="BK86" s="299">
        <f>'CAR Passenger Kilometres'!AE86*'CAR Stock'!AE136</f>
        <v>0</v>
      </c>
    </row>
    <row r="87" spans="1:63" ht="16.5" thickTop="1" thickBot="1">
      <c r="A87" s="1712"/>
      <c r="B87" s="300" t="s">
        <v>39</v>
      </c>
      <c r="C87" s="301">
        <f>'CAR Mileage'!C108*CAR!$I$58</f>
        <v>24733.127377877932</v>
      </c>
      <c r="D87" s="301">
        <f>'CAR Mileage'!D108*CAR!$I$58</f>
        <v>24649.568155334047</v>
      </c>
      <c r="E87" s="301">
        <f>'CAR Mileage'!E108*CAR!$I$58</f>
        <v>24453.612779139261</v>
      </c>
      <c r="F87" s="301">
        <f>'CAR Mileage'!F108*CAR!$I$58</f>
        <v>24203.588461037329</v>
      </c>
      <c r="G87" s="301">
        <f>'CAR Mileage'!G108*CAR!$I$58</f>
        <v>23930.922697495756</v>
      </c>
      <c r="H87" s="301">
        <f>'CAR Mileage'!H108*CAR!$I$58</f>
        <v>23651.075154835846</v>
      </c>
      <c r="I87" s="301">
        <f>'CAR Mileage'!I108*CAR!$I$58</f>
        <v>23373.609943631949</v>
      </c>
      <c r="J87" s="301">
        <f>'CAR Mileage'!J108*CAR!$I$58</f>
        <v>23110.205673192169</v>
      </c>
      <c r="K87" s="301">
        <f>'CAR Mileage'!K108*CAR!$I$58</f>
        <v>22878.693607778172</v>
      </c>
      <c r="L87" s="301">
        <f>'CAR Mileage'!L108*CAR!$I$58</f>
        <v>22700.528533831686</v>
      </c>
      <c r="M87" s="301">
        <f>'CAR Mileage'!M108*CAR!$I$58</f>
        <v>22576.68535545978</v>
      </c>
      <c r="N87" s="301">
        <f>'CAR Mileage'!N108*CAR!$I$58</f>
        <v>22453.802864729023</v>
      </c>
      <c r="O87" s="301">
        <f>'CAR Mileage'!O108*CAR!$I$58</f>
        <v>22260.052911630104</v>
      </c>
      <c r="P87" s="301">
        <f>'CAR Mileage'!P108*CAR!$I$58</f>
        <v>21997.038090164675</v>
      </c>
      <c r="Q87" s="301">
        <f>'CAR Mileage'!Q108*CAR!$I$58</f>
        <v>21668.584469290028</v>
      </c>
      <c r="R87" s="301">
        <f>'CAR Mileage'!R108*CAR!$I$58</f>
        <v>21309.307474544283</v>
      </c>
      <c r="S87" s="301">
        <f>'CAR Mileage'!S108*CAR!$I$58</f>
        <v>21023.516765683897</v>
      </c>
      <c r="T87" s="301">
        <f>'CAR Mileage'!T108*CAR!$I$58</f>
        <v>21023.5167656839</v>
      </c>
      <c r="U87" s="301">
        <f>'CAR Mileage'!U108*CAR!$I$58</f>
        <v>21023.516765683889</v>
      </c>
      <c r="V87" s="301">
        <f>'CAR Mileage'!V108*CAR!$I$58</f>
        <v>21023.516765683897</v>
      </c>
      <c r="W87" s="301">
        <f>'CAR Mileage'!W108*CAR!$I$58</f>
        <v>21023.516765683893</v>
      </c>
      <c r="X87" s="301">
        <f>'CAR Mileage'!X108*CAR!$I$58</f>
        <v>21023.5167656839</v>
      </c>
      <c r="Y87" s="301">
        <f>'CAR Mileage'!Y108*CAR!$I$58</f>
        <v>21023.516765683897</v>
      </c>
      <c r="Z87" s="301">
        <f>'CAR Mileage'!Z108*CAR!$I$58</f>
        <v>21023.516765683897</v>
      </c>
      <c r="AA87" s="301">
        <f>'CAR Mileage'!AA108*CAR!$I$58</f>
        <v>21023.5167656839</v>
      </c>
      <c r="AB87" s="301">
        <f>'CAR Mileage'!AB108*CAR!$I$58</f>
        <v>0</v>
      </c>
      <c r="AC87" s="301">
        <f>'CAR Mileage'!AC108*CAR!$I$58</f>
        <v>0</v>
      </c>
      <c r="AD87" s="301">
        <f>'CAR Mileage'!AD108*CAR!$I$58</f>
        <v>0</v>
      </c>
      <c r="AE87" s="302">
        <f>'CAR Mileage'!AE108*CAR!$I$58</f>
        <v>0</v>
      </c>
      <c r="AG87" s="1712"/>
      <c r="AH87" s="300" t="s">
        <v>39</v>
      </c>
      <c r="AI87" s="301">
        <f t="shared" ref="AI87:BK87" si="2">SUM(AI61:AI86)</f>
        <v>7890016032.3073292</v>
      </c>
      <c r="AJ87" s="301">
        <f t="shared" si="2"/>
        <v>6496048993.5610666</v>
      </c>
      <c r="AK87" s="301">
        <f t="shared" si="2"/>
        <v>5433482350.1408815</v>
      </c>
      <c r="AL87" s="301">
        <f t="shared" si="2"/>
        <v>4490214317.4042616</v>
      </c>
      <c r="AM87" s="301">
        <f t="shared" si="2"/>
        <v>3574570769.6037335</v>
      </c>
      <c r="AN87" s="301">
        <f t="shared" si="2"/>
        <v>2673495339.4948659</v>
      </c>
      <c r="AO87" s="301">
        <f t="shared" si="2"/>
        <v>1837947072.6885397</v>
      </c>
      <c r="AP87" s="301">
        <f t="shared" si="2"/>
        <v>1139866546.4125268</v>
      </c>
      <c r="AQ87" s="301">
        <f t="shared" si="2"/>
        <v>631583798.97943199</v>
      </c>
      <c r="AR87" s="301">
        <f t="shared" si="2"/>
        <v>316140101.61663115</v>
      </c>
      <c r="AS87" s="301">
        <f t="shared" si="2"/>
        <v>146870789.21007946</v>
      </c>
      <c r="AT87" s="301">
        <f t="shared" si="2"/>
        <v>65061090.699804097</v>
      </c>
      <c r="AU87" s="301">
        <f t="shared" si="2"/>
        <v>27060440.547518004</v>
      </c>
      <c r="AV87" s="301">
        <f t="shared" si="2"/>
        <v>9864619.2822660338</v>
      </c>
      <c r="AW87" s="301">
        <f t="shared" si="2"/>
        <v>2959520.1365383309</v>
      </c>
      <c r="AX87" s="301">
        <f t="shared" si="2"/>
        <v>720951.64638997242</v>
      </c>
      <c r="AY87" s="301">
        <f t="shared" si="2"/>
        <v>159541.03043730315</v>
      </c>
      <c r="AZ87" s="301">
        <f t="shared" si="2"/>
        <v>31971.777046221847</v>
      </c>
      <c r="BA87" s="301">
        <f t="shared" si="2"/>
        <v>5629.5590784551496</v>
      </c>
      <c r="BB87" s="301">
        <f t="shared" si="2"/>
        <v>852.43531932262135</v>
      </c>
      <c r="BC87" s="301">
        <f t="shared" si="2"/>
        <v>107.83533182219878</v>
      </c>
      <c r="BD87" s="301">
        <f t="shared" si="2"/>
        <v>10.933720674644698</v>
      </c>
      <c r="BE87" s="301">
        <f t="shared" si="2"/>
        <v>0.83260359202256784</v>
      </c>
      <c r="BF87" s="301">
        <f t="shared" si="2"/>
        <v>4.2312508175029594E-2</v>
      </c>
      <c r="BG87" s="301">
        <f t="shared" si="2"/>
        <v>1.0760579185766814E-3</v>
      </c>
      <c r="BH87" s="301">
        <f t="shared" si="2"/>
        <v>0</v>
      </c>
      <c r="BI87" s="301">
        <f t="shared" si="2"/>
        <v>0</v>
      </c>
      <c r="BJ87" s="301">
        <f t="shared" si="2"/>
        <v>0</v>
      </c>
      <c r="BK87" s="302">
        <f t="shared" si="2"/>
        <v>0</v>
      </c>
    </row>
    <row r="88" spans="1:63" ht="15.75" thickBot="1"/>
    <row r="89" spans="1:63" ht="15.75" thickBot="1">
      <c r="A89" s="1710" t="s">
        <v>44</v>
      </c>
      <c r="B89" s="169" t="s">
        <v>10</v>
      </c>
      <c r="C89" s="288">
        <v>2012</v>
      </c>
      <c r="D89" s="289">
        <v>2013</v>
      </c>
      <c r="E89" s="289">
        <v>2014</v>
      </c>
      <c r="F89" s="289">
        <v>2015</v>
      </c>
      <c r="G89" s="288">
        <v>2016</v>
      </c>
      <c r="H89" s="289">
        <v>2017</v>
      </c>
      <c r="I89" s="289">
        <v>2018</v>
      </c>
      <c r="J89" s="289">
        <v>2019</v>
      </c>
      <c r="K89" s="288">
        <v>2020</v>
      </c>
      <c r="L89" s="289">
        <v>2021</v>
      </c>
      <c r="M89" s="289">
        <v>2022</v>
      </c>
      <c r="N89" s="289">
        <v>2023</v>
      </c>
      <c r="O89" s="288">
        <v>2024</v>
      </c>
      <c r="P89" s="289">
        <v>2025</v>
      </c>
      <c r="Q89" s="289">
        <v>2026</v>
      </c>
      <c r="R89" s="289">
        <v>2027</v>
      </c>
      <c r="S89" s="288">
        <v>2028</v>
      </c>
      <c r="T89" s="289">
        <v>2029</v>
      </c>
      <c r="U89" s="289">
        <v>2030</v>
      </c>
      <c r="V89" s="289">
        <v>2031</v>
      </c>
      <c r="W89" s="288">
        <v>2032</v>
      </c>
      <c r="X89" s="289">
        <v>2033</v>
      </c>
      <c r="Y89" s="289">
        <v>2034</v>
      </c>
      <c r="Z89" s="289">
        <v>2035</v>
      </c>
      <c r="AA89" s="288">
        <v>2036</v>
      </c>
      <c r="AB89" s="289">
        <v>2037</v>
      </c>
      <c r="AC89" s="289">
        <v>2038</v>
      </c>
      <c r="AD89" s="289">
        <v>2039</v>
      </c>
      <c r="AE89" s="290">
        <v>2040</v>
      </c>
      <c r="AG89" s="1710" t="s">
        <v>44</v>
      </c>
      <c r="AH89" s="169" t="s">
        <v>10</v>
      </c>
      <c r="AI89" s="288">
        <v>2012</v>
      </c>
      <c r="AJ89" s="289">
        <v>2013</v>
      </c>
      <c r="AK89" s="289">
        <v>2014</v>
      </c>
      <c r="AL89" s="289">
        <v>2015</v>
      </c>
      <c r="AM89" s="288">
        <v>2016</v>
      </c>
      <c r="AN89" s="289">
        <v>2017</v>
      </c>
      <c r="AO89" s="289">
        <v>2018</v>
      </c>
      <c r="AP89" s="289">
        <v>2019</v>
      </c>
      <c r="AQ89" s="288">
        <v>2020</v>
      </c>
      <c r="AR89" s="289">
        <v>2021</v>
      </c>
      <c r="AS89" s="289">
        <v>2022</v>
      </c>
      <c r="AT89" s="289">
        <v>2023</v>
      </c>
      <c r="AU89" s="288">
        <v>2024</v>
      </c>
      <c r="AV89" s="289">
        <v>2025</v>
      </c>
      <c r="AW89" s="289">
        <v>2026</v>
      </c>
      <c r="AX89" s="289">
        <v>2027</v>
      </c>
      <c r="AY89" s="288">
        <v>2028</v>
      </c>
      <c r="AZ89" s="289">
        <v>2029</v>
      </c>
      <c r="BA89" s="289">
        <v>2030</v>
      </c>
      <c r="BB89" s="289">
        <v>2031</v>
      </c>
      <c r="BC89" s="288">
        <v>2032</v>
      </c>
      <c r="BD89" s="289">
        <v>2033</v>
      </c>
      <c r="BE89" s="289">
        <v>2034</v>
      </c>
      <c r="BF89" s="289">
        <v>2035</v>
      </c>
      <c r="BG89" s="288">
        <v>2036</v>
      </c>
      <c r="BH89" s="289">
        <v>2037</v>
      </c>
      <c r="BI89" s="289">
        <v>2038</v>
      </c>
      <c r="BJ89" s="289">
        <v>2039</v>
      </c>
      <c r="BK89" s="290">
        <v>2040</v>
      </c>
    </row>
    <row r="90" spans="1:63">
      <c r="A90" s="1711" t="s">
        <v>41</v>
      </c>
      <c r="B90" s="116">
        <v>0</v>
      </c>
      <c r="C90" s="291">
        <f>'CAR Mileage'!C111*CAR!$I$58</f>
        <v>27815.051798879802</v>
      </c>
      <c r="D90" s="292">
        <f>'CAR Mileage'!D111*CAR!$I$58</f>
        <v>27815.051798879802</v>
      </c>
      <c r="E90" s="292">
        <f>'CAR Mileage'!E111*CAR!$I$58</f>
        <v>27815.051798879802</v>
      </c>
      <c r="F90" s="292">
        <f>'CAR Mileage'!F111*CAR!$I$58</f>
        <v>27815.051798879802</v>
      </c>
      <c r="G90" s="292">
        <f>'CAR Mileage'!G111*CAR!$I$58</f>
        <v>27815.051798879802</v>
      </c>
      <c r="H90" s="292">
        <f>'CAR Mileage'!H111*CAR!$I$58</f>
        <v>27815.051798879802</v>
      </c>
      <c r="I90" s="292">
        <f>'CAR Mileage'!I111*CAR!$I$58</f>
        <v>27815.051798879802</v>
      </c>
      <c r="J90" s="292">
        <f>'CAR Mileage'!J111*CAR!$I$58</f>
        <v>27815.051798879802</v>
      </c>
      <c r="K90" s="292">
        <f>'CAR Mileage'!K111*CAR!$I$58</f>
        <v>27815.051798879802</v>
      </c>
      <c r="L90" s="292">
        <f>'CAR Mileage'!L111*CAR!$I$58</f>
        <v>27815.051798879802</v>
      </c>
      <c r="M90" s="292">
        <f>'CAR Mileage'!M111*CAR!$I$58</f>
        <v>27815.051798879802</v>
      </c>
      <c r="N90" s="292">
        <f>'CAR Mileage'!N111*CAR!$I$58</f>
        <v>27815.051798879802</v>
      </c>
      <c r="O90" s="292">
        <f>'CAR Mileage'!O111*CAR!$I$58</f>
        <v>27815.051798879802</v>
      </c>
      <c r="P90" s="292">
        <f>'CAR Mileage'!P111*CAR!$I$58</f>
        <v>27815.051798879802</v>
      </c>
      <c r="Q90" s="292">
        <f>'CAR Mileage'!Q111*CAR!$I$58</f>
        <v>27815.051798879802</v>
      </c>
      <c r="R90" s="292">
        <f>'CAR Mileage'!R111*CAR!$I$58</f>
        <v>27815.051798879802</v>
      </c>
      <c r="S90" s="292">
        <f>'CAR Mileage'!S111*CAR!$I$58</f>
        <v>27815.051798879802</v>
      </c>
      <c r="T90" s="292">
        <f>'CAR Mileage'!T111*CAR!$I$58</f>
        <v>27815.051798879802</v>
      </c>
      <c r="U90" s="292">
        <f>'CAR Mileage'!U111*CAR!$I$58</f>
        <v>27815.051798879802</v>
      </c>
      <c r="V90" s="292">
        <f>'CAR Mileage'!V111*CAR!$I$58</f>
        <v>27815.051798879802</v>
      </c>
      <c r="W90" s="292">
        <f>'CAR Mileage'!W111*CAR!$I$58</f>
        <v>27815.051798879802</v>
      </c>
      <c r="X90" s="292">
        <f>'CAR Mileage'!X111*CAR!$I$58</f>
        <v>27815.051798879802</v>
      </c>
      <c r="Y90" s="292">
        <f>'CAR Mileage'!Y111*CAR!$I$58</f>
        <v>27815.051798879802</v>
      </c>
      <c r="Z90" s="292">
        <f>'CAR Mileage'!Z111*CAR!$I$58</f>
        <v>27815.051798879802</v>
      </c>
      <c r="AA90" s="292">
        <f>'CAR Mileage'!AA111*CAR!$I$58</f>
        <v>27815.051798879802</v>
      </c>
      <c r="AB90" s="292">
        <f>'CAR Mileage'!AB111*CAR!$I$58</f>
        <v>27815.051798879802</v>
      </c>
      <c r="AC90" s="292">
        <f>'CAR Mileage'!AC111*CAR!$I$58</f>
        <v>27815.051798879802</v>
      </c>
      <c r="AD90" s="292">
        <f>'CAR Mileage'!AD111*CAR!$I$58</f>
        <v>27815.051798879802</v>
      </c>
      <c r="AE90" s="293">
        <f>'CAR Mileage'!AE111*CAR!$I$58</f>
        <v>27815.051798879802</v>
      </c>
      <c r="AG90" s="1711" t="s">
        <v>41</v>
      </c>
      <c r="AH90" s="116">
        <v>0</v>
      </c>
      <c r="AI90" s="291">
        <f>'CAR Passenger Kilometres'!C90*'CAR Stock'!C140</f>
        <v>2725875.0762902205</v>
      </c>
      <c r="AJ90" s="292">
        <f>'CAR Passenger Kilometres'!D90*'CAR Stock'!D140</f>
        <v>0</v>
      </c>
      <c r="AK90" s="292">
        <f>'CAR Passenger Kilometres'!E90*'CAR Stock'!E140</f>
        <v>0</v>
      </c>
      <c r="AL90" s="292">
        <f>'CAR Passenger Kilometres'!F90*'CAR Stock'!F140</f>
        <v>0</v>
      </c>
      <c r="AM90" s="292">
        <f>'CAR Passenger Kilometres'!G90*'CAR Stock'!G140</f>
        <v>0</v>
      </c>
      <c r="AN90" s="292">
        <f>'CAR Passenger Kilometres'!H90*'CAR Stock'!H140</f>
        <v>0</v>
      </c>
      <c r="AO90" s="292">
        <f>'CAR Passenger Kilometres'!I90*'CAR Stock'!I140</f>
        <v>0</v>
      </c>
      <c r="AP90" s="292">
        <f>'CAR Passenger Kilometres'!J90*'CAR Stock'!J140</f>
        <v>0</v>
      </c>
      <c r="AQ90" s="292">
        <f>'CAR Passenger Kilometres'!K90*'CAR Stock'!K140</f>
        <v>0</v>
      </c>
      <c r="AR90" s="292">
        <f>'CAR Passenger Kilometres'!L90*'CAR Stock'!L140</f>
        <v>0</v>
      </c>
      <c r="AS90" s="292">
        <f>'CAR Passenger Kilometres'!M90*'CAR Stock'!M140</f>
        <v>0</v>
      </c>
      <c r="AT90" s="292">
        <f>'CAR Passenger Kilometres'!N90*'CAR Stock'!N140</f>
        <v>0</v>
      </c>
      <c r="AU90" s="292">
        <f>'CAR Passenger Kilometres'!O90*'CAR Stock'!O140</f>
        <v>0</v>
      </c>
      <c r="AV90" s="292">
        <f>'CAR Passenger Kilometres'!P90*'CAR Stock'!P140</f>
        <v>0</v>
      </c>
      <c r="AW90" s="292">
        <f>'CAR Passenger Kilometres'!Q90*'CAR Stock'!Q140</f>
        <v>0</v>
      </c>
      <c r="AX90" s="292">
        <f>'CAR Passenger Kilometres'!R90*'CAR Stock'!R140</f>
        <v>0</v>
      </c>
      <c r="AY90" s="292">
        <f>'CAR Passenger Kilometres'!S90*'CAR Stock'!S140</f>
        <v>0</v>
      </c>
      <c r="AZ90" s="292">
        <f>'CAR Passenger Kilometres'!T90*'CAR Stock'!T140</f>
        <v>0</v>
      </c>
      <c r="BA90" s="292">
        <f>'CAR Passenger Kilometres'!U90*'CAR Stock'!U140</f>
        <v>0</v>
      </c>
      <c r="BB90" s="292">
        <f>'CAR Passenger Kilometres'!V90*'CAR Stock'!V140</f>
        <v>0</v>
      </c>
      <c r="BC90" s="292">
        <f>'CAR Passenger Kilometres'!W90*'CAR Stock'!W140</f>
        <v>0</v>
      </c>
      <c r="BD90" s="292">
        <f>'CAR Passenger Kilometres'!X90*'CAR Stock'!X140</f>
        <v>0</v>
      </c>
      <c r="BE90" s="292">
        <f>'CAR Passenger Kilometres'!Y90*'CAR Stock'!Y140</f>
        <v>0</v>
      </c>
      <c r="BF90" s="292">
        <f>'CAR Passenger Kilometres'!Z90*'CAR Stock'!Z140</f>
        <v>0</v>
      </c>
      <c r="BG90" s="292">
        <f>'CAR Passenger Kilometres'!AA90*'CAR Stock'!AA140</f>
        <v>0</v>
      </c>
      <c r="BH90" s="292">
        <f>'CAR Passenger Kilometres'!AB90*'CAR Stock'!AB140</f>
        <v>0</v>
      </c>
      <c r="BI90" s="292">
        <f>'CAR Passenger Kilometres'!AC90*'CAR Stock'!AC140</f>
        <v>0</v>
      </c>
      <c r="BJ90" s="292">
        <f>'CAR Passenger Kilometres'!AD90*'CAR Stock'!AD140</f>
        <v>0</v>
      </c>
      <c r="BK90" s="293">
        <f>'CAR Passenger Kilometres'!AE90*'CAR Stock'!AE140</f>
        <v>0</v>
      </c>
    </row>
    <row r="91" spans="1:63">
      <c r="A91" s="1711"/>
      <c r="B91" s="116">
        <v>1</v>
      </c>
      <c r="C91" s="294">
        <f>'CAR Mileage'!C112*CAR!$I$58</f>
        <v>27258.750762902207</v>
      </c>
      <c r="D91" s="295">
        <f>'CAR Mileage'!D112*CAR!$I$58</f>
        <v>27258.750762902207</v>
      </c>
      <c r="E91" s="295">
        <f>'CAR Mileage'!E112*CAR!$I$58</f>
        <v>27258.750762902207</v>
      </c>
      <c r="F91" s="295">
        <f>'CAR Mileage'!F112*CAR!$I$58</f>
        <v>27258.750762902207</v>
      </c>
      <c r="G91" s="295">
        <f>'CAR Mileage'!G112*CAR!$I$58</f>
        <v>27258.750762902207</v>
      </c>
      <c r="H91" s="295">
        <f>'CAR Mileage'!H112*CAR!$I$58</f>
        <v>27258.750762902207</v>
      </c>
      <c r="I91" s="295">
        <f>'CAR Mileage'!I112*CAR!$I$58</f>
        <v>27258.750762902207</v>
      </c>
      <c r="J91" s="295">
        <f>'CAR Mileage'!J112*CAR!$I$58</f>
        <v>27258.750762902207</v>
      </c>
      <c r="K91" s="295">
        <f>'CAR Mileage'!K112*CAR!$I$58</f>
        <v>27258.750762902207</v>
      </c>
      <c r="L91" s="295">
        <f>'CAR Mileage'!L112*CAR!$I$58</f>
        <v>27258.750762902207</v>
      </c>
      <c r="M91" s="295">
        <f>'CAR Mileage'!M112*CAR!$I$58</f>
        <v>27258.750762902207</v>
      </c>
      <c r="N91" s="295">
        <f>'CAR Mileage'!N112*CAR!$I$58</f>
        <v>27258.750762902207</v>
      </c>
      <c r="O91" s="295">
        <f>'CAR Mileage'!O112*CAR!$I$58</f>
        <v>27258.750762902207</v>
      </c>
      <c r="P91" s="295">
        <f>'CAR Mileage'!P112*CAR!$I$58</f>
        <v>27258.750762902207</v>
      </c>
      <c r="Q91" s="295">
        <f>'CAR Mileage'!Q112*CAR!$I$58</f>
        <v>27258.750762902207</v>
      </c>
      <c r="R91" s="295">
        <f>'CAR Mileage'!R112*CAR!$I$58</f>
        <v>27258.750762902207</v>
      </c>
      <c r="S91" s="295">
        <f>'CAR Mileage'!S112*CAR!$I$58</f>
        <v>27258.750762902207</v>
      </c>
      <c r="T91" s="295">
        <f>'CAR Mileage'!T112*CAR!$I$58</f>
        <v>27258.750762902207</v>
      </c>
      <c r="U91" s="295">
        <f>'CAR Mileage'!U112*CAR!$I$58</f>
        <v>27258.750762902207</v>
      </c>
      <c r="V91" s="295">
        <f>'CAR Mileage'!V112*CAR!$I$58</f>
        <v>27258.750762902207</v>
      </c>
      <c r="W91" s="295">
        <f>'CAR Mileage'!W112*CAR!$I$58</f>
        <v>27258.750762902207</v>
      </c>
      <c r="X91" s="295">
        <f>'CAR Mileage'!X112*CAR!$I$58</f>
        <v>27258.750762902207</v>
      </c>
      <c r="Y91" s="295">
        <f>'CAR Mileage'!Y112*CAR!$I$58</f>
        <v>27258.750762902207</v>
      </c>
      <c r="Z91" s="295">
        <f>'CAR Mileage'!Z112*CAR!$I$58</f>
        <v>27258.750762902207</v>
      </c>
      <c r="AA91" s="295">
        <f>'CAR Mileage'!AA112*CAR!$I$58</f>
        <v>27258.750762902207</v>
      </c>
      <c r="AB91" s="295">
        <f>'CAR Mileage'!AB112*CAR!$I$58</f>
        <v>27258.750762902207</v>
      </c>
      <c r="AC91" s="295">
        <f>'CAR Mileage'!AC112*CAR!$I$58</f>
        <v>27258.750762902207</v>
      </c>
      <c r="AD91" s="295">
        <f>'CAR Mileage'!AD112*CAR!$I$58</f>
        <v>27258.750762902207</v>
      </c>
      <c r="AE91" s="296">
        <f>'CAR Mileage'!AE112*CAR!$I$58</f>
        <v>27258.750762902207</v>
      </c>
      <c r="AG91" s="1711"/>
      <c r="AH91" s="116">
        <v>1</v>
      </c>
      <c r="AI91" s="294">
        <f>'CAR Passenger Kilometres'!C91*'CAR Stock'!C141</f>
        <v>5260938.8972401265</v>
      </c>
      <c r="AJ91" s="295">
        <f>'CAR Passenger Kilometres'!D91*'CAR Stock'!D141</f>
        <v>2671357.5747644166</v>
      </c>
      <c r="AK91" s="295">
        <f>'CAR Passenger Kilometres'!E91*'CAR Stock'!E141</f>
        <v>0</v>
      </c>
      <c r="AL91" s="295">
        <f>'CAR Passenger Kilometres'!F91*'CAR Stock'!F141</f>
        <v>0</v>
      </c>
      <c r="AM91" s="295">
        <f>'CAR Passenger Kilometres'!G91*'CAR Stock'!G141</f>
        <v>0</v>
      </c>
      <c r="AN91" s="295">
        <f>'CAR Passenger Kilometres'!H91*'CAR Stock'!H141</f>
        <v>0</v>
      </c>
      <c r="AO91" s="295">
        <f>'CAR Passenger Kilometres'!I91*'CAR Stock'!I141</f>
        <v>0</v>
      </c>
      <c r="AP91" s="295">
        <f>'CAR Passenger Kilometres'!J91*'CAR Stock'!J141</f>
        <v>0</v>
      </c>
      <c r="AQ91" s="295">
        <f>'CAR Passenger Kilometres'!K91*'CAR Stock'!K141</f>
        <v>0</v>
      </c>
      <c r="AR91" s="295">
        <f>'CAR Passenger Kilometres'!L91*'CAR Stock'!L141</f>
        <v>0</v>
      </c>
      <c r="AS91" s="295">
        <f>'CAR Passenger Kilometres'!M91*'CAR Stock'!M141</f>
        <v>0</v>
      </c>
      <c r="AT91" s="295">
        <f>'CAR Passenger Kilometres'!N91*'CAR Stock'!N141</f>
        <v>0</v>
      </c>
      <c r="AU91" s="295">
        <f>'CAR Passenger Kilometres'!O91*'CAR Stock'!O141</f>
        <v>0</v>
      </c>
      <c r="AV91" s="295">
        <f>'CAR Passenger Kilometres'!P91*'CAR Stock'!P141</f>
        <v>0</v>
      </c>
      <c r="AW91" s="295">
        <f>'CAR Passenger Kilometres'!Q91*'CAR Stock'!Q141</f>
        <v>0</v>
      </c>
      <c r="AX91" s="295">
        <f>'CAR Passenger Kilometres'!R91*'CAR Stock'!R141</f>
        <v>0</v>
      </c>
      <c r="AY91" s="295">
        <f>'CAR Passenger Kilometres'!S91*'CAR Stock'!S141</f>
        <v>0</v>
      </c>
      <c r="AZ91" s="295">
        <f>'CAR Passenger Kilometres'!T91*'CAR Stock'!T141</f>
        <v>0</v>
      </c>
      <c r="BA91" s="295">
        <f>'CAR Passenger Kilometres'!U91*'CAR Stock'!U141</f>
        <v>0</v>
      </c>
      <c r="BB91" s="295">
        <f>'CAR Passenger Kilometres'!V91*'CAR Stock'!V141</f>
        <v>0</v>
      </c>
      <c r="BC91" s="295">
        <f>'CAR Passenger Kilometres'!W91*'CAR Stock'!W141</f>
        <v>0</v>
      </c>
      <c r="BD91" s="295">
        <f>'CAR Passenger Kilometres'!X91*'CAR Stock'!X141</f>
        <v>0</v>
      </c>
      <c r="BE91" s="295">
        <f>'CAR Passenger Kilometres'!Y91*'CAR Stock'!Y141</f>
        <v>0</v>
      </c>
      <c r="BF91" s="295">
        <f>'CAR Passenger Kilometres'!Z91*'CAR Stock'!Z141</f>
        <v>0</v>
      </c>
      <c r="BG91" s="295">
        <f>'CAR Passenger Kilometres'!AA91*'CAR Stock'!AA141</f>
        <v>0</v>
      </c>
      <c r="BH91" s="295">
        <f>'CAR Passenger Kilometres'!AB91*'CAR Stock'!AB141</f>
        <v>0</v>
      </c>
      <c r="BI91" s="295">
        <f>'CAR Passenger Kilometres'!AC91*'CAR Stock'!AC141</f>
        <v>0</v>
      </c>
      <c r="BJ91" s="295">
        <f>'CAR Passenger Kilometres'!AD91*'CAR Stock'!AD141</f>
        <v>0</v>
      </c>
      <c r="BK91" s="296">
        <f>'CAR Passenger Kilometres'!AE91*'CAR Stock'!AE141</f>
        <v>0</v>
      </c>
    </row>
    <row r="92" spans="1:63">
      <c r="A92" s="1711"/>
      <c r="B92" s="116">
        <v>2</v>
      </c>
      <c r="C92" s="294">
        <f>'CAR Mileage'!C113*CAR!$I$58</f>
        <v>26713.575747644161</v>
      </c>
      <c r="D92" s="295">
        <f>'CAR Mileage'!D113*CAR!$I$58</f>
        <v>26713.575747644161</v>
      </c>
      <c r="E92" s="295">
        <f>'CAR Mileage'!E113*CAR!$I$58</f>
        <v>26713.575747644161</v>
      </c>
      <c r="F92" s="295">
        <f>'CAR Mileage'!F113*CAR!$I$58</f>
        <v>26713.575747644161</v>
      </c>
      <c r="G92" s="295">
        <f>'CAR Mileage'!G113*CAR!$I$58</f>
        <v>26713.575747644161</v>
      </c>
      <c r="H92" s="295">
        <f>'CAR Mileage'!H113*CAR!$I$58</f>
        <v>26713.575747644161</v>
      </c>
      <c r="I92" s="295">
        <f>'CAR Mileage'!I113*CAR!$I$58</f>
        <v>26713.575747644161</v>
      </c>
      <c r="J92" s="295">
        <f>'CAR Mileage'!J113*CAR!$I$58</f>
        <v>26713.575747644161</v>
      </c>
      <c r="K92" s="295">
        <f>'CAR Mileage'!K113*CAR!$I$58</f>
        <v>26713.575747644161</v>
      </c>
      <c r="L92" s="295">
        <f>'CAR Mileage'!L113*CAR!$I$58</f>
        <v>26713.575747644161</v>
      </c>
      <c r="M92" s="295">
        <f>'CAR Mileage'!M113*CAR!$I$58</f>
        <v>26713.575747644161</v>
      </c>
      <c r="N92" s="295">
        <f>'CAR Mileage'!N113*CAR!$I$58</f>
        <v>26713.575747644161</v>
      </c>
      <c r="O92" s="295">
        <f>'CAR Mileage'!O113*CAR!$I$58</f>
        <v>26713.575747644161</v>
      </c>
      <c r="P92" s="295">
        <f>'CAR Mileage'!P113*CAR!$I$58</f>
        <v>26713.575747644161</v>
      </c>
      <c r="Q92" s="295">
        <f>'CAR Mileage'!Q113*CAR!$I$58</f>
        <v>26713.575747644161</v>
      </c>
      <c r="R92" s="295">
        <f>'CAR Mileage'!R113*CAR!$I$58</f>
        <v>26713.575747644161</v>
      </c>
      <c r="S92" s="295">
        <f>'CAR Mileage'!S113*CAR!$I$58</f>
        <v>26713.575747644161</v>
      </c>
      <c r="T92" s="295">
        <f>'CAR Mileage'!T113*CAR!$I$58</f>
        <v>26713.575747644161</v>
      </c>
      <c r="U92" s="295">
        <f>'CAR Mileage'!U113*CAR!$I$58</f>
        <v>26713.575747644161</v>
      </c>
      <c r="V92" s="295">
        <f>'CAR Mileage'!V113*CAR!$I$58</f>
        <v>26713.575747644161</v>
      </c>
      <c r="W92" s="295">
        <f>'CAR Mileage'!W113*CAR!$I$58</f>
        <v>26713.575747644161</v>
      </c>
      <c r="X92" s="295">
        <f>'CAR Mileage'!X113*CAR!$I$58</f>
        <v>26713.575747644161</v>
      </c>
      <c r="Y92" s="295">
        <f>'CAR Mileage'!Y113*CAR!$I$58</f>
        <v>26713.575747644161</v>
      </c>
      <c r="Z92" s="295">
        <f>'CAR Mileage'!Z113*CAR!$I$58</f>
        <v>26713.575747644161</v>
      </c>
      <c r="AA92" s="295">
        <f>'CAR Mileage'!AA113*CAR!$I$58</f>
        <v>26713.575747644161</v>
      </c>
      <c r="AB92" s="295">
        <f>'CAR Mileage'!AB113*CAR!$I$58</f>
        <v>26713.575747644161</v>
      </c>
      <c r="AC92" s="295">
        <f>'CAR Mileage'!AC113*CAR!$I$58</f>
        <v>26713.575747644161</v>
      </c>
      <c r="AD92" s="295">
        <f>'CAR Mileage'!AD113*CAR!$I$58</f>
        <v>26713.575747644161</v>
      </c>
      <c r="AE92" s="296">
        <f>'CAR Mileage'!AE113*CAR!$I$58</f>
        <v>26713.575747644161</v>
      </c>
      <c r="AG92" s="1711"/>
      <c r="AH92" s="116">
        <v>2</v>
      </c>
      <c r="AI92" s="294">
        <f>'CAR Passenger Kilometres'!C92*'CAR Stock'!C142</f>
        <v>11887541.207701651</v>
      </c>
      <c r="AJ92" s="295">
        <f>'CAR Passenger Kilometres'!D92*'CAR Stock'!D142</f>
        <v>5155720.1192953233</v>
      </c>
      <c r="AK92" s="295">
        <f>'CAR Passenger Kilometres'!E92*'CAR Stock'!E142</f>
        <v>2617930.423269128</v>
      </c>
      <c r="AL92" s="295">
        <f>'CAR Passenger Kilometres'!F92*'CAR Stock'!F142</f>
        <v>0</v>
      </c>
      <c r="AM92" s="295">
        <f>'CAR Passenger Kilometres'!G92*'CAR Stock'!G142</f>
        <v>0</v>
      </c>
      <c r="AN92" s="295">
        <f>'CAR Passenger Kilometres'!H92*'CAR Stock'!H142</f>
        <v>0</v>
      </c>
      <c r="AO92" s="295">
        <f>'CAR Passenger Kilometres'!I92*'CAR Stock'!I142</f>
        <v>0</v>
      </c>
      <c r="AP92" s="295">
        <f>'CAR Passenger Kilometres'!J92*'CAR Stock'!J142</f>
        <v>0</v>
      </c>
      <c r="AQ92" s="295">
        <f>'CAR Passenger Kilometres'!K92*'CAR Stock'!K142</f>
        <v>0</v>
      </c>
      <c r="AR92" s="295">
        <f>'CAR Passenger Kilometres'!L92*'CAR Stock'!L142</f>
        <v>0</v>
      </c>
      <c r="AS92" s="295">
        <f>'CAR Passenger Kilometres'!M92*'CAR Stock'!M142</f>
        <v>0</v>
      </c>
      <c r="AT92" s="295">
        <f>'CAR Passenger Kilometres'!N92*'CAR Stock'!N142</f>
        <v>0</v>
      </c>
      <c r="AU92" s="295">
        <f>'CAR Passenger Kilometres'!O92*'CAR Stock'!O142</f>
        <v>0</v>
      </c>
      <c r="AV92" s="295">
        <f>'CAR Passenger Kilometres'!P92*'CAR Stock'!P142</f>
        <v>0</v>
      </c>
      <c r="AW92" s="295">
        <f>'CAR Passenger Kilometres'!Q92*'CAR Stock'!Q142</f>
        <v>0</v>
      </c>
      <c r="AX92" s="295">
        <f>'CAR Passenger Kilometres'!R92*'CAR Stock'!R142</f>
        <v>0</v>
      </c>
      <c r="AY92" s="295">
        <f>'CAR Passenger Kilometres'!S92*'CAR Stock'!S142</f>
        <v>0</v>
      </c>
      <c r="AZ92" s="295">
        <f>'CAR Passenger Kilometres'!T92*'CAR Stock'!T142</f>
        <v>0</v>
      </c>
      <c r="BA92" s="295">
        <f>'CAR Passenger Kilometres'!U92*'CAR Stock'!U142</f>
        <v>0</v>
      </c>
      <c r="BB92" s="295">
        <f>'CAR Passenger Kilometres'!V92*'CAR Stock'!V142</f>
        <v>0</v>
      </c>
      <c r="BC92" s="295">
        <f>'CAR Passenger Kilometres'!W92*'CAR Stock'!W142</f>
        <v>0</v>
      </c>
      <c r="BD92" s="295">
        <f>'CAR Passenger Kilometres'!X92*'CAR Stock'!X142</f>
        <v>0</v>
      </c>
      <c r="BE92" s="295">
        <f>'CAR Passenger Kilometres'!Y92*'CAR Stock'!Y142</f>
        <v>0</v>
      </c>
      <c r="BF92" s="295">
        <f>'CAR Passenger Kilometres'!Z92*'CAR Stock'!Z142</f>
        <v>0</v>
      </c>
      <c r="BG92" s="295">
        <f>'CAR Passenger Kilometres'!AA92*'CAR Stock'!AA142</f>
        <v>0</v>
      </c>
      <c r="BH92" s="295">
        <f>'CAR Passenger Kilometres'!AB92*'CAR Stock'!AB142</f>
        <v>0</v>
      </c>
      <c r="BI92" s="295">
        <f>'CAR Passenger Kilometres'!AC92*'CAR Stock'!AC142</f>
        <v>0</v>
      </c>
      <c r="BJ92" s="295">
        <f>'CAR Passenger Kilometres'!AD92*'CAR Stock'!AD142</f>
        <v>0</v>
      </c>
      <c r="BK92" s="296">
        <f>'CAR Passenger Kilometres'!AE92*'CAR Stock'!AE142</f>
        <v>0</v>
      </c>
    </row>
    <row r="93" spans="1:63">
      <c r="A93" s="1711"/>
      <c r="B93" s="116">
        <v>3</v>
      </c>
      <c r="C93" s="294">
        <f>'CAR Mileage'!C114*CAR!$I$58</f>
        <v>26179.304232691276</v>
      </c>
      <c r="D93" s="295">
        <f>'CAR Mileage'!D114*CAR!$I$58</f>
        <v>26179.304232691276</v>
      </c>
      <c r="E93" s="295">
        <f>'CAR Mileage'!E114*CAR!$I$58</f>
        <v>26179.304232691276</v>
      </c>
      <c r="F93" s="295">
        <f>'CAR Mileage'!F114*CAR!$I$58</f>
        <v>26179.304232691276</v>
      </c>
      <c r="G93" s="295">
        <f>'CAR Mileage'!G114*CAR!$I$58</f>
        <v>26179.304232691276</v>
      </c>
      <c r="H93" s="295">
        <f>'CAR Mileage'!H114*CAR!$I$58</f>
        <v>26179.304232691276</v>
      </c>
      <c r="I93" s="295">
        <f>'CAR Mileage'!I114*CAR!$I$58</f>
        <v>26179.304232691276</v>
      </c>
      <c r="J93" s="295">
        <f>'CAR Mileage'!J114*CAR!$I$58</f>
        <v>26179.304232691276</v>
      </c>
      <c r="K93" s="295">
        <f>'CAR Mileage'!K114*CAR!$I$58</f>
        <v>26179.304232691276</v>
      </c>
      <c r="L93" s="295">
        <f>'CAR Mileage'!L114*CAR!$I$58</f>
        <v>26179.304232691276</v>
      </c>
      <c r="M93" s="295">
        <f>'CAR Mileage'!M114*CAR!$I$58</f>
        <v>26179.304232691276</v>
      </c>
      <c r="N93" s="295">
        <f>'CAR Mileage'!N114*CAR!$I$58</f>
        <v>26179.304232691276</v>
      </c>
      <c r="O93" s="295">
        <f>'CAR Mileage'!O114*CAR!$I$58</f>
        <v>26179.304232691276</v>
      </c>
      <c r="P93" s="295">
        <f>'CAR Mileage'!P114*CAR!$I$58</f>
        <v>26179.304232691276</v>
      </c>
      <c r="Q93" s="295">
        <f>'CAR Mileage'!Q114*CAR!$I$58</f>
        <v>26179.304232691276</v>
      </c>
      <c r="R93" s="295">
        <f>'CAR Mileage'!R114*CAR!$I$58</f>
        <v>26179.304232691276</v>
      </c>
      <c r="S93" s="295">
        <f>'CAR Mileage'!S114*CAR!$I$58</f>
        <v>26179.304232691276</v>
      </c>
      <c r="T93" s="295">
        <f>'CAR Mileage'!T114*CAR!$I$58</f>
        <v>26179.304232691276</v>
      </c>
      <c r="U93" s="295">
        <f>'CAR Mileage'!U114*CAR!$I$58</f>
        <v>26179.304232691276</v>
      </c>
      <c r="V93" s="295">
        <f>'CAR Mileage'!V114*CAR!$I$58</f>
        <v>26179.304232691276</v>
      </c>
      <c r="W93" s="295">
        <f>'CAR Mileage'!W114*CAR!$I$58</f>
        <v>26179.304232691276</v>
      </c>
      <c r="X93" s="295">
        <f>'CAR Mileage'!X114*CAR!$I$58</f>
        <v>26179.304232691276</v>
      </c>
      <c r="Y93" s="295">
        <f>'CAR Mileage'!Y114*CAR!$I$58</f>
        <v>26179.304232691276</v>
      </c>
      <c r="Z93" s="295">
        <f>'CAR Mileage'!Z114*CAR!$I$58</f>
        <v>26179.304232691276</v>
      </c>
      <c r="AA93" s="295">
        <f>'CAR Mileage'!AA114*CAR!$I$58</f>
        <v>26179.304232691276</v>
      </c>
      <c r="AB93" s="295">
        <f>'CAR Mileage'!AB114*CAR!$I$58</f>
        <v>26179.304232691276</v>
      </c>
      <c r="AC93" s="295">
        <f>'CAR Mileage'!AC114*CAR!$I$58</f>
        <v>26179.304232691276</v>
      </c>
      <c r="AD93" s="295">
        <f>'CAR Mileage'!AD114*CAR!$I$58</f>
        <v>26179.304232691276</v>
      </c>
      <c r="AE93" s="296">
        <f>'CAR Mileage'!AE114*CAR!$I$58</f>
        <v>26179.304232691276</v>
      </c>
      <c r="AG93" s="1711"/>
      <c r="AH93" s="116">
        <v>3</v>
      </c>
      <c r="AI93" s="294">
        <f>'CAR Passenger Kilometres'!C93*'CAR Stock'!C143</f>
        <v>20498395.214197271</v>
      </c>
      <c r="AJ93" s="295">
        <f>'CAR Passenger Kilometres'!D93*'CAR Stock'!D143</f>
        <v>11649790.383547617</v>
      </c>
      <c r="AK93" s="295">
        <f>'CAR Passenger Kilometres'!E93*'CAR Stock'!E143</f>
        <v>5052605.716909416</v>
      </c>
      <c r="AL93" s="295">
        <f>'CAR Passenger Kilometres'!F93*'CAR Stock'!F143</f>
        <v>2565571.8148037451</v>
      </c>
      <c r="AM93" s="295">
        <f>'CAR Passenger Kilometres'!G93*'CAR Stock'!G143</f>
        <v>0</v>
      </c>
      <c r="AN93" s="295">
        <f>'CAR Passenger Kilometres'!H93*'CAR Stock'!H143</f>
        <v>0</v>
      </c>
      <c r="AO93" s="295">
        <f>'CAR Passenger Kilometres'!I93*'CAR Stock'!I143</f>
        <v>0</v>
      </c>
      <c r="AP93" s="295">
        <f>'CAR Passenger Kilometres'!J93*'CAR Stock'!J143</f>
        <v>0</v>
      </c>
      <c r="AQ93" s="295">
        <f>'CAR Passenger Kilometres'!K93*'CAR Stock'!K143</f>
        <v>0</v>
      </c>
      <c r="AR93" s="295">
        <f>'CAR Passenger Kilometres'!L93*'CAR Stock'!L143</f>
        <v>0</v>
      </c>
      <c r="AS93" s="295">
        <f>'CAR Passenger Kilometres'!M93*'CAR Stock'!M143</f>
        <v>0</v>
      </c>
      <c r="AT93" s="295">
        <f>'CAR Passenger Kilometres'!N93*'CAR Stock'!N143</f>
        <v>0</v>
      </c>
      <c r="AU93" s="295">
        <f>'CAR Passenger Kilometres'!O93*'CAR Stock'!O143</f>
        <v>0</v>
      </c>
      <c r="AV93" s="295">
        <f>'CAR Passenger Kilometres'!P93*'CAR Stock'!P143</f>
        <v>0</v>
      </c>
      <c r="AW93" s="295">
        <f>'CAR Passenger Kilometres'!Q93*'CAR Stock'!Q143</f>
        <v>0</v>
      </c>
      <c r="AX93" s="295">
        <f>'CAR Passenger Kilometres'!R93*'CAR Stock'!R143</f>
        <v>0</v>
      </c>
      <c r="AY93" s="295">
        <f>'CAR Passenger Kilometres'!S93*'CAR Stock'!S143</f>
        <v>0</v>
      </c>
      <c r="AZ93" s="295">
        <f>'CAR Passenger Kilometres'!T93*'CAR Stock'!T143</f>
        <v>0</v>
      </c>
      <c r="BA93" s="295">
        <f>'CAR Passenger Kilometres'!U93*'CAR Stock'!U143</f>
        <v>0</v>
      </c>
      <c r="BB93" s="295">
        <f>'CAR Passenger Kilometres'!V93*'CAR Stock'!V143</f>
        <v>0</v>
      </c>
      <c r="BC93" s="295">
        <f>'CAR Passenger Kilometres'!W93*'CAR Stock'!W143</f>
        <v>0</v>
      </c>
      <c r="BD93" s="295">
        <f>'CAR Passenger Kilometres'!X93*'CAR Stock'!X143</f>
        <v>0</v>
      </c>
      <c r="BE93" s="295">
        <f>'CAR Passenger Kilometres'!Y93*'CAR Stock'!Y143</f>
        <v>0</v>
      </c>
      <c r="BF93" s="295">
        <f>'CAR Passenger Kilometres'!Z93*'CAR Stock'!Z143</f>
        <v>0</v>
      </c>
      <c r="BG93" s="295">
        <f>'CAR Passenger Kilometres'!AA93*'CAR Stock'!AA143</f>
        <v>0</v>
      </c>
      <c r="BH93" s="295">
        <f>'CAR Passenger Kilometres'!AB93*'CAR Stock'!AB143</f>
        <v>0</v>
      </c>
      <c r="BI93" s="295">
        <f>'CAR Passenger Kilometres'!AC93*'CAR Stock'!AC143</f>
        <v>0</v>
      </c>
      <c r="BJ93" s="295">
        <f>'CAR Passenger Kilometres'!AD93*'CAR Stock'!AD143</f>
        <v>0</v>
      </c>
      <c r="BK93" s="296">
        <f>'CAR Passenger Kilometres'!AE93*'CAR Stock'!AE143</f>
        <v>0</v>
      </c>
    </row>
    <row r="94" spans="1:63">
      <c r="A94" s="1711"/>
      <c r="B94" s="116">
        <v>4</v>
      </c>
      <c r="C94" s="294">
        <f>'CAR Mileage'!C115*CAR!$I$58</f>
        <v>25655.718148037453</v>
      </c>
      <c r="D94" s="295">
        <f>'CAR Mileage'!D115*CAR!$I$58</f>
        <v>25655.718148037453</v>
      </c>
      <c r="E94" s="295">
        <f>'CAR Mileage'!E115*CAR!$I$58</f>
        <v>25655.718148037453</v>
      </c>
      <c r="F94" s="295">
        <f>'CAR Mileage'!F115*CAR!$I$58</f>
        <v>25655.718148037453</v>
      </c>
      <c r="G94" s="295">
        <f>'CAR Mileage'!G115*CAR!$I$58</f>
        <v>25655.718148037453</v>
      </c>
      <c r="H94" s="295">
        <f>'CAR Mileage'!H115*CAR!$I$58</f>
        <v>25655.718148037453</v>
      </c>
      <c r="I94" s="295">
        <f>'CAR Mileage'!I115*CAR!$I$58</f>
        <v>25655.718148037453</v>
      </c>
      <c r="J94" s="295">
        <f>'CAR Mileage'!J115*CAR!$I$58</f>
        <v>25655.718148037453</v>
      </c>
      <c r="K94" s="295">
        <f>'CAR Mileage'!K115*CAR!$I$58</f>
        <v>25655.718148037453</v>
      </c>
      <c r="L94" s="295">
        <f>'CAR Mileage'!L115*CAR!$I$58</f>
        <v>25655.718148037453</v>
      </c>
      <c r="M94" s="295">
        <f>'CAR Mileage'!M115*CAR!$I$58</f>
        <v>25655.718148037453</v>
      </c>
      <c r="N94" s="295">
        <f>'CAR Mileage'!N115*CAR!$I$58</f>
        <v>25655.718148037453</v>
      </c>
      <c r="O94" s="295">
        <f>'CAR Mileage'!O115*CAR!$I$58</f>
        <v>25655.718148037453</v>
      </c>
      <c r="P94" s="295">
        <f>'CAR Mileage'!P115*CAR!$I$58</f>
        <v>25655.718148037453</v>
      </c>
      <c r="Q94" s="295">
        <f>'CAR Mileage'!Q115*CAR!$I$58</f>
        <v>25655.718148037453</v>
      </c>
      <c r="R94" s="295">
        <f>'CAR Mileage'!R115*CAR!$I$58</f>
        <v>25655.718148037453</v>
      </c>
      <c r="S94" s="295">
        <f>'CAR Mileage'!S115*CAR!$I$58</f>
        <v>25655.718148037453</v>
      </c>
      <c r="T94" s="295">
        <f>'CAR Mileage'!T115*CAR!$I$58</f>
        <v>25655.718148037453</v>
      </c>
      <c r="U94" s="295">
        <f>'CAR Mileage'!U115*CAR!$I$58</f>
        <v>25655.718148037453</v>
      </c>
      <c r="V94" s="295">
        <f>'CAR Mileage'!V115*CAR!$I$58</f>
        <v>25655.718148037453</v>
      </c>
      <c r="W94" s="295">
        <f>'CAR Mileage'!W115*CAR!$I$58</f>
        <v>25655.718148037453</v>
      </c>
      <c r="X94" s="295">
        <f>'CAR Mileage'!X115*CAR!$I$58</f>
        <v>25655.718148037453</v>
      </c>
      <c r="Y94" s="295">
        <f>'CAR Mileage'!Y115*CAR!$I$58</f>
        <v>25655.718148037453</v>
      </c>
      <c r="Z94" s="295">
        <f>'CAR Mileage'!Z115*CAR!$I$58</f>
        <v>25655.718148037453</v>
      </c>
      <c r="AA94" s="295">
        <f>'CAR Mileage'!AA115*CAR!$I$58</f>
        <v>25655.718148037453</v>
      </c>
      <c r="AB94" s="295">
        <f>'CAR Mileage'!AB115*CAR!$I$58</f>
        <v>25655.718148037453</v>
      </c>
      <c r="AC94" s="295">
        <f>'CAR Mileage'!AC115*CAR!$I$58</f>
        <v>25655.718148037453</v>
      </c>
      <c r="AD94" s="295">
        <f>'CAR Mileage'!AD115*CAR!$I$58</f>
        <v>25655.718148037453</v>
      </c>
      <c r="AE94" s="296">
        <f>'CAR Mileage'!AE115*CAR!$I$58</f>
        <v>25655.718148037453</v>
      </c>
      <c r="AG94" s="1711"/>
      <c r="AH94" s="116">
        <v>4</v>
      </c>
      <c r="AI94" s="294">
        <f>'CAR Passenger Kilometres'!C94*'CAR Stock'!C144</f>
        <v>126174821.85204819</v>
      </c>
      <c r="AJ94" s="295">
        <f>'CAR Passenger Kilometres'!D94*'CAR Stock'!D144</f>
        <v>20088427.309913326</v>
      </c>
      <c r="AK94" s="295">
        <f>'CAR Passenger Kilometres'!E94*'CAR Stock'!E144</f>
        <v>11416794.575876666</v>
      </c>
      <c r="AL94" s="295">
        <f>'CAR Passenger Kilometres'!F94*'CAR Stock'!F144</f>
        <v>4951553.6025712285</v>
      </c>
      <c r="AM94" s="295">
        <f>'CAR Passenger Kilometres'!G94*'CAR Stock'!G144</f>
        <v>2514260.3785076705</v>
      </c>
      <c r="AN94" s="295">
        <f>'CAR Passenger Kilometres'!H94*'CAR Stock'!H144</f>
        <v>0</v>
      </c>
      <c r="AO94" s="295">
        <f>'CAR Passenger Kilometres'!I94*'CAR Stock'!I144</f>
        <v>0</v>
      </c>
      <c r="AP94" s="295">
        <f>'CAR Passenger Kilometres'!J94*'CAR Stock'!J144</f>
        <v>0</v>
      </c>
      <c r="AQ94" s="295">
        <f>'CAR Passenger Kilometres'!K94*'CAR Stock'!K144</f>
        <v>0</v>
      </c>
      <c r="AR94" s="295">
        <f>'CAR Passenger Kilometres'!L94*'CAR Stock'!L144</f>
        <v>0</v>
      </c>
      <c r="AS94" s="295">
        <f>'CAR Passenger Kilometres'!M94*'CAR Stock'!M144</f>
        <v>0</v>
      </c>
      <c r="AT94" s="295">
        <f>'CAR Passenger Kilometres'!N94*'CAR Stock'!N144</f>
        <v>0</v>
      </c>
      <c r="AU94" s="295">
        <f>'CAR Passenger Kilometres'!O94*'CAR Stock'!O144</f>
        <v>0</v>
      </c>
      <c r="AV94" s="295">
        <f>'CAR Passenger Kilometres'!P94*'CAR Stock'!P144</f>
        <v>0</v>
      </c>
      <c r="AW94" s="295">
        <f>'CAR Passenger Kilometres'!Q94*'CAR Stock'!Q144</f>
        <v>0</v>
      </c>
      <c r="AX94" s="295">
        <f>'CAR Passenger Kilometres'!R94*'CAR Stock'!R144</f>
        <v>0</v>
      </c>
      <c r="AY94" s="295">
        <f>'CAR Passenger Kilometres'!S94*'CAR Stock'!S144</f>
        <v>0</v>
      </c>
      <c r="AZ94" s="295">
        <f>'CAR Passenger Kilometres'!T94*'CAR Stock'!T144</f>
        <v>0</v>
      </c>
      <c r="BA94" s="295">
        <f>'CAR Passenger Kilometres'!U94*'CAR Stock'!U144</f>
        <v>0</v>
      </c>
      <c r="BB94" s="295">
        <f>'CAR Passenger Kilometres'!V94*'CAR Stock'!V144</f>
        <v>0</v>
      </c>
      <c r="BC94" s="295">
        <f>'CAR Passenger Kilometres'!W94*'CAR Stock'!W144</f>
        <v>0</v>
      </c>
      <c r="BD94" s="295">
        <f>'CAR Passenger Kilometres'!X94*'CAR Stock'!X144</f>
        <v>0</v>
      </c>
      <c r="BE94" s="295">
        <f>'CAR Passenger Kilometres'!Y94*'CAR Stock'!Y144</f>
        <v>0</v>
      </c>
      <c r="BF94" s="295">
        <f>'CAR Passenger Kilometres'!Z94*'CAR Stock'!Z144</f>
        <v>0</v>
      </c>
      <c r="BG94" s="295">
        <f>'CAR Passenger Kilometres'!AA94*'CAR Stock'!AA144</f>
        <v>0</v>
      </c>
      <c r="BH94" s="295">
        <f>'CAR Passenger Kilometres'!AB94*'CAR Stock'!AB144</f>
        <v>0</v>
      </c>
      <c r="BI94" s="295">
        <f>'CAR Passenger Kilometres'!AC94*'CAR Stock'!AC144</f>
        <v>0</v>
      </c>
      <c r="BJ94" s="295">
        <f>'CAR Passenger Kilometres'!AD94*'CAR Stock'!AD144</f>
        <v>0</v>
      </c>
      <c r="BK94" s="296">
        <f>'CAR Passenger Kilometres'!AE94*'CAR Stock'!AE144</f>
        <v>0</v>
      </c>
    </row>
    <row r="95" spans="1:63">
      <c r="A95" s="1711"/>
      <c r="B95" s="116">
        <v>5</v>
      </c>
      <c r="C95" s="294">
        <f>'CAR Mileage'!C116*CAR!$I$58</f>
        <v>25142.603785076702</v>
      </c>
      <c r="D95" s="295">
        <f>'CAR Mileage'!D116*CAR!$I$58</f>
        <v>25142.603785076702</v>
      </c>
      <c r="E95" s="295">
        <f>'CAR Mileage'!E116*CAR!$I$58</f>
        <v>25142.603785076702</v>
      </c>
      <c r="F95" s="295">
        <f>'CAR Mileage'!F116*CAR!$I$58</f>
        <v>25142.603785076702</v>
      </c>
      <c r="G95" s="295">
        <f>'CAR Mileage'!G116*CAR!$I$58</f>
        <v>25142.603785076702</v>
      </c>
      <c r="H95" s="295">
        <f>'CAR Mileage'!H116*CAR!$I$58</f>
        <v>25142.603785076702</v>
      </c>
      <c r="I95" s="295">
        <f>'CAR Mileage'!I116*CAR!$I$58</f>
        <v>25142.603785076702</v>
      </c>
      <c r="J95" s="295">
        <f>'CAR Mileage'!J116*CAR!$I$58</f>
        <v>25142.603785076702</v>
      </c>
      <c r="K95" s="295">
        <f>'CAR Mileage'!K116*CAR!$I$58</f>
        <v>25142.603785076702</v>
      </c>
      <c r="L95" s="295">
        <f>'CAR Mileage'!L116*CAR!$I$58</f>
        <v>25142.603785076702</v>
      </c>
      <c r="M95" s="295">
        <f>'CAR Mileage'!M116*CAR!$I$58</f>
        <v>25142.603785076702</v>
      </c>
      <c r="N95" s="295">
        <f>'CAR Mileage'!N116*CAR!$I$58</f>
        <v>25142.603785076702</v>
      </c>
      <c r="O95" s="295">
        <f>'CAR Mileage'!O116*CAR!$I$58</f>
        <v>25142.603785076702</v>
      </c>
      <c r="P95" s="295">
        <f>'CAR Mileage'!P116*CAR!$I$58</f>
        <v>25142.603785076702</v>
      </c>
      <c r="Q95" s="295">
        <f>'CAR Mileage'!Q116*CAR!$I$58</f>
        <v>25142.603785076702</v>
      </c>
      <c r="R95" s="295">
        <f>'CAR Mileage'!R116*CAR!$I$58</f>
        <v>25142.603785076702</v>
      </c>
      <c r="S95" s="295">
        <f>'CAR Mileage'!S116*CAR!$I$58</f>
        <v>25142.603785076702</v>
      </c>
      <c r="T95" s="295">
        <f>'CAR Mileage'!T116*CAR!$I$58</f>
        <v>25142.603785076702</v>
      </c>
      <c r="U95" s="295">
        <f>'CAR Mileage'!U116*CAR!$I$58</f>
        <v>25142.603785076702</v>
      </c>
      <c r="V95" s="295">
        <f>'CAR Mileage'!V116*CAR!$I$58</f>
        <v>25142.603785076702</v>
      </c>
      <c r="W95" s="295">
        <f>'CAR Mileage'!W116*CAR!$I$58</f>
        <v>25142.603785076702</v>
      </c>
      <c r="X95" s="295">
        <f>'CAR Mileage'!X116*CAR!$I$58</f>
        <v>25142.603785076702</v>
      </c>
      <c r="Y95" s="295">
        <f>'CAR Mileage'!Y116*CAR!$I$58</f>
        <v>25142.603785076702</v>
      </c>
      <c r="Z95" s="295">
        <f>'CAR Mileage'!Z116*CAR!$I$58</f>
        <v>25142.603785076702</v>
      </c>
      <c r="AA95" s="295">
        <f>'CAR Mileage'!AA116*CAR!$I$58</f>
        <v>25142.603785076702</v>
      </c>
      <c r="AB95" s="295">
        <f>'CAR Mileage'!AB116*CAR!$I$58</f>
        <v>25142.603785076702</v>
      </c>
      <c r="AC95" s="295">
        <f>'CAR Mileage'!AC116*CAR!$I$58</f>
        <v>25142.603785076702</v>
      </c>
      <c r="AD95" s="295">
        <f>'CAR Mileage'!AD116*CAR!$I$58</f>
        <v>25142.603785076702</v>
      </c>
      <c r="AE95" s="296">
        <f>'CAR Mileage'!AE116*CAR!$I$58</f>
        <v>25142.603785076702</v>
      </c>
      <c r="AG95" s="1711"/>
      <c r="AH95" s="116">
        <v>5</v>
      </c>
      <c r="AI95" s="294">
        <f>'CAR Passenger Kilometres'!C95*'CAR Stock'!C145</f>
        <v>220374922.17619729</v>
      </c>
      <c r="AJ95" s="295">
        <f>'CAR Passenger Kilometres'!D95*'CAR Stock'!D145</f>
        <v>123651325.41500722</v>
      </c>
      <c r="AK95" s="295">
        <f>'CAR Passenger Kilometres'!E95*'CAR Stock'!E145</f>
        <v>19686658.763715059</v>
      </c>
      <c r="AL95" s="295">
        <f>'CAR Passenger Kilometres'!F95*'CAR Stock'!F145</f>
        <v>11188458.684359133</v>
      </c>
      <c r="AM95" s="295">
        <f>'CAR Passenger Kilometres'!G95*'CAR Stock'!G145</f>
        <v>4852522.530519804</v>
      </c>
      <c r="AN95" s="295">
        <f>'CAR Passenger Kilometres'!H95*'CAR Stock'!H145</f>
        <v>2463975.1709375167</v>
      </c>
      <c r="AO95" s="295">
        <f>'CAR Passenger Kilometres'!I95*'CAR Stock'!I145</f>
        <v>0</v>
      </c>
      <c r="AP95" s="295">
        <f>'CAR Passenger Kilometres'!J95*'CAR Stock'!J145</f>
        <v>0</v>
      </c>
      <c r="AQ95" s="295">
        <f>'CAR Passenger Kilometres'!K95*'CAR Stock'!K145</f>
        <v>0</v>
      </c>
      <c r="AR95" s="295">
        <f>'CAR Passenger Kilometres'!L95*'CAR Stock'!L145</f>
        <v>0</v>
      </c>
      <c r="AS95" s="295">
        <f>'CAR Passenger Kilometres'!M95*'CAR Stock'!M145</f>
        <v>0</v>
      </c>
      <c r="AT95" s="295">
        <f>'CAR Passenger Kilometres'!N95*'CAR Stock'!N145</f>
        <v>0</v>
      </c>
      <c r="AU95" s="295">
        <f>'CAR Passenger Kilometres'!O95*'CAR Stock'!O145</f>
        <v>0</v>
      </c>
      <c r="AV95" s="295">
        <f>'CAR Passenger Kilometres'!P95*'CAR Stock'!P145</f>
        <v>0</v>
      </c>
      <c r="AW95" s="295">
        <f>'CAR Passenger Kilometres'!Q95*'CAR Stock'!Q145</f>
        <v>0</v>
      </c>
      <c r="AX95" s="295">
        <f>'CAR Passenger Kilometres'!R95*'CAR Stock'!R145</f>
        <v>0</v>
      </c>
      <c r="AY95" s="295">
        <f>'CAR Passenger Kilometres'!S95*'CAR Stock'!S145</f>
        <v>0</v>
      </c>
      <c r="AZ95" s="295">
        <f>'CAR Passenger Kilometres'!T95*'CAR Stock'!T145</f>
        <v>0</v>
      </c>
      <c r="BA95" s="295">
        <f>'CAR Passenger Kilometres'!U95*'CAR Stock'!U145</f>
        <v>0</v>
      </c>
      <c r="BB95" s="295">
        <f>'CAR Passenger Kilometres'!V95*'CAR Stock'!V145</f>
        <v>0</v>
      </c>
      <c r="BC95" s="295">
        <f>'CAR Passenger Kilometres'!W95*'CAR Stock'!W145</f>
        <v>0</v>
      </c>
      <c r="BD95" s="295">
        <f>'CAR Passenger Kilometres'!X95*'CAR Stock'!X145</f>
        <v>0</v>
      </c>
      <c r="BE95" s="295">
        <f>'CAR Passenger Kilometres'!Y95*'CAR Stock'!Y145</f>
        <v>0</v>
      </c>
      <c r="BF95" s="295">
        <f>'CAR Passenger Kilometres'!Z95*'CAR Stock'!Z145</f>
        <v>0</v>
      </c>
      <c r="BG95" s="295">
        <f>'CAR Passenger Kilometres'!AA95*'CAR Stock'!AA145</f>
        <v>0</v>
      </c>
      <c r="BH95" s="295">
        <f>'CAR Passenger Kilometres'!AB95*'CAR Stock'!AB145</f>
        <v>0</v>
      </c>
      <c r="BI95" s="295">
        <f>'CAR Passenger Kilometres'!AC95*'CAR Stock'!AC145</f>
        <v>0</v>
      </c>
      <c r="BJ95" s="295">
        <f>'CAR Passenger Kilometres'!AD95*'CAR Stock'!AD145</f>
        <v>0</v>
      </c>
      <c r="BK95" s="296">
        <f>'CAR Passenger Kilometres'!AE95*'CAR Stock'!AE145</f>
        <v>0</v>
      </c>
    </row>
    <row r="96" spans="1:63">
      <c r="A96" s="1711"/>
      <c r="B96" s="116">
        <v>6</v>
      </c>
      <c r="C96" s="294">
        <f>'CAR Mileage'!C117*CAR!$I$58</f>
        <v>24639.75170937517</v>
      </c>
      <c r="D96" s="295">
        <f>'CAR Mileage'!D117*CAR!$I$58</f>
        <v>24639.75170937517</v>
      </c>
      <c r="E96" s="295">
        <f>'CAR Mileage'!E117*CAR!$I$58</f>
        <v>24639.75170937517</v>
      </c>
      <c r="F96" s="295">
        <f>'CAR Mileage'!F117*CAR!$I$58</f>
        <v>24639.75170937517</v>
      </c>
      <c r="G96" s="295">
        <f>'CAR Mileage'!G117*CAR!$I$58</f>
        <v>24639.75170937517</v>
      </c>
      <c r="H96" s="295">
        <f>'CAR Mileage'!H117*CAR!$I$58</f>
        <v>24639.75170937517</v>
      </c>
      <c r="I96" s="295">
        <f>'CAR Mileage'!I117*CAR!$I$58</f>
        <v>24639.75170937517</v>
      </c>
      <c r="J96" s="295">
        <f>'CAR Mileage'!J117*CAR!$I$58</f>
        <v>24639.75170937517</v>
      </c>
      <c r="K96" s="295">
        <f>'CAR Mileage'!K117*CAR!$I$58</f>
        <v>24639.75170937517</v>
      </c>
      <c r="L96" s="295">
        <f>'CAR Mileage'!L117*CAR!$I$58</f>
        <v>24639.75170937517</v>
      </c>
      <c r="M96" s="295">
        <f>'CAR Mileage'!M117*CAR!$I$58</f>
        <v>24639.75170937517</v>
      </c>
      <c r="N96" s="295">
        <f>'CAR Mileage'!N117*CAR!$I$58</f>
        <v>24639.75170937517</v>
      </c>
      <c r="O96" s="295">
        <f>'CAR Mileage'!O117*CAR!$I$58</f>
        <v>24639.75170937517</v>
      </c>
      <c r="P96" s="295">
        <f>'CAR Mileage'!P117*CAR!$I$58</f>
        <v>24639.75170937517</v>
      </c>
      <c r="Q96" s="295">
        <f>'CAR Mileage'!Q117*CAR!$I$58</f>
        <v>24639.75170937517</v>
      </c>
      <c r="R96" s="295">
        <f>'CAR Mileage'!R117*CAR!$I$58</f>
        <v>24639.75170937517</v>
      </c>
      <c r="S96" s="295">
        <f>'CAR Mileage'!S117*CAR!$I$58</f>
        <v>24639.75170937517</v>
      </c>
      <c r="T96" s="295">
        <f>'CAR Mileage'!T117*CAR!$I$58</f>
        <v>24639.75170937517</v>
      </c>
      <c r="U96" s="295">
        <f>'CAR Mileage'!U117*CAR!$I$58</f>
        <v>24639.75170937517</v>
      </c>
      <c r="V96" s="295">
        <f>'CAR Mileage'!V117*CAR!$I$58</f>
        <v>24639.75170937517</v>
      </c>
      <c r="W96" s="295">
        <f>'CAR Mileage'!W117*CAR!$I$58</f>
        <v>24639.75170937517</v>
      </c>
      <c r="X96" s="295">
        <f>'CAR Mileage'!X117*CAR!$I$58</f>
        <v>24639.75170937517</v>
      </c>
      <c r="Y96" s="295">
        <f>'CAR Mileage'!Y117*CAR!$I$58</f>
        <v>24639.75170937517</v>
      </c>
      <c r="Z96" s="295">
        <f>'CAR Mileage'!Z117*CAR!$I$58</f>
        <v>24639.75170937517</v>
      </c>
      <c r="AA96" s="295">
        <f>'CAR Mileage'!AA117*CAR!$I$58</f>
        <v>24639.75170937517</v>
      </c>
      <c r="AB96" s="295">
        <f>'CAR Mileage'!AB117*CAR!$I$58</f>
        <v>24639.75170937517</v>
      </c>
      <c r="AC96" s="295">
        <f>'CAR Mileage'!AC117*CAR!$I$58</f>
        <v>24639.75170937517</v>
      </c>
      <c r="AD96" s="295">
        <f>'CAR Mileage'!AD117*CAR!$I$58</f>
        <v>24639.75170937517</v>
      </c>
      <c r="AE96" s="296">
        <f>'CAR Mileage'!AE117*CAR!$I$58</f>
        <v>24639.75170937517</v>
      </c>
      <c r="AG96" s="1711"/>
      <c r="AH96" s="116">
        <v>6</v>
      </c>
      <c r="AI96" s="294">
        <f>'CAR Passenger Kilometres'!C96*'CAR Stock'!C146</f>
        <v>241592765.51042354</v>
      </c>
      <c r="AJ96" s="295">
        <f>'CAR Passenger Kilometres'!D96*'CAR Stock'!D146</f>
        <v>215967423.73267338</v>
      </c>
      <c r="AK96" s="295">
        <f>'CAR Passenger Kilometres'!E96*'CAR Stock'!E146</f>
        <v>121178298.90670709</v>
      </c>
      <c r="AL96" s="295">
        <f>'CAR Passenger Kilometres'!F96*'CAR Stock'!F146</f>
        <v>19292925.588440757</v>
      </c>
      <c r="AM96" s="295">
        <f>'CAR Passenger Kilometres'!G96*'CAR Stock'!G146</f>
        <v>10964689.510671951</v>
      </c>
      <c r="AN96" s="295">
        <f>'CAR Passenger Kilometres'!H96*'CAR Stock'!H146</f>
        <v>4755472.0799094075</v>
      </c>
      <c r="AO96" s="295">
        <f>'CAR Passenger Kilometres'!I96*'CAR Stock'!I146</f>
        <v>2414695.6675187666</v>
      </c>
      <c r="AP96" s="295">
        <f>'CAR Passenger Kilometres'!J96*'CAR Stock'!J146</f>
        <v>0</v>
      </c>
      <c r="AQ96" s="295">
        <f>'CAR Passenger Kilometres'!K96*'CAR Stock'!K146</f>
        <v>0</v>
      </c>
      <c r="AR96" s="295">
        <f>'CAR Passenger Kilometres'!L96*'CAR Stock'!L146</f>
        <v>0</v>
      </c>
      <c r="AS96" s="295">
        <f>'CAR Passenger Kilometres'!M96*'CAR Stock'!M146</f>
        <v>0</v>
      </c>
      <c r="AT96" s="295">
        <f>'CAR Passenger Kilometres'!N96*'CAR Stock'!N146</f>
        <v>0</v>
      </c>
      <c r="AU96" s="295">
        <f>'CAR Passenger Kilometres'!O96*'CAR Stock'!O146</f>
        <v>0</v>
      </c>
      <c r="AV96" s="295">
        <f>'CAR Passenger Kilometres'!P96*'CAR Stock'!P146</f>
        <v>0</v>
      </c>
      <c r="AW96" s="295">
        <f>'CAR Passenger Kilometres'!Q96*'CAR Stock'!Q146</f>
        <v>0</v>
      </c>
      <c r="AX96" s="295">
        <f>'CAR Passenger Kilometres'!R96*'CAR Stock'!R146</f>
        <v>0</v>
      </c>
      <c r="AY96" s="295">
        <f>'CAR Passenger Kilometres'!S96*'CAR Stock'!S146</f>
        <v>0</v>
      </c>
      <c r="AZ96" s="295">
        <f>'CAR Passenger Kilometres'!T96*'CAR Stock'!T146</f>
        <v>0</v>
      </c>
      <c r="BA96" s="295">
        <f>'CAR Passenger Kilometres'!U96*'CAR Stock'!U146</f>
        <v>0</v>
      </c>
      <c r="BB96" s="295">
        <f>'CAR Passenger Kilometres'!V96*'CAR Stock'!V146</f>
        <v>0</v>
      </c>
      <c r="BC96" s="295">
        <f>'CAR Passenger Kilometres'!W96*'CAR Stock'!W146</f>
        <v>0</v>
      </c>
      <c r="BD96" s="295">
        <f>'CAR Passenger Kilometres'!X96*'CAR Stock'!X146</f>
        <v>0</v>
      </c>
      <c r="BE96" s="295">
        <f>'CAR Passenger Kilometres'!Y96*'CAR Stock'!Y146</f>
        <v>0</v>
      </c>
      <c r="BF96" s="295">
        <f>'CAR Passenger Kilometres'!Z96*'CAR Stock'!Z146</f>
        <v>0</v>
      </c>
      <c r="BG96" s="295">
        <f>'CAR Passenger Kilometres'!AA96*'CAR Stock'!AA146</f>
        <v>0</v>
      </c>
      <c r="BH96" s="295">
        <f>'CAR Passenger Kilometres'!AB96*'CAR Stock'!AB146</f>
        <v>0</v>
      </c>
      <c r="BI96" s="295">
        <f>'CAR Passenger Kilometres'!AC96*'CAR Stock'!AC146</f>
        <v>0</v>
      </c>
      <c r="BJ96" s="295">
        <f>'CAR Passenger Kilometres'!AD96*'CAR Stock'!AD146</f>
        <v>0</v>
      </c>
      <c r="BK96" s="296">
        <f>'CAR Passenger Kilometres'!AE96*'CAR Stock'!AE146</f>
        <v>0</v>
      </c>
    </row>
    <row r="97" spans="1:63">
      <c r="A97" s="1711"/>
      <c r="B97" s="116">
        <v>7</v>
      </c>
      <c r="C97" s="294">
        <f>'CAR Mileage'!C118*CAR!$I$58</f>
        <v>24146.956675187666</v>
      </c>
      <c r="D97" s="295">
        <f>'CAR Mileage'!D118*CAR!$I$58</f>
        <v>24146.956675187666</v>
      </c>
      <c r="E97" s="295">
        <f>'CAR Mileage'!E118*CAR!$I$58</f>
        <v>24146.956675187666</v>
      </c>
      <c r="F97" s="295">
        <f>'CAR Mileage'!F118*CAR!$I$58</f>
        <v>24146.956675187666</v>
      </c>
      <c r="G97" s="295">
        <f>'CAR Mileage'!G118*CAR!$I$58</f>
        <v>24146.956675187666</v>
      </c>
      <c r="H97" s="295">
        <f>'CAR Mileage'!H118*CAR!$I$58</f>
        <v>24146.956675187666</v>
      </c>
      <c r="I97" s="295">
        <f>'CAR Mileage'!I118*CAR!$I$58</f>
        <v>24146.956675187666</v>
      </c>
      <c r="J97" s="295">
        <f>'CAR Mileage'!J118*CAR!$I$58</f>
        <v>24146.956675187666</v>
      </c>
      <c r="K97" s="295">
        <f>'CAR Mileage'!K118*CAR!$I$58</f>
        <v>24146.956675187666</v>
      </c>
      <c r="L97" s="295">
        <f>'CAR Mileage'!L118*CAR!$I$58</f>
        <v>24146.956675187666</v>
      </c>
      <c r="M97" s="295">
        <f>'CAR Mileage'!M118*CAR!$I$58</f>
        <v>24146.956675187666</v>
      </c>
      <c r="N97" s="295">
        <f>'CAR Mileage'!N118*CAR!$I$58</f>
        <v>24146.956675187666</v>
      </c>
      <c r="O97" s="295">
        <f>'CAR Mileage'!O118*CAR!$I$58</f>
        <v>24146.956675187666</v>
      </c>
      <c r="P97" s="295">
        <f>'CAR Mileage'!P118*CAR!$I$58</f>
        <v>24146.956675187666</v>
      </c>
      <c r="Q97" s="295">
        <f>'CAR Mileage'!Q118*CAR!$I$58</f>
        <v>24146.956675187666</v>
      </c>
      <c r="R97" s="295">
        <f>'CAR Mileage'!R118*CAR!$I$58</f>
        <v>24146.956675187666</v>
      </c>
      <c r="S97" s="295">
        <f>'CAR Mileage'!S118*CAR!$I$58</f>
        <v>24146.956675187666</v>
      </c>
      <c r="T97" s="295">
        <f>'CAR Mileage'!T118*CAR!$I$58</f>
        <v>24146.956675187666</v>
      </c>
      <c r="U97" s="295">
        <f>'CAR Mileage'!U118*CAR!$I$58</f>
        <v>24146.956675187666</v>
      </c>
      <c r="V97" s="295">
        <f>'CAR Mileage'!V118*CAR!$I$58</f>
        <v>24146.956675187666</v>
      </c>
      <c r="W97" s="295">
        <f>'CAR Mileage'!W118*CAR!$I$58</f>
        <v>24146.956675187666</v>
      </c>
      <c r="X97" s="295">
        <f>'CAR Mileage'!X118*CAR!$I$58</f>
        <v>24146.956675187666</v>
      </c>
      <c r="Y97" s="295">
        <f>'CAR Mileage'!Y118*CAR!$I$58</f>
        <v>24146.956675187666</v>
      </c>
      <c r="Z97" s="295">
        <f>'CAR Mileage'!Z118*CAR!$I$58</f>
        <v>24146.956675187666</v>
      </c>
      <c r="AA97" s="295">
        <f>'CAR Mileage'!AA118*CAR!$I$58</f>
        <v>24146.956675187666</v>
      </c>
      <c r="AB97" s="295">
        <f>'CAR Mileage'!AB118*CAR!$I$58</f>
        <v>24146.956675187666</v>
      </c>
      <c r="AC97" s="295">
        <f>'CAR Mileage'!AC118*CAR!$I$58</f>
        <v>24146.956675187666</v>
      </c>
      <c r="AD97" s="295">
        <f>'CAR Mileage'!AD118*CAR!$I$58</f>
        <v>24146.956675187666</v>
      </c>
      <c r="AE97" s="296">
        <f>'CAR Mileage'!AE118*CAR!$I$58</f>
        <v>24146.956675187666</v>
      </c>
      <c r="AG97" s="1711"/>
      <c r="AH97" s="116">
        <v>7</v>
      </c>
      <c r="AI97" s="294">
        <f>'CAR Passenger Kilometres'!C97*'CAR Stock'!C147</f>
        <v>218071165.73361981</v>
      </c>
      <c r="AJ97" s="295">
        <f>'CAR Passenger Kilometres'!D97*'CAR Stock'!D147</f>
        <v>236760910.20021507</v>
      </c>
      <c r="AK97" s="295">
        <f>'CAR Passenger Kilometres'!E97*'CAR Stock'!E147</f>
        <v>211648075.25801989</v>
      </c>
      <c r="AL97" s="295">
        <f>'CAR Passenger Kilometres'!F97*'CAR Stock'!F147</f>
        <v>118754732.92857294</v>
      </c>
      <c r="AM97" s="295">
        <f>'CAR Passenger Kilometres'!G97*'CAR Stock'!G147</f>
        <v>18907067.076671943</v>
      </c>
      <c r="AN97" s="295">
        <f>'CAR Passenger Kilometres'!H97*'CAR Stock'!H147</f>
        <v>10745395.720458511</v>
      </c>
      <c r="AO97" s="295">
        <f>'CAR Passenger Kilometres'!I97*'CAR Stock'!I147</f>
        <v>4660362.6383112194</v>
      </c>
      <c r="AP97" s="295">
        <f>'CAR Passenger Kilometres'!J97*'CAR Stock'!J147</f>
        <v>2366401.7541683912</v>
      </c>
      <c r="AQ97" s="295">
        <f>'CAR Passenger Kilometres'!K97*'CAR Stock'!K147</f>
        <v>0</v>
      </c>
      <c r="AR97" s="295">
        <f>'CAR Passenger Kilometres'!L97*'CAR Stock'!L147</f>
        <v>0</v>
      </c>
      <c r="AS97" s="295">
        <f>'CAR Passenger Kilometres'!M97*'CAR Stock'!M147</f>
        <v>0</v>
      </c>
      <c r="AT97" s="295">
        <f>'CAR Passenger Kilometres'!N97*'CAR Stock'!N147</f>
        <v>0</v>
      </c>
      <c r="AU97" s="295">
        <f>'CAR Passenger Kilometres'!O97*'CAR Stock'!O147</f>
        <v>0</v>
      </c>
      <c r="AV97" s="295">
        <f>'CAR Passenger Kilometres'!P97*'CAR Stock'!P147</f>
        <v>0</v>
      </c>
      <c r="AW97" s="295">
        <f>'CAR Passenger Kilometres'!Q97*'CAR Stock'!Q147</f>
        <v>0</v>
      </c>
      <c r="AX97" s="295">
        <f>'CAR Passenger Kilometres'!R97*'CAR Stock'!R147</f>
        <v>0</v>
      </c>
      <c r="AY97" s="295">
        <f>'CAR Passenger Kilometres'!S97*'CAR Stock'!S147</f>
        <v>0</v>
      </c>
      <c r="AZ97" s="295">
        <f>'CAR Passenger Kilometres'!T97*'CAR Stock'!T147</f>
        <v>0</v>
      </c>
      <c r="BA97" s="295">
        <f>'CAR Passenger Kilometres'!U97*'CAR Stock'!U147</f>
        <v>0</v>
      </c>
      <c r="BB97" s="295">
        <f>'CAR Passenger Kilometres'!V97*'CAR Stock'!V147</f>
        <v>0</v>
      </c>
      <c r="BC97" s="295">
        <f>'CAR Passenger Kilometres'!W97*'CAR Stock'!W147</f>
        <v>0</v>
      </c>
      <c r="BD97" s="295">
        <f>'CAR Passenger Kilometres'!X97*'CAR Stock'!X147</f>
        <v>0</v>
      </c>
      <c r="BE97" s="295">
        <f>'CAR Passenger Kilometres'!Y97*'CAR Stock'!Y147</f>
        <v>0</v>
      </c>
      <c r="BF97" s="295">
        <f>'CAR Passenger Kilometres'!Z97*'CAR Stock'!Z147</f>
        <v>0</v>
      </c>
      <c r="BG97" s="295">
        <f>'CAR Passenger Kilometres'!AA97*'CAR Stock'!AA147</f>
        <v>0</v>
      </c>
      <c r="BH97" s="295">
        <f>'CAR Passenger Kilometres'!AB97*'CAR Stock'!AB147</f>
        <v>0</v>
      </c>
      <c r="BI97" s="295">
        <f>'CAR Passenger Kilometres'!AC97*'CAR Stock'!AC147</f>
        <v>0</v>
      </c>
      <c r="BJ97" s="295">
        <f>'CAR Passenger Kilometres'!AD97*'CAR Stock'!AD147</f>
        <v>0</v>
      </c>
      <c r="BK97" s="296">
        <f>'CAR Passenger Kilometres'!AE97*'CAR Stock'!AE147</f>
        <v>0</v>
      </c>
    </row>
    <row r="98" spans="1:63">
      <c r="A98" s="1711"/>
      <c r="B98" s="116">
        <v>8</v>
      </c>
      <c r="C98" s="294">
        <f>'CAR Mileage'!C119*CAR!$I$58</f>
        <v>23664.017541683912</v>
      </c>
      <c r="D98" s="295">
        <f>'CAR Mileage'!D119*CAR!$I$58</f>
        <v>23664.017541683912</v>
      </c>
      <c r="E98" s="295">
        <f>'CAR Mileage'!E119*CAR!$I$58</f>
        <v>23664.017541683912</v>
      </c>
      <c r="F98" s="295">
        <f>'CAR Mileage'!F119*CAR!$I$58</f>
        <v>23664.017541683912</v>
      </c>
      <c r="G98" s="295">
        <f>'CAR Mileage'!G119*CAR!$I$58</f>
        <v>23664.017541683912</v>
      </c>
      <c r="H98" s="295">
        <f>'CAR Mileage'!H119*CAR!$I$58</f>
        <v>23664.017541683912</v>
      </c>
      <c r="I98" s="295">
        <f>'CAR Mileage'!I119*CAR!$I$58</f>
        <v>23664.017541683912</v>
      </c>
      <c r="J98" s="295">
        <f>'CAR Mileage'!J119*CAR!$I$58</f>
        <v>23664.017541683912</v>
      </c>
      <c r="K98" s="295">
        <f>'CAR Mileage'!K119*CAR!$I$58</f>
        <v>23664.017541683912</v>
      </c>
      <c r="L98" s="295">
        <f>'CAR Mileage'!L119*CAR!$I$58</f>
        <v>23664.017541683912</v>
      </c>
      <c r="M98" s="295">
        <f>'CAR Mileage'!M119*CAR!$I$58</f>
        <v>23664.017541683912</v>
      </c>
      <c r="N98" s="295">
        <f>'CAR Mileage'!N119*CAR!$I$58</f>
        <v>23664.017541683912</v>
      </c>
      <c r="O98" s="295">
        <f>'CAR Mileage'!O119*CAR!$I$58</f>
        <v>23664.017541683912</v>
      </c>
      <c r="P98" s="295">
        <f>'CAR Mileage'!P119*CAR!$I$58</f>
        <v>23664.017541683912</v>
      </c>
      <c r="Q98" s="295">
        <f>'CAR Mileage'!Q119*CAR!$I$58</f>
        <v>23664.017541683912</v>
      </c>
      <c r="R98" s="295">
        <f>'CAR Mileage'!R119*CAR!$I$58</f>
        <v>23664.017541683912</v>
      </c>
      <c r="S98" s="295">
        <f>'CAR Mileage'!S119*CAR!$I$58</f>
        <v>23664.017541683912</v>
      </c>
      <c r="T98" s="295">
        <f>'CAR Mileage'!T119*CAR!$I$58</f>
        <v>23664.017541683912</v>
      </c>
      <c r="U98" s="295">
        <f>'CAR Mileage'!U119*CAR!$I$58</f>
        <v>23664.017541683912</v>
      </c>
      <c r="V98" s="295">
        <f>'CAR Mileage'!V119*CAR!$I$58</f>
        <v>23664.017541683912</v>
      </c>
      <c r="W98" s="295">
        <f>'CAR Mileage'!W119*CAR!$I$58</f>
        <v>23664.017541683912</v>
      </c>
      <c r="X98" s="295">
        <f>'CAR Mileage'!X119*CAR!$I$58</f>
        <v>23664.017541683912</v>
      </c>
      <c r="Y98" s="295">
        <f>'CAR Mileage'!Y119*CAR!$I$58</f>
        <v>23664.017541683912</v>
      </c>
      <c r="Z98" s="295">
        <f>'CAR Mileage'!Z119*CAR!$I$58</f>
        <v>23664.017541683912</v>
      </c>
      <c r="AA98" s="295">
        <f>'CAR Mileage'!AA119*CAR!$I$58</f>
        <v>23664.017541683912</v>
      </c>
      <c r="AB98" s="295">
        <f>'CAR Mileage'!AB119*CAR!$I$58</f>
        <v>23664.017541683912</v>
      </c>
      <c r="AC98" s="295">
        <f>'CAR Mileage'!AC119*CAR!$I$58</f>
        <v>23664.017541683912</v>
      </c>
      <c r="AD98" s="295">
        <f>'CAR Mileage'!AD119*CAR!$I$58</f>
        <v>23664.017541683912</v>
      </c>
      <c r="AE98" s="296">
        <f>'CAR Mileage'!AE119*CAR!$I$58</f>
        <v>23664.017541683912</v>
      </c>
      <c r="AG98" s="1711"/>
      <c r="AH98" s="116">
        <v>8</v>
      </c>
      <c r="AI98" s="294">
        <f>'CAR Passenger Kilometres'!C98*'CAR Stock'!C148</f>
        <v>213993710.62944761</v>
      </c>
      <c r="AJ98" s="295">
        <f>'CAR Passenger Kilometres'!D98*'CAR Stock'!D148</f>
        <v>213709742.4189474</v>
      </c>
      <c r="AK98" s="295">
        <f>'CAR Passenger Kilometres'!E98*'CAR Stock'!E148</f>
        <v>232025691.99621075</v>
      </c>
      <c r="AL98" s="295">
        <f>'CAR Passenger Kilometres'!F98*'CAR Stock'!F148</f>
        <v>207415113.7528595</v>
      </c>
      <c r="AM98" s="295">
        <f>'CAR Passenger Kilometres'!G98*'CAR Stock'!G148</f>
        <v>116379638.27000149</v>
      </c>
      <c r="AN98" s="295">
        <f>'CAR Passenger Kilometres'!H98*'CAR Stock'!H148</f>
        <v>18528925.735138502</v>
      </c>
      <c r="AO98" s="295">
        <f>'CAR Passenger Kilometres'!I98*'CAR Stock'!I148</f>
        <v>10530487.806049341</v>
      </c>
      <c r="AP98" s="295">
        <f>'CAR Passenger Kilometres'!J98*'CAR Stock'!J148</f>
        <v>4567155.3855449948</v>
      </c>
      <c r="AQ98" s="295">
        <f>'CAR Passenger Kilometres'!K98*'CAR Stock'!K148</f>
        <v>2319073.7190850233</v>
      </c>
      <c r="AR98" s="295">
        <f>'CAR Passenger Kilometres'!L98*'CAR Stock'!L148</f>
        <v>0</v>
      </c>
      <c r="AS98" s="295">
        <f>'CAR Passenger Kilometres'!M98*'CAR Stock'!M148</f>
        <v>0</v>
      </c>
      <c r="AT98" s="295">
        <f>'CAR Passenger Kilometres'!N98*'CAR Stock'!N148</f>
        <v>0</v>
      </c>
      <c r="AU98" s="295">
        <f>'CAR Passenger Kilometres'!O98*'CAR Stock'!O148</f>
        <v>0</v>
      </c>
      <c r="AV98" s="295">
        <f>'CAR Passenger Kilometres'!P98*'CAR Stock'!P148</f>
        <v>0</v>
      </c>
      <c r="AW98" s="295">
        <f>'CAR Passenger Kilometres'!Q98*'CAR Stock'!Q148</f>
        <v>0</v>
      </c>
      <c r="AX98" s="295">
        <f>'CAR Passenger Kilometres'!R98*'CAR Stock'!R148</f>
        <v>0</v>
      </c>
      <c r="AY98" s="295">
        <f>'CAR Passenger Kilometres'!S98*'CAR Stock'!S148</f>
        <v>0</v>
      </c>
      <c r="AZ98" s="295">
        <f>'CAR Passenger Kilometres'!T98*'CAR Stock'!T148</f>
        <v>0</v>
      </c>
      <c r="BA98" s="295">
        <f>'CAR Passenger Kilometres'!U98*'CAR Stock'!U148</f>
        <v>0</v>
      </c>
      <c r="BB98" s="295">
        <f>'CAR Passenger Kilometres'!V98*'CAR Stock'!V148</f>
        <v>0</v>
      </c>
      <c r="BC98" s="295">
        <f>'CAR Passenger Kilometres'!W98*'CAR Stock'!W148</f>
        <v>0</v>
      </c>
      <c r="BD98" s="295">
        <f>'CAR Passenger Kilometres'!X98*'CAR Stock'!X148</f>
        <v>0</v>
      </c>
      <c r="BE98" s="295">
        <f>'CAR Passenger Kilometres'!Y98*'CAR Stock'!Y148</f>
        <v>0</v>
      </c>
      <c r="BF98" s="295">
        <f>'CAR Passenger Kilometres'!Z98*'CAR Stock'!Z148</f>
        <v>0</v>
      </c>
      <c r="BG98" s="295">
        <f>'CAR Passenger Kilometres'!AA98*'CAR Stock'!AA148</f>
        <v>0</v>
      </c>
      <c r="BH98" s="295">
        <f>'CAR Passenger Kilometres'!AB98*'CAR Stock'!AB148</f>
        <v>0</v>
      </c>
      <c r="BI98" s="295">
        <f>'CAR Passenger Kilometres'!AC98*'CAR Stock'!AC148</f>
        <v>0</v>
      </c>
      <c r="BJ98" s="295">
        <f>'CAR Passenger Kilometres'!AD98*'CAR Stock'!AD148</f>
        <v>0</v>
      </c>
      <c r="BK98" s="296">
        <f>'CAR Passenger Kilometres'!AE98*'CAR Stock'!AE148</f>
        <v>0</v>
      </c>
    </row>
    <row r="99" spans="1:63">
      <c r="A99" s="1711"/>
      <c r="B99" s="116">
        <v>9</v>
      </c>
      <c r="C99" s="294">
        <f>'CAR Mileage'!C120*CAR!$I$58</f>
        <v>23190.737190850235</v>
      </c>
      <c r="D99" s="295">
        <f>'CAR Mileage'!D120*CAR!$I$58</f>
        <v>23190.737190850235</v>
      </c>
      <c r="E99" s="295">
        <f>'CAR Mileage'!E120*CAR!$I$58</f>
        <v>23190.737190850235</v>
      </c>
      <c r="F99" s="295">
        <f>'CAR Mileage'!F120*CAR!$I$58</f>
        <v>23190.737190850235</v>
      </c>
      <c r="G99" s="295">
        <f>'CAR Mileage'!G120*CAR!$I$58</f>
        <v>23190.737190850235</v>
      </c>
      <c r="H99" s="295">
        <f>'CAR Mileage'!H120*CAR!$I$58</f>
        <v>23190.737190850235</v>
      </c>
      <c r="I99" s="295">
        <f>'CAR Mileage'!I120*CAR!$I$58</f>
        <v>23190.737190850235</v>
      </c>
      <c r="J99" s="295">
        <f>'CAR Mileage'!J120*CAR!$I$58</f>
        <v>23190.737190850235</v>
      </c>
      <c r="K99" s="295">
        <f>'CAR Mileage'!K120*CAR!$I$58</f>
        <v>23190.737190850235</v>
      </c>
      <c r="L99" s="295">
        <f>'CAR Mileage'!L120*CAR!$I$58</f>
        <v>23190.737190850235</v>
      </c>
      <c r="M99" s="295">
        <f>'CAR Mileage'!M120*CAR!$I$58</f>
        <v>23190.737190850235</v>
      </c>
      <c r="N99" s="295">
        <f>'CAR Mileage'!N120*CAR!$I$58</f>
        <v>23190.737190850235</v>
      </c>
      <c r="O99" s="295">
        <f>'CAR Mileage'!O120*CAR!$I$58</f>
        <v>23190.737190850235</v>
      </c>
      <c r="P99" s="295">
        <f>'CAR Mileage'!P120*CAR!$I$58</f>
        <v>23190.737190850235</v>
      </c>
      <c r="Q99" s="295">
        <f>'CAR Mileage'!Q120*CAR!$I$58</f>
        <v>23190.737190850235</v>
      </c>
      <c r="R99" s="295">
        <f>'CAR Mileage'!R120*CAR!$I$58</f>
        <v>23190.737190850235</v>
      </c>
      <c r="S99" s="295">
        <f>'CAR Mileage'!S120*CAR!$I$58</f>
        <v>23190.737190850235</v>
      </c>
      <c r="T99" s="295">
        <f>'CAR Mileage'!T120*CAR!$I$58</f>
        <v>23190.737190850235</v>
      </c>
      <c r="U99" s="295">
        <f>'CAR Mileage'!U120*CAR!$I$58</f>
        <v>23190.737190850235</v>
      </c>
      <c r="V99" s="295">
        <f>'CAR Mileage'!V120*CAR!$I$58</f>
        <v>23190.737190850235</v>
      </c>
      <c r="W99" s="295">
        <f>'CAR Mileage'!W120*CAR!$I$58</f>
        <v>23190.737190850235</v>
      </c>
      <c r="X99" s="295">
        <f>'CAR Mileage'!X120*CAR!$I$58</f>
        <v>23190.737190850235</v>
      </c>
      <c r="Y99" s="295">
        <f>'CAR Mileage'!Y120*CAR!$I$58</f>
        <v>23190.737190850235</v>
      </c>
      <c r="Z99" s="295">
        <f>'CAR Mileage'!Z120*CAR!$I$58</f>
        <v>23190.737190850235</v>
      </c>
      <c r="AA99" s="295">
        <f>'CAR Mileage'!AA120*CAR!$I$58</f>
        <v>23190.737190850235</v>
      </c>
      <c r="AB99" s="295">
        <f>'CAR Mileage'!AB120*CAR!$I$58</f>
        <v>23190.737190850235</v>
      </c>
      <c r="AC99" s="295">
        <f>'CAR Mileage'!AC120*CAR!$I$58</f>
        <v>23190.737190850235</v>
      </c>
      <c r="AD99" s="295">
        <f>'CAR Mileage'!AD120*CAR!$I$58</f>
        <v>23190.737190850235</v>
      </c>
      <c r="AE99" s="296">
        <f>'CAR Mileage'!AE120*CAR!$I$58</f>
        <v>23190.737190850235</v>
      </c>
      <c r="AG99" s="1711"/>
      <c r="AH99" s="116">
        <v>9</v>
      </c>
      <c r="AI99" s="294">
        <f>'CAR Passenger Kilometres'!C99*'CAR Stock'!C149</f>
        <v>206490323.9473305</v>
      </c>
      <c r="AJ99" s="295">
        <f>'CAR Passenger Kilometres'!D99*'CAR Stock'!D149</f>
        <v>204045226.45239422</v>
      </c>
      <c r="AK99" s="295">
        <f>'CAR Passenger Kilometres'!E99*'CAR Stock'!E149</f>
        <v>203774459.81328899</v>
      </c>
      <c r="AL99" s="295">
        <f>'CAR Passenger Kilometres'!F99*'CAR Stock'!F149</f>
        <v>221238908.03557727</v>
      </c>
      <c r="AM99" s="295">
        <f>'CAR Passenger Kilometres'!G99*'CAR Stock'!G149</f>
        <v>197772465.97978938</v>
      </c>
      <c r="AN99" s="295">
        <f>'CAR Passenger Kilometres'!H99*'CAR Stock'!H149</f>
        <v>110969194.25996624</v>
      </c>
      <c r="AO99" s="295">
        <f>'CAR Passenger Kilometres'!I99*'CAR Stock'!I149</f>
        <v>17667523.201617237</v>
      </c>
      <c r="AP99" s="295">
        <f>'CAR Passenger Kilometres'!J99*'CAR Stock'!J149</f>
        <v>10040929.533486169</v>
      </c>
      <c r="AQ99" s="295">
        <f>'CAR Passenger Kilometres'!K99*'CAR Stock'!K149</f>
        <v>4354830.1122760242</v>
      </c>
      <c r="AR99" s="295">
        <f>'CAR Passenger Kilometres'!L99*'CAR Stock'!L149</f>
        <v>2211260.8860261673</v>
      </c>
      <c r="AS99" s="295">
        <f>'CAR Passenger Kilometres'!M99*'CAR Stock'!M149</f>
        <v>0</v>
      </c>
      <c r="AT99" s="295">
        <f>'CAR Passenger Kilometres'!N99*'CAR Stock'!N149</f>
        <v>0</v>
      </c>
      <c r="AU99" s="295">
        <f>'CAR Passenger Kilometres'!O99*'CAR Stock'!O149</f>
        <v>0</v>
      </c>
      <c r="AV99" s="295">
        <f>'CAR Passenger Kilometres'!P99*'CAR Stock'!P149</f>
        <v>0</v>
      </c>
      <c r="AW99" s="295">
        <f>'CAR Passenger Kilometres'!Q99*'CAR Stock'!Q149</f>
        <v>0</v>
      </c>
      <c r="AX99" s="295">
        <f>'CAR Passenger Kilometres'!R99*'CAR Stock'!R149</f>
        <v>0</v>
      </c>
      <c r="AY99" s="295">
        <f>'CAR Passenger Kilometres'!S99*'CAR Stock'!S149</f>
        <v>0</v>
      </c>
      <c r="AZ99" s="295">
        <f>'CAR Passenger Kilometres'!T99*'CAR Stock'!T149</f>
        <v>0</v>
      </c>
      <c r="BA99" s="295">
        <f>'CAR Passenger Kilometres'!U99*'CAR Stock'!U149</f>
        <v>0</v>
      </c>
      <c r="BB99" s="295">
        <f>'CAR Passenger Kilometres'!V99*'CAR Stock'!V149</f>
        <v>0</v>
      </c>
      <c r="BC99" s="295">
        <f>'CAR Passenger Kilometres'!W99*'CAR Stock'!W149</f>
        <v>0</v>
      </c>
      <c r="BD99" s="295">
        <f>'CAR Passenger Kilometres'!X99*'CAR Stock'!X149</f>
        <v>0</v>
      </c>
      <c r="BE99" s="295">
        <f>'CAR Passenger Kilometres'!Y99*'CAR Stock'!Y149</f>
        <v>0</v>
      </c>
      <c r="BF99" s="295">
        <f>'CAR Passenger Kilometres'!Z99*'CAR Stock'!Z149</f>
        <v>0</v>
      </c>
      <c r="BG99" s="295">
        <f>'CAR Passenger Kilometres'!AA99*'CAR Stock'!AA149</f>
        <v>0</v>
      </c>
      <c r="BH99" s="295">
        <f>'CAR Passenger Kilometres'!AB99*'CAR Stock'!AB149</f>
        <v>0</v>
      </c>
      <c r="BI99" s="295">
        <f>'CAR Passenger Kilometres'!AC99*'CAR Stock'!AC149</f>
        <v>0</v>
      </c>
      <c r="BJ99" s="295">
        <f>'CAR Passenger Kilometres'!AD99*'CAR Stock'!AD149</f>
        <v>0</v>
      </c>
      <c r="BK99" s="296">
        <f>'CAR Passenger Kilometres'!AE99*'CAR Stock'!AE149</f>
        <v>0</v>
      </c>
    </row>
    <row r="100" spans="1:63">
      <c r="A100" s="1711"/>
      <c r="B100" s="116">
        <v>10</v>
      </c>
      <c r="C100" s="294">
        <f>'CAR Mileage'!C121*CAR!$I$58</f>
        <v>22726.922447033226</v>
      </c>
      <c r="D100" s="295">
        <f>'CAR Mileage'!D121*CAR!$I$58</f>
        <v>22726.922447033226</v>
      </c>
      <c r="E100" s="295">
        <f>'CAR Mileage'!E121*CAR!$I$58</f>
        <v>22726.922447033226</v>
      </c>
      <c r="F100" s="295">
        <f>'CAR Mileage'!F121*CAR!$I$58</f>
        <v>22726.922447033226</v>
      </c>
      <c r="G100" s="295">
        <f>'CAR Mileage'!G121*CAR!$I$58</f>
        <v>22726.922447033226</v>
      </c>
      <c r="H100" s="295">
        <f>'CAR Mileage'!H121*CAR!$I$58</f>
        <v>22726.922447033226</v>
      </c>
      <c r="I100" s="295">
        <f>'CAR Mileage'!I121*CAR!$I$58</f>
        <v>22726.922447033226</v>
      </c>
      <c r="J100" s="295">
        <f>'CAR Mileage'!J121*CAR!$I$58</f>
        <v>22726.922447033226</v>
      </c>
      <c r="K100" s="295">
        <f>'CAR Mileage'!K121*CAR!$I$58</f>
        <v>22726.922447033226</v>
      </c>
      <c r="L100" s="295">
        <f>'CAR Mileage'!L121*CAR!$I$58</f>
        <v>22726.922447033226</v>
      </c>
      <c r="M100" s="295">
        <f>'CAR Mileage'!M121*CAR!$I$58</f>
        <v>22726.922447033226</v>
      </c>
      <c r="N100" s="295">
        <f>'CAR Mileage'!N121*CAR!$I$58</f>
        <v>22726.922447033226</v>
      </c>
      <c r="O100" s="295">
        <f>'CAR Mileage'!O121*CAR!$I$58</f>
        <v>22726.922447033226</v>
      </c>
      <c r="P100" s="295">
        <f>'CAR Mileage'!P121*CAR!$I$58</f>
        <v>22726.922447033226</v>
      </c>
      <c r="Q100" s="295">
        <f>'CAR Mileage'!Q121*CAR!$I$58</f>
        <v>22726.922447033226</v>
      </c>
      <c r="R100" s="295">
        <f>'CAR Mileage'!R121*CAR!$I$58</f>
        <v>22726.922447033226</v>
      </c>
      <c r="S100" s="295">
        <f>'CAR Mileage'!S121*CAR!$I$58</f>
        <v>22726.922447033226</v>
      </c>
      <c r="T100" s="295">
        <f>'CAR Mileage'!T121*CAR!$I$58</f>
        <v>22726.922447033226</v>
      </c>
      <c r="U100" s="295">
        <f>'CAR Mileage'!U121*CAR!$I$58</f>
        <v>22726.922447033226</v>
      </c>
      <c r="V100" s="295">
        <f>'CAR Mileage'!V121*CAR!$I$58</f>
        <v>22726.922447033226</v>
      </c>
      <c r="W100" s="295">
        <f>'CAR Mileage'!W121*CAR!$I$58</f>
        <v>22726.922447033226</v>
      </c>
      <c r="X100" s="295">
        <f>'CAR Mileage'!X121*CAR!$I$58</f>
        <v>22726.922447033226</v>
      </c>
      <c r="Y100" s="295">
        <f>'CAR Mileage'!Y121*CAR!$I$58</f>
        <v>22726.922447033226</v>
      </c>
      <c r="Z100" s="295">
        <f>'CAR Mileage'!Z121*CAR!$I$58</f>
        <v>22726.922447033226</v>
      </c>
      <c r="AA100" s="295">
        <f>'CAR Mileage'!AA121*CAR!$I$58</f>
        <v>22726.922447033226</v>
      </c>
      <c r="AB100" s="295">
        <f>'CAR Mileage'!AB121*CAR!$I$58</f>
        <v>22726.922447033226</v>
      </c>
      <c r="AC100" s="295">
        <f>'CAR Mileage'!AC121*CAR!$I$58</f>
        <v>22726.922447033226</v>
      </c>
      <c r="AD100" s="295">
        <f>'CAR Mileage'!AD121*CAR!$I$58</f>
        <v>22726.922447033226</v>
      </c>
      <c r="AE100" s="296">
        <f>'CAR Mileage'!AE121*CAR!$I$58</f>
        <v>22726.922447033226</v>
      </c>
      <c r="AG100" s="1711"/>
      <c r="AH100" s="116">
        <v>10</v>
      </c>
      <c r="AI100" s="294">
        <f>'CAR Passenger Kilometres'!C100*'CAR Stock'!C150</f>
        <v>247700727.75021514</v>
      </c>
      <c r="AJ100" s="295">
        <f>'CAR Passenger Kilometres'!D100*'CAR Stock'!D150</f>
        <v>178553460.24927798</v>
      </c>
      <c r="AK100" s="295">
        <f>'CAR Passenger Kilometres'!E100*'CAR Stock'!E150</f>
        <v>176439169.32260445</v>
      </c>
      <c r="AL100" s="295">
        <f>'CAR Passenger Kilometres'!F100*'CAR Stock'!F150</f>
        <v>176205035.73509246</v>
      </c>
      <c r="AM100" s="295">
        <f>'CAR Passenger Kilometres'!G100*'CAR Stock'!G150</f>
        <v>191306652.12961814</v>
      </c>
      <c r="AN100" s="295">
        <f>'CAR Passenger Kilometres'!H100*'CAR Stock'!H150</f>
        <v>171015074.54524252</v>
      </c>
      <c r="AO100" s="295">
        <f>'CAR Passenger Kilometres'!I100*'CAR Stock'!I150</f>
        <v>95955748.615345433</v>
      </c>
      <c r="AP100" s="295">
        <f>'CAR Passenger Kilometres'!J100*'CAR Stock'!J150</f>
        <v>15277216.585159713</v>
      </c>
      <c r="AQ100" s="295">
        <f>'CAR Passenger Kilometres'!K100*'CAR Stock'!K150</f>
        <v>8682453.870237641</v>
      </c>
      <c r="AR100" s="295">
        <f>'CAR Passenger Kilometres'!L100*'CAR Stock'!L150</f>
        <v>3765648.5324850888</v>
      </c>
      <c r="AS100" s="295">
        <f>'CAR Passenger Kilometres'!M100*'CAR Stock'!M150</f>
        <v>1912090.9646815478</v>
      </c>
      <c r="AT100" s="295">
        <f>'CAR Passenger Kilometres'!N100*'CAR Stock'!N150</f>
        <v>0</v>
      </c>
      <c r="AU100" s="295">
        <f>'CAR Passenger Kilometres'!O100*'CAR Stock'!O150</f>
        <v>0</v>
      </c>
      <c r="AV100" s="295">
        <f>'CAR Passenger Kilometres'!P100*'CAR Stock'!P150</f>
        <v>0</v>
      </c>
      <c r="AW100" s="295">
        <f>'CAR Passenger Kilometres'!Q100*'CAR Stock'!Q150</f>
        <v>0</v>
      </c>
      <c r="AX100" s="295">
        <f>'CAR Passenger Kilometres'!R100*'CAR Stock'!R150</f>
        <v>0</v>
      </c>
      <c r="AY100" s="295">
        <f>'CAR Passenger Kilometres'!S100*'CAR Stock'!S150</f>
        <v>0</v>
      </c>
      <c r="AZ100" s="295">
        <f>'CAR Passenger Kilometres'!T100*'CAR Stock'!T150</f>
        <v>0</v>
      </c>
      <c r="BA100" s="295">
        <f>'CAR Passenger Kilometres'!U100*'CAR Stock'!U150</f>
        <v>0</v>
      </c>
      <c r="BB100" s="295">
        <f>'CAR Passenger Kilometres'!V100*'CAR Stock'!V150</f>
        <v>0</v>
      </c>
      <c r="BC100" s="295">
        <f>'CAR Passenger Kilometres'!W100*'CAR Stock'!W150</f>
        <v>0</v>
      </c>
      <c r="BD100" s="295">
        <f>'CAR Passenger Kilometres'!X100*'CAR Stock'!X150</f>
        <v>0</v>
      </c>
      <c r="BE100" s="295">
        <f>'CAR Passenger Kilometres'!Y100*'CAR Stock'!Y150</f>
        <v>0</v>
      </c>
      <c r="BF100" s="295">
        <f>'CAR Passenger Kilometres'!Z100*'CAR Stock'!Z150</f>
        <v>0</v>
      </c>
      <c r="BG100" s="295">
        <f>'CAR Passenger Kilometres'!AA100*'CAR Stock'!AA150</f>
        <v>0</v>
      </c>
      <c r="BH100" s="295">
        <f>'CAR Passenger Kilometres'!AB100*'CAR Stock'!AB150</f>
        <v>0</v>
      </c>
      <c r="BI100" s="295">
        <f>'CAR Passenger Kilometres'!AC100*'CAR Stock'!AC150</f>
        <v>0</v>
      </c>
      <c r="BJ100" s="295">
        <f>'CAR Passenger Kilometres'!AD100*'CAR Stock'!AD150</f>
        <v>0</v>
      </c>
      <c r="BK100" s="296">
        <f>'CAR Passenger Kilometres'!AE100*'CAR Stock'!AE150</f>
        <v>0</v>
      </c>
    </row>
    <row r="101" spans="1:63">
      <c r="A101" s="1711"/>
      <c r="B101" s="116">
        <v>11</v>
      </c>
      <c r="C101" s="294">
        <f>'CAR Mileage'!C122*CAR!$I$58</f>
        <v>22272.383998092562</v>
      </c>
      <c r="D101" s="295">
        <f>'CAR Mileage'!D122*CAR!$I$58</f>
        <v>22272.383998092562</v>
      </c>
      <c r="E101" s="295">
        <f>'CAR Mileage'!E122*CAR!$I$58</f>
        <v>22272.383998092562</v>
      </c>
      <c r="F101" s="295">
        <f>'CAR Mileage'!F122*CAR!$I$58</f>
        <v>22272.383998092562</v>
      </c>
      <c r="G101" s="295">
        <f>'CAR Mileage'!G122*CAR!$I$58</f>
        <v>22272.383998092562</v>
      </c>
      <c r="H101" s="295">
        <f>'CAR Mileage'!H122*CAR!$I$58</f>
        <v>22272.383998092562</v>
      </c>
      <c r="I101" s="295">
        <f>'CAR Mileage'!I122*CAR!$I$58</f>
        <v>22272.383998092562</v>
      </c>
      <c r="J101" s="295">
        <f>'CAR Mileage'!J122*CAR!$I$58</f>
        <v>22272.383998092562</v>
      </c>
      <c r="K101" s="295">
        <f>'CAR Mileage'!K122*CAR!$I$58</f>
        <v>22272.383998092562</v>
      </c>
      <c r="L101" s="295">
        <f>'CAR Mileage'!L122*CAR!$I$58</f>
        <v>22272.383998092562</v>
      </c>
      <c r="M101" s="295">
        <f>'CAR Mileage'!M122*CAR!$I$58</f>
        <v>22272.383998092562</v>
      </c>
      <c r="N101" s="295">
        <f>'CAR Mileage'!N122*CAR!$I$58</f>
        <v>22272.383998092562</v>
      </c>
      <c r="O101" s="295">
        <f>'CAR Mileage'!O122*CAR!$I$58</f>
        <v>22272.383998092562</v>
      </c>
      <c r="P101" s="295">
        <f>'CAR Mileage'!P122*CAR!$I$58</f>
        <v>22272.383998092562</v>
      </c>
      <c r="Q101" s="295">
        <f>'CAR Mileage'!Q122*CAR!$I$58</f>
        <v>22272.383998092562</v>
      </c>
      <c r="R101" s="295">
        <f>'CAR Mileage'!R122*CAR!$I$58</f>
        <v>22272.383998092562</v>
      </c>
      <c r="S101" s="295">
        <f>'CAR Mileage'!S122*CAR!$I$58</f>
        <v>22272.383998092562</v>
      </c>
      <c r="T101" s="295">
        <f>'CAR Mileage'!T122*CAR!$I$58</f>
        <v>22272.383998092562</v>
      </c>
      <c r="U101" s="295">
        <f>'CAR Mileage'!U122*CAR!$I$58</f>
        <v>22272.383998092562</v>
      </c>
      <c r="V101" s="295">
        <f>'CAR Mileage'!V122*CAR!$I$58</f>
        <v>22272.383998092562</v>
      </c>
      <c r="W101" s="295">
        <f>'CAR Mileage'!W122*CAR!$I$58</f>
        <v>22272.383998092562</v>
      </c>
      <c r="X101" s="295">
        <f>'CAR Mileage'!X122*CAR!$I$58</f>
        <v>22272.383998092562</v>
      </c>
      <c r="Y101" s="295">
        <f>'CAR Mileage'!Y122*CAR!$I$58</f>
        <v>22272.383998092562</v>
      </c>
      <c r="Z101" s="295">
        <f>'CAR Mileage'!Z122*CAR!$I$58</f>
        <v>22272.383998092562</v>
      </c>
      <c r="AA101" s="295">
        <f>'CAR Mileage'!AA122*CAR!$I$58</f>
        <v>22272.383998092562</v>
      </c>
      <c r="AB101" s="295">
        <f>'CAR Mileage'!AB122*CAR!$I$58</f>
        <v>22272.383998092562</v>
      </c>
      <c r="AC101" s="295">
        <f>'CAR Mileage'!AC122*CAR!$I$58</f>
        <v>22272.383998092562</v>
      </c>
      <c r="AD101" s="295">
        <f>'CAR Mileage'!AD122*CAR!$I$58</f>
        <v>22272.383998092562</v>
      </c>
      <c r="AE101" s="296">
        <f>'CAR Mileage'!AE122*CAR!$I$58</f>
        <v>22272.383998092562</v>
      </c>
      <c r="AG101" s="1711"/>
      <c r="AH101" s="116">
        <v>11</v>
      </c>
      <c r="AI101" s="294">
        <f>'CAR Passenger Kilometres'!C101*'CAR Stock'!C151</f>
        <v>208402697.0701521</v>
      </c>
      <c r="AJ101" s="295">
        <f>'CAR Passenger Kilometres'!D101*'CAR Stock'!D151</f>
        <v>186070825.3538627</v>
      </c>
      <c r="AK101" s="295">
        <f>'CAR Passenger Kilometres'!E101*'CAR Stock'!E151</f>
        <v>134127945.52575719</v>
      </c>
      <c r="AL101" s="295">
        <f>'CAR Passenger Kilometres'!F101*'CAR Stock'!F151</f>
        <v>132539706.92291771</v>
      </c>
      <c r="AM101" s="295">
        <f>'CAR Passenger Kilometres'!G101*'CAR Stock'!G151</f>
        <v>132363827.6258841</v>
      </c>
      <c r="AN101" s="295">
        <f>'CAR Passenger Kilometres'!H101*'CAR Stock'!H151</f>
        <v>143708042.28455248</v>
      </c>
      <c r="AO101" s="295">
        <f>'CAR Passenger Kilometres'!I101*'CAR Stock'!I151</f>
        <v>128465169.87497221</v>
      </c>
      <c r="AP101" s="295">
        <f>'CAR Passenger Kilometres'!J101*'CAR Stock'!J151</f>
        <v>72081198.567611337</v>
      </c>
      <c r="AQ101" s="295">
        <f>'CAR Passenger Kilometres'!K101*'CAR Stock'!K151</f>
        <v>11476124.13144361</v>
      </c>
      <c r="AR101" s="295">
        <f>'CAR Passenger Kilometres'!L101*'CAR Stock'!L151</f>
        <v>6522190.5983300209</v>
      </c>
      <c r="AS101" s="295">
        <f>'CAR Passenger Kilometres'!M101*'CAR Stock'!M151</f>
        <v>2828725.3606240316</v>
      </c>
      <c r="AT101" s="295">
        <f>'CAR Passenger Kilometres'!N101*'CAR Stock'!N151</f>
        <v>1436347.5924412182</v>
      </c>
      <c r="AU101" s="295">
        <f>'CAR Passenger Kilometres'!O101*'CAR Stock'!O151</f>
        <v>0</v>
      </c>
      <c r="AV101" s="295">
        <f>'CAR Passenger Kilometres'!P101*'CAR Stock'!P151</f>
        <v>0</v>
      </c>
      <c r="AW101" s="295">
        <f>'CAR Passenger Kilometres'!Q101*'CAR Stock'!Q151</f>
        <v>0</v>
      </c>
      <c r="AX101" s="295">
        <f>'CAR Passenger Kilometres'!R101*'CAR Stock'!R151</f>
        <v>0</v>
      </c>
      <c r="AY101" s="295">
        <f>'CAR Passenger Kilometres'!S101*'CAR Stock'!S151</f>
        <v>0</v>
      </c>
      <c r="AZ101" s="295">
        <f>'CAR Passenger Kilometres'!T101*'CAR Stock'!T151</f>
        <v>0</v>
      </c>
      <c r="BA101" s="295">
        <f>'CAR Passenger Kilometres'!U101*'CAR Stock'!U151</f>
        <v>0</v>
      </c>
      <c r="BB101" s="295">
        <f>'CAR Passenger Kilometres'!V101*'CAR Stock'!V151</f>
        <v>0</v>
      </c>
      <c r="BC101" s="295">
        <f>'CAR Passenger Kilometres'!W101*'CAR Stock'!W151</f>
        <v>0</v>
      </c>
      <c r="BD101" s="295">
        <f>'CAR Passenger Kilometres'!X101*'CAR Stock'!X151</f>
        <v>0</v>
      </c>
      <c r="BE101" s="295">
        <f>'CAR Passenger Kilometres'!Y101*'CAR Stock'!Y151</f>
        <v>0</v>
      </c>
      <c r="BF101" s="295">
        <f>'CAR Passenger Kilometres'!Z101*'CAR Stock'!Z151</f>
        <v>0</v>
      </c>
      <c r="BG101" s="295">
        <f>'CAR Passenger Kilometres'!AA101*'CAR Stock'!AA151</f>
        <v>0</v>
      </c>
      <c r="BH101" s="295">
        <f>'CAR Passenger Kilometres'!AB101*'CAR Stock'!AB151</f>
        <v>0</v>
      </c>
      <c r="BI101" s="295">
        <f>'CAR Passenger Kilometres'!AC101*'CAR Stock'!AC151</f>
        <v>0</v>
      </c>
      <c r="BJ101" s="295">
        <f>'CAR Passenger Kilometres'!AD101*'CAR Stock'!AD151</f>
        <v>0</v>
      </c>
      <c r="BK101" s="296">
        <f>'CAR Passenger Kilometres'!AE101*'CAR Stock'!AE151</f>
        <v>0</v>
      </c>
    </row>
    <row r="102" spans="1:63">
      <c r="A102" s="1711"/>
      <c r="B102" s="116">
        <v>12</v>
      </c>
      <c r="C102" s="294">
        <f>'CAR Mileage'!C123*CAR!$I$58</f>
        <v>21826.936318130713</v>
      </c>
      <c r="D102" s="295">
        <f>'CAR Mileage'!D123*CAR!$I$58</f>
        <v>21826.936318130713</v>
      </c>
      <c r="E102" s="295">
        <f>'CAR Mileage'!E123*CAR!$I$58</f>
        <v>21826.936318130713</v>
      </c>
      <c r="F102" s="295">
        <f>'CAR Mileage'!F123*CAR!$I$58</f>
        <v>21826.936318130713</v>
      </c>
      <c r="G102" s="295">
        <f>'CAR Mileage'!G123*CAR!$I$58</f>
        <v>21826.936318130713</v>
      </c>
      <c r="H102" s="295">
        <f>'CAR Mileage'!H123*CAR!$I$58</f>
        <v>21826.936318130713</v>
      </c>
      <c r="I102" s="295">
        <f>'CAR Mileage'!I123*CAR!$I$58</f>
        <v>21826.936318130713</v>
      </c>
      <c r="J102" s="295">
        <f>'CAR Mileage'!J123*CAR!$I$58</f>
        <v>21826.936318130713</v>
      </c>
      <c r="K102" s="295">
        <f>'CAR Mileage'!K123*CAR!$I$58</f>
        <v>21826.936318130713</v>
      </c>
      <c r="L102" s="295">
        <f>'CAR Mileage'!L123*CAR!$I$58</f>
        <v>21826.936318130713</v>
      </c>
      <c r="M102" s="295">
        <f>'CAR Mileage'!M123*CAR!$I$58</f>
        <v>21826.936318130713</v>
      </c>
      <c r="N102" s="295">
        <f>'CAR Mileage'!N123*CAR!$I$58</f>
        <v>21826.936318130713</v>
      </c>
      <c r="O102" s="295">
        <f>'CAR Mileage'!O123*CAR!$I$58</f>
        <v>21826.936318130713</v>
      </c>
      <c r="P102" s="295">
        <f>'CAR Mileage'!P123*CAR!$I$58</f>
        <v>21826.936318130713</v>
      </c>
      <c r="Q102" s="295">
        <f>'CAR Mileage'!Q123*CAR!$I$58</f>
        <v>21826.936318130713</v>
      </c>
      <c r="R102" s="295">
        <f>'CAR Mileage'!R123*CAR!$I$58</f>
        <v>21826.936318130713</v>
      </c>
      <c r="S102" s="295">
        <f>'CAR Mileage'!S123*CAR!$I$58</f>
        <v>21826.936318130713</v>
      </c>
      <c r="T102" s="295">
        <f>'CAR Mileage'!T123*CAR!$I$58</f>
        <v>21826.936318130713</v>
      </c>
      <c r="U102" s="295">
        <f>'CAR Mileage'!U123*CAR!$I$58</f>
        <v>21826.936318130713</v>
      </c>
      <c r="V102" s="295">
        <f>'CAR Mileage'!V123*CAR!$I$58</f>
        <v>21826.936318130713</v>
      </c>
      <c r="W102" s="295">
        <f>'CAR Mileage'!W123*CAR!$I$58</f>
        <v>21826.936318130713</v>
      </c>
      <c r="X102" s="295">
        <f>'CAR Mileage'!X123*CAR!$I$58</f>
        <v>21826.936318130713</v>
      </c>
      <c r="Y102" s="295">
        <f>'CAR Mileage'!Y123*CAR!$I$58</f>
        <v>21826.936318130713</v>
      </c>
      <c r="Z102" s="295">
        <f>'CAR Mileage'!Z123*CAR!$I$58</f>
        <v>21826.936318130713</v>
      </c>
      <c r="AA102" s="295">
        <f>'CAR Mileage'!AA123*CAR!$I$58</f>
        <v>21826.936318130713</v>
      </c>
      <c r="AB102" s="295">
        <f>'CAR Mileage'!AB123*CAR!$I$58</f>
        <v>21826.936318130713</v>
      </c>
      <c r="AC102" s="295">
        <f>'CAR Mileage'!AC123*CAR!$I$58</f>
        <v>21826.936318130713</v>
      </c>
      <c r="AD102" s="295">
        <f>'CAR Mileage'!AD123*CAR!$I$58</f>
        <v>21826.936318130713</v>
      </c>
      <c r="AE102" s="296">
        <f>'CAR Mileage'!AE123*CAR!$I$58</f>
        <v>21826.936318130713</v>
      </c>
      <c r="AG102" s="1711"/>
      <c r="AH102" s="116">
        <v>12</v>
      </c>
      <c r="AI102" s="294">
        <f>'CAR Passenger Kilometres'!C102*'CAR Stock'!C152</f>
        <v>156389998.71940655</v>
      </c>
      <c r="AJ102" s="295">
        <f>'CAR Passenger Kilometres'!D102*'CAR Stock'!D152</f>
        <v>129868593.38697167</v>
      </c>
      <c r="AK102" s="295">
        <f>'CAR Passenger Kilometres'!E102*'CAR Stock'!E152</f>
        <v>115952224.70141412</v>
      </c>
      <c r="AL102" s="295">
        <f>'CAR Passenger Kilometres'!F102*'CAR Stock'!F152</f>
        <v>83583407.816698715</v>
      </c>
      <c r="AM102" s="295">
        <f>'CAR Passenger Kilometres'!G102*'CAR Stock'!G152</f>
        <v>82593678.239234477</v>
      </c>
      <c r="AN102" s="295">
        <f>'CAR Passenger Kilometres'!H102*'CAR Stock'!H152</f>
        <v>82484076.985350713</v>
      </c>
      <c r="AO102" s="295">
        <f>'CAR Passenger Kilometres'!I102*'CAR Stock'!I152</f>
        <v>89553357.860853046</v>
      </c>
      <c r="AP102" s="295">
        <f>'CAR Passenger Kilometres'!J102*'CAR Stock'!J152</f>
        <v>80054582.524260774</v>
      </c>
      <c r="AQ102" s="295">
        <f>'CAR Passenger Kilometres'!K102*'CAR Stock'!K152</f>
        <v>44918247.216693044</v>
      </c>
      <c r="AR102" s="295">
        <f>'CAR Passenger Kilometres'!L102*'CAR Stock'!L152</f>
        <v>7151481.8159151385</v>
      </c>
      <c r="AS102" s="295">
        <f>'CAR Passenger Kilometres'!M102*'CAR Stock'!M152</f>
        <v>4064379.8315226519</v>
      </c>
      <c r="AT102" s="295">
        <f>'CAR Passenger Kilometres'!N102*'CAR Stock'!N152</f>
        <v>1762753.4999637569</v>
      </c>
      <c r="AU102" s="295">
        <f>'CAR Passenger Kilometres'!O102*'CAR Stock'!O152</f>
        <v>895076.90671734791</v>
      </c>
      <c r="AV102" s="295">
        <f>'CAR Passenger Kilometres'!P102*'CAR Stock'!P152</f>
        <v>0</v>
      </c>
      <c r="AW102" s="295">
        <f>'CAR Passenger Kilometres'!Q102*'CAR Stock'!Q152</f>
        <v>0</v>
      </c>
      <c r="AX102" s="295">
        <f>'CAR Passenger Kilometres'!R102*'CAR Stock'!R152</f>
        <v>0</v>
      </c>
      <c r="AY102" s="295">
        <f>'CAR Passenger Kilometres'!S102*'CAR Stock'!S152</f>
        <v>0</v>
      </c>
      <c r="AZ102" s="295">
        <f>'CAR Passenger Kilometres'!T102*'CAR Stock'!T152</f>
        <v>0</v>
      </c>
      <c r="BA102" s="295">
        <f>'CAR Passenger Kilometres'!U102*'CAR Stock'!U152</f>
        <v>0</v>
      </c>
      <c r="BB102" s="295">
        <f>'CAR Passenger Kilometres'!V102*'CAR Stock'!V152</f>
        <v>0</v>
      </c>
      <c r="BC102" s="295">
        <f>'CAR Passenger Kilometres'!W102*'CAR Stock'!W152</f>
        <v>0</v>
      </c>
      <c r="BD102" s="295">
        <f>'CAR Passenger Kilometres'!X102*'CAR Stock'!X152</f>
        <v>0</v>
      </c>
      <c r="BE102" s="295">
        <f>'CAR Passenger Kilometres'!Y102*'CAR Stock'!Y152</f>
        <v>0</v>
      </c>
      <c r="BF102" s="295">
        <f>'CAR Passenger Kilometres'!Z102*'CAR Stock'!Z152</f>
        <v>0</v>
      </c>
      <c r="BG102" s="295">
        <f>'CAR Passenger Kilometres'!AA102*'CAR Stock'!AA152</f>
        <v>0</v>
      </c>
      <c r="BH102" s="295">
        <f>'CAR Passenger Kilometres'!AB102*'CAR Stock'!AB152</f>
        <v>0</v>
      </c>
      <c r="BI102" s="295">
        <f>'CAR Passenger Kilometres'!AC102*'CAR Stock'!AC152</f>
        <v>0</v>
      </c>
      <c r="BJ102" s="295">
        <f>'CAR Passenger Kilometres'!AD102*'CAR Stock'!AD152</f>
        <v>0</v>
      </c>
      <c r="BK102" s="296">
        <f>'CAR Passenger Kilometres'!AE102*'CAR Stock'!AE152</f>
        <v>0</v>
      </c>
    </row>
    <row r="103" spans="1:63">
      <c r="A103" s="1711"/>
      <c r="B103" s="116">
        <v>13</v>
      </c>
      <c r="C103" s="294">
        <f>'CAR Mileage'!C124*CAR!$I$58</f>
        <v>21390.397591768098</v>
      </c>
      <c r="D103" s="295">
        <f>'CAR Mileage'!D124*CAR!$I$58</f>
        <v>21390.397591768098</v>
      </c>
      <c r="E103" s="295">
        <f>'CAR Mileage'!E124*CAR!$I$58</f>
        <v>21390.397591768098</v>
      </c>
      <c r="F103" s="295">
        <f>'CAR Mileage'!F124*CAR!$I$58</f>
        <v>21390.397591768098</v>
      </c>
      <c r="G103" s="295">
        <f>'CAR Mileage'!G124*CAR!$I$58</f>
        <v>21390.397591768098</v>
      </c>
      <c r="H103" s="295">
        <f>'CAR Mileage'!H124*CAR!$I$58</f>
        <v>21390.397591768098</v>
      </c>
      <c r="I103" s="295">
        <f>'CAR Mileage'!I124*CAR!$I$58</f>
        <v>21390.397591768098</v>
      </c>
      <c r="J103" s="295">
        <f>'CAR Mileage'!J124*CAR!$I$58</f>
        <v>21390.397591768098</v>
      </c>
      <c r="K103" s="295">
        <f>'CAR Mileage'!K124*CAR!$I$58</f>
        <v>21390.397591768098</v>
      </c>
      <c r="L103" s="295">
        <f>'CAR Mileage'!L124*CAR!$I$58</f>
        <v>21390.397591768098</v>
      </c>
      <c r="M103" s="295">
        <f>'CAR Mileage'!M124*CAR!$I$58</f>
        <v>21390.397591768098</v>
      </c>
      <c r="N103" s="295">
        <f>'CAR Mileage'!N124*CAR!$I$58</f>
        <v>21390.397591768098</v>
      </c>
      <c r="O103" s="295">
        <f>'CAR Mileage'!O124*CAR!$I$58</f>
        <v>21390.397591768098</v>
      </c>
      <c r="P103" s="295">
        <f>'CAR Mileage'!P124*CAR!$I$58</f>
        <v>21390.397591768098</v>
      </c>
      <c r="Q103" s="295">
        <f>'CAR Mileage'!Q124*CAR!$I$58</f>
        <v>21390.397591768098</v>
      </c>
      <c r="R103" s="295">
        <f>'CAR Mileage'!R124*CAR!$I$58</f>
        <v>21390.397591768098</v>
      </c>
      <c r="S103" s="295">
        <f>'CAR Mileage'!S124*CAR!$I$58</f>
        <v>21390.397591768098</v>
      </c>
      <c r="T103" s="295">
        <f>'CAR Mileage'!T124*CAR!$I$58</f>
        <v>21390.397591768098</v>
      </c>
      <c r="U103" s="295">
        <f>'CAR Mileage'!U124*CAR!$I$58</f>
        <v>21390.397591768098</v>
      </c>
      <c r="V103" s="295">
        <f>'CAR Mileage'!V124*CAR!$I$58</f>
        <v>21390.397591768098</v>
      </c>
      <c r="W103" s="295">
        <f>'CAR Mileage'!W124*CAR!$I$58</f>
        <v>21390.397591768098</v>
      </c>
      <c r="X103" s="295">
        <f>'CAR Mileage'!X124*CAR!$I$58</f>
        <v>21390.397591768098</v>
      </c>
      <c r="Y103" s="295">
        <f>'CAR Mileage'!Y124*CAR!$I$58</f>
        <v>21390.397591768098</v>
      </c>
      <c r="Z103" s="295">
        <f>'CAR Mileage'!Z124*CAR!$I$58</f>
        <v>21390.397591768098</v>
      </c>
      <c r="AA103" s="295">
        <f>'CAR Mileage'!AA124*CAR!$I$58</f>
        <v>21390.397591768098</v>
      </c>
      <c r="AB103" s="295">
        <f>'CAR Mileage'!AB124*CAR!$I$58</f>
        <v>21390.397591768098</v>
      </c>
      <c r="AC103" s="295">
        <f>'CAR Mileage'!AC124*CAR!$I$58</f>
        <v>21390.397591768098</v>
      </c>
      <c r="AD103" s="295">
        <f>'CAR Mileage'!AD124*CAR!$I$58</f>
        <v>21390.397591768098</v>
      </c>
      <c r="AE103" s="296">
        <f>'CAR Mileage'!AE124*CAR!$I$58</f>
        <v>21390.397591768098</v>
      </c>
      <c r="AG103" s="1711"/>
      <c r="AH103" s="116">
        <v>13</v>
      </c>
      <c r="AI103" s="294">
        <f>'CAR Passenger Kilometres'!C103*'CAR Stock'!C153</f>
        <v>95700638.825570464</v>
      </c>
      <c r="AJ103" s="295">
        <f>'CAR Passenger Kilometres'!D103*'CAR Stock'!D153</f>
        <v>78621741.062442288</v>
      </c>
      <c r="AK103" s="295">
        <f>'CAR Passenger Kilometres'!E103*'CAR Stock'!E153</f>
        <v>65288669.384374544</v>
      </c>
      <c r="AL103" s="295">
        <f>'CAR Passenger Kilometres'!F103*'CAR Stock'!F153</f>
        <v>58292511.418490402</v>
      </c>
      <c r="AM103" s="295">
        <f>'CAR Passenger Kilometres'!G103*'CAR Stock'!G153</f>
        <v>42019778.120667912</v>
      </c>
      <c r="AN103" s="295">
        <f>'CAR Passenger Kilometres'!H103*'CAR Stock'!H153</f>
        <v>41522212.65485543</v>
      </c>
      <c r="AO103" s="295">
        <f>'CAR Passenger Kilometres'!I103*'CAR Stock'!I153</f>
        <v>41467112.958752565</v>
      </c>
      <c r="AP103" s="295">
        <f>'CAR Passenger Kilometres'!J103*'CAR Stock'!J153</f>
        <v>45021043.357387759</v>
      </c>
      <c r="AQ103" s="295">
        <f>'CAR Passenger Kilometres'!K103*'CAR Stock'!K153</f>
        <v>40245736.361805581</v>
      </c>
      <c r="AR103" s="295">
        <f>'CAR Passenger Kilometres'!L103*'CAR Stock'!L153</f>
        <v>22581692.119493421</v>
      </c>
      <c r="AS103" s="295">
        <f>'CAR Passenger Kilometres'!M103*'CAR Stock'!M153</f>
        <v>3595255.1707123527</v>
      </c>
      <c r="AT103" s="295">
        <f>'CAR Passenger Kilometres'!N103*'CAR Stock'!N153</f>
        <v>2043280.397148144</v>
      </c>
      <c r="AU103" s="295">
        <f>'CAR Passenger Kilometres'!O103*'CAR Stock'!O153</f>
        <v>886186.7789878468</v>
      </c>
      <c r="AV103" s="295">
        <f>'CAR Passenger Kilometres'!P103*'CAR Stock'!P153</f>
        <v>449980.85150678223</v>
      </c>
      <c r="AW103" s="295">
        <f>'CAR Passenger Kilometres'!Q103*'CAR Stock'!Q153</f>
        <v>0</v>
      </c>
      <c r="AX103" s="295">
        <f>'CAR Passenger Kilometres'!R103*'CAR Stock'!R153</f>
        <v>0</v>
      </c>
      <c r="AY103" s="295">
        <f>'CAR Passenger Kilometres'!S103*'CAR Stock'!S153</f>
        <v>0</v>
      </c>
      <c r="AZ103" s="295">
        <f>'CAR Passenger Kilometres'!T103*'CAR Stock'!T153</f>
        <v>0</v>
      </c>
      <c r="BA103" s="295">
        <f>'CAR Passenger Kilometres'!U103*'CAR Stock'!U153</f>
        <v>0</v>
      </c>
      <c r="BB103" s="295">
        <f>'CAR Passenger Kilometres'!V103*'CAR Stock'!V153</f>
        <v>0</v>
      </c>
      <c r="BC103" s="295">
        <f>'CAR Passenger Kilometres'!W103*'CAR Stock'!W153</f>
        <v>0</v>
      </c>
      <c r="BD103" s="295">
        <f>'CAR Passenger Kilometres'!X103*'CAR Stock'!X153</f>
        <v>0</v>
      </c>
      <c r="BE103" s="295">
        <f>'CAR Passenger Kilometres'!Y103*'CAR Stock'!Y153</f>
        <v>0</v>
      </c>
      <c r="BF103" s="295">
        <f>'CAR Passenger Kilometres'!Z103*'CAR Stock'!Z153</f>
        <v>0</v>
      </c>
      <c r="BG103" s="295">
        <f>'CAR Passenger Kilometres'!AA103*'CAR Stock'!AA153</f>
        <v>0</v>
      </c>
      <c r="BH103" s="295">
        <f>'CAR Passenger Kilometres'!AB103*'CAR Stock'!AB153</f>
        <v>0</v>
      </c>
      <c r="BI103" s="295">
        <f>'CAR Passenger Kilometres'!AC103*'CAR Stock'!AC153</f>
        <v>0</v>
      </c>
      <c r="BJ103" s="295">
        <f>'CAR Passenger Kilometres'!AD103*'CAR Stock'!AD153</f>
        <v>0</v>
      </c>
      <c r="BK103" s="296">
        <f>'CAR Passenger Kilometres'!AE103*'CAR Stock'!AE153</f>
        <v>0</v>
      </c>
    </row>
    <row r="104" spans="1:63">
      <c r="A104" s="1711"/>
      <c r="B104" s="116">
        <v>14</v>
      </c>
      <c r="C104" s="294">
        <f>'CAR Mileage'!C125*CAR!$I$58</f>
        <v>20962.589639932736</v>
      </c>
      <c r="D104" s="295">
        <f>'CAR Mileage'!D125*CAR!$I$58</f>
        <v>20962.589639932736</v>
      </c>
      <c r="E104" s="295">
        <f>'CAR Mileage'!E125*CAR!$I$58</f>
        <v>20962.589639932736</v>
      </c>
      <c r="F104" s="295">
        <f>'CAR Mileage'!F125*CAR!$I$58</f>
        <v>20962.589639932736</v>
      </c>
      <c r="G104" s="295">
        <f>'CAR Mileage'!G125*CAR!$I$58</f>
        <v>20962.589639932736</v>
      </c>
      <c r="H104" s="295">
        <f>'CAR Mileage'!H125*CAR!$I$58</f>
        <v>20962.589639932736</v>
      </c>
      <c r="I104" s="295">
        <f>'CAR Mileage'!I125*CAR!$I$58</f>
        <v>20962.589639932736</v>
      </c>
      <c r="J104" s="295">
        <f>'CAR Mileage'!J125*CAR!$I$58</f>
        <v>20962.589639932736</v>
      </c>
      <c r="K104" s="295">
        <f>'CAR Mileage'!K125*CAR!$I$58</f>
        <v>20962.589639932736</v>
      </c>
      <c r="L104" s="295">
        <f>'CAR Mileage'!L125*CAR!$I$58</f>
        <v>20962.589639932736</v>
      </c>
      <c r="M104" s="295">
        <f>'CAR Mileage'!M125*CAR!$I$58</f>
        <v>20962.589639932736</v>
      </c>
      <c r="N104" s="295">
        <f>'CAR Mileage'!N125*CAR!$I$58</f>
        <v>20962.589639932736</v>
      </c>
      <c r="O104" s="295">
        <f>'CAR Mileage'!O125*CAR!$I$58</f>
        <v>20962.589639932736</v>
      </c>
      <c r="P104" s="295">
        <f>'CAR Mileage'!P125*CAR!$I$58</f>
        <v>20962.589639932736</v>
      </c>
      <c r="Q104" s="295">
        <f>'CAR Mileage'!Q125*CAR!$I$58</f>
        <v>20962.589639932736</v>
      </c>
      <c r="R104" s="295">
        <f>'CAR Mileage'!R125*CAR!$I$58</f>
        <v>20962.589639932736</v>
      </c>
      <c r="S104" s="295">
        <f>'CAR Mileage'!S125*CAR!$I$58</f>
        <v>20962.589639932736</v>
      </c>
      <c r="T104" s="295">
        <f>'CAR Mileage'!T125*CAR!$I$58</f>
        <v>20962.589639932736</v>
      </c>
      <c r="U104" s="295">
        <f>'CAR Mileage'!U125*CAR!$I$58</f>
        <v>20962.589639932736</v>
      </c>
      <c r="V104" s="295">
        <f>'CAR Mileage'!V125*CAR!$I$58</f>
        <v>20962.589639932736</v>
      </c>
      <c r="W104" s="295">
        <f>'CAR Mileage'!W125*CAR!$I$58</f>
        <v>20962.589639932736</v>
      </c>
      <c r="X104" s="295">
        <f>'CAR Mileage'!X125*CAR!$I$58</f>
        <v>20962.589639932736</v>
      </c>
      <c r="Y104" s="295">
        <f>'CAR Mileage'!Y125*CAR!$I$58</f>
        <v>20962.589639932736</v>
      </c>
      <c r="Z104" s="295">
        <f>'CAR Mileage'!Z125*CAR!$I$58</f>
        <v>20962.589639932736</v>
      </c>
      <c r="AA104" s="295">
        <f>'CAR Mileage'!AA125*CAR!$I$58</f>
        <v>20962.589639932736</v>
      </c>
      <c r="AB104" s="295">
        <f>'CAR Mileage'!AB125*CAR!$I$58</f>
        <v>20962.589639932736</v>
      </c>
      <c r="AC104" s="295">
        <f>'CAR Mileage'!AC125*CAR!$I$58</f>
        <v>20962.589639932736</v>
      </c>
      <c r="AD104" s="295">
        <f>'CAR Mileage'!AD125*CAR!$I$58</f>
        <v>20962.589639932736</v>
      </c>
      <c r="AE104" s="296">
        <f>'CAR Mileage'!AE125*CAR!$I$58</f>
        <v>20962.589639932736</v>
      </c>
      <c r="AG104" s="1711"/>
      <c r="AH104" s="116">
        <v>14</v>
      </c>
      <c r="AI104" s="294">
        <f>'CAR Passenger Kilometres'!C104*'CAR Stock'!C154</f>
        <v>69952161.628455535</v>
      </c>
      <c r="AJ104" s="295">
        <f>'CAR Passenger Kilometres'!D104*'CAR Stock'!D154</f>
        <v>37821418.607192047</v>
      </c>
      <c r="AK104" s="295">
        <f>'CAR Passenger Kilometres'!E104*'CAR Stock'!E154</f>
        <v>31071744.314776413</v>
      </c>
      <c r="AL104" s="295">
        <f>'CAR Passenger Kilometres'!F104*'CAR Stock'!F154</f>
        <v>25802441.084993184</v>
      </c>
      <c r="AM104" s="295">
        <f>'CAR Passenger Kilometres'!G104*'CAR Stock'!G154</f>
        <v>23037520.993372589</v>
      </c>
      <c r="AN104" s="295">
        <f>'CAR Passenger Kilometres'!H104*'CAR Stock'!H154</f>
        <v>16606447.329779746</v>
      </c>
      <c r="AO104" s="295">
        <f>'CAR Passenger Kilometres'!I104*'CAR Stock'!I154</f>
        <v>16409806.722173391</v>
      </c>
      <c r="AP104" s="295">
        <f>'CAR Passenger Kilometres'!J104*'CAR Stock'!J154</f>
        <v>16388031.019346226</v>
      </c>
      <c r="AQ104" s="295">
        <f>'CAR Passenger Kilometres'!K104*'CAR Stock'!K154</f>
        <v>17792563.851698566</v>
      </c>
      <c r="AR104" s="295">
        <f>'CAR Passenger Kilometres'!L104*'CAR Stock'!L154</f>
        <v>15905336.273343999</v>
      </c>
      <c r="AS104" s="295">
        <f>'CAR Passenger Kilometres'!M104*'CAR Stock'!M154</f>
        <v>8924408.8753343746</v>
      </c>
      <c r="AT104" s="295">
        <f>'CAR Passenger Kilometres'!N104*'CAR Stock'!N154</f>
        <v>1420864.6094727158</v>
      </c>
      <c r="AU104" s="295">
        <f>'CAR Passenger Kilometres'!O104*'CAR Stock'!O154</f>
        <v>807515.64650748193</v>
      </c>
      <c r="AV104" s="295">
        <f>'CAR Passenger Kilometres'!P104*'CAR Stock'!P154</f>
        <v>350225.88713695284</v>
      </c>
      <c r="AW104" s="295">
        <f>'CAR Passenger Kilometres'!Q104*'CAR Stock'!Q154</f>
        <v>177834.90642187244</v>
      </c>
      <c r="AX104" s="295">
        <f>'CAR Passenger Kilometres'!R104*'CAR Stock'!R154</f>
        <v>0</v>
      </c>
      <c r="AY104" s="295">
        <f>'CAR Passenger Kilometres'!S104*'CAR Stock'!S154</f>
        <v>0</v>
      </c>
      <c r="AZ104" s="295">
        <f>'CAR Passenger Kilometres'!T104*'CAR Stock'!T154</f>
        <v>0</v>
      </c>
      <c r="BA104" s="295">
        <f>'CAR Passenger Kilometres'!U104*'CAR Stock'!U154</f>
        <v>0</v>
      </c>
      <c r="BB104" s="295">
        <f>'CAR Passenger Kilometres'!V104*'CAR Stock'!V154</f>
        <v>0</v>
      </c>
      <c r="BC104" s="295">
        <f>'CAR Passenger Kilometres'!W104*'CAR Stock'!W154</f>
        <v>0</v>
      </c>
      <c r="BD104" s="295">
        <f>'CAR Passenger Kilometres'!X104*'CAR Stock'!X154</f>
        <v>0</v>
      </c>
      <c r="BE104" s="295">
        <f>'CAR Passenger Kilometres'!Y104*'CAR Stock'!Y154</f>
        <v>0</v>
      </c>
      <c r="BF104" s="295">
        <f>'CAR Passenger Kilometres'!Z104*'CAR Stock'!Z154</f>
        <v>0</v>
      </c>
      <c r="BG104" s="295">
        <f>'CAR Passenger Kilometres'!AA104*'CAR Stock'!AA154</f>
        <v>0</v>
      </c>
      <c r="BH104" s="295">
        <f>'CAR Passenger Kilometres'!AB104*'CAR Stock'!AB154</f>
        <v>0</v>
      </c>
      <c r="BI104" s="295">
        <f>'CAR Passenger Kilometres'!AC104*'CAR Stock'!AC154</f>
        <v>0</v>
      </c>
      <c r="BJ104" s="295">
        <f>'CAR Passenger Kilometres'!AD104*'CAR Stock'!AD154</f>
        <v>0</v>
      </c>
      <c r="BK104" s="296">
        <f>'CAR Passenger Kilometres'!AE104*'CAR Stock'!AE154</f>
        <v>0</v>
      </c>
    </row>
    <row r="105" spans="1:63">
      <c r="A105" s="1711"/>
      <c r="B105" s="116">
        <v>15</v>
      </c>
      <c r="C105" s="294">
        <f>'CAR Mileage'!C126*CAR!$I$58</f>
        <v>20543.337847134077</v>
      </c>
      <c r="D105" s="295">
        <f>'CAR Mileage'!D126*CAR!$I$58</f>
        <v>20543.337847134077</v>
      </c>
      <c r="E105" s="295">
        <f>'CAR Mileage'!E126*CAR!$I$58</f>
        <v>20543.337847134077</v>
      </c>
      <c r="F105" s="295">
        <f>'CAR Mileage'!F126*CAR!$I$58</f>
        <v>20543.337847134077</v>
      </c>
      <c r="G105" s="295">
        <f>'CAR Mileage'!G126*CAR!$I$58</f>
        <v>20543.337847134077</v>
      </c>
      <c r="H105" s="295">
        <f>'CAR Mileage'!H126*CAR!$I$58</f>
        <v>20543.337847134077</v>
      </c>
      <c r="I105" s="295">
        <f>'CAR Mileage'!I126*CAR!$I$58</f>
        <v>20543.337847134077</v>
      </c>
      <c r="J105" s="295">
        <f>'CAR Mileage'!J126*CAR!$I$58</f>
        <v>20543.337847134077</v>
      </c>
      <c r="K105" s="295">
        <f>'CAR Mileage'!K126*CAR!$I$58</f>
        <v>20543.337847134077</v>
      </c>
      <c r="L105" s="295">
        <f>'CAR Mileage'!L126*CAR!$I$58</f>
        <v>20543.337847134077</v>
      </c>
      <c r="M105" s="295">
        <f>'CAR Mileage'!M126*CAR!$I$58</f>
        <v>20543.337847134077</v>
      </c>
      <c r="N105" s="295">
        <f>'CAR Mileage'!N126*CAR!$I$58</f>
        <v>20543.337847134077</v>
      </c>
      <c r="O105" s="295">
        <f>'CAR Mileage'!O126*CAR!$I$58</f>
        <v>20543.337847134077</v>
      </c>
      <c r="P105" s="295">
        <f>'CAR Mileage'!P126*CAR!$I$58</f>
        <v>20543.337847134077</v>
      </c>
      <c r="Q105" s="295">
        <f>'CAR Mileage'!Q126*CAR!$I$58</f>
        <v>20543.337847134077</v>
      </c>
      <c r="R105" s="295">
        <f>'CAR Mileage'!R126*CAR!$I$58</f>
        <v>20543.337847134077</v>
      </c>
      <c r="S105" s="295">
        <f>'CAR Mileage'!S126*CAR!$I$58</f>
        <v>20543.337847134077</v>
      </c>
      <c r="T105" s="295">
        <f>'CAR Mileage'!T126*CAR!$I$58</f>
        <v>20543.337847134077</v>
      </c>
      <c r="U105" s="295">
        <f>'CAR Mileage'!U126*CAR!$I$58</f>
        <v>20543.337847134077</v>
      </c>
      <c r="V105" s="295">
        <f>'CAR Mileage'!V126*CAR!$I$58</f>
        <v>20543.337847134077</v>
      </c>
      <c r="W105" s="295">
        <f>'CAR Mileage'!W126*CAR!$I$58</f>
        <v>20543.337847134077</v>
      </c>
      <c r="X105" s="295">
        <f>'CAR Mileage'!X126*CAR!$I$58</f>
        <v>20543.337847134077</v>
      </c>
      <c r="Y105" s="295">
        <f>'CAR Mileage'!Y126*CAR!$I$58</f>
        <v>20543.337847134077</v>
      </c>
      <c r="Z105" s="295">
        <f>'CAR Mileage'!Z126*CAR!$I$58</f>
        <v>20543.337847134077</v>
      </c>
      <c r="AA105" s="295">
        <f>'CAR Mileage'!AA126*CAR!$I$58</f>
        <v>20543.337847134077</v>
      </c>
      <c r="AB105" s="295">
        <f>'CAR Mileage'!AB126*CAR!$I$58</f>
        <v>20543.337847134077</v>
      </c>
      <c r="AC105" s="295">
        <f>'CAR Mileage'!AC126*CAR!$I$58</f>
        <v>20543.337847134077</v>
      </c>
      <c r="AD105" s="295">
        <f>'CAR Mileage'!AD126*CAR!$I$58</f>
        <v>20543.337847134077</v>
      </c>
      <c r="AE105" s="296">
        <f>'CAR Mileage'!AE126*CAR!$I$58</f>
        <v>20543.337847134077</v>
      </c>
      <c r="AG105" s="1711"/>
      <c r="AH105" s="116">
        <v>15</v>
      </c>
      <c r="AI105" s="294">
        <f>'CAR Passenger Kilometres'!C105*'CAR Stock'!C155</f>
        <v>37799741.638726704</v>
      </c>
      <c r="AJ105" s="295">
        <f>'CAR Passenger Kilometres'!D105*'CAR Stock'!D155</f>
        <v>20950774.083670616</v>
      </c>
      <c r="AK105" s="295">
        <f>'CAR Passenger Kilometres'!E105*'CAR Stock'!E155</f>
        <v>11327569.846546166</v>
      </c>
      <c r="AL105" s="295">
        <f>'CAR Passenger Kilometres'!F105*'CAR Stock'!F155</f>
        <v>9306032.5852696635</v>
      </c>
      <c r="AM105" s="295">
        <f>'CAR Passenger Kilometres'!G105*'CAR Stock'!G155</f>
        <v>7727868.6089810897</v>
      </c>
      <c r="AN105" s="295">
        <f>'CAR Passenger Kilometres'!H105*'CAR Stock'!H155</f>
        <v>6899771.0227103475</v>
      </c>
      <c r="AO105" s="295">
        <f>'CAR Passenger Kilometres'!I105*'CAR Stock'!I155</f>
        <v>4973655.1128544761</v>
      </c>
      <c r="AP105" s="295">
        <f>'CAR Passenger Kilometres'!J105*'CAR Stock'!J155</f>
        <v>4914760.9650578965</v>
      </c>
      <c r="AQ105" s="295">
        <f>'CAR Passenger Kilometres'!K105*'CAR Stock'!K155</f>
        <v>4908239.1104100272</v>
      </c>
      <c r="AR105" s="295">
        <f>'CAR Passenger Kilometres'!L105*'CAR Stock'!L155</f>
        <v>5328898.7351976875</v>
      </c>
      <c r="AS105" s="295">
        <f>'CAR Passenger Kilometres'!M105*'CAR Stock'!M155</f>
        <v>4763671.3323822254</v>
      </c>
      <c r="AT105" s="295">
        <f>'CAR Passenger Kilometres'!N105*'CAR Stock'!N155</f>
        <v>2672873.4298523432</v>
      </c>
      <c r="AU105" s="295">
        <f>'CAR Passenger Kilometres'!O105*'CAR Stock'!O155</f>
        <v>425551.01577356341</v>
      </c>
      <c r="AV105" s="295">
        <f>'CAR Passenger Kilometres'!P105*'CAR Stock'!P155</f>
        <v>241852.10985853852</v>
      </c>
      <c r="AW105" s="295">
        <f>'CAR Passenger Kilometres'!Q105*'CAR Stock'!Q155</f>
        <v>104893.1622532538</v>
      </c>
      <c r="AX105" s="295">
        <f>'CAR Passenger Kilometres'!R105*'CAR Stock'!R155</f>
        <v>53261.812957610739</v>
      </c>
      <c r="AY105" s="295">
        <f>'CAR Passenger Kilometres'!S105*'CAR Stock'!S155</f>
        <v>0</v>
      </c>
      <c r="AZ105" s="295">
        <f>'CAR Passenger Kilometres'!T105*'CAR Stock'!T155</f>
        <v>0</v>
      </c>
      <c r="BA105" s="295">
        <f>'CAR Passenger Kilometres'!U105*'CAR Stock'!U155</f>
        <v>0</v>
      </c>
      <c r="BB105" s="295">
        <f>'CAR Passenger Kilometres'!V105*'CAR Stock'!V155</f>
        <v>0</v>
      </c>
      <c r="BC105" s="295">
        <f>'CAR Passenger Kilometres'!W105*'CAR Stock'!W155</f>
        <v>0</v>
      </c>
      <c r="BD105" s="295">
        <f>'CAR Passenger Kilometres'!X105*'CAR Stock'!X155</f>
        <v>0</v>
      </c>
      <c r="BE105" s="295">
        <f>'CAR Passenger Kilometres'!Y105*'CAR Stock'!Y155</f>
        <v>0</v>
      </c>
      <c r="BF105" s="295">
        <f>'CAR Passenger Kilometres'!Z105*'CAR Stock'!Z155</f>
        <v>0</v>
      </c>
      <c r="BG105" s="295">
        <f>'CAR Passenger Kilometres'!AA105*'CAR Stock'!AA155</f>
        <v>0</v>
      </c>
      <c r="BH105" s="295">
        <f>'CAR Passenger Kilometres'!AB105*'CAR Stock'!AB155</f>
        <v>0</v>
      </c>
      <c r="BI105" s="295">
        <f>'CAR Passenger Kilometres'!AC105*'CAR Stock'!AC155</f>
        <v>0</v>
      </c>
      <c r="BJ105" s="295">
        <f>'CAR Passenger Kilometres'!AD105*'CAR Stock'!AD155</f>
        <v>0</v>
      </c>
      <c r="BK105" s="296">
        <f>'CAR Passenger Kilometres'!AE105*'CAR Stock'!AE155</f>
        <v>0</v>
      </c>
    </row>
    <row r="106" spans="1:63">
      <c r="A106" s="1711"/>
      <c r="B106" s="116">
        <v>16</v>
      </c>
      <c r="C106" s="294">
        <f>'CAR Mileage'!C127*CAR!$I$58</f>
        <v>20132.471090191397</v>
      </c>
      <c r="D106" s="295">
        <f>'CAR Mileage'!D127*CAR!$I$58</f>
        <v>20132.471090191397</v>
      </c>
      <c r="E106" s="295">
        <f>'CAR Mileage'!E127*CAR!$I$58</f>
        <v>20132.471090191397</v>
      </c>
      <c r="F106" s="295">
        <f>'CAR Mileage'!F127*CAR!$I$58</f>
        <v>20132.471090191397</v>
      </c>
      <c r="G106" s="295">
        <f>'CAR Mileage'!G127*CAR!$I$58</f>
        <v>20132.471090191397</v>
      </c>
      <c r="H106" s="295">
        <f>'CAR Mileage'!H127*CAR!$I$58</f>
        <v>20132.471090191397</v>
      </c>
      <c r="I106" s="295">
        <f>'CAR Mileage'!I127*CAR!$I$58</f>
        <v>20132.471090191397</v>
      </c>
      <c r="J106" s="295">
        <f>'CAR Mileage'!J127*CAR!$I$58</f>
        <v>20132.471090191397</v>
      </c>
      <c r="K106" s="295">
        <f>'CAR Mileage'!K127*CAR!$I$58</f>
        <v>20132.471090191397</v>
      </c>
      <c r="L106" s="295">
        <f>'CAR Mileage'!L127*CAR!$I$58</f>
        <v>20132.471090191397</v>
      </c>
      <c r="M106" s="295">
        <f>'CAR Mileage'!M127*CAR!$I$58</f>
        <v>20132.471090191397</v>
      </c>
      <c r="N106" s="295">
        <f>'CAR Mileage'!N127*CAR!$I$58</f>
        <v>20132.471090191397</v>
      </c>
      <c r="O106" s="295">
        <f>'CAR Mileage'!O127*CAR!$I$58</f>
        <v>20132.471090191397</v>
      </c>
      <c r="P106" s="295">
        <f>'CAR Mileage'!P127*CAR!$I$58</f>
        <v>20132.471090191397</v>
      </c>
      <c r="Q106" s="295">
        <f>'CAR Mileage'!Q127*CAR!$I$58</f>
        <v>20132.471090191397</v>
      </c>
      <c r="R106" s="295">
        <f>'CAR Mileage'!R127*CAR!$I$58</f>
        <v>20132.471090191397</v>
      </c>
      <c r="S106" s="295">
        <f>'CAR Mileage'!S127*CAR!$I$58</f>
        <v>20132.471090191397</v>
      </c>
      <c r="T106" s="295">
        <f>'CAR Mileage'!T127*CAR!$I$58</f>
        <v>20132.471090191397</v>
      </c>
      <c r="U106" s="295">
        <f>'CAR Mileage'!U127*CAR!$I$58</f>
        <v>20132.471090191397</v>
      </c>
      <c r="V106" s="295">
        <f>'CAR Mileage'!V127*CAR!$I$58</f>
        <v>20132.471090191397</v>
      </c>
      <c r="W106" s="295">
        <f>'CAR Mileage'!W127*CAR!$I$58</f>
        <v>20132.471090191397</v>
      </c>
      <c r="X106" s="295">
        <f>'CAR Mileage'!X127*CAR!$I$58</f>
        <v>20132.471090191397</v>
      </c>
      <c r="Y106" s="295">
        <f>'CAR Mileage'!Y127*CAR!$I$58</f>
        <v>20132.471090191397</v>
      </c>
      <c r="Z106" s="295">
        <f>'CAR Mileage'!Z127*CAR!$I$58</f>
        <v>20132.471090191397</v>
      </c>
      <c r="AA106" s="295">
        <f>'CAR Mileage'!AA127*CAR!$I$58</f>
        <v>20132.471090191397</v>
      </c>
      <c r="AB106" s="295">
        <f>'CAR Mileage'!AB127*CAR!$I$58</f>
        <v>20132.471090191397</v>
      </c>
      <c r="AC106" s="295">
        <f>'CAR Mileage'!AC127*CAR!$I$58</f>
        <v>20132.471090191397</v>
      </c>
      <c r="AD106" s="295">
        <f>'CAR Mileage'!AD127*CAR!$I$58</f>
        <v>20132.471090191397</v>
      </c>
      <c r="AE106" s="296">
        <f>'CAR Mileage'!AE127*CAR!$I$58</f>
        <v>20132.471090191397</v>
      </c>
      <c r="AG106" s="1711"/>
      <c r="AH106" s="116">
        <v>16</v>
      </c>
      <c r="AI106" s="294">
        <f>'CAR Passenger Kilometres'!C106*'CAR Stock'!C156</f>
        <v>56392125.868692569</v>
      </c>
      <c r="AJ106" s="295">
        <f>'CAR Passenger Kilometres'!D106*'CAR Stock'!D156</f>
        <v>10188969.806684859</v>
      </c>
      <c r="AK106" s="295">
        <f>'CAR Passenger Kilometres'!E106*'CAR Stock'!E156</f>
        <v>5647308.5611382565</v>
      </c>
      <c r="AL106" s="295">
        <f>'CAR Passenger Kilometres'!F106*'CAR Stock'!F156</f>
        <v>3053361.2703671525</v>
      </c>
      <c r="AM106" s="295">
        <f>'CAR Passenger Kilometres'!G106*'CAR Stock'!G156</f>
        <v>2508453.2571035856</v>
      </c>
      <c r="AN106" s="295">
        <f>'CAR Passenger Kilometres'!H106*'CAR Stock'!H156</f>
        <v>2083057.0928100236</v>
      </c>
      <c r="AO106" s="295">
        <f>'CAR Passenger Kilometres'!I106*'CAR Stock'!I156</f>
        <v>1859842.3051497599</v>
      </c>
      <c r="AP106" s="295">
        <f>'CAR Passenger Kilometres'!J106*'CAR Stock'!J156</f>
        <v>1340655.2419876561</v>
      </c>
      <c r="AQ106" s="295">
        <f>'CAR Passenger Kilometres'!K106*'CAR Stock'!K156</f>
        <v>1324780.2474063442</v>
      </c>
      <c r="AR106" s="295">
        <f>'CAR Passenger Kilometres'!L106*'CAR Stock'!L156</f>
        <v>1323022.2729544062</v>
      </c>
      <c r="AS106" s="295">
        <f>'CAR Passenger Kilometres'!M106*'CAR Stock'!M156</f>
        <v>1436411.6251044129</v>
      </c>
      <c r="AT106" s="295">
        <f>'CAR Passenger Kilometres'!N106*'CAR Stock'!N156</f>
        <v>1284053.8392697785</v>
      </c>
      <c r="AU106" s="295">
        <f>'CAR Passenger Kilometres'!O106*'CAR Stock'!O156</f>
        <v>720476.52955262654</v>
      </c>
      <c r="AV106" s="295">
        <f>'CAR Passenger Kilometres'!P106*'CAR Stock'!P156</f>
        <v>114707.83298896026</v>
      </c>
      <c r="AW106" s="295">
        <f>'CAR Passenger Kilometres'!Q106*'CAR Stock'!Q156</f>
        <v>65191.552592704094</v>
      </c>
      <c r="AX106" s="295">
        <f>'CAR Passenger Kilometres'!R106*'CAR Stock'!R156</f>
        <v>28274.089102004247</v>
      </c>
      <c r="AY106" s="295">
        <f>'CAR Passenger Kilometres'!S106*'CAR Stock'!S156</f>
        <v>14356.791357494387</v>
      </c>
      <c r="AZ106" s="295">
        <f>'CAR Passenger Kilometres'!T106*'CAR Stock'!T156</f>
        <v>0</v>
      </c>
      <c r="BA106" s="295">
        <f>'CAR Passenger Kilometres'!U106*'CAR Stock'!U156</f>
        <v>0</v>
      </c>
      <c r="BB106" s="295">
        <f>'CAR Passenger Kilometres'!V106*'CAR Stock'!V156</f>
        <v>0</v>
      </c>
      <c r="BC106" s="295">
        <f>'CAR Passenger Kilometres'!W106*'CAR Stock'!W156</f>
        <v>0</v>
      </c>
      <c r="BD106" s="295">
        <f>'CAR Passenger Kilometres'!X106*'CAR Stock'!X156</f>
        <v>0</v>
      </c>
      <c r="BE106" s="295">
        <f>'CAR Passenger Kilometres'!Y106*'CAR Stock'!Y156</f>
        <v>0</v>
      </c>
      <c r="BF106" s="295">
        <f>'CAR Passenger Kilometres'!Z106*'CAR Stock'!Z156</f>
        <v>0</v>
      </c>
      <c r="BG106" s="295">
        <f>'CAR Passenger Kilometres'!AA106*'CAR Stock'!AA156</f>
        <v>0</v>
      </c>
      <c r="BH106" s="295">
        <f>'CAR Passenger Kilometres'!AB106*'CAR Stock'!AB156</f>
        <v>0</v>
      </c>
      <c r="BI106" s="295">
        <f>'CAR Passenger Kilometres'!AC106*'CAR Stock'!AC156</f>
        <v>0</v>
      </c>
      <c r="BJ106" s="295">
        <f>'CAR Passenger Kilometres'!AD106*'CAR Stock'!AD156</f>
        <v>0</v>
      </c>
      <c r="BK106" s="296">
        <f>'CAR Passenger Kilometres'!AE106*'CAR Stock'!AE156</f>
        <v>0</v>
      </c>
    </row>
    <row r="107" spans="1:63">
      <c r="A107" s="1711"/>
      <c r="B107" s="116">
        <v>17</v>
      </c>
      <c r="C107" s="294">
        <f>'CAR Mileage'!C128*CAR!$I$58</f>
        <v>20132.471090191397</v>
      </c>
      <c r="D107" s="295">
        <f>'CAR Mileage'!D128*CAR!$I$58</f>
        <v>20132.471090191397</v>
      </c>
      <c r="E107" s="295">
        <f>'CAR Mileage'!E128*CAR!$I$58</f>
        <v>20132.471090191397</v>
      </c>
      <c r="F107" s="295">
        <f>'CAR Mileage'!F128*CAR!$I$58</f>
        <v>20132.471090191397</v>
      </c>
      <c r="G107" s="295">
        <f>'CAR Mileage'!G128*CAR!$I$58</f>
        <v>20132.471090191397</v>
      </c>
      <c r="H107" s="295">
        <f>'CAR Mileage'!H128*CAR!$I$58</f>
        <v>20132.471090191397</v>
      </c>
      <c r="I107" s="295">
        <f>'CAR Mileage'!I128*CAR!$I$58</f>
        <v>20132.471090191397</v>
      </c>
      <c r="J107" s="295">
        <f>'CAR Mileage'!J128*CAR!$I$58</f>
        <v>20132.471090191397</v>
      </c>
      <c r="K107" s="295">
        <f>'CAR Mileage'!K128*CAR!$I$58</f>
        <v>20132.471090191397</v>
      </c>
      <c r="L107" s="295">
        <f>'CAR Mileage'!L128*CAR!$I$58</f>
        <v>20132.471090191397</v>
      </c>
      <c r="M107" s="295">
        <f>'CAR Mileage'!M128*CAR!$I$58</f>
        <v>20132.471090191397</v>
      </c>
      <c r="N107" s="295">
        <f>'CAR Mileage'!N128*CAR!$I$58</f>
        <v>20132.471090191397</v>
      </c>
      <c r="O107" s="295">
        <f>'CAR Mileage'!O128*CAR!$I$58</f>
        <v>20132.471090191397</v>
      </c>
      <c r="P107" s="295">
        <f>'CAR Mileage'!P128*CAR!$I$58</f>
        <v>20132.471090191397</v>
      </c>
      <c r="Q107" s="295">
        <f>'CAR Mileage'!Q128*CAR!$I$58</f>
        <v>20132.471090191397</v>
      </c>
      <c r="R107" s="295">
        <f>'CAR Mileage'!R128*CAR!$I$58</f>
        <v>20132.471090191397</v>
      </c>
      <c r="S107" s="295">
        <f>'CAR Mileage'!S128*CAR!$I$58</f>
        <v>20132.471090191397</v>
      </c>
      <c r="T107" s="295">
        <f>'CAR Mileage'!T128*CAR!$I$58</f>
        <v>20132.471090191397</v>
      </c>
      <c r="U107" s="295">
        <f>'CAR Mileage'!U128*CAR!$I$58</f>
        <v>20132.471090191397</v>
      </c>
      <c r="V107" s="295">
        <f>'CAR Mileage'!V128*CAR!$I$58</f>
        <v>20132.471090191397</v>
      </c>
      <c r="W107" s="295">
        <f>'CAR Mileage'!W128*CAR!$I$58</f>
        <v>20132.471090191397</v>
      </c>
      <c r="X107" s="295">
        <f>'CAR Mileage'!X128*CAR!$I$58</f>
        <v>20132.471090191397</v>
      </c>
      <c r="Y107" s="295">
        <f>'CAR Mileage'!Y128*CAR!$I$58</f>
        <v>20132.471090191397</v>
      </c>
      <c r="Z107" s="295">
        <f>'CAR Mileage'!Z128*CAR!$I$58</f>
        <v>20132.471090191397</v>
      </c>
      <c r="AA107" s="295">
        <f>'CAR Mileage'!AA128*CAR!$I$58</f>
        <v>20132.471090191397</v>
      </c>
      <c r="AB107" s="295">
        <f>'CAR Mileage'!AB128*CAR!$I$58</f>
        <v>20132.471090191397</v>
      </c>
      <c r="AC107" s="295">
        <f>'CAR Mileage'!AC128*CAR!$I$58</f>
        <v>20132.471090191397</v>
      </c>
      <c r="AD107" s="295">
        <f>'CAR Mileage'!AD128*CAR!$I$58</f>
        <v>20132.471090191397</v>
      </c>
      <c r="AE107" s="296">
        <f>'CAR Mileage'!AE128*CAR!$I$58</f>
        <v>20132.471090191397</v>
      </c>
      <c r="AG107" s="1711"/>
      <c r="AH107" s="116">
        <v>17</v>
      </c>
      <c r="AI107" s="294">
        <f>'CAR Passenger Kilometres'!C107*'CAR Stock'!C157</f>
        <v>20745503.751044262</v>
      </c>
      <c r="AJ107" s="295">
        <f>'CAR Passenger Kilometres'!D107*'CAR Stock'!D157</f>
        <v>13787366.256339872</v>
      </c>
      <c r="AK107" s="295">
        <f>'CAR Passenger Kilometres'!E107*'CAR Stock'!E157</f>
        <v>2491111.238236594</v>
      </c>
      <c r="AL107" s="295">
        <f>'CAR Passenger Kilometres'!F107*'CAR Stock'!F157</f>
        <v>1380716.018336942</v>
      </c>
      <c r="AM107" s="295">
        <f>'CAR Passenger Kilometres'!G107*'CAR Stock'!G157</f>
        <v>746519.29678087786</v>
      </c>
      <c r="AN107" s="295">
        <f>'CAR Passenger Kilometres'!H107*'CAR Stock'!H157</f>
        <v>613294.20127068646</v>
      </c>
      <c r="AO107" s="295">
        <f>'CAR Passenger Kilometres'!I107*'CAR Stock'!I157</f>
        <v>509288.67513013678</v>
      </c>
      <c r="AP107" s="295">
        <f>'CAR Passenger Kilometres'!J107*'CAR Stock'!J157</f>
        <v>454714.67239668494</v>
      </c>
      <c r="AQ107" s="295">
        <f>'CAR Passenger Kilometres'!K107*'CAR Stock'!K157</f>
        <v>327778.11724646593</v>
      </c>
      <c r="AR107" s="295">
        <f>'CAR Passenger Kilometres'!L107*'CAR Stock'!L157</f>
        <v>323896.82422481955</v>
      </c>
      <c r="AS107" s="295">
        <f>'CAR Passenger Kilometres'!M107*'CAR Stock'!M157</f>
        <v>323467.01532393519</v>
      </c>
      <c r="AT107" s="295">
        <f>'CAR Passenger Kilometres'!N107*'CAR Stock'!N157</f>
        <v>351189.68943098042</v>
      </c>
      <c r="AU107" s="295">
        <f>'CAR Passenger Kilometres'!O107*'CAR Stock'!O157</f>
        <v>313939.58468766377</v>
      </c>
      <c r="AV107" s="295">
        <f>'CAR Passenger Kilometres'!P107*'CAR Stock'!P157</f>
        <v>176150.01454579926</v>
      </c>
      <c r="AW107" s="295">
        <f>'CAR Passenger Kilometres'!Q107*'CAR Stock'!Q157</f>
        <v>28045.030782708589</v>
      </c>
      <c r="AX107" s="295">
        <f>'CAR Passenger Kilometres'!R107*'CAR Stock'!R157</f>
        <v>15938.746741130675</v>
      </c>
      <c r="AY107" s="295">
        <f>'CAR Passenger Kilometres'!S107*'CAR Stock'!S157</f>
        <v>6912.7598225577985</v>
      </c>
      <c r="AZ107" s="295">
        <f>'CAR Passenger Kilometres'!T107*'CAR Stock'!T157</f>
        <v>3510.1060238894524</v>
      </c>
      <c r="BA107" s="295">
        <f>'CAR Passenger Kilometres'!U107*'CAR Stock'!U157</f>
        <v>0</v>
      </c>
      <c r="BB107" s="295">
        <f>'CAR Passenger Kilometres'!V107*'CAR Stock'!V157</f>
        <v>0</v>
      </c>
      <c r="BC107" s="295">
        <f>'CAR Passenger Kilometres'!W107*'CAR Stock'!W157</f>
        <v>0</v>
      </c>
      <c r="BD107" s="295">
        <f>'CAR Passenger Kilometres'!X107*'CAR Stock'!X157</f>
        <v>0</v>
      </c>
      <c r="BE107" s="295">
        <f>'CAR Passenger Kilometres'!Y107*'CAR Stock'!Y157</f>
        <v>0</v>
      </c>
      <c r="BF107" s="295">
        <f>'CAR Passenger Kilometres'!Z107*'CAR Stock'!Z157</f>
        <v>0</v>
      </c>
      <c r="BG107" s="295">
        <f>'CAR Passenger Kilometres'!AA107*'CAR Stock'!AA157</f>
        <v>0</v>
      </c>
      <c r="BH107" s="295">
        <f>'CAR Passenger Kilometres'!AB107*'CAR Stock'!AB157</f>
        <v>0</v>
      </c>
      <c r="BI107" s="295">
        <f>'CAR Passenger Kilometres'!AC107*'CAR Stock'!AC157</f>
        <v>0</v>
      </c>
      <c r="BJ107" s="295">
        <f>'CAR Passenger Kilometres'!AD107*'CAR Stock'!AD157</f>
        <v>0</v>
      </c>
      <c r="BK107" s="296">
        <f>'CAR Passenger Kilometres'!AE107*'CAR Stock'!AE157</f>
        <v>0</v>
      </c>
    </row>
    <row r="108" spans="1:63">
      <c r="A108" s="1711"/>
      <c r="B108" s="116">
        <v>18</v>
      </c>
      <c r="C108" s="294">
        <f>'CAR Mileage'!C129*CAR!$I$58</f>
        <v>20132.471090191397</v>
      </c>
      <c r="D108" s="295">
        <f>'CAR Mileage'!D129*CAR!$I$58</f>
        <v>20132.471090191397</v>
      </c>
      <c r="E108" s="295">
        <f>'CAR Mileage'!E129*CAR!$I$58</f>
        <v>20132.471090191397</v>
      </c>
      <c r="F108" s="295">
        <f>'CAR Mileage'!F129*CAR!$I$58</f>
        <v>20132.471090191397</v>
      </c>
      <c r="G108" s="295">
        <f>'CAR Mileage'!G129*CAR!$I$58</f>
        <v>20132.471090191397</v>
      </c>
      <c r="H108" s="295">
        <f>'CAR Mileage'!H129*CAR!$I$58</f>
        <v>20132.471090191397</v>
      </c>
      <c r="I108" s="295">
        <f>'CAR Mileage'!I129*CAR!$I$58</f>
        <v>20132.471090191397</v>
      </c>
      <c r="J108" s="295">
        <f>'CAR Mileage'!J129*CAR!$I$58</f>
        <v>20132.471090191397</v>
      </c>
      <c r="K108" s="295">
        <f>'CAR Mileage'!K129*CAR!$I$58</f>
        <v>20132.471090191397</v>
      </c>
      <c r="L108" s="295">
        <f>'CAR Mileage'!L129*CAR!$I$58</f>
        <v>20132.471090191397</v>
      </c>
      <c r="M108" s="295">
        <f>'CAR Mileage'!M129*CAR!$I$58</f>
        <v>20132.471090191397</v>
      </c>
      <c r="N108" s="295">
        <f>'CAR Mileage'!N129*CAR!$I$58</f>
        <v>20132.471090191397</v>
      </c>
      <c r="O108" s="295">
        <f>'CAR Mileage'!O129*CAR!$I$58</f>
        <v>20132.471090191397</v>
      </c>
      <c r="P108" s="295">
        <f>'CAR Mileage'!P129*CAR!$I$58</f>
        <v>20132.471090191397</v>
      </c>
      <c r="Q108" s="295">
        <f>'CAR Mileage'!Q129*CAR!$I$58</f>
        <v>20132.471090191397</v>
      </c>
      <c r="R108" s="295">
        <f>'CAR Mileage'!R129*CAR!$I$58</f>
        <v>20132.471090191397</v>
      </c>
      <c r="S108" s="295">
        <f>'CAR Mileage'!S129*CAR!$I$58</f>
        <v>20132.471090191397</v>
      </c>
      <c r="T108" s="295">
        <f>'CAR Mileage'!T129*CAR!$I$58</f>
        <v>20132.471090191397</v>
      </c>
      <c r="U108" s="295">
        <f>'CAR Mileage'!U129*CAR!$I$58</f>
        <v>20132.471090191397</v>
      </c>
      <c r="V108" s="295">
        <f>'CAR Mileage'!V129*CAR!$I$58</f>
        <v>20132.471090191397</v>
      </c>
      <c r="W108" s="295">
        <f>'CAR Mileage'!W129*CAR!$I$58</f>
        <v>20132.471090191397</v>
      </c>
      <c r="X108" s="295">
        <f>'CAR Mileage'!X129*CAR!$I$58</f>
        <v>20132.471090191397</v>
      </c>
      <c r="Y108" s="295">
        <f>'CAR Mileage'!Y129*CAR!$I$58</f>
        <v>20132.471090191397</v>
      </c>
      <c r="Z108" s="295">
        <f>'CAR Mileage'!Z129*CAR!$I$58</f>
        <v>20132.471090191397</v>
      </c>
      <c r="AA108" s="295">
        <f>'CAR Mileage'!AA129*CAR!$I$58</f>
        <v>20132.471090191397</v>
      </c>
      <c r="AB108" s="295">
        <f>'CAR Mileage'!AB129*CAR!$I$58</f>
        <v>20132.471090191397</v>
      </c>
      <c r="AC108" s="295">
        <f>'CAR Mileage'!AC129*CAR!$I$58</f>
        <v>20132.471090191397</v>
      </c>
      <c r="AD108" s="295">
        <f>'CAR Mileage'!AD129*CAR!$I$58</f>
        <v>20132.471090191397</v>
      </c>
      <c r="AE108" s="296">
        <f>'CAR Mileage'!AE129*CAR!$I$58</f>
        <v>20132.471090191397</v>
      </c>
      <c r="AG108" s="1711"/>
      <c r="AH108" s="116">
        <v>18</v>
      </c>
      <c r="AI108" s="294">
        <f>'CAR Passenger Kilometres'!C108*'CAR Stock'!C158</f>
        <v>7631844.3267542217</v>
      </c>
      <c r="AJ108" s="295">
        <f>'CAR Passenger Kilometres'!D108*'CAR Stock'!D158</f>
        <v>4438077.5194072751</v>
      </c>
      <c r="AK108" s="295">
        <f>'CAR Passenger Kilometres'!E108*'CAR Stock'!E158</f>
        <v>2949525.8812896437</v>
      </c>
      <c r="AL108" s="295">
        <f>'CAR Passenger Kilometres'!F108*'CAR Stock'!F158</f>
        <v>532922.45478513092</v>
      </c>
      <c r="AM108" s="295">
        <f>'CAR Passenger Kilometres'!G108*'CAR Stock'!G158</f>
        <v>295376.03883724712</v>
      </c>
      <c r="AN108" s="295">
        <f>'CAR Passenger Kilometres'!H108*'CAR Stock'!H158</f>
        <v>159702.58175486198</v>
      </c>
      <c r="AO108" s="295">
        <f>'CAR Passenger Kilometres'!I108*'CAR Stock'!I158</f>
        <v>131201.78907707968</v>
      </c>
      <c r="AP108" s="295">
        <f>'CAR Passenger Kilometres'!J108*'CAR Stock'!J158</f>
        <v>108951.92746862081</v>
      </c>
      <c r="AQ108" s="295">
        <f>'CAR Passenger Kilometres'!K108*'CAR Stock'!K158</f>
        <v>97276.932366937035</v>
      </c>
      <c r="AR108" s="295">
        <f>'CAR Passenger Kilometres'!L108*'CAR Stock'!L158</f>
        <v>70121.44467361788</v>
      </c>
      <c r="AS108" s="295">
        <f>'CAR Passenger Kilometres'!M108*'CAR Stock'!M158</f>
        <v>69291.12117256847</v>
      </c>
      <c r="AT108" s="295">
        <f>'CAR Passenger Kilometres'!N108*'CAR Stock'!N158</f>
        <v>69199.172322179133</v>
      </c>
      <c r="AU108" s="295">
        <f>'CAR Passenger Kilometres'!O108*'CAR Stock'!O158</f>
        <v>75129.8731722917</v>
      </c>
      <c r="AV108" s="295">
        <f>'CAR Passenger Kilometres'!P108*'CAR Stock'!P158</f>
        <v>67160.972805215366</v>
      </c>
      <c r="AW108" s="295">
        <f>'CAR Passenger Kilometres'!Q108*'CAR Stock'!Q158</f>
        <v>37683.703851232087</v>
      </c>
      <c r="AX108" s="295">
        <f>'CAR Passenger Kilometres'!R108*'CAR Stock'!R158</f>
        <v>5999.6624879045803</v>
      </c>
      <c r="AY108" s="295">
        <f>'CAR Passenger Kilometres'!S108*'CAR Stock'!S158</f>
        <v>3409.7698686047734</v>
      </c>
      <c r="AZ108" s="295">
        <f>'CAR Passenger Kilometres'!T108*'CAR Stock'!T158</f>
        <v>1478.8440104285869</v>
      </c>
      <c r="BA108" s="295">
        <f>'CAR Passenger Kilometres'!U108*'CAR Stock'!U158</f>
        <v>750.91561151296139</v>
      </c>
      <c r="BB108" s="295">
        <f>'CAR Passenger Kilometres'!V108*'CAR Stock'!V158</f>
        <v>0</v>
      </c>
      <c r="BC108" s="295">
        <f>'CAR Passenger Kilometres'!W108*'CAR Stock'!W158</f>
        <v>0</v>
      </c>
      <c r="BD108" s="295">
        <f>'CAR Passenger Kilometres'!X108*'CAR Stock'!X158</f>
        <v>0</v>
      </c>
      <c r="BE108" s="295">
        <f>'CAR Passenger Kilometres'!Y108*'CAR Stock'!Y158</f>
        <v>0</v>
      </c>
      <c r="BF108" s="295">
        <f>'CAR Passenger Kilometres'!Z108*'CAR Stock'!Z158</f>
        <v>0</v>
      </c>
      <c r="BG108" s="295">
        <f>'CAR Passenger Kilometres'!AA108*'CAR Stock'!AA158</f>
        <v>0</v>
      </c>
      <c r="BH108" s="295">
        <f>'CAR Passenger Kilometres'!AB108*'CAR Stock'!AB158</f>
        <v>0</v>
      </c>
      <c r="BI108" s="295">
        <f>'CAR Passenger Kilometres'!AC108*'CAR Stock'!AC158</f>
        <v>0</v>
      </c>
      <c r="BJ108" s="295">
        <f>'CAR Passenger Kilometres'!AD108*'CAR Stock'!AD158</f>
        <v>0</v>
      </c>
      <c r="BK108" s="296">
        <f>'CAR Passenger Kilometres'!AE108*'CAR Stock'!AE158</f>
        <v>0</v>
      </c>
    </row>
    <row r="109" spans="1:63">
      <c r="A109" s="1711"/>
      <c r="B109" s="116">
        <v>19</v>
      </c>
      <c r="C109" s="294">
        <f>'CAR Mileage'!C130*CAR!$I$58</f>
        <v>20132.471090191397</v>
      </c>
      <c r="D109" s="295">
        <f>'CAR Mileage'!D130*CAR!$I$58</f>
        <v>20132.471090191397</v>
      </c>
      <c r="E109" s="295">
        <f>'CAR Mileage'!E130*CAR!$I$58</f>
        <v>20132.471090191397</v>
      </c>
      <c r="F109" s="295">
        <f>'CAR Mileage'!F130*CAR!$I$58</f>
        <v>20132.471090191397</v>
      </c>
      <c r="G109" s="295">
        <f>'CAR Mileage'!G130*CAR!$I$58</f>
        <v>20132.471090191397</v>
      </c>
      <c r="H109" s="295">
        <f>'CAR Mileage'!H130*CAR!$I$58</f>
        <v>20132.471090191397</v>
      </c>
      <c r="I109" s="295">
        <f>'CAR Mileage'!I130*CAR!$I$58</f>
        <v>20132.471090191397</v>
      </c>
      <c r="J109" s="295">
        <f>'CAR Mileage'!J130*CAR!$I$58</f>
        <v>20132.471090191397</v>
      </c>
      <c r="K109" s="295">
        <f>'CAR Mileage'!K130*CAR!$I$58</f>
        <v>20132.471090191397</v>
      </c>
      <c r="L109" s="295">
        <f>'CAR Mileage'!L130*CAR!$I$58</f>
        <v>20132.471090191397</v>
      </c>
      <c r="M109" s="295">
        <f>'CAR Mileage'!M130*CAR!$I$58</f>
        <v>20132.471090191397</v>
      </c>
      <c r="N109" s="295">
        <f>'CAR Mileage'!N130*CAR!$I$58</f>
        <v>20132.471090191397</v>
      </c>
      <c r="O109" s="295">
        <f>'CAR Mileage'!O130*CAR!$I$58</f>
        <v>20132.471090191397</v>
      </c>
      <c r="P109" s="295">
        <f>'CAR Mileage'!P130*CAR!$I$58</f>
        <v>20132.471090191397</v>
      </c>
      <c r="Q109" s="295">
        <f>'CAR Mileage'!Q130*CAR!$I$58</f>
        <v>20132.471090191397</v>
      </c>
      <c r="R109" s="295">
        <f>'CAR Mileage'!R130*CAR!$I$58</f>
        <v>20132.471090191397</v>
      </c>
      <c r="S109" s="295">
        <f>'CAR Mileage'!S130*CAR!$I$58</f>
        <v>20132.471090191397</v>
      </c>
      <c r="T109" s="295">
        <f>'CAR Mileage'!T130*CAR!$I$58</f>
        <v>20132.471090191397</v>
      </c>
      <c r="U109" s="295">
        <f>'CAR Mileage'!U130*CAR!$I$58</f>
        <v>20132.471090191397</v>
      </c>
      <c r="V109" s="295">
        <f>'CAR Mileage'!V130*CAR!$I$58</f>
        <v>20132.471090191397</v>
      </c>
      <c r="W109" s="295">
        <f>'CAR Mileage'!W130*CAR!$I$58</f>
        <v>20132.471090191397</v>
      </c>
      <c r="X109" s="295">
        <f>'CAR Mileage'!X130*CAR!$I$58</f>
        <v>20132.471090191397</v>
      </c>
      <c r="Y109" s="295">
        <f>'CAR Mileage'!Y130*CAR!$I$58</f>
        <v>20132.471090191397</v>
      </c>
      <c r="Z109" s="295">
        <f>'CAR Mileage'!Z130*CAR!$I$58</f>
        <v>20132.471090191397</v>
      </c>
      <c r="AA109" s="295">
        <f>'CAR Mileage'!AA130*CAR!$I$58</f>
        <v>20132.471090191397</v>
      </c>
      <c r="AB109" s="295">
        <f>'CAR Mileage'!AB130*CAR!$I$58</f>
        <v>20132.471090191397</v>
      </c>
      <c r="AC109" s="295">
        <f>'CAR Mileage'!AC130*CAR!$I$58</f>
        <v>20132.471090191397</v>
      </c>
      <c r="AD109" s="295">
        <f>'CAR Mileage'!AD130*CAR!$I$58</f>
        <v>20132.471090191397</v>
      </c>
      <c r="AE109" s="296">
        <f>'CAR Mileage'!AE130*CAR!$I$58</f>
        <v>20132.471090191397</v>
      </c>
      <c r="AG109" s="1711"/>
      <c r="AH109" s="116">
        <v>19</v>
      </c>
      <c r="AI109" s="294">
        <f>'CAR Passenger Kilometres'!C109*'CAR Stock'!C159</f>
        <v>2807598.6260337853</v>
      </c>
      <c r="AJ109" s="295">
        <f>'CAR Passenger Kilometres'!D109*'CAR Stock'!D159</f>
        <v>1399437.8380415048</v>
      </c>
      <c r="AK109" s="295">
        <f>'CAR Passenger Kilometres'!E109*'CAR Stock'!E159</f>
        <v>813802.44969715539</v>
      </c>
      <c r="AL109" s="295">
        <f>'CAR Passenger Kilometres'!F109*'CAR Stock'!F159</f>
        <v>540849.360368822</v>
      </c>
      <c r="AM109" s="295">
        <f>'CAR Passenger Kilometres'!G109*'CAR Stock'!G159</f>
        <v>97721.050906898687</v>
      </c>
      <c r="AN109" s="295">
        <f>'CAR Passenger Kilometres'!H109*'CAR Stock'!H159</f>
        <v>54162.583446649056</v>
      </c>
      <c r="AO109" s="295">
        <f>'CAR Passenger Kilometres'!I109*'CAR Stock'!I159</f>
        <v>29284.380835336215</v>
      </c>
      <c r="AP109" s="295">
        <f>'CAR Passenger Kilometres'!J109*'CAR Stock'!J159</f>
        <v>24058.240733441904</v>
      </c>
      <c r="AQ109" s="295">
        <f>'CAR Passenger Kilometres'!K109*'CAR Stock'!K159</f>
        <v>19978.322840343724</v>
      </c>
      <c r="AR109" s="295">
        <f>'CAR Passenger Kilometres'!L109*'CAR Stock'!L159</f>
        <v>17837.499573421283</v>
      </c>
      <c r="AS109" s="295">
        <f>'CAR Passenger Kilometres'!M109*'CAR Stock'!M159</f>
        <v>12858.045674541318</v>
      </c>
      <c r="AT109" s="295">
        <f>'CAR Passenger Kilometres'!N109*'CAR Stock'!N159</f>
        <v>12705.790718146285</v>
      </c>
      <c r="AU109" s="295">
        <f>'CAR Passenger Kilometres'!O109*'CAR Stock'!O159</f>
        <v>12688.930219570839</v>
      </c>
      <c r="AV109" s="295">
        <f>'CAR Passenger Kilometres'!P109*'CAR Stock'!P159</f>
        <v>13776.432377687086</v>
      </c>
      <c r="AW109" s="295">
        <f>'CAR Passenger Kilometres'!Q109*'CAR Stock'!Q159</f>
        <v>12315.189167815124</v>
      </c>
      <c r="AX109" s="295">
        <f>'CAR Passenger Kilometres'!R109*'CAR Stock'!R159</f>
        <v>6909.9943328368272</v>
      </c>
      <c r="AY109" s="295">
        <f>'CAR Passenger Kilometres'!S109*'CAR Stock'!S159</f>
        <v>1100.1475320478316</v>
      </c>
      <c r="AZ109" s="295">
        <f>'CAR Passenger Kilometres'!T109*'CAR Stock'!T159</f>
        <v>625.24348883944447</v>
      </c>
      <c r="BA109" s="295">
        <f>'CAR Passenger Kilometres'!U109*'CAR Stock'!U159</f>
        <v>271.17301875508485</v>
      </c>
      <c r="BB109" s="295">
        <f>'CAR Passenger Kilometres'!V109*'CAR Stock'!V159</f>
        <v>137.69407169947317</v>
      </c>
      <c r="BC109" s="295">
        <f>'CAR Passenger Kilometres'!W109*'CAR Stock'!W159</f>
        <v>0</v>
      </c>
      <c r="BD109" s="295">
        <f>'CAR Passenger Kilometres'!X109*'CAR Stock'!X159</f>
        <v>0</v>
      </c>
      <c r="BE109" s="295">
        <f>'CAR Passenger Kilometres'!Y109*'CAR Stock'!Y159</f>
        <v>0</v>
      </c>
      <c r="BF109" s="295">
        <f>'CAR Passenger Kilometres'!Z109*'CAR Stock'!Z159</f>
        <v>0</v>
      </c>
      <c r="BG109" s="295">
        <f>'CAR Passenger Kilometres'!AA109*'CAR Stock'!AA159</f>
        <v>0</v>
      </c>
      <c r="BH109" s="295">
        <f>'CAR Passenger Kilometres'!AB109*'CAR Stock'!AB159</f>
        <v>0</v>
      </c>
      <c r="BI109" s="295">
        <f>'CAR Passenger Kilometres'!AC109*'CAR Stock'!AC159</f>
        <v>0</v>
      </c>
      <c r="BJ109" s="295">
        <f>'CAR Passenger Kilometres'!AD109*'CAR Stock'!AD159</f>
        <v>0</v>
      </c>
      <c r="BK109" s="296">
        <f>'CAR Passenger Kilometres'!AE109*'CAR Stock'!AE159</f>
        <v>0</v>
      </c>
    </row>
    <row r="110" spans="1:63">
      <c r="A110" s="1711"/>
      <c r="B110" s="116">
        <v>20</v>
      </c>
      <c r="C110" s="294">
        <f>'CAR Mileage'!C131*CAR!$I$58</f>
        <v>20132.471090191397</v>
      </c>
      <c r="D110" s="295">
        <f>'CAR Mileage'!D131*CAR!$I$58</f>
        <v>20132.471090191397</v>
      </c>
      <c r="E110" s="295">
        <f>'CAR Mileage'!E131*CAR!$I$58</f>
        <v>20132.471090191397</v>
      </c>
      <c r="F110" s="295">
        <f>'CAR Mileage'!F131*CAR!$I$58</f>
        <v>20132.471090191397</v>
      </c>
      <c r="G110" s="295">
        <f>'CAR Mileage'!G131*CAR!$I$58</f>
        <v>20132.471090191397</v>
      </c>
      <c r="H110" s="295">
        <f>'CAR Mileage'!H131*CAR!$I$58</f>
        <v>20132.471090191397</v>
      </c>
      <c r="I110" s="295">
        <f>'CAR Mileage'!I131*CAR!$I$58</f>
        <v>20132.471090191397</v>
      </c>
      <c r="J110" s="295">
        <f>'CAR Mileage'!J131*CAR!$I$58</f>
        <v>20132.471090191397</v>
      </c>
      <c r="K110" s="295">
        <f>'CAR Mileage'!K131*CAR!$I$58</f>
        <v>20132.471090191397</v>
      </c>
      <c r="L110" s="295">
        <f>'CAR Mileage'!L131*CAR!$I$58</f>
        <v>20132.471090191397</v>
      </c>
      <c r="M110" s="295">
        <f>'CAR Mileage'!M131*CAR!$I$58</f>
        <v>20132.471090191397</v>
      </c>
      <c r="N110" s="295">
        <f>'CAR Mileage'!N131*CAR!$I$58</f>
        <v>20132.471090191397</v>
      </c>
      <c r="O110" s="295">
        <f>'CAR Mileage'!O131*CAR!$I$58</f>
        <v>20132.471090191397</v>
      </c>
      <c r="P110" s="295">
        <f>'CAR Mileage'!P131*CAR!$I$58</f>
        <v>20132.471090191397</v>
      </c>
      <c r="Q110" s="295">
        <f>'CAR Mileage'!Q131*CAR!$I$58</f>
        <v>20132.471090191397</v>
      </c>
      <c r="R110" s="295">
        <f>'CAR Mileage'!R131*CAR!$I$58</f>
        <v>20132.471090191397</v>
      </c>
      <c r="S110" s="295">
        <f>'CAR Mileage'!S131*CAR!$I$58</f>
        <v>20132.471090191397</v>
      </c>
      <c r="T110" s="295">
        <f>'CAR Mileage'!T131*CAR!$I$58</f>
        <v>20132.471090191397</v>
      </c>
      <c r="U110" s="295">
        <f>'CAR Mileage'!U131*CAR!$I$58</f>
        <v>20132.471090191397</v>
      </c>
      <c r="V110" s="295">
        <f>'CAR Mileage'!V131*CAR!$I$58</f>
        <v>20132.471090191397</v>
      </c>
      <c r="W110" s="295">
        <f>'CAR Mileage'!W131*CAR!$I$58</f>
        <v>20132.471090191397</v>
      </c>
      <c r="X110" s="295">
        <f>'CAR Mileage'!X131*CAR!$I$58</f>
        <v>20132.471090191397</v>
      </c>
      <c r="Y110" s="295">
        <f>'CAR Mileage'!Y131*CAR!$I$58</f>
        <v>20132.471090191397</v>
      </c>
      <c r="Z110" s="295">
        <f>'CAR Mileage'!Z131*CAR!$I$58</f>
        <v>20132.471090191397</v>
      </c>
      <c r="AA110" s="295">
        <f>'CAR Mileage'!AA131*CAR!$I$58</f>
        <v>20132.471090191397</v>
      </c>
      <c r="AB110" s="295">
        <f>'CAR Mileage'!AB131*CAR!$I$58</f>
        <v>20132.471090191397</v>
      </c>
      <c r="AC110" s="295">
        <f>'CAR Mileage'!AC131*CAR!$I$58</f>
        <v>20132.471090191397</v>
      </c>
      <c r="AD110" s="295">
        <f>'CAR Mileage'!AD131*CAR!$I$58</f>
        <v>20132.471090191397</v>
      </c>
      <c r="AE110" s="296">
        <f>'CAR Mileage'!AE131*CAR!$I$58</f>
        <v>20132.471090191397</v>
      </c>
      <c r="AG110" s="1711"/>
      <c r="AH110" s="116">
        <v>20</v>
      </c>
      <c r="AI110" s="294">
        <f>'CAR Passenger Kilometres'!C110*'CAR Stock'!C160</f>
        <v>1032857.8135790183</v>
      </c>
      <c r="AJ110" s="295">
        <f>'CAR Passenger Kilometres'!D110*'CAR Stock'!D160</f>
        <v>429020.34151073359</v>
      </c>
      <c r="AK110" s="295">
        <f>'CAR Passenger Kilometres'!E110*'CAR Stock'!E160</f>
        <v>213843.70744181445</v>
      </c>
      <c r="AL110" s="295">
        <f>'CAR Passenger Kilometres'!F110*'CAR Stock'!F160</f>
        <v>124354.60028150896</v>
      </c>
      <c r="AM110" s="295">
        <f>'CAR Passenger Kilometres'!G110*'CAR Stock'!G160</f>
        <v>82645.494672820656</v>
      </c>
      <c r="AN110" s="295">
        <f>'CAR Passenger Kilometres'!H110*'CAR Stock'!H160</f>
        <v>14932.447339202021</v>
      </c>
      <c r="AO110" s="295">
        <f>'CAR Passenger Kilometres'!I110*'CAR Stock'!I160</f>
        <v>8276.4145244689116</v>
      </c>
      <c r="AP110" s="295">
        <f>'CAR Passenger Kilometres'!J110*'CAR Stock'!J160</f>
        <v>4474.8544006286811</v>
      </c>
      <c r="AQ110" s="295">
        <f>'CAR Passenger Kilometres'!K110*'CAR Stock'!K160</f>
        <v>3676.2643206552425</v>
      </c>
      <c r="AR110" s="295">
        <f>'CAR Passenger Kilometres'!L110*'CAR Stock'!L160</f>
        <v>3052.8248618942062</v>
      </c>
      <c r="AS110" s="295">
        <f>'CAR Passenger Kilometres'!M110*'CAR Stock'!M160</f>
        <v>2725.6923720245027</v>
      </c>
      <c r="AT110" s="295">
        <f>'CAR Passenger Kilometres'!N110*'CAR Stock'!N160</f>
        <v>1964.7976371341711</v>
      </c>
      <c r="AU110" s="295">
        <f>'CAR Passenger Kilometres'!O110*'CAR Stock'!O160</f>
        <v>1941.5320347137938</v>
      </c>
      <c r="AV110" s="295">
        <f>'CAR Passenger Kilometres'!P110*'CAR Stock'!P160</f>
        <v>1938.9556348004282</v>
      </c>
      <c r="AW110" s="295">
        <f>'CAR Passenger Kilometres'!Q110*'CAR Stock'!Q160</f>
        <v>2105.1334292125121</v>
      </c>
      <c r="AX110" s="295">
        <f>'CAR Passenger Kilometres'!R110*'CAR Stock'!R160</f>
        <v>1881.8454367208226</v>
      </c>
      <c r="AY110" s="295">
        <f>'CAR Passenger Kilometres'!S110*'CAR Stock'!S160</f>
        <v>1055.8945644943535</v>
      </c>
      <c r="AZ110" s="295">
        <f>'CAR Passenger Kilometres'!T110*'CAR Stock'!T160</f>
        <v>168.11009434710834</v>
      </c>
      <c r="BA110" s="295">
        <f>'CAR Passenger Kilometres'!U110*'CAR Stock'!U160</f>
        <v>95.541496787309327</v>
      </c>
      <c r="BB110" s="295">
        <f>'CAR Passenger Kilometres'!V110*'CAR Stock'!V160</f>
        <v>41.437098606630769</v>
      </c>
      <c r="BC110" s="295">
        <f>'CAR Passenger Kilometres'!W110*'CAR Stock'!W160</f>
        <v>21.0405992924861</v>
      </c>
      <c r="BD110" s="295">
        <f>'CAR Passenger Kilometres'!X110*'CAR Stock'!X160</f>
        <v>0</v>
      </c>
      <c r="BE110" s="295">
        <f>'CAR Passenger Kilometres'!Y110*'CAR Stock'!Y160</f>
        <v>0</v>
      </c>
      <c r="BF110" s="295">
        <f>'CAR Passenger Kilometres'!Z110*'CAR Stock'!Z160</f>
        <v>0</v>
      </c>
      <c r="BG110" s="295">
        <f>'CAR Passenger Kilometres'!AA110*'CAR Stock'!AA160</f>
        <v>0</v>
      </c>
      <c r="BH110" s="295">
        <f>'CAR Passenger Kilometres'!AB110*'CAR Stock'!AB160</f>
        <v>0</v>
      </c>
      <c r="BI110" s="295">
        <f>'CAR Passenger Kilometres'!AC110*'CAR Stock'!AC160</f>
        <v>0</v>
      </c>
      <c r="BJ110" s="295">
        <f>'CAR Passenger Kilometres'!AD110*'CAR Stock'!AD160</f>
        <v>0</v>
      </c>
      <c r="BK110" s="296">
        <f>'CAR Passenger Kilometres'!AE110*'CAR Stock'!AE160</f>
        <v>0</v>
      </c>
    </row>
    <row r="111" spans="1:63">
      <c r="A111" s="1711"/>
      <c r="B111" s="116">
        <v>21</v>
      </c>
      <c r="C111" s="294">
        <f>'CAR Mileage'!C132*CAR!$I$58</f>
        <v>20132.471090191397</v>
      </c>
      <c r="D111" s="295">
        <f>'CAR Mileage'!D132*CAR!$I$58</f>
        <v>20132.471090191397</v>
      </c>
      <c r="E111" s="295">
        <f>'CAR Mileage'!E132*CAR!$I$58</f>
        <v>20132.471090191397</v>
      </c>
      <c r="F111" s="295">
        <f>'CAR Mileage'!F132*CAR!$I$58</f>
        <v>20132.471090191397</v>
      </c>
      <c r="G111" s="295">
        <f>'CAR Mileage'!G132*CAR!$I$58</f>
        <v>20132.471090191397</v>
      </c>
      <c r="H111" s="295">
        <f>'CAR Mileage'!H132*CAR!$I$58</f>
        <v>20132.471090191397</v>
      </c>
      <c r="I111" s="295">
        <f>'CAR Mileage'!I132*CAR!$I$58</f>
        <v>20132.471090191397</v>
      </c>
      <c r="J111" s="295">
        <f>'CAR Mileage'!J132*CAR!$I$58</f>
        <v>20132.471090191397</v>
      </c>
      <c r="K111" s="295">
        <f>'CAR Mileage'!K132*CAR!$I$58</f>
        <v>20132.471090191397</v>
      </c>
      <c r="L111" s="295">
        <f>'CAR Mileage'!L132*CAR!$I$58</f>
        <v>20132.471090191397</v>
      </c>
      <c r="M111" s="295">
        <f>'CAR Mileage'!M132*CAR!$I$58</f>
        <v>20132.471090191397</v>
      </c>
      <c r="N111" s="295">
        <f>'CAR Mileage'!N132*CAR!$I$58</f>
        <v>20132.471090191397</v>
      </c>
      <c r="O111" s="295">
        <f>'CAR Mileage'!O132*CAR!$I$58</f>
        <v>20132.471090191397</v>
      </c>
      <c r="P111" s="295">
        <f>'CAR Mileage'!P132*CAR!$I$58</f>
        <v>20132.471090191397</v>
      </c>
      <c r="Q111" s="295">
        <f>'CAR Mileage'!Q132*CAR!$I$58</f>
        <v>20132.471090191397</v>
      </c>
      <c r="R111" s="295">
        <f>'CAR Mileage'!R132*CAR!$I$58</f>
        <v>20132.471090191397</v>
      </c>
      <c r="S111" s="295">
        <f>'CAR Mileage'!S132*CAR!$I$58</f>
        <v>20132.471090191397</v>
      </c>
      <c r="T111" s="295">
        <f>'CAR Mileage'!T132*CAR!$I$58</f>
        <v>20132.471090191397</v>
      </c>
      <c r="U111" s="295">
        <f>'CAR Mileage'!U132*CAR!$I$58</f>
        <v>20132.471090191397</v>
      </c>
      <c r="V111" s="295">
        <f>'CAR Mileage'!V132*CAR!$I$58</f>
        <v>20132.471090191397</v>
      </c>
      <c r="W111" s="295">
        <f>'CAR Mileage'!W132*CAR!$I$58</f>
        <v>20132.471090191397</v>
      </c>
      <c r="X111" s="295">
        <f>'CAR Mileage'!X132*CAR!$I$58</f>
        <v>20132.471090191397</v>
      </c>
      <c r="Y111" s="295">
        <f>'CAR Mileage'!Y132*CAR!$I$58</f>
        <v>20132.471090191397</v>
      </c>
      <c r="Z111" s="295">
        <f>'CAR Mileage'!Z132*CAR!$I$58</f>
        <v>20132.471090191397</v>
      </c>
      <c r="AA111" s="295">
        <f>'CAR Mileage'!AA132*CAR!$I$58</f>
        <v>20132.471090191397</v>
      </c>
      <c r="AB111" s="295">
        <f>'CAR Mileage'!AB132*CAR!$I$58</f>
        <v>20132.471090191397</v>
      </c>
      <c r="AC111" s="295">
        <f>'CAR Mileage'!AC132*CAR!$I$58</f>
        <v>20132.471090191397</v>
      </c>
      <c r="AD111" s="295">
        <f>'CAR Mileage'!AD132*CAR!$I$58</f>
        <v>20132.471090191397</v>
      </c>
      <c r="AE111" s="296">
        <f>'CAR Mileage'!AE132*CAR!$I$58</f>
        <v>20132.471090191397</v>
      </c>
      <c r="AG111" s="1711"/>
      <c r="AH111" s="116">
        <v>21</v>
      </c>
      <c r="AI111" s="294">
        <f>'CAR Passenger Kilometres'!C111*'CAR Stock'!C161</f>
        <v>379967.15526900702</v>
      </c>
      <c r="AJ111" s="295">
        <f>'CAR Passenger Kilometres'!D111*'CAR Stock'!D161</f>
        <v>126262.21078892003</v>
      </c>
      <c r="AK111" s="295">
        <f>'CAR Passenger Kilometres'!E111*'CAR Stock'!E161</f>
        <v>52445.802394482751</v>
      </c>
      <c r="AL111" s="295">
        <f>'CAR Passenger Kilometres'!F111*'CAR Stock'!F161</f>
        <v>26141.429062091196</v>
      </c>
      <c r="AM111" s="295">
        <f>'CAR Passenger Kilometres'!G111*'CAR Stock'!G161</f>
        <v>15201.789197787348</v>
      </c>
      <c r="AN111" s="295">
        <f>'CAR Passenger Kilometres'!H111*'CAR Stock'!H161</f>
        <v>10103.039094001997</v>
      </c>
      <c r="AO111" s="295">
        <f>'CAR Passenger Kilometres'!I111*'CAR Stock'!I161</f>
        <v>1825.4243602065094</v>
      </c>
      <c r="AP111" s="295">
        <f>'CAR Passenger Kilometres'!J111*'CAR Stock'!J161</f>
        <v>1011.7543591444456</v>
      </c>
      <c r="AQ111" s="295">
        <f>'CAR Passenger Kilometres'!K111*'CAR Stock'!K161</f>
        <v>547.03077437548905</v>
      </c>
      <c r="AR111" s="295">
        <f>'CAR Passenger Kilometres'!L111*'CAR Stock'!L161</f>
        <v>449.40673775988887</v>
      </c>
      <c r="AS111" s="295">
        <f>'CAR Passenger Kilometres'!M111*'CAR Stock'!M161</f>
        <v>373.19407487316522</v>
      </c>
      <c r="AT111" s="295">
        <f>'CAR Passenger Kilometres'!N111*'CAR Stock'!N161</f>
        <v>333.20360295263424</v>
      </c>
      <c r="AU111" s="295">
        <f>'CAR Passenger Kilometres'!O111*'CAR Stock'!O161</f>
        <v>240.18765231370102</v>
      </c>
      <c r="AV111" s="295">
        <f>'CAR Passenger Kilometres'!P111*'CAR Stock'!P161</f>
        <v>237.34353731712301</v>
      </c>
      <c r="AW111" s="295">
        <f>'CAR Passenger Kilometres'!Q111*'CAR Stock'!Q161</f>
        <v>237.02858404411566</v>
      </c>
      <c r="AX111" s="295">
        <f>'CAR Passenger Kilometres'!R111*'CAR Stock'!R161</f>
        <v>257.3430701530898</v>
      </c>
      <c r="AY111" s="295">
        <f>'CAR Passenger Kilometres'!S111*'CAR Stock'!S161</f>
        <v>230.04711982578601</v>
      </c>
      <c r="AZ111" s="295">
        <f>'CAR Passenger Kilometres'!T111*'CAR Stock'!T161</f>
        <v>129.07834972084606</v>
      </c>
      <c r="BA111" s="295">
        <f>'CAR Passenger Kilometres'!U111*'CAR Stock'!U161</f>
        <v>20.550701063729665</v>
      </c>
      <c r="BB111" s="295">
        <f>'CAR Passenger Kilometres'!V111*'CAR Stock'!V161</f>
        <v>11.679517207355937</v>
      </c>
      <c r="BC111" s="295">
        <f>'CAR Passenger Kilometres'!W111*'CAR Stock'!W161</f>
        <v>5.0654984742015623</v>
      </c>
      <c r="BD111" s="295">
        <f>'CAR Passenger Kilometres'!X111*'CAR Stock'!X161</f>
        <v>2.5721183962267005</v>
      </c>
      <c r="BE111" s="295">
        <f>'CAR Passenger Kilometres'!Y111*'CAR Stock'!Y161</f>
        <v>0</v>
      </c>
      <c r="BF111" s="295">
        <f>'CAR Passenger Kilometres'!Z111*'CAR Stock'!Z161</f>
        <v>0</v>
      </c>
      <c r="BG111" s="295">
        <f>'CAR Passenger Kilometres'!AA111*'CAR Stock'!AA161</f>
        <v>0</v>
      </c>
      <c r="BH111" s="295">
        <f>'CAR Passenger Kilometres'!AB111*'CAR Stock'!AB161</f>
        <v>0</v>
      </c>
      <c r="BI111" s="295">
        <f>'CAR Passenger Kilometres'!AC111*'CAR Stock'!AC161</f>
        <v>0</v>
      </c>
      <c r="BJ111" s="295">
        <f>'CAR Passenger Kilometres'!AD111*'CAR Stock'!AD161</f>
        <v>0</v>
      </c>
      <c r="BK111" s="296">
        <f>'CAR Passenger Kilometres'!AE111*'CAR Stock'!AE161</f>
        <v>0</v>
      </c>
    </row>
    <row r="112" spans="1:63">
      <c r="A112" s="1711"/>
      <c r="B112" s="116">
        <v>22</v>
      </c>
      <c r="C112" s="294">
        <f>'CAR Mileage'!C133*CAR!$I$58</f>
        <v>20132.471090191397</v>
      </c>
      <c r="D112" s="295">
        <f>'CAR Mileage'!D133*CAR!$I$58</f>
        <v>20132.471090191397</v>
      </c>
      <c r="E112" s="295">
        <f>'CAR Mileage'!E133*CAR!$I$58</f>
        <v>20132.471090191397</v>
      </c>
      <c r="F112" s="295">
        <f>'CAR Mileage'!F133*CAR!$I$58</f>
        <v>20132.471090191397</v>
      </c>
      <c r="G112" s="295">
        <f>'CAR Mileage'!G133*CAR!$I$58</f>
        <v>20132.471090191397</v>
      </c>
      <c r="H112" s="295">
        <f>'CAR Mileage'!H133*CAR!$I$58</f>
        <v>20132.471090191397</v>
      </c>
      <c r="I112" s="295">
        <f>'CAR Mileage'!I133*CAR!$I$58</f>
        <v>20132.471090191397</v>
      </c>
      <c r="J112" s="295">
        <f>'CAR Mileage'!J133*CAR!$I$58</f>
        <v>20132.471090191397</v>
      </c>
      <c r="K112" s="295">
        <f>'CAR Mileage'!K133*CAR!$I$58</f>
        <v>20132.471090191397</v>
      </c>
      <c r="L112" s="295">
        <f>'CAR Mileage'!L133*CAR!$I$58</f>
        <v>20132.471090191397</v>
      </c>
      <c r="M112" s="295">
        <f>'CAR Mileage'!M133*CAR!$I$58</f>
        <v>20132.471090191397</v>
      </c>
      <c r="N112" s="295">
        <f>'CAR Mileage'!N133*CAR!$I$58</f>
        <v>20132.471090191397</v>
      </c>
      <c r="O112" s="295">
        <f>'CAR Mileage'!O133*CAR!$I$58</f>
        <v>20132.471090191397</v>
      </c>
      <c r="P112" s="295">
        <f>'CAR Mileage'!P133*CAR!$I$58</f>
        <v>20132.471090191397</v>
      </c>
      <c r="Q112" s="295">
        <f>'CAR Mileage'!Q133*CAR!$I$58</f>
        <v>20132.471090191397</v>
      </c>
      <c r="R112" s="295">
        <f>'CAR Mileage'!R133*CAR!$I$58</f>
        <v>20132.471090191397</v>
      </c>
      <c r="S112" s="295">
        <f>'CAR Mileage'!S133*CAR!$I$58</f>
        <v>20132.471090191397</v>
      </c>
      <c r="T112" s="295">
        <f>'CAR Mileage'!T133*CAR!$I$58</f>
        <v>20132.471090191397</v>
      </c>
      <c r="U112" s="295">
        <f>'CAR Mileage'!U133*CAR!$I$58</f>
        <v>20132.471090191397</v>
      </c>
      <c r="V112" s="295">
        <f>'CAR Mileage'!V133*CAR!$I$58</f>
        <v>20132.471090191397</v>
      </c>
      <c r="W112" s="295">
        <f>'CAR Mileage'!W133*CAR!$I$58</f>
        <v>20132.471090191397</v>
      </c>
      <c r="X112" s="295">
        <f>'CAR Mileage'!X133*CAR!$I$58</f>
        <v>20132.471090191397</v>
      </c>
      <c r="Y112" s="295">
        <f>'CAR Mileage'!Y133*CAR!$I$58</f>
        <v>20132.471090191397</v>
      </c>
      <c r="Z112" s="295">
        <f>'CAR Mileage'!Z133*CAR!$I$58</f>
        <v>20132.471090191397</v>
      </c>
      <c r="AA112" s="295">
        <f>'CAR Mileage'!AA133*CAR!$I$58</f>
        <v>20132.471090191397</v>
      </c>
      <c r="AB112" s="295">
        <f>'CAR Mileage'!AB133*CAR!$I$58</f>
        <v>20132.471090191397</v>
      </c>
      <c r="AC112" s="295">
        <f>'CAR Mileage'!AC133*CAR!$I$58</f>
        <v>20132.471090191397</v>
      </c>
      <c r="AD112" s="295">
        <f>'CAR Mileage'!AD133*CAR!$I$58</f>
        <v>20132.471090191397</v>
      </c>
      <c r="AE112" s="296">
        <f>'CAR Mileage'!AE133*CAR!$I$58</f>
        <v>20132.471090191397</v>
      </c>
      <c r="AG112" s="1711"/>
      <c r="AH112" s="116">
        <v>22</v>
      </c>
      <c r="AI112" s="294">
        <f>'CAR Passenger Kilometres'!C112*'CAR Stock'!C162</f>
        <v>139782.104743865</v>
      </c>
      <c r="AJ112" s="295">
        <f>'CAR Passenger Kilometres'!D112*'CAR Stock'!D162</f>
        <v>34836.953659574072</v>
      </c>
      <c r="AK112" s="295">
        <f>'CAR Passenger Kilometres'!E112*'CAR Stock'!E162</f>
        <v>11576.239486002127</v>
      </c>
      <c r="AL112" s="295">
        <f>'CAR Passenger Kilometres'!F112*'CAR Stock'!F162</f>
        <v>4808.4471573925075</v>
      </c>
      <c r="AM112" s="295">
        <f>'CAR Passenger Kilometres'!G112*'CAR Stock'!G162</f>
        <v>2396.7538778091762</v>
      </c>
      <c r="AN112" s="295">
        <f>'CAR Passenger Kilometres'!H112*'CAR Stock'!H162</f>
        <v>1393.7626410130097</v>
      </c>
      <c r="AO112" s="295">
        <f>'CAR Passenger Kilometres'!I112*'CAR Stock'!I162</f>
        <v>926.28823270115197</v>
      </c>
      <c r="AP112" s="295">
        <f>'CAR Passenger Kilometres'!J112*'CAR Stock'!J162</f>
        <v>167.3624232087906</v>
      </c>
      <c r="AQ112" s="295">
        <f>'CAR Passenger Kilometres'!K112*'CAR Stock'!K162</f>
        <v>92.761806476229609</v>
      </c>
      <c r="AR112" s="295">
        <f>'CAR Passenger Kilometres'!L112*'CAR Stock'!L162</f>
        <v>50.154034297485644</v>
      </c>
      <c r="AS112" s="295">
        <f>'CAR Passenger Kilometres'!M112*'CAR Stock'!M162</f>
        <v>41.203460563736314</v>
      </c>
      <c r="AT112" s="295">
        <f>'CAR Passenger Kilometres'!N112*'CAR Stock'!N162</f>
        <v>34.215969754490324</v>
      </c>
      <c r="AU112" s="295">
        <f>'CAR Passenger Kilometres'!O112*'CAR Stock'!O162</f>
        <v>30.549478591237744</v>
      </c>
      <c r="AV112" s="295">
        <f>'CAR Passenger Kilometres'!P112*'CAR Stock'!P162</f>
        <v>22.021393157864875</v>
      </c>
      <c r="AW112" s="295">
        <f>'CAR Passenger Kilometres'!Q112*'CAR Stock'!Q162</f>
        <v>21.760632981717173</v>
      </c>
      <c r="AX112" s="295">
        <f>'CAR Passenger Kilometres'!R112*'CAR Stock'!R162</f>
        <v>21.731756768537849</v>
      </c>
      <c r="AY112" s="295">
        <f>'CAR Passenger Kilometres'!S112*'CAR Stock'!S162</f>
        <v>23.594272518604093</v>
      </c>
      <c r="AZ112" s="295">
        <f>'CAR Passenger Kilometres'!T112*'CAR Stock'!T162</f>
        <v>21.091667376396213</v>
      </c>
      <c r="BA112" s="295">
        <f>'CAR Passenger Kilometres'!U112*'CAR Stock'!U162</f>
        <v>11.834434701325341</v>
      </c>
      <c r="BB112" s="295">
        <f>'CAR Passenger Kilometres'!V112*'CAR Stock'!V162</f>
        <v>1.8841729099507405</v>
      </c>
      <c r="BC112" s="295">
        <f>'CAR Passenger Kilometres'!W112*'CAR Stock'!W162</f>
        <v>1.0708262387331793</v>
      </c>
      <c r="BD112" s="295">
        <f>'CAR Passenger Kilometres'!X112*'CAR Stock'!X162</f>
        <v>0.46442576196742374</v>
      </c>
      <c r="BE112" s="295">
        <f>'CAR Passenger Kilometres'!Y112*'CAR Stock'!Y162</f>
        <v>0.23582240763112711</v>
      </c>
      <c r="BF112" s="295">
        <f>'CAR Passenger Kilometres'!Z112*'CAR Stock'!Z162</f>
        <v>0</v>
      </c>
      <c r="BG112" s="295">
        <f>'CAR Passenger Kilometres'!AA112*'CAR Stock'!AA162</f>
        <v>0</v>
      </c>
      <c r="BH112" s="295">
        <f>'CAR Passenger Kilometres'!AB112*'CAR Stock'!AB162</f>
        <v>0</v>
      </c>
      <c r="BI112" s="295">
        <f>'CAR Passenger Kilometres'!AC112*'CAR Stock'!AC162</f>
        <v>0</v>
      </c>
      <c r="BJ112" s="295">
        <f>'CAR Passenger Kilometres'!AD112*'CAR Stock'!AD162</f>
        <v>0</v>
      </c>
      <c r="BK112" s="296">
        <f>'CAR Passenger Kilometres'!AE112*'CAR Stock'!AE162</f>
        <v>0</v>
      </c>
    </row>
    <row r="113" spans="1:63">
      <c r="A113" s="1711"/>
      <c r="B113" s="116">
        <v>23</v>
      </c>
      <c r="C113" s="294">
        <f>'CAR Mileage'!C134*CAR!$I$58</f>
        <v>20132.471090191397</v>
      </c>
      <c r="D113" s="295">
        <f>'CAR Mileage'!D134*CAR!$I$58</f>
        <v>20132.471090191397</v>
      </c>
      <c r="E113" s="295">
        <f>'CAR Mileage'!E134*CAR!$I$58</f>
        <v>20132.471090191397</v>
      </c>
      <c r="F113" s="295">
        <f>'CAR Mileage'!F134*CAR!$I$58</f>
        <v>20132.471090191397</v>
      </c>
      <c r="G113" s="295">
        <f>'CAR Mileage'!G134*CAR!$I$58</f>
        <v>20132.471090191397</v>
      </c>
      <c r="H113" s="295">
        <f>'CAR Mileage'!H134*CAR!$I$58</f>
        <v>20132.471090191397</v>
      </c>
      <c r="I113" s="295">
        <f>'CAR Mileage'!I134*CAR!$I$58</f>
        <v>20132.471090191397</v>
      </c>
      <c r="J113" s="295">
        <f>'CAR Mileage'!J134*CAR!$I$58</f>
        <v>20132.471090191397</v>
      </c>
      <c r="K113" s="295">
        <f>'CAR Mileage'!K134*CAR!$I$58</f>
        <v>20132.471090191397</v>
      </c>
      <c r="L113" s="295">
        <f>'CAR Mileage'!L134*CAR!$I$58</f>
        <v>20132.471090191397</v>
      </c>
      <c r="M113" s="295">
        <f>'CAR Mileage'!M134*CAR!$I$58</f>
        <v>20132.471090191397</v>
      </c>
      <c r="N113" s="295">
        <f>'CAR Mileage'!N134*CAR!$I$58</f>
        <v>20132.471090191397</v>
      </c>
      <c r="O113" s="295">
        <f>'CAR Mileage'!O134*CAR!$I$58</f>
        <v>20132.471090191397</v>
      </c>
      <c r="P113" s="295">
        <f>'CAR Mileage'!P134*CAR!$I$58</f>
        <v>20132.471090191397</v>
      </c>
      <c r="Q113" s="295">
        <f>'CAR Mileage'!Q134*CAR!$I$58</f>
        <v>20132.471090191397</v>
      </c>
      <c r="R113" s="295">
        <f>'CAR Mileage'!R134*CAR!$I$58</f>
        <v>20132.471090191397</v>
      </c>
      <c r="S113" s="295">
        <f>'CAR Mileage'!S134*CAR!$I$58</f>
        <v>20132.471090191397</v>
      </c>
      <c r="T113" s="295">
        <f>'CAR Mileage'!T134*CAR!$I$58</f>
        <v>20132.471090191397</v>
      </c>
      <c r="U113" s="295">
        <f>'CAR Mileage'!U134*CAR!$I$58</f>
        <v>20132.471090191397</v>
      </c>
      <c r="V113" s="295">
        <f>'CAR Mileage'!V134*CAR!$I$58</f>
        <v>20132.471090191397</v>
      </c>
      <c r="W113" s="295">
        <f>'CAR Mileage'!W134*CAR!$I$58</f>
        <v>20132.471090191397</v>
      </c>
      <c r="X113" s="295">
        <f>'CAR Mileage'!X134*CAR!$I$58</f>
        <v>20132.471090191397</v>
      </c>
      <c r="Y113" s="295">
        <f>'CAR Mileage'!Y134*CAR!$I$58</f>
        <v>20132.471090191397</v>
      </c>
      <c r="Z113" s="295">
        <f>'CAR Mileage'!Z134*CAR!$I$58</f>
        <v>20132.471090191397</v>
      </c>
      <c r="AA113" s="295">
        <f>'CAR Mileage'!AA134*CAR!$I$58</f>
        <v>20132.471090191397</v>
      </c>
      <c r="AB113" s="295">
        <f>'CAR Mileage'!AB134*CAR!$I$58</f>
        <v>20132.471090191397</v>
      </c>
      <c r="AC113" s="295">
        <f>'CAR Mileage'!AC134*CAR!$I$58</f>
        <v>20132.471090191397</v>
      </c>
      <c r="AD113" s="295">
        <f>'CAR Mileage'!AD134*CAR!$I$58</f>
        <v>20132.471090191397</v>
      </c>
      <c r="AE113" s="296">
        <f>'CAR Mileage'!AE134*CAR!$I$58</f>
        <v>20132.471090191397</v>
      </c>
      <c r="AG113" s="1711"/>
      <c r="AH113" s="116">
        <v>23</v>
      </c>
      <c r="AI113" s="294">
        <f>'CAR Passenger Kilometres'!C113*'CAR Stock'!C163</f>
        <v>51422.962578941064</v>
      </c>
      <c r="AJ113" s="295">
        <f>'CAR Passenger Kilometres'!D113*'CAR Stock'!D163</f>
        <v>8543.866029599696</v>
      </c>
      <c r="AK113" s="295">
        <f>'CAR Passenger Kilometres'!E113*'CAR Stock'!E163</f>
        <v>2129.3302564886239</v>
      </c>
      <c r="AL113" s="295">
        <f>'CAR Passenger Kilometres'!F113*'CAR Stock'!F163</f>
        <v>707.57154126558669</v>
      </c>
      <c r="AM113" s="295">
        <f>'CAR Passenger Kilometres'!G113*'CAR Stock'!G163</f>
        <v>293.90549239797582</v>
      </c>
      <c r="AN113" s="295">
        <f>'CAR Passenger Kilometres'!H113*'CAR Stock'!H163</f>
        <v>146.49617757185703</v>
      </c>
      <c r="AO113" s="295">
        <f>'CAR Passenger Kilometres'!I113*'CAR Stock'!I163</f>
        <v>85.190599352445759</v>
      </c>
      <c r="AP113" s="295">
        <f>'CAR Passenger Kilometres'!J113*'CAR Stock'!J163</f>
        <v>56.61728001230901</v>
      </c>
      <c r="AQ113" s="295">
        <f>'CAR Passenger Kilometres'!K113*'CAR Stock'!K163</f>
        <v>10.229650819074772</v>
      </c>
      <c r="AR113" s="295">
        <f>'CAR Passenger Kilometres'!L113*'CAR Stock'!L163</f>
        <v>5.6698562999091182</v>
      </c>
      <c r="AS113" s="295">
        <f>'CAR Passenger Kilometres'!M113*'CAR Stock'!M163</f>
        <v>3.0655522798634416</v>
      </c>
      <c r="AT113" s="295">
        <f>'CAR Passenger Kilometres'!N113*'CAR Stock'!N163</f>
        <v>2.5184686384392725</v>
      </c>
      <c r="AU113" s="295">
        <f>'CAR Passenger Kilometres'!O113*'CAR Stock'!O163</f>
        <v>2.0913740152280198</v>
      </c>
      <c r="AV113" s="295">
        <f>'CAR Passenger Kilometres'!P113*'CAR Stock'!P163</f>
        <v>1.8672680085618403</v>
      </c>
      <c r="AW113" s="295">
        <f>'CAR Passenger Kilometres'!Q113*'CAR Stock'!Q163</f>
        <v>1.3460080120463249</v>
      </c>
      <c r="AX113" s="295">
        <f>'CAR Passenger Kilometres'!R113*'CAR Stock'!R163</f>
        <v>1.3300696341334788</v>
      </c>
      <c r="AY113" s="295">
        <f>'CAR Passenger Kilometres'!S113*'CAR Stock'!S163</f>
        <v>1.3283046407010335</v>
      </c>
      <c r="AZ113" s="295">
        <f>'CAR Passenger Kilometres'!T113*'CAR Stock'!T163</f>
        <v>1.4421467170937472</v>
      </c>
      <c r="BA113" s="295">
        <f>'CAR Passenger Kilometres'!U113*'CAR Stock'!U163</f>
        <v>1.2891806196151652</v>
      </c>
      <c r="BB113" s="295">
        <f>'CAR Passenger Kilometres'!V113*'CAR Stock'!V163</f>
        <v>0.72335314173044885</v>
      </c>
      <c r="BC113" s="295">
        <f>'CAR Passenger Kilometres'!W113*'CAR Stock'!W163</f>
        <v>0.11516582146704787</v>
      </c>
      <c r="BD113" s="295">
        <f>'CAR Passenger Kilometres'!X113*'CAR Stock'!X163</f>
        <v>6.5451839786508675E-2</v>
      </c>
      <c r="BE113" s="295">
        <f>'CAR Passenger Kilometres'!Y113*'CAR Stock'!Y163</f>
        <v>2.8386977705159938E-2</v>
      </c>
      <c r="BF113" s="295">
        <f>'CAR Passenger Kilometres'!Z113*'CAR Stock'!Z163</f>
        <v>1.4414113031635617E-2</v>
      </c>
      <c r="BG113" s="295">
        <f>'CAR Passenger Kilometres'!AA113*'CAR Stock'!AA163</f>
        <v>0</v>
      </c>
      <c r="BH113" s="295">
        <f>'CAR Passenger Kilometres'!AB113*'CAR Stock'!AB163</f>
        <v>0</v>
      </c>
      <c r="BI113" s="295">
        <f>'CAR Passenger Kilometres'!AC113*'CAR Stock'!AC163</f>
        <v>0</v>
      </c>
      <c r="BJ113" s="295">
        <f>'CAR Passenger Kilometres'!AD113*'CAR Stock'!AD163</f>
        <v>0</v>
      </c>
      <c r="BK113" s="296">
        <f>'CAR Passenger Kilometres'!AE113*'CAR Stock'!AE163</f>
        <v>0</v>
      </c>
    </row>
    <row r="114" spans="1:63">
      <c r="A114" s="1711"/>
      <c r="B114" s="116">
        <v>24</v>
      </c>
      <c r="C114" s="294">
        <f>'CAR Mileage'!C135*CAR!$I$58</f>
        <v>20132.471090191397</v>
      </c>
      <c r="D114" s="295">
        <f>'CAR Mileage'!D135*CAR!$I$58</f>
        <v>20132.471090191397</v>
      </c>
      <c r="E114" s="295">
        <f>'CAR Mileage'!E135*CAR!$I$58</f>
        <v>20132.471090191397</v>
      </c>
      <c r="F114" s="295">
        <f>'CAR Mileage'!F135*CAR!$I$58</f>
        <v>20132.471090191397</v>
      </c>
      <c r="G114" s="295">
        <f>'CAR Mileage'!G135*CAR!$I$58</f>
        <v>20132.471090191397</v>
      </c>
      <c r="H114" s="295">
        <f>'CAR Mileage'!H135*CAR!$I$58</f>
        <v>20132.471090191397</v>
      </c>
      <c r="I114" s="295">
        <f>'CAR Mileage'!I135*CAR!$I$58</f>
        <v>20132.471090191397</v>
      </c>
      <c r="J114" s="295">
        <f>'CAR Mileage'!J135*CAR!$I$58</f>
        <v>20132.471090191397</v>
      </c>
      <c r="K114" s="295">
        <f>'CAR Mileage'!K135*CAR!$I$58</f>
        <v>20132.471090191397</v>
      </c>
      <c r="L114" s="295">
        <f>'CAR Mileage'!L135*CAR!$I$58</f>
        <v>20132.471090191397</v>
      </c>
      <c r="M114" s="295">
        <f>'CAR Mileage'!M135*CAR!$I$58</f>
        <v>20132.471090191397</v>
      </c>
      <c r="N114" s="295">
        <f>'CAR Mileage'!N135*CAR!$I$58</f>
        <v>20132.471090191397</v>
      </c>
      <c r="O114" s="295">
        <f>'CAR Mileage'!O135*CAR!$I$58</f>
        <v>20132.471090191397</v>
      </c>
      <c r="P114" s="295">
        <f>'CAR Mileage'!P135*CAR!$I$58</f>
        <v>20132.471090191397</v>
      </c>
      <c r="Q114" s="295">
        <f>'CAR Mileage'!Q135*CAR!$I$58</f>
        <v>20132.471090191397</v>
      </c>
      <c r="R114" s="295">
        <f>'CAR Mileage'!R135*CAR!$I$58</f>
        <v>20132.471090191397</v>
      </c>
      <c r="S114" s="295">
        <f>'CAR Mileage'!S135*CAR!$I$58</f>
        <v>20132.471090191397</v>
      </c>
      <c r="T114" s="295">
        <f>'CAR Mileage'!T135*CAR!$I$58</f>
        <v>20132.471090191397</v>
      </c>
      <c r="U114" s="295">
        <f>'CAR Mileage'!U135*CAR!$I$58</f>
        <v>20132.471090191397</v>
      </c>
      <c r="V114" s="295">
        <f>'CAR Mileage'!V135*CAR!$I$58</f>
        <v>20132.471090191397</v>
      </c>
      <c r="W114" s="295">
        <f>'CAR Mileage'!W135*CAR!$I$58</f>
        <v>20132.471090191397</v>
      </c>
      <c r="X114" s="295">
        <f>'CAR Mileage'!X135*CAR!$I$58</f>
        <v>20132.471090191397</v>
      </c>
      <c r="Y114" s="295">
        <f>'CAR Mileage'!Y135*CAR!$I$58</f>
        <v>20132.471090191397</v>
      </c>
      <c r="Z114" s="295">
        <f>'CAR Mileage'!Z135*CAR!$I$58</f>
        <v>20132.471090191397</v>
      </c>
      <c r="AA114" s="295">
        <f>'CAR Mileage'!AA135*CAR!$I$58</f>
        <v>20132.471090191397</v>
      </c>
      <c r="AB114" s="295">
        <f>'CAR Mileage'!AB135*CAR!$I$58</f>
        <v>20132.471090191397</v>
      </c>
      <c r="AC114" s="295">
        <f>'CAR Mileage'!AC135*CAR!$I$58</f>
        <v>20132.471090191397</v>
      </c>
      <c r="AD114" s="295">
        <f>'CAR Mileage'!AD135*CAR!$I$58</f>
        <v>20132.471090191397</v>
      </c>
      <c r="AE114" s="296">
        <f>'CAR Mileage'!AE135*CAR!$I$58</f>
        <v>20132.471090191397</v>
      </c>
      <c r="AG114" s="1711"/>
      <c r="AH114" s="116">
        <v>24</v>
      </c>
      <c r="AI114" s="294">
        <f>'CAR Passenger Kilometres'!C114*'CAR Stock'!C164</f>
        <v>18917.45073692083</v>
      </c>
      <c r="AJ114" s="295">
        <f>'CAR Passenger Kilometres'!D114*'CAR Stock'!D164</f>
        <v>1571.556330206404</v>
      </c>
      <c r="AK114" s="295">
        <f>'CAR Passenger Kilometres'!E114*'CAR Stock'!E164</f>
        <v>261.1122749421599</v>
      </c>
      <c r="AL114" s="295">
        <f>'CAR Passenger Kilometres'!F114*'CAR Stock'!F164</f>
        <v>65.075255797400104</v>
      </c>
      <c r="AM114" s="295">
        <f>'CAR Passenger Kilometres'!G114*'CAR Stock'!G164</f>
        <v>21.62435766011701</v>
      </c>
      <c r="AN114" s="295">
        <f>'CAR Passenger Kilometres'!H114*'CAR Stock'!H164</f>
        <v>8.9821553231478664</v>
      </c>
      <c r="AO114" s="295">
        <f>'CAR Passenger Kilometres'!I114*'CAR Stock'!I164</f>
        <v>4.4771242975482872</v>
      </c>
      <c r="AP114" s="295">
        <f>'CAR Passenger Kilometres'!J114*'CAR Stock'!J164</f>
        <v>2.603541666446918</v>
      </c>
      <c r="AQ114" s="295">
        <f>'CAR Passenger Kilometres'!K114*'CAR Stock'!K164</f>
        <v>1.73030180176455</v>
      </c>
      <c r="AR114" s="295">
        <f>'CAR Passenger Kilometres'!L114*'CAR Stock'!L164</f>
        <v>0.31263217236538188</v>
      </c>
      <c r="AS114" s="295">
        <f>'CAR Passenger Kilometres'!M114*'CAR Stock'!M164</f>
        <v>0.17327859214264518</v>
      </c>
      <c r="AT114" s="295">
        <f>'CAR Passenger Kilometres'!N114*'CAR Stock'!N164</f>
        <v>9.3687486083717478E-2</v>
      </c>
      <c r="AU114" s="295">
        <f>'CAR Passenger Kilometres'!O114*'CAR Stock'!O164</f>
        <v>7.6967858961638339E-2</v>
      </c>
      <c r="AV114" s="295">
        <f>'CAR Passenger Kilometres'!P114*'CAR Stock'!P164</f>
        <v>6.3915260957889006E-2</v>
      </c>
      <c r="AW114" s="295">
        <f>'CAR Passenger Kilometres'!Q114*'CAR Stock'!Q164</f>
        <v>5.7066273739915192E-2</v>
      </c>
      <c r="AX114" s="295">
        <f>'CAR Passenger Kilometres'!R114*'CAR Stock'!R164</f>
        <v>4.1135852657120477E-2</v>
      </c>
      <c r="AY114" s="295">
        <f>'CAR Passenger Kilometres'!S114*'CAR Stock'!S164</f>
        <v>4.0648753947789933E-2</v>
      </c>
      <c r="AZ114" s="295">
        <f>'CAR Passenger Kilometres'!T114*'CAR Stock'!T164</f>
        <v>4.0594813325499378E-2</v>
      </c>
      <c r="BA114" s="295">
        <f>'CAR Passenger Kilometres'!U114*'CAR Stock'!U164</f>
        <v>4.4073983463240089E-2</v>
      </c>
      <c r="BB114" s="295">
        <f>'CAR Passenger Kilometres'!V114*'CAR Stock'!V164</f>
        <v>3.9399129531392088E-2</v>
      </c>
      <c r="BC114" s="295">
        <f>'CAR Passenger Kilometres'!W114*'CAR Stock'!W164</f>
        <v>2.2106665035412022E-2</v>
      </c>
      <c r="BD114" s="295">
        <f>'CAR Passenger Kilometres'!X114*'CAR Stock'!X164</f>
        <v>3.5196256044586439E-3</v>
      </c>
      <c r="BE114" s="295">
        <f>'CAR Passenger Kilometres'!Y114*'CAR Stock'!Y164</f>
        <v>2.0002980766080413E-3</v>
      </c>
      <c r="BF114" s="295">
        <f>'CAR Passenger Kilometres'!Z114*'CAR Stock'!Z164</f>
        <v>8.6754500850640874E-4</v>
      </c>
      <c r="BG114" s="295">
        <f>'CAR Passenger Kilometres'!AA114*'CAR Stock'!AA164</f>
        <v>4.405150820395236E-4</v>
      </c>
      <c r="BH114" s="295">
        <f>'CAR Passenger Kilometres'!AB114*'CAR Stock'!AB164</f>
        <v>0</v>
      </c>
      <c r="BI114" s="295">
        <f>'CAR Passenger Kilometres'!AC114*'CAR Stock'!AC164</f>
        <v>0</v>
      </c>
      <c r="BJ114" s="295">
        <f>'CAR Passenger Kilometres'!AD114*'CAR Stock'!AD164</f>
        <v>0</v>
      </c>
      <c r="BK114" s="296">
        <f>'CAR Passenger Kilometres'!AE114*'CAR Stock'!AE164</f>
        <v>0</v>
      </c>
    </row>
    <row r="115" spans="1:63" ht="15.75" thickBot="1">
      <c r="A115" s="1711"/>
      <c r="B115" s="116">
        <v>25</v>
      </c>
      <c r="C115" s="297">
        <f>'CAR Mileage'!C136*CAR!$I$58</f>
        <v>20132.471090191397</v>
      </c>
      <c r="D115" s="298">
        <f>'CAR Mileage'!D136*CAR!$I$58</f>
        <v>20132.471090191397</v>
      </c>
      <c r="E115" s="298">
        <f>'CAR Mileage'!E136*CAR!$I$58</f>
        <v>20132.471090191397</v>
      </c>
      <c r="F115" s="298">
        <f>'CAR Mileage'!F136*CAR!$I$58</f>
        <v>20132.471090191397</v>
      </c>
      <c r="G115" s="298">
        <f>'CAR Mileage'!G136*CAR!$I$58</f>
        <v>20132.471090191397</v>
      </c>
      <c r="H115" s="298">
        <f>'CAR Mileage'!H136*CAR!$I$58</f>
        <v>20132.471090191397</v>
      </c>
      <c r="I115" s="298">
        <f>'CAR Mileage'!I136*CAR!$I$58</f>
        <v>20132.471090191397</v>
      </c>
      <c r="J115" s="298">
        <f>'CAR Mileage'!J136*CAR!$I$58</f>
        <v>20132.471090191397</v>
      </c>
      <c r="K115" s="298">
        <f>'CAR Mileage'!K136*CAR!$I$58</f>
        <v>20132.471090191397</v>
      </c>
      <c r="L115" s="298">
        <f>'CAR Mileage'!L136*CAR!$I$58</f>
        <v>20132.471090191397</v>
      </c>
      <c r="M115" s="298">
        <f>'CAR Mileage'!M136*CAR!$I$58</f>
        <v>20132.471090191397</v>
      </c>
      <c r="N115" s="298">
        <f>'CAR Mileage'!N136*CAR!$I$58</f>
        <v>20132.471090191397</v>
      </c>
      <c r="O115" s="298">
        <f>'CAR Mileage'!O136*CAR!$I$58</f>
        <v>20132.471090191397</v>
      </c>
      <c r="P115" s="298">
        <f>'CAR Mileage'!P136*CAR!$I$58</f>
        <v>20132.471090191397</v>
      </c>
      <c r="Q115" s="298">
        <f>'CAR Mileage'!Q136*CAR!$I$58</f>
        <v>20132.471090191397</v>
      </c>
      <c r="R115" s="298">
        <f>'CAR Mileage'!R136*CAR!$I$58</f>
        <v>20132.471090191397</v>
      </c>
      <c r="S115" s="298">
        <f>'CAR Mileage'!S136*CAR!$I$58</f>
        <v>20132.471090191397</v>
      </c>
      <c r="T115" s="298">
        <f>'CAR Mileage'!T136*CAR!$I$58</f>
        <v>20132.471090191397</v>
      </c>
      <c r="U115" s="298">
        <f>'CAR Mileage'!U136*CAR!$I$58</f>
        <v>20132.471090191397</v>
      </c>
      <c r="V115" s="298">
        <f>'CAR Mileage'!V136*CAR!$I$58</f>
        <v>20132.471090191397</v>
      </c>
      <c r="W115" s="298">
        <f>'CAR Mileage'!W136*CAR!$I$58</f>
        <v>20132.471090191397</v>
      </c>
      <c r="X115" s="298">
        <f>'CAR Mileage'!X136*CAR!$I$58</f>
        <v>20132.471090191397</v>
      </c>
      <c r="Y115" s="298">
        <f>'CAR Mileage'!Y136*CAR!$I$58</f>
        <v>20132.471090191397</v>
      </c>
      <c r="Z115" s="298">
        <f>'CAR Mileage'!Z136*CAR!$I$58</f>
        <v>20132.471090191397</v>
      </c>
      <c r="AA115" s="298">
        <f>'CAR Mileage'!AA136*CAR!$I$58</f>
        <v>20132.471090191397</v>
      </c>
      <c r="AB115" s="298">
        <f>'CAR Mileage'!AB136*CAR!$I$58</f>
        <v>20132.471090191397</v>
      </c>
      <c r="AC115" s="298">
        <f>'CAR Mileage'!AC136*CAR!$I$58</f>
        <v>20132.471090191397</v>
      </c>
      <c r="AD115" s="298">
        <f>'CAR Mileage'!AD136*CAR!$I$58</f>
        <v>20132.471090191397</v>
      </c>
      <c r="AE115" s="299">
        <f>'CAR Mileage'!AE136*CAR!$I$58</f>
        <v>20132.471090191397</v>
      </c>
      <c r="AG115" s="1711"/>
      <c r="AH115" s="116">
        <v>25</v>
      </c>
      <c r="AI115" s="297">
        <f>'CAR Passenger Kilometres'!C115*'CAR Stock'!C165</f>
        <v>6959.341205486724</v>
      </c>
      <c r="AJ115" s="298">
        <f>'CAR Passenger Kilometres'!D115*'CAR Stock'!D165</f>
        <v>0</v>
      </c>
      <c r="AK115" s="298">
        <f>'CAR Passenger Kilometres'!E115*'CAR Stock'!E165</f>
        <v>0</v>
      </c>
      <c r="AL115" s="298">
        <f>'CAR Passenger Kilometres'!F115*'CAR Stock'!F165</f>
        <v>0</v>
      </c>
      <c r="AM115" s="298">
        <f>'CAR Passenger Kilometres'!G115*'CAR Stock'!G165</f>
        <v>0</v>
      </c>
      <c r="AN115" s="298">
        <f>'CAR Passenger Kilometres'!H115*'CAR Stock'!H165</f>
        <v>0</v>
      </c>
      <c r="AO115" s="298">
        <f>'CAR Passenger Kilometres'!I115*'CAR Stock'!I165</f>
        <v>0</v>
      </c>
      <c r="AP115" s="298">
        <f>'CAR Passenger Kilometres'!J115*'CAR Stock'!J165</f>
        <v>0</v>
      </c>
      <c r="AQ115" s="298">
        <f>'CAR Passenger Kilometres'!K115*'CAR Stock'!K165</f>
        <v>0</v>
      </c>
      <c r="AR115" s="298">
        <f>'CAR Passenger Kilometres'!L115*'CAR Stock'!L165</f>
        <v>0</v>
      </c>
      <c r="AS115" s="298">
        <f>'CAR Passenger Kilometres'!M115*'CAR Stock'!M165</f>
        <v>0</v>
      </c>
      <c r="AT115" s="298">
        <f>'CAR Passenger Kilometres'!N115*'CAR Stock'!N165</f>
        <v>0</v>
      </c>
      <c r="AU115" s="298">
        <f>'CAR Passenger Kilometres'!O115*'CAR Stock'!O165</f>
        <v>0</v>
      </c>
      <c r="AV115" s="298">
        <f>'CAR Passenger Kilometres'!P115*'CAR Stock'!P165</f>
        <v>0</v>
      </c>
      <c r="AW115" s="298">
        <f>'CAR Passenger Kilometres'!Q115*'CAR Stock'!Q165</f>
        <v>0</v>
      </c>
      <c r="AX115" s="298">
        <f>'CAR Passenger Kilometres'!R115*'CAR Stock'!R165</f>
        <v>0</v>
      </c>
      <c r="AY115" s="298">
        <f>'CAR Passenger Kilometres'!S115*'CAR Stock'!S165</f>
        <v>0</v>
      </c>
      <c r="AZ115" s="298">
        <f>'CAR Passenger Kilometres'!T115*'CAR Stock'!T165</f>
        <v>0</v>
      </c>
      <c r="BA115" s="298">
        <f>'CAR Passenger Kilometres'!U115*'CAR Stock'!U165</f>
        <v>0</v>
      </c>
      <c r="BB115" s="298">
        <f>'CAR Passenger Kilometres'!V115*'CAR Stock'!V165</f>
        <v>0</v>
      </c>
      <c r="BC115" s="298">
        <f>'CAR Passenger Kilometres'!W115*'CAR Stock'!W165</f>
        <v>0</v>
      </c>
      <c r="BD115" s="298">
        <f>'CAR Passenger Kilometres'!X115*'CAR Stock'!X165</f>
        <v>0</v>
      </c>
      <c r="BE115" s="298">
        <f>'CAR Passenger Kilometres'!Y115*'CAR Stock'!Y165</f>
        <v>0</v>
      </c>
      <c r="BF115" s="298">
        <f>'CAR Passenger Kilometres'!Z115*'CAR Stock'!Z165</f>
        <v>0</v>
      </c>
      <c r="BG115" s="298">
        <f>'CAR Passenger Kilometres'!AA115*'CAR Stock'!AA165</f>
        <v>0</v>
      </c>
      <c r="BH115" s="298">
        <f>'CAR Passenger Kilometres'!AB115*'CAR Stock'!AB165</f>
        <v>0</v>
      </c>
      <c r="BI115" s="298">
        <f>'CAR Passenger Kilometres'!AC115*'CAR Stock'!AC165</f>
        <v>0</v>
      </c>
      <c r="BJ115" s="298">
        <f>'CAR Passenger Kilometres'!AD115*'CAR Stock'!AD165</f>
        <v>0</v>
      </c>
      <c r="BK115" s="299">
        <f>'CAR Passenger Kilometres'!AE115*'CAR Stock'!AE165</f>
        <v>0</v>
      </c>
    </row>
    <row r="116" spans="1:63" ht="16.5" thickTop="1" thickBot="1">
      <c r="A116" s="1712"/>
      <c r="B116" s="300" t="s">
        <v>39</v>
      </c>
      <c r="C116" s="301">
        <f>'CAR Mileage'!C137*CAR!$I$58</f>
        <v>23235.317958215601</v>
      </c>
      <c r="D116" s="301">
        <f>'CAR Mileage'!D137*CAR!$I$58</f>
        <v>23230.463441169984</v>
      </c>
      <c r="E116" s="301">
        <f>'CAR Mileage'!E137*CAR!$I$58</f>
        <v>23108.989553145766</v>
      </c>
      <c r="F116" s="301">
        <f>'CAR Mileage'!F137*CAR!$I$58</f>
        <v>22927.370532552461</v>
      </c>
      <c r="G116" s="301">
        <f>'CAR Mileage'!G137*CAR!$I$58</f>
        <v>22707.992351675683</v>
      </c>
      <c r="H116" s="301">
        <f>'CAR Mileage'!H137*CAR!$I$58</f>
        <v>22461.228489789533</v>
      </c>
      <c r="I116" s="301">
        <f>'CAR Mileage'!I137*CAR!$I$58</f>
        <v>22196.390086436946</v>
      </c>
      <c r="J116" s="301">
        <f>'CAR Mileage'!J137*CAR!$I$58</f>
        <v>21927.145582878205</v>
      </c>
      <c r="K116" s="301">
        <f>'CAR Mileage'!K137*CAR!$I$58</f>
        <v>21667.925587475616</v>
      </c>
      <c r="L116" s="301">
        <f>'CAR Mileage'!L137*CAR!$I$58</f>
        <v>21436.909815574883</v>
      </c>
      <c r="M116" s="301">
        <f>'CAR Mileage'!M137*CAR!$I$58</f>
        <v>21247.329996368164</v>
      </c>
      <c r="N116" s="301">
        <f>'CAR Mileage'!N137*CAR!$I$58</f>
        <v>21095.570914278902</v>
      </c>
      <c r="O116" s="301">
        <f>'CAR Mileage'!O137*CAR!$I$58</f>
        <v>20953.071148868854</v>
      </c>
      <c r="P116" s="301">
        <f>'CAR Mileage'!P137*CAR!$I$58</f>
        <v>20795.803279731139</v>
      </c>
      <c r="Q116" s="301">
        <f>'CAR Mileage'!Q137*CAR!$I$58</f>
        <v>20571.445932113842</v>
      </c>
      <c r="R116" s="301">
        <f>'CAR Mileage'!R137*CAR!$I$58</f>
        <v>20324.842604421716</v>
      </c>
      <c r="S116" s="301">
        <f>'CAR Mileage'!S137*CAR!$I$58</f>
        <v>20132.471090191393</v>
      </c>
      <c r="T116" s="301">
        <f>'CAR Mileage'!T137*CAR!$I$58</f>
        <v>20132.471090191397</v>
      </c>
      <c r="U116" s="301">
        <f>'CAR Mileage'!U137*CAR!$I$58</f>
        <v>20132.471090191393</v>
      </c>
      <c r="V116" s="301">
        <f>'CAR Mileage'!V137*CAR!$I$58</f>
        <v>20132.4710901914</v>
      </c>
      <c r="W116" s="301">
        <f>'CAR Mileage'!W137*CAR!$I$58</f>
        <v>20132.471090191393</v>
      </c>
      <c r="X116" s="301">
        <f>'CAR Mileage'!X137*CAR!$I$58</f>
        <v>20132.471090191393</v>
      </c>
      <c r="Y116" s="301">
        <f>'CAR Mileage'!Y137*CAR!$I$58</f>
        <v>20132.4710901914</v>
      </c>
      <c r="Z116" s="301">
        <f>'CAR Mileage'!Z137*CAR!$I$58</f>
        <v>20132.471090191397</v>
      </c>
      <c r="AA116" s="301">
        <f>'CAR Mileage'!AA137*CAR!$I$58</f>
        <v>20132.471090191397</v>
      </c>
      <c r="AB116" s="301">
        <f>'CAR Mileage'!AB137*CAR!$I$58</f>
        <v>0</v>
      </c>
      <c r="AC116" s="301">
        <f>'CAR Mileage'!AC137*CAR!$I$58</f>
        <v>0</v>
      </c>
      <c r="AD116" s="301">
        <f>'CAR Mileage'!AD137*CAR!$I$58</f>
        <v>0</v>
      </c>
      <c r="AE116" s="302">
        <f>'CAR Mileage'!AE137*CAR!$I$58</f>
        <v>0</v>
      </c>
      <c r="AG116" s="1712"/>
      <c r="AH116" s="300" t="s">
        <v>39</v>
      </c>
      <c r="AI116" s="301">
        <f t="shared" ref="AI116:BK116" si="3">SUM(AI90:AI115)</f>
        <v>2172223405.2776608</v>
      </c>
      <c r="AJ116" s="301">
        <f t="shared" si="3"/>
        <v>1696000822.6989682</v>
      </c>
      <c r="AK116" s="301">
        <f t="shared" si="3"/>
        <v>1353789842.8716853</v>
      </c>
      <c r="AL116" s="301">
        <f t="shared" si="3"/>
        <v>1076800326.1978028</v>
      </c>
      <c r="AM116" s="301">
        <f t="shared" si="3"/>
        <v>834188598.67514741</v>
      </c>
      <c r="AN116" s="301">
        <f t="shared" si="3"/>
        <v>612635388.97559071</v>
      </c>
      <c r="AO116" s="301">
        <f t="shared" si="3"/>
        <v>414638655.40348107</v>
      </c>
      <c r="AP116" s="301">
        <f t="shared" si="3"/>
        <v>252645412.96661437</v>
      </c>
      <c r="AQ116" s="301">
        <f t="shared" si="3"/>
        <v>136471410.01036373</v>
      </c>
      <c r="AR116" s="301">
        <f t="shared" si="3"/>
        <v>65204945.370340213</v>
      </c>
      <c r="AS116" s="301">
        <f t="shared" si="3"/>
        <v>27933702.671270974</v>
      </c>
      <c r="AT116" s="301">
        <f t="shared" si="3"/>
        <v>11055602.849985227</v>
      </c>
      <c r="AU116" s="301">
        <f t="shared" si="3"/>
        <v>4138779.7031258857</v>
      </c>
      <c r="AV116" s="301">
        <f t="shared" si="3"/>
        <v>1416054.3529684807</v>
      </c>
      <c r="AW116" s="301">
        <f t="shared" si="3"/>
        <v>428328.87079011032</v>
      </c>
      <c r="AX116" s="301">
        <f t="shared" si="3"/>
        <v>112546.5970906163</v>
      </c>
      <c r="AY116" s="301">
        <f t="shared" si="3"/>
        <v>27090.373490938182</v>
      </c>
      <c r="AZ116" s="301">
        <f t="shared" si="3"/>
        <v>5933.9563761322534</v>
      </c>
      <c r="BA116" s="301">
        <f t="shared" si="3"/>
        <v>1151.3485174234891</v>
      </c>
      <c r="BB116" s="301">
        <f t="shared" si="3"/>
        <v>193.45761269467246</v>
      </c>
      <c r="BC116" s="301">
        <f t="shared" si="3"/>
        <v>27.314196491923301</v>
      </c>
      <c r="BD116" s="301">
        <f t="shared" si="3"/>
        <v>3.1055156235850916</v>
      </c>
      <c r="BE116" s="301">
        <f t="shared" si="3"/>
        <v>0.26620968341289508</v>
      </c>
      <c r="BF116" s="301">
        <f t="shared" si="3"/>
        <v>1.5281658040142025E-2</v>
      </c>
      <c r="BG116" s="301">
        <f t="shared" si="3"/>
        <v>4.405150820395236E-4</v>
      </c>
      <c r="BH116" s="301">
        <f t="shared" si="3"/>
        <v>0</v>
      </c>
      <c r="BI116" s="301">
        <f t="shared" si="3"/>
        <v>0</v>
      </c>
      <c r="BJ116" s="301">
        <f t="shared" si="3"/>
        <v>0</v>
      </c>
      <c r="BK116" s="302">
        <f t="shared" si="3"/>
        <v>0</v>
      </c>
    </row>
    <row r="117" spans="1:63" ht="15.75" thickBot="1"/>
    <row r="118" spans="1:63" ht="15.75" thickBot="1">
      <c r="A118" s="1710" t="s">
        <v>45</v>
      </c>
      <c r="B118" s="169" t="s">
        <v>10</v>
      </c>
      <c r="C118" s="288">
        <v>2012</v>
      </c>
      <c r="D118" s="289">
        <v>2013</v>
      </c>
      <c r="E118" s="289">
        <v>2014</v>
      </c>
      <c r="F118" s="289">
        <v>2015</v>
      </c>
      <c r="G118" s="288">
        <v>2016</v>
      </c>
      <c r="H118" s="289">
        <v>2017</v>
      </c>
      <c r="I118" s="289">
        <v>2018</v>
      </c>
      <c r="J118" s="289">
        <v>2019</v>
      </c>
      <c r="K118" s="288">
        <v>2020</v>
      </c>
      <c r="L118" s="289">
        <v>2021</v>
      </c>
      <c r="M118" s="289">
        <v>2022</v>
      </c>
      <c r="N118" s="289">
        <v>2023</v>
      </c>
      <c r="O118" s="288">
        <v>2024</v>
      </c>
      <c r="P118" s="289">
        <v>2025</v>
      </c>
      <c r="Q118" s="289">
        <v>2026</v>
      </c>
      <c r="R118" s="289">
        <v>2027</v>
      </c>
      <c r="S118" s="288">
        <v>2028</v>
      </c>
      <c r="T118" s="289">
        <v>2029</v>
      </c>
      <c r="U118" s="289">
        <v>2030</v>
      </c>
      <c r="V118" s="289">
        <v>2031</v>
      </c>
      <c r="W118" s="288">
        <v>2032</v>
      </c>
      <c r="X118" s="289">
        <v>2033</v>
      </c>
      <c r="Y118" s="289">
        <v>2034</v>
      </c>
      <c r="Z118" s="289">
        <v>2035</v>
      </c>
      <c r="AA118" s="288">
        <v>2036</v>
      </c>
      <c r="AB118" s="289">
        <v>2037</v>
      </c>
      <c r="AC118" s="289">
        <v>2038</v>
      </c>
      <c r="AD118" s="289">
        <v>2039</v>
      </c>
      <c r="AE118" s="290">
        <v>2040</v>
      </c>
      <c r="AG118" s="1710" t="s">
        <v>45</v>
      </c>
      <c r="AH118" s="169" t="s">
        <v>10</v>
      </c>
      <c r="AI118" s="288">
        <v>2012</v>
      </c>
      <c r="AJ118" s="289">
        <v>2013</v>
      </c>
      <c r="AK118" s="289">
        <v>2014</v>
      </c>
      <c r="AL118" s="289">
        <v>2015</v>
      </c>
      <c r="AM118" s="288">
        <v>2016</v>
      </c>
      <c r="AN118" s="289">
        <v>2017</v>
      </c>
      <c r="AO118" s="289">
        <v>2018</v>
      </c>
      <c r="AP118" s="289">
        <v>2019</v>
      </c>
      <c r="AQ118" s="288">
        <v>2020</v>
      </c>
      <c r="AR118" s="289">
        <v>2021</v>
      </c>
      <c r="AS118" s="289">
        <v>2022</v>
      </c>
      <c r="AT118" s="289">
        <v>2023</v>
      </c>
      <c r="AU118" s="288">
        <v>2024</v>
      </c>
      <c r="AV118" s="289">
        <v>2025</v>
      </c>
      <c r="AW118" s="289">
        <v>2026</v>
      </c>
      <c r="AX118" s="289">
        <v>2027</v>
      </c>
      <c r="AY118" s="288">
        <v>2028</v>
      </c>
      <c r="AZ118" s="289">
        <v>2029</v>
      </c>
      <c r="BA118" s="289">
        <v>2030</v>
      </c>
      <c r="BB118" s="289">
        <v>2031</v>
      </c>
      <c r="BC118" s="288">
        <v>2032</v>
      </c>
      <c r="BD118" s="289">
        <v>2033</v>
      </c>
      <c r="BE118" s="289">
        <v>2034</v>
      </c>
      <c r="BF118" s="289">
        <v>2035</v>
      </c>
      <c r="BG118" s="288">
        <v>2036</v>
      </c>
      <c r="BH118" s="289">
        <v>2037</v>
      </c>
      <c r="BI118" s="289">
        <v>2038</v>
      </c>
      <c r="BJ118" s="289">
        <v>2039</v>
      </c>
      <c r="BK118" s="290">
        <v>2040</v>
      </c>
    </row>
    <row r="119" spans="1:63">
      <c r="A119" s="1711" t="s">
        <v>41</v>
      </c>
      <c r="B119" s="116">
        <v>0</v>
      </c>
      <c r="C119" s="291">
        <f>'CAR Mileage'!C140*CAR!$I$58</f>
        <v>20917.481059630871</v>
      </c>
      <c r="D119" s="292">
        <f>'CAR Mileage'!D140*CAR!$I$58</f>
        <v>20917.481059630871</v>
      </c>
      <c r="E119" s="292">
        <f>'CAR Mileage'!E140*CAR!$I$58</f>
        <v>20917.481059630871</v>
      </c>
      <c r="F119" s="292">
        <f>'CAR Mileage'!F140*CAR!$I$58</f>
        <v>20917.481059630871</v>
      </c>
      <c r="G119" s="292">
        <f>'CAR Mileage'!G140*CAR!$I$58</f>
        <v>20917.481059630871</v>
      </c>
      <c r="H119" s="292">
        <f>'CAR Mileage'!H140*CAR!$I$58</f>
        <v>20917.481059630871</v>
      </c>
      <c r="I119" s="292">
        <f>'CAR Mileage'!I140*CAR!$I$58</f>
        <v>20917.481059630871</v>
      </c>
      <c r="J119" s="292">
        <f>'CAR Mileage'!J140*CAR!$I$58</f>
        <v>20917.481059630871</v>
      </c>
      <c r="K119" s="292">
        <f>'CAR Mileage'!K140*CAR!$I$58</f>
        <v>20917.481059630871</v>
      </c>
      <c r="L119" s="292">
        <f>'CAR Mileage'!L140*CAR!$I$58</f>
        <v>20917.481059630871</v>
      </c>
      <c r="M119" s="292">
        <f>'CAR Mileage'!M140*CAR!$I$58</f>
        <v>20917.481059630871</v>
      </c>
      <c r="N119" s="292">
        <f>'CAR Mileage'!N140*CAR!$I$58</f>
        <v>20917.481059630871</v>
      </c>
      <c r="O119" s="292">
        <f>'CAR Mileage'!O140*CAR!$I$58</f>
        <v>20917.481059630871</v>
      </c>
      <c r="P119" s="292">
        <f>'CAR Mileage'!P140*CAR!$I$58</f>
        <v>20917.481059630871</v>
      </c>
      <c r="Q119" s="292">
        <f>'CAR Mileage'!Q140*CAR!$I$58</f>
        <v>20917.481059630871</v>
      </c>
      <c r="R119" s="292">
        <f>'CAR Mileage'!R140*CAR!$I$58</f>
        <v>20917.481059630871</v>
      </c>
      <c r="S119" s="292">
        <f>'CAR Mileage'!S140*CAR!$I$58</f>
        <v>20917.481059630871</v>
      </c>
      <c r="T119" s="292">
        <f>'CAR Mileage'!T140*CAR!$I$58</f>
        <v>20917.481059630871</v>
      </c>
      <c r="U119" s="292">
        <f>'CAR Mileage'!U140*CAR!$I$58</f>
        <v>20917.481059630871</v>
      </c>
      <c r="V119" s="292">
        <f>'CAR Mileage'!V140*CAR!$I$58</f>
        <v>20917.481059630871</v>
      </c>
      <c r="W119" s="292">
        <f>'CAR Mileage'!W140*CAR!$I$58</f>
        <v>20917.481059630871</v>
      </c>
      <c r="X119" s="292">
        <f>'CAR Mileage'!X140*CAR!$I$58</f>
        <v>20917.481059630871</v>
      </c>
      <c r="Y119" s="292">
        <f>'CAR Mileage'!Y140*CAR!$I$58</f>
        <v>20917.481059630871</v>
      </c>
      <c r="Z119" s="292">
        <f>'CAR Mileage'!Z140*CAR!$I$58</f>
        <v>20917.481059630871</v>
      </c>
      <c r="AA119" s="292">
        <f>'CAR Mileage'!AA140*CAR!$I$58</f>
        <v>20917.481059630871</v>
      </c>
      <c r="AB119" s="292">
        <f>'CAR Mileage'!AB140*CAR!$I$58</f>
        <v>20917.481059630871</v>
      </c>
      <c r="AC119" s="292">
        <f>'CAR Mileage'!AC140*CAR!$I$58</f>
        <v>20917.481059630871</v>
      </c>
      <c r="AD119" s="292">
        <f>'CAR Mileage'!AD140*CAR!$I$58</f>
        <v>20917.481059630871</v>
      </c>
      <c r="AE119" s="293">
        <f>'CAR Mileage'!AE140*CAR!$I$58</f>
        <v>20917.481059630871</v>
      </c>
      <c r="AG119" s="1711" t="s">
        <v>41</v>
      </c>
      <c r="AH119" s="116">
        <v>0</v>
      </c>
      <c r="AI119" s="291">
        <f>'CAR Passenger Kilometres'!C119*'CAR Stock'!C169</f>
        <v>41834.962119261741</v>
      </c>
      <c r="AJ119" s="292">
        <f>'CAR Passenger Kilometres'!D119*'CAR Stock'!D169</f>
        <v>0</v>
      </c>
      <c r="AK119" s="292">
        <f>'CAR Passenger Kilometres'!E119*'CAR Stock'!E169</f>
        <v>0</v>
      </c>
      <c r="AL119" s="292">
        <f>'CAR Passenger Kilometres'!F119*'CAR Stock'!F169</f>
        <v>0</v>
      </c>
      <c r="AM119" s="292">
        <f>'CAR Passenger Kilometres'!G119*'CAR Stock'!G169</f>
        <v>0</v>
      </c>
      <c r="AN119" s="292">
        <f>'CAR Passenger Kilometres'!H119*'CAR Stock'!H169</f>
        <v>0</v>
      </c>
      <c r="AO119" s="292">
        <f>'CAR Passenger Kilometres'!I119*'CAR Stock'!I169</f>
        <v>0</v>
      </c>
      <c r="AP119" s="292">
        <f>'CAR Passenger Kilometres'!J119*'CAR Stock'!J169</f>
        <v>0</v>
      </c>
      <c r="AQ119" s="292">
        <f>'CAR Passenger Kilometres'!K119*'CAR Stock'!K169</f>
        <v>0</v>
      </c>
      <c r="AR119" s="292">
        <f>'CAR Passenger Kilometres'!L119*'CAR Stock'!L169</f>
        <v>0</v>
      </c>
      <c r="AS119" s="292">
        <f>'CAR Passenger Kilometres'!M119*'CAR Stock'!M169</f>
        <v>0</v>
      </c>
      <c r="AT119" s="292">
        <f>'CAR Passenger Kilometres'!N119*'CAR Stock'!N169</f>
        <v>0</v>
      </c>
      <c r="AU119" s="292">
        <f>'CAR Passenger Kilometres'!O119*'CAR Stock'!O169</f>
        <v>0</v>
      </c>
      <c r="AV119" s="292">
        <f>'CAR Passenger Kilometres'!P119*'CAR Stock'!P169</f>
        <v>0</v>
      </c>
      <c r="AW119" s="292">
        <f>'CAR Passenger Kilometres'!Q119*'CAR Stock'!Q169</f>
        <v>0</v>
      </c>
      <c r="AX119" s="292">
        <f>'CAR Passenger Kilometres'!R119*'CAR Stock'!R169</f>
        <v>0</v>
      </c>
      <c r="AY119" s="292">
        <f>'CAR Passenger Kilometres'!S119*'CAR Stock'!S169</f>
        <v>0</v>
      </c>
      <c r="AZ119" s="292">
        <f>'CAR Passenger Kilometres'!T119*'CAR Stock'!T169</f>
        <v>0</v>
      </c>
      <c r="BA119" s="292">
        <f>'CAR Passenger Kilometres'!U119*'CAR Stock'!U169</f>
        <v>0</v>
      </c>
      <c r="BB119" s="292">
        <f>'CAR Passenger Kilometres'!V119*'CAR Stock'!V169</f>
        <v>0</v>
      </c>
      <c r="BC119" s="292">
        <f>'CAR Passenger Kilometres'!W119*'CAR Stock'!W169</f>
        <v>0</v>
      </c>
      <c r="BD119" s="292">
        <f>'CAR Passenger Kilometres'!X119*'CAR Stock'!X169</f>
        <v>0</v>
      </c>
      <c r="BE119" s="292">
        <f>'CAR Passenger Kilometres'!Y119*'CAR Stock'!Y169</f>
        <v>0</v>
      </c>
      <c r="BF119" s="292">
        <f>'CAR Passenger Kilometres'!Z119*'CAR Stock'!Z169</f>
        <v>0</v>
      </c>
      <c r="BG119" s="292">
        <f>'CAR Passenger Kilometres'!AA119*'CAR Stock'!AA169</f>
        <v>0</v>
      </c>
      <c r="BH119" s="292">
        <f>'CAR Passenger Kilometres'!AB119*'CAR Stock'!AB169</f>
        <v>0</v>
      </c>
      <c r="BI119" s="292">
        <f>'CAR Passenger Kilometres'!AC119*'CAR Stock'!AC169</f>
        <v>0</v>
      </c>
      <c r="BJ119" s="292">
        <f>'CAR Passenger Kilometres'!AD119*'CAR Stock'!AD169</f>
        <v>0</v>
      </c>
      <c r="BK119" s="293">
        <f>'CAR Passenger Kilometres'!AE119*'CAR Stock'!AE169</f>
        <v>0</v>
      </c>
    </row>
    <row r="120" spans="1:63">
      <c r="A120" s="1711"/>
      <c r="B120" s="116">
        <v>1</v>
      </c>
      <c r="C120" s="294">
        <f>'CAR Mileage'!C141*CAR!$I$58</f>
        <v>20499.131438438253</v>
      </c>
      <c r="D120" s="295">
        <f>'CAR Mileage'!D141*CAR!$I$58</f>
        <v>20499.131438438253</v>
      </c>
      <c r="E120" s="295">
        <f>'CAR Mileage'!E141*CAR!$I$58</f>
        <v>20499.131438438253</v>
      </c>
      <c r="F120" s="295">
        <f>'CAR Mileage'!F141*CAR!$I$58</f>
        <v>20499.131438438253</v>
      </c>
      <c r="G120" s="295">
        <f>'CAR Mileage'!G141*CAR!$I$58</f>
        <v>20499.131438438253</v>
      </c>
      <c r="H120" s="295">
        <f>'CAR Mileage'!H141*CAR!$I$58</f>
        <v>20499.131438438253</v>
      </c>
      <c r="I120" s="295">
        <f>'CAR Mileage'!I141*CAR!$I$58</f>
        <v>20499.131438438253</v>
      </c>
      <c r="J120" s="295">
        <f>'CAR Mileage'!J141*CAR!$I$58</f>
        <v>20499.131438438253</v>
      </c>
      <c r="K120" s="295">
        <f>'CAR Mileage'!K141*CAR!$I$58</f>
        <v>20499.131438438253</v>
      </c>
      <c r="L120" s="295">
        <f>'CAR Mileage'!L141*CAR!$I$58</f>
        <v>20499.131438438253</v>
      </c>
      <c r="M120" s="295">
        <f>'CAR Mileage'!M141*CAR!$I$58</f>
        <v>20499.131438438253</v>
      </c>
      <c r="N120" s="295">
        <f>'CAR Mileage'!N141*CAR!$I$58</f>
        <v>20499.131438438253</v>
      </c>
      <c r="O120" s="295">
        <f>'CAR Mileage'!O141*CAR!$I$58</f>
        <v>20499.131438438253</v>
      </c>
      <c r="P120" s="295">
        <f>'CAR Mileage'!P141*CAR!$I$58</f>
        <v>20499.131438438253</v>
      </c>
      <c r="Q120" s="295">
        <f>'CAR Mileage'!Q141*CAR!$I$58</f>
        <v>20499.131438438253</v>
      </c>
      <c r="R120" s="295">
        <f>'CAR Mileage'!R141*CAR!$I$58</f>
        <v>20499.131438438253</v>
      </c>
      <c r="S120" s="295">
        <f>'CAR Mileage'!S141*CAR!$I$58</f>
        <v>20499.131438438253</v>
      </c>
      <c r="T120" s="295">
        <f>'CAR Mileage'!T141*CAR!$I$58</f>
        <v>20499.131438438253</v>
      </c>
      <c r="U120" s="295">
        <f>'CAR Mileage'!U141*CAR!$I$58</f>
        <v>20499.131438438253</v>
      </c>
      <c r="V120" s="295">
        <f>'CAR Mileage'!V141*CAR!$I$58</f>
        <v>20499.131438438253</v>
      </c>
      <c r="W120" s="295">
        <f>'CAR Mileage'!W141*CAR!$I$58</f>
        <v>20499.131438438253</v>
      </c>
      <c r="X120" s="295">
        <f>'CAR Mileage'!X141*CAR!$I$58</f>
        <v>20499.131438438253</v>
      </c>
      <c r="Y120" s="295">
        <f>'CAR Mileage'!Y141*CAR!$I$58</f>
        <v>20499.131438438253</v>
      </c>
      <c r="Z120" s="295">
        <f>'CAR Mileage'!Z141*CAR!$I$58</f>
        <v>20499.131438438253</v>
      </c>
      <c r="AA120" s="295">
        <f>'CAR Mileage'!AA141*CAR!$I$58</f>
        <v>20499.131438438253</v>
      </c>
      <c r="AB120" s="295">
        <f>'CAR Mileage'!AB141*CAR!$I$58</f>
        <v>20499.131438438253</v>
      </c>
      <c r="AC120" s="295">
        <f>'CAR Mileage'!AC141*CAR!$I$58</f>
        <v>20499.131438438253</v>
      </c>
      <c r="AD120" s="295">
        <f>'CAR Mileage'!AD141*CAR!$I$58</f>
        <v>20499.131438438253</v>
      </c>
      <c r="AE120" s="296">
        <f>'CAR Mileage'!AE141*CAR!$I$58</f>
        <v>20499.131438438253</v>
      </c>
      <c r="AG120" s="1711"/>
      <c r="AH120" s="116">
        <v>1</v>
      </c>
      <c r="AI120" s="294">
        <f>'CAR Passenger Kilometres'!C120*'CAR Stock'!C170</f>
        <v>102495.65719219127</v>
      </c>
      <c r="AJ120" s="295">
        <f>'CAR Passenger Kilometres'!D120*'CAR Stock'!D170</f>
        <v>40998.262876876506</v>
      </c>
      <c r="AK120" s="295">
        <f>'CAR Passenger Kilometres'!E120*'CAR Stock'!E170</f>
        <v>0</v>
      </c>
      <c r="AL120" s="295">
        <f>'CAR Passenger Kilometres'!F120*'CAR Stock'!F170</f>
        <v>0</v>
      </c>
      <c r="AM120" s="295">
        <f>'CAR Passenger Kilometres'!G120*'CAR Stock'!G170</f>
        <v>0</v>
      </c>
      <c r="AN120" s="295">
        <f>'CAR Passenger Kilometres'!H120*'CAR Stock'!H170</f>
        <v>0</v>
      </c>
      <c r="AO120" s="295">
        <f>'CAR Passenger Kilometres'!I120*'CAR Stock'!I170</f>
        <v>0</v>
      </c>
      <c r="AP120" s="295">
        <f>'CAR Passenger Kilometres'!J120*'CAR Stock'!J170</f>
        <v>0</v>
      </c>
      <c r="AQ120" s="295">
        <f>'CAR Passenger Kilometres'!K120*'CAR Stock'!K170</f>
        <v>0</v>
      </c>
      <c r="AR120" s="295">
        <f>'CAR Passenger Kilometres'!L120*'CAR Stock'!L170</f>
        <v>0</v>
      </c>
      <c r="AS120" s="295">
        <f>'CAR Passenger Kilometres'!M120*'CAR Stock'!M170</f>
        <v>0</v>
      </c>
      <c r="AT120" s="295">
        <f>'CAR Passenger Kilometres'!N120*'CAR Stock'!N170</f>
        <v>0</v>
      </c>
      <c r="AU120" s="295">
        <f>'CAR Passenger Kilometres'!O120*'CAR Stock'!O170</f>
        <v>0</v>
      </c>
      <c r="AV120" s="295">
        <f>'CAR Passenger Kilometres'!P120*'CAR Stock'!P170</f>
        <v>0</v>
      </c>
      <c r="AW120" s="295">
        <f>'CAR Passenger Kilometres'!Q120*'CAR Stock'!Q170</f>
        <v>0</v>
      </c>
      <c r="AX120" s="295">
        <f>'CAR Passenger Kilometres'!R120*'CAR Stock'!R170</f>
        <v>0</v>
      </c>
      <c r="AY120" s="295">
        <f>'CAR Passenger Kilometres'!S120*'CAR Stock'!S170</f>
        <v>0</v>
      </c>
      <c r="AZ120" s="295">
        <f>'CAR Passenger Kilometres'!T120*'CAR Stock'!T170</f>
        <v>0</v>
      </c>
      <c r="BA120" s="295">
        <f>'CAR Passenger Kilometres'!U120*'CAR Stock'!U170</f>
        <v>0</v>
      </c>
      <c r="BB120" s="295">
        <f>'CAR Passenger Kilometres'!V120*'CAR Stock'!V170</f>
        <v>0</v>
      </c>
      <c r="BC120" s="295">
        <f>'CAR Passenger Kilometres'!W120*'CAR Stock'!W170</f>
        <v>0</v>
      </c>
      <c r="BD120" s="295">
        <f>'CAR Passenger Kilometres'!X120*'CAR Stock'!X170</f>
        <v>0</v>
      </c>
      <c r="BE120" s="295">
        <f>'CAR Passenger Kilometres'!Y120*'CAR Stock'!Y170</f>
        <v>0</v>
      </c>
      <c r="BF120" s="295">
        <f>'CAR Passenger Kilometres'!Z120*'CAR Stock'!Z170</f>
        <v>0</v>
      </c>
      <c r="BG120" s="295">
        <f>'CAR Passenger Kilometres'!AA120*'CAR Stock'!AA170</f>
        <v>0</v>
      </c>
      <c r="BH120" s="295">
        <f>'CAR Passenger Kilometres'!AB120*'CAR Stock'!AB170</f>
        <v>0</v>
      </c>
      <c r="BI120" s="295">
        <f>'CAR Passenger Kilometres'!AC120*'CAR Stock'!AC170</f>
        <v>0</v>
      </c>
      <c r="BJ120" s="295">
        <f>'CAR Passenger Kilometres'!AD120*'CAR Stock'!AD170</f>
        <v>0</v>
      </c>
      <c r="BK120" s="296">
        <f>'CAR Passenger Kilometres'!AE120*'CAR Stock'!AE170</f>
        <v>0</v>
      </c>
    </row>
    <row r="121" spans="1:63">
      <c r="A121" s="1711"/>
      <c r="B121" s="116">
        <v>2</v>
      </c>
      <c r="C121" s="294">
        <f>'CAR Mileage'!C142*CAR!$I$58</f>
        <v>20089.148809669488</v>
      </c>
      <c r="D121" s="295">
        <f>'CAR Mileage'!D142*CAR!$I$58</f>
        <v>20089.148809669488</v>
      </c>
      <c r="E121" s="295">
        <f>'CAR Mileage'!E142*CAR!$I$58</f>
        <v>20089.148809669488</v>
      </c>
      <c r="F121" s="295">
        <f>'CAR Mileage'!F142*CAR!$I$58</f>
        <v>20089.148809669488</v>
      </c>
      <c r="G121" s="295">
        <f>'CAR Mileage'!G142*CAR!$I$58</f>
        <v>20089.148809669488</v>
      </c>
      <c r="H121" s="295">
        <f>'CAR Mileage'!H142*CAR!$I$58</f>
        <v>20089.148809669488</v>
      </c>
      <c r="I121" s="295">
        <f>'CAR Mileage'!I142*CAR!$I$58</f>
        <v>20089.148809669488</v>
      </c>
      <c r="J121" s="295">
        <f>'CAR Mileage'!J142*CAR!$I$58</f>
        <v>20089.148809669488</v>
      </c>
      <c r="K121" s="295">
        <f>'CAR Mileage'!K142*CAR!$I$58</f>
        <v>20089.148809669488</v>
      </c>
      <c r="L121" s="295">
        <f>'CAR Mileage'!L142*CAR!$I$58</f>
        <v>20089.148809669488</v>
      </c>
      <c r="M121" s="295">
        <f>'CAR Mileage'!M142*CAR!$I$58</f>
        <v>20089.148809669488</v>
      </c>
      <c r="N121" s="295">
        <f>'CAR Mileage'!N142*CAR!$I$58</f>
        <v>20089.148809669488</v>
      </c>
      <c r="O121" s="295">
        <f>'CAR Mileage'!O142*CAR!$I$58</f>
        <v>20089.148809669488</v>
      </c>
      <c r="P121" s="295">
        <f>'CAR Mileage'!P142*CAR!$I$58</f>
        <v>20089.148809669488</v>
      </c>
      <c r="Q121" s="295">
        <f>'CAR Mileage'!Q142*CAR!$I$58</f>
        <v>20089.148809669488</v>
      </c>
      <c r="R121" s="295">
        <f>'CAR Mileage'!R142*CAR!$I$58</f>
        <v>20089.148809669488</v>
      </c>
      <c r="S121" s="295">
        <f>'CAR Mileage'!S142*CAR!$I$58</f>
        <v>20089.148809669488</v>
      </c>
      <c r="T121" s="295">
        <f>'CAR Mileage'!T142*CAR!$I$58</f>
        <v>20089.148809669488</v>
      </c>
      <c r="U121" s="295">
        <f>'CAR Mileage'!U142*CAR!$I$58</f>
        <v>20089.148809669488</v>
      </c>
      <c r="V121" s="295">
        <f>'CAR Mileage'!V142*CAR!$I$58</f>
        <v>20089.148809669488</v>
      </c>
      <c r="W121" s="295">
        <f>'CAR Mileage'!W142*CAR!$I$58</f>
        <v>20089.148809669488</v>
      </c>
      <c r="X121" s="295">
        <f>'CAR Mileage'!X142*CAR!$I$58</f>
        <v>20089.148809669488</v>
      </c>
      <c r="Y121" s="295">
        <f>'CAR Mileage'!Y142*CAR!$I$58</f>
        <v>20089.148809669488</v>
      </c>
      <c r="Z121" s="295">
        <f>'CAR Mileage'!Z142*CAR!$I$58</f>
        <v>20089.148809669488</v>
      </c>
      <c r="AA121" s="295">
        <f>'CAR Mileage'!AA142*CAR!$I$58</f>
        <v>20089.148809669488</v>
      </c>
      <c r="AB121" s="295">
        <f>'CAR Mileage'!AB142*CAR!$I$58</f>
        <v>20089.148809669488</v>
      </c>
      <c r="AC121" s="295">
        <f>'CAR Mileage'!AC142*CAR!$I$58</f>
        <v>20089.148809669488</v>
      </c>
      <c r="AD121" s="295">
        <f>'CAR Mileage'!AD142*CAR!$I$58</f>
        <v>20089.148809669488</v>
      </c>
      <c r="AE121" s="296">
        <f>'CAR Mileage'!AE142*CAR!$I$58</f>
        <v>20089.148809669488</v>
      </c>
      <c r="AG121" s="1711"/>
      <c r="AH121" s="116">
        <v>2</v>
      </c>
      <c r="AI121" s="294">
        <f>'CAR Passenger Kilometres'!C121*'CAR Stock'!C171</f>
        <v>301337.23214504233</v>
      </c>
      <c r="AJ121" s="295">
        <f>'CAR Passenger Kilometres'!D121*'CAR Stock'!D171</f>
        <v>100445.74404834743</v>
      </c>
      <c r="AK121" s="295">
        <f>'CAR Passenger Kilometres'!E121*'CAR Stock'!E171</f>
        <v>40178.297619338977</v>
      </c>
      <c r="AL121" s="295">
        <f>'CAR Passenger Kilometres'!F121*'CAR Stock'!F171</f>
        <v>0</v>
      </c>
      <c r="AM121" s="295">
        <f>'CAR Passenger Kilometres'!G121*'CAR Stock'!G171</f>
        <v>0</v>
      </c>
      <c r="AN121" s="295">
        <f>'CAR Passenger Kilometres'!H121*'CAR Stock'!H171</f>
        <v>0</v>
      </c>
      <c r="AO121" s="295">
        <f>'CAR Passenger Kilometres'!I121*'CAR Stock'!I171</f>
        <v>0</v>
      </c>
      <c r="AP121" s="295">
        <f>'CAR Passenger Kilometres'!J121*'CAR Stock'!J171</f>
        <v>0</v>
      </c>
      <c r="AQ121" s="295">
        <f>'CAR Passenger Kilometres'!K121*'CAR Stock'!K171</f>
        <v>0</v>
      </c>
      <c r="AR121" s="295">
        <f>'CAR Passenger Kilometres'!L121*'CAR Stock'!L171</f>
        <v>0</v>
      </c>
      <c r="AS121" s="295">
        <f>'CAR Passenger Kilometres'!M121*'CAR Stock'!M171</f>
        <v>0</v>
      </c>
      <c r="AT121" s="295">
        <f>'CAR Passenger Kilometres'!N121*'CAR Stock'!N171</f>
        <v>0</v>
      </c>
      <c r="AU121" s="295">
        <f>'CAR Passenger Kilometres'!O121*'CAR Stock'!O171</f>
        <v>0</v>
      </c>
      <c r="AV121" s="295">
        <f>'CAR Passenger Kilometres'!P121*'CAR Stock'!P171</f>
        <v>0</v>
      </c>
      <c r="AW121" s="295">
        <f>'CAR Passenger Kilometres'!Q121*'CAR Stock'!Q171</f>
        <v>0</v>
      </c>
      <c r="AX121" s="295">
        <f>'CAR Passenger Kilometres'!R121*'CAR Stock'!R171</f>
        <v>0</v>
      </c>
      <c r="AY121" s="295">
        <f>'CAR Passenger Kilometres'!S121*'CAR Stock'!S171</f>
        <v>0</v>
      </c>
      <c r="AZ121" s="295">
        <f>'CAR Passenger Kilometres'!T121*'CAR Stock'!T171</f>
        <v>0</v>
      </c>
      <c r="BA121" s="295">
        <f>'CAR Passenger Kilometres'!U121*'CAR Stock'!U171</f>
        <v>0</v>
      </c>
      <c r="BB121" s="295">
        <f>'CAR Passenger Kilometres'!V121*'CAR Stock'!V171</f>
        <v>0</v>
      </c>
      <c r="BC121" s="295">
        <f>'CAR Passenger Kilometres'!W121*'CAR Stock'!W171</f>
        <v>0</v>
      </c>
      <c r="BD121" s="295">
        <f>'CAR Passenger Kilometres'!X121*'CAR Stock'!X171</f>
        <v>0</v>
      </c>
      <c r="BE121" s="295">
        <f>'CAR Passenger Kilometres'!Y121*'CAR Stock'!Y171</f>
        <v>0</v>
      </c>
      <c r="BF121" s="295">
        <f>'CAR Passenger Kilometres'!Z121*'CAR Stock'!Z171</f>
        <v>0</v>
      </c>
      <c r="BG121" s="295">
        <f>'CAR Passenger Kilometres'!AA121*'CAR Stock'!AA171</f>
        <v>0</v>
      </c>
      <c r="BH121" s="295">
        <f>'CAR Passenger Kilometres'!AB121*'CAR Stock'!AB171</f>
        <v>0</v>
      </c>
      <c r="BI121" s="295">
        <f>'CAR Passenger Kilometres'!AC121*'CAR Stock'!AC171</f>
        <v>0</v>
      </c>
      <c r="BJ121" s="295">
        <f>'CAR Passenger Kilometres'!AD121*'CAR Stock'!AD171</f>
        <v>0</v>
      </c>
      <c r="BK121" s="296">
        <f>'CAR Passenger Kilometres'!AE121*'CAR Stock'!AE171</f>
        <v>0</v>
      </c>
    </row>
    <row r="122" spans="1:63">
      <c r="A122" s="1711"/>
      <c r="B122" s="116">
        <v>3</v>
      </c>
      <c r="C122" s="294">
        <f>'CAR Mileage'!C143*CAR!$I$58</f>
        <v>19687.365833476098</v>
      </c>
      <c r="D122" s="295">
        <f>'CAR Mileage'!D143*CAR!$I$58</f>
        <v>19687.365833476098</v>
      </c>
      <c r="E122" s="295">
        <f>'CAR Mileage'!E143*CAR!$I$58</f>
        <v>19687.365833476098</v>
      </c>
      <c r="F122" s="295">
        <f>'CAR Mileage'!F143*CAR!$I$58</f>
        <v>19687.365833476098</v>
      </c>
      <c r="G122" s="295">
        <f>'CAR Mileage'!G143*CAR!$I$58</f>
        <v>19687.365833476098</v>
      </c>
      <c r="H122" s="295">
        <f>'CAR Mileage'!H143*CAR!$I$58</f>
        <v>19687.365833476098</v>
      </c>
      <c r="I122" s="295">
        <f>'CAR Mileage'!I143*CAR!$I$58</f>
        <v>19687.365833476098</v>
      </c>
      <c r="J122" s="295">
        <f>'CAR Mileage'!J143*CAR!$I$58</f>
        <v>19687.365833476098</v>
      </c>
      <c r="K122" s="295">
        <f>'CAR Mileage'!K143*CAR!$I$58</f>
        <v>19687.365833476098</v>
      </c>
      <c r="L122" s="295">
        <f>'CAR Mileage'!L143*CAR!$I$58</f>
        <v>19687.365833476098</v>
      </c>
      <c r="M122" s="295">
        <f>'CAR Mileage'!M143*CAR!$I$58</f>
        <v>19687.365833476098</v>
      </c>
      <c r="N122" s="295">
        <f>'CAR Mileage'!N143*CAR!$I$58</f>
        <v>19687.365833476098</v>
      </c>
      <c r="O122" s="295">
        <f>'CAR Mileage'!O143*CAR!$I$58</f>
        <v>19687.365833476098</v>
      </c>
      <c r="P122" s="295">
        <f>'CAR Mileage'!P143*CAR!$I$58</f>
        <v>19687.365833476098</v>
      </c>
      <c r="Q122" s="295">
        <f>'CAR Mileage'!Q143*CAR!$I$58</f>
        <v>19687.365833476098</v>
      </c>
      <c r="R122" s="295">
        <f>'CAR Mileage'!R143*CAR!$I$58</f>
        <v>19687.365833476098</v>
      </c>
      <c r="S122" s="295">
        <f>'CAR Mileage'!S143*CAR!$I$58</f>
        <v>19687.365833476098</v>
      </c>
      <c r="T122" s="295">
        <f>'CAR Mileage'!T143*CAR!$I$58</f>
        <v>19687.365833476098</v>
      </c>
      <c r="U122" s="295">
        <f>'CAR Mileage'!U143*CAR!$I$58</f>
        <v>19687.365833476098</v>
      </c>
      <c r="V122" s="295">
        <f>'CAR Mileage'!V143*CAR!$I$58</f>
        <v>19687.365833476098</v>
      </c>
      <c r="W122" s="295">
        <f>'CAR Mileage'!W143*CAR!$I$58</f>
        <v>19687.365833476098</v>
      </c>
      <c r="X122" s="295">
        <f>'CAR Mileage'!X143*CAR!$I$58</f>
        <v>19687.365833476098</v>
      </c>
      <c r="Y122" s="295">
        <f>'CAR Mileage'!Y143*CAR!$I$58</f>
        <v>19687.365833476098</v>
      </c>
      <c r="Z122" s="295">
        <f>'CAR Mileage'!Z143*CAR!$I$58</f>
        <v>19687.365833476098</v>
      </c>
      <c r="AA122" s="295">
        <f>'CAR Mileage'!AA143*CAR!$I$58</f>
        <v>19687.365833476098</v>
      </c>
      <c r="AB122" s="295">
        <f>'CAR Mileage'!AB143*CAR!$I$58</f>
        <v>19687.365833476098</v>
      </c>
      <c r="AC122" s="295">
        <f>'CAR Mileage'!AC143*CAR!$I$58</f>
        <v>19687.365833476098</v>
      </c>
      <c r="AD122" s="295">
        <f>'CAR Mileage'!AD143*CAR!$I$58</f>
        <v>19687.365833476098</v>
      </c>
      <c r="AE122" s="296">
        <f>'CAR Mileage'!AE143*CAR!$I$58</f>
        <v>19687.365833476098</v>
      </c>
      <c r="AG122" s="1711"/>
      <c r="AH122" s="116">
        <v>3</v>
      </c>
      <c r="AI122" s="294">
        <f>'CAR Passenger Kilometres'!C122*'CAR Stock'!C172</f>
        <v>314997.85333561758</v>
      </c>
      <c r="AJ122" s="295">
        <f>'CAR Passenger Kilometres'!D122*'CAR Stock'!D172</f>
        <v>295310.48750214151</v>
      </c>
      <c r="AK122" s="295">
        <f>'CAR Passenger Kilometres'!E122*'CAR Stock'!E172</f>
        <v>98436.829167380492</v>
      </c>
      <c r="AL122" s="295">
        <f>'CAR Passenger Kilometres'!F122*'CAR Stock'!F172</f>
        <v>39374.731666952197</v>
      </c>
      <c r="AM122" s="295">
        <f>'CAR Passenger Kilometres'!G122*'CAR Stock'!G172</f>
        <v>0</v>
      </c>
      <c r="AN122" s="295">
        <f>'CAR Passenger Kilometres'!H122*'CAR Stock'!H172</f>
        <v>0</v>
      </c>
      <c r="AO122" s="295">
        <f>'CAR Passenger Kilometres'!I122*'CAR Stock'!I172</f>
        <v>0</v>
      </c>
      <c r="AP122" s="295">
        <f>'CAR Passenger Kilometres'!J122*'CAR Stock'!J172</f>
        <v>0</v>
      </c>
      <c r="AQ122" s="295">
        <f>'CAR Passenger Kilometres'!K122*'CAR Stock'!K172</f>
        <v>0</v>
      </c>
      <c r="AR122" s="295">
        <f>'CAR Passenger Kilometres'!L122*'CAR Stock'!L172</f>
        <v>0</v>
      </c>
      <c r="AS122" s="295">
        <f>'CAR Passenger Kilometres'!M122*'CAR Stock'!M172</f>
        <v>0</v>
      </c>
      <c r="AT122" s="295">
        <f>'CAR Passenger Kilometres'!N122*'CAR Stock'!N172</f>
        <v>0</v>
      </c>
      <c r="AU122" s="295">
        <f>'CAR Passenger Kilometres'!O122*'CAR Stock'!O172</f>
        <v>0</v>
      </c>
      <c r="AV122" s="295">
        <f>'CAR Passenger Kilometres'!P122*'CAR Stock'!P172</f>
        <v>0</v>
      </c>
      <c r="AW122" s="295">
        <f>'CAR Passenger Kilometres'!Q122*'CAR Stock'!Q172</f>
        <v>0</v>
      </c>
      <c r="AX122" s="295">
        <f>'CAR Passenger Kilometres'!R122*'CAR Stock'!R172</f>
        <v>0</v>
      </c>
      <c r="AY122" s="295">
        <f>'CAR Passenger Kilometres'!S122*'CAR Stock'!S172</f>
        <v>0</v>
      </c>
      <c r="AZ122" s="295">
        <f>'CAR Passenger Kilometres'!T122*'CAR Stock'!T172</f>
        <v>0</v>
      </c>
      <c r="BA122" s="295">
        <f>'CAR Passenger Kilometres'!U122*'CAR Stock'!U172</f>
        <v>0</v>
      </c>
      <c r="BB122" s="295">
        <f>'CAR Passenger Kilometres'!V122*'CAR Stock'!V172</f>
        <v>0</v>
      </c>
      <c r="BC122" s="295">
        <f>'CAR Passenger Kilometres'!W122*'CAR Stock'!W172</f>
        <v>0</v>
      </c>
      <c r="BD122" s="295">
        <f>'CAR Passenger Kilometres'!X122*'CAR Stock'!X172</f>
        <v>0</v>
      </c>
      <c r="BE122" s="295">
        <f>'CAR Passenger Kilometres'!Y122*'CAR Stock'!Y172</f>
        <v>0</v>
      </c>
      <c r="BF122" s="295">
        <f>'CAR Passenger Kilometres'!Z122*'CAR Stock'!Z172</f>
        <v>0</v>
      </c>
      <c r="BG122" s="295">
        <f>'CAR Passenger Kilometres'!AA122*'CAR Stock'!AA172</f>
        <v>0</v>
      </c>
      <c r="BH122" s="295">
        <f>'CAR Passenger Kilometres'!AB122*'CAR Stock'!AB172</f>
        <v>0</v>
      </c>
      <c r="BI122" s="295">
        <f>'CAR Passenger Kilometres'!AC122*'CAR Stock'!AC172</f>
        <v>0</v>
      </c>
      <c r="BJ122" s="295">
        <f>'CAR Passenger Kilometres'!AD122*'CAR Stock'!AD172</f>
        <v>0</v>
      </c>
      <c r="BK122" s="296">
        <f>'CAR Passenger Kilometres'!AE122*'CAR Stock'!AE172</f>
        <v>0</v>
      </c>
    </row>
    <row r="123" spans="1:63">
      <c r="A123" s="1711"/>
      <c r="B123" s="116">
        <v>4</v>
      </c>
      <c r="C123" s="294">
        <f>'CAR Mileage'!C144*CAR!$I$58</f>
        <v>19293.618516806579</v>
      </c>
      <c r="D123" s="295">
        <f>'CAR Mileage'!D144*CAR!$I$58</f>
        <v>19293.618516806579</v>
      </c>
      <c r="E123" s="295">
        <f>'CAR Mileage'!E144*CAR!$I$58</f>
        <v>19293.618516806579</v>
      </c>
      <c r="F123" s="295">
        <f>'CAR Mileage'!F144*CAR!$I$58</f>
        <v>19293.618516806579</v>
      </c>
      <c r="G123" s="295">
        <f>'CAR Mileage'!G144*CAR!$I$58</f>
        <v>19293.618516806579</v>
      </c>
      <c r="H123" s="295">
        <f>'CAR Mileage'!H144*CAR!$I$58</f>
        <v>19293.618516806579</v>
      </c>
      <c r="I123" s="295">
        <f>'CAR Mileage'!I144*CAR!$I$58</f>
        <v>19293.618516806579</v>
      </c>
      <c r="J123" s="295">
        <f>'CAR Mileage'!J144*CAR!$I$58</f>
        <v>19293.618516806579</v>
      </c>
      <c r="K123" s="295">
        <f>'CAR Mileage'!K144*CAR!$I$58</f>
        <v>19293.618516806579</v>
      </c>
      <c r="L123" s="295">
        <f>'CAR Mileage'!L144*CAR!$I$58</f>
        <v>19293.618516806579</v>
      </c>
      <c r="M123" s="295">
        <f>'CAR Mileage'!M144*CAR!$I$58</f>
        <v>19293.618516806579</v>
      </c>
      <c r="N123" s="295">
        <f>'CAR Mileage'!N144*CAR!$I$58</f>
        <v>19293.618516806579</v>
      </c>
      <c r="O123" s="295">
        <f>'CAR Mileage'!O144*CAR!$I$58</f>
        <v>19293.618516806579</v>
      </c>
      <c r="P123" s="295">
        <f>'CAR Mileage'!P144*CAR!$I$58</f>
        <v>19293.618516806579</v>
      </c>
      <c r="Q123" s="295">
        <f>'CAR Mileage'!Q144*CAR!$I$58</f>
        <v>19293.618516806579</v>
      </c>
      <c r="R123" s="295">
        <f>'CAR Mileage'!R144*CAR!$I$58</f>
        <v>19293.618516806579</v>
      </c>
      <c r="S123" s="295">
        <f>'CAR Mileage'!S144*CAR!$I$58</f>
        <v>19293.618516806579</v>
      </c>
      <c r="T123" s="295">
        <f>'CAR Mileage'!T144*CAR!$I$58</f>
        <v>19293.618516806579</v>
      </c>
      <c r="U123" s="295">
        <f>'CAR Mileage'!U144*CAR!$I$58</f>
        <v>19293.618516806579</v>
      </c>
      <c r="V123" s="295">
        <f>'CAR Mileage'!V144*CAR!$I$58</f>
        <v>19293.618516806579</v>
      </c>
      <c r="W123" s="295">
        <f>'CAR Mileage'!W144*CAR!$I$58</f>
        <v>19293.618516806579</v>
      </c>
      <c r="X123" s="295">
        <f>'CAR Mileage'!X144*CAR!$I$58</f>
        <v>19293.618516806579</v>
      </c>
      <c r="Y123" s="295">
        <f>'CAR Mileage'!Y144*CAR!$I$58</f>
        <v>19293.618516806579</v>
      </c>
      <c r="Z123" s="295">
        <f>'CAR Mileage'!Z144*CAR!$I$58</f>
        <v>19293.618516806579</v>
      </c>
      <c r="AA123" s="295">
        <f>'CAR Mileage'!AA144*CAR!$I$58</f>
        <v>19293.618516806579</v>
      </c>
      <c r="AB123" s="295">
        <f>'CAR Mileage'!AB144*CAR!$I$58</f>
        <v>19293.618516806579</v>
      </c>
      <c r="AC123" s="295">
        <f>'CAR Mileage'!AC144*CAR!$I$58</f>
        <v>19293.618516806579</v>
      </c>
      <c r="AD123" s="295">
        <f>'CAR Mileage'!AD144*CAR!$I$58</f>
        <v>19293.618516806579</v>
      </c>
      <c r="AE123" s="296">
        <f>'CAR Mileage'!AE144*CAR!$I$58</f>
        <v>19293.618516806579</v>
      </c>
      <c r="AG123" s="1711"/>
      <c r="AH123" s="116">
        <v>4</v>
      </c>
      <c r="AI123" s="294">
        <f>'CAR Passenger Kilometres'!C123*'CAR Stock'!C173</f>
        <v>289404.27775209869</v>
      </c>
      <c r="AJ123" s="295">
        <f>'CAR Passenger Kilometres'!D123*'CAR Stock'!D173</f>
        <v>308697.89626890526</v>
      </c>
      <c r="AK123" s="295">
        <f>'CAR Passenger Kilometres'!E123*'CAR Stock'!E173</f>
        <v>289404.27775209869</v>
      </c>
      <c r="AL123" s="295">
        <f>'CAR Passenger Kilometres'!F123*'CAR Stock'!F173</f>
        <v>96468.092584032885</v>
      </c>
      <c r="AM123" s="295">
        <f>'CAR Passenger Kilometres'!G123*'CAR Stock'!G173</f>
        <v>38587.237033613157</v>
      </c>
      <c r="AN123" s="295">
        <f>'CAR Passenger Kilometres'!H123*'CAR Stock'!H173</f>
        <v>0</v>
      </c>
      <c r="AO123" s="295">
        <f>'CAR Passenger Kilometres'!I123*'CAR Stock'!I173</f>
        <v>0</v>
      </c>
      <c r="AP123" s="295">
        <f>'CAR Passenger Kilometres'!J123*'CAR Stock'!J173</f>
        <v>0</v>
      </c>
      <c r="AQ123" s="295">
        <f>'CAR Passenger Kilometres'!K123*'CAR Stock'!K173</f>
        <v>0</v>
      </c>
      <c r="AR123" s="295">
        <f>'CAR Passenger Kilometres'!L123*'CAR Stock'!L173</f>
        <v>0</v>
      </c>
      <c r="AS123" s="295">
        <f>'CAR Passenger Kilometres'!M123*'CAR Stock'!M173</f>
        <v>0</v>
      </c>
      <c r="AT123" s="295">
        <f>'CAR Passenger Kilometres'!N123*'CAR Stock'!N173</f>
        <v>0</v>
      </c>
      <c r="AU123" s="295">
        <f>'CAR Passenger Kilometres'!O123*'CAR Stock'!O173</f>
        <v>0</v>
      </c>
      <c r="AV123" s="295">
        <f>'CAR Passenger Kilometres'!P123*'CAR Stock'!P173</f>
        <v>0</v>
      </c>
      <c r="AW123" s="295">
        <f>'CAR Passenger Kilometres'!Q123*'CAR Stock'!Q173</f>
        <v>0</v>
      </c>
      <c r="AX123" s="295">
        <f>'CAR Passenger Kilometres'!R123*'CAR Stock'!R173</f>
        <v>0</v>
      </c>
      <c r="AY123" s="295">
        <f>'CAR Passenger Kilometres'!S123*'CAR Stock'!S173</f>
        <v>0</v>
      </c>
      <c r="AZ123" s="295">
        <f>'CAR Passenger Kilometres'!T123*'CAR Stock'!T173</f>
        <v>0</v>
      </c>
      <c r="BA123" s="295">
        <f>'CAR Passenger Kilometres'!U123*'CAR Stock'!U173</f>
        <v>0</v>
      </c>
      <c r="BB123" s="295">
        <f>'CAR Passenger Kilometres'!V123*'CAR Stock'!V173</f>
        <v>0</v>
      </c>
      <c r="BC123" s="295">
        <f>'CAR Passenger Kilometres'!W123*'CAR Stock'!W173</f>
        <v>0</v>
      </c>
      <c r="BD123" s="295">
        <f>'CAR Passenger Kilometres'!X123*'CAR Stock'!X173</f>
        <v>0</v>
      </c>
      <c r="BE123" s="295">
        <f>'CAR Passenger Kilometres'!Y123*'CAR Stock'!Y173</f>
        <v>0</v>
      </c>
      <c r="BF123" s="295">
        <f>'CAR Passenger Kilometres'!Z123*'CAR Stock'!Z173</f>
        <v>0</v>
      </c>
      <c r="BG123" s="295">
        <f>'CAR Passenger Kilometres'!AA123*'CAR Stock'!AA173</f>
        <v>0</v>
      </c>
      <c r="BH123" s="295">
        <f>'CAR Passenger Kilometres'!AB123*'CAR Stock'!AB173</f>
        <v>0</v>
      </c>
      <c r="BI123" s="295">
        <f>'CAR Passenger Kilometres'!AC123*'CAR Stock'!AC173</f>
        <v>0</v>
      </c>
      <c r="BJ123" s="295">
        <f>'CAR Passenger Kilometres'!AD123*'CAR Stock'!AD173</f>
        <v>0</v>
      </c>
      <c r="BK123" s="296">
        <f>'CAR Passenger Kilometres'!AE123*'CAR Stock'!AE173</f>
        <v>0</v>
      </c>
    </row>
    <row r="124" spans="1:63">
      <c r="A124" s="1711"/>
      <c r="B124" s="116">
        <v>5</v>
      </c>
      <c r="C124" s="294">
        <f>'CAR Mileage'!C145*CAR!$I$58</f>
        <v>18907.746146470443</v>
      </c>
      <c r="D124" s="295">
        <f>'CAR Mileage'!D145*CAR!$I$58</f>
        <v>18907.746146470443</v>
      </c>
      <c r="E124" s="295">
        <f>'CAR Mileage'!E145*CAR!$I$58</f>
        <v>18907.746146470443</v>
      </c>
      <c r="F124" s="295">
        <f>'CAR Mileage'!F145*CAR!$I$58</f>
        <v>18907.746146470443</v>
      </c>
      <c r="G124" s="295">
        <f>'CAR Mileage'!G145*CAR!$I$58</f>
        <v>18907.746146470443</v>
      </c>
      <c r="H124" s="295">
        <f>'CAR Mileage'!H145*CAR!$I$58</f>
        <v>18907.746146470443</v>
      </c>
      <c r="I124" s="295">
        <f>'CAR Mileage'!I145*CAR!$I$58</f>
        <v>18907.746146470443</v>
      </c>
      <c r="J124" s="295">
        <f>'CAR Mileage'!J145*CAR!$I$58</f>
        <v>18907.746146470443</v>
      </c>
      <c r="K124" s="295">
        <f>'CAR Mileage'!K145*CAR!$I$58</f>
        <v>18907.746146470443</v>
      </c>
      <c r="L124" s="295">
        <f>'CAR Mileage'!L145*CAR!$I$58</f>
        <v>18907.746146470443</v>
      </c>
      <c r="M124" s="295">
        <f>'CAR Mileage'!M145*CAR!$I$58</f>
        <v>18907.746146470443</v>
      </c>
      <c r="N124" s="295">
        <f>'CAR Mileage'!N145*CAR!$I$58</f>
        <v>18907.746146470443</v>
      </c>
      <c r="O124" s="295">
        <f>'CAR Mileage'!O145*CAR!$I$58</f>
        <v>18907.746146470443</v>
      </c>
      <c r="P124" s="295">
        <f>'CAR Mileage'!P145*CAR!$I$58</f>
        <v>18907.746146470443</v>
      </c>
      <c r="Q124" s="295">
        <f>'CAR Mileage'!Q145*CAR!$I$58</f>
        <v>18907.746146470443</v>
      </c>
      <c r="R124" s="295">
        <f>'CAR Mileage'!R145*CAR!$I$58</f>
        <v>18907.746146470443</v>
      </c>
      <c r="S124" s="295">
        <f>'CAR Mileage'!S145*CAR!$I$58</f>
        <v>18907.746146470443</v>
      </c>
      <c r="T124" s="295">
        <f>'CAR Mileage'!T145*CAR!$I$58</f>
        <v>18907.746146470443</v>
      </c>
      <c r="U124" s="295">
        <f>'CAR Mileage'!U145*CAR!$I$58</f>
        <v>18907.746146470443</v>
      </c>
      <c r="V124" s="295">
        <f>'CAR Mileage'!V145*CAR!$I$58</f>
        <v>18907.746146470443</v>
      </c>
      <c r="W124" s="295">
        <f>'CAR Mileage'!W145*CAR!$I$58</f>
        <v>18907.746146470443</v>
      </c>
      <c r="X124" s="295">
        <f>'CAR Mileage'!X145*CAR!$I$58</f>
        <v>18907.746146470443</v>
      </c>
      <c r="Y124" s="295">
        <f>'CAR Mileage'!Y145*CAR!$I$58</f>
        <v>18907.746146470443</v>
      </c>
      <c r="Z124" s="295">
        <f>'CAR Mileage'!Z145*CAR!$I$58</f>
        <v>18907.746146470443</v>
      </c>
      <c r="AA124" s="295">
        <f>'CAR Mileage'!AA145*CAR!$I$58</f>
        <v>18907.746146470443</v>
      </c>
      <c r="AB124" s="295">
        <f>'CAR Mileage'!AB145*CAR!$I$58</f>
        <v>18907.746146470443</v>
      </c>
      <c r="AC124" s="295">
        <f>'CAR Mileage'!AC145*CAR!$I$58</f>
        <v>18907.746146470443</v>
      </c>
      <c r="AD124" s="295">
        <f>'CAR Mileage'!AD145*CAR!$I$58</f>
        <v>18907.746146470443</v>
      </c>
      <c r="AE124" s="296">
        <f>'CAR Mileage'!AE145*CAR!$I$58</f>
        <v>18907.746146470443</v>
      </c>
      <c r="AG124" s="1711"/>
      <c r="AH124" s="116">
        <v>5</v>
      </c>
      <c r="AI124" s="294">
        <f>'CAR Passenger Kilometres'!C124*'CAR Stock'!C174</f>
        <v>415970.41522234975</v>
      </c>
      <c r="AJ124" s="295">
        <f>'CAR Passenger Kilometres'!D124*'CAR Stock'!D174</f>
        <v>283616.19219705666</v>
      </c>
      <c r="AK124" s="295">
        <f>'CAR Passenger Kilometres'!E124*'CAR Stock'!E174</f>
        <v>302523.93834352709</v>
      </c>
      <c r="AL124" s="295">
        <f>'CAR Passenger Kilometres'!F124*'CAR Stock'!F174</f>
        <v>283616.19219705666</v>
      </c>
      <c r="AM124" s="295">
        <f>'CAR Passenger Kilometres'!G124*'CAR Stock'!G174</f>
        <v>94538.730732352211</v>
      </c>
      <c r="AN124" s="295">
        <f>'CAR Passenger Kilometres'!H124*'CAR Stock'!H174</f>
        <v>37815.492292940886</v>
      </c>
      <c r="AO124" s="295">
        <f>'CAR Passenger Kilometres'!I124*'CAR Stock'!I174</f>
        <v>0</v>
      </c>
      <c r="AP124" s="295">
        <f>'CAR Passenger Kilometres'!J124*'CAR Stock'!J174</f>
        <v>0</v>
      </c>
      <c r="AQ124" s="295">
        <f>'CAR Passenger Kilometres'!K124*'CAR Stock'!K174</f>
        <v>0</v>
      </c>
      <c r="AR124" s="295">
        <f>'CAR Passenger Kilometres'!L124*'CAR Stock'!L174</f>
        <v>0</v>
      </c>
      <c r="AS124" s="295">
        <f>'CAR Passenger Kilometres'!M124*'CAR Stock'!M174</f>
        <v>0</v>
      </c>
      <c r="AT124" s="295">
        <f>'CAR Passenger Kilometres'!N124*'CAR Stock'!N174</f>
        <v>0</v>
      </c>
      <c r="AU124" s="295">
        <f>'CAR Passenger Kilometres'!O124*'CAR Stock'!O174</f>
        <v>0</v>
      </c>
      <c r="AV124" s="295">
        <f>'CAR Passenger Kilometres'!P124*'CAR Stock'!P174</f>
        <v>0</v>
      </c>
      <c r="AW124" s="295">
        <f>'CAR Passenger Kilometres'!Q124*'CAR Stock'!Q174</f>
        <v>0</v>
      </c>
      <c r="AX124" s="295">
        <f>'CAR Passenger Kilometres'!R124*'CAR Stock'!R174</f>
        <v>0</v>
      </c>
      <c r="AY124" s="295">
        <f>'CAR Passenger Kilometres'!S124*'CAR Stock'!S174</f>
        <v>0</v>
      </c>
      <c r="AZ124" s="295">
        <f>'CAR Passenger Kilometres'!T124*'CAR Stock'!T174</f>
        <v>0</v>
      </c>
      <c r="BA124" s="295">
        <f>'CAR Passenger Kilometres'!U124*'CAR Stock'!U174</f>
        <v>0</v>
      </c>
      <c r="BB124" s="295">
        <f>'CAR Passenger Kilometres'!V124*'CAR Stock'!V174</f>
        <v>0</v>
      </c>
      <c r="BC124" s="295">
        <f>'CAR Passenger Kilometres'!W124*'CAR Stock'!W174</f>
        <v>0</v>
      </c>
      <c r="BD124" s="295">
        <f>'CAR Passenger Kilometres'!X124*'CAR Stock'!X174</f>
        <v>0</v>
      </c>
      <c r="BE124" s="295">
        <f>'CAR Passenger Kilometres'!Y124*'CAR Stock'!Y174</f>
        <v>0</v>
      </c>
      <c r="BF124" s="295">
        <f>'CAR Passenger Kilometres'!Z124*'CAR Stock'!Z174</f>
        <v>0</v>
      </c>
      <c r="BG124" s="295">
        <f>'CAR Passenger Kilometres'!AA124*'CAR Stock'!AA174</f>
        <v>0</v>
      </c>
      <c r="BH124" s="295">
        <f>'CAR Passenger Kilometres'!AB124*'CAR Stock'!AB174</f>
        <v>0</v>
      </c>
      <c r="BI124" s="295">
        <f>'CAR Passenger Kilometres'!AC124*'CAR Stock'!AC174</f>
        <v>0</v>
      </c>
      <c r="BJ124" s="295">
        <f>'CAR Passenger Kilometres'!AD124*'CAR Stock'!AD174</f>
        <v>0</v>
      </c>
      <c r="BK124" s="296">
        <f>'CAR Passenger Kilometres'!AE124*'CAR Stock'!AE174</f>
        <v>0</v>
      </c>
    </row>
    <row r="125" spans="1:63">
      <c r="A125" s="1711"/>
      <c r="B125" s="116">
        <v>6</v>
      </c>
      <c r="C125" s="294">
        <f>'CAR Mileage'!C146*CAR!$I$58</f>
        <v>18529.591223541032</v>
      </c>
      <c r="D125" s="295">
        <f>'CAR Mileage'!D146*CAR!$I$58</f>
        <v>18529.591223541032</v>
      </c>
      <c r="E125" s="295">
        <f>'CAR Mileage'!E146*CAR!$I$58</f>
        <v>18529.591223541032</v>
      </c>
      <c r="F125" s="295">
        <f>'CAR Mileage'!F146*CAR!$I$58</f>
        <v>18529.591223541032</v>
      </c>
      <c r="G125" s="295">
        <f>'CAR Mileage'!G146*CAR!$I$58</f>
        <v>18529.591223541032</v>
      </c>
      <c r="H125" s="295">
        <f>'CAR Mileage'!H146*CAR!$I$58</f>
        <v>18529.591223541032</v>
      </c>
      <c r="I125" s="295">
        <f>'CAR Mileage'!I146*CAR!$I$58</f>
        <v>18529.591223541032</v>
      </c>
      <c r="J125" s="295">
        <f>'CAR Mileage'!J146*CAR!$I$58</f>
        <v>18529.591223541032</v>
      </c>
      <c r="K125" s="295">
        <f>'CAR Mileage'!K146*CAR!$I$58</f>
        <v>18529.591223541032</v>
      </c>
      <c r="L125" s="295">
        <f>'CAR Mileage'!L146*CAR!$I$58</f>
        <v>18529.591223541032</v>
      </c>
      <c r="M125" s="295">
        <f>'CAR Mileage'!M146*CAR!$I$58</f>
        <v>18529.591223541032</v>
      </c>
      <c r="N125" s="295">
        <f>'CAR Mileage'!N146*CAR!$I$58</f>
        <v>18529.591223541032</v>
      </c>
      <c r="O125" s="295">
        <f>'CAR Mileage'!O146*CAR!$I$58</f>
        <v>18529.591223541032</v>
      </c>
      <c r="P125" s="295">
        <f>'CAR Mileage'!P146*CAR!$I$58</f>
        <v>18529.591223541032</v>
      </c>
      <c r="Q125" s="295">
        <f>'CAR Mileage'!Q146*CAR!$I$58</f>
        <v>18529.591223541032</v>
      </c>
      <c r="R125" s="295">
        <f>'CAR Mileage'!R146*CAR!$I$58</f>
        <v>18529.591223541032</v>
      </c>
      <c r="S125" s="295">
        <f>'CAR Mileage'!S146*CAR!$I$58</f>
        <v>18529.591223541032</v>
      </c>
      <c r="T125" s="295">
        <f>'CAR Mileage'!T146*CAR!$I$58</f>
        <v>18529.591223541032</v>
      </c>
      <c r="U125" s="295">
        <f>'CAR Mileage'!U146*CAR!$I$58</f>
        <v>18529.591223541032</v>
      </c>
      <c r="V125" s="295">
        <f>'CAR Mileage'!V146*CAR!$I$58</f>
        <v>18529.591223541032</v>
      </c>
      <c r="W125" s="295">
        <f>'CAR Mileage'!W146*CAR!$I$58</f>
        <v>18529.591223541032</v>
      </c>
      <c r="X125" s="295">
        <f>'CAR Mileage'!X146*CAR!$I$58</f>
        <v>18529.591223541032</v>
      </c>
      <c r="Y125" s="295">
        <f>'CAR Mileage'!Y146*CAR!$I$58</f>
        <v>18529.591223541032</v>
      </c>
      <c r="Z125" s="295">
        <f>'CAR Mileage'!Z146*CAR!$I$58</f>
        <v>18529.591223541032</v>
      </c>
      <c r="AA125" s="295">
        <f>'CAR Mileage'!AA146*CAR!$I$58</f>
        <v>18529.591223541032</v>
      </c>
      <c r="AB125" s="295">
        <f>'CAR Mileage'!AB146*CAR!$I$58</f>
        <v>18529.591223541032</v>
      </c>
      <c r="AC125" s="295">
        <f>'CAR Mileage'!AC146*CAR!$I$58</f>
        <v>18529.591223541032</v>
      </c>
      <c r="AD125" s="295">
        <f>'CAR Mileage'!AD146*CAR!$I$58</f>
        <v>18529.591223541032</v>
      </c>
      <c r="AE125" s="296">
        <f>'CAR Mileage'!AE146*CAR!$I$58</f>
        <v>18529.591223541032</v>
      </c>
      <c r="AG125" s="1711"/>
      <c r="AH125" s="116">
        <v>6</v>
      </c>
      <c r="AI125" s="294">
        <f>'CAR Passenger Kilometres'!C125*'CAR Stock'!C175</f>
        <v>185295.91223541033</v>
      </c>
      <c r="AJ125" s="295">
        <f>'CAR Passenger Kilometres'!D125*'CAR Stock'!D175</f>
        <v>407651.00691790273</v>
      </c>
      <c r="AK125" s="295">
        <f>'CAR Passenger Kilometres'!E125*'CAR Stock'!E175</f>
        <v>277943.86835311551</v>
      </c>
      <c r="AL125" s="295">
        <f>'CAR Passenger Kilometres'!F125*'CAR Stock'!F175</f>
        <v>296473.45957665652</v>
      </c>
      <c r="AM125" s="295">
        <f>'CAR Passenger Kilometres'!G125*'CAR Stock'!G175</f>
        <v>277943.86835311551</v>
      </c>
      <c r="AN125" s="295">
        <f>'CAR Passenger Kilometres'!H125*'CAR Stock'!H175</f>
        <v>92647.956117705166</v>
      </c>
      <c r="AO125" s="295">
        <f>'CAR Passenger Kilometres'!I125*'CAR Stock'!I175</f>
        <v>37059.182447082065</v>
      </c>
      <c r="AP125" s="295">
        <f>'CAR Passenger Kilometres'!J125*'CAR Stock'!J175</f>
        <v>0</v>
      </c>
      <c r="AQ125" s="295">
        <f>'CAR Passenger Kilometres'!K125*'CAR Stock'!K175</f>
        <v>0</v>
      </c>
      <c r="AR125" s="295">
        <f>'CAR Passenger Kilometres'!L125*'CAR Stock'!L175</f>
        <v>0</v>
      </c>
      <c r="AS125" s="295">
        <f>'CAR Passenger Kilometres'!M125*'CAR Stock'!M175</f>
        <v>0</v>
      </c>
      <c r="AT125" s="295">
        <f>'CAR Passenger Kilometres'!N125*'CAR Stock'!N175</f>
        <v>0</v>
      </c>
      <c r="AU125" s="295">
        <f>'CAR Passenger Kilometres'!O125*'CAR Stock'!O175</f>
        <v>0</v>
      </c>
      <c r="AV125" s="295">
        <f>'CAR Passenger Kilometres'!P125*'CAR Stock'!P175</f>
        <v>0</v>
      </c>
      <c r="AW125" s="295">
        <f>'CAR Passenger Kilometres'!Q125*'CAR Stock'!Q175</f>
        <v>0</v>
      </c>
      <c r="AX125" s="295">
        <f>'CAR Passenger Kilometres'!R125*'CAR Stock'!R175</f>
        <v>0</v>
      </c>
      <c r="AY125" s="295">
        <f>'CAR Passenger Kilometres'!S125*'CAR Stock'!S175</f>
        <v>0</v>
      </c>
      <c r="AZ125" s="295">
        <f>'CAR Passenger Kilometres'!T125*'CAR Stock'!T175</f>
        <v>0</v>
      </c>
      <c r="BA125" s="295">
        <f>'CAR Passenger Kilometres'!U125*'CAR Stock'!U175</f>
        <v>0</v>
      </c>
      <c r="BB125" s="295">
        <f>'CAR Passenger Kilometres'!V125*'CAR Stock'!V175</f>
        <v>0</v>
      </c>
      <c r="BC125" s="295">
        <f>'CAR Passenger Kilometres'!W125*'CAR Stock'!W175</f>
        <v>0</v>
      </c>
      <c r="BD125" s="295">
        <f>'CAR Passenger Kilometres'!X125*'CAR Stock'!X175</f>
        <v>0</v>
      </c>
      <c r="BE125" s="295">
        <f>'CAR Passenger Kilometres'!Y125*'CAR Stock'!Y175</f>
        <v>0</v>
      </c>
      <c r="BF125" s="295">
        <f>'CAR Passenger Kilometres'!Z125*'CAR Stock'!Z175</f>
        <v>0</v>
      </c>
      <c r="BG125" s="295">
        <f>'CAR Passenger Kilometres'!AA125*'CAR Stock'!AA175</f>
        <v>0</v>
      </c>
      <c r="BH125" s="295">
        <f>'CAR Passenger Kilometres'!AB125*'CAR Stock'!AB175</f>
        <v>0</v>
      </c>
      <c r="BI125" s="295">
        <f>'CAR Passenger Kilometres'!AC125*'CAR Stock'!AC175</f>
        <v>0</v>
      </c>
      <c r="BJ125" s="295">
        <f>'CAR Passenger Kilometres'!AD125*'CAR Stock'!AD175</f>
        <v>0</v>
      </c>
      <c r="BK125" s="296">
        <f>'CAR Passenger Kilometres'!AE125*'CAR Stock'!AE175</f>
        <v>0</v>
      </c>
    </row>
    <row r="126" spans="1:63">
      <c r="A126" s="1711"/>
      <c r="B126" s="116">
        <v>7</v>
      </c>
      <c r="C126" s="294">
        <f>'CAR Mileage'!C147*CAR!$I$58</f>
        <v>18158.999399070213</v>
      </c>
      <c r="D126" s="295">
        <f>'CAR Mileage'!D147*CAR!$I$58</f>
        <v>18158.999399070213</v>
      </c>
      <c r="E126" s="295">
        <f>'CAR Mileage'!E147*CAR!$I$58</f>
        <v>18158.999399070213</v>
      </c>
      <c r="F126" s="295">
        <f>'CAR Mileage'!F147*CAR!$I$58</f>
        <v>18158.999399070213</v>
      </c>
      <c r="G126" s="295">
        <f>'CAR Mileage'!G147*CAR!$I$58</f>
        <v>18158.999399070213</v>
      </c>
      <c r="H126" s="295">
        <f>'CAR Mileage'!H147*CAR!$I$58</f>
        <v>18158.999399070213</v>
      </c>
      <c r="I126" s="295">
        <f>'CAR Mileage'!I147*CAR!$I$58</f>
        <v>18158.999399070213</v>
      </c>
      <c r="J126" s="295">
        <f>'CAR Mileage'!J147*CAR!$I$58</f>
        <v>18158.999399070213</v>
      </c>
      <c r="K126" s="295">
        <f>'CAR Mileage'!K147*CAR!$I$58</f>
        <v>18158.999399070213</v>
      </c>
      <c r="L126" s="295">
        <f>'CAR Mileage'!L147*CAR!$I$58</f>
        <v>18158.999399070213</v>
      </c>
      <c r="M126" s="295">
        <f>'CAR Mileage'!M147*CAR!$I$58</f>
        <v>18158.999399070213</v>
      </c>
      <c r="N126" s="295">
        <f>'CAR Mileage'!N147*CAR!$I$58</f>
        <v>18158.999399070213</v>
      </c>
      <c r="O126" s="295">
        <f>'CAR Mileage'!O147*CAR!$I$58</f>
        <v>18158.999399070213</v>
      </c>
      <c r="P126" s="295">
        <f>'CAR Mileage'!P147*CAR!$I$58</f>
        <v>18158.999399070213</v>
      </c>
      <c r="Q126" s="295">
        <f>'CAR Mileage'!Q147*CAR!$I$58</f>
        <v>18158.999399070213</v>
      </c>
      <c r="R126" s="295">
        <f>'CAR Mileage'!R147*CAR!$I$58</f>
        <v>18158.999399070213</v>
      </c>
      <c r="S126" s="295">
        <f>'CAR Mileage'!S147*CAR!$I$58</f>
        <v>18158.999399070213</v>
      </c>
      <c r="T126" s="295">
        <f>'CAR Mileage'!T147*CAR!$I$58</f>
        <v>18158.999399070213</v>
      </c>
      <c r="U126" s="295">
        <f>'CAR Mileage'!U147*CAR!$I$58</f>
        <v>18158.999399070213</v>
      </c>
      <c r="V126" s="295">
        <f>'CAR Mileage'!V147*CAR!$I$58</f>
        <v>18158.999399070213</v>
      </c>
      <c r="W126" s="295">
        <f>'CAR Mileage'!W147*CAR!$I$58</f>
        <v>18158.999399070213</v>
      </c>
      <c r="X126" s="295">
        <f>'CAR Mileage'!X147*CAR!$I$58</f>
        <v>18158.999399070213</v>
      </c>
      <c r="Y126" s="295">
        <f>'CAR Mileage'!Y147*CAR!$I$58</f>
        <v>18158.999399070213</v>
      </c>
      <c r="Z126" s="295">
        <f>'CAR Mileage'!Z147*CAR!$I$58</f>
        <v>18158.999399070213</v>
      </c>
      <c r="AA126" s="295">
        <f>'CAR Mileage'!AA147*CAR!$I$58</f>
        <v>18158.999399070213</v>
      </c>
      <c r="AB126" s="295">
        <f>'CAR Mileage'!AB147*CAR!$I$58</f>
        <v>18158.999399070213</v>
      </c>
      <c r="AC126" s="295">
        <f>'CAR Mileage'!AC147*CAR!$I$58</f>
        <v>18158.999399070213</v>
      </c>
      <c r="AD126" s="295">
        <f>'CAR Mileage'!AD147*CAR!$I$58</f>
        <v>18158.999399070213</v>
      </c>
      <c r="AE126" s="296">
        <f>'CAR Mileage'!AE147*CAR!$I$58</f>
        <v>18158.999399070213</v>
      </c>
      <c r="AG126" s="1711"/>
      <c r="AH126" s="116">
        <v>7</v>
      </c>
      <c r="AI126" s="294">
        <f>'CAR Passenger Kilometres'!C126*'CAR Stock'!C176</f>
        <v>36317.998798140427</v>
      </c>
      <c r="AJ126" s="295">
        <f>'CAR Passenger Kilometres'!D126*'CAR Stock'!D176</f>
        <v>181589.99399070215</v>
      </c>
      <c r="AK126" s="295">
        <f>'CAR Passenger Kilometres'!E126*'CAR Stock'!E176</f>
        <v>399497.98677954468</v>
      </c>
      <c r="AL126" s="295">
        <f>'CAR Passenger Kilometres'!F126*'CAR Stock'!F176</f>
        <v>272384.99098605319</v>
      </c>
      <c r="AM126" s="295">
        <f>'CAR Passenger Kilometres'!G126*'CAR Stock'!G176</f>
        <v>290543.99038512341</v>
      </c>
      <c r="AN126" s="295">
        <f>'CAR Passenger Kilometres'!H126*'CAR Stock'!H176</f>
        <v>272384.99098605319</v>
      </c>
      <c r="AO126" s="295">
        <f>'CAR Passenger Kilometres'!I126*'CAR Stock'!I176</f>
        <v>90794.996995351074</v>
      </c>
      <c r="AP126" s="295">
        <f>'CAR Passenger Kilometres'!J126*'CAR Stock'!J176</f>
        <v>36317.998798140427</v>
      </c>
      <c r="AQ126" s="295">
        <f>'CAR Passenger Kilometres'!K126*'CAR Stock'!K176</f>
        <v>0</v>
      </c>
      <c r="AR126" s="295">
        <f>'CAR Passenger Kilometres'!L126*'CAR Stock'!L176</f>
        <v>0</v>
      </c>
      <c r="AS126" s="295">
        <f>'CAR Passenger Kilometres'!M126*'CAR Stock'!M176</f>
        <v>0</v>
      </c>
      <c r="AT126" s="295">
        <f>'CAR Passenger Kilometres'!N126*'CAR Stock'!N176</f>
        <v>0</v>
      </c>
      <c r="AU126" s="295">
        <f>'CAR Passenger Kilometres'!O126*'CAR Stock'!O176</f>
        <v>0</v>
      </c>
      <c r="AV126" s="295">
        <f>'CAR Passenger Kilometres'!P126*'CAR Stock'!P176</f>
        <v>0</v>
      </c>
      <c r="AW126" s="295">
        <f>'CAR Passenger Kilometres'!Q126*'CAR Stock'!Q176</f>
        <v>0</v>
      </c>
      <c r="AX126" s="295">
        <f>'CAR Passenger Kilometres'!R126*'CAR Stock'!R176</f>
        <v>0</v>
      </c>
      <c r="AY126" s="295">
        <f>'CAR Passenger Kilometres'!S126*'CAR Stock'!S176</f>
        <v>0</v>
      </c>
      <c r="AZ126" s="295">
        <f>'CAR Passenger Kilometres'!T126*'CAR Stock'!T176</f>
        <v>0</v>
      </c>
      <c r="BA126" s="295">
        <f>'CAR Passenger Kilometres'!U126*'CAR Stock'!U176</f>
        <v>0</v>
      </c>
      <c r="BB126" s="295">
        <f>'CAR Passenger Kilometres'!V126*'CAR Stock'!V176</f>
        <v>0</v>
      </c>
      <c r="BC126" s="295">
        <f>'CAR Passenger Kilometres'!W126*'CAR Stock'!W176</f>
        <v>0</v>
      </c>
      <c r="BD126" s="295">
        <f>'CAR Passenger Kilometres'!X126*'CAR Stock'!X176</f>
        <v>0</v>
      </c>
      <c r="BE126" s="295">
        <f>'CAR Passenger Kilometres'!Y126*'CAR Stock'!Y176</f>
        <v>0</v>
      </c>
      <c r="BF126" s="295">
        <f>'CAR Passenger Kilometres'!Z126*'CAR Stock'!Z176</f>
        <v>0</v>
      </c>
      <c r="BG126" s="295">
        <f>'CAR Passenger Kilometres'!AA126*'CAR Stock'!AA176</f>
        <v>0</v>
      </c>
      <c r="BH126" s="295">
        <f>'CAR Passenger Kilometres'!AB126*'CAR Stock'!AB176</f>
        <v>0</v>
      </c>
      <c r="BI126" s="295">
        <f>'CAR Passenger Kilometres'!AC126*'CAR Stock'!AC176</f>
        <v>0</v>
      </c>
      <c r="BJ126" s="295">
        <f>'CAR Passenger Kilometres'!AD126*'CAR Stock'!AD176</f>
        <v>0</v>
      </c>
      <c r="BK126" s="296">
        <f>'CAR Passenger Kilometres'!AE126*'CAR Stock'!AE176</f>
        <v>0</v>
      </c>
    </row>
    <row r="127" spans="1:63">
      <c r="A127" s="1711"/>
      <c r="B127" s="116">
        <v>8</v>
      </c>
      <c r="C127" s="294">
        <f>'CAR Mileage'!C148*CAR!$I$58</f>
        <v>17795.819411088807</v>
      </c>
      <c r="D127" s="295">
        <f>'CAR Mileage'!D148*CAR!$I$58</f>
        <v>17795.819411088807</v>
      </c>
      <c r="E127" s="295">
        <f>'CAR Mileage'!E148*CAR!$I$58</f>
        <v>17795.819411088807</v>
      </c>
      <c r="F127" s="295">
        <f>'CAR Mileage'!F148*CAR!$I$58</f>
        <v>17795.819411088807</v>
      </c>
      <c r="G127" s="295">
        <f>'CAR Mileage'!G148*CAR!$I$58</f>
        <v>17795.819411088807</v>
      </c>
      <c r="H127" s="295">
        <f>'CAR Mileage'!H148*CAR!$I$58</f>
        <v>17795.819411088807</v>
      </c>
      <c r="I127" s="295">
        <f>'CAR Mileage'!I148*CAR!$I$58</f>
        <v>17795.819411088807</v>
      </c>
      <c r="J127" s="295">
        <f>'CAR Mileage'!J148*CAR!$I$58</f>
        <v>17795.819411088807</v>
      </c>
      <c r="K127" s="295">
        <f>'CAR Mileage'!K148*CAR!$I$58</f>
        <v>17795.819411088807</v>
      </c>
      <c r="L127" s="295">
        <f>'CAR Mileage'!L148*CAR!$I$58</f>
        <v>17795.819411088807</v>
      </c>
      <c r="M127" s="295">
        <f>'CAR Mileage'!M148*CAR!$I$58</f>
        <v>17795.819411088807</v>
      </c>
      <c r="N127" s="295">
        <f>'CAR Mileage'!N148*CAR!$I$58</f>
        <v>17795.819411088807</v>
      </c>
      <c r="O127" s="295">
        <f>'CAR Mileage'!O148*CAR!$I$58</f>
        <v>17795.819411088807</v>
      </c>
      <c r="P127" s="295">
        <f>'CAR Mileage'!P148*CAR!$I$58</f>
        <v>17795.819411088807</v>
      </c>
      <c r="Q127" s="295">
        <f>'CAR Mileage'!Q148*CAR!$I$58</f>
        <v>17795.819411088807</v>
      </c>
      <c r="R127" s="295">
        <f>'CAR Mileage'!R148*CAR!$I$58</f>
        <v>17795.819411088807</v>
      </c>
      <c r="S127" s="295">
        <f>'CAR Mileage'!S148*CAR!$I$58</f>
        <v>17795.819411088807</v>
      </c>
      <c r="T127" s="295">
        <f>'CAR Mileage'!T148*CAR!$I$58</f>
        <v>17795.819411088807</v>
      </c>
      <c r="U127" s="295">
        <f>'CAR Mileage'!U148*CAR!$I$58</f>
        <v>17795.819411088807</v>
      </c>
      <c r="V127" s="295">
        <f>'CAR Mileage'!V148*CAR!$I$58</f>
        <v>17795.819411088807</v>
      </c>
      <c r="W127" s="295">
        <f>'CAR Mileage'!W148*CAR!$I$58</f>
        <v>17795.819411088807</v>
      </c>
      <c r="X127" s="295">
        <f>'CAR Mileage'!X148*CAR!$I$58</f>
        <v>17795.819411088807</v>
      </c>
      <c r="Y127" s="295">
        <f>'CAR Mileage'!Y148*CAR!$I$58</f>
        <v>17795.819411088807</v>
      </c>
      <c r="Z127" s="295">
        <f>'CAR Mileage'!Z148*CAR!$I$58</f>
        <v>17795.819411088807</v>
      </c>
      <c r="AA127" s="295">
        <f>'CAR Mileage'!AA148*CAR!$I$58</f>
        <v>17795.819411088807</v>
      </c>
      <c r="AB127" s="295">
        <f>'CAR Mileage'!AB148*CAR!$I$58</f>
        <v>17795.819411088807</v>
      </c>
      <c r="AC127" s="295">
        <f>'CAR Mileage'!AC148*CAR!$I$58</f>
        <v>17795.819411088807</v>
      </c>
      <c r="AD127" s="295">
        <f>'CAR Mileage'!AD148*CAR!$I$58</f>
        <v>17795.819411088807</v>
      </c>
      <c r="AE127" s="296">
        <f>'CAR Mileage'!AE148*CAR!$I$58</f>
        <v>17795.819411088807</v>
      </c>
      <c r="AG127" s="1711"/>
      <c r="AH127" s="116">
        <v>8</v>
      </c>
      <c r="AI127" s="294">
        <f>'CAR Passenger Kilometres'!C127*'CAR Stock'!C177</f>
        <v>35591.638822177614</v>
      </c>
      <c r="AJ127" s="295">
        <f>'CAR Passenger Kilometres'!D127*'CAR Stock'!D177</f>
        <v>35591.638822177614</v>
      </c>
      <c r="AK127" s="295">
        <f>'CAR Passenger Kilometres'!E127*'CAR Stock'!E177</f>
        <v>177958.19411088806</v>
      </c>
      <c r="AL127" s="295">
        <f>'CAR Passenger Kilometres'!F127*'CAR Stock'!F177</f>
        <v>391508.02704395377</v>
      </c>
      <c r="AM127" s="295">
        <f>'CAR Passenger Kilometres'!G127*'CAR Stock'!G177</f>
        <v>266937.29116633208</v>
      </c>
      <c r="AN127" s="295">
        <f>'CAR Passenger Kilometres'!H127*'CAR Stock'!H177</f>
        <v>284733.11057742091</v>
      </c>
      <c r="AO127" s="295">
        <f>'CAR Passenger Kilometres'!I127*'CAR Stock'!I177</f>
        <v>266937.29116633208</v>
      </c>
      <c r="AP127" s="295">
        <f>'CAR Passenger Kilometres'!J127*'CAR Stock'!J177</f>
        <v>88979.097055444028</v>
      </c>
      <c r="AQ127" s="295">
        <f>'CAR Passenger Kilometres'!K127*'CAR Stock'!K177</f>
        <v>35591.638822177614</v>
      </c>
      <c r="AR127" s="295">
        <f>'CAR Passenger Kilometres'!L127*'CAR Stock'!L177</f>
        <v>0</v>
      </c>
      <c r="AS127" s="295">
        <f>'CAR Passenger Kilometres'!M127*'CAR Stock'!M177</f>
        <v>0</v>
      </c>
      <c r="AT127" s="295">
        <f>'CAR Passenger Kilometres'!N127*'CAR Stock'!N177</f>
        <v>0</v>
      </c>
      <c r="AU127" s="295">
        <f>'CAR Passenger Kilometres'!O127*'CAR Stock'!O177</f>
        <v>0</v>
      </c>
      <c r="AV127" s="295">
        <f>'CAR Passenger Kilometres'!P127*'CAR Stock'!P177</f>
        <v>0</v>
      </c>
      <c r="AW127" s="295">
        <f>'CAR Passenger Kilometres'!Q127*'CAR Stock'!Q177</f>
        <v>0</v>
      </c>
      <c r="AX127" s="295">
        <f>'CAR Passenger Kilometres'!R127*'CAR Stock'!R177</f>
        <v>0</v>
      </c>
      <c r="AY127" s="295">
        <f>'CAR Passenger Kilometres'!S127*'CAR Stock'!S177</f>
        <v>0</v>
      </c>
      <c r="AZ127" s="295">
        <f>'CAR Passenger Kilometres'!T127*'CAR Stock'!T177</f>
        <v>0</v>
      </c>
      <c r="BA127" s="295">
        <f>'CAR Passenger Kilometres'!U127*'CAR Stock'!U177</f>
        <v>0</v>
      </c>
      <c r="BB127" s="295">
        <f>'CAR Passenger Kilometres'!V127*'CAR Stock'!V177</f>
        <v>0</v>
      </c>
      <c r="BC127" s="295">
        <f>'CAR Passenger Kilometres'!W127*'CAR Stock'!W177</f>
        <v>0</v>
      </c>
      <c r="BD127" s="295">
        <f>'CAR Passenger Kilometres'!X127*'CAR Stock'!X177</f>
        <v>0</v>
      </c>
      <c r="BE127" s="295">
        <f>'CAR Passenger Kilometres'!Y127*'CAR Stock'!Y177</f>
        <v>0</v>
      </c>
      <c r="BF127" s="295">
        <f>'CAR Passenger Kilometres'!Z127*'CAR Stock'!Z177</f>
        <v>0</v>
      </c>
      <c r="BG127" s="295">
        <f>'CAR Passenger Kilometres'!AA127*'CAR Stock'!AA177</f>
        <v>0</v>
      </c>
      <c r="BH127" s="295">
        <f>'CAR Passenger Kilometres'!AB127*'CAR Stock'!AB177</f>
        <v>0</v>
      </c>
      <c r="BI127" s="295">
        <f>'CAR Passenger Kilometres'!AC127*'CAR Stock'!AC177</f>
        <v>0</v>
      </c>
      <c r="BJ127" s="295">
        <f>'CAR Passenger Kilometres'!AD127*'CAR Stock'!AD177</f>
        <v>0</v>
      </c>
      <c r="BK127" s="296">
        <f>'CAR Passenger Kilometres'!AE127*'CAR Stock'!AE177</f>
        <v>0</v>
      </c>
    </row>
    <row r="128" spans="1:63">
      <c r="A128" s="1711"/>
      <c r="B128" s="116">
        <v>9</v>
      </c>
      <c r="C128" s="294">
        <f>'CAR Mileage'!C149*CAR!$I$58</f>
        <v>17439.903022867031</v>
      </c>
      <c r="D128" s="295">
        <f>'CAR Mileage'!D149*CAR!$I$58</f>
        <v>17439.903022867031</v>
      </c>
      <c r="E128" s="295">
        <f>'CAR Mileage'!E149*CAR!$I$58</f>
        <v>17439.903022867031</v>
      </c>
      <c r="F128" s="295">
        <f>'CAR Mileage'!F149*CAR!$I$58</f>
        <v>17439.903022867031</v>
      </c>
      <c r="G128" s="295">
        <f>'CAR Mileage'!G149*CAR!$I$58</f>
        <v>17439.903022867031</v>
      </c>
      <c r="H128" s="295">
        <f>'CAR Mileage'!H149*CAR!$I$58</f>
        <v>17439.903022867031</v>
      </c>
      <c r="I128" s="295">
        <f>'CAR Mileage'!I149*CAR!$I$58</f>
        <v>17439.903022867031</v>
      </c>
      <c r="J128" s="295">
        <f>'CAR Mileage'!J149*CAR!$I$58</f>
        <v>17439.903022867031</v>
      </c>
      <c r="K128" s="295">
        <f>'CAR Mileage'!K149*CAR!$I$58</f>
        <v>17439.903022867031</v>
      </c>
      <c r="L128" s="295">
        <f>'CAR Mileage'!L149*CAR!$I$58</f>
        <v>17439.903022867031</v>
      </c>
      <c r="M128" s="295">
        <f>'CAR Mileage'!M149*CAR!$I$58</f>
        <v>17439.903022867031</v>
      </c>
      <c r="N128" s="295">
        <f>'CAR Mileage'!N149*CAR!$I$58</f>
        <v>17439.903022867031</v>
      </c>
      <c r="O128" s="295">
        <f>'CAR Mileage'!O149*CAR!$I$58</f>
        <v>17439.903022867031</v>
      </c>
      <c r="P128" s="295">
        <f>'CAR Mileage'!P149*CAR!$I$58</f>
        <v>17439.903022867031</v>
      </c>
      <c r="Q128" s="295">
        <f>'CAR Mileage'!Q149*CAR!$I$58</f>
        <v>17439.903022867031</v>
      </c>
      <c r="R128" s="295">
        <f>'CAR Mileage'!R149*CAR!$I$58</f>
        <v>17439.903022867031</v>
      </c>
      <c r="S128" s="295">
        <f>'CAR Mileage'!S149*CAR!$I$58</f>
        <v>17439.903022867031</v>
      </c>
      <c r="T128" s="295">
        <f>'CAR Mileage'!T149*CAR!$I$58</f>
        <v>17439.903022867031</v>
      </c>
      <c r="U128" s="295">
        <f>'CAR Mileage'!U149*CAR!$I$58</f>
        <v>17439.903022867031</v>
      </c>
      <c r="V128" s="295">
        <f>'CAR Mileage'!V149*CAR!$I$58</f>
        <v>17439.903022867031</v>
      </c>
      <c r="W128" s="295">
        <f>'CAR Mileage'!W149*CAR!$I$58</f>
        <v>17439.903022867031</v>
      </c>
      <c r="X128" s="295">
        <f>'CAR Mileage'!X149*CAR!$I$58</f>
        <v>17439.903022867031</v>
      </c>
      <c r="Y128" s="295">
        <f>'CAR Mileage'!Y149*CAR!$I$58</f>
        <v>17439.903022867031</v>
      </c>
      <c r="Z128" s="295">
        <f>'CAR Mileage'!Z149*CAR!$I$58</f>
        <v>17439.903022867031</v>
      </c>
      <c r="AA128" s="295">
        <f>'CAR Mileage'!AA149*CAR!$I$58</f>
        <v>17439.903022867031</v>
      </c>
      <c r="AB128" s="295">
        <f>'CAR Mileage'!AB149*CAR!$I$58</f>
        <v>17439.903022867031</v>
      </c>
      <c r="AC128" s="295">
        <f>'CAR Mileage'!AC149*CAR!$I$58</f>
        <v>17439.903022867031</v>
      </c>
      <c r="AD128" s="295">
        <f>'CAR Mileage'!AD149*CAR!$I$58</f>
        <v>17439.903022867031</v>
      </c>
      <c r="AE128" s="296">
        <f>'CAR Mileage'!AE149*CAR!$I$58</f>
        <v>17439.903022867031</v>
      </c>
      <c r="AG128" s="1711"/>
      <c r="AH128" s="116">
        <v>9</v>
      </c>
      <c r="AI128" s="294">
        <f>'CAR Passenger Kilometres'!C128*'CAR Stock'!C178</f>
        <v>17439.903022867031</v>
      </c>
      <c r="AJ128" s="295">
        <f>'CAR Passenger Kilometres'!D128*'CAR Stock'!D178</f>
        <v>34879.806045734062</v>
      </c>
      <c r="AK128" s="295">
        <f>'CAR Passenger Kilometres'!E128*'CAR Stock'!E178</f>
        <v>34879.806045734062</v>
      </c>
      <c r="AL128" s="295">
        <f>'CAR Passenger Kilometres'!F128*'CAR Stock'!F178</f>
        <v>174399.03022867031</v>
      </c>
      <c r="AM128" s="295">
        <f>'CAR Passenger Kilometres'!G128*'CAR Stock'!G178</f>
        <v>383677.86650307465</v>
      </c>
      <c r="AN128" s="295">
        <f>'CAR Passenger Kilometres'!H128*'CAR Stock'!H178</f>
        <v>261598.54534300545</v>
      </c>
      <c r="AO128" s="295">
        <f>'CAR Passenger Kilometres'!I128*'CAR Stock'!I178</f>
        <v>279038.44836587249</v>
      </c>
      <c r="AP128" s="295">
        <f>'CAR Passenger Kilometres'!J128*'CAR Stock'!J178</f>
        <v>261598.54534300545</v>
      </c>
      <c r="AQ128" s="295">
        <f>'CAR Passenger Kilometres'!K128*'CAR Stock'!K178</f>
        <v>87199.515114335154</v>
      </c>
      <c r="AR128" s="295">
        <f>'CAR Passenger Kilometres'!L128*'CAR Stock'!L178</f>
        <v>34879.806045734062</v>
      </c>
      <c r="AS128" s="295">
        <f>'CAR Passenger Kilometres'!M128*'CAR Stock'!M178</f>
        <v>0</v>
      </c>
      <c r="AT128" s="295">
        <f>'CAR Passenger Kilometres'!N128*'CAR Stock'!N178</f>
        <v>0</v>
      </c>
      <c r="AU128" s="295">
        <f>'CAR Passenger Kilometres'!O128*'CAR Stock'!O178</f>
        <v>0</v>
      </c>
      <c r="AV128" s="295">
        <f>'CAR Passenger Kilometres'!P128*'CAR Stock'!P178</f>
        <v>0</v>
      </c>
      <c r="AW128" s="295">
        <f>'CAR Passenger Kilometres'!Q128*'CAR Stock'!Q178</f>
        <v>0</v>
      </c>
      <c r="AX128" s="295">
        <f>'CAR Passenger Kilometres'!R128*'CAR Stock'!R178</f>
        <v>0</v>
      </c>
      <c r="AY128" s="295">
        <f>'CAR Passenger Kilometres'!S128*'CAR Stock'!S178</f>
        <v>0</v>
      </c>
      <c r="AZ128" s="295">
        <f>'CAR Passenger Kilometres'!T128*'CAR Stock'!T178</f>
        <v>0</v>
      </c>
      <c r="BA128" s="295">
        <f>'CAR Passenger Kilometres'!U128*'CAR Stock'!U178</f>
        <v>0</v>
      </c>
      <c r="BB128" s="295">
        <f>'CAR Passenger Kilometres'!V128*'CAR Stock'!V178</f>
        <v>0</v>
      </c>
      <c r="BC128" s="295">
        <f>'CAR Passenger Kilometres'!W128*'CAR Stock'!W178</f>
        <v>0</v>
      </c>
      <c r="BD128" s="295">
        <f>'CAR Passenger Kilometres'!X128*'CAR Stock'!X178</f>
        <v>0</v>
      </c>
      <c r="BE128" s="295">
        <f>'CAR Passenger Kilometres'!Y128*'CAR Stock'!Y178</f>
        <v>0</v>
      </c>
      <c r="BF128" s="295">
        <f>'CAR Passenger Kilometres'!Z128*'CAR Stock'!Z178</f>
        <v>0</v>
      </c>
      <c r="BG128" s="295">
        <f>'CAR Passenger Kilometres'!AA128*'CAR Stock'!AA178</f>
        <v>0</v>
      </c>
      <c r="BH128" s="295">
        <f>'CAR Passenger Kilometres'!AB128*'CAR Stock'!AB178</f>
        <v>0</v>
      </c>
      <c r="BI128" s="295">
        <f>'CAR Passenger Kilometres'!AC128*'CAR Stock'!AC178</f>
        <v>0</v>
      </c>
      <c r="BJ128" s="295">
        <f>'CAR Passenger Kilometres'!AD128*'CAR Stock'!AD178</f>
        <v>0</v>
      </c>
      <c r="BK128" s="296">
        <f>'CAR Passenger Kilometres'!AE128*'CAR Stock'!AE178</f>
        <v>0</v>
      </c>
    </row>
    <row r="129" spans="1:63">
      <c r="A129" s="1711"/>
      <c r="B129" s="116">
        <v>10</v>
      </c>
      <c r="C129" s="294">
        <f>'CAR Mileage'!C150*CAR!$I$58</f>
        <v>17091.104962409689</v>
      </c>
      <c r="D129" s="295">
        <f>'CAR Mileage'!D150*CAR!$I$58</f>
        <v>17091.104962409689</v>
      </c>
      <c r="E129" s="295">
        <f>'CAR Mileage'!E150*CAR!$I$58</f>
        <v>17091.104962409689</v>
      </c>
      <c r="F129" s="295">
        <f>'CAR Mileage'!F150*CAR!$I$58</f>
        <v>17091.104962409689</v>
      </c>
      <c r="G129" s="295">
        <f>'CAR Mileage'!G150*CAR!$I$58</f>
        <v>17091.104962409689</v>
      </c>
      <c r="H129" s="295">
        <f>'CAR Mileage'!H150*CAR!$I$58</f>
        <v>17091.104962409689</v>
      </c>
      <c r="I129" s="295">
        <f>'CAR Mileage'!I150*CAR!$I$58</f>
        <v>17091.104962409689</v>
      </c>
      <c r="J129" s="295">
        <f>'CAR Mileage'!J150*CAR!$I$58</f>
        <v>17091.104962409689</v>
      </c>
      <c r="K129" s="295">
        <f>'CAR Mileage'!K150*CAR!$I$58</f>
        <v>17091.104962409689</v>
      </c>
      <c r="L129" s="295">
        <f>'CAR Mileage'!L150*CAR!$I$58</f>
        <v>17091.104962409689</v>
      </c>
      <c r="M129" s="295">
        <f>'CAR Mileage'!M150*CAR!$I$58</f>
        <v>17091.104962409689</v>
      </c>
      <c r="N129" s="295">
        <f>'CAR Mileage'!N150*CAR!$I$58</f>
        <v>17091.104962409689</v>
      </c>
      <c r="O129" s="295">
        <f>'CAR Mileage'!O150*CAR!$I$58</f>
        <v>17091.104962409689</v>
      </c>
      <c r="P129" s="295">
        <f>'CAR Mileage'!P150*CAR!$I$58</f>
        <v>17091.104962409689</v>
      </c>
      <c r="Q129" s="295">
        <f>'CAR Mileage'!Q150*CAR!$I$58</f>
        <v>17091.104962409689</v>
      </c>
      <c r="R129" s="295">
        <f>'CAR Mileage'!R150*CAR!$I$58</f>
        <v>17091.104962409689</v>
      </c>
      <c r="S129" s="295">
        <f>'CAR Mileage'!S150*CAR!$I$58</f>
        <v>17091.104962409689</v>
      </c>
      <c r="T129" s="295">
        <f>'CAR Mileage'!T150*CAR!$I$58</f>
        <v>17091.104962409689</v>
      </c>
      <c r="U129" s="295">
        <f>'CAR Mileage'!U150*CAR!$I$58</f>
        <v>17091.104962409689</v>
      </c>
      <c r="V129" s="295">
        <f>'CAR Mileage'!V150*CAR!$I$58</f>
        <v>17091.104962409689</v>
      </c>
      <c r="W129" s="295">
        <f>'CAR Mileage'!W150*CAR!$I$58</f>
        <v>17091.104962409689</v>
      </c>
      <c r="X129" s="295">
        <f>'CAR Mileage'!X150*CAR!$I$58</f>
        <v>17091.104962409689</v>
      </c>
      <c r="Y129" s="295">
        <f>'CAR Mileage'!Y150*CAR!$I$58</f>
        <v>17091.104962409689</v>
      </c>
      <c r="Z129" s="295">
        <f>'CAR Mileage'!Z150*CAR!$I$58</f>
        <v>17091.104962409689</v>
      </c>
      <c r="AA129" s="295">
        <f>'CAR Mileage'!AA150*CAR!$I$58</f>
        <v>17091.104962409689</v>
      </c>
      <c r="AB129" s="295">
        <f>'CAR Mileage'!AB150*CAR!$I$58</f>
        <v>17091.104962409689</v>
      </c>
      <c r="AC129" s="295">
        <f>'CAR Mileage'!AC150*CAR!$I$58</f>
        <v>17091.104962409689</v>
      </c>
      <c r="AD129" s="295">
        <f>'CAR Mileage'!AD150*CAR!$I$58</f>
        <v>17091.104962409689</v>
      </c>
      <c r="AE129" s="296">
        <f>'CAR Mileage'!AE150*CAR!$I$58</f>
        <v>17091.104962409689</v>
      </c>
      <c r="AG129" s="1711"/>
      <c r="AH129" s="116">
        <v>10</v>
      </c>
      <c r="AI129" s="294">
        <f>'CAR Passenger Kilometres'!C129*'CAR Stock'!C179</f>
        <v>34182.209924819377</v>
      </c>
      <c r="AJ129" s="295">
        <f>'CAR Passenger Kilometres'!D129*'CAR Stock'!D179</f>
        <v>17091.104962409689</v>
      </c>
      <c r="AK129" s="295">
        <f>'CAR Passenger Kilometres'!E129*'CAR Stock'!E179</f>
        <v>34182.209924819377</v>
      </c>
      <c r="AL129" s="295">
        <f>'CAR Passenger Kilometres'!F129*'CAR Stock'!F179</f>
        <v>34182.209924819377</v>
      </c>
      <c r="AM129" s="295">
        <f>'CAR Passenger Kilometres'!G129*'CAR Stock'!G179</f>
        <v>170911.04962409689</v>
      </c>
      <c r="AN129" s="295">
        <f>'CAR Passenger Kilometres'!H129*'CAR Stock'!H179</f>
        <v>376004.30917301314</v>
      </c>
      <c r="AO129" s="295">
        <f>'CAR Passenger Kilometres'!I129*'CAR Stock'!I179</f>
        <v>256366.57443614534</v>
      </c>
      <c r="AP129" s="295">
        <f>'CAR Passenger Kilometres'!J129*'CAR Stock'!J179</f>
        <v>273457.67939855502</v>
      </c>
      <c r="AQ129" s="295">
        <f>'CAR Passenger Kilometres'!K129*'CAR Stock'!K179</f>
        <v>256366.57443614534</v>
      </c>
      <c r="AR129" s="295">
        <f>'CAR Passenger Kilometres'!L129*'CAR Stock'!L179</f>
        <v>85455.524812048447</v>
      </c>
      <c r="AS129" s="295">
        <f>'CAR Passenger Kilometres'!M129*'CAR Stock'!M179</f>
        <v>34182.209924819377</v>
      </c>
      <c r="AT129" s="295">
        <f>'CAR Passenger Kilometres'!N129*'CAR Stock'!N179</f>
        <v>0</v>
      </c>
      <c r="AU129" s="295">
        <f>'CAR Passenger Kilometres'!O129*'CAR Stock'!O179</f>
        <v>0</v>
      </c>
      <c r="AV129" s="295">
        <f>'CAR Passenger Kilometres'!P129*'CAR Stock'!P179</f>
        <v>0</v>
      </c>
      <c r="AW129" s="295">
        <f>'CAR Passenger Kilometres'!Q129*'CAR Stock'!Q179</f>
        <v>0</v>
      </c>
      <c r="AX129" s="295">
        <f>'CAR Passenger Kilometres'!R129*'CAR Stock'!R179</f>
        <v>0</v>
      </c>
      <c r="AY129" s="295">
        <f>'CAR Passenger Kilometres'!S129*'CAR Stock'!S179</f>
        <v>0</v>
      </c>
      <c r="AZ129" s="295">
        <f>'CAR Passenger Kilometres'!T129*'CAR Stock'!T179</f>
        <v>0</v>
      </c>
      <c r="BA129" s="295">
        <f>'CAR Passenger Kilometres'!U129*'CAR Stock'!U179</f>
        <v>0</v>
      </c>
      <c r="BB129" s="295">
        <f>'CAR Passenger Kilometres'!V129*'CAR Stock'!V179</f>
        <v>0</v>
      </c>
      <c r="BC129" s="295">
        <f>'CAR Passenger Kilometres'!W129*'CAR Stock'!W179</f>
        <v>0</v>
      </c>
      <c r="BD129" s="295">
        <f>'CAR Passenger Kilometres'!X129*'CAR Stock'!X179</f>
        <v>0</v>
      </c>
      <c r="BE129" s="295">
        <f>'CAR Passenger Kilometres'!Y129*'CAR Stock'!Y179</f>
        <v>0</v>
      </c>
      <c r="BF129" s="295">
        <f>'CAR Passenger Kilometres'!Z129*'CAR Stock'!Z179</f>
        <v>0</v>
      </c>
      <c r="BG129" s="295">
        <f>'CAR Passenger Kilometres'!AA129*'CAR Stock'!AA179</f>
        <v>0</v>
      </c>
      <c r="BH129" s="295">
        <f>'CAR Passenger Kilometres'!AB129*'CAR Stock'!AB179</f>
        <v>0</v>
      </c>
      <c r="BI129" s="295">
        <f>'CAR Passenger Kilometres'!AC129*'CAR Stock'!AC179</f>
        <v>0</v>
      </c>
      <c r="BJ129" s="295">
        <f>'CAR Passenger Kilometres'!AD129*'CAR Stock'!AD179</f>
        <v>0</v>
      </c>
      <c r="BK129" s="296">
        <f>'CAR Passenger Kilometres'!AE129*'CAR Stock'!AE179</f>
        <v>0</v>
      </c>
    </row>
    <row r="130" spans="1:63">
      <c r="A130" s="1711"/>
      <c r="B130" s="116">
        <v>11</v>
      </c>
      <c r="C130" s="294">
        <f>'CAR Mileage'!C151*CAR!$I$58</f>
        <v>16749.282863161494</v>
      </c>
      <c r="D130" s="295">
        <f>'CAR Mileage'!D151*CAR!$I$58</f>
        <v>16749.282863161494</v>
      </c>
      <c r="E130" s="295">
        <f>'CAR Mileage'!E151*CAR!$I$58</f>
        <v>16749.282863161494</v>
      </c>
      <c r="F130" s="295">
        <f>'CAR Mileage'!F151*CAR!$I$58</f>
        <v>16749.282863161494</v>
      </c>
      <c r="G130" s="295">
        <f>'CAR Mileage'!G151*CAR!$I$58</f>
        <v>16749.282863161494</v>
      </c>
      <c r="H130" s="295">
        <f>'CAR Mileage'!H151*CAR!$I$58</f>
        <v>16749.282863161494</v>
      </c>
      <c r="I130" s="295">
        <f>'CAR Mileage'!I151*CAR!$I$58</f>
        <v>16749.282863161494</v>
      </c>
      <c r="J130" s="295">
        <f>'CAR Mileage'!J151*CAR!$I$58</f>
        <v>16749.282863161494</v>
      </c>
      <c r="K130" s="295">
        <f>'CAR Mileage'!K151*CAR!$I$58</f>
        <v>16749.282863161494</v>
      </c>
      <c r="L130" s="295">
        <f>'CAR Mileage'!L151*CAR!$I$58</f>
        <v>16749.282863161494</v>
      </c>
      <c r="M130" s="295">
        <f>'CAR Mileage'!M151*CAR!$I$58</f>
        <v>16749.282863161494</v>
      </c>
      <c r="N130" s="295">
        <f>'CAR Mileage'!N151*CAR!$I$58</f>
        <v>16749.282863161494</v>
      </c>
      <c r="O130" s="295">
        <f>'CAR Mileage'!O151*CAR!$I$58</f>
        <v>16749.282863161494</v>
      </c>
      <c r="P130" s="295">
        <f>'CAR Mileage'!P151*CAR!$I$58</f>
        <v>16749.282863161494</v>
      </c>
      <c r="Q130" s="295">
        <f>'CAR Mileage'!Q151*CAR!$I$58</f>
        <v>16749.282863161494</v>
      </c>
      <c r="R130" s="295">
        <f>'CAR Mileage'!R151*CAR!$I$58</f>
        <v>16749.282863161494</v>
      </c>
      <c r="S130" s="295">
        <f>'CAR Mileage'!S151*CAR!$I$58</f>
        <v>16749.282863161494</v>
      </c>
      <c r="T130" s="295">
        <f>'CAR Mileage'!T151*CAR!$I$58</f>
        <v>16749.282863161494</v>
      </c>
      <c r="U130" s="295">
        <f>'CAR Mileage'!U151*CAR!$I$58</f>
        <v>16749.282863161494</v>
      </c>
      <c r="V130" s="295">
        <f>'CAR Mileage'!V151*CAR!$I$58</f>
        <v>16749.282863161494</v>
      </c>
      <c r="W130" s="295">
        <f>'CAR Mileage'!W151*CAR!$I$58</f>
        <v>16749.282863161494</v>
      </c>
      <c r="X130" s="295">
        <f>'CAR Mileage'!X151*CAR!$I$58</f>
        <v>16749.282863161494</v>
      </c>
      <c r="Y130" s="295">
        <f>'CAR Mileage'!Y151*CAR!$I$58</f>
        <v>16749.282863161494</v>
      </c>
      <c r="Z130" s="295">
        <f>'CAR Mileage'!Z151*CAR!$I$58</f>
        <v>16749.282863161494</v>
      </c>
      <c r="AA130" s="295">
        <f>'CAR Mileage'!AA151*CAR!$I$58</f>
        <v>16749.282863161494</v>
      </c>
      <c r="AB130" s="295">
        <f>'CAR Mileage'!AB151*CAR!$I$58</f>
        <v>16749.282863161494</v>
      </c>
      <c r="AC130" s="295">
        <f>'CAR Mileage'!AC151*CAR!$I$58</f>
        <v>16749.282863161494</v>
      </c>
      <c r="AD130" s="295">
        <f>'CAR Mileage'!AD151*CAR!$I$58</f>
        <v>16749.282863161494</v>
      </c>
      <c r="AE130" s="296">
        <f>'CAR Mileage'!AE151*CAR!$I$58</f>
        <v>16749.282863161494</v>
      </c>
      <c r="AG130" s="1711"/>
      <c r="AH130" s="116">
        <v>11</v>
      </c>
      <c r="AI130" s="294">
        <f>'CAR Passenger Kilometres'!C130*'CAR Stock'!C180</f>
        <v>83746.414315807473</v>
      </c>
      <c r="AJ130" s="295">
        <f>'CAR Passenger Kilometres'!D130*'CAR Stock'!D180</f>
        <v>33498.565726322988</v>
      </c>
      <c r="AK130" s="295">
        <f>'CAR Passenger Kilometres'!E130*'CAR Stock'!E180</f>
        <v>16749.282863161494</v>
      </c>
      <c r="AL130" s="295">
        <f>'CAR Passenger Kilometres'!F130*'CAR Stock'!F180</f>
        <v>33498.565726322988</v>
      </c>
      <c r="AM130" s="295">
        <f>'CAR Passenger Kilometres'!G130*'CAR Stock'!G180</f>
        <v>33498.565726322988</v>
      </c>
      <c r="AN130" s="295">
        <f>'CAR Passenger Kilometres'!H130*'CAR Stock'!H180</f>
        <v>167492.82863161495</v>
      </c>
      <c r="AO130" s="295">
        <f>'CAR Passenger Kilometres'!I130*'CAR Stock'!I180</f>
        <v>368484.22298955289</v>
      </c>
      <c r="AP130" s="295">
        <f>'CAR Passenger Kilometres'!J130*'CAR Stock'!J180</f>
        <v>251239.2429474224</v>
      </c>
      <c r="AQ130" s="295">
        <f>'CAR Passenger Kilometres'!K130*'CAR Stock'!K180</f>
        <v>267988.5258105839</v>
      </c>
      <c r="AR130" s="295">
        <f>'CAR Passenger Kilometres'!L130*'CAR Stock'!L180</f>
        <v>251239.2429474224</v>
      </c>
      <c r="AS130" s="295">
        <f>'CAR Passenger Kilometres'!M130*'CAR Stock'!M180</f>
        <v>83746.414315807473</v>
      </c>
      <c r="AT130" s="295">
        <f>'CAR Passenger Kilometres'!N130*'CAR Stock'!N180</f>
        <v>33498.565726322988</v>
      </c>
      <c r="AU130" s="295">
        <f>'CAR Passenger Kilometres'!O130*'CAR Stock'!O180</f>
        <v>0</v>
      </c>
      <c r="AV130" s="295">
        <f>'CAR Passenger Kilometres'!P130*'CAR Stock'!P180</f>
        <v>0</v>
      </c>
      <c r="AW130" s="295">
        <f>'CAR Passenger Kilometres'!Q130*'CAR Stock'!Q180</f>
        <v>0</v>
      </c>
      <c r="AX130" s="295">
        <f>'CAR Passenger Kilometres'!R130*'CAR Stock'!R180</f>
        <v>0</v>
      </c>
      <c r="AY130" s="295">
        <f>'CAR Passenger Kilometres'!S130*'CAR Stock'!S180</f>
        <v>0</v>
      </c>
      <c r="AZ130" s="295">
        <f>'CAR Passenger Kilometres'!T130*'CAR Stock'!T180</f>
        <v>0</v>
      </c>
      <c r="BA130" s="295">
        <f>'CAR Passenger Kilometres'!U130*'CAR Stock'!U180</f>
        <v>0</v>
      </c>
      <c r="BB130" s="295">
        <f>'CAR Passenger Kilometres'!V130*'CAR Stock'!V180</f>
        <v>0</v>
      </c>
      <c r="BC130" s="295">
        <f>'CAR Passenger Kilometres'!W130*'CAR Stock'!W180</f>
        <v>0</v>
      </c>
      <c r="BD130" s="295">
        <f>'CAR Passenger Kilometres'!X130*'CAR Stock'!X180</f>
        <v>0</v>
      </c>
      <c r="BE130" s="295">
        <f>'CAR Passenger Kilometres'!Y130*'CAR Stock'!Y180</f>
        <v>0</v>
      </c>
      <c r="BF130" s="295">
        <f>'CAR Passenger Kilometres'!Z130*'CAR Stock'!Z180</f>
        <v>0</v>
      </c>
      <c r="BG130" s="295">
        <f>'CAR Passenger Kilometres'!AA130*'CAR Stock'!AA180</f>
        <v>0</v>
      </c>
      <c r="BH130" s="295">
        <f>'CAR Passenger Kilometres'!AB130*'CAR Stock'!AB180</f>
        <v>0</v>
      </c>
      <c r="BI130" s="295">
        <f>'CAR Passenger Kilometres'!AC130*'CAR Stock'!AC180</f>
        <v>0</v>
      </c>
      <c r="BJ130" s="295">
        <f>'CAR Passenger Kilometres'!AD130*'CAR Stock'!AD180</f>
        <v>0</v>
      </c>
      <c r="BK130" s="296">
        <f>'CAR Passenger Kilometres'!AE130*'CAR Stock'!AE180</f>
        <v>0</v>
      </c>
    </row>
    <row r="131" spans="1:63">
      <c r="A131" s="1711"/>
      <c r="B131" s="116">
        <v>12</v>
      </c>
      <c r="C131" s="294">
        <f>'CAR Mileage'!C152*CAR!$I$58</f>
        <v>16414.297205898263</v>
      </c>
      <c r="D131" s="295">
        <f>'CAR Mileage'!D152*CAR!$I$58</f>
        <v>16414.297205898263</v>
      </c>
      <c r="E131" s="295">
        <f>'CAR Mileage'!E152*CAR!$I$58</f>
        <v>16414.297205898263</v>
      </c>
      <c r="F131" s="295">
        <f>'CAR Mileage'!F152*CAR!$I$58</f>
        <v>16414.297205898263</v>
      </c>
      <c r="G131" s="295">
        <f>'CAR Mileage'!G152*CAR!$I$58</f>
        <v>16414.297205898263</v>
      </c>
      <c r="H131" s="295">
        <f>'CAR Mileage'!H152*CAR!$I$58</f>
        <v>16414.297205898263</v>
      </c>
      <c r="I131" s="295">
        <f>'CAR Mileage'!I152*CAR!$I$58</f>
        <v>16414.297205898263</v>
      </c>
      <c r="J131" s="295">
        <f>'CAR Mileage'!J152*CAR!$I$58</f>
        <v>16414.297205898263</v>
      </c>
      <c r="K131" s="295">
        <f>'CAR Mileage'!K152*CAR!$I$58</f>
        <v>16414.297205898263</v>
      </c>
      <c r="L131" s="295">
        <f>'CAR Mileage'!L152*CAR!$I$58</f>
        <v>16414.297205898263</v>
      </c>
      <c r="M131" s="295">
        <f>'CAR Mileage'!M152*CAR!$I$58</f>
        <v>16414.297205898263</v>
      </c>
      <c r="N131" s="295">
        <f>'CAR Mileage'!N152*CAR!$I$58</f>
        <v>16414.297205898263</v>
      </c>
      <c r="O131" s="295">
        <f>'CAR Mileage'!O152*CAR!$I$58</f>
        <v>16414.297205898263</v>
      </c>
      <c r="P131" s="295">
        <f>'CAR Mileage'!P152*CAR!$I$58</f>
        <v>16414.297205898263</v>
      </c>
      <c r="Q131" s="295">
        <f>'CAR Mileage'!Q152*CAR!$I$58</f>
        <v>16414.297205898263</v>
      </c>
      <c r="R131" s="295">
        <f>'CAR Mileage'!R152*CAR!$I$58</f>
        <v>16414.297205898263</v>
      </c>
      <c r="S131" s="295">
        <f>'CAR Mileage'!S152*CAR!$I$58</f>
        <v>16414.297205898263</v>
      </c>
      <c r="T131" s="295">
        <f>'CAR Mileage'!T152*CAR!$I$58</f>
        <v>16414.297205898263</v>
      </c>
      <c r="U131" s="295">
        <f>'CAR Mileage'!U152*CAR!$I$58</f>
        <v>16414.297205898263</v>
      </c>
      <c r="V131" s="295">
        <f>'CAR Mileage'!V152*CAR!$I$58</f>
        <v>16414.297205898263</v>
      </c>
      <c r="W131" s="295">
        <f>'CAR Mileage'!W152*CAR!$I$58</f>
        <v>16414.297205898263</v>
      </c>
      <c r="X131" s="295">
        <f>'CAR Mileage'!X152*CAR!$I$58</f>
        <v>16414.297205898263</v>
      </c>
      <c r="Y131" s="295">
        <f>'CAR Mileage'!Y152*CAR!$I$58</f>
        <v>16414.297205898263</v>
      </c>
      <c r="Z131" s="295">
        <f>'CAR Mileage'!Z152*CAR!$I$58</f>
        <v>16414.297205898263</v>
      </c>
      <c r="AA131" s="295">
        <f>'CAR Mileage'!AA152*CAR!$I$58</f>
        <v>16414.297205898263</v>
      </c>
      <c r="AB131" s="295">
        <f>'CAR Mileage'!AB152*CAR!$I$58</f>
        <v>16414.297205898263</v>
      </c>
      <c r="AC131" s="295">
        <f>'CAR Mileage'!AC152*CAR!$I$58</f>
        <v>16414.297205898263</v>
      </c>
      <c r="AD131" s="295">
        <f>'CAR Mileage'!AD152*CAR!$I$58</f>
        <v>16414.297205898263</v>
      </c>
      <c r="AE131" s="296">
        <f>'CAR Mileage'!AE152*CAR!$I$58</f>
        <v>16414.297205898263</v>
      </c>
      <c r="AG131" s="1711"/>
      <c r="AH131" s="116">
        <v>12</v>
      </c>
      <c r="AI131" s="294">
        <f>'CAR Passenger Kilometres'!C131*'CAR Stock'!C181</f>
        <v>16414.297205898263</v>
      </c>
      <c r="AJ131" s="295">
        <f>'CAR Passenger Kilometres'!D131*'CAR Stock'!D181</f>
        <v>79793.363181669818</v>
      </c>
      <c r="AK131" s="295">
        <f>'CAR Passenger Kilometres'!E131*'CAR Stock'!E181</f>
        <v>31917.345272667932</v>
      </c>
      <c r="AL131" s="295">
        <f>'CAR Passenger Kilometres'!F131*'CAR Stock'!F181</f>
        <v>15958.672636333966</v>
      </c>
      <c r="AM131" s="295">
        <f>'CAR Passenger Kilometres'!G131*'CAR Stock'!G181</f>
        <v>31917.345272667932</v>
      </c>
      <c r="AN131" s="295">
        <f>'CAR Passenger Kilometres'!H131*'CAR Stock'!H181</f>
        <v>31917.345272667932</v>
      </c>
      <c r="AO131" s="295">
        <f>'CAR Passenger Kilometres'!I131*'CAR Stock'!I181</f>
        <v>159586.72636333964</v>
      </c>
      <c r="AP131" s="295">
        <f>'CAR Passenger Kilometres'!J131*'CAR Stock'!J181</f>
        <v>351090.79799934721</v>
      </c>
      <c r="AQ131" s="295">
        <f>'CAR Passenger Kilometres'!K131*'CAR Stock'!K181</f>
        <v>239380.08954500948</v>
      </c>
      <c r="AR131" s="295">
        <f>'CAR Passenger Kilometres'!L131*'CAR Stock'!L181</f>
        <v>255338.76218134345</v>
      </c>
      <c r="AS131" s="295">
        <f>'CAR Passenger Kilometres'!M131*'CAR Stock'!M181</f>
        <v>239380.08954500948</v>
      </c>
      <c r="AT131" s="295">
        <f>'CAR Passenger Kilometres'!N131*'CAR Stock'!N181</f>
        <v>79793.363181669818</v>
      </c>
      <c r="AU131" s="295">
        <f>'CAR Passenger Kilometres'!O131*'CAR Stock'!O181</f>
        <v>31917.345272667932</v>
      </c>
      <c r="AV131" s="295">
        <f>'CAR Passenger Kilometres'!P131*'CAR Stock'!P181</f>
        <v>0</v>
      </c>
      <c r="AW131" s="295">
        <f>'CAR Passenger Kilometres'!Q131*'CAR Stock'!Q181</f>
        <v>0</v>
      </c>
      <c r="AX131" s="295">
        <f>'CAR Passenger Kilometres'!R131*'CAR Stock'!R181</f>
        <v>0</v>
      </c>
      <c r="AY131" s="295">
        <f>'CAR Passenger Kilometres'!S131*'CAR Stock'!S181</f>
        <v>0</v>
      </c>
      <c r="AZ131" s="295">
        <f>'CAR Passenger Kilometres'!T131*'CAR Stock'!T181</f>
        <v>0</v>
      </c>
      <c r="BA131" s="295">
        <f>'CAR Passenger Kilometres'!U131*'CAR Stock'!U181</f>
        <v>0</v>
      </c>
      <c r="BB131" s="295">
        <f>'CAR Passenger Kilometres'!V131*'CAR Stock'!V181</f>
        <v>0</v>
      </c>
      <c r="BC131" s="295">
        <f>'CAR Passenger Kilometres'!W131*'CAR Stock'!W181</f>
        <v>0</v>
      </c>
      <c r="BD131" s="295">
        <f>'CAR Passenger Kilometres'!X131*'CAR Stock'!X181</f>
        <v>0</v>
      </c>
      <c r="BE131" s="295">
        <f>'CAR Passenger Kilometres'!Y131*'CAR Stock'!Y181</f>
        <v>0</v>
      </c>
      <c r="BF131" s="295">
        <f>'CAR Passenger Kilometres'!Z131*'CAR Stock'!Z181</f>
        <v>0</v>
      </c>
      <c r="BG131" s="295">
        <f>'CAR Passenger Kilometres'!AA131*'CAR Stock'!AA181</f>
        <v>0</v>
      </c>
      <c r="BH131" s="295">
        <f>'CAR Passenger Kilometres'!AB131*'CAR Stock'!AB181</f>
        <v>0</v>
      </c>
      <c r="BI131" s="295">
        <f>'CAR Passenger Kilometres'!AC131*'CAR Stock'!AC181</f>
        <v>0</v>
      </c>
      <c r="BJ131" s="295">
        <f>'CAR Passenger Kilometres'!AD131*'CAR Stock'!AD181</f>
        <v>0</v>
      </c>
      <c r="BK131" s="296">
        <f>'CAR Passenger Kilometres'!AE131*'CAR Stock'!AE181</f>
        <v>0</v>
      </c>
    </row>
    <row r="132" spans="1:63">
      <c r="A132" s="1711"/>
      <c r="B132" s="116">
        <v>13</v>
      </c>
      <c r="C132" s="294">
        <f>'CAR Mileage'!C153*CAR!$I$58</f>
        <v>16086.011261780299</v>
      </c>
      <c r="D132" s="295">
        <f>'CAR Mileage'!D153*CAR!$I$58</f>
        <v>16086.011261780299</v>
      </c>
      <c r="E132" s="295">
        <f>'CAR Mileage'!E153*CAR!$I$58</f>
        <v>16086.011261780299</v>
      </c>
      <c r="F132" s="295">
        <f>'CAR Mileage'!F153*CAR!$I$58</f>
        <v>16086.011261780299</v>
      </c>
      <c r="G132" s="295">
        <f>'CAR Mileage'!G153*CAR!$I$58</f>
        <v>16086.011261780299</v>
      </c>
      <c r="H132" s="295">
        <f>'CAR Mileage'!H153*CAR!$I$58</f>
        <v>16086.011261780299</v>
      </c>
      <c r="I132" s="295">
        <f>'CAR Mileage'!I153*CAR!$I$58</f>
        <v>16086.011261780299</v>
      </c>
      <c r="J132" s="295">
        <f>'CAR Mileage'!J153*CAR!$I$58</f>
        <v>16086.011261780299</v>
      </c>
      <c r="K132" s="295">
        <f>'CAR Mileage'!K153*CAR!$I$58</f>
        <v>16086.011261780299</v>
      </c>
      <c r="L132" s="295">
        <f>'CAR Mileage'!L153*CAR!$I$58</f>
        <v>16086.011261780299</v>
      </c>
      <c r="M132" s="295">
        <f>'CAR Mileage'!M153*CAR!$I$58</f>
        <v>16086.011261780299</v>
      </c>
      <c r="N132" s="295">
        <f>'CAR Mileage'!N153*CAR!$I$58</f>
        <v>16086.011261780299</v>
      </c>
      <c r="O132" s="295">
        <f>'CAR Mileage'!O153*CAR!$I$58</f>
        <v>16086.011261780299</v>
      </c>
      <c r="P132" s="295">
        <f>'CAR Mileage'!P153*CAR!$I$58</f>
        <v>16086.011261780299</v>
      </c>
      <c r="Q132" s="295">
        <f>'CAR Mileage'!Q153*CAR!$I$58</f>
        <v>16086.011261780299</v>
      </c>
      <c r="R132" s="295">
        <f>'CAR Mileage'!R153*CAR!$I$58</f>
        <v>16086.011261780299</v>
      </c>
      <c r="S132" s="295">
        <f>'CAR Mileage'!S153*CAR!$I$58</f>
        <v>16086.011261780299</v>
      </c>
      <c r="T132" s="295">
        <f>'CAR Mileage'!T153*CAR!$I$58</f>
        <v>16086.011261780299</v>
      </c>
      <c r="U132" s="295">
        <f>'CAR Mileage'!U153*CAR!$I$58</f>
        <v>16086.011261780299</v>
      </c>
      <c r="V132" s="295">
        <f>'CAR Mileage'!V153*CAR!$I$58</f>
        <v>16086.011261780299</v>
      </c>
      <c r="W132" s="295">
        <f>'CAR Mileage'!W153*CAR!$I$58</f>
        <v>16086.011261780299</v>
      </c>
      <c r="X132" s="295">
        <f>'CAR Mileage'!X153*CAR!$I$58</f>
        <v>16086.011261780299</v>
      </c>
      <c r="Y132" s="295">
        <f>'CAR Mileage'!Y153*CAR!$I$58</f>
        <v>16086.011261780299</v>
      </c>
      <c r="Z132" s="295">
        <f>'CAR Mileage'!Z153*CAR!$I$58</f>
        <v>16086.011261780299</v>
      </c>
      <c r="AA132" s="295">
        <f>'CAR Mileage'!AA153*CAR!$I$58</f>
        <v>16086.011261780299</v>
      </c>
      <c r="AB132" s="295">
        <f>'CAR Mileage'!AB153*CAR!$I$58</f>
        <v>16086.011261780299</v>
      </c>
      <c r="AC132" s="295">
        <f>'CAR Mileage'!AC153*CAR!$I$58</f>
        <v>16086.011261780299</v>
      </c>
      <c r="AD132" s="295">
        <f>'CAR Mileage'!AD153*CAR!$I$58</f>
        <v>16086.011261780299</v>
      </c>
      <c r="AE132" s="296">
        <f>'CAR Mileage'!AE153*CAR!$I$58</f>
        <v>16086.011261780299</v>
      </c>
      <c r="AG132" s="1711"/>
      <c r="AH132" s="116">
        <v>13</v>
      </c>
      <c r="AI132" s="294">
        <f>'CAR Passenger Kilometres'!C132*'CAR Stock'!C182</f>
        <v>48258.0337853409</v>
      </c>
      <c r="AJ132" s="295">
        <f>'CAR Passenger Kilometres'!D132*'CAR Stock'!D182</f>
        <v>11916.58191628751</v>
      </c>
      <c r="AK132" s="295">
        <f>'CAR Passenger Kilometres'!E132*'CAR Stock'!E182</f>
        <v>57929.019854031125</v>
      </c>
      <c r="AL132" s="295">
        <f>'CAR Passenger Kilometres'!F132*'CAR Stock'!F182</f>
        <v>23171.607941612452</v>
      </c>
      <c r="AM132" s="295">
        <f>'CAR Passenger Kilometres'!G132*'CAR Stock'!G182</f>
        <v>11585.803970806226</v>
      </c>
      <c r="AN132" s="295">
        <f>'CAR Passenger Kilometres'!H132*'CAR Stock'!H182</f>
        <v>23171.607941612452</v>
      </c>
      <c r="AO132" s="295">
        <f>'CAR Passenger Kilometres'!I132*'CAR Stock'!I182</f>
        <v>23171.607941612452</v>
      </c>
      <c r="AP132" s="295">
        <f>'CAR Passenger Kilometres'!J132*'CAR Stock'!J182</f>
        <v>115858.03970806225</v>
      </c>
      <c r="AQ132" s="295">
        <f>'CAR Passenger Kilometres'!K132*'CAR Stock'!K182</f>
        <v>254887.68735773698</v>
      </c>
      <c r="AR132" s="295">
        <f>'CAR Passenger Kilometres'!L132*'CAR Stock'!L182</f>
        <v>173787.0595620934</v>
      </c>
      <c r="AS132" s="295">
        <f>'CAR Passenger Kilometres'!M132*'CAR Stock'!M182</f>
        <v>185372.86353289962</v>
      </c>
      <c r="AT132" s="295">
        <f>'CAR Passenger Kilometres'!N132*'CAR Stock'!N182</f>
        <v>173787.0595620934</v>
      </c>
      <c r="AU132" s="295">
        <f>'CAR Passenger Kilometres'!O132*'CAR Stock'!O182</f>
        <v>57929.019854031125</v>
      </c>
      <c r="AV132" s="295">
        <f>'CAR Passenger Kilometres'!P132*'CAR Stock'!P182</f>
        <v>23171.607941612452</v>
      </c>
      <c r="AW132" s="295">
        <f>'CAR Passenger Kilometres'!Q132*'CAR Stock'!Q182</f>
        <v>0</v>
      </c>
      <c r="AX132" s="295">
        <f>'CAR Passenger Kilometres'!R132*'CAR Stock'!R182</f>
        <v>0</v>
      </c>
      <c r="AY132" s="295">
        <f>'CAR Passenger Kilometres'!S132*'CAR Stock'!S182</f>
        <v>0</v>
      </c>
      <c r="AZ132" s="295">
        <f>'CAR Passenger Kilometres'!T132*'CAR Stock'!T182</f>
        <v>0</v>
      </c>
      <c r="BA132" s="295">
        <f>'CAR Passenger Kilometres'!U132*'CAR Stock'!U182</f>
        <v>0</v>
      </c>
      <c r="BB132" s="295">
        <f>'CAR Passenger Kilometres'!V132*'CAR Stock'!V182</f>
        <v>0</v>
      </c>
      <c r="BC132" s="295">
        <f>'CAR Passenger Kilometres'!W132*'CAR Stock'!W182</f>
        <v>0</v>
      </c>
      <c r="BD132" s="295">
        <f>'CAR Passenger Kilometres'!X132*'CAR Stock'!X182</f>
        <v>0</v>
      </c>
      <c r="BE132" s="295">
        <f>'CAR Passenger Kilometres'!Y132*'CAR Stock'!Y182</f>
        <v>0</v>
      </c>
      <c r="BF132" s="295">
        <f>'CAR Passenger Kilometres'!Z132*'CAR Stock'!Z182</f>
        <v>0</v>
      </c>
      <c r="BG132" s="295">
        <f>'CAR Passenger Kilometres'!AA132*'CAR Stock'!AA182</f>
        <v>0</v>
      </c>
      <c r="BH132" s="295">
        <f>'CAR Passenger Kilometres'!AB132*'CAR Stock'!AB182</f>
        <v>0</v>
      </c>
      <c r="BI132" s="295">
        <f>'CAR Passenger Kilometres'!AC132*'CAR Stock'!AC182</f>
        <v>0</v>
      </c>
      <c r="BJ132" s="295">
        <f>'CAR Passenger Kilometres'!AD132*'CAR Stock'!AD182</f>
        <v>0</v>
      </c>
      <c r="BK132" s="296">
        <f>'CAR Passenger Kilometres'!AE132*'CAR Stock'!AE182</f>
        <v>0</v>
      </c>
    </row>
    <row r="133" spans="1:63">
      <c r="A133" s="1711"/>
      <c r="B133" s="116">
        <v>14</v>
      </c>
      <c r="C133" s="294">
        <f>'CAR Mileage'!C154*CAR!$I$58</f>
        <v>15764.291036544691</v>
      </c>
      <c r="D133" s="295">
        <f>'CAR Mileage'!D154*CAR!$I$58</f>
        <v>15764.291036544691</v>
      </c>
      <c r="E133" s="295">
        <f>'CAR Mileage'!E154*CAR!$I$58</f>
        <v>15764.291036544691</v>
      </c>
      <c r="F133" s="295">
        <f>'CAR Mileage'!F154*CAR!$I$58</f>
        <v>15764.291036544691</v>
      </c>
      <c r="G133" s="295">
        <f>'CAR Mileage'!G154*CAR!$I$58</f>
        <v>15764.291036544691</v>
      </c>
      <c r="H133" s="295">
        <f>'CAR Mileage'!H154*CAR!$I$58</f>
        <v>15764.291036544691</v>
      </c>
      <c r="I133" s="295">
        <f>'CAR Mileage'!I154*CAR!$I$58</f>
        <v>15764.291036544691</v>
      </c>
      <c r="J133" s="295">
        <f>'CAR Mileage'!J154*CAR!$I$58</f>
        <v>15764.291036544691</v>
      </c>
      <c r="K133" s="295">
        <f>'CAR Mileage'!K154*CAR!$I$58</f>
        <v>15764.291036544691</v>
      </c>
      <c r="L133" s="295">
        <f>'CAR Mileage'!L154*CAR!$I$58</f>
        <v>15764.291036544691</v>
      </c>
      <c r="M133" s="295">
        <f>'CAR Mileage'!M154*CAR!$I$58</f>
        <v>15764.291036544691</v>
      </c>
      <c r="N133" s="295">
        <f>'CAR Mileage'!N154*CAR!$I$58</f>
        <v>15764.291036544691</v>
      </c>
      <c r="O133" s="295">
        <f>'CAR Mileage'!O154*CAR!$I$58</f>
        <v>15764.291036544691</v>
      </c>
      <c r="P133" s="295">
        <f>'CAR Mileage'!P154*CAR!$I$58</f>
        <v>15764.291036544691</v>
      </c>
      <c r="Q133" s="295">
        <f>'CAR Mileage'!Q154*CAR!$I$58</f>
        <v>15764.291036544691</v>
      </c>
      <c r="R133" s="295">
        <f>'CAR Mileage'!R154*CAR!$I$58</f>
        <v>15764.291036544691</v>
      </c>
      <c r="S133" s="295">
        <f>'CAR Mileage'!S154*CAR!$I$58</f>
        <v>15764.291036544691</v>
      </c>
      <c r="T133" s="295">
        <f>'CAR Mileage'!T154*CAR!$I$58</f>
        <v>15764.291036544691</v>
      </c>
      <c r="U133" s="295">
        <f>'CAR Mileage'!U154*CAR!$I$58</f>
        <v>15764.291036544691</v>
      </c>
      <c r="V133" s="295">
        <f>'CAR Mileage'!V154*CAR!$I$58</f>
        <v>15764.291036544691</v>
      </c>
      <c r="W133" s="295">
        <f>'CAR Mileage'!W154*CAR!$I$58</f>
        <v>15764.291036544691</v>
      </c>
      <c r="X133" s="295">
        <f>'CAR Mileage'!X154*CAR!$I$58</f>
        <v>15764.291036544691</v>
      </c>
      <c r="Y133" s="295">
        <f>'CAR Mileage'!Y154*CAR!$I$58</f>
        <v>15764.291036544691</v>
      </c>
      <c r="Z133" s="295">
        <f>'CAR Mileage'!Z154*CAR!$I$58</f>
        <v>15764.291036544691</v>
      </c>
      <c r="AA133" s="295">
        <f>'CAR Mileage'!AA154*CAR!$I$58</f>
        <v>15764.291036544691</v>
      </c>
      <c r="AB133" s="295">
        <f>'CAR Mileage'!AB154*CAR!$I$58</f>
        <v>15764.291036544691</v>
      </c>
      <c r="AC133" s="295">
        <f>'CAR Mileage'!AC154*CAR!$I$58</f>
        <v>15764.291036544691</v>
      </c>
      <c r="AD133" s="295">
        <f>'CAR Mileage'!AD154*CAR!$I$58</f>
        <v>15764.291036544691</v>
      </c>
      <c r="AE133" s="296">
        <f>'CAR Mileage'!AE154*CAR!$I$58</f>
        <v>15764.291036544691</v>
      </c>
      <c r="AG133" s="1711"/>
      <c r="AH133" s="116">
        <v>14</v>
      </c>
      <c r="AI133" s="294">
        <f>'CAR Passenger Kilometres'!C133*'CAR Stock'!C183</f>
        <v>31528.582073089383</v>
      </c>
      <c r="AJ133" s="295">
        <f>'CAR Passenger Kilometres'!D133*'CAR Stock'!D183</f>
        <v>23638.541096554189</v>
      </c>
      <c r="AK133" s="295">
        <f>'CAR Passenger Kilometres'!E133*'CAR Stock'!E183</f>
        <v>5837.1754765562901</v>
      </c>
      <c r="AL133" s="295">
        <f>'CAR Passenger Kilometres'!F133*'CAR Stock'!F183</f>
        <v>28375.742007926176</v>
      </c>
      <c r="AM133" s="295">
        <f>'CAR Passenger Kilometres'!G133*'CAR Stock'!G183</f>
        <v>11350.296803170471</v>
      </c>
      <c r="AN133" s="295">
        <f>'CAR Passenger Kilometres'!H133*'CAR Stock'!H183</f>
        <v>5675.1484015852357</v>
      </c>
      <c r="AO133" s="295">
        <f>'CAR Passenger Kilometres'!I133*'CAR Stock'!I183</f>
        <v>11350.296803170471</v>
      </c>
      <c r="AP133" s="295">
        <f>'CAR Passenger Kilometres'!J133*'CAR Stock'!J183</f>
        <v>11350.296803170471</v>
      </c>
      <c r="AQ133" s="295">
        <f>'CAR Passenger Kilometres'!K133*'CAR Stock'!K183</f>
        <v>56751.484015852351</v>
      </c>
      <c r="AR133" s="295">
        <f>'CAR Passenger Kilometres'!L133*'CAR Stock'!L183</f>
        <v>124853.26483487518</v>
      </c>
      <c r="AS133" s="295">
        <f>'CAR Passenger Kilometres'!M133*'CAR Stock'!M183</f>
        <v>85127.226023778538</v>
      </c>
      <c r="AT133" s="295">
        <f>'CAR Passenger Kilometres'!N133*'CAR Stock'!N183</f>
        <v>90802.374425363771</v>
      </c>
      <c r="AU133" s="295">
        <f>'CAR Passenger Kilometres'!O133*'CAR Stock'!O183</f>
        <v>85127.226023778538</v>
      </c>
      <c r="AV133" s="295">
        <f>'CAR Passenger Kilometres'!P133*'CAR Stock'!P183</f>
        <v>28375.742007926176</v>
      </c>
      <c r="AW133" s="295">
        <f>'CAR Passenger Kilometres'!Q133*'CAR Stock'!Q183</f>
        <v>11350.296803170471</v>
      </c>
      <c r="AX133" s="295">
        <f>'CAR Passenger Kilometres'!R133*'CAR Stock'!R183</f>
        <v>0</v>
      </c>
      <c r="AY133" s="295">
        <f>'CAR Passenger Kilometres'!S133*'CAR Stock'!S183</f>
        <v>0</v>
      </c>
      <c r="AZ133" s="295">
        <f>'CAR Passenger Kilometres'!T133*'CAR Stock'!T183</f>
        <v>0</v>
      </c>
      <c r="BA133" s="295">
        <f>'CAR Passenger Kilometres'!U133*'CAR Stock'!U183</f>
        <v>0</v>
      </c>
      <c r="BB133" s="295">
        <f>'CAR Passenger Kilometres'!V133*'CAR Stock'!V183</f>
        <v>0</v>
      </c>
      <c r="BC133" s="295">
        <f>'CAR Passenger Kilometres'!W133*'CAR Stock'!W183</f>
        <v>0</v>
      </c>
      <c r="BD133" s="295">
        <f>'CAR Passenger Kilometres'!X133*'CAR Stock'!X183</f>
        <v>0</v>
      </c>
      <c r="BE133" s="295">
        <f>'CAR Passenger Kilometres'!Y133*'CAR Stock'!Y183</f>
        <v>0</v>
      </c>
      <c r="BF133" s="295">
        <f>'CAR Passenger Kilometres'!Z133*'CAR Stock'!Z183</f>
        <v>0</v>
      </c>
      <c r="BG133" s="295">
        <f>'CAR Passenger Kilometres'!AA133*'CAR Stock'!AA183</f>
        <v>0</v>
      </c>
      <c r="BH133" s="295">
        <f>'CAR Passenger Kilometres'!AB133*'CAR Stock'!AB183</f>
        <v>0</v>
      </c>
      <c r="BI133" s="295">
        <f>'CAR Passenger Kilometres'!AC133*'CAR Stock'!AC183</f>
        <v>0</v>
      </c>
      <c r="BJ133" s="295">
        <f>'CAR Passenger Kilometres'!AD133*'CAR Stock'!AD183</f>
        <v>0</v>
      </c>
      <c r="BK133" s="296">
        <f>'CAR Passenger Kilometres'!AE133*'CAR Stock'!AE183</f>
        <v>0</v>
      </c>
    </row>
    <row r="134" spans="1:63">
      <c r="A134" s="1711"/>
      <c r="B134" s="116">
        <v>15</v>
      </c>
      <c r="C134" s="294">
        <f>'CAR Mileage'!C155*CAR!$I$58</f>
        <v>15449.005215813797</v>
      </c>
      <c r="D134" s="295">
        <f>'CAR Mileage'!D155*CAR!$I$58</f>
        <v>15449.005215813797</v>
      </c>
      <c r="E134" s="295">
        <f>'CAR Mileage'!E155*CAR!$I$58</f>
        <v>15449.005215813797</v>
      </c>
      <c r="F134" s="295">
        <f>'CAR Mileage'!F155*CAR!$I$58</f>
        <v>15449.005215813797</v>
      </c>
      <c r="G134" s="295">
        <f>'CAR Mileage'!G155*CAR!$I$58</f>
        <v>15449.005215813797</v>
      </c>
      <c r="H134" s="295">
        <f>'CAR Mileage'!H155*CAR!$I$58</f>
        <v>15449.005215813797</v>
      </c>
      <c r="I134" s="295">
        <f>'CAR Mileage'!I155*CAR!$I$58</f>
        <v>15449.005215813797</v>
      </c>
      <c r="J134" s="295">
        <f>'CAR Mileage'!J155*CAR!$I$58</f>
        <v>15449.005215813797</v>
      </c>
      <c r="K134" s="295">
        <f>'CAR Mileage'!K155*CAR!$I$58</f>
        <v>15449.005215813797</v>
      </c>
      <c r="L134" s="295">
        <f>'CAR Mileage'!L155*CAR!$I$58</f>
        <v>15449.005215813797</v>
      </c>
      <c r="M134" s="295">
        <f>'CAR Mileage'!M155*CAR!$I$58</f>
        <v>15449.005215813797</v>
      </c>
      <c r="N134" s="295">
        <f>'CAR Mileage'!N155*CAR!$I$58</f>
        <v>15449.005215813797</v>
      </c>
      <c r="O134" s="295">
        <f>'CAR Mileage'!O155*CAR!$I$58</f>
        <v>15449.005215813797</v>
      </c>
      <c r="P134" s="295">
        <f>'CAR Mileage'!P155*CAR!$I$58</f>
        <v>15449.005215813797</v>
      </c>
      <c r="Q134" s="295">
        <f>'CAR Mileage'!Q155*CAR!$I$58</f>
        <v>15449.005215813797</v>
      </c>
      <c r="R134" s="295">
        <f>'CAR Mileage'!R155*CAR!$I$58</f>
        <v>15449.005215813797</v>
      </c>
      <c r="S134" s="295">
        <f>'CAR Mileage'!S155*CAR!$I$58</f>
        <v>15449.005215813797</v>
      </c>
      <c r="T134" s="295">
        <f>'CAR Mileage'!T155*CAR!$I$58</f>
        <v>15449.005215813797</v>
      </c>
      <c r="U134" s="295">
        <f>'CAR Mileage'!U155*CAR!$I$58</f>
        <v>15449.005215813797</v>
      </c>
      <c r="V134" s="295">
        <f>'CAR Mileage'!V155*CAR!$I$58</f>
        <v>15449.005215813797</v>
      </c>
      <c r="W134" s="295">
        <f>'CAR Mileage'!W155*CAR!$I$58</f>
        <v>15449.005215813797</v>
      </c>
      <c r="X134" s="295">
        <f>'CAR Mileage'!X155*CAR!$I$58</f>
        <v>15449.005215813797</v>
      </c>
      <c r="Y134" s="295">
        <f>'CAR Mileage'!Y155*CAR!$I$58</f>
        <v>15449.005215813797</v>
      </c>
      <c r="Z134" s="295">
        <f>'CAR Mileage'!Z155*CAR!$I$58</f>
        <v>15449.005215813797</v>
      </c>
      <c r="AA134" s="295">
        <f>'CAR Mileage'!AA155*CAR!$I$58</f>
        <v>15449.005215813797</v>
      </c>
      <c r="AB134" s="295">
        <f>'CAR Mileage'!AB155*CAR!$I$58</f>
        <v>15449.005215813797</v>
      </c>
      <c r="AC134" s="295">
        <f>'CAR Mileage'!AC155*CAR!$I$58</f>
        <v>15449.005215813797</v>
      </c>
      <c r="AD134" s="295">
        <f>'CAR Mileage'!AD155*CAR!$I$58</f>
        <v>15449.005215813797</v>
      </c>
      <c r="AE134" s="296">
        <f>'CAR Mileage'!AE155*CAR!$I$58</f>
        <v>15449.005215813797</v>
      </c>
      <c r="AG134" s="1711"/>
      <c r="AH134" s="116">
        <v>15</v>
      </c>
      <c r="AI134" s="294">
        <f>'CAR Passenger Kilometres'!C134*'CAR Stock'!C184</f>
        <v>15449.005215813797</v>
      </c>
      <c r="AJ134" s="295">
        <f>'CAR Passenger Kilometres'!D134*'CAR Stock'!D184</f>
        <v>10481.719823739319</v>
      </c>
      <c r="AK134" s="295">
        <f>'CAR Passenger Kilometres'!E134*'CAR Stock'!E184</f>
        <v>7858.6650120085842</v>
      </c>
      <c r="AL134" s="295">
        <f>'CAR Passenger Kilometres'!F134*'CAR Stock'!F184</f>
        <v>1940.5768951305674</v>
      </c>
      <c r="AM134" s="295">
        <f>'CAR Passenger Kilometres'!G134*'CAR Stock'!G184</f>
        <v>9433.5538727463136</v>
      </c>
      <c r="AN134" s="295">
        <f>'CAR Passenger Kilometres'!H134*'CAR Stock'!H184</f>
        <v>3773.4215490985257</v>
      </c>
      <c r="AO134" s="295">
        <f>'CAR Passenger Kilometres'!I134*'CAR Stock'!I184</f>
        <v>1886.7107745492629</v>
      </c>
      <c r="AP134" s="295">
        <f>'CAR Passenger Kilometres'!J134*'CAR Stock'!J184</f>
        <v>3773.4215490985257</v>
      </c>
      <c r="AQ134" s="295">
        <f>'CAR Passenger Kilometres'!K134*'CAR Stock'!K184</f>
        <v>3773.4215490985257</v>
      </c>
      <c r="AR134" s="295">
        <f>'CAR Passenger Kilometres'!L134*'CAR Stock'!L184</f>
        <v>18867.107745492627</v>
      </c>
      <c r="AS134" s="295">
        <f>'CAR Passenger Kilometres'!M134*'CAR Stock'!M184</f>
        <v>41507.637040083784</v>
      </c>
      <c r="AT134" s="295">
        <f>'CAR Passenger Kilometres'!N134*'CAR Stock'!N184</f>
        <v>28300.661618238944</v>
      </c>
      <c r="AU134" s="295">
        <f>'CAR Passenger Kilometres'!O134*'CAR Stock'!O184</f>
        <v>30187.372392788206</v>
      </c>
      <c r="AV134" s="295">
        <f>'CAR Passenger Kilometres'!P134*'CAR Stock'!P184</f>
        <v>28300.661618238944</v>
      </c>
      <c r="AW134" s="295">
        <f>'CAR Passenger Kilometres'!Q134*'CAR Stock'!Q184</f>
        <v>9433.5538727463136</v>
      </c>
      <c r="AX134" s="295">
        <f>'CAR Passenger Kilometres'!R134*'CAR Stock'!R184</f>
        <v>3773.4215490985257</v>
      </c>
      <c r="AY134" s="295">
        <f>'CAR Passenger Kilometres'!S134*'CAR Stock'!S184</f>
        <v>0</v>
      </c>
      <c r="AZ134" s="295">
        <f>'CAR Passenger Kilometres'!T134*'CAR Stock'!T184</f>
        <v>0</v>
      </c>
      <c r="BA134" s="295">
        <f>'CAR Passenger Kilometres'!U134*'CAR Stock'!U184</f>
        <v>0</v>
      </c>
      <c r="BB134" s="295">
        <f>'CAR Passenger Kilometres'!V134*'CAR Stock'!V184</f>
        <v>0</v>
      </c>
      <c r="BC134" s="295">
        <f>'CAR Passenger Kilometres'!W134*'CAR Stock'!W184</f>
        <v>0</v>
      </c>
      <c r="BD134" s="295">
        <f>'CAR Passenger Kilometres'!X134*'CAR Stock'!X184</f>
        <v>0</v>
      </c>
      <c r="BE134" s="295">
        <f>'CAR Passenger Kilometres'!Y134*'CAR Stock'!Y184</f>
        <v>0</v>
      </c>
      <c r="BF134" s="295">
        <f>'CAR Passenger Kilometres'!Z134*'CAR Stock'!Z184</f>
        <v>0</v>
      </c>
      <c r="BG134" s="295">
        <f>'CAR Passenger Kilometres'!AA134*'CAR Stock'!AA184</f>
        <v>0</v>
      </c>
      <c r="BH134" s="295">
        <f>'CAR Passenger Kilometres'!AB134*'CAR Stock'!AB184</f>
        <v>0</v>
      </c>
      <c r="BI134" s="295">
        <f>'CAR Passenger Kilometres'!AC134*'CAR Stock'!AC184</f>
        <v>0</v>
      </c>
      <c r="BJ134" s="295">
        <f>'CAR Passenger Kilometres'!AD134*'CAR Stock'!AD184</f>
        <v>0</v>
      </c>
      <c r="BK134" s="296">
        <f>'CAR Passenger Kilometres'!AE134*'CAR Stock'!AE184</f>
        <v>0</v>
      </c>
    </row>
    <row r="135" spans="1:63">
      <c r="A135" s="1711"/>
      <c r="B135" s="116">
        <v>16</v>
      </c>
      <c r="C135" s="294">
        <f>'CAR Mileage'!C156*CAR!$I$58</f>
        <v>15140.02511149752</v>
      </c>
      <c r="D135" s="295">
        <f>'CAR Mileage'!D156*CAR!$I$58</f>
        <v>15140.02511149752</v>
      </c>
      <c r="E135" s="295">
        <f>'CAR Mileage'!E156*CAR!$I$58</f>
        <v>15140.02511149752</v>
      </c>
      <c r="F135" s="295">
        <f>'CAR Mileage'!F156*CAR!$I$58</f>
        <v>15140.02511149752</v>
      </c>
      <c r="G135" s="295">
        <f>'CAR Mileage'!G156*CAR!$I$58</f>
        <v>15140.02511149752</v>
      </c>
      <c r="H135" s="295">
        <f>'CAR Mileage'!H156*CAR!$I$58</f>
        <v>15140.02511149752</v>
      </c>
      <c r="I135" s="295">
        <f>'CAR Mileage'!I156*CAR!$I$58</f>
        <v>15140.02511149752</v>
      </c>
      <c r="J135" s="295">
        <f>'CAR Mileage'!J156*CAR!$I$58</f>
        <v>15140.02511149752</v>
      </c>
      <c r="K135" s="295">
        <f>'CAR Mileage'!K156*CAR!$I$58</f>
        <v>15140.02511149752</v>
      </c>
      <c r="L135" s="295">
        <f>'CAR Mileage'!L156*CAR!$I$58</f>
        <v>15140.02511149752</v>
      </c>
      <c r="M135" s="295">
        <f>'CAR Mileage'!M156*CAR!$I$58</f>
        <v>15140.02511149752</v>
      </c>
      <c r="N135" s="295">
        <f>'CAR Mileage'!N156*CAR!$I$58</f>
        <v>15140.02511149752</v>
      </c>
      <c r="O135" s="295">
        <f>'CAR Mileage'!O156*CAR!$I$58</f>
        <v>15140.02511149752</v>
      </c>
      <c r="P135" s="295">
        <f>'CAR Mileage'!P156*CAR!$I$58</f>
        <v>15140.02511149752</v>
      </c>
      <c r="Q135" s="295">
        <f>'CAR Mileage'!Q156*CAR!$I$58</f>
        <v>15140.02511149752</v>
      </c>
      <c r="R135" s="295">
        <f>'CAR Mileage'!R156*CAR!$I$58</f>
        <v>15140.02511149752</v>
      </c>
      <c r="S135" s="295">
        <f>'CAR Mileage'!S156*CAR!$I$58</f>
        <v>15140.02511149752</v>
      </c>
      <c r="T135" s="295">
        <f>'CAR Mileage'!T156*CAR!$I$58</f>
        <v>15140.02511149752</v>
      </c>
      <c r="U135" s="295">
        <f>'CAR Mileage'!U156*CAR!$I$58</f>
        <v>15140.02511149752</v>
      </c>
      <c r="V135" s="295">
        <f>'CAR Mileage'!V156*CAR!$I$58</f>
        <v>15140.02511149752</v>
      </c>
      <c r="W135" s="295">
        <f>'CAR Mileage'!W156*CAR!$I$58</f>
        <v>15140.02511149752</v>
      </c>
      <c r="X135" s="295">
        <f>'CAR Mileage'!X156*CAR!$I$58</f>
        <v>15140.02511149752</v>
      </c>
      <c r="Y135" s="295">
        <f>'CAR Mileage'!Y156*CAR!$I$58</f>
        <v>15140.02511149752</v>
      </c>
      <c r="Z135" s="295">
        <f>'CAR Mileage'!Z156*CAR!$I$58</f>
        <v>15140.02511149752</v>
      </c>
      <c r="AA135" s="295">
        <f>'CAR Mileage'!AA156*CAR!$I$58</f>
        <v>15140.02511149752</v>
      </c>
      <c r="AB135" s="295">
        <f>'CAR Mileage'!AB156*CAR!$I$58</f>
        <v>15140.02511149752</v>
      </c>
      <c r="AC135" s="295">
        <f>'CAR Mileage'!AC156*CAR!$I$58</f>
        <v>15140.02511149752</v>
      </c>
      <c r="AD135" s="295">
        <f>'CAR Mileage'!AD156*CAR!$I$58</f>
        <v>15140.02511149752</v>
      </c>
      <c r="AE135" s="296">
        <f>'CAR Mileage'!AE156*CAR!$I$58</f>
        <v>15140.02511149752</v>
      </c>
      <c r="AG135" s="1711"/>
      <c r="AH135" s="116">
        <v>16</v>
      </c>
      <c r="AI135" s="294">
        <f>'CAR Passenger Kilometres'!C135*'CAR Stock'!C185</f>
        <v>334976.44760273054</v>
      </c>
      <c r="AJ135" s="295">
        <f>'CAR Passenger Kilometres'!D135*'CAR Stock'!D185</f>
        <v>4622.43844226904</v>
      </c>
      <c r="AK135" s="295">
        <f>'CAR Passenger Kilometres'!E135*'CAR Stock'!E185</f>
        <v>3136.1957600189644</v>
      </c>
      <c r="AL135" s="295">
        <f>'CAR Passenger Kilometres'!F135*'CAR Stock'!F185</f>
        <v>2351.3614468353735</v>
      </c>
      <c r="AM135" s="295">
        <f>'CAR Passenger Kilometres'!G135*'CAR Stock'!G185</f>
        <v>580.63267601519237</v>
      </c>
      <c r="AN135" s="295">
        <f>'CAR Passenger Kilometres'!H135*'CAR Stock'!H185</f>
        <v>2822.5779886437517</v>
      </c>
      <c r="AO135" s="295">
        <f>'CAR Passenger Kilometres'!I135*'CAR Stock'!I185</f>
        <v>1129.0311954575006</v>
      </c>
      <c r="AP135" s="295">
        <f>'CAR Passenger Kilometres'!J135*'CAR Stock'!J185</f>
        <v>564.51559772875032</v>
      </c>
      <c r="AQ135" s="295">
        <f>'CAR Passenger Kilometres'!K135*'CAR Stock'!K185</f>
        <v>1129.0311954575006</v>
      </c>
      <c r="AR135" s="295">
        <f>'CAR Passenger Kilometres'!L135*'CAR Stock'!L185</f>
        <v>1129.0311954575006</v>
      </c>
      <c r="AS135" s="295">
        <f>'CAR Passenger Kilometres'!M135*'CAR Stock'!M185</f>
        <v>5645.1559772875034</v>
      </c>
      <c r="AT135" s="295">
        <f>'CAR Passenger Kilometres'!N135*'CAR Stock'!N185</f>
        <v>12419.343150032508</v>
      </c>
      <c r="AU135" s="295">
        <f>'CAR Passenger Kilometres'!O135*'CAR Stock'!O185</f>
        <v>8467.7339659312565</v>
      </c>
      <c r="AV135" s="295">
        <f>'CAR Passenger Kilometres'!P135*'CAR Stock'!P185</f>
        <v>9032.2495636600052</v>
      </c>
      <c r="AW135" s="295">
        <f>'CAR Passenger Kilometres'!Q135*'CAR Stock'!Q185</f>
        <v>8467.7339659312565</v>
      </c>
      <c r="AX135" s="295">
        <f>'CAR Passenger Kilometres'!R135*'CAR Stock'!R185</f>
        <v>2822.5779886437517</v>
      </c>
      <c r="AY135" s="295">
        <f>'CAR Passenger Kilometres'!S135*'CAR Stock'!S185</f>
        <v>1129.0311954575006</v>
      </c>
      <c r="AZ135" s="295">
        <f>'CAR Passenger Kilometres'!T135*'CAR Stock'!T185</f>
        <v>0</v>
      </c>
      <c r="BA135" s="295">
        <f>'CAR Passenger Kilometres'!U135*'CAR Stock'!U185</f>
        <v>0</v>
      </c>
      <c r="BB135" s="295">
        <f>'CAR Passenger Kilometres'!V135*'CAR Stock'!V185</f>
        <v>0</v>
      </c>
      <c r="BC135" s="295">
        <f>'CAR Passenger Kilometres'!W135*'CAR Stock'!W185</f>
        <v>0</v>
      </c>
      <c r="BD135" s="295">
        <f>'CAR Passenger Kilometres'!X135*'CAR Stock'!X185</f>
        <v>0</v>
      </c>
      <c r="BE135" s="295">
        <f>'CAR Passenger Kilometres'!Y135*'CAR Stock'!Y185</f>
        <v>0</v>
      </c>
      <c r="BF135" s="295">
        <f>'CAR Passenger Kilometres'!Z135*'CAR Stock'!Z185</f>
        <v>0</v>
      </c>
      <c r="BG135" s="295">
        <f>'CAR Passenger Kilometres'!AA135*'CAR Stock'!AA185</f>
        <v>0</v>
      </c>
      <c r="BH135" s="295">
        <f>'CAR Passenger Kilometres'!AB135*'CAR Stock'!AB185</f>
        <v>0</v>
      </c>
      <c r="BI135" s="295">
        <f>'CAR Passenger Kilometres'!AC135*'CAR Stock'!AC185</f>
        <v>0</v>
      </c>
      <c r="BJ135" s="295">
        <f>'CAR Passenger Kilometres'!AD135*'CAR Stock'!AD185</f>
        <v>0</v>
      </c>
      <c r="BK135" s="296">
        <f>'CAR Passenger Kilometres'!AE135*'CAR Stock'!AE185</f>
        <v>0</v>
      </c>
    </row>
    <row r="136" spans="1:63">
      <c r="A136" s="1711"/>
      <c r="B136" s="116">
        <v>17</v>
      </c>
      <c r="C136" s="294">
        <f>'CAR Mileage'!C157*CAR!$I$58</f>
        <v>15140.02511149752</v>
      </c>
      <c r="D136" s="295">
        <f>'CAR Mileage'!D157*CAR!$I$58</f>
        <v>15140.02511149752</v>
      </c>
      <c r="E136" s="295">
        <f>'CAR Mileage'!E157*CAR!$I$58</f>
        <v>15140.02511149752</v>
      </c>
      <c r="F136" s="295">
        <f>'CAR Mileage'!F157*CAR!$I$58</f>
        <v>15140.02511149752</v>
      </c>
      <c r="G136" s="295">
        <f>'CAR Mileage'!G157*CAR!$I$58</f>
        <v>15140.02511149752</v>
      </c>
      <c r="H136" s="295">
        <f>'CAR Mileage'!H157*CAR!$I$58</f>
        <v>15140.02511149752</v>
      </c>
      <c r="I136" s="295">
        <f>'CAR Mileage'!I157*CAR!$I$58</f>
        <v>15140.02511149752</v>
      </c>
      <c r="J136" s="295">
        <f>'CAR Mileage'!J157*CAR!$I$58</f>
        <v>15140.02511149752</v>
      </c>
      <c r="K136" s="295">
        <f>'CAR Mileage'!K157*CAR!$I$58</f>
        <v>15140.02511149752</v>
      </c>
      <c r="L136" s="295">
        <f>'CAR Mileage'!L157*CAR!$I$58</f>
        <v>15140.02511149752</v>
      </c>
      <c r="M136" s="295">
        <f>'CAR Mileage'!M157*CAR!$I$58</f>
        <v>15140.02511149752</v>
      </c>
      <c r="N136" s="295">
        <f>'CAR Mileage'!N157*CAR!$I$58</f>
        <v>15140.02511149752</v>
      </c>
      <c r="O136" s="295">
        <f>'CAR Mileage'!O157*CAR!$I$58</f>
        <v>15140.02511149752</v>
      </c>
      <c r="P136" s="295">
        <f>'CAR Mileage'!P157*CAR!$I$58</f>
        <v>15140.02511149752</v>
      </c>
      <c r="Q136" s="295">
        <f>'CAR Mileage'!Q157*CAR!$I$58</f>
        <v>15140.02511149752</v>
      </c>
      <c r="R136" s="295">
        <f>'CAR Mileage'!R157*CAR!$I$58</f>
        <v>15140.02511149752</v>
      </c>
      <c r="S136" s="295">
        <f>'CAR Mileage'!S157*CAR!$I$58</f>
        <v>15140.02511149752</v>
      </c>
      <c r="T136" s="295">
        <f>'CAR Mileage'!T157*CAR!$I$58</f>
        <v>15140.02511149752</v>
      </c>
      <c r="U136" s="295">
        <f>'CAR Mileage'!U157*CAR!$I$58</f>
        <v>15140.02511149752</v>
      </c>
      <c r="V136" s="295">
        <f>'CAR Mileage'!V157*CAR!$I$58</f>
        <v>15140.02511149752</v>
      </c>
      <c r="W136" s="295">
        <f>'CAR Mileage'!W157*CAR!$I$58</f>
        <v>15140.02511149752</v>
      </c>
      <c r="X136" s="295">
        <f>'CAR Mileage'!X157*CAR!$I$58</f>
        <v>15140.02511149752</v>
      </c>
      <c r="Y136" s="295">
        <f>'CAR Mileage'!Y157*CAR!$I$58</f>
        <v>15140.02511149752</v>
      </c>
      <c r="Z136" s="295">
        <f>'CAR Mileage'!Z157*CAR!$I$58</f>
        <v>15140.02511149752</v>
      </c>
      <c r="AA136" s="295">
        <f>'CAR Mileage'!AA157*CAR!$I$58</f>
        <v>15140.02511149752</v>
      </c>
      <c r="AB136" s="295">
        <f>'CAR Mileage'!AB157*CAR!$I$58</f>
        <v>15140.02511149752</v>
      </c>
      <c r="AC136" s="295">
        <f>'CAR Mileage'!AC157*CAR!$I$58</f>
        <v>15140.02511149752</v>
      </c>
      <c r="AD136" s="295">
        <f>'CAR Mileage'!AD157*CAR!$I$58</f>
        <v>15140.02511149752</v>
      </c>
      <c r="AE136" s="296">
        <f>'CAR Mileage'!AE157*CAR!$I$58</f>
        <v>15140.02511149752</v>
      </c>
      <c r="AG136" s="1711"/>
      <c r="AH136" s="116">
        <v>17</v>
      </c>
      <c r="AI136" s="294">
        <f>'CAR Passenger Kilometres'!C136*'CAR Stock'!C186</f>
        <v>123230.94834968746</v>
      </c>
      <c r="AJ136" s="295">
        <f>'CAR Passenger Kilometres'!D136*'CAR Stock'!D186</f>
        <v>90908.87658525171</v>
      </c>
      <c r="AK136" s="295">
        <f>'CAR Passenger Kilometres'!E136*'CAR Stock'!E186</f>
        <v>1254.4783040075856</v>
      </c>
      <c r="AL136" s="295">
        <f>'CAR Passenger Kilometres'!F136*'CAR Stock'!F186</f>
        <v>851.12859526434863</v>
      </c>
      <c r="AM136" s="295">
        <f>'CAR Passenger Kilometres'!G136*'CAR Stock'!G186</f>
        <v>638.13330491577346</v>
      </c>
      <c r="AN136" s="295">
        <f>'CAR Passenger Kilometres'!H136*'CAR Stock'!H186</f>
        <v>157.5772406179141</v>
      </c>
      <c r="AO136" s="295">
        <f>'CAR Passenger Kilometres'!I136*'CAR Stock'!I186</f>
        <v>766.01622549349406</v>
      </c>
      <c r="AP136" s="295">
        <f>'CAR Passenger Kilometres'!J136*'CAR Stock'!J186</f>
        <v>306.4064901973976</v>
      </c>
      <c r="AQ136" s="295">
        <f>'CAR Passenger Kilometres'!K136*'CAR Stock'!K186</f>
        <v>153.2032450986988</v>
      </c>
      <c r="AR136" s="295">
        <f>'CAR Passenger Kilometres'!L136*'CAR Stock'!L186</f>
        <v>306.4064901973976</v>
      </c>
      <c r="AS136" s="295">
        <f>'CAR Passenger Kilometres'!M136*'CAR Stock'!M186</f>
        <v>306.4064901973976</v>
      </c>
      <c r="AT136" s="295">
        <f>'CAR Passenger Kilometres'!N136*'CAR Stock'!N186</f>
        <v>1532.0324509869881</v>
      </c>
      <c r="AU136" s="295">
        <f>'CAR Passenger Kilometres'!O136*'CAR Stock'!O186</f>
        <v>3370.4713921713742</v>
      </c>
      <c r="AV136" s="295">
        <f>'CAR Passenger Kilometres'!P136*'CAR Stock'!P186</f>
        <v>2298.0486764804823</v>
      </c>
      <c r="AW136" s="295">
        <f>'CAR Passenger Kilometres'!Q136*'CAR Stock'!Q186</f>
        <v>2451.2519215791808</v>
      </c>
      <c r="AX136" s="295">
        <f>'CAR Passenger Kilometres'!R136*'CAR Stock'!R186</f>
        <v>2298.0486764804823</v>
      </c>
      <c r="AY136" s="295">
        <f>'CAR Passenger Kilometres'!S136*'CAR Stock'!S186</f>
        <v>766.01622549349406</v>
      </c>
      <c r="AZ136" s="295">
        <f>'CAR Passenger Kilometres'!T136*'CAR Stock'!T186</f>
        <v>306.4064901973976</v>
      </c>
      <c r="BA136" s="295">
        <f>'CAR Passenger Kilometres'!U136*'CAR Stock'!U186</f>
        <v>0</v>
      </c>
      <c r="BB136" s="295">
        <f>'CAR Passenger Kilometres'!V136*'CAR Stock'!V186</f>
        <v>0</v>
      </c>
      <c r="BC136" s="295">
        <f>'CAR Passenger Kilometres'!W136*'CAR Stock'!W186</f>
        <v>0</v>
      </c>
      <c r="BD136" s="295">
        <f>'CAR Passenger Kilometres'!X136*'CAR Stock'!X186</f>
        <v>0</v>
      </c>
      <c r="BE136" s="295">
        <f>'CAR Passenger Kilometres'!Y136*'CAR Stock'!Y186</f>
        <v>0</v>
      </c>
      <c r="BF136" s="295">
        <f>'CAR Passenger Kilometres'!Z136*'CAR Stock'!Z186</f>
        <v>0</v>
      </c>
      <c r="BG136" s="295">
        <f>'CAR Passenger Kilometres'!AA136*'CAR Stock'!AA186</f>
        <v>0</v>
      </c>
      <c r="BH136" s="295">
        <f>'CAR Passenger Kilometres'!AB136*'CAR Stock'!AB186</f>
        <v>0</v>
      </c>
      <c r="BI136" s="295">
        <f>'CAR Passenger Kilometres'!AC136*'CAR Stock'!AC186</f>
        <v>0</v>
      </c>
      <c r="BJ136" s="295">
        <f>'CAR Passenger Kilometres'!AD136*'CAR Stock'!AD186</f>
        <v>0</v>
      </c>
      <c r="BK136" s="296">
        <f>'CAR Passenger Kilometres'!AE136*'CAR Stock'!AE186</f>
        <v>0</v>
      </c>
    </row>
    <row r="137" spans="1:63">
      <c r="A137" s="1711"/>
      <c r="B137" s="116">
        <v>18</v>
      </c>
      <c r="C137" s="294">
        <f>'CAR Mileage'!C158*CAR!$I$58</f>
        <v>15140.02511149752</v>
      </c>
      <c r="D137" s="295">
        <f>'CAR Mileage'!D158*CAR!$I$58</f>
        <v>15140.02511149752</v>
      </c>
      <c r="E137" s="295">
        <f>'CAR Mileage'!E158*CAR!$I$58</f>
        <v>15140.02511149752</v>
      </c>
      <c r="F137" s="295">
        <f>'CAR Mileage'!F158*CAR!$I$58</f>
        <v>15140.02511149752</v>
      </c>
      <c r="G137" s="295">
        <f>'CAR Mileage'!G158*CAR!$I$58</f>
        <v>15140.02511149752</v>
      </c>
      <c r="H137" s="295">
        <f>'CAR Mileage'!H158*CAR!$I$58</f>
        <v>15140.02511149752</v>
      </c>
      <c r="I137" s="295">
        <f>'CAR Mileage'!I158*CAR!$I$58</f>
        <v>15140.02511149752</v>
      </c>
      <c r="J137" s="295">
        <f>'CAR Mileage'!J158*CAR!$I$58</f>
        <v>15140.02511149752</v>
      </c>
      <c r="K137" s="295">
        <f>'CAR Mileage'!K158*CAR!$I$58</f>
        <v>15140.02511149752</v>
      </c>
      <c r="L137" s="295">
        <f>'CAR Mileage'!L158*CAR!$I$58</f>
        <v>15140.02511149752</v>
      </c>
      <c r="M137" s="295">
        <f>'CAR Mileage'!M158*CAR!$I$58</f>
        <v>15140.02511149752</v>
      </c>
      <c r="N137" s="295">
        <f>'CAR Mileage'!N158*CAR!$I$58</f>
        <v>15140.02511149752</v>
      </c>
      <c r="O137" s="295">
        <f>'CAR Mileage'!O158*CAR!$I$58</f>
        <v>15140.02511149752</v>
      </c>
      <c r="P137" s="295">
        <f>'CAR Mileage'!P158*CAR!$I$58</f>
        <v>15140.02511149752</v>
      </c>
      <c r="Q137" s="295">
        <f>'CAR Mileage'!Q158*CAR!$I$58</f>
        <v>15140.02511149752</v>
      </c>
      <c r="R137" s="295">
        <f>'CAR Mileage'!R158*CAR!$I$58</f>
        <v>15140.02511149752</v>
      </c>
      <c r="S137" s="295">
        <f>'CAR Mileage'!S158*CAR!$I$58</f>
        <v>15140.02511149752</v>
      </c>
      <c r="T137" s="295">
        <f>'CAR Mileage'!T158*CAR!$I$58</f>
        <v>15140.02511149752</v>
      </c>
      <c r="U137" s="295">
        <f>'CAR Mileage'!U158*CAR!$I$58</f>
        <v>15140.02511149752</v>
      </c>
      <c r="V137" s="295">
        <f>'CAR Mileage'!V158*CAR!$I$58</f>
        <v>15140.02511149752</v>
      </c>
      <c r="W137" s="295">
        <f>'CAR Mileage'!W158*CAR!$I$58</f>
        <v>15140.02511149752</v>
      </c>
      <c r="X137" s="295">
        <f>'CAR Mileage'!X158*CAR!$I$58</f>
        <v>15140.02511149752</v>
      </c>
      <c r="Y137" s="295">
        <f>'CAR Mileage'!Y158*CAR!$I$58</f>
        <v>15140.02511149752</v>
      </c>
      <c r="Z137" s="295">
        <f>'CAR Mileage'!Z158*CAR!$I$58</f>
        <v>15140.02511149752</v>
      </c>
      <c r="AA137" s="295">
        <f>'CAR Mileage'!AA158*CAR!$I$58</f>
        <v>15140.02511149752</v>
      </c>
      <c r="AB137" s="295">
        <f>'CAR Mileage'!AB158*CAR!$I$58</f>
        <v>15140.02511149752</v>
      </c>
      <c r="AC137" s="295">
        <f>'CAR Mileage'!AC158*CAR!$I$58</f>
        <v>15140.02511149752</v>
      </c>
      <c r="AD137" s="295">
        <f>'CAR Mileage'!AD158*CAR!$I$58</f>
        <v>15140.02511149752</v>
      </c>
      <c r="AE137" s="296">
        <f>'CAR Mileage'!AE158*CAR!$I$58</f>
        <v>15140.02511149752</v>
      </c>
      <c r="AG137" s="1711"/>
      <c r="AH137" s="116">
        <v>18</v>
      </c>
      <c r="AI137" s="294">
        <f>'CAR Passenger Kilometres'!C137*'CAR Stock'!C187</f>
        <v>45334.132413909887</v>
      </c>
      <c r="AJ137" s="295">
        <f>'CAR Passenger Kilometres'!D137*'CAR Stock'!D187</f>
        <v>29263.068376242769</v>
      </c>
      <c r="AK137" s="295">
        <f>'CAR Passenger Kilometres'!E137*'CAR Stock'!E187</f>
        <v>21587.699414376722</v>
      </c>
      <c r="AL137" s="295">
        <f>'CAR Passenger Kilometres'!F137*'CAR Stock'!F187</f>
        <v>297.89500834252203</v>
      </c>
      <c r="AM137" s="295">
        <f>'CAR Passenger Kilometres'!G137*'CAR Stock'!G187</f>
        <v>202.11346754809958</v>
      </c>
      <c r="AN137" s="295">
        <f>'CAR Passenger Kilometres'!H137*'CAR Stock'!H187</f>
        <v>151.53448695305295</v>
      </c>
      <c r="AO137" s="295">
        <f>'CAR Passenger Kilometres'!I137*'CAR Stock'!I187</f>
        <v>37.419119372973441</v>
      </c>
      <c r="AP137" s="295">
        <f>'CAR Passenger Kilometres'!J137*'CAR Stock'!J187</f>
        <v>181.9022370932226</v>
      </c>
      <c r="AQ137" s="295">
        <f>'CAR Passenger Kilometres'!K137*'CAR Stock'!K187</f>
        <v>72.76089483728903</v>
      </c>
      <c r="AR137" s="295">
        <f>'CAR Passenger Kilometres'!L137*'CAR Stock'!L187</f>
        <v>36.380447418644515</v>
      </c>
      <c r="AS137" s="295">
        <f>'CAR Passenger Kilometres'!M137*'CAR Stock'!M187</f>
        <v>72.76089483728903</v>
      </c>
      <c r="AT137" s="295">
        <f>'CAR Passenger Kilometres'!N137*'CAR Stock'!N187</f>
        <v>72.76089483728903</v>
      </c>
      <c r="AU137" s="295">
        <f>'CAR Passenger Kilometres'!O137*'CAR Stock'!O187</f>
        <v>363.80447418644519</v>
      </c>
      <c r="AV137" s="295">
        <f>'CAR Passenger Kilometres'!P137*'CAR Stock'!P187</f>
        <v>800.36984321017951</v>
      </c>
      <c r="AW137" s="295">
        <f>'CAR Passenger Kilometres'!Q137*'CAR Stock'!Q187</f>
        <v>545.70671127966784</v>
      </c>
      <c r="AX137" s="295">
        <f>'CAR Passenger Kilometres'!R137*'CAR Stock'!R187</f>
        <v>582.08715869831224</v>
      </c>
      <c r="AY137" s="295">
        <f>'CAR Passenger Kilometres'!S137*'CAR Stock'!S187</f>
        <v>545.70671127966784</v>
      </c>
      <c r="AZ137" s="295">
        <f>'CAR Passenger Kilometres'!T137*'CAR Stock'!T187</f>
        <v>181.9022370932226</v>
      </c>
      <c r="BA137" s="295">
        <f>'CAR Passenger Kilometres'!U137*'CAR Stock'!U187</f>
        <v>72.76089483728903</v>
      </c>
      <c r="BB137" s="295">
        <f>'CAR Passenger Kilometres'!V137*'CAR Stock'!V187</f>
        <v>0</v>
      </c>
      <c r="BC137" s="295">
        <f>'CAR Passenger Kilometres'!W137*'CAR Stock'!W187</f>
        <v>0</v>
      </c>
      <c r="BD137" s="295">
        <f>'CAR Passenger Kilometres'!X137*'CAR Stock'!X187</f>
        <v>0</v>
      </c>
      <c r="BE137" s="295">
        <f>'CAR Passenger Kilometres'!Y137*'CAR Stock'!Y187</f>
        <v>0</v>
      </c>
      <c r="BF137" s="295">
        <f>'CAR Passenger Kilometres'!Z137*'CAR Stock'!Z187</f>
        <v>0</v>
      </c>
      <c r="BG137" s="295">
        <f>'CAR Passenger Kilometres'!AA137*'CAR Stock'!AA187</f>
        <v>0</v>
      </c>
      <c r="BH137" s="295">
        <f>'CAR Passenger Kilometres'!AB137*'CAR Stock'!AB187</f>
        <v>0</v>
      </c>
      <c r="BI137" s="295">
        <f>'CAR Passenger Kilometres'!AC137*'CAR Stock'!AC187</f>
        <v>0</v>
      </c>
      <c r="BJ137" s="295">
        <f>'CAR Passenger Kilometres'!AD137*'CAR Stock'!AD187</f>
        <v>0</v>
      </c>
      <c r="BK137" s="296">
        <f>'CAR Passenger Kilometres'!AE137*'CAR Stock'!AE187</f>
        <v>0</v>
      </c>
    </row>
    <row r="138" spans="1:63">
      <c r="A138" s="1711"/>
      <c r="B138" s="116">
        <v>19</v>
      </c>
      <c r="C138" s="294">
        <f>'CAR Mileage'!C159*CAR!$I$58</f>
        <v>15140.02511149752</v>
      </c>
      <c r="D138" s="295">
        <f>'CAR Mileage'!D159*CAR!$I$58</f>
        <v>15140.02511149752</v>
      </c>
      <c r="E138" s="295">
        <f>'CAR Mileage'!E159*CAR!$I$58</f>
        <v>15140.02511149752</v>
      </c>
      <c r="F138" s="295">
        <f>'CAR Mileage'!F159*CAR!$I$58</f>
        <v>15140.02511149752</v>
      </c>
      <c r="G138" s="295">
        <f>'CAR Mileage'!G159*CAR!$I$58</f>
        <v>15140.02511149752</v>
      </c>
      <c r="H138" s="295">
        <f>'CAR Mileage'!H159*CAR!$I$58</f>
        <v>15140.02511149752</v>
      </c>
      <c r="I138" s="295">
        <f>'CAR Mileage'!I159*CAR!$I$58</f>
        <v>15140.02511149752</v>
      </c>
      <c r="J138" s="295">
        <f>'CAR Mileage'!J159*CAR!$I$58</f>
        <v>15140.02511149752</v>
      </c>
      <c r="K138" s="295">
        <f>'CAR Mileage'!K159*CAR!$I$58</f>
        <v>15140.02511149752</v>
      </c>
      <c r="L138" s="295">
        <f>'CAR Mileage'!L159*CAR!$I$58</f>
        <v>15140.02511149752</v>
      </c>
      <c r="M138" s="295">
        <f>'CAR Mileage'!M159*CAR!$I$58</f>
        <v>15140.02511149752</v>
      </c>
      <c r="N138" s="295">
        <f>'CAR Mileage'!N159*CAR!$I$58</f>
        <v>15140.02511149752</v>
      </c>
      <c r="O138" s="295">
        <f>'CAR Mileage'!O159*CAR!$I$58</f>
        <v>15140.02511149752</v>
      </c>
      <c r="P138" s="295">
        <f>'CAR Mileage'!P159*CAR!$I$58</f>
        <v>15140.02511149752</v>
      </c>
      <c r="Q138" s="295">
        <f>'CAR Mileage'!Q159*CAR!$I$58</f>
        <v>15140.02511149752</v>
      </c>
      <c r="R138" s="295">
        <f>'CAR Mileage'!R159*CAR!$I$58</f>
        <v>15140.02511149752</v>
      </c>
      <c r="S138" s="295">
        <f>'CAR Mileage'!S159*CAR!$I$58</f>
        <v>15140.02511149752</v>
      </c>
      <c r="T138" s="295">
        <f>'CAR Mileage'!T159*CAR!$I$58</f>
        <v>15140.02511149752</v>
      </c>
      <c r="U138" s="295">
        <f>'CAR Mileage'!U159*CAR!$I$58</f>
        <v>15140.02511149752</v>
      </c>
      <c r="V138" s="295">
        <f>'CAR Mileage'!V159*CAR!$I$58</f>
        <v>15140.02511149752</v>
      </c>
      <c r="W138" s="295">
        <f>'CAR Mileage'!W159*CAR!$I$58</f>
        <v>15140.02511149752</v>
      </c>
      <c r="X138" s="295">
        <f>'CAR Mileage'!X159*CAR!$I$58</f>
        <v>15140.02511149752</v>
      </c>
      <c r="Y138" s="295">
        <f>'CAR Mileage'!Y159*CAR!$I$58</f>
        <v>15140.02511149752</v>
      </c>
      <c r="Z138" s="295">
        <f>'CAR Mileage'!Z159*CAR!$I$58</f>
        <v>15140.02511149752</v>
      </c>
      <c r="AA138" s="295">
        <f>'CAR Mileage'!AA159*CAR!$I$58</f>
        <v>15140.02511149752</v>
      </c>
      <c r="AB138" s="295">
        <f>'CAR Mileage'!AB159*CAR!$I$58</f>
        <v>15140.02511149752</v>
      </c>
      <c r="AC138" s="295">
        <f>'CAR Mileage'!AC159*CAR!$I$58</f>
        <v>15140.02511149752</v>
      </c>
      <c r="AD138" s="295">
        <f>'CAR Mileage'!AD159*CAR!$I$58</f>
        <v>15140.02511149752</v>
      </c>
      <c r="AE138" s="296">
        <f>'CAR Mileage'!AE159*CAR!$I$58</f>
        <v>15140.02511149752</v>
      </c>
      <c r="AG138" s="1711"/>
      <c r="AH138" s="116">
        <v>19</v>
      </c>
      <c r="AI138" s="294">
        <f>'CAR Passenger Kilometres'!C138*'CAR Stock'!C188</f>
        <v>16677.495298421338</v>
      </c>
      <c r="AJ138" s="295">
        <f>'CAR Passenger Kilometres'!D138*'CAR Stock'!D188</f>
        <v>9227.3839210404803</v>
      </c>
      <c r="AK138" s="295">
        <f>'CAR Passenger Kilometres'!E138*'CAR Stock'!E188</f>
        <v>5956.2530975534874</v>
      </c>
      <c r="AL138" s="295">
        <f>'CAR Passenger Kilometres'!F138*'CAR Stock'!F188</f>
        <v>4393.9958671703789</v>
      </c>
      <c r="AM138" s="295">
        <f>'CAR Passenger Kilometres'!G138*'CAR Stock'!G188</f>
        <v>60.634040264429878</v>
      </c>
      <c r="AN138" s="295">
        <f>'CAR Passenger Kilometres'!H138*'CAR Stock'!H188</f>
        <v>41.138507816835137</v>
      </c>
      <c r="AO138" s="295">
        <f>'CAR Passenger Kilometres'!I138*'CAR Stock'!I188</f>
        <v>30.843578865197134</v>
      </c>
      <c r="AP138" s="295">
        <f>'CAR Passenger Kilometres'!J138*'CAR Stock'!J188</f>
        <v>7.6163491404045685</v>
      </c>
      <c r="AQ138" s="295">
        <f>'CAR Passenger Kilometres'!K138*'CAR Stock'!K188</f>
        <v>37.024680707031386</v>
      </c>
      <c r="AR138" s="295">
        <f>'CAR Passenger Kilometres'!L138*'CAR Stock'!L188</f>
        <v>14.809872282812554</v>
      </c>
      <c r="AS138" s="295">
        <f>'CAR Passenger Kilometres'!M138*'CAR Stock'!M188</f>
        <v>7.4049361414062771</v>
      </c>
      <c r="AT138" s="295">
        <f>'CAR Passenger Kilometres'!N138*'CAR Stock'!N188</f>
        <v>14.809872282812554</v>
      </c>
      <c r="AU138" s="295">
        <f>'CAR Passenger Kilometres'!O138*'CAR Stock'!O188</f>
        <v>14.809872282812554</v>
      </c>
      <c r="AV138" s="295">
        <f>'CAR Passenger Kilometres'!P138*'CAR Stock'!P188</f>
        <v>74.049361414062773</v>
      </c>
      <c r="AW138" s="295">
        <f>'CAR Passenger Kilometres'!Q138*'CAR Stock'!Q188</f>
        <v>162.90859511093811</v>
      </c>
      <c r="AX138" s="295">
        <f>'CAR Passenger Kilometres'!R138*'CAR Stock'!R188</f>
        <v>111.07404212109417</v>
      </c>
      <c r="AY138" s="295">
        <f>'CAR Passenger Kilometres'!S138*'CAR Stock'!S188</f>
        <v>118.47897826250043</v>
      </c>
      <c r="AZ138" s="295">
        <f>'CAR Passenger Kilometres'!T138*'CAR Stock'!T188</f>
        <v>111.07404212109417</v>
      </c>
      <c r="BA138" s="295">
        <f>'CAR Passenger Kilometres'!U138*'CAR Stock'!U188</f>
        <v>37.024680707031386</v>
      </c>
      <c r="BB138" s="295">
        <f>'CAR Passenger Kilometres'!V138*'CAR Stock'!V188</f>
        <v>14.809872282812554</v>
      </c>
      <c r="BC138" s="295">
        <f>'CAR Passenger Kilometres'!W138*'CAR Stock'!W188</f>
        <v>0</v>
      </c>
      <c r="BD138" s="295">
        <f>'CAR Passenger Kilometres'!X138*'CAR Stock'!X188</f>
        <v>0</v>
      </c>
      <c r="BE138" s="295">
        <f>'CAR Passenger Kilometres'!Y138*'CAR Stock'!Y188</f>
        <v>0</v>
      </c>
      <c r="BF138" s="295">
        <f>'CAR Passenger Kilometres'!Z138*'CAR Stock'!Z188</f>
        <v>0</v>
      </c>
      <c r="BG138" s="295">
        <f>'CAR Passenger Kilometres'!AA138*'CAR Stock'!AA188</f>
        <v>0</v>
      </c>
      <c r="BH138" s="295">
        <f>'CAR Passenger Kilometres'!AB138*'CAR Stock'!AB188</f>
        <v>0</v>
      </c>
      <c r="BI138" s="295">
        <f>'CAR Passenger Kilometres'!AC138*'CAR Stock'!AC188</f>
        <v>0</v>
      </c>
      <c r="BJ138" s="295">
        <f>'CAR Passenger Kilometres'!AD138*'CAR Stock'!AD188</f>
        <v>0</v>
      </c>
      <c r="BK138" s="296">
        <f>'CAR Passenger Kilometres'!AE138*'CAR Stock'!AE188</f>
        <v>0</v>
      </c>
    </row>
    <row r="139" spans="1:63">
      <c r="A139" s="1711"/>
      <c r="B139" s="116">
        <v>20</v>
      </c>
      <c r="C139" s="294">
        <f>'CAR Mileage'!C160*CAR!$I$58</f>
        <v>15140.02511149752</v>
      </c>
      <c r="D139" s="295">
        <f>'CAR Mileage'!D160*CAR!$I$58</f>
        <v>15140.02511149752</v>
      </c>
      <c r="E139" s="295">
        <f>'CAR Mileage'!E160*CAR!$I$58</f>
        <v>15140.02511149752</v>
      </c>
      <c r="F139" s="295">
        <f>'CAR Mileage'!F160*CAR!$I$58</f>
        <v>15140.02511149752</v>
      </c>
      <c r="G139" s="295">
        <f>'CAR Mileage'!G160*CAR!$I$58</f>
        <v>15140.02511149752</v>
      </c>
      <c r="H139" s="295">
        <f>'CAR Mileage'!H160*CAR!$I$58</f>
        <v>15140.02511149752</v>
      </c>
      <c r="I139" s="295">
        <f>'CAR Mileage'!I160*CAR!$I$58</f>
        <v>15140.02511149752</v>
      </c>
      <c r="J139" s="295">
        <f>'CAR Mileage'!J160*CAR!$I$58</f>
        <v>15140.02511149752</v>
      </c>
      <c r="K139" s="295">
        <f>'CAR Mileage'!K160*CAR!$I$58</f>
        <v>15140.02511149752</v>
      </c>
      <c r="L139" s="295">
        <f>'CAR Mileage'!L160*CAR!$I$58</f>
        <v>15140.02511149752</v>
      </c>
      <c r="M139" s="295">
        <f>'CAR Mileage'!M160*CAR!$I$58</f>
        <v>15140.02511149752</v>
      </c>
      <c r="N139" s="295">
        <f>'CAR Mileage'!N160*CAR!$I$58</f>
        <v>15140.02511149752</v>
      </c>
      <c r="O139" s="295">
        <f>'CAR Mileage'!O160*CAR!$I$58</f>
        <v>15140.02511149752</v>
      </c>
      <c r="P139" s="295">
        <f>'CAR Mileage'!P160*CAR!$I$58</f>
        <v>15140.02511149752</v>
      </c>
      <c r="Q139" s="295">
        <f>'CAR Mileage'!Q160*CAR!$I$58</f>
        <v>15140.02511149752</v>
      </c>
      <c r="R139" s="295">
        <f>'CAR Mileage'!R160*CAR!$I$58</f>
        <v>15140.02511149752</v>
      </c>
      <c r="S139" s="295">
        <f>'CAR Mileage'!S160*CAR!$I$58</f>
        <v>15140.02511149752</v>
      </c>
      <c r="T139" s="295">
        <f>'CAR Mileage'!T160*CAR!$I$58</f>
        <v>15140.02511149752</v>
      </c>
      <c r="U139" s="295">
        <f>'CAR Mileage'!U160*CAR!$I$58</f>
        <v>15140.02511149752</v>
      </c>
      <c r="V139" s="295">
        <f>'CAR Mileage'!V160*CAR!$I$58</f>
        <v>15140.02511149752</v>
      </c>
      <c r="W139" s="295">
        <f>'CAR Mileage'!W160*CAR!$I$58</f>
        <v>15140.02511149752</v>
      </c>
      <c r="X139" s="295">
        <f>'CAR Mileage'!X160*CAR!$I$58</f>
        <v>15140.02511149752</v>
      </c>
      <c r="Y139" s="295">
        <f>'CAR Mileage'!Y160*CAR!$I$58</f>
        <v>15140.02511149752</v>
      </c>
      <c r="Z139" s="295">
        <f>'CAR Mileage'!Z160*CAR!$I$58</f>
        <v>15140.02511149752</v>
      </c>
      <c r="AA139" s="295">
        <f>'CAR Mileage'!AA160*CAR!$I$58</f>
        <v>15140.02511149752</v>
      </c>
      <c r="AB139" s="295">
        <f>'CAR Mileage'!AB160*CAR!$I$58</f>
        <v>15140.02511149752</v>
      </c>
      <c r="AC139" s="295">
        <f>'CAR Mileage'!AC160*CAR!$I$58</f>
        <v>15140.02511149752</v>
      </c>
      <c r="AD139" s="295">
        <f>'CAR Mileage'!AD160*CAR!$I$58</f>
        <v>15140.02511149752</v>
      </c>
      <c r="AE139" s="296">
        <f>'CAR Mileage'!AE160*CAR!$I$58</f>
        <v>15140.02511149752</v>
      </c>
      <c r="AG139" s="1711"/>
      <c r="AH139" s="116">
        <v>20</v>
      </c>
      <c r="AI139" s="294">
        <f>'CAR Passenger Kilometres'!C139*'CAR Stock'!C189</f>
        <v>6135.307650522599</v>
      </c>
      <c r="AJ139" s="295">
        <f>'CAR Passenger Kilometres'!D139*'CAR Stock'!D189</f>
        <v>2828.8040336222698</v>
      </c>
      <c r="AK139" s="295">
        <f>'CAR Passenger Kilometres'!E139*'CAR Stock'!E189</f>
        <v>1565.1307578597489</v>
      </c>
      <c r="AL139" s="295">
        <f>'CAR Passenger Kilometres'!F139*'CAR Stock'!F189</f>
        <v>1010.2879650776666</v>
      </c>
      <c r="AM139" s="295">
        <f>'CAR Passenger Kilometres'!G139*'CAR Stock'!G189</f>
        <v>745.30095858865161</v>
      </c>
      <c r="AN139" s="295">
        <f>'CAR Passenger Kilometres'!H139*'CAR Stock'!H189</f>
        <v>10.284626954208784</v>
      </c>
      <c r="AO139" s="295">
        <f>'CAR Passenger Kilometres'!I139*'CAR Stock'!I189</f>
        <v>6.9778329879355541</v>
      </c>
      <c r="AP139" s="295">
        <f>'CAR Passenger Kilometres'!J139*'CAR Stock'!J189</f>
        <v>5.2316273363587893</v>
      </c>
      <c r="AQ139" s="295">
        <f>'CAR Passenger Kilometres'!K139*'CAR Stock'!K189</f>
        <v>1.2918701989915342</v>
      </c>
      <c r="AR139" s="295">
        <f>'CAR Passenger Kilometres'!L139*'CAR Stock'!L189</f>
        <v>6.280053704319803</v>
      </c>
      <c r="AS139" s="295">
        <f>'CAR Passenger Kilometres'!M139*'CAR Stock'!M189</f>
        <v>2.5120214817279214</v>
      </c>
      <c r="AT139" s="295">
        <f>'CAR Passenger Kilometres'!N139*'CAR Stock'!N189</f>
        <v>1.2560107408639607</v>
      </c>
      <c r="AU139" s="295">
        <f>'CAR Passenger Kilometres'!O139*'CAR Stock'!O189</f>
        <v>2.5120214817279214</v>
      </c>
      <c r="AV139" s="295">
        <f>'CAR Passenger Kilometres'!P139*'CAR Stock'!P189</f>
        <v>2.5120214817279214</v>
      </c>
      <c r="AW139" s="295">
        <f>'CAR Passenger Kilometres'!Q139*'CAR Stock'!Q189</f>
        <v>12.560107408639606</v>
      </c>
      <c r="AX139" s="295">
        <f>'CAR Passenger Kilometres'!R139*'CAR Stock'!R189</f>
        <v>27.632236299007136</v>
      </c>
      <c r="AY139" s="295">
        <f>'CAR Passenger Kilometres'!S139*'CAR Stock'!S189</f>
        <v>18.840161112959411</v>
      </c>
      <c r="AZ139" s="295">
        <f>'CAR Passenger Kilometres'!T139*'CAR Stock'!T189</f>
        <v>20.096171853823371</v>
      </c>
      <c r="BA139" s="295">
        <f>'CAR Passenger Kilometres'!U139*'CAR Stock'!U189</f>
        <v>18.840161112959411</v>
      </c>
      <c r="BB139" s="295">
        <f>'CAR Passenger Kilometres'!V139*'CAR Stock'!V189</f>
        <v>6.280053704319803</v>
      </c>
      <c r="BC139" s="295">
        <f>'CAR Passenger Kilometres'!W139*'CAR Stock'!W189</f>
        <v>2.5120214817279214</v>
      </c>
      <c r="BD139" s="295">
        <f>'CAR Passenger Kilometres'!X139*'CAR Stock'!X189</f>
        <v>0</v>
      </c>
      <c r="BE139" s="295">
        <f>'CAR Passenger Kilometres'!Y139*'CAR Stock'!Y189</f>
        <v>0</v>
      </c>
      <c r="BF139" s="295">
        <f>'CAR Passenger Kilometres'!Z139*'CAR Stock'!Z189</f>
        <v>0</v>
      </c>
      <c r="BG139" s="295">
        <f>'CAR Passenger Kilometres'!AA139*'CAR Stock'!AA189</f>
        <v>0</v>
      </c>
      <c r="BH139" s="295">
        <f>'CAR Passenger Kilometres'!AB139*'CAR Stock'!AB189</f>
        <v>0</v>
      </c>
      <c r="BI139" s="295">
        <f>'CAR Passenger Kilometres'!AC139*'CAR Stock'!AC189</f>
        <v>0</v>
      </c>
      <c r="BJ139" s="295">
        <f>'CAR Passenger Kilometres'!AD139*'CAR Stock'!AD189</f>
        <v>0</v>
      </c>
      <c r="BK139" s="296">
        <f>'CAR Passenger Kilometres'!AE139*'CAR Stock'!AE189</f>
        <v>0</v>
      </c>
    </row>
    <row r="140" spans="1:63">
      <c r="A140" s="1711"/>
      <c r="B140" s="116">
        <v>21</v>
      </c>
      <c r="C140" s="294">
        <f>'CAR Mileage'!C161*CAR!$I$58</f>
        <v>15140.02511149752</v>
      </c>
      <c r="D140" s="295">
        <f>'CAR Mileage'!D161*CAR!$I$58</f>
        <v>15140.02511149752</v>
      </c>
      <c r="E140" s="295">
        <f>'CAR Mileage'!E161*CAR!$I$58</f>
        <v>15140.02511149752</v>
      </c>
      <c r="F140" s="295">
        <f>'CAR Mileage'!F161*CAR!$I$58</f>
        <v>15140.02511149752</v>
      </c>
      <c r="G140" s="295">
        <f>'CAR Mileage'!G161*CAR!$I$58</f>
        <v>15140.02511149752</v>
      </c>
      <c r="H140" s="295">
        <f>'CAR Mileage'!H161*CAR!$I$58</f>
        <v>15140.02511149752</v>
      </c>
      <c r="I140" s="295">
        <f>'CAR Mileage'!I161*CAR!$I$58</f>
        <v>15140.02511149752</v>
      </c>
      <c r="J140" s="295">
        <f>'CAR Mileage'!J161*CAR!$I$58</f>
        <v>15140.02511149752</v>
      </c>
      <c r="K140" s="295">
        <f>'CAR Mileage'!K161*CAR!$I$58</f>
        <v>15140.02511149752</v>
      </c>
      <c r="L140" s="295">
        <f>'CAR Mileage'!L161*CAR!$I$58</f>
        <v>15140.02511149752</v>
      </c>
      <c r="M140" s="295">
        <f>'CAR Mileage'!M161*CAR!$I$58</f>
        <v>15140.02511149752</v>
      </c>
      <c r="N140" s="295">
        <f>'CAR Mileage'!N161*CAR!$I$58</f>
        <v>15140.02511149752</v>
      </c>
      <c r="O140" s="295">
        <f>'CAR Mileage'!O161*CAR!$I$58</f>
        <v>15140.02511149752</v>
      </c>
      <c r="P140" s="295">
        <f>'CAR Mileage'!P161*CAR!$I$58</f>
        <v>15140.02511149752</v>
      </c>
      <c r="Q140" s="295">
        <f>'CAR Mileage'!Q161*CAR!$I$58</f>
        <v>15140.02511149752</v>
      </c>
      <c r="R140" s="295">
        <f>'CAR Mileage'!R161*CAR!$I$58</f>
        <v>15140.02511149752</v>
      </c>
      <c r="S140" s="295">
        <f>'CAR Mileage'!S161*CAR!$I$58</f>
        <v>15140.02511149752</v>
      </c>
      <c r="T140" s="295">
        <f>'CAR Mileage'!T161*CAR!$I$58</f>
        <v>15140.02511149752</v>
      </c>
      <c r="U140" s="295">
        <f>'CAR Mileage'!U161*CAR!$I$58</f>
        <v>15140.02511149752</v>
      </c>
      <c r="V140" s="295">
        <f>'CAR Mileage'!V161*CAR!$I$58</f>
        <v>15140.02511149752</v>
      </c>
      <c r="W140" s="295">
        <f>'CAR Mileage'!W161*CAR!$I$58</f>
        <v>15140.02511149752</v>
      </c>
      <c r="X140" s="295">
        <f>'CAR Mileage'!X161*CAR!$I$58</f>
        <v>15140.02511149752</v>
      </c>
      <c r="Y140" s="295">
        <f>'CAR Mileage'!Y161*CAR!$I$58</f>
        <v>15140.02511149752</v>
      </c>
      <c r="Z140" s="295">
        <f>'CAR Mileage'!Z161*CAR!$I$58</f>
        <v>15140.02511149752</v>
      </c>
      <c r="AA140" s="295">
        <f>'CAR Mileage'!AA161*CAR!$I$58</f>
        <v>15140.02511149752</v>
      </c>
      <c r="AB140" s="295">
        <f>'CAR Mileage'!AB161*CAR!$I$58</f>
        <v>15140.02511149752</v>
      </c>
      <c r="AC140" s="295">
        <f>'CAR Mileage'!AC161*CAR!$I$58</f>
        <v>15140.02511149752</v>
      </c>
      <c r="AD140" s="295">
        <f>'CAR Mileage'!AD161*CAR!$I$58</f>
        <v>15140.02511149752</v>
      </c>
      <c r="AE140" s="296">
        <f>'CAR Mileage'!AE161*CAR!$I$58</f>
        <v>15140.02511149752</v>
      </c>
      <c r="AG140" s="1711"/>
      <c r="AH140" s="116">
        <v>21</v>
      </c>
      <c r="AI140" s="294">
        <f>'CAR Passenger Kilometres'!C140*'CAR Stock'!C190</f>
        <v>2257.0535498891286</v>
      </c>
      <c r="AJ140" s="295">
        <f>'CAR Passenger Kilometres'!D140*'CAR Stock'!D190</f>
        <v>832.52707765798618</v>
      </c>
      <c r="AK140" s="295">
        <f>'CAR Passenger Kilometres'!E140*'CAR Stock'!E190</f>
        <v>383.85295237445359</v>
      </c>
      <c r="AL140" s="295">
        <f>'CAR Passenger Kilometres'!F140*'CAR Stock'!F190</f>
        <v>212.37952686571742</v>
      </c>
      <c r="AM140" s="295">
        <f>'CAR Passenger Kilometres'!G140*'CAR Stock'!G190</f>
        <v>137.09045007506674</v>
      </c>
      <c r="AN140" s="295">
        <f>'CAR Passenger Kilometres'!H140*'CAR Stock'!H190</f>
        <v>101.13318913626992</v>
      </c>
      <c r="AO140" s="295">
        <f>'CAR Passenger Kilometres'!I140*'CAR Stock'!I190</f>
        <v>1.3955665975871108</v>
      </c>
      <c r="AP140" s="295">
        <f>'CAR Passenger Kilometres'!J140*'CAR Stock'!J190</f>
        <v>0.94685307351077264</v>
      </c>
      <c r="AQ140" s="295">
        <f>'CAR Passenger Kilometres'!K140*'CAR Stock'!K190</f>
        <v>0.70990269206197387</v>
      </c>
      <c r="AR140" s="295">
        <f>'CAR Passenger Kilometres'!L140*'CAR Stock'!L190</f>
        <v>0.17529959094850797</v>
      </c>
      <c r="AS140" s="295">
        <f>'CAR Passenger Kilometres'!M140*'CAR Stock'!M190</f>
        <v>0.852168310996961</v>
      </c>
      <c r="AT140" s="295">
        <f>'CAR Passenger Kilometres'!N140*'CAR Stock'!N190</f>
        <v>0.34086732439878448</v>
      </c>
      <c r="AU140" s="295">
        <f>'CAR Passenger Kilometres'!O140*'CAR Stock'!O190</f>
        <v>0.17043366219939224</v>
      </c>
      <c r="AV140" s="295">
        <f>'CAR Passenger Kilometres'!P140*'CAR Stock'!P190</f>
        <v>0.34086732439878448</v>
      </c>
      <c r="AW140" s="295">
        <f>'CAR Passenger Kilometres'!Q140*'CAR Stock'!Q190</f>
        <v>0.34086732439878448</v>
      </c>
      <c r="AX140" s="295">
        <f>'CAR Passenger Kilometres'!R140*'CAR Stock'!R190</f>
        <v>1.704336621993922</v>
      </c>
      <c r="AY140" s="295">
        <f>'CAR Passenger Kilometres'!S140*'CAR Stock'!S190</f>
        <v>3.7495405683866285</v>
      </c>
      <c r="AZ140" s="295">
        <f>'CAR Passenger Kilometres'!T140*'CAR Stock'!T190</f>
        <v>2.5565049329908831</v>
      </c>
      <c r="BA140" s="295">
        <f>'CAR Passenger Kilometres'!U140*'CAR Stock'!U190</f>
        <v>2.7269385951902758</v>
      </c>
      <c r="BB140" s="295">
        <f>'CAR Passenger Kilometres'!V140*'CAR Stock'!V190</f>
        <v>2.5565049329908831</v>
      </c>
      <c r="BC140" s="295">
        <f>'CAR Passenger Kilometres'!W140*'CAR Stock'!W190</f>
        <v>0.852168310996961</v>
      </c>
      <c r="BD140" s="295">
        <f>'CAR Passenger Kilometres'!X140*'CAR Stock'!X190</f>
        <v>0.34086732439878448</v>
      </c>
      <c r="BE140" s="295">
        <f>'CAR Passenger Kilometres'!Y140*'CAR Stock'!Y190</f>
        <v>0</v>
      </c>
      <c r="BF140" s="295">
        <f>'CAR Passenger Kilometres'!Z140*'CAR Stock'!Z190</f>
        <v>0</v>
      </c>
      <c r="BG140" s="295">
        <f>'CAR Passenger Kilometres'!AA140*'CAR Stock'!AA190</f>
        <v>0</v>
      </c>
      <c r="BH140" s="295">
        <f>'CAR Passenger Kilometres'!AB140*'CAR Stock'!AB190</f>
        <v>0</v>
      </c>
      <c r="BI140" s="295">
        <f>'CAR Passenger Kilometres'!AC140*'CAR Stock'!AC190</f>
        <v>0</v>
      </c>
      <c r="BJ140" s="295">
        <f>'CAR Passenger Kilometres'!AD140*'CAR Stock'!AD190</f>
        <v>0</v>
      </c>
      <c r="BK140" s="296">
        <f>'CAR Passenger Kilometres'!AE140*'CAR Stock'!AE190</f>
        <v>0</v>
      </c>
    </row>
    <row r="141" spans="1:63">
      <c r="A141" s="1711"/>
      <c r="B141" s="116">
        <v>22</v>
      </c>
      <c r="C141" s="294">
        <f>'CAR Mileage'!C162*CAR!$I$58</f>
        <v>15140.02511149752</v>
      </c>
      <c r="D141" s="295">
        <f>'CAR Mileage'!D162*CAR!$I$58</f>
        <v>15140.02511149752</v>
      </c>
      <c r="E141" s="295">
        <f>'CAR Mileage'!E162*CAR!$I$58</f>
        <v>15140.02511149752</v>
      </c>
      <c r="F141" s="295">
        <f>'CAR Mileage'!F162*CAR!$I$58</f>
        <v>15140.02511149752</v>
      </c>
      <c r="G141" s="295">
        <f>'CAR Mileage'!G162*CAR!$I$58</f>
        <v>15140.02511149752</v>
      </c>
      <c r="H141" s="295">
        <f>'CAR Mileage'!H162*CAR!$I$58</f>
        <v>15140.02511149752</v>
      </c>
      <c r="I141" s="295">
        <f>'CAR Mileage'!I162*CAR!$I$58</f>
        <v>15140.02511149752</v>
      </c>
      <c r="J141" s="295">
        <f>'CAR Mileage'!J162*CAR!$I$58</f>
        <v>15140.02511149752</v>
      </c>
      <c r="K141" s="295">
        <f>'CAR Mileage'!K162*CAR!$I$58</f>
        <v>15140.02511149752</v>
      </c>
      <c r="L141" s="295">
        <f>'CAR Mileage'!L162*CAR!$I$58</f>
        <v>15140.02511149752</v>
      </c>
      <c r="M141" s="295">
        <f>'CAR Mileage'!M162*CAR!$I$58</f>
        <v>15140.02511149752</v>
      </c>
      <c r="N141" s="295">
        <f>'CAR Mileage'!N162*CAR!$I$58</f>
        <v>15140.02511149752</v>
      </c>
      <c r="O141" s="295">
        <f>'CAR Mileage'!O162*CAR!$I$58</f>
        <v>15140.02511149752</v>
      </c>
      <c r="P141" s="295">
        <f>'CAR Mileage'!P162*CAR!$I$58</f>
        <v>15140.02511149752</v>
      </c>
      <c r="Q141" s="295">
        <f>'CAR Mileage'!Q162*CAR!$I$58</f>
        <v>15140.02511149752</v>
      </c>
      <c r="R141" s="295">
        <f>'CAR Mileage'!R162*CAR!$I$58</f>
        <v>15140.02511149752</v>
      </c>
      <c r="S141" s="295">
        <f>'CAR Mileage'!S162*CAR!$I$58</f>
        <v>15140.02511149752</v>
      </c>
      <c r="T141" s="295">
        <f>'CAR Mileage'!T162*CAR!$I$58</f>
        <v>15140.02511149752</v>
      </c>
      <c r="U141" s="295">
        <f>'CAR Mileage'!U162*CAR!$I$58</f>
        <v>15140.02511149752</v>
      </c>
      <c r="V141" s="295">
        <f>'CAR Mileage'!V162*CAR!$I$58</f>
        <v>15140.02511149752</v>
      </c>
      <c r="W141" s="295">
        <f>'CAR Mileage'!W162*CAR!$I$58</f>
        <v>15140.02511149752</v>
      </c>
      <c r="X141" s="295">
        <f>'CAR Mileage'!X162*CAR!$I$58</f>
        <v>15140.02511149752</v>
      </c>
      <c r="Y141" s="295">
        <f>'CAR Mileage'!Y162*CAR!$I$58</f>
        <v>15140.02511149752</v>
      </c>
      <c r="Z141" s="295">
        <f>'CAR Mileage'!Z162*CAR!$I$58</f>
        <v>15140.02511149752</v>
      </c>
      <c r="AA141" s="295">
        <f>'CAR Mileage'!AA162*CAR!$I$58</f>
        <v>15140.02511149752</v>
      </c>
      <c r="AB141" s="295">
        <f>'CAR Mileage'!AB162*CAR!$I$58</f>
        <v>15140.02511149752</v>
      </c>
      <c r="AC141" s="295">
        <f>'CAR Mileage'!AC162*CAR!$I$58</f>
        <v>15140.02511149752</v>
      </c>
      <c r="AD141" s="295">
        <f>'CAR Mileage'!AD162*CAR!$I$58</f>
        <v>15140.02511149752</v>
      </c>
      <c r="AE141" s="296">
        <f>'CAR Mileage'!AE162*CAR!$I$58</f>
        <v>15140.02511149752</v>
      </c>
      <c r="AG141" s="1711"/>
      <c r="AH141" s="116">
        <v>22</v>
      </c>
      <c r="AI141" s="294">
        <f>'CAR Passenger Kilometres'!C141*'CAR Stock'!C191</f>
        <v>830.32359862723263</v>
      </c>
      <c r="AJ141" s="295">
        <f>'CAR Passenger Kilometres'!D141*'CAR Stock'!D191</f>
        <v>229.70219706668544</v>
      </c>
      <c r="AK141" s="295">
        <f>'CAR Passenger Kilometres'!E141*'CAR Stock'!E191</f>
        <v>84.726965766913366</v>
      </c>
      <c r="AL141" s="295">
        <f>'CAR Passenger Kilometres'!F141*'CAR Stock'!F191</f>
        <v>39.065030829807725</v>
      </c>
      <c r="AM141" s="295">
        <f>'CAR Passenger Kilometres'!G141*'CAR Stock'!G191</f>
        <v>21.614039212953021</v>
      </c>
      <c r="AN141" s="295">
        <f>'CAR Passenger Kilometres'!H141*'CAR Stock'!H191</f>
        <v>13.951807913751288</v>
      </c>
      <c r="AO141" s="295">
        <f>'CAR Passenger Kilometres'!I141*'CAR Stock'!I191</f>
        <v>10.292407879335864</v>
      </c>
      <c r="AP141" s="295">
        <f>'CAR Passenger Kilometres'!J141*'CAR Stock'!J191</f>
        <v>0.14202796102661591</v>
      </c>
      <c r="AQ141" s="295">
        <f>'CAR Passenger Kilometres'!K141*'CAR Stock'!K191</f>
        <v>9.636201644194578E-2</v>
      </c>
      <c r="AR141" s="295">
        <f>'CAR Passenger Kilometres'!L141*'CAR Stock'!L191</f>
        <v>7.2247381139096234E-2</v>
      </c>
      <c r="AS141" s="295">
        <f>'CAR Passenger Kilometres'!M141*'CAR Stock'!M191</f>
        <v>1.7840383622152661E-2</v>
      </c>
      <c r="AT141" s="295">
        <f>'CAR Passenger Kilometres'!N141*'CAR Stock'!N191</f>
        <v>8.672587024628807E-2</v>
      </c>
      <c r="AU141" s="295">
        <f>'CAR Passenger Kilometres'!O141*'CAR Stock'!O191</f>
        <v>3.469034809851524E-2</v>
      </c>
      <c r="AV141" s="295">
        <f>'CAR Passenger Kilometres'!P141*'CAR Stock'!P191</f>
        <v>1.734517404925762E-2</v>
      </c>
      <c r="AW141" s="295">
        <f>'CAR Passenger Kilometres'!Q141*'CAR Stock'!Q191</f>
        <v>3.469034809851524E-2</v>
      </c>
      <c r="AX141" s="295">
        <f>'CAR Passenger Kilometres'!R141*'CAR Stock'!R191</f>
        <v>3.469034809851524E-2</v>
      </c>
      <c r="AY141" s="295">
        <f>'CAR Passenger Kilometres'!S141*'CAR Stock'!S191</f>
        <v>0.17345174049257614</v>
      </c>
      <c r="AZ141" s="295">
        <f>'CAR Passenger Kilometres'!T141*'CAR Stock'!T191</f>
        <v>0.38159382908366751</v>
      </c>
      <c r="BA141" s="295">
        <f>'CAR Passenger Kilometres'!U141*'CAR Stock'!U191</f>
        <v>0.26017761073886425</v>
      </c>
      <c r="BB141" s="295">
        <f>'CAR Passenger Kilometres'!V141*'CAR Stock'!V191</f>
        <v>0.27752278478812192</v>
      </c>
      <c r="BC141" s="295">
        <f>'CAR Passenger Kilometres'!W141*'CAR Stock'!W191</f>
        <v>0.26017761073886425</v>
      </c>
      <c r="BD141" s="295">
        <f>'CAR Passenger Kilometres'!X141*'CAR Stock'!X191</f>
        <v>8.672587024628807E-2</v>
      </c>
      <c r="BE141" s="295">
        <f>'CAR Passenger Kilometres'!Y141*'CAR Stock'!Y191</f>
        <v>3.469034809851524E-2</v>
      </c>
      <c r="BF141" s="295">
        <f>'CAR Passenger Kilometres'!Z141*'CAR Stock'!Z191</f>
        <v>0</v>
      </c>
      <c r="BG141" s="295">
        <f>'CAR Passenger Kilometres'!AA141*'CAR Stock'!AA191</f>
        <v>0</v>
      </c>
      <c r="BH141" s="295">
        <f>'CAR Passenger Kilometres'!AB141*'CAR Stock'!AB191</f>
        <v>0</v>
      </c>
      <c r="BI141" s="295">
        <f>'CAR Passenger Kilometres'!AC141*'CAR Stock'!AC191</f>
        <v>0</v>
      </c>
      <c r="BJ141" s="295">
        <f>'CAR Passenger Kilometres'!AD141*'CAR Stock'!AD191</f>
        <v>0</v>
      </c>
      <c r="BK141" s="296">
        <f>'CAR Passenger Kilometres'!AE141*'CAR Stock'!AE191</f>
        <v>0</v>
      </c>
    </row>
    <row r="142" spans="1:63">
      <c r="A142" s="1711"/>
      <c r="B142" s="116">
        <v>23</v>
      </c>
      <c r="C142" s="294">
        <f>'CAR Mileage'!C163*CAR!$I$58</f>
        <v>15140.02511149752</v>
      </c>
      <c r="D142" s="295">
        <f>'CAR Mileage'!D163*CAR!$I$58</f>
        <v>15140.02511149752</v>
      </c>
      <c r="E142" s="295">
        <f>'CAR Mileage'!E163*CAR!$I$58</f>
        <v>15140.02511149752</v>
      </c>
      <c r="F142" s="295">
        <f>'CAR Mileage'!F163*CAR!$I$58</f>
        <v>15140.02511149752</v>
      </c>
      <c r="G142" s="295">
        <f>'CAR Mileage'!G163*CAR!$I$58</f>
        <v>15140.02511149752</v>
      </c>
      <c r="H142" s="295">
        <f>'CAR Mileage'!H163*CAR!$I$58</f>
        <v>15140.02511149752</v>
      </c>
      <c r="I142" s="295">
        <f>'CAR Mileage'!I163*CAR!$I$58</f>
        <v>15140.02511149752</v>
      </c>
      <c r="J142" s="295">
        <f>'CAR Mileage'!J163*CAR!$I$58</f>
        <v>15140.02511149752</v>
      </c>
      <c r="K142" s="295">
        <f>'CAR Mileage'!K163*CAR!$I$58</f>
        <v>15140.02511149752</v>
      </c>
      <c r="L142" s="295">
        <f>'CAR Mileage'!L163*CAR!$I$58</f>
        <v>15140.02511149752</v>
      </c>
      <c r="M142" s="295">
        <f>'CAR Mileage'!M163*CAR!$I$58</f>
        <v>15140.02511149752</v>
      </c>
      <c r="N142" s="295">
        <f>'CAR Mileage'!N163*CAR!$I$58</f>
        <v>15140.02511149752</v>
      </c>
      <c r="O142" s="295">
        <f>'CAR Mileage'!O163*CAR!$I$58</f>
        <v>15140.02511149752</v>
      </c>
      <c r="P142" s="295">
        <f>'CAR Mileage'!P163*CAR!$I$58</f>
        <v>15140.02511149752</v>
      </c>
      <c r="Q142" s="295">
        <f>'CAR Mileage'!Q163*CAR!$I$58</f>
        <v>15140.02511149752</v>
      </c>
      <c r="R142" s="295">
        <f>'CAR Mileage'!R163*CAR!$I$58</f>
        <v>15140.02511149752</v>
      </c>
      <c r="S142" s="295">
        <f>'CAR Mileage'!S163*CAR!$I$58</f>
        <v>15140.02511149752</v>
      </c>
      <c r="T142" s="295">
        <f>'CAR Mileage'!T163*CAR!$I$58</f>
        <v>15140.02511149752</v>
      </c>
      <c r="U142" s="295">
        <f>'CAR Mileage'!U163*CAR!$I$58</f>
        <v>15140.02511149752</v>
      </c>
      <c r="V142" s="295">
        <f>'CAR Mileage'!V163*CAR!$I$58</f>
        <v>15140.02511149752</v>
      </c>
      <c r="W142" s="295">
        <f>'CAR Mileage'!W163*CAR!$I$58</f>
        <v>15140.02511149752</v>
      </c>
      <c r="X142" s="295">
        <f>'CAR Mileage'!X163*CAR!$I$58</f>
        <v>15140.02511149752</v>
      </c>
      <c r="Y142" s="295">
        <f>'CAR Mileage'!Y163*CAR!$I$58</f>
        <v>15140.02511149752</v>
      </c>
      <c r="Z142" s="295">
        <f>'CAR Mileage'!Z163*CAR!$I$58</f>
        <v>15140.02511149752</v>
      </c>
      <c r="AA142" s="295">
        <f>'CAR Mileage'!AA163*CAR!$I$58</f>
        <v>15140.02511149752</v>
      </c>
      <c r="AB142" s="295">
        <f>'CAR Mileage'!AB163*CAR!$I$58</f>
        <v>15140.02511149752</v>
      </c>
      <c r="AC142" s="295">
        <f>'CAR Mileage'!AC163*CAR!$I$58</f>
        <v>15140.02511149752</v>
      </c>
      <c r="AD142" s="295">
        <f>'CAR Mileage'!AD163*CAR!$I$58</f>
        <v>15140.02511149752</v>
      </c>
      <c r="AE142" s="296">
        <f>'CAR Mileage'!AE163*CAR!$I$58</f>
        <v>15140.02511149752</v>
      </c>
      <c r="AG142" s="1711"/>
      <c r="AH142" s="116">
        <v>23</v>
      </c>
      <c r="AI142" s="294">
        <f>'CAR Passenger Kilometres'!C142*'CAR Stock'!C192</f>
        <v>305.45898145444733</v>
      </c>
      <c r="AJ142" s="295">
        <f>'CAR Passenger Kilometres'!D142*'CAR Stock'!D192</f>
        <v>56.3351439284965</v>
      </c>
      <c r="AK142" s="295">
        <f>'CAR Passenger Kilometres'!E142*'CAR Stock'!E192</f>
        <v>15.584654409242006</v>
      </c>
      <c r="AL142" s="295">
        <f>'CAR Passenger Kilometres'!F142*'CAR Stock'!F192</f>
        <v>5.7484886844059337</v>
      </c>
      <c r="AM142" s="295">
        <f>'CAR Passenger Kilometres'!G142*'CAR Stock'!G192</f>
        <v>2.6504535557062661</v>
      </c>
      <c r="AN142" s="295">
        <f>'CAR Passenger Kilometres'!H142*'CAR Stock'!H192</f>
        <v>1.4664523710406081</v>
      </c>
      <c r="AO142" s="295">
        <f>'CAR Passenger Kilometres'!I142*'CAR Stock'!I192</f>
        <v>0.94659131473965696</v>
      </c>
      <c r="AP142" s="295">
        <f>'CAR Passenger Kilometres'!J142*'CAR Stock'!J192</f>
        <v>0.69831121289554599</v>
      </c>
      <c r="AQ142" s="295">
        <f>'CAR Passenger Kilometres'!K142*'CAR Stock'!K192</f>
        <v>9.6362016441945784E-3</v>
      </c>
      <c r="AR142" s="295">
        <f>'CAR Passenger Kilometres'!L142*'CAR Stock'!L192</f>
        <v>6.5378944720735034E-3</v>
      </c>
      <c r="AS142" s="295">
        <f>'CAR Passenger Kilometres'!M142*'CAR Stock'!M192</f>
        <v>4.9017836198524747E-3</v>
      </c>
      <c r="AT142" s="295">
        <f>'CAR Passenger Kilometres'!N142*'CAR Stock'!N192</f>
        <v>1.2104203478682134E-3</v>
      </c>
      <c r="AU142" s="295">
        <f>'CAR Passenger Kilometres'!O142*'CAR Stock'!O192</f>
        <v>5.8841087868949683E-3</v>
      </c>
      <c r="AV142" s="295">
        <f>'CAR Passenger Kilometres'!P142*'CAR Stock'!P192</f>
        <v>2.3536435147579879E-3</v>
      </c>
      <c r="AW142" s="295">
        <f>'CAR Passenger Kilometres'!Q142*'CAR Stock'!Q192</f>
        <v>1.1768217573789939E-3</v>
      </c>
      <c r="AX142" s="295">
        <f>'CAR Passenger Kilometres'!R142*'CAR Stock'!R192</f>
        <v>2.3536435147579879E-3</v>
      </c>
      <c r="AY142" s="295">
        <f>'CAR Passenger Kilometres'!S142*'CAR Stock'!S192</f>
        <v>2.3536435147579879E-3</v>
      </c>
      <c r="AZ142" s="295">
        <f>'CAR Passenger Kilometres'!T142*'CAR Stock'!T192</f>
        <v>1.1768217573789937E-2</v>
      </c>
      <c r="BA142" s="295">
        <f>'CAR Passenger Kilometres'!U142*'CAR Stock'!U192</f>
        <v>2.5890078662337862E-2</v>
      </c>
      <c r="BB142" s="295">
        <f>'CAR Passenger Kilometres'!V142*'CAR Stock'!V192</f>
        <v>1.7652326360684908E-2</v>
      </c>
      <c r="BC142" s="295">
        <f>'CAR Passenger Kilometres'!W142*'CAR Stock'!W192</f>
        <v>1.8829148118063903E-2</v>
      </c>
      <c r="BD142" s="295">
        <f>'CAR Passenger Kilometres'!X142*'CAR Stock'!X192</f>
        <v>1.7652326360684908E-2</v>
      </c>
      <c r="BE142" s="295">
        <f>'CAR Passenger Kilometres'!Y142*'CAR Stock'!Y192</f>
        <v>5.8841087868949683E-3</v>
      </c>
      <c r="BF142" s="295">
        <f>'CAR Passenger Kilometres'!Z142*'CAR Stock'!Z192</f>
        <v>2.3536435147579879E-3</v>
      </c>
      <c r="BG142" s="295">
        <f>'CAR Passenger Kilometres'!AA142*'CAR Stock'!AA192</f>
        <v>0</v>
      </c>
      <c r="BH142" s="295">
        <f>'CAR Passenger Kilometres'!AB142*'CAR Stock'!AB192</f>
        <v>0</v>
      </c>
      <c r="BI142" s="295">
        <f>'CAR Passenger Kilometres'!AC142*'CAR Stock'!AC192</f>
        <v>0</v>
      </c>
      <c r="BJ142" s="295">
        <f>'CAR Passenger Kilometres'!AD142*'CAR Stock'!AD192</f>
        <v>0</v>
      </c>
      <c r="BK142" s="296">
        <f>'CAR Passenger Kilometres'!AE142*'CAR Stock'!AE192</f>
        <v>0</v>
      </c>
    </row>
    <row r="143" spans="1:63">
      <c r="A143" s="1711"/>
      <c r="B143" s="116">
        <v>24</v>
      </c>
      <c r="C143" s="294">
        <f>'CAR Mileage'!C164*CAR!$I$58</f>
        <v>15140.02511149752</v>
      </c>
      <c r="D143" s="295">
        <f>'CAR Mileage'!D164*CAR!$I$58</f>
        <v>15140.02511149752</v>
      </c>
      <c r="E143" s="295">
        <f>'CAR Mileage'!E164*CAR!$I$58</f>
        <v>15140.02511149752</v>
      </c>
      <c r="F143" s="295">
        <f>'CAR Mileage'!F164*CAR!$I$58</f>
        <v>15140.02511149752</v>
      </c>
      <c r="G143" s="295">
        <f>'CAR Mileage'!G164*CAR!$I$58</f>
        <v>15140.02511149752</v>
      </c>
      <c r="H143" s="295">
        <f>'CAR Mileage'!H164*CAR!$I$58</f>
        <v>15140.02511149752</v>
      </c>
      <c r="I143" s="295">
        <f>'CAR Mileage'!I164*CAR!$I$58</f>
        <v>15140.02511149752</v>
      </c>
      <c r="J143" s="295">
        <f>'CAR Mileage'!J164*CAR!$I$58</f>
        <v>15140.02511149752</v>
      </c>
      <c r="K143" s="295">
        <f>'CAR Mileage'!K164*CAR!$I$58</f>
        <v>15140.02511149752</v>
      </c>
      <c r="L143" s="295">
        <f>'CAR Mileage'!L164*CAR!$I$58</f>
        <v>15140.02511149752</v>
      </c>
      <c r="M143" s="295">
        <f>'CAR Mileage'!M164*CAR!$I$58</f>
        <v>15140.02511149752</v>
      </c>
      <c r="N143" s="295">
        <f>'CAR Mileage'!N164*CAR!$I$58</f>
        <v>15140.02511149752</v>
      </c>
      <c r="O143" s="295">
        <f>'CAR Mileage'!O164*CAR!$I$58</f>
        <v>15140.02511149752</v>
      </c>
      <c r="P143" s="295">
        <f>'CAR Mileage'!P164*CAR!$I$58</f>
        <v>15140.02511149752</v>
      </c>
      <c r="Q143" s="295">
        <f>'CAR Mileage'!Q164*CAR!$I$58</f>
        <v>15140.02511149752</v>
      </c>
      <c r="R143" s="295">
        <f>'CAR Mileage'!R164*CAR!$I$58</f>
        <v>15140.02511149752</v>
      </c>
      <c r="S143" s="295">
        <f>'CAR Mileage'!S164*CAR!$I$58</f>
        <v>15140.02511149752</v>
      </c>
      <c r="T143" s="295">
        <f>'CAR Mileage'!T164*CAR!$I$58</f>
        <v>15140.02511149752</v>
      </c>
      <c r="U143" s="295">
        <f>'CAR Mileage'!U164*CAR!$I$58</f>
        <v>15140.02511149752</v>
      </c>
      <c r="V143" s="295">
        <f>'CAR Mileage'!V164*CAR!$I$58</f>
        <v>15140.02511149752</v>
      </c>
      <c r="W143" s="295">
        <f>'CAR Mileage'!W164*CAR!$I$58</f>
        <v>15140.02511149752</v>
      </c>
      <c r="X143" s="295">
        <f>'CAR Mileage'!X164*CAR!$I$58</f>
        <v>15140.02511149752</v>
      </c>
      <c r="Y143" s="295">
        <f>'CAR Mileage'!Y164*CAR!$I$58</f>
        <v>15140.02511149752</v>
      </c>
      <c r="Z143" s="295">
        <f>'CAR Mileage'!Z164*CAR!$I$58</f>
        <v>15140.02511149752</v>
      </c>
      <c r="AA143" s="295">
        <f>'CAR Mileage'!AA164*CAR!$I$58</f>
        <v>15140.02511149752</v>
      </c>
      <c r="AB143" s="295">
        <f>'CAR Mileage'!AB164*CAR!$I$58</f>
        <v>15140.02511149752</v>
      </c>
      <c r="AC143" s="295">
        <f>'CAR Mileage'!AC164*CAR!$I$58</f>
        <v>15140.02511149752</v>
      </c>
      <c r="AD143" s="295">
        <f>'CAR Mileage'!AD164*CAR!$I$58</f>
        <v>15140.02511149752</v>
      </c>
      <c r="AE143" s="296">
        <f>'CAR Mileage'!AE164*CAR!$I$58</f>
        <v>15140.02511149752</v>
      </c>
      <c r="AG143" s="1711"/>
      <c r="AH143" s="116">
        <v>24</v>
      </c>
      <c r="AI143" s="294">
        <f>'CAR Passenger Kilometres'!C143*'CAR Stock'!C193</f>
        <v>112.37207939826006</v>
      </c>
      <c r="AJ143" s="295">
        <f>'CAR Passenger Kilometres'!D143*'CAR Stock'!D193</f>
        <v>10.362270633364034</v>
      </c>
      <c r="AK143" s="295">
        <f>'CAR Passenger Kilometres'!E143*'CAR Stock'!E193</f>
        <v>1.9110913183073346</v>
      </c>
      <c r="AL143" s="295">
        <f>'CAR Passenger Kilometres'!F143*'CAR Stock'!F193</f>
        <v>0.5286877011999036</v>
      </c>
      <c r="AM143" s="295">
        <f>'CAR Passenger Kilometres'!G143*'CAR Stock'!G193</f>
        <v>0.19500947458481674</v>
      </c>
      <c r="AN143" s="295">
        <f>'CAR Passenger Kilometres'!H143*'CAR Stock'!H193</f>
        <v>8.9912946460492596E-2</v>
      </c>
      <c r="AO143" s="295">
        <f>'CAR Passenger Kilometres'!I143*'CAR Stock'!I193</f>
        <v>4.9747354840595108E-2</v>
      </c>
      <c r="AP143" s="295">
        <f>'CAR Passenger Kilometres'!J143*'CAR Stock'!J193</f>
        <v>3.2111792345470694E-2</v>
      </c>
      <c r="AQ143" s="295">
        <f>'CAR Passenger Kilometres'!K143*'CAR Stock'!K193</f>
        <v>2.368923558862663E-2</v>
      </c>
      <c r="AR143" s="295">
        <f>'CAR Passenger Kilometres'!L143*'CAR Stock'!L193</f>
        <v>3.2689472360367518E-4</v>
      </c>
      <c r="AS143" s="295">
        <f>'CAR Passenger Kilometres'!M143*'CAR Stock'!M193</f>
        <v>2.2178896678506536E-4</v>
      </c>
      <c r="AT143" s="295">
        <f>'CAR Passenger Kilometres'!N143*'CAR Stock'!N193</f>
        <v>1.6628618419811279E-4</v>
      </c>
      <c r="AU143" s="295">
        <f>'CAR Passenger Kilometres'!O143*'CAR Stock'!O193</f>
        <v>4.1061824946245821E-5</v>
      </c>
      <c r="AV143" s="295">
        <f>'CAR Passenger Kilometres'!P143*'CAR Stock'!P193</f>
        <v>1.9961019772814825E-4</v>
      </c>
      <c r="AW143" s="295">
        <f>'CAR Passenger Kilometres'!Q143*'CAR Stock'!Q193</f>
        <v>7.9844079091259316E-5</v>
      </c>
      <c r="AX143" s="295">
        <f>'CAR Passenger Kilometres'!R143*'CAR Stock'!R193</f>
        <v>3.9922039545629658E-5</v>
      </c>
      <c r="AY143" s="295">
        <f>'CAR Passenger Kilometres'!S143*'CAR Stock'!S193</f>
        <v>7.9844079091259316E-5</v>
      </c>
      <c r="AZ143" s="295">
        <f>'CAR Passenger Kilometres'!T143*'CAR Stock'!T193</f>
        <v>7.9844079091259316E-5</v>
      </c>
      <c r="BA143" s="295">
        <f>'CAR Passenger Kilometres'!U143*'CAR Stock'!U193</f>
        <v>3.992203954562965E-4</v>
      </c>
      <c r="BB143" s="295">
        <f>'CAR Passenger Kilometres'!V143*'CAR Stock'!V193</f>
        <v>8.7828487000385228E-4</v>
      </c>
      <c r="BC143" s="295">
        <f>'CAR Passenger Kilometres'!W143*'CAR Stock'!W193</f>
        <v>5.9883059318444477E-4</v>
      </c>
      <c r="BD143" s="295">
        <f>'CAR Passenger Kilometres'!X143*'CAR Stock'!X193</f>
        <v>6.3875263273007452E-4</v>
      </c>
      <c r="BE143" s="295">
        <f>'CAR Passenger Kilometres'!Y143*'CAR Stock'!Y193</f>
        <v>5.9883059318444477E-4</v>
      </c>
      <c r="BF143" s="295">
        <f>'CAR Passenger Kilometres'!Z143*'CAR Stock'!Z193</f>
        <v>1.9961019772814825E-4</v>
      </c>
      <c r="BG143" s="295">
        <f>'CAR Passenger Kilometres'!AA143*'CAR Stock'!AA193</f>
        <v>7.9844079091259316E-5</v>
      </c>
      <c r="BH143" s="295">
        <f>'CAR Passenger Kilometres'!AB143*'CAR Stock'!AB193</f>
        <v>0</v>
      </c>
      <c r="BI143" s="295">
        <f>'CAR Passenger Kilometres'!AC143*'CAR Stock'!AC193</f>
        <v>0</v>
      </c>
      <c r="BJ143" s="295">
        <f>'CAR Passenger Kilometres'!AD143*'CAR Stock'!AD193</f>
        <v>0</v>
      </c>
      <c r="BK143" s="296">
        <f>'CAR Passenger Kilometres'!AE143*'CAR Stock'!AE193</f>
        <v>0</v>
      </c>
    </row>
    <row r="144" spans="1:63" ht="15.75" thickBot="1">
      <c r="A144" s="1711"/>
      <c r="B144" s="116">
        <v>25</v>
      </c>
      <c r="C144" s="297">
        <f>'CAR Mileage'!C165*CAR!$I$58</f>
        <v>15140.02511149752</v>
      </c>
      <c r="D144" s="298">
        <f>'CAR Mileage'!D165*CAR!$I$58</f>
        <v>15140.02511149752</v>
      </c>
      <c r="E144" s="298">
        <f>'CAR Mileage'!E165*CAR!$I$58</f>
        <v>15140.02511149752</v>
      </c>
      <c r="F144" s="298">
        <f>'CAR Mileage'!F165*CAR!$I$58</f>
        <v>15140.02511149752</v>
      </c>
      <c r="G144" s="298">
        <f>'CAR Mileage'!G165*CAR!$I$58</f>
        <v>15140.02511149752</v>
      </c>
      <c r="H144" s="298">
        <f>'CAR Mileage'!H165*CAR!$I$58</f>
        <v>15140.02511149752</v>
      </c>
      <c r="I144" s="298">
        <f>'CAR Mileage'!I165*CAR!$I$58</f>
        <v>15140.02511149752</v>
      </c>
      <c r="J144" s="298">
        <f>'CAR Mileage'!J165*CAR!$I$58</f>
        <v>15140.02511149752</v>
      </c>
      <c r="K144" s="298">
        <f>'CAR Mileage'!K165*CAR!$I$58</f>
        <v>15140.02511149752</v>
      </c>
      <c r="L144" s="298">
        <f>'CAR Mileage'!L165*CAR!$I$58</f>
        <v>15140.02511149752</v>
      </c>
      <c r="M144" s="298">
        <f>'CAR Mileage'!M165*CAR!$I$58</f>
        <v>15140.02511149752</v>
      </c>
      <c r="N144" s="298">
        <f>'CAR Mileage'!N165*CAR!$I$58</f>
        <v>15140.02511149752</v>
      </c>
      <c r="O144" s="298">
        <f>'CAR Mileage'!O165*CAR!$I$58</f>
        <v>15140.02511149752</v>
      </c>
      <c r="P144" s="298">
        <f>'CAR Mileage'!P165*CAR!$I$58</f>
        <v>15140.02511149752</v>
      </c>
      <c r="Q144" s="298">
        <f>'CAR Mileage'!Q165*CAR!$I$58</f>
        <v>15140.02511149752</v>
      </c>
      <c r="R144" s="298">
        <f>'CAR Mileage'!R165*CAR!$I$58</f>
        <v>15140.02511149752</v>
      </c>
      <c r="S144" s="298">
        <f>'CAR Mileage'!S165*CAR!$I$58</f>
        <v>15140.02511149752</v>
      </c>
      <c r="T144" s="298">
        <f>'CAR Mileage'!T165*CAR!$I$58</f>
        <v>15140.02511149752</v>
      </c>
      <c r="U144" s="298">
        <f>'CAR Mileage'!U165*CAR!$I$58</f>
        <v>15140.02511149752</v>
      </c>
      <c r="V144" s="298">
        <f>'CAR Mileage'!V165*CAR!$I$58</f>
        <v>15140.02511149752</v>
      </c>
      <c r="W144" s="298">
        <f>'CAR Mileage'!W165*CAR!$I$58</f>
        <v>15140.02511149752</v>
      </c>
      <c r="X144" s="298">
        <f>'CAR Mileage'!X165*CAR!$I$58</f>
        <v>15140.02511149752</v>
      </c>
      <c r="Y144" s="298">
        <f>'CAR Mileage'!Y165*CAR!$I$58</f>
        <v>15140.02511149752</v>
      </c>
      <c r="Z144" s="298">
        <f>'CAR Mileage'!Z165*CAR!$I$58</f>
        <v>15140.02511149752</v>
      </c>
      <c r="AA144" s="298">
        <f>'CAR Mileage'!AA165*CAR!$I$58</f>
        <v>15140.02511149752</v>
      </c>
      <c r="AB144" s="298">
        <f>'CAR Mileage'!AB165*CAR!$I$58</f>
        <v>15140.02511149752</v>
      </c>
      <c r="AC144" s="298">
        <f>'CAR Mileage'!AC165*CAR!$I$58</f>
        <v>15140.02511149752</v>
      </c>
      <c r="AD144" s="298">
        <f>'CAR Mileage'!AD165*CAR!$I$58</f>
        <v>15140.02511149752</v>
      </c>
      <c r="AE144" s="299">
        <f>'CAR Mileage'!AE165*CAR!$I$58</f>
        <v>15140.02511149752</v>
      </c>
      <c r="AG144" s="1711"/>
      <c r="AH144" s="116">
        <v>25</v>
      </c>
      <c r="AI144" s="297">
        <f>'CAR Passenger Kilometres'!C144*'CAR Stock'!C194</f>
        <v>41.339377772304857</v>
      </c>
      <c r="AJ144" s="298">
        <f>'CAR Passenger Kilometres'!D144*'CAR Stock'!D194</f>
        <v>0</v>
      </c>
      <c r="AK144" s="298">
        <f>'CAR Passenger Kilometres'!E144*'CAR Stock'!E194</f>
        <v>0</v>
      </c>
      <c r="AL144" s="298">
        <f>'CAR Passenger Kilometres'!F144*'CAR Stock'!F194</f>
        <v>0</v>
      </c>
      <c r="AM144" s="298">
        <f>'CAR Passenger Kilometres'!G144*'CAR Stock'!G194</f>
        <v>0</v>
      </c>
      <c r="AN144" s="298">
        <f>'CAR Passenger Kilometres'!H144*'CAR Stock'!H194</f>
        <v>0</v>
      </c>
      <c r="AO144" s="298">
        <f>'CAR Passenger Kilometres'!I144*'CAR Stock'!I194</f>
        <v>0</v>
      </c>
      <c r="AP144" s="298">
        <f>'CAR Passenger Kilometres'!J144*'CAR Stock'!J194</f>
        <v>0</v>
      </c>
      <c r="AQ144" s="298">
        <f>'CAR Passenger Kilometres'!K144*'CAR Stock'!K194</f>
        <v>0</v>
      </c>
      <c r="AR144" s="298">
        <f>'CAR Passenger Kilometres'!L144*'CAR Stock'!L194</f>
        <v>0</v>
      </c>
      <c r="AS144" s="298">
        <f>'CAR Passenger Kilometres'!M144*'CAR Stock'!M194</f>
        <v>0</v>
      </c>
      <c r="AT144" s="298">
        <f>'CAR Passenger Kilometres'!N144*'CAR Stock'!N194</f>
        <v>0</v>
      </c>
      <c r="AU144" s="298">
        <f>'CAR Passenger Kilometres'!O144*'CAR Stock'!O194</f>
        <v>0</v>
      </c>
      <c r="AV144" s="298">
        <f>'CAR Passenger Kilometres'!P144*'CAR Stock'!P194</f>
        <v>0</v>
      </c>
      <c r="AW144" s="298">
        <f>'CAR Passenger Kilometres'!Q144*'CAR Stock'!Q194</f>
        <v>0</v>
      </c>
      <c r="AX144" s="298">
        <f>'CAR Passenger Kilometres'!R144*'CAR Stock'!R194</f>
        <v>0</v>
      </c>
      <c r="AY144" s="298">
        <f>'CAR Passenger Kilometres'!S144*'CAR Stock'!S194</f>
        <v>0</v>
      </c>
      <c r="AZ144" s="298">
        <f>'CAR Passenger Kilometres'!T144*'CAR Stock'!T194</f>
        <v>0</v>
      </c>
      <c r="BA144" s="298">
        <f>'CAR Passenger Kilometres'!U144*'CAR Stock'!U194</f>
        <v>0</v>
      </c>
      <c r="BB144" s="298">
        <f>'CAR Passenger Kilometres'!V144*'CAR Stock'!V194</f>
        <v>0</v>
      </c>
      <c r="BC144" s="298">
        <f>'CAR Passenger Kilometres'!W144*'CAR Stock'!W194</f>
        <v>0</v>
      </c>
      <c r="BD144" s="298">
        <f>'CAR Passenger Kilometres'!X144*'CAR Stock'!X194</f>
        <v>0</v>
      </c>
      <c r="BE144" s="298">
        <f>'CAR Passenger Kilometres'!Y144*'CAR Stock'!Y194</f>
        <v>0</v>
      </c>
      <c r="BF144" s="298">
        <f>'CAR Passenger Kilometres'!Z144*'CAR Stock'!Z194</f>
        <v>0</v>
      </c>
      <c r="BG144" s="298">
        <f>'CAR Passenger Kilometres'!AA144*'CAR Stock'!AA194</f>
        <v>0</v>
      </c>
      <c r="BH144" s="298">
        <f>'CAR Passenger Kilometres'!AB144*'CAR Stock'!AB194</f>
        <v>0</v>
      </c>
      <c r="BI144" s="298">
        <f>'CAR Passenger Kilometres'!AC144*'CAR Stock'!AC194</f>
        <v>0</v>
      </c>
      <c r="BJ144" s="298">
        <f>'CAR Passenger Kilometres'!AD144*'CAR Stock'!AD194</f>
        <v>0</v>
      </c>
      <c r="BK144" s="299">
        <f>'CAR Passenger Kilometres'!AE144*'CAR Stock'!AE194</f>
        <v>0</v>
      </c>
    </row>
    <row r="145" spans="1:63" ht="16.5" thickTop="1" thickBot="1">
      <c r="A145" s="1712"/>
      <c r="B145" s="300" t="s">
        <v>39</v>
      </c>
      <c r="C145" s="301">
        <f>'CAR Mileage'!C166*CAR!$I$58</f>
        <v>17986.800518477263</v>
      </c>
      <c r="D145" s="301">
        <f>'CAR Mileage'!D166*CAR!$I$58</f>
        <v>18395.768208161917</v>
      </c>
      <c r="E145" s="301">
        <f>'CAR Mileage'!E166*CAR!$I$58</f>
        <v>18336.813454453822</v>
      </c>
      <c r="F145" s="301">
        <f>'CAR Mileage'!F166*CAR!$I$58</f>
        <v>18101.455037872409</v>
      </c>
      <c r="G145" s="301">
        <f>'CAR Mileage'!G166*CAR!$I$58</f>
        <v>17808.652840859435</v>
      </c>
      <c r="H145" s="301">
        <f>'CAR Mileage'!H166*CAR!$I$58</f>
        <v>17493.152008632947</v>
      </c>
      <c r="I145" s="301">
        <f>'CAR Mileage'!I166*CAR!$I$58</f>
        <v>17176.126331118223</v>
      </c>
      <c r="J145" s="301">
        <f>'CAR Mileage'!J166*CAR!$I$58</f>
        <v>16879.967901083084</v>
      </c>
      <c r="K145" s="301">
        <f>'CAR Mileage'!K166*CAR!$I$58</f>
        <v>16628.599377504492</v>
      </c>
      <c r="L145" s="301">
        <f>'CAR Mileage'!L166*CAR!$I$58</f>
        <v>16422.296803472043</v>
      </c>
      <c r="M145" s="301">
        <f>'CAR Mileage'!M166*CAR!$I$58</f>
        <v>16237.198041704944</v>
      </c>
      <c r="N145" s="301">
        <f>'CAR Mileage'!N166*CAR!$I$58</f>
        <v>16048.778399725685</v>
      </c>
      <c r="O145" s="301">
        <f>'CAR Mileage'!O166*CAR!$I$58</f>
        <v>15859.323623712169</v>
      </c>
      <c r="P145" s="301">
        <f>'CAR Mileage'!P166*CAR!$I$58</f>
        <v>15659.252723634581</v>
      </c>
      <c r="Q145" s="301">
        <f>'CAR Mileage'!Q166*CAR!$I$58</f>
        <v>15443.977283008868</v>
      </c>
      <c r="R145" s="301">
        <f>'CAR Mileage'!R166*CAR!$I$58</f>
        <v>15259.779876343864</v>
      </c>
      <c r="S145" s="301">
        <f>'CAR Mileage'!S166*CAR!$I$58</f>
        <v>15140.025111497518</v>
      </c>
      <c r="T145" s="301">
        <f>'CAR Mileage'!T166*CAR!$I$58</f>
        <v>15140.025111497518</v>
      </c>
      <c r="U145" s="301">
        <f>'CAR Mileage'!U166*CAR!$I$58</f>
        <v>15140.02511149752</v>
      </c>
      <c r="V145" s="301">
        <f>'CAR Mileage'!V166*CAR!$I$58</f>
        <v>15140.02511149752</v>
      </c>
      <c r="W145" s="301">
        <f>'CAR Mileage'!W166*CAR!$I$58</f>
        <v>15140.02511149752</v>
      </c>
      <c r="X145" s="301">
        <f>'CAR Mileage'!X166*CAR!$I$58</f>
        <v>15140.025111497524</v>
      </c>
      <c r="Y145" s="301">
        <f>'CAR Mileage'!Y166*CAR!$I$58</f>
        <v>15140.025111497524</v>
      </c>
      <c r="Z145" s="301">
        <f>'CAR Mileage'!Z166*CAR!$I$58</f>
        <v>15140.02511149752</v>
      </c>
      <c r="AA145" s="301">
        <f>'CAR Mileage'!AA166*CAR!$I$58</f>
        <v>15140.02511149752</v>
      </c>
      <c r="AB145" s="301">
        <f>'CAR Mileage'!AB166*CAR!$I$58</f>
        <v>0</v>
      </c>
      <c r="AC145" s="301">
        <f>'CAR Mileage'!AC166*CAR!$I$58</f>
        <v>0</v>
      </c>
      <c r="AD145" s="301">
        <f>'CAR Mileage'!AD166*CAR!$I$58</f>
        <v>0</v>
      </c>
      <c r="AE145" s="302">
        <f>'CAR Mileage'!AE166*CAR!$I$58</f>
        <v>0</v>
      </c>
      <c r="AG145" s="1712"/>
      <c r="AH145" s="300" t="s">
        <v>39</v>
      </c>
      <c r="AI145" s="301">
        <f t="shared" ref="AI145:BK145" si="4">SUM(AI119:AI144)</f>
        <v>2500165.2720683394</v>
      </c>
      <c r="AJ145" s="301">
        <f t="shared" si="4"/>
        <v>2003180.4034245405</v>
      </c>
      <c r="AK145" s="301">
        <f t="shared" si="4"/>
        <v>1809282.7295725571</v>
      </c>
      <c r="AL145" s="301">
        <f t="shared" si="4"/>
        <v>1700514.290032292</v>
      </c>
      <c r="AM145" s="301">
        <f t="shared" si="4"/>
        <v>1623313.9638430725</v>
      </c>
      <c r="AN145" s="301">
        <f t="shared" si="4"/>
        <v>1560514.5105000716</v>
      </c>
      <c r="AO145" s="301">
        <f t="shared" si="4"/>
        <v>1496659.0305483316</v>
      </c>
      <c r="AP145" s="301">
        <f t="shared" si="4"/>
        <v>1394732.6112077825</v>
      </c>
      <c r="AQ145" s="301">
        <f t="shared" si="4"/>
        <v>1203333.0881273849</v>
      </c>
      <c r="AR145" s="301">
        <f t="shared" si="4"/>
        <v>945913.93059983128</v>
      </c>
      <c r="AS145" s="301">
        <f t="shared" si="4"/>
        <v>675351.55583461095</v>
      </c>
      <c r="AT145" s="301">
        <f t="shared" si="4"/>
        <v>420222.65586247056</v>
      </c>
      <c r="AU145" s="301">
        <f t="shared" si="4"/>
        <v>217380.50631850032</v>
      </c>
      <c r="AV145" s="301">
        <f t="shared" si="4"/>
        <v>92055.601799776196</v>
      </c>
      <c r="AW145" s="301">
        <f t="shared" si="4"/>
        <v>32424.388791564801</v>
      </c>
      <c r="AX145" s="301">
        <f t="shared" si="4"/>
        <v>9616.5830718768175</v>
      </c>
      <c r="AY145" s="301">
        <f t="shared" si="4"/>
        <v>2581.9986974025951</v>
      </c>
      <c r="AZ145" s="301">
        <f t="shared" si="4"/>
        <v>622.42888808926512</v>
      </c>
      <c r="BA145" s="301">
        <f t="shared" si="4"/>
        <v>131.63914216226672</v>
      </c>
      <c r="BB145" s="301">
        <f t="shared" si="4"/>
        <v>23.942484316142053</v>
      </c>
      <c r="BC145" s="301">
        <f t="shared" si="4"/>
        <v>3.6437953821749947</v>
      </c>
      <c r="BD145" s="301">
        <f t="shared" si="4"/>
        <v>0.44588427363848754</v>
      </c>
      <c r="BE145" s="301">
        <f t="shared" si="4"/>
        <v>4.117328747859466E-2</v>
      </c>
      <c r="BF145" s="301">
        <f t="shared" si="4"/>
        <v>2.5532537124861362E-3</v>
      </c>
      <c r="BG145" s="301">
        <f t="shared" si="4"/>
        <v>7.9844079091259316E-5</v>
      </c>
      <c r="BH145" s="301">
        <f t="shared" si="4"/>
        <v>0</v>
      </c>
      <c r="BI145" s="301">
        <f t="shared" si="4"/>
        <v>0</v>
      </c>
      <c r="BJ145" s="301">
        <f t="shared" si="4"/>
        <v>0</v>
      </c>
      <c r="BK145" s="302">
        <f t="shared" si="4"/>
        <v>0</v>
      </c>
    </row>
    <row r="146" spans="1:63" ht="15.75" thickBot="1"/>
    <row r="147" spans="1:63" ht="15.75" thickBot="1">
      <c r="A147" s="1710" t="s">
        <v>46</v>
      </c>
      <c r="B147" s="169" t="s">
        <v>10</v>
      </c>
      <c r="C147" s="288">
        <v>2012</v>
      </c>
      <c r="D147" s="289">
        <v>2013</v>
      </c>
      <c r="E147" s="289">
        <v>2014</v>
      </c>
      <c r="F147" s="289">
        <v>2015</v>
      </c>
      <c r="G147" s="288">
        <v>2016</v>
      </c>
      <c r="H147" s="289">
        <v>2017</v>
      </c>
      <c r="I147" s="289">
        <v>2018</v>
      </c>
      <c r="J147" s="289">
        <v>2019</v>
      </c>
      <c r="K147" s="288">
        <v>2020</v>
      </c>
      <c r="L147" s="289">
        <v>2021</v>
      </c>
      <c r="M147" s="289">
        <v>2022</v>
      </c>
      <c r="N147" s="289">
        <v>2023</v>
      </c>
      <c r="O147" s="288">
        <v>2024</v>
      </c>
      <c r="P147" s="289">
        <v>2025</v>
      </c>
      <c r="Q147" s="289">
        <v>2026</v>
      </c>
      <c r="R147" s="289">
        <v>2027</v>
      </c>
      <c r="S147" s="288">
        <v>2028</v>
      </c>
      <c r="T147" s="289">
        <v>2029</v>
      </c>
      <c r="U147" s="289">
        <v>2030</v>
      </c>
      <c r="V147" s="289">
        <v>2031</v>
      </c>
      <c r="W147" s="288">
        <v>2032</v>
      </c>
      <c r="X147" s="289">
        <v>2033</v>
      </c>
      <c r="Y147" s="289">
        <v>2034</v>
      </c>
      <c r="Z147" s="289">
        <v>2035</v>
      </c>
      <c r="AA147" s="288">
        <v>2036</v>
      </c>
      <c r="AB147" s="289">
        <v>2037</v>
      </c>
      <c r="AC147" s="289">
        <v>2038</v>
      </c>
      <c r="AD147" s="289">
        <v>2039</v>
      </c>
      <c r="AE147" s="290">
        <v>2040</v>
      </c>
      <c r="AG147" s="1710" t="s">
        <v>46</v>
      </c>
      <c r="AH147" s="169" t="s">
        <v>10</v>
      </c>
      <c r="AI147" s="288">
        <v>2012</v>
      </c>
      <c r="AJ147" s="289">
        <v>2013</v>
      </c>
      <c r="AK147" s="289">
        <v>2014</v>
      </c>
      <c r="AL147" s="289">
        <v>2015</v>
      </c>
      <c r="AM147" s="288">
        <v>2016</v>
      </c>
      <c r="AN147" s="289">
        <v>2017</v>
      </c>
      <c r="AO147" s="289">
        <v>2018</v>
      </c>
      <c r="AP147" s="289">
        <v>2019</v>
      </c>
      <c r="AQ147" s="288">
        <v>2020</v>
      </c>
      <c r="AR147" s="289">
        <v>2021</v>
      </c>
      <c r="AS147" s="289">
        <v>2022</v>
      </c>
      <c r="AT147" s="289">
        <v>2023</v>
      </c>
      <c r="AU147" s="288">
        <v>2024</v>
      </c>
      <c r="AV147" s="289">
        <v>2025</v>
      </c>
      <c r="AW147" s="289">
        <v>2026</v>
      </c>
      <c r="AX147" s="289">
        <v>2027</v>
      </c>
      <c r="AY147" s="288">
        <v>2028</v>
      </c>
      <c r="AZ147" s="289">
        <v>2029</v>
      </c>
      <c r="BA147" s="289">
        <v>2030</v>
      </c>
      <c r="BB147" s="289">
        <v>2031</v>
      </c>
      <c r="BC147" s="288">
        <v>2032</v>
      </c>
      <c r="BD147" s="289">
        <v>2033</v>
      </c>
      <c r="BE147" s="289">
        <v>2034</v>
      </c>
      <c r="BF147" s="289">
        <v>2035</v>
      </c>
      <c r="BG147" s="288">
        <v>2036</v>
      </c>
      <c r="BH147" s="289">
        <v>2037</v>
      </c>
      <c r="BI147" s="289">
        <v>2038</v>
      </c>
      <c r="BJ147" s="289">
        <v>2039</v>
      </c>
      <c r="BK147" s="290">
        <v>2040</v>
      </c>
    </row>
    <row r="148" spans="1:63">
      <c r="A148" s="1711" t="s">
        <v>41</v>
      </c>
      <c r="B148" s="116">
        <v>0</v>
      </c>
      <c r="C148" s="291">
        <f>'CAR Mileage'!C169*CAR!$I$58</f>
        <v>34617.6316361961</v>
      </c>
      <c r="D148" s="292">
        <f>'CAR Mileage'!D169*CAR!$I$58</f>
        <v>34617.6316361961</v>
      </c>
      <c r="E148" s="292">
        <f>'CAR Mileage'!E169*CAR!$I$58</f>
        <v>34617.6316361961</v>
      </c>
      <c r="F148" s="292">
        <f>'CAR Mileage'!F169*CAR!$I$58</f>
        <v>34617.6316361961</v>
      </c>
      <c r="G148" s="292">
        <f>'CAR Mileage'!G169*CAR!$I$58</f>
        <v>34617.6316361961</v>
      </c>
      <c r="H148" s="292">
        <f>'CAR Mileage'!H169*CAR!$I$58</f>
        <v>34617.6316361961</v>
      </c>
      <c r="I148" s="292">
        <f>'CAR Mileage'!I169*CAR!$I$58</f>
        <v>34617.6316361961</v>
      </c>
      <c r="J148" s="292">
        <f>'CAR Mileage'!J169*CAR!$I$58</f>
        <v>34617.6316361961</v>
      </c>
      <c r="K148" s="292">
        <f>'CAR Mileage'!K169*CAR!$I$58</f>
        <v>34617.6316361961</v>
      </c>
      <c r="L148" s="292">
        <f>'CAR Mileage'!L169*CAR!$I$58</f>
        <v>34617.6316361961</v>
      </c>
      <c r="M148" s="292">
        <f>'CAR Mileage'!M169*CAR!$I$58</f>
        <v>34617.6316361961</v>
      </c>
      <c r="N148" s="292">
        <f>'CAR Mileage'!N169*CAR!$I$58</f>
        <v>34617.6316361961</v>
      </c>
      <c r="O148" s="292">
        <f>'CAR Mileage'!O169*CAR!$I$58</f>
        <v>34617.6316361961</v>
      </c>
      <c r="P148" s="292">
        <f>'CAR Mileage'!P169*CAR!$I$58</f>
        <v>34617.6316361961</v>
      </c>
      <c r="Q148" s="292">
        <f>'CAR Mileage'!Q169*CAR!$I$58</f>
        <v>34617.6316361961</v>
      </c>
      <c r="R148" s="292">
        <f>'CAR Mileage'!R169*CAR!$I$58</f>
        <v>34617.6316361961</v>
      </c>
      <c r="S148" s="292">
        <f>'CAR Mileage'!S169*CAR!$I$58</f>
        <v>34617.6316361961</v>
      </c>
      <c r="T148" s="292">
        <f>'CAR Mileage'!T169*CAR!$I$58</f>
        <v>34617.6316361961</v>
      </c>
      <c r="U148" s="292">
        <f>'CAR Mileage'!U169*CAR!$I$58</f>
        <v>34617.6316361961</v>
      </c>
      <c r="V148" s="292">
        <f>'CAR Mileage'!V169*CAR!$I$58</f>
        <v>34617.6316361961</v>
      </c>
      <c r="W148" s="292">
        <f>'CAR Mileage'!W169*CAR!$I$58</f>
        <v>34617.6316361961</v>
      </c>
      <c r="X148" s="292">
        <f>'CAR Mileage'!X169*CAR!$I$58</f>
        <v>34617.6316361961</v>
      </c>
      <c r="Y148" s="292">
        <f>'CAR Mileage'!Y169*CAR!$I$58</f>
        <v>34617.6316361961</v>
      </c>
      <c r="Z148" s="292">
        <f>'CAR Mileage'!Z169*CAR!$I$58</f>
        <v>34617.6316361961</v>
      </c>
      <c r="AA148" s="292">
        <f>'CAR Mileage'!AA169*CAR!$I$58</f>
        <v>34617.6316361961</v>
      </c>
      <c r="AB148" s="292">
        <f>'CAR Mileage'!AB169*CAR!$I$58</f>
        <v>34617.6316361961</v>
      </c>
      <c r="AC148" s="292">
        <f>'CAR Mileage'!AC169*CAR!$I$58</f>
        <v>34617.6316361961</v>
      </c>
      <c r="AD148" s="292">
        <f>'CAR Mileage'!AD169*CAR!$I$58</f>
        <v>34617.6316361961</v>
      </c>
      <c r="AE148" s="293">
        <f>'CAR Mileage'!AE169*CAR!$I$58</f>
        <v>34617.6316361961</v>
      </c>
      <c r="AG148" s="1711" t="s">
        <v>41</v>
      </c>
      <c r="AH148" s="116">
        <v>0</v>
      </c>
      <c r="AI148" s="291">
        <f>'CAR Passenger Kilometres'!C148*'CAR Stock'!C198</f>
        <v>420534989.11651021</v>
      </c>
      <c r="AJ148" s="292">
        <f>'CAR Passenger Kilometres'!D148*'CAR Stock'!D198</f>
        <v>0</v>
      </c>
      <c r="AK148" s="292">
        <f>'CAR Passenger Kilometres'!E148*'CAR Stock'!E198</f>
        <v>0</v>
      </c>
      <c r="AL148" s="292">
        <f>'CAR Passenger Kilometres'!F148*'CAR Stock'!F198</f>
        <v>0</v>
      </c>
      <c r="AM148" s="292">
        <f>'CAR Passenger Kilometres'!G148*'CAR Stock'!G198</f>
        <v>0</v>
      </c>
      <c r="AN148" s="292">
        <f>'CAR Passenger Kilometres'!H148*'CAR Stock'!H198</f>
        <v>0</v>
      </c>
      <c r="AO148" s="292">
        <f>'CAR Passenger Kilometres'!I148*'CAR Stock'!I198</f>
        <v>0</v>
      </c>
      <c r="AP148" s="292">
        <f>'CAR Passenger Kilometres'!J148*'CAR Stock'!J198</f>
        <v>0</v>
      </c>
      <c r="AQ148" s="292">
        <f>'CAR Passenger Kilometres'!K148*'CAR Stock'!K198</f>
        <v>0</v>
      </c>
      <c r="AR148" s="292">
        <f>'CAR Passenger Kilometres'!L148*'CAR Stock'!L198</f>
        <v>0</v>
      </c>
      <c r="AS148" s="292">
        <f>'CAR Passenger Kilometres'!M148*'CAR Stock'!M198</f>
        <v>0</v>
      </c>
      <c r="AT148" s="292">
        <f>'CAR Passenger Kilometres'!N148*'CAR Stock'!N198</f>
        <v>0</v>
      </c>
      <c r="AU148" s="292">
        <f>'CAR Passenger Kilometres'!O148*'CAR Stock'!O198</f>
        <v>0</v>
      </c>
      <c r="AV148" s="292">
        <f>'CAR Passenger Kilometres'!P148*'CAR Stock'!P198</f>
        <v>0</v>
      </c>
      <c r="AW148" s="292">
        <f>'CAR Passenger Kilometres'!Q148*'CAR Stock'!Q198</f>
        <v>0</v>
      </c>
      <c r="AX148" s="292">
        <f>'CAR Passenger Kilometres'!R148*'CAR Stock'!R198</f>
        <v>0</v>
      </c>
      <c r="AY148" s="292">
        <f>'CAR Passenger Kilometres'!S148*'CAR Stock'!S198</f>
        <v>0</v>
      </c>
      <c r="AZ148" s="292">
        <f>'CAR Passenger Kilometres'!T148*'CAR Stock'!T198</f>
        <v>0</v>
      </c>
      <c r="BA148" s="292">
        <f>'CAR Passenger Kilometres'!U148*'CAR Stock'!U198</f>
        <v>0</v>
      </c>
      <c r="BB148" s="292">
        <f>'CAR Passenger Kilometres'!V148*'CAR Stock'!V198</f>
        <v>0</v>
      </c>
      <c r="BC148" s="292">
        <f>'CAR Passenger Kilometres'!W148*'CAR Stock'!W198</f>
        <v>0</v>
      </c>
      <c r="BD148" s="292">
        <f>'CAR Passenger Kilometres'!X148*'CAR Stock'!X198</f>
        <v>0</v>
      </c>
      <c r="BE148" s="292">
        <f>'CAR Passenger Kilometres'!Y148*'CAR Stock'!Y198</f>
        <v>0</v>
      </c>
      <c r="BF148" s="292">
        <f>'CAR Passenger Kilometres'!Z148*'CAR Stock'!Z198</f>
        <v>0</v>
      </c>
      <c r="BG148" s="292">
        <f>'CAR Passenger Kilometres'!AA148*'CAR Stock'!AA198</f>
        <v>0</v>
      </c>
      <c r="BH148" s="292">
        <f>'CAR Passenger Kilometres'!AB148*'CAR Stock'!AB198</f>
        <v>0</v>
      </c>
      <c r="BI148" s="292">
        <f>'CAR Passenger Kilometres'!AC148*'CAR Stock'!AC198</f>
        <v>0</v>
      </c>
      <c r="BJ148" s="292">
        <f>'CAR Passenger Kilometres'!AD148*'CAR Stock'!AD198</f>
        <v>0</v>
      </c>
      <c r="BK148" s="293">
        <f>'CAR Passenger Kilometres'!AE148*'CAR Stock'!AE198</f>
        <v>0</v>
      </c>
    </row>
    <row r="149" spans="1:63">
      <c r="A149" s="1711"/>
      <c r="B149" s="116">
        <v>1</v>
      </c>
      <c r="C149" s="294">
        <f>'CAR Mileage'!C170*CAR!$I$58</f>
        <v>33925.279003472177</v>
      </c>
      <c r="D149" s="295">
        <f>'CAR Mileage'!D170*CAR!$I$58</f>
        <v>33925.279003472177</v>
      </c>
      <c r="E149" s="295">
        <f>'CAR Mileage'!E170*CAR!$I$58</f>
        <v>33925.279003472177</v>
      </c>
      <c r="F149" s="295">
        <f>'CAR Mileage'!F170*CAR!$I$58</f>
        <v>33925.279003472177</v>
      </c>
      <c r="G149" s="295">
        <f>'CAR Mileage'!G170*CAR!$I$58</f>
        <v>33925.279003472177</v>
      </c>
      <c r="H149" s="295">
        <f>'CAR Mileage'!H170*CAR!$I$58</f>
        <v>33925.279003472177</v>
      </c>
      <c r="I149" s="295">
        <f>'CAR Mileage'!I170*CAR!$I$58</f>
        <v>33925.279003472177</v>
      </c>
      <c r="J149" s="295">
        <f>'CAR Mileage'!J170*CAR!$I$58</f>
        <v>33925.279003472177</v>
      </c>
      <c r="K149" s="295">
        <f>'CAR Mileage'!K170*CAR!$I$58</f>
        <v>33925.279003472177</v>
      </c>
      <c r="L149" s="295">
        <f>'CAR Mileage'!L170*CAR!$I$58</f>
        <v>33925.279003472177</v>
      </c>
      <c r="M149" s="295">
        <f>'CAR Mileage'!M170*CAR!$I$58</f>
        <v>33925.279003472177</v>
      </c>
      <c r="N149" s="295">
        <f>'CAR Mileage'!N170*CAR!$I$58</f>
        <v>33925.279003472177</v>
      </c>
      <c r="O149" s="295">
        <f>'CAR Mileage'!O170*CAR!$I$58</f>
        <v>33925.279003472177</v>
      </c>
      <c r="P149" s="295">
        <f>'CAR Mileage'!P170*CAR!$I$58</f>
        <v>33925.279003472177</v>
      </c>
      <c r="Q149" s="295">
        <f>'CAR Mileage'!Q170*CAR!$I$58</f>
        <v>33925.279003472177</v>
      </c>
      <c r="R149" s="295">
        <f>'CAR Mileage'!R170*CAR!$I$58</f>
        <v>33925.279003472177</v>
      </c>
      <c r="S149" s="295">
        <f>'CAR Mileage'!S170*CAR!$I$58</f>
        <v>33925.279003472177</v>
      </c>
      <c r="T149" s="295">
        <f>'CAR Mileage'!T170*CAR!$I$58</f>
        <v>33925.279003472177</v>
      </c>
      <c r="U149" s="295">
        <f>'CAR Mileage'!U170*CAR!$I$58</f>
        <v>33925.279003472177</v>
      </c>
      <c r="V149" s="295">
        <f>'CAR Mileage'!V170*CAR!$I$58</f>
        <v>33925.279003472177</v>
      </c>
      <c r="W149" s="295">
        <f>'CAR Mileage'!W170*CAR!$I$58</f>
        <v>33925.279003472177</v>
      </c>
      <c r="X149" s="295">
        <f>'CAR Mileage'!X170*CAR!$I$58</f>
        <v>33925.279003472177</v>
      </c>
      <c r="Y149" s="295">
        <f>'CAR Mileage'!Y170*CAR!$I$58</f>
        <v>33925.279003472177</v>
      </c>
      <c r="Z149" s="295">
        <f>'CAR Mileage'!Z170*CAR!$I$58</f>
        <v>33925.279003472177</v>
      </c>
      <c r="AA149" s="295">
        <f>'CAR Mileage'!AA170*CAR!$I$58</f>
        <v>33925.279003472177</v>
      </c>
      <c r="AB149" s="295">
        <f>'CAR Mileage'!AB170*CAR!$I$58</f>
        <v>33925.279003472177</v>
      </c>
      <c r="AC149" s="295">
        <f>'CAR Mileage'!AC170*CAR!$I$58</f>
        <v>33925.279003472177</v>
      </c>
      <c r="AD149" s="295">
        <f>'CAR Mileage'!AD170*CAR!$I$58</f>
        <v>33925.279003472177</v>
      </c>
      <c r="AE149" s="296">
        <f>'CAR Mileage'!AE170*CAR!$I$58</f>
        <v>33925.279003472177</v>
      </c>
      <c r="AG149" s="1711"/>
      <c r="AH149" s="116">
        <v>1</v>
      </c>
      <c r="AI149" s="294">
        <f>'CAR Passenger Kilometres'!C149*'CAR Stock'!C199</f>
        <v>564313090.94375622</v>
      </c>
      <c r="AJ149" s="295">
        <f>'CAR Passenger Kilometres'!D149*'CAR Stock'!D199</f>
        <v>412124289.33418</v>
      </c>
      <c r="AK149" s="295">
        <f>'CAR Passenger Kilometres'!E149*'CAR Stock'!E199</f>
        <v>0</v>
      </c>
      <c r="AL149" s="295">
        <f>'CAR Passenger Kilometres'!F149*'CAR Stock'!F199</f>
        <v>0</v>
      </c>
      <c r="AM149" s="295">
        <f>'CAR Passenger Kilometres'!G149*'CAR Stock'!G199</f>
        <v>0</v>
      </c>
      <c r="AN149" s="295">
        <f>'CAR Passenger Kilometres'!H149*'CAR Stock'!H199</f>
        <v>0</v>
      </c>
      <c r="AO149" s="295">
        <f>'CAR Passenger Kilometres'!I149*'CAR Stock'!I199</f>
        <v>0</v>
      </c>
      <c r="AP149" s="295">
        <f>'CAR Passenger Kilometres'!J149*'CAR Stock'!J199</f>
        <v>0</v>
      </c>
      <c r="AQ149" s="295">
        <f>'CAR Passenger Kilometres'!K149*'CAR Stock'!K199</f>
        <v>0</v>
      </c>
      <c r="AR149" s="295">
        <f>'CAR Passenger Kilometres'!L149*'CAR Stock'!L199</f>
        <v>0</v>
      </c>
      <c r="AS149" s="295">
        <f>'CAR Passenger Kilometres'!M149*'CAR Stock'!M199</f>
        <v>0</v>
      </c>
      <c r="AT149" s="295">
        <f>'CAR Passenger Kilometres'!N149*'CAR Stock'!N199</f>
        <v>0</v>
      </c>
      <c r="AU149" s="295">
        <f>'CAR Passenger Kilometres'!O149*'CAR Stock'!O199</f>
        <v>0</v>
      </c>
      <c r="AV149" s="295">
        <f>'CAR Passenger Kilometres'!P149*'CAR Stock'!P199</f>
        <v>0</v>
      </c>
      <c r="AW149" s="295">
        <f>'CAR Passenger Kilometres'!Q149*'CAR Stock'!Q199</f>
        <v>0</v>
      </c>
      <c r="AX149" s="295">
        <f>'CAR Passenger Kilometres'!R149*'CAR Stock'!R199</f>
        <v>0</v>
      </c>
      <c r="AY149" s="295">
        <f>'CAR Passenger Kilometres'!S149*'CAR Stock'!S199</f>
        <v>0</v>
      </c>
      <c r="AZ149" s="295">
        <f>'CAR Passenger Kilometres'!T149*'CAR Stock'!T199</f>
        <v>0</v>
      </c>
      <c r="BA149" s="295">
        <f>'CAR Passenger Kilometres'!U149*'CAR Stock'!U199</f>
        <v>0</v>
      </c>
      <c r="BB149" s="295">
        <f>'CAR Passenger Kilometres'!V149*'CAR Stock'!V199</f>
        <v>0</v>
      </c>
      <c r="BC149" s="295">
        <f>'CAR Passenger Kilometres'!W149*'CAR Stock'!W199</f>
        <v>0</v>
      </c>
      <c r="BD149" s="295">
        <f>'CAR Passenger Kilometres'!X149*'CAR Stock'!X199</f>
        <v>0</v>
      </c>
      <c r="BE149" s="295">
        <f>'CAR Passenger Kilometres'!Y149*'CAR Stock'!Y199</f>
        <v>0</v>
      </c>
      <c r="BF149" s="295">
        <f>'CAR Passenger Kilometres'!Z149*'CAR Stock'!Z199</f>
        <v>0</v>
      </c>
      <c r="BG149" s="295">
        <f>'CAR Passenger Kilometres'!AA149*'CAR Stock'!AA199</f>
        <v>0</v>
      </c>
      <c r="BH149" s="295">
        <f>'CAR Passenger Kilometres'!AB149*'CAR Stock'!AB199</f>
        <v>0</v>
      </c>
      <c r="BI149" s="295">
        <f>'CAR Passenger Kilometres'!AC149*'CAR Stock'!AC199</f>
        <v>0</v>
      </c>
      <c r="BJ149" s="295">
        <f>'CAR Passenger Kilometres'!AD149*'CAR Stock'!AD199</f>
        <v>0</v>
      </c>
      <c r="BK149" s="296">
        <f>'CAR Passenger Kilometres'!AE149*'CAR Stock'!AE199</f>
        <v>0</v>
      </c>
    </row>
    <row r="150" spans="1:63">
      <c r="A150" s="1711"/>
      <c r="B150" s="116">
        <v>2</v>
      </c>
      <c r="C150" s="294">
        <f>'CAR Mileage'!C171*CAR!$I$58</f>
        <v>33246.77342340273</v>
      </c>
      <c r="D150" s="295">
        <f>'CAR Mileage'!D171*CAR!$I$58</f>
        <v>33246.77342340273</v>
      </c>
      <c r="E150" s="295">
        <f>'CAR Mileage'!E171*CAR!$I$58</f>
        <v>33246.77342340273</v>
      </c>
      <c r="F150" s="295">
        <f>'CAR Mileage'!F171*CAR!$I$58</f>
        <v>33246.77342340273</v>
      </c>
      <c r="G150" s="295">
        <f>'CAR Mileage'!G171*CAR!$I$58</f>
        <v>33246.77342340273</v>
      </c>
      <c r="H150" s="295">
        <f>'CAR Mileage'!H171*CAR!$I$58</f>
        <v>33246.77342340273</v>
      </c>
      <c r="I150" s="295">
        <f>'CAR Mileage'!I171*CAR!$I$58</f>
        <v>33246.77342340273</v>
      </c>
      <c r="J150" s="295">
        <f>'CAR Mileage'!J171*CAR!$I$58</f>
        <v>33246.77342340273</v>
      </c>
      <c r="K150" s="295">
        <f>'CAR Mileage'!K171*CAR!$I$58</f>
        <v>33246.77342340273</v>
      </c>
      <c r="L150" s="295">
        <f>'CAR Mileage'!L171*CAR!$I$58</f>
        <v>33246.77342340273</v>
      </c>
      <c r="M150" s="295">
        <f>'CAR Mileage'!M171*CAR!$I$58</f>
        <v>33246.77342340273</v>
      </c>
      <c r="N150" s="295">
        <f>'CAR Mileage'!N171*CAR!$I$58</f>
        <v>33246.77342340273</v>
      </c>
      <c r="O150" s="295">
        <f>'CAR Mileage'!O171*CAR!$I$58</f>
        <v>33246.77342340273</v>
      </c>
      <c r="P150" s="295">
        <f>'CAR Mileage'!P171*CAR!$I$58</f>
        <v>33246.77342340273</v>
      </c>
      <c r="Q150" s="295">
        <f>'CAR Mileage'!Q171*CAR!$I$58</f>
        <v>33246.77342340273</v>
      </c>
      <c r="R150" s="295">
        <f>'CAR Mileage'!R171*CAR!$I$58</f>
        <v>33246.77342340273</v>
      </c>
      <c r="S150" s="295">
        <f>'CAR Mileage'!S171*CAR!$I$58</f>
        <v>33246.77342340273</v>
      </c>
      <c r="T150" s="295">
        <f>'CAR Mileage'!T171*CAR!$I$58</f>
        <v>33246.77342340273</v>
      </c>
      <c r="U150" s="295">
        <f>'CAR Mileage'!U171*CAR!$I$58</f>
        <v>33246.77342340273</v>
      </c>
      <c r="V150" s="295">
        <f>'CAR Mileage'!V171*CAR!$I$58</f>
        <v>33246.77342340273</v>
      </c>
      <c r="W150" s="295">
        <f>'CAR Mileage'!W171*CAR!$I$58</f>
        <v>33246.77342340273</v>
      </c>
      <c r="X150" s="295">
        <f>'CAR Mileage'!X171*CAR!$I$58</f>
        <v>33246.77342340273</v>
      </c>
      <c r="Y150" s="295">
        <f>'CAR Mileage'!Y171*CAR!$I$58</f>
        <v>33246.77342340273</v>
      </c>
      <c r="Z150" s="295">
        <f>'CAR Mileage'!Z171*CAR!$I$58</f>
        <v>33246.77342340273</v>
      </c>
      <c r="AA150" s="295">
        <f>'CAR Mileage'!AA171*CAR!$I$58</f>
        <v>33246.77342340273</v>
      </c>
      <c r="AB150" s="295">
        <f>'CAR Mileage'!AB171*CAR!$I$58</f>
        <v>33246.77342340273</v>
      </c>
      <c r="AC150" s="295">
        <f>'CAR Mileage'!AC171*CAR!$I$58</f>
        <v>33246.77342340273</v>
      </c>
      <c r="AD150" s="295">
        <f>'CAR Mileage'!AD171*CAR!$I$58</f>
        <v>33246.77342340273</v>
      </c>
      <c r="AE150" s="296">
        <f>'CAR Mileage'!AE171*CAR!$I$58</f>
        <v>33246.77342340273</v>
      </c>
      <c r="AG150" s="1711"/>
      <c r="AH150" s="116">
        <v>2</v>
      </c>
      <c r="AI150" s="294">
        <f>'CAR Passenger Kilometres'!C150*'CAR Stock'!C200</f>
        <v>510537452.68977231</v>
      </c>
      <c r="AJ150" s="295">
        <f>'CAR Passenger Kilometres'!D150*'CAR Stock'!D200</f>
        <v>553026829.12488103</v>
      </c>
      <c r="AK150" s="295">
        <f>'CAR Passenger Kilometres'!E150*'CAR Stock'!E200</f>
        <v>403881803.54749638</v>
      </c>
      <c r="AL150" s="295">
        <f>'CAR Passenger Kilometres'!F150*'CAR Stock'!F200</f>
        <v>0</v>
      </c>
      <c r="AM150" s="295">
        <f>'CAR Passenger Kilometres'!G150*'CAR Stock'!G200</f>
        <v>0</v>
      </c>
      <c r="AN150" s="295">
        <f>'CAR Passenger Kilometres'!H150*'CAR Stock'!H200</f>
        <v>0</v>
      </c>
      <c r="AO150" s="295">
        <f>'CAR Passenger Kilometres'!I150*'CAR Stock'!I200</f>
        <v>0</v>
      </c>
      <c r="AP150" s="295">
        <f>'CAR Passenger Kilometres'!J150*'CAR Stock'!J200</f>
        <v>0</v>
      </c>
      <c r="AQ150" s="295">
        <f>'CAR Passenger Kilometres'!K150*'CAR Stock'!K200</f>
        <v>0</v>
      </c>
      <c r="AR150" s="295">
        <f>'CAR Passenger Kilometres'!L150*'CAR Stock'!L200</f>
        <v>0</v>
      </c>
      <c r="AS150" s="295">
        <f>'CAR Passenger Kilometres'!M150*'CAR Stock'!M200</f>
        <v>0</v>
      </c>
      <c r="AT150" s="295">
        <f>'CAR Passenger Kilometres'!N150*'CAR Stock'!N200</f>
        <v>0</v>
      </c>
      <c r="AU150" s="295">
        <f>'CAR Passenger Kilometres'!O150*'CAR Stock'!O200</f>
        <v>0</v>
      </c>
      <c r="AV150" s="295">
        <f>'CAR Passenger Kilometres'!P150*'CAR Stock'!P200</f>
        <v>0</v>
      </c>
      <c r="AW150" s="295">
        <f>'CAR Passenger Kilometres'!Q150*'CAR Stock'!Q200</f>
        <v>0</v>
      </c>
      <c r="AX150" s="295">
        <f>'CAR Passenger Kilometres'!R150*'CAR Stock'!R200</f>
        <v>0</v>
      </c>
      <c r="AY150" s="295">
        <f>'CAR Passenger Kilometres'!S150*'CAR Stock'!S200</f>
        <v>0</v>
      </c>
      <c r="AZ150" s="295">
        <f>'CAR Passenger Kilometres'!T150*'CAR Stock'!T200</f>
        <v>0</v>
      </c>
      <c r="BA150" s="295">
        <f>'CAR Passenger Kilometres'!U150*'CAR Stock'!U200</f>
        <v>0</v>
      </c>
      <c r="BB150" s="295">
        <f>'CAR Passenger Kilometres'!V150*'CAR Stock'!V200</f>
        <v>0</v>
      </c>
      <c r="BC150" s="295">
        <f>'CAR Passenger Kilometres'!W150*'CAR Stock'!W200</f>
        <v>0</v>
      </c>
      <c r="BD150" s="295">
        <f>'CAR Passenger Kilometres'!X150*'CAR Stock'!X200</f>
        <v>0</v>
      </c>
      <c r="BE150" s="295">
        <f>'CAR Passenger Kilometres'!Y150*'CAR Stock'!Y200</f>
        <v>0</v>
      </c>
      <c r="BF150" s="295">
        <f>'CAR Passenger Kilometres'!Z150*'CAR Stock'!Z200</f>
        <v>0</v>
      </c>
      <c r="BG150" s="295">
        <f>'CAR Passenger Kilometres'!AA150*'CAR Stock'!AA200</f>
        <v>0</v>
      </c>
      <c r="BH150" s="295">
        <f>'CAR Passenger Kilometres'!AB150*'CAR Stock'!AB200</f>
        <v>0</v>
      </c>
      <c r="BI150" s="295">
        <f>'CAR Passenger Kilometres'!AC150*'CAR Stock'!AC200</f>
        <v>0</v>
      </c>
      <c r="BJ150" s="295">
        <f>'CAR Passenger Kilometres'!AD150*'CAR Stock'!AD200</f>
        <v>0</v>
      </c>
      <c r="BK150" s="296">
        <f>'CAR Passenger Kilometres'!AE150*'CAR Stock'!AE200</f>
        <v>0</v>
      </c>
    </row>
    <row r="151" spans="1:63">
      <c r="A151" s="1711"/>
      <c r="B151" s="116">
        <v>3</v>
      </c>
      <c r="C151" s="294">
        <f>'CAR Mileage'!C172*CAR!$I$58</f>
        <v>32581.837954934676</v>
      </c>
      <c r="D151" s="295">
        <f>'CAR Mileage'!D172*CAR!$I$58</f>
        <v>32581.837954934676</v>
      </c>
      <c r="E151" s="295">
        <f>'CAR Mileage'!E172*CAR!$I$58</f>
        <v>32581.837954934676</v>
      </c>
      <c r="F151" s="295">
        <f>'CAR Mileage'!F172*CAR!$I$58</f>
        <v>32581.837954934676</v>
      </c>
      <c r="G151" s="295">
        <f>'CAR Mileage'!G172*CAR!$I$58</f>
        <v>32581.837954934676</v>
      </c>
      <c r="H151" s="295">
        <f>'CAR Mileage'!H172*CAR!$I$58</f>
        <v>32581.837954934676</v>
      </c>
      <c r="I151" s="295">
        <f>'CAR Mileage'!I172*CAR!$I$58</f>
        <v>32581.837954934676</v>
      </c>
      <c r="J151" s="295">
        <f>'CAR Mileage'!J172*CAR!$I$58</f>
        <v>32581.837954934676</v>
      </c>
      <c r="K151" s="295">
        <f>'CAR Mileage'!K172*CAR!$I$58</f>
        <v>32581.837954934676</v>
      </c>
      <c r="L151" s="295">
        <f>'CAR Mileage'!L172*CAR!$I$58</f>
        <v>32581.837954934676</v>
      </c>
      <c r="M151" s="295">
        <f>'CAR Mileage'!M172*CAR!$I$58</f>
        <v>32581.837954934676</v>
      </c>
      <c r="N151" s="295">
        <f>'CAR Mileage'!N172*CAR!$I$58</f>
        <v>32581.837954934676</v>
      </c>
      <c r="O151" s="295">
        <f>'CAR Mileage'!O172*CAR!$I$58</f>
        <v>32581.837954934676</v>
      </c>
      <c r="P151" s="295">
        <f>'CAR Mileage'!P172*CAR!$I$58</f>
        <v>32581.837954934676</v>
      </c>
      <c r="Q151" s="295">
        <f>'CAR Mileage'!Q172*CAR!$I$58</f>
        <v>32581.837954934676</v>
      </c>
      <c r="R151" s="295">
        <f>'CAR Mileage'!R172*CAR!$I$58</f>
        <v>32581.837954934676</v>
      </c>
      <c r="S151" s="295">
        <f>'CAR Mileage'!S172*CAR!$I$58</f>
        <v>32581.837954934676</v>
      </c>
      <c r="T151" s="295">
        <f>'CAR Mileage'!T172*CAR!$I$58</f>
        <v>32581.837954934676</v>
      </c>
      <c r="U151" s="295">
        <f>'CAR Mileage'!U172*CAR!$I$58</f>
        <v>32581.837954934676</v>
      </c>
      <c r="V151" s="295">
        <f>'CAR Mileage'!V172*CAR!$I$58</f>
        <v>32581.837954934676</v>
      </c>
      <c r="W151" s="295">
        <f>'CAR Mileage'!W172*CAR!$I$58</f>
        <v>32581.837954934676</v>
      </c>
      <c r="X151" s="295">
        <f>'CAR Mileage'!X172*CAR!$I$58</f>
        <v>32581.837954934676</v>
      </c>
      <c r="Y151" s="295">
        <f>'CAR Mileage'!Y172*CAR!$I$58</f>
        <v>32581.837954934676</v>
      </c>
      <c r="Z151" s="295">
        <f>'CAR Mileage'!Z172*CAR!$I$58</f>
        <v>32581.837954934676</v>
      </c>
      <c r="AA151" s="295">
        <f>'CAR Mileage'!AA172*CAR!$I$58</f>
        <v>32581.837954934676</v>
      </c>
      <c r="AB151" s="295">
        <f>'CAR Mileage'!AB172*CAR!$I$58</f>
        <v>32581.837954934676</v>
      </c>
      <c r="AC151" s="295">
        <f>'CAR Mileage'!AC172*CAR!$I$58</f>
        <v>32581.837954934676</v>
      </c>
      <c r="AD151" s="295">
        <f>'CAR Mileage'!AD172*CAR!$I$58</f>
        <v>32581.837954934676</v>
      </c>
      <c r="AE151" s="296">
        <f>'CAR Mileage'!AE172*CAR!$I$58</f>
        <v>32581.837954934676</v>
      </c>
      <c r="AG151" s="1711"/>
      <c r="AH151" s="116">
        <v>3</v>
      </c>
      <c r="AI151" s="294">
        <f>'CAR Passenger Kilometres'!C151*'CAR Stock'!C201</f>
        <v>309462296.89596957</v>
      </c>
      <c r="AJ151" s="295">
        <f>'CAR Passenger Kilometres'!D151*'CAR Stock'!D201</f>
        <v>500326703.63597685</v>
      </c>
      <c r="AK151" s="295">
        <f>'CAR Passenger Kilometres'!E151*'CAR Stock'!E201</f>
        <v>541966292.54238343</v>
      </c>
      <c r="AL151" s="295">
        <f>'CAR Passenger Kilometres'!F151*'CAR Stock'!F201</f>
        <v>395804167.47654647</v>
      </c>
      <c r="AM151" s="295">
        <f>'CAR Passenger Kilometres'!G151*'CAR Stock'!G201</f>
        <v>0</v>
      </c>
      <c r="AN151" s="295">
        <f>'CAR Passenger Kilometres'!H151*'CAR Stock'!H201</f>
        <v>0</v>
      </c>
      <c r="AO151" s="295">
        <f>'CAR Passenger Kilometres'!I151*'CAR Stock'!I201</f>
        <v>0</v>
      </c>
      <c r="AP151" s="295">
        <f>'CAR Passenger Kilometres'!J151*'CAR Stock'!J201</f>
        <v>0</v>
      </c>
      <c r="AQ151" s="295">
        <f>'CAR Passenger Kilometres'!K151*'CAR Stock'!K201</f>
        <v>0</v>
      </c>
      <c r="AR151" s="295">
        <f>'CAR Passenger Kilometres'!L151*'CAR Stock'!L201</f>
        <v>0</v>
      </c>
      <c r="AS151" s="295">
        <f>'CAR Passenger Kilometres'!M151*'CAR Stock'!M201</f>
        <v>0</v>
      </c>
      <c r="AT151" s="295">
        <f>'CAR Passenger Kilometres'!N151*'CAR Stock'!N201</f>
        <v>0</v>
      </c>
      <c r="AU151" s="295">
        <f>'CAR Passenger Kilometres'!O151*'CAR Stock'!O201</f>
        <v>0</v>
      </c>
      <c r="AV151" s="295">
        <f>'CAR Passenger Kilometres'!P151*'CAR Stock'!P201</f>
        <v>0</v>
      </c>
      <c r="AW151" s="295">
        <f>'CAR Passenger Kilometres'!Q151*'CAR Stock'!Q201</f>
        <v>0</v>
      </c>
      <c r="AX151" s="295">
        <f>'CAR Passenger Kilometres'!R151*'CAR Stock'!R201</f>
        <v>0</v>
      </c>
      <c r="AY151" s="295">
        <f>'CAR Passenger Kilometres'!S151*'CAR Stock'!S201</f>
        <v>0</v>
      </c>
      <c r="AZ151" s="295">
        <f>'CAR Passenger Kilometres'!T151*'CAR Stock'!T201</f>
        <v>0</v>
      </c>
      <c r="BA151" s="295">
        <f>'CAR Passenger Kilometres'!U151*'CAR Stock'!U201</f>
        <v>0</v>
      </c>
      <c r="BB151" s="295">
        <f>'CAR Passenger Kilometres'!V151*'CAR Stock'!V201</f>
        <v>0</v>
      </c>
      <c r="BC151" s="295">
        <f>'CAR Passenger Kilometres'!W151*'CAR Stock'!W201</f>
        <v>0</v>
      </c>
      <c r="BD151" s="295">
        <f>'CAR Passenger Kilometres'!X151*'CAR Stock'!X201</f>
        <v>0</v>
      </c>
      <c r="BE151" s="295">
        <f>'CAR Passenger Kilometres'!Y151*'CAR Stock'!Y201</f>
        <v>0</v>
      </c>
      <c r="BF151" s="295">
        <f>'CAR Passenger Kilometres'!Z151*'CAR Stock'!Z201</f>
        <v>0</v>
      </c>
      <c r="BG151" s="295">
        <f>'CAR Passenger Kilometres'!AA151*'CAR Stock'!AA201</f>
        <v>0</v>
      </c>
      <c r="BH151" s="295">
        <f>'CAR Passenger Kilometres'!AB151*'CAR Stock'!AB201</f>
        <v>0</v>
      </c>
      <c r="BI151" s="295">
        <f>'CAR Passenger Kilometres'!AC151*'CAR Stock'!AC201</f>
        <v>0</v>
      </c>
      <c r="BJ151" s="295">
        <f>'CAR Passenger Kilometres'!AD151*'CAR Stock'!AD201</f>
        <v>0</v>
      </c>
      <c r="BK151" s="296">
        <f>'CAR Passenger Kilometres'!AE151*'CAR Stock'!AE201</f>
        <v>0</v>
      </c>
    </row>
    <row r="152" spans="1:63">
      <c r="A152" s="1711"/>
      <c r="B152" s="116">
        <v>4</v>
      </c>
      <c r="C152" s="294">
        <f>'CAR Mileage'!C173*CAR!$I$58</f>
        <v>31930.20119583598</v>
      </c>
      <c r="D152" s="295">
        <f>'CAR Mileage'!D173*CAR!$I$58</f>
        <v>31930.20119583598</v>
      </c>
      <c r="E152" s="295">
        <f>'CAR Mileage'!E173*CAR!$I$58</f>
        <v>31930.20119583598</v>
      </c>
      <c r="F152" s="295">
        <f>'CAR Mileage'!F173*CAR!$I$58</f>
        <v>31930.20119583598</v>
      </c>
      <c r="G152" s="295">
        <f>'CAR Mileage'!G173*CAR!$I$58</f>
        <v>31930.20119583598</v>
      </c>
      <c r="H152" s="295">
        <f>'CAR Mileage'!H173*CAR!$I$58</f>
        <v>31930.20119583598</v>
      </c>
      <c r="I152" s="295">
        <f>'CAR Mileage'!I173*CAR!$I$58</f>
        <v>31930.20119583598</v>
      </c>
      <c r="J152" s="295">
        <f>'CAR Mileage'!J173*CAR!$I$58</f>
        <v>31930.20119583598</v>
      </c>
      <c r="K152" s="295">
        <f>'CAR Mileage'!K173*CAR!$I$58</f>
        <v>31930.20119583598</v>
      </c>
      <c r="L152" s="295">
        <f>'CAR Mileage'!L173*CAR!$I$58</f>
        <v>31930.20119583598</v>
      </c>
      <c r="M152" s="295">
        <f>'CAR Mileage'!M173*CAR!$I$58</f>
        <v>31930.20119583598</v>
      </c>
      <c r="N152" s="295">
        <f>'CAR Mileage'!N173*CAR!$I$58</f>
        <v>31930.20119583598</v>
      </c>
      <c r="O152" s="295">
        <f>'CAR Mileage'!O173*CAR!$I$58</f>
        <v>31930.20119583598</v>
      </c>
      <c r="P152" s="295">
        <f>'CAR Mileage'!P173*CAR!$I$58</f>
        <v>31930.20119583598</v>
      </c>
      <c r="Q152" s="295">
        <f>'CAR Mileage'!Q173*CAR!$I$58</f>
        <v>31930.20119583598</v>
      </c>
      <c r="R152" s="295">
        <f>'CAR Mileage'!R173*CAR!$I$58</f>
        <v>31930.20119583598</v>
      </c>
      <c r="S152" s="295">
        <f>'CAR Mileage'!S173*CAR!$I$58</f>
        <v>31930.20119583598</v>
      </c>
      <c r="T152" s="295">
        <f>'CAR Mileage'!T173*CAR!$I$58</f>
        <v>31930.20119583598</v>
      </c>
      <c r="U152" s="295">
        <f>'CAR Mileage'!U173*CAR!$I$58</f>
        <v>31930.20119583598</v>
      </c>
      <c r="V152" s="295">
        <f>'CAR Mileage'!V173*CAR!$I$58</f>
        <v>31930.20119583598</v>
      </c>
      <c r="W152" s="295">
        <f>'CAR Mileage'!W173*CAR!$I$58</f>
        <v>31930.20119583598</v>
      </c>
      <c r="X152" s="295">
        <f>'CAR Mileage'!X173*CAR!$I$58</f>
        <v>31930.20119583598</v>
      </c>
      <c r="Y152" s="295">
        <f>'CAR Mileage'!Y173*CAR!$I$58</f>
        <v>31930.20119583598</v>
      </c>
      <c r="Z152" s="295">
        <f>'CAR Mileage'!Z173*CAR!$I$58</f>
        <v>31930.20119583598</v>
      </c>
      <c r="AA152" s="295">
        <f>'CAR Mileage'!AA173*CAR!$I$58</f>
        <v>31930.20119583598</v>
      </c>
      <c r="AB152" s="295">
        <f>'CAR Mileage'!AB173*CAR!$I$58</f>
        <v>31930.20119583598</v>
      </c>
      <c r="AC152" s="295">
        <f>'CAR Mileage'!AC173*CAR!$I$58</f>
        <v>31930.20119583598</v>
      </c>
      <c r="AD152" s="295">
        <f>'CAR Mileage'!AD173*CAR!$I$58</f>
        <v>31930.20119583598</v>
      </c>
      <c r="AE152" s="296">
        <f>'CAR Mileage'!AE173*CAR!$I$58</f>
        <v>31930.20119583598</v>
      </c>
      <c r="AG152" s="1711"/>
      <c r="AH152" s="116">
        <v>4</v>
      </c>
      <c r="AI152" s="294">
        <f>'CAR Passenger Kilometres'!C152*'CAR Stock'!C202</f>
        <v>411388712.20715076</v>
      </c>
      <c r="AJ152" s="295">
        <f>'CAR Passenger Kilometres'!D152*'CAR Stock'!D202</f>
        <v>303273050.95805013</v>
      </c>
      <c r="AK152" s="295">
        <f>'CAR Passenger Kilometres'!E152*'CAR Stock'!E202</f>
        <v>490320169.56325734</v>
      </c>
      <c r="AL152" s="295">
        <f>'CAR Passenger Kilometres'!F152*'CAR Stock'!F202</f>
        <v>531126966.69153571</v>
      </c>
      <c r="AM152" s="295">
        <f>'CAR Passenger Kilometres'!G152*'CAR Stock'!G202</f>
        <v>387888084.12701547</v>
      </c>
      <c r="AN152" s="295">
        <f>'CAR Passenger Kilometres'!H152*'CAR Stock'!H202</f>
        <v>0</v>
      </c>
      <c r="AO152" s="295">
        <f>'CAR Passenger Kilometres'!I152*'CAR Stock'!I202</f>
        <v>0</v>
      </c>
      <c r="AP152" s="295">
        <f>'CAR Passenger Kilometres'!J152*'CAR Stock'!J202</f>
        <v>0</v>
      </c>
      <c r="AQ152" s="295">
        <f>'CAR Passenger Kilometres'!K152*'CAR Stock'!K202</f>
        <v>0</v>
      </c>
      <c r="AR152" s="295">
        <f>'CAR Passenger Kilometres'!L152*'CAR Stock'!L202</f>
        <v>0</v>
      </c>
      <c r="AS152" s="295">
        <f>'CAR Passenger Kilometres'!M152*'CAR Stock'!M202</f>
        <v>0</v>
      </c>
      <c r="AT152" s="295">
        <f>'CAR Passenger Kilometres'!N152*'CAR Stock'!N202</f>
        <v>0</v>
      </c>
      <c r="AU152" s="295">
        <f>'CAR Passenger Kilometres'!O152*'CAR Stock'!O202</f>
        <v>0</v>
      </c>
      <c r="AV152" s="295">
        <f>'CAR Passenger Kilometres'!P152*'CAR Stock'!P202</f>
        <v>0</v>
      </c>
      <c r="AW152" s="295">
        <f>'CAR Passenger Kilometres'!Q152*'CAR Stock'!Q202</f>
        <v>0</v>
      </c>
      <c r="AX152" s="295">
        <f>'CAR Passenger Kilometres'!R152*'CAR Stock'!R202</f>
        <v>0</v>
      </c>
      <c r="AY152" s="295">
        <f>'CAR Passenger Kilometres'!S152*'CAR Stock'!S202</f>
        <v>0</v>
      </c>
      <c r="AZ152" s="295">
        <f>'CAR Passenger Kilometres'!T152*'CAR Stock'!T202</f>
        <v>0</v>
      </c>
      <c r="BA152" s="295">
        <f>'CAR Passenger Kilometres'!U152*'CAR Stock'!U202</f>
        <v>0</v>
      </c>
      <c r="BB152" s="295">
        <f>'CAR Passenger Kilometres'!V152*'CAR Stock'!V202</f>
        <v>0</v>
      </c>
      <c r="BC152" s="295">
        <f>'CAR Passenger Kilometres'!W152*'CAR Stock'!W202</f>
        <v>0</v>
      </c>
      <c r="BD152" s="295">
        <f>'CAR Passenger Kilometres'!X152*'CAR Stock'!X202</f>
        <v>0</v>
      </c>
      <c r="BE152" s="295">
        <f>'CAR Passenger Kilometres'!Y152*'CAR Stock'!Y202</f>
        <v>0</v>
      </c>
      <c r="BF152" s="295">
        <f>'CAR Passenger Kilometres'!Z152*'CAR Stock'!Z202</f>
        <v>0</v>
      </c>
      <c r="BG152" s="295">
        <f>'CAR Passenger Kilometres'!AA152*'CAR Stock'!AA202</f>
        <v>0</v>
      </c>
      <c r="BH152" s="295">
        <f>'CAR Passenger Kilometres'!AB152*'CAR Stock'!AB202</f>
        <v>0</v>
      </c>
      <c r="BI152" s="295">
        <f>'CAR Passenger Kilometres'!AC152*'CAR Stock'!AC202</f>
        <v>0</v>
      </c>
      <c r="BJ152" s="295">
        <f>'CAR Passenger Kilometres'!AD152*'CAR Stock'!AD202</f>
        <v>0</v>
      </c>
      <c r="BK152" s="296">
        <f>'CAR Passenger Kilometres'!AE152*'CAR Stock'!AE202</f>
        <v>0</v>
      </c>
    </row>
    <row r="153" spans="1:63">
      <c r="A153" s="1711"/>
      <c r="B153" s="116">
        <v>5</v>
      </c>
      <c r="C153" s="294">
        <f>'CAR Mileage'!C174*CAR!$I$58</f>
        <v>31291.59717191926</v>
      </c>
      <c r="D153" s="295">
        <f>'CAR Mileage'!D174*CAR!$I$58</f>
        <v>31291.59717191926</v>
      </c>
      <c r="E153" s="295">
        <f>'CAR Mileage'!E174*CAR!$I$58</f>
        <v>31291.59717191926</v>
      </c>
      <c r="F153" s="295">
        <f>'CAR Mileage'!F174*CAR!$I$58</f>
        <v>31291.59717191926</v>
      </c>
      <c r="G153" s="295">
        <f>'CAR Mileage'!G174*CAR!$I$58</f>
        <v>31291.59717191926</v>
      </c>
      <c r="H153" s="295">
        <f>'CAR Mileage'!H174*CAR!$I$58</f>
        <v>31291.59717191926</v>
      </c>
      <c r="I153" s="295">
        <f>'CAR Mileage'!I174*CAR!$I$58</f>
        <v>31291.59717191926</v>
      </c>
      <c r="J153" s="295">
        <f>'CAR Mileage'!J174*CAR!$I$58</f>
        <v>31291.59717191926</v>
      </c>
      <c r="K153" s="295">
        <f>'CAR Mileage'!K174*CAR!$I$58</f>
        <v>31291.59717191926</v>
      </c>
      <c r="L153" s="295">
        <f>'CAR Mileage'!L174*CAR!$I$58</f>
        <v>31291.59717191926</v>
      </c>
      <c r="M153" s="295">
        <f>'CAR Mileage'!M174*CAR!$I$58</f>
        <v>31291.59717191926</v>
      </c>
      <c r="N153" s="295">
        <f>'CAR Mileage'!N174*CAR!$I$58</f>
        <v>31291.59717191926</v>
      </c>
      <c r="O153" s="295">
        <f>'CAR Mileage'!O174*CAR!$I$58</f>
        <v>31291.59717191926</v>
      </c>
      <c r="P153" s="295">
        <f>'CAR Mileage'!P174*CAR!$I$58</f>
        <v>31291.59717191926</v>
      </c>
      <c r="Q153" s="295">
        <f>'CAR Mileage'!Q174*CAR!$I$58</f>
        <v>31291.59717191926</v>
      </c>
      <c r="R153" s="295">
        <f>'CAR Mileage'!R174*CAR!$I$58</f>
        <v>31291.59717191926</v>
      </c>
      <c r="S153" s="295">
        <f>'CAR Mileage'!S174*CAR!$I$58</f>
        <v>31291.59717191926</v>
      </c>
      <c r="T153" s="295">
        <f>'CAR Mileage'!T174*CAR!$I$58</f>
        <v>31291.59717191926</v>
      </c>
      <c r="U153" s="295">
        <f>'CAR Mileage'!U174*CAR!$I$58</f>
        <v>31291.59717191926</v>
      </c>
      <c r="V153" s="295">
        <f>'CAR Mileage'!V174*CAR!$I$58</f>
        <v>31291.59717191926</v>
      </c>
      <c r="W153" s="295">
        <f>'CAR Mileage'!W174*CAR!$I$58</f>
        <v>31291.59717191926</v>
      </c>
      <c r="X153" s="295">
        <f>'CAR Mileage'!X174*CAR!$I$58</f>
        <v>31291.59717191926</v>
      </c>
      <c r="Y153" s="295">
        <f>'CAR Mileage'!Y174*CAR!$I$58</f>
        <v>31291.59717191926</v>
      </c>
      <c r="Z153" s="295">
        <f>'CAR Mileage'!Z174*CAR!$I$58</f>
        <v>31291.59717191926</v>
      </c>
      <c r="AA153" s="295">
        <f>'CAR Mileage'!AA174*CAR!$I$58</f>
        <v>31291.59717191926</v>
      </c>
      <c r="AB153" s="295">
        <f>'CAR Mileage'!AB174*CAR!$I$58</f>
        <v>31291.59717191926</v>
      </c>
      <c r="AC153" s="295">
        <f>'CAR Mileage'!AC174*CAR!$I$58</f>
        <v>31291.59717191926</v>
      </c>
      <c r="AD153" s="295">
        <f>'CAR Mileage'!AD174*CAR!$I$58</f>
        <v>31291.59717191926</v>
      </c>
      <c r="AE153" s="296">
        <f>'CAR Mileage'!AE174*CAR!$I$58</f>
        <v>31291.59717191926</v>
      </c>
      <c r="AG153" s="1711"/>
      <c r="AH153" s="116">
        <v>5</v>
      </c>
      <c r="AI153" s="294">
        <f>'CAR Passenger Kilometres'!C153*'CAR Stock'!C203</f>
        <v>229179657.68713665</v>
      </c>
      <c r="AJ153" s="295">
        <f>'CAR Passenger Kilometres'!D153*'CAR Stock'!D203</f>
        <v>403160937.96300775</v>
      </c>
      <c r="AK153" s="295">
        <f>'CAR Passenger Kilometres'!E153*'CAR Stock'!E203</f>
        <v>297207589.93888915</v>
      </c>
      <c r="AL153" s="295">
        <f>'CAR Passenger Kilometres'!F153*'CAR Stock'!F203</f>
        <v>480513766.17199218</v>
      </c>
      <c r="AM153" s="295">
        <f>'CAR Passenger Kilometres'!G153*'CAR Stock'!G203</f>
        <v>520504427.357705</v>
      </c>
      <c r="AN153" s="295">
        <f>'CAR Passenger Kilometres'!H153*'CAR Stock'!H203</f>
        <v>380130322.44447517</v>
      </c>
      <c r="AO153" s="295">
        <f>'CAR Passenger Kilometres'!I153*'CAR Stock'!I203</f>
        <v>0</v>
      </c>
      <c r="AP153" s="295">
        <f>'CAR Passenger Kilometres'!J153*'CAR Stock'!J203</f>
        <v>0</v>
      </c>
      <c r="AQ153" s="295">
        <f>'CAR Passenger Kilometres'!K153*'CAR Stock'!K203</f>
        <v>0</v>
      </c>
      <c r="AR153" s="295">
        <f>'CAR Passenger Kilometres'!L153*'CAR Stock'!L203</f>
        <v>0</v>
      </c>
      <c r="AS153" s="295">
        <f>'CAR Passenger Kilometres'!M153*'CAR Stock'!M203</f>
        <v>0</v>
      </c>
      <c r="AT153" s="295">
        <f>'CAR Passenger Kilometres'!N153*'CAR Stock'!N203</f>
        <v>0</v>
      </c>
      <c r="AU153" s="295">
        <f>'CAR Passenger Kilometres'!O153*'CAR Stock'!O203</f>
        <v>0</v>
      </c>
      <c r="AV153" s="295">
        <f>'CAR Passenger Kilometres'!P153*'CAR Stock'!P203</f>
        <v>0</v>
      </c>
      <c r="AW153" s="295">
        <f>'CAR Passenger Kilometres'!Q153*'CAR Stock'!Q203</f>
        <v>0</v>
      </c>
      <c r="AX153" s="295">
        <f>'CAR Passenger Kilometres'!R153*'CAR Stock'!R203</f>
        <v>0</v>
      </c>
      <c r="AY153" s="295">
        <f>'CAR Passenger Kilometres'!S153*'CAR Stock'!S203</f>
        <v>0</v>
      </c>
      <c r="AZ153" s="295">
        <f>'CAR Passenger Kilometres'!T153*'CAR Stock'!T203</f>
        <v>0</v>
      </c>
      <c r="BA153" s="295">
        <f>'CAR Passenger Kilometres'!U153*'CAR Stock'!U203</f>
        <v>0</v>
      </c>
      <c r="BB153" s="295">
        <f>'CAR Passenger Kilometres'!V153*'CAR Stock'!V203</f>
        <v>0</v>
      </c>
      <c r="BC153" s="295">
        <f>'CAR Passenger Kilometres'!W153*'CAR Stock'!W203</f>
        <v>0</v>
      </c>
      <c r="BD153" s="295">
        <f>'CAR Passenger Kilometres'!X153*'CAR Stock'!X203</f>
        <v>0</v>
      </c>
      <c r="BE153" s="295">
        <f>'CAR Passenger Kilometres'!Y153*'CAR Stock'!Y203</f>
        <v>0</v>
      </c>
      <c r="BF153" s="295">
        <f>'CAR Passenger Kilometres'!Z153*'CAR Stock'!Z203</f>
        <v>0</v>
      </c>
      <c r="BG153" s="295">
        <f>'CAR Passenger Kilometres'!AA153*'CAR Stock'!AA203</f>
        <v>0</v>
      </c>
      <c r="BH153" s="295">
        <f>'CAR Passenger Kilometres'!AB153*'CAR Stock'!AB203</f>
        <v>0</v>
      </c>
      <c r="BI153" s="295">
        <f>'CAR Passenger Kilometres'!AC153*'CAR Stock'!AC203</f>
        <v>0</v>
      </c>
      <c r="BJ153" s="295">
        <f>'CAR Passenger Kilometres'!AD153*'CAR Stock'!AD203</f>
        <v>0</v>
      </c>
      <c r="BK153" s="296">
        <f>'CAR Passenger Kilometres'!AE153*'CAR Stock'!AE203</f>
        <v>0</v>
      </c>
    </row>
    <row r="154" spans="1:63">
      <c r="A154" s="1711"/>
      <c r="B154" s="116">
        <v>6</v>
      </c>
      <c r="C154" s="294">
        <f>'CAR Mileage'!C175*CAR!$I$58</f>
        <v>30665.765228480876</v>
      </c>
      <c r="D154" s="295">
        <f>'CAR Mileage'!D175*CAR!$I$58</f>
        <v>30665.765228480876</v>
      </c>
      <c r="E154" s="295">
        <f>'CAR Mileage'!E175*CAR!$I$58</f>
        <v>30665.765228480876</v>
      </c>
      <c r="F154" s="295">
        <f>'CAR Mileage'!F175*CAR!$I$58</f>
        <v>30665.765228480876</v>
      </c>
      <c r="G154" s="295">
        <f>'CAR Mileage'!G175*CAR!$I$58</f>
        <v>30665.765228480876</v>
      </c>
      <c r="H154" s="295">
        <f>'CAR Mileage'!H175*CAR!$I$58</f>
        <v>30665.765228480876</v>
      </c>
      <c r="I154" s="295">
        <f>'CAR Mileage'!I175*CAR!$I$58</f>
        <v>30665.765228480876</v>
      </c>
      <c r="J154" s="295">
        <f>'CAR Mileage'!J175*CAR!$I$58</f>
        <v>30665.765228480876</v>
      </c>
      <c r="K154" s="295">
        <f>'CAR Mileage'!K175*CAR!$I$58</f>
        <v>30665.765228480876</v>
      </c>
      <c r="L154" s="295">
        <f>'CAR Mileage'!L175*CAR!$I$58</f>
        <v>30665.765228480876</v>
      </c>
      <c r="M154" s="295">
        <f>'CAR Mileage'!M175*CAR!$I$58</f>
        <v>30665.765228480876</v>
      </c>
      <c r="N154" s="295">
        <f>'CAR Mileage'!N175*CAR!$I$58</f>
        <v>30665.765228480876</v>
      </c>
      <c r="O154" s="295">
        <f>'CAR Mileage'!O175*CAR!$I$58</f>
        <v>30665.765228480876</v>
      </c>
      <c r="P154" s="295">
        <f>'CAR Mileage'!P175*CAR!$I$58</f>
        <v>30665.765228480876</v>
      </c>
      <c r="Q154" s="295">
        <f>'CAR Mileage'!Q175*CAR!$I$58</f>
        <v>30665.765228480876</v>
      </c>
      <c r="R154" s="295">
        <f>'CAR Mileage'!R175*CAR!$I$58</f>
        <v>30665.765228480876</v>
      </c>
      <c r="S154" s="295">
        <f>'CAR Mileage'!S175*CAR!$I$58</f>
        <v>30665.765228480876</v>
      </c>
      <c r="T154" s="295">
        <f>'CAR Mileage'!T175*CAR!$I$58</f>
        <v>30665.765228480876</v>
      </c>
      <c r="U154" s="295">
        <f>'CAR Mileage'!U175*CAR!$I$58</f>
        <v>30665.765228480876</v>
      </c>
      <c r="V154" s="295">
        <f>'CAR Mileage'!V175*CAR!$I$58</f>
        <v>30665.765228480876</v>
      </c>
      <c r="W154" s="295">
        <f>'CAR Mileage'!W175*CAR!$I$58</f>
        <v>30665.765228480876</v>
      </c>
      <c r="X154" s="295">
        <f>'CAR Mileage'!X175*CAR!$I$58</f>
        <v>30665.765228480876</v>
      </c>
      <c r="Y154" s="295">
        <f>'CAR Mileage'!Y175*CAR!$I$58</f>
        <v>30665.765228480876</v>
      </c>
      <c r="Z154" s="295">
        <f>'CAR Mileage'!Z175*CAR!$I$58</f>
        <v>30665.765228480876</v>
      </c>
      <c r="AA154" s="295">
        <f>'CAR Mileage'!AA175*CAR!$I$58</f>
        <v>30665.765228480876</v>
      </c>
      <c r="AB154" s="295">
        <f>'CAR Mileage'!AB175*CAR!$I$58</f>
        <v>30665.765228480876</v>
      </c>
      <c r="AC154" s="295">
        <f>'CAR Mileage'!AC175*CAR!$I$58</f>
        <v>30665.765228480876</v>
      </c>
      <c r="AD154" s="295">
        <f>'CAR Mileage'!AD175*CAR!$I$58</f>
        <v>30665.765228480876</v>
      </c>
      <c r="AE154" s="296">
        <f>'CAR Mileage'!AE175*CAR!$I$58</f>
        <v>30665.765228480876</v>
      </c>
      <c r="AG154" s="1711"/>
      <c r="AH154" s="116">
        <v>6</v>
      </c>
      <c r="AI154" s="294">
        <f>'CAR Passenger Kilometres'!C154*'CAR Stock'!C204</f>
        <v>180498694.13483843</v>
      </c>
      <c r="AJ154" s="295">
        <f>'CAR Passenger Kilometres'!D154*'CAR Stock'!D204</f>
        <v>224596064.53339392</v>
      </c>
      <c r="AK154" s="295">
        <f>'CAR Passenger Kilometres'!E154*'CAR Stock'!E204</f>
        <v>395097719.20374757</v>
      </c>
      <c r="AL154" s="295">
        <f>'CAR Passenger Kilometres'!F154*'CAR Stock'!F204</f>
        <v>291263438.14011133</v>
      </c>
      <c r="AM154" s="295">
        <f>'CAR Passenger Kilometres'!G154*'CAR Stock'!G204</f>
        <v>470903490.84855235</v>
      </c>
      <c r="AN154" s="295">
        <f>'CAR Passenger Kilometres'!H154*'CAR Stock'!H204</f>
        <v>510094338.81055087</v>
      </c>
      <c r="AO154" s="295">
        <f>'CAR Passenger Kilometres'!I154*'CAR Stock'!I204</f>
        <v>372527715.99558568</v>
      </c>
      <c r="AP154" s="295">
        <f>'CAR Passenger Kilometres'!J154*'CAR Stock'!J204</f>
        <v>0</v>
      </c>
      <c r="AQ154" s="295">
        <f>'CAR Passenger Kilometres'!K154*'CAR Stock'!K204</f>
        <v>0</v>
      </c>
      <c r="AR154" s="295">
        <f>'CAR Passenger Kilometres'!L154*'CAR Stock'!L204</f>
        <v>0</v>
      </c>
      <c r="AS154" s="295">
        <f>'CAR Passenger Kilometres'!M154*'CAR Stock'!M204</f>
        <v>0</v>
      </c>
      <c r="AT154" s="295">
        <f>'CAR Passenger Kilometres'!N154*'CAR Stock'!N204</f>
        <v>0</v>
      </c>
      <c r="AU154" s="295">
        <f>'CAR Passenger Kilometres'!O154*'CAR Stock'!O204</f>
        <v>0</v>
      </c>
      <c r="AV154" s="295">
        <f>'CAR Passenger Kilometres'!P154*'CAR Stock'!P204</f>
        <v>0</v>
      </c>
      <c r="AW154" s="295">
        <f>'CAR Passenger Kilometres'!Q154*'CAR Stock'!Q204</f>
        <v>0</v>
      </c>
      <c r="AX154" s="295">
        <f>'CAR Passenger Kilometres'!R154*'CAR Stock'!R204</f>
        <v>0</v>
      </c>
      <c r="AY154" s="295">
        <f>'CAR Passenger Kilometres'!S154*'CAR Stock'!S204</f>
        <v>0</v>
      </c>
      <c r="AZ154" s="295">
        <f>'CAR Passenger Kilometres'!T154*'CAR Stock'!T204</f>
        <v>0</v>
      </c>
      <c r="BA154" s="295">
        <f>'CAR Passenger Kilometres'!U154*'CAR Stock'!U204</f>
        <v>0</v>
      </c>
      <c r="BB154" s="295">
        <f>'CAR Passenger Kilometres'!V154*'CAR Stock'!V204</f>
        <v>0</v>
      </c>
      <c r="BC154" s="295">
        <f>'CAR Passenger Kilometres'!W154*'CAR Stock'!W204</f>
        <v>0</v>
      </c>
      <c r="BD154" s="295">
        <f>'CAR Passenger Kilometres'!X154*'CAR Stock'!X204</f>
        <v>0</v>
      </c>
      <c r="BE154" s="295">
        <f>'CAR Passenger Kilometres'!Y154*'CAR Stock'!Y204</f>
        <v>0</v>
      </c>
      <c r="BF154" s="295">
        <f>'CAR Passenger Kilometres'!Z154*'CAR Stock'!Z204</f>
        <v>0</v>
      </c>
      <c r="BG154" s="295">
        <f>'CAR Passenger Kilometres'!AA154*'CAR Stock'!AA204</f>
        <v>0</v>
      </c>
      <c r="BH154" s="295">
        <f>'CAR Passenger Kilometres'!AB154*'CAR Stock'!AB204</f>
        <v>0</v>
      </c>
      <c r="BI154" s="295">
        <f>'CAR Passenger Kilometres'!AC154*'CAR Stock'!AC204</f>
        <v>0</v>
      </c>
      <c r="BJ154" s="295">
        <f>'CAR Passenger Kilometres'!AD154*'CAR Stock'!AD204</f>
        <v>0</v>
      </c>
      <c r="BK154" s="296">
        <f>'CAR Passenger Kilometres'!AE154*'CAR Stock'!AE204</f>
        <v>0</v>
      </c>
    </row>
    <row r="155" spans="1:63">
      <c r="A155" s="1711"/>
      <c r="B155" s="116">
        <v>7</v>
      </c>
      <c r="C155" s="294">
        <f>'CAR Mileage'!C176*CAR!$I$58</f>
        <v>30052.449923911256</v>
      </c>
      <c r="D155" s="295">
        <f>'CAR Mileage'!D176*CAR!$I$58</f>
        <v>30052.449923911256</v>
      </c>
      <c r="E155" s="295">
        <f>'CAR Mileage'!E176*CAR!$I$58</f>
        <v>30052.449923911256</v>
      </c>
      <c r="F155" s="295">
        <f>'CAR Mileage'!F176*CAR!$I$58</f>
        <v>30052.449923911256</v>
      </c>
      <c r="G155" s="295">
        <f>'CAR Mileage'!G176*CAR!$I$58</f>
        <v>30052.449923911256</v>
      </c>
      <c r="H155" s="295">
        <f>'CAR Mileage'!H176*CAR!$I$58</f>
        <v>30052.449923911256</v>
      </c>
      <c r="I155" s="295">
        <f>'CAR Mileage'!I176*CAR!$I$58</f>
        <v>30052.449923911256</v>
      </c>
      <c r="J155" s="295">
        <f>'CAR Mileage'!J176*CAR!$I$58</f>
        <v>30052.449923911256</v>
      </c>
      <c r="K155" s="295">
        <f>'CAR Mileage'!K176*CAR!$I$58</f>
        <v>30052.449923911256</v>
      </c>
      <c r="L155" s="295">
        <f>'CAR Mileage'!L176*CAR!$I$58</f>
        <v>30052.449923911256</v>
      </c>
      <c r="M155" s="295">
        <f>'CAR Mileage'!M176*CAR!$I$58</f>
        <v>30052.449923911256</v>
      </c>
      <c r="N155" s="295">
        <f>'CAR Mileage'!N176*CAR!$I$58</f>
        <v>30052.449923911256</v>
      </c>
      <c r="O155" s="295">
        <f>'CAR Mileage'!O176*CAR!$I$58</f>
        <v>30052.449923911256</v>
      </c>
      <c r="P155" s="295">
        <f>'CAR Mileage'!P176*CAR!$I$58</f>
        <v>30052.449923911256</v>
      </c>
      <c r="Q155" s="295">
        <f>'CAR Mileage'!Q176*CAR!$I$58</f>
        <v>30052.449923911256</v>
      </c>
      <c r="R155" s="295">
        <f>'CAR Mileage'!R176*CAR!$I$58</f>
        <v>30052.449923911256</v>
      </c>
      <c r="S155" s="295">
        <f>'CAR Mileage'!S176*CAR!$I$58</f>
        <v>30052.449923911256</v>
      </c>
      <c r="T155" s="295">
        <f>'CAR Mileage'!T176*CAR!$I$58</f>
        <v>30052.449923911256</v>
      </c>
      <c r="U155" s="295">
        <f>'CAR Mileage'!U176*CAR!$I$58</f>
        <v>30052.449923911256</v>
      </c>
      <c r="V155" s="295">
        <f>'CAR Mileage'!V176*CAR!$I$58</f>
        <v>30052.449923911256</v>
      </c>
      <c r="W155" s="295">
        <f>'CAR Mileage'!W176*CAR!$I$58</f>
        <v>30052.449923911256</v>
      </c>
      <c r="X155" s="295">
        <f>'CAR Mileage'!X176*CAR!$I$58</f>
        <v>30052.449923911256</v>
      </c>
      <c r="Y155" s="295">
        <f>'CAR Mileage'!Y176*CAR!$I$58</f>
        <v>30052.449923911256</v>
      </c>
      <c r="Z155" s="295">
        <f>'CAR Mileage'!Z176*CAR!$I$58</f>
        <v>30052.449923911256</v>
      </c>
      <c r="AA155" s="295">
        <f>'CAR Mileage'!AA176*CAR!$I$58</f>
        <v>30052.449923911256</v>
      </c>
      <c r="AB155" s="295">
        <f>'CAR Mileage'!AB176*CAR!$I$58</f>
        <v>30052.449923911256</v>
      </c>
      <c r="AC155" s="295">
        <f>'CAR Mileage'!AC176*CAR!$I$58</f>
        <v>30052.449923911256</v>
      </c>
      <c r="AD155" s="295">
        <f>'CAR Mileage'!AD176*CAR!$I$58</f>
        <v>30052.449923911256</v>
      </c>
      <c r="AE155" s="296">
        <f>'CAR Mileage'!AE176*CAR!$I$58</f>
        <v>30052.449923911256</v>
      </c>
      <c r="AG155" s="1711"/>
      <c r="AH155" s="116">
        <v>7</v>
      </c>
      <c r="AI155" s="294">
        <f>'CAR Passenger Kilometres'!C155*'CAR Stock'!C205</f>
        <v>170697915.56781593</v>
      </c>
      <c r="AJ155" s="295">
        <f>'CAR Passenger Kilometres'!D155*'CAR Stock'!D205</f>
        <v>176888720.25214165</v>
      </c>
      <c r="AK155" s="295">
        <f>'CAR Passenger Kilometres'!E155*'CAR Stock'!E205</f>
        <v>220104143.24272603</v>
      </c>
      <c r="AL155" s="295">
        <f>'CAR Passenger Kilometres'!F155*'CAR Stock'!F205</f>
        <v>387195764.81967264</v>
      </c>
      <c r="AM155" s="295">
        <f>'CAR Passenger Kilometres'!G155*'CAR Stock'!G205</f>
        <v>285438169.37730908</v>
      </c>
      <c r="AN155" s="295">
        <f>'CAR Passenger Kilometres'!H155*'CAR Stock'!H205</f>
        <v>461485421.03158122</v>
      </c>
      <c r="AO155" s="295">
        <f>'CAR Passenger Kilometres'!I155*'CAR Stock'!I205</f>
        <v>499892452.03433985</v>
      </c>
      <c r="AP155" s="295">
        <f>'CAR Passenger Kilometres'!J155*'CAR Stock'!J205</f>
        <v>365077161.67567396</v>
      </c>
      <c r="AQ155" s="295">
        <f>'CAR Passenger Kilometres'!K155*'CAR Stock'!K205</f>
        <v>0</v>
      </c>
      <c r="AR155" s="295">
        <f>'CAR Passenger Kilometres'!L155*'CAR Stock'!L205</f>
        <v>0</v>
      </c>
      <c r="AS155" s="295">
        <f>'CAR Passenger Kilometres'!M155*'CAR Stock'!M205</f>
        <v>0</v>
      </c>
      <c r="AT155" s="295">
        <f>'CAR Passenger Kilometres'!N155*'CAR Stock'!N205</f>
        <v>0</v>
      </c>
      <c r="AU155" s="295">
        <f>'CAR Passenger Kilometres'!O155*'CAR Stock'!O205</f>
        <v>0</v>
      </c>
      <c r="AV155" s="295">
        <f>'CAR Passenger Kilometres'!P155*'CAR Stock'!P205</f>
        <v>0</v>
      </c>
      <c r="AW155" s="295">
        <f>'CAR Passenger Kilometres'!Q155*'CAR Stock'!Q205</f>
        <v>0</v>
      </c>
      <c r="AX155" s="295">
        <f>'CAR Passenger Kilometres'!R155*'CAR Stock'!R205</f>
        <v>0</v>
      </c>
      <c r="AY155" s="295">
        <f>'CAR Passenger Kilometres'!S155*'CAR Stock'!S205</f>
        <v>0</v>
      </c>
      <c r="AZ155" s="295">
        <f>'CAR Passenger Kilometres'!T155*'CAR Stock'!T205</f>
        <v>0</v>
      </c>
      <c r="BA155" s="295">
        <f>'CAR Passenger Kilometres'!U155*'CAR Stock'!U205</f>
        <v>0</v>
      </c>
      <c r="BB155" s="295">
        <f>'CAR Passenger Kilometres'!V155*'CAR Stock'!V205</f>
        <v>0</v>
      </c>
      <c r="BC155" s="295">
        <f>'CAR Passenger Kilometres'!W155*'CAR Stock'!W205</f>
        <v>0</v>
      </c>
      <c r="BD155" s="295">
        <f>'CAR Passenger Kilometres'!X155*'CAR Stock'!X205</f>
        <v>0</v>
      </c>
      <c r="BE155" s="295">
        <f>'CAR Passenger Kilometres'!Y155*'CAR Stock'!Y205</f>
        <v>0</v>
      </c>
      <c r="BF155" s="295">
        <f>'CAR Passenger Kilometres'!Z155*'CAR Stock'!Z205</f>
        <v>0</v>
      </c>
      <c r="BG155" s="295">
        <f>'CAR Passenger Kilometres'!AA155*'CAR Stock'!AA205</f>
        <v>0</v>
      </c>
      <c r="BH155" s="295">
        <f>'CAR Passenger Kilometres'!AB155*'CAR Stock'!AB205</f>
        <v>0</v>
      </c>
      <c r="BI155" s="295">
        <f>'CAR Passenger Kilometres'!AC155*'CAR Stock'!AC205</f>
        <v>0</v>
      </c>
      <c r="BJ155" s="295">
        <f>'CAR Passenger Kilometres'!AD155*'CAR Stock'!AD205</f>
        <v>0</v>
      </c>
      <c r="BK155" s="296">
        <f>'CAR Passenger Kilometres'!AE155*'CAR Stock'!AE205</f>
        <v>0</v>
      </c>
    </row>
    <row r="156" spans="1:63">
      <c r="A156" s="1711"/>
      <c r="B156" s="116">
        <v>8</v>
      </c>
      <c r="C156" s="294">
        <f>'CAR Mileage'!C177*CAR!$I$58</f>
        <v>29451.40092543303</v>
      </c>
      <c r="D156" s="295">
        <f>'CAR Mileage'!D177*CAR!$I$58</f>
        <v>29451.40092543303</v>
      </c>
      <c r="E156" s="295">
        <f>'CAR Mileage'!E177*CAR!$I$58</f>
        <v>29451.40092543303</v>
      </c>
      <c r="F156" s="295">
        <f>'CAR Mileage'!F177*CAR!$I$58</f>
        <v>29451.40092543303</v>
      </c>
      <c r="G156" s="295">
        <f>'CAR Mileage'!G177*CAR!$I$58</f>
        <v>29451.40092543303</v>
      </c>
      <c r="H156" s="295">
        <f>'CAR Mileage'!H177*CAR!$I$58</f>
        <v>29451.40092543303</v>
      </c>
      <c r="I156" s="295">
        <f>'CAR Mileage'!I177*CAR!$I$58</f>
        <v>29451.40092543303</v>
      </c>
      <c r="J156" s="295">
        <f>'CAR Mileage'!J177*CAR!$I$58</f>
        <v>29451.40092543303</v>
      </c>
      <c r="K156" s="295">
        <f>'CAR Mileage'!K177*CAR!$I$58</f>
        <v>29451.40092543303</v>
      </c>
      <c r="L156" s="295">
        <f>'CAR Mileage'!L177*CAR!$I$58</f>
        <v>29451.40092543303</v>
      </c>
      <c r="M156" s="295">
        <f>'CAR Mileage'!M177*CAR!$I$58</f>
        <v>29451.40092543303</v>
      </c>
      <c r="N156" s="295">
        <f>'CAR Mileage'!N177*CAR!$I$58</f>
        <v>29451.40092543303</v>
      </c>
      <c r="O156" s="295">
        <f>'CAR Mileage'!O177*CAR!$I$58</f>
        <v>29451.40092543303</v>
      </c>
      <c r="P156" s="295">
        <f>'CAR Mileage'!P177*CAR!$I$58</f>
        <v>29451.40092543303</v>
      </c>
      <c r="Q156" s="295">
        <f>'CAR Mileage'!Q177*CAR!$I$58</f>
        <v>29451.40092543303</v>
      </c>
      <c r="R156" s="295">
        <f>'CAR Mileage'!R177*CAR!$I$58</f>
        <v>29451.40092543303</v>
      </c>
      <c r="S156" s="295">
        <f>'CAR Mileage'!S177*CAR!$I$58</f>
        <v>29451.40092543303</v>
      </c>
      <c r="T156" s="295">
        <f>'CAR Mileage'!T177*CAR!$I$58</f>
        <v>29451.40092543303</v>
      </c>
      <c r="U156" s="295">
        <f>'CAR Mileage'!U177*CAR!$I$58</f>
        <v>29451.40092543303</v>
      </c>
      <c r="V156" s="295">
        <f>'CAR Mileage'!V177*CAR!$I$58</f>
        <v>29451.40092543303</v>
      </c>
      <c r="W156" s="295">
        <f>'CAR Mileage'!W177*CAR!$I$58</f>
        <v>29451.40092543303</v>
      </c>
      <c r="X156" s="295">
        <f>'CAR Mileage'!X177*CAR!$I$58</f>
        <v>29451.40092543303</v>
      </c>
      <c r="Y156" s="295">
        <f>'CAR Mileage'!Y177*CAR!$I$58</f>
        <v>29451.40092543303</v>
      </c>
      <c r="Z156" s="295">
        <f>'CAR Mileage'!Z177*CAR!$I$58</f>
        <v>29451.40092543303</v>
      </c>
      <c r="AA156" s="295">
        <f>'CAR Mileage'!AA177*CAR!$I$58</f>
        <v>29451.40092543303</v>
      </c>
      <c r="AB156" s="295">
        <f>'CAR Mileage'!AB177*CAR!$I$58</f>
        <v>29451.40092543303</v>
      </c>
      <c r="AC156" s="295">
        <f>'CAR Mileage'!AC177*CAR!$I$58</f>
        <v>29451.40092543303</v>
      </c>
      <c r="AD156" s="295">
        <f>'CAR Mileage'!AD177*CAR!$I$58</f>
        <v>29451.40092543303</v>
      </c>
      <c r="AE156" s="296">
        <f>'CAR Mileage'!AE177*CAR!$I$58</f>
        <v>29451.40092543303</v>
      </c>
      <c r="AG156" s="1711"/>
      <c r="AH156" s="116">
        <v>8</v>
      </c>
      <c r="AI156" s="294">
        <f>'CAR Passenger Kilometres'!C156*'CAR Stock'!C206</f>
        <v>102049104.20662545</v>
      </c>
      <c r="AJ156" s="295">
        <f>'CAR Passenger Kilometres'!D156*'CAR Stock'!D206</f>
        <v>167283957.25645962</v>
      </c>
      <c r="AK156" s="295">
        <f>'CAR Passenger Kilometres'!E156*'CAR Stock'!E206</f>
        <v>173350945.84709883</v>
      </c>
      <c r="AL156" s="295">
        <f>'CAR Passenger Kilometres'!F156*'CAR Stock'!F206</f>
        <v>215702060.37787151</v>
      </c>
      <c r="AM156" s="295">
        <f>'CAR Passenger Kilometres'!G156*'CAR Stock'!G206</f>
        <v>379451849.52327919</v>
      </c>
      <c r="AN156" s="295">
        <f>'CAR Passenger Kilometres'!H156*'CAR Stock'!H206</f>
        <v>279729405.9897629</v>
      </c>
      <c r="AO156" s="295">
        <f>'CAR Passenger Kilometres'!I156*'CAR Stock'!I206</f>
        <v>452255712.61094964</v>
      </c>
      <c r="AP156" s="295">
        <f>'CAR Passenger Kilometres'!J156*'CAR Stock'!J206</f>
        <v>489894602.993653</v>
      </c>
      <c r="AQ156" s="295">
        <f>'CAR Passenger Kilometres'!K156*'CAR Stock'!K206</f>
        <v>357775618.44216043</v>
      </c>
      <c r="AR156" s="295">
        <f>'CAR Passenger Kilometres'!L156*'CAR Stock'!L206</f>
        <v>0</v>
      </c>
      <c r="AS156" s="295">
        <f>'CAR Passenger Kilometres'!M156*'CAR Stock'!M206</f>
        <v>0</v>
      </c>
      <c r="AT156" s="295">
        <f>'CAR Passenger Kilometres'!N156*'CAR Stock'!N206</f>
        <v>0</v>
      </c>
      <c r="AU156" s="295">
        <f>'CAR Passenger Kilometres'!O156*'CAR Stock'!O206</f>
        <v>0</v>
      </c>
      <c r="AV156" s="295">
        <f>'CAR Passenger Kilometres'!P156*'CAR Stock'!P206</f>
        <v>0</v>
      </c>
      <c r="AW156" s="295">
        <f>'CAR Passenger Kilometres'!Q156*'CAR Stock'!Q206</f>
        <v>0</v>
      </c>
      <c r="AX156" s="295">
        <f>'CAR Passenger Kilometres'!R156*'CAR Stock'!R206</f>
        <v>0</v>
      </c>
      <c r="AY156" s="295">
        <f>'CAR Passenger Kilometres'!S156*'CAR Stock'!S206</f>
        <v>0</v>
      </c>
      <c r="AZ156" s="295">
        <f>'CAR Passenger Kilometres'!T156*'CAR Stock'!T206</f>
        <v>0</v>
      </c>
      <c r="BA156" s="295">
        <f>'CAR Passenger Kilometres'!U156*'CAR Stock'!U206</f>
        <v>0</v>
      </c>
      <c r="BB156" s="295">
        <f>'CAR Passenger Kilometres'!V156*'CAR Stock'!V206</f>
        <v>0</v>
      </c>
      <c r="BC156" s="295">
        <f>'CAR Passenger Kilometres'!W156*'CAR Stock'!W206</f>
        <v>0</v>
      </c>
      <c r="BD156" s="295">
        <f>'CAR Passenger Kilometres'!X156*'CAR Stock'!X206</f>
        <v>0</v>
      </c>
      <c r="BE156" s="295">
        <f>'CAR Passenger Kilometres'!Y156*'CAR Stock'!Y206</f>
        <v>0</v>
      </c>
      <c r="BF156" s="295">
        <f>'CAR Passenger Kilometres'!Z156*'CAR Stock'!Z206</f>
        <v>0</v>
      </c>
      <c r="BG156" s="295">
        <f>'CAR Passenger Kilometres'!AA156*'CAR Stock'!AA206</f>
        <v>0</v>
      </c>
      <c r="BH156" s="295">
        <f>'CAR Passenger Kilometres'!AB156*'CAR Stock'!AB206</f>
        <v>0</v>
      </c>
      <c r="BI156" s="295">
        <f>'CAR Passenger Kilometres'!AC156*'CAR Stock'!AC206</f>
        <v>0</v>
      </c>
      <c r="BJ156" s="295">
        <f>'CAR Passenger Kilometres'!AD156*'CAR Stock'!AD206</f>
        <v>0</v>
      </c>
      <c r="BK156" s="296">
        <f>'CAR Passenger Kilometres'!AE156*'CAR Stock'!AE206</f>
        <v>0</v>
      </c>
    </row>
    <row r="157" spans="1:63">
      <c r="A157" s="1711"/>
      <c r="B157" s="116">
        <v>9</v>
      </c>
      <c r="C157" s="294">
        <f>'CAR Mileage'!C178*CAR!$I$58</f>
        <v>28862.372906924367</v>
      </c>
      <c r="D157" s="295">
        <f>'CAR Mileage'!D178*CAR!$I$58</f>
        <v>28862.372906924367</v>
      </c>
      <c r="E157" s="295">
        <f>'CAR Mileage'!E178*CAR!$I$58</f>
        <v>28862.372906924367</v>
      </c>
      <c r="F157" s="295">
        <f>'CAR Mileage'!F178*CAR!$I$58</f>
        <v>28862.372906924367</v>
      </c>
      <c r="G157" s="295">
        <f>'CAR Mileage'!G178*CAR!$I$58</f>
        <v>28862.372906924367</v>
      </c>
      <c r="H157" s="295">
        <f>'CAR Mileage'!H178*CAR!$I$58</f>
        <v>28862.372906924367</v>
      </c>
      <c r="I157" s="295">
        <f>'CAR Mileage'!I178*CAR!$I$58</f>
        <v>28862.372906924367</v>
      </c>
      <c r="J157" s="295">
        <f>'CAR Mileage'!J178*CAR!$I$58</f>
        <v>28862.372906924367</v>
      </c>
      <c r="K157" s="295">
        <f>'CAR Mileage'!K178*CAR!$I$58</f>
        <v>28862.372906924367</v>
      </c>
      <c r="L157" s="295">
        <f>'CAR Mileage'!L178*CAR!$I$58</f>
        <v>28862.372906924367</v>
      </c>
      <c r="M157" s="295">
        <f>'CAR Mileage'!M178*CAR!$I$58</f>
        <v>28862.372906924367</v>
      </c>
      <c r="N157" s="295">
        <f>'CAR Mileage'!N178*CAR!$I$58</f>
        <v>28862.372906924367</v>
      </c>
      <c r="O157" s="295">
        <f>'CAR Mileage'!O178*CAR!$I$58</f>
        <v>28862.372906924367</v>
      </c>
      <c r="P157" s="295">
        <f>'CAR Mileage'!P178*CAR!$I$58</f>
        <v>28862.372906924367</v>
      </c>
      <c r="Q157" s="295">
        <f>'CAR Mileage'!Q178*CAR!$I$58</f>
        <v>28862.372906924367</v>
      </c>
      <c r="R157" s="295">
        <f>'CAR Mileage'!R178*CAR!$I$58</f>
        <v>28862.372906924367</v>
      </c>
      <c r="S157" s="295">
        <f>'CAR Mileage'!S178*CAR!$I$58</f>
        <v>28862.372906924367</v>
      </c>
      <c r="T157" s="295">
        <f>'CAR Mileage'!T178*CAR!$I$58</f>
        <v>28862.372906924367</v>
      </c>
      <c r="U157" s="295">
        <f>'CAR Mileage'!U178*CAR!$I$58</f>
        <v>28862.372906924367</v>
      </c>
      <c r="V157" s="295">
        <f>'CAR Mileage'!V178*CAR!$I$58</f>
        <v>28862.372906924367</v>
      </c>
      <c r="W157" s="295">
        <f>'CAR Mileage'!W178*CAR!$I$58</f>
        <v>28862.372906924367</v>
      </c>
      <c r="X157" s="295">
        <f>'CAR Mileage'!X178*CAR!$I$58</f>
        <v>28862.372906924367</v>
      </c>
      <c r="Y157" s="295">
        <f>'CAR Mileage'!Y178*CAR!$I$58</f>
        <v>28862.372906924367</v>
      </c>
      <c r="Z157" s="295">
        <f>'CAR Mileage'!Z178*CAR!$I$58</f>
        <v>28862.372906924367</v>
      </c>
      <c r="AA157" s="295">
        <f>'CAR Mileage'!AA178*CAR!$I$58</f>
        <v>28862.372906924367</v>
      </c>
      <c r="AB157" s="295">
        <f>'CAR Mileage'!AB178*CAR!$I$58</f>
        <v>28862.372906924367</v>
      </c>
      <c r="AC157" s="295">
        <f>'CAR Mileage'!AC178*CAR!$I$58</f>
        <v>28862.372906924367</v>
      </c>
      <c r="AD157" s="295">
        <f>'CAR Mileage'!AD178*CAR!$I$58</f>
        <v>28862.372906924367</v>
      </c>
      <c r="AE157" s="296">
        <f>'CAR Mileage'!AE178*CAR!$I$58</f>
        <v>28862.372906924367</v>
      </c>
      <c r="AG157" s="1711"/>
      <c r="AH157" s="116">
        <v>9</v>
      </c>
      <c r="AI157" s="294">
        <f>'CAR Passenger Kilometres'!C157*'CAR Stock'!C207</f>
        <v>73627913.285564065</v>
      </c>
      <c r="AJ157" s="295">
        <f>'CAR Passenger Kilometres'!D157*'CAR Stock'!D207</f>
        <v>100008122.12249294</v>
      </c>
      <c r="AK157" s="295">
        <f>'CAR Passenger Kilometres'!E157*'CAR Stock'!E207</f>
        <v>163938278.11133042</v>
      </c>
      <c r="AL157" s="295">
        <f>'CAR Passenger Kilometres'!F157*'CAR Stock'!F207</f>
        <v>169883926.93015683</v>
      </c>
      <c r="AM157" s="295">
        <f>'CAR Passenger Kilometres'!G157*'CAR Stock'!G207</f>
        <v>211388019.17031407</v>
      </c>
      <c r="AN157" s="295">
        <f>'CAR Passenger Kilometres'!H157*'CAR Stock'!H207</f>
        <v>371862812.53281355</v>
      </c>
      <c r="AO157" s="295">
        <f>'CAR Passenger Kilometres'!I157*'CAR Stock'!I207</f>
        <v>274134817.86996764</v>
      </c>
      <c r="AP157" s="295">
        <f>'CAR Passenger Kilometres'!J157*'CAR Stock'!J207</f>
        <v>443210598.35873055</v>
      </c>
      <c r="AQ157" s="295">
        <f>'CAR Passenger Kilometres'!K157*'CAR Stock'!K207</f>
        <v>480096710.93377995</v>
      </c>
      <c r="AR157" s="295">
        <f>'CAR Passenger Kilometres'!L157*'CAR Stock'!L207</f>
        <v>350620106.07331723</v>
      </c>
      <c r="AS157" s="295">
        <f>'CAR Passenger Kilometres'!M157*'CAR Stock'!M207</f>
        <v>0</v>
      </c>
      <c r="AT157" s="295">
        <f>'CAR Passenger Kilometres'!N157*'CAR Stock'!N207</f>
        <v>0</v>
      </c>
      <c r="AU157" s="295">
        <f>'CAR Passenger Kilometres'!O157*'CAR Stock'!O207</f>
        <v>0</v>
      </c>
      <c r="AV157" s="295">
        <f>'CAR Passenger Kilometres'!P157*'CAR Stock'!P207</f>
        <v>0</v>
      </c>
      <c r="AW157" s="295">
        <f>'CAR Passenger Kilometres'!Q157*'CAR Stock'!Q207</f>
        <v>0</v>
      </c>
      <c r="AX157" s="295">
        <f>'CAR Passenger Kilometres'!R157*'CAR Stock'!R207</f>
        <v>0</v>
      </c>
      <c r="AY157" s="295">
        <f>'CAR Passenger Kilometres'!S157*'CAR Stock'!S207</f>
        <v>0</v>
      </c>
      <c r="AZ157" s="295">
        <f>'CAR Passenger Kilometres'!T157*'CAR Stock'!T207</f>
        <v>0</v>
      </c>
      <c r="BA157" s="295">
        <f>'CAR Passenger Kilometres'!U157*'CAR Stock'!U207</f>
        <v>0</v>
      </c>
      <c r="BB157" s="295">
        <f>'CAR Passenger Kilometres'!V157*'CAR Stock'!V207</f>
        <v>0</v>
      </c>
      <c r="BC157" s="295">
        <f>'CAR Passenger Kilometres'!W157*'CAR Stock'!W207</f>
        <v>0</v>
      </c>
      <c r="BD157" s="295">
        <f>'CAR Passenger Kilometres'!X157*'CAR Stock'!X207</f>
        <v>0</v>
      </c>
      <c r="BE157" s="295">
        <f>'CAR Passenger Kilometres'!Y157*'CAR Stock'!Y207</f>
        <v>0</v>
      </c>
      <c r="BF157" s="295">
        <f>'CAR Passenger Kilometres'!Z157*'CAR Stock'!Z207</f>
        <v>0</v>
      </c>
      <c r="BG157" s="295">
        <f>'CAR Passenger Kilometres'!AA157*'CAR Stock'!AA207</f>
        <v>0</v>
      </c>
      <c r="BH157" s="295">
        <f>'CAR Passenger Kilometres'!AB157*'CAR Stock'!AB207</f>
        <v>0</v>
      </c>
      <c r="BI157" s="295">
        <f>'CAR Passenger Kilometres'!AC157*'CAR Stock'!AC207</f>
        <v>0</v>
      </c>
      <c r="BJ157" s="295">
        <f>'CAR Passenger Kilometres'!AD157*'CAR Stock'!AD207</f>
        <v>0</v>
      </c>
      <c r="BK157" s="296">
        <f>'CAR Passenger Kilometres'!AE157*'CAR Stock'!AE207</f>
        <v>0</v>
      </c>
    </row>
    <row r="158" spans="1:63">
      <c r="A158" s="1711"/>
      <c r="B158" s="116">
        <v>10</v>
      </c>
      <c r="C158" s="294">
        <f>'CAR Mileage'!C179*CAR!$I$58</f>
        <v>28285.125448785879</v>
      </c>
      <c r="D158" s="295">
        <f>'CAR Mileage'!D179*CAR!$I$58</f>
        <v>28285.125448785879</v>
      </c>
      <c r="E158" s="295">
        <f>'CAR Mileage'!E179*CAR!$I$58</f>
        <v>28285.125448785879</v>
      </c>
      <c r="F158" s="295">
        <f>'CAR Mileage'!F179*CAR!$I$58</f>
        <v>28285.125448785879</v>
      </c>
      <c r="G158" s="295">
        <f>'CAR Mileage'!G179*CAR!$I$58</f>
        <v>28285.125448785879</v>
      </c>
      <c r="H158" s="295">
        <f>'CAR Mileage'!H179*CAR!$I$58</f>
        <v>28285.125448785879</v>
      </c>
      <c r="I158" s="295">
        <f>'CAR Mileage'!I179*CAR!$I$58</f>
        <v>28285.125448785879</v>
      </c>
      <c r="J158" s="295">
        <f>'CAR Mileage'!J179*CAR!$I$58</f>
        <v>28285.125448785879</v>
      </c>
      <c r="K158" s="295">
        <f>'CAR Mileage'!K179*CAR!$I$58</f>
        <v>28285.125448785879</v>
      </c>
      <c r="L158" s="295">
        <f>'CAR Mileage'!L179*CAR!$I$58</f>
        <v>28285.125448785879</v>
      </c>
      <c r="M158" s="295">
        <f>'CAR Mileage'!M179*CAR!$I$58</f>
        <v>28285.125448785879</v>
      </c>
      <c r="N158" s="295">
        <f>'CAR Mileage'!N179*CAR!$I$58</f>
        <v>28285.125448785879</v>
      </c>
      <c r="O158" s="295">
        <f>'CAR Mileage'!O179*CAR!$I$58</f>
        <v>28285.125448785879</v>
      </c>
      <c r="P158" s="295">
        <f>'CAR Mileage'!P179*CAR!$I$58</f>
        <v>28285.125448785879</v>
      </c>
      <c r="Q158" s="295">
        <f>'CAR Mileage'!Q179*CAR!$I$58</f>
        <v>28285.125448785879</v>
      </c>
      <c r="R158" s="295">
        <f>'CAR Mileage'!R179*CAR!$I$58</f>
        <v>28285.125448785879</v>
      </c>
      <c r="S158" s="295">
        <f>'CAR Mileage'!S179*CAR!$I$58</f>
        <v>28285.125448785879</v>
      </c>
      <c r="T158" s="295">
        <f>'CAR Mileage'!T179*CAR!$I$58</f>
        <v>28285.125448785879</v>
      </c>
      <c r="U158" s="295">
        <f>'CAR Mileage'!U179*CAR!$I$58</f>
        <v>28285.125448785879</v>
      </c>
      <c r="V158" s="295">
        <f>'CAR Mileage'!V179*CAR!$I$58</f>
        <v>28285.125448785879</v>
      </c>
      <c r="W158" s="295">
        <f>'CAR Mileage'!W179*CAR!$I$58</f>
        <v>28285.125448785879</v>
      </c>
      <c r="X158" s="295">
        <f>'CAR Mileage'!X179*CAR!$I$58</f>
        <v>28285.125448785879</v>
      </c>
      <c r="Y158" s="295">
        <f>'CAR Mileage'!Y179*CAR!$I$58</f>
        <v>28285.125448785879</v>
      </c>
      <c r="Z158" s="295">
        <f>'CAR Mileage'!Z179*CAR!$I$58</f>
        <v>28285.125448785879</v>
      </c>
      <c r="AA158" s="295">
        <f>'CAR Mileage'!AA179*CAR!$I$58</f>
        <v>28285.125448785879</v>
      </c>
      <c r="AB158" s="295">
        <f>'CAR Mileage'!AB179*CAR!$I$58</f>
        <v>28285.125448785879</v>
      </c>
      <c r="AC158" s="295">
        <f>'CAR Mileage'!AC179*CAR!$I$58</f>
        <v>28285.125448785879</v>
      </c>
      <c r="AD158" s="295">
        <f>'CAR Mileage'!AD179*CAR!$I$58</f>
        <v>28285.125448785879</v>
      </c>
      <c r="AE158" s="296">
        <f>'CAR Mileage'!AE179*CAR!$I$58</f>
        <v>28285.125448785879</v>
      </c>
      <c r="AG158" s="1711"/>
      <c r="AH158" s="116">
        <v>10</v>
      </c>
      <c r="AI158" s="294">
        <f>'CAR Passenger Kilometres'!C158*'CAR Stock'!C208</f>
        <v>37477791.219641291</v>
      </c>
      <c r="AJ158" s="295">
        <f>'CAR Passenger Kilometres'!D158*'CAR Stock'!D208</f>
        <v>72155355.019852772</v>
      </c>
      <c r="AK158" s="295">
        <f>'CAR Passenger Kilometres'!E158*'CAR Stock'!E208</f>
        <v>98007959.680043072</v>
      </c>
      <c r="AL158" s="295">
        <f>'CAR Passenger Kilometres'!F158*'CAR Stock'!F208</f>
        <v>160659512.5491038</v>
      </c>
      <c r="AM158" s="295">
        <f>'CAR Passenger Kilometres'!G158*'CAR Stock'!G208</f>
        <v>166486248.39155367</v>
      </c>
      <c r="AN158" s="295">
        <f>'CAR Passenger Kilometres'!H158*'CAR Stock'!H208</f>
        <v>207160258.78690776</v>
      </c>
      <c r="AO158" s="295">
        <f>'CAR Passenger Kilometres'!I158*'CAR Stock'!I208</f>
        <v>364425556.28215724</v>
      </c>
      <c r="AP158" s="295">
        <f>'CAR Passenger Kilometres'!J158*'CAR Stock'!J208</f>
        <v>268652121.5125683</v>
      </c>
      <c r="AQ158" s="295">
        <f>'CAR Passenger Kilometres'!K158*'CAR Stock'!K208</f>
        <v>434346386.39155596</v>
      </c>
      <c r="AR158" s="295">
        <f>'CAR Passenger Kilometres'!L158*'CAR Stock'!L208</f>
        <v>470494776.71510428</v>
      </c>
      <c r="AS158" s="295">
        <f>'CAR Passenger Kilometres'!M158*'CAR Stock'!M208</f>
        <v>343607703.95185083</v>
      </c>
      <c r="AT158" s="295">
        <f>'CAR Passenger Kilometres'!N158*'CAR Stock'!N208</f>
        <v>0</v>
      </c>
      <c r="AU158" s="295">
        <f>'CAR Passenger Kilometres'!O158*'CAR Stock'!O208</f>
        <v>0</v>
      </c>
      <c r="AV158" s="295">
        <f>'CAR Passenger Kilometres'!P158*'CAR Stock'!P208</f>
        <v>0</v>
      </c>
      <c r="AW158" s="295">
        <f>'CAR Passenger Kilometres'!Q158*'CAR Stock'!Q208</f>
        <v>0</v>
      </c>
      <c r="AX158" s="295">
        <f>'CAR Passenger Kilometres'!R158*'CAR Stock'!R208</f>
        <v>0</v>
      </c>
      <c r="AY158" s="295">
        <f>'CAR Passenger Kilometres'!S158*'CAR Stock'!S208</f>
        <v>0</v>
      </c>
      <c r="AZ158" s="295">
        <f>'CAR Passenger Kilometres'!T158*'CAR Stock'!T208</f>
        <v>0</v>
      </c>
      <c r="BA158" s="295">
        <f>'CAR Passenger Kilometres'!U158*'CAR Stock'!U208</f>
        <v>0</v>
      </c>
      <c r="BB158" s="295">
        <f>'CAR Passenger Kilometres'!V158*'CAR Stock'!V208</f>
        <v>0</v>
      </c>
      <c r="BC158" s="295">
        <f>'CAR Passenger Kilometres'!W158*'CAR Stock'!W208</f>
        <v>0</v>
      </c>
      <c r="BD158" s="295">
        <f>'CAR Passenger Kilometres'!X158*'CAR Stock'!X208</f>
        <v>0</v>
      </c>
      <c r="BE158" s="295">
        <f>'CAR Passenger Kilometres'!Y158*'CAR Stock'!Y208</f>
        <v>0</v>
      </c>
      <c r="BF158" s="295">
        <f>'CAR Passenger Kilometres'!Z158*'CAR Stock'!Z208</f>
        <v>0</v>
      </c>
      <c r="BG158" s="295">
        <f>'CAR Passenger Kilometres'!AA158*'CAR Stock'!AA208</f>
        <v>0</v>
      </c>
      <c r="BH158" s="295">
        <f>'CAR Passenger Kilometres'!AB158*'CAR Stock'!AB208</f>
        <v>0</v>
      </c>
      <c r="BI158" s="295">
        <f>'CAR Passenger Kilometres'!AC158*'CAR Stock'!AC208</f>
        <v>0</v>
      </c>
      <c r="BJ158" s="295">
        <f>'CAR Passenger Kilometres'!AD158*'CAR Stock'!AD208</f>
        <v>0</v>
      </c>
      <c r="BK158" s="296">
        <f>'CAR Passenger Kilometres'!AE158*'CAR Stock'!AE208</f>
        <v>0</v>
      </c>
    </row>
    <row r="159" spans="1:63">
      <c r="A159" s="1711"/>
      <c r="B159" s="116">
        <v>11</v>
      </c>
      <c r="C159" s="294">
        <f>'CAR Mileage'!C180*CAR!$I$58</f>
        <v>27719.422939810156</v>
      </c>
      <c r="D159" s="295">
        <f>'CAR Mileage'!D180*CAR!$I$58</f>
        <v>27719.422939810156</v>
      </c>
      <c r="E159" s="295">
        <f>'CAR Mileage'!E180*CAR!$I$58</f>
        <v>27719.422939810156</v>
      </c>
      <c r="F159" s="295">
        <f>'CAR Mileage'!F180*CAR!$I$58</f>
        <v>27719.422939810156</v>
      </c>
      <c r="G159" s="295">
        <f>'CAR Mileage'!G180*CAR!$I$58</f>
        <v>27719.422939810156</v>
      </c>
      <c r="H159" s="295">
        <f>'CAR Mileage'!H180*CAR!$I$58</f>
        <v>27719.422939810156</v>
      </c>
      <c r="I159" s="295">
        <f>'CAR Mileage'!I180*CAR!$I$58</f>
        <v>27719.422939810156</v>
      </c>
      <c r="J159" s="295">
        <f>'CAR Mileage'!J180*CAR!$I$58</f>
        <v>27719.422939810156</v>
      </c>
      <c r="K159" s="295">
        <f>'CAR Mileage'!K180*CAR!$I$58</f>
        <v>27719.422939810156</v>
      </c>
      <c r="L159" s="295">
        <f>'CAR Mileage'!L180*CAR!$I$58</f>
        <v>27719.422939810156</v>
      </c>
      <c r="M159" s="295">
        <f>'CAR Mileage'!M180*CAR!$I$58</f>
        <v>27719.422939810156</v>
      </c>
      <c r="N159" s="295">
        <f>'CAR Mileage'!N180*CAR!$I$58</f>
        <v>27719.422939810156</v>
      </c>
      <c r="O159" s="295">
        <f>'CAR Mileage'!O180*CAR!$I$58</f>
        <v>27719.422939810156</v>
      </c>
      <c r="P159" s="295">
        <f>'CAR Mileage'!P180*CAR!$I$58</f>
        <v>27719.422939810156</v>
      </c>
      <c r="Q159" s="295">
        <f>'CAR Mileage'!Q180*CAR!$I$58</f>
        <v>27719.422939810156</v>
      </c>
      <c r="R159" s="295">
        <f>'CAR Mileage'!R180*CAR!$I$58</f>
        <v>27719.422939810156</v>
      </c>
      <c r="S159" s="295">
        <f>'CAR Mileage'!S180*CAR!$I$58</f>
        <v>27719.422939810156</v>
      </c>
      <c r="T159" s="295">
        <f>'CAR Mileage'!T180*CAR!$I$58</f>
        <v>27719.422939810156</v>
      </c>
      <c r="U159" s="295">
        <f>'CAR Mileage'!U180*CAR!$I$58</f>
        <v>27719.422939810156</v>
      </c>
      <c r="V159" s="295">
        <f>'CAR Mileage'!V180*CAR!$I$58</f>
        <v>27719.422939810156</v>
      </c>
      <c r="W159" s="295">
        <f>'CAR Mileage'!W180*CAR!$I$58</f>
        <v>27719.422939810156</v>
      </c>
      <c r="X159" s="295">
        <f>'CAR Mileage'!X180*CAR!$I$58</f>
        <v>27719.422939810156</v>
      </c>
      <c r="Y159" s="295">
        <f>'CAR Mileage'!Y180*CAR!$I$58</f>
        <v>27719.422939810156</v>
      </c>
      <c r="Z159" s="295">
        <f>'CAR Mileage'!Z180*CAR!$I$58</f>
        <v>27719.422939810156</v>
      </c>
      <c r="AA159" s="295">
        <f>'CAR Mileage'!AA180*CAR!$I$58</f>
        <v>27719.422939810156</v>
      </c>
      <c r="AB159" s="295">
        <f>'CAR Mileage'!AB180*CAR!$I$58</f>
        <v>27719.422939810156</v>
      </c>
      <c r="AC159" s="295">
        <f>'CAR Mileage'!AC180*CAR!$I$58</f>
        <v>27719.422939810156</v>
      </c>
      <c r="AD159" s="295">
        <f>'CAR Mileage'!AD180*CAR!$I$58</f>
        <v>27719.422939810156</v>
      </c>
      <c r="AE159" s="296">
        <f>'CAR Mileage'!AE180*CAR!$I$58</f>
        <v>27719.422939810156</v>
      </c>
      <c r="AG159" s="1711"/>
      <c r="AH159" s="116">
        <v>11</v>
      </c>
      <c r="AI159" s="294">
        <f>'CAR Passenger Kilometres'!C159*'CAR Stock'!C209</f>
        <v>4296510.5556705743</v>
      </c>
      <c r="AJ159" s="295">
        <f>'CAR Passenger Kilometres'!D159*'CAR Stock'!D209</f>
        <v>36728235.395248458</v>
      </c>
      <c r="AK159" s="295">
        <f>'CAR Passenger Kilometres'!E159*'CAR Stock'!E209</f>
        <v>70712247.919455707</v>
      </c>
      <c r="AL159" s="295">
        <f>'CAR Passenger Kilometres'!F159*'CAR Stock'!F209</f>
        <v>96047800.486442193</v>
      </c>
      <c r="AM159" s="295">
        <f>'CAR Passenger Kilometres'!G159*'CAR Stock'!G209</f>
        <v>157446322.29812169</v>
      </c>
      <c r="AN159" s="295">
        <f>'CAR Passenger Kilometres'!H159*'CAR Stock'!H209</f>
        <v>163156523.42372257</v>
      </c>
      <c r="AO159" s="295">
        <f>'CAR Passenger Kilometres'!I159*'CAR Stock'!I209</f>
        <v>203017053.61116958</v>
      </c>
      <c r="AP159" s="295">
        <f>'CAR Passenger Kilometres'!J159*'CAR Stock'!J209</f>
        <v>357137045.15651405</v>
      </c>
      <c r="AQ159" s="295">
        <f>'CAR Passenger Kilometres'!K159*'CAR Stock'!K209</f>
        <v>263279079.08231688</v>
      </c>
      <c r="AR159" s="295">
        <f>'CAR Passenger Kilometres'!L159*'CAR Stock'!L209</f>
        <v>425659458.66372478</v>
      </c>
      <c r="AS159" s="295">
        <f>'CAR Passenger Kilometres'!M159*'CAR Stock'!M209</f>
        <v>461084881.18080211</v>
      </c>
      <c r="AT159" s="295">
        <f>'CAR Passenger Kilometres'!N159*'CAR Stock'!N209</f>
        <v>336735549.87281376</v>
      </c>
      <c r="AU159" s="295">
        <f>'CAR Passenger Kilometres'!O159*'CAR Stock'!O209</f>
        <v>0</v>
      </c>
      <c r="AV159" s="295">
        <f>'CAR Passenger Kilometres'!P159*'CAR Stock'!P209</f>
        <v>0</v>
      </c>
      <c r="AW159" s="295">
        <f>'CAR Passenger Kilometres'!Q159*'CAR Stock'!Q209</f>
        <v>0</v>
      </c>
      <c r="AX159" s="295">
        <f>'CAR Passenger Kilometres'!R159*'CAR Stock'!R209</f>
        <v>0</v>
      </c>
      <c r="AY159" s="295">
        <f>'CAR Passenger Kilometres'!S159*'CAR Stock'!S209</f>
        <v>0</v>
      </c>
      <c r="AZ159" s="295">
        <f>'CAR Passenger Kilometres'!T159*'CAR Stock'!T209</f>
        <v>0</v>
      </c>
      <c r="BA159" s="295">
        <f>'CAR Passenger Kilometres'!U159*'CAR Stock'!U209</f>
        <v>0</v>
      </c>
      <c r="BB159" s="295">
        <f>'CAR Passenger Kilometres'!V159*'CAR Stock'!V209</f>
        <v>0</v>
      </c>
      <c r="BC159" s="295">
        <f>'CAR Passenger Kilometres'!W159*'CAR Stock'!W209</f>
        <v>0</v>
      </c>
      <c r="BD159" s="295">
        <f>'CAR Passenger Kilometres'!X159*'CAR Stock'!X209</f>
        <v>0</v>
      </c>
      <c r="BE159" s="295">
        <f>'CAR Passenger Kilometres'!Y159*'CAR Stock'!Y209</f>
        <v>0</v>
      </c>
      <c r="BF159" s="295">
        <f>'CAR Passenger Kilometres'!Z159*'CAR Stock'!Z209</f>
        <v>0</v>
      </c>
      <c r="BG159" s="295">
        <f>'CAR Passenger Kilometres'!AA159*'CAR Stock'!AA209</f>
        <v>0</v>
      </c>
      <c r="BH159" s="295">
        <f>'CAR Passenger Kilometres'!AB159*'CAR Stock'!AB209</f>
        <v>0</v>
      </c>
      <c r="BI159" s="295">
        <f>'CAR Passenger Kilometres'!AC159*'CAR Stock'!AC209</f>
        <v>0</v>
      </c>
      <c r="BJ159" s="295">
        <f>'CAR Passenger Kilometres'!AD159*'CAR Stock'!AD209</f>
        <v>0</v>
      </c>
      <c r="BK159" s="296">
        <f>'CAR Passenger Kilometres'!AE159*'CAR Stock'!AE209</f>
        <v>0</v>
      </c>
    </row>
    <row r="160" spans="1:63">
      <c r="A160" s="1711"/>
      <c r="B160" s="116">
        <v>12</v>
      </c>
      <c r="C160" s="294">
        <f>'CAR Mileage'!C181*CAR!$I$58</f>
        <v>27165.03448101395</v>
      </c>
      <c r="D160" s="295">
        <f>'CAR Mileage'!D181*CAR!$I$58</f>
        <v>27165.03448101395</v>
      </c>
      <c r="E160" s="295">
        <f>'CAR Mileage'!E181*CAR!$I$58</f>
        <v>27165.03448101395</v>
      </c>
      <c r="F160" s="295">
        <f>'CAR Mileage'!F181*CAR!$I$58</f>
        <v>27165.03448101395</v>
      </c>
      <c r="G160" s="295">
        <f>'CAR Mileage'!G181*CAR!$I$58</f>
        <v>27165.03448101395</v>
      </c>
      <c r="H160" s="295">
        <f>'CAR Mileage'!H181*CAR!$I$58</f>
        <v>27165.03448101395</v>
      </c>
      <c r="I160" s="295">
        <f>'CAR Mileage'!I181*CAR!$I$58</f>
        <v>27165.03448101395</v>
      </c>
      <c r="J160" s="295">
        <f>'CAR Mileage'!J181*CAR!$I$58</f>
        <v>27165.03448101395</v>
      </c>
      <c r="K160" s="295">
        <f>'CAR Mileage'!K181*CAR!$I$58</f>
        <v>27165.03448101395</v>
      </c>
      <c r="L160" s="295">
        <f>'CAR Mileage'!L181*CAR!$I$58</f>
        <v>27165.03448101395</v>
      </c>
      <c r="M160" s="295">
        <f>'CAR Mileage'!M181*CAR!$I$58</f>
        <v>27165.03448101395</v>
      </c>
      <c r="N160" s="295">
        <f>'CAR Mileage'!N181*CAR!$I$58</f>
        <v>27165.03448101395</v>
      </c>
      <c r="O160" s="295">
        <f>'CAR Mileage'!O181*CAR!$I$58</f>
        <v>27165.03448101395</v>
      </c>
      <c r="P160" s="295">
        <f>'CAR Mileage'!P181*CAR!$I$58</f>
        <v>27165.03448101395</v>
      </c>
      <c r="Q160" s="295">
        <f>'CAR Mileage'!Q181*CAR!$I$58</f>
        <v>27165.03448101395</v>
      </c>
      <c r="R160" s="295">
        <f>'CAR Mileage'!R181*CAR!$I$58</f>
        <v>27165.03448101395</v>
      </c>
      <c r="S160" s="295">
        <f>'CAR Mileage'!S181*CAR!$I$58</f>
        <v>27165.03448101395</v>
      </c>
      <c r="T160" s="295">
        <f>'CAR Mileage'!T181*CAR!$I$58</f>
        <v>27165.03448101395</v>
      </c>
      <c r="U160" s="295">
        <f>'CAR Mileage'!U181*CAR!$I$58</f>
        <v>27165.03448101395</v>
      </c>
      <c r="V160" s="295">
        <f>'CAR Mileage'!V181*CAR!$I$58</f>
        <v>27165.03448101395</v>
      </c>
      <c r="W160" s="295">
        <f>'CAR Mileage'!W181*CAR!$I$58</f>
        <v>27165.03448101395</v>
      </c>
      <c r="X160" s="295">
        <f>'CAR Mileage'!X181*CAR!$I$58</f>
        <v>27165.03448101395</v>
      </c>
      <c r="Y160" s="295">
        <f>'CAR Mileage'!Y181*CAR!$I$58</f>
        <v>27165.03448101395</v>
      </c>
      <c r="Z160" s="295">
        <f>'CAR Mileage'!Z181*CAR!$I$58</f>
        <v>27165.03448101395</v>
      </c>
      <c r="AA160" s="295">
        <f>'CAR Mileage'!AA181*CAR!$I$58</f>
        <v>27165.03448101395</v>
      </c>
      <c r="AB160" s="295">
        <f>'CAR Mileage'!AB181*CAR!$I$58</f>
        <v>27165.03448101395</v>
      </c>
      <c r="AC160" s="295">
        <f>'CAR Mileage'!AC181*CAR!$I$58</f>
        <v>27165.03448101395</v>
      </c>
      <c r="AD160" s="295">
        <f>'CAR Mileage'!AD181*CAR!$I$58</f>
        <v>27165.03448101395</v>
      </c>
      <c r="AE160" s="296">
        <f>'CAR Mileage'!AE181*CAR!$I$58</f>
        <v>27165.03448101395</v>
      </c>
      <c r="AG160" s="1711"/>
      <c r="AH160" s="116">
        <v>12</v>
      </c>
      <c r="AI160" s="294">
        <f>'CAR Passenger Kilometres'!C160*'CAR Stock'!C210</f>
        <v>1847222.3447089486</v>
      </c>
      <c r="AJ160" s="295">
        <f>'CAR Passenger Kilometres'!D160*'CAR Stock'!D210</f>
        <v>4210580.3445571624</v>
      </c>
      <c r="AK160" s="295">
        <f>'CAR Passenger Kilometres'!E160*'CAR Stock'!E210</f>
        <v>35993670.687343486</v>
      </c>
      <c r="AL160" s="295">
        <f>'CAR Passenger Kilometres'!F160*'CAR Stock'!F210</f>
        <v>69298002.961066589</v>
      </c>
      <c r="AM160" s="295">
        <f>'CAR Passenger Kilometres'!G160*'CAR Stock'!G210</f>
        <v>94126844.476713344</v>
      </c>
      <c r="AN160" s="295">
        <f>'CAR Passenger Kilometres'!H160*'CAR Stock'!H210</f>
        <v>154297395.85215923</v>
      </c>
      <c r="AO160" s="295">
        <f>'CAR Passenger Kilometres'!I160*'CAR Stock'!I210</f>
        <v>159893392.95524812</v>
      </c>
      <c r="AP160" s="295">
        <f>'CAR Passenger Kilometres'!J160*'CAR Stock'!J210</f>
        <v>198956712.53894618</v>
      </c>
      <c r="AQ160" s="295">
        <f>'CAR Passenger Kilometres'!K160*'CAR Stock'!K210</f>
        <v>349994304.25338376</v>
      </c>
      <c r="AR160" s="295">
        <f>'CAR Passenger Kilometres'!L160*'CAR Stock'!L210</f>
        <v>258013497.50067049</v>
      </c>
      <c r="AS160" s="295">
        <f>'CAR Passenger Kilometres'!M160*'CAR Stock'!M210</f>
        <v>417146269.4904502</v>
      </c>
      <c r="AT160" s="295">
        <f>'CAR Passenger Kilometres'!N160*'CAR Stock'!N210</f>
        <v>451863183.55718607</v>
      </c>
      <c r="AU160" s="295">
        <f>'CAR Passenger Kilometres'!O160*'CAR Stock'!O210</f>
        <v>330000838.87535745</v>
      </c>
      <c r="AV160" s="295">
        <f>'CAR Passenger Kilometres'!P160*'CAR Stock'!P210</f>
        <v>0</v>
      </c>
      <c r="AW160" s="295">
        <f>'CAR Passenger Kilometres'!Q160*'CAR Stock'!Q210</f>
        <v>0</v>
      </c>
      <c r="AX160" s="295">
        <f>'CAR Passenger Kilometres'!R160*'CAR Stock'!R210</f>
        <v>0</v>
      </c>
      <c r="AY160" s="295">
        <f>'CAR Passenger Kilometres'!S160*'CAR Stock'!S210</f>
        <v>0</v>
      </c>
      <c r="AZ160" s="295">
        <f>'CAR Passenger Kilometres'!T160*'CAR Stock'!T210</f>
        <v>0</v>
      </c>
      <c r="BA160" s="295">
        <f>'CAR Passenger Kilometres'!U160*'CAR Stock'!U210</f>
        <v>0</v>
      </c>
      <c r="BB160" s="295">
        <f>'CAR Passenger Kilometres'!V160*'CAR Stock'!V210</f>
        <v>0</v>
      </c>
      <c r="BC160" s="295">
        <f>'CAR Passenger Kilometres'!W160*'CAR Stock'!W210</f>
        <v>0</v>
      </c>
      <c r="BD160" s="295">
        <f>'CAR Passenger Kilometres'!X160*'CAR Stock'!X210</f>
        <v>0</v>
      </c>
      <c r="BE160" s="295">
        <f>'CAR Passenger Kilometres'!Y160*'CAR Stock'!Y210</f>
        <v>0</v>
      </c>
      <c r="BF160" s="295">
        <f>'CAR Passenger Kilometres'!Z160*'CAR Stock'!Z210</f>
        <v>0</v>
      </c>
      <c r="BG160" s="295">
        <f>'CAR Passenger Kilometres'!AA160*'CAR Stock'!AA210</f>
        <v>0</v>
      </c>
      <c r="BH160" s="295">
        <f>'CAR Passenger Kilometres'!AB160*'CAR Stock'!AB210</f>
        <v>0</v>
      </c>
      <c r="BI160" s="295">
        <f>'CAR Passenger Kilometres'!AC160*'CAR Stock'!AC210</f>
        <v>0</v>
      </c>
      <c r="BJ160" s="295">
        <f>'CAR Passenger Kilometres'!AD160*'CAR Stock'!AD210</f>
        <v>0</v>
      </c>
      <c r="BK160" s="296">
        <f>'CAR Passenger Kilometres'!AE160*'CAR Stock'!AE210</f>
        <v>0</v>
      </c>
    </row>
    <row r="161" spans="1:63">
      <c r="A161" s="1711"/>
      <c r="B161" s="116">
        <v>13</v>
      </c>
      <c r="C161" s="294">
        <f>'CAR Mileage'!C182*CAR!$I$58</f>
        <v>26621.733791393672</v>
      </c>
      <c r="D161" s="295">
        <f>'CAR Mileage'!D182*CAR!$I$58</f>
        <v>26621.733791393672</v>
      </c>
      <c r="E161" s="295">
        <f>'CAR Mileage'!E182*CAR!$I$58</f>
        <v>26621.733791393672</v>
      </c>
      <c r="F161" s="295">
        <f>'CAR Mileage'!F182*CAR!$I$58</f>
        <v>26621.733791393672</v>
      </c>
      <c r="G161" s="295">
        <f>'CAR Mileage'!G182*CAR!$I$58</f>
        <v>26621.733791393672</v>
      </c>
      <c r="H161" s="295">
        <f>'CAR Mileage'!H182*CAR!$I$58</f>
        <v>26621.733791393672</v>
      </c>
      <c r="I161" s="295">
        <f>'CAR Mileage'!I182*CAR!$I$58</f>
        <v>26621.733791393672</v>
      </c>
      <c r="J161" s="295">
        <f>'CAR Mileage'!J182*CAR!$I$58</f>
        <v>26621.733791393672</v>
      </c>
      <c r="K161" s="295">
        <f>'CAR Mileage'!K182*CAR!$I$58</f>
        <v>26621.733791393672</v>
      </c>
      <c r="L161" s="295">
        <f>'CAR Mileage'!L182*CAR!$I$58</f>
        <v>26621.733791393672</v>
      </c>
      <c r="M161" s="295">
        <f>'CAR Mileage'!M182*CAR!$I$58</f>
        <v>26621.733791393672</v>
      </c>
      <c r="N161" s="295">
        <f>'CAR Mileage'!N182*CAR!$I$58</f>
        <v>26621.733791393672</v>
      </c>
      <c r="O161" s="295">
        <f>'CAR Mileage'!O182*CAR!$I$58</f>
        <v>26621.733791393672</v>
      </c>
      <c r="P161" s="295">
        <f>'CAR Mileage'!P182*CAR!$I$58</f>
        <v>26621.733791393672</v>
      </c>
      <c r="Q161" s="295">
        <f>'CAR Mileage'!Q182*CAR!$I$58</f>
        <v>26621.733791393672</v>
      </c>
      <c r="R161" s="295">
        <f>'CAR Mileage'!R182*CAR!$I$58</f>
        <v>26621.733791393672</v>
      </c>
      <c r="S161" s="295">
        <f>'CAR Mileage'!S182*CAR!$I$58</f>
        <v>26621.733791393672</v>
      </c>
      <c r="T161" s="295">
        <f>'CAR Mileage'!T182*CAR!$I$58</f>
        <v>26621.733791393672</v>
      </c>
      <c r="U161" s="295">
        <f>'CAR Mileage'!U182*CAR!$I$58</f>
        <v>26621.733791393672</v>
      </c>
      <c r="V161" s="295">
        <f>'CAR Mileage'!V182*CAR!$I$58</f>
        <v>26621.733791393672</v>
      </c>
      <c r="W161" s="295">
        <f>'CAR Mileage'!W182*CAR!$I$58</f>
        <v>26621.733791393672</v>
      </c>
      <c r="X161" s="295">
        <f>'CAR Mileage'!X182*CAR!$I$58</f>
        <v>26621.733791393672</v>
      </c>
      <c r="Y161" s="295">
        <f>'CAR Mileage'!Y182*CAR!$I$58</f>
        <v>26621.733791393672</v>
      </c>
      <c r="Z161" s="295">
        <f>'CAR Mileage'!Z182*CAR!$I$58</f>
        <v>26621.733791393672</v>
      </c>
      <c r="AA161" s="295">
        <f>'CAR Mileage'!AA182*CAR!$I$58</f>
        <v>26621.733791393672</v>
      </c>
      <c r="AB161" s="295">
        <f>'CAR Mileage'!AB182*CAR!$I$58</f>
        <v>26621.733791393672</v>
      </c>
      <c r="AC161" s="295">
        <f>'CAR Mileage'!AC182*CAR!$I$58</f>
        <v>26621.733791393672</v>
      </c>
      <c r="AD161" s="295">
        <f>'CAR Mileage'!AD182*CAR!$I$58</f>
        <v>26621.733791393672</v>
      </c>
      <c r="AE161" s="296">
        <f>'CAR Mileage'!AE182*CAR!$I$58</f>
        <v>26621.733791393672</v>
      </c>
      <c r="AG161" s="1711"/>
      <c r="AH161" s="116">
        <v>13</v>
      </c>
      <c r="AI161" s="294">
        <f>'CAR Passenger Kilometres'!C161*'CAR Stock'!C211</f>
        <v>266217.3379139367</v>
      </c>
      <c r="AJ161" s="295">
        <f>'CAR Passenger Kilometres'!D161*'CAR Stock'!D211</f>
        <v>1583287.4742627351</v>
      </c>
      <c r="AK161" s="295">
        <f>'CAR Passenger Kilometres'!E161*'CAR Stock'!E211</f>
        <v>3608964.0957459402</v>
      </c>
      <c r="AL161" s="295">
        <f>'CAR Passenger Kilometres'!F161*'CAR Stock'!F211</f>
        <v>30850822.108795941</v>
      </c>
      <c r="AM161" s="295">
        <f>'CAR Passenger Kilometres'!G161*'CAR Stock'!G211</f>
        <v>59396563.924179956</v>
      </c>
      <c r="AN161" s="295">
        <f>'CAR Passenger Kilometres'!H161*'CAR Stock'!H211</f>
        <v>80677810.269417316</v>
      </c>
      <c r="AO161" s="295">
        <f>'CAR Passenger Kilometres'!I161*'CAR Stock'!I211</f>
        <v>132251071.37959316</v>
      </c>
      <c r="AP161" s="295">
        <f>'CAR Passenger Kilometres'!J161*'CAR Stock'!J211</f>
        <v>137047501.08103615</v>
      </c>
      <c r="AQ161" s="295">
        <f>'CAR Passenger Kilometres'!K161*'CAR Stock'!K211</f>
        <v>170529374.43382752</v>
      </c>
      <c r="AR161" s="295">
        <f>'CAR Passenger Kilometres'!L161*'CAR Stock'!L211</f>
        <v>299986409.0941335</v>
      </c>
      <c r="AS161" s="295">
        <f>'CAR Passenger Kilometres'!M161*'CAR Stock'!M211</f>
        <v>221148006.33158025</v>
      </c>
      <c r="AT161" s="295">
        <f>'CAR Passenger Kilometres'!N161*'CAR Stock'!N211</f>
        <v>357543565.5114494</v>
      </c>
      <c r="AU161" s="295">
        <f>'CAR Passenger Kilometres'!O161*'CAR Stock'!O211</f>
        <v>387300056.57185787</v>
      </c>
      <c r="AV161" s="295">
        <f>'CAR Passenger Kilometres'!P161*'CAR Stock'!P211</f>
        <v>282849650.5491721</v>
      </c>
      <c r="AW161" s="295">
        <f>'CAR Passenger Kilometres'!Q161*'CAR Stock'!Q211</f>
        <v>0</v>
      </c>
      <c r="AX161" s="295">
        <f>'CAR Passenger Kilometres'!R161*'CAR Stock'!R211</f>
        <v>0</v>
      </c>
      <c r="AY161" s="295">
        <f>'CAR Passenger Kilometres'!S161*'CAR Stock'!S211</f>
        <v>0</v>
      </c>
      <c r="AZ161" s="295">
        <f>'CAR Passenger Kilometres'!T161*'CAR Stock'!T211</f>
        <v>0</v>
      </c>
      <c r="BA161" s="295">
        <f>'CAR Passenger Kilometres'!U161*'CAR Stock'!U211</f>
        <v>0</v>
      </c>
      <c r="BB161" s="295">
        <f>'CAR Passenger Kilometres'!V161*'CAR Stock'!V211</f>
        <v>0</v>
      </c>
      <c r="BC161" s="295">
        <f>'CAR Passenger Kilometres'!W161*'CAR Stock'!W211</f>
        <v>0</v>
      </c>
      <c r="BD161" s="295">
        <f>'CAR Passenger Kilometres'!X161*'CAR Stock'!X211</f>
        <v>0</v>
      </c>
      <c r="BE161" s="295">
        <f>'CAR Passenger Kilometres'!Y161*'CAR Stock'!Y211</f>
        <v>0</v>
      </c>
      <c r="BF161" s="295">
        <f>'CAR Passenger Kilometres'!Z161*'CAR Stock'!Z211</f>
        <v>0</v>
      </c>
      <c r="BG161" s="295">
        <f>'CAR Passenger Kilometres'!AA161*'CAR Stock'!AA211</f>
        <v>0</v>
      </c>
      <c r="BH161" s="295">
        <f>'CAR Passenger Kilometres'!AB161*'CAR Stock'!AB211</f>
        <v>0</v>
      </c>
      <c r="BI161" s="295">
        <f>'CAR Passenger Kilometres'!AC161*'CAR Stock'!AC211</f>
        <v>0</v>
      </c>
      <c r="BJ161" s="295">
        <f>'CAR Passenger Kilometres'!AD161*'CAR Stock'!AD211</f>
        <v>0</v>
      </c>
      <c r="BK161" s="296">
        <f>'CAR Passenger Kilometres'!AE161*'CAR Stock'!AE211</f>
        <v>0</v>
      </c>
    </row>
    <row r="162" spans="1:63">
      <c r="A162" s="1711"/>
      <c r="B162" s="116">
        <v>14</v>
      </c>
      <c r="C162" s="294">
        <f>'CAR Mileage'!C183*CAR!$I$58</f>
        <v>26089.299115565798</v>
      </c>
      <c r="D162" s="295">
        <f>'CAR Mileage'!D183*CAR!$I$58</f>
        <v>26089.299115565798</v>
      </c>
      <c r="E162" s="295">
        <f>'CAR Mileage'!E183*CAR!$I$58</f>
        <v>26089.299115565798</v>
      </c>
      <c r="F162" s="295">
        <f>'CAR Mileage'!F183*CAR!$I$58</f>
        <v>26089.299115565798</v>
      </c>
      <c r="G162" s="295">
        <f>'CAR Mileage'!G183*CAR!$I$58</f>
        <v>26089.299115565798</v>
      </c>
      <c r="H162" s="295">
        <f>'CAR Mileage'!H183*CAR!$I$58</f>
        <v>26089.299115565798</v>
      </c>
      <c r="I162" s="295">
        <f>'CAR Mileage'!I183*CAR!$I$58</f>
        <v>26089.299115565798</v>
      </c>
      <c r="J162" s="295">
        <f>'CAR Mileage'!J183*CAR!$I$58</f>
        <v>26089.299115565798</v>
      </c>
      <c r="K162" s="295">
        <f>'CAR Mileage'!K183*CAR!$I$58</f>
        <v>26089.299115565798</v>
      </c>
      <c r="L162" s="295">
        <f>'CAR Mileage'!L183*CAR!$I$58</f>
        <v>26089.299115565798</v>
      </c>
      <c r="M162" s="295">
        <f>'CAR Mileage'!M183*CAR!$I$58</f>
        <v>26089.299115565798</v>
      </c>
      <c r="N162" s="295">
        <f>'CAR Mileage'!N183*CAR!$I$58</f>
        <v>26089.299115565798</v>
      </c>
      <c r="O162" s="295">
        <f>'CAR Mileage'!O183*CAR!$I$58</f>
        <v>26089.299115565798</v>
      </c>
      <c r="P162" s="295">
        <f>'CAR Mileage'!P183*CAR!$I$58</f>
        <v>26089.299115565798</v>
      </c>
      <c r="Q162" s="295">
        <f>'CAR Mileage'!Q183*CAR!$I$58</f>
        <v>26089.299115565798</v>
      </c>
      <c r="R162" s="295">
        <f>'CAR Mileage'!R183*CAR!$I$58</f>
        <v>26089.299115565798</v>
      </c>
      <c r="S162" s="295">
        <f>'CAR Mileage'!S183*CAR!$I$58</f>
        <v>26089.299115565798</v>
      </c>
      <c r="T162" s="295">
        <f>'CAR Mileage'!T183*CAR!$I$58</f>
        <v>26089.299115565798</v>
      </c>
      <c r="U162" s="295">
        <f>'CAR Mileage'!U183*CAR!$I$58</f>
        <v>26089.299115565798</v>
      </c>
      <c r="V162" s="295">
        <f>'CAR Mileage'!V183*CAR!$I$58</f>
        <v>26089.299115565798</v>
      </c>
      <c r="W162" s="295">
        <f>'CAR Mileage'!W183*CAR!$I$58</f>
        <v>26089.299115565798</v>
      </c>
      <c r="X162" s="295">
        <f>'CAR Mileage'!X183*CAR!$I$58</f>
        <v>26089.299115565798</v>
      </c>
      <c r="Y162" s="295">
        <f>'CAR Mileage'!Y183*CAR!$I$58</f>
        <v>26089.299115565798</v>
      </c>
      <c r="Z162" s="295">
        <f>'CAR Mileage'!Z183*CAR!$I$58</f>
        <v>26089.299115565798</v>
      </c>
      <c r="AA162" s="295">
        <f>'CAR Mileage'!AA183*CAR!$I$58</f>
        <v>26089.299115565798</v>
      </c>
      <c r="AB162" s="295">
        <f>'CAR Mileage'!AB183*CAR!$I$58</f>
        <v>26089.299115565798</v>
      </c>
      <c r="AC162" s="295">
        <f>'CAR Mileage'!AC183*CAR!$I$58</f>
        <v>26089.299115565798</v>
      </c>
      <c r="AD162" s="295">
        <f>'CAR Mileage'!AD183*CAR!$I$58</f>
        <v>26089.299115565798</v>
      </c>
      <c r="AE162" s="296">
        <f>'CAR Mileage'!AE183*CAR!$I$58</f>
        <v>26089.299115565798</v>
      </c>
      <c r="AG162" s="1711"/>
      <c r="AH162" s="116">
        <v>14</v>
      </c>
      <c r="AI162" s="294">
        <f>'CAR Passenger Kilometres'!C162*'CAR Stock'!C212</f>
        <v>417428.78584905277</v>
      </c>
      <c r="AJ162" s="295">
        <f>'CAR Passenger Kilometres'!D162*'CAR Stock'!D212</f>
        <v>163659.1793732986</v>
      </c>
      <c r="AK162" s="295">
        <f>'CAR Passenger Kilometres'!E162*'CAR Stock'!E212</f>
        <v>973338.29111322027</v>
      </c>
      <c r="AL162" s="295">
        <f>'CAR Passenger Kilometres'!F162*'CAR Stock'!F212</f>
        <v>2218638.751802193</v>
      </c>
      <c r="AM162" s="295">
        <f>'CAR Passenger Kilometres'!G162*'CAR Stock'!G212</f>
        <v>18965782.878309071</v>
      </c>
      <c r="AN162" s="295">
        <f>'CAR Passenger Kilometres'!H162*'CAR Stock'!H212</f>
        <v>36514499.715144478</v>
      </c>
      <c r="AO162" s="295">
        <f>'CAR Passenger Kilometres'!I162*'CAR Stock'!I212</f>
        <v>49597311.451578066</v>
      </c>
      <c r="AP162" s="295">
        <f>'CAR Passenger Kilometres'!J162*'CAR Stock'!J212</f>
        <v>81302374.904751346</v>
      </c>
      <c r="AQ162" s="295">
        <f>'CAR Passenger Kilometres'!K162*'CAR Stock'!K212</f>
        <v>84251017.37488845</v>
      </c>
      <c r="AR162" s="295">
        <f>'CAR Passenger Kilometres'!L162*'CAR Stock'!L212</f>
        <v>104834259.47225331</v>
      </c>
      <c r="AS162" s="295">
        <f>'CAR Passenger Kilometres'!M162*'CAR Stock'!M212</f>
        <v>184418978.56915778</v>
      </c>
      <c r="AT162" s="295">
        <f>'CAR Passenger Kilometres'!N162*'CAR Stock'!N212</f>
        <v>135952457.1910789</v>
      </c>
      <c r="AU162" s="295">
        <f>'CAR Passenger Kilometres'!O162*'CAR Stock'!O212</f>
        <v>219802688.21080309</v>
      </c>
      <c r="AV162" s="295">
        <f>'CAR Passenger Kilometres'!P162*'CAR Stock'!P212</f>
        <v>238095722.56437212</v>
      </c>
      <c r="AW162" s="295">
        <f>'CAR Passenger Kilometres'!Q162*'CAR Stock'!Q212</f>
        <v>173884022.94769704</v>
      </c>
      <c r="AX162" s="295">
        <f>'CAR Passenger Kilometres'!R162*'CAR Stock'!R212</f>
        <v>0</v>
      </c>
      <c r="AY162" s="295">
        <f>'CAR Passenger Kilometres'!S162*'CAR Stock'!S212</f>
        <v>0</v>
      </c>
      <c r="AZ162" s="295">
        <f>'CAR Passenger Kilometres'!T162*'CAR Stock'!T212</f>
        <v>0</v>
      </c>
      <c r="BA162" s="295">
        <f>'CAR Passenger Kilometres'!U162*'CAR Stock'!U212</f>
        <v>0</v>
      </c>
      <c r="BB162" s="295">
        <f>'CAR Passenger Kilometres'!V162*'CAR Stock'!V212</f>
        <v>0</v>
      </c>
      <c r="BC162" s="295">
        <f>'CAR Passenger Kilometres'!W162*'CAR Stock'!W212</f>
        <v>0</v>
      </c>
      <c r="BD162" s="295">
        <f>'CAR Passenger Kilometres'!X162*'CAR Stock'!X212</f>
        <v>0</v>
      </c>
      <c r="BE162" s="295">
        <f>'CAR Passenger Kilometres'!Y162*'CAR Stock'!Y212</f>
        <v>0</v>
      </c>
      <c r="BF162" s="295">
        <f>'CAR Passenger Kilometres'!Z162*'CAR Stock'!Z212</f>
        <v>0</v>
      </c>
      <c r="BG162" s="295">
        <f>'CAR Passenger Kilometres'!AA162*'CAR Stock'!AA212</f>
        <v>0</v>
      </c>
      <c r="BH162" s="295">
        <f>'CAR Passenger Kilometres'!AB162*'CAR Stock'!AB212</f>
        <v>0</v>
      </c>
      <c r="BI162" s="295">
        <f>'CAR Passenger Kilometres'!AC162*'CAR Stock'!AC212</f>
        <v>0</v>
      </c>
      <c r="BJ162" s="295">
        <f>'CAR Passenger Kilometres'!AD162*'CAR Stock'!AD212</f>
        <v>0</v>
      </c>
      <c r="BK162" s="296">
        <f>'CAR Passenger Kilometres'!AE162*'CAR Stock'!AE212</f>
        <v>0</v>
      </c>
    </row>
    <row r="163" spans="1:63">
      <c r="A163" s="1711"/>
      <c r="B163" s="116">
        <v>15</v>
      </c>
      <c r="C163" s="294">
        <f>'CAR Mileage'!C184*CAR!$I$58</f>
        <v>25567.513133254484</v>
      </c>
      <c r="D163" s="295">
        <f>'CAR Mileage'!D184*CAR!$I$58</f>
        <v>25567.513133254484</v>
      </c>
      <c r="E163" s="295">
        <f>'CAR Mileage'!E184*CAR!$I$58</f>
        <v>25567.513133254484</v>
      </c>
      <c r="F163" s="295">
        <f>'CAR Mileage'!F184*CAR!$I$58</f>
        <v>25567.513133254484</v>
      </c>
      <c r="G163" s="295">
        <f>'CAR Mileage'!G184*CAR!$I$58</f>
        <v>25567.513133254484</v>
      </c>
      <c r="H163" s="295">
        <f>'CAR Mileage'!H184*CAR!$I$58</f>
        <v>25567.513133254484</v>
      </c>
      <c r="I163" s="295">
        <f>'CAR Mileage'!I184*CAR!$I$58</f>
        <v>25567.513133254484</v>
      </c>
      <c r="J163" s="295">
        <f>'CAR Mileage'!J184*CAR!$I$58</f>
        <v>25567.513133254484</v>
      </c>
      <c r="K163" s="295">
        <f>'CAR Mileage'!K184*CAR!$I$58</f>
        <v>25567.513133254484</v>
      </c>
      <c r="L163" s="295">
        <f>'CAR Mileage'!L184*CAR!$I$58</f>
        <v>25567.513133254484</v>
      </c>
      <c r="M163" s="295">
        <f>'CAR Mileage'!M184*CAR!$I$58</f>
        <v>25567.513133254484</v>
      </c>
      <c r="N163" s="295">
        <f>'CAR Mileage'!N184*CAR!$I$58</f>
        <v>25567.513133254484</v>
      </c>
      <c r="O163" s="295">
        <f>'CAR Mileage'!O184*CAR!$I$58</f>
        <v>25567.513133254484</v>
      </c>
      <c r="P163" s="295">
        <f>'CAR Mileage'!P184*CAR!$I$58</f>
        <v>25567.513133254484</v>
      </c>
      <c r="Q163" s="295">
        <f>'CAR Mileage'!Q184*CAR!$I$58</f>
        <v>25567.513133254484</v>
      </c>
      <c r="R163" s="295">
        <f>'CAR Mileage'!R184*CAR!$I$58</f>
        <v>25567.513133254484</v>
      </c>
      <c r="S163" s="295">
        <f>'CAR Mileage'!S184*CAR!$I$58</f>
        <v>25567.513133254484</v>
      </c>
      <c r="T163" s="295">
        <f>'CAR Mileage'!T184*CAR!$I$58</f>
        <v>25567.513133254484</v>
      </c>
      <c r="U163" s="295">
        <f>'CAR Mileage'!U184*CAR!$I$58</f>
        <v>25567.513133254484</v>
      </c>
      <c r="V163" s="295">
        <f>'CAR Mileage'!V184*CAR!$I$58</f>
        <v>25567.513133254484</v>
      </c>
      <c r="W163" s="295">
        <f>'CAR Mileage'!W184*CAR!$I$58</f>
        <v>25567.513133254484</v>
      </c>
      <c r="X163" s="295">
        <f>'CAR Mileage'!X184*CAR!$I$58</f>
        <v>25567.513133254484</v>
      </c>
      <c r="Y163" s="295">
        <f>'CAR Mileage'!Y184*CAR!$I$58</f>
        <v>25567.513133254484</v>
      </c>
      <c r="Z163" s="295">
        <f>'CAR Mileage'!Z184*CAR!$I$58</f>
        <v>25567.513133254484</v>
      </c>
      <c r="AA163" s="295">
        <f>'CAR Mileage'!AA184*CAR!$I$58</f>
        <v>25567.513133254484</v>
      </c>
      <c r="AB163" s="295">
        <f>'CAR Mileage'!AB184*CAR!$I$58</f>
        <v>25567.513133254484</v>
      </c>
      <c r="AC163" s="295">
        <f>'CAR Mileage'!AC184*CAR!$I$58</f>
        <v>25567.513133254484</v>
      </c>
      <c r="AD163" s="295">
        <f>'CAR Mileage'!AD184*CAR!$I$58</f>
        <v>25567.513133254484</v>
      </c>
      <c r="AE163" s="296">
        <f>'CAR Mileage'!AE184*CAR!$I$58</f>
        <v>25567.513133254484</v>
      </c>
      <c r="AG163" s="1711"/>
      <c r="AH163" s="116">
        <v>15</v>
      </c>
      <c r="AI163" s="294">
        <f>'CAR Passenger Kilometres'!C163*'CAR Stock'!C213</f>
        <v>306810.15759905381</v>
      </c>
      <c r="AJ163" s="295">
        <f>'CAR Passenger Kilometres'!D163*'CAR Stock'!D213</f>
        <v>184570.11685283651</v>
      </c>
      <c r="AK163" s="295">
        <f>'CAR Passenger Kilometres'!E163*'CAR Stock'!E213</f>
        <v>72363.466260547066</v>
      </c>
      <c r="AL163" s="295">
        <f>'CAR Passenger Kilometres'!F163*'CAR Stock'!F213</f>
        <v>430370.80387903709</v>
      </c>
      <c r="AM163" s="295">
        <f>'CAR Passenger Kilometres'!G163*'CAR Stock'!G213</f>
        <v>980992.27354780515</v>
      </c>
      <c r="AN163" s="295">
        <f>'CAR Passenger Kilometres'!H163*'CAR Stock'!H213</f>
        <v>8385901.6932312371</v>
      </c>
      <c r="AO163" s="295">
        <f>'CAR Passenger Kilometres'!I163*'CAR Stock'!I213</f>
        <v>16145234.127873875</v>
      </c>
      <c r="AP163" s="295">
        <f>'CAR Passenger Kilometres'!J163*'CAR Stock'!J213</f>
        <v>21929924.050600938</v>
      </c>
      <c r="AQ163" s="295">
        <f>'CAR Passenger Kilometres'!K163*'CAR Stock'!K213</f>
        <v>35948620.088719569</v>
      </c>
      <c r="AR163" s="295">
        <f>'CAR Passenger Kilometres'!L163*'CAR Stock'!L213</f>
        <v>37252390.465176657</v>
      </c>
      <c r="AS163" s="295">
        <f>'CAR Passenger Kilometres'!M163*'CAR Stock'!M213</f>
        <v>46353467.170736291</v>
      </c>
      <c r="AT163" s="295">
        <f>'CAR Passenger Kilometres'!N163*'CAR Stock'!N213</f>
        <v>81542609.370257556</v>
      </c>
      <c r="AU163" s="295">
        <f>'CAR Passenger Kilometres'!O163*'CAR Stock'!O213</f>
        <v>60112674.930045493</v>
      </c>
      <c r="AV163" s="295">
        <f>'CAR Passenger Kilometres'!P163*'CAR Stock'!P213</f>
        <v>97187853.887742549</v>
      </c>
      <c r="AW163" s="295">
        <f>'CAR Passenger Kilometres'!Q163*'CAR Stock'!Q213</f>
        <v>105276293.40770446</v>
      </c>
      <c r="AX163" s="295">
        <f>'CAR Passenger Kilometres'!R163*'CAR Stock'!R213</f>
        <v>76884478.31650798</v>
      </c>
      <c r="AY163" s="295">
        <f>'CAR Passenger Kilometres'!S163*'CAR Stock'!S213</f>
        <v>0</v>
      </c>
      <c r="AZ163" s="295">
        <f>'CAR Passenger Kilometres'!T163*'CAR Stock'!T213</f>
        <v>0</v>
      </c>
      <c r="BA163" s="295">
        <f>'CAR Passenger Kilometres'!U163*'CAR Stock'!U213</f>
        <v>0</v>
      </c>
      <c r="BB163" s="295">
        <f>'CAR Passenger Kilometres'!V163*'CAR Stock'!V213</f>
        <v>0</v>
      </c>
      <c r="BC163" s="295">
        <f>'CAR Passenger Kilometres'!W163*'CAR Stock'!W213</f>
        <v>0</v>
      </c>
      <c r="BD163" s="295">
        <f>'CAR Passenger Kilometres'!X163*'CAR Stock'!X213</f>
        <v>0</v>
      </c>
      <c r="BE163" s="295">
        <f>'CAR Passenger Kilometres'!Y163*'CAR Stock'!Y213</f>
        <v>0</v>
      </c>
      <c r="BF163" s="295">
        <f>'CAR Passenger Kilometres'!Z163*'CAR Stock'!Z213</f>
        <v>0</v>
      </c>
      <c r="BG163" s="295">
        <f>'CAR Passenger Kilometres'!AA163*'CAR Stock'!AA213</f>
        <v>0</v>
      </c>
      <c r="BH163" s="295">
        <f>'CAR Passenger Kilometres'!AB163*'CAR Stock'!AB213</f>
        <v>0</v>
      </c>
      <c r="BI163" s="295">
        <f>'CAR Passenger Kilometres'!AC163*'CAR Stock'!AC213</f>
        <v>0</v>
      </c>
      <c r="BJ163" s="295">
        <f>'CAR Passenger Kilometres'!AD163*'CAR Stock'!AD213</f>
        <v>0</v>
      </c>
      <c r="BK163" s="296">
        <f>'CAR Passenger Kilometres'!AE163*'CAR Stock'!AE213</f>
        <v>0</v>
      </c>
    </row>
    <row r="164" spans="1:63">
      <c r="A164" s="1711"/>
      <c r="B164" s="116">
        <v>16</v>
      </c>
      <c r="C164" s="294">
        <f>'CAR Mileage'!C185*CAR!$I$58</f>
        <v>25056.162870589393</v>
      </c>
      <c r="D164" s="295">
        <f>'CAR Mileage'!D185*CAR!$I$58</f>
        <v>25056.162870589393</v>
      </c>
      <c r="E164" s="295">
        <f>'CAR Mileage'!E185*CAR!$I$58</f>
        <v>25056.162870589393</v>
      </c>
      <c r="F164" s="295">
        <f>'CAR Mileage'!F185*CAR!$I$58</f>
        <v>25056.162870589393</v>
      </c>
      <c r="G164" s="295">
        <f>'CAR Mileage'!G185*CAR!$I$58</f>
        <v>25056.162870589393</v>
      </c>
      <c r="H164" s="295">
        <f>'CAR Mileage'!H185*CAR!$I$58</f>
        <v>25056.162870589393</v>
      </c>
      <c r="I164" s="295">
        <f>'CAR Mileage'!I185*CAR!$I$58</f>
        <v>25056.162870589393</v>
      </c>
      <c r="J164" s="295">
        <f>'CAR Mileage'!J185*CAR!$I$58</f>
        <v>25056.162870589393</v>
      </c>
      <c r="K164" s="295">
        <f>'CAR Mileage'!K185*CAR!$I$58</f>
        <v>25056.162870589393</v>
      </c>
      <c r="L164" s="295">
        <f>'CAR Mileage'!L185*CAR!$I$58</f>
        <v>25056.162870589393</v>
      </c>
      <c r="M164" s="295">
        <f>'CAR Mileage'!M185*CAR!$I$58</f>
        <v>25056.162870589393</v>
      </c>
      <c r="N164" s="295">
        <f>'CAR Mileage'!N185*CAR!$I$58</f>
        <v>25056.162870589393</v>
      </c>
      <c r="O164" s="295">
        <f>'CAR Mileage'!O185*CAR!$I$58</f>
        <v>25056.162870589393</v>
      </c>
      <c r="P164" s="295">
        <f>'CAR Mileage'!P185*CAR!$I$58</f>
        <v>25056.162870589393</v>
      </c>
      <c r="Q164" s="295">
        <f>'CAR Mileage'!Q185*CAR!$I$58</f>
        <v>25056.162870589393</v>
      </c>
      <c r="R164" s="295">
        <f>'CAR Mileage'!R185*CAR!$I$58</f>
        <v>25056.162870589393</v>
      </c>
      <c r="S164" s="295">
        <f>'CAR Mileage'!S185*CAR!$I$58</f>
        <v>25056.162870589393</v>
      </c>
      <c r="T164" s="295">
        <f>'CAR Mileage'!T185*CAR!$I$58</f>
        <v>25056.162870589393</v>
      </c>
      <c r="U164" s="295">
        <f>'CAR Mileage'!U185*CAR!$I$58</f>
        <v>25056.162870589393</v>
      </c>
      <c r="V164" s="295">
        <f>'CAR Mileage'!V185*CAR!$I$58</f>
        <v>25056.162870589393</v>
      </c>
      <c r="W164" s="295">
        <f>'CAR Mileage'!W185*CAR!$I$58</f>
        <v>25056.162870589393</v>
      </c>
      <c r="X164" s="295">
        <f>'CAR Mileage'!X185*CAR!$I$58</f>
        <v>25056.162870589393</v>
      </c>
      <c r="Y164" s="295">
        <f>'CAR Mileage'!Y185*CAR!$I$58</f>
        <v>25056.162870589393</v>
      </c>
      <c r="Z164" s="295">
        <f>'CAR Mileage'!Z185*CAR!$I$58</f>
        <v>25056.162870589393</v>
      </c>
      <c r="AA164" s="295">
        <f>'CAR Mileage'!AA185*CAR!$I$58</f>
        <v>25056.162870589393</v>
      </c>
      <c r="AB164" s="295">
        <f>'CAR Mileage'!AB185*CAR!$I$58</f>
        <v>25056.162870589393</v>
      </c>
      <c r="AC164" s="295">
        <f>'CAR Mileage'!AC185*CAR!$I$58</f>
        <v>25056.162870589393</v>
      </c>
      <c r="AD164" s="295">
        <f>'CAR Mileage'!AD185*CAR!$I$58</f>
        <v>25056.162870589393</v>
      </c>
      <c r="AE164" s="296">
        <f>'CAR Mileage'!AE185*CAR!$I$58</f>
        <v>25056.162870589393</v>
      </c>
      <c r="AG164" s="1711"/>
      <c r="AH164" s="116">
        <v>16</v>
      </c>
      <c r="AI164" s="294">
        <f>'CAR Passenger Kilometres'!C164*'CAR Stock'!C214</f>
        <v>1314656.4864082199</v>
      </c>
      <c r="AJ164" s="295">
        <f>'CAR Passenger Kilometres'!D164*'CAR Stock'!D214</f>
        <v>122093.13229815137</v>
      </c>
      <c r="AK164" s="295">
        <f>'CAR Passenger Kilometres'!E164*'CAR Stock'!E214</f>
        <v>73448.492942816825</v>
      </c>
      <c r="AL164" s="295">
        <f>'CAR Passenger Kilometres'!F164*'CAR Stock'!F214</f>
        <v>28796.576778424864</v>
      </c>
      <c r="AM164" s="295">
        <f>'CAR Passenger Kilometres'!G164*'CAR Stock'!G214</f>
        <v>171263.29814651181</v>
      </c>
      <c r="AN164" s="295">
        <f>'CAR Passenger Kilometres'!H164*'CAR Stock'!H214</f>
        <v>390379.57665749011</v>
      </c>
      <c r="AO164" s="295">
        <f>'CAR Passenger Kilometres'!I164*'CAR Stock'!I214</f>
        <v>3337115.7359430608</v>
      </c>
      <c r="AP164" s="295">
        <f>'CAR Passenger Kilometres'!J164*'CAR Stock'!J214</f>
        <v>6424892.2584081115</v>
      </c>
      <c r="AQ164" s="295">
        <f>'CAR Passenger Kilometres'!K164*'CAR Stock'!K214</f>
        <v>8726872.4717303459</v>
      </c>
      <c r="AR164" s="295">
        <f>'CAR Passenger Kilometres'!L164*'CAR Stock'!L214</f>
        <v>14305522.551061576</v>
      </c>
      <c r="AS164" s="295">
        <f>'CAR Passenger Kilometres'!M164*'CAR Stock'!M214</f>
        <v>14824349.60132895</v>
      </c>
      <c r="AT164" s="295">
        <f>'CAR Passenger Kilometres'!N164*'CAR Stock'!N214</f>
        <v>18446064.641544893</v>
      </c>
      <c r="AU164" s="295">
        <f>'CAR Passenger Kilometres'!O164*'CAR Stock'!O214</f>
        <v>32449357.842936151</v>
      </c>
      <c r="AV164" s="295">
        <f>'CAR Passenger Kilometres'!P164*'CAR Stock'!P214</f>
        <v>23921453.026405428</v>
      </c>
      <c r="AW164" s="295">
        <f>'CAR Passenger Kilometres'!Q164*'CAR Stock'!Q214</f>
        <v>38675282.446144633</v>
      </c>
      <c r="AX164" s="295">
        <f>'CAR Passenger Kilometres'!R164*'CAR Stock'!R214</f>
        <v>41894025.020133495</v>
      </c>
      <c r="AY164" s="295">
        <f>'CAR Passenger Kilometres'!S164*'CAR Stock'!S214</f>
        <v>30595684.498291548</v>
      </c>
      <c r="AZ164" s="295">
        <f>'CAR Passenger Kilometres'!T164*'CAR Stock'!T214</f>
        <v>0</v>
      </c>
      <c r="BA164" s="295">
        <f>'CAR Passenger Kilometres'!U164*'CAR Stock'!U214</f>
        <v>0</v>
      </c>
      <c r="BB164" s="295">
        <f>'CAR Passenger Kilometres'!V164*'CAR Stock'!V214</f>
        <v>0</v>
      </c>
      <c r="BC164" s="295">
        <f>'CAR Passenger Kilometres'!W164*'CAR Stock'!W214</f>
        <v>0</v>
      </c>
      <c r="BD164" s="295">
        <f>'CAR Passenger Kilometres'!X164*'CAR Stock'!X214</f>
        <v>0</v>
      </c>
      <c r="BE164" s="295">
        <f>'CAR Passenger Kilometres'!Y164*'CAR Stock'!Y214</f>
        <v>0</v>
      </c>
      <c r="BF164" s="295">
        <f>'CAR Passenger Kilometres'!Z164*'CAR Stock'!Z214</f>
        <v>0</v>
      </c>
      <c r="BG164" s="295">
        <f>'CAR Passenger Kilometres'!AA164*'CAR Stock'!AA214</f>
        <v>0</v>
      </c>
      <c r="BH164" s="295">
        <f>'CAR Passenger Kilometres'!AB164*'CAR Stock'!AB214</f>
        <v>0</v>
      </c>
      <c r="BI164" s="295">
        <f>'CAR Passenger Kilometres'!AC164*'CAR Stock'!AC214</f>
        <v>0</v>
      </c>
      <c r="BJ164" s="295">
        <f>'CAR Passenger Kilometres'!AD164*'CAR Stock'!AD214</f>
        <v>0</v>
      </c>
      <c r="BK164" s="296">
        <f>'CAR Passenger Kilometres'!AE164*'CAR Stock'!AE214</f>
        <v>0</v>
      </c>
    </row>
    <row r="165" spans="1:63">
      <c r="A165" s="1711"/>
      <c r="B165" s="116">
        <v>17</v>
      </c>
      <c r="C165" s="294">
        <f>'CAR Mileage'!C186*CAR!$I$58</f>
        <v>25056.162870589393</v>
      </c>
      <c r="D165" s="295">
        <f>'CAR Mileage'!D186*CAR!$I$58</f>
        <v>25056.162870589393</v>
      </c>
      <c r="E165" s="295">
        <f>'CAR Mileage'!E186*CAR!$I$58</f>
        <v>25056.162870589393</v>
      </c>
      <c r="F165" s="295">
        <f>'CAR Mileage'!F186*CAR!$I$58</f>
        <v>25056.162870589393</v>
      </c>
      <c r="G165" s="295">
        <f>'CAR Mileage'!G186*CAR!$I$58</f>
        <v>25056.162870589393</v>
      </c>
      <c r="H165" s="295">
        <f>'CAR Mileage'!H186*CAR!$I$58</f>
        <v>25056.162870589393</v>
      </c>
      <c r="I165" s="295">
        <f>'CAR Mileage'!I186*CAR!$I$58</f>
        <v>25056.162870589393</v>
      </c>
      <c r="J165" s="295">
        <f>'CAR Mileage'!J186*CAR!$I$58</f>
        <v>25056.162870589393</v>
      </c>
      <c r="K165" s="295">
        <f>'CAR Mileage'!K186*CAR!$I$58</f>
        <v>25056.162870589393</v>
      </c>
      <c r="L165" s="295">
        <f>'CAR Mileage'!L186*CAR!$I$58</f>
        <v>25056.162870589393</v>
      </c>
      <c r="M165" s="295">
        <f>'CAR Mileage'!M186*CAR!$I$58</f>
        <v>25056.162870589393</v>
      </c>
      <c r="N165" s="295">
        <f>'CAR Mileage'!N186*CAR!$I$58</f>
        <v>25056.162870589393</v>
      </c>
      <c r="O165" s="295">
        <f>'CAR Mileage'!O186*CAR!$I$58</f>
        <v>25056.162870589393</v>
      </c>
      <c r="P165" s="295">
        <f>'CAR Mileage'!P186*CAR!$I$58</f>
        <v>25056.162870589393</v>
      </c>
      <c r="Q165" s="295">
        <f>'CAR Mileage'!Q186*CAR!$I$58</f>
        <v>25056.162870589393</v>
      </c>
      <c r="R165" s="295">
        <f>'CAR Mileage'!R186*CAR!$I$58</f>
        <v>25056.162870589393</v>
      </c>
      <c r="S165" s="295">
        <f>'CAR Mileage'!S186*CAR!$I$58</f>
        <v>25056.162870589393</v>
      </c>
      <c r="T165" s="295">
        <f>'CAR Mileage'!T186*CAR!$I$58</f>
        <v>25056.162870589393</v>
      </c>
      <c r="U165" s="295">
        <f>'CAR Mileage'!U186*CAR!$I$58</f>
        <v>25056.162870589393</v>
      </c>
      <c r="V165" s="295">
        <f>'CAR Mileage'!V186*CAR!$I$58</f>
        <v>25056.162870589393</v>
      </c>
      <c r="W165" s="295">
        <f>'CAR Mileage'!W186*CAR!$I$58</f>
        <v>25056.162870589393</v>
      </c>
      <c r="X165" s="295">
        <f>'CAR Mileage'!X186*CAR!$I$58</f>
        <v>25056.162870589393</v>
      </c>
      <c r="Y165" s="295">
        <f>'CAR Mileage'!Y186*CAR!$I$58</f>
        <v>25056.162870589393</v>
      </c>
      <c r="Z165" s="295">
        <f>'CAR Mileage'!Z186*CAR!$I$58</f>
        <v>25056.162870589393</v>
      </c>
      <c r="AA165" s="295">
        <f>'CAR Mileage'!AA186*CAR!$I$58</f>
        <v>25056.162870589393</v>
      </c>
      <c r="AB165" s="295">
        <f>'CAR Mileage'!AB186*CAR!$I$58</f>
        <v>25056.162870589393</v>
      </c>
      <c r="AC165" s="295">
        <f>'CAR Mileage'!AC186*CAR!$I$58</f>
        <v>25056.162870589393</v>
      </c>
      <c r="AD165" s="295">
        <f>'CAR Mileage'!AD186*CAR!$I$58</f>
        <v>25056.162870589393</v>
      </c>
      <c r="AE165" s="296">
        <f>'CAR Mileage'!AE186*CAR!$I$58</f>
        <v>25056.162870589393</v>
      </c>
      <c r="AG165" s="1711"/>
      <c r="AH165" s="116">
        <v>17</v>
      </c>
      <c r="AI165" s="294">
        <f>'CAR Passenger Kilometres'!C165*'CAR Stock'!C215</f>
        <v>483635.0935522677</v>
      </c>
      <c r="AJ165" s="295">
        <f>'CAR Passenger Kilometres'!D165*'CAR Stock'!D215</f>
        <v>474520.73272254592</v>
      </c>
      <c r="AK165" s="295">
        <f>'CAR Passenger Kilometres'!E165*'CAR Stock'!E215</f>
        <v>44069.095765690108</v>
      </c>
      <c r="AL165" s="295">
        <f>'CAR Passenger Kilometres'!F165*'CAR Stock'!F215</f>
        <v>26510.980662190927</v>
      </c>
      <c r="AM165" s="295">
        <f>'CAR Passenger Kilometres'!G165*'CAR Stock'!G215</f>
        <v>10394.025248475569</v>
      </c>
      <c r="AN165" s="295">
        <f>'CAR Passenger Kilometres'!H165*'CAR Stock'!H215</f>
        <v>61816.897847585511</v>
      </c>
      <c r="AO165" s="295">
        <f>'CAR Passenger Kilometres'!I165*'CAR Stock'!I215</f>
        <v>140906.16421140815</v>
      </c>
      <c r="AP165" s="295">
        <f>'CAR Passenger Kilometres'!J165*'CAR Stock'!J215</f>
        <v>1204520.4360007471</v>
      </c>
      <c r="AQ165" s="295">
        <f>'CAR Passenger Kilometres'!K165*'CAR Stock'!K215</f>
        <v>2319042.741311627</v>
      </c>
      <c r="AR165" s="295">
        <f>'CAR Passenger Kilometres'!L165*'CAR Stock'!L215</f>
        <v>3149934.5741453506</v>
      </c>
      <c r="AS165" s="295">
        <f>'CAR Passenger Kilometres'!M165*'CAR Stock'!M215</f>
        <v>5163529.1143277315</v>
      </c>
      <c r="AT165" s="295">
        <f>'CAR Passenger Kilometres'!N165*'CAR Stock'!N215</f>
        <v>5350797.9519248288</v>
      </c>
      <c r="AU165" s="295">
        <f>'CAR Passenger Kilometres'!O165*'CAR Stock'!O215</f>
        <v>6658043.5269958293</v>
      </c>
      <c r="AV165" s="295">
        <f>'CAR Passenger Kilometres'!P165*'CAR Stock'!P215</f>
        <v>11712483.998063114</v>
      </c>
      <c r="AW165" s="295">
        <f>'CAR Passenger Kilometres'!Q165*'CAR Stock'!Q215</f>
        <v>8634366.1140642222</v>
      </c>
      <c r="AX165" s="295">
        <f>'CAR Passenger Kilometres'!R165*'CAR Stock'!R215</f>
        <v>13959710.049228279</v>
      </c>
      <c r="AY165" s="295">
        <f>'CAR Passenger Kilometres'!S165*'CAR Stock'!S215</f>
        <v>15121504.099952022</v>
      </c>
      <c r="AZ165" s="295">
        <f>'CAR Passenger Kilometres'!T165*'CAR Stock'!T215</f>
        <v>11043406.986065717</v>
      </c>
      <c r="BA165" s="295">
        <f>'CAR Passenger Kilometres'!U165*'CAR Stock'!U215</f>
        <v>0</v>
      </c>
      <c r="BB165" s="295">
        <f>'CAR Passenger Kilometres'!V165*'CAR Stock'!V215</f>
        <v>0</v>
      </c>
      <c r="BC165" s="295">
        <f>'CAR Passenger Kilometres'!W165*'CAR Stock'!W215</f>
        <v>0</v>
      </c>
      <c r="BD165" s="295">
        <f>'CAR Passenger Kilometres'!X165*'CAR Stock'!X215</f>
        <v>0</v>
      </c>
      <c r="BE165" s="295">
        <f>'CAR Passenger Kilometres'!Y165*'CAR Stock'!Y215</f>
        <v>0</v>
      </c>
      <c r="BF165" s="295">
        <f>'CAR Passenger Kilometres'!Z165*'CAR Stock'!Z215</f>
        <v>0</v>
      </c>
      <c r="BG165" s="295">
        <f>'CAR Passenger Kilometres'!AA165*'CAR Stock'!AA215</f>
        <v>0</v>
      </c>
      <c r="BH165" s="295">
        <f>'CAR Passenger Kilometres'!AB165*'CAR Stock'!AB215</f>
        <v>0</v>
      </c>
      <c r="BI165" s="295">
        <f>'CAR Passenger Kilometres'!AC165*'CAR Stock'!AC215</f>
        <v>0</v>
      </c>
      <c r="BJ165" s="295">
        <f>'CAR Passenger Kilometres'!AD165*'CAR Stock'!AD215</f>
        <v>0</v>
      </c>
      <c r="BK165" s="296">
        <f>'CAR Passenger Kilometres'!AE165*'CAR Stock'!AE215</f>
        <v>0</v>
      </c>
    </row>
    <row r="166" spans="1:63">
      <c r="A166" s="1711"/>
      <c r="B166" s="116">
        <v>18</v>
      </c>
      <c r="C166" s="294">
        <f>'CAR Mileage'!C187*CAR!$I$58</f>
        <v>25056.162870589393</v>
      </c>
      <c r="D166" s="295">
        <f>'CAR Mileage'!D187*CAR!$I$58</f>
        <v>25056.162870589393</v>
      </c>
      <c r="E166" s="295">
        <f>'CAR Mileage'!E187*CAR!$I$58</f>
        <v>25056.162870589393</v>
      </c>
      <c r="F166" s="295">
        <f>'CAR Mileage'!F187*CAR!$I$58</f>
        <v>25056.162870589393</v>
      </c>
      <c r="G166" s="295">
        <f>'CAR Mileage'!G187*CAR!$I$58</f>
        <v>25056.162870589393</v>
      </c>
      <c r="H166" s="295">
        <f>'CAR Mileage'!H187*CAR!$I$58</f>
        <v>25056.162870589393</v>
      </c>
      <c r="I166" s="295">
        <f>'CAR Mileage'!I187*CAR!$I$58</f>
        <v>25056.162870589393</v>
      </c>
      <c r="J166" s="295">
        <f>'CAR Mileage'!J187*CAR!$I$58</f>
        <v>25056.162870589393</v>
      </c>
      <c r="K166" s="295">
        <f>'CAR Mileage'!K187*CAR!$I$58</f>
        <v>25056.162870589393</v>
      </c>
      <c r="L166" s="295">
        <f>'CAR Mileage'!L187*CAR!$I$58</f>
        <v>25056.162870589393</v>
      </c>
      <c r="M166" s="295">
        <f>'CAR Mileage'!M187*CAR!$I$58</f>
        <v>25056.162870589393</v>
      </c>
      <c r="N166" s="295">
        <f>'CAR Mileage'!N187*CAR!$I$58</f>
        <v>25056.162870589393</v>
      </c>
      <c r="O166" s="295">
        <f>'CAR Mileage'!O187*CAR!$I$58</f>
        <v>25056.162870589393</v>
      </c>
      <c r="P166" s="295">
        <f>'CAR Mileage'!P187*CAR!$I$58</f>
        <v>25056.162870589393</v>
      </c>
      <c r="Q166" s="295">
        <f>'CAR Mileage'!Q187*CAR!$I$58</f>
        <v>25056.162870589393</v>
      </c>
      <c r="R166" s="295">
        <f>'CAR Mileage'!R187*CAR!$I$58</f>
        <v>25056.162870589393</v>
      </c>
      <c r="S166" s="295">
        <f>'CAR Mileage'!S187*CAR!$I$58</f>
        <v>25056.162870589393</v>
      </c>
      <c r="T166" s="295">
        <f>'CAR Mileage'!T187*CAR!$I$58</f>
        <v>25056.162870589393</v>
      </c>
      <c r="U166" s="295">
        <f>'CAR Mileage'!U187*CAR!$I$58</f>
        <v>25056.162870589393</v>
      </c>
      <c r="V166" s="295">
        <f>'CAR Mileage'!V187*CAR!$I$58</f>
        <v>25056.162870589393</v>
      </c>
      <c r="W166" s="295">
        <f>'CAR Mileage'!W187*CAR!$I$58</f>
        <v>25056.162870589393</v>
      </c>
      <c r="X166" s="295">
        <f>'CAR Mileage'!X187*CAR!$I$58</f>
        <v>25056.162870589393</v>
      </c>
      <c r="Y166" s="295">
        <f>'CAR Mileage'!Y187*CAR!$I$58</f>
        <v>25056.162870589393</v>
      </c>
      <c r="Z166" s="295">
        <f>'CAR Mileage'!Z187*CAR!$I$58</f>
        <v>25056.162870589393</v>
      </c>
      <c r="AA166" s="295">
        <f>'CAR Mileage'!AA187*CAR!$I$58</f>
        <v>25056.162870589393</v>
      </c>
      <c r="AB166" s="295">
        <f>'CAR Mileage'!AB187*CAR!$I$58</f>
        <v>25056.162870589393</v>
      </c>
      <c r="AC166" s="295">
        <f>'CAR Mileage'!AC187*CAR!$I$58</f>
        <v>25056.162870589393</v>
      </c>
      <c r="AD166" s="295">
        <f>'CAR Mileage'!AD187*CAR!$I$58</f>
        <v>25056.162870589393</v>
      </c>
      <c r="AE166" s="296">
        <f>'CAR Mileage'!AE187*CAR!$I$58</f>
        <v>25056.162870589393</v>
      </c>
      <c r="AG166" s="1711"/>
      <c r="AH166" s="116">
        <v>18</v>
      </c>
      <c r="AI166" s="294">
        <f>'CAR Passenger Kilometres'!C166*'CAR Stock'!C216</f>
        <v>177919.40794690646</v>
      </c>
      <c r="AJ166" s="295">
        <f>'CAR Passenger Kilometres'!D166*'CAR Stock'!D216</f>
        <v>152745.6192309543</v>
      </c>
      <c r="AK166" s="295">
        <f>'CAR Passenger Kilometres'!E166*'CAR Stock'!E216</f>
        <v>149867.04671338791</v>
      </c>
      <c r="AL166" s="295">
        <f>'CAR Passenger Kilometres'!F166*'CAR Stock'!F216</f>
        <v>13918.264847650238</v>
      </c>
      <c r="AM166" s="295">
        <f>'CAR Passenger Kilometres'!G166*'CAR Stock'!G216</f>
        <v>8372.9162991944359</v>
      </c>
      <c r="AN166" s="295">
        <f>'CAR Passenger Kilometres'!H166*'CAR Stock'!H216</f>
        <v>3282.7266756418571</v>
      </c>
      <c r="AO166" s="295">
        <f>'CAR Passenger Kilometres'!I166*'CAR Stock'!I216</f>
        <v>19523.521900185777</v>
      </c>
      <c r="AP166" s="295">
        <f>'CAR Passenger Kilometres'!J166*'CAR Stock'!J216</f>
        <v>44502.145507776397</v>
      </c>
      <c r="AQ166" s="295">
        <f>'CAR Passenger Kilometres'!K166*'CAR Stock'!K216</f>
        <v>380421.56643744349</v>
      </c>
      <c r="AR166" s="295">
        <f>'CAR Passenger Kilometres'!L166*'CAR Stock'!L216</f>
        <v>732419.18187314575</v>
      </c>
      <c r="AS166" s="295">
        <f>'CAR Passenger Kilometres'!M166*'CAR Stock'!M216</f>
        <v>994838.28506093728</v>
      </c>
      <c r="AT166" s="295">
        <f>'CAR Passenger Kilometres'!N166*'CAR Stock'!N216</f>
        <v>1630788.2998978707</v>
      </c>
      <c r="AU166" s="295">
        <f>'CAR Passenger Kilometres'!O166*'CAR Stock'!O216</f>
        <v>1689933.0868307867</v>
      </c>
      <c r="AV166" s="295">
        <f>'CAR Passenger Kilometres'!P166*'CAR Stock'!P216</f>
        <v>2102798.1528964802</v>
      </c>
      <c r="AW166" s="295">
        <f>'CAR Passenger Kilometres'!Q166*'CAR Stock'!Q216</f>
        <v>3699133.1788528459</v>
      </c>
      <c r="AX166" s="295">
        <f>'CAR Passenger Kilometres'!R166*'CAR Stock'!R216</f>
        <v>2726976.6324700662</v>
      </c>
      <c r="AY166" s="295">
        <f>'CAR Passenger Kilometres'!S166*'CAR Stock'!S216</f>
        <v>4408870.622047835</v>
      </c>
      <c r="AZ166" s="295">
        <f>'CAR Passenger Kilometres'!T166*'CAR Stock'!T216</f>
        <v>4775797.9895248571</v>
      </c>
      <c r="BA166" s="295">
        <f>'CAR Passenger Kilometres'!U166*'CAR Stock'!U216</f>
        <v>3487819.7653449527</v>
      </c>
      <c r="BB166" s="295">
        <f>'CAR Passenger Kilometres'!V166*'CAR Stock'!V216</f>
        <v>0</v>
      </c>
      <c r="BC166" s="295">
        <f>'CAR Passenger Kilometres'!W166*'CAR Stock'!W216</f>
        <v>0</v>
      </c>
      <c r="BD166" s="295">
        <f>'CAR Passenger Kilometres'!X166*'CAR Stock'!X216</f>
        <v>0</v>
      </c>
      <c r="BE166" s="295">
        <f>'CAR Passenger Kilometres'!Y166*'CAR Stock'!Y216</f>
        <v>0</v>
      </c>
      <c r="BF166" s="295">
        <f>'CAR Passenger Kilometres'!Z166*'CAR Stock'!Z216</f>
        <v>0</v>
      </c>
      <c r="BG166" s="295">
        <f>'CAR Passenger Kilometres'!AA166*'CAR Stock'!AA216</f>
        <v>0</v>
      </c>
      <c r="BH166" s="295">
        <f>'CAR Passenger Kilometres'!AB166*'CAR Stock'!AB216</f>
        <v>0</v>
      </c>
      <c r="BI166" s="295">
        <f>'CAR Passenger Kilometres'!AC166*'CAR Stock'!AC216</f>
        <v>0</v>
      </c>
      <c r="BJ166" s="295">
        <f>'CAR Passenger Kilometres'!AD166*'CAR Stock'!AD216</f>
        <v>0</v>
      </c>
      <c r="BK166" s="296">
        <f>'CAR Passenger Kilometres'!AE166*'CAR Stock'!AE216</f>
        <v>0</v>
      </c>
    </row>
    <row r="167" spans="1:63">
      <c r="A167" s="1711"/>
      <c r="B167" s="116">
        <v>19</v>
      </c>
      <c r="C167" s="294">
        <f>'CAR Mileage'!C188*CAR!$I$58</f>
        <v>25056.162870589393</v>
      </c>
      <c r="D167" s="295">
        <f>'CAR Mileage'!D188*CAR!$I$58</f>
        <v>25056.162870589393</v>
      </c>
      <c r="E167" s="295">
        <f>'CAR Mileage'!E188*CAR!$I$58</f>
        <v>25056.162870589393</v>
      </c>
      <c r="F167" s="295">
        <f>'CAR Mileage'!F188*CAR!$I$58</f>
        <v>25056.162870589393</v>
      </c>
      <c r="G167" s="295">
        <f>'CAR Mileage'!G188*CAR!$I$58</f>
        <v>25056.162870589393</v>
      </c>
      <c r="H167" s="295">
        <f>'CAR Mileage'!H188*CAR!$I$58</f>
        <v>25056.162870589393</v>
      </c>
      <c r="I167" s="295">
        <f>'CAR Mileage'!I188*CAR!$I$58</f>
        <v>25056.162870589393</v>
      </c>
      <c r="J167" s="295">
        <f>'CAR Mileage'!J188*CAR!$I$58</f>
        <v>25056.162870589393</v>
      </c>
      <c r="K167" s="295">
        <f>'CAR Mileage'!K188*CAR!$I$58</f>
        <v>25056.162870589393</v>
      </c>
      <c r="L167" s="295">
        <f>'CAR Mileage'!L188*CAR!$I$58</f>
        <v>25056.162870589393</v>
      </c>
      <c r="M167" s="295">
        <f>'CAR Mileage'!M188*CAR!$I$58</f>
        <v>25056.162870589393</v>
      </c>
      <c r="N167" s="295">
        <f>'CAR Mileage'!N188*CAR!$I$58</f>
        <v>25056.162870589393</v>
      </c>
      <c r="O167" s="295">
        <f>'CAR Mileage'!O188*CAR!$I$58</f>
        <v>25056.162870589393</v>
      </c>
      <c r="P167" s="295">
        <f>'CAR Mileage'!P188*CAR!$I$58</f>
        <v>25056.162870589393</v>
      </c>
      <c r="Q167" s="295">
        <f>'CAR Mileage'!Q188*CAR!$I$58</f>
        <v>25056.162870589393</v>
      </c>
      <c r="R167" s="295">
        <f>'CAR Mileage'!R188*CAR!$I$58</f>
        <v>25056.162870589393</v>
      </c>
      <c r="S167" s="295">
        <f>'CAR Mileage'!S188*CAR!$I$58</f>
        <v>25056.162870589393</v>
      </c>
      <c r="T167" s="295">
        <f>'CAR Mileage'!T188*CAR!$I$58</f>
        <v>25056.162870589393</v>
      </c>
      <c r="U167" s="295">
        <f>'CAR Mileage'!U188*CAR!$I$58</f>
        <v>25056.162870589393</v>
      </c>
      <c r="V167" s="295">
        <f>'CAR Mileage'!V188*CAR!$I$58</f>
        <v>25056.162870589393</v>
      </c>
      <c r="W167" s="295">
        <f>'CAR Mileage'!W188*CAR!$I$58</f>
        <v>25056.162870589393</v>
      </c>
      <c r="X167" s="295">
        <f>'CAR Mileage'!X188*CAR!$I$58</f>
        <v>25056.162870589393</v>
      </c>
      <c r="Y167" s="295">
        <f>'CAR Mileage'!Y188*CAR!$I$58</f>
        <v>25056.162870589393</v>
      </c>
      <c r="Z167" s="295">
        <f>'CAR Mileage'!Z188*CAR!$I$58</f>
        <v>25056.162870589393</v>
      </c>
      <c r="AA167" s="295">
        <f>'CAR Mileage'!AA188*CAR!$I$58</f>
        <v>25056.162870589393</v>
      </c>
      <c r="AB167" s="295">
        <f>'CAR Mileage'!AB188*CAR!$I$58</f>
        <v>25056.162870589393</v>
      </c>
      <c r="AC167" s="295">
        <f>'CAR Mileage'!AC188*CAR!$I$58</f>
        <v>25056.162870589393</v>
      </c>
      <c r="AD167" s="295">
        <f>'CAR Mileage'!AD188*CAR!$I$58</f>
        <v>25056.162870589393</v>
      </c>
      <c r="AE167" s="296">
        <f>'CAR Mileage'!AE188*CAR!$I$58</f>
        <v>25056.162870589393</v>
      </c>
      <c r="AG167" s="1711"/>
      <c r="AH167" s="116">
        <v>19</v>
      </c>
      <c r="AI167" s="294">
        <f>'CAR Passenger Kilometres'!C167*'CAR Stock'!C217</f>
        <v>65452.892369061818</v>
      </c>
      <c r="AJ167" s="295">
        <f>'CAR Passenger Kilometres'!D167*'CAR Stock'!D217</f>
        <v>48164.548323488045</v>
      </c>
      <c r="AK167" s="295">
        <f>'CAR Passenger Kilometres'!E167*'CAR Stock'!E217</f>
        <v>41349.754046201684</v>
      </c>
      <c r="AL167" s="295">
        <f>'CAR Passenger Kilometres'!F167*'CAR Stock'!F217</f>
        <v>40570.495916215303</v>
      </c>
      <c r="AM167" s="295">
        <f>'CAR Passenger Kilometres'!G167*'CAR Stock'!G217</f>
        <v>3767.8123346374973</v>
      </c>
      <c r="AN167" s="295">
        <f>'CAR Passenger Kilometres'!H167*'CAR Stock'!H217</f>
        <v>2266.6314841909466</v>
      </c>
      <c r="AO167" s="295">
        <f>'CAR Passenger Kilometres'!I167*'CAR Stock'!I217</f>
        <v>888.66666895012372</v>
      </c>
      <c r="AP167" s="295">
        <f>'CAR Passenger Kilometres'!J167*'CAR Stock'!J217</f>
        <v>5285.2110113067911</v>
      </c>
      <c r="AQ167" s="295">
        <f>'CAR Passenger Kilometres'!K167*'CAR Stock'!K217</f>
        <v>12047.172158125773</v>
      </c>
      <c r="AR167" s="295">
        <f>'CAR Passenger Kilometres'!L167*'CAR Stock'!L217</f>
        <v>102983.8910291397</v>
      </c>
      <c r="AS167" s="295">
        <f>'CAR Passenger Kilometres'!M167*'CAR Stock'!M217</f>
        <v>198273.13661534741</v>
      </c>
      <c r="AT167" s="295">
        <f>'CAR Passenger Kilometres'!N167*'CAR Stock'!N217</f>
        <v>269312.59050261823</v>
      </c>
      <c r="AU167" s="295">
        <f>'CAR Passenger Kilometres'!O167*'CAR Stock'!O217</f>
        <v>441470.56682680256</v>
      </c>
      <c r="AV167" s="295">
        <f>'CAR Passenger Kilometres'!P167*'CAR Stock'!P217</f>
        <v>457481.64724340849</v>
      </c>
      <c r="AW167" s="295">
        <f>'CAR Passenger Kilometres'!Q167*'CAR Stock'!Q217</f>
        <v>569248.31539427862</v>
      </c>
      <c r="AX167" s="295">
        <f>'CAR Passenger Kilometres'!R167*'CAR Stock'!R217</f>
        <v>1001392.0392599514</v>
      </c>
      <c r="AY167" s="295">
        <f>'CAR Passenger Kilometres'!S167*'CAR Stock'!S217</f>
        <v>738219.62037341029</v>
      </c>
      <c r="AZ167" s="295">
        <f>'CAR Passenger Kilometres'!T167*'CAR Stock'!T217</f>
        <v>1193525.0042592217</v>
      </c>
      <c r="BA167" s="295">
        <f>'CAR Passenger Kilometres'!U167*'CAR Stock'!U217</f>
        <v>1292855.8817952527</v>
      </c>
      <c r="BB167" s="295">
        <f>'CAR Passenger Kilometres'!V167*'CAR Stock'!V217</f>
        <v>944187.40243168967</v>
      </c>
      <c r="BC167" s="295">
        <f>'CAR Passenger Kilometres'!W167*'CAR Stock'!W217</f>
        <v>0</v>
      </c>
      <c r="BD167" s="295">
        <f>'CAR Passenger Kilometres'!X167*'CAR Stock'!X217</f>
        <v>0</v>
      </c>
      <c r="BE167" s="295">
        <f>'CAR Passenger Kilometres'!Y167*'CAR Stock'!Y217</f>
        <v>0</v>
      </c>
      <c r="BF167" s="295">
        <f>'CAR Passenger Kilometres'!Z167*'CAR Stock'!Z217</f>
        <v>0</v>
      </c>
      <c r="BG167" s="295">
        <f>'CAR Passenger Kilometres'!AA167*'CAR Stock'!AA217</f>
        <v>0</v>
      </c>
      <c r="BH167" s="295">
        <f>'CAR Passenger Kilometres'!AB167*'CAR Stock'!AB217</f>
        <v>0</v>
      </c>
      <c r="BI167" s="295">
        <f>'CAR Passenger Kilometres'!AC167*'CAR Stock'!AC217</f>
        <v>0</v>
      </c>
      <c r="BJ167" s="295">
        <f>'CAR Passenger Kilometres'!AD167*'CAR Stock'!AD217</f>
        <v>0</v>
      </c>
      <c r="BK167" s="296">
        <f>'CAR Passenger Kilometres'!AE167*'CAR Stock'!AE217</f>
        <v>0</v>
      </c>
    </row>
    <row r="168" spans="1:63">
      <c r="A168" s="1711"/>
      <c r="B168" s="116">
        <v>20</v>
      </c>
      <c r="C168" s="294">
        <f>'CAR Mileage'!C189*CAR!$I$58</f>
        <v>25056.162870589393</v>
      </c>
      <c r="D168" s="295">
        <f>'CAR Mileage'!D189*CAR!$I$58</f>
        <v>25056.162870589393</v>
      </c>
      <c r="E168" s="295">
        <f>'CAR Mileage'!E189*CAR!$I$58</f>
        <v>25056.162870589393</v>
      </c>
      <c r="F168" s="295">
        <f>'CAR Mileage'!F189*CAR!$I$58</f>
        <v>25056.162870589393</v>
      </c>
      <c r="G168" s="295">
        <f>'CAR Mileage'!G189*CAR!$I$58</f>
        <v>25056.162870589393</v>
      </c>
      <c r="H168" s="295">
        <f>'CAR Mileage'!H189*CAR!$I$58</f>
        <v>25056.162870589393</v>
      </c>
      <c r="I168" s="295">
        <f>'CAR Mileage'!I189*CAR!$I$58</f>
        <v>25056.162870589393</v>
      </c>
      <c r="J168" s="295">
        <f>'CAR Mileage'!J189*CAR!$I$58</f>
        <v>25056.162870589393</v>
      </c>
      <c r="K168" s="295">
        <f>'CAR Mileage'!K189*CAR!$I$58</f>
        <v>25056.162870589393</v>
      </c>
      <c r="L168" s="295">
        <f>'CAR Mileage'!L189*CAR!$I$58</f>
        <v>25056.162870589393</v>
      </c>
      <c r="M168" s="295">
        <f>'CAR Mileage'!M189*CAR!$I$58</f>
        <v>25056.162870589393</v>
      </c>
      <c r="N168" s="295">
        <f>'CAR Mileage'!N189*CAR!$I$58</f>
        <v>25056.162870589393</v>
      </c>
      <c r="O168" s="295">
        <f>'CAR Mileage'!O189*CAR!$I$58</f>
        <v>25056.162870589393</v>
      </c>
      <c r="P168" s="295">
        <f>'CAR Mileage'!P189*CAR!$I$58</f>
        <v>25056.162870589393</v>
      </c>
      <c r="Q168" s="295">
        <f>'CAR Mileage'!Q189*CAR!$I$58</f>
        <v>25056.162870589393</v>
      </c>
      <c r="R168" s="295">
        <f>'CAR Mileage'!R189*CAR!$I$58</f>
        <v>25056.162870589393</v>
      </c>
      <c r="S168" s="295">
        <f>'CAR Mileage'!S189*CAR!$I$58</f>
        <v>25056.162870589393</v>
      </c>
      <c r="T168" s="295">
        <f>'CAR Mileage'!T189*CAR!$I$58</f>
        <v>25056.162870589393</v>
      </c>
      <c r="U168" s="295">
        <f>'CAR Mileage'!U189*CAR!$I$58</f>
        <v>25056.162870589393</v>
      </c>
      <c r="V168" s="295">
        <f>'CAR Mileage'!V189*CAR!$I$58</f>
        <v>25056.162870589393</v>
      </c>
      <c r="W168" s="295">
        <f>'CAR Mileage'!W189*CAR!$I$58</f>
        <v>25056.162870589393</v>
      </c>
      <c r="X168" s="295">
        <f>'CAR Mileage'!X189*CAR!$I$58</f>
        <v>25056.162870589393</v>
      </c>
      <c r="Y168" s="295">
        <f>'CAR Mileage'!Y189*CAR!$I$58</f>
        <v>25056.162870589393</v>
      </c>
      <c r="Z168" s="295">
        <f>'CAR Mileage'!Z189*CAR!$I$58</f>
        <v>25056.162870589393</v>
      </c>
      <c r="AA168" s="295">
        <f>'CAR Mileage'!AA189*CAR!$I$58</f>
        <v>25056.162870589393</v>
      </c>
      <c r="AB168" s="295">
        <f>'CAR Mileage'!AB189*CAR!$I$58</f>
        <v>25056.162870589393</v>
      </c>
      <c r="AC168" s="295">
        <f>'CAR Mileage'!AC189*CAR!$I$58</f>
        <v>25056.162870589393</v>
      </c>
      <c r="AD168" s="295">
        <f>'CAR Mileage'!AD189*CAR!$I$58</f>
        <v>25056.162870589393</v>
      </c>
      <c r="AE168" s="296">
        <f>'CAR Mileage'!AE189*CAR!$I$58</f>
        <v>25056.162870589393</v>
      </c>
      <c r="AG168" s="1711"/>
      <c r="AH168" s="116">
        <v>20</v>
      </c>
      <c r="AI168" s="294">
        <f>'CAR Passenger Kilometres'!C168*'CAR Stock'!C218</f>
        <v>24078.773467785028</v>
      </c>
      <c r="AJ168" s="295">
        <f>'CAR Passenger Kilometres'!D168*'CAR Stock'!D218</f>
        <v>14765.622601266426</v>
      </c>
      <c r="AK168" s="295">
        <f>'CAR Passenger Kilometres'!E168*'CAR Stock'!E218</f>
        <v>10865.517436495189</v>
      </c>
      <c r="AL168" s="295">
        <f>'CAR Passenger Kilometres'!F168*'CAR Stock'!F218</f>
        <v>9328.1571035659799</v>
      </c>
      <c r="AM168" s="295">
        <f>'CAR Passenger Kilometres'!G168*'CAR Stock'!G218</f>
        <v>9152.3630165534669</v>
      </c>
      <c r="AN168" s="295">
        <f>'CAR Passenger Kilometres'!H168*'CAR Stock'!H218</f>
        <v>849.98680657160526</v>
      </c>
      <c r="AO168" s="295">
        <f>'CAR Passenger Kilometres'!I168*'CAR Stock'!I218</f>
        <v>511.33301921935566</v>
      </c>
      <c r="AP168" s="295">
        <f>'CAR Passenger Kilometres'!J168*'CAR Stock'!J218</f>
        <v>200.47573418229032</v>
      </c>
      <c r="AQ168" s="295">
        <f>'CAR Passenger Kilometres'!K168*'CAR Stock'!K218</f>
        <v>1192.2991992619918</v>
      </c>
      <c r="AR168" s="295">
        <f>'CAR Passenger Kilometres'!L168*'CAR Stock'!L218</f>
        <v>2717.7408218471874</v>
      </c>
      <c r="AS168" s="295">
        <f>'CAR Passenger Kilometres'!M168*'CAR Stock'!M218</f>
        <v>23232.300573854995</v>
      </c>
      <c r="AT168" s="295">
        <f>'CAR Passenger Kilometres'!N168*'CAR Stock'!N218</f>
        <v>44728.753784078544</v>
      </c>
      <c r="AU168" s="295">
        <f>'CAR Passenger Kilometres'!O168*'CAR Stock'!O218</f>
        <v>60754.657727100064</v>
      </c>
      <c r="AV168" s="295">
        <f>'CAR Passenger Kilometres'!P168*'CAR Stock'!P218</f>
        <v>99592.050761884035</v>
      </c>
      <c r="AW168" s="295">
        <f>'CAR Passenger Kilometres'!Q168*'CAR Stock'!Q218</f>
        <v>103204.01598317773</v>
      </c>
      <c r="AX168" s="295">
        <f>'CAR Passenger Kilometres'!R168*'CAR Stock'!R218</f>
        <v>128417.63728521811</v>
      </c>
      <c r="AY168" s="295">
        <f>'CAR Passenger Kilometres'!S168*'CAR Stock'!S218</f>
        <v>225905.63063663975</v>
      </c>
      <c r="AZ168" s="295">
        <f>'CAR Passenger Kilometres'!T168*'CAR Stock'!T218</f>
        <v>166536.14403809409</v>
      </c>
      <c r="BA168" s="295">
        <f>'CAR Passenger Kilometres'!U168*'CAR Stock'!U218</f>
        <v>269249.21329216391</v>
      </c>
      <c r="BB168" s="295">
        <f>'CAR Passenger Kilometres'!V168*'CAR Stock'!V218</f>
        <v>291657.42471358791</v>
      </c>
      <c r="BC168" s="295">
        <f>'CAR Passenger Kilometres'!W168*'CAR Stock'!W218</f>
        <v>213000.74518580409</v>
      </c>
      <c r="BD168" s="295">
        <f>'CAR Passenger Kilometres'!X168*'CAR Stock'!X218</f>
        <v>0</v>
      </c>
      <c r="BE168" s="295">
        <f>'CAR Passenger Kilometres'!Y168*'CAR Stock'!Y218</f>
        <v>0</v>
      </c>
      <c r="BF168" s="295">
        <f>'CAR Passenger Kilometres'!Z168*'CAR Stock'!Z218</f>
        <v>0</v>
      </c>
      <c r="BG168" s="295">
        <f>'CAR Passenger Kilometres'!AA168*'CAR Stock'!AA218</f>
        <v>0</v>
      </c>
      <c r="BH168" s="295">
        <f>'CAR Passenger Kilometres'!AB168*'CAR Stock'!AB218</f>
        <v>0</v>
      </c>
      <c r="BI168" s="295">
        <f>'CAR Passenger Kilometres'!AC168*'CAR Stock'!AC218</f>
        <v>0</v>
      </c>
      <c r="BJ168" s="295">
        <f>'CAR Passenger Kilometres'!AD168*'CAR Stock'!AD218</f>
        <v>0</v>
      </c>
      <c r="BK168" s="296">
        <f>'CAR Passenger Kilometres'!AE168*'CAR Stock'!AE218</f>
        <v>0</v>
      </c>
    </row>
    <row r="169" spans="1:63">
      <c r="A169" s="1711"/>
      <c r="B169" s="116">
        <v>21</v>
      </c>
      <c r="C169" s="294">
        <f>'CAR Mileage'!C190*CAR!$I$58</f>
        <v>25056.162870589393</v>
      </c>
      <c r="D169" s="295">
        <f>'CAR Mileage'!D190*CAR!$I$58</f>
        <v>25056.162870589393</v>
      </c>
      <c r="E169" s="295">
        <f>'CAR Mileage'!E190*CAR!$I$58</f>
        <v>25056.162870589393</v>
      </c>
      <c r="F169" s="295">
        <f>'CAR Mileage'!F190*CAR!$I$58</f>
        <v>25056.162870589393</v>
      </c>
      <c r="G169" s="295">
        <f>'CAR Mileage'!G190*CAR!$I$58</f>
        <v>25056.162870589393</v>
      </c>
      <c r="H169" s="295">
        <f>'CAR Mileage'!H190*CAR!$I$58</f>
        <v>25056.162870589393</v>
      </c>
      <c r="I169" s="295">
        <f>'CAR Mileage'!I190*CAR!$I$58</f>
        <v>25056.162870589393</v>
      </c>
      <c r="J169" s="295">
        <f>'CAR Mileage'!J190*CAR!$I$58</f>
        <v>25056.162870589393</v>
      </c>
      <c r="K169" s="295">
        <f>'CAR Mileage'!K190*CAR!$I$58</f>
        <v>25056.162870589393</v>
      </c>
      <c r="L169" s="295">
        <f>'CAR Mileage'!L190*CAR!$I$58</f>
        <v>25056.162870589393</v>
      </c>
      <c r="M169" s="295">
        <f>'CAR Mileage'!M190*CAR!$I$58</f>
        <v>25056.162870589393</v>
      </c>
      <c r="N169" s="295">
        <f>'CAR Mileage'!N190*CAR!$I$58</f>
        <v>25056.162870589393</v>
      </c>
      <c r="O169" s="295">
        <f>'CAR Mileage'!O190*CAR!$I$58</f>
        <v>25056.162870589393</v>
      </c>
      <c r="P169" s="295">
        <f>'CAR Mileage'!P190*CAR!$I$58</f>
        <v>25056.162870589393</v>
      </c>
      <c r="Q169" s="295">
        <f>'CAR Mileage'!Q190*CAR!$I$58</f>
        <v>25056.162870589393</v>
      </c>
      <c r="R169" s="295">
        <f>'CAR Mileage'!R190*CAR!$I$58</f>
        <v>25056.162870589393</v>
      </c>
      <c r="S169" s="295">
        <f>'CAR Mileage'!S190*CAR!$I$58</f>
        <v>25056.162870589393</v>
      </c>
      <c r="T169" s="295">
        <f>'CAR Mileage'!T190*CAR!$I$58</f>
        <v>25056.162870589393</v>
      </c>
      <c r="U169" s="295">
        <f>'CAR Mileage'!U190*CAR!$I$58</f>
        <v>25056.162870589393</v>
      </c>
      <c r="V169" s="295">
        <f>'CAR Mileage'!V190*CAR!$I$58</f>
        <v>25056.162870589393</v>
      </c>
      <c r="W169" s="295">
        <f>'CAR Mileage'!W190*CAR!$I$58</f>
        <v>25056.162870589393</v>
      </c>
      <c r="X169" s="295">
        <f>'CAR Mileage'!X190*CAR!$I$58</f>
        <v>25056.162870589393</v>
      </c>
      <c r="Y169" s="295">
        <f>'CAR Mileage'!Y190*CAR!$I$58</f>
        <v>25056.162870589393</v>
      </c>
      <c r="Z169" s="295">
        <f>'CAR Mileage'!Z190*CAR!$I$58</f>
        <v>25056.162870589393</v>
      </c>
      <c r="AA169" s="295">
        <f>'CAR Mileage'!AA190*CAR!$I$58</f>
        <v>25056.162870589393</v>
      </c>
      <c r="AB169" s="295">
        <f>'CAR Mileage'!AB190*CAR!$I$58</f>
        <v>25056.162870589393</v>
      </c>
      <c r="AC169" s="295">
        <f>'CAR Mileage'!AC190*CAR!$I$58</f>
        <v>25056.162870589393</v>
      </c>
      <c r="AD169" s="295">
        <f>'CAR Mileage'!AD190*CAR!$I$58</f>
        <v>25056.162870589393</v>
      </c>
      <c r="AE169" s="296">
        <f>'CAR Mileage'!AE190*CAR!$I$58</f>
        <v>25056.162870589393</v>
      </c>
      <c r="AG169" s="1711"/>
      <c r="AH169" s="116">
        <v>21</v>
      </c>
      <c r="AI169" s="294">
        <f>'CAR Passenger Kilometres'!C169*'CAR Stock'!C219</f>
        <v>8858.0857274225091</v>
      </c>
      <c r="AJ169" s="295">
        <f>'CAR Passenger Kilometres'!D169*'CAR Stock'!D219</f>
        <v>4345.5751928818509</v>
      </c>
      <c r="AK169" s="295">
        <f>'CAR Passenger Kilometres'!E169*'CAR Stock'!E219</f>
        <v>2664.8003217176088</v>
      </c>
      <c r="AL169" s="295">
        <f>'CAR Passenger Kilometres'!F169*'CAR Stock'!F219</f>
        <v>1960.9355556681564</v>
      </c>
      <c r="AM169" s="295">
        <f>'CAR Passenger Kilometres'!G169*'CAR Stock'!G219</f>
        <v>1683.483095963933</v>
      </c>
      <c r="AN169" s="295">
        <f>'CAR Passenger Kilometres'!H169*'CAR Stock'!H219</f>
        <v>1651.7569607187575</v>
      </c>
      <c r="AO169" s="295">
        <f>'CAR Passenger Kilometres'!I169*'CAR Stock'!I219</f>
        <v>153.39990576580681</v>
      </c>
      <c r="AP169" s="295">
        <f>'CAR Passenger Kilometres'!J169*'CAR Stock'!J219</f>
        <v>92.281946445231981</v>
      </c>
      <c r="AQ169" s="295">
        <f>'CAR Passenger Kilometres'!K169*'CAR Stock'!K219</f>
        <v>36.180513031649689</v>
      </c>
      <c r="AR169" s="295">
        <f>'CAR Passenger Kilometres'!L169*'CAR Stock'!L219</f>
        <v>215.1781455869322</v>
      </c>
      <c r="AS169" s="295">
        <f>'CAR Passenger Kilometres'!M169*'CAR Stock'!M219</f>
        <v>490.47959655844841</v>
      </c>
      <c r="AT169" s="295">
        <f>'CAR Passenger Kilometres'!N169*'CAR Stock'!N219</f>
        <v>4192.8094544512533</v>
      </c>
      <c r="AU169" s="295">
        <f>'CAR Passenger Kilometres'!O169*'CAR Stock'!O219</f>
        <v>8072.3448440038828</v>
      </c>
      <c r="AV169" s="295">
        <f>'CAR Passenger Kilometres'!P169*'CAR Stock'!P219</f>
        <v>10964.592271451773</v>
      </c>
      <c r="AW169" s="295">
        <f>'CAR Passenger Kilometres'!Q169*'CAR Stock'!Q219</f>
        <v>17973.703925496691</v>
      </c>
      <c r="AX169" s="295">
        <f>'CAR Passenger Kilometres'!R169*'CAR Stock'!R219</f>
        <v>18625.567131245338</v>
      </c>
      <c r="AY169" s="295">
        <f>'CAR Passenger Kilometres'!S169*'CAR Stock'!S219</f>
        <v>23175.952033510177</v>
      </c>
      <c r="AZ169" s="295">
        <f>'CAR Passenger Kilometres'!T169*'CAR Stock'!T219</f>
        <v>40769.9298197358</v>
      </c>
      <c r="BA169" s="295">
        <f>'CAR Passenger Kilometres'!U169*'CAR Stock'!U219</f>
        <v>30055.323923304142</v>
      </c>
      <c r="BB169" s="295">
        <f>'CAR Passenger Kilometres'!V169*'CAR Stock'!V219</f>
        <v>48592.288288719574</v>
      </c>
      <c r="BC169" s="295">
        <f>'CAR Passenger Kilometres'!W169*'CAR Stock'!W219</f>
        <v>52636.371671956338</v>
      </c>
      <c r="BD169" s="295">
        <f>'CAR Passenger Kilometres'!X169*'CAR Stock'!X219</f>
        <v>38440.942832206652</v>
      </c>
      <c r="BE169" s="295">
        <f>'CAR Passenger Kilometres'!Y169*'CAR Stock'!Y219</f>
        <v>0</v>
      </c>
      <c r="BF169" s="295">
        <f>'CAR Passenger Kilometres'!Z169*'CAR Stock'!Z219</f>
        <v>0</v>
      </c>
      <c r="BG169" s="295">
        <f>'CAR Passenger Kilometres'!AA169*'CAR Stock'!AA219</f>
        <v>0</v>
      </c>
      <c r="BH169" s="295">
        <f>'CAR Passenger Kilometres'!AB169*'CAR Stock'!AB219</f>
        <v>0</v>
      </c>
      <c r="BI169" s="295">
        <f>'CAR Passenger Kilometres'!AC169*'CAR Stock'!AC219</f>
        <v>0</v>
      </c>
      <c r="BJ169" s="295">
        <f>'CAR Passenger Kilometres'!AD169*'CAR Stock'!AD219</f>
        <v>0</v>
      </c>
      <c r="BK169" s="296">
        <f>'CAR Passenger Kilometres'!AE169*'CAR Stock'!AE219</f>
        <v>0</v>
      </c>
    </row>
    <row r="170" spans="1:63">
      <c r="A170" s="1711"/>
      <c r="B170" s="116">
        <v>22</v>
      </c>
      <c r="C170" s="294">
        <f>'CAR Mileage'!C191*CAR!$I$58</f>
        <v>25056.162870589393</v>
      </c>
      <c r="D170" s="295">
        <f>'CAR Mileage'!D191*CAR!$I$58</f>
        <v>25056.162870589393</v>
      </c>
      <c r="E170" s="295">
        <f>'CAR Mileage'!E191*CAR!$I$58</f>
        <v>25056.162870589393</v>
      </c>
      <c r="F170" s="295">
        <f>'CAR Mileage'!F191*CAR!$I$58</f>
        <v>25056.162870589393</v>
      </c>
      <c r="G170" s="295">
        <f>'CAR Mileage'!G191*CAR!$I$58</f>
        <v>25056.162870589393</v>
      </c>
      <c r="H170" s="295">
        <f>'CAR Mileage'!H191*CAR!$I$58</f>
        <v>25056.162870589393</v>
      </c>
      <c r="I170" s="295">
        <f>'CAR Mileage'!I191*CAR!$I$58</f>
        <v>25056.162870589393</v>
      </c>
      <c r="J170" s="295">
        <f>'CAR Mileage'!J191*CAR!$I$58</f>
        <v>25056.162870589393</v>
      </c>
      <c r="K170" s="295">
        <f>'CAR Mileage'!K191*CAR!$I$58</f>
        <v>25056.162870589393</v>
      </c>
      <c r="L170" s="295">
        <f>'CAR Mileage'!L191*CAR!$I$58</f>
        <v>25056.162870589393</v>
      </c>
      <c r="M170" s="295">
        <f>'CAR Mileage'!M191*CAR!$I$58</f>
        <v>25056.162870589393</v>
      </c>
      <c r="N170" s="295">
        <f>'CAR Mileage'!N191*CAR!$I$58</f>
        <v>25056.162870589393</v>
      </c>
      <c r="O170" s="295">
        <f>'CAR Mileage'!O191*CAR!$I$58</f>
        <v>25056.162870589393</v>
      </c>
      <c r="P170" s="295">
        <f>'CAR Mileage'!P191*CAR!$I$58</f>
        <v>25056.162870589393</v>
      </c>
      <c r="Q170" s="295">
        <f>'CAR Mileage'!Q191*CAR!$I$58</f>
        <v>25056.162870589393</v>
      </c>
      <c r="R170" s="295">
        <f>'CAR Mileage'!R191*CAR!$I$58</f>
        <v>25056.162870589393</v>
      </c>
      <c r="S170" s="295">
        <f>'CAR Mileage'!S191*CAR!$I$58</f>
        <v>25056.162870589393</v>
      </c>
      <c r="T170" s="295">
        <f>'CAR Mileage'!T191*CAR!$I$58</f>
        <v>25056.162870589393</v>
      </c>
      <c r="U170" s="295">
        <f>'CAR Mileage'!U191*CAR!$I$58</f>
        <v>25056.162870589393</v>
      </c>
      <c r="V170" s="295">
        <f>'CAR Mileage'!V191*CAR!$I$58</f>
        <v>25056.162870589393</v>
      </c>
      <c r="W170" s="295">
        <f>'CAR Mileage'!W191*CAR!$I$58</f>
        <v>25056.162870589393</v>
      </c>
      <c r="X170" s="295">
        <f>'CAR Mileage'!X191*CAR!$I$58</f>
        <v>25056.162870589393</v>
      </c>
      <c r="Y170" s="295">
        <f>'CAR Mileage'!Y191*CAR!$I$58</f>
        <v>25056.162870589393</v>
      </c>
      <c r="Z170" s="295">
        <f>'CAR Mileage'!Z191*CAR!$I$58</f>
        <v>25056.162870589393</v>
      </c>
      <c r="AA170" s="295">
        <f>'CAR Mileage'!AA191*CAR!$I$58</f>
        <v>25056.162870589393</v>
      </c>
      <c r="AB170" s="295">
        <f>'CAR Mileage'!AB191*CAR!$I$58</f>
        <v>25056.162870589393</v>
      </c>
      <c r="AC170" s="295">
        <f>'CAR Mileage'!AC191*CAR!$I$58</f>
        <v>25056.162870589393</v>
      </c>
      <c r="AD170" s="295">
        <f>'CAR Mileage'!AD191*CAR!$I$58</f>
        <v>25056.162870589393</v>
      </c>
      <c r="AE170" s="296">
        <f>'CAR Mileage'!AE191*CAR!$I$58</f>
        <v>25056.162870589393</v>
      </c>
      <c r="AG170" s="1711"/>
      <c r="AH170" s="116">
        <v>22</v>
      </c>
      <c r="AI170" s="294">
        <f>'CAR Passenger Kilometres'!C170*'CAR Stock'!C220</f>
        <v>3258.7076272529216</v>
      </c>
      <c r="AJ170" s="295">
        <f>'CAR Passenger Kilometres'!D170*'CAR Stock'!D220</f>
        <v>1198.9858301443937</v>
      </c>
      <c r="AK170" s="295">
        <f>'CAR Passenger Kilometres'!E170*'CAR Stock'!E220</f>
        <v>588.19515191217261</v>
      </c>
      <c r="AL170" s="295">
        <f>'CAR Passenger Kilometres'!F170*'CAR Stock'!F220</f>
        <v>360.69393819620672</v>
      </c>
      <c r="AM170" s="295">
        <f>'CAR Passenger Kilometres'!G170*'CAR Stock'!G220</f>
        <v>265.42235167062063</v>
      </c>
      <c r="AN170" s="295">
        <f>'CAR Passenger Kilometres'!H170*'CAR Stock'!H220</f>
        <v>227.86778537259624</v>
      </c>
      <c r="AO170" s="295">
        <f>'CAR Passenger Kilometres'!I170*'CAR Stock'!I220</f>
        <v>223.57349563836507</v>
      </c>
      <c r="AP170" s="295">
        <f>'CAR Passenger Kilometres'!J170*'CAR Stock'!J220</f>
        <v>20.763437950177213</v>
      </c>
      <c r="AQ170" s="295">
        <f>'CAR Passenger Kilometres'!K170*'CAR Stock'!K220</f>
        <v>12.490819074311661</v>
      </c>
      <c r="AR170" s="295">
        <f>'CAR Passenger Kilometres'!L170*'CAR Stock'!L220</f>
        <v>4.8972118567343195</v>
      </c>
      <c r="AS170" s="295">
        <f>'CAR Passenger Kilometres'!M170*'CAR Stock'!M220</f>
        <v>29.125429066100232</v>
      </c>
      <c r="AT170" s="295">
        <f>'CAR Passenger Kilometres'!N170*'CAR Stock'!N220</f>
        <v>66.388845665375527</v>
      </c>
      <c r="AU170" s="295">
        <f>'CAR Passenger Kilometres'!O170*'CAR Stock'!O220</f>
        <v>567.51755165562952</v>
      </c>
      <c r="AV170" s="295">
        <f>'CAR Passenger Kilometres'!P170*'CAR Stock'!P220</f>
        <v>1092.6319051120836</v>
      </c>
      <c r="AW170" s="295">
        <f>'CAR Passenger Kilometres'!Q170*'CAR Stock'!Q220</f>
        <v>1484.1119369711375</v>
      </c>
      <c r="AX170" s="295">
        <f>'CAR Passenger Kilometres'!R170*'CAR Stock'!R220</f>
        <v>2432.8299572860192</v>
      </c>
      <c r="AY170" s="295">
        <f>'CAR Passenger Kilometres'!S170*'CAR Stock'!S220</f>
        <v>2521.06287475097</v>
      </c>
      <c r="AZ170" s="295">
        <f>'CAR Passenger Kilometres'!T170*'CAR Stock'!T220</f>
        <v>3136.9800364723255</v>
      </c>
      <c r="BA170" s="295">
        <f>'CAR Passenger Kilometres'!U170*'CAR Stock'!U220</f>
        <v>5518.4121777593436</v>
      </c>
      <c r="BB170" s="295">
        <f>'CAR Passenger Kilometres'!V170*'CAR Stock'!V220</f>
        <v>4068.1371363208814</v>
      </c>
      <c r="BC170" s="295">
        <f>'CAR Passenger Kilometres'!W170*'CAR Stock'!W220</f>
        <v>6577.2071873387513</v>
      </c>
      <c r="BD170" s="295">
        <f>'CAR Passenger Kilometres'!X170*'CAR Stock'!X220</f>
        <v>7124.5939277281077</v>
      </c>
      <c r="BE170" s="295">
        <f>'CAR Passenger Kilometres'!Y170*'CAR Stock'!Y220</f>
        <v>5203.1722396321411</v>
      </c>
      <c r="BF170" s="295">
        <f>'CAR Passenger Kilometres'!Z170*'CAR Stock'!Z220</f>
        <v>0</v>
      </c>
      <c r="BG170" s="295">
        <f>'CAR Passenger Kilometres'!AA170*'CAR Stock'!AA220</f>
        <v>0</v>
      </c>
      <c r="BH170" s="295">
        <f>'CAR Passenger Kilometres'!AB170*'CAR Stock'!AB220</f>
        <v>0</v>
      </c>
      <c r="BI170" s="295">
        <f>'CAR Passenger Kilometres'!AC170*'CAR Stock'!AC220</f>
        <v>0</v>
      </c>
      <c r="BJ170" s="295">
        <f>'CAR Passenger Kilometres'!AD170*'CAR Stock'!AD220</f>
        <v>0</v>
      </c>
      <c r="BK170" s="296">
        <f>'CAR Passenger Kilometres'!AE170*'CAR Stock'!AE220</f>
        <v>0</v>
      </c>
    </row>
    <row r="171" spans="1:63">
      <c r="A171" s="1711"/>
      <c r="B171" s="116">
        <v>23</v>
      </c>
      <c r="C171" s="294">
        <f>'CAR Mileage'!C192*CAR!$I$58</f>
        <v>25056.162870589393</v>
      </c>
      <c r="D171" s="295">
        <f>'CAR Mileage'!D192*CAR!$I$58</f>
        <v>25056.162870589393</v>
      </c>
      <c r="E171" s="295">
        <f>'CAR Mileage'!E192*CAR!$I$58</f>
        <v>25056.162870589393</v>
      </c>
      <c r="F171" s="295">
        <f>'CAR Mileage'!F192*CAR!$I$58</f>
        <v>25056.162870589393</v>
      </c>
      <c r="G171" s="295">
        <f>'CAR Mileage'!G192*CAR!$I$58</f>
        <v>25056.162870589393</v>
      </c>
      <c r="H171" s="295">
        <f>'CAR Mileage'!H192*CAR!$I$58</f>
        <v>25056.162870589393</v>
      </c>
      <c r="I171" s="295">
        <f>'CAR Mileage'!I192*CAR!$I$58</f>
        <v>25056.162870589393</v>
      </c>
      <c r="J171" s="295">
        <f>'CAR Mileage'!J192*CAR!$I$58</f>
        <v>25056.162870589393</v>
      </c>
      <c r="K171" s="295">
        <f>'CAR Mileage'!K192*CAR!$I$58</f>
        <v>25056.162870589393</v>
      </c>
      <c r="L171" s="295">
        <f>'CAR Mileage'!L192*CAR!$I$58</f>
        <v>25056.162870589393</v>
      </c>
      <c r="M171" s="295">
        <f>'CAR Mileage'!M192*CAR!$I$58</f>
        <v>25056.162870589393</v>
      </c>
      <c r="N171" s="295">
        <f>'CAR Mileage'!N192*CAR!$I$58</f>
        <v>25056.162870589393</v>
      </c>
      <c r="O171" s="295">
        <f>'CAR Mileage'!O192*CAR!$I$58</f>
        <v>25056.162870589393</v>
      </c>
      <c r="P171" s="295">
        <f>'CAR Mileage'!P192*CAR!$I$58</f>
        <v>25056.162870589393</v>
      </c>
      <c r="Q171" s="295">
        <f>'CAR Mileage'!Q192*CAR!$I$58</f>
        <v>25056.162870589393</v>
      </c>
      <c r="R171" s="295">
        <f>'CAR Mileage'!R192*CAR!$I$58</f>
        <v>25056.162870589393</v>
      </c>
      <c r="S171" s="295">
        <f>'CAR Mileage'!S192*CAR!$I$58</f>
        <v>25056.162870589393</v>
      </c>
      <c r="T171" s="295">
        <f>'CAR Mileage'!T192*CAR!$I$58</f>
        <v>25056.162870589393</v>
      </c>
      <c r="U171" s="295">
        <f>'CAR Mileage'!U192*CAR!$I$58</f>
        <v>25056.162870589393</v>
      </c>
      <c r="V171" s="295">
        <f>'CAR Mileage'!V192*CAR!$I$58</f>
        <v>25056.162870589393</v>
      </c>
      <c r="W171" s="295">
        <f>'CAR Mileage'!W192*CAR!$I$58</f>
        <v>25056.162870589393</v>
      </c>
      <c r="X171" s="295">
        <f>'CAR Mileage'!X192*CAR!$I$58</f>
        <v>25056.162870589393</v>
      </c>
      <c r="Y171" s="295">
        <f>'CAR Mileage'!Y192*CAR!$I$58</f>
        <v>25056.162870589393</v>
      </c>
      <c r="Z171" s="295">
        <f>'CAR Mileage'!Z192*CAR!$I$58</f>
        <v>25056.162870589393</v>
      </c>
      <c r="AA171" s="295">
        <f>'CAR Mileage'!AA192*CAR!$I$58</f>
        <v>25056.162870589393</v>
      </c>
      <c r="AB171" s="295">
        <f>'CAR Mileage'!AB192*CAR!$I$58</f>
        <v>25056.162870589393</v>
      </c>
      <c r="AC171" s="295">
        <f>'CAR Mileage'!AC192*CAR!$I$58</f>
        <v>25056.162870589393</v>
      </c>
      <c r="AD171" s="295">
        <f>'CAR Mileage'!AD192*CAR!$I$58</f>
        <v>25056.162870589393</v>
      </c>
      <c r="AE171" s="296">
        <f>'CAR Mileage'!AE192*CAR!$I$58</f>
        <v>25056.162870589393</v>
      </c>
      <c r="AG171" s="1711"/>
      <c r="AH171" s="116">
        <v>23</v>
      </c>
      <c r="AI171" s="294">
        <f>'CAR Passenger Kilometres'!C171*'CAR Stock'!C221</f>
        <v>1198.8115408549213</v>
      </c>
      <c r="AJ171" s="295">
        <f>'CAR Passenger Kilometres'!D171*'CAR Stock'!D221</f>
        <v>294.05482477733165</v>
      </c>
      <c r="AK171" s="295">
        <f>'CAR Passenger Kilometres'!E171*'CAR Stock'!E221</f>
        <v>108.19245189260089</v>
      </c>
      <c r="AL171" s="295">
        <f>'CAR Passenger Kilometres'!F171*'CAR Stock'!F221</f>
        <v>53.076753767018957</v>
      </c>
      <c r="AM171" s="295">
        <f>'CAR Passenger Kilometres'!G171*'CAR Stock'!G221</f>
        <v>32.547808802332675</v>
      </c>
      <c r="AN171" s="295">
        <f>'CAR Passenger Kilometres'!H171*'CAR Stock'!H221</f>
        <v>23.950821012527118</v>
      </c>
      <c r="AO171" s="295">
        <f>'CAR Passenger Kilometres'!I171*'CAR Stock'!I221</f>
        <v>20.56202315904692</v>
      </c>
      <c r="AP171" s="295">
        <f>'CAR Passenger Kilometres'!J171*'CAR Stock'!J221</f>
        <v>20.174520885206249</v>
      </c>
      <c r="AQ171" s="295">
        <f>'CAR Passenger Kilometres'!K171*'CAR Stock'!K221</f>
        <v>1.8736228611467511</v>
      </c>
      <c r="AR171" s="295">
        <f>'CAR Passenger Kilometres'!L171*'CAR Stock'!L221</f>
        <v>1.1271295354957573</v>
      </c>
      <c r="AS171" s="295">
        <f>'CAR Passenger Kilometres'!M171*'CAR Stock'!M221</f>
        <v>0.44190793994103644</v>
      </c>
      <c r="AT171" s="295">
        <f>'CAR Passenger Kilometres'!N171*'CAR Stock'!N221</f>
        <v>2.6281808373881415</v>
      </c>
      <c r="AU171" s="295">
        <f>'CAR Passenger Kilometres'!O171*'CAR Stock'!O221</f>
        <v>5.990706320517087</v>
      </c>
      <c r="AV171" s="295">
        <f>'CAR Passenger Kilometres'!P171*'CAR Stock'!P221</f>
        <v>51.210876610871864</v>
      </c>
      <c r="AW171" s="295">
        <f>'CAR Passenger Kilometres'!Q171*'CAR Stock'!Q221</f>
        <v>98.595431120252172</v>
      </c>
      <c r="AX171" s="295">
        <f>'CAR Passenger Kilometres'!R171*'CAR Stock'!R221</f>
        <v>133.92127355220461</v>
      </c>
      <c r="AY171" s="295">
        <f>'CAR Passenger Kilometres'!S171*'CAR Stock'!S221</f>
        <v>219.53039935830353</v>
      </c>
      <c r="AZ171" s="295">
        <f>'CAR Passenger Kilometres'!T171*'CAR Stock'!T221</f>
        <v>227.49224130686176</v>
      </c>
      <c r="BA171" s="295">
        <f>'CAR Passenger Kilometres'!U171*'CAR Stock'!U221</f>
        <v>283.07053607398166</v>
      </c>
      <c r="BB171" s="295">
        <f>'CAR Passenger Kilometres'!V171*'CAR Stock'!V221</f>
        <v>497.96296924865902</v>
      </c>
      <c r="BC171" s="295">
        <f>'CAR Passenger Kilometres'!W171*'CAR Stock'!W221</f>
        <v>367.09502343400828</v>
      </c>
      <c r="BD171" s="295">
        <f>'CAR Passenger Kilometres'!X171*'CAR Stock'!X221</f>
        <v>593.50507263135728</v>
      </c>
      <c r="BE171" s="295">
        <f>'CAR Passenger Kilometres'!Y171*'CAR Stock'!Y221</f>
        <v>642.89941248697573</v>
      </c>
      <c r="BF171" s="295">
        <f>'CAR Passenger Kilometres'!Z171*'CAR Stock'!Z221</f>
        <v>469.51677665575198</v>
      </c>
      <c r="BG171" s="295">
        <f>'CAR Passenger Kilometres'!AA171*'CAR Stock'!AA221</f>
        <v>0</v>
      </c>
      <c r="BH171" s="295">
        <f>'CAR Passenger Kilometres'!AB171*'CAR Stock'!AB221</f>
        <v>0</v>
      </c>
      <c r="BI171" s="295">
        <f>'CAR Passenger Kilometres'!AC171*'CAR Stock'!AC221</f>
        <v>0</v>
      </c>
      <c r="BJ171" s="295">
        <f>'CAR Passenger Kilometres'!AD171*'CAR Stock'!AD221</f>
        <v>0</v>
      </c>
      <c r="BK171" s="296">
        <f>'CAR Passenger Kilometres'!AE171*'CAR Stock'!AE221</f>
        <v>0</v>
      </c>
    </row>
    <row r="172" spans="1:63">
      <c r="A172" s="1711"/>
      <c r="B172" s="116">
        <v>24</v>
      </c>
      <c r="C172" s="294">
        <f>'CAR Mileage'!C193*CAR!$I$58</f>
        <v>25056.162870589393</v>
      </c>
      <c r="D172" s="295">
        <f>'CAR Mileage'!D193*CAR!$I$58</f>
        <v>25056.162870589393</v>
      </c>
      <c r="E172" s="295">
        <f>'CAR Mileage'!E193*CAR!$I$58</f>
        <v>25056.162870589393</v>
      </c>
      <c r="F172" s="295">
        <f>'CAR Mileage'!F193*CAR!$I$58</f>
        <v>25056.162870589393</v>
      </c>
      <c r="G172" s="295">
        <f>'CAR Mileage'!G193*CAR!$I$58</f>
        <v>25056.162870589393</v>
      </c>
      <c r="H172" s="295">
        <f>'CAR Mileage'!H193*CAR!$I$58</f>
        <v>25056.162870589393</v>
      </c>
      <c r="I172" s="295">
        <f>'CAR Mileage'!I193*CAR!$I$58</f>
        <v>25056.162870589393</v>
      </c>
      <c r="J172" s="295">
        <f>'CAR Mileage'!J193*CAR!$I$58</f>
        <v>25056.162870589393</v>
      </c>
      <c r="K172" s="295">
        <f>'CAR Mileage'!K193*CAR!$I$58</f>
        <v>25056.162870589393</v>
      </c>
      <c r="L172" s="295">
        <f>'CAR Mileage'!L193*CAR!$I$58</f>
        <v>25056.162870589393</v>
      </c>
      <c r="M172" s="295">
        <f>'CAR Mileage'!M193*CAR!$I$58</f>
        <v>25056.162870589393</v>
      </c>
      <c r="N172" s="295">
        <f>'CAR Mileage'!N193*CAR!$I$58</f>
        <v>25056.162870589393</v>
      </c>
      <c r="O172" s="295">
        <f>'CAR Mileage'!O193*CAR!$I$58</f>
        <v>25056.162870589393</v>
      </c>
      <c r="P172" s="295">
        <f>'CAR Mileage'!P193*CAR!$I$58</f>
        <v>25056.162870589393</v>
      </c>
      <c r="Q172" s="295">
        <f>'CAR Mileage'!Q193*CAR!$I$58</f>
        <v>25056.162870589393</v>
      </c>
      <c r="R172" s="295">
        <f>'CAR Mileage'!R193*CAR!$I$58</f>
        <v>25056.162870589393</v>
      </c>
      <c r="S172" s="295">
        <f>'CAR Mileage'!S193*CAR!$I$58</f>
        <v>25056.162870589393</v>
      </c>
      <c r="T172" s="295">
        <f>'CAR Mileage'!T193*CAR!$I$58</f>
        <v>25056.162870589393</v>
      </c>
      <c r="U172" s="295">
        <f>'CAR Mileage'!U193*CAR!$I$58</f>
        <v>25056.162870589393</v>
      </c>
      <c r="V172" s="295">
        <f>'CAR Mileage'!V193*CAR!$I$58</f>
        <v>25056.162870589393</v>
      </c>
      <c r="W172" s="295">
        <f>'CAR Mileage'!W193*CAR!$I$58</f>
        <v>25056.162870589393</v>
      </c>
      <c r="X172" s="295">
        <f>'CAR Mileage'!X193*CAR!$I$58</f>
        <v>25056.162870589393</v>
      </c>
      <c r="Y172" s="295">
        <f>'CAR Mileage'!Y193*CAR!$I$58</f>
        <v>25056.162870589393</v>
      </c>
      <c r="Z172" s="295">
        <f>'CAR Mileage'!Z193*CAR!$I$58</f>
        <v>25056.162870589393</v>
      </c>
      <c r="AA172" s="295">
        <f>'CAR Mileage'!AA193*CAR!$I$58</f>
        <v>25056.162870589393</v>
      </c>
      <c r="AB172" s="295">
        <f>'CAR Mileage'!AB193*CAR!$I$58</f>
        <v>25056.162870589393</v>
      </c>
      <c r="AC172" s="295">
        <f>'CAR Mileage'!AC193*CAR!$I$58</f>
        <v>25056.162870589393</v>
      </c>
      <c r="AD172" s="295">
        <f>'CAR Mileage'!AD193*CAR!$I$58</f>
        <v>25056.162870589393</v>
      </c>
      <c r="AE172" s="296">
        <f>'CAR Mileage'!AE193*CAR!$I$58</f>
        <v>25056.162870589393</v>
      </c>
      <c r="AG172" s="1711"/>
      <c r="AH172" s="116">
        <v>24</v>
      </c>
      <c r="AI172" s="294">
        <f>'CAR Passenger Kilometres'!C172*'CAR Stock'!C222</f>
        <v>441.01811971958432</v>
      </c>
      <c r="AJ172" s="295">
        <f>'CAR Passenger Kilometres'!D172*'CAR Stock'!D222</f>
        <v>54.088362306425623</v>
      </c>
      <c r="AK172" s="295">
        <f>'CAR Passenger Kilometres'!E172*'CAR Stock'!E222</f>
        <v>13.267259580406069</v>
      </c>
      <c r="AL172" s="295">
        <f>'CAR Passenger Kilometres'!F172*'CAR Stock'!F222</f>
        <v>4.8814616287512997</v>
      </c>
      <c r="AM172" s="295">
        <f>'CAR Passenger Kilometres'!G172*'CAR Stock'!G222</f>
        <v>2.3947339427114227</v>
      </c>
      <c r="AN172" s="295">
        <f>'CAR Passenger Kilometres'!H172*'CAR Stock'!H222</f>
        <v>1.468502441614288</v>
      </c>
      <c r="AO172" s="295">
        <f>'CAR Passenger Kilometres'!I172*'CAR Stock'!I222</f>
        <v>1.0806207984434923</v>
      </c>
      <c r="AP172" s="295">
        <f>'CAR Passenger Kilometres'!J172*'CAR Stock'!J222</f>
        <v>0.92772393364390959</v>
      </c>
      <c r="AQ172" s="295">
        <f>'CAR Passenger Kilometres'!K172*'CAR Stock'!K222</f>
        <v>0.91024048218571718</v>
      </c>
      <c r="AR172" s="295">
        <f>'CAR Passenger Kilometres'!L172*'CAR Stock'!L222</f>
        <v>8.4534715162181973E-2</v>
      </c>
      <c r="AS172" s="295">
        <f>'CAR Passenger Kilometres'!M172*'CAR Stock'!M222</f>
        <v>5.0854190675117636E-2</v>
      </c>
      <c r="AT172" s="295">
        <f>'CAR Passenger Kilometres'!N172*'CAR Stock'!N222</f>
        <v>1.993814369235335E-2</v>
      </c>
      <c r="AU172" s="295">
        <f>'CAR Passenger Kilometres'!O172*'CAR Stock'!O222</f>
        <v>0.11857910313248991</v>
      </c>
      <c r="AV172" s="295">
        <f>'CAR Passenger Kilometres'!P172*'CAR Stock'!P222</f>
        <v>0.27029060272846961</v>
      </c>
      <c r="AW172" s="295">
        <f>'CAR Passenger Kilometres'!Q172*'CAR Stock'!Q222</f>
        <v>2.3105487007433694</v>
      </c>
      <c r="AX172" s="295">
        <f>'CAR Passenger Kilometres'!R172*'CAR Stock'!R222</f>
        <v>4.4484601778085544</v>
      </c>
      <c r="AY172" s="295">
        <f>'CAR Passenger Kilometres'!S172*'CAR Stock'!S222</f>
        <v>6.0423028287364371</v>
      </c>
      <c r="AZ172" s="295">
        <f>'CAR Passenger Kilometres'!T172*'CAR Stock'!T222</f>
        <v>9.9048427322432726</v>
      </c>
      <c r="BA172" s="295">
        <f>'CAR Passenger Kilometres'!U172*'CAR Stock'!U222</f>
        <v>10.264067662321111</v>
      </c>
      <c r="BB172" s="295">
        <f>'CAR Passenger Kilometres'!V172*'CAR Stock'!V222</f>
        <v>12.771666931505239</v>
      </c>
      <c r="BC172" s="295">
        <f>'CAR Passenger Kilometres'!W172*'CAR Stock'!W222</f>
        <v>22.467252422926471</v>
      </c>
      <c r="BD172" s="295">
        <f>'CAR Passenger Kilometres'!X172*'CAR Stock'!X222</f>
        <v>16.562710611064546</v>
      </c>
      <c r="BE172" s="295">
        <f>'CAR Passenger Kilometres'!Y172*'CAR Stock'!Y222</f>
        <v>26.777951583860514</v>
      </c>
      <c r="BF172" s="295">
        <f>'CAR Passenger Kilometres'!Z172*'CAR Stock'!Z222</f>
        <v>29.006541198615256</v>
      </c>
      <c r="BG172" s="295">
        <f>'CAR Passenger Kilometres'!AA172*'CAR Stock'!AA222</f>
        <v>21.183808012551278</v>
      </c>
      <c r="BH172" s="295">
        <f>'CAR Passenger Kilometres'!AB172*'CAR Stock'!AB222</f>
        <v>0</v>
      </c>
      <c r="BI172" s="295">
        <f>'CAR Passenger Kilometres'!AC172*'CAR Stock'!AC222</f>
        <v>0</v>
      </c>
      <c r="BJ172" s="295">
        <f>'CAR Passenger Kilometres'!AD172*'CAR Stock'!AD222</f>
        <v>0</v>
      </c>
      <c r="BK172" s="296">
        <f>'CAR Passenger Kilometres'!AE172*'CAR Stock'!AE222</f>
        <v>0</v>
      </c>
    </row>
    <row r="173" spans="1:63" ht="15.75" thickBot="1">
      <c r="A173" s="1711"/>
      <c r="B173" s="116">
        <v>25</v>
      </c>
      <c r="C173" s="297">
        <f>'CAR Mileage'!C194*CAR!$I$58</f>
        <v>25056.162870589393</v>
      </c>
      <c r="D173" s="298">
        <f>'CAR Mileage'!D194*CAR!$I$58</f>
        <v>25056.162870589393</v>
      </c>
      <c r="E173" s="298">
        <f>'CAR Mileage'!E194*CAR!$I$58</f>
        <v>25056.162870589393</v>
      </c>
      <c r="F173" s="298">
        <f>'CAR Mileage'!F194*CAR!$I$58</f>
        <v>25056.162870589393</v>
      </c>
      <c r="G173" s="298">
        <f>'CAR Mileage'!G194*CAR!$I$58</f>
        <v>25056.162870589393</v>
      </c>
      <c r="H173" s="298">
        <f>'CAR Mileage'!H194*CAR!$I$58</f>
        <v>25056.162870589393</v>
      </c>
      <c r="I173" s="298">
        <f>'CAR Mileage'!I194*CAR!$I$58</f>
        <v>25056.162870589393</v>
      </c>
      <c r="J173" s="298">
        <f>'CAR Mileage'!J194*CAR!$I$58</f>
        <v>25056.162870589393</v>
      </c>
      <c r="K173" s="298">
        <f>'CAR Mileage'!K194*CAR!$I$58</f>
        <v>25056.162870589393</v>
      </c>
      <c r="L173" s="298">
        <f>'CAR Mileage'!L194*CAR!$I$58</f>
        <v>25056.162870589393</v>
      </c>
      <c r="M173" s="298">
        <f>'CAR Mileage'!M194*CAR!$I$58</f>
        <v>25056.162870589393</v>
      </c>
      <c r="N173" s="298">
        <f>'CAR Mileage'!N194*CAR!$I$58</f>
        <v>25056.162870589393</v>
      </c>
      <c r="O173" s="298">
        <f>'CAR Mileage'!O194*CAR!$I$58</f>
        <v>25056.162870589393</v>
      </c>
      <c r="P173" s="298">
        <f>'CAR Mileage'!P194*CAR!$I$58</f>
        <v>25056.162870589393</v>
      </c>
      <c r="Q173" s="298">
        <f>'CAR Mileage'!Q194*CAR!$I$58</f>
        <v>25056.162870589393</v>
      </c>
      <c r="R173" s="298">
        <f>'CAR Mileage'!R194*CAR!$I$58</f>
        <v>25056.162870589393</v>
      </c>
      <c r="S173" s="298">
        <f>'CAR Mileage'!S194*CAR!$I$58</f>
        <v>25056.162870589393</v>
      </c>
      <c r="T173" s="298">
        <f>'CAR Mileage'!T194*CAR!$I$58</f>
        <v>25056.162870589393</v>
      </c>
      <c r="U173" s="298">
        <f>'CAR Mileage'!U194*CAR!$I$58</f>
        <v>25056.162870589393</v>
      </c>
      <c r="V173" s="298">
        <f>'CAR Mileage'!V194*CAR!$I$58</f>
        <v>25056.162870589393</v>
      </c>
      <c r="W173" s="298">
        <f>'CAR Mileage'!W194*CAR!$I$58</f>
        <v>25056.162870589393</v>
      </c>
      <c r="X173" s="298">
        <f>'CAR Mileage'!X194*CAR!$I$58</f>
        <v>25056.162870589393</v>
      </c>
      <c r="Y173" s="298">
        <f>'CAR Mileage'!Y194*CAR!$I$58</f>
        <v>25056.162870589393</v>
      </c>
      <c r="Z173" s="298">
        <f>'CAR Mileage'!Z194*CAR!$I$58</f>
        <v>25056.162870589393</v>
      </c>
      <c r="AA173" s="298">
        <f>'CAR Mileage'!AA194*CAR!$I$58</f>
        <v>25056.162870589393</v>
      </c>
      <c r="AB173" s="298">
        <f>'CAR Mileage'!AB194*CAR!$I$58</f>
        <v>25056.162870589393</v>
      </c>
      <c r="AC173" s="298">
        <f>'CAR Mileage'!AC194*CAR!$I$58</f>
        <v>25056.162870589393</v>
      </c>
      <c r="AD173" s="298">
        <f>'CAR Mileage'!AD194*CAR!$I$58</f>
        <v>25056.162870589393</v>
      </c>
      <c r="AE173" s="299">
        <f>'CAR Mileage'!AE194*CAR!$I$58</f>
        <v>25056.162870589393</v>
      </c>
      <c r="AG173" s="1711"/>
      <c r="AH173" s="116">
        <v>25</v>
      </c>
      <c r="AI173" s="297">
        <f>'CAR Passenger Kilometres'!C173*'CAR Stock'!C223</f>
        <v>162.24149942892089</v>
      </c>
      <c r="AJ173" s="298">
        <f>'CAR Passenger Kilometres'!D173*'CAR Stock'!D223</f>
        <v>0</v>
      </c>
      <c r="AK173" s="298">
        <f>'CAR Passenger Kilometres'!E173*'CAR Stock'!E223</f>
        <v>0</v>
      </c>
      <c r="AL173" s="298">
        <f>'CAR Passenger Kilometres'!F173*'CAR Stock'!F223</f>
        <v>0</v>
      </c>
      <c r="AM173" s="298">
        <f>'CAR Passenger Kilometres'!G173*'CAR Stock'!G223</f>
        <v>0</v>
      </c>
      <c r="AN173" s="298">
        <f>'CAR Passenger Kilometres'!H173*'CAR Stock'!H223</f>
        <v>0</v>
      </c>
      <c r="AO173" s="298">
        <f>'CAR Passenger Kilometres'!I173*'CAR Stock'!I223</f>
        <v>0</v>
      </c>
      <c r="AP173" s="298">
        <f>'CAR Passenger Kilometres'!J173*'CAR Stock'!J223</f>
        <v>0</v>
      </c>
      <c r="AQ173" s="298">
        <f>'CAR Passenger Kilometres'!K173*'CAR Stock'!K223</f>
        <v>0</v>
      </c>
      <c r="AR173" s="298">
        <f>'CAR Passenger Kilometres'!L173*'CAR Stock'!L223</f>
        <v>0</v>
      </c>
      <c r="AS173" s="298">
        <f>'CAR Passenger Kilometres'!M173*'CAR Stock'!M223</f>
        <v>0</v>
      </c>
      <c r="AT173" s="298">
        <f>'CAR Passenger Kilometres'!N173*'CAR Stock'!N223</f>
        <v>0</v>
      </c>
      <c r="AU173" s="298">
        <f>'CAR Passenger Kilometres'!O173*'CAR Stock'!O223</f>
        <v>0</v>
      </c>
      <c r="AV173" s="298">
        <f>'CAR Passenger Kilometres'!P173*'CAR Stock'!P223</f>
        <v>0</v>
      </c>
      <c r="AW173" s="298">
        <f>'CAR Passenger Kilometres'!Q173*'CAR Stock'!Q223</f>
        <v>0</v>
      </c>
      <c r="AX173" s="298">
        <f>'CAR Passenger Kilometres'!R173*'CAR Stock'!R223</f>
        <v>0</v>
      </c>
      <c r="AY173" s="298">
        <f>'CAR Passenger Kilometres'!S173*'CAR Stock'!S223</f>
        <v>0</v>
      </c>
      <c r="AZ173" s="298">
        <f>'CAR Passenger Kilometres'!T173*'CAR Stock'!T223</f>
        <v>0</v>
      </c>
      <c r="BA173" s="298">
        <f>'CAR Passenger Kilometres'!U173*'CAR Stock'!U223</f>
        <v>0</v>
      </c>
      <c r="BB173" s="298">
        <f>'CAR Passenger Kilometres'!V173*'CAR Stock'!V223</f>
        <v>0</v>
      </c>
      <c r="BC173" s="298">
        <f>'CAR Passenger Kilometres'!W173*'CAR Stock'!W223</f>
        <v>0</v>
      </c>
      <c r="BD173" s="298">
        <f>'CAR Passenger Kilometres'!X173*'CAR Stock'!X223</f>
        <v>0</v>
      </c>
      <c r="BE173" s="298">
        <f>'CAR Passenger Kilometres'!Y173*'CAR Stock'!Y223</f>
        <v>0</v>
      </c>
      <c r="BF173" s="298">
        <f>'CAR Passenger Kilometres'!Z173*'CAR Stock'!Z223</f>
        <v>0</v>
      </c>
      <c r="BG173" s="298">
        <f>'CAR Passenger Kilometres'!AA173*'CAR Stock'!AA223</f>
        <v>0</v>
      </c>
      <c r="BH173" s="298">
        <f>'CAR Passenger Kilometres'!AB173*'CAR Stock'!AB223</f>
        <v>0</v>
      </c>
      <c r="BI173" s="298">
        <f>'CAR Passenger Kilometres'!AC173*'CAR Stock'!AC223</f>
        <v>0</v>
      </c>
      <c r="BJ173" s="298">
        <f>'CAR Passenger Kilometres'!AD173*'CAR Stock'!AD223</f>
        <v>0</v>
      </c>
      <c r="BK173" s="299">
        <f>'CAR Passenger Kilometres'!AE173*'CAR Stock'!AE223</f>
        <v>0</v>
      </c>
    </row>
    <row r="174" spans="1:63" ht="16.5" thickTop="1" thickBot="1">
      <c r="A174" s="1712"/>
      <c r="B174" s="300" t="s">
        <v>39</v>
      </c>
      <c r="C174" s="301">
        <f>'CAR Mileage'!C195*CAR!$I$58</f>
        <v>32429.039891022952</v>
      </c>
      <c r="D174" s="301">
        <f>'CAR Mileage'!D195*CAR!$I$58</f>
        <v>31786.70110450541</v>
      </c>
      <c r="E174" s="301">
        <f>'CAR Mileage'!E195*CAR!$I$58</f>
        <v>31155.273787790422</v>
      </c>
      <c r="F174" s="301">
        <f>'CAR Mileage'!F195*CAR!$I$58</f>
        <v>30543.40774277223</v>
      </c>
      <c r="G174" s="301">
        <f>'CAR Mileage'!G195*CAR!$I$58</f>
        <v>29965.092255255775</v>
      </c>
      <c r="H174" s="301">
        <f>'CAR Mileage'!H195*CAR!$I$58</f>
        <v>29427.414036283386</v>
      </c>
      <c r="I174" s="301">
        <f>'CAR Mileage'!I195*CAR!$I$58</f>
        <v>28930.29921731415</v>
      </c>
      <c r="J174" s="301">
        <f>'CAR Mileage'!J195*CAR!$I$58</f>
        <v>28471.439968177878</v>
      </c>
      <c r="K174" s="301">
        <f>'CAR Mileage'!K195*CAR!$I$58</f>
        <v>28040.61838602832</v>
      </c>
      <c r="L174" s="301">
        <f>'CAR Mileage'!L195*CAR!$I$58</f>
        <v>27635.460323116928</v>
      </c>
      <c r="M174" s="301">
        <f>'CAR Mileage'!M195*CAR!$I$58</f>
        <v>27262.025507973784</v>
      </c>
      <c r="N174" s="301">
        <f>'CAR Mileage'!N195*CAR!$I$58</f>
        <v>26904.972326802814</v>
      </c>
      <c r="O174" s="301">
        <f>'CAR Mileage'!O195*CAR!$I$58</f>
        <v>26546.444222041551</v>
      </c>
      <c r="P174" s="301">
        <f>'CAR Mileage'!P195*CAR!$I$58</f>
        <v>26172.792938925213</v>
      </c>
      <c r="Q174" s="301">
        <f>'CAR Mileage'!Q195*CAR!$I$58</f>
        <v>25756.099072502773</v>
      </c>
      <c r="R174" s="301">
        <f>'CAR Mileage'!R195*CAR!$I$58</f>
        <v>25341.39403803349</v>
      </c>
      <c r="S174" s="301">
        <f>'CAR Mileage'!S195*CAR!$I$58</f>
        <v>25056.162870589393</v>
      </c>
      <c r="T174" s="301">
        <f>'CAR Mileage'!T195*CAR!$I$58</f>
        <v>25056.1628705894</v>
      </c>
      <c r="U174" s="301">
        <f>'CAR Mileage'!U195*CAR!$I$58</f>
        <v>25056.162870589393</v>
      </c>
      <c r="V174" s="301">
        <f>'CAR Mileage'!V195*CAR!$I$58</f>
        <v>25056.162870589393</v>
      </c>
      <c r="W174" s="301">
        <f>'CAR Mileage'!W195*CAR!$I$58</f>
        <v>25056.1628705894</v>
      </c>
      <c r="X174" s="301">
        <f>'CAR Mileage'!X195*CAR!$I$58</f>
        <v>25056.162870589393</v>
      </c>
      <c r="Y174" s="301">
        <f>'CAR Mileage'!Y195*CAR!$I$58</f>
        <v>25056.162870589393</v>
      </c>
      <c r="Z174" s="301">
        <f>'CAR Mileage'!Z195*CAR!$I$58</f>
        <v>25056.1628705894</v>
      </c>
      <c r="AA174" s="301">
        <f>'CAR Mileage'!AA195*CAR!$I$58</f>
        <v>25056.162870589393</v>
      </c>
      <c r="AB174" s="301">
        <f>'CAR Mileage'!AB195*CAR!$I$58</f>
        <v>0</v>
      </c>
      <c r="AC174" s="301">
        <f>'CAR Mileage'!AC195*CAR!$I$58</f>
        <v>0</v>
      </c>
      <c r="AD174" s="301">
        <f>'CAR Mileage'!AD195*CAR!$I$58</f>
        <v>0</v>
      </c>
      <c r="AE174" s="302">
        <f>'CAR Mileage'!AE195*CAR!$I$58</f>
        <v>0</v>
      </c>
      <c r="AG174" s="1712"/>
      <c r="AH174" s="300" t="s">
        <v>39</v>
      </c>
      <c r="AI174" s="301">
        <f t="shared" ref="AI174:BK174" si="5">SUM(AI148:AI173)</f>
        <v>3018981468.6547823</v>
      </c>
      <c r="AJ174" s="301">
        <f t="shared" si="5"/>
        <v>2956532545.0701175</v>
      </c>
      <c r="AK174" s="301">
        <f t="shared" si="5"/>
        <v>2895558460.498981</v>
      </c>
      <c r="AL174" s="301">
        <f t="shared" si="5"/>
        <v>2831116742.3319941</v>
      </c>
      <c r="AM174" s="301">
        <f t="shared" si="5"/>
        <v>2753181728.9096375</v>
      </c>
      <c r="AN174" s="301">
        <f t="shared" si="5"/>
        <v>2653955191.4133067</v>
      </c>
      <c r="AO174" s="301">
        <f t="shared" si="5"/>
        <v>2527639662.3562512</v>
      </c>
      <c r="AP174" s="301">
        <f t="shared" si="5"/>
        <v>2370887576.9467659</v>
      </c>
      <c r="AQ174" s="301">
        <f t="shared" si="5"/>
        <v>2187660738.7066641</v>
      </c>
      <c r="AR174" s="301">
        <f t="shared" si="5"/>
        <v>1965154697.2103329</v>
      </c>
      <c r="AS174" s="301">
        <f t="shared" si="5"/>
        <v>1694964049.2302718</v>
      </c>
      <c r="AT174" s="301">
        <f t="shared" si="5"/>
        <v>1389383319.586859</v>
      </c>
      <c r="AU174" s="301">
        <f t="shared" si="5"/>
        <v>1038524464.2410616</v>
      </c>
      <c r="AV174" s="301">
        <f t="shared" si="5"/>
        <v>656439144.58200085</v>
      </c>
      <c r="AW174" s="301">
        <f t="shared" si="5"/>
        <v>330861109.14768302</v>
      </c>
      <c r="AX174" s="301">
        <f t="shared" si="5"/>
        <v>136616196.46170726</v>
      </c>
      <c r="AY174" s="301">
        <f t="shared" si="5"/>
        <v>51116107.058911912</v>
      </c>
      <c r="AZ174" s="301">
        <f t="shared" si="5"/>
        <v>17223410.430828135</v>
      </c>
      <c r="BA174" s="301">
        <f t="shared" si="5"/>
        <v>5085791.9311371678</v>
      </c>
      <c r="BB174" s="301">
        <f t="shared" si="5"/>
        <v>1289015.9872064979</v>
      </c>
      <c r="BC174" s="301">
        <f t="shared" si="5"/>
        <v>272603.88632095611</v>
      </c>
      <c r="BD174" s="301">
        <f t="shared" si="5"/>
        <v>46175.604543177178</v>
      </c>
      <c r="BE174" s="301">
        <f t="shared" si="5"/>
        <v>5872.8496037029772</v>
      </c>
      <c r="BF174" s="301">
        <f t="shared" si="5"/>
        <v>498.52331785436724</v>
      </c>
      <c r="BG174" s="301">
        <f t="shared" si="5"/>
        <v>21.183808012551278</v>
      </c>
      <c r="BH174" s="301">
        <f t="shared" si="5"/>
        <v>0</v>
      </c>
      <c r="BI174" s="301">
        <f t="shared" si="5"/>
        <v>0</v>
      </c>
      <c r="BJ174" s="301">
        <f t="shared" si="5"/>
        <v>0</v>
      </c>
      <c r="BK174" s="302">
        <f t="shared" si="5"/>
        <v>0</v>
      </c>
    </row>
    <row r="175" spans="1:63" ht="15.75" thickBot="1"/>
    <row r="176" spans="1:63" ht="15.75" thickBot="1">
      <c r="A176" s="1710" t="s">
        <v>47</v>
      </c>
      <c r="B176" s="169" t="s">
        <v>10</v>
      </c>
      <c r="C176" s="288">
        <v>2012</v>
      </c>
      <c r="D176" s="289">
        <v>2013</v>
      </c>
      <c r="E176" s="289">
        <v>2014</v>
      </c>
      <c r="F176" s="289">
        <v>2015</v>
      </c>
      <c r="G176" s="288">
        <v>2016</v>
      </c>
      <c r="H176" s="289">
        <v>2017</v>
      </c>
      <c r="I176" s="289">
        <v>2018</v>
      </c>
      <c r="J176" s="289">
        <v>2019</v>
      </c>
      <c r="K176" s="288">
        <v>2020</v>
      </c>
      <c r="L176" s="289">
        <v>2021</v>
      </c>
      <c r="M176" s="289">
        <v>2022</v>
      </c>
      <c r="N176" s="289">
        <v>2023</v>
      </c>
      <c r="O176" s="288">
        <v>2024</v>
      </c>
      <c r="P176" s="289">
        <v>2025</v>
      </c>
      <c r="Q176" s="289">
        <v>2026</v>
      </c>
      <c r="R176" s="289">
        <v>2027</v>
      </c>
      <c r="S176" s="288">
        <v>2028</v>
      </c>
      <c r="T176" s="289">
        <v>2029</v>
      </c>
      <c r="U176" s="289">
        <v>2030</v>
      </c>
      <c r="V176" s="289">
        <v>2031</v>
      </c>
      <c r="W176" s="288">
        <v>2032</v>
      </c>
      <c r="X176" s="289">
        <v>2033</v>
      </c>
      <c r="Y176" s="289">
        <v>2034</v>
      </c>
      <c r="Z176" s="289">
        <v>2035</v>
      </c>
      <c r="AA176" s="288">
        <v>2036</v>
      </c>
      <c r="AB176" s="289">
        <v>2037</v>
      </c>
      <c r="AC176" s="289">
        <v>2038</v>
      </c>
      <c r="AD176" s="289">
        <v>2039</v>
      </c>
      <c r="AE176" s="290">
        <v>2040</v>
      </c>
      <c r="AG176" s="1710" t="s">
        <v>47</v>
      </c>
      <c r="AH176" s="169" t="s">
        <v>10</v>
      </c>
      <c r="AI176" s="288">
        <v>2012</v>
      </c>
      <c r="AJ176" s="289">
        <v>2013</v>
      </c>
      <c r="AK176" s="289">
        <v>2014</v>
      </c>
      <c r="AL176" s="289">
        <v>2015</v>
      </c>
      <c r="AM176" s="288">
        <v>2016</v>
      </c>
      <c r="AN176" s="289">
        <v>2017</v>
      </c>
      <c r="AO176" s="289">
        <v>2018</v>
      </c>
      <c r="AP176" s="289">
        <v>2019</v>
      </c>
      <c r="AQ176" s="288">
        <v>2020</v>
      </c>
      <c r="AR176" s="289">
        <v>2021</v>
      </c>
      <c r="AS176" s="289">
        <v>2022</v>
      </c>
      <c r="AT176" s="289">
        <v>2023</v>
      </c>
      <c r="AU176" s="288">
        <v>2024</v>
      </c>
      <c r="AV176" s="289">
        <v>2025</v>
      </c>
      <c r="AW176" s="289">
        <v>2026</v>
      </c>
      <c r="AX176" s="289">
        <v>2027</v>
      </c>
      <c r="AY176" s="288">
        <v>2028</v>
      </c>
      <c r="AZ176" s="289">
        <v>2029</v>
      </c>
      <c r="BA176" s="289">
        <v>2030</v>
      </c>
      <c r="BB176" s="289">
        <v>2031</v>
      </c>
      <c r="BC176" s="288">
        <v>2032</v>
      </c>
      <c r="BD176" s="289">
        <v>2033</v>
      </c>
      <c r="BE176" s="289">
        <v>2034</v>
      </c>
      <c r="BF176" s="289">
        <v>2035</v>
      </c>
      <c r="BG176" s="288">
        <v>2036</v>
      </c>
      <c r="BH176" s="289">
        <v>2037</v>
      </c>
      <c r="BI176" s="289">
        <v>2038</v>
      </c>
      <c r="BJ176" s="289">
        <v>2039</v>
      </c>
      <c r="BK176" s="290">
        <v>2040</v>
      </c>
    </row>
    <row r="177" spans="1:63">
      <c r="A177" s="1711" t="s">
        <v>41</v>
      </c>
      <c r="B177" s="116">
        <v>0</v>
      </c>
      <c r="C177" s="291">
        <f>'CAR Mileage'!C198*CAR!$I$58</f>
        <v>39751.552086868738</v>
      </c>
      <c r="D177" s="292">
        <f>'CAR Mileage'!D198*CAR!$I$58</f>
        <v>39751.552086868738</v>
      </c>
      <c r="E177" s="292">
        <f>'CAR Mileage'!E198*CAR!$I$58</f>
        <v>39751.552086868738</v>
      </c>
      <c r="F177" s="292">
        <f>'CAR Mileage'!F198*CAR!$I$58</f>
        <v>39751.552086868738</v>
      </c>
      <c r="G177" s="292">
        <f>'CAR Mileage'!G198*CAR!$I$58</f>
        <v>39751.552086868738</v>
      </c>
      <c r="H177" s="292">
        <f>'CAR Mileage'!H198*CAR!$I$58</f>
        <v>39751.552086868738</v>
      </c>
      <c r="I177" s="292">
        <f>'CAR Mileage'!I198*CAR!$I$58</f>
        <v>39751.552086868738</v>
      </c>
      <c r="J177" s="292">
        <f>'CAR Mileage'!J198*CAR!$I$58</f>
        <v>39751.552086868738</v>
      </c>
      <c r="K177" s="292">
        <f>'CAR Mileage'!K198*CAR!$I$58</f>
        <v>39751.552086868738</v>
      </c>
      <c r="L177" s="292">
        <f>'CAR Mileage'!L198*CAR!$I$58</f>
        <v>39751.552086868738</v>
      </c>
      <c r="M177" s="292">
        <f>'CAR Mileage'!M198*CAR!$I$58</f>
        <v>39751.552086868738</v>
      </c>
      <c r="N177" s="292">
        <f>'CAR Mileage'!N198*CAR!$I$58</f>
        <v>39751.552086868738</v>
      </c>
      <c r="O177" s="292">
        <f>'CAR Mileage'!O198*CAR!$I$58</f>
        <v>39751.552086868738</v>
      </c>
      <c r="P177" s="292">
        <f>'CAR Mileage'!P198*CAR!$I$58</f>
        <v>39751.552086868738</v>
      </c>
      <c r="Q177" s="292">
        <f>'CAR Mileage'!Q198*CAR!$I$58</f>
        <v>39751.552086868738</v>
      </c>
      <c r="R177" s="292">
        <f>'CAR Mileage'!R198*CAR!$I$58</f>
        <v>39751.552086868738</v>
      </c>
      <c r="S177" s="292">
        <f>'CAR Mileage'!S198*CAR!$I$58</f>
        <v>39751.552086868738</v>
      </c>
      <c r="T177" s="292">
        <f>'CAR Mileage'!T198*CAR!$I$58</f>
        <v>39751.552086868738</v>
      </c>
      <c r="U177" s="292">
        <f>'CAR Mileage'!U198*CAR!$I$58</f>
        <v>39751.552086868738</v>
      </c>
      <c r="V177" s="292">
        <f>'CAR Mileage'!V198*CAR!$I$58</f>
        <v>39751.552086868738</v>
      </c>
      <c r="W177" s="292">
        <f>'CAR Mileage'!W198*CAR!$I$58</f>
        <v>39751.552086868738</v>
      </c>
      <c r="X177" s="292">
        <f>'CAR Mileage'!X198*CAR!$I$58</f>
        <v>39751.552086868738</v>
      </c>
      <c r="Y177" s="292">
        <f>'CAR Mileage'!Y198*CAR!$I$58</f>
        <v>39751.552086868738</v>
      </c>
      <c r="Z177" s="292">
        <f>'CAR Mileage'!Z198*CAR!$I$58</f>
        <v>39751.552086868738</v>
      </c>
      <c r="AA177" s="292">
        <f>'CAR Mileage'!AA198*CAR!$I$58</f>
        <v>39751.552086868738</v>
      </c>
      <c r="AB177" s="292">
        <f>'CAR Mileage'!AB198*CAR!$I$58</f>
        <v>39751.552086868738</v>
      </c>
      <c r="AC177" s="292">
        <f>'CAR Mileage'!AC198*CAR!$I$58</f>
        <v>39751.552086868738</v>
      </c>
      <c r="AD177" s="292">
        <f>'CAR Mileage'!AD198*CAR!$I$58</f>
        <v>39751.552086868738</v>
      </c>
      <c r="AE177" s="293">
        <f>'CAR Mileage'!AE198*CAR!$I$58</f>
        <v>39751.552086868738</v>
      </c>
      <c r="AG177" s="1711" t="s">
        <v>41</v>
      </c>
      <c r="AH177" s="116">
        <v>0</v>
      </c>
      <c r="AI177" s="291">
        <f>'CAR Passenger Kilometres'!C177*'CAR Stock'!C227</f>
        <v>933286939.89550424</v>
      </c>
      <c r="AJ177" s="292">
        <f>'CAR Passenger Kilometres'!D177*'CAR Stock'!D227</f>
        <v>0</v>
      </c>
      <c r="AK177" s="292">
        <f>'CAR Passenger Kilometres'!E177*'CAR Stock'!E227</f>
        <v>0</v>
      </c>
      <c r="AL177" s="292">
        <f>'CAR Passenger Kilometres'!F177*'CAR Stock'!F227</f>
        <v>0</v>
      </c>
      <c r="AM177" s="292">
        <f>'CAR Passenger Kilometres'!G177*'CAR Stock'!G227</f>
        <v>0</v>
      </c>
      <c r="AN177" s="292">
        <f>'CAR Passenger Kilometres'!H177*'CAR Stock'!H227</f>
        <v>0</v>
      </c>
      <c r="AO177" s="292">
        <f>'CAR Passenger Kilometres'!I177*'CAR Stock'!I227</f>
        <v>0</v>
      </c>
      <c r="AP177" s="292">
        <f>'CAR Passenger Kilometres'!J177*'CAR Stock'!J227</f>
        <v>0</v>
      </c>
      <c r="AQ177" s="292">
        <f>'CAR Passenger Kilometres'!K177*'CAR Stock'!K227</f>
        <v>0</v>
      </c>
      <c r="AR177" s="292">
        <f>'CAR Passenger Kilometres'!L177*'CAR Stock'!L227</f>
        <v>0</v>
      </c>
      <c r="AS177" s="292">
        <f>'CAR Passenger Kilometres'!M177*'CAR Stock'!M227</f>
        <v>0</v>
      </c>
      <c r="AT177" s="292">
        <f>'CAR Passenger Kilometres'!N177*'CAR Stock'!N227</f>
        <v>0</v>
      </c>
      <c r="AU177" s="292">
        <f>'CAR Passenger Kilometres'!O177*'CAR Stock'!O227</f>
        <v>0</v>
      </c>
      <c r="AV177" s="292">
        <f>'CAR Passenger Kilometres'!P177*'CAR Stock'!P227</f>
        <v>0</v>
      </c>
      <c r="AW177" s="292">
        <f>'CAR Passenger Kilometres'!Q177*'CAR Stock'!Q227</f>
        <v>0</v>
      </c>
      <c r="AX177" s="292">
        <f>'CAR Passenger Kilometres'!R177*'CAR Stock'!R227</f>
        <v>0</v>
      </c>
      <c r="AY177" s="292">
        <f>'CAR Passenger Kilometres'!S177*'CAR Stock'!S227</f>
        <v>0</v>
      </c>
      <c r="AZ177" s="292">
        <f>'CAR Passenger Kilometres'!T177*'CAR Stock'!T227</f>
        <v>0</v>
      </c>
      <c r="BA177" s="292">
        <f>'CAR Passenger Kilometres'!U177*'CAR Stock'!U227</f>
        <v>0</v>
      </c>
      <c r="BB177" s="292">
        <f>'CAR Passenger Kilometres'!V177*'CAR Stock'!V227</f>
        <v>0</v>
      </c>
      <c r="BC177" s="292">
        <f>'CAR Passenger Kilometres'!W177*'CAR Stock'!W227</f>
        <v>0</v>
      </c>
      <c r="BD177" s="292">
        <f>'CAR Passenger Kilometres'!X177*'CAR Stock'!X227</f>
        <v>0</v>
      </c>
      <c r="BE177" s="292">
        <f>'CAR Passenger Kilometres'!Y177*'CAR Stock'!Y227</f>
        <v>0</v>
      </c>
      <c r="BF177" s="292">
        <f>'CAR Passenger Kilometres'!Z177*'CAR Stock'!Z227</f>
        <v>0</v>
      </c>
      <c r="BG177" s="292">
        <f>'CAR Passenger Kilometres'!AA177*'CAR Stock'!AA227</f>
        <v>0</v>
      </c>
      <c r="BH177" s="292">
        <f>'CAR Passenger Kilometres'!AB177*'CAR Stock'!AB227</f>
        <v>0</v>
      </c>
      <c r="BI177" s="292">
        <f>'CAR Passenger Kilometres'!AC177*'CAR Stock'!AC227</f>
        <v>0</v>
      </c>
      <c r="BJ177" s="292">
        <f>'CAR Passenger Kilometres'!AD177*'CAR Stock'!AD227</f>
        <v>0</v>
      </c>
      <c r="BK177" s="293">
        <f>'CAR Passenger Kilometres'!AE177*'CAR Stock'!AE227</f>
        <v>0</v>
      </c>
    </row>
    <row r="178" spans="1:63">
      <c r="A178" s="1711"/>
      <c r="B178" s="116">
        <v>1</v>
      </c>
      <c r="C178" s="294">
        <f>'CAR Mileage'!C199*CAR!$I$58</f>
        <v>38956.521045131361</v>
      </c>
      <c r="D178" s="295">
        <f>'CAR Mileage'!D199*CAR!$I$58</f>
        <v>38956.521045131361</v>
      </c>
      <c r="E178" s="295">
        <f>'CAR Mileage'!E199*CAR!$I$58</f>
        <v>38956.521045131361</v>
      </c>
      <c r="F178" s="295">
        <f>'CAR Mileage'!F199*CAR!$I$58</f>
        <v>38956.521045131361</v>
      </c>
      <c r="G178" s="295">
        <f>'CAR Mileage'!G199*CAR!$I$58</f>
        <v>38956.521045131361</v>
      </c>
      <c r="H178" s="295">
        <f>'CAR Mileage'!H199*CAR!$I$58</f>
        <v>38956.521045131361</v>
      </c>
      <c r="I178" s="295">
        <f>'CAR Mileage'!I199*CAR!$I$58</f>
        <v>38956.521045131361</v>
      </c>
      <c r="J178" s="295">
        <f>'CAR Mileage'!J199*CAR!$I$58</f>
        <v>38956.521045131361</v>
      </c>
      <c r="K178" s="295">
        <f>'CAR Mileage'!K199*CAR!$I$58</f>
        <v>38956.521045131361</v>
      </c>
      <c r="L178" s="295">
        <f>'CAR Mileage'!L199*CAR!$I$58</f>
        <v>38956.521045131361</v>
      </c>
      <c r="M178" s="295">
        <f>'CAR Mileage'!M199*CAR!$I$58</f>
        <v>38956.521045131361</v>
      </c>
      <c r="N178" s="295">
        <f>'CAR Mileage'!N199*CAR!$I$58</f>
        <v>38956.521045131361</v>
      </c>
      <c r="O178" s="295">
        <f>'CAR Mileage'!O199*CAR!$I$58</f>
        <v>38956.521045131361</v>
      </c>
      <c r="P178" s="295">
        <f>'CAR Mileage'!P199*CAR!$I$58</f>
        <v>38956.521045131361</v>
      </c>
      <c r="Q178" s="295">
        <f>'CAR Mileage'!Q199*CAR!$I$58</f>
        <v>38956.521045131361</v>
      </c>
      <c r="R178" s="295">
        <f>'CAR Mileage'!R199*CAR!$I$58</f>
        <v>38956.521045131361</v>
      </c>
      <c r="S178" s="295">
        <f>'CAR Mileage'!S199*CAR!$I$58</f>
        <v>38956.521045131361</v>
      </c>
      <c r="T178" s="295">
        <f>'CAR Mileage'!T199*CAR!$I$58</f>
        <v>38956.521045131361</v>
      </c>
      <c r="U178" s="295">
        <f>'CAR Mileage'!U199*CAR!$I$58</f>
        <v>38956.521045131361</v>
      </c>
      <c r="V178" s="295">
        <f>'CAR Mileage'!V199*CAR!$I$58</f>
        <v>38956.521045131361</v>
      </c>
      <c r="W178" s="295">
        <f>'CAR Mileage'!W199*CAR!$I$58</f>
        <v>38956.521045131361</v>
      </c>
      <c r="X178" s="295">
        <f>'CAR Mileage'!X199*CAR!$I$58</f>
        <v>38956.521045131361</v>
      </c>
      <c r="Y178" s="295">
        <f>'CAR Mileage'!Y199*CAR!$I$58</f>
        <v>38956.521045131361</v>
      </c>
      <c r="Z178" s="295">
        <f>'CAR Mileage'!Z199*CAR!$I$58</f>
        <v>38956.521045131361</v>
      </c>
      <c r="AA178" s="295">
        <f>'CAR Mileage'!AA199*CAR!$I$58</f>
        <v>38956.521045131361</v>
      </c>
      <c r="AB178" s="295">
        <f>'CAR Mileage'!AB199*CAR!$I$58</f>
        <v>38956.521045131361</v>
      </c>
      <c r="AC178" s="295">
        <f>'CAR Mileage'!AC199*CAR!$I$58</f>
        <v>38956.521045131361</v>
      </c>
      <c r="AD178" s="295">
        <f>'CAR Mileage'!AD199*CAR!$I$58</f>
        <v>38956.521045131361</v>
      </c>
      <c r="AE178" s="296">
        <f>'CAR Mileage'!AE199*CAR!$I$58</f>
        <v>38956.521045131361</v>
      </c>
      <c r="AG178" s="1711"/>
      <c r="AH178" s="116">
        <v>1</v>
      </c>
      <c r="AI178" s="294">
        <f>'CAR Passenger Kilometres'!C178*'CAR Stock'!C228</f>
        <v>985054591.14719164</v>
      </c>
      <c r="AJ178" s="295">
        <f>'CAR Passenger Kilometres'!D178*'CAR Stock'!D228</f>
        <v>914621201.09759414</v>
      </c>
      <c r="AK178" s="295">
        <f>'CAR Passenger Kilometres'!E178*'CAR Stock'!E228</f>
        <v>0</v>
      </c>
      <c r="AL178" s="295">
        <f>'CAR Passenger Kilometres'!F178*'CAR Stock'!F228</f>
        <v>0</v>
      </c>
      <c r="AM178" s="295">
        <f>'CAR Passenger Kilometres'!G178*'CAR Stock'!G228</f>
        <v>0</v>
      </c>
      <c r="AN178" s="295">
        <f>'CAR Passenger Kilometres'!H178*'CAR Stock'!H228</f>
        <v>0</v>
      </c>
      <c r="AO178" s="295">
        <f>'CAR Passenger Kilometres'!I178*'CAR Stock'!I228</f>
        <v>0</v>
      </c>
      <c r="AP178" s="295">
        <f>'CAR Passenger Kilometres'!J178*'CAR Stock'!J228</f>
        <v>0</v>
      </c>
      <c r="AQ178" s="295">
        <f>'CAR Passenger Kilometres'!K178*'CAR Stock'!K228</f>
        <v>0</v>
      </c>
      <c r="AR178" s="295">
        <f>'CAR Passenger Kilometres'!L178*'CAR Stock'!L228</f>
        <v>0</v>
      </c>
      <c r="AS178" s="295">
        <f>'CAR Passenger Kilometres'!M178*'CAR Stock'!M228</f>
        <v>0</v>
      </c>
      <c r="AT178" s="295">
        <f>'CAR Passenger Kilometres'!N178*'CAR Stock'!N228</f>
        <v>0</v>
      </c>
      <c r="AU178" s="295">
        <f>'CAR Passenger Kilometres'!O178*'CAR Stock'!O228</f>
        <v>0</v>
      </c>
      <c r="AV178" s="295">
        <f>'CAR Passenger Kilometres'!P178*'CAR Stock'!P228</f>
        <v>0</v>
      </c>
      <c r="AW178" s="295">
        <f>'CAR Passenger Kilometres'!Q178*'CAR Stock'!Q228</f>
        <v>0</v>
      </c>
      <c r="AX178" s="295">
        <f>'CAR Passenger Kilometres'!R178*'CAR Stock'!R228</f>
        <v>0</v>
      </c>
      <c r="AY178" s="295">
        <f>'CAR Passenger Kilometres'!S178*'CAR Stock'!S228</f>
        <v>0</v>
      </c>
      <c r="AZ178" s="295">
        <f>'CAR Passenger Kilometres'!T178*'CAR Stock'!T228</f>
        <v>0</v>
      </c>
      <c r="BA178" s="295">
        <f>'CAR Passenger Kilometres'!U178*'CAR Stock'!U228</f>
        <v>0</v>
      </c>
      <c r="BB178" s="295">
        <f>'CAR Passenger Kilometres'!V178*'CAR Stock'!V228</f>
        <v>0</v>
      </c>
      <c r="BC178" s="295">
        <f>'CAR Passenger Kilometres'!W178*'CAR Stock'!W228</f>
        <v>0</v>
      </c>
      <c r="BD178" s="295">
        <f>'CAR Passenger Kilometres'!X178*'CAR Stock'!X228</f>
        <v>0</v>
      </c>
      <c r="BE178" s="295">
        <f>'CAR Passenger Kilometres'!Y178*'CAR Stock'!Y228</f>
        <v>0</v>
      </c>
      <c r="BF178" s="295">
        <f>'CAR Passenger Kilometres'!Z178*'CAR Stock'!Z228</f>
        <v>0</v>
      </c>
      <c r="BG178" s="295">
        <f>'CAR Passenger Kilometres'!AA178*'CAR Stock'!AA228</f>
        <v>0</v>
      </c>
      <c r="BH178" s="295">
        <f>'CAR Passenger Kilometres'!AB178*'CAR Stock'!AB228</f>
        <v>0</v>
      </c>
      <c r="BI178" s="295">
        <f>'CAR Passenger Kilometres'!AC178*'CAR Stock'!AC228</f>
        <v>0</v>
      </c>
      <c r="BJ178" s="295">
        <f>'CAR Passenger Kilometres'!AD178*'CAR Stock'!AD228</f>
        <v>0</v>
      </c>
      <c r="BK178" s="296">
        <f>'CAR Passenger Kilometres'!AE178*'CAR Stock'!AE228</f>
        <v>0</v>
      </c>
    </row>
    <row r="179" spans="1:63">
      <c r="A179" s="1711"/>
      <c r="B179" s="116">
        <v>2</v>
      </c>
      <c r="C179" s="294">
        <f>'CAR Mileage'!C200*CAR!$I$58</f>
        <v>38177.390624228734</v>
      </c>
      <c r="D179" s="295">
        <f>'CAR Mileage'!D200*CAR!$I$58</f>
        <v>38177.390624228734</v>
      </c>
      <c r="E179" s="295">
        <f>'CAR Mileage'!E200*CAR!$I$58</f>
        <v>38177.390624228734</v>
      </c>
      <c r="F179" s="295">
        <f>'CAR Mileage'!F200*CAR!$I$58</f>
        <v>38177.390624228734</v>
      </c>
      <c r="G179" s="295">
        <f>'CAR Mileage'!G200*CAR!$I$58</f>
        <v>38177.390624228734</v>
      </c>
      <c r="H179" s="295">
        <f>'CAR Mileage'!H200*CAR!$I$58</f>
        <v>38177.390624228734</v>
      </c>
      <c r="I179" s="295">
        <f>'CAR Mileage'!I200*CAR!$I$58</f>
        <v>38177.390624228734</v>
      </c>
      <c r="J179" s="295">
        <f>'CAR Mileage'!J200*CAR!$I$58</f>
        <v>38177.390624228734</v>
      </c>
      <c r="K179" s="295">
        <f>'CAR Mileage'!K200*CAR!$I$58</f>
        <v>38177.390624228734</v>
      </c>
      <c r="L179" s="295">
        <f>'CAR Mileage'!L200*CAR!$I$58</f>
        <v>38177.390624228734</v>
      </c>
      <c r="M179" s="295">
        <f>'CAR Mileage'!M200*CAR!$I$58</f>
        <v>38177.390624228734</v>
      </c>
      <c r="N179" s="295">
        <f>'CAR Mileage'!N200*CAR!$I$58</f>
        <v>38177.390624228734</v>
      </c>
      <c r="O179" s="295">
        <f>'CAR Mileage'!O200*CAR!$I$58</f>
        <v>38177.390624228734</v>
      </c>
      <c r="P179" s="295">
        <f>'CAR Mileage'!P200*CAR!$I$58</f>
        <v>38177.390624228734</v>
      </c>
      <c r="Q179" s="295">
        <f>'CAR Mileage'!Q200*CAR!$I$58</f>
        <v>38177.390624228734</v>
      </c>
      <c r="R179" s="295">
        <f>'CAR Mileage'!R200*CAR!$I$58</f>
        <v>38177.390624228734</v>
      </c>
      <c r="S179" s="295">
        <f>'CAR Mileage'!S200*CAR!$I$58</f>
        <v>38177.390624228734</v>
      </c>
      <c r="T179" s="295">
        <f>'CAR Mileage'!T200*CAR!$I$58</f>
        <v>38177.390624228734</v>
      </c>
      <c r="U179" s="295">
        <f>'CAR Mileage'!U200*CAR!$I$58</f>
        <v>38177.390624228734</v>
      </c>
      <c r="V179" s="295">
        <f>'CAR Mileage'!V200*CAR!$I$58</f>
        <v>38177.390624228734</v>
      </c>
      <c r="W179" s="295">
        <f>'CAR Mileage'!W200*CAR!$I$58</f>
        <v>38177.390624228734</v>
      </c>
      <c r="X179" s="295">
        <f>'CAR Mileage'!X200*CAR!$I$58</f>
        <v>38177.390624228734</v>
      </c>
      <c r="Y179" s="295">
        <f>'CAR Mileage'!Y200*CAR!$I$58</f>
        <v>38177.390624228734</v>
      </c>
      <c r="Z179" s="295">
        <f>'CAR Mileage'!Z200*CAR!$I$58</f>
        <v>38177.390624228734</v>
      </c>
      <c r="AA179" s="295">
        <f>'CAR Mileage'!AA200*CAR!$I$58</f>
        <v>38177.390624228734</v>
      </c>
      <c r="AB179" s="295">
        <f>'CAR Mileage'!AB200*CAR!$I$58</f>
        <v>38177.390624228734</v>
      </c>
      <c r="AC179" s="295">
        <f>'CAR Mileage'!AC200*CAR!$I$58</f>
        <v>38177.390624228734</v>
      </c>
      <c r="AD179" s="295">
        <f>'CAR Mileage'!AD200*CAR!$I$58</f>
        <v>38177.390624228734</v>
      </c>
      <c r="AE179" s="296">
        <f>'CAR Mileage'!AE200*CAR!$I$58</f>
        <v>38177.390624228734</v>
      </c>
      <c r="AG179" s="1711"/>
      <c r="AH179" s="116">
        <v>2</v>
      </c>
      <c r="AI179" s="294">
        <f>'CAR Passenger Kilometres'!C179*'CAR Stock'!C229</f>
        <v>955465555.15257251</v>
      </c>
      <c r="AJ179" s="295">
        <f>'CAR Passenger Kilometres'!D179*'CAR Stock'!D229</f>
        <v>965353499.32424772</v>
      </c>
      <c r="AK179" s="295">
        <f>'CAR Passenger Kilometres'!E179*'CAR Stock'!E229</f>
        <v>896328777.07564223</v>
      </c>
      <c r="AL179" s="295">
        <f>'CAR Passenger Kilometres'!F179*'CAR Stock'!F229</f>
        <v>0</v>
      </c>
      <c r="AM179" s="295">
        <f>'CAR Passenger Kilometres'!G179*'CAR Stock'!G229</f>
        <v>0</v>
      </c>
      <c r="AN179" s="295">
        <f>'CAR Passenger Kilometres'!H179*'CAR Stock'!H229</f>
        <v>0</v>
      </c>
      <c r="AO179" s="295">
        <f>'CAR Passenger Kilometres'!I179*'CAR Stock'!I229</f>
        <v>0</v>
      </c>
      <c r="AP179" s="295">
        <f>'CAR Passenger Kilometres'!J179*'CAR Stock'!J229</f>
        <v>0</v>
      </c>
      <c r="AQ179" s="295">
        <f>'CAR Passenger Kilometres'!K179*'CAR Stock'!K229</f>
        <v>0</v>
      </c>
      <c r="AR179" s="295">
        <f>'CAR Passenger Kilometres'!L179*'CAR Stock'!L229</f>
        <v>0</v>
      </c>
      <c r="AS179" s="295">
        <f>'CAR Passenger Kilometres'!M179*'CAR Stock'!M229</f>
        <v>0</v>
      </c>
      <c r="AT179" s="295">
        <f>'CAR Passenger Kilometres'!N179*'CAR Stock'!N229</f>
        <v>0</v>
      </c>
      <c r="AU179" s="295">
        <f>'CAR Passenger Kilometres'!O179*'CAR Stock'!O229</f>
        <v>0</v>
      </c>
      <c r="AV179" s="295">
        <f>'CAR Passenger Kilometres'!P179*'CAR Stock'!P229</f>
        <v>0</v>
      </c>
      <c r="AW179" s="295">
        <f>'CAR Passenger Kilometres'!Q179*'CAR Stock'!Q229</f>
        <v>0</v>
      </c>
      <c r="AX179" s="295">
        <f>'CAR Passenger Kilometres'!R179*'CAR Stock'!R229</f>
        <v>0</v>
      </c>
      <c r="AY179" s="295">
        <f>'CAR Passenger Kilometres'!S179*'CAR Stock'!S229</f>
        <v>0</v>
      </c>
      <c r="AZ179" s="295">
        <f>'CAR Passenger Kilometres'!T179*'CAR Stock'!T229</f>
        <v>0</v>
      </c>
      <c r="BA179" s="295">
        <f>'CAR Passenger Kilometres'!U179*'CAR Stock'!U229</f>
        <v>0</v>
      </c>
      <c r="BB179" s="295">
        <f>'CAR Passenger Kilometres'!V179*'CAR Stock'!V229</f>
        <v>0</v>
      </c>
      <c r="BC179" s="295">
        <f>'CAR Passenger Kilometres'!W179*'CAR Stock'!W229</f>
        <v>0</v>
      </c>
      <c r="BD179" s="295">
        <f>'CAR Passenger Kilometres'!X179*'CAR Stock'!X229</f>
        <v>0</v>
      </c>
      <c r="BE179" s="295">
        <f>'CAR Passenger Kilometres'!Y179*'CAR Stock'!Y229</f>
        <v>0</v>
      </c>
      <c r="BF179" s="295">
        <f>'CAR Passenger Kilometres'!Z179*'CAR Stock'!Z229</f>
        <v>0</v>
      </c>
      <c r="BG179" s="295">
        <f>'CAR Passenger Kilometres'!AA179*'CAR Stock'!AA229</f>
        <v>0</v>
      </c>
      <c r="BH179" s="295">
        <f>'CAR Passenger Kilometres'!AB179*'CAR Stock'!AB229</f>
        <v>0</v>
      </c>
      <c r="BI179" s="295">
        <f>'CAR Passenger Kilometres'!AC179*'CAR Stock'!AC229</f>
        <v>0</v>
      </c>
      <c r="BJ179" s="295">
        <f>'CAR Passenger Kilometres'!AD179*'CAR Stock'!AD229</f>
        <v>0</v>
      </c>
      <c r="BK179" s="296">
        <f>'CAR Passenger Kilometres'!AE179*'CAR Stock'!AE229</f>
        <v>0</v>
      </c>
    </row>
    <row r="180" spans="1:63">
      <c r="A180" s="1711"/>
      <c r="B180" s="116">
        <v>3</v>
      </c>
      <c r="C180" s="294">
        <f>'CAR Mileage'!C201*CAR!$I$58</f>
        <v>37413.842811744158</v>
      </c>
      <c r="D180" s="295">
        <f>'CAR Mileage'!D201*CAR!$I$58</f>
        <v>37413.842811744158</v>
      </c>
      <c r="E180" s="295">
        <f>'CAR Mileage'!E201*CAR!$I$58</f>
        <v>37413.842811744158</v>
      </c>
      <c r="F180" s="295">
        <f>'CAR Mileage'!F201*CAR!$I$58</f>
        <v>37413.842811744158</v>
      </c>
      <c r="G180" s="295">
        <f>'CAR Mileage'!G201*CAR!$I$58</f>
        <v>37413.842811744158</v>
      </c>
      <c r="H180" s="295">
        <f>'CAR Mileage'!H201*CAR!$I$58</f>
        <v>37413.842811744158</v>
      </c>
      <c r="I180" s="295">
        <f>'CAR Mileage'!I201*CAR!$I$58</f>
        <v>37413.842811744158</v>
      </c>
      <c r="J180" s="295">
        <f>'CAR Mileage'!J201*CAR!$I$58</f>
        <v>37413.842811744158</v>
      </c>
      <c r="K180" s="295">
        <f>'CAR Mileage'!K201*CAR!$I$58</f>
        <v>37413.842811744158</v>
      </c>
      <c r="L180" s="295">
        <f>'CAR Mileage'!L201*CAR!$I$58</f>
        <v>37413.842811744158</v>
      </c>
      <c r="M180" s="295">
        <f>'CAR Mileage'!M201*CAR!$I$58</f>
        <v>37413.842811744158</v>
      </c>
      <c r="N180" s="295">
        <f>'CAR Mileage'!N201*CAR!$I$58</f>
        <v>37413.842811744158</v>
      </c>
      <c r="O180" s="295">
        <f>'CAR Mileage'!O201*CAR!$I$58</f>
        <v>37413.842811744158</v>
      </c>
      <c r="P180" s="295">
        <f>'CAR Mileage'!P201*CAR!$I$58</f>
        <v>37413.842811744158</v>
      </c>
      <c r="Q180" s="295">
        <f>'CAR Mileage'!Q201*CAR!$I$58</f>
        <v>37413.842811744158</v>
      </c>
      <c r="R180" s="295">
        <f>'CAR Mileage'!R201*CAR!$I$58</f>
        <v>37413.842811744158</v>
      </c>
      <c r="S180" s="295">
        <f>'CAR Mileage'!S201*CAR!$I$58</f>
        <v>37413.842811744158</v>
      </c>
      <c r="T180" s="295">
        <f>'CAR Mileage'!T201*CAR!$I$58</f>
        <v>37413.842811744158</v>
      </c>
      <c r="U180" s="295">
        <f>'CAR Mileage'!U201*CAR!$I$58</f>
        <v>37413.842811744158</v>
      </c>
      <c r="V180" s="295">
        <f>'CAR Mileage'!V201*CAR!$I$58</f>
        <v>37413.842811744158</v>
      </c>
      <c r="W180" s="295">
        <f>'CAR Mileage'!W201*CAR!$I$58</f>
        <v>37413.842811744158</v>
      </c>
      <c r="X180" s="295">
        <f>'CAR Mileage'!X201*CAR!$I$58</f>
        <v>37413.842811744158</v>
      </c>
      <c r="Y180" s="295">
        <f>'CAR Mileage'!Y201*CAR!$I$58</f>
        <v>37413.842811744158</v>
      </c>
      <c r="Z180" s="295">
        <f>'CAR Mileage'!Z201*CAR!$I$58</f>
        <v>37413.842811744158</v>
      </c>
      <c r="AA180" s="295">
        <f>'CAR Mileage'!AA201*CAR!$I$58</f>
        <v>37413.842811744158</v>
      </c>
      <c r="AB180" s="295">
        <f>'CAR Mileage'!AB201*CAR!$I$58</f>
        <v>37413.842811744158</v>
      </c>
      <c r="AC180" s="295">
        <f>'CAR Mileage'!AC201*CAR!$I$58</f>
        <v>37413.842811744158</v>
      </c>
      <c r="AD180" s="295">
        <f>'CAR Mileage'!AD201*CAR!$I$58</f>
        <v>37413.842811744158</v>
      </c>
      <c r="AE180" s="296">
        <f>'CAR Mileage'!AE201*CAR!$I$58</f>
        <v>37413.842811744158</v>
      </c>
      <c r="AG180" s="1711"/>
      <c r="AH180" s="116">
        <v>3</v>
      </c>
      <c r="AI180" s="294">
        <f>'CAR Passenger Kilometres'!C180*'CAR Stock'!C230</f>
        <v>596563723.63326061</v>
      </c>
      <c r="AJ180" s="295">
        <f>'CAR Passenger Kilometres'!D180*'CAR Stock'!D230</f>
        <v>936356244.04952109</v>
      </c>
      <c r="AK180" s="295">
        <f>'CAR Passenger Kilometres'!E180*'CAR Stock'!E230</f>
        <v>946046429.33776283</v>
      </c>
      <c r="AL180" s="295">
        <f>'CAR Passenger Kilometres'!F180*'CAR Stock'!F230</f>
        <v>878402201.53412938</v>
      </c>
      <c r="AM180" s="295">
        <f>'CAR Passenger Kilometres'!G180*'CAR Stock'!G230</f>
        <v>0</v>
      </c>
      <c r="AN180" s="295">
        <f>'CAR Passenger Kilometres'!H180*'CAR Stock'!H230</f>
        <v>0</v>
      </c>
      <c r="AO180" s="295">
        <f>'CAR Passenger Kilometres'!I180*'CAR Stock'!I230</f>
        <v>0</v>
      </c>
      <c r="AP180" s="295">
        <f>'CAR Passenger Kilometres'!J180*'CAR Stock'!J230</f>
        <v>0</v>
      </c>
      <c r="AQ180" s="295">
        <f>'CAR Passenger Kilometres'!K180*'CAR Stock'!K230</f>
        <v>0</v>
      </c>
      <c r="AR180" s="295">
        <f>'CAR Passenger Kilometres'!L180*'CAR Stock'!L230</f>
        <v>0</v>
      </c>
      <c r="AS180" s="295">
        <f>'CAR Passenger Kilometres'!M180*'CAR Stock'!M230</f>
        <v>0</v>
      </c>
      <c r="AT180" s="295">
        <f>'CAR Passenger Kilometres'!N180*'CAR Stock'!N230</f>
        <v>0</v>
      </c>
      <c r="AU180" s="295">
        <f>'CAR Passenger Kilometres'!O180*'CAR Stock'!O230</f>
        <v>0</v>
      </c>
      <c r="AV180" s="295">
        <f>'CAR Passenger Kilometres'!P180*'CAR Stock'!P230</f>
        <v>0</v>
      </c>
      <c r="AW180" s="295">
        <f>'CAR Passenger Kilometres'!Q180*'CAR Stock'!Q230</f>
        <v>0</v>
      </c>
      <c r="AX180" s="295">
        <f>'CAR Passenger Kilometres'!R180*'CAR Stock'!R230</f>
        <v>0</v>
      </c>
      <c r="AY180" s="295">
        <f>'CAR Passenger Kilometres'!S180*'CAR Stock'!S230</f>
        <v>0</v>
      </c>
      <c r="AZ180" s="295">
        <f>'CAR Passenger Kilometres'!T180*'CAR Stock'!T230</f>
        <v>0</v>
      </c>
      <c r="BA180" s="295">
        <f>'CAR Passenger Kilometres'!U180*'CAR Stock'!U230</f>
        <v>0</v>
      </c>
      <c r="BB180" s="295">
        <f>'CAR Passenger Kilometres'!V180*'CAR Stock'!V230</f>
        <v>0</v>
      </c>
      <c r="BC180" s="295">
        <f>'CAR Passenger Kilometres'!W180*'CAR Stock'!W230</f>
        <v>0</v>
      </c>
      <c r="BD180" s="295">
        <f>'CAR Passenger Kilometres'!X180*'CAR Stock'!X230</f>
        <v>0</v>
      </c>
      <c r="BE180" s="295">
        <f>'CAR Passenger Kilometres'!Y180*'CAR Stock'!Y230</f>
        <v>0</v>
      </c>
      <c r="BF180" s="295">
        <f>'CAR Passenger Kilometres'!Z180*'CAR Stock'!Z230</f>
        <v>0</v>
      </c>
      <c r="BG180" s="295">
        <f>'CAR Passenger Kilometres'!AA180*'CAR Stock'!AA230</f>
        <v>0</v>
      </c>
      <c r="BH180" s="295">
        <f>'CAR Passenger Kilometres'!AB180*'CAR Stock'!AB230</f>
        <v>0</v>
      </c>
      <c r="BI180" s="295">
        <f>'CAR Passenger Kilometres'!AC180*'CAR Stock'!AC230</f>
        <v>0</v>
      </c>
      <c r="BJ180" s="295">
        <f>'CAR Passenger Kilometres'!AD180*'CAR Stock'!AD230</f>
        <v>0</v>
      </c>
      <c r="BK180" s="296">
        <f>'CAR Passenger Kilometres'!AE180*'CAR Stock'!AE230</f>
        <v>0</v>
      </c>
    </row>
    <row r="181" spans="1:63">
      <c r="A181" s="1711"/>
      <c r="B181" s="116">
        <v>4</v>
      </c>
      <c r="C181" s="294">
        <f>'CAR Mileage'!C202*CAR!$I$58</f>
        <v>36665.565955509279</v>
      </c>
      <c r="D181" s="295">
        <f>'CAR Mileage'!D202*CAR!$I$58</f>
        <v>36665.565955509279</v>
      </c>
      <c r="E181" s="295">
        <f>'CAR Mileage'!E202*CAR!$I$58</f>
        <v>36665.565955509279</v>
      </c>
      <c r="F181" s="295">
        <f>'CAR Mileage'!F202*CAR!$I$58</f>
        <v>36665.565955509279</v>
      </c>
      <c r="G181" s="295">
        <f>'CAR Mileage'!G202*CAR!$I$58</f>
        <v>36665.565955509279</v>
      </c>
      <c r="H181" s="295">
        <f>'CAR Mileage'!H202*CAR!$I$58</f>
        <v>36665.565955509279</v>
      </c>
      <c r="I181" s="295">
        <f>'CAR Mileage'!I202*CAR!$I$58</f>
        <v>36665.565955509279</v>
      </c>
      <c r="J181" s="295">
        <f>'CAR Mileage'!J202*CAR!$I$58</f>
        <v>36665.565955509279</v>
      </c>
      <c r="K181" s="295">
        <f>'CAR Mileage'!K202*CAR!$I$58</f>
        <v>36665.565955509279</v>
      </c>
      <c r="L181" s="295">
        <f>'CAR Mileage'!L202*CAR!$I$58</f>
        <v>36665.565955509279</v>
      </c>
      <c r="M181" s="295">
        <f>'CAR Mileage'!M202*CAR!$I$58</f>
        <v>36665.565955509279</v>
      </c>
      <c r="N181" s="295">
        <f>'CAR Mileage'!N202*CAR!$I$58</f>
        <v>36665.565955509279</v>
      </c>
      <c r="O181" s="295">
        <f>'CAR Mileage'!O202*CAR!$I$58</f>
        <v>36665.565955509279</v>
      </c>
      <c r="P181" s="295">
        <f>'CAR Mileage'!P202*CAR!$I$58</f>
        <v>36665.565955509279</v>
      </c>
      <c r="Q181" s="295">
        <f>'CAR Mileage'!Q202*CAR!$I$58</f>
        <v>36665.565955509279</v>
      </c>
      <c r="R181" s="295">
        <f>'CAR Mileage'!R202*CAR!$I$58</f>
        <v>36665.565955509279</v>
      </c>
      <c r="S181" s="295">
        <f>'CAR Mileage'!S202*CAR!$I$58</f>
        <v>36665.565955509279</v>
      </c>
      <c r="T181" s="295">
        <f>'CAR Mileage'!T202*CAR!$I$58</f>
        <v>36665.565955509279</v>
      </c>
      <c r="U181" s="295">
        <f>'CAR Mileage'!U202*CAR!$I$58</f>
        <v>36665.565955509279</v>
      </c>
      <c r="V181" s="295">
        <f>'CAR Mileage'!V202*CAR!$I$58</f>
        <v>36665.565955509279</v>
      </c>
      <c r="W181" s="295">
        <f>'CAR Mileage'!W202*CAR!$I$58</f>
        <v>36665.565955509279</v>
      </c>
      <c r="X181" s="295">
        <f>'CAR Mileage'!X202*CAR!$I$58</f>
        <v>36665.565955509279</v>
      </c>
      <c r="Y181" s="295">
        <f>'CAR Mileage'!Y202*CAR!$I$58</f>
        <v>36665.565955509279</v>
      </c>
      <c r="Z181" s="295">
        <f>'CAR Mileage'!Z202*CAR!$I$58</f>
        <v>36665.565955509279</v>
      </c>
      <c r="AA181" s="295">
        <f>'CAR Mileage'!AA202*CAR!$I$58</f>
        <v>36665.565955509279</v>
      </c>
      <c r="AB181" s="295">
        <f>'CAR Mileage'!AB202*CAR!$I$58</f>
        <v>36665.565955509279</v>
      </c>
      <c r="AC181" s="295">
        <f>'CAR Mileage'!AC202*CAR!$I$58</f>
        <v>36665.565955509279</v>
      </c>
      <c r="AD181" s="295">
        <f>'CAR Mileage'!AD202*CAR!$I$58</f>
        <v>36665.565955509279</v>
      </c>
      <c r="AE181" s="296">
        <f>'CAR Mileage'!AE202*CAR!$I$58</f>
        <v>36665.565955509279</v>
      </c>
      <c r="AG181" s="1711"/>
      <c r="AH181" s="116">
        <v>4</v>
      </c>
      <c r="AI181" s="294">
        <f>'CAR Passenger Kilometres'!C181*'CAR Stock'!C231</f>
        <v>1217296789.722908</v>
      </c>
      <c r="AJ181" s="295">
        <f>'CAR Passenger Kilometres'!D181*'CAR Stock'!D231</f>
        <v>584632449.16059542</v>
      </c>
      <c r="AK181" s="295">
        <f>'CAR Passenger Kilometres'!E181*'CAR Stock'!E231</f>
        <v>917629119.1685307</v>
      </c>
      <c r="AL181" s="295">
        <f>'CAR Passenger Kilometres'!F181*'CAR Stock'!F231</f>
        <v>927125500.75100768</v>
      </c>
      <c r="AM181" s="295">
        <f>'CAR Passenger Kilometres'!G181*'CAR Stock'!G231</f>
        <v>860834157.50344682</v>
      </c>
      <c r="AN181" s="295">
        <f>'CAR Passenger Kilometres'!H181*'CAR Stock'!H231</f>
        <v>0</v>
      </c>
      <c r="AO181" s="295">
        <f>'CAR Passenger Kilometres'!I181*'CAR Stock'!I231</f>
        <v>0</v>
      </c>
      <c r="AP181" s="295">
        <f>'CAR Passenger Kilometres'!J181*'CAR Stock'!J231</f>
        <v>0</v>
      </c>
      <c r="AQ181" s="295">
        <f>'CAR Passenger Kilometres'!K181*'CAR Stock'!K231</f>
        <v>0</v>
      </c>
      <c r="AR181" s="295">
        <f>'CAR Passenger Kilometres'!L181*'CAR Stock'!L231</f>
        <v>0</v>
      </c>
      <c r="AS181" s="295">
        <f>'CAR Passenger Kilometres'!M181*'CAR Stock'!M231</f>
        <v>0</v>
      </c>
      <c r="AT181" s="295">
        <f>'CAR Passenger Kilometres'!N181*'CAR Stock'!N231</f>
        <v>0</v>
      </c>
      <c r="AU181" s="295">
        <f>'CAR Passenger Kilometres'!O181*'CAR Stock'!O231</f>
        <v>0</v>
      </c>
      <c r="AV181" s="295">
        <f>'CAR Passenger Kilometres'!P181*'CAR Stock'!P231</f>
        <v>0</v>
      </c>
      <c r="AW181" s="295">
        <f>'CAR Passenger Kilometres'!Q181*'CAR Stock'!Q231</f>
        <v>0</v>
      </c>
      <c r="AX181" s="295">
        <f>'CAR Passenger Kilometres'!R181*'CAR Stock'!R231</f>
        <v>0</v>
      </c>
      <c r="AY181" s="295">
        <f>'CAR Passenger Kilometres'!S181*'CAR Stock'!S231</f>
        <v>0</v>
      </c>
      <c r="AZ181" s="295">
        <f>'CAR Passenger Kilometres'!T181*'CAR Stock'!T231</f>
        <v>0</v>
      </c>
      <c r="BA181" s="295">
        <f>'CAR Passenger Kilometres'!U181*'CAR Stock'!U231</f>
        <v>0</v>
      </c>
      <c r="BB181" s="295">
        <f>'CAR Passenger Kilometres'!V181*'CAR Stock'!V231</f>
        <v>0</v>
      </c>
      <c r="BC181" s="295">
        <f>'CAR Passenger Kilometres'!W181*'CAR Stock'!W231</f>
        <v>0</v>
      </c>
      <c r="BD181" s="295">
        <f>'CAR Passenger Kilometres'!X181*'CAR Stock'!X231</f>
        <v>0</v>
      </c>
      <c r="BE181" s="295">
        <f>'CAR Passenger Kilometres'!Y181*'CAR Stock'!Y231</f>
        <v>0</v>
      </c>
      <c r="BF181" s="295">
        <f>'CAR Passenger Kilometres'!Z181*'CAR Stock'!Z231</f>
        <v>0</v>
      </c>
      <c r="BG181" s="295">
        <f>'CAR Passenger Kilometres'!AA181*'CAR Stock'!AA231</f>
        <v>0</v>
      </c>
      <c r="BH181" s="295">
        <f>'CAR Passenger Kilometres'!AB181*'CAR Stock'!AB231</f>
        <v>0</v>
      </c>
      <c r="BI181" s="295">
        <f>'CAR Passenger Kilometres'!AC181*'CAR Stock'!AC231</f>
        <v>0</v>
      </c>
      <c r="BJ181" s="295">
        <f>'CAR Passenger Kilometres'!AD181*'CAR Stock'!AD231</f>
        <v>0</v>
      </c>
      <c r="BK181" s="296">
        <f>'CAR Passenger Kilometres'!AE181*'CAR Stock'!AE231</f>
        <v>0</v>
      </c>
    </row>
    <row r="182" spans="1:63">
      <c r="A182" s="1711"/>
      <c r="B182" s="116">
        <v>5</v>
      </c>
      <c r="C182" s="294">
        <f>'CAR Mileage'!C203*CAR!$I$58</f>
        <v>35932.254636399091</v>
      </c>
      <c r="D182" s="295">
        <f>'CAR Mileage'!D203*CAR!$I$58</f>
        <v>35932.254636399091</v>
      </c>
      <c r="E182" s="295">
        <f>'CAR Mileage'!E203*CAR!$I$58</f>
        <v>35932.254636399091</v>
      </c>
      <c r="F182" s="295">
        <f>'CAR Mileage'!F203*CAR!$I$58</f>
        <v>35932.254636399091</v>
      </c>
      <c r="G182" s="295">
        <f>'CAR Mileage'!G203*CAR!$I$58</f>
        <v>35932.254636399091</v>
      </c>
      <c r="H182" s="295">
        <f>'CAR Mileage'!H203*CAR!$I$58</f>
        <v>35932.254636399091</v>
      </c>
      <c r="I182" s="295">
        <f>'CAR Mileage'!I203*CAR!$I$58</f>
        <v>35932.254636399091</v>
      </c>
      <c r="J182" s="295">
        <f>'CAR Mileage'!J203*CAR!$I$58</f>
        <v>35932.254636399091</v>
      </c>
      <c r="K182" s="295">
        <f>'CAR Mileage'!K203*CAR!$I$58</f>
        <v>35932.254636399091</v>
      </c>
      <c r="L182" s="295">
        <f>'CAR Mileage'!L203*CAR!$I$58</f>
        <v>35932.254636399091</v>
      </c>
      <c r="M182" s="295">
        <f>'CAR Mileage'!M203*CAR!$I$58</f>
        <v>35932.254636399091</v>
      </c>
      <c r="N182" s="295">
        <f>'CAR Mileage'!N203*CAR!$I$58</f>
        <v>35932.254636399091</v>
      </c>
      <c r="O182" s="295">
        <f>'CAR Mileage'!O203*CAR!$I$58</f>
        <v>35932.254636399091</v>
      </c>
      <c r="P182" s="295">
        <f>'CAR Mileage'!P203*CAR!$I$58</f>
        <v>35932.254636399091</v>
      </c>
      <c r="Q182" s="295">
        <f>'CAR Mileage'!Q203*CAR!$I$58</f>
        <v>35932.254636399091</v>
      </c>
      <c r="R182" s="295">
        <f>'CAR Mileage'!R203*CAR!$I$58</f>
        <v>35932.254636399091</v>
      </c>
      <c r="S182" s="295">
        <f>'CAR Mileage'!S203*CAR!$I$58</f>
        <v>35932.254636399091</v>
      </c>
      <c r="T182" s="295">
        <f>'CAR Mileage'!T203*CAR!$I$58</f>
        <v>35932.254636399091</v>
      </c>
      <c r="U182" s="295">
        <f>'CAR Mileage'!U203*CAR!$I$58</f>
        <v>35932.254636399091</v>
      </c>
      <c r="V182" s="295">
        <f>'CAR Mileage'!V203*CAR!$I$58</f>
        <v>35932.254636399091</v>
      </c>
      <c r="W182" s="295">
        <f>'CAR Mileage'!W203*CAR!$I$58</f>
        <v>35932.254636399091</v>
      </c>
      <c r="X182" s="295">
        <f>'CAR Mileage'!X203*CAR!$I$58</f>
        <v>35932.254636399091</v>
      </c>
      <c r="Y182" s="295">
        <f>'CAR Mileage'!Y203*CAR!$I$58</f>
        <v>35932.254636399091</v>
      </c>
      <c r="Z182" s="295">
        <f>'CAR Mileage'!Z203*CAR!$I$58</f>
        <v>35932.254636399091</v>
      </c>
      <c r="AA182" s="295">
        <f>'CAR Mileage'!AA203*CAR!$I$58</f>
        <v>35932.254636399091</v>
      </c>
      <c r="AB182" s="295">
        <f>'CAR Mileage'!AB203*CAR!$I$58</f>
        <v>35932.254636399091</v>
      </c>
      <c r="AC182" s="295">
        <f>'CAR Mileage'!AC203*CAR!$I$58</f>
        <v>35932.254636399091</v>
      </c>
      <c r="AD182" s="295">
        <f>'CAR Mileage'!AD203*CAR!$I$58</f>
        <v>35932.254636399091</v>
      </c>
      <c r="AE182" s="296">
        <f>'CAR Mileage'!AE203*CAR!$I$58</f>
        <v>35932.254636399091</v>
      </c>
      <c r="AG182" s="1711"/>
      <c r="AH182" s="116">
        <v>5</v>
      </c>
      <c r="AI182" s="294">
        <f>'CAR Passenger Kilometres'!C182*'CAR Stock'!C232</f>
        <v>806894710.11497796</v>
      </c>
      <c r="AJ182" s="295">
        <f>'CAR Passenger Kilometres'!D182*'CAR Stock'!D232</f>
        <v>1192950853.9284499</v>
      </c>
      <c r="AK182" s="295">
        <f>'CAR Passenger Kilometres'!E182*'CAR Stock'!E232</f>
        <v>572939800.17738354</v>
      </c>
      <c r="AL182" s="295">
        <f>'CAR Passenger Kilometres'!F182*'CAR Stock'!F232</f>
        <v>899276536.78516006</v>
      </c>
      <c r="AM182" s="295">
        <f>'CAR Passenger Kilometres'!G182*'CAR Stock'!G232</f>
        <v>908582990.73598742</v>
      </c>
      <c r="AN182" s="295">
        <f>'CAR Passenger Kilometres'!H182*'CAR Stock'!H232</f>
        <v>843617474.35337782</v>
      </c>
      <c r="AO182" s="295">
        <f>'CAR Passenger Kilometres'!I182*'CAR Stock'!I232</f>
        <v>0</v>
      </c>
      <c r="AP182" s="295">
        <f>'CAR Passenger Kilometres'!J182*'CAR Stock'!J232</f>
        <v>0</v>
      </c>
      <c r="AQ182" s="295">
        <f>'CAR Passenger Kilometres'!K182*'CAR Stock'!K232</f>
        <v>0</v>
      </c>
      <c r="AR182" s="295">
        <f>'CAR Passenger Kilometres'!L182*'CAR Stock'!L232</f>
        <v>0</v>
      </c>
      <c r="AS182" s="295">
        <f>'CAR Passenger Kilometres'!M182*'CAR Stock'!M232</f>
        <v>0</v>
      </c>
      <c r="AT182" s="295">
        <f>'CAR Passenger Kilometres'!N182*'CAR Stock'!N232</f>
        <v>0</v>
      </c>
      <c r="AU182" s="295">
        <f>'CAR Passenger Kilometres'!O182*'CAR Stock'!O232</f>
        <v>0</v>
      </c>
      <c r="AV182" s="295">
        <f>'CAR Passenger Kilometres'!P182*'CAR Stock'!P232</f>
        <v>0</v>
      </c>
      <c r="AW182" s="295">
        <f>'CAR Passenger Kilometres'!Q182*'CAR Stock'!Q232</f>
        <v>0</v>
      </c>
      <c r="AX182" s="295">
        <f>'CAR Passenger Kilometres'!R182*'CAR Stock'!R232</f>
        <v>0</v>
      </c>
      <c r="AY182" s="295">
        <f>'CAR Passenger Kilometres'!S182*'CAR Stock'!S232</f>
        <v>0</v>
      </c>
      <c r="AZ182" s="295">
        <f>'CAR Passenger Kilometres'!T182*'CAR Stock'!T232</f>
        <v>0</v>
      </c>
      <c r="BA182" s="295">
        <f>'CAR Passenger Kilometres'!U182*'CAR Stock'!U232</f>
        <v>0</v>
      </c>
      <c r="BB182" s="295">
        <f>'CAR Passenger Kilometres'!V182*'CAR Stock'!V232</f>
        <v>0</v>
      </c>
      <c r="BC182" s="295">
        <f>'CAR Passenger Kilometres'!W182*'CAR Stock'!W232</f>
        <v>0</v>
      </c>
      <c r="BD182" s="295">
        <f>'CAR Passenger Kilometres'!X182*'CAR Stock'!X232</f>
        <v>0</v>
      </c>
      <c r="BE182" s="295">
        <f>'CAR Passenger Kilometres'!Y182*'CAR Stock'!Y232</f>
        <v>0</v>
      </c>
      <c r="BF182" s="295">
        <f>'CAR Passenger Kilometres'!Z182*'CAR Stock'!Z232</f>
        <v>0</v>
      </c>
      <c r="BG182" s="295">
        <f>'CAR Passenger Kilometres'!AA182*'CAR Stock'!AA232</f>
        <v>0</v>
      </c>
      <c r="BH182" s="295">
        <f>'CAR Passenger Kilometres'!AB182*'CAR Stock'!AB232</f>
        <v>0</v>
      </c>
      <c r="BI182" s="295">
        <f>'CAR Passenger Kilometres'!AC182*'CAR Stock'!AC232</f>
        <v>0</v>
      </c>
      <c r="BJ182" s="295">
        <f>'CAR Passenger Kilometres'!AD182*'CAR Stock'!AD232</f>
        <v>0</v>
      </c>
      <c r="BK182" s="296">
        <f>'CAR Passenger Kilometres'!AE182*'CAR Stock'!AE232</f>
        <v>0</v>
      </c>
    </row>
    <row r="183" spans="1:63">
      <c r="A183" s="1711"/>
      <c r="B183" s="116">
        <v>6</v>
      </c>
      <c r="C183" s="294">
        <f>'CAR Mileage'!C204*CAR!$I$58</f>
        <v>35213.609543671111</v>
      </c>
      <c r="D183" s="295">
        <f>'CAR Mileage'!D204*CAR!$I$58</f>
        <v>35213.609543671111</v>
      </c>
      <c r="E183" s="295">
        <f>'CAR Mileage'!E204*CAR!$I$58</f>
        <v>35213.609543671111</v>
      </c>
      <c r="F183" s="295">
        <f>'CAR Mileage'!F204*CAR!$I$58</f>
        <v>35213.609543671111</v>
      </c>
      <c r="G183" s="295">
        <f>'CAR Mileage'!G204*CAR!$I$58</f>
        <v>35213.609543671111</v>
      </c>
      <c r="H183" s="295">
        <f>'CAR Mileage'!H204*CAR!$I$58</f>
        <v>35213.609543671111</v>
      </c>
      <c r="I183" s="295">
        <f>'CAR Mileage'!I204*CAR!$I$58</f>
        <v>35213.609543671111</v>
      </c>
      <c r="J183" s="295">
        <f>'CAR Mileage'!J204*CAR!$I$58</f>
        <v>35213.609543671111</v>
      </c>
      <c r="K183" s="295">
        <f>'CAR Mileage'!K204*CAR!$I$58</f>
        <v>35213.609543671111</v>
      </c>
      <c r="L183" s="295">
        <f>'CAR Mileage'!L204*CAR!$I$58</f>
        <v>35213.609543671111</v>
      </c>
      <c r="M183" s="295">
        <f>'CAR Mileage'!M204*CAR!$I$58</f>
        <v>35213.609543671111</v>
      </c>
      <c r="N183" s="295">
        <f>'CAR Mileage'!N204*CAR!$I$58</f>
        <v>35213.609543671111</v>
      </c>
      <c r="O183" s="295">
        <f>'CAR Mileage'!O204*CAR!$I$58</f>
        <v>35213.609543671111</v>
      </c>
      <c r="P183" s="295">
        <f>'CAR Mileage'!P204*CAR!$I$58</f>
        <v>35213.609543671111</v>
      </c>
      <c r="Q183" s="295">
        <f>'CAR Mileage'!Q204*CAR!$I$58</f>
        <v>35213.609543671111</v>
      </c>
      <c r="R183" s="295">
        <f>'CAR Mileage'!R204*CAR!$I$58</f>
        <v>35213.609543671111</v>
      </c>
      <c r="S183" s="295">
        <f>'CAR Mileage'!S204*CAR!$I$58</f>
        <v>35213.609543671111</v>
      </c>
      <c r="T183" s="295">
        <f>'CAR Mileage'!T204*CAR!$I$58</f>
        <v>35213.609543671111</v>
      </c>
      <c r="U183" s="295">
        <f>'CAR Mileage'!U204*CAR!$I$58</f>
        <v>35213.609543671111</v>
      </c>
      <c r="V183" s="295">
        <f>'CAR Mileage'!V204*CAR!$I$58</f>
        <v>35213.609543671111</v>
      </c>
      <c r="W183" s="295">
        <f>'CAR Mileage'!W204*CAR!$I$58</f>
        <v>35213.609543671111</v>
      </c>
      <c r="X183" s="295">
        <f>'CAR Mileage'!X204*CAR!$I$58</f>
        <v>35213.609543671111</v>
      </c>
      <c r="Y183" s="295">
        <f>'CAR Mileage'!Y204*CAR!$I$58</f>
        <v>35213.609543671111</v>
      </c>
      <c r="Z183" s="295">
        <f>'CAR Mileage'!Z204*CAR!$I$58</f>
        <v>35213.609543671111</v>
      </c>
      <c r="AA183" s="295">
        <f>'CAR Mileage'!AA204*CAR!$I$58</f>
        <v>35213.609543671111</v>
      </c>
      <c r="AB183" s="295">
        <f>'CAR Mileage'!AB204*CAR!$I$58</f>
        <v>35213.609543671111</v>
      </c>
      <c r="AC183" s="295">
        <f>'CAR Mileage'!AC204*CAR!$I$58</f>
        <v>35213.609543671111</v>
      </c>
      <c r="AD183" s="295">
        <f>'CAR Mileage'!AD204*CAR!$I$58</f>
        <v>35213.609543671111</v>
      </c>
      <c r="AE183" s="296">
        <f>'CAR Mileage'!AE204*CAR!$I$58</f>
        <v>35213.609543671111</v>
      </c>
      <c r="AG183" s="1711"/>
      <c r="AH183" s="116">
        <v>6</v>
      </c>
      <c r="AI183" s="294">
        <f>'CAR Passenger Kilometres'!C183*'CAR Stock'!C233</f>
        <v>728006163.70585656</v>
      </c>
      <c r="AJ183" s="295">
        <f>'CAR Passenger Kilometres'!D183*'CAR Stock'!D233</f>
        <v>790756815.91267848</v>
      </c>
      <c r="AK183" s="295">
        <f>'CAR Passenger Kilometres'!E183*'CAR Stock'!E233</f>
        <v>1169091836.8498809</v>
      </c>
      <c r="AL183" s="295">
        <f>'CAR Passenger Kilometres'!F183*'CAR Stock'!F233</f>
        <v>561481004.17383587</v>
      </c>
      <c r="AM183" s="295">
        <f>'CAR Passenger Kilometres'!G183*'CAR Stock'!G233</f>
        <v>881291006.04945695</v>
      </c>
      <c r="AN183" s="295">
        <f>'CAR Passenger Kilometres'!H183*'CAR Stock'!H233</f>
        <v>890411330.92126775</v>
      </c>
      <c r="AO183" s="295">
        <f>'CAR Passenger Kilometres'!I183*'CAR Stock'!I233</f>
        <v>826745124.86631036</v>
      </c>
      <c r="AP183" s="295">
        <f>'CAR Passenger Kilometres'!J183*'CAR Stock'!J233</f>
        <v>0</v>
      </c>
      <c r="AQ183" s="295">
        <f>'CAR Passenger Kilometres'!K183*'CAR Stock'!K233</f>
        <v>0</v>
      </c>
      <c r="AR183" s="295">
        <f>'CAR Passenger Kilometres'!L183*'CAR Stock'!L233</f>
        <v>0</v>
      </c>
      <c r="AS183" s="295">
        <f>'CAR Passenger Kilometres'!M183*'CAR Stock'!M233</f>
        <v>0</v>
      </c>
      <c r="AT183" s="295">
        <f>'CAR Passenger Kilometres'!N183*'CAR Stock'!N233</f>
        <v>0</v>
      </c>
      <c r="AU183" s="295">
        <f>'CAR Passenger Kilometres'!O183*'CAR Stock'!O233</f>
        <v>0</v>
      </c>
      <c r="AV183" s="295">
        <f>'CAR Passenger Kilometres'!P183*'CAR Stock'!P233</f>
        <v>0</v>
      </c>
      <c r="AW183" s="295">
        <f>'CAR Passenger Kilometres'!Q183*'CAR Stock'!Q233</f>
        <v>0</v>
      </c>
      <c r="AX183" s="295">
        <f>'CAR Passenger Kilometres'!R183*'CAR Stock'!R233</f>
        <v>0</v>
      </c>
      <c r="AY183" s="295">
        <f>'CAR Passenger Kilometres'!S183*'CAR Stock'!S233</f>
        <v>0</v>
      </c>
      <c r="AZ183" s="295">
        <f>'CAR Passenger Kilometres'!T183*'CAR Stock'!T233</f>
        <v>0</v>
      </c>
      <c r="BA183" s="295">
        <f>'CAR Passenger Kilometres'!U183*'CAR Stock'!U233</f>
        <v>0</v>
      </c>
      <c r="BB183" s="295">
        <f>'CAR Passenger Kilometres'!V183*'CAR Stock'!V233</f>
        <v>0</v>
      </c>
      <c r="BC183" s="295">
        <f>'CAR Passenger Kilometres'!W183*'CAR Stock'!W233</f>
        <v>0</v>
      </c>
      <c r="BD183" s="295">
        <f>'CAR Passenger Kilometres'!X183*'CAR Stock'!X233</f>
        <v>0</v>
      </c>
      <c r="BE183" s="295">
        <f>'CAR Passenger Kilometres'!Y183*'CAR Stock'!Y233</f>
        <v>0</v>
      </c>
      <c r="BF183" s="295">
        <f>'CAR Passenger Kilometres'!Z183*'CAR Stock'!Z233</f>
        <v>0</v>
      </c>
      <c r="BG183" s="295">
        <f>'CAR Passenger Kilometres'!AA183*'CAR Stock'!AA233</f>
        <v>0</v>
      </c>
      <c r="BH183" s="295">
        <f>'CAR Passenger Kilometres'!AB183*'CAR Stock'!AB233</f>
        <v>0</v>
      </c>
      <c r="BI183" s="295">
        <f>'CAR Passenger Kilometres'!AC183*'CAR Stock'!AC233</f>
        <v>0</v>
      </c>
      <c r="BJ183" s="295">
        <f>'CAR Passenger Kilometres'!AD183*'CAR Stock'!AD233</f>
        <v>0</v>
      </c>
      <c r="BK183" s="296">
        <f>'CAR Passenger Kilometres'!AE183*'CAR Stock'!AE233</f>
        <v>0</v>
      </c>
    </row>
    <row r="184" spans="1:63">
      <c r="A184" s="1711"/>
      <c r="B184" s="116">
        <v>7</v>
      </c>
      <c r="C184" s="294">
        <f>'CAR Mileage'!C205*CAR!$I$58</f>
        <v>34509.337352797687</v>
      </c>
      <c r="D184" s="295">
        <f>'CAR Mileage'!D205*CAR!$I$58</f>
        <v>34509.337352797687</v>
      </c>
      <c r="E184" s="295">
        <f>'CAR Mileage'!E205*CAR!$I$58</f>
        <v>34509.337352797687</v>
      </c>
      <c r="F184" s="295">
        <f>'CAR Mileage'!F205*CAR!$I$58</f>
        <v>34509.337352797687</v>
      </c>
      <c r="G184" s="295">
        <f>'CAR Mileage'!G205*CAR!$I$58</f>
        <v>34509.337352797687</v>
      </c>
      <c r="H184" s="295">
        <f>'CAR Mileage'!H205*CAR!$I$58</f>
        <v>34509.337352797687</v>
      </c>
      <c r="I184" s="295">
        <f>'CAR Mileage'!I205*CAR!$I$58</f>
        <v>34509.337352797687</v>
      </c>
      <c r="J184" s="295">
        <f>'CAR Mileage'!J205*CAR!$I$58</f>
        <v>34509.337352797687</v>
      </c>
      <c r="K184" s="295">
        <f>'CAR Mileage'!K205*CAR!$I$58</f>
        <v>34509.337352797687</v>
      </c>
      <c r="L184" s="295">
        <f>'CAR Mileage'!L205*CAR!$I$58</f>
        <v>34509.337352797687</v>
      </c>
      <c r="M184" s="295">
        <f>'CAR Mileage'!M205*CAR!$I$58</f>
        <v>34509.337352797687</v>
      </c>
      <c r="N184" s="295">
        <f>'CAR Mileage'!N205*CAR!$I$58</f>
        <v>34509.337352797687</v>
      </c>
      <c r="O184" s="295">
        <f>'CAR Mileage'!O205*CAR!$I$58</f>
        <v>34509.337352797687</v>
      </c>
      <c r="P184" s="295">
        <f>'CAR Mileage'!P205*CAR!$I$58</f>
        <v>34509.337352797687</v>
      </c>
      <c r="Q184" s="295">
        <f>'CAR Mileage'!Q205*CAR!$I$58</f>
        <v>34509.337352797687</v>
      </c>
      <c r="R184" s="295">
        <f>'CAR Mileage'!R205*CAR!$I$58</f>
        <v>34509.337352797687</v>
      </c>
      <c r="S184" s="295">
        <f>'CAR Mileage'!S205*CAR!$I$58</f>
        <v>34509.337352797687</v>
      </c>
      <c r="T184" s="295">
        <f>'CAR Mileage'!T205*CAR!$I$58</f>
        <v>34509.337352797687</v>
      </c>
      <c r="U184" s="295">
        <f>'CAR Mileage'!U205*CAR!$I$58</f>
        <v>34509.337352797687</v>
      </c>
      <c r="V184" s="295">
        <f>'CAR Mileage'!V205*CAR!$I$58</f>
        <v>34509.337352797687</v>
      </c>
      <c r="W184" s="295">
        <f>'CAR Mileage'!W205*CAR!$I$58</f>
        <v>34509.337352797687</v>
      </c>
      <c r="X184" s="295">
        <f>'CAR Mileage'!X205*CAR!$I$58</f>
        <v>34509.337352797687</v>
      </c>
      <c r="Y184" s="295">
        <f>'CAR Mileage'!Y205*CAR!$I$58</f>
        <v>34509.337352797687</v>
      </c>
      <c r="Z184" s="295">
        <f>'CAR Mileage'!Z205*CAR!$I$58</f>
        <v>34509.337352797687</v>
      </c>
      <c r="AA184" s="295">
        <f>'CAR Mileage'!AA205*CAR!$I$58</f>
        <v>34509.337352797687</v>
      </c>
      <c r="AB184" s="295">
        <f>'CAR Mileage'!AB205*CAR!$I$58</f>
        <v>34509.337352797687</v>
      </c>
      <c r="AC184" s="295">
        <f>'CAR Mileage'!AC205*CAR!$I$58</f>
        <v>34509.337352797687</v>
      </c>
      <c r="AD184" s="295">
        <f>'CAR Mileage'!AD205*CAR!$I$58</f>
        <v>34509.337352797687</v>
      </c>
      <c r="AE184" s="296">
        <f>'CAR Mileage'!AE205*CAR!$I$58</f>
        <v>34509.337352797687</v>
      </c>
      <c r="AG184" s="1711"/>
      <c r="AH184" s="116">
        <v>7</v>
      </c>
      <c r="AI184" s="294">
        <f>'CAR Passenger Kilometres'!C184*'CAR Stock'!C234</f>
        <v>658403647.35402703</v>
      </c>
      <c r="AJ184" s="295">
        <f>'CAR Passenger Kilometres'!D184*'CAR Stock'!D234</f>
        <v>713446040.43173933</v>
      </c>
      <c r="AK184" s="295">
        <f>'CAR Passenger Kilometres'!E184*'CAR Stock'!E234</f>
        <v>774941679.59442484</v>
      </c>
      <c r="AL184" s="295">
        <f>'CAR Passenger Kilometres'!F184*'CAR Stock'!F234</f>
        <v>1145710000.1128833</v>
      </c>
      <c r="AM184" s="295">
        <f>'CAR Passenger Kilometres'!G184*'CAR Stock'!G234</f>
        <v>550251384.09035909</v>
      </c>
      <c r="AN184" s="295">
        <f>'CAR Passenger Kilometres'!H184*'CAR Stock'!H234</f>
        <v>863665185.92846775</v>
      </c>
      <c r="AO184" s="295">
        <f>'CAR Passenger Kilometres'!I184*'CAR Stock'!I234</f>
        <v>872603104.30284238</v>
      </c>
      <c r="AP184" s="295">
        <f>'CAR Passenger Kilometres'!J184*'CAR Stock'!J234</f>
        <v>810210222.3689841</v>
      </c>
      <c r="AQ184" s="295">
        <f>'CAR Passenger Kilometres'!K184*'CAR Stock'!K234</f>
        <v>0</v>
      </c>
      <c r="AR184" s="295">
        <f>'CAR Passenger Kilometres'!L184*'CAR Stock'!L234</f>
        <v>0</v>
      </c>
      <c r="AS184" s="295">
        <f>'CAR Passenger Kilometres'!M184*'CAR Stock'!M234</f>
        <v>0</v>
      </c>
      <c r="AT184" s="295">
        <f>'CAR Passenger Kilometres'!N184*'CAR Stock'!N234</f>
        <v>0</v>
      </c>
      <c r="AU184" s="295">
        <f>'CAR Passenger Kilometres'!O184*'CAR Stock'!O234</f>
        <v>0</v>
      </c>
      <c r="AV184" s="295">
        <f>'CAR Passenger Kilometres'!P184*'CAR Stock'!P234</f>
        <v>0</v>
      </c>
      <c r="AW184" s="295">
        <f>'CAR Passenger Kilometres'!Q184*'CAR Stock'!Q234</f>
        <v>0</v>
      </c>
      <c r="AX184" s="295">
        <f>'CAR Passenger Kilometres'!R184*'CAR Stock'!R234</f>
        <v>0</v>
      </c>
      <c r="AY184" s="295">
        <f>'CAR Passenger Kilometres'!S184*'CAR Stock'!S234</f>
        <v>0</v>
      </c>
      <c r="AZ184" s="295">
        <f>'CAR Passenger Kilometres'!T184*'CAR Stock'!T234</f>
        <v>0</v>
      </c>
      <c r="BA184" s="295">
        <f>'CAR Passenger Kilometres'!U184*'CAR Stock'!U234</f>
        <v>0</v>
      </c>
      <c r="BB184" s="295">
        <f>'CAR Passenger Kilometres'!V184*'CAR Stock'!V234</f>
        <v>0</v>
      </c>
      <c r="BC184" s="295">
        <f>'CAR Passenger Kilometres'!W184*'CAR Stock'!W234</f>
        <v>0</v>
      </c>
      <c r="BD184" s="295">
        <f>'CAR Passenger Kilometres'!X184*'CAR Stock'!X234</f>
        <v>0</v>
      </c>
      <c r="BE184" s="295">
        <f>'CAR Passenger Kilometres'!Y184*'CAR Stock'!Y234</f>
        <v>0</v>
      </c>
      <c r="BF184" s="295">
        <f>'CAR Passenger Kilometres'!Z184*'CAR Stock'!Z234</f>
        <v>0</v>
      </c>
      <c r="BG184" s="295">
        <f>'CAR Passenger Kilometres'!AA184*'CAR Stock'!AA234</f>
        <v>0</v>
      </c>
      <c r="BH184" s="295">
        <f>'CAR Passenger Kilometres'!AB184*'CAR Stock'!AB234</f>
        <v>0</v>
      </c>
      <c r="BI184" s="295">
        <f>'CAR Passenger Kilometres'!AC184*'CAR Stock'!AC234</f>
        <v>0</v>
      </c>
      <c r="BJ184" s="295">
        <f>'CAR Passenger Kilometres'!AD184*'CAR Stock'!AD234</f>
        <v>0</v>
      </c>
      <c r="BK184" s="296">
        <f>'CAR Passenger Kilometres'!AE184*'CAR Stock'!AE234</f>
        <v>0</v>
      </c>
    </row>
    <row r="185" spans="1:63">
      <c r="A185" s="1711"/>
      <c r="B185" s="116">
        <v>8</v>
      </c>
      <c r="C185" s="294">
        <f>'CAR Mileage'!C206*CAR!$I$58</f>
        <v>33819.150605741735</v>
      </c>
      <c r="D185" s="295">
        <f>'CAR Mileage'!D206*CAR!$I$58</f>
        <v>33819.150605741735</v>
      </c>
      <c r="E185" s="295">
        <f>'CAR Mileage'!E206*CAR!$I$58</f>
        <v>33819.150605741735</v>
      </c>
      <c r="F185" s="295">
        <f>'CAR Mileage'!F206*CAR!$I$58</f>
        <v>33819.150605741735</v>
      </c>
      <c r="G185" s="295">
        <f>'CAR Mileage'!G206*CAR!$I$58</f>
        <v>33819.150605741735</v>
      </c>
      <c r="H185" s="295">
        <f>'CAR Mileage'!H206*CAR!$I$58</f>
        <v>33819.150605741735</v>
      </c>
      <c r="I185" s="295">
        <f>'CAR Mileage'!I206*CAR!$I$58</f>
        <v>33819.150605741735</v>
      </c>
      <c r="J185" s="295">
        <f>'CAR Mileage'!J206*CAR!$I$58</f>
        <v>33819.150605741735</v>
      </c>
      <c r="K185" s="295">
        <f>'CAR Mileage'!K206*CAR!$I$58</f>
        <v>33819.150605741735</v>
      </c>
      <c r="L185" s="295">
        <f>'CAR Mileage'!L206*CAR!$I$58</f>
        <v>33819.150605741735</v>
      </c>
      <c r="M185" s="295">
        <f>'CAR Mileage'!M206*CAR!$I$58</f>
        <v>33819.150605741735</v>
      </c>
      <c r="N185" s="295">
        <f>'CAR Mileage'!N206*CAR!$I$58</f>
        <v>33819.150605741735</v>
      </c>
      <c r="O185" s="295">
        <f>'CAR Mileage'!O206*CAR!$I$58</f>
        <v>33819.150605741735</v>
      </c>
      <c r="P185" s="295">
        <f>'CAR Mileage'!P206*CAR!$I$58</f>
        <v>33819.150605741735</v>
      </c>
      <c r="Q185" s="295">
        <f>'CAR Mileage'!Q206*CAR!$I$58</f>
        <v>33819.150605741735</v>
      </c>
      <c r="R185" s="295">
        <f>'CAR Mileage'!R206*CAR!$I$58</f>
        <v>33819.150605741735</v>
      </c>
      <c r="S185" s="295">
        <f>'CAR Mileage'!S206*CAR!$I$58</f>
        <v>33819.150605741735</v>
      </c>
      <c r="T185" s="295">
        <f>'CAR Mileage'!T206*CAR!$I$58</f>
        <v>33819.150605741735</v>
      </c>
      <c r="U185" s="295">
        <f>'CAR Mileage'!U206*CAR!$I$58</f>
        <v>33819.150605741735</v>
      </c>
      <c r="V185" s="295">
        <f>'CAR Mileage'!V206*CAR!$I$58</f>
        <v>33819.150605741735</v>
      </c>
      <c r="W185" s="295">
        <f>'CAR Mileage'!W206*CAR!$I$58</f>
        <v>33819.150605741735</v>
      </c>
      <c r="X185" s="295">
        <f>'CAR Mileage'!X206*CAR!$I$58</f>
        <v>33819.150605741735</v>
      </c>
      <c r="Y185" s="295">
        <f>'CAR Mileage'!Y206*CAR!$I$58</f>
        <v>33819.150605741735</v>
      </c>
      <c r="Z185" s="295">
        <f>'CAR Mileage'!Z206*CAR!$I$58</f>
        <v>33819.150605741735</v>
      </c>
      <c r="AA185" s="295">
        <f>'CAR Mileage'!AA206*CAR!$I$58</f>
        <v>33819.150605741735</v>
      </c>
      <c r="AB185" s="295">
        <f>'CAR Mileage'!AB206*CAR!$I$58</f>
        <v>33819.150605741735</v>
      </c>
      <c r="AC185" s="295">
        <f>'CAR Mileage'!AC206*CAR!$I$58</f>
        <v>33819.150605741735</v>
      </c>
      <c r="AD185" s="295">
        <f>'CAR Mileage'!AD206*CAR!$I$58</f>
        <v>33819.150605741735</v>
      </c>
      <c r="AE185" s="296">
        <f>'CAR Mileage'!AE206*CAR!$I$58</f>
        <v>33819.150605741735</v>
      </c>
      <c r="AG185" s="1711"/>
      <c r="AH185" s="116">
        <v>8</v>
      </c>
      <c r="AI185" s="294">
        <f>'CAR Passenger Kilometres'!C185*'CAR Stock'!C235</f>
        <v>601879423.33038568</v>
      </c>
      <c r="AJ185" s="295">
        <f>'CAR Passenger Kilometres'!D185*'CAR Stock'!D235</f>
        <v>645235574.40694654</v>
      </c>
      <c r="AK185" s="295">
        <f>'CAR Passenger Kilometres'!E185*'CAR Stock'!E235</f>
        <v>699177119.62310469</v>
      </c>
      <c r="AL185" s="295">
        <f>'CAR Passenger Kilometres'!F185*'CAR Stock'!F235</f>
        <v>759442846.00253642</v>
      </c>
      <c r="AM185" s="295">
        <f>'CAR Passenger Kilometres'!G185*'CAR Stock'!G235</f>
        <v>1122795800.1106255</v>
      </c>
      <c r="AN185" s="295">
        <f>'CAR Passenger Kilometres'!H185*'CAR Stock'!H235</f>
        <v>539246356.40855193</v>
      </c>
      <c r="AO185" s="295">
        <f>'CAR Passenger Kilometres'!I185*'CAR Stock'!I235</f>
        <v>846391882.20989847</v>
      </c>
      <c r="AP185" s="295">
        <f>'CAR Passenger Kilometres'!J185*'CAR Stock'!J235</f>
        <v>855151042.21678555</v>
      </c>
      <c r="AQ185" s="295">
        <f>'CAR Passenger Kilometres'!K185*'CAR Stock'!K235</f>
        <v>794006017.92160451</v>
      </c>
      <c r="AR185" s="295">
        <f>'CAR Passenger Kilometres'!L185*'CAR Stock'!L235</f>
        <v>0</v>
      </c>
      <c r="AS185" s="295">
        <f>'CAR Passenger Kilometres'!M185*'CAR Stock'!M235</f>
        <v>0</v>
      </c>
      <c r="AT185" s="295">
        <f>'CAR Passenger Kilometres'!N185*'CAR Stock'!N235</f>
        <v>0</v>
      </c>
      <c r="AU185" s="295">
        <f>'CAR Passenger Kilometres'!O185*'CAR Stock'!O235</f>
        <v>0</v>
      </c>
      <c r="AV185" s="295">
        <f>'CAR Passenger Kilometres'!P185*'CAR Stock'!P235</f>
        <v>0</v>
      </c>
      <c r="AW185" s="295">
        <f>'CAR Passenger Kilometres'!Q185*'CAR Stock'!Q235</f>
        <v>0</v>
      </c>
      <c r="AX185" s="295">
        <f>'CAR Passenger Kilometres'!R185*'CAR Stock'!R235</f>
        <v>0</v>
      </c>
      <c r="AY185" s="295">
        <f>'CAR Passenger Kilometres'!S185*'CAR Stock'!S235</f>
        <v>0</v>
      </c>
      <c r="AZ185" s="295">
        <f>'CAR Passenger Kilometres'!T185*'CAR Stock'!T235</f>
        <v>0</v>
      </c>
      <c r="BA185" s="295">
        <f>'CAR Passenger Kilometres'!U185*'CAR Stock'!U235</f>
        <v>0</v>
      </c>
      <c r="BB185" s="295">
        <f>'CAR Passenger Kilometres'!V185*'CAR Stock'!V235</f>
        <v>0</v>
      </c>
      <c r="BC185" s="295">
        <f>'CAR Passenger Kilometres'!W185*'CAR Stock'!W235</f>
        <v>0</v>
      </c>
      <c r="BD185" s="295">
        <f>'CAR Passenger Kilometres'!X185*'CAR Stock'!X235</f>
        <v>0</v>
      </c>
      <c r="BE185" s="295">
        <f>'CAR Passenger Kilometres'!Y185*'CAR Stock'!Y235</f>
        <v>0</v>
      </c>
      <c r="BF185" s="295">
        <f>'CAR Passenger Kilometres'!Z185*'CAR Stock'!Z235</f>
        <v>0</v>
      </c>
      <c r="BG185" s="295">
        <f>'CAR Passenger Kilometres'!AA185*'CAR Stock'!AA235</f>
        <v>0</v>
      </c>
      <c r="BH185" s="295">
        <f>'CAR Passenger Kilometres'!AB185*'CAR Stock'!AB235</f>
        <v>0</v>
      </c>
      <c r="BI185" s="295">
        <f>'CAR Passenger Kilometres'!AC185*'CAR Stock'!AC235</f>
        <v>0</v>
      </c>
      <c r="BJ185" s="295">
        <f>'CAR Passenger Kilometres'!AD185*'CAR Stock'!AD235</f>
        <v>0</v>
      </c>
      <c r="BK185" s="296">
        <f>'CAR Passenger Kilometres'!AE185*'CAR Stock'!AE235</f>
        <v>0</v>
      </c>
    </row>
    <row r="186" spans="1:63">
      <c r="A186" s="1711"/>
      <c r="B186" s="116">
        <v>9</v>
      </c>
      <c r="C186" s="294">
        <f>'CAR Mileage'!C207*CAR!$I$58</f>
        <v>33142.767593626901</v>
      </c>
      <c r="D186" s="295">
        <f>'CAR Mileage'!D207*CAR!$I$58</f>
        <v>33142.767593626901</v>
      </c>
      <c r="E186" s="295">
        <f>'CAR Mileage'!E207*CAR!$I$58</f>
        <v>33142.767593626901</v>
      </c>
      <c r="F186" s="295">
        <f>'CAR Mileage'!F207*CAR!$I$58</f>
        <v>33142.767593626901</v>
      </c>
      <c r="G186" s="295">
        <f>'CAR Mileage'!G207*CAR!$I$58</f>
        <v>33142.767593626901</v>
      </c>
      <c r="H186" s="295">
        <f>'CAR Mileage'!H207*CAR!$I$58</f>
        <v>33142.767593626901</v>
      </c>
      <c r="I186" s="295">
        <f>'CAR Mileage'!I207*CAR!$I$58</f>
        <v>33142.767593626901</v>
      </c>
      <c r="J186" s="295">
        <f>'CAR Mileage'!J207*CAR!$I$58</f>
        <v>33142.767593626901</v>
      </c>
      <c r="K186" s="295">
        <f>'CAR Mileage'!K207*CAR!$I$58</f>
        <v>33142.767593626901</v>
      </c>
      <c r="L186" s="295">
        <f>'CAR Mileage'!L207*CAR!$I$58</f>
        <v>33142.767593626901</v>
      </c>
      <c r="M186" s="295">
        <f>'CAR Mileage'!M207*CAR!$I$58</f>
        <v>33142.767593626901</v>
      </c>
      <c r="N186" s="295">
        <f>'CAR Mileage'!N207*CAR!$I$58</f>
        <v>33142.767593626901</v>
      </c>
      <c r="O186" s="295">
        <f>'CAR Mileage'!O207*CAR!$I$58</f>
        <v>33142.767593626901</v>
      </c>
      <c r="P186" s="295">
        <f>'CAR Mileage'!P207*CAR!$I$58</f>
        <v>33142.767593626901</v>
      </c>
      <c r="Q186" s="295">
        <f>'CAR Mileage'!Q207*CAR!$I$58</f>
        <v>33142.767593626901</v>
      </c>
      <c r="R186" s="295">
        <f>'CAR Mileage'!R207*CAR!$I$58</f>
        <v>33142.767593626901</v>
      </c>
      <c r="S186" s="295">
        <f>'CAR Mileage'!S207*CAR!$I$58</f>
        <v>33142.767593626901</v>
      </c>
      <c r="T186" s="295">
        <f>'CAR Mileage'!T207*CAR!$I$58</f>
        <v>33142.767593626901</v>
      </c>
      <c r="U186" s="295">
        <f>'CAR Mileage'!U207*CAR!$I$58</f>
        <v>33142.767593626901</v>
      </c>
      <c r="V186" s="295">
        <f>'CAR Mileage'!V207*CAR!$I$58</f>
        <v>33142.767593626901</v>
      </c>
      <c r="W186" s="295">
        <f>'CAR Mileage'!W207*CAR!$I$58</f>
        <v>33142.767593626901</v>
      </c>
      <c r="X186" s="295">
        <f>'CAR Mileage'!X207*CAR!$I$58</f>
        <v>33142.767593626901</v>
      </c>
      <c r="Y186" s="295">
        <f>'CAR Mileage'!Y207*CAR!$I$58</f>
        <v>33142.767593626901</v>
      </c>
      <c r="Z186" s="295">
        <f>'CAR Mileage'!Z207*CAR!$I$58</f>
        <v>33142.767593626901</v>
      </c>
      <c r="AA186" s="295">
        <f>'CAR Mileage'!AA207*CAR!$I$58</f>
        <v>33142.767593626901</v>
      </c>
      <c r="AB186" s="295">
        <f>'CAR Mileage'!AB207*CAR!$I$58</f>
        <v>33142.767593626901</v>
      </c>
      <c r="AC186" s="295">
        <f>'CAR Mileage'!AC207*CAR!$I$58</f>
        <v>33142.767593626901</v>
      </c>
      <c r="AD186" s="295">
        <f>'CAR Mileage'!AD207*CAR!$I$58</f>
        <v>33142.767593626901</v>
      </c>
      <c r="AE186" s="296">
        <f>'CAR Mileage'!AE207*CAR!$I$58</f>
        <v>33142.767593626901</v>
      </c>
      <c r="AG186" s="1711"/>
      <c r="AH186" s="116">
        <v>9</v>
      </c>
      <c r="AI186" s="294">
        <f>'CAR Passenger Kilometres'!C186*'CAR Stock'!C236</f>
        <v>545861382.26703501</v>
      </c>
      <c r="AJ186" s="295">
        <f>'CAR Passenger Kilometres'!D186*'CAR Stock'!D236</f>
        <v>589841834.863778</v>
      </c>
      <c r="AK186" s="295">
        <f>'CAR Passenger Kilometres'!E186*'CAR Stock'!E236</f>
        <v>632330862.91880763</v>
      </c>
      <c r="AL186" s="295">
        <f>'CAR Passenger Kilometres'!F186*'CAR Stock'!F236</f>
        <v>685193577.23064256</v>
      </c>
      <c r="AM186" s="295">
        <f>'CAR Passenger Kilometres'!G186*'CAR Stock'!G236</f>
        <v>744253989.08248568</v>
      </c>
      <c r="AN186" s="295">
        <f>'CAR Passenger Kilometres'!H186*'CAR Stock'!H236</f>
        <v>1100339884.1084132</v>
      </c>
      <c r="AO186" s="295">
        <f>'CAR Passenger Kilometres'!I186*'CAR Stock'!I236</f>
        <v>528461429.2803809</v>
      </c>
      <c r="AP186" s="295">
        <f>'CAR Passenger Kilometres'!J186*'CAR Stock'!J236</f>
        <v>829464044.56570041</v>
      </c>
      <c r="AQ186" s="295">
        <f>'CAR Passenger Kilometres'!K186*'CAR Stock'!K236</f>
        <v>838048021.37244976</v>
      </c>
      <c r="AR186" s="295">
        <f>'CAR Passenger Kilometres'!L186*'CAR Stock'!L236</f>
        <v>778125897.56317234</v>
      </c>
      <c r="AS186" s="295">
        <f>'CAR Passenger Kilometres'!M186*'CAR Stock'!M236</f>
        <v>0</v>
      </c>
      <c r="AT186" s="295">
        <f>'CAR Passenger Kilometres'!N186*'CAR Stock'!N236</f>
        <v>0</v>
      </c>
      <c r="AU186" s="295">
        <f>'CAR Passenger Kilometres'!O186*'CAR Stock'!O236</f>
        <v>0</v>
      </c>
      <c r="AV186" s="295">
        <f>'CAR Passenger Kilometres'!P186*'CAR Stock'!P236</f>
        <v>0</v>
      </c>
      <c r="AW186" s="295">
        <f>'CAR Passenger Kilometres'!Q186*'CAR Stock'!Q236</f>
        <v>0</v>
      </c>
      <c r="AX186" s="295">
        <f>'CAR Passenger Kilometres'!R186*'CAR Stock'!R236</f>
        <v>0</v>
      </c>
      <c r="AY186" s="295">
        <f>'CAR Passenger Kilometres'!S186*'CAR Stock'!S236</f>
        <v>0</v>
      </c>
      <c r="AZ186" s="295">
        <f>'CAR Passenger Kilometres'!T186*'CAR Stock'!T236</f>
        <v>0</v>
      </c>
      <c r="BA186" s="295">
        <f>'CAR Passenger Kilometres'!U186*'CAR Stock'!U236</f>
        <v>0</v>
      </c>
      <c r="BB186" s="295">
        <f>'CAR Passenger Kilometres'!V186*'CAR Stock'!V236</f>
        <v>0</v>
      </c>
      <c r="BC186" s="295">
        <f>'CAR Passenger Kilometres'!W186*'CAR Stock'!W236</f>
        <v>0</v>
      </c>
      <c r="BD186" s="295">
        <f>'CAR Passenger Kilometres'!X186*'CAR Stock'!X236</f>
        <v>0</v>
      </c>
      <c r="BE186" s="295">
        <f>'CAR Passenger Kilometres'!Y186*'CAR Stock'!Y236</f>
        <v>0</v>
      </c>
      <c r="BF186" s="295">
        <f>'CAR Passenger Kilometres'!Z186*'CAR Stock'!Z236</f>
        <v>0</v>
      </c>
      <c r="BG186" s="295">
        <f>'CAR Passenger Kilometres'!AA186*'CAR Stock'!AA236</f>
        <v>0</v>
      </c>
      <c r="BH186" s="295">
        <f>'CAR Passenger Kilometres'!AB186*'CAR Stock'!AB236</f>
        <v>0</v>
      </c>
      <c r="BI186" s="295">
        <f>'CAR Passenger Kilometres'!AC186*'CAR Stock'!AC236</f>
        <v>0</v>
      </c>
      <c r="BJ186" s="295">
        <f>'CAR Passenger Kilometres'!AD186*'CAR Stock'!AD236</f>
        <v>0</v>
      </c>
      <c r="BK186" s="296">
        <f>'CAR Passenger Kilometres'!AE186*'CAR Stock'!AE236</f>
        <v>0</v>
      </c>
    </row>
    <row r="187" spans="1:63">
      <c r="A187" s="1711"/>
      <c r="B187" s="116">
        <v>10</v>
      </c>
      <c r="C187" s="294">
        <f>'CAR Mileage'!C208*CAR!$I$58</f>
        <v>32479.912241754366</v>
      </c>
      <c r="D187" s="295">
        <f>'CAR Mileage'!D208*CAR!$I$58</f>
        <v>32479.912241754366</v>
      </c>
      <c r="E187" s="295">
        <f>'CAR Mileage'!E208*CAR!$I$58</f>
        <v>32479.912241754366</v>
      </c>
      <c r="F187" s="295">
        <f>'CAR Mileage'!F208*CAR!$I$58</f>
        <v>32479.912241754366</v>
      </c>
      <c r="G187" s="295">
        <f>'CAR Mileage'!G208*CAR!$I$58</f>
        <v>32479.912241754366</v>
      </c>
      <c r="H187" s="295">
        <f>'CAR Mileage'!H208*CAR!$I$58</f>
        <v>32479.912241754366</v>
      </c>
      <c r="I187" s="295">
        <f>'CAR Mileage'!I208*CAR!$I$58</f>
        <v>32479.912241754366</v>
      </c>
      <c r="J187" s="295">
        <f>'CAR Mileage'!J208*CAR!$I$58</f>
        <v>32479.912241754366</v>
      </c>
      <c r="K187" s="295">
        <f>'CAR Mileage'!K208*CAR!$I$58</f>
        <v>32479.912241754366</v>
      </c>
      <c r="L187" s="295">
        <f>'CAR Mileage'!L208*CAR!$I$58</f>
        <v>32479.912241754366</v>
      </c>
      <c r="M187" s="295">
        <f>'CAR Mileage'!M208*CAR!$I$58</f>
        <v>32479.912241754366</v>
      </c>
      <c r="N187" s="295">
        <f>'CAR Mileage'!N208*CAR!$I$58</f>
        <v>32479.912241754366</v>
      </c>
      <c r="O187" s="295">
        <f>'CAR Mileage'!O208*CAR!$I$58</f>
        <v>32479.912241754366</v>
      </c>
      <c r="P187" s="295">
        <f>'CAR Mileage'!P208*CAR!$I$58</f>
        <v>32479.912241754366</v>
      </c>
      <c r="Q187" s="295">
        <f>'CAR Mileage'!Q208*CAR!$I$58</f>
        <v>32479.912241754366</v>
      </c>
      <c r="R187" s="295">
        <f>'CAR Mileage'!R208*CAR!$I$58</f>
        <v>32479.912241754366</v>
      </c>
      <c r="S187" s="295">
        <f>'CAR Mileage'!S208*CAR!$I$58</f>
        <v>32479.912241754366</v>
      </c>
      <c r="T187" s="295">
        <f>'CAR Mileage'!T208*CAR!$I$58</f>
        <v>32479.912241754366</v>
      </c>
      <c r="U187" s="295">
        <f>'CAR Mileage'!U208*CAR!$I$58</f>
        <v>32479.912241754366</v>
      </c>
      <c r="V187" s="295">
        <f>'CAR Mileage'!V208*CAR!$I$58</f>
        <v>32479.912241754366</v>
      </c>
      <c r="W187" s="295">
        <f>'CAR Mileage'!W208*CAR!$I$58</f>
        <v>32479.912241754366</v>
      </c>
      <c r="X187" s="295">
        <f>'CAR Mileage'!X208*CAR!$I$58</f>
        <v>32479.912241754366</v>
      </c>
      <c r="Y187" s="295">
        <f>'CAR Mileage'!Y208*CAR!$I$58</f>
        <v>32479.912241754366</v>
      </c>
      <c r="Z187" s="295">
        <f>'CAR Mileage'!Z208*CAR!$I$58</f>
        <v>32479.912241754366</v>
      </c>
      <c r="AA187" s="295">
        <f>'CAR Mileage'!AA208*CAR!$I$58</f>
        <v>32479.912241754366</v>
      </c>
      <c r="AB187" s="295">
        <f>'CAR Mileage'!AB208*CAR!$I$58</f>
        <v>32479.912241754366</v>
      </c>
      <c r="AC187" s="295">
        <f>'CAR Mileage'!AC208*CAR!$I$58</f>
        <v>32479.912241754366</v>
      </c>
      <c r="AD187" s="295">
        <f>'CAR Mileage'!AD208*CAR!$I$58</f>
        <v>32479.912241754366</v>
      </c>
      <c r="AE187" s="296">
        <f>'CAR Mileage'!AE208*CAR!$I$58</f>
        <v>32479.912241754366</v>
      </c>
      <c r="AG187" s="1711"/>
      <c r="AH187" s="116">
        <v>10</v>
      </c>
      <c r="AI187" s="294">
        <f>'CAR Passenger Kilometres'!C187*'CAR Stock'!C237</f>
        <v>492752748.61965549</v>
      </c>
      <c r="AJ187" s="295">
        <f>'CAR Passenger Kilometres'!D187*'CAR Stock'!D237</f>
        <v>534944154.62169439</v>
      </c>
      <c r="AK187" s="295">
        <f>'CAR Passenger Kilometres'!E187*'CAR Stock'!E237</f>
        <v>578044998.16650248</v>
      </c>
      <c r="AL187" s="295">
        <f>'CAR Passenger Kilometres'!F187*'CAR Stock'!F237</f>
        <v>619684245.6604315</v>
      </c>
      <c r="AM187" s="295">
        <f>'CAR Passenger Kilometres'!G187*'CAR Stock'!G237</f>
        <v>671489705.68602979</v>
      </c>
      <c r="AN187" s="295">
        <f>'CAR Passenger Kilometres'!H187*'CAR Stock'!H237</f>
        <v>729368909.30083609</v>
      </c>
      <c r="AO187" s="295">
        <f>'CAR Passenger Kilometres'!I187*'CAR Stock'!I237</f>
        <v>1078333086.426245</v>
      </c>
      <c r="AP187" s="295">
        <f>'CAR Passenger Kilometres'!J187*'CAR Stock'!J237</f>
        <v>517892200.69477338</v>
      </c>
      <c r="AQ187" s="295">
        <f>'CAR Passenger Kilometres'!K187*'CAR Stock'!K237</f>
        <v>812874763.6743865</v>
      </c>
      <c r="AR187" s="295">
        <f>'CAR Passenger Kilometres'!L187*'CAR Stock'!L237</f>
        <v>821287060.94500089</v>
      </c>
      <c r="AS187" s="295">
        <f>'CAR Passenger Kilometres'!M187*'CAR Stock'!M237</f>
        <v>762563379.61190903</v>
      </c>
      <c r="AT187" s="295">
        <f>'CAR Passenger Kilometres'!N187*'CAR Stock'!N237</f>
        <v>0</v>
      </c>
      <c r="AU187" s="295">
        <f>'CAR Passenger Kilometres'!O187*'CAR Stock'!O237</f>
        <v>0</v>
      </c>
      <c r="AV187" s="295">
        <f>'CAR Passenger Kilometres'!P187*'CAR Stock'!P237</f>
        <v>0</v>
      </c>
      <c r="AW187" s="295">
        <f>'CAR Passenger Kilometres'!Q187*'CAR Stock'!Q237</f>
        <v>0</v>
      </c>
      <c r="AX187" s="295">
        <f>'CAR Passenger Kilometres'!R187*'CAR Stock'!R237</f>
        <v>0</v>
      </c>
      <c r="AY187" s="295">
        <f>'CAR Passenger Kilometres'!S187*'CAR Stock'!S237</f>
        <v>0</v>
      </c>
      <c r="AZ187" s="295">
        <f>'CAR Passenger Kilometres'!T187*'CAR Stock'!T237</f>
        <v>0</v>
      </c>
      <c r="BA187" s="295">
        <f>'CAR Passenger Kilometres'!U187*'CAR Stock'!U237</f>
        <v>0</v>
      </c>
      <c r="BB187" s="295">
        <f>'CAR Passenger Kilometres'!V187*'CAR Stock'!V237</f>
        <v>0</v>
      </c>
      <c r="BC187" s="295">
        <f>'CAR Passenger Kilometres'!W187*'CAR Stock'!W237</f>
        <v>0</v>
      </c>
      <c r="BD187" s="295">
        <f>'CAR Passenger Kilometres'!X187*'CAR Stock'!X237</f>
        <v>0</v>
      </c>
      <c r="BE187" s="295">
        <f>'CAR Passenger Kilometres'!Y187*'CAR Stock'!Y237</f>
        <v>0</v>
      </c>
      <c r="BF187" s="295">
        <f>'CAR Passenger Kilometres'!Z187*'CAR Stock'!Z237</f>
        <v>0</v>
      </c>
      <c r="BG187" s="295">
        <f>'CAR Passenger Kilometres'!AA187*'CAR Stock'!AA237</f>
        <v>0</v>
      </c>
      <c r="BH187" s="295">
        <f>'CAR Passenger Kilometres'!AB187*'CAR Stock'!AB237</f>
        <v>0</v>
      </c>
      <c r="BI187" s="295">
        <f>'CAR Passenger Kilometres'!AC187*'CAR Stock'!AC237</f>
        <v>0</v>
      </c>
      <c r="BJ187" s="295">
        <f>'CAR Passenger Kilometres'!AD187*'CAR Stock'!AD237</f>
        <v>0</v>
      </c>
      <c r="BK187" s="296">
        <f>'CAR Passenger Kilometres'!AE187*'CAR Stock'!AE237</f>
        <v>0</v>
      </c>
    </row>
    <row r="188" spans="1:63">
      <c r="A188" s="1711"/>
      <c r="B188" s="116">
        <v>11</v>
      </c>
      <c r="C188" s="294">
        <f>'CAR Mileage'!C209*CAR!$I$58</f>
        <v>31830.313996919278</v>
      </c>
      <c r="D188" s="295">
        <f>'CAR Mileage'!D209*CAR!$I$58</f>
        <v>31830.313996919278</v>
      </c>
      <c r="E188" s="295">
        <f>'CAR Mileage'!E209*CAR!$I$58</f>
        <v>31830.313996919278</v>
      </c>
      <c r="F188" s="295">
        <f>'CAR Mileage'!F209*CAR!$I$58</f>
        <v>31830.313996919278</v>
      </c>
      <c r="G188" s="295">
        <f>'CAR Mileage'!G209*CAR!$I$58</f>
        <v>31830.313996919278</v>
      </c>
      <c r="H188" s="295">
        <f>'CAR Mileage'!H209*CAR!$I$58</f>
        <v>31830.313996919278</v>
      </c>
      <c r="I188" s="295">
        <f>'CAR Mileage'!I209*CAR!$I$58</f>
        <v>31830.313996919278</v>
      </c>
      <c r="J188" s="295">
        <f>'CAR Mileage'!J209*CAR!$I$58</f>
        <v>31830.313996919278</v>
      </c>
      <c r="K188" s="295">
        <f>'CAR Mileage'!K209*CAR!$I$58</f>
        <v>31830.313996919278</v>
      </c>
      <c r="L188" s="295">
        <f>'CAR Mileage'!L209*CAR!$I$58</f>
        <v>31830.313996919278</v>
      </c>
      <c r="M188" s="295">
        <f>'CAR Mileage'!M209*CAR!$I$58</f>
        <v>31830.313996919278</v>
      </c>
      <c r="N188" s="295">
        <f>'CAR Mileage'!N209*CAR!$I$58</f>
        <v>31830.313996919278</v>
      </c>
      <c r="O188" s="295">
        <f>'CAR Mileage'!O209*CAR!$I$58</f>
        <v>31830.313996919278</v>
      </c>
      <c r="P188" s="295">
        <f>'CAR Mileage'!P209*CAR!$I$58</f>
        <v>31830.313996919278</v>
      </c>
      <c r="Q188" s="295">
        <f>'CAR Mileage'!Q209*CAR!$I$58</f>
        <v>31830.313996919278</v>
      </c>
      <c r="R188" s="295">
        <f>'CAR Mileage'!R209*CAR!$I$58</f>
        <v>31830.313996919278</v>
      </c>
      <c r="S188" s="295">
        <f>'CAR Mileage'!S209*CAR!$I$58</f>
        <v>31830.313996919278</v>
      </c>
      <c r="T188" s="295">
        <f>'CAR Mileage'!T209*CAR!$I$58</f>
        <v>31830.313996919278</v>
      </c>
      <c r="U188" s="295">
        <f>'CAR Mileage'!U209*CAR!$I$58</f>
        <v>31830.313996919278</v>
      </c>
      <c r="V188" s="295">
        <f>'CAR Mileage'!V209*CAR!$I$58</f>
        <v>31830.313996919278</v>
      </c>
      <c r="W188" s="295">
        <f>'CAR Mileage'!W209*CAR!$I$58</f>
        <v>31830.313996919278</v>
      </c>
      <c r="X188" s="295">
        <f>'CAR Mileage'!X209*CAR!$I$58</f>
        <v>31830.313996919278</v>
      </c>
      <c r="Y188" s="295">
        <f>'CAR Mileage'!Y209*CAR!$I$58</f>
        <v>31830.313996919278</v>
      </c>
      <c r="Z188" s="295">
        <f>'CAR Mileage'!Z209*CAR!$I$58</f>
        <v>31830.313996919278</v>
      </c>
      <c r="AA188" s="295">
        <f>'CAR Mileage'!AA209*CAR!$I$58</f>
        <v>31830.313996919278</v>
      </c>
      <c r="AB188" s="295">
        <f>'CAR Mileage'!AB209*CAR!$I$58</f>
        <v>31830.313996919278</v>
      </c>
      <c r="AC188" s="295">
        <f>'CAR Mileage'!AC209*CAR!$I$58</f>
        <v>31830.313996919278</v>
      </c>
      <c r="AD188" s="295">
        <f>'CAR Mileage'!AD209*CAR!$I$58</f>
        <v>31830.313996919278</v>
      </c>
      <c r="AE188" s="296">
        <f>'CAR Mileage'!AE209*CAR!$I$58</f>
        <v>31830.313996919278</v>
      </c>
      <c r="AG188" s="1711"/>
      <c r="AH188" s="116">
        <v>11</v>
      </c>
      <c r="AI188" s="294">
        <f>'CAR Passenger Kilometres'!C188*'CAR Stock'!C238</f>
        <v>315533902.65146083</v>
      </c>
      <c r="AJ188" s="295">
        <f>'CAR Passenger Kilometres'!D188*'CAR Stock'!D238</f>
        <v>482897693.64726239</v>
      </c>
      <c r="AK188" s="295">
        <f>'CAR Passenger Kilometres'!E188*'CAR Stock'!E238</f>
        <v>524245271.52926052</v>
      </c>
      <c r="AL188" s="295">
        <f>'CAR Passenger Kilometres'!F188*'CAR Stock'!F238</f>
        <v>566484098.20317245</v>
      </c>
      <c r="AM188" s="295">
        <f>'CAR Passenger Kilometres'!G188*'CAR Stock'!G238</f>
        <v>607290560.7472229</v>
      </c>
      <c r="AN188" s="295">
        <f>'CAR Passenger Kilometres'!H188*'CAR Stock'!H238</f>
        <v>658059911.57230914</v>
      </c>
      <c r="AO188" s="295">
        <f>'CAR Passenger Kilometres'!I188*'CAR Stock'!I238</f>
        <v>714781531.11481929</v>
      </c>
      <c r="AP188" s="295">
        <f>'CAR Passenger Kilometres'!J188*'CAR Stock'!J238</f>
        <v>1056766424.6977201</v>
      </c>
      <c r="AQ188" s="295">
        <f>'CAR Passenger Kilometres'!K188*'CAR Stock'!K238</f>
        <v>507534356.68087786</v>
      </c>
      <c r="AR188" s="295">
        <f>'CAR Passenger Kilometres'!L188*'CAR Stock'!L238</f>
        <v>796617268.40089881</v>
      </c>
      <c r="AS188" s="295">
        <f>'CAR Passenger Kilometres'!M188*'CAR Stock'!M238</f>
        <v>804861319.72610092</v>
      </c>
      <c r="AT188" s="295">
        <f>'CAR Passenger Kilometres'!N188*'CAR Stock'!N238</f>
        <v>747312112.01967084</v>
      </c>
      <c r="AU188" s="295">
        <f>'CAR Passenger Kilometres'!O188*'CAR Stock'!O238</f>
        <v>0</v>
      </c>
      <c r="AV188" s="295">
        <f>'CAR Passenger Kilometres'!P188*'CAR Stock'!P238</f>
        <v>0</v>
      </c>
      <c r="AW188" s="295">
        <f>'CAR Passenger Kilometres'!Q188*'CAR Stock'!Q238</f>
        <v>0</v>
      </c>
      <c r="AX188" s="295">
        <f>'CAR Passenger Kilometres'!R188*'CAR Stock'!R238</f>
        <v>0</v>
      </c>
      <c r="AY188" s="295">
        <f>'CAR Passenger Kilometres'!S188*'CAR Stock'!S238</f>
        <v>0</v>
      </c>
      <c r="AZ188" s="295">
        <f>'CAR Passenger Kilometres'!T188*'CAR Stock'!T238</f>
        <v>0</v>
      </c>
      <c r="BA188" s="295">
        <f>'CAR Passenger Kilometres'!U188*'CAR Stock'!U238</f>
        <v>0</v>
      </c>
      <c r="BB188" s="295">
        <f>'CAR Passenger Kilometres'!V188*'CAR Stock'!V238</f>
        <v>0</v>
      </c>
      <c r="BC188" s="295">
        <f>'CAR Passenger Kilometres'!W188*'CAR Stock'!W238</f>
        <v>0</v>
      </c>
      <c r="BD188" s="295">
        <f>'CAR Passenger Kilometres'!X188*'CAR Stock'!X238</f>
        <v>0</v>
      </c>
      <c r="BE188" s="295">
        <f>'CAR Passenger Kilometres'!Y188*'CAR Stock'!Y238</f>
        <v>0</v>
      </c>
      <c r="BF188" s="295">
        <f>'CAR Passenger Kilometres'!Z188*'CAR Stock'!Z238</f>
        <v>0</v>
      </c>
      <c r="BG188" s="295">
        <f>'CAR Passenger Kilometres'!AA188*'CAR Stock'!AA238</f>
        <v>0</v>
      </c>
      <c r="BH188" s="295">
        <f>'CAR Passenger Kilometres'!AB188*'CAR Stock'!AB238</f>
        <v>0</v>
      </c>
      <c r="BI188" s="295">
        <f>'CAR Passenger Kilometres'!AC188*'CAR Stock'!AC238</f>
        <v>0</v>
      </c>
      <c r="BJ188" s="295">
        <f>'CAR Passenger Kilometres'!AD188*'CAR Stock'!AD238</f>
        <v>0</v>
      </c>
      <c r="BK188" s="296">
        <f>'CAR Passenger Kilometres'!AE188*'CAR Stock'!AE238</f>
        <v>0</v>
      </c>
    </row>
    <row r="189" spans="1:63">
      <c r="A189" s="1711"/>
      <c r="B189" s="116">
        <v>12</v>
      </c>
      <c r="C189" s="294">
        <f>'CAR Mileage'!C210*CAR!$I$58</f>
        <v>31193.707716980894</v>
      </c>
      <c r="D189" s="295">
        <f>'CAR Mileage'!D210*CAR!$I$58</f>
        <v>31193.707716980894</v>
      </c>
      <c r="E189" s="295">
        <f>'CAR Mileage'!E210*CAR!$I$58</f>
        <v>31193.707716980894</v>
      </c>
      <c r="F189" s="295">
        <f>'CAR Mileage'!F210*CAR!$I$58</f>
        <v>31193.707716980894</v>
      </c>
      <c r="G189" s="295">
        <f>'CAR Mileage'!G210*CAR!$I$58</f>
        <v>31193.707716980894</v>
      </c>
      <c r="H189" s="295">
        <f>'CAR Mileage'!H210*CAR!$I$58</f>
        <v>31193.707716980894</v>
      </c>
      <c r="I189" s="295">
        <f>'CAR Mileage'!I210*CAR!$I$58</f>
        <v>31193.707716980894</v>
      </c>
      <c r="J189" s="295">
        <f>'CAR Mileage'!J210*CAR!$I$58</f>
        <v>31193.707716980894</v>
      </c>
      <c r="K189" s="295">
        <f>'CAR Mileage'!K210*CAR!$I$58</f>
        <v>31193.707716980894</v>
      </c>
      <c r="L189" s="295">
        <f>'CAR Mileage'!L210*CAR!$I$58</f>
        <v>31193.707716980894</v>
      </c>
      <c r="M189" s="295">
        <f>'CAR Mileage'!M210*CAR!$I$58</f>
        <v>31193.707716980894</v>
      </c>
      <c r="N189" s="295">
        <f>'CAR Mileage'!N210*CAR!$I$58</f>
        <v>31193.707716980894</v>
      </c>
      <c r="O189" s="295">
        <f>'CAR Mileage'!O210*CAR!$I$58</f>
        <v>31193.707716980894</v>
      </c>
      <c r="P189" s="295">
        <f>'CAR Mileage'!P210*CAR!$I$58</f>
        <v>31193.707716980894</v>
      </c>
      <c r="Q189" s="295">
        <f>'CAR Mileage'!Q210*CAR!$I$58</f>
        <v>31193.707716980894</v>
      </c>
      <c r="R189" s="295">
        <f>'CAR Mileage'!R210*CAR!$I$58</f>
        <v>31193.707716980894</v>
      </c>
      <c r="S189" s="295">
        <f>'CAR Mileage'!S210*CAR!$I$58</f>
        <v>31193.707716980894</v>
      </c>
      <c r="T189" s="295">
        <f>'CAR Mileage'!T210*CAR!$I$58</f>
        <v>31193.707716980894</v>
      </c>
      <c r="U189" s="295">
        <f>'CAR Mileage'!U210*CAR!$I$58</f>
        <v>31193.707716980894</v>
      </c>
      <c r="V189" s="295">
        <f>'CAR Mileage'!V210*CAR!$I$58</f>
        <v>31193.707716980894</v>
      </c>
      <c r="W189" s="295">
        <f>'CAR Mileage'!W210*CAR!$I$58</f>
        <v>31193.707716980894</v>
      </c>
      <c r="X189" s="295">
        <f>'CAR Mileage'!X210*CAR!$I$58</f>
        <v>31193.707716980894</v>
      </c>
      <c r="Y189" s="295">
        <f>'CAR Mileage'!Y210*CAR!$I$58</f>
        <v>31193.707716980894</v>
      </c>
      <c r="Z189" s="295">
        <f>'CAR Mileage'!Z210*CAR!$I$58</f>
        <v>31193.707716980894</v>
      </c>
      <c r="AA189" s="295">
        <f>'CAR Mileage'!AA210*CAR!$I$58</f>
        <v>31193.707716980894</v>
      </c>
      <c r="AB189" s="295">
        <f>'CAR Mileage'!AB210*CAR!$I$58</f>
        <v>31193.707716980894</v>
      </c>
      <c r="AC189" s="295">
        <f>'CAR Mileage'!AC210*CAR!$I$58</f>
        <v>31193.707716980894</v>
      </c>
      <c r="AD189" s="295">
        <f>'CAR Mileage'!AD210*CAR!$I$58</f>
        <v>31193.707716980894</v>
      </c>
      <c r="AE189" s="296">
        <f>'CAR Mileage'!AE210*CAR!$I$58</f>
        <v>31193.707716980894</v>
      </c>
      <c r="AG189" s="1711"/>
      <c r="AH189" s="116">
        <v>12</v>
      </c>
      <c r="AI189" s="294">
        <f>'CAR Passenger Kilometres'!C189*'CAR Stock'!C239</f>
        <v>238226345.8345831</v>
      </c>
      <c r="AJ189" s="295">
        <f>'CAR Passenger Kilometres'!D189*'CAR Stock'!D239</f>
        <v>304594343.18316114</v>
      </c>
      <c r="AK189" s="295">
        <f>'CAR Passenger Kilometres'!E189*'CAR Stock'!E239</f>
        <v>466155632.04193866</v>
      </c>
      <c r="AL189" s="295">
        <f>'CAR Passenger Kilometres'!F189*'CAR Stock'!F239</f>
        <v>506069689.52150345</v>
      </c>
      <c r="AM189" s="295">
        <f>'CAR Passenger Kilometres'!G189*'CAR Stock'!G239</f>
        <v>546844096.20001197</v>
      </c>
      <c r="AN189" s="295">
        <f>'CAR Passenger Kilometres'!H189*'CAR Stock'!H239</f>
        <v>586235798.80878961</v>
      </c>
      <c r="AO189" s="295">
        <f>'CAR Passenger Kilometres'!I189*'CAR Stock'!I239</f>
        <v>635244976.39147305</v>
      </c>
      <c r="AP189" s="295">
        <f>'CAR Passenger Kilometres'!J189*'CAR Stock'!J239</f>
        <v>690000057.55281615</v>
      </c>
      <c r="AQ189" s="295">
        <f>'CAR Passenger Kilometres'!K189*'CAR Stock'!K239</f>
        <v>1020128335.8903409</v>
      </c>
      <c r="AR189" s="295">
        <f>'CAR Passenger Kilometres'!L189*'CAR Stock'!L239</f>
        <v>489938142.04130983</v>
      </c>
      <c r="AS189" s="295">
        <f>'CAR Passenger Kilometres'!M189*'CAR Stock'!M239</f>
        <v>768998550.07010734</v>
      </c>
      <c r="AT189" s="295">
        <f>'CAR Passenger Kilometres'!N189*'CAR Stock'!N239</f>
        <v>776956780.16033614</v>
      </c>
      <c r="AU189" s="295">
        <f>'CAR Passenger Kilometres'!O189*'CAR Stock'!O239</f>
        <v>721402803.31425977</v>
      </c>
      <c r="AV189" s="295">
        <f>'CAR Passenger Kilometres'!P189*'CAR Stock'!P239</f>
        <v>0</v>
      </c>
      <c r="AW189" s="295">
        <f>'CAR Passenger Kilometres'!Q189*'CAR Stock'!Q239</f>
        <v>0</v>
      </c>
      <c r="AX189" s="295">
        <f>'CAR Passenger Kilometres'!R189*'CAR Stock'!R239</f>
        <v>0</v>
      </c>
      <c r="AY189" s="295">
        <f>'CAR Passenger Kilometres'!S189*'CAR Stock'!S239</f>
        <v>0</v>
      </c>
      <c r="AZ189" s="295">
        <f>'CAR Passenger Kilometres'!T189*'CAR Stock'!T239</f>
        <v>0</v>
      </c>
      <c r="BA189" s="295">
        <f>'CAR Passenger Kilometres'!U189*'CAR Stock'!U239</f>
        <v>0</v>
      </c>
      <c r="BB189" s="295">
        <f>'CAR Passenger Kilometres'!V189*'CAR Stock'!V239</f>
        <v>0</v>
      </c>
      <c r="BC189" s="295">
        <f>'CAR Passenger Kilometres'!W189*'CAR Stock'!W239</f>
        <v>0</v>
      </c>
      <c r="BD189" s="295">
        <f>'CAR Passenger Kilometres'!X189*'CAR Stock'!X239</f>
        <v>0</v>
      </c>
      <c r="BE189" s="295">
        <f>'CAR Passenger Kilometres'!Y189*'CAR Stock'!Y239</f>
        <v>0</v>
      </c>
      <c r="BF189" s="295">
        <f>'CAR Passenger Kilometres'!Z189*'CAR Stock'!Z239</f>
        <v>0</v>
      </c>
      <c r="BG189" s="295">
        <f>'CAR Passenger Kilometres'!AA189*'CAR Stock'!AA239</f>
        <v>0</v>
      </c>
      <c r="BH189" s="295">
        <f>'CAR Passenger Kilometres'!AB189*'CAR Stock'!AB239</f>
        <v>0</v>
      </c>
      <c r="BI189" s="295">
        <f>'CAR Passenger Kilometres'!AC189*'CAR Stock'!AC239</f>
        <v>0</v>
      </c>
      <c r="BJ189" s="295">
        <f>'CAR Passenger Kilometres'!AD189*'CAR Stock'!AD239</f>
        <v>0</v>
      </c>
      <c r="BK189" s="296">
        <f>'CAR Passenger Kilometres'!AE189*'CAR Stock'!AE239</f>
        <v>0</v>
      </c>
    </row>
    <row r="190" spans="1:63">
      <c r="A190" s="1711"/>
      <c r="B190" s="116">
        <v>13</v>
      </c>
      <c r="C190" s="294">
        <f>'CAR Mileage'!C211*CAR!$I$58</f>
        <v>30569.833562641277</v>
      </c>
      <c r="D190" s="295">
        <f>'CAR Mileage'!D211*CAR!$I$58</f>
        <v>30569.833562641277</v>
      </c>
      <c r="E190" s="295">
        <f>'CAR Mileage'!E211*CAR!$I$58</f>
        <v>30569.833562641277</v>
      </c>
      <c r="F190" s="295">
        <f>'CAR Mileage'!F211*CAR!$I$58</f>
        <v>30569.833562641277</v>
      </c>
      <c r="G190" s="295">
        <f>'CAR Mileage'!G211*CAR!$I$58</f>
        <v>30569.833562641277</v>
      </c>
      <c r="H190" s="295">
        <f>'CAR Mileage'!H211*CAR!$I$58</f>
        <v>30569.833562641277</v>
      </c>
      <c r="I190" s="295">
        <f>'CAR Mileage'!I211*CAR!$I$58</f>
        <v>30569.833562641277</v>
      </c>
      <c r="J190" s="295">
        <f>'CAR Mileage'!J211*CAR!$I$58</f>
        <v>30569.833562641277</v>
      </c>
      <c r="K190" s="295">
        <f>'CAR Mileage'!K211*CAR!$I$58</f>
        <v>30569.833562641277</v>
      </c>
      <c r="L190" s="295">
        <f>'CAR Mileage'!L211*CAR!$I$58</f>
        <v>30569.833562641277</v>
      </c>
      <c r="M190" s="295">
        <f>'CAR Mileage'!M211*CAR!$I$58</f>
        <v>30569.833562641277</v>
      </c>
      <c r="N190" s="295">
        <f>'CAR Mileage'!N211*CAR!$I$58</f>
        <v>30569.833562641277</v>
      </c>
      <c r="O190" s="295">
        <f>'CAR Mileage'!O211*CAR!$I$58</f>
        <v>30569.833562641277</v>
      </c>
      <c r="P190" s="295">
        <f>'CAR Mileage'!P211*CAR!$I$58</f>
        <v>30569.833562641277</v>
      </c>
      <c r="Q190" s="295">
        <f>'CAR Mileage'!Q211*CAR!$I$58</f>
        <v>30569.833562641277</v>
      </c>
      <c r="R190" s="295">
        <f>'CAR Mileage'!R211*CAR!$I$58</f>
        <v>30569.833562641277</v>
      </c>
      <c r="S190" s="295">
        <f>'CAR Mileage'!S211*CAR!$I$58</f>
        <v>30569.833562641277</v>
      </c>
      <c r="T190" s="295">
        <f>'CAR Mileage'!T211*CAR!$I$58</f>
        <v>30569.833562641277</v>
      </c>
      <c r="U190" s="295">
        <f>'CAR Mileage'!U211*CAR!$I$58</f>
        <v>30569.833562641277</v>
      </c>
      <c r="V190" s="295">
        <f>'CAR Mileage'!V211*CAR!$I$58</f>
        <v>30569.833562641277</v>
      </c>
      <c r="W190" s="295">
        <f>'CAR Mileage'!W211*CAR!$I$58</f>
        <v>30569.833562641277</v>
      </c>
      <c r="X190" s="295">
        <f>'CAR Mileage'!X211*CAR!$I$58</f>
        <v>30569.833562641277</v>
      </c>
      <c r="Y190" s="295">
        <f>'CAR Mileage'!Y211*CAR!$I$58</f>
        <v>30569.833562641277</v>
      </c>
      <c r="Z190" s="295">
        <f>'CAR Mileage'!Z211*CAR!$I$58</f>
        <v>30569.833562641277</v>
      </c>
      <c r="AA190" s="295">
        <f>'CAR Mileage'!AA211*CAR!$I$58</f>
        <v>30569.833562641277</v>
      </c>
      <c r="AB190" s="295">
        <f>'CAR Mileage'!AB211*CAR!$I$58</f>
        <v>30569.833562641277</v>
      </c>
      <c r="AC190" s="295">
        <f>'CAR Mileage'!AC211*CAR!$I$58</f>
        <v>30569.833562641277</v>
      </c>
      <c r="AD190" s="295">
        <f>'CAR Mileage'!AD211*CAR!$I$58</f>
        <v>30569.833562641277</v>
      </c>
      <c r="AE190" s="296">
        <f>'CAR Mileage'!AE211*CAR!$I$58</f>
        <v>30569.833562641277</v>
      </c>
      <c r="AG190" s="1711"/>
      <c r="AH190" s="116">
        <v>13</v>
      </c>
      <c r="AI190" s="294">
        <f>'CAR Passenger Kilometres'!C190*'CAR Stock'!C240</f>
        <v>146460072.59861436</v>
      </c>
      <c r="AJ190" s="295">
        <f>'CAR Passenger Kilometres'!D190*'CAR Stock'!D240</f>
        <v>179691801.22922993</v>
      </c>
      <c r="AK190" s="295">
        <f>'CAR Passenger Kilometres'!E190*'CAR Stock'!E240</f>
        <v>229752532.11003533</v>
      </c>
      <c r="AL190" s="295">
        <f>'CAR Passenger Kilometres'!F190*'CAR Stock'!F240</f>
        <v>351616631.15518475</v>
      </c>
      <c r="AM190" s="295">
        <f>'CAR Passenger Kilometres'!G190*'CAR Stock'!G240</f>
        <v>381723414.08779192</v>
      </c>
      <c r="AN190" s="295">
        <f>'CAR Passenger Kilometres'!H190*'CAR Stock'!H240</f>
        <v>412479150.00124067</v>
      </c>
      <c r="AO190" s="295">
        <f>'CAR Passenger Kilometres'!I190*'CAR Stock'!I240</f>
        <v>442191925.76690853</v>
      </c>
      <c r="AP190" s="295">
        <f>'CAR Passenger Kilometres'!J190*'CAR Stock'!J240</f>
        <v>479159068.78269643</v>
      </c>
      <c r="AQ190" s="295">
        <f>'CAR Passenger Kilometres'!K190*'CAR Stock'!K240</f>
        <v>520460290.63481814</v>
      </c>
      <c r="AR190" s="295">
        <f>'CAR Passenger Kilometres'!L190*'CAR Stock'!L240</f>
        <v>769472820.14054</v>
      </c>
      <c r="AS190" s="295">
        <f>'CAR Passenger Kilometres'!M190*'CAR Stock'!M240</f>
        <v>369555545.69701535</v>
      </c>
      <c r="AT190" s="295">
        <f>'CAR Passenger Kilometres'!N190*'CAR Stock'!N240</f>
        <v>580048080.41136432</v>
      </c>
      <c r="AU190" s="295">
        <f>'CAR Passenger Kilometres'!O190*'CAR Stock'!O240</f>
        <v>586050895.48414743</v>
      </c>
      <c r="AV190" s="295">
        <f>'CAR Passenger Kilometres'!P190*'CAR Stock'!P240</f>
        <v>544147074.43553007</v>
      </c>
      <c r="AW190" s="295">
        <f>'CAR Passenger Kilometres'!Q190*'CAR Stock'!Q240</f>
        <v>0</v>
      </c>
      <c r="AX190" s="295">
        <f>'CAR Passenger Kilometres'!R190*'CAR Stock'!R240</f>
        <v>0</v>
      </c>
      <c r="AY190" s="295">
        <f>'CAR Passenger Kilometres'!S190*'CAR Stock'!S240</f>
        <v>0</v>
      </c>
      <c r="AZ190" s="295">
        <f>'CAR Passenger Kilometres'!T190*'CAR Stock'!T240</f>
        <v>0</v>
      </c>
      <c r="BA190" s="295">
        <f>'CAR Passenger Kilometres'!U190*'CAR Stock'!U240</f>
        <v>0</v>
      </c>
      <c r="BB190" s="295">
        <f>'CAR Passenger Kilometres'!V190*'CAR Stock'!V240</f>
        <v>0</v>
      </c>
      <c r="BC190" s="295">
        <f>'CAR Passenger Kilometres'!W190*'CAR Stock'!W240</f>
        <v>0</v>
      </c>
      <c r="BD190" s="295">
        <f>'CAR Passenger Kilometres'!X190*'CAR Stock'!X240</f>
        <v>0</v>
      </c>
      <c r="BE190" s="295">
        <f>'CAR Passenger Kilometres'!Y190*'CAR Stock'!Y240</f>
        <v>0</v>
      </c>
      <c r="BF190" s="295">
        <f>'CAR Passenger Kilometres'!Z190*'CAR Stock'!Z240</f>
        <v>0</v>
      </c>
      <c r="BG190" s="295">
        <f>'CAR Passenger Kilometres'!AA190*'CAR Stock'!AA240</f>
        <v>0</v>
      </c>
      <c r="BH190" s="295">
        <f>'CAR Passenger Kilometres'!AB190*'CAR Stock'!AB240</f>
        <v>0</v>
      </c>
      <c r="BI190" s="295">
        <f>'CAR Passenger Kilometres'!AC190*'CAR Stock'!AC240</f>
        <v>0</v>
      </c>
      <c r="BJ190" s="295">
        <f>'CAR Passenger Kilometres'!AD190*'CAR Stock'!AD240</f>
        <v>0</v>
      </c>
      <c r="BK190" s="296">
        <f>'CAR Passenger Kilometres'!AE190*'CAR Stock'!AE240</f>
        <v>0</v>
      </c>
    </row>
    <row r="191" spans="1:63">
      <c r="A191" s="1711"/>
      <c r="B191" s="116">
        <v>14</v>
      </c>
      <c r="C191" s="294">
        <f>'CAR Mileage'!C212*CAR!$I$58</f>
        <v>29958.43689138845</v>
      </c>
      <c r="D191" s="295">
        <f>'CAR Mileage'!D212*CAR!$I$58</f>
        <v>29958.43689138845</v>
      </c>
      <c r="E191" s="295">
        <f>'CAR Mileage'!E212*CAR!$I$58</f>
        <v>29958.43689138845</v>
      </c>
      <c r="F191" s="295">
        <f>'CAR Mileage'!F212*CAR!$I$58</f>
        <v>29958.43689138845</v>
      </c>
      <c r="G191" s="295">
        <f>'CAR Mileage'!G212*CAR!$I$58</f>
        <v>29958.43689138845</v>
      </c>
      <c r="H191" s="295">
        <f>'CAR Mileage'!H212*CAR!$I$58</f>
        <v>29958.43689138845</v>
      </c>
      <c r="I191" s="295">
        <f>'CAR Mileage'!I212*CAR!$I$58</f>
        <v>29958.43689138845</v>
      </c>
      <c r="J191" s="295">
        <f>'CAR Mileage'!J212*CAR!$I$58</f>
        <v>29958.43689138845</v>
      </c>
      <c r="K191" s="295">
        <f>'CAR Mileage'!K212*CAR!$I$58</f>
        <v>29958.43689138845</v>
      </c>
      <c r="L191" s="295">
        <f>'CAR Mileage'!L212*CAR!$I$58</f>
        <v>29958.43689138845</v>
      </c>
      <c r="M191" s="295">
        <f>'CAR Mileage'!M212*CAR!$I$58</f>
        <v>29958.43689138845</v>
      </c>
      <c r="N191" s="295">
        <f>'CAR Mileage'!N212*CAR!$I$58</f>
        <v>29958.43689138845</v>
      </c>
      <c r="O191" s="295">
        <f>'CAR Mileage'!O212*CAR!$I$58</f>
        <v>29958.43689138845</v>
      </c>
      <c r="P191" s="295">
        <f>'CAR Mileage'!P212*CAR!$I$58</f>
        <v>29958.43689138845</v>
      </c>
      <c r="Q191" s="295">
        <f>'CAR Mileage'!Q212*CAR!$I$58</f>
        <v>29958.43689138845</v>
      </c>
      <c r="R191" s="295">
        <f>'CAR Mileage'!R212*CAR!$I$58</f>
        <v>29958.43689138845</v>
      </c>
      <c r="S191" s="295">
        <f>'CAR Mileage'!S212*CAR!$I$58</f>
        <v>29958.43689138845</v>
      </c>
      <c r="T191" s="295">
        <f>'CAR Mileage'!T212*CAR!$I$58</f>
        <v>29958.43689138845</v>
      </c>
      <c r="U191" s="295">
        <f>'CAR Mileage'!U212*CAR!$I$58</f>
        <v>29958.43689138845</v>
      </c>
      <c r="V191" s="295">
        <f>'CAR Mileage'!V212*CAR!$I$58</f>
        <v>29958.43689138845</v>
      </c>
      <c r="W191" s="295">
        <f>'CAR Mileage'!W212*CAR!$I$58</f>
        <v>29958.43689138845</v>
      </c>
      <c r="X191" s="295">
        <f>'CAR Mileage'!X212*CAR!$I$58</f>
        <v>29958.43689138845</v>
      </c>
      <c r="Y191" s="295">
        <f>'CAR Mileage'!Y212*CAR!$I$58</f>
        <v>29958.43689138845</v>
      </c>
      <c r="Z191" s="295">
        <f>'CAR Mileage'!Z212*CAR!$I$58</f>
        <v>29958.43689138845</v>
      </c>
      <c r="AA191" s="295">
        <f>'CAR Mileage'!AA212*CAR!$I$58</f>
        <v>29958.43689138845</v>
      </c>
      <c r="AB191" s="295">
        <f>'CAR Mileage'!AB212*CAR!$I$58</f>
        <v>29958.43689138845</v>
      </c>
      <c r="AC191" s="295">
        <f>'CAR Mileage'!AC212*CAR!$I$58</f>
        <v>29958.43689138845</v>
      </c>
      <c r="AD191" s="295">
        <f>'CAR Mileage'!AD212*CAR!$I$58</f>
        <v>29958.43689138845</v>
      </c>
      <c r="AE191" s="296">
        <f>'CAR Mileage'!AE212*CAR!$I$58</f>
        <v>29958.43689138845</v>
      </c>
      <c r="AG191" s="1711"/>
      <c r="AH191" s="116">
        <v>14</v>
      </c>
      <c r="AI191" s="294">
        <f>'CAR Passenger Kilometres'!C191*'CAR Stock'!C241</f>
        <v>80887779.606748819</v>
      </c>
      <c r="AJ191" s="295">
        <f>'CAR Passenger Kilometres'!D191*'CAR Stock'!D241</f>
        <v>83514212.061399773</v>
      </c>
      <c r="AK191" s="295">
        <f>'CAR Passenger Kilometres'!E191*'CAR Stock'!E241</f>
        <v>102463551.51468621</v>
      </c>
      <c r="AL191" s="295">
        <f>'CAR Passenger Kilometres'!F191*'CAR Stock'!F241</f>
        <v>131009095.84324883</v>
      </c>
      <c r="AM191" s="295">
        <f>'CAR Passenger Kilometres'!G191*'CAR Stock'!G241</f>
        <v>200498233.93906265</v>
      </c>
      <c r="AN191" s="295">
        <f>'CAR Passenger Kilometres'!H191*'CAR Stock'!H241</f>
        <v>217665672.2019881</v>
      </c>
      <c r="AO191" s="295">
        <f>'CAR Passenger Kilometres'!I191*'CAR Stock'!I241</f>
        <v>235203155.32354477</v>
      </c>
      <c r="AP191" s="295">
        <f>'CAR Passenger Kilometres'!J191*'CAR Stock'!J241</f>
        <v>252145923.49372989</v>
      </c>
      <c r="AQ191" s="295">
        <f>'CAR Passenger Kilometres'!K191*'CAR Stock'!K241</f>
        <v>273225264.54789931</v>
      </c>
      <c r="AR191" s="295">
        <f>'CAR Passenger Kilometres'!L191*'CAR Stock'!L241</f>
        <v>296775976.62221277</v>
      </c>
      <c r="AS191" s="295">
        <f>'CAR Passenger Kilometres'!M191*'CAR Stock'!M241</f>
        <v>438767475.23412305</v>
      </c>
      <c r="AT191" s="295">
        <f>'CAR Passenger Kilometres'!N191*'CAR Stock'!N241</f>
        <v>210727331.10265332</v>
      </c>
      <c r="AU191" s="295">
        <f>'CAR Passenger Kilometres'!O191*'CAR Stock'!O241</f>
        <v>330754024.17724085</v>
      </c>
      <c r="AV191" s="295">
        <f>'CAR Passenger Kilometres'!P191*'CAR Stock'!P241</f>
        <v>334176939.11957932</v>
      </c>
      <c r="AW191" s="295">
        <f>'CAR Passenger Kilometres'!Q191*'CAR Stock'!Q241</f>
        <v>310282613.96225119</v>
      </c>
      <c r="AX191" s="295">
        <f>'CAR Passenger Kilometres'!R191*'CAR Stock'!R241</f>
        <v>0</v>
      </c>
      <c r="AY191" s="295">
        <f>'CAR Passenger Kilometres'!S191*'CAR Stock'!S241</f>
        <v>0</v>
      </c>
      <c r="AZ191" s="295">
        <f>'CAR Passenger Kilometres'!T191*'CAR Stock'!T241</f>
        <v>0</v>
      </c>
      <c r="BA191" s="295">
        <f>'CAR Passenger Kilometres'!U191*'CAR Stock'!U241</f>
        <v>0</v>
      </c>
      <c r="BB191" s="295">
        <f>'CAR Passenger Kilometres'!V191*'CAR Stock'!V241</f>
        <v>0</v>
      </c>
      <c r="BC191" s="295">
        <f>'CAR Passenger Kilometres'!W191*'CAR Stock'!W241</f>
        <v>0</v>
      </c>
      <c r="BD191" s="295">
        <f>'CAR Passenger Kilometres'!X191*'CAR Stock'!X241</f>
        <v>0</v>
      </c>
      <c r="BE191" s="295">
        <f>'CAR Passenger Kilometres'!Y191*'CAR Stock'!Y241</f>
        <v>0</v>
      </c>
      <c r="BF191" s="295">
        <f>'CAR Passenger Kilometres'!Z191*'CAR Stock'!Z241</f>
        <v>0</v>
      </c>
      <c r="BG191" s="295">
        <f>'CAR Passenger Kilometres'!AA191*'CAR Stock'!AA241</f>
        <v>0</v>
      </c>
      <c r="BH191" s="295">
        <f>'CAR Passenger Kilometres'!AB191*'CAR Stock'!AB241</f>
        <v>0</v>
      </c>
      <c r="BI191" s="295">
        <f>'CAR Passenger Kilometres'!AC191*'CAR Stock'!AC241</f>
        <v>0</v>
      </c>
      <c r="BJ191" s="295">
        <f>'CAR Passenger Kilometres'!AD191*'CAR Stock'!AD241</f>
        <v>0</v>
      </c>
      <c r="BK191" s="296">
        <f>'CAR Passenger Kilometres'!AE191*'CAR Stock'!AE241</f>
        <v>0</v>
      </c>
    </row>
    <row r="192" spans="1:63">
      <c r="A192" s="1711"/>
      <c r="B192" s="116">
        <v>15</v>
      </c>
      <c r="C192" s="294">
        <f>'CAR Mileage'!C213*CAR!$I$58</f>
        <v>29359.268153560683</v>
      </c>
      <c r="D192" s="295">
        <f>'CAR Mileage'!D213*CAR!$I$58</f>
        <v>29359.268153560683</v>
      </c>
      <c r="E192" s="295">
        <f>'CAR Mileage'!E213*CAR!$I$58</f>
        <v>29359.268153560683</v>
      </c>
      <c r="F192" s="295">
        <f>'CAR Mileage'!F213*CAR!$I$58</f>
        <v>29359.268153560683</v>
      </c>
      <c r="G192" s="295">
        <f>'CAR Mileage'!G213*CAR!$I$58</f>
        <v>29359.268153560683</v>
      </c>
      <c r="H192" s="295">
        <f>'CAR Mileage'!H213*CAR!$I$58</f>
        <v>29359.268153560683</v>
      </c>
      <c r="I192" s="295">
        <f>'CAR Mileage'!I213*CAR!$I$58</f>
        <v>29359.268153560683</v>
      </c>
      <c r="J192" s="295">
        <f>'CAR Mileage'!J213*CAR!$I$58</f>
        <v>29359.268153560683</v>
      </c>
      <c r="K192" s="295">
        <f>'CAR Mileage'!K213*CAR!$I$58</f>
        <v>29359.268153560683</v>
      </c>
      <c r="L192" s="295">
        <f>'CAR Mileage'!L213*CAR!$I$58</f>
        <v>29359.268153560683</v>
      </c>
      <c r="M192" s="295">
        <f>'CAR Mileage'!M213*CAR!$I$58</f>
        <v>29359.268153560683</v>
      </c>
      <c r="N192" s="295">
        <f>'CAR Mileage'!N213*CAR!$I$58</f>
        <v>29359.268153560683</v>
      </c>
      <c r="O192" s="295">
        <f>'CAR Mileage'!O213*CAR!$I$58</f>
        <v>29359.268153560683</v>
      </c>
      <c r="P192" s="295">
        <f>'CAR Mileage'!P213*CAR!$I$58</f>
        <v>29359.268153560683</v>
      </c>
      <c r="Q192" s="295">
        <f>'CAR Mileage'!Q213*CAR!$I$58</f>
        <v>29359.268153560683</v>
      </c>
      <c r="R192" s="295">
        <f>'CAR Mileage'!R213*CAR!$I$58</f>
        <v>29359.268153560683</v>
      </c>
      <c r="S192" s="295">
        <f>'CAR Mileage'!S213*CAR!$I$58</f>
        <v>29359.268153560683</v>
      </c>
      <c r="T192" s="295">
        <f>'CAR Mileage'!T213*CAR!$I$58</f>
        <v>29359.268153560683</v>
      </c>
      <c r="U192" s="295">
        <f>'CAR Mileage'!U213*CAR!$I$58</f>
        <v>29359.268153560683</v>
      </c>
      <c r="V192" s="295">
        <f>'CAR Mileage'!V213*CAR!$I$58</f>
        <v>29359.268153560683</v>
      </c>
      <c r="W192" s="295">
        <f>'CAR Mileage'!W213*CAR!$I$58</f>
        <v>29359.268153560683</v>
      </c>
      <c r="X192" s="295">
        <f>'CAR Mileage'!X213*CAR!$I$58</f>
        <v>29359.268153560683</v>
      </c>
      <c r="Y192" s="295">
        <f>'CAR Mileage'!Y213*CAR!$I$58</f>
        <v>29359.268153560683</v>
      </c>
      <c r="Z192" s="295">
        <f>'CAR Mileage'!Z213*CAR!$I$58</f>
        <v>29359.268153560683</v>
      </c>
      <c r="AA192" s="295">
        <f>'CAR Mileage'!AA213*CAR!$I$58</f>
        <v>29359.268153560683</v>
      </c>
      <c r="AB192" s="295">
        <f>'CAR Mileage'!AB213*CAR!$I$58</f>
        <v>29359.268153560683</v>
      </c>
      <c r="AC192" s="295">
        <f>'CAR Mileage'!AC213*CAR!$I$58</f>
        <v>29359.268153560683</v>
      </c>
      <c r="AD192" s="295">
        <f>'CAR Mileage'!AD213*CAR!$I$58</f>
        <v>29359.268153560683</v>
      </c>
      <c r="AE192" s="296">
        <f>'CAR Mileage'!AE213*CAR!$I$58</f>
        <v>29359.268153560683</v>
      </c>
      <c r="AG192" s="1711"/>
      <c r="AH192" s="116">
        <v>15</v>
      </c>
      <c r="AI192" s="294">
        <f>'CAR Passenger Kilometres'!C192*'CAR Stock'!C242</f>
        <v>47415218.068000503</v>
      </c>
      <c r="AJ192" s="295">
        <f>'CAR Passenger Kilometres'!D192*'CAR Stock'!D242</f>
        <v>32498453.698313508</v>
      </c>
      <c r="AK192" s="295">
        <f>'CAR Passenger Kilometres'!E192*'CAR Stock'!E242</f>
        <v>33553681.001302805</v>
      </c>
      <c r="AL192" s="295">
        <f>'CAR Passenger Kilometres'!F192*'CAR Stock'!F242</f>
        <v>41166997.052629717</v>
      </c>
      <c r="AM192" s="295">
        <f>'CAR Passenger Kilometres'!G192*'CAR Stock'!G242</f>
        <v>52635800.562443793</v>
      </c>
      <c r="AN192" s="295">
        <f>'CAR Passenger Kilometres'!H192*'CAR Stock'!H242</f>
        <v>80554598.036198407</v>
      </c>
      <c r="AO192" s="295">
        <f>'CAR Passenger Kilometres'!I192*'CAR Stock'!I242</f>
        <v>87451995.890593082</v>
      </c>
      <c r="AP192" s="295">
        <f>'CAR Passenger Kilometres'!J192*'CAR Stock'!J242</f>
        <v>94498067.447776869</v>
      </c>
      <c r="AQ192" s="295">
        <f>'CAR Passenger Kilometres'!K192*'CAR Stock'!K242</f>
        <v>101305199.12547816</v>
      </c>
      <c r="AR192" s="295">
        <f>'CAR Passenger Kilometres'!L192*'CAR Stock'!L242</f>
        <v>109774290.4093577</v>
      </c>
      <c r="AS192" s="295">
        <f>'CAR Passenger Kilometres'!M192*'CAR Stock'!M242</f>
        <v>119236309.63686448</v>
      </c>
      <c r="AT192" s="295">
        <f>'CAR Passenger Kilometres'!N192*'CAR Stock'!N242</f>
        <v>176284533.30708504</v>
      </c>
      <c r="AU192" s="295">
        <f>'CAR Passenger Kilometres'!O192*'CAR Stock'!O242</f>
        <v>84664363.963297307</v>
      </c>
      <c r="AV192" s="295">
        <f>'CAR Passenger Kilometres'!P192*'CAR Stock'!P242</f>
        <v>132887741.41796437</v>
      </c>
      <c r="AW192" s="295">
        <f>'CAR Passenger Kilometres'!Q192*'CAR Stock'!Q242</f>
        <v>134262973.16876361</v>
      </c>
      <c r="AX192" s="295">
        <f>'CAR Passenger Kilometres'!R192*'CAR Stock'!R242</f>
        <v>124662899.78866693</v>
      </c>
      <c r="AY192" s="295">
        <f>'CAR Passenger Kilometres'!S192*'CAR Stock'!S242</f>
        <v>0</v>
      </c>
      <c r="AZ192" s="295">
        <f>'CAR Passenger Kilometres'!T192*'CAR Stock'!T242</f>
        <v>0</v>
      </c>
      <c r="BA192" s="295">
        <f>'CAR Passenger Kilometres'!U192*'CAR Stock'!U242</f>
        <v>0</v>
      </c>
      <c r="BB192" s="295">
        <f>'CAR Passenger Kilometres'!V192*'CAR Stock'!V242</f>
        <v>0</v>
      </c>
      <c r="BC192" s="295">
        <f>'CAR Passenger Kilometres'!W192*'CAR Stock'!W242</f>
        <v>0</v>
      </c>
      <c r="BD192" s="295">
        <f>'CAR Passenger Kilometres'!X192*'CAR Stock'!X242</f>
        <v>0</v>
      </c>
      <c r="BE192" s="295">
        <f>'CAR Passenger Kilometres'!Y192*'CAR Stock'!Y242</f>
        <v>0</v>
      </c>
      <c r="BF192" s="295">
        <f>'CAR Passenger Kilometres'!Z192*'CAR Stock'!Z242</f>
        <v>0</v>
      </c>
      <c r="BG192" s="295">
        <f>'CAR Passenger Kilometres'!AA192*'CAR Stock'!AA242</f>
        <v>0</v>
      </c>
      <c r="BH192" s="295">
        <f>'CAR Passenger Kilometres'!AB192*'CAR Stock'!AB242</f>
        <v>0</v>
      </c>
      <c r="BI192" s="295">
        <f>'CAR Passenger Kilometres'!AC192*'CAR Stock'!AC242</f>
        <v>0</v>
      </c>
      <c r="BJ192" s="295">
        <f>'CAR Passenger Kilometres'!AD192*'CAR Stock'!AD242</f>
        <v>0</v>
      </c>
      <c r="BK192" s="296">
        <f>'CAR Passenger Kilometres'!AE192*'CAR Stock'!AE242</f>
        <v>0</v>
      </c>
    </row>
    <row r="193" spans="1:63">
      <c r="A193" s="1711"/>
      <c r="B193" s="116">
        <v>16</v>
      </c>
      <c r="C193" s="294">
        <f>'CAR Mileage'!C214*CAR!$I$58</f>
        <v>28772.082790489469</v>
      </c>
      <c r="D193" s="295">
        <f>'CAR Mileage'!D214*CAR!$I$58</f>
        <v>28772.082790489469</v>
      </c>
      <c r="E193" s="295">
        <f>'CAR Mileage'!E214*CAR!$I$58</f>
        <v>28772.082790489469</v>
      </c>
      <c r="F193" s="295">
        <f>'CAR Mileage'!F214*CAR!$I$58</f>
        <v>28772.082790489469</v>
      </c>
      <c r="G193" s="295">
        <f>'CAR Mileage'!G214*CAR!$I$58</f>
        <v>28772.082790489469</v>
      </c>
      <c r="H193" s="295">
        <f>'CAR Mileage'!H214*CAR!$I$58</f>
        <v>28772.082790489469</v>
      </c>
      <c r="I193" s="295">
        <f>'CAR Mileage'!I214*CAR!$I$58</f>
        <v>28772.082790489469</v>
      </c>
      <c r="J193" s="295">
        <f>'CAR Mileage'!J214*CAR!$I$58</f>
        <v>28772.082790489469</v>
      </c>
      <c r="K193" s="295">
        <f>'CAR Mileage'!K214*CAR!$I$58</f>
        <v>28772.082790489469</v>
      </c>
      <c r="L193" s="295">
        <f>'CAR Mileage'!L214*CAR!$I$58</f>
        <v>28772.082790489469</v>
      </c>
      <c r="M193" s="295">
        <f>'CAR Mileage'!M214*CAR!$I$58</f>
        <v>28772.082790489469</v>
      </c>
      <c r="N193" s="295">
        <f>'CAR Mileage'!N214*CAR!$I$58</f>
        <v>28772.082790489469</v>
      </c>
      <c r="O193" s="295">
        <f>'CAR Mileage'!O214*CAR!$I$58</f>
        <v>28772.082790489469</v>
      </c>
      <c r="P193" s="295">
        <f>'CAR Mileage'!P214*CAR!$I$58</f>
        <v>28772.082790489469</v>
      </c>
      <c r="Q193" s="295">
        <f>'CAR Mileage'!Q214*CAR!$I$58</f>
        <v>28772.082790489469</v>
      </c>
      <c r="R193" s="295">
        <f>'CAR Mileage'!R214*CAR!$I$58</f>
        <v>28772.082790489469</v>
      </c>
      <c r="S193" s="295">
        <f>'CAR Mileage'!S214*CAR!$I$58</f>
        <v>28772.082790489469</v>
      </c>
      <c r="T193" s="295">
        <f>'CAR Mileage'!T214*CAR!$I$58</f>
        <v>28772.082790489469</v>
      </c>
      <c r="U193" s="295">
        <f>'CAR Mileage'!U214*CAR!$I$58</f>
        <v>28772.082790489469</v>
      </c>
      <c r="V193" s="295">
        <f>'CAR Mileage'!V214*CAR!$I$58</f>
        <v>28772.082790489469</v>
      </c>
      <c r="W193" s="295">
        <f>'CAR Mileage'!W214*CAR!$I$58</f>
        <v>28772.082790489469</v>
      </c>
      <c r="X193" s="295">
        <f>'CAR Mileage'!X214*CAR!$I$58</f>
        <v>28772.082790489469</v>
      </c>
      <c r="Y193" s="295">
        <f>'CAR Mileage'!Y214*CAR!$I$58</f>
        <v>28772.082790489469</v>
      </c>
      <c r="Z193" s="295">
        <f>'CAR Mileage'!Z214*CAR!$I$58</f>
        <v>28772.082790489469</v>
      </c>
      <c r="AA193" s="295">
        <f>'CAR Mileage'!AA214*CAR!$I$58</f>
        <v>28772.082790489469</v>
      </c>
      <c r="AB193" s="295">
        <f>'CAR Mileage'!AB214*CAR!$I$58</f>
        <v>28772.082790489469</v>
      </c>
      <c r="AC193" s="295">
        <f>'CAR Mileage'!AC214*CAR!$I$58</f>
        <v>28772.082790489469</v>
      </c>
      <c r="AD193" s="295">
        <f>'CAR Mileage'!AD214*CAR!$I$58</f>
        <v>28772.082790489469</v>
      </c>
      <c r="AE193" s="296">
        <f>'CAR Mileage'!AE214*CAR!$I$58</f>
        <v>28772.082790489469</v>
      </c>
      <c r="AG193" s="1711"/>
      <c r="AH193" s="116">
        <v>16</v>
      </c>
      <c r="AI193" s="294">
        <f>'CAR Passenger Kilometres'!C193*'CAR Stock'!C243</f>
        <v>57092919.253335044</v>
      </c>
      <c r="AJ193" s="295">
        <f>'CAR Passenger Kilometres'!D193*'CAR Stock'!D243</f>
        <v>17145100.889440261</v>
      </c>
      <c r="AK193" s="295">
        <f>'CAR Passenger Kilometres'!E193*'CAR Stock'!E243</f>
        <v>11751275.014897021</v>
      </c>
      <c r="AL193" s="295">
        <f>'CAR Passenger Kilometres'!F193*'CAR Stock'!F243</f>
        <v>12132839.82274198</v>
      </c>
      <c r="AM193" s="295">
        <f>'CAR Passenger Kilometres'!G193*'CAR Stock'!G243</f>
        <v>14885776.055493115</v>
      </c>
      <c r="AN193" s="295">
        <f>'CAR Passenger Kilometres'!H193*'CAR Stock'!H243</f>
        <v>19032836.878348064</v>
      </c>
      <c r="AO193" s="295">
        <f>'CAR Passenger Kilometres'!I193*'CAR Stock'!I243</f>
        <v>29128131.572825428</v>
      </c>
      <c r="AP193" s="295">
        <f>'CAR Passenger Kilometres'!J193*'CAR Stock'!J243</f>
        <v>31622195.438958187</v>
      </c>
      <c r="AQ193" s="295">
        <f>'CAR Passenger Kilometres'!K193*'CAR Stock'!K243</f>
        <v>34170018.957324766</v>
      </c>
      <c r="AR193" s="295">
        <f>'CAR Passenger Kilometres'!L193*'CAR Stock'!L243</f>
        <v>36631443.034601294</v>
      </c>
      <c r="AS193" s="295">
        <f>'CAR Passenger Kilometres'!M193*'CAR Stock'!M243</f>
        <v>39693823.224348612</v>
      </c>
      <c r="AT193" s="295">
        <f>'CAR Passenger Kilometres'!N193*'CAR Stock'!N243</f>
        <v>43115241.091514573</v>
      </c>
      <c r="AU193" s="295">
        <f>'CAR Passenger Kilometres'!O193*'CAR Stock'!O243</f>
        <v>63743587.648658901</v>
      </c>
      <c r="AV193" s="295">
        <f>'CAR Passenger Kilometres'!P193*'CAR Stock'!P243</f>
        <v>30614201.959574275</v>
      </c>
      <c r="AW193" s="295">
        <f>'CAR Passenger Kilometres'!Q193*'CAR Stock'!Q243</f>
        <v>48051529.159126095</v>
      </c>
      <c r="AX193" s="295">
        <f>'CAR Passenger Kilometres'!R193*'CAR Stock'!R243</f>
        <v>48548805.942288823</v>
      </c>
      <c r="AY193" s="295">
        <f>'CAR Passenger Kilometres'!S193*'CAR Stock'!S243</f>
        <v>45077468.398048602</v>
      </c>
      <c r="AZ193" s="295">
        <f>'CAR Passenger Kilometres'!T193*'CAR Stock'!T243</f>
        <v>0</v>
      </c>
      <c r="BA193" s="295">
        <f>'CAR Passenger Kilometres'!U193*'CAR Stock'!U243</f>
        <v>0</v>
      </c>
      <c r="BB193" s="295">
        <f>'CAR Passenger Kilometres'!V193*'CAR Stock'!V243</f>
        <v>0</v>
      </c>
      <c r="BC193" s="295">
        <f>'CAR Passenger Kilometres'!W193*'CAR Stock'!W243</f>
        <v>0</v>
      </c>
      <c r="BD193" s="295">
        <f>'CAR Passenger Kilometres'!X193*'CAR Stock'!X243</f>
        <v>0</v>
      </c>
      <c r="BE193" s="295">
        <f>'CAR Passenger Kilometres'!Y193*'CAR Stock'!Y243</f>
        <v>0</v>
      </c>
      <c r="BF193" s="295">
        <f>'CAR Passenger Kilometres'!Z193*'CAR Stock'!Z243</f>
        <v>0</v>
      </c>
      <c r="BG193" s="295">
        <f>'CAR Passenger Kilometres'!AA193*'CAR Stock'!AA243</f>
        <v>0</v>
      </c>
      <c r="BH193" s="295">
        <f>'CAR Passenger Kilometres'!AB193*'CAR Stock'!AB243</f>
        <v>0</v>
      </c>
      <c r="BI193" s="295">
        <f>'CAR Passenger Kilometres'!AC193*'CAR Stock'!AC243</f>
        <v>0</v>
      </c>
      <c r="BJ193" s="295">
        <f>'CAR Passenger Kilometres'!AD193*'CAR Stock'!AD243</f>
        <v>0</v>
      </c>
      <c r="BK193" s="296">
        <f>'CAR Passenger Kilometres'!AE193*'CAR Stock'!AE243</f>
        <v>0</v>
      </c>
    </row>
    <row r="194" spans="1:63">
      <c r="A194" s="1711"/>
      <c r="B194" s="116">
        <v>17</v>
      </c>
      <c r="C194" s="294">
        <f>'CAR Mileage'!C215*CAR!$I$58</f>
        <v>28772.082790489469</v>
      </c>
      <c r="D194" s="295">
        <f>'CAR Mileage'!D215*CAR!$I$58</f>
        <v>28772.082790489469</v>
      </c>
      <c r="E194" s="295">
        <f>'CAR Mileage'!E215*CAR!$I$58</f>
        <v>28772.082790489469</v>
      </c>
      <c r="F194" s="295">
        <f>'CAR Mileage'!F215*CAR!$I$58</f>
        <v>28772.082790489469</v>
      </c>
      <c r="G194" s="295">
        <f>'CAR Mileage'!G215*CAR!$I$58</f>
        <v>28772.082790489469</v>
      </c>
      <c r="H194" s="295">
        <f>'CAR Mileage'!H215*CAR!$I$58</f>
        <v>28772.082790489469</v>
      </c>
      <c r="I194" s="295">
        <f>'CAR Mileage'!I215*CAR!$I$58</f>
        <v>28772.082790489469</v>
      </c>
      <c r="J194" s="295">
        <f>'CAR Mileage'!J215*CAR!$I$58</f>
        <v>28772.082790489469</v>
      </c>
      <c r="K194" s="295">
        <f>'CAR Mileage'!K215*CAR!$I$58</f>
        <v>28772.082790489469</v>
      </c>
      <c r="L194" s="295">
        <f>'CAR Mileage'!L215*CAR!$I$58</f>
        <v>28772.082790489469</v>
      </c>
      <c r="M194" s="295">
        <f>'CAR Mileage'!M215*CAR!$I$58</f>
        <v>28772.082790489469</v>
      </c>
      <c r="N194" s="295">
        <f>'CAR Mileage'!N215*CAR!$I$58</f>
        <v>28772.082790489469</v>
      </c>
      <c r="O194" s="295">
        <f>'CAR Mileage'!O215*CAR!$I$58</f>
        <v>28772.082790489469</v>
      </c>
      <c r="P194" s="295">
        <f>'CAR Mileage'!P215*CAR!$I$58</f>
        <v>28772.082790489469</v>
      </c>
      <c r="Q194" s="295">
        <f>'CAR Mileage'!Q215*CAR!$I$58</f>
        <v>28772.082790489469</v>
      </c>
      <c r="R194" s="295">
        <f>'CAR Mileage'!R215*CAR!$I$58</f>
        <v>28772.082790489469</v>
      </c>
      <c r="S194" s="295">
        <f>'CAR Mileage'!S215*CAR!$I$58</f>
        <v>28772.082790489469</v>
      </c>
      <c r="T194" s="295">
        <f>'CAR Mileage'!T215*CAR!$I$58</f>
        <v>28772.082790489469</v>
      </c>
      <c r="U194" s="295">
        <f>'CAR Mileage'!U215*CAR!$I$58</f>
        <v>28772.082790489469</v>
      </c>
      <c r="V194" s="295">
        <f>'CAR Mileage'!V215*CAR!$I$58</f>
        <v>28772.082790489469</v>
      </c>
      <c r="W194" s="295">
        <f>'CAR Mileage'!W215*CAR!$I$58</f>
        <v>28772.082790489469</v>
      </c>
      <c r="X194" s="295">
        <f>'CAR Mileage'!X215*CAR!$I$58</f>
        <v>28772.082790489469</v>
      </c>
      <c r="Y194" s="295">
        <f>'CAR Mileage'!Y215*CAR!$I$58</f>
        <v>28772.082790489469</v>
      </c>
      <c r="Z194" s="295">
        <f>'CAR Mileage'!Z215*CAR!$I$58</f>
        <v>28772.082790489469</v>
      </c>
      <c r="AA194" s="295">
        <f>'CAR Mileage'!AA215*CAR!$I$58</f>
        <v>28772.082790489469</v>
      </c>
      <c r="AB194" s="295">
        <f>'CAR Mileage'!AB215*CAR!$I$58</f>
        <v>28772.082790489469</v>
      </c>
      <c r="AC194" s="295">
        <f>'CAR Mileage'!AC215*CAR!$I$58</f>
        <v>28772.082790489469</v>
      </c>
      <c r="AD194" s="295">
        <f>'CAR Mileage'!AD215*CAR!$I$58</f>
        <v>28772.082790489469</v>
      </c>
      <c r="AE194" s="296">
        <f>'CAR Mileage'!AE215*CAR!$I$58</f>
        <v>28772.082790489469</v>
      </c>
      <c r="AG194" s="1711"/>
      <c r="AH194" s="116">
        <v>17</v>
      </c>
      <c r="AI194" s="294">
        <f>'CAR Passenger Kilometres'!C194*'CAR Stock'!C244</f>
        <v>21003311.229763176</v>
      </c>
      <c r="AJ194" s="295">
        <f>'CAR Passenger Kilometres'!D194*'CAR Stock'!D244</f>
        <v>18725177.55275565</v>
      </c>
      <c r="AK194" s="295">
        <f>'CAR Passenger Kilometres'!E194*'CAR Stock'!E244</f>
        <v>5623202.7108322037</v>
      </c>
      <c r="AL194" s="295">
        <f>'CAR Passenger Kilometres'!F194*'CAR Stock'!F244</f>
        <v>3854150.637293858</v>
      </c>
      <c r="AM194" s="295">
        <f>'CAR Passenger Kilometres'!G194*'CAR Stock'!G244</f>
        <v>3979295.206326603</v>
      </c>
      <c r="AN194" s="295">
        <f>'CAR Passenger Kilometres'!H194*'CAR Stock'!H244</f>
        <v>4882195.608405238</v>
      </c>
      <c r="AO194" s="295">
        <f>'CAR Passenger Kilometres'!I194*'CAR Stock'!I244</f>
        <v>6242337.1328815799</v>
      </c>
      <c r="AP194" s="295">
        <f>'CAR Passenger Kilometres'!J194*'CAR Stock'!J244</f>
        <v>9553363.930489907</v>
      </c>
      <c r="AQ194" s="295">
        <f>'CAR Passenger Kilometres'!K194*'CAR Stock'!K244</f>
        <v>10371360.090644568</v>
      </c>
      <c r="AR194" s="295">
        <f>'CAR Passenger Kilometres'!L194*'CAR Stock'!L244</f>
        <v>11206988.192665538</v>
      </c>
      <c r="AS194" s="295">
        <f>'CAR Passenger Kilometres'!M194*'CAR Stock'!M244</f>
        <v>12014279.245258516</v>
      </c>
      <c r="AT194" s="295">
        <f>'CAR Passenger Kilometres'!N194*'CAR Stock'!N244</f>
        <v>13018670.219428405</v>
      </c>
      <c r="AU194" s="295">
        <f>'CAR Passenger Kilometres'!O194*'CAR Stock'!O244</f>
        <v>14140817.376776831</v>
      </c>
      <c r="AV194" s="295">
        <f>'CAR Passenger Kilometres'!P194*'CAR Stock'!P244</f>
        <v>20906445.355761979</v>
      </c>
      <c r="AW194" s="295">
        <f>'CAR Passenger Kilometres'!Q194*'CAR Stock'!Q244</f>
        <v>10040761.180651344</v>
      </c>
      <c r="AX194" s="295">
        <f>'CAR Passenger Kilometres'!R194*'CAR Stock'!R244</f>
        <v>15759807.467429368</v>
      </c>
      <c r="AY194" s="295">
        <f>'CAR Passenger Kilometres'!S194*'CAR Stock'!S244</f>
        <v>15922902.929692689</v>
      </c>
      <c r="AZ194" s="295">
        <f>'CAR Passenger Kilometres'!T194*'CAR Stock'!T244</f>
        <v>14784383.254896978</v>
      </c>
      <c r="BA194" s="295">
        <f>'CAR Passenger Kilometres'!U194*'CAR Stock'!U244</f>
        <v>0</v>
      </c>
      <c r="BB194" s="295">
        <f>'CAR Passenger Kilometres'!V194*'CAR Stock'!V244</f>
        <v>0</v>
      </c>
      <c r="BC194" s="295">
        <f>'CAR Passenger Kilometres'!W194*'CAR Stock'!W244</f>
        <v>0</v>
      </c>
      <c r="BD194" s="295">
        <f>'CAR Passenger Kilometres'!X194*'CAR Stock'!X244</f>
        <v>0</v>
      </c>
      <c r="BE194" s="295">
        <f>'CAR Passenger Kilometres'!Y194*'CAR Stock'!Y244</f>
        <v>0</v>
      </c>
      <c r="BF194" s="295">
        <f>'CAR Passenger Kilometres'!Z194*'CAR Stock'!Z244</f>
        <v>0</v>
      </c>
      <c r="BG194" s="295">
        <f>'CAR Passenger Kilometres'!AA194*'CAR Stock'!AA244</f>
        <v>0</v>
      </c>
      <c r="BH194" s="295">
        <f>'CAR Passenger Kilometres'!AB194*'CAR Stock'!AB244</f>
        <v>0</v>
      </c>
      <c r="BI194" s="295">
        <f>'CAR Passenger Kilometres'!AC194*'CAR Stock'!AC244</f>
        <v>0</v>
      </c>
      <c r="BJ194" s="295">
        <f>'CAR Passenger Kilometres'!AD194*'CAR Stock'!AD244</f>
        <v>0</v>
      </c>
      <c r="BK194" s="296">
        <f>'CAR Passenger Kilometres'!AE194*'CAR Stock'!AE244</f>
        <v>0</v>
      </c>
    </row>
    <row r="195" spans="1:63">
      <c r="A195" s="1711"/>
      <c r="B195" s="116">
        <v>18</v>
      </c>
      <c r="C195" s="294">
        <f>'CAR Mileage'!C216*CAR!$I$58</f>
        <v>28772.082790489469</v>
      </c>
      <c r="D195" s="295">
        <f>'CAR Mileage'!D216*CAR!$I$58</f>
        <v>28772.082790489469</v>
      </c>
      <c r="E195" s="295">
        <f>'CAR Mileage'!E216*CAR!$I$58</f>
        <v>28772.082790489469</v>
      </c>
      <c r="F195" s="295">
        <f>'CAR Mileage'!F216*CAR!$I$58</f>
        <v>28772.082790489469</v>
      </c>
      <c r="G195" s="295">
        <f>'CAR Mileage'!G216*CAR!$I$58</f>
        <v>28772.082790489469</v>
      </c>
      <c r="H195" s="295">
        <f>'CAR Mileage'!H216*CAR!$I$58</f>
        <v>28772.082790489469</v>
      </c>
      <c r="I195" s="295">
        <f>'CAR Mileage'!I216*CAR!$I$58</f>
        <v>28772.082790489469</v>
      </c>
      <c r="J195" s="295">
        <f>'CAR Mileage'!J216*CAR!$I$58</f>
        <v>28772.082790489469</v>
      </c>
      <c r="K195" s="295">
        <f>'CAR Mileage'!K216*CAR!$I$58</f>
        <v>28772.082790489469</v>
      </c>
      <c r="L195" s="295">
        <f>'CAR Mileage'!L216*CAR!$I$58</f>
        <v>28772.082790489469</v>
      </c>
      <c r="M195" s="295">
        <f>'CAR Mileage'!M216*CAR!$I$58</f>
        <v>28772.082790489469</v>
      </c>
      <c r="N195" s="295">
        <f>'CAR Mileage'!N216*CAR!$I$58</f>
        <v>28772.082790489469</v>
      </c>
      <c r="O195" s="295">
        <f>'CAR Mileage'!O216*CAR!$I$58</f>
        <v>28772.082790489469</v>
      </c>
      <c r="P195" s="295">
        <f>'CAR Mileage'!P216*CAR!$I$58</f>
        <v>28772.082790489469</v>
      </c>
      <c r="Q195" s="295">
        <f>'CAR Mileage'!Q216*CAR!$I$58</f>
        <v>28772.082790489469</v>
      </c>
      <c r="R195" s="295">
        <f>'CAR Mileage'!R216*CAR!$I$58</f>
        <v>28772.082790489469</v>
      </c>
      <c r="S195" s="295">
        <f>'CAR Mileage'!S216*CAR!$I$58</f>
        <v>28772.082790489469</v>
      </c>
      <c r="T195" s="295">
        <f>'CAR Mileage'!T216*CAR!$I$58</f>
        <v>28772.082790489469</v>
      </c>
      <c r="U195" s="295">
        <f>'CAR Mileage'!U216*CAR!$I$58</f>
        <v>28772.082790489469</v>
      </c>
      <c r="V195" s="295">
        <f>'CAR Mileage'!V216*CAR!$I$58</f>
        <v>28772.082790489469</v>
      </c>
      <c r="W195" s="295">
        <f>'CAR Mileage'!W216*CAR!$I$58</f>
        <v>28772.082790489469</v>
      </c>
      <c r="X195" s="295">
        <f>'CAR Mileage'!X216*CAR!$I$58</f>
        <v>28772.082790489469</v>
      </c>
      <c r="Y195" s="295">
        <f>'CAR Mileage'!Y216*CAR!$I$58</f>
        <v>28772.082790489469</v>
      </c>
      <c r="Z195" s="295">
        <f>'CAR Mileage'!Z216*CAR!$I$58</f>
        <v>28772.082790489469</v>
      </c>
      <c r="AA195" s="295">
        <f>'CAR Mileage'!AA216*CAR!$I$58</f>
        <v>28772.082790489469</v>
      </c>
      <c r="AB195" s="295">
        <f>'CAR Mileage'!AB216*CAR!$I$58</f>
        <v>28772.082790489469</v>
      </c>
      <c r="AC195" s="295">
        <f>'CAR Mileage'!AC216*CAR!$I$58</f>
        <v>28772.082790489469</v>
      </c>
      <c r="AD195" s="295">
        <f>'CAR Mileage'!AD216*CAR!$I$58</f>
        <v>28772.082790489469</v>
      </c>
      <c r="AE195" s="296">
        <f>'CAR Mileage'!AE216*CAR!$I$58</f>
        <v>28772.082790489469</v>
      </c>
      <c r="AG195" s="1711"/>
      <c r="AH195" s="116">
        <v>18</v>
      </c>
      <c r="AI195" s="294">
        <f>'CAR Passenger Kilometres'!C195*'CAR Stock'!C245</f>
        <v>7726686.397955155</v>
      </c>
      <c r="AJ195" s="295">
        <f>'CAR Passenger Kilometres'!D195*'CAR Stock'!D245</f>
        <v>6027531.8722008122</v>
      </c>
      <c r="AK195" s="295">
        <f>'CAR Passenger Kilometres'!E195*'CAR Stock'!E245</f>
        <v>5373752.8943490563</v>
      </c>
      <c r="AL195" s="295">
        <f>'CAR Passenger Kilometres'!F195*'CAR Stock'!F245</f>
        <v>1613747.1464669281</v>
      </c>
      <c r="AM195" s="295">
        <f>'CAR Passenger Kilometres'!G195*'CAR Stock'!G245</f>
        <v>1106064.4463351003</v>
      </c>
      <c r="AN195" s="295">
        <f>'CAR Passenger Kilometres'!H195*'CAR Stock'!H245</f>
        <v>1141978.4443816936</v>
      </c>
      <c r="AO195" s="295">
        <f>'CAR Passenger Kilometres'!I195*'CAR Stock'!I245</f>
        <v>1401092.8712173931</v>
      </c>
      <c r="AP195" s="295">
        <f>'CAR Passenger Kilometres'!J195*'CAR Stock'!J245</f>
        <v>1791426.390527786</v>
      </c>
      <c r="AQ195" s="295">
        <f>'CAR Passenger Kilometres'!K195*'CAR Stock'!K245</f>
        <v>2741625.1155752088</v>
      </c>
      <c r="AR195" s="295">
        <f>'CAR Passenger Kilometres'!L195*'CAR Stock'!L245</f>
        <v>2976373.7165331012</v>
      </c>
      <c r="AS195" s="295">
        <f>'CAR Passenger Kilometres'!M195*'CAR Stock'!M245</f>
        <v>3216182.3335239589</v>
      </c>
      <c r="AT195" s="295">
        <f>'CAR Passenger Kilometres'!N195*'CAR Stock'!N245</f>
        <v>3447858.7818904091</v>
      </c>
      <c r="AU195" s="295">
        <f>'CAR Passenger Kilometres'!O195*'CAR Stock'!O245</f>
        <v>3736098.9809110709</v>
      </c>
      <c r="AV195" s="295">
        <f>'CAR Passenger Kilometres'!P195*'CAR Stock'!P245</f>
        <v>4058132.8584376019</v>
      </c>
      <c r="AW195" s="295">
        <f>'CAR Passenger Kilometres'!Q195*'CAR Stock'!Q245</f>
        <v>5999733.2962294463</v>
      </c>
      <c r="AX195" s="295">
        <f>'CAR Passenger Kilometres'!R195*'CAR Stock'!R245</f>
        <v>2881498.4159150147</v>
      </c>
      <c r="AY195" s="295">
        <f>'CAR Passenger Kilometres'!S195*'CAR Stock'!S245</f>
        <v>4522750.7591787456</v>
      </c>
      <c r="AZ195" s="295">
        <f>'CAR Passenger Kilometres'!T195*'CAR Stock'!T245</f>
        <v>4569555.9074836671</v>
      </c>
      <c r="BA195" s="295">
        <f>'CAR Passenger Kilometres'!U195*'CAR Stock'!U245</f>
        <v>4242823.4436408114</v>
      </c>
      <c r="BB195" s="295">
        <f>'CAR Passenger Kilometres'!V195*'CAR Stock'!V245</f>
        <v>0</v>
      </c>
      <c r="BC195" s="295">
        <f>'CAR Passenger Kilometres'!W195*'CAR Stock'!W245</f>
        <v>0</v>
      </c>
      <c r="BD195" s="295">
        <f>'CAR Passenger Kilometres'!X195*'CAR Stock'!X245</f>
        <v>0</v>
      </c>
      <c r="BE195" s="295">
        <f>'CAR Passenger Kilometres'!Y195*'CAR Stock'!Y245</f>
        <v>0</v>
      </c>
      <c r="BF195" s="295">
        <f>'CAR Passenger Kilometres'!Z195*'CAR Stock'!Z245</f>
        <v>0</v>
      </c>
      <c r="BG195" s="295">
        <f>'CAR Passenger Kilometres'!AA195*'CAR Stock'!AA245</f>
        <v>0</v>
      </c>
      <c r="BH195" s="295">
        <f>'CAR Passenger Kilometres'!AB195*'CAR Stock'!AB245</f>
        <v>0</v>
      </c>
      <c r="BI195" s="295">
        <f>'CAR Passenger Kilometres'!AC195*'CAR Stock'!AC245</f>
        <v>0</v>
      </c>
      <c r="BJ195" s="295">
        <f>'CAR Passenger Kilometres'!AD195*'CAR Stock'!AD245</f>
        <v>0</v>
      </c>
      <c r="BK195" s="296">
        <f>'CAR Passenger Kilometres'!AE195*'CAR Stock'!AE245</f>
        <v>0</v>
      </c>
    </row>
    <row r="196" spans="1:63">
      <c r="A196" s="1711"/>
      <c r="B196" s="116">
        <v>19</v>
      </c>
      <c r="C196" s="294">
        <f>'CAR Mileage'!C217*CAR!$I$58</f>
        <v>28772.082790489469</v>
      </c>
      <c r="D196" s="295">
        <f>'CAR Mileage'!D217*CAR!$I$58</f>
        <v>28772.082790489469</v>
      </c>
      <c r="E196" s="295">
        <f>'CAR Mileage'!E217*CAR!$I$58</f>
        <v>28772.082790489469</v>
      </c>
      <c r="F196" s="295">
        <f>'CAR Mileage'!F217*CAR!$I$58</f>
        <v>28772.082790489469</v>
      </c>
      <c r="G196" s="295">
        <f>'CAR Mileage'!G217*CAR!$I$58</f>
        <v>28772.082790489469</v>
      </c>
      <c r="H196" s="295">
        <f>'CAR Mileage'!H217*CAR!$I$58</f>
        <v>28772.082790489469</v>
      </c>
      <c r="I196" s="295">
        <f>'CAR Mileage'!I217*CAR!$I$58</f>
        <v>28772.082790489469</v>
      </c>
      <c r="J196" s="295">
        <f>'CAR Mileage'!J217*CAR!$I$58</f>
        <v>28772.082790489469</v>
      </c>
      <c r="K196" s="295">
        <f>'CAR Mileage'!K217*CAR!$I$58</f>
        <v>28772.082790489469</v>
      </c>
      <c r="L196" s="295">
        <f>'CAR Mileage'!L217*CAR!$I$58</f>
        <v>28772.082790489469</v>
      </c>
      <c r="M196" s="295">
        <f>'CAR Mileage'!M217*CAR!$I$58</f>
        <v>28772.082790489469</v>
      </c>
      <c r="N196" s="295">
        <f>'CAR Mileage'!N217*CAR!$I$58</f>
        <v>28772.082790489469</v>
      </c>
      <c r="O196" s="295">
        <f>'CAR Mileage'!O217*CAR!$I$58</f>
        <v>28772.082790489469</v>
      </c>
      <c r="P196" s="295">
        <f>'CAR Mileage'!P217*CAR!$I$58</f>
        <v>28772.082790489469</v>
      </c>
      <c r="Q196" s="295">
        <f>'CAR Mileage'!Q217*CAR!$I$58</f>
        <v>28772.082790489469</v>
      </c>
      <c r="R196" s="295">
        <f>'CAR Mileage'!R217*CAR!$I$58</f>
        <v>28772.082790489469</v>
      </c>
      <c r="S196" s="295">
        <f>'CAR Mileage'!S217*CAR!$I$58</f>
        <v>28772.082790489469</v>
      </c>
      <c r="T196" s="295">
        <f>'CAR Mileage'!T217*CAR!$I$58</f>
        <v>28772.082790489469</v>
      </c>
      <c r="U196" s="295">
        <f>'CAR Mileage'!U217*CAR!$I$58</f>
        <v>28772.082790489469</v>
      </c>
      <c r="V196" s="295">
        <f>'CAR Mileage'!V217*CAR!$I$58</f>
        <v>28772.082790489469</v>
      </c>
      <c r="W196" s="295">
        <f>'CAR Mileage'!W217*CAR!$I$58</f>
        <v>28772.082790489469</v>
      </c>
      <c r="X196" s="295">
        <f>'CAR Mileage'!X217*CAR!$I$58</f>
        <v>28772.082790489469</v>
      </c>
      <c r="Y196" s="295">
        <f>'CAR Mileage'!Y217*CAR!$I$58</f>
        <v>28772.082790489469</v>
      </c>
      <c r="Z196" s="295">
        <f>'CAR Mileage'!Z217*CAR!$I$58</f>
        <v>28772.082790489469</v>
      </c>
      <c r="AA196" s="295">
        <f>'CAR Mileage'!AA217*CAR!$I$58</f>
        <v>28772.082790489469</v>
      </c>
      <c r="AB196" s="295">
        <f>'CAR Mileage'!AB217*CAR!$I$58</f>
        <v>28772.082790489469</v>
      </c>
      <c r="AC196" s="295">
        <f>'CAR Mileage'!AC217*CAR!$I$58</f>
        <v>28772.082790489469</v>
      </c>
      <c r="AD196" s="295">
        <f>'CAR Mileage'!AD217*CAR!$I$58</f>
        <v>28772.082790489469</v>
      </c>
      <c r="AE196" s="296">
        <f>'CAR Mileage'!AE217*CAR!$I$58</f>
        <v>28772.082790489469</v>
      </c>
      <c r="AG196" s="1711"/>
      <c r="AH196" s="116">
        <v>19</v>
      </c>
      <c r="AI196" s="294">
        <f>'CAR Passenger Kilometres'!C196*'CAR Stock'!C246</f>
        <v>2842489.0741867269</v>
      </c>
      <c r="AJ196" s="295">
        <f>'CAR Passenger Kilometres'!D196*'CAR Stock'!D246</f>
        <v>1900632.9058185357</v>
      </c>
      <c r="AK196" s="295">
        <f>'CAR Passenger Kilometres'!E196*'CAR Stock'!E246</f>
        <v>1482669.9088249134</v>
      </c>
      <c r="AL196" s="295">
        <f>'CAR Passenger Kilometres'!F196*'CAR Stock'!F246</f>
        <v>1321851.4448108564</v>
      </c>
      <c r="AM196" s="295">
        <f>'CAR Passenger Kilometres'!G196*'CAR Stock'!G246</f>
        <v>396954.24018470809</v>
      </c>
      <c r="AN196" s="295">
        <f>'CAR Passenger Kilometres'!H196*'CAR Stock'!H246</f>
        <v>272072.96561392717</v>
      </c>
      <c r="AO196" s="295">
        <f>'CAR Passenger Kilometres'!I196*'CAR Stock'!I246</f>
        <v>280907.19583257852</v>
      </c>
      <c r="AP196" s="295">
        <f>'CAR Passenger Kilometres'!J196*'CAR Stock'!J246</f>
        <v>344644.9199553763</v>
      </c>
      <c r="AQ196" s="295">
        <f>'CAR Passenger Kilometres'!K196*'CAR Stock'!K246</f>
        <v>440660.30000776512</v>
      </c>
      <c r="AR196" s="295">
        <f>'CAR Passenger Kilometres'!L196*'CAR Stock'!L246</f>
        <v>674392.95989284827</v>
      </c>
      <c r="AS196" s="295">
        <f>'CAR Passenger Kilometres'!M196*'CAR Stock'!M246</f>
        <v>732137.10694319487</v>
      </c>
      <c r="AT196" s="295">
        <f>'CAR Passenger Kilometres'!N196*'CAR Stock'!N246</f>
        <v>791125.93152811413</v>
      </c>
      <c r="AU196" s="295">
        <f>'CAR Passenger Kilometres'!O196*'CAR Stock'!O246</f>
        <v>848114.38150389888</v>
      </c>
      <c r="AV196" s="295">
        <f>'CAR Passenger Kilometres'!P196*'CAR Stock'!P246</f>
        <v>919016.5482054411</v>
      </c>
      <c r="AW196" s="295">
        <f>'CAR Passenger Kilometres'!Q196*'CAR Stock'!Q246</f>
        <v>998231.38272716338</v>
      </c>
      <c r="AX196" s="295">
        <f>'CAR Passenger Kilometres'!R196*'CAR Stock'!R246</f>
        <v>1475831.9338502779</v>
      </c>
      <c r="AY196" s="295">
        <f>'CAR Passenger Kilometres'!S196*'CAR Stock'!S246</f>
        <v>708799.40316996002</v>
      </c>
      <c r="AZ196" s="295">
        <f>'CAR Passenger Kilometres'!T196*'CAR Stock'!T246</f>
        <v>1112519.4520623765</v>
      </c>
      <c r="BA196" s="295">
        <f>'CAR Passenger Kilometres'!U196*'CAR Stock'!U246</f>
        <v>1124032.7192571724</v>
      </c>
      <c r="BB196" s="295">
        <f>'CAR Passenger Kilometres'!V196*'CAR Stock'!V246</f>
        <v>1043662.1127390609</v>
      </c>
      <c r="BC196" s="295">
        <f>'CAR Passenger Kilometres'!W196*'CAR Stock'!W246</f>
        <v>0</v>
      </c>
      <c r="BD196" s="295">
        <f>'CAR Passenger Kilometres'!X196*'CAR Stock'!X246</f>
        <v>0</v>
      </c>
      <c r="BE196" s="295">
        <f>'CAR Passenger Kilometres'!Y196*'CAR Stock'!Y246</f>
        <v>0</v>
      </c>
      <c r="BF196" s="295">
        <f>'CAR Passenger Kilometres'!Z196*'CAR Stock'!Z246</f>
        <v>0</v>
      </c>
      <c r="BG196" s="295">
        <f>'CAR Passenger Kilometres'!AA196*'CAR Stock'!AA246</f>
        <v>0</v>
      </c>
      <c r="BH196" s="295">
        <f>'CAR Passenger Kilometres'!AB196*'CAR Stock'!AB246</f>
        <v>0</v>
      </c>
      <c r="BI196" s="295">
        <f>'CAR Passenger Kilometres'!AC196*'CAR Stock'!AC246</f>
        <v>0</v>
      </c>
      <c r="BJ196" s="295">
        <f>'CAR Passenger Kilometres'!AD196*'CAR Stock'!AD246</f>
        <v>0</v>
      </c>
      <c r="BK196" s="296">
        <f>'CAR Passenger Kilometres'!AE196*'CAR Stock'!AE246</f>
        <v>0</v>
      </c>
    </row>
    <row r="197" spans="1:63">
      <c r="A197" s="1711"/>
      <c r="B197" s="116">
        <v>20</v>
      </c>
      <c r="C197" s="294">
        <f>'CAR Mileage'!C218*CAR!$I$58</f>
        <v>28772.082790489469</v>
      </c>
      <c r="D197" s="295">
        <f>'CAR Mileage'!D218*CAR!$I$58</f>
        <v>28772.082790489469</v>
      </c>
      <c r="E197" s="295">
        <f>'CAR Mileage'!E218*CAR!$I$58</f>
        <v>28772.082790489469</v>
      </c>
      <c r="F197" s="295">
        <f>'CAR Mileage'!F218*CAR!$I$58</f>
        <v>28772.082790489469</v>
      </c>
      <c r="G197" s="295">
        <f>'CAR Mileage'!G218*CAR!$I$58</f>
        <v>28772.082790489469</v>
      </c>
      <c r="H197" s="295">
        <f>'CAR Mileage'!H218*CAR!$I$58</f>
        <v>28772.082790489469</v>
      </c>
      <c r="I197" s="295">
        <f>'CAR Mileage'!I218*CAR!$I$58</f>
        <v>28772.082790489469</v>
      </c>
      <c r="J197" s="295">
        <f>'CAR Mileage'!J218*CAR!$I$58</f>
        <v>28772.082790489469</v>
      </c>
      <c r="K197" s="295">
        <f>'CAR Mileage'!K218*CAR!$I$58</f>
        <v>28772.082790489469</v>
      </c>
      <c r="L197" s="295">
        <f>'CAR Mileage'!L218*CAR!$I$58</f>
        <v>28772.082790489469</v>
      </c>
      <c r="M197" s="295">
        <f>'CAR Mileage'!M218*CAR!$I$58</f>
        <v>28772.082790489469</v>
      </c>
      <c r="N197" s="295">
        <f>'CAR Mileage'!N218*CAR!$I$58</f>
        <v>28772.082790489469</v>
      </c>
      <c r="O197" s="295">
        <f>'CAR Mileage'!O218*CAR!$I$58</f>
        <v>28772.082790489469</v>
      </c>
      <c r="P197" s="295">
        <f>'CAR Mileage'!P218*CAR!$I$58</f>
        <v>28772.082790489469</v>
      </c>
      <c r="Q197" s="295">
        <f>'CAR Mileage'!Q218*CAR!$I$58</f>
        <v>28772.082790489469</v>
      </c>
      <c r="R197" s="295">
        <f>'CAR Mileage'!R218*CAR!$I$58</f>
        <v>28772.082790489469</v>
      </c>
      <c r="S197" s="295">
        <f>'CAR Mileage'!S218*CAR!$I$58</f>
        <v>28772.082790489469</v>
      </c>
      <c r="T197" s="295">
        <f>'CAR Mileage'!T218*CAR!$I$58</f>
        <v>28772.082790489469</v>
      </c>
      <c r="U197" s="295">
        <f>'CAR Mileage'!U218*CAR!$I$58</f>
        <v>28772.082790489469</v>
      </c>
      <c r="V197" s="295">
        <f>'CAR Mileage'!V218*CAR!$I$58</f>
        <v>28772.082790489469</v>
      </c>
      <c r="W197" s="295">
        <f>'CAR Mileage'!W218*CAR!$I$58</f>
        <v>28772.082790489469</v>
      </c>
      <c r="X197" s="295">
        <f>'CAR Mileage'!X218*CAR!$I$58</f>
        <v>28772.082790489469</v>
      </c>
      <c r="Y197" s="295">
        <f>'CAR Mileage'!Y218*CAR!$I$58</f>
        <v>28772.082790489469</v>
      </c>
      <c r="Z197" s="295">
        <f>'CAR Mileage'!Z218*CAR!$I$58</f>
        <v>28772.082790489469</v>
      </c>
      <c r="AA197" s="295">
        <f>'CAR Mileage'!AA218*CAR!$I$58</f>
        <v>28772.082790489469</v>
      </c>
      <c r="AB197" s="295">
        <f>'CAR Mileage'!AB218*CAR!$I$58</f>
        <v>28772.082790489469</v>
      </c>
      <c r="AC197" s="295">
        <f>'CAR Mileage'!AC218*CAR!$I$58</f>
        <v>28772.082790489469</v>
      </c>
      <c r="AD197" s="295">
        <f>'CAR Mileage'!AD218*CAR!$I$58</f>
        <v>28772.082790489469</v>
      </c>
      <c r="AE197" s="296">
        <f>'CAR Mileage'!AE218*CAR!$I$58</f>
        <v>28772.082790489469</v>
      </c>
      <c r="AG197" s="1711"/>
      <c r="AH197" s="116">
        <v>20</v>
      </c>
      <c r="AI197" s="294">
        <f>'CAR Passenger Kilometres'!C197*'CAR Stock'!C247</f>
        <v>1045693.2921477437</v>
      </c>
      <c r="AJ197" s="295">
        <f>'CAR Passenger Kilometres'!D197*'CAR Stock'!D247</f>
        <v>582669.80938714789</v>
      </c>
      <c r="AK197" s="295">
        <f>'CAR Passenger Kilometres'!E197*'CAR Stock'!E247</f>
        <v>389602.69821444456</v>
      </c>
      <c r="AL197" s="295">
        <f>'CAR Passenger Kilometres'!F197*'CAR Stock'!F247</f>
        <v>303926.2317679259</v>
      </c>
      <c r="AM197" s="295">
        <f>'CAR Passenger Kilometres'!G197*'CAR Stock'!G247</f>
        <v>270960.73521634657</v>
      </c>
      <c r="AN197" s="295">
        <f>'CAR Passenger Kilometres'!H197*'CAR Stock'!H247</f>
        <v>81369.970271572645</v>
      </c>
      <c r="AO197" s="295">
        <f>'CAR Passenger Kilometres'!I197*'CAR Stock'!I247</f>
        <v>55771.086141824526</v>
      </c>
      <c r="AP197" s="295">
        <f>'CAR Passenger Kilometres'!J197*'CAR Stock'!J247</f>
        <v>57581.977618709629</v>
      </c>
      <c r="AQ197" s="295">
        <f>'CAR Passenger Kilometres'!K197*'CAR Stock'!K247</f>
        <v>70647.304026701851</v>
      </c>
      <c r="AR197" s="295">
        <f>'CAR Passenger Kilometres'!L197*'CAR Stock'!L247</f>
        <v>90329.090564216196</v>
      </c>
      <c r="AS197" s="295">
        <f>'CAR Passenger Kilometres'!M197*'CAR Stock'!M247</f>
        <v>138240.95964387411</v>
      </c>
      <c r="AT197" s="295">
        <f>'CAR Passenger Kilometres'!N197*'CAR Stock'!N247</f>
        <v>150077.68804525782</v>
      </c>
      <c r="AU197" s="295">
        <f>'CAR Passenger Kilometres'!O197*'CAR Stock'!O247</f>
        <v>162169.55762850356</v>
      </c>
      <c r="AV197" s="295">
        <f>'CAR Passenger Kilometres'!P197*'CAR Stock'!P247</f>
        <v>173851.37888375676</v>
      </c>
      <c r="AW197" s="295">
        <f>'CAR Passenger Kilometres'!Q197*'CAR Stock'!Q247</f>
        <v>188385.31406482458</v>
      </c>
      <c r="AX197" s="295">
        <f>'CAR Passenger Kilometres'!R197*'CAR Stock'!R247</f>
        <v>204623.22785332781</v>
      </c>
      <c r="AY197" s="295">
        <f>'CAR Passenger Kilometres'!S197*'CAR Stock'!S247</f>
        <v>302524.54420780583</v>
      </c>
      <c r="AZ197" s="295">
        <f>'CAR Passenger Kilometres'!T197*'CAR Stock'!T247</f>
        <v>145293.79088534522</v>
      </c>
      <c r="BA197" s="295">
        <f>'CAR Passenger Kilometres'!U197*'CAR Stock'!U247</f>
        <v>228050.65565929984</v>
      </c>
      <c r="BB197" s="295">
        <f>'CAR Passenger Kilometres'!V197*'CAR Stock'!V247</f>
        <v>230410.71159152337</v>
      </c>
      <c r="BC197" s="295">
        <f>'CAR Passenger Kilometres'!W197*'CAR Stock'!W247</f>
        <v>213935.88099129105</v>
      </c>
      <c r="BD197" s="295">
        <f>'CAR Passenger Kilometres'!X197*'CAR Stock'!X247</f>
        <v>0</v>
      </c>
      <c r="BE197" s="295">
        <f>'CAR Passenger Kilometres'!Y197*'CAR Stock'!Y247</f>
        <v>0</v>
      </c>
      <c r="BF197" s="295">
        <f>'CAR Passenger Kilometres'!Z197*'CAR Stock'!Z247</f>
        <v>0</v>
      </c>
      <c r="BG197" s="295">
        <f>'CAR Passenger Kilometres'!AA197*'CAR Stock'!AA247</f>
        <v>0</v>
      </c>
      <c r="BH197" s="295">
        <f>'CAR Passenger Kilometres'!AB197*'CAR Stock'!AB247</f>
        <v>0</v>
      </c>
      <c r="BI197" s="295">
        <f>'CAR Passenger Kilometres'!AC197*'CAR Stock'!AC247</f>
        <v>0</v>
      </c>
      <c r="BJ197" s="295">
        <f>'CAR Passenger Kilometres'!AD197*'CAR Stock'!AD247</f>
        <v>0</v>
      </c>
      <c r="BK197" s="296">
        <f>'CAR Passenger Kilometres'!AE197*'CAR Stock'!AE247</f>
        <v>0</v>
      </c>
    </row>
    <row r="198" spans="1:63">
      <c r="A198" s="1711"/>
      <c r="B198" s="116">
        <v>21</v>
      </c>
      <c r="C198" s="294">
        <f>'CAR Mileage'!C219*CAR!$I$58</f>
        <v>28772.082790489469</v>
      </c>
      <c r="D198" s="295">
        <f>'CAR Mileage'!D219*CAR!$I$58</f>
        <v>28772.082790489469</v>
      </c>
      <c r="E198" s="295">
        <f>'CAR Mileage'!E219*CAR!$I$58</f>
        <v>28772.082790489469</v>
      </c>
      <c r="F198" s="295">
        <f>'CAR Mileage'!F219*CAR!$I$58</f>
        <v>28772.082790489469</v>
      </c>
      <c r="G198" s="295">
        <f>'CAR Mileage'!G219*CAR!$I$58</f>
        <v>28772.082790489469</v>
      </c>
      <c r="H198" s="295">
        <f>'CAR Mileage'!H219*CAR!$I$58</f>
        <v>28772.082790489469</v>
      </c>
      <c r="I198" s="295">
        <f>'CAR Mileage'!I219*CAR!$I$58</f>
        <v>28772.082790489469</v>
      </c>
      <c r="J198" s="295">
        <f>'CAR Mileage'!J219*CAR!$I$58</f>
        <v>28772.082790489469</v>
      </c>
      <c r="K198" s="295">
        <f>'CAR Mileage'!K219*CAR!$I$58</f>
        <v>28772.082790489469</v>
      </c>
      <c r="L198" s="295">
        <f>'CAR Mileage'!L219*CAR!$I$58</f>
        <v>28772.082790489469</v>
      </c>
      <c r="M198" s="295">
        <f>'CAR Mileage'!M219*CAR!$I$58</f>
        <v>28772.082790489469</v>
      </c>
      <c r="N198" s="295">
        <f>'CAR Mileage'!N219*CAR!$I$58</f>
        <v>28772.082790489469</v>
      </c>
      <c r="O198" s="295">
        <f>'CAR Mileage'!O219*CAR!$I$58</f>
        <v>28772.082790489469</v>
      </c>
      <c r="P198" s="295">
        <f>'CAR Mileage'!P219*CAR!$I$58</f>
        <v>28772.082790489469</v>
      </c>
      <c r="Q198" s="295">
        <f>'CAR Mileage'!Q219*CAR!$I$58</f>
        <v>28772.082790489469</v>
      </c>
      <c r="R198" s="295">
        <f>'CAR Mileage'!R219*CAR!$I$58</f>
        <v>28772.082790489469</v>
      </c>
      <c r="S198" s="295">
        <f>'CAR Mileage'!S219*CAR!$I$58</f>
        <v>28772.082790489469</v>
      </c>
      <c r="T198" s="295">
        <f>'CAR Mileage'!T219*CAR!$I$58</f>
        <v>28772.082790489469</v>
      </c>
      <c r="U198" s="295">
        <f>'CAR Mileage'!U219*CAR!$I$58</f>
        <v>28772.082790489469</v>
      </c>
      <c r="V198" s="295">
        <f>'CAR Mileage'!V219*CAR!$I$58</f>
        <v>28772.082790489469</v>
      </c>
      <c r="W198" s="295">
        <f>'CAR Mileage'!W219*CAR!$I$58</f>
        <v>28772.082790489469</v>
      </c>
      <c r="X198" s="295">
        <f>'CAR Mileage'!X219*CAR!$I$58</f>
        <v>28772.082790489469</v>
      </c>
      <c r="Y198" s="295">
        <f>'CAR Mileage'!Y219*CAR!$I$58</f>
        <v>28772.082790489469</v>
      </c>
      <c r="Z198" s="295">
        <f>'CAR Mileage'!Z219*CAR!$I$58</f>
        <v>28772.082790489469</v>
      </c>
      <c r="AA198" s="295">
        <f>'CAR Mileage'!AA219*CAR!$I$58</f>
        <v>28772.082790489469</v>
      </c>
      <c r="AB198" s="295">
        <f>'CAR Mileage'!AB219*CAR!$I$58</f>
        <v>28772.082790489469</v>
      </c>
      <c r="AC198" s="295">
        <f>'CAR Mileage'!AC219*CAR!$I$58</f>
        <v>28772.082790489469</v>
      </c>
      <c r="AD198" s="295">
        <f>'CAR Mileage'!AD219*CAR!$I$58</f>
        <v>28772.082790489469</v>
      </c>
      <c r="AE198" s="296">
        <f>'CAR Mileage'!AE219*CAR!$I$58</f>
        <v>28772.082790489469</v>
      </c>
      <c r="AG198" s="1711"/>
      <c r="AH198" s="116">
        <v>21</v>
      </c>
      <c r="AI198" s="294">
        <f>'CAR Passenger Kilometres'!C198*'CAR Stock'!C248</f>
        <v>384689.06395203777</v>
      </c>
      <c r="AJ198" s="295">
        <f>'CAR Passenger Kilometres'!D198*'CAR Stock'!D248</f>
        <v>171481.79509185185</v>
      </c>
      <c r="AK198" s="295">
        <f>'CAR Passenger Kilometres'!E198*'CAR Stock'!E248</f>
        <v>95551.21526534397</v>
      </c>
      <c r="AL198" s="295">
        <f>'CAR Passenger Kilometres'!F198*'CAR Stock'!F248</f>
        <v>63890.407028643895</v>
      </c>
      <c r="AM198" s="295">
        <f>'CAR Passenger Kilometres'!G198*'CAR Stock'!G248</f>
        <v>49840.441925396357</v>
      </c>
      <c r="AN198" s="295">
        <f>'CAR Passenger Kilometres'!H198*'CAR Stock'!H248</f>
        <v>44434.475790576413</v>
      </c>
      <c r="AO198" s="295">
        <f>'CAR Passenger Kilometres'!I198*'CAR Stock'!I248</f>
        <v>13343.748758377273</v>
      </c>
      <c r="AP198" s="295">
        <f>'CAR Passenger Kilometres'!J198*'CAR Stock'!J248</f>
        <v>9145.8231946572869</v>
      </c>
      <c r="AQ198" s="295">
        <f>'CAR Passenger Kilometres'!K198*'CAR Stock'!K248</f>
        <v>9442.7887805557912</v>
      </c>
      <c r="AR198" s="295">
        <f>'CAR Passenger Kilometres'!L198*'CAR Stock'!L248</f>
        <v>11585.353567695052</v>
      </c>
      <c r="AS198" s="295">
        <f>'CAR Passenger Kilometres'!M198*'CAR Stock'!M248</f>
        <v>14812.942490194087</v>
      </c>
      <c r="AT198" s="295">
        <f>'CAR Passenger Kilometres'!N198*'CAR Stock'!N248</f>
        <v>22669.943560852873</v>
      </c>
      <c r="AU198" s="295">
        <f>'CAR Passenger Kilometres'!O198*'CAR Stock'!O248</f>
        <v>24611.032262029315</v>
      </c>
      <c r="AV198" s="295">
        <f>'CAR Passenger Kilometres'!P198*'CAR Stock'!P248</f>
        <v>26593.961212345825</v>
      </c>
      <c r="AW198" s="295">
        <f>'CAR Passenger Kilometres'!Q198*'CAR Stock'!Q248</f>
        <v>28509.646905115806</v>
      </c>
      <c r="AX198" s="295">
        <f>'CAR Passenger Kilometres'!R198*'CAR Stock'!R248</f>
        <v>30893.046811487198</v>
      </c>
      <c r="AY198" s="295">
        <f>'CAR Passenger Kilometres'!S198*'CAR Stock'!S248</f>
        <v>33555.879810329709</v>
      </c>
      <c r="AZ198" s="295">
        <f>'CAR Passenger Kilometres'!T198*'CAR Stock'!T248</f>
        <v>49610.581123216369</v>
      </c>
      <c r="BA198" s="295">
        <f>'CAR Passenger Kilometres'!U198*'CAR Stock'!U248</f>
        <v>23826.527590653153</v>
      </c>
      <c r="BB198" s="295">
        <f>'CAR Passenger Kilometres'!V198*'CAR Stock'!V248</f>
        <v>37397.71125815469</v>
      </c>
      <c r="BC198" s="295">
        <f>'CAR Passenger Kilometres'!W198*'CAR Stock'!W248</f>
        <v>37784.733562700261</v>
      </c>
      <c r="BD198" s="295">
        <f>'CAR Passenger Kilometres'!X198*'CAR Stock'!X248</f>
        <v>35083.048903941977</v>
      </c>
      <c r="BE198" s="295">
        <f>'CAR Passenger Kilometres'!Y198*'CAR Stock'!Y248</f>
        <v>0</v>
      </c>
      <c r="BF198" s="295">
        <f>'CAR Passenger Kilometres'!Z198*'CAR Stock'!Z248</f>
        <v>0</v>
      </c>
      <c r="BG198" s="295">
        <f>'CAR Passenger Kilometres'!AA198*'CAR Stock'!AA248</f>
        <v>0</v>
      </c>
      <c r="BH198" s="295">
        <f>'CAR Passenger Kilometres'!AB198*'CAR Stock'!AB248</f>
        <v>0</v>
      </c>
      <c r="BI198" s="295">
        <f>'CAR Passenger Kilometres'!AC198*'CAR Stock'!AC248</f>
        <v>0</v>
      </c>
      <c r="BJ198" s="295">
        <f>'CAR Passenger Kilometres'!AD198*'CAR Stock'!AD248</f>
        <v>0</v>
      </c>
      <c r="BK198" s="296">
        <f>'CAR Passenger Kilometres'!AE198*'CAR Stock'!AE248</f>
        <v>0</v>
      </c>
    </row>
    <row r="199" spans="1:63">
      <c r="A199" s="1711"/>
      <c r="B199" s="116">
        <v>22</v>
      </c>
      <c r="C199" s="294">
        <f>'CAR Mileage'!C220*CAR!$I$58</f>
        <v>28772.082790489469</v>
      </c>
      <c r="D199" s="295">
        <f>'CAR Mileage'!D220*CAR!$I$58</f>
        <v>28772.082790489469</v>
      </c>
      <c r="E199" s="295">
        <f>'CAR Mileage'!E220*CAR!$I$58</f>
        <v>28772.082790489469</v>
      </c>
      <c r="F199" s="295">
        <f>'CAR Mileage'!F220*CAR!$I$58</f>
        <v>28772.082790489469</v>
      </c>
      <c r="G199" s="295">
        <f>'CAR Mileage'!G220*CAR!$I$58</f>
        <v>28772.082790489469</v>
      </c>
      <c r="H199" s="295">
        <f>'CAR Mileage'!H220*CAR!$I$58</f>
        <v>28772.082790489469</v>
      </c>
      <c r="I199" s="295">
        <f>'CAR Mileage'!I220*CAR!$I$58</f>
        <v>28772.082790489469</v>
      </c>
      <c r="J199" s="295">
        <f>'CAR Mileage'!J220*CAR!$I$58</f>
        <v>28772.082790489469</v>
      </c>
      <c r="K199" s="295">
        <f>'CAR Mileage'!K220*CAR!$I$58</f>
        <v>28772.082790489469</v>
      </c>
      <c r="L199" s="295">
        <f>'CAR Mileage'!L220*CAR!$I$58</f>
        <v>28772.082790489469</v>
      </c>
      <c r="M199" s="295">
        <f>'CAR Mileage'!M220*CAR!$I$58</f>
        <v>28772.082790489469</v>
      </c>
      <c r="N199" s="295">
        <f>'CAR Mileage'!N220*CAR!$I$58</f>
        <v>28772.082790489469</v>
      </c>
      <c r="O199" s="295">
        <f>'CAR Mileage'!O220*CAR!$I$58</f>
        <v>28772.082790489469</v>
      </c>
      <c r="P199" s="295">
        <f>'CAR Mileage'!P220*CAR!$I$58</f>
        <v>28772.082790489469</v>
      </c>
      <c r="Q199" s="295">
        <f>'CAR Mileage'!Q220*CAR!$I$58</f>
        <v>28772.082790489469</v>
      </c>
      <c r="R199" s="295">
        <f>'CAR Mileage'!R220*CAR!$I$58</f>
        <v>28772.082790489469</v>
      </c>
      <c r="S199" s="295">
        <f>'CAR Mileage'!S220*CAR!$I$58</f>
        <v>28772.082790489469</v>
      </c>
      <c r="T199" s="295">
        <f>'CAR Mileage'!T220*CAR!$I$58</f>
        <v>28772.082790489469</v>
      </c>
      <c r="U199" s="295">
        <f>'CAR Mileage'!U220*CAR!$I$58</f>
        <v>28772.082790489469</v>
      </c>
      <c r="V199" s="295">
        <f>'CAR Mileage'!V220*CAR!$I$58</f>
        <v>28772.082790489469</v>
      </c>
      <c r="W199" s="295">
        <f>'CAR Mileage'!W220*CAR!$I$58</f>
        <v>28772.082790489469</v>
      </c>
      <c r="X199" s="295">
        <f>'CAR Mileage'!X220*CAR!$I$58</f>
        <v>28772.082790489469</v>
      </c>
      <c r="Y199" s="295">
        <f>'CAR Mileage'!Y220*CAR!$I$58</f>
        <v>28772.082790489469</v>
      </c>
      <c r="Z199" s="295">
        <f>'CAR Mileage'!Z220*CAR!$I$58</f>
        <v>28772.082790489469</v>
      </c>
      <c r="AA199" s="295">
        <f>'CAR Mileage'!AA220*CAR!$I$58</f>
        <v>28772.082790489469</v>
      </c>
      <c r="AB199" s="295">
        <f>'CAR Mileage'!AB220*CAR!$I$58</f>
        <v>28772.082790489469</v>
      </c>
      <c r="AC199" s="295">
        <f>'CAR Mileage'!AC220*CAR!$I$58</f>
        <v>28772.082790489469</v>
      </c>
      <c r="AD199" s="295">
        <f>'CAR Mileage'!AD220*CAR!$I$58</f>
        <v>28772.082790489469</v>
      </c>
      <c r="AE199" s="296">
        <f>'CAR Mileage'!AE220*CAR!$I$58</f>
        <v>28772.082790489469</v>
      </c>
      <c r="AG199" s="1711"/>
      <c r="AH199" s="116">
        <v>22</v>
      </c>
      <c r="AI199" s="294">
        <f>'CAR Passenger Kilometres'!C199*'CAR Stock'!C249</f>
        <v>141519.19787144088</v>
      </c>
      <c r="AJ199" s="295">
        <f>'CAR Passenger Kilometres'!D199*'CAR Stock'!D249</f>
        <v>47313.470212099681</v>
      </c>
      <c r="AK199" s="295">
        <f>'CAR Passenger Kilometres'!E199*'CAR Stock'!E249</f>
        <v>21090.796605040159</v>
      </c>
      <c r="AL199" s="295">
        <f>'CAR Passenger Kilometres'!F199*'CAR Stock'!F249</f>
        <v>11751.983616956753</v>
      </c>
      <c r="AM199" s="295">
        <f>'CAR Passenger Kilometres'!G199*'CAR Stock'!G249</f>
        <v>7857.9745385367987</v>
      </c>
      <c r="AN199" s="295">
        <f>'CAR Passenger Kilometres'!H199*'CAR Stock'!H249</f>
        <v>6129.9487959687121</v>
      </c>
      <c r="AO199" s="295">
        <f>'CAR Passenger Kilometres'!I199*'CAR Stock'!I249</f>
        <v>5465.0611200369822</v>
      </c>
      <c r="AP199" s="295">
        <f>'CAR Passenger Kilometres'!J199*'CAR Stock'!J249</f>
        <v>1641.1671621523903</v>
      </c>
      <c r="AQ199" s="295">
        <f>'CAR Passenger Kilometres'!K199*'CAR Stock'!K249</f>
        <v>1124.8581616541578</v>
      </c>
      <c r="AR199" s="295">
        <f>'CAR Passenger Kilometres'!L199*'CAR Stock'!L249</f>
        <v>1161.3823930894953</v>
      </c>
      <c r="AS199" s="295">
        <f>'CAR Passenger Kilometres'!M199*'CAR Stock'!M249</f>
        <v>1424.8995676937777</v>
      </c>
      <c r="AT199" s="295">
        <f>'CAR Passenger Kilometres'!N199*'CAR Stock'!N249</f>
        <v>1821.8654465070117</v>
      </c>
      <c r="AU199" s="295">
        <f>'CAR Passenger Kilometres'!O199*'CAR Stock'!O249</f>
        <v>2788.2094914715908</v>
      </c>
      <c r="AV199" s="295">
        <f>'CAR Passenger Kilometres'!P199*'CAR Stock'!P249</f>
        <v>3026.9468277988985</v>
      </c>
      <c r="AW199" s="295">
        <f>'CAR Passenger Kilometres'!Q199*'CAR Stock'!Q249</f>
        <v>3270.8301575189435</v>
      </c>
      <c r="AX199" s="295">
        <f>'CAR Passenger Kilometres'!R199*'CAR Stock'!R249</f>
        <v>3506.4431407149473</v>
      </c>
      <c r="AY199" s="295">
        <f>'CAR Passenger Kilometres'!S199*'CAR Stock'!S249</f>
        <v>3799.5809786226137</v>
      </c>
      <c r="AZ199" s="295">
        <f>'CAR Passenger Kilometres'!T199*'CAR Stock'!T249</f>
        <v>4127.0867009746244</v>
      </c>
      <c r="BA199" s="295">
        <f>'CAR Passenger Kilometres'!U199*'CAR Stock'!U249</f>
        <v>6101.6778799589238</v>
      </c>
      <c r="BB199" s="295">
        <f>'CAR Passenger Kilometres'!V199*'CAR Stock'!V249</f>
        <v>2930.4594516850902</v>
      </c>
      <c r="BC199" s="295">
        <f>'CAR Passenger Kilometres'!W199*'CAR Stock'!W249</f>
        <v>4599.5991657148179</v>
      </c>
      <c r="BD199" s="295">
        <f>'CAR Passenger Kilometres'!X199*'CAR Stock'!X249</f>
        <v>4647.1996045976293</v>
      </c>
      <c r="BE199" s="295">
        <f>'CAR Passenger Kilometres'!Y199*'CAR Stock'!Y249</f>
        <v>4314.9154598095047</v>
      </c>
      <c r="BF199" s="295">
        <f>'CAR Passenger Kilometres'!Z199*'CAR Stock'!Z249</f>
        <v>0</v>
      </c>
      <c r="BG199" s="295">
        <f>'CAR Passenger Kilometres'!AA199*'CAR Stock'!AA249</f>
        <v>0</v>
      </c>
      <c r="BH199" s="295">
        <f>'CAR Passenger Kilometres'!AB199*'CAR Stock'!AB249</f>
        <v>0</v>
      </c>
      <c r="BI199" s="295">
        <f>'CAR Passenger Kilometres'!AC199*'CAR Stock'!AC249</f>
        <v>0</v>
      </c>
      <c r="BJ199" s="295">
        <f>'CAR Passenger Kilometres'!AD199*'CAR Stock'!AD249</f>
        <v>0</v>
      </c>
      <c r="BK199" s="296">
        <f>'CAR Passenger Kilometres'!AE199*'CAR Stock'!AE249</f>
        <v>0</v>
      </c>
    </row>
    <row r="200" spans="1:63">
      <c r="A200" s="1711"/>
      <c r="B200" s="116">
        <v>23</v>
      </c>
      <c r="C200" s="294">
        <f>'CAR Mileage'!C221*CAR!$I$58</f>
        <v>28772.082790489469</v>
      </c>
      <c r="D200" s="295">
        <f>'CAR Mileage'!D221*CAR!$I$58</f>
        <v>28772.082790489469</v>
      </c>
      <c r="E200" s="295">
        <f>'CAR Mileage'!E221*CAR!$I$58</f>
        <v>28772.082790489469</v>
      </c>
      <c r="F200" s="295">
        <f>'CAR Mileage'!F221*CAR!$I$58</f>
        <v>28772.082790489469</v>
      </c>
      <c r="G200" s="295">
        <f>'CAR Mileage'!G221*CAR!$I$58</f>
        <v>28772.082790489469</v>
      </c>
      <c r="H200" s="295">
        <f>'CAR Mileage'!H221*CAR!$I$58</f>
        <v>28772.082790489469</v>
      </c>
      <c r="I200" s="295">
        <f>'CAR Mileage'!I221*CAR!$I$58</f>
        <v>28772.082790489469</v>
      </c>
      <c r="J200" s="295">
        <f>'CAR Mileage'!J221*CAR!$I$58</f>
        <v>28772.082790489469</v>
      </c>
      <c r="K200" s="295">
        <f>'CAR Mileage'!K221*CAR!$I$58</f>
        <v>28772.082790489469</v>
      </c>
      <c r="L200" s="295">
        <f>'CAR Mileage'!L221*CAR!$I$58</f>
        <v>28772.082790489469</v>
      </c>
      <c r="M200" s="295">
        <f>'CAR Mileage'!M221*CAR!$I$58</f>
        <v>28772.082790489469</v>
      </c>
      <c r="N200" s="295">
        <f>'CAR Mileage'!N221*CAR!$I$58</f>
        <v>28772.082790489469</v>
      </c>
      <c r="O200" s="295">
        <f>'CAR Mileage'!O221*CAR!$I$58</f>
        <v>28772.082790489469</v>
      </c>
      <c r="P200" s="295">
        <f>'CAR Mileage'!P221*CAR!$I$58</f>
        <v>28772.082790489469</v>
      </c>
      <c r="Q200" s="295">
        <f>'CAR Mileage'!Q221*CAR!$I$58</f>
        <v>28772.082790489469</v>
      </c>
      <c r="R200" s="295">
        <f>'CAR Mileage'!R221*CAR!$I$58</f>
        <v>28772.082790489469</v>
      </c>
      <c r="S200" s="295">
        <f>'CAR Mileage'!S221*CAR!$I$58</f>
        <v>28772.082790489469</v>
      </c>
      <c r="T200" s="295">
        <f>'CAR Mileage'!T221*CAR!$I$58</f>
        <v>28772.082790489469</v>
      </c>
      <c r="U200" s="295">
        <f>'CAR Mileage'!U221*CAR!$I$58</f>
        <v>28772.082790489469</v>
      </c>
      <c r="V200" s="295">
        <f>'CAR Mileage'!V221*CAR!$I$58</f>
        <v>28772.082790489469</v>
      </c>
      <c r="W200" s="295">
        <f>'CAR Mileage'!W221*CAR!$I$58</f>
        <v>28772.082790489469</v>
      </c>
      <c r="X200" s="295">
        <f>'CAR Mileage'!X221*CAR!$I$58</f>
        <v>28772.082790489469</v>
      </c>
      <c r="Y200" s="295">
        <f>'CAR Mileage'!Y221*CAR!$I$58</f>
        <v>28772.082790489469</v>
      </c>
      <c r="Z200" s="295">
        <f>'CAR Mileage'!Z221*CAR!$I$58</f>
        <v>28772.082790489469</v>
      </c>
      <c r="AA200" s="295">
        <f>'CAR Mileage'!AA221*CAR!$I$58</f>
        <v>28772.082790489469</v>
      </c>
      <c r="AB200" s="295">
        <f>'CAR Mileage'!AB221*CAR!$I$58</f>
        <v>28772.082790489469</v>
      </c>
      <c r="AC200" s="295">
        <f>'CAR Mileage'!AC221*CAR!$I$58</f>
        <v>28772.082790489469</v>
      </c>
      <c r="AD200" s="295">
        <f>'CAR Mileage'!AD221*CAR!$I$58</f>
        <v>28772.082790489469</v>
      </c>
      <c r="AE200" s="296">
        <f>'CAR Mileage'!AE221*CAR!$I$58</f>
        <v>28772.082790489469</v>
      </c>
      <c r="AG200" s="1711"/>
      <c r="AH200" s="116">
        <v>23</v>
      </c>
      <c r="AI200" s="294">
        <f>'CAR Passenger Kilometres'!C200*'CAR Stock'!C250</f>
        <v>52062.003427976444</v>
      </c>
      <c r="AJ200" s="295">
        <f>'CAR Passenger Kilometres'!D200*'CAR Stock'!D250</f>
        <v>11603.768654339274</v>
      </c>
      <c r="AK200" s="295">
        <f>'CAR Passenger Kilometres'!E200*'CAR Stock'!E250</f>
        <v>3879.4352344613635</v>
      </c>
      <c r="AL200" s="295">
        <f>'CAR Passenger Kilometres'!F200*'CAR Stock'!F250</f>
        <v>1729.3252662647985</v>
      </c>
      <c r="AM200" s="295">
        <f>'CAR Passenger Kilometres'!G200*'CAR Stock'!G250</f>
        <v>963.59576065878014</v>
      </c>
      <c r="AN200" s="295">
        <f>'CAR Passenger Kilometres'!H200*'CAR Stock'!H250</f>
        <v>644.30918213443567</v>
      </c>
      <c r="AO200" s="295">
        <f>'CAR Passenger Kilometres'!I200*'CAR Stock'!I250</f>
        <v>502.62090770174541</v>
      </c>
      <c r="AP200" s="295">
        <f>'CAR Passenger Kilometres'!J200*'CAR Stock'!J250</f>
        <v>448.10390302198624</v>
      </c>
      <c r="AQ200" s="295">
        <f>'CAR Passenger Kilometres'!K200*'CAR Stock'!K250</f>
        <v>134.5663652645529</v>
      </c>
      <c r="AR200" s="295">
        <f>'CAR Passenger Kilometres'!L200*'CAR Stock'!L250</f>
        <v>92.231966214488281</v>
      </c>
      <c r="AS200" s="295">
        <f>'CAR Passenger Kilometres'!M200*'CAR Stock'!M250</f>
        <v>95.226745284944926</v>
      </c>
      <c r="AT200" s="295">
        <f>'CAR Passenger Kilometres'!N200*'CAR Stock'!N250</f>
        <v>116.833653581097</v>
      </c>
      <c r="AU200" s="295">
        <f>'CAR Passenger Kilometres'!O200*'CAR Stock'!O250</f>
        <v>149.38259599101448</v>
      </c>
      <c r="AV200" s="295">
        <f>'CAR Passenger Kilometres'!P200*'CAR Stock'!P250</f>
        <v>228.61730694841935</v>
      </c>
      <c r="AW200" s="295">
        <f>'CAR Passenger Kilometres'!Q200*'CAR Stock'!Q250</f>
        <v>248.19240956037612</v>
      </c>
      <c r="AX200" s="295">
        <f>'CAR Passenger Kilometres'!R200*'CAR Stock'!R250</f>
        <v>268.18945433794863</v>
      </c>
      <c r="AY200" s="295">
        <f>'CAR Passenger Kilometres'!S200*'CAR Stock'!S250</f>
        <v>287.50837777792447</v>
      </c>
      <c r="AZ200" s="295">
        <f>'CAR Passenger Kilometres'!T200*'CAR Stock'!T250</f>
        <v>311.54401185496158</v>
      </c>
      <c r="BA200" s="295">
        <f>'CAR Passenger Kilometres'!U200*'CAR Stock'!U250</f>
        <v>338.39761682378906</v>
      </c>
      <c r="BB200" s="295">
        <f>'CAR Passenger Kilometres'!V200*'CAR Stock'!V250</f>
        <v>500.30285351575532</v>
      </c>
      <c r="BC200" s="295">
        <f>'CAR Passenger Kilometres'!W200*'CAR Stock'!W250</f>
        <v>240.28099395508181</v>
      </c>
      <c r="BD200" s="295">
        <f>'CAR Passenger Kilometres'!X200*'CAR Stock'!X250</f>
        <v>377.14094924514478</v>
      </c>
      <c r="BE200" s="295">
        <f>'CAR Passenger Kilometres'!Y200*'CAR Stock'!Y250</f>
        <v>381.04391427708993</v>
      </c>
      <c r="BF200" s="295">
        <f>'CAR Passenger Kilometres'!Z200*'CAR Stock'!Z250</f>
        <v>353.79850586876205</v>
      </c>
      <c r="BG200" s="295">
        <f>'CAR Passenger Kilometres'!AA200*'CAR Stock'!AA250</f>
        <v>0</v>
      </c>
      <c r="BH200" s="295">
        <f>'CAR Passenger Kilometres'!AB200*'CAR Stock'!AB250</f>
        <v>0</v>
      </c>
      <c r="BI200" s="295">
        <f>'CAR Passenger Kilometres'!AC200*'CAR Stock'!AC250</f>
        <v>0</v>
      </c>
      <c r="BJ200" s="295">
        <f>'CAR Passenger Kilometres'!AD200*'CAR Stock'!AD250</f>
        <v>0</v>
      </c>
      <c r="BK200" s="296">
        <f>'CAR Passenger Kilometres'!AE200*'CAR Stock'!AE250</f>
        <v>0</v>
      </c>
    </row>
    <row r="201" spans="1:63">
      <c r="A201" s="1711"/>
      <c r="B201" s="116">
        <v>24</v>
      </c>
      <c r="C201" s="294">
        <f>'CAR Mileage'!C222*CAR!$I$58</f>
        <v>28772.082790489469</v>
      </c>
      <c r="D201" s="295">
        <f>'CAR Mileage'!D222*CAR!$I$58</f>
        <v>28772.082790489469</v>
      </c>
      <c r="E201" s="295">
        <f>'CAR Mileage'!E222*CAR!$I$58</f>
        <v>28772.082790489469</v>
      </c>
      <c r="F201" s="295">
        <f>'CAR Mileage'!F222*CAR!$I$58</f>
        <v>28772.082790489469</v>
      </c>
      <c r="G201" s="295">
        <f>'CAR Mileage'!G222*CAR!$I$58</f>
        <v>28772.082790489469</v>
      </c>
      <c r="H201" s="295">
        <f>'CAR Mileage'!H222*CAR!$I$58</f>
        <v>28772.082790489469</v>
      </c>
      <c r="I201" s="295">
        <f>'CAR Mileage'!I222*CAR!$I$58</f>
        <v>28772.082790489469</v>
      </c>
      <c r="J201" s="295">
        <f>'CAR Mileage'!J222*CAR!$I$58</f>
        <v>28772.082790489469</v>
      </c>
      <c r="K201" s="295">
        <f>'CAR Mileage'!K222*CAR!$I$58</f>
        <v>28772.082790489469</v>
      </c>
      <c r="L201" s="295">
        <f>'CAR Mileage'!L222*CAR!$I$58</f>
        <v>28772.082790489469</v>
      </c>
      <c r="M201" s="295">
        <f>'CAR Mileage'!M222*CAR!$I$58</f>
        <v>28772.082790489469</v>
      </c>
      <c r="N201" s="295">
        <f>'CAR Mileage'!N222*CAR!$I$58</f>
        <v>28772.082790489469</v>
      </c>
      <c r="O201" s="295">
        <f>'CAR Mileage'!O222*CAR!$I$58</f>
        <v>28772.082790489469</v>
      </c>
      <c r="P201" s="295">
        <f>'CAR Mileage'!P222*CAR!$I$58</f>
        <v>28772.082790489469</v>
      </c>
      <c r="Q201" s="295">
        <f>'CAR Mileage'!Q222*CAR!$I$58</f>
        <v>28772.082790489469</v>
      </c>
      <c r="R201" s="295">
        <f>'CAR Mileage'!R222*CAR!$I$58</f>
        <v>28772.082790489469</v>
      </c>
      <c r="S201" s="295">
        <f>'CAR Mileage'!S222*CAR!$I$58</f>
        <v>28772.082790489469</v>
      </c>
      <c r="T201" s="295">
        <f>'CAR Mileage'!T222*CAR!$I$58</f>
        <v>28772.082790489469</v>
      </c>
      <c r="U201" s="295">
        <f>'CAR Mileage'!U222*CAR!$I$58</f>
        <v>28772.082790489469</v>
      </c>
      <c r="V201" s="295">
        <f>'CAR Mileage'!V222*CAR!$I$58</f>
        <v>28772.082790489469</v>
      </c>
      <c r="W201" s="295">
        <f>'CAR Mileage'!W222*CAR!$I$58</f>
        <v>28772.082790489469</v>
      </c>
      <c r="X201" s="295">
        <f>'CAR Mileage'!X222*CAR!$I$58</f>
        <v>28772.082790489469</v>
      </c>
      <c r="Y201" s="295">
        <f>'CAR Mileage'!Y222*CAR!$I$58</f>
        <v>28772.082790489469</v>
      </c>
      <c r="Z201" s="295">
        <f>'CAR Mileage'!Z222*CAR!$I$58</f>
        <v>28772.082790489469</v>
      </c>
      <c r="AA201" s="295">
        <f>'CAR Mileage'!AA222*CAR!$I$58</f>
        <v>28772.082790489469</v>
      </c>
      <c r="AB201" s="295">
        <f>'CAR Mileage'!AB222*CAR!$I$58</f>
        <v>28772.082790489469</v>
      </c>
      <c r="AC201" s="295">
        <f>'CAR Mileage'!AC222*CAR!$I$58</f>
        <v>28772.082790489469</v>
      </c>
      <c r="AD201" s="295">
        <f>'CAR Mileage'!AD222*CAR!$I$58</f>
        <v>28772.082790489469</v>
      </c>
      <c r="AE201" s="296">
        <f>'CAR Mileage'!AE222*CAR!$I$58</f>
        <v>28772.082790489469</v>
      </c>
      <c r="AG201" s="1711"/>
      <c r="AH201" s="116">
        <v>24</v>
      </c>
      <c r="AI201" s="294">
        <f>'CAR Passenger Kilometres'!C201*'CAR Stock'!C251</f>
        <v>19152.540727349686</v>
      </c>
      <c r="AJ201" s="295">
        <f>'CAR Passenger Kilometres'!D201*'CAR Stock'!D251</f>
        <v>2134.3939640205163</v>
      </c>
      <c r="AK201" s="295">
        <f>'CAR Passenger Kilometres'!E201*'CAR Stock'!E251</f>
        <v>475.72148870481652</v>
      </c>
      <c r="AL201" s="295">
        <f>'CAR Passenger Kilometres'!F201*'CAR Stock'!F251</f>
        <v>159.04580313928744</v>
      </c>
      <c r="AM201" s="295">
        <f>'CAR Passenger Kilometres'!G201*'CAR Stock'!G251</f>
        <v>70.897413989264592</v>
      </c>
      <c r="AN201" s="295">
        <f>'CAR Passenger Kilometres'!H201*'CAR Stock'!H251</f>
        <v>39.504683644207539</v>
      </c>
      <c r="AO201" s="295">
        <f>'CAR Passenger Kilometres'!I201*'CAR Stock'!I251</f>
        <v>26.414842663771591</v>
      </c>
      <c r="AP201" s="295">
        <f>'CAR Passenger Kilometres'!J201*'CAR Stock'!J251</f>
        <v>20.60602667880881</v>
      </c>
      <c r="AQ201" s="295">
        <f>'CAR Passenger Kilometres'!K201*'CAR Stock'!K251</f>
        <v>18.370984650779061</v>
      </c>
      <c r="AR201" s="295">
        <f>'CAR Passenger Kilometres'!L201*'CAR Stock'!L251</f>
        <v>5.5168379791258717</v>
      </c>
      <c r="AS201" s="295">
        <f>'CAR Passenger Kilometres'!M201*'CAR Stock'!M251</f>
        <v>3.781248108330808</v>
      </c>
      <c r="AT201" s="295">
        <f>'CAR Passenger Kilometres'!N201*'CAR Stock'!N251</f>
        <v>3.9040255266143835</v>
      </c>
      <c r="AU201" s="295">
        <f>'CAR Passenger Kilometres'!O201*'CAR Stock'!O251</f>
        <v>4.7898472701485497</v>
      </c>
      <c r="AV201" s="295">
        <f>'CAR Passenger Kilometres'!P201*'CAR Stock'!P251</f>
        <v>6.1242612696230134</v>
      </c>
      <c r="AW201" s="295">
        <f>'CAR Passenger Kilometres'!Q201*'CAR Stock'!Q251</f>
        <v>9.3726589046152267</v>
      </c>
      <c r="AX201" s="295">
        <f>'CAR Passenger Kilometres'!R201*'CAR Stock'!R251</f>
        <v>10.175182397931103</v>
      </c>
      <c r="AY201" s="295">
        <f>'CAR Passenger Kilometres'!S201*'CAR Stock'!S251</f>
        <v>10.99500431912446</v>
      </c>
      <c r="AZ201" s="295">
        <f>'CAR Passenger Kilometres'!T201*'CAR Stock'!T251</f>
        <v>11.787025195514724</v>
      </c>
      <c r="BA201" s="295">
        <f>'CAR Passenger Kilometres'!U201*'CAR Stock'!U251</f>
        <v>12.772417783535378</v>
      </c>
      <c r="BB201" s="295">
        <f>'CAR Passenger Kilometres'!V201*'CAR Stock'!V251</f>
        <v>13.873339157737755</v>
      </c>
      <c r="BC201" s="295">
        <f>'CAR Passenger Kilometres'!W201*'CAR Stock'!W251</f>
        <v>20.510993054724512</v>
      </c>
      <c r="BD201" s="295">
        <f>'CAR Passenger Kilometres'!X201*'CAR Stock'!X251</f>
        <v>9.8508368752283815</v>
      </c>
      <c r="BE201" s="295">
        <f>'CAR Passenger Kilometres'!Y201*'CAR Stock'!Y251</f>
        <v>15.46170551748766</v>
      </c>
      <c r="BF201" s="295">
        <f>'CAR Passenger Kilometres'!Z201*'CAR Stock'!Z251</f>
        <v>15.621715975354336</v>
      </c>
      <c r="BG201" s="295">
        <f>'CAR Passenger Kilometres'!AA201*'CAR Stock'!AA251</f>
        <v>14.504731775265721</v>
      </c>
      <c r="BH201" s="295">
        <f>'CAR Passenger Kilometres'!AB201*'CAR Stock'!AB251</f>
        <v>0</v>
      </c>
      <c r="BI201" s="295">
        <f>'CAR Passenger Kilometres'!AC201*'CAR Stock'!AC251</f>
        <v>0</v>
      </c>
      <c r="BJ201" s="295">
        <f>'CAR Passenger Kilometres'!AD201*'CAR Stock'!AD251</f>
        <v>0</v>
      </c>
      <c r="BK201" s="296">
        <f>'CAR Passenger Kilometres'!AE201*'CAR Stock'!AE251</f>
        <v>0</v>
      </c>
    </row>
    <row r="202" spans="1:63" ht="15.75" thickBot="1">
      <c r="A202" s="1711"/>
      <c r="B202" s="116">
        <v>25</v>
      </c>
      <c r="C202" s="297">
        <f>'CAR Mileage'!C223*CAR!$I$58</f>
        <v>28772.082790489469</v>
      </c>
      <c r="D202" s="298">
        <f>'CAR Mileage'!D223*CAR!$I$58</f>
        <v>28772.082790489469</v>
      </c>
      <c r="E202" s="298">
        <f>'CAR Mileage'!E223*CAR!$I$58</f>
        <v>28772.082790489469</v>
      </c>
      <c r="F202" s="298">
        <f>'CAR Mileage'!F223*CAR!$I$58</f>
        <v>28772.082790489469</v>
      </c>
      <c r="G202" s="298">
        <f>'CAR Mileage'!G223*CAR!$I$58</f>
        <v>28772.082790489469</v>
      </c>
      <c r="H202" s="298">
        <f>'CAR Mileage'!H223*CAR!$I$58</f>
        <v>28772.082790489469</v>
      </c>
      <c r="I202" s="298">
        <f>'CAR Mileage'!I223*CAR!$I$58</f>
        <v>28772.082790489469</v>
      </c>
      <c r="J202" s="298">
        <f>'CAR Mileage'!J223*CAR!$I$58</f>
        <v>28772.082790489469</v>
      </c>
      <c r="K202" s="298">
        <f>'CAR Mileage'!K223*CAR!$I$58</f>
        <v>28772.082790489469</v>
      </c>
      <c r="L202" s="298">
        <f>'CAR Mileage'!L223*CAR!$I$58</f>
        <v>28772.082790489469</v>
      </c>
      <c r="M202" s="298">
        <f>'CAR Mileage'!M223*CAR!$I$58</f>
        <v>28772.082790489469</v>
      </c>
      <c r="N202" s="298">
        <f>'CAR Mileage'!N223*CAR!$I$58</f>
        <v>28772.082790489469</v>
      </c>
      <c r="O202" s="298">
        <f>'CAR Mileage'!O223*CAR!$I$58</f>
        <v>28772.082790489469</v>
      </c>
      <c r="P202" s="298">
        <f>'CAR Mileage'!P223*CAR!$I$58</f>
        <v>28772.082790489469</v>
      </c>
      <c r="Q202" s="298">
        <f>'CAR Mileage'!Q223*CAR!$I$58</f>
        <v>28772.082790489469</v>
      </c>
      <c r="R202" s="298">
        <f>'CAR Mileage'!R223*CAR!$I$58</f>
        <v>28772.082790489469</v>
      </c>
      <c r="S202" s="298">
        <f>'CAR Mileage'!S223*CAR!$I$58</f>
        <v>28772.082790489469</v>
      </c>
      <c r="T202" s="298">
        <f>'CAR Mileage'!T223*CAR!$I$58</f>
        <v>28772.082790489469</v>
      </c>
      <c r="U202" s="298">
        <f>'CAR Mileage'!U223*CAR!$I$58</f>
        <v>28772.082790489469</v>
      </c>
      <c r="V202" s="298">
        <f>'CAR Mileage'!V223*CAR!$I$58</f>
        <v>28772.082790489469</v>
      </c>
      <c r="W202" s="298">
        <f>'CAR Mileage'!W223*CAR!$I$58</f>
        <v>28772.082790489469</v>
      </c>
      <c r="X202" s="298">
        <f>'CAR Mileage'!X223*CAR!$I$58</f>
        <v>28772.082790489469</v>
      </c>
      <c r="Y202" s="298">
        <f>'CAR Mileage'!Y223*CAR!$I$58</f>
        <v>28772.082790489469</v>
      </c>
      <c r="Z202" s="298">
        <f>'CAR Mileage'!Z223*CAR!$I$58</f>
        <v>28772.082790489469</v>
      </c>
      <c r="AA202" s="298">
        <f>'CAR Mileage'!AA223*CAR!$I$58</f>
        <v>28772.082790489469</v>
      </c>
      <c r="AB202" s="298">
        <f>'CAR Mileage'!AB223*CAR!$I$58</f>
        <v>28772.082790489469</v>
      </c>
      <c r="AC202" s="298">
        <f>'CAR Mileage'!AC223*CAR!$I$58</f>
        <v>28772.082790489469</v>
      </c>
      <c r="AD202" s="298">
        <f>'CAR Mileage'!AD223*CAR!$I$58</f>
        <v>28772.082790489469</v>
      </c>
      <c r="AE202" s="299">
        <f>'CAR Mileage'!AE223*CAR!$I$58</f>
        <v>28772.082790489469</v>
      </c>
      <c r="AG202" s="1711"/>
      <c r="AH202" s="116">
        <v>25</v>
      </c>
      <c r="AI202" s="297">
        <f>'CAR Passenger Kilometres'!C202*'CAR Stock'!C252</f>
        <v>7045.8259797906921</v>
      </c>
      <c r="AJ202" s="298">
        <f>'CAR Passenger Kilometres'!D202*'CAR Stock'!D252</f>
        <v>0</v>
      </c>
      <c r="AK202" s="298">
        <f>'CAR Passenger Kilometres'!E202*'CAR Stock'!E252</f>
        <v>0</v>
      </c>
      <c r="AL202" s="298">
        <f>'CAR Passenger Kilometres'!F202*'CAR Stock'!F252</f>
        <v>0</v>
      </c>
      <c r="AM202" s="298">
        <f>'CAR Passenger Kilometres'!G202*'CAR Stock'!G252</f>
        <v>0</v>
      </c>
      <c r="AN202" s="298">
        <f>'CAR Passenger Kilometres'!H202*'CAR Stock'!H252</f>
        <v>0</v>
      </c>
      <c r="AO202" s="298">
        <f>'CAR Passenger Kilometres'!I202*'CAR Stock'!I252</f>
        <v>0</v>
      </c>
      <c r="AP202" s="298">
        <f>'CAR Passenger Kilometres'!J202*'CAR Stock'!J252</f>
        <v>0</v>
      </c>
      <c r="AQ202" s="298">
        <f>'CAR Passenger Kilometres'!K202*'CAR Stock'!K252</f>
        <v>0</v>
      </c>
      <c r="AR202" s="298">
        <f>'CAR Passenger Kilometres'!L202*'CAR Stock'!L252</f>
        <v>0</v>
      </c>
      <c r="AS202" s="298">
        <f>'CAR Passenger Kilometres'!M202*'CAR Stock'!M252</f>
        <v>0</v>
      </c>
      <c r="AT202" s="298">
        <f>'CAR Passenger Kilometres'!N202*'CAR Stock'!N252</f>
        <v>0</v>
      </c>
      <c r="AU202" s="298">
        <f>'CAR Passenger Kilometres'!O202*'CAR Stock'!O252</f>
        <v>0</v>
      </c>
      <c r="AV202" s="298">
        <f>'CAR Passenger Kilometres'!P202*'CAR Stock'!P252</f>
        <v>0</v>
      </c>
      <c r="AW202" s="298">
        <f>'CAR Passenger Kilometres'!Q202*'CAR Stock'!Q252</f>
        <v>0</v>
      </c>
      <c r="AX202" s="298">
        <f>'CAR Passenger Kilometres'!R202*'CAR Stock'!R252</f>
        <v>0</v>
      </c>
      <c r="AY202" s="298">
        <f>'CAR Passenger Kilometres'!S202*'CAR Stock'!S252</f>
        <v>0</v>
      </c>
      <c r="AZ202" s="298">
        <f>'CAR Passenger Kilometres'!T202*'CAR Stock'!T252</f>
        <v>0</v>
      </c>
      <c r="BA202" s="298">
        <f>'CAR Passenger Kilometres'!U202*'CAR Stock'!U252</f>
        <v>0</v>
      </c>
      <c r="BB202" s="298">
        <f>'CAR Passenger Kilometres'!V202*'CAR Stock'!V252</f>
        <v>0</v>
      </c>
      <c r="BC202" s="298">
        <f>'CAR Passenger Kilometres'!W202*'CAR Stock'!W252</f>
        <v>0</v>
      </c>
      <c r="BD202" s="298">
        <f>'CAR Passenger Kilometres'!X202*'CAR Stock'!X252</f>
        <v>0</v>
      </c>
      <c r="BE202" s="298">
        <f>'CAR Passenger Kilometres'!Y202*'CAR Stock'!Y252</f>
        <v>0</v>
      </c>
      <c r="BF202" s="298">
        <f>'CAR Passenger Kilometres'!Z202*'CAR Stock'!Z252</f>
        <v>0</v>
      </c>
      <c r="BG202" s="298">
        <f>'CAR Passenger Kilometres'!AA202*'CAR Stock'!AA252</f>
        <v>0</v>
      </c>
      <c r="BH202" s="298">
        <f>'CAR Passenger Kilometres'!AB202*'CAR Stock'!AB252</f>
        <v>0</v>
      </c>
      <c r="BI202" s="298">
        <f>'CAR Passenger Kilometres'!AC202*'CAR Stock'!AC252</f>
        <v>0</v>
      </c>
      <c r="BJ202" s="298">
        <f>'CAR Passenger Kilometres'!AD202*'CAR Stock'!AD252</f>
        <v>0</v>
      </c>
      <c r="BK202" s="299">
        <f>'CAR Passenger Kilometres'!AE202*'CAR Stock'!AE252</f>
        <v>0</v>
      </c>
    </row>
    <row r="203" spans="1:63" ht="16.5" thickTop="1" thickBot="1">
      <c r="A203" s="1712"/>
      <c r="B203" s="300" t="s">
        <v>39</v>
      </c>
      <c r="C203" s="301">
        <f>'CAR Mileage'!C224*CAR!$I$58</f>
        <v>35707.602605292908</v>
      </c>
      <c r="D203" s="301">
        <f>'CAR Mileage'!D224*CAR!$I$58</f>
        <v>35185.662736500897</v>
      </c>
      <c r="E203" s="301">
        <f>'CAR Mileage'!E224*CAR!$I$58</f>
        <v>34644.691869437018</v>
      </c>
      <c r="F203" s="301">
        <f>'CAR Mileage'!F224*CAR!$I$58</f>
        <v>34126.950216680954</v>
      </c>
      <c r="G203" s="301">
        <f>'CAR Mileage'!G224*CAR!$I$58</f>
        <v>33646.571601289295</v>
      </c>
      <c r="H203" s="301">
        <f>'CAR Mileage'!H224*CAR!$I$58</f>
        <v>33200.552385971903</v>
      </c>
      <c r="I203" s="301">
        <f>'CAR Mileage'!I224*CAR!$I$58</f>
        <v>32777.811999332866</v>
      </c>
      <c r="J203" s="301">
        <f>'CAR Mileage'!J224*CAR!$I$58</f>
        <v>32372.287405479896</v>
      </c>
      <c r="K203" s="301">
        <f>'CAR Mileage'!K224*CAR!$I$58</f>
        <v>31981.128217676276</v>
      </c>
      <c r="L203" s="301">
        <f>'CAR Mileage'!L224*CAR!$I$58</f>
        <v>31617.003555147541</v>
      </c>
      <c r="M203" s="301">
        <f>'CAR Mileage'!M224*CAR!$I$58</f>
        <v>31273.909657242406</v>
      </c>
      <c r="N203" s="301">
        <f>'CAR Mileage'!N224*CAR!$I$58</f>
        <v>30930.794339275071</v>
      </c>
      <c r="O203" s="301">
        <f>'CAR Mileage'!O224*CAR!$I$58</f>
        <v>30553.289311191005</v>
      </c>
      <c r="P203" s="301">
        <f>'CAR Mileage'!P224*CAR!$I$58</f>
        <v>30122.96972738874</v>
      </c>
      <c r="Q203" s="301">
        <f>'CAR Mileage'!Q224*CAR!$I$58</f>
        <v>29642.567107046678</v>
      </c>
      <c r="R203" s="301">
        <f>'CAR Mileage'!R224*CAR!$I$58</f>
        <v>29147.51792346716</v>
      </c>
      <c r="S203" s="301">
        <f>'CAR Mileage'!S224*CAR!$I$58</f>
        <v>28772.082790489461</v>
      </c>
      <c r="T203" s="301">
        <f>'CAR Mileage'!T224*CAR!$I$58</f>
        <v>28772.082790489461</v>
      </c>
      <c r="U203" s="301">
        <f>'CAR Mileage'!U224*CAR!$I$58</f>
        <v>28772.082790489469</v>
      </c>
      <c r="V203" s="301">
        <f>'CAR Mileage'!V224*CAR!$I$58</f>
        <v>28772.082790489472</v>
      </c>
      <c r="W203" s="301">
        <f>'CAR Mileage'!W224*CAR!$I$58</f>
        <v>28772.082790489458</v>
      </c>
      <c r="X203" s="301">
        <f>'CAR Mileage'!X224*CAR!$I$58</f>
        <v>28772.082790489469</v>
      </c>
      <c r="Y203" s="301">
        <f>'CAR Mileage'!Y224*CAR!$I$58</f>
        <v>28772.082790489461</v>
      </c>
      <c r="Z203" s="301">
        <f>'CAR Mileage'!Z224*CAR!$I$58</f>
        <v>28772.082790489469</v>
      </c>
      <c r="AA203" s="301">
        <f>'CAR Mileage'!AA224*CAR!$I$58</f>
        <v>28772.082790489469</v>
      </c>
      <c r="AB203" s="301">
        <f>'CAR Mileage'!AB224*CAR!$I$58</f>
        <v>0</v>
      </c>
      <c r="AC203" s="301">
        <f>'CAR Mileage'!AC224*CAR!$I$58</f>
        <v>0</v>
      </c>
      <c r="AD203" s="301">
        <f>'CAR Mileage'!AD224*CAR!$I$58</f>
        <v>0</v>
      </c>
      <c r="AE203" s="302">
        <f>'CAR Mileage'!AE224*CAR!$I$58</f>
        <v>0</v>
      </c>
      <c r="AG203" s="1712"/>
      <c r="AH203" s="300" t="s">
        <v>39</v>
      </c>
      <c r="AI203" s="301">
        <f t="shared" ref="AI203:BK203" si="6">SUM(AI177:AI202)</f>
        <v>9440304561.5821285</v>
      </c>
      <c r="AJ203" s="301">
        <f t="shared" si="6"/>
        <v>8995948818.0741367</v>
      </c>
      <c r="AK203" s="301">
        <f t="shared" si="6"/>
        <v>8567442791.5049763</v>
      </c>
      <c r="AL203" s="301">
        <f t="shared" si="6"/>
        <v>8091966470.0711613</v>
      </c>
      <c r="AM203" s="301">
        <f t="shared" si="6"/>
        <v>7549188922.3881178</v>
      </c>
      <c r="AN203" s="301">
        <f t="shared" si="6"/>
        <v>6947105973.7469149</v>
      </c>
      <c r="AO203" s="301">
        <f t="shared" si="6"/>
        <v>6304535789.2775431</v>
      </c>
      <c r="AP203" s="301">
        <f t="shared" si="6"/>
        <v>5628667520.1788187</v>
      </c>
      <c r="AQ203" s="301">
        <f t="shared" si="6"/>
        <v>4915387282.1997261</v>
      </c>
      <c r="AR203" s="301">
        <f t="shared" si="6"/>
        <v>4113583827.6015139</v>
      </c>
      <c r="AS203" s="301">
        <f t="shared" si="6"/>
        <v>3319793579.695889</v>
      </c>
      <c r="AT203" s="301">
        <f t="shared" si="6"/>
        <v>2551876423.2602029</v>
      </c>
      <c r="AU203" s="301">
        <f t="shared" si="6"/>
        <v>1805530428.2986214</v>
      </c>
      <c r="AV203" s="301">
        <f t="shared" si="6"/>
        <v>1067913258.7235452</v>
      </c>
      <c r="AW203" s="301">
        <f t="shared" si="6"/>
        <v>509856265.50594479</v>
      </c>
      <c r="AX203" s="301">
        <f t="shared" si="6"/>
        <v>193568144.6305927</v>
      </c>
      <c r="AY203" s="301">
        <f t="shared" si="6"/>
        <v>66572099.998468854</v>
      </c>
      <c r="AZ203" s="301">
        <f t="shared" si="6"/>
        <v>20665813.404189605</v>
      </c>
      <c r="BA203" s="301">
        <f t="shared" si="6"/>
        <v>5625186.194062504</v>
      </c>
      <c r="BB203" s="301">
        <f t="shared" si="6"/>
        <v>1314915.1712330976</v>
      </c>
      <c r="BC203" s="301">
        <f t="shared" si="6"/>
        <v>256581.00570671592</v>
      </c>
      <c r="BD203" s="301">
        <f t="shared" si="6"/>
        <v>40117.240294659976</v>
      </c>
      <c r="BE203" s="301">
        <f t="shared" si="6"/>
        <v>4711.4210796040825</v>
      </c>
      <c r="BF203" s="301">
        <f t="shared" si="6"/>
        <v>369.42022184411638</v>
      </c>
      <c r="BG203" s="301">
        <f t="shared" si="6"/>
        <v>14.504731775265721</v>
      </c>
      <c r="BH203" s="301">
        <f t="shared" si="6"/>
        <v>0</v>
      </c>
      <c r="BI203" s="301">
        <f t="shared" si="6"/>
        <v>0</v>
      </c>
      <c r="BJ203" s="301">
        <f t="shared" si="6"/>
        <v>0</v>
      </c>
      <c r="BK203" s="302">
        <f t="shared" si="6"/>
        <v>0</v>
      </c>
    </row>
    <row r="204" spans="1:63" ht="15.75" thickBot="1"/>
    <row r="205" spans="1:63" ht="15.75" thickBot="1">
      <c r="A205" s="1710" t="s">
        <v>48</v>
      </c>
      <c r="B205" s="169" t="s">
        <v>10</v>
      </c>
      <c r="C205" s="288">
        <v>2012</v>
      </c>
      <c r="D205" s="289">
        <v>2013</v>
      </c>
      <c r="E205" s="289">
        <v>2014</v>
      </c>
      <c r="F205" s="289">
        <v>2015</v>
      </c>
      <c r="G205" s="288">
        <v>2016</v>
      </c>
      <c r="H205" s="289">
        <v>2017</v>
      </c>
      <c r="I205" s="289">
        <v>2018</v>
      </c>
      <c r="J205" s="289">
        <v>2019</v>
      </c>
      <c r="K205" s="288">
        <v>2020</v>
      </c>
      <c r="L205" s="289">
        <v>2021</v>
      </c>
      <c r="M205" s="289">
        <v>2022</v>
      </c>
      <c r="N205" s="289">
        <v>2023</v>
      </c>
      <c r="O205" s="288">
        <v>2024</v>
      </c>
      <c r="P205" s="289">
        <v>2025</v>
      </c>
      <c r="Q205" s="289">
        <v>2026</v>
      </c>
      <c r="R205" s="289">
        <v>2027</v>
      </c>
      <c r="S205" s="288">
        <v>2028</v>
      </c>
      <c r="T205" s="289">
        <v>2029</v>
      </c>
      <c r="U205" s="289">
        <v>2030</v>
      </c>
      <c r="V205" s="289">
        <v>2031</v>
      </c>
      <c r="W205" s="288">
        <v>2032</v>
      </c>
      <c r="X205" s="289">
        <v>2033</v>
      </c>
      <c r="Y205" s="289">
        <v>2034</v>
      </c>
      <c r="Z205" s="289">
        <v>2035</v>
      </c>
      <c r="AA205" s="288">
        <v>2036</v>
      </c>
      <c r="AB205" s="289">
        <v>2037</v>
      </c>
      <c r="AC205" s="289">
        <v>2038</v>
      </c>
      <c r="AD205" s="289">
        <v>2039</v>
      </c>
      <c r="AE205" s="290">
        <v>2040</v>
      </c>
      <c r="AG205" s="1710" t="s">
        <v>48</v>
      </c>
      <c r="AH205" s="169" t="s">
        <v>10</v>
      </c>
      <c r="AI205" s="288">
        <v>2012</v>
      </c>
      <c r="AJ205" s="289">
        <v>2013</v>
      </c>
      <c r="AK205" s="289">
        <v>2014</v>
      </c>
      <c r="AL205" s="289">
        <v>2015</v>
      </c>
      <c r="AM205" s="288">
        <v>2016</v>
      </c>
      <c r="AN205" s="289">
        <v>2017</v>
      </c>
      <c r="AO205" s="289">
        <v>2018</v>
      </c>
      <c r="AP205" s="289">
        <v>2019</v>
      </c>
      <c r="AQ205" s="288">
        <v>2020</v>
      </c>
      <c r="AR205" s="289">
        <v>2021</v>
      </c>
      <c r="AS205" s="289">
        <v>2022</v>
      </c>
      <c r="AT205" s="289">
        <v>2023</v>
      </c>
      <c r="AU205" s="288">
        <v>2024</v>
      </c>
      <c r="AV205" s="289">
        <v>2025</v>
      </c>
      <c r="AW205" s="289">
        <v>2026</v>
      </c>
      <c r="AX205" s="289">
        <v>2027</v>
      </c>
      <c r="AY205" s="288">
        <v>2028</v>
      </c>
      <c r="AZ205" s="289">
        <v>2029</v>
      </c>
      <c r="BA205" s="289">
        <v>2030</v>
      </c>
      <c r="BB205" s="289">
        <v>2031</v>
      </c>
      <c r="BC205" s="288">
        <v>2032</v>
      </c>
      <c r="BD205" s="289">
        <v>2033</v>
      </c>
      <c r="BE205" s="289">
        <v>2034</v>
      </c>
      <c r="BF205" s="289">
        <v>2035</v>
      </c>
      <c r="BG205" s="288">
        <v>2036</v>
      </c>
      <c r="BH205" s="289">
        <v>2037</v>
      </c>
      <c r="BI205" s="289">
        <v>2038</v>
      </c>
      <c r="BJ205" s="289">
        <v>2039</v>
      </c>
      <c r="BK205" s="290">
        <v>2040</v>
      </c>
    </row>
    <row r="206" spans="1:63">
      <c r="A206" s="1711" t="s">
        <v>41</v>
      </c>
      <c r="B206" s="116">
        <v>0</v>
      </c>
      <c r="C206" s="291">
        <f>'CAR Mileage'!C227*CAR!$I$58</f>
        <v>40088.028980033232</v>
      </c>
      <c r="D206" s="292">
        <f>'CAR Mileage'!D227*CAR!$I$58</f>
        <v>40088.028980033232</v>
      </c>
      <c r="E206" s="292">
        <f>'CAR Mileage'!E227*CAR!$I$58</f>
        <v>40088.028980033232</v>
      </c>
      <c r="F206" s="292">
        <f>'CAR Mileage'!F227*CAR!$I$58</f>
        <v>40088.028980033232</v>
      </c>
      <c r="G206" s="292">
        <f>'CAR Mileage'!G227*CAR!$I$58</f>
        <v>40088.028980033232</v>
      </c>
      <c r="H206" s="292">
        <f>'CAR Mileage'!H227*CAR!$I$58</f>
        <v>40088.028980033232</v>
      </c>
      <c r="I206" s="292">
        <f>'CAR Mileage'!I227*CAR!$I$58</f>
        <v>40088.028980033232</v>
      </c>
      <c r="J206" s="292">
        <f>'CAR Mileage'!J227*CAR!$I$58</f>
        <v>40088.028980033232</v>
      </c>
      <c r="K206" s="292">
        <f>'CAR Mileage'!K227*CAR!$I$58</f>
        <v>40088.028980033232</v>
      </c>
      <c r="L206" s="292">
        <f>'CAR Mileage'!L227*CAR!$I$58</f>
        <v>40088.028980033232</v>
      </c>
      <c r="M206" s="292">
        <f>'CAR Mileage'!M227*CAR!$I$58</f>
        <v>40088.028980033232</v>
      </c>
      <c r="N206" s="292">
        <f>'CAR Mileage'!N227*CAR!$I$58</f>
        <v>40088.028980033232</v>
      </c>
      <c r="O206" s="292">
        <f>'CAR Mileage'!O227*CAR!$I$58</f>
        <v>40088.028980033232</v>
      </c>
      <c r="P206" s="292">
        <f>'CAR Mileage'!P227*CAR!$I$58</f>
        <v>40088.028980033232</v>
      </c>
      <c r="Q206" s="292">
        <f>'CAR Mileage'!Q227*CAR!$I$58</f>
        <v>40088.028980033232</v>
      </c>
      <c r="R206" s="292">
        <f>'CAR Mileage'!R227*CAR!$I$58</f>
        <v>40088.028980033232</v>
      </c>
      <c r="S206" s="292">
        <f>'CAR Mileage'!S227*CAR!$I$58</f>
        <v>40088.028980033232</v>
      </c>
      <c r="T206" s="292">
        <f>'CAR Mileage'!T227*CAR!$I$58</f>
        <v>40088.028980033232</v>
      </c>
      <c r="U206" s="292">
        <f>'CAR Mileage'!U227*CAR!$I$58</f>
        <v>40088.028980033232</v>
      </c>
      <c r="V206" s="292">
        <f>'CAR Mileage'!V227*CAR!$I$58</f>
        <v>40088.028980033232</v>
      </c>
      <c r="W206" s="292">
        <f>'CAR Mileage'!W227*CAR!$I$58</f>
        <v>40088.028980033232</v>
      </c>
      <c r="X206" s="292">
        <f>'CAR Mileage'!X227*CAR!$I$58</f>
        <v>40088.028980033232</v>
      </c>
      <c r="Y206" s="292">
        <f>'CAR Mileage'!Y227*CAR!$I$58</f>
        <v>40088.028980033232</v>
      </c>
      <c r="Z206" s="292">
        <f>'CAR Mileage'!Z227*CAR!$I$58</f>
        <v>40088.028980033232</v>
      </c>
      <c r="AA206" s="292">
        <f>'CAR Mileage'!AA227*CAR!$I$58</f>
        <v>40088.028980033232</v>
      </c>
      <c r="AB206" s="292">
        <f>'CAR Mileage'!AB227*CAR!$I$58</f>
        <v>40088.028980033232</v>
      </c>
      <c r="AC206" s="292">
        <f>'CAR Mileage'!AC227*CAR!$I$58</f>
        <v>40088.028980033232</v>
      </c>
      <c r="AD206" s="292">
        <f>'CAR Mileage'!AD227*CAR!$I$58</f>
        <v>40088.028980033232</v>
      </c>
      <c r="AE206" s="293">
        <f>'CAR Mileage'!AE227*CAR!$I$58</f>
        <v>40088.028980033232</v>
      </c>
      <c r="AG206" s="1711" t="s">
        <v>41</v>
      </c>
      <c r="AH206" s="116">
        <v>0</v>
      </c>
      <c r="AI206" s="291">
        <f>'CAR Passenger Kilometres'!C206*'CAR Stock'!C256</f>
        <v>774981776.24200249</v>
      </c>
      <c r="AJ206" s="292">
        <f>'CAR Passenger Kilometres'!D206*'CAR Stock'!D256</f>
        <v>0</v>
      </c>
      <c r="AK206" s="292">
        <f>'CAR Passenger Kilometres'!E206*'CAR Stock'!E256</f>
        <v>0</v>
      </c>
      <c r="AL206" s="292">
        <f>'CAR Passenger Kilometres'!F206*'CAR Stock'!F256</f>
        <v>0</v>
      </c>
      <c r="AM206" s="292">
        <f>'CAR Passenger Kilometres'!G206*'CAR Stock'!G256</f>
        <v>0</v>
      </c>
      <c r="AN206" s="292">
        <f>'CAR Passenger Kilometres'!H206*'CAR Stock'!H256</f>
        <v>0</v>
      </c>
      <c r="AO206" s="292">
        <f>'CAR Passenger Kilometres'!I206*'CAR Stock'!I256</f>
        <v>0</v>
      </c>
      <c r="AP206" s="292">
        <f>'CAR Passenger Kilometres'!J206*'CAR Stock'!J256</f>
        <v>0</v>
      </c>
      <c r="AQ206" s="292">
        <f>'CAR Passenger Kilometres'!K206*'CAR Stock'!K256</f>
        <v>0</v>
      </c>
      <c r="AR206" s="292">
        <f>'CAR Passenger Kilometres'!L206*'CAR Stock'!L256</f>
        <v>0</v>
      </c>
      <c r="AS206" s="292">
        <f>'CAR Passenger Kilometres'!M206*'CAR Stock'!M256</f>
        <v>0</v>
      </c>
      <c r="AT206" s="292">
        <f>'CAR Passenger Kilometres'!N206*'CAR Stock'!N256</f>
        <v>0</v>
      </c>
      <c r="AU206" s="292">
        <f>'CAR Passenger Kilometres'!O206*'CAR Stock'!O256</f>
        <v>0</v>
      </c>
      <c r="AV206" s="292">
        <f>'CAR Passenger Kilometres'!P206*'CAR Stock'!P256</f>
        <v>0</v>
      </c>
      <c r="AW206" s="292">
        <f>'CAR Passenger Kilometres'!Q206*'CAR Stock'!Q256</f>
        <v>0</v>
      </c>
      <c r="AX206" s="292">
        <f>'CAR Passenger Kilometres'!R206*'CAR Stock'!R256</f>
        <v>0</v>
      </c>
      <c r="AY206" s="292">
        <f>'CAR Passenger Kilometres'!S206*'CAR Stock'!S256</f>
        <v>0</v>
      </c>
      <c r="AZ206" s="292">
        <f>'CAR Passenger Kilometres'!T206*'CAR Stock'!T256</f>
        <v>0</v>
      </c>
      <c r="BA206" s="292">
        <f>'CAR Passenger Kilometres'!U206*'CAR Stock'!U256</f>
        <v>0</v>
      </c>
      <c r="BB206" s="292">
        <f>'CAR Passenger Kilometres'!V206*'CAR Stock'!V256</f>
        <v>0</v>
      </c>
      <c r="BC206" s="292">
        <f>'CAR Passenger Kilometres'!W206*'CAR Stock'!W256</f>
        <v>0</v>
      </c>
      <c r="BD206" s="292">
        <f>'CAR Passenger Kilometres'!X206*'CAR Stock'!X256</f>
        <v>0</v>
      </c>
      <c r="BE206" s="292">
        <f>'CAR Passenger Kilometres'!Y206*'CAR Stock'!Y256</f>
        <v>0</v>
      </c>
      <c r="BF206" s="292">
        <f>'CAR Passenger Kilometres'!Z206*'CAR Stock'!Z256</f>
        <v>0</v>
      </c>
      <c r="BG206" s="292">
        <f>'CAR Passenger Kilometres'!AA206*'CAR Stock'!AA256</f>
        <v>0</v>
      </c>
      <c r="BH206" s="292">
        <f>'CAR Passenger Kilometres'!AB206*'CAR Stock'!AB256</f>
        <v>0</v>
      </c>
      <c r="BI206" s="292">
        <f>'CAR Passenger Kilometres'!AC206*'CAR Stock'!AC256</f>
        <v>0</v>
      </c>
      <c r="BJ206" s="292">
        <f>'CAR Passenger Kilometres'!AD206*'CAR Stock'!AD256</f>
        <v>0</v>
      </c>
      <c r="BK206" s="293">
        <f>'CAR Passenger Kilometres'!AE206*'CAR Stock'!AE256</f>
        <v>0</v>
      </c>
    </row>
    <row r="207" spans="1:63">
      <c r="A207" s="1711"/>
      <c r="B207" s="116">
        <v>1</v>
      </c>
      <c r="C207" s="294">
        <f>'CAR Mileage'!C228*CAR!$I$58</f>
        <v>39286.268400432571</v>
      </c>
      <c r="D207" s="295">
        <f>'CAR Mileage'!D228*CAR!$I$58</f>
        <v>39286.268400432571</v>
      </c>
      <c r="E207" s="295">
        <f>'CAR Mileage'!E228*CAR!$I$58</f>
        <v>39286.268400432571</v>
      </c>
      <c r="F207" s="295">
        <f>'CAR Mileage'!F228*CAR!$I$58</f>
        <v>39286.268400432571</v>
      </c>
      <c r="G207" s="295">
        <f>'CAR Mileage'!G228*CAR!$I$58</f>
        <v>39286.268400432571</v>
      </c>
      <c r="H207" s="295">
        <f>'CAR Mileage'!H228*CAR!$I$58</f>
        <v>39286.268400432571</v>
      </c>
      <c r="I207" s="295">
        <f>'CAR Mileage'!I228*CAR!$I$58</f>
        <v>39286.268400432571</v>
      </c>
      <c r="J207" s="295">
        <f>'CAR Mileage'!J228*CAR!$I$58</f>
        <v>39286.268400432571</v>
      </c>
      <c r="K207" s="295">
        <f>'CAR Mileage'!K228*CAR!$I$58</f>
        <v>39286.268400432571</v>
      </c>
      <c r="L207" s="295">
        <f>'CAR Mileage'!L228*CAR!$I$58</f>
        <v>39286.268400432571</v>
      </c>
      <c r="M207" s="295">
        <f>'CAR Mileage'!M228*CAR!$I$58</f>
        <v>39286.268400432571</v>
      </c>
      <c r="N207" s="295">
        <f>'CAR Mileage'!N228*CAR!$I$58</f>
        <v>39286.268400432571</v>
      </c>
      <c r="O207" s="295">
        <f>'CAR Mileage'!O228*CAR!$I$58</f>
        <v>39286.268400432571</v>
      </c>
      <c r="P207" s="295">
        <f>'CAR Mileage'!P228*CAR!$I$58</f>
        <v>39286.268400432571</v>
      </c>
      <c r="Q207" s="295">
        <f>'CAR Mileage'!Q228*CAR!$I$58</f>
        <v>39286.268400432571</v>
      </c>
      <c r="R207" s="295">
        <f>'CAR Mileage'!R228*CAR!$I$58</f>
        <v>39286.268400432571</v>
      </c>
      <c r="S207" s="295">
        <f>'CAR Mileage'!S228*CAR!$I$58</f>
        <v>39286.268400432571</v>
      </c>
      <c r="T207" s="295">
        <f>'CAR Mileage'!T228*CAR!$I$58</f>
        <v>39286.268400432571</v>
      </c>
      <c r="U207" s="295">
        <f>'CAR Mileage'!U228*CAR!$I$58</f>
        <v>39286.268400432571</v>
      </c>
      <c r="V207" s="295">
        <f>'CAR Mileage'!V228*CAR!$I$58</f>
        <v>39286.268400432571</v>
      </c>
      <c r="W207" s="295">
        <f>'CAR Mileage'!W228*CAR!$I$58</f>
        <v>39286.268400432571</v>
      </c>
      <c r="X207" s="295">
        <f>'CAR Mileage'!X228*CAR!$I$58</f>
        <v>39286.268400432571</v>
      </c>
      <c r="Y207" s="295">
        <f>'CAR Mileage'!Y228*CAR!$I$58</f>
        <v>39286.268400432571</v>
      </c>
      <c r="Z207" s="295">
        <f>'CAR Mileage'!Z228*CAR!$I$58</f>
        <v>39286.268400432571</v>
      </c>
      <c r="AA207" s="295">
        <f>'CAR Mileage'!AA228*CAR!$I$58</f>
        <v>39286.268400432571</v>
      </c>
      <c r="AB207" s="295">
        <f>'CAR Mileage'!AB228*CAR!$I$58</f>
        <v>39286.268400432571</v>
      </c>
      <c r="AC207" s="295">
        <f>'CAR Mileage'!AC228*CAR!$I$58</f>
        <v>39286.268400432571</v>
      </c>
      <c r="AD207" s="295">
        <f>'CAR Mileage'!AD228*CAR!$I$58</f>
        <v>39286.268400432571</v>
      </c>
      <c r="AE207" s="296">
        <f>'CAR Mileage'!AE228*CAR!$I$58</f>
        <v>39286.268400432571</v>
      </c>
      <c r="AG207" s="1711"/>
      <c r="AH207" s="116">
        <v>1</v>
      </c>
      <c r="AI207" s="294">
        <f>'CAR Passenger Kilometres'!C207*'CAR Stock'!C257</f>
        <v>900362699.2011137</v>
      </c>
      <c r="AJ207" s="295">
        <f>'CAR Passenger Kilometres'!D207*'CAR Stock'!D257</f>
        <v>759482140.71716249</v>
      </c>
      <c r="AK207" s="295">
        <f>'CAR Passenger Kilometres'!E207*'CAR Stock'!E257</f>
        <v>0</v>
      </c>
      <c r="AL207" s="295">
        <f>'CAR Passenger Kilometres'!F207*'CAR Stock'!F257</f>
        <v>0</v>
      </c>
      <c r="AM207" s="295">
        <f>'CAR Passenger Kilometres'!G207*'CAR Stock'!G257</f>
        <v>0</v>
      </c>
      <c r="AN207" s="295">
        <f>'CAR Passenger Kilometres'!H207*'CAR Stock'!H257</f>
        <v>0</v>
      </c>
      <c r="AO207" s="295">
        <f>'CAR Passenger Kilometres'!I207*'CAR Stock'!I257</f>
        <v>0</v>
      </c>
      <c r="AP207" s="295">
        <f>'CAR Passenger Kilometres'!J207*'CAR Stock'!J257</f>
        <v>0</v>
      </c>
      <c r="AQ207" s="295">
        <f>'CAR Passenger Kilometres'!K207*'CAR Stock'!K257</f>
        <v>0</v>
      </c>
      <c r="AR207" s="295">
        <f>'CAR Passenger Kilometres'!L207*'CAR Stock'!L257</f>
        <v>0</v>
      </c>
      <c r="AS207" s="295">
        <f>'CAR Passenger Kilometres'!M207*'CAR Stock'!M257</f>
        <v>0</v>
      </c>
      <c r="AT207" s="295">
        <f>'CAR Passenger Kilometres'!N207*'CAR Stock'!N257</f>
        <v>0</v>
      </c>
      <c r="AU207" s="295">
        <f>'CAR Passenger Kilometres'!O207*'CAR Stock'!O257</f>
        <v>0</v>
      </c>
      <c r="AV207" s="295">
        <f>'CAR Passenger Kilometres'!P207*'CAR Stock'!P257</f>
        <v>0</v>
      </c>
      <c r="AW207" s="295">
        <f>'CAR Passenger Kilometres'!Q207*'CAR Stock'!Q257</f>
        <v>0</v>
      </c>
      <c r="AX207" s="295">
        <f>'CAR Passenger Kilometres'!R207*'CAR Stock'!R257</f>
        <v>0</v>
      </c>
      <c r="AY207" s="295">
        <f>'CAR Passenger Kilometres'!S207*'CAR Stock'!S257</f>
        <v>0</v>
      </c>
      <c r="AZ207" s="295">
        <f>'CAR Passenger Kilometres'!T207*'CAR Stock'!T257</f>
        <v>0</v>
      </c>
      <c r="BA207" s="295">
        <f>'CAR Passenger Kilometres'!U207*'CAR Stock'!U257</f>
        <v>0</v>
      </c>
      <c r="BB207" s="295">
        <f>'CAR Passenger Kilometres'!V207*'CAR Stock'!V257</f>
        <v>0</v>
      </c>
      <c r="BC207" s="295">
        <f>'CAR Passenger Kilometres'!W207*'CAR Stock'!W257</f>
        <v>0</v>
      </c>
      <c r="BD207" s="295">
        <f>'CAR Passenger Kilometres'!X207*'CAR Stock'!X257</f>
        <v>0</v>
      </c>
      <c r="BE207" s="295">
        <f>'CAR Passenger Kilometres'!Y207*'CAR Stock'!Y257</f>
        <v>0</v>
      </c>
      <c r="BF207" s="295">
        <f>'CAR Passenger Kilometres'!Z207*'CAR Stock'!Z257</f>
        <v>0</v>
      </c>
      <c r="BG207" s="295">
        <f>'CAR Passenger Kilometres'!AA207*'CAR Stock'!AA257</f>
        <v>0</v>
      </c>
      <c r="BH207" s="295">
        <f>'CAR Passenger Kilometres'!AB207*'CAR Stock'!AB257</f>
        <v>0</v>
      </c>
      <c r="BI207" s="295">
        <f>'CAR Passenger Kilometres'!AC207*'CAR Stock'!AC257</f>
        <v>0</v>
      </c>
      <c r="BJ207" s="295">
        <f>'CAR Passenger Kilometres'!AD207*'CAR Stock'!AD257</f>
        <v>0</v>
      </c>
      <c r="BK207" s="296">
        <f>'CAR Passenger Kilometres'!AE207*'CAR Stock'!AE257</f>
        <v>0</v>
      </c>
    </row>
    <row r="208" spans="1:63">
      <c r="A208" s="1711"/>
      <c r="B208" s="116">
        <v>2</v>
      </c>
      <c r="C208" s="294">
        <f>'CAR Mileage'!C229*CAR!$I$58</f>
        <v>38500.543032423913</v>
      </c>
      <c r="D208" s="295">
        <f>'CAR Mileage'!D229*CAR!$I$58</f>
        <v>38500.543032423913</v>
      </c>
      <c r="E208" s="295">
        <f>'CAR Mileage'!E229*CAR!$I$58</f>
        <v>38500.543032423913</v>
      </c>
      <c r="F208" s="295">
        <f>'CAR Mileage'!F229*CAR!$I$58</f>
        <v>38500.543032423913</v>
      </c>
      <c r="G208" s="295">
        <f>'CAR Mileage'!G229*CAR!$I$58</f>
        <v>38500.543032423913</v>
      </c>
      <c r="H208" s="295">
        <f>'CAR Mileage'!H229*CAR!$I$58</f>
        <v>38500.543032423913</v>
      </c>
      <c r="I208" s="295">
        <f>'CAR Mileage'!I229*CAR!$I$58</f>
        <v>38500.543032423913</v>
      </c>
      <c r="J208" s="295">
        <f>'CAR Mileage'!J229*CAR!$I$58</f>
        <v>38500.543032423913</v>
      </c>
      <c r="K208" s="295">
        <f>'CAR Mileage'!K229*CAR!$I$58</f>
        <v>38500.543032423913</v>
      </c>
      <c r="L208" s="295">
        <f>'CAR Mileage'!L229*CAR!$I$58</f>
        <v>38500.543032423913</v>
      </c>
      <c r="M208" s="295">
        <f>'CAR Mileage'!M229*CAR!$I$58</f>
        <v>38500.543032423913</v>
      </c>
      <c r="N208" s="295">
        <f>'CAR Mileage'!N229*CAR!$I$58</f>
        <v>38500.543032423913</v>
      </c>
      <c r="O208" s="295">
        <f>'CAR Mileage'!O229*CAR!$I$58</f>
        <v>38500.543032423913</v>
      </c>
      <c r="P208" s="295">
        <f>'CAR Mileage'!P229*CAR!$I$58</f>
        <v>38500.543032423913</v>
      </c>
      <c r="Q208" s="295">
        <f>'CAR Mileage'!Q229*CAR!$I$58</f>
        <v>38500.543032423913</v>
      </c>
      <c r="R208" s="295">
        <f>'CAR Mileage'!R229*CAR!$I$58</f>
        <v>38500.543032423913</v>
      </c>
      <c r="S208" s="295">
        <f>'CAR Mileage'!S229*CAR!$I$58</f>
        <v>38500.543032423913</v>
      </c>
      <c r="T208" s="295">
        <f>'CAR Mileage'!T229*CAR!$I$58</f>
        <v>38500.543032423913</v>
      </c>
      <c r="U208" s="295">
        <f>'CAR Mileage'!U229*CAR!$I$58</f>
        <v>38500.543032423913</v>
      </c>
      <c r="V208" s="295">
        <f>'CAR Mileage'!V229*CAR!$I$58</f>
        <v>38500.543032423913</v>
      </c>
      <c r="W208" s="295">
        <f>'CAR Mileage'!W229*CAR!$I$58</f>
        <v>38500.543032423913</v>
      </c>
      <c r="X208" s="295">
        <f>'CAR Mileage'!X229*CAR!$I$58</f>
        <v>38500.543032423913</v>
      </c>
      <c r="Y208" s="295">
        <f>'CAR Mileage'!Y229*CAR!$I$58</f>
        <v>38500.543032423913</v>
      </c>
      <c r="Z208" s="295">
        <f>'CAR Mileage'!Z229*CAR!$I$58</f>
        <v>38500.543032423913</v>
      </c>
      <c r="AA208" s="295">
        <f>'CAR Mileage'!AA229*CAR!$I$58</f>
        <v>38500.543032423913</v>
      </c>
      <c r="AB208" s="295">
        <f>'CAR Mileage'!AB229*CAR!$I$58</f>
        <v>38500.543032423913</v>
      </c>
      <c r="AC208" s="295">
        <f>'CAR Mileage'!AC229*CAR!$I$58</f>
        <v>38500.543032423913</v>
      </c>
      <c r="AD208" s="295">
        <f>'CAR Mileage'!AD229*CAR!$I$58</f>
        <v>38500.543032423913</v>
      </c>
      <c r="AE208" s="296">
        <f>'CAR Mileage'!AE229*CAR!$I$58</f>
        <v>38500.543032423913</v>
      </c>
      <c r="AG208" s="1711"/>
      <c r="AH208" s="116">
        <v>2</v>
      </c>
      <c r="AI208" s="294">
        <f>'CAR Passenger Kilometres'!C208*'CAR Stock'!C258</f>
        <v>868302747.01025653</v>
      </c>
      <c r="AJ208" s="295">
        <f>'CAR Passenger Kilometres'!D208*'CAR Stock'!D258</f>
        <v>882355445.2170912</v>
      </c>
      <c r="AK208" s="295">
        <f>'CAR Passenger Kilometres'!E208*'CAR Stock'!E258</f>
        <v>744292497.90281904</v>
      </c>
      <c r="AL208" s="295">
        <f>'CAR Passenger Kilometres'!F208*'CAR Stock'!F258</f>
        <v>0</v>
      </c>
      <c r="AM208" s="295">
        <f>'CAR Passenger Kilometres'!G208*'CAR Stock'!G258</f>
        <v>0</v>
      </c>
      <c r="AN208" s="295">
        <f>'CAR Passenger Kilometres'!H208*'CAR Stock'!H258</f>
        <v>0</v>
      </c>
      <c r="AO208" s="295">
        <f>'CAR Passenger Kilometres'!I208*'CAR Stock'!I258</f>
        <v>0</v>
      </c>
      <c r="AP208" s="295">
        <f>'CAR Passenger Kilometres'!J208*'CAR Stock'!J258</f>
        <v>0</v>
      </c>
      <c r="AQ208" s="295">
        <f>'CAR Passenger Kilometres'!K208*'CAR Stock'!K258</f>
        <v>0</v>
      </c>
      <c r="AR208" s="295">
        <f>'CAR Passenger Kilometres'!L208*'CAR Stock'!L258</f>
        <v>0</v>
      </c>
      <c r="AS208" s="295">
        <f>'CAR Passenger Kilometres'!M208*'CAR Stock'!M258</f>
        <v>0</v>
      </c>
      <c r="AT208" s="295">
        <f>'CAR Passenger Kilometres'!N208*'CAR Stock'!N258</f>
        <v>0</v>
      </c>
      <c r="AU208" s="295">
        <f>'CAR Passenger Kilometres'!O208*'CAR Stock'!O258</f>
        <v>0</v>
      </c>
      <c r="AV208" s="295">
        <f>'CAR Passenger Kilometres'!P208*'CAR Stock'!P258</f>
        <v>0</v>
      </c>
      <c r="AW208" s="295">
        <f>'CAR Passenger Kilometres'!Q208*'CAR Stock'!Q258</f>
        <v>0</v>
      </c>
      <c r="AX208" s="295">
        <f>'CAR Passenger Kilometres'!R208*'CAR Stock'!R258</f>
        <v>0</v>
      </c>
      <c r="AY208" s="295">
        <f>'CAR Passenger Kilometres'!S208*'CAR Stock'!S258</f>
        <v>0</v>
      </c>
      <c r="AZ208" s="295">
        <f>'CAR Passenger Kilometres'!T208*'CAR Stock'!T258</f>
        <v>0</v>
      </c>
      <c r="BA208" s="295">
        <f>'CAR Passenger Kilometres'!U208*'CAR Stock'!U258</f>
        <v>0</v>
      </c>
      <c r="BB208" s="295">
        <f>'CAR Passenger Kilometres'!V208*'CAR Stock'!V258</f>
        <v>0</v>
      </c>
      <c r="BC208" s="295">
        <f>'CAR Passenger Kilometres'!W208*'CAR Stock'!W258</f>
        <v>0</v>
      </c>
      <c r="BD208" s="295">
        <f>'CAR Passenger Kilometres'!X208*'CAR Stock'!X258</f>
        <v>0</v>
      </c>
      <c r="BE208" s="295">
        <f>'CAR Passenger Kilometres'!Y208*'CAR Stock'!Y258</f>
        <v>0</v>
      </c>
      <c r="BF208" s="295">
        <f>'CAR Passenger Kilometres'!Z208*'CAR Stock'!Z258</f>
        <v>0</v>
      </c>
      <c r="BG208" s="295">
        <f>'CAR Passenger Kilometres'!AA208*'CAR Stock'!AA258</f>
        <v>0</v>
      </c>
      <c r="BH208" s="295">
        <f>'CAR Passenger Kilometres'!AB208*'CAR Stock'!AB258</f>
        <v>0</v>
      </c>
      <c r="BI208" s="295">
        <f>'CAR Passenger Kilometres'!AC208*'CAR Stock'!AC258</f>
        <v>0</v>
      </c>
      <c r="BJ208" s="295">
        <f>'CAR Passenger Kilometres'!AD208*'CAR Stock'!AD258</f>
        <v>0</v>
      </c>
      <c r="BK208" s="296">
        <f>'CAR Passenger Kilometres'!AE208*'CAR Stock'!AE258</f>
        <v>0</v>
      </c>
    </row>
    <row r="209" spans="1:63">
      <c r="A209" s="1711"/>
      <c r="B209" s="116">
        <v>3</v>
      </c>
      <c r="C209" s="294">
        <f>'CAR Mileage'!C230*CAR!$I$58</f>
        <v>37730.532171775434</v>
      </c>
      <c r="D209" s="295">
        <f>'CAR Mileage'!D230*CAR!$I$58</f>
        <v>37730.532171775434</v>
      </c>
      <c r="E209" s="295">
        <f>'CAR Mileage'!E230*CAR!$I$58</f>
        <v>37730.532171775434</v>
      </c>
      <c r="F209" s="295">
        <f>'CAR Mileage'!F230*CAR!$I$58</f>
        <v>37730.532171775434</v>
      </c>
      <c r="G209" s="295">
        <f>'CAR Mileage'!G230*CAR!$I$58</f>
        <v>37730.532171775434</v>
      </c>
      <c r="H209" s="295">
        <f>'CAR Mileage'!H230*CAR!$I$58</f>
        <v>37730.532171775434</v>
      </c>
      <c r="I209" s="295">
        <f>'CAR Mileage'!I230*CAR!$I$58</f>
        <v>37730.532171775434</v>
      </c>
      <c r="J209" s="295">
        <f>'CAR Mileage'!J230*CAR!$I$58</f>
        <v>37730.532171775434</v>
      </c>
      <c r="K209" s="295">
        <f>'CAR Mileage'!K230*CAR!$I$58</f>
        <v>37730.532171775434</v>
      </c>
      <c r="L209" s="295">
        <f>'CAR Mileage'!L230*CAR!$I$58</f>
        <v>37730.532171775434</v>
      </c>
      <c r="M209" s="295">
        <f>'CAR Mileage'!M230*CAR!$I$58</f>
        <v>37730.532171775434</v>
      </c>
      <c r="N209" s="295">
        <f>'CAR Mileage'!N230*CAR!$I$58</f>
        <v>37730.532171775434</v>
      </c>
      <c r="O209" s="295">
        <f>'CAR Mileage'!O230*CAR!$I$58</f>
        <v>37730.532171775434</v>
      </c>
      <c r="P209" s="295">
        <f>'CAR Mileage'!P230*CAR!$I$58</f>
        <v>37730.532171775434</v>
      </c>
      <c r="Q209" s="295">
        <f>'CAR Mileage'!Q230*CAR!$I$58</f>
        <v>37730.532171775434</v>
      </c>
      <c r="R209" s="295">
        <f>'CAR Mileage'!R230*CAR!$I$58</f>
        <v>37730.532171775434</v>
      </c>
      <c r="S209" s="295">
        <f>'CAR Mileage'!S230*CAR!$I$58</f>
        <v>37730.532171775434</v>
      </c>
      <c r="T209" s="295">
        <f>'CAR Mileage'!T230*CAR!$I$58</f>
        <v>37730.532171775434</v>
      </c>
      <c r="U209" s="295">
        <f>'CAR Mileage'!U230*CAR!$I$58</f>
        <v>37730.532171775434</v>
      </c>
      <c r="V209" s="295">
        <f>'CAR Mileage'!V230*CAR!$I$58</f>
        <v>37730.532171775434</v>
      </c>
      <c r="W209" s="295">
        <f>'CAR Mileage'!W230*CAR!$I$58</f>
        <v>37730.532171775434</v>
      </c>
      <c r="X209" s="295">
        <f>'CAR Mileage'!X230*CAR!$I$58</f>
        <v>37730.532171775434</v>
      </c>
      <c r="Y209" s="295">
        <f>'CAR Mileage'!Y230*CAR!$I$58</f>
        <v>37730.532171775434</v>
      </c>
      <c r="Z209" s="295">
        <f>'CAR Mileage'!Z230*CAR!$I$58</f>
        <v>37730.532171775434</v>
      </c>
      <c r="AA209" s="295">
        <f>'CAR Mileage'!AA230*CAR!$I$58</f>
        <v>37730.532171775434</v>
      </c>
      <c r="AB209" s="295">
        <f>'CAR Mileage'!AB230*CAR!$I$58</f>
        <v>37730.532171775434</v>
      </c>
      <c r="AC209" s="295">
        <f>'CAR Mileage'!AC230*CAR!$I$58</f>
        <v>37730.532171775434</v>
      </c>
      <c r="AD209" s="295">
        <f>'CAR Mileage'!AD230*CAR!$I$58</f>
        <v>37730.532171775434</v>
      </c>
      <c r="AE209" s="296">
        <f>'CAR Mileage'!AE230*CAR!$I$58</f>
        <v>37730.532171775434</v>
      </c>
      <c r="AG209" s="1711"/>
      <c r="AH209" s="116">
        <v>3</v>
      </c>
      <c r="AI209" s="294">
        <f>'CAR Passenger Kilometres'!C209*'CAR Stock'!C259</f>
        <v>796680186.80703831</v>
      </c>
      <c r="AJ209" s="295">
        <f>'CAR Passenger Kilometres'!D209*'CAR Stock'!D259</f>
        <v>850936692.07005131</v>
      </c>
      <c r="AK209" s="295">
        <f>'CAR Passenger Kilometres'!E209*'CAR Stock'!E259</f>
        <v>864708336.31274939</v>
      </c>
      <c r="AL209" s="295">
        <f>'CAR Passenger Kilometres'!F209*'CAR Stock'!F259</f>
        <v>729406647.94476271</v>
      </c>
      <c r="AM209" s="295">
        <f>'CAR Passenger Kilometres'!G209*'CAR Stock'!G259</f>
        <v>0</v>
      </c>
      <c r="AN209" s="295">
        <f>'CAR Passenger Kilometres'!H209*'CAR Stock'!H259</f>
        <v>0</v>
      </c>
      <c r="AO209" s="295">
        <f>'CAR Passenger Kilometres'!I209*'CAR Stock'!I259</f>
        <v>0</v>
      </c>
      <c r="AP209" s="295">
        <f>'CAR Passenger Kilometres'!J209*'CAR Stock'!J259</f>
        <v>0</v>
      </c>
      <c r="AQ209" s="295">
        <f>'CAR Passenger Kilometres'!K209*'CAR Stock'!K259</f>
        <v>0</v>
      </c>
      <c r="AR209" s="295">
        <f>'CAR Passenger Kilometres'!L209*'CAR Stock'!L259</f>
        <v>0</v>
      </c>
      <c r="AS209" s="295">
        <f>'CAR Passenger Kilometres'!M209*'CAR Stock'!M259</f>
        <v>0</v>
      </c>
      <c r="AT209" s="295">
        <f>'CAR Passenger Kilometres'!N209*'CAR Stock'!N259</f>
        <v>0</v>
      </c>
      <c r="AU209" s="295">
        <f>'CAR Passenger Kilometres'!O209*'CAR Stock'!O259</f>
        <v>0</v>
      </c>
      <c r="AV209" s="295">
        <f>'CAR Passenger Kilometres'!P209*'CAR Stock'!P259</f>
        <v>0</v>
      </c>
      <c r="AW209" s="295">
        <f>'CAR Passenger Kilometres'!Q209*'CAR Stock'!Q259</f>
        <v>0</v>
      </c>
      <c r="AX209" s="295">
        <f>'CAR Passenger Kilometres'!R209*'CAR Stock'!R259</f>
        <v>0</v>
      </c>
      <c r="AY209" s="295">
        <f>'CAR Passenger Kilometres'!S209*'CAR Stock'!S259</f>
        <v>0</v>
      </c>
      <c r="AZ209" s="295">
        <f>'CAR Passenger Kilometres'!T209*'CAR Stock'!T259</f>
        <v>0</v>
      </c>
      <c r="BA209" s="295">
        <f>'CAR Passenger Kilometres'!U209*'CAR Stock'!U259</f>
        <v>0</v>
      </c>
      <c r="BB209" s="295">
        <f>'CAR Passenger Kilometres'!V209*'CAR Stock'!V259</f>
        <v>0</v>
      </c>
      <c r="BC209" s="295">
        <f>'CAR Passenger Kilometres'!W209*'CAR Stock'!W259</f>
        <v>0</v>
      </c>
      <c r="BD209" s="295">
        <f>'CAR Passenger Kilometres'!X209*'CAR Stock'!X259</f>
        <v>0</v>
      </c>
      <c r="BE209" s="295">
        <f>'CAR Passenger Kilometres'!Y209*'CAR Stock'!Y259</f>
        <v>0</v>
      </c>
      <c r="BF209" s="295">
        <f>'CAR Passenger Kilometres'!Z209*'CAR Stock'!Z259</f>
        <v>0</v>
      </c>
      <c r="BG209" s="295">
        <f>'CAR Passenger Kilometres'!AA209*'CAR Stock'!AA259</f>
        <v>0</v>
      </c>
      <c r="BH209" s="295">
        <f>'CAR Passenger Kilometres'!AB209*'CAR Stock'!AB259</f>
        <v>0</v>
      </c>
      <c r="BI209" s="295">
        <f>'CAR Passenger Kilometres'!AC209*'CAR Stock'!AC259</f>
        <v>0</v>
      </c>
      <c r="BJ209" s="295">
        <f>'CAR Passenger Kilometres'!AD209*'CAR Stock'!AD259</f>
        <v>0</v>
      </c>
      <c r="BK209" s="296">
        <f>'CAR Passenger Kilometres'!AE209*'CAR Stock'!AE259</f>
        <v>0</v>
      </c>
    </row>
    <row r="210" spans="1:63">
      <c r="A210" s="1711"/>
      <c r="B210" s="116">
        <v>4</v>
      </c>
      <c r="C210" s="294">
        <f>'CAR Mileage'!C231*CAR!$I$58</f>
        <v>36975.921528339924</v>
      </c>
      <c r="D210" s="295">
        <f>'CAR Mileage'!D231*CAR!$I$58</f>
        <v>36975.921528339924</v>
      </c>
      <c r="E210" s="295">
        <f>'CAR Mileage'!E231*CAR!$I$58</f>
        <v>36975.921528339924</v>
      </c>
      <c r="F210" s="295">
        <f>'CAR Mileage'!F231*CAR!$I$58</f>
        <v>36975.921528339924</v>
      </c>
      <c r="G210" s="295">
        <f>'CAR Mileage'!G231*CAR!$I$58</f>
        <v>36975.921528339924</v>
      </c>
      <c r="H210" s="295">
        <f>'CAR Mileage'!H231*CAR!$I$58</f>
        <v>36975.921528339924</v>
      </c>
      <c r="I210" s="295">
        <f>'CAR Mileage'!I231*CAR!$I$58</f>
        <v>36975.921528339924</v>
      </c>
      <c r="J210" s="295">
        <f>'CAR Mileage'!J231*CAR!$I$58</f>
        <v>36975.921528339924</v>
      </c>
      <c r="K210" s="295">
        <f>'CAR Mileage'!K231*CAR!$I$58</f>
        <v>36975.921528339924</v>
      </c>
      <c r="L210" s="295">
        <f>'CAR Mileage'!L231*CAR!$I$58</f>
        <v>36975.921528339924</v>
      </c>
      <c r="M210" s="295">
        <f>'CAR Mileage'!M231*CAR!$I$58</f>
        <v>36975.921528339924</v>
      </c>
      <c r="N210" s="295">
        <f>'CAR Mileage'!N231*CAR!$I$58</f>
        <v>36975.921528339924</v>
      </c>
      <c r="O210" s="295">
        <f>'CAR Mileage'!O231*CAR!$I$58</f>
        <v>36975.921528339924</v>
      </c>
      <c r="P210" s="295">
        <f>'CAR Mileage'!P231*CAR!$I$58</f>
        <v>36975.921528339924</v>
      </c>
      <c r="Q210" s="295">
        <f>'CAR Mileage'!Q231*CAR!$I$58</f>
        <v>36975.921528339924</v>
      </c>
      <c r="R210" s="295">
        <f>'CAR Mileage'!R231*CAR!$I$58</f>
        <v>36975.921528339924</v>
      </c>
      <c r="S210" s="295">
        <f>'CAR Mileage'!S231*CAR!$I$58</f>
        <v>36975.921528339924</v>
      </c>
      <c r="T210" s="295">
        <f>'CAR Mileage'!T231*CAR!$I$58</f>
        <v>36975.921528339924</v>
      </c>
      <c r="U210" s="295">
        <f>'CAR Mileage'!U231*CAR!$I$58</f>
        <v>36975.921528339924</v>
      </c>
      <c r="V210" s="295">
        <f>'CAR Mileage'!V231*CAR!$I$58</f>
        <v>36975.921528339924</v>
      </c>
      <c r="W210" s="295">
        <f>'CAR Mileage'!W231*CAR!$I$58</f>
        <v>36975.921528339924</v>
      </c>
      <c r="X210" s="295">
        <f>'CAR Mileage'!X231*CAR!$I$58</f>
        <v>36975.921528339924</v>
      </c>
      <c r="Y210" s="295">
        <f>'CAR Mileage'!Y231*CAR!$I$58</f>
        <v>36975.921528339924</v>
      </c>
      <c r="Z210" s="295">
        <f>'CAR Mileage'!Z231*CAR!$I$58</f>
        <v>36975.921528339924</v>
      </c>
      <c r="AA210" s="295">
        <f>'CAR Mileage'!AA231*CAR!$I$58</f>
        <v>36975.921528339924</v>
      </c>
      <c r="AB210" s="295">
        <f>'CAR Mileage'!AB231*CAR!$I$58</f>
        <v>36975.921528339924</v>
      </c>
      <c r="AC210" s="295">
        <f>'CAR Mileage'!AC231*CAR!$I$58</f>
        <v>36975.921528339924</v>
      </c>
      <c r="AD210" s="295">
        <f>'CAR Mileage'!AD231*CAR!$I$58</f>
        <v>36975.921528339924</v>
      </c>
      <c r="AE210" s="296">
        <f>'CAR Mileage'!AE231*CAR!$I$58</f>
        <v>36975.921528339924</v>
      </c>
      <c r="AG210" s="1711"/>
      <c r="AH210" s="116">
        <v>4</v>
      </c>
      <c r="AI210" s="294">
        <f>'CAR Passenger Kilometres'!C210*'CAR Stock'!C260</f>
        <v>1213623696.403173</v>
      </c>
      <c r="AJ210" s="295">
        <f>'CAR Passenger Kilometres'!D210*'CAR Stock'!D260</f>
        <v>780746583.07089746</v>
      </c>
      <c r="AK210" s="295">
        <f>'CAR Passenger Kilometres'!E210*'CAR Stock'!E260</f>
        <v>833917958.22865033</v>
      </c>
      <c r="AL210" s="295">
        <f>'CAR Passenger Kilometres'!F210*'CAR Stock'!F260</f>
        <v>847414169.58649445</v>
      </c>
      <c r="AM210" s="295">
        <f>'CAR Passenger Kilometres'!G210*'CAR Stock'!G260</f>
        <v>714818514.98586738</v>
      </c>
      <c r="AN210" s="295">
        <f>'CAR Passenger Kilometres'!H210*'CAR Stock'!H260</f>
        <v>0</v>
      </c>
      <c r="AO210" s="295">
        <f>'CAR Passenger Kilometres'!I210*'CAR Stock'!I260</f>
        <v>0</v>
      </c>
      <c r="AP210" s="295">
        <f>'CAR Passenger Kilometres'!J210*'CAR Stock'!J260</f>
        <v>0</v>
      </c>
      <c r="AQ210" s="295">
        <f>'CAR Passenger Kilometres'!K210*'CAR Stock'!K260</f>
        <v>0</v>
      </c>
      <c r="AR210" s="295">
        <f>'CAR Passenger Kilometres'!L210*'CAR Stock'!L260</f>
        <v>0</v>
      </c>
      <c r="AS210" s="295">
        <f>'CAR Passenger Kilometres'!M210*'CAR Stock'!M260</f>
        <v>0</v>
      </c>
      <c r="AT210" s="295">
        <f>'CAR Passenger Kilometres'!N210*'CAR Stock'!N260</f>
        <v>0</v>
      </c>
      <c r="AU210" s="295">
        <f>'CAR Passenger Kilometres'!O210*'CAR Stock'!O260</f>
        <v>0</v>
      </c>
      <c r="AV210" s="295">
        <f>'CAR Passenger Kilometres'!P210*'CAR Stock'!P260</f>
        <v>0</v>
      </c>
      <c r="AW210" s="295">
        <f>'CAR Passenger Kilometres'!Q210*'CAR Stock'!Q260</f>
        <v>0</v>
      </c>
      <c r="AX210" s="295">
        <f>'CAR Passenger Kilometres'!R210*'CAR Stock'!R260</f>
        <v>0</v>
      </c>
      <c r="AY210" s="295">
        <f>'CAR Passenger Kilometres'!S210*'CAR Stock'!S260</f>
        <v>0</v>
      </c>
      <c r="AZ210" s="295">
        <f>'CAR Passenger Kilometres'!T210*'CAR Stock'!T260</f>
        <v>0</v>
      </c>
      <c r="BA210" s="295">
        <f>'CAR Passenger Kilometres'!U210*'CAR Stock'!U260</f>
        <v>0</v>
      </c>
      <c r="BB210" s="295">
        <f>'CAR Passenger Kilometres'!V210*'CAR Stock'!V260</f>
        <v>0</v>
      </c>
      <c r="BC210" s="295">
        <f>'CAR Passenger Kilometres'!W210*'CAR Stock'!W260</f>
        <v>0</v>
      </c>
      <c r="BD210" s="295">
        <f>'CAR Passenger Kilometres'!X210*'CAR Stock'!X260</f>
        <v>0</v>
      </c>
      <c r="BE210" s="295">
        <f>'CAR Passenger Kilometres'!Y210*'CAR Stock'!Y260</f>
        <v>0</v>
      </c>
      <c r="BF210" s="295">
        <f>'CAR Passenger Kilometres'!Z210*'CAR Stock'!Z260</f>
        <v>0</v>
      </c>
      <c r="BG210" s="295">
        <f>'CAR Passenger Kilometres'!AA210*'CAR Stock'!AA260</f>
        <v>0</v>
      </c>
      <c r="BH210" s="295">
        <f>'CAR Passenger Kilometres'!AB210*'CAR Stock'!AB260</f>
        <v>0</v>
      </c>
      <c r="BI210" s="295">
        <f>'CAR Passenger Kilometres'!AC210*'CAR Stock'!AC260</f>
        <v>0</v>
      </c>
      <c r="BJ210" s="295">
        <f>'CAR Passenger Kilometres'!AD210*'CAR Stock'!AD260</f>
        <v>0</v>
      </c>
      <c r="BK210" s="296">
        <f>'CAR Passenger Kilometres'!AE210*'CAR Stock'!AE260</f>
        <v>0</v>
      </c>
    </row>
    <row r="211" spans="1:63">
      <c r="A211" s="1711"/>
      <c r="B211" s="116">
        <v>5</v>
      </c>
      <c r="C211" s="294">
        <f>'CAR Mileage'!C232*CAR!$I$58</f>
        <v>36236.403097773124</v>
      </c>
      <c r="D211" s="295">
        <f>'CAR Mileage'!D232*CAR!$I$58</f>
        <v>36236.403097773124</v>
      </c>
      <c r="E211" s="295">
        <f>'CAR Mileage'!E232*CAR!$I$58</f>
        <v>36236.403097773124</v>
      </c>
      <c r="F211" s="295">
        <f>'CAR Mileage'!F232*CAR!$I$58</f>
        <v>36236.403097773124</v>
      </c>
      <c r="G211" s="295">
        <f>'CAR Mileage'!G232*CAR!$I$58</f>
        <v>36236.403097773124</v>
      </c>
      <c r="H211" s="295">
        <f>'CAR Mileage'!H232*CAR!$I$58</f>
        <v>36236.403097773124</v>
      </c>
      <c r="I211" s="295">
        <f>'CAR Mileage'!I232*CAR!$I$58</f>
        <v>36236.403097773124</v>
      </c>
      <c r="J211" s="295">
        <f>'CAR Mileage'!J232*CAR!$I$58</f>
        <v>36236.403097773124</v>
      </c>
      <c r="K211" s="295">
        <f>'CAR Mileage'!K232*CAR!$I$58</f>
        <v>36236.403097773124</v>
      </c>
      <c r="L211" s="295">
        <f>'CAR Mileage'!L232*CAR!$I$58</f>
        <v>36236.403097773124</v>
      </c>
      <c r="M211" s="295">
        <f>'CAR Mileage'!M232*CAR!$I$58</f>
        <v>36236.403097773124</v>
      </c>
      <c r="N211" s="295">
        <f>'CAR Mileage'!N232*CAR!$I$58</f>
        <v>36236.403097773124</v>
      </c>
      <c r="O211" s="295">
        <f>'CAR Mileage'!O232*CAR!$I$58</f>
        <v>36236.403097773124</v>
      </c>
      <c r="P211" s="295">
        <f>'CAR Mileage'!P232*CAR!$I$58</f>
        <v>36236.403097773124</v>
      </c>
      <c r="Q211" s="295">
        <f>'CAR Mileage'!Q232*CAR!$I$58</f>
        <v>36236.403097773124</v>
      </c>
      <c r="R211" s="295">
        <f>'CAR Mileage'!R232*CAR!$I$58</f>
        <v>36236.403097773124</v>
      </c>
      <c r="S211" s="295">
        <f>'CAR Mileage'!S232*CAR!$I$58</f>
        <v>36236.403097773124</v>
      </c>
      <c r="T211" s="295">
        <f>'CAR Mileage'!T232*CAR!$I$58</f>
        <v>36236.403097773124</v>
      </c>
      <c r="U211" s="295">
        <f>'CAR Mileage'!U232*CAR!$I$58</f>
        <v>36236.403097773124</v>
      </c>
      <c r="V211" s="295">
        <f>'CAR Mileage'!V232*CAR!$I$58</f>
        <v>36236.403097773124</v>
      </c>
      <c r="W211" s="295">
        <f>'CAR Mileage'!W232*CAR!$I$58</f>
        <v>36236.403097773124</v>
      </c>
      <c r="X211" s="295">
        <f>'CAR Mileage'!X232*CAR!$I$58</f>
        <v>36236.403097773124</v>
      </c>
      <c r="Y211" s="295">
        <f>'CAR Mileage'!Y232*CAR!$I$58</f>
        <v>36236.403097773124</v>
      </c>
      <c r="Z211" s="295">
        <f>'CAR Mileage'!Z232*CAR!$I$58</f>
        <v>36236.403097773124</v>
      </c>
      <c r="AA211" s="295">
        <f>'CAR Mileage'!AA232*CAR!$I$58</f>
        <v>36236.403097773124</v>
      </c>
      <c r="AB211" s="295">
        <f>'CAR Mileage'!AB232*CAR!$I$58</f>
        <v>36236.403097773124</v>
      </c>
      <c r="AC211" s="295">
        <f>'CAR Mileage'!AC232*CAR!$I$58</f>
        <v>36236.403097773124</v>
      </c>
      <c r="AD211" s="295">
        <f>'CAR Mileage'!AD232*CAR!$I$58</f>
        <v>36236.403097773124</v>
      </c>
      <c r="AE211" s="296">
        <f>'CAR Mileage'!AE232*CAR!$I$58</f>
        <v>36236.403097773124</v>
      </c>
      <c r="AG211" s="1711"/>
      <c r="AH211" s="116">
        <v>5</v>
      </c>
      <c r="AI211" s="294">
        <f>'CAR Passenger Kilometres'!C211*'CAR Stock'!C261</f>
        <v>986753492.7554599</v>
      </c>
      <c r="AJ211" s="295">
        <f>'CAR Passenger Kilometres'!D211*'CAR Stock'!D261</f>
        <v>1189351222.4751096</v>
      </c>
      <c r="AK211" s="295">
        <f>'CAR Passenger Kilometres'!E211*'CAR Stock'!E261</f>
        <v>765131651.4094795</v>
      </c>
      <c r="AL211" s="295">
        <f>'CAR Passenger Kilometres'!F211*'CAR Stock'!F261</f>
        <v>817239599.06407726</v>
      </c>
      <c r="AM211" s="295">
        <f>'CAR Passenger Kilometres'!G211*'CAR Stock'!G261</f>
        <v>830465886.19476449</v>
      </c>
      <c r="AN211" s="295">
        <f>'CAR Passenger Kilometres'!H211*'CAR Stock'!H261</f>
        <v>700522144.68615007</v>
      </c>
      <c r="AO211" s="295">
        <f>'CAR Passenger Kilometres'!I211*'CAR Stock'!I261</f>
        <v>0</v>
      </c>
      <c r="AP211" s="295">
        <f>'CAR Passenger Kilometres'!J211*'CAR Stock'!J261</f>
        <v>0</v>
      </c>
      <c r="AQ211" s="295">
        <f>'CAR Passenger Kilometres'!K211*'CAR Stock'!K261</f>
        <v>0</v>
      </c>
      <c r="AR211" s="295">
        <f>'CAR Passenger Kilometres'!L211*'CAR Stock'!L261</f>
        <v>0</v>
      </c>
      <c r="AS211" s="295">
        <f>'CAR Passenger Kilometres'!M211*'CAR Stock'!M261</f>
        <v>0</v>
      </c>
      <c r="AT211" s="295">
        <f>'CAR Passenger Kilometres'!N211*'CAR Stock'!N261</f>
        <v>0</v>
      </c>
      <c r="AU211" s="295">
        <f>'CAR Passenger Kilometres'!O211*'CAR Stock'!O261</f>
        <v>0</v>
      </c>
      <c r="AV211" s="295">
        <f>'CAR Passenger Kilometres'!P211*'CAR Stock'!P261</f>
        <v>0</v>
      </c>
      <c r="AW211" s="295">
        <f>'CAR Passenger Kilometres'!Q211*'CAR Stock'!Q261</f>
        <v>0</v>
      </c>
      <c r="AX211" s="295">
        <f>'CAR Passenger Kilometres'!R211*'CAR Stock'!R261</f>
        <v>0</v>
      </c>
      <c r="AY211" s="295">
        <f>'CAR Passenger Kilometres'!S211*'CAR Stock'!S261</f>
        <v>0</v>
      </c>
      <c r="AZ211" s="295">
        <f>'CAR Passenger Kilometres'!T211*'CAR Stock'!T261</f>
        <v>0</v>
      </c>
      <c r="BA211" s="295">
        <f>'CAR Passenger Kilometres'!U211*'CAR Stock'!U261</f>
        <v>0</v>
      </c>
      <c r="BB211" s="295">
        <f>'CAR Passenger Kilometres'!V211*'CAR Stock'!V261</f>
        <v>0</v>
      </c>
      <c r="BC211" s="295">
        <f>'CAR Passenger Kilometres'!W211*'CAR Stock'!W261</f>
        <v>0</v>
      </c>
      <c r="BD211" s="295">
        <f>'CAR Passenger Kilometres'!X211*'CAR Stock'!X261</f>
        <v>0</v>
      </c>
      <c r="BE211" s="295">
        <f>'CAR Passenger Kilometres'!Y211*'CAR Stock'!Y261</f>
        <v>0</v>
      </c>
      <c r="BF211" s="295">
        <f>'CAR Passenger Kilometres'!Z211*'CAR Stock'!Z261</f>
        <v>0</v>
      </c>
      <c r="BG211" s="295">
        <f>'CAR Passenger Kilometres'!AA211*'CAR Stock'!AA261</f>
        <v>0</v>
      </c>
      <c r="BH211" s="295">
        <f>'CAR Passenger Kilometres'!AB211*'CAR Stock'!AB261</f>
        <v>0</v>
      </c>
      <c r="BI211" s="295">
        <f>'CAR Passenger Kilometres'!AC211*'CAR Stock'!AC261</f>
        <v>0</v>
      </c>
      <c r="BJ211" s="295">
        <f>'CAR Passenger Kilometres'!AD211*'CAR Stock'!AD261</f>
        <v>0</v>
      </c>
      <c r="BK211" s="296">
        <f>'CAR Passenger Kilometres'!AE211*'CAR Stock'!AE261</f>
        <v>0</v>
      </c>
    </row>
    <row r="212" spans="1:63">
      <c r="A212" s="1711"/>
      <c r="B212" s="116">
        <v>6</v>
      </c>
      <c r="C212" s="294">
        <f>'CAR Mileage'!C233*CAR!$I$58</f>
        <v>35511.675035817665</v>
      </c>
      <c r="D212" s="295">
        <f>'CAR Mileage'!D233*CAR!$I$58</f>
        <v>35511.675035817665</v>
      </c>
      <c r="E212" s="295">
        <f>'CAR Mileage'!E233*CAR!$I$58</f>
        <v>35511.675035817665</v>
      </c>
      <c r="F212" s="295">
        <f>'CAR Mileage'!F233*CAR!$I$58</f>
        <v>35511.675035817665</v>
      </c>
      <c r="G212" s="295">
        <f>'CAR Mileage'!G233*CAR!$I$58</f>
        <v>35511.675035817665</v>
      </c>
      <c r="H212" s="295">
        <f>'CAR Mileage'!H233*CAR!$I$58</f>
        <v>35511.675035817665</v>
      </c>
      <c r="I212" s="295">
        <f>'CAR Mileage'!I233*CAR!$I$58</f>
        <v>35511.675035817665</v>
      </c>
      <c r="J212" s="295">
        <f>'CAR Mileage'!J233*CAR!$I$58</f>
        <v>35511.675035817665</v>
      </c>
      <c r="K212" s="295">
        <f>'CAR Mileage'!K233*CAR!$I$58</f>
        <v>35511.675035817665</v>
      </c>
      <c r="L212" s="295">
        <f>'CAR Mileage'!L233*CAR!$I$58</f>
        <v>35511.675035817665</v>
      </c>
      <c r="M212" s="295">
        <f>'CAR Mileage'!M233*CAR!$I$58</f>
        <v>35511.675035817665</v>
      </c>
      <c r="N212" s="295">
        <f>'CAR Mileage'!N233*CAR!$I$58</f>
        <v>35511.675035817665</v>
      </c>
      <c r="O212" s="295">
        <f>'CAR Mileage'!O233*CAR!$I$58</f>
        <v>35511.675035817665</v>
      </c>
      <c r="P212" s="295">
        <f>'CAR Mileage'!P233*CAR!$I$58</f>
        <v>35511.675035817665</v>
      </c>
      <c r="Q212" s="295">
        <f>'CAR Mileage'!Q233*CAR!$I$58</f>
        <v>35511.675035817665</v>
      </c>
      <c r="R212" s="295">
        <f>'CAR Mileage'!R233*CAR!$I$58</f>
        <v>35511.675035817665</v>
      </c>
      <c r="S212" s="295">
        <f>'CAR Mileage'!S233*CAR!$I$58</f>
        <v>35511.675035817665</v>
      </c>
      <c r="T212" s="295">
        <f>'CAR Mileage'!T233*CAR!$I$58</f>
        <v>35511.675035817665</v>
      </c>
      <c r="U212" s="295">
        <f>'CAR Mileage'!U233*CAR!$I$58</f>
        <v>35511.675035817665</v>
      </c>
      <c r="V212" s="295">
        <f>'CAR Mileage'!V233*CAR!$I$58</f>
        <v>35511.675035817665</v>
      </c>
      <c r="W212" s="295">
        <f>'CAR Mileage'!W233*CAR!$I$58</f>
        <v>35511.675035817665</v>
      </c>
      <c r="X212" s="295">
        <f>'CAR Mileage'!X233*CAR!$I$58</f>
        <v>35511.675035817665</v>
      </c>
      <c r="Y212" s="295">
        <f>'CAR Mileage'!Y233*CAR!$I$58</f>
        <v>35511.675035817665</v>
      </c>
      <c r="Z212" s="295">
        <f>'CAR Mileage'!Z233*CAR!$I$58</f>
        <v>35511.675035817665</v>
      </c>
      <c r="AA212" s="295">
        <f>'CAR Mileage'!AA233*CAR!$I$58</f>
        <v>35511.675035817665</v>
      </c>
      <c r="AB212" s="295">
        <f>'CAR Mileage'!AB233*CAR!$I$58</f>
        <v>35511.675035817665</v>
      </c>
      <c r="AC212" s="295">
        <f>'CAR Mileage'!AC233*CAR!$I$58</f>
        <v>35511.675035817665</v>
      </c>
      <c r="AD212" s="295">
        <f>'CAR Mileage'!AD233*CAR!$I$58</f>
        <v>35511.675035817665</v>
      </c>
      <c r="AE212" s="296">
        <f>'CAR Mileage'!AE233*CAR!$I$58</f>
        <v>35511.675035817665</v>
      </c>
      <c r="AG212" s="1711"/>
      <c r="AH212" s="116">
        <v>6</v>
      </c>
      <c r="AI212" s="294">
        <f>'CAR Passenger Kilometres'!C212*'CAR Stock'!C262</f>
        <v>951357774.20955527</v>
      </c>
      <c r="AJ212" s="295">
        <f>'CAR Passenger Kilometres'!D212*'CAR Stock'!D262</f>
        <v>967018422.90035081</v>
      </c>
      <c r="AK212" s="295">
        <f>'CAR Passenger Kilometres'!E212*'CAR Stock'!E262</f>
        <v>1165564198.0256073</v>
      </c>
      <c r="AL212" s="295">
        <f>'CAR Passenger Kilometres'!F212*'CAR Stock'!F262</f>
        <v>749829018.38128996</v>
      </c>
      <c r="AM212" s="295">
        <f>'CAR Passenger Kilometres'!G212*'CAR Stock'!G262</f>
        <v>800894807.08279586</v>
      </c>
      <c r="AN212" s="295">
        <f>'CAR Passenger Kilometres'!H212*'CAR Stock'!H262</f>
        <v>813856568.4708693</v>
      </c>
      <c r="AO212" s="295">
        <f>'CAR Passenger Kilometres'!I212*'CAR Stock'!I262</f>
        <v>686511701.79242706</v>
      </c>
      <c r="AP212" s="295">
        <f>'CAR Passenger Kilometres'!J212*'CAR Stock'!J262</f>
        <v>0</v>
      </c>
      <c r="AQ212" s="295">
        <f>'CAR Passenger Kilometres'!K212*'CAR Stock'!K262</f>
        <v>0</v>
      </c>
      <c r="AR212" s="295">
        <f>'CAR Passenger Kilometres'!L212*'CAR Stock'!L262</f>
        <v>0</v>
      </c>
      <c r="AS212" s="295">
        <f>'CAR Passenger Kilometres'!M212*'CAR Stock'!M262</f>
        <v>0</v>
      </c>
      <c r="AT212" s="295">
        <f>'CAR Passenger Kilometres'!N212*'CAR Stock'!N262</f>
        <v>0</v>
      </c>
      <c r="AU212" s="295">
        <f>'CAR Passenger Kilometres'!O212*'CAR Stock'!O262</f>
        <v>0</v>
      </c>
      <c r="AV212" s="295">
        <f>'CAR Passenger Kilometres'!P212*'CAR Stock'!P262</f>
        <v>0</v>
      </c>
      <c r="AW212" s="295">
        <f>'CAR Passenger Kilometres'!Q212*'CAR Stock'!Q262</f>
        <v>0</v>
      </c>
      <c r="AX212" s="295">
        <f>'CAR Passenger Kilometres'!R212*'CAR Stock'!R262</f>
        <v>0</v>
      </c>
      <c r="AY212" s="295">
        <f>'CAR Passenger Kilometres'!S212*'CAR Stock'!S262</f>
        <v>0</v>
      </c>
      <c r="AZ212" s="295">
        <f>'CAR Passenger Kilometres'!T212*'CAR Stock'!T262</f>
        <v>0</v>
      </c>
      <c r="BA212" s="295">
        <f>'CAR Passenger Kilometres'!U212*'CAR Stock'!U262</f>
        <v>0</v>
      </c>
      <c r="BB212" s="295">
        <f>'CAR Passenger Kilometres'!V212*'CAR Stock'!V262</f>
        <v>0</v>
      </c>
      <c r="BC212" s="295">
        <f>'CAR Passenger Kilometres'!W212*'CAR Stock'!W262</f>
        <v>0</v>
      </c>
      <c r="BD212" s="295">
        <f>'CAR Passenger Kilometres'!X212*'CAR Stock'!X262</f>
        <v>0</v>
      </c>
      <c r="BE212" s="295">
        <f>'CAR Passenger Kilometres'!Y212*'CAR Stock'!Y262</f>
        <v>0</v>
      </c>
      <c r="BF212" s="295">
        <f>'CAR Passenger Kilometres'!Z212*'CAR Stock'!Z262</f>
        <v>0</v>
      </c>
      <c r="BG212" s="295">
        <f>'CAR Passenger Kilometres'!AA212*'CAR Stock'!AA262</f>
        <v>0</v>
      </c>
      <c r="BH212" s="295">
        <f>'CAR Passenger Kilometres'!AB212*'CAR Stock'!AB262</f>
        <v>0</v>
      </c>
      <c r="BI212" s="295">
        <f>'CAR Passenger Kilometres'!AC212*'CAR Stock'!AC262</f>
        <v>0</v>
      </c>
      <c r="BJ212" s="295">
        <f>'CAR Passenger Kilometres'!AD212*'CAR Stock'!AD262</f>
        <v>0</v>
      </c>
      <c r="BK212" s="296">
        <f>'CAR Passenger Kilometres'!AE212*'CAR Stock'!AE262</f>
        <v>0</v>
      </c>
    </row>
    <row r="213" spans="1:63">
      <c r="A213" s="1711"/>
      <c r="B213" s="116">
        <v>7</v>
      </c>
      <c r="C213" s="294">
        <f>'CAR Mileage'!C234*CAR!$I$58</f>
        <v>34801.441535101309</v>
      </c>
      <c r="D213" s="295">
        <f>'CAR Mileage'!D234*CAR!$I$58</f>
        <v>34801.441535101309</v>
      </c>
      <c r="E213" s="295">
        <f>'CAR Mileage'!E234*CAR!$I$58</f>
        <v>34801.441535101309</v>
      </c>
      <c r="F213" s="295">
        <f>'CAR Mileage'!F234*CAR!$I$58</f>
        <v>34801.441535101309</v>
      </c>
      <c r="G213" s="295">
        <f>'CAR Mileage'!G234*CAR!$I$58</f>
        <v>34801.441535101309</v>
      </c>
      <c r="H213" s="295">
        <f>'CAR Mileage'!H234*CAR!$I$58</f>
        <v>34801.441535101309</v>
      </c>
      <c r="I213" s="295">
        <f>'CAR Mileage'!I234*CAR!$I$58</f>
        <v>34801.441535101309</v>
      </c>
      <c r="J213" s="295">
        <f>'CAR Mileage'!J234*CAR!$I$58</f>
        <v>34801.441535101309</v>
      </c>
      <c r="K213" s="295">
        <f>'CAR Mileage'!K234*CAR!$I$58</f>
        <v>34801.441535101309</v>
      </c>
      <c r="L213" s="295">
        <f>'CAR Mileage'!L234*CAR!$I$58</f>
        <v>34801.441535101309</v>
      </c>
      <c r="M213" s="295">
        <f>'CAR Mileage'!M234*CAR!$I$58</f>
        <v>34801.441535101309</v>
      </c>
      <c r="N213" s="295">
        <f>'CAR Mileage'!N234*CAR!$I$58</f>
        <v>34801.441535101309</v>
      </c>
      <c r="O213" s="295">
        <f>'CAR Mileage'!O234*CAR!$I$58</f>
        <v>34801.441535101309</v>
      </c>
      <c r="P213" s="295">
        <f>'CAR Mileage'!P234*CAR!$I$58</f>
        <v>34801.441535101309</v>
      </c>
      <c r="Q213" s="295">
        <f>'CAR Mileage'!Q234*CAR!$I$58</f>
        <v>34801.441535101309</v>
      </c>
      <c r="R213" s="295">
        <f>'CAR Mileage'!R234*CAR!$I$58</f>
        <v>34801.441535101309</v>
      </c>
      <c r="S213" s="295">
        <f>'CAR Mileage'!S234*CAR!$I$58</f>
        <v>34801.441535101309</v>
      </c>
      <c r="T213" s="295">
        <f>'CAR Mileage'!T234*CAR!$I$58</f>
        <v>34801.441535101309</v>
      </c>
      <c r="U213" s="295">
        <f>'CAR Mileage'!U234*CAR!$I$58</f>
        <v>34801.441535101309</v>
      </c>
      <c r="V213" s="295">
        <f>'CAR Mileage'!V234*CAR!$I$58</f>
        <v>34801.441535101309</v>
      </c>
      <c r="W213" s="295">
        <f>'CAR Mileage'!W234*CAR!$I$58</f>
        <v>34801.441535101309</v>
      </c>
      <c r="X213" s="295">
        <f>'CAR Mileage'!X234*CAR!$I$58</f>
        <v>34801.441535101309</v>
      </c>
      <c r="Y213" s="295">
        <f>'CAR Mileage'!Y234*CAR!$I$58</f>
        <v>34801.441535101309</v>
      </c>
      <c r="Z213" s="295">
        <f>'CAR Mileage'!Z234*CAR!$I$58</f>
        <v>34801.441535101309</v>
      </c>
      <c r="AA213" s="295">
        <f>'CAR Mileage'!AA234*CAR!$I$58</f>
        <v>34801.441535101309</v>
      </c>
      <c r="AB213" s="295">
        <f>'CAR Mileage'!AB234*CAR!$I$58</f>
        <v>34801.441535101309</v>
      </c>
      <c r="AC213" s="295">
        <f>'CAR Mileage'!AC234*CAR!$I$58</f>
        <v>34801.441535101309</v>
      </c>
      <c r="AD213" s="295">
        <f>'CAR Mileage'!AD234*CAR!$I$58</f>
        <v>34801.441535101309</v>
      </c>
      <c r="AE213" s="296">
        <f>'CAR Mileage'!AE234*CAR!$I$58</f>
        <v>34801.441535101309</v>
      </c>
      <c r="AG213" s="1711"/>
      <c r="AH213" s="116">
        <v>7</v>
      </c>
      <c r="AI213" s="294">
        <f>'CAR Passenger Kilometres'!C213*'CAR Stock'!C263</f>
        <v>860604847.7215203</v>
      </c>
      <c r="AJ213" s="295">
        <f>'CAR Passenger Kilometres'!D213*'CAR Stock'!D263</f>
        <v>932330618.72536409</v>
      </c>
      <c r="AK213" s="295">
        <f>'CAR Passenger Kilometres'!E213*'CAR Stock'!E263</f>
        <v>947678054.44234371</v>
      </c>
      <c r="AL213" s="295">
        <f>'CAR Passenger Kilometres'!F213*'CAR Stock'!F263</f>
        <v>1142252914.0650952</v>
      </c>
      <c r="AM213" s="295">
        <f>'CAR Passenger Kilometres'!G213*'CAR Stock'!G263</f>
        <v>734832438.01366413</v>
      </c>
      <c r="AN213" s="295">
        <f>'CAR Passenger Kilometres'!H213*'CAR Stock'!H263</f>
        <v>784876910.94113982</v>
      </c>
      <c r="AO213" s="295">
        <f>'CAR Passenger Kilometres'!I213*'CAR Stock'!I263</f>
        <v>797579437.10145175</v>
      </c>
      <c r="AP213" s="295">
        <f>'CAR Passenger Kilometres'!J213*'CAR Stock'!J263</f>
        <v>672781467.75657845</v>
      </c>
      <c r="AQ213" s="295">
        <f>'CAR Passenger Kilometres'!K213*'CAR Stock'!K263</f>
        <v>0</v>
      </c>
      <c r="AR213" s="295">
        <f>'CAR Passenger Kilometres'!L213*'CAR Stock'!L263</f>
        <v>0</v>
      </c>
      <c r="AS213" s="295">
        <f>'CAR Passenger Kilometres'!M213*'CAR Stock'!M263</f>
        <v>0</v>
      </c>
      <c r="AT213" s="295">
        <f>'CAR Passenger Kilometres'!N213*'CAR Stock'!N263</f>
        <v>0</v>
      </c>
      <c r="AU213" s="295">
        <f>'CAR Passenger Kilometres'!O213*'CAR Stock'!O263</f>
        <v>0</v>
      </c>
      <c r="AV213" s="295">
        <f>'CAR Passenger Kilometres'!P213*'CAR Stock'!P263</f>
        <v>0</v>
      </c>
      <c r="AW213" s="295">
        <f>'CAR Passenger Kilometres'!Q213*'CAR Stock'!Q263</f>
        <v>0</v>
      </c>
      <c r="AX213" s="295">
        <f>'CAR Passenger Kilometres'!R213*'CAR Stock'!R263</f>
        <v>0</v>
      </c>
      <c r="AY213" s="295">
        <f>'CAR Passenger Kilometres'!S213*'CAR Stock'!S263</f>
        <v>0</v>
      </c>
      <c r="AZ213" s="295">
        <f>'CAR Passenger Kilometres'!T213*'CAR Stock'!T263</f>
        <v>0</v>
      </c>
      <c r="BA213" s="295">
        <f>'CAR Passenger Kilometres'!U213*'CAR Stock'!U263</f>
        <v>0</v>
      </c>
      <c r="BB213" s="295">
        <f>'CAR Passenger Kilometres'!V213*'CAR Stock'!V263</f>
        <v>0</v>
      </c>
      <c r="BC213" s="295">
        <f>'CAR Passenger Kilometres'!W213*'CAR Stock'!W263</f>
        <v>0</v>
      </c>
      <c r="BD213" s="295">
        <f>'CAR Passenger Kilometres'!X213*'CAR Stock'!X263</f>
        <v>0</v>
      </c>
      <c r="BE213" s="295">
        <f>'CAR Passenger Kilometres'!Y213*'CAR Stock'!Y263</f>
        <v>0</v>
      </c>
      <c r="BF213" s="295">
        <f>'CAR Passenger Kilometres'!Z213*'CAR Stock'!Z263</f>
        <v>0</v>
      </c>
      <c r="BG213" s="295">
        <f>'CAR Passenger Kilometres'!AA213*'CAR Stock'!AA263</f>
        <v>0</v>
      </c>
      <c r="BH213" s="295">
        <f>'CAR Passenger Kilometres'!AB213*'CAR Stock'!AB263</f>
        <v>0</v>
      </c>
      <c r="BI213" s="295">
        <f>'CAR Passenger Kilometres'!AC213*'CAR Stock'!AC263</f>
        <v>0</v>
      </c>
      <c r="BJ213" s="295">
        <f>'CAR Passenger Kilometres'!AD213*'CAR Stock'!AD263</f>
        <v>0</v>
      </c>
      <c r="BK213" s="296">
        <f>'CAR Passenger Kilometres'!AE213*'CAR Stock'!AE263</f>
        <v>0</v>
      </c>
    </row>
    <row r="214" spans="1:63">
      <c r="A214" s="1711"/>
      <c r="B214" s="116">
        <v>8</v>
      </c>
      <c r="C214" s="294">
        <f>'CAR Mileage'!C235*CAR!$I$58</f>
        <v>34105.412704399285</v>
      </c>
      <c r="D214" s="295">
        <f>'CAR Mileage'!D235*CAR!$I$58</f>
        <v>34105.412704399285</v>
      </c>
      <c r="E214" s="295">
        <f>'CAR Mileage'!E235*CAR!$I$58</f>
        <v>34105.412704399285</v>
      </c>
      <c r="F214" s="295">
        <f>'CAR Mileage'!F235*CAR!$I$58</f>
        <v>34105.412704399285</v>
      </c>
      <c r="G214" s="295">
        <f>'CAR Mileage'!G235*CAR!$I$58</f>
        <v>34105.412704399285</v>
      </c>
      <c r="H214" s="295">
        <f>'CAR Mileage'!H235*CAR!$I$58</f>
        <v>34105.412704399285</v>
      </c>
      <c r="I214" s="295">
        <f>'CAR Mileage'!I235*CAR!$I$58</f>
        <v>34105.412704399285</v>
      </c>
      <c r="J214" s="295">
        <f>'CAR Mileage'!J235*CAR!$I$58</f>
        <v>34105.412704399285</v>
      </c>
      <c r="K214" s="295">
        <f>'CAR Mileage'!K235*CAR!$I$58</f>
        <v>34105.412704399285</v>
      </c>
      <c r="L214" s="295">
        <f>'CAR Mileage'!L235*CAR!$I$58</f>
        <v>34105.412704399285</v>
      </c>
      <c r="M214" s="295">
        <f>'CAR Mileage'!M235*CAR!$I$58</f>
        <v>34105.412704399285</v>
      </c>
      <c r="N214" s="295">
        <f>'CAR Mileage'!N235*CAR!$I$58</f>
        <v>34105.412704399285</v>
      </c>
      <c r="O214" s="295">
        <f>'CAR Mileage'!O235*CAR!$I$58</f>
        <v>34105.412704399285</v>
      </c>
      <c r="P214" s="295">
        <f>'CAR Mileage'!P235*CAR!$I$58</f>
        <v>34105.412704399285</v>
      </c>
      <c r="Q214" s="295">
        <f>'CAR Mileage'!Q235*CAR!$I$58</f>
        <v>34105.412704399285</v>
      </c>
      <c r="R214" s="295">
        <f>'CAR Mileage'!R235*CAR!$I$58</f>
        <v>34105.412704399285</v>
      </c>
      <c r="S214" s="295">
        <f>'CAR Mileage'!S235*CAR!$I$58</f>
        <v>34105.412704399285</v>
      </c>
      <c r="T214" s="295">
        <f>'CAR Mileage'!T235*CAR!$I$58</f>
        <v>34105.412704399285</v>
      </c>
      <c r="U214" s="295">
        <f>'CAR Mileage'!U235*CAR!$I$58</f>
        <v>34105.412704399285</v>
      </c>
      <c r="V214" s="295">
        <f>'CAR Mileage'!V235*CAR!$I$58</f>
        <v>34105.412704399285</v>
      </c>
      <c r="W214" s="295">
        <f>'CAR Mileage'!W235*CAR!$I$58</f>
        <v>34105.412704399285</v>
      </c>
      <c r="X214" s="295">
        <f>'CAR Mileage'!X235*CAR!$I$58</f>
        <v>34105.412704399285</v>
      </c>
      <c r="Y214" s="295">
        <f>'CAR Mileage'!Y235*CAR!$I$58</f>
        <v>34105.412704399285</v>
      </c>
      <c r="Z214" s="295">
        <f>'CAR Mileage'!Z235*CAR!$I$58</f>
        <v>34105.412704399285</v>
      </c>
      <c r="AA214" s="295">
        <f>'CAR Mileage'!AA235*CAR!$I$58</f>
        <v>34105.412704399285</v>
      </c>
      <c r="AB214" s="295">
        <f>'CAR Mileage'!AB235*CAR!$I$58</f>
        <v>34105.412704399285</v>
      </c>
      <c r="AC214" s="295">
        <f>'CAR Mileage'!AC235*CAR!$I$58</f>
        <v>34105.412704399285</v>
      </c>
      <c r="AD214" s="295">
        <f>'CAR Mileage'!AD235*CAR!$I$58</f>
        <v>34105.412704399285</v>
      </c>
      <c r="AE214" s="296">
        <f>'CAR Mileage'!AE235*CAR!$I$58</f>
        <v>34105.412704399285</v>
      </c>
      <c r="AG214" s="1711"/>
      <c r="AH214" s="116">
        <v>8</v>
      </c>
      <c r="AI214" s="294">
        <f>'CAR Passenger Kilometres'!C214*'CAR Stock'!C264</f>
        <v>606769397.42396772</v>
      </c>
      <c r="AJ214" s="295">
        <f>'CAR Passenger Kilometres'!D214*'CAR Stock'!D264</f>
        <v>843392750.76708996</v>
      </c>
      <c r="AK214" s="295">
        <f>'CAR Passenger Kilometres'!E214*'CAR Stock'!E264</f>
        <v>913684006.3508569</v>
      </c>
      <c r="AL214" s="295">
        <f>'CAR Passenger Kilometres'!F214*'CAR Stock'!F264</f>
        <v>928724493.35349691</v>
      </c>
      <c r="AM214" s="295">
        <f>'CAR Passenger Kilometres'!G214*'CAR Stock'!G264</f>
        <v>1119407855.7837932</v>
      </c>
      <c r="AN214" s="295">
        <f>'CAR Passenger Kilometres'!H214*'CAR Stock'!H264</f>
        <v>720135789.25339091</v>
      </c>
      <c r="AO214" s="295">
        <f>'CAR Passenger Kilometres'!I214*'CAR Stock'!I264</f>
        <v>769179372.7223171</v>
      </c>
      <c r="AP214" s="295">
        <f>'CAR Passenger Kilometres'!J214*'CAR Stock'!J264</f>
        <v>781627848.3594228</v>
      </c>
      <c r="AQ214" s="295">
        <f>'CAR Passenger Kilometres'!K214*'CAR Stock'!K264</f>
        <v>659325838.40144694</v>
      </c>
      <c r="AR214" s="295">
        <f>'CAR Passenger Kilometres'!L214*'CAR Stock'!L264</f>
        <v>0</v>
      </c>
      <c r="AS214" s="295">
        <f>'CAR Passenger Kilometres'!M214*'CAR Stock'!M264</f>
        <v>0</v>
      </c>
      <c r="AT214" s="295">
        <f>'CAR Passenger Kilometres'!N214*'CAR Stock'!N264</f>
        <v>0</v>
      </c>
      <c r="AU214" s="295">
        <f>'CAR Passenger Kilometres'!O214*'CAR Stock'!O264</f>
        <v>0</v>
      </c>
      <c r="AV214" s="295">
        <f>'CAR Passenger Kilometres'!P214*'CAR Stock'!P264</f>
        <v>0</v>
      </c>
      <c r="AW214" s="295">
        <f>'CAR Passenger Kilometres'!Q214*'CAR Stock'!Q264</f>
        <v>0</v>
      </c>
      <c r="AX214" s="295">
        <f>'CAR Passenger Kilometres'!R214*'CAR Stock'!R264</f>
        <v>0</v>
      </c>
      <c r="AY214" s="295">
        <f>'CAR Passenger Kilometres'!S214*'CAR Stock'!S264</f>
        <v>0</v>
      </c>
      <c r="AZ214" s="295">
        <f>'CAR Passenger Kilometres'!T214*'CAR Stock'!T264</f>
        <v>0</v>
      </c>
      <c r="BA214" s="295">
        <f>'CAR Passenger Kilometres'!U214*'CAR Stock'!U264</f>
        <v>0</v>
      </c>
      <c r="BB214" s="295">
        <f>'CAR Passenger Kilometres'!V214*'CAR Stock'!V264</f>
        <v>0</v>
      </c>
      <c r="BC214" s="295">
        <f>'CAR Passenger Kilometres'!W214*'CAR Stock'!W264</f>
        <v>0</v>
      </c>
      <c r="BD214" s="295">
        <f>'CAR Passenger Kilometres'!X214*'CAR Stock'!X264</f>
        <v>0</v>
      </c>
      <c r="BE214" s="295">
        <f>'CAR Passenger Kilometres'!Y214*'CAR Stock'!Y264</f>
        <v>0</v>
      </c>
      <c r="BF214" s="295">
        <f>'CAR Passenger Kilometres'!Z214*'CAR Stock'!Z264</f>
        <v>0</v>
      </c>
      <c r="BG214" s="295">
        <f>'CAR Passenger Kilometres'!AA214*'CAR Stock'!AA264</f>
        <v>0</v>
      </c>
      <c r="BH214" s="295">
        <f>'CAR Passenger Kilometres'!AB214*'CAR Stock'!AB264</f>
        <v>0</v>
      </c>
      <c r="BI214" s="295">
        <f>'CAR Passenger Kilometres'!AC214*'CAR Stock'!AC264</f>
        <v>0</v>
      </c>
      <c r="BJ214" s="295">
        <f>'CAR Passenger Kilometres'!AD214*'CAR Stock'!AD264</f>
        <v>0</v>
      </c>
      <c r="BK214" s="296">
        <f>'CAR Passenger Kilometres'!AE214*'CAR Stock'!AE264</f>
        <v>0</v>
      </c>
    </row>
    <row r="215" spans="1:63">
      <c r="A215" s="1711"/>
      <c r="B215" s="116">
        <v>9</v>
      </c>
      <c r="C215" s="294">
        <f>'CAR Mileage'!C236*CAR!$I$58</f>
        <v>33423.304450311298</v>
      </c>
      <c r="D215" s="295">
        <f>'CAR Mileage'!D236*CAR!$I$58</f>
        <v>33423.304450311298</v>
      </c>
      <c r="E215" s="295">
        <f>'CAR Mileage'!E236*CAR!$I$58</f>
        <v>33423.304450311298</v>
      </c>
      <c r="F215" s="295">
        <f>'CAR Mileage'!F236*CAR!$I$58</f>
        <v>33423.304450311298</v>
      </c>
      <c r="G215" s="295">
        <f>'CAR Mileage'!G236*CAR!$I$58</f>
        <v>33423.304450311298</v>
      </c>
      <c r="H215" s="295">
        <f>'CAR Mileage'!H236*CAR!$I$58</f>
        <v>33423.304450311298</v>
      </c>
      <c r="I215" s="295">
        <f>'CAR Mileage'!I236*CAR!$I$58</f>
        <v>33423.304450311298</v>
      </c>
      <c r="J215" s="295">
        <f>'CAR Mileage'!J236*CAR!$I$58</f>
        <v>33423.304450311298</v>
      </c>
      <c r="K215" s="295">
        <f>'CAR Mileage'!K236*CAR!$I$58</f>
        <v>33423.304450311298</v>
      </c>
      <c r="L215" s="295">
        <f>'CAR Mileage'!L236*CAR!$I$58</f>
        <v>33423.304450311298</v>
      </c>
      <c r="M215" s="295">
        <f>'CAR Mileage'!M236*CAR!$I$58</f>
        <v>33423.304450311298</v>
      </c>
      <c r="N215" s="295">
        <f>'CAR Mileage'!N236*CAR!$I$58</f>
        <v>33423.304450311298</v>
      </c>
      <c r="O215" s="295">
        <f>'CAR Mileage'!O236*CAR!$I$58</f>
        <v>33423.304450311298</v>
      </c>
      <c r="P215" s="295">
        <f>'CAR Mileage'!P236*CAR!$I$58</f>
        <v>33423.304450311298</v>
      </c>
      <c r="Q215" s="295">
        <f>'CAR Mileage'!Q236*CAR!$I$58</f>
        <v>33423.304450311298</v>
      </c>
      <c r="R215" s="295">
        <f>'CAR Mileage'!R236*CAR!$I$58</f>
        <v>33423.304450311298</v>
      </c>
      <c r="S215" s="295">
        <f>'CAR Mileage'!S236*CAR!$I$58</f>
        <v>33423.304450311298</v>
      </c>
      <c r="T215" s="295">
        <f>'CAR Mileage'!T236*CAR!$I$58</f>
        <v>33423.304450311298</v>
      </c>
      <c r="U215" s="295">
        <f>'CAR Mileage'!U236*CAR!$I$58</f>
        <v>33423.304450311298</v>
      </c>
      <c r="V215" s="295">
        <f>'CAR Mileage'!V236*CAR!$I$58</f>
        <v>33423.304450311298</v>
      </c>
      <c r="W215" s="295">
        <f>'CAR Mileage'!W236*CAR!$I$58</f>
        <v>33423.304450311298</v>
      </c>
      <c r="X215" s="295">
        <f>'CAR Mileage'!X236*CAR!$I$58</f>
        <v>33423.304450311298</v>
      </c>
      <c r="Y215" s="295">
        <f>'CAR Mileage'!Y236*CAR!$I$58</f>
        <v>33423.304450311298</v>
      </c>
      <c r="Z215" s="295">
        <f>'CAR Mileage'!Z236*CAR!$I$58</f>
        <v>33423.304450311298</v>
      </c>
      <c r="AA215" s="295">
        <f>'CAR Mileage'!AA236*CAR!$I$58</f>
        <v>33423.304450311298</v>
      </c>
      <c r="AB215" s="295">
        <f>'CAR Mileage'!AB236*CAR!$I$58</f>
        <v>33423.304450311298</v>
      </c>
      <c r="AC215" s="295">
        <f>'CAR Mileage'!AC236*CAR!$I$58</f>
        <v>33423.304450311298</v>
      </c>
      <c r="AD215" s="295">
        <f>'CAR Mileage'!AD236*CAR!$I$58</f>
        <v>33423.304450311298</v>
      </c>
      <c r="AE215" s="296">
        <f>'CAR Mileage'!AE236*CAR!$I$58</f>
        <v>33423.304450311298</v>
      </c>
      <c r="AG215" s="1711"/>
      <c r="AH215" s="116">
        <v>9</v>
      </c>
      <c r="AI215" s="294">
        <f>'CAR Passenger Kilometres'!C215*'CAR Stock'!C265</f>
        <v>437343938.73232335</v>
      </c>
      <c r="AJ215" s="295">
        <f>'CAR Passenger Kilometres'!D215*'CAR Stock'!D265</f>
        <v>594634009.47548831</v>
      </c>
      <c r="AK215" s="295">
        <f>'CAR Passenger Kilometres'!E215*'CAR Stock'!E265</f>
        <v>826524895.75174809</v>
      </c>
      <c r="AL215" s="295">
        <f>'CAR Passenger Kilometres'!F215*'CAR Stock'!F265</f>
        <v>895410326.22383964</v>
      </c>
      <c r="AM215" s="295">
        <f>'CAR Passenger Kilometres'!G215*'CAR Stock'!G265</f>
        <v>910150003.48642695</v>
      </c>
      <c r="AN215" s="295">
        <f>'CAR Passenger Kilometres'!H215*'CAR Stock'!H265</f>
        <v>1097019698.6681175</v>
      </c>
      <c r="AO215" s="295">
        <f>'CAR Passenger Kilometres'!I215*'CAR Stock'!I265</f>
        <v>705733073.46832311</v>
      </c>
      <c r="AP215" s="295">
        <f>'CAR Passenger Kilometres'!J215*'CAR Stock'!J265</f>
        <v>753795785.26787066</v>
      </c>
      <c r="AQ215" s="295">
        <f>'CAR Passenger Kilometres'!K215*'CAR Stock'!K265</f>
        <v>765995291.39223433</v>
      </c>
      <c r="AR215" s="295">
        <f>'CAR Passenger Kilometres'!L215*'CAR Stock'!L265</f>
        <v>646139321.63341796</v>
      </c>
      <c r="AS215" s="295">
        <f>'CAR Passenger Kilometres'!M215*'CAR Stock'!M265</f>
        <v>0</v>
      </c>
      <c r="AT215" s="295">
        <f>'CAR Passenger Kilometres'!N215*'CAR Stock'!N265</f>
        <v>0</v>
      </c>
      <c r="AU215" s="295">
        <f>'CAR Passenger Kilometres'!O215*'CAR Stock'!O265</f>
        <v>0</v>
      </c>
      <c r="AV215" s="295">
        <f>'CAR Passenger Kilometres'!P215*'CAR Stock'!P265</f>
        <v>0</v>
      </c>
      <c r="AW215" s="295">
        <f>'CAR Passenger Kilometres'!Q215*'CAR Stock'!Q265</f>
        <v>0</v>
      </c>
      <c r="AX215" s="295">
        <f>'CAR Passenger Kilometres'!R215*'CAR Stock'!R265</f>
        <v>0</v>
      </c>
      <c r="AY215" s="295">
        <f>'CAR Passenger Kilometres'!S215*'CAR Stock'!S265</f>
        <v>0</v>
      </c>
      <c r="AZ215" s="295">
        <f>'CAR Passenger Kilometres'!T215*'CAR Stock'!T265</f>
        <v>0</v>
      </c>
      <c r="BA215" s="295">
        <f>'CAR Passenger Kilometres'!U215*'CAR Stock'!U265</f>
        <v>0</v>
      </c>
      <c r="BB215" s="295">
        <f>'CAR Passenger Kilometres'!V215*'CAR Stock'!V265</f>
        <v>0</v>
      </c>
      <c r="BC215" s="295">
        <f>'CAR Passenger Kilometres'!W215*'CAR Stock'!W265</f>
        <v>0</v>
      </c>
      <c r="BD215" s="295">
        <f>'CAR Passenger Kilometres'!X215*'CAR Stock'!X265</f>
        <v>0</v>
      </c>
      <c r="BE215" s="295">
        <f>'CAR Passenger Kilometres'!Y215*'CAR Stock'!Y265</f>
        <v>0</v>
      </c>
      <c r="BF215" s="295">
        <f>'CAR Passenger Kilometres'!Z215*'CAR Stock'!Z265</f>
        <v>0</v>
      </c>
      <c r="BG215" s="295">
        <f>'CAR Passenger Kilometres'!AA215*'CAR Stock'!AA265</f>
        <v>0</v>
      </c>
      <c r="BH215" s="295">
        <f>'CAR Passenger Kilometres'!AB215*'CAR Stock'!AB265</f>
        <v>0</v>
      </c>
      <c r="BI215" s="295">
        <f>'CAR Passenger Kilometres'!AC215*'CAR Stock'!AC265</f>
        <v>0</v>
      </c>
      <c r="BJ215" s="295">
        <f>'CAR Passenger Kilometres'!AD215*'CAR Stock'!AD265</f>
        <v>0</v>
      </c>
      <c r="BK215" s="296">
        <f>'CAR Passenger Kilometres'!AE215*'CAR Stock'!AE265</f>
        <v>0</v>
      </c>
    </row>
    <row r="216" spans="1:63">
      <c r="A216" s="1711"/>
      <c r="B216" s="116">
        <v>10</v>
      </c>
      <c r="C216" s="294">
        <f>'CAR Mileage'!C237*CAR!$I$58</f>
        <v>32754.838361305072</v>
      </c>
      <c r="D216" s="295">
        <f>'CAR Mileage'!D237*CAR!$I$58</f>
        <v>32754.838361305072</v>
      </c>
      <c r="E216" s="295">
        <f>'CAR Mileage'!E237*CAR!$I$58</f>
        <v>32754.838361305072</v>
      </c>
      <c r="F216" s="295">
        <f>'CAR Mileage'!F237*CAR!$I$58</f>
        <v>32754.838361305072</v>
      </c>
      <c r="G216" s="295">
        <f>'CAR Mileage'!G237*CAR!$I$58</f>
        <v>32754.838361305072</v>
      </c>
      <c r="H216" s="295">
        <f>'CAR Mileage'!H237*CAR!$I$58</f>
        <v>32754.838361305072</v>
      </c>
      <c r="I216" s="295">
        <f>'CAR Mileage'!I237*CAR!$I$58</f>
        <v>32754.838361305072</v>
      </c>
      <c r="J216" s="295">
        <f>'CAR Mileage'!J237*CAR!$I$58</f>
        <v>32754.838361305072</v>
      </c>
      <c r="K216" s="295">
        <f>'CAR Mileage'!K237*CAR!$I$58</f>
        <v>32754.838361305072</v>
      </c>
      <c r="L216" s="295">
        <f>'CAR Mileage'!L237*CAR!$I$58</f>
        <v>32754.838361305072</v>
      </c>
      <c r="M216" s="295">
        <f>'CAR Mileage'!M237*CAR!$I$58</f>
        <v>32754.838361305072</v>
      </c>
      <c r="N216" s="295">
        <f>'CAR Mileage'!N237*CAR!$I$58</f>
        <v>32754.838361305072</v>
      </c>
      <c r="O216" s="295">
        <f>'CAR Mileage'!O237*CAR!$I$58</f>
        <v>32754.838361305072</v>
      </c>
      <c r="P216" s="295">
        <f>'CAR Mileage'!P237*CAR!$I$58</f>
        <v>32754.838361305072</v>
      </c>
      <c r="Q216" s="295">
        <f>'CAR Mileage'!Q237*CAR!$I$58</f>
        <v>32754.838361305072</v>
      </c>
      <c r="R216" s="295">
        <f>'CAR Mileage'!R237*CAR!$I$58</f>
        <v>32754.838361305072</v>
      </c>
      <c r="S216" s="295">
        <f>'CAR Mileage'!S237*CAR!$I$58</f>
        <v>32754.838361305072</v>
      </c>
      <c r="T216" s="295">
        <f>'CAR Mileage'!T237*CAR!$I$58</f>
        <v>32754.838361305072</v>
      </c>
      <c r="U216" s="295">
        <f>'CAR Mileage'!U237*CAR!$I$58</f>
        <v>32754.838361305072</v>
      </c>
      <c r="V216" s="295">
        <f>'CAR Mileage'!V237*CAR!$I$58</f>
        <v>32754.838361305072</v>
      </c>
      <c r="W216" s="295">
        <f>'CAR Mileage'!W237*CAR!$I$58</f>
        <v>32754.838361305072</v>
      </c>
      <c r="X216" s="295">
        <f>'CAR Mileage'!X237*CAR!$I$58</f>
        <v>32754.838361305072</v>
      </c>
      <c r="Y216" s="295">
        <f>'CAR Mileage'!Y237*CAR!$I$58</f>
        <v>32754.838361305072</v>
      </c>
      <c r="Z216" s="295">
        <f>'CAR Mileage'!Z237*CAR!$I$58</f>
        <v>32754.838361305072</v>
      </c>
      <c r="AA216" s="295">
        <f>'CAR Mileage'!AA237*CAR!$I$58</f>
        <v>32754.838361305072</v>
      </c>
      <c r="AB216" s="295">
        <f>'CAR Mileage'!AB237*CAR!$I$58</f>
        <v>32754.838361305072</v>
      </c>
      <c r="AC216" s="295">
        <f>'CAR Mileage'!AC237*CAR!$I$58</f>
        <v>32754.838361305072</v>
      </c>
      <c r="AD216" s="295">
        <f>'CAR Mileage'!AD237*CAR!$I$58</f>
        <v>32754.838361305072</v>
      </c>
      <c r="AE216" s="296">
        <f>'CAR Mileage'!AE237*CAR!$I$58</f>
        <v>32754.838361305072</v>
      </c>
      <c r="AG216" s="1711"/>
      <c r="AH216" s="116">
        <v>10</v>
      </c>
      <c r="AI216" s="294">
        <f>'CAR Passenger Kilometres'!C216*'CAR Stock'!C266</f>
        <v>381299073.36395234</v>
      </c>
      <c r="AJ216" s="295">
        <f>'CAR Passenger Kilometres'!D216*'CAR Stock'!D266</f>
        <v>428597059.95767689</v>
      </c>
      <c r="AK216" s="295">
        <f>'CAR Passenger Kilometres'!E216*'CAR Stock'!E266</f>
        <v>582741329.28597856</v>
      </c>
      <c r="AL216" s="295">
        <f>'CAR Passenger Kilometres'!F216*'CAR Stock'!F266</f>
        <v>809994397.83671308</v>
      </c>
      <c r="AM216" s="295">
        <f>'CAR Passenger Kilometres'!G216*'CAR Stock'!G266</f>
        <v>877502119.69936287</v>
      </c>
      <c r="AN216" s="295">
        <f>'CAR Passenger Kilometres'!H216*'CAR Stock'!H266</f>
        <v>891947003.41669846</v>
      </c>
      <c r="AO216" s="295">
        <f>'CAR Passenger Kilometres'!I216*'CAR Stock'!I266</f>
        <v>1075079304.6947551</v>
      </c>
      <c r="AP216" s="295">
        <f>'CAR Passenger Kilometres'!J216*'CAR Stock'!J266</f>
        <v>691618411.99895656</v>
      </c>
      <c r="AQ216" s="295">
        <f>'CAR Passenger Kilometres'!K216*'CAR Stock'!K266</f>
        <v>738719869.56251323</v>
      </c>
      <c r="AR216" s="295">
        <f>'CAR Passenger Kilometres'!L216*'CAR Stock'!L266</f>
        <v>750675385.56438959</v>
      </c>
      <c r="AS216" s="295">
        <f>'CAR Passenger Kilometres'!M216*'CAR Stock'!M266</f>
        <v>633216535.20074964</v>
      </c>
      <c r="AT216" s="295">
        <f>'CAR Passenger Kilometres'!N216*'CAR Stock'!N266</f>
        <v>0</v>
      </c>
      <c r="AU216" s="295">
        <f>'CAR Passenger Kilometres'!O216*'CAR Stock'!O266</f>
        <v>0</v>
      </c>
      <c r="AV216" s="295">
        <f>'CAR Passenger Kilometres'!P216*'CAR Stock'!P266</f>
        <v>0</v>
      </c>
      <c r="AW216" s="295">
        <f>'CAR Passenger Kilometres'!Q216*'CAR Stock'!Q266</f>
        <v>0</v>
      </c>
      <c r="AX216" s="295">
        <f>'CAR Passenger Kilometres'!R216*'CAR Stock'!R266</f>
        <v>0</v>
      </c>
      <c r="AY216" s="295">
        <f>'CAR Passenger Kilometres'!S216*'CAR Stock'!S266</f>
        <v>0</v>
      </c>
      <c r="AZ216" s="295">
        <f>'CAR Passenger Kilometres'!T216*'CAR Stock'!T266</f>
        <v>0</v>
      </c>
      <c r="BA216" s="295">
        <f>'CAR Passenger Kilometres'!U216*'CAR Stock'!U266</f>
        <v>0</v>
      </c>
      <c r="BB216" s="295">
        <f>'CAR Passenger Kilometres'!V216*'CAR Stock'!V266</f>
        <v>0</v>
      </c>
      <c r="BC216" s="295">
        <f>'CAR Passenger Kilometres'!W216*'CAR Stock'!W266</f>
        <v>0</v>
      </c>
      <c r="BD216" s="295">
        <f>'CAR Passenger Kilometres'!X216*'CAR Stock'!X266</f>
        <v>0</v>
      </c>
      <c r="BE216" s="295">
        <f>'CAR Passenger Kilometres'!Y216*'CAR Stock'!Y266</f>
        <v>0</v>
      </c>
      <c r="BF216" s="295">
        <f>'CAR Passenger Kilometres'!Z216*'CAR Stock'!Z266</f>
        <v>0</v>
      </c>
      <c r="BG216" s="295">
        <f>'CAR Passenger Kilometres'!AA216*'CAR Stock'!AA266</f>
        <v>0</v>
      </c>
      <c r="BH216" s="295">
        <f>'CAR Passenger Kilometres'!AB216*'CAR Stock'!AB266</f>
        <v>0</v>
      </c>
      <c r="BI216" s="295">
        <f>'CAR Passenger Kilometres'!AC216*'CAR Stock'!AC266</f>
        <v>0</v>
      </c>
      <c r="BJ216" s="295">
        <f>'CAR Passenger Kilometres'!AD216*'CAR Stock'!AD266</f>
        <v>0</v>
      </c>
      <c r="BK216" s="296">
        <f>'CAR Passenger Kilometres'!AE216*'CAR Stock'!AE266</f>
        <v>0</v>
      </c>
    </row>
    <row r="217" spans="1:63">
      <c r="A217" s="1711"/>
      <c r="B217" s="116">
        <v>11</v>
      </c>
      <c r="C217" s="294">
        <f>'CAR Mileage'!C238*CAR!$I$58</f>
        <v>32099.741594078969</v>
      </c>
      <c r="D217" s="295">
        <f>'CAR Mileage'!D238*CAR!$I$58</f>
        <v>32099.741594078969</v>
      </c>
      <c r="E217" s="295">
        <f>'CAR Mileage'!E238*CAR!$I$58</f>
        <v>32099.741594078969</v>
      </c>
      <c r="F217" s="295">
        <f>'CAR Mileage'!F238*CAR!$I$58</f>
        <v>32099.741594078969</v>
      </c>
      <c r="G217" s="295">
        <f>'CAR Mileage'!G238*CAR!$I$58</f>
        <v>32099.741594078969</v>
      </c>
      <c r="H217" s="295">
        <f>'CAR Mileage'!H238*CAR!$I$58</f>
        <v>32099.741594078969</v>
      </c>
      <c r="I217" s="295">
        <f>'CAR Mileage'!I238*CAR!$I$58</f>
        <v>32099.741594078969</v>
      </c>
      <c r="J217" s="295">
        <f>'CAR Mileage'!J238*CAR!$I$58</f>
        <v>32099.741594078969</v>
      </c>
      <c r="K217" s="295">
        <f>'CAR Mileage'!K238*CAR!$I$58</f>
        <v>32099.741594078969</v>
      </c>
      <c r="L217" s="295">
        <f>'CAR Mileage'!L238*CAR!$I$58</f>
        <v>32099.741594078969</v>
      </c>
      <c r="M217" s="295">
        <f>'CAR Mileage'!M238*CAR!$I$58</f>
        <v>32099.741594078969</v>
      </c>
      <c r="N217" s="295">
        <f>'CAR Mileage'!N238*CAR!$I$58</f>
        <v>32099.741594078969</v>
      </c>
      <c r="O217" s="295">
        <f>'CAR Mileage'!O238*CAR!$I$58</f>
        <v>32099.741594078969</v>
      </c>
      <c r="P217" s="295">
        <f>'CAR Mileage'!P238*CAR!$I$58</f>
        <v>32099.741594078969</v>
      </c>
      <c r="Q217" s="295">
        <f>'CAR Mileage'!Q238*CAR!$I$58</f>
        <v>32099.741594078969</v>
      </c>
      <c r="R217" s="295">
        <f>'CAR Mileage'!R238*CAR!$I$58</f>
        <v>32099.741594078969</v>
      </c>
      <c r="S217" s="295">
        <f>'CAR Mileage'!S238*CAR!$I$58</f>
        <v>32099.741594078969</v>
      </c>
      <c r="T217" s="295">
        <f>'CAR Mileage'!T238*CAR!$I$58</f>
        <v>32099.741594078969</v>
      </c>
      <c r="U217" s="295">
        <f>'CAR Mileage'!U238*CAR!$I$58</f>
        <v>32099.741594078969</v>
      </c>
      <c r="V217" s="295">
        <f>'CAR Mileage'!V238*CAR!$I$58</f>
        <v>32099.741594078969</v>
      </c>
      <c r="W217" s="295">
        <f>'CAR Mileage'!W238*CAR!$I$58</f>
        <v>32099.741594078969</v>
      </c>
      <c r="X217" s="295">
        <f>'CAR Mileage'!X238*CAR!$I$58</f>
        <v>32099.741594078969</v>
      </c>
      <c r="Y217" s="295">
        <f>'CAR Mileage'!Y238*CAR!$I$58</f>
        <v>32099.741594078969</v>
      </c>
      <c r="Z217" s="295">
        <f>'CAR Mileage'!Z238*CAR!$I$58</f>
        <v>32099.741594078969</v>
      </c>
      <c r="AA217" s="295">
        <f>'CAR Mileage'!AA238*CAR!$I$58</f>
        <v>32099.741594078969</v>
      </c>
      <c r="AB217" s="295">
        <f>'CAR Mileage'!AB238*CAR!$I$58</f>
        <v>32099.741594078969</v>
      </c>
      <c r="AC217" s="295">
        <f>'CAR Mileage'!AC238*CAR!$I$58</f>
        <v>32099.741594078969</v>
      </c>
      <c r="AD217" s="295">
        <f>'CAR Mileage'!AD238*CAR!$I$58</f>
        <v>32099.741594078969</v>
      </c>
      <c r="AE217" s="296">
        <f>'CAR Mileage'!AE238*CAR!$I$58</f>
        <v>32099.741594078969</v>
      </c>
      <c r="AG217" s="1711"/>
      <c r="AH217" s="116">
        <v>11</v>
      </c>
      <c r="AI217" s="294">
        <f>'CAR Passenger Kilometres'!C217*'CAR Stock'!C267</f>
        <v>256701633.52784953</v>
      </c>
      <c r="AJ217" s="295">
        <f>'CAR Passenger Kilometres'!D217*'CAR Stock'!D267</f>
        <v>355598273.19781548</v>
      </c>
      <c r="AK217" s="295">
        <f>'CAR Passenger Kilometres'!E217*'CAR Stock'!E267</f>
        <v>399708221.35498804</v>
      </c>
      <c r="AL217" s="295">
        <f>'CAR Passenger Kilometres'!F217*'CAR Stock'!F267</f>
        <v>543462664.58743548</v>
      </c>
      <c r="AM217" s="295">
        <f>'CAR Passenger Kilometres'!G217*'CAR Stock'!G267</f>
        <v>755398135.71933508</v>
      </c>
      <c r="AN217" s="295">
        <f>'CAR Passenger Kilometres'!H217*'CAR Stock'!H267</f>
        <v>818355617.12649059</v>
      </c>
      <c r="AO217" s="295">
        <f>'CAR Passenger Kilometres'!I217*'CAR Stock'!I267</f>
        <v>831826868.60662425</v>
      </c>
      <c r="AP217" s="295">
        <f>'CAR Passenger Kilometres'!J217*'CAR Stock'!J267</f>
        <v>1002615455.9658706</v>
      </c>
      <c r="AQ217" s="295">
        <f>'CAR Passenger Kilometres'!K217*'CAR Stock'!K267</f>
        <v>645001077.10436165</v>
      </c>
      <c r="AR217" s="295">
        <f>'CAR Passenger Kilometres'!L217*'CAR Stock'!L267</f>
        <v>688927742.92847109</v>
      </c>
      <c r="AS217" s="295">
        <f>'CAR Passenger Kilometres'!M217*'CAR Stock'!M267</f>
        <v>700077418.18980634</v>
      </c>
      <c r="AT217" s="295">
        <f>'CAR Passenger Kilometres'!N217*'CAR Stock'!N267</f>
        <v>590535677.12912714</v>
      </c>
      <c r="AU217" s="295">
        <f>'CAR Passenger Kilometres'!O217*'CAR Stock'!O267</f>
        <v>0</v>
      </c>
      <c r="AV217" s="295">
        <f>'CAR Passenger Kilometres'!P217*'CAR Stock'!P267</f>
        <v>0</v>
      </c>
      <c r="AW217" s="295">
        <f>'CAR Passenger Kilometres'!Q217*'CAR Stock'!Q267</f>
        <v>0</v>
      </c>
      <c r="AX217" s="295">
        <f>'CAR Passenger Kilometres'!R217*'CAR Stock'!R267</f>
        <v>0</v>
      </c>
      <c r="AY217" s="295">
        <f>'CAR Passenger Kilometres'!S217*'CAR Stock'!S267</f>
        <v>0</v>
      </c>
      <c r="AZ217" s="295">
        <f>'CAR Passenger Kilometres'!T217*'CAR Stock'!T267</f>
        <v>0</v>
      </c>
      <c r="BA217" s="295">
        <f>'CAR Passenger Kilometres'!U217*'CAR Stock'!U267</f>
        <v>0</v>
      </c>
      <c r="BB217" s="295">
        <f>'CAR Passenger Kilometres'!V217*'CAR Stock'!V267</f>
        <v>0</v>
      </c>
      <c r="BC217" s="295">
        <f>'CAR Passenger Kilometres'!W217*'CAR Stock'!W267</f>
        <v>0</v>
      </c>
      <c r="BD217" s="295">
        <f>'CAR Passenger Kilometres'!X217*'CAR Stock'!X267</f>
        <v>0</v>
      </c>
      <c r="BE217" s="295">
        <f>'CAR Passenger Kilometres'!Y217*'CAR Stock'!Y267</f>
        <v>0</v>
      </c>
      <c r="BF217" s="295">
        <f>'CAR Passenger Kilometres'!Z217*'CAR Stock'!Z267</f>
        <v>0</v>
      </c>
      <c r="BG217" s="295">
        <f>'CAR Passenger Kilometres'!AA217*'CAR Stock'!AA267</f>
        <v>0</v>
      </c>
      <c r="BH217" s="295">
        <f>'CAR Passenger Kilometres'!AB217*'CAR Stock'!AB267</f>
        <v>0</v>
      </c>
      <c r="BI217" s="295">
        <f>'CAR Passenger Kilometres'!AC217*'CAR Stock'!AC267</f>
        <v>0</v>
      </c>
      <c r="BJ217" s="295">
        <f>'CAR Passenger Kilometres'!AD217*'CAR Stock'!AD267</f>
        <v>0</v>
      </c>
      <c r="BK217" s="296">
        <f>'CAR Passenger Kilometres'!AE217*'CAR Stock'!AE267</f>
        <v>0</v>
      </c>
    </row>
    <row r="218" spans="1:63">
      <c r="A218" s="1711"/>
      <c r="B218" s="116">
        <v>12</v>
      </c>
      <c r="C218" s="294">
        <f>'CAR Mileage'!C239*CAR!$I$58</f>
        <v>31457.746762197392</v>
      </c>
      <c r="D218" s="295">
        <f>'CAR Mileage'!D239*CAR!$I$58</f>
        <v>31457.746762197392</v>
      </c>
      <c r="E218" s="295">
        <f>'CAR Mileage'!E239*CAR!$I$58</f>
        <v>31457.746762197392</v>
      </c>
      <c r="F218" s="295">
        <f>'CAR Mileage'!F239*CAR!$I$58</f>
        <v>31457.746762197392</v>
      </c>
      <c r="G218" s="295">
        <f>'CAR Mileage'!G239*CAR!$I$58</f>
        <v>31457.746762197392</v>
      </c>
      <c r="H218" s="295">
        <f>'CAR Mileage'!H239*CAR!$I$58</f>
        <v>31457.746762197392</v>
      </c>
      <c r="I218" s="295">
        <f>'CAR Mileage'!I239*CAR!$I$58</f>
        <v>31457.746762197392</v>
      </c>
      <c r="J218" s="295">
        <f>'CAR Mileage'!J239*CAR!$I$58</f>
        <v>31457.746762197392</v>
      </c>
      <c r="K218" s="295">
        <f>'CAR Mileage'!K239*CAR!$I$58</f>
        <v>31457.746762197392</v>
      </c>
      <c r="L218" s="295">
        <f>'CAR Mileage'!L239*CAR!$I$58</f>
        <v>31457.746762197392</v>
      </c>
      <c r="M218" s="295">
        <f>'CAR Mileage'!M239*CAR!$I$58</f>
        <v>31457.746762197392</v>
      </c>
      <c r="N218" s="295">
        <f>'CAR Mileage'!N239*CAR!$I$58</f>
        <v>31457.746762197392</v>
      </c>
      <c r="O218" s="295">
        <f>'CAR Mileage'!O239*CAR!$I$58</f>
        <v>31457.746762197392</v>
      </c>
      <c r="P218" s="295">
        <f>'CAR Mileage'!P239*CAR!$I$58</f>
        <v>31457.746762197392</v>
      </c>
      <c r="Q218" s="295">
        <f>'CAR Mileage'!Q239*CAR!$I$58</f>
        <v>31457.746762197392</v>
      </c>
      <c r="R218" s="295">
        <f>'CAR Mileage'!R239*CAR!$I$58</f>
        <v>31457.746762197392</v>
      </c>
      <c r="S218" s="295">
        <f>'CAR Mileage'!S239*CAR!$I$58</f>
        <v>31457.746762197392</v>
      </c>
      <c r="T218" s="295">
        <f>'CAR Mileage'!T239*CAR!$I$58</f>
        <v>31457.746762197392</v>
      </c>
      <c r="U218" s="295">
        <f>'CAR Mileage'!U239*CAR!$I$58</f>
        <v>31457.746762197392</v>
      </c>
      <c r="V218" s="295">
        <f>'CAR Mileage'!V239*CAR!$I$58</f>
        <v>31457.746762197392</v>
      </c>
      <c r="W218" s="295">
        <f>'CAR Mileage'!W239*CAR!$I$58</f>
        <v>31457.746762197392</v>
      </c>
      <c r="X218" s="295">
        <f>'CAR Mileage'!X239*CAR!$I$58</f>
        <v>31457.746762197392</v>
      </c>
      <c r="Y218" s="295">
        <f>'CAR Mileage'!Y239*CAR!$I$58</f>
        <v>31457.746762197392</v>
      </c>
      <c r="Z218" s="295">
        <f>'CAR Mileage'!Z239*CAR!$I$58</f>
        <v>31457.746762197392</v>
      </c>
      <c r="AA218" s="295">
        <f>'CAR Mileage'!AA239*CAR!$I$58</f>
        <v>31457.746762197392</v>
      </c>
      <c r="AB218" s="295">
        <f>'CAR Mileage'!AB239*CAR!$I$58</f>
        <v>31457.746762197392</v>
      </c>
      <c r="AC218" s="295">
        <f>'CAR Mileage'!AC239*CAR!$I$58</f>
        <v>31457.746762197392</v>
      </c>
      <c r="AD218" s="295">
        <f>'CAR Mileage'!AD239*CAR!$I$58</f>
        <v>31457.746762197392</v>
      </c>
      <c r="AE218" s="296">
        <f>'CAR Mileage'!AE239*CAR!$I$58</f>
        <v>31457.746762197392</v>
      </c>
      <c r="AG218" s="1711"/>
      <c r="AH218" s="116">
        <v>12</v>
      </c>
      <c r="AI218" s="294">
        <f>'CAR Passenger Kilometres'!C218*'CAR Stock'!C268</f>
        <v>171381804.3604514</v>
      </c>
      <c r="AJ218" s="295">
        <f>'CAR Passenger Kilometres'!D218*'CAR Stock'!D268</f>
        <v>192327541.11172104</v>
      </c>
      <c r="AK218" s="295">
        <f>'CAR Passenger Kilometres'!E218*'CAR Stock'!E268</f>
        <v>266423476.03249705</v>
      </c>
      <c r="AL218" s="295">
        <f>'CAR Passenger Kilometres'!F218*'CAR Stock'!F268</f>
        <v>299471796.57119012</v>
      </c>
      <c r="AM218" s="295">
        <f>'CAR Passenger Kilometres'!G218*'CAR Stock'!G268</f>
        <v>407176364.75338513</v>
      </c>
      <c r="AN218" s="295">
        <f>'CAR Passenger Kilometres'!H218*'CAR Stock'!H268</f>
        <v>565963932.54940474</v>
      </c>
      <c r="AO218" s="295">
        <f>'CAR Passenger Kilometres'!I218*'CAR Stock'!I268</f>
        <v>613133315.25733161</v>
      </c>
      <c r="AP218" s="295">
        <f>'CAR Passenger Kilometres'!J218*'CAR Stock'!J268</f>
        <v>623226327.27780497</v>
      </c>
      <c r="AQ218" s="295">
        <f>'CAR Passenger Kilometres'!K218*'CAR Stock'!K268</f>
        <v>751185579.44666433</v>
      </c>
      <c r="AR218" s="295">
        <f>'CAR Passenger Kilometres'!L218*'CAR Stock'!L268</f>
        <v>483251584.60838211</v>
      </c>
      <c r="AS218" s="295">
        <f>'CAR Passenger Kilometres'!M218*'CAR Stock'!M268</f>
        <v>516162585.25564015</v>
      </c>
      <c r="AT218" s="295">
        <f>'CAR Passenger Kilometres'!N218*'CAR Stock'!N268</f>
        <v>524516211.98460346</v>
      </c>
      <c r="AU218" s="295">
        <f>'CAR Passenger Kilometres'!O218*'CAR Stock'!O268</f>
        <v>442444690.20361084</v>
      </c>
      <c r="AV218" s="295">
        <f>'CAR Passenger Kilometres'!P218*'CAR Stock'!P268</f>
        <v>0</v>
      </c>
      <c r="AW218" s="295">
        <f>'CAR Passenger Kilometres'!Q218*'CAR Stock'!Q268</f>
        <v>0</v>
      </c>
      <c r="AX218" s="295">
        <f>'CAR Passenger Kilometres'!R218*'CAR Stock'!R268</f>
        <v>0</v>
      </c>
      <c r="AY218" s="295">
        <f>'CAR Passenger Kilometres'!S218*'CAR Stock'!S268</f>
        <v>0</v>
      </c>
      <c r="AZ218" s="295">
        <f>'CAR Passenger Kilometres'!T218*'CAR Stock'!T268</f>
        <v>0</v>
      </c>
      <c r="BA218" s="295">
        <f>'CAR Passenger Kilometres'!U218*'CAR Stock'!U268</f>
        <v>0</v>
      </c>
      <c r="BB218" s="295">
        <f>'CAR Passenger Kilometres'!V218*'CAR Stock'!V268</f>
        <v>0</v>
      </c>
      <c r="BC218" s="295">
        <f>'CAR Passenger Kilometres'!W218*'CAR Stock'!W268</f>
        <v>0</v>
      </c>
      <c r="BD218" s="295">
        <f>'CAR Passenger Kilometres'!X218*'CAR Stock'!X268</f>
        <v>0</v>
      </c>
      <c r="BE218" s="295">
        <f>'CAR Passenger Kilometres'!Y218*'CAR Stock'!Y268</f>
        <v>0</v>
      </c>
      <c r="BF218" s="295">
        <f>'CAR Passenger Kilometres'!Z218*'CAR Stock'!Z268</f>
        <v>0</v>
      </c>
      <c r="BG218" s="295">
        <f>'CAR Passenger Kilometres'!AA218*'CAR Stock'!AA268</f>
        <v>0</v>
      </c>
      <c r="BH218" s="295">
        <f>'CAR Passenger Kilometres'!AB218*'CAR Stock'!AB268</f>
        <v>0</v>
      </c>
      <c r="BI218" s="295">
        <f>'CAR Passenger Kilometres'!AC218*'CAR Stock'!AC268</f>
        <v>0</v>
      </c>
      <c r="BJ218" s="295">
        <f>'CAR Passenger Kilometres'!AD218*'CAR Stock'!AD268</f>
        <v>0</v>
      </c>
      <c r="BK218" s="296">
        <f>'CAR Passenger Kilometres'!AE218*'CAR Stock'!AE268</f>
        <v>0</v>
      </c>
    </row>
    <row r="219" spans="1:63">
      <c r="A219" s="1711"/>
      <c r="B219" s="116">
        <v>13</v>
      </c>
      <c r="C219" s="294">
        <f>'CAR Mileage'!C240*CAR!$I$58</f>
        <v>30828.591826953445</v>
      </c>
      <c r="D219" s="295">
        <f>'CAR Mileage'!D240*CAR!$I$58</f>
        <v>30828.591826953445</v>
      </c>
      <c r="E219" s="295">
        <f>'CAR Mileage'!E240*CAR!$I$58</f>
        <v>30828.591826953445</v>
      </c>
      <c r="F219" s="295">
        <f>'CAR Mileage'!F240*CAR!$I$58</f>
        <v>30828.591826953445</v>
      </c>
      <c r="G219" s="295">
        <f>'CAR Mileage'!G240*CAR!$I$58</f>
        <v>30828.591826953445</v>
      </c>
      <c r="H219" s="295">
        <f>'CAR Mileage'!H240*CAR!$I$58</f>
        <v>30828.591826953445</v>
      </c>
      <c r="I219" s="295">
        <f>'CAR Mileage'!I240*CAR!$I$58</f>
        <v>30828.591826953445</v>
      </c>
      <c r="J219" s="295">
        <f>'CAR Mileage'!J240*CAR!$I$58</f>
        <v>30828.591826953445</v>
      </c>
      <c r="K219" s="295">
        <f>'CAR Mileage'!K240*CAR!$I$58</f>
        <v>30828.591826953445</v>
      </c>
      <c r="L219" s="295">
        <f>'CAR Mileage'!L240*CAR!$I$58</f>
        <v>30828.591826953445</v>
      </c>
      <c r="M219" s="295">
        <f>'CAR Mileage'!M240*CAR!$I$58</f>
        <v>30828.591826953445</v>
      </c>
      <c r="N219" s="295">
        <f>'CAR Mileage'!N240*CAR!$I$58</f>
        <v>30828.591826953445</v>
      </c>
      <c r="O219" s="295">
        <f>'CAR Mileage'!O240*CAR!$I$58</f>
        <v>30828.591826953445</v>
      </c>
      <c r="P219" s="295">
        <f>'CAR Mileage'!P240*CAR!$I$58</f>
        <v>30828.591826953445</v>
      </c>
      <c r="Q219" s="295">
        <f>'CAR Mileage'!Q240*CAR!$I$58</f>
        <v>30828.591826953445</v>
      </c>
      <c r="R219" s="295">
        <f>'CAR Mileage'!R240*CAR!$I$58</f>
        <v>30828.591826953445</v>
      </c>
      <c r="S219" s="295">
        <f>'CAR Mileage'!S240*CAR!$I$58</f>
        <v>30828.591826953445</v>
      </c>
      <c r="T219" s="295">
        <f>'CAR Mileage'!T240*CAR!$I$58</f>
        <v>30828.591826953445</v>
      </c>
      <c r="U219" s="295">
        <f>'CAR Mileage'!U240*CAR!$I$58</f>
        <v>30828.591826953445</v>
      </c>
      <c r="V219" s="295">
        <f>'CAR Mileage'!V240*CAR!$I$58</f>
        <v>30828.591826953445</v>
      </c>
      <c r="W219" s="295">
        <f>'CAR Mileage'!W240*CAR!$I$58</f>
        <v>30828.591826953445</v>
      </c>
      <c r="X219" s="295">
        <f>'CAR Mileage'!X240*CAR!$I$58</f>
        <v>30828.591826953445</v>
      </c>
      <c r="Y219" s="295">
        <f>'CAR Mileage'!Y240*CAR!$I$58</f>
        <v>30828.591826953445</v>
      </c>
      <c r="Z219" s="295">
        <f>'CAR Mileage'!Z240*CAR!$I$58</f>
        <v>30828.591826953445</v>
      </c>
      <c r="AA219" s="295">
        <f>'CAR Mileage'!AA240*CAR!$I$58</f>
        <v>30828.591826953445</v>
      </c>
      <c r="AB219" s="295">
        <f>'CAR Mileage'!AB240*CAR!$I$58</f>
        <v>30828.591826953445</v>
      </c>
      <c r="AC219" s="295">
        <f>'CAR Mileage'!AC240*CAR!$I$58</f>
        <v>30828.591826953445</v>
      </c>
      <c r="AD219" s="295">
        <f>'CAR Mileage'!AD240*CAR!$I$58</f>
        <v>30828.591826953445</v>
      </c>
      <c r="AE219" s="296">
        <f>'CAR Mileage'!AE240*CAR!$I$58</f>
        <v>30828.591826953445</v>
      </c>
      <c r="AG219" s="1711"/>
      <c r="AH219" s="116">
        <v>13</v>
      </c>
      <c r="AI219" s="294">
        <f>'CAR Passenger Kilometres'!C219*'CAR Stock'!C269</f>
        <v>97819121.866923288</v>
      </c>
      <c r="AJ219" s="295">
        <f>'CAR Passenger Kilometres'!D219*'CAR Stock'!D269</f>
        <v>99320277.423836559</v>
      </c>
      <c r="AK219" s="295">
        <f>'CAR Passenger Kilometres'!E219*'CAR Stock'!E269</f>
        <v>111458884.51077895</v>
      </c>
      <c r="AL219" s="295">
        <f>'CAR Passenger Kilometres'!F219*'CAR Stock'!F269</f>
        <v>154399433.77020925</v>
      </c>
      <c r="AM219" s="295">
        <f>'CAR Passenger Kilometres'!G219*'CAR Stock'!G269</f>
        <v>173551807.48073089</v>
      </c>
      <c r="AN219" s="295">
        <f>'CAR Passenger Kilometres'!H219*'CAR Stock'!H269</f>
        <v>235969446.45698768</v>
      </c>
      <c r="AO219" s="295">
        <f>'CAR Passenger Kilometres'!I219*'CAR Stock'!I269</f>
        <v>327991031.50103134</v>
      </c>
      <c r="AP219" s="295">
        <f>'CAR Passenger Kilometres'!J219*'CAR Stock'!J269</f>
        <v>355326933.31362486</v>
      </c>
      <c r="AQ219" s="295">
        <f>'CAR Passenger Kilometres'!K219*'CAR Stock'!K269</f>
        <v>361176100.07701814</v>
      </c>
      <c r="AR219" s="295">
        <f>'CAR Passenger Kilometres'!L219*'CAR Stock'!L269</f>
        <v>435331862.83015287</v>
      </c>
      <c r="AS219" s="295">
        <f>'CAR Passenger Kilometres'!M219*'CAR Stock'!M269</f>
        <v>280057043.55793905</v>
      </c>
      <c r="AT219" s="295">
        <f>'CAR Passenger Kilometres'!N219*'CAR Stock'!N269</f>
        <v>299129836.76827848</v>
      </c>
      <c r="AU219" s="295">
        <f>'CAR Passenger Kilometres'!O219*'CAR Stock'!O269</f>
        <v>303970983.86269706</v>
      </c>
      <c r="AV219" s="295">
        <f>'CAR Passenger Kilometres'!P219*'CAR Stock'!P269</f>
        <v>256408371.5871219</v>
      </c>
      <c r="AW219" s="295">
        <f>'CAR Passenger Kilometres'!Q219*'CAR Stock'!Q269</f>
        <v>0</v>
      </c>
      <c r="AX219" s="295">
        <f>'CAR Passenger Kilometres'!R219*'CAR Stock'!R269</f>
        <v>0</v>
      </c>
      <c r="AY219" s="295">
        <f>'CAR Passenger Kilometres'!S219*'CAR Stock'!S269</f>
        <v>0</v>
      </c>
      <c r="AZ219" s="295">
        <f>'CAR Passenger Kilometres'!T219*'CAR Stock'!T269</f>
        <v>0</v>
      </c>
      <c r="BA219" s="295">
        <f>'CAR Passenger Kilometres'!U219*'CAR Stock'!U269</f>
        <v>0</v>
      </c>
      <c r="BB219" s="295">
        <f>'CAR Passenger Kilometres'!V219*'CAR Stock'!V269</f>
        <v>0</v>
      </c>
      <c r="BC219" s="295">
        <f>'CAR Passenger Kilometres'!W219*'CAR Stock'!W269</f>
        <v>0</v>
      </c>
      <c r="BD219" s="295">
        <f>'CAR Passenger Kilometres'!X219*'CAR Stock'!X269</f>
        <v>0</v>
      </c>
      <c r="BE219" s="295">
        <f>'CAR Passenger Kilometres'!Y219*'CAR Stock'!Y269</f>
        <v>0</v>
      </c>
      <c r="BF219" s="295">
        <f>'CAR Passenger Kilometres'!Z219*'CAR Stock'!Z269</f>
        <v>0</v>
      </c>
      <c r="BG219" s="295">
        <f>'CAR Passenger Kilometres'!AA219*'CAR Stock'!AA269</f>
        <v>0</v>
      </c>
      <c r="BH219" s="295">
        <f>'CAR Passenger Kilometres'!AB219*'CAR Stock'!AB269</f>
        <v>0</v>
      </c>
      <c r="BI219" s="295">
        <f>'CAR Passenger Kilometres'!AC219*'CAR Stock'!AC269</f>
        <v>0</v>
      </c>
      <c r="BJ219" s="295">
        <f>'CAR Passenger Kilometres'!AD219*'CAR Stock'!AD269</f>
        <v>0</v>
      </c>
      <c r="BK219" s="296">
        <f>'CAR Passenger Kilometres'!AE219*'CAR Stock'!AE269</f>
        <v>0</v>
      </c>
    </row>
    <row r="220" spans="1:63">
      <c r="A220" s="1711"/>
      <c r="B220" s="116">
        <v>14</v>
      </c>
      <c r="C220" s="294">
        <f>'CAR Mileage'!C241*CAR!$I$58</f>
        <v>30212.019990414377</v>
      </c>
      <c r="D220" s="295">
        <f>'CAR Mileage'!D241*CAR!$I$58</f>
        <v>30212.019990414377</v>
      </c>
      <c r="E220" s="295">
        <f>'CAR Mileage'!E241*CAR!$I$58</f>
        <v>30212.019990414377</v>
      </c>
      <c r="F220" s="295">
        <f>'CAR Mileage'!F241*CAR!$I$58</f>
        <v>30212.019990414377</v>
      </c>
      <c r="G220" s="295">
        <f>'CAR Mileage'!G241*CAR!$I$58</f>
        <v>30212.019990414377</v>
      </c>
      <c r="H220" s="295">
        <f>'CAR Mileage'!H241*CAR!$I$58</f>
        <v>30212.019990414377</v>
      </c>
      <c r="I220" s="295">
        <f>'CAR Mileage'!I241*CAR!$I$58</f>
        <v>30212.019990414377</v>
      </c>
      <c r="J220" s="295">
        <f>'CAR Mileage'!J241*CAR!$I$58</f>
        <v>30212.019990414377</v>
      </c>
      <c r="K220" s="295">
        <f>'CAR Mileage'!K241*CAR!$I$58</f>
        <v>30212.019990414377</v>
      </c>
      <c r="L220" s="295">
        <f>'CAR Mileage'!L241*CAR!$I$58</f>
        <v>30212.019990414377</v>
      </c>
      <c r="M220" s="295">
        <f>'CAR Mileage'!M241*CAR!$I$58</f>
        <v>30212.019990414377</v>
      </c>
      <c r="N220" s="295">
        <f>'CAR Mileage'!N241*CAR!$I$58</f>
        <v>30212.019990414377</v>
      </c>
      <c r="O220" s="295">
        <f>'CAR Mileage'!O241*CAR!$I$58</f>
        <v>30212.019990414377</v>
      </c>
      <c r="P220" s="295">
        <f>'CAR Mileage'!P241*CAR!$I$58</f>
        <v>30212.019990414377</v>
      </c>
      <c r="Q220" s="295">
        <f>'CAR Mileage'!Q241*CAR!$I$58</f>
        <v>30212.019990414377</v>
      </c>
      <c r="R220" s="295">
        <f>'CAR Mileage'!R241*CAR!$I$58</f>
        <v>30212.019990414377</v>
      </c>
      <c r="S220" s="295">
        <f>'CAR Mileage'!S241*CAR!$I$58</f>
        <v>30212.019990414377</v>
      </c>
      <c r="T220" s="295">
        <f>'CAR Mileage'!T241*CAR!$I$58</f>
        <v>30212.019990414377</v>
      </c>
      <c r="U220" s="295">
        <f>'CAR Mileage'!U241*CAR!$I$58</f>
        <v>30212.019990414377</v>
      </c>
      <c r="V220" s="295">
        <f>'CAR Mileage'!V241*CAR!$I$58</f>
        <v>30212.019990414377</v>
      </c>
      <c r="W220" s="295">
        <f>'CAR Mileage'!W241*CAR!$I$58</f>
        <v>30212.019990414377</v>
      </c>
      <c r="X220" s="295">
        <f>'CAR Mileage'!X241*CAR!$I$58</f>
        <v>30212.019990414377</v>
      </c>
      <c r="Y220" s="295">
        <f>'CAR Mileage'!Y241*CAR!$I$58</f>
        <v>30212.019990414377</v>
      </c>
      <c r="Z220" s="295">
        <f>'CAR Mileage'!Z241*CAR!$I$58</f>
        <v>30212.019990414377</v>
      </c>
      <c r="AA220" s="295">
        <f>'CAR Mileage'!AA241*CAR!$I$58</f>
        <v>30212.019990414377</v>
      </c>
      <c r="AB220" s="295">
        <f>'CAR Mileage'!AB241*CAR!$I$58</f>
        <v>30212.019990414377</v>
      </c>
      <c r="AC220" s="295">
        <f>'CAR Mileage'!AC241*CAR!$I$58</f>
        <v>30212.019990414377</v>
      </c>
      <c r="AD220" s="295">
        <f>'CAR Mileage'!AD241*CAR!$I$58</f>
        <v>30212.019990414377</v>
      </c>
      <c r="AE220" s="296">
        <f>'CAR Mileage'!AE241*CAR!$I$58</f>
        <v>30212.019990414377</v>
      </c>
      <c r="AG220" s="1711"/>
      <c r="AH220" s="116">
        <v>14</v>
      </c>
      <c r="AI220" s="294">
        <f>'CAR Passenger Kilometres'!C220*'CAR Stock'!C270</f>
        <v>79759732.774693951</v>
      </c>
      <c r="AJ220" s="295">
        <f>'CAR Passenger Kilometres'!D220*'CAR Stock'!D270</f>
        <v>42043567.74617397</v>
      </c>
      <c r="AK220" s="295">
        <f>'CAR Passenger Kilometres'!E220*'CAR Stock'!E270</f>
        <v>42688778.356840581</v>
      </c>
      <c r="AL220" s="295">
        <f>'CAR Passenger Kilometres'!F220*'CAR Stock'!F270</f>
        <v>47906064.503595702</v>
      </c>
      <c r="AM220" s="295">
        <f>'CAR Passenger Kilometres'!G220*'CAR Stock'!G270</f>
        <v>66362311.680940792</v>
      </c>
      <c r="AN220" s="295">
        <f>'CAR Passenger Kilometres'!H220*'CAR Stock'!H270</f>
        <v>74594179.911099598</v>
      </c>
      <c r="AO220" s="295">
        <f>'CAR Passenger Kilometres'!I220*'CAR Stock'!I270</f>
        <v>101421861.2761462</v>
      </c>
      <c r="AP220" s="295">
        <f>'CAR Passenger Kilometres'!J220*'CAR Stock'!J270</f>
        <v>140973593.81135514</v>
      </c>
      <c r="AQ220" s="295">
        <f>'CAR Passenger Kilometres'!K220*'CAR Stock'!K270</f>
        <v>152722818.48057762</v>
      </c>
      <c r="AR220" s="295">
        <f>'CAR Passenger Kilometres'!L220*'CAR Stock'!L270</f>
        <v>155236844.71984354</v>
      </c>
      <c r="AS220" s="295">
        <f>'CAR Passenger Kilometres'!M220*'CAR Stock'!M270</f>
        <v>187109680.78273681</v>
      </c>
      <c r="AT220" s="295">
        <f>'CAR Passenger Kilometres'!N220*'CAR Stock'!N270</f>
        <v>120371120.27687182</v>
      </c>
      <c r="AU220" s="295">
        <f>'CAR Passenger Kilometres'!O220*'CAR Stock'!O270</f>
        <v>128568784.06840116</v>
      </c>
      <c r="AV220" s="295">
        <f>'CAR Passenger Kilometres'!P220*'CAR Stock'!P270</f>
        <v>130649554.08502719</v>
      </c>
      <c r="AW220" s="295">
        <f>'CAR Passenger Kilometres'!Q220*'CAR Stock'!Q270</f>
        <v>110206701.26414807</v>
      </c>
      <c r="AX220" s="295">
        <f>'CAR Passenger Kilometres'!R220*'CAR Stock'!R270</f>
        <v>0</v>
      </c>
      <c r="AY220" s="295">
        <f>'CAR Passenger Kilometres'!S220*'CAR Stock'!S270</f>
        <v>0</v>
      </c>
      <c r="AZ220" s="295">
        <f>'CAR Passenger Kilometres'!T220*'CAR Stock'!T270</f>
        <v>0</v>
      </c>
      <c r="BA220" s="295">
        <f>'CAR Passenger Kilometres'!U220*'CAR Stock'!U270</f>
        <v>0</v>
      </c>
      <c r="BB220" s="295">
        <f>'CAR Passenger Kilometres'!V220*'CAR Stock'!V270</f>
        <v>0</v>
      </c>
      <c r="BC220" s="295">
        <f>'CAR Passenger Kilometres'!W220*'CAR Stock'!W270</f>
        <v>0</v>
      </c>
      <c r="BD220" s="295">
        <f>'CAR Passenger Kilometres'!X220*'CAR Stock'!X270</f>
        <v>0</v>
      </c>
      <c r="BE220" s="295">
        <f>'CAR Passenger Kilometres'!Y220*'CAR Stock'!Y270</f>
        <v>0</v>
      </c>
      <c r="BF220" s="295">
        <f>'CAR Passenger Kilometres'!Z220*'CAR Stock'!Z270</f>
        <v>0</v>
      </c>
      <c r="BG220" s="295">
        <f>'CAR Passenger Kilometres'!AA220*'CAR Stock'!AA270</f>
        <v>0</v>
      </c>
      <c r="BH220" s="295">
        <f>'CAR Passenger Kilometres'!AB220*'CAR Stock'!AB270</f>
        <v>0</v>
      </c>
      <c r="BI220" s="295">
        <f>'CAR Passenger Kilometres'!AC220*'CAR Stock'!AC270</f>
        <v>0</v>
      </c>
      <c r="BJ220" s="295">
        <f>'CAR Passenger Kilometres'!AD220*'CAR Stock'!AD270</f>
        <v>0</v>
      </c>
      <c r="BK220" s="296">
        <f>'CAR Passenger Kilometres'!AE220*'CAR Stock'!AE270</f>
        <v>0</v>
      </c>
    </row>
    <row r="221" spans="1:63">
      <c r="A221" s="1711"/>
      <c r="B221" s="116">
        <v>15</v>
      </c>
      <c r="C221" s="294">
        <f>'CAR Mileage'!C242*CAR!$I$58</f>
        <v>29607.779590606093</v>
      </c>
      <c r="D221" s="295">
        <f>'CAR Mileage'!D242*CAR!$I$58</f>
        <v>29607.779590606093</v>
      </c>
      <c r="E221" s="295">
        <f>'CAR Mileage'!E242*CAR!$I$58</f>
        <v>29607.779590606093</v>
      </c>
      <c r="F221" s="295">
        <f>'CAR Mileage'!F242*CAR!$I$58</f>
        <v>29607.779590606093</v>
      </c>
      <c r="G221" s="295">
        <f>'CAR Mileage'!G242*CAR!$I$58</f>
        <v>29607.779590606093</v>
      </c>
      <c r="H221" s="295">
        <f>'CAR Mileage'!H242*CAR!$I$58</f>
        <v>29607.779590606093</v>
      </c>
      <c r="I221" s="295">
        <f>'CAR Mileage'!I242*CAR!$I$58</f>
        <v>29607.779590606093</v>
      </c>
      <c r="J221" s="295">
        <f>'CAR Mileage'!J242*CAR!$I$58</f>
        <v>29607.779590606093</v>
      </c>
      <c r="K221" s="295">
        <f>'CAR Mileage'!K242*CAR!$I$58</f>
        <v>29607.779590606093</v>
      </c>
      <c r="L221" s="295">
        <f>'CAR Mileage'!L242*CAR!$I$58</f>
        <v>29607.779590606093</v>
      </c>
      <c r="M221" s="295">
        <f>'CAR Mileage'!M242*CAR!$I$58</f>
        <v>29607.779590606093</v>
      </c>
      <c r="N221" s="295">
        <f>'CAR Mileage'!N242*CAR!$I$58</f>
        <v>29607.779590606093</v>
      </c>
      <c r="O221" s="295">
        <f>'CAR Mileage'!O242*CAR!$I$58</f>
        <v>29607.779590606093</v>
      </c>
      <c r="P221" s="295">
        <f>'CAR Mileage'!P242*CAR!$I$58</f>
        <v>29607.779590606093</v>
      </c>
      <c r="Q221" s="295">
        <f>'CAR Mileage'!Q242*CAR!$I$58</f>
        <v>29607.779590606093</v>
      </c>
      <c r="R221" s="295">
        <f>'CAR Mileage'!R242*CAR!$I$58</f>
        <v>29607.779590606093</v>
      </c>
      <c r="S221" s="295">
        <f>'CAR Mileage'!S242*CAR!$I$58</f>
        <v>29607.779590606093</v>
      </c>
      <c r="T221" s="295">
        <f>'CAR Mileage'!T242*CAR!$I$58</f>
        <v>29607.779590606093</v>
      </c>
      <c r="U221" s="295">
        <f>'CAR Mileage'!U242*CAR!$I$58</f>
        <v>29607.779590606093</v>
      </c>
      <c r="V221" s="295">
        <f>'CAR Mileage'!V242*CAR!$I$58</f>
        <v>29607.779590606093</v>
      </c>
      <c r="W221" s="295">
        <f>'CAR Mileage'!W242*CAR!$I$58</f>
        <v>29607.779590606093</v>
      </c>
      <c r="X221" s="295">
        <f>'CAR Mileage'!X242*CAR!$I$58</f>
        <v>29607.779590606093</v>
      </c>
      <c r="Y221" s="295">
        <f>'CAR Mileage'!Y242*CAR!$I$58</f>
        <v>29607.779590606093</v>
      </c>
      <c r="Z221" s="295">
        <f>'CAR Mileage'!Z242*CAR!$I$58</f>
        <v>29607.779590606093</v>
      </c>
      <c r="AA221" s="295">
        <f>'CAR Mileage'!AA242*CAR!$I$58</f>
        <v>29607.779590606093</v>
      </c>
      <c r="AB221" s="295">
        <f>'CAR Mileage'!AB242*CAR!$I$58</f>
        <v>29607.779590606093</v>
      </c>
      <c r="AC221" s="295">
        <f>'CAR Mileage'!AC242*CAR!$I$58</f>
        <v>29607.779590606093</v>
      </c>
      <c r="AD221" s="295">
        <f>'CAR Mileage'!AD242*CAR!$I$58</f>
        <v>29607.779590606093</v>
      </c>
      <c r="AE221" s="296">
        <f>'CAR Mileage'!AE242*CAR!$I$58</f>
        <v>29607.779590606093</v>
      </c>
      <c r="AG221" s="1711"/>
      <c r="AH221" s="116">
        <v>15</v>
      </c>
      <c r="AI221" s="294">
        <f>'CAR Passenger Kilometres'!C221*'CAR Stock'!C271</f>
        <v>41983831.459479436</v>
      </c>
      <c r="AJ221" s="295">
        <f>'CAR Passenger Kilometres'!D221*'CAR Stock'!D271</f>
        <v>24484898.886294723</v>
      </c>
      <c r="AK221" s="295">
        <f>'CAR Passenger Kilometres'!E221*'CAR Stock'!E271</f>
        <v>12906669.434213154</v>
      </c>
      <c r="AL221" s="295">
        <f>'CAR Passenger Kilometres'!F221*'CAR Stock'!F271</f>
        <v>13104738.259332748</v>
      </c>
      <c r="AM221" s="295">
        <f>'CAR Passenger Kilometres'!G221*'CAR Stock'!G271</f>
        <v>14706357.514063954</v>
      </c>
      <c r="AN221" s="295">
        <f>'CAR Passenger Kilometres'!H221*'CAR Stock'!H271</f>
        <v>20372115.538031843</v>
      </c>
      <c r="AO221" s="295">
        <f>'CAR Passenger Kilometres'!I221*'CAR Stock'!I271</f>
        <v>22899160.880950667</v>
      </c>
      <c r="AP221" s="295">
        <f>'CAR Passenger Kilometres'!J221*'CAR Stock'!J271</f>
        <v>31134808.653648712</v>
      </c>
      <c r="AQ221" s="295">
        <f>'CAR Passenger Kilometres'!K221*'CAR Stock'!K271</f>
        <v>43276526.513185255</v>
      </c>
      <c r="AR221" s="295">
        <f>'CAR Passenger Kilometres'!L221*'CAR Stock'!L271</f>
        <v>46883341.230467588</v>
      </c>
      <c r="AS221" s="295">
        <f>'CAR Passenger Kilometres'!M221*'CAR Stock'!M271</f>
        <v>47655105.078270346</v>
      </c>
      <c r="AT221" s="295">
        <f>'CAR Passenger Kilometres'!N221*'CAR Stock'!N271</f>
        <v>57439530.640776679</v>
      </c>
      <c r="AU221" s="295">
        <f>'CAR Passenger Kilometres'!O221*'CAR Stock'!O271</f>
        <v>36951913.030284546</v>
      </c>
      <c r="AV221" s="295">
        <f>'CAR Passenger Kilometres'!P221*'CAR Stock'!P271</f>
        <v>39468458.18479789</v>
      </c>
      <c r="AW221" s="295">
        <f>'CAR Passenger Kilometres'!Q221*'CAR Stock'!Q271</f>
        <v>40107219.646131255</v>
      </c>
      <c r="AX221" s="295">
        <f>'CAR Passenger Kilometres'!R221*'CAR Stock'!R271</f>
        <v>33831607.04245612</v>
      </c>
      <c r="AY221" s="295">
        <f>'CAR Passenger Kilometres'!S221*'CAR Stock'!S271</f>
        <v>0</v>
      </c>
      <c r="AZ221" s="295">
        <f>'CAR Passenger Kilometres'!T221*'CAR Stock'!T271</f>
        <v>0</v>
      </c>
      <c r="BA221" s="295">
        <f>'CAR Passenger Kilometres'!U221*'CAR Stock'!U271</f>
        <v>0</v>
      </c>
      <c r="BB221" s="295">
        <f>'CAR Passenger Kilometres'!V221*'CAR Stock'!V271</f>
        <v>0</v>
      </c>
      <c r="BC221" s="295">
        <f>'CAR Passenger Kilometres'!W221*'CAR Stock'!W271</f>
        <v>0</v>
      </c>
      <c r="BD221" s="295">
        <f>'CAR Passenger Kilometres'!X221*'CAR Stock'!X271</f>
        <v>0</v>
      </c>
      <c r="BE221" s="295">
        <f>'CAR Passenger Kilometres'!Y221*'CAR Stock'!Y271</f>
        <v>0</v>
      </c>
      <c r="BF221" s="295">
        <f>'CAR Passenger Kilometres'!Z221*'CAR Stock'!Z271</f>
        <v>0</v>
      </c>
      <c r="BG221" s="295">
        <f>'CAR Passenger Kilometres'!AA221*'CAR Stock'!AA271</f>
        <v>0</v>
      </c>
      <c r="BH221" s="295">
        <f>'CAR Passenger Kilometres'!AB221*'CAR Stock'!AB271</f>
        <v>0</v>
      </c>
      <c r="BI221" s="295">
        <f>'CAR Passenger Kilometres'!AC221*'CAR Stock'!AC271</f>
        <v>0</v>
      </c>
      <c r="BJ221" s="295">
        <f>'CAR Passenger Kilometres'!AD221*'CAR Stock'!AD271</f>
        <v>0</v>
      </c>
      <c r="BK221" s="296">
        <f>'CAR Passenger Kilometres'!AE221*'CAR Stock'!AE271</f>
        <v>0</v>
      </c>
    </row>
    <row r="222" spans="1:63">
      <c r="A222" s="1711"/>
      <c r="B222" s="116">
        <v>16</v>
      </c>
      <c r="C222" s="294">
        <f>'CAR Mileage'!C243*CAR!$I$58</f>
        <v>29015.62399879397</v>
      </c>
      <c r="D222" s="295">
        <f>'CAR Mileage'!D243*CAR!$I$58</f>
        <v>29015.62399879397</v>
      </c>
      <c r="E222" s="295">
        <f>'CAR Mileage'!E243*CAR!$I$58</f>
        <v>29015.62399879397</v>
      </c>
      <c r="F222" s="295">
        <f>'CAR Mileage'!F243*CAR!$I$58</f>
        <v>29015.62399879397</v>
      </c>
      <c r="G222" s="295">
        <f>'CAR Mileage'!G243*CAR!$I$58</f>
        <v>29015.62399879397</v>
      </c>
      <c r="H222" s="295">
        <f>'CAR Mileage'!H243*CAR!$I$58</f>
        <v>29015.62399879397</v>
      </c>
      <c r="I222" s="295">
        <f>'CAR Mileage'!I243*CAR!$I$58</f>
        <v>29015.62399879397</v>
      </c>
      <c r="J222" s="295">
        <f>'CAR Mileage'!J243*CAR!$I$58</f>
        <v>29015.62399879397</v>
      </c>
      <c r="K222" s="295">
        <f>'CAR Mileage'!K243*CAR!$I$58</f>
        <v>29015.62399879397</v>
      </c>
      <c r="L222" s="295">
        <f>'CAR Mileage'!L243*CAR!$I$58</f>
        <v>29015.62399879397</v>
      </c>
      <c r="M222" s="295">
        <f>'CAR Mileage'!M243*CAR!$I$58</f>
        <v>29015.62399879397</v>
      </c>
      <c r="N222" s="295">
        <f>'CAR Mileage'!N243*CAR!$I$58</f>
        <v>29015.62399879397</v>
      </c>
      <c r="O222" s="295">
        <f>'CAR Mileage'!O243*CAR!$I$58</f>
        <v>29015.62399879397</v>
      </c>
      <c r="P222" s="295">
        <f>'CAR Mileage'!P243*CAR!$I$58</f>
        <v>29015.62399879397</v>
      </c>
      <c r="Q222" s="295">
        <f>'CAR Mileage'!Q243*CAR!$I$58</f>
        <v>29015.62399879397</v>
      </c>
      <c r="R222" s="295">
        <f>'CAR Mileage'!R243*CAR!$I$58</f>
        <v>29015.62399879397</v>
      </c>
      <c r="S222" s="295">
        <f>'CAR Mileage'!S243*CAR!$I$58</f>
        <v>29015.62399879397</v>
      </c>
      <c r="T222" s="295">
        <f>'CAR Mileage'!T243*CAR!$I$58</f>
        <v>29015.62399879397</v>
      </c>
      <c r="U222" s="295">
        <f>'CAR Mileage'!U243*CAR!$I$58</f>
        <v>29015.62399879397</v>
      </c>
      <c r="V222" s="295">
        <f>'CAR Mileage'!V243*CAR!$I$58</f>
        <v>29015.62399879397</v>
      </c>
      <c r="W222" s="295">
        <f>'CAR Mileage'!W243*CAR!$I$58</f>
        <v>29015.62399879397</v>
      </c>
      <c r="X222" s="295">
        <f>'CAR Mileage'!X243*CAR!$I$58</f>
        <v>29015.62399879397</v>
      </c>
      <c r="Y222" s="295">
        <f>'CAR Mileage'!Y243*CAR!$I$58</f>
        <v>29015.62399879397</v>
      </c>
      <c r="Z222" s="295">
        <f>'CAR Mileage'!Z243*CAR!$I$58</f>
        <v>29015.62399879397</v>
      </c>
      <c r="AA222" s="295">
        <f>'CAR Mileage'!AA243*CAR!$I$58</f>
        <v>29015.62399879397</v>
      </c>
      <c r="AB222" s="295">
        <f>'CAR Mileage'!AB243*CAR!$I$58</f>
        <v>29015.62399879397</v>
      </c>
      <c r="AC222" s="295">
        <f>'CAR Mileage'!AC243*CAR!$I$58</f>
        <v>29015.62399879397</v>
      </c>
      <c r="AD222" s="295">
        <f>'CAR Mileage'!AD243*CAR!$I$58</f>
        <v>29015.62399879397</v>
      </c>
      <c r="AE222" s="296">
        <f>'CAR Mileage'!AE243*CAR!$I$58</f>
        <v>29015.62399879397</v>
      </c>
      <c r="AG222" s="1711"/>
      <c r="AH222" s="116">
        <v>16</v>
      </c>
      <c r="AI222" s="294">
        <f>'CAR Passenger Kilometres'!C222*'CAR Stock'!C272</f>
        <v>51541596.588689215</v>
      </c>
      <c r="AJ222" s="295">
        <f>'CAR Passenger Kilometres'!D222*'CAR Stock'!D272</f>
        <v>11599498.25739225</v>
      </c>
      <c r="AK222" s="295">
        <f>'CAR Passenger Kilometres'!E222*'CAR Stock'!E272</f>
        <v>6764807.5959459497</v>
      </c>
      <c r="AL222" s="295">
        <f>'CAR Passenger Kilometres'!F222*'CAR Stock'!F272</f>
        <v>3565917.7451535426</v>
      </c>
      <c r="AM222" s="295">
        <f>'CAR Passenger Kilometres'!G222*'CAR Stock'!G272</f>
        <v>3620641.1687180614</v>
      </c>
      <c r="AN222" s="295">
        <f>'CAR Passenger Kilometres'!H222*'CAR Stock'!H272</f>
        <v>4063144.3683650726</v>
      </c>
      <c r="AO222" s="295">
        <f>'CAR Passenger Kilometres'!I222*'CAR Stock'!I272</f>
        <v>5628507.7008958608</v>
      </c>
      <c r="AP222" s="295">
        <f>'CAR Passenger Kilometres'!J222*'CAR Stock'!J272</f>
        <v>6326692.1455392446</v>
      </c>
      <c r="AQ222" s="295">
        <f>'CAR Passenger Kilometres'!K222*'CAR Stock'!K272</f>
        <v>8602077.1846609637</v>
      </c>
      <c r="AR222" s="295">
        <f>'CAR Passenger Kilometres'!L222*'CAR Stock'!L272</f>
        <v>11956650.368134504</v>
      </c>
      <c r="AS222" s="295">
        <f>'CAR Passenger Kilometres'!M222*'CAR Stock'!M272</f>
        <v>12953158.775620662</v>
      </c>
      <c r="AT222" s="295">
        <f>'CAR Passenger Kilometres'!N222*'CAR Stock'!N272</f>
        <v>13166385.465432107</v>
      </c>
      <c r="AU222" s="295">
        <f>'CAR Passenger Kilometres'!O222*'CAR Stock'!O272</f>
        <v>15869674.405876126</v>
      </c>
      <c r="AV222" s="295">
        <f>'CAR Passenger Kilometres'!P222*'CAR Stock'!P272</f>
        <v>10209255.227593515</v>
      </c>
      <c r="AW222" s="295">
        <f>'CAR Passenger Kilometres'!Q222*'CAR Stock'!Q272</f>
        <v>10904538.628838101</v>
      </c>
      <c r="AX222" s="295">
        <f>'CAR Passenger Kilometres'!R222*'CAR Stock'!R272</f>
        <v>11081018.768931482</v>
      </c>
      <c r="AY222" s="295">
        <f>'CAR Passenger Kilometres'!S222*'CAR Stock'!S272</f>
        <v>9347161.830918204</v>
      </c>
      <c r="AZ222" s="295">
        <f>'CAR Passenger Kilometres'!T222*'CAR Stock'!T272</f>
        <v>0</v>
      </c>
      <c r="BA222" s="295">
        <f>'CAR Passenger Kilometres'!U222*'CAR Stock'!U272</f>
        <v>0</v>
      </c>
      <c r="BB222" s="295">
        <f>'CAR Passenger Kilometres'!V222*'CAR Stock'!V272</f>
        <v>0</v>
      </c>
      <c r="BC222" s="295">
        <f>'CAR Passenger Kilometres'!W222*'CAR Stock'!W272</f>
        <v>0</v>
      </c>
      <c r="BD222" s="295">
        <f>'CAR Passenger Kilometres'!X222*'CAR Stock'!X272</f>
        <v>0</v>
      </c>
      <c r="BE222" s="295">
        <f>'CAR Passenger Kilometres'!Y222*'CAR Stock'!Y272</f>
        <v>0</v>
      </c>
      <c r="BF222" s="295">
        <f>'CAR Passenger Kilometres'!Z222*'CAR Stock'!Z272</f>
        <v>0</v>
      </c>
      <c r="BG222" s="295">
        <f>'CAR Passenger Kilometres'!AA222*'CAR Stock'!AA272</f>
        <v>0</v>
      </c>
      <c r="BH222" s="295">
        <f>'CAR Passenger Kilometres'!AB222*'CAR Stock'!AB272</f>
        <v>0</v>
      </c>
      <c r="BI222" s="295">
        <f>'CAR Passenger Kilometres'!AC222*'CAR Stock'!AC272</f>
        <v>0</v>
      </c>
      <c r="BJ222" s="295">
        <f>'CAR Passenger Kilometres'!AD222*'CAR Stock'!AD272</f>
        <v>0</v>
      </c>
      <c r="BK222" s="296">
        <f>'CAR Passenger Kilometres'!AE222*'CAR Stock'!AE272</f>
        <v>0</v>
      </c>
    </row>
    <row r="223" spans="1:63">
      <c r="A223" s="1711"/>
      <c r="B223" s="116">
        <v>17</v>
      </c>
      <c r="C223" s="294">
        <f>'CAR Mileage'!C244*CAR!$I$58</f>
        <v>29015.62399879397</v>
      </c>
      <c r="D223" s="295">
        <f>'CAR Mileage'!D244*CAR!$I$58</f>
        <v>29015.62399879397</v>
      </c>
      <c r="E223" s="295">
        <f>'CAR Mileage'!E244*CAR!$I$58</f>
        <v>29015.62399879397</v>
      </c>
      <c r="F223" s="295">
        <f>'CAR Mileage'!F244*CAR!$I$58</f>
        <v>29015.62399879397</v>
      </c>
      <c r="G223" s="295">
        <f>'CAR Mileage'!G244*CAR!$I$58</f>
        <v>29015.62399879397</v>
      </c>
      <c r="H223" s="295">
        <f>'CAR Mileage'!H244*CAR!$I$58</f>
        <v>29015.62399879397</v>
      </c>
      <c r="I223" s="295">
        <f>'CAR Mileage'!I244*CAR!$I$58</f>
        <v>29015.62399879397</v>
      </c>
      <c r="J223" s="295">
        <f>'CAR Mileage'!J244*CAR!$I$58</f>
        <v>29015.62399879397</v>
      </c>
      <c r="K223" s="295">
        <f>'CAR Mileage'!K244*CAR!$I$58</f>
        <v>29015.62399879397</v>
      </c>
      <c r="L223" s="295">
        <f>'CAR Mileage'!L244*CAR!$I$58</f>
        <v>29015.62399879397</v>
      </c>
      <c r="M223" s="295">
        <f>'CAR Mileage'!M244*CAR!$I$58</f>
        <v>29015.62399879397</v>
      </c>
      <c r="N223" s="295">
        <f>'CAR Mileage'!N244*CAR!$I$58</f>
        <v>29015.62399879397</v>
      </c>
      <c r="O223" s="295">
        <f>'CAR Mileage'!O244*CAR!$I$58</f>
        <v>29015.62399879397</v>
      </c>
      <c r="P223" s="295">
        <f>'CAR Mileage'!P244*CAR!$I$58</f>
        <v>29015.62399879397</v>
      </c>
      <c r="Q223" s="295">
        <f>'CAR Mileage'!Q244*CAR!$I$58</f>
        <v>29015.62399879397</v>
      </c>
      <c r="R223" s="295">
        <f>'CAR Mileage'!R244*CAR!$I$58</f>
        <v>29015.62399879397</v>
      </c>
      <c r="S223" s="295">
        <f>'CAR Mileage'!S244*CAR!$I$58</f>
        <v>29015.62399879397</v>
      </c>
      <c r="T223" s="295">
        <f>'CAR Mileage'!T244*CAR!$I$58</f>
        <v>29015.62399879397</v>
      </c>
      <c r="U223" s="295">
        <f>'CAR Mileage'!U244*CAR!$I$58</f>
        <v>29015.62399879397</v>
      </c>
      <c r="V223" s="295">
        <f>'CAR Mileage'!V244*CAR!$I$58</f>
        <v>29015.62399879397</v>
      </c>
      <c r="W223" s="295">
        <f>'CAR Mileage'!W244*CAR!$I$58</f>
        <v>29015.62399879397</v>
      </c>
      <c r="X223" s="295">
        <f>'CAR Mileage'!X244*CAR!$I$58</f>
        <v>29015.62399879397</v>
      </c>
      <c r="Y223" s="295">
        <f>'CAR Mileage'!Y244*CAR!$I$58</f>
        <v>29015.62399879397</v>
      </c>
      <c r="Z223" s="295">
        <f>'CAR Mileage'!Z244*CAR!$I$58</f>
        <v>29015.62399879397</v>
      </c>
      <c r="AA223" s="295">
        <f>'CAR Mileage'!AA244*CAR!$I$58</f>
        <v>29015.62399879397</v>
      </c>
      <c r="AB223" s="295">
        <f>'CAR Mileage'!AB244*CAR!$I$58</f>
        <v>29015.62399879397</v>
      </c>
      <c r="AC223" s="295">
        <f>'CAR Mileage'!AC244*CAR!$I$58</f>
        <v>29015.62399879397</v>
      </c>
      <c r="AD223" s="295">
        <f>'CAR Mileage'!AD244*CAR!$I$58</f>
        <v>29015.62399879397</v>
      </c>
      <c r="AE223" s="296">
        <f>'CAR Mileage'!AE244*CAR!$I$58</f>
        <v>29015.62399879397</v>
      </c>
      <c r="AG223" s="1711"/>
      <c r="AH223" s="116">
        <v>17</v>
      </c>
      <c r="AI223" s="294">
        <f>'CAR Passenger Kilometres'!C223*'CAR Stock'!C273</f>
        <v>18961093.750130907</v>
      </c>
      <c r="AJ223" s="295">
        <f>'CAR Passenger Kilometres'!D223*'CAR Stock'!D273</f>
        <v>12916248.8389579</v>
      </c>
      <c r="AK223" s="295">
        <f>'CAR Passenger Kilometres'!E223*'CAR Stock'!E273</f>
        <v>2906817.3245610171</v>
      </c>
      <c r="AL223" s="295">
        <f>'CAR Passenger Kilometres'!F223*'CAR Stock'!F273</f>
        <v>1695250.9048989196</v>
      </c>
      <c r="AM223" s="295">
        <f>'CAR Passenger Kilometres'!G223*'CAR Stock'!G273</f>
        <v>893613.7796275852</v>
      </c>
      <c r="AN223" s="295">
        <f>'CAR Passenger Kilometres'!H223*'CAR Stock'!H273</f>
        <v>907327.38966026565</v>
      </c>
      <c r="AO223" s="295">
        <f>'CAR Passenger Kilometres'!I223*'CAR Stock'!I273</f>
        <v>1018218.0453046064</v>
      </c>
      <c r="AP223" s="295">
        <f>'CAR Passenger Kilometres'!J223*'CAR Stock'!J273</f>
        <v>1410495.8105375336</v>
      </c>
      <c r="AQ223" s="295">
        <f>'CAR Passenger Kilometres'!K223*'CAR Stock'!K273</f>
        <v>1585459.8128067716</v>
      </c>
      <c r="AR223" s="295">
        <f>'CAR Passenger Kilometres'!L223*'CAR Stock'!L273</f>
        <v>2155667.9808670445</v>
      </c>
      <c r="AS223" s="295">
        <f>'CAR Passenger Kilometres'!M223*'CAR Stock'!M273</f>
        <v>2996319.1219639783</v>
      </c>
      <c r="AT223" s="295">
        <f>'CAR Passenger Kilometres'!N223*'CAR Stock'!N273</f>
        <v>3246042.673679282</v>
      </c>
      <c r="AU223" s="295">
        <f>'CAR Passenger Kilometres'!O223*'CAR Stock'!O273</f>
        <v>3299476.9707712024</v>
      </c>
      <c r="AV223" s="295">
        <f>'CAR Passenger Kilometres'!P223*'CAR Stock'!P273</f>
        <v>3976917.2316349912</v>
      </c>
      <c r="AW223" s="295">
        <f>'CAR Passenger Kilometres'!Q223*'CAR Stock'!Q273</f>
        <v>2558424.4514646525</v>
      </c>
      <c r="AX223" s="295">
        <f>'CAR Passenger Kilometres'!R223*'CAR Stock'!R273</f>
        <v>2732661.4564945446</v>
      </c>
      <c r="AY223" s="295">
        <f>'CAR Passenger Kilometres'!S223*'CAR Stock'!S273</f>
        <v>2776887.1218880857</v>
      </c>
      <c r="AZ223" s="295">
        <f>'CAR Passenger Kilometres'!T223*'CAR Stock'!T273</f>
        <v>2342385.1051723738</v>
      </c>
      <c r="BA223" s="295">
        <f>'CAR Passenger Kilometres'!U223*'CAR Stock'!U273</f>
        <v>0</v>
      </c>
      <c r="BB223" s="295">
        <f>'CAR Passenger Kilometres'!V223*'CAR Stock'!V273</f>
        <v>0</v>
      </c>
      <c r="BC223" s="295">
        <f>'CAR Passenger Kilometres'!W223*'CAR Stock'!W273</f>
        <v>0</v>
      </c>
      <c r="BD223" s="295">
        <f>'CAR Passenger Kilometres'!X223*'CAR Stock'!X273</f>
        <v>0</v>
      </c>
      <c r="BE223" s="295">
        <f>'CAR Passenger Kilometres'!Y223*'CAR Stock'!Y273</f>
        <v>0</v>
      </c>
      <c r="BF223" s="295">
        <f>'CAR Passenger Kilometres'!Z223*'CAR Stock'!Z273</f>
        <v>0</v>
      </c>
      <c r="BG223" s="295">
        <f>'CAR Passenger Kilometres'!AA223*'CAR Stock'!AA273</f>
        <v>0</v>
      </c>
      <c r="BH223" s="295">
        <f>'CAR Passenger Kilometres'!AB223*'CAR Stock'!AB273</f>
        <v>0</v>
      </c>
      <c r="BI223" s="295">
        <f>'CAR Passenger Kilometres'!AC223*'CAR Stock'!AC273</f>
        <v>0</v>
      </c>
      <c r="BJ223" s="295">
        <f>'CAR Passenger Kilometres'!AD223*'CAR Stock'!AD273</f>
        <v>0</v>
      </c>
      <c r="BK223" s="296">
        <f>'CAR Passenger Kilometres'!AE223*'CAR Stock'!AE273</f>
        <v>0</v>
      </c>
    </row>
    <row r="224" spans="1:63">
      <c r="A224" s="1711"/>
      <c r="B224" s="116">
        <v>18</v>
      </c>
      <c r="C224" s="294">
        <f>'CAR Mileage'!C245*CAR!$I$58</f>
        <v>29015.62399879397</v>
      </c>
      <c r="D224" s="295">
        <f>'CAR Mileage'!D245*CAR!$I$58</f>
        <v>29015.62399879397</v>
      </c>
      <c r="E224" s="295">
        <f>'CAR Mileage'!E245*CAR!$I$58</f>
        <v>29015.62399879397</v>
      </c>
      <c r="F224" s="295">
        <f>'CAR Mileage'!F245*CAR!$I$58</f>
        <v>29015.62399879397</v>
      </c>
      <c r="G224" s="295">
        <f>'CAR Mileage'!G245*CAR!$I$58</f>
        <v>29015.62399879397</v>
      </c>
      <c r="H224" s="295">
        <f>'CAR Mileage'!H245*CAR!$I$58</f>
        <v>29015.62399879397</v>
      </c>
      <c r="I224" s="295">
        <f>'CAR Mileage'!I245*CAR!$I$58</f>
        <v>29015.62399879397</v>
      </c>
      <c r="J224" s="295">
        <f>'CAR Mileage'!J245*CAR!$I$58</f>
        <v>29015.62399879397</v>
      </c>
      <c r="K224" s="295">
        <f>'CAR Mileage'!K245*CAR!$I$58</f>
        <v>29015.62399879397</v>
      </c>
      <c r="L224" s="295">
        <f>'CAR Mileage'!L245*CAR!$I$58</f>
        <v>29015.62399879397</v>
      </c>
      <c r="M224" s="295">
        <f>'CAR Mileage'!M245*CAR!$I$58</f>
        <v>29015.62399879397</v>
      </c>
      <c r="N224" s="295">
        <f>'CAR Mileage'!N245*CAR!$I$58</f>
        <v>29015.62399879397</v>
      </c>
      <c r="O224" s="295">
        <f>'CAR Mileage'!O245*CAR!$I$58</f>
        <v>29015.62399879397</v>
      </c>
      <c r="P224" s="295">
        <f>'CAR Mileage'!P245*CAR!$I$58</f>
        <v>29015.62399879397</v>
      </c>
      <c r="Q224" s="295">
        <f>'CAR Mileage'!Q245*CAR!$I$58</f>
        <v>29015.62399879397</v>
      </c>
      <c r="R224" s="295">
        <f>'CAR Mileage'!R245*CAR!$I$58</f>
        <v>29015.62399879397</v>
      </c>
      <c r="S224" s="295">
        <f>'CAR Mileage'!S245*CAR!$I$58</f>
        <v>29015.62399879397</v>
      </c>
      <c r="T224" s="295">
        <f>'CAR Mileage'!T245*CAR!$I$58</f>
        <v>29015.62399879397</v>
      </c>
      <c r="U224" s="295">
        <f>'CAR Mileage'!U245*CAR!$I$58</f>
        <v>29015.62399879397</v>
      </c>
      <c r="V224" s="295">
        <f>'CAR Mileage'!V245*CAR!$I$58</f>
        <v>29015.62399879397</v>
      </c>
      <c r="W224" s="295">
        <f>'CAR Mileage'!W245*CAR!$I$58</f>
        <v>29015.62399879397</v>
      </c>
      <c r="X224" s="295">
        <f>'CAR Mileage'!X245*CAR!$I$58</f>
        <v>29015.62399879397</v>
      </c>
      <c r="Y224" s="295">
        <f>'CAR Mileage'!Y245*CAR!$I$58</f>
        <v>29015.62399879397</v>
      </c>
      <c r="Z224" s="295">
        <f>'CAR Mileage'!Z245*CAR!$I$58</f>
        <v>29015.62399879397</v>
      </c>
      <c r="AA224" s="295">
        <f>'CAR Mileage'!AA245*CAR!$I$58</f>
        <v>29015.62399879397</v>
      </c>
      <c r="AB224" s="295">
        <f>'CAR Mileage'!AB245*CAR!$I$58</f>
        <v>29015.62399879397</v>
      </c>
      <c r="AC224" s="295">
        <f>'CAR Mileage'!AC245*CAR!$I$58</f>
        <v>29015.62399879397</v>
      </c>
      <c r="AD224" s="295">
        <f>'CAR Mileage'!AD245*CAR!$I$58</f>
        <v>29015.62399879397</v>
      </c>
      <c r="AE224" s="296">
        <f>'CAR Mileage'!AE245*CAR!$I$58</f>
        <v>29015.62399879397</v>
      </c>
      <c r="AG224" s="1711"/>
      <c r="AH224" s="116">
        <v>18</v>
      </c>
      <c r="AI224" s="294">
        <f>'CAR Passenger Kilometres'!C224*'CAR Stock'!C274</f>
        <v>6975396.5727974847</v>
      </c>
      <c r="AJ224" s="295">
        <f>'CAR Passenger Kilometres'!D224*'CAR Stock'!D274</f>
        <v>4157669.6042937334</v>
      </c>
      <c r="AK224" s="295">
        <f>'CAR Passenger Kilometres'!E224*'CAR Stock'!E274</f>
        <v>2832193.9602697622</v>
      </c>
      <c r="AL224" s="295">
        <f>'CAR Passenger Kilometres'!F224*'CAR Stock'!F274</f>
        <v>637388.65462222253</v>
      </c>
      <c r="AM224" s="295">
        <f>'CAR Passenger Kilometres'!G224*'CAR Stock'!G274</f>
        <v>371723.97604442108</v>
      </c>
      <c r="AN224" s="295">
        <f>'CAR Passenger Kilometres'!H224*'CAR Stock'!H274</f>
        <v>195946.0197020543</v>
      </c>
      <c r="AO224" s="295">
        <f>'CAR Passenger Kilometres'!I224*'CAR Stock'!I274</f>
        <v>198953.0540192397</v>
      </c>
      <c r="AP224" s="295">
        <f>'CAR Passenger Kilometres'!J224*'CAR Stock'!J274</f>
        <v>223268.46084377987</v>
      </c>
      <c r="AQ224" s="295">
        <f>'CAR Passenger Kilometres'!K224*'CAR Stock'!K274</f>
        <v>309284.66657758428</v>
      </c>
      <c r="AR224" s="295">
        <f>'CAR Passenger Kilometres'!L224*'CAR Stock'!L274</f>
        <v>347649.6746128074</v>
      </c>
      <c r="AS224" s="295">
        <f>'CAR Passenger Kilometres'!M224*'CAR Stock'!M274</f>
        <v>472681.34207386</v>
      </c>
      <c r="AT224" s="295">
        <f>'CAR Passenger Kilometres'!N224*'CAR Stock'!N274</f>
        <v>657014.04688575584</v>
      </c>
      <c r="AU224" s="295">
        <f>'CAR Passenger Kilometres'!O224*'CAR Stock'!O274</f>
        <v>711771.8596008491</v>
      </c>
      <c r="AV224" s="295">
        <f>'CAR Passenger Kilometres'!P224*'CAR Stock'!P274</f>
        <v>723488.59681936225</v>
      </c>
      <c r="AW224" s="295">
        <f>'CAR Passenger Kilometres'!Q224*'CAR Stock'!Q274</f>
        <v>872033.44441280595</v>
      </c>
      <c r="AX224" s="295">
        <f>'CAR Passenger Kilometres'!R224*'CAR Stock'!R274</f>
        <v>560995.25253721268</v>
      </c>
      <c r="AY224" s="295">
        <f>'CAR Passenger Kilometres'!S224*'CAR Stock'!S274</f>
        <v>599200.84918170772</v>
      </c>
      <c r="AZ224" s="295">
        <f>'CAR Passenger Kilometres'!T224*'CAR Stock'!T274</f>
        <v>608898.37545099901</v>
      </c>
      <c r="BA224" s="295">
        <f>'CAR Passenger Kilometres'!U224*'CAR Stock'!U274</f>
        <v>513623.50092585356</v>
      </c>
      <c r="BB224" s="295">
        <f>'CAR Passenger Kilometres'!V224*'CAR Stock'!V274</f>
        <v>0</v>
      </c>
      <c r="BC224" s="295">
        <f>'CAR Passenger Kilometres'!W224*'CAR Stock'!W274</f>
        <v>0</v>
      </c>
      <c r="BD224" s="295">
        <f>'CAR Passenger Kilometres'!X224*'CAR Stock'!X274</f>
        <v>0</v>
      </c>
      <c r="BE224" s="295">
        <f>'CAR Passenger Kilometres'!Y224*'CAR Stock'!Y274</f>
        <v>0</v>
      </c>
      <c r="BF224" s="295">
        <f>'CAR Passenger Kilometres'!Z224*'CAR Stock'!Z274</f>
        <v>0</v>
      </c>
      <c r="BG224" s="295">
        <f>'CAR Passenger Kilometres'!AA224*'CAR Stock'!AA274</f>
        <v>0</v>
      </c>
      <c r="BH224" s="295">
        <f>'CAR Passenger Kilometres'!AB224*'CAR Stock'!AB274</f>
        <v>0</v>
      </c>
      <c r="BI224" s="295">
        <f>'CAR Passenger Kilometres'!AC224*'CAR Stock'!AC274</f>
        <v>0</v>
      </c>
      <c r="BJ224" s="295">
        <f>'CAR Passenger Kilometres'!AD224*'CAR Stock'!AD274</f>
        <v>0</v>
      </c>
      <c r="BK224" s="296">
        <f>'CAR Passenger Kilometres'!AE224*'CAR Stock'!AE274</f>
        <v>0</v>
      </c>
    </row>
    <row r="225" spans="1:63">
      <c r="A225" s="1711"/>
      <c r="B225" s="116">
        <v>19</v>
      </c>
      <c r="C225" s="294">
        <f>'CAR Mileage'!C246*CAR!$I$58</f>
        <v>29015.62399879397</v>
      </c>
      <c r="D225" s="295">
        <f>'CAR Mileage'!D246*CAR!$I$58</f>
        <v>29015.62399879397</v>
      </c>
      <c r="E225" s="295">
        <f>'CAR Mileage'!E246*CAR!$I$58</f>
        <v>29015.62399879397</v>
      </c>
      <c r="F225" s="295">
        <f>'CAR Mileage'!F246*CAR!$I$58</f>
        <v>29015.62399879397</v>
      </c>
      <c r="G225" s="295">
        <f>'CAR Mileage'!G246*CAR!$I$58</f>
        <v>29015.62399879397</v>
      </c>
      <c r="H225" s="295">
        <f>'CAR Mileage'!H246*CAR!$I$58</f>
        <v>29015.62399879397</v>
      </c>
      <c r="I225" s="295">
        <f>'CAR Mileage'!I246*CAR!$I$58</f>
        <v>29015.62399879397</v>
      </c>
      <c r="J225" s="295">
        <f>'CAR Mileage'!J246*CAR!$I$58</f>
        <v>29015.62399879397</v>
      </c>
      <c r="K225" s="295">
        <f>'CAR Mileage'!K246*CAR!$I$58</f>
        <v>29015.62399879397</v>
      </c>
      <c r="L225" s="295">
        <f>'CAR Mileage'!L246*CAR!$I$58</f>
        <v>29015.62399879397</v>
      </c>
      <c r="M225" s="295">
        <f>'CAR Mileage'!M246*CAR!$I$58</f>
        <v>29015.62399879397</v>
      </c>
      <c r="N225" s="295">
        <f>'CAR Mileage'!N246*CAR!$I$58</f>
        <v>29015.62399879397</v>
      </c>
      <c r="O225" s="295">
        <f>'CAR Mileage'!O246*CAR!$I$58</f>
        <v>29015.62399879397</v>
      </c>
      <c r="P225" s="295">
        <f>'CAR Mileage'!P246*CAR!$I$58</f>
        <v>29015.62399879397</v>
      </c>
      <c r="Q225" s="295">
        <f>'CAR Mileage'!Q246*CAR!$I$58</f>
        <v>29015.62399879397</v>
      </c>
      <c r="R225" s="295">
        <f>'CAR Mileage'!R246*CAR!$I$58</f>
        <v>29015.62399879397</v>
      </c>
      <c r="S225" s="295">
        <f>'CAR Mileage'!S246*CAR!$I$58</f>
        <v>29015.62399879397</v>
      </c>
      <c r="T225" s="295">
        <f>'CAR Mileage'!T246*CAR!$I$58</f>
        <v>29015.62399879397</v>
      </c>
      <c r="U225" s="295">
        <f>'CAR Mileage'!U246*CAR!$I$58</f>
        <v>29015.62399879397</v>
      </c>
      <c r="V225" s="295">
        <f>'CAR Mileage'!V246*CAR!$I$58</f>
        <v>29015.62399879397</v>
      </c>
      <c r="W225" s="295">
        <f>'CAR Mileage'!W246*CAR!$I$58</f>
        <v>29015.62399879397</v>
      </c>
      <c r="X225" s="295">
        <f>'CAR Mileage'!X246*CAR!$I$58</f>
        <v>29015.62399879397</v>
      </c>
      <c r="Y225" s="295">
        <f>'CAR Mileage'!Y246*CAR!$I$58</f>
        <v>29015.62399879397</v>
      </c>
      <c r="Z225" s="295">
        <f>'CAR Mileage'!Z246*CAR!$I$58</f>
        <v>29015.62399879397</v>
      </c>
      <c r="AA225" s="295">
        <f>'CAR Mileage'!AA246*CAR!$I$58</f>
        <v>29015.62399879397</v>
      </c>
      <c r="AB225" s="295">
        <f>'CAR Mileage'!AB246*CAR!$I$58</f>
        <v>29015.62399879397</v>
      </c>
      <c r="AC225" s="295">
        <f>'CAR Mileage'!AC246*CAR!$I$58</f>
        <v>29015.62399879397</v>
      </c>
      <c r="AD225" s="295">
        <f>'CAR Mileage'!AD246*CAR!$I$58</f>
        <v>29015.62399879397</v>
      </c>
      <c r="AE225" s="296">
        <f>'CAR Mileage'!AE246*CAR!$I$58</f>
        <v>29015.62399879397</v>
      </c>
      <c r="AG225" s="1711"/>
      <c r="AH225" s="116">
        <v>19</v>
      </c>
      <c r="AI225" s="294">
        <f>'CAR Passenger Kilometres'!C225*'CAR Stock'!C275</f>
        <v>2566104.9931499325</v>
      </c>
      <c r="AJ225" s="295">
        <f>'CAR Passenger Kilometres'!D225*'CAR Stock'!D275</f>
        <v>1311018.1462312026</v>
      </c>
      <c r="AK225" s="295">
        <f>'CAR Passenger Kilometres'!E225*'CAR Stock'!E275</f>
        <v>781429.44854488061</v>
      </c>
      <c r="AL225" s="295">
        <f>'CAR Passenger Kilometres'!F225*'CAR Stock'!F275</f>
        <v>532307.75294413825</v>
      </c>
      <c r="AM225" s="295">
        <f>'CAR Passenger Kilometres'!G225*'CAR Stock'!G275</f>
        <v>119796.49955249751</v>
      </c>
      <c r="AN225" s="295">
        <f>'CAR Passenger Kilometres'!H225*'CAR Stock'!H275</f>
        <v>69865.114176297269</v>
      </c>
      <c r="AO225" s="295">
        <f>'CAR Passenger Kilometres'!I225*'CAR Stock'!I275</f>
        <v>36827.839798095469</v>
      </c>
      <c r="AP225" s="295">
        <f>'CAR Passenger Kilometres'!J225*'CAR Stock'!J275</f>
        <v>37393.008604632436</v>
      </c>
      <c r="AQ225" s="295">
        <f>'CAR Passenger Kilometres'!K225*'CAR Stock'!K275</f>
        <v>41963.062686472484</v>
      </c>
      <c r="AR225" s="295">
        <f>'CAR Passenger Kilometres'!L225*'CAR Stock'!L275</f>
        <v>58129.7143470745</v>
      </c>
      <c r="AS225" s="295">
        <f>'CAR Passenger Kilometres'!M225*'CAR Stock'!M275</f>
        <v>65340.375588993193</v>
      </c>
      <c r="AT225" s="295">
        <f>'CAR Passenger Kilometres'!N225*'CAR Stock'!N275</f>
        <v>88839.940550537125</v>
      </c>
      <c r="AU225" s="295">
        <f>'CAR Passenger Kilometres'!O225*'CAR Stock'!O275</f>
        <v>123485.07053421573</v>
      </c>
      <c r="AV225" s="295">
        <f>'CAR Passenger Kilometres'!P225*'CAR Stock'!P275</f>
        <v>133776.74146191272</v>
      </c>
      <c r="AW225" s="295">
        <f>'CAR Passenger Kilometres'!Q225*'CAR Stock'!Q275</f>
        <v>135978.88938967316</v>
      </c>
      <c r="AX225" s="295">
        <f>'CAR Passenger Kilometres'!R225*'CAR Stock'!R275</f>
        <v>163897.73080488615</v>
      </c>
      <c r="AY225" s="295">
        <f>'CAR Passenger Kilometres'!S225*'CAR Stock'!S275</f>
        <v>105438.44329855494</v>
      </c>
      <c r="AZ225" s="295">
        <f>'CAR Passenger Kilometres'!T225*'CAR Stock'!T275</f>
        <v>112619.14334417759</v>
      </c>
      <c r="BA225" s="295">
        <f>'CAR Passenger Kilometres'!U225*'CAR Stock'!U275</f>
        <v>114441.78278552133</v>
      </c>
      <c r="BB225" s="295">
        <f>'CAR Passenger Kilometres'!V225*'CAR Stock'!V275</f>
        <v>96534.974465908803</v>
      </c>
      <c r="BC225" s="295">
        <f>'CAR Passenger Kilometres'!W225*'CAR Stock'!W275</f>
        <v>0</v>
      </c>
      <c r="BD225" s="295">
        <f>'CAR Passenger Kilometres'!X225*'CAR Stock'!X275</f>
        <v>0</v>
      </c>
      <c r="BE225" s="295">
        <f>'CAR Passenger Kilometres'!Y225*'CAR Stock'!Y275</f>
        <v>0</v>
      </c>
      <c r="BF225" s="295">
        <f>'CAR Passenger Kilometres'!Z225*'CAR Stock'!Z275</f>
        <v>0</v>
      </c>
      <c r="BG225" s="295">
        <f>'CAR Passenger Kilometres'!AA225*'CAR Stock'!AA275</f>
        <v>0</v>
      </c>
      <c r="BH225" s="295">
        <f>'CAR Passenger Kilometres'!AB225*'CAR Stock'!AB275</f>
        <v>0</v>
      </c>
      <c r="BI225" s="295">
        <f>'CAR Passenger Kilometres'!AC225*'CAR Stock'!AC275</f>
        <v>0</v>
      </c>
      <c r="BJ225" s="295">
        <f>'CAR Passenger Kilometres'!AD225*'CAR Stock'!AD275</f>
        <v>0</v>
      </c>
      <c r="BK225" s="296">
        <f>'CAR Passenger Kilometres'!AE225*'CAR Stock'!AE275</f>
        <v>0</v>
      </c>
    </row>
    <row r="226" spans="1:63">
      <c r="A226" s="1711"/>
      <c r="B226" s="116">
        <v>20</v>
      </c>
      <c r="C226" s="294">
        <f>'CAR Mileage'!C247*CAR!$I$58</f>
        <v>29015.62399879397</v>
      </c>
      <c r="D226" s="295">
        <f>'CAR Mileage'!D247*CAR!$I$58</f>
        <v>29015.62399879397</v>
      </c>
      <c r="E226" s="295">
        <f>'CAR Mileage'!E247*CAR!$I$58</f>
        <v>29015.62399879397</v>
      </c>
      <c r="F226" s="295">
        <f>'CAR Mileage'!F247*CAR!$I$58</f>
        <v>29015.62399879397</v>
      </c>
      <c r="G226" s="295">
        <f>'CAR Mileage'!G247*CAR!$I$58</f>
        <v>29015.62399879397</v>
      </c>
      <c r="H226" s="295">
        <f>'CAR Mileage'!H247*CAR!$I$58</f>
        <v>29015.62399879397</v>
      </c>
      <c r="I226" s="295">
        <f>'CAR Mileage'!I247*CAR!$I$58</f>
        <v>29015.62399879397</v>
      </c>
      <c r="J226" s="295">
        <f>'CAR Mileage'!J247*CAR!$I$58</f>
        <v>29015.62399879397</v>
      </c>
      <c r="K226" s="295">
        <f>'CAR Mileage'!K247*CAR!$I$58</f>
        <v>29015.62399879397</v>
      </c>
      <c r="L226" s="295">
        <f>'CAR Mileage'!L247*CAR!$I$58</f>
        <v>29015.62399879397</v>
      </c>
      <c r="M226" s="295">
        <f>'CAR Mileage'!M247*CAR!$I$58</f>
        <v>29015.62399879397</v>
      </c>
      <c r="N226" s="295">
        <f>'CAR Mileage'!N247*CAR!$I$58</f>
        <v>29015.62399879397</v>
      </c>
      <c r="O226" s="295">
        <f>'CAR Mileage'!O247*CAR!$I$58</f>
        <v>29015.62399879397</v>
      </c>
      <c r="P226" s="295">
        <f>'CAR Mileage'!P247*CAR!$I$58</f>
        <v>29015.62399879397</v>
      </c>
      <c r="Q226" s="295">
        <f>'CAR Mileage'!Q247*CAR!$I$58</f>
        <v>29015.62399879397</v>
      </c>
      <c r="R226" s="295">
        <f>'CAR Mileage'!R247*CAR!$I$58</f>
        <v>29015.62399879397</v>
      </c>
      <c r="S226" s="295">
        <f>'CAR Mileage'!S247*CAR!$I$58</f>
        <v>29015.62399879397</v>
      </c>
      <c r="T226" s="295">
        <f>'CAR Mileage'!T247*CAR!$I$58</f>
        <v>29015.62399879397</v>
      </c>
      <c r="U226" s="295">
        <f>'CAR Mileage'!U247*CAR!$I$58</f>
        <v>29015.62399879397</v>
      </c>
      <c r="V226" s="295">
        <f>'CAR Mileage'!V247*CAR!$I$58</f>
        <v>29015.62399879397</v>
      </c>
      <c r="W226" s="295">
        <f>'CAR Mileage'!W247*CAR!$I$58</f>
        <v>29015.62399879397</v>
      </c>
      <c r="X226" s="295">
        <f>'CAR Mileage'!X247*CAR!$I$58</f>
        <v>29015.62399879397</v>
      </c>
      <c r="Y226" s="295">
        <f>'CAR Mileage'!Y247*CAR!$I$58</f>
        <v>29015.62399879397</v>
      </c>
      <c r="Z226" s="295">
        <f>'CAR Mileage'!Z247*CAR!$I$58</f>
        <v>29015.62399879397</v>
      </c>
      <c r="AA226" s="295">
        <f>'CAR Mileage'!AA247*CAR!$I$58</f>
        <v>29015.62399879397</v>
      </c>
      <c r="AB226" s="295">
        <f>'CAR Mileage'!AB247*CAR!$I$58</f>
        <v>29015.62399879397</v>
      </c>
      <c r="AC226" s="295">
        <f>'CAR Mileage'!AC247*CAR!$I$58</f>
        <v>29015.62399879397</v>
      </c>
      <c r="AD226" s="295">
        <f>'CAR Mileage'!AD247*CAR!$I$58</f>
        <v>29015.62399879397</v>
      </c>
      <c r="AE226" s="296">
        <f>'CAR Mileage'!AE247*CAR!$I$58</f>
        <v>29015.62399879397</v>
      </c>
      <c r="AG226" s="1711"/>
      <c r="AH226" s="116">
        <v>20</v>
      </c>
      <c r="AI226" s="294">
        <f>'CAR Passenger Kilometres'!C226*'CAR Stock'!C276</f>
        <v>944017.27086724516</v>
      </c>
      <c r="AJ226" s="295">
        <f>'CAR Passenger Kilometres'!D226*'CAR Stock'!D276</f>
        <v>401913.85250096262</v>
      </c>
      <c r="AK226" s="295">
        <f>'CAR Passenger Kilometres'!E226*'CAR Stock'!E276</f>
        <v>205337.0206039992</v>
      </c>
      <c r="AL226" s="295">
        <f>'CAR Passenger Kilometres'!F226*'CAR Stock'!F276</f>
        <v>122390.67417769735</v>
      </c>
      <c r="AM226" s="295">
        <f>'CAR Passenger Kilometres'!G226*'CAR Stock'!G276</f>
        <v>83372.215974410443</v>
      </c>
      <c r="AN226" s="295">
        <f>'CAR Passenger Kilometres'!H226*'CAR Stock'!H276</f>
        <v>18763.017405679835</v>
      </c>
      <c r="AO226" s="295">
        <f>'CAR Passenger Kilometres'!I226*'CAR Stock'!I276</f>
        <v>10942.55974286809</v>
      </c>
      <c r="AP226" s="295">
        <f>'CAR Passenger Kilometres'!J226*'CAR Stock'!J276</f>
        <v>5768.1267960792247</v>
      </c>
      <c r="AQ226" s="295">
        <f>'CAR Passenger Kilometres'!K226*'CAR Stock'!K276</f>
        <v>5856.6458445807493</v>
      </c>
      <c r="AR226" s="295">
        <f>'CAR Passenger Kilometres'!L226*'CAR Stock'!L276</f>
        <v>6572.4263941191466</v>
      </c>
      <c r="AS226" s="295">
        <f>'CAR Passenger Kilometres'!M226*'CAR Stock'!M276</f>
        <v>9104.5134553651224</v>
      </c>
      <c r="AT226" s="295">
        <f>'CAR Passenger Kilometres'!N226*'CAR Stock'!N276</f>
        <v>10233.876691302519</v>
      </c>
      <c r="AU226" s="295">
        <f>'CAR Passenger Kilometres'!O226*'CAR Stock'!O276</f>
        <v>13914.474605652516</v>
      </c>
      <c r="AV226" s="295">
        <f>'CAR Passenger Kilometres'!P226*'CAR Stock'!P276</f>
        <v>19340.736469179978</v>
      </c>
      <c r="AW226" s="295">
        <f>'CAR Passenger Kilometres'!Q226*'CAR Stock'!Q276</f>
        <v>20952.660035154338</v>
      </c>
      <c r="AX226" s="295">
        <f>'CAR Passenger Kilometres'!R226*'CAR Stock'!R276</f>
        <v>21297.569444467623</v>
      </c>
      <c r="AY226" s="295">
        <f>'CAR Passenger Kilometres'!S226*'CAR Stock'!S276</f>
        <v>25670.332499956541</v>
      </c>
      <c r="AZ226" s="295">
        <f>'CAR Passenger Kilometres'!T226*'CAR Stock'!T276</f>
        <v>16514.199949320038</v>
      </c>
      <c r="BA226" s="295">
        <f>'CAR Passenger Kilometres'!U226*'CAR Stock'!U276</f>
        <v>17638.870540232765</v>
      </c>
      <c r="BB226" s="295">
        <f>'CAR Passenger Kilometres'!V226*'CAR Stock'!V276</f>
        <v>17924.339779233567</v>
      </c>
      <c r="BC226" s="295">
        <f>'CAR Passenger Kilometres'!W226*'CAR Stock'!W276</f>
        <v>15119.702269488753</v>
      </c>
      <c r="BD226" s="295">
        <f>'CAR Passenger Kilometres'!X226*'CAR Stock'!X276</f>
        <v>0</v>
      </c>
      <c r="BE226" s="295">
        <f>'CAR Passenger Kilometres'!Y226*'CAR Stock'!Y276</f>
        <v>0</v>
      </c>
      <c r="BF226" s="295">
        <f>'CAR Passenger Kilometres'!Z226*'CAR Stock'!Z276</f>
        <v>0</v>
      </c>
      <c r="BG226" s="295">
        <f>'CAR Passenger Kilometres'!AA226*'CAR Stock'!AA276</f>
        <v>0</v>
      </c>
      <c r="BH226" s="295">
        <f>'CAR Passenger Kilometres'!AB226*'CAR Stock'!AB276</f>
        <v>0</v>
      </c>
      <c r="BI226" s="295">
        <f>'CAR Passenger Kilometres'!AC226*'CAR Stock'!AC276</f>
        <v>0</v>
      </c>
      <c r="BJ226" s="295">
        <f>'CAR Passenger Kilometres'!AD226*'CAR Stock'!AD276</f>
        <v>0</v>
      </c>
      <c r="BK226" s="296">
        <f>'CAR Passenger Kilometres'!AE226*'CAR Stock'!AE276</f>
        <v>0</v>
      </c>
    </row>
    <row r="227" spans="1:63">
      <c r="A227" s="1711"/>
      <c r="B227" s="116">
        <v>21</v>
      </c>
      <c r="C227" s="294">
        <f>'CAR Mileage'!C248*CAR!$I$58</f>
        <v>29015.62399879397</v>
      </c>
      <c r="D227" s="295">
        <f>'CAR Mileage'!D248*CAR!$I$58</f>
        <v>29015.62399879397</v>
      </c>
      <c r="E227" s="295">
        <f>'CAR Mileage'!E248*CAR!$I$58</f>
        <v>29015.62399879397</v>
      </c>
      <c r="F227" s="295">
        <f>'CAR Mileage'!F248*CAR!$I$58</f>
        <v>29015.62399879397</v>
      </c>
      <c r="G227" s="295">
        <f>'CAR Mileage'!G248*CAR!$I$58</f>
        <v>29015.62399879397</v>
      </c>
      <c r="H227" s="295">
        <f>'CAR Mileage'!H248*CAR!$I$58</f>
        <v>29015.62399879397</v>
      </c>
      <c r="I227" s="295">
        <f>'CAR Mileage'!I248*CAR!$I$58</f>
        <v>29015.62399879397</v>
      </c>
      <c r="J227" s="295">
        <f>'CAR Mileage'!J248*CAR!$I$58</f>
        <v>29015.62399879397</v>
      </c>
      <c r="K227" s="295">
        <f>'CAR Mileage'!K248*CAR!$I$58</f>
        <v>29015.62399879397</v>
      </c>
      <c r="L227" s="295">
        <f>'CAR Mileage'!L248*CAR!$I$58</f>
        <v>29015.62399879397</v>
      </c>
      <c r="M227" s="295">
        <f>'CAR Mileage'!M248*CAR!$I$58</f>
        <v>29015.62399879397</v>
      </c>
      <c r="N227" s="295">
        <f>'CAR Mileage'!N248*CAR!$I$58</f>
        <v>29015.62399879397</v>
      </c>
      <c r="O227" s="295">
        <f>'CAR Mileage'!O248*CAR!$I$58</f>
        <v>29015.62399879397</v>
      </c>
      <c r="P227" s="295">
        <f>'CAR Mileage'!P248*CAR!$I$58</f>
        <v>29015.62399879397</v>
      </c>
      <c r="Q227" s="295">
        <f>'CAR Mileage'!Q248*CAR!$I$58</f>
        <v>29015.62399879397</v>
      </c>
      <c r="R227" s="295">
        <f>'CAR Mileage'!R248*CAR!$I$58</f>
        <v>29015.62399879397</v>
      </c>
      <c r="S227" s="295">
        <f>'CAR Mileage'!S248*CAR!$I$58</f>
        <v>29015.62399879397</v>
      </c>
      <c r="T227" s="295">
        <f>'CAR Mileage'!T248*CAR!$I$58</f>
        <v>29015.62399879397</v>
      </c>
      <c r="U227" s="295">
        <f>'CAR Mileage'!U248*CAR!$I$58</f>
        <v>29015.62399879397</v>
      </c>
      <c r="V227" s="295">
        <f>'CAR Mileage'!V248*CAR!$I$58</f>
        <v>29015.62399879397</v>
      </c>
      <c r="W227" s="295">
        <f>'CAR Mileage'!W248*CAR!$I$58</f>
        <v>29015.62399879397</v>
      </c>
      <c r="X227" s="295">
        <f>'CAR Mileage'!X248*CAR!$I$58</f>
        <v>29015.62399879397</v>
      </c>
      <c r="Y227" s="295">
        <f>'CAR Mileage'!Y248*CAR!$I$58</f>
        <v>29015.62399879397</v>
      </c>
      <c r="Z227" s="295">
        <f>'CAR Mileage'!Z248*CAR!$I$58</f>
        <v>29015.62399879397</v>
      </c>
      <c r="AA227" s="295">
        <f>'CAR Mileage'!AA248*CAR!$I$58</f>
        <v>29015.62399879397</v>
      </c>
      <c r="AB227" s="295">
        <f>'CAR Mileage'!AB248*CAR!$I$58</f>
        <v>29015.62399879397</v>
      </c>
      <c r="AC227" s="295">
        <f>'CAR Mileage'!AC248*CAR!$I$58</f>
        <v>29015.62399879397</v>
      </c>
      <c r="AD227" s="295">
        <f>'CAR Mileage'!AD248*CAR!$I$58</f>
        <v>29015.62399879397</v>
      </c>
      <c r="AE227" s="296">
        <f>'CAR Mileage'!AE248*CAR!$I$58</f>
        <v>29015.62399879397</v>
      </c>
      <c r="AG227" s="1711"/>
      <c r="AH227" s="116">
        <v>21</v>
      </c>
      <c r="AI227" s="294">
        <f>'CAR Passenger Kilometres'!C227*'CAR Stock'!C277</f>
        <v>347284.54606283223</v>
      </c>
      <c r="AJ227" s="295">
        <f>'CAR Passenger Kilometres'!D227*'CAR Stock'!D277</f>
        <v>118284.67476569246</v>
      </c>
      <c r="AK227" s="295">
        <f>'CAR Passenger Kilometres'!E227*'CAR Stock'!E277</f>
        <v>50359.512261072101</v>
      </c>
      <c r="AL227" s="295">
        <f>'CAR Passenger Kilometres'!F227*'CAR Stock'!F277</f>
        <v>25728.578754907052</v>
      </c>
      <c r="AM227" s="295">
        <f>'CAR Passenger Kilometres'!G227*'CAR Stock'!G277</f>
        <v>15335.462110945451</v>
      </c>
      <c r="AN227" s="295">
        <f>'CAR Passenger Kilometres'!H227*'CAR Stock'!H277</f>
        <v>10446.477787391064</v>
      </c>
      <c r="AO227" s="295">
        <f>'CAR Passenger Kilometres'!I227*'CAR Stock'!I277</f>
        <v>2350.9923811192343</v>
      </c>
      <c r="AP227" s="295">
        <f>'CAR Passenger Kilometres'!J227*'CAR Stock'!J277</f>
        <v>1371.0947460741224</v>
      </c>
      <c r="AQ227" s="295">
        <f>'CAR Passenger Kilometres'!K227*'CAR Stock'!K277</f>
        <v>722.74207595239466</v>
      </c>
      <c r="AR227" s="295">
        <f>'CAR Passenger Kilometres'!L227*'CAR Stock'!L277</f>
        <v>733.83344809747473</v>
      </c>
      <c r="AS227" s="295">
        <f>'CAR Passenger Kilometres'!M227*'CAR Stock'!M277</f>
        <v>823.52022832764715</v>
      </c>
      <c r="AT227" s="295">
        <f>'CAR Passenger Kilometres'!N227*'CAR Stock'!N277</f>
        <v>1140.788888299036</v>
      </c>
      <c r="AU227" s="295">
        <f>'CAR Passenger Kilometres'!O227*'CAR Stock'!O277</f>
        <v>1282.2972771577083</v>
      </c>
      <c r="AV227" s="295">
        <f>'CAR Passenger Kilometres'!P227*'CAR Stock'!P277</f>
        <v>1743.4735084381198</v>
      </c>
      <c r="AW227" s="295">
        <f>'CAR Passenger Kilometres'!Q227*'CAR Stock'!Q277</f>
        <v>2423.3801579543733</v>
      </c>
      <c r="AX227" s="295">
        <f>'CAR Passenger Kilometres'!R227*'CAR Stock'!R277</f>
        <v>2625.3530038253734</v>
      </c>
      <c r="AY227" s="295">
        <f>'CAR Passenger Kilometres'!S227*'CAR Stock'!S277</f>
        <v>2668.5699009768095</v>
      </c>
      <c r="AZ227" s="295">
        <f>'CAR Passenger Kilometres'!T227*'CAR Stock'!T277</f>
        <v>3216.4739190577238</v>
      </c>
      <c r="BA227" s="295">
        <f>'CAR Passenger Kilometres'!U227*'CAR Stock'!U277</f>
        <v>2069.2171958108534</v>
      </c>
      <c r="BB227" s="295">
        <f>'CAR Passenger Kilometres'!V227*'CAR Stock'!V277</f>
        <v>2210.1375996742686</v>
      </c>
      <c r="BC227" s="295">
        <f>'CAR Passenger Kilometres'!W227*'CAR Stock'!W277</f>
        <v>2245.9066868857758</v>
      </c>
      <c r="BD227" s="295">
        <f>'CAR Passenger Kilometres'!X227*'CAR Stock'!X277</f>
        <v>1894.4876547201243</v>
      </c>
      <c r="BE227" s="295">
        <f>'CAR Passenger Kilometres'!Y227*'CAR Stock'!Y277</f>
        <v>0</v>
      </c>
      <c r="BF227" s="295">
        <f>'CAR Passenger Kilometres'!Z227*'CAR Stock'!Z277</f>
        <v>0</v>
      </c>
      <c r="BG227" s="295">
        <f>'CAR Passenger Kilometres'!AA227*'CAR Stock'!AA277</f>
        <v>0</v>
      </c>
      <c r="BH227" s="295">
        <f>'CAR Passenger Kilometres'!AB227*'CAR Stock'!AB277</f>
        <v>0</v>
      </c>
      <c r="BI227" s="295">
        <f>'CAR Passenger Kilometres'!AC227*'CAR Stock'!AC277</f>
        <v>0</v>
      </c>
      <c r="BJ227" s="295">
        <f>'CAR Passenger Kilometres'!AD227*'CAR Stock'!AD277</f>
        <v>0</v>
      </c>
      <c r="BK227" s="296">
        <f>'CAR Passenger Kilometres'!AE227*'CAR Stock'!AE277</f>
        <v>0</v>
      </c>
    </row>
    <row r="228" spans="1:63">
      <c r="A228" s="1711"/>
      <c r="B228" s="116">
        <v>22</v>
      </c>
      <c r="C228" s="294">
        <f>'CAR Mileage'!C249*CAR!$I$58</f>
        <v>29015.62399879397</v>
      </c>
      <c r="D228" s="295">
        <f>'CAR Mileage'!D249*CAR!$I$58</f>
        <v>29015.62399879397</v>
      </c>
      <c r="E228" s="295">
        <f>'CAR Mileage'!E249*CAR!$I$58</f>
        <v>29015.62399879397</v>
      </c>
      <c r="F228" s="295">
        <f>'CAR Mileage'!F249*CAR!$I$58</f>
        <v>29015.62399879397</v>
      </c>
      <c r="G228" s="295">
        <f>'CAR Mileage'!G249*CAR!$I$58</f>
        <v>29015.62399879397</v>
      </c>
      <c r="H228" s="295">
        <f>'CAR Mileage'!H249*CAR!$I$58</f>
        <v>29015.62399879397</v>
      </c>
      <c r="I228" s="295">
        <f>'CAR Mileage'!I249*CAR!$I$58</f>
        <v>29015.62399879397</v>
      </c>
      <c r="J228" s="295">
        <f>'CAR Mileage'!J249*CAR!$I$58</f>
        <v>29015.62399879397</v>
      </c>
      <c r="K228" s="295">
        <f>'CAR Mileage'!K249*CAR!$I$58</f>
        <v>29015.62399879397</v>
      </c>
      <c r="L228" s="295">
        <f>'CAR Mileage'!L249*CAR!$I$58</f>
        <v>29015.62399879397</v>
      </c>
      <c r="M228" s="295">
        <f>'CAR Mileage'!M249*CAR!$I$58</f>
        <v>29015.62399879397</v>
      </c>
      <c r="N228" s="295">
        <f>'CAR Mileage'!N249*CAR!$I$58</f>
        <v>29015.62399879397</v>
      </c>
      <c r="O228" s="295">
        <f>'CAR Mileage'!O249*CAR!$I$58</f>
        <v>29015.62399879397</v>
      </c>
      <c r="P228" s="295">
        <f>'CAR Mileage'!P249*CAR!$I$58</f>
        <v>29015.62399879397</v>
      </c>
      <c r="Q228" s="295">
        <f>'CAR Mileage'!Q249*CAR!$I$58</f>
        <v>29015.62399879397</v>
      </c>
      <c r="R228" s="295">
        <f>'CAR Mileage'!R249*CAR!$I$58</f>
        <v>29015.62399879397</v>
      </c>
      <c r="S228" s="295">
        <f>'CAR Mileage'!S249*CAR!$I$58</f>
        <v>29015.62399879397</v>
      </c>
      <c r="T228" s="295">
        <f>'CAR Mileage'!T249*CAR!$I$58</f>
        <v>29015.62399879397</v>
      </c>
      <c r="U228" s="295">
        <f>'CAR Mileage'!U249*CAR!$I$58</f>
        <v>29015.62399879397</v>
      </c>
      <c r="V228" s="295">
        <f>'CAR Mileage'!V249*CAR!$I$58</f>
        <v>29015.62399879397</v>
      </c>
      <c r="W228" s="295">
        <f>'CAR Mileage'!W249*CAR!$I$58</f>
        <v>29015.62399879397</v>
      </c>
      <c r="X228" s="295">
        <f>'CAR Mileage'!X249*CAR!$I$58</f>
        <v>29015.62399879397</v>
      </c>
      <c r="Y228" s="295">
        <f>'CAR Mileage'!Y249*CAR!$I$58</f>
        <v>29015.62399879397</v>
      </c>
      <c r="Z228" s="295">
        <f>'CAR Mileage'!Z249*CAR!$I$58</f>
        <v>29015.62399879397</v>
      </c>
      <c r="AA228" s="295">
        <f>'CAR Mileage'!AA249*CAR!$I$58</f>
        <v>29015.62399879397</v>
      </c>
      <c r="AB228" s="295">
        <f>'CAR Mileage'!AB249*CAR!$I$58</f>
        <v>29015.62399879397</v>
      </c>
      <c r="AC228" s="295">
        <f>'CAR Mileage'!AC249*CAR!$I$58</f>
        <v>29015.62399879397</v>
      </c>
      <c r="AD228" s="295">
        <f>'CAR Mileage'!AD249*CAR!$I$58</f>
        <v>29015.62399879397</v>
      </c>
      <c r="AE228" s="296">
        <f>'CAR Mileage'!AE249*CAR!$I$58</f>
        <v>29015.62399879397</v>
      </c>
      <c r="AG228" s="1711"/>
      <c r="AH228" s="116">
        <v>22</v>
      </c>
      <c r="AI228" s="294">
        <f>'CAR Passenger Kilometres'!C228*'CAR Stock'!C278</f>
        <v>127758.84473307275</v>
      </c>
      <c r="AJ228" s="295">
        <f>'CAR Passenger Kilometres'!D228*'CAR Stock'!D278</f>
        <v>32635.875038961556</v>
      </c>
      <c r="AK228" s="295">
        <f>'CAR Passenger Kilometres'!E228*'CAR Stock'!E278</f>
        <v>11115.737536961755</v>
      </c>
      <c r="AL228" s="295">
        <f>'CAR Passenger Kilometres'!F228*'CAR Stock'!F278</f>
        <v>4732.5075872453226</v>
      </c>
      <c r="AM228" s="295">
        <f>'CAR Passenger Kilometres'!G228*'CAR Stock'!G278</f>
        <v>2417.8290992059001</v>
      </c>
      <c r="AN228" s="295">
        <f>'CAR Passenger Kilometres'!H228*'CAR Stock'!H278</f>
        <v>1441.1416539882403</v>
      </c>
      <c r="AO228" s="295">
        <f>'CAR Passenger Kilometres'!I228*'CAR Stock'!I278</f>
        <v>981.70202945022436</v>
      </c>
      <c r="AP228" s="295">
        <f>'CAR Passenger Kilometres'!J228*'CAR Stock'!J278</f>
        <v>220.9332215833073</v>
      </c>
      <c r="AQ228" s="295">
        <f>'CAR Passenger Kilometres'!K228*'CAR Stock'!K278</f>
        <v>128.84787793395213</v>
      </c>
      <c r="AR228" s="295">
        <f>'CAR Passenger Kilometres'!L228*'CAR Stock'!L278</f>
        <v>67.919290805167265</v>
      </c>
      <c r="AS228" s="295">
        <f>'CAR Passenger Kilometres'!M228*'CAR Stock'!M278</f>
        <v>68.961596428729237</v>
      </c>
      <c r="AT228" s="295">
        <f>'CAR Passenger Kilometres'!N228*'CAR Stock'!N278</f>
        <v>77.389862487274627</v>
      </c>
      <c r="AU228" s="295">
        <f>'CAR Passenger Kilometres'!O228*'CAR Stock'!O278</f>
        <v>107.20501106786155</v>
      </c>
      <c r="AV228" s="295">
        <f>'CAR Passenger Kilometres'!P228*'CAR Stock'!P278</f>
        <v>120.50318441911935</v>
      </c>
      <c r="AW228" s="295">
        <f>'CAR Passenger Kilometres'!Q228*'CAR Stock'!Q278</f>
        <v>163.84196820791388</v>
      </c>
      <c r="AX228" s="295">
        <f>'CAR Passenger Kilometres'!R228*'CAR Stock'!R278</f>
        <v>227.73582327095167</v>
      </c>
      <c r="AY228" s="295">
        <f>'CAR Passenger Kilometres'!S228*'CAR Stock'!S278</f>
        <v>246.71611085886187</v>
      </c>
      <c r="AZ228" s="295">
        <f>'CAR Passenger Kilometres'!T228*'CAR Stock'!T278</f>
        <v>250.77739510256313</v>
      </c>
      <c r="BA228" s="295">
        <f>'CAR Passenger Kilometres'!U228*'CAR Stock'!U278</f>
        <v>302.26637516273109</v>
      </c>
      <c r="BB228" s="295">
        <f>'CAR Passenger Kilometres'!V228*'CAR Stock'!V278</f>
        <v>194.45355284751281</v>
      </c>
      <c r="BC228" s="295">
        <f>'CAR Passenger Kilometres'!W228*'CAR Stock'!W278</f>
        <v>207.69647063082914</v>
      </c>
      <c r="BD228" s="295">
        <f>'CAR Passenger Kilometres'!X228*'CAR Stock'!X278</f>
        <v>211.05785101393798</v>
      </c>
      <c r="BE228" s="295">
        <f>'CAR Passenger Kilometres'!Y228*'CAR Stock'!Y278</f>
        <v>178.03343990755948</v>
      </c>
      <c r="BF228" s="295">
        <f>'CAR Passenger Kilometres'!Z228*'CAR Stock'!Z278</f>
        <v>0</v>
      </c>
      <c r="BG228" s="295">
        <f>'CAR Passenger Kilometres'!AA228*'CAR Stock'!AA278</f>
        <v>0</v>
      </c>
      <c r="BH228" s="295">
        <f>'CAR Passenger Kilometres'!AB228*'CAR Stock'!AB278</f>
        <v>0</v>
      </c>
      <c r="BI228" s="295">
        <f>'CAR Passenger Kilometres'!AC228*'CAR Stock'!AC278</f>
        <v>0</v>
      </c>
      <c r="BJ228" s="295">
        <f>'CAR Passenger Kilometres'!AD228*'CAR Stock'!AD278</f>
        <v>0</v>
      </c>
      <c r="BK228" s="296">
        <f>'CAR Passenger Kilometres'!AE228*'CAR Stock'!AE278</f>
        <v>0</v>
      </c>
    </row>
    <row r="229" spans="1:63">
      <c r="A229" s="1711"/>
      <c r="B229" s="116">
        <v>23</v>
      </c>
      <c r="C229" s="294">
        <f>'CAR Mileage'!C250*CAR!$I$58</f>
        <v>29015.62399879397</v>
      </c>
      <c r="D229" s="295">
        <f>'CAR Mileage'!D250*CAR!$I$58</f>
        <v>29015.62399879397</v>
      </c>
      <c r="E229" s="295">
        <f>'CAR Mileage'!E250*CAR!$I$58</f>
        <v>29015.62399879397</v>
      </c>
      <c r="F229" s="295">
        <f>'CAR Mileage'!F250*CAR!$I$58</f>
        <v>29015.62399879397</v>
      </c>
      <c r="G229" s="295">
        <f>'CAR Mileage'!G250*CAR!$I$58</f>
        <v>29015.62399879397</v>
      </c>
      <c r="H229" s="295">
        <f>'CAR Mileage'!H250*CAR!$I$58</f>
        <v>29015.62399879397</v>
      </c>
      <c r="I229" s="295">
        <f>'CAR Mileage'!I250*CAR!$I$58</f>
        <v>29015.62399879397</v>
      </c>
      <c r="J229" s="295">
        <f>'CAR Mileage'!J250*CAR!$I$58</f>
        <v>29015.62399879397</v>
      </c>
      <c r="K229" s="295">
        <f>'CAR Mileage'!K250*CAR!$I$58</f>
        <v>29015.62399879397</v>
      </c>
      <c r="L229" s="295">
        <f>'CAR Mileage'!L250*CAR!$I$58</f>
        <v>29015.62399879397</v>
      </c>
      <c r="M229" s="295">
        <f>'CAR Mileage'!M250*CAR!$I$58</f>
        <v>29015.62399879397</v>
      </c>
      <c r="N229" s="295">
        <f>'CAR Mileage'!N250*CAR!$I$58</f>
        <v>29015.62399879397</v>
      </c>
      <c r="O229" s="295">
        <f>'CAR Mileage'!O250*CAR!$I$58</f>
        <v>29015.62399879397</v>
      </c>
      <c r="P229" s="295">
        <f>'CAR Mileage'!P250*CAR!$I$58</f>
        <v>29015.62399879397</v>
      </c>
      <c r="Q229" s="295">
        <f>'CAR Mileage'!Q250*CAR!$I$58</f>
        <v>29015.62399879397</v>
      </c>
      <c r="R229" s="295">
        <f>'CAR Mileage'!R250*CAR!$I$58</f>
        <v>29015.62399879397</v>
      </c>
      <c r="S229" s="295">
        <f>'CAR Mileage'!S250*CAR!$I$58</f>
        <v>29015.62399879397</v>
      </c>
      <c r="T229" s="295">
        <f>'CAR Mileage'!T250*CAR!$I$58</f>
        <v>29015.62399879397</v>
      </c>
      <c r="U229" s="295">
        <f>'CAR Mileage'!U250*CAR!$I$58</f>
        <v>29015.62399879397</v>
      </c>
      <c r="V229" s="295">
        <f>'CAR Mileage'!V250*CAR!$I$58</f>
        <v>29015.62399879397</v>
      </c>
      <c r="W229" s="295">
        <f>'CAR Mileage'!W250*CAR!$I$58</f>
        <v>29015.62399879397</v>
      </c>
      <c r="X229" s="295">
        <f>'CAR Mileage'!X250*CAR!$I$58</f>
        <v>29015.62399879397</v>
      </c>
      <c r="Y229" s="295">
        <f>'CAR Mileage'!Y250*CAR!$I$58</f>
        <v>29015.62399879397</v>
      </c>
      <c r="Z229" s="295">
        <f>'CAR Mileage'!Z250*CAR!$I$58</f>
        <v>29015.62399879397</v>
      </c>
      <c r="AA229" s="295">
        <f>'CAR Mileage'!AA250*CAR!$I$58</f>
        <v>29015.62399879397</v>
      </c>
      <c r="AB229" s="295">
        <f>'CAR Mileage'!AB250*CAR!$I$58</f>
        <v>29015.62399879397</v>
      </c>
      <c r="AC229" s="295">
        <f>'CAR Mileage'!AC250*CAR!$I$58</f>
        <v>29015.62399879397</v>
      </c>
      <c r="AD229" s="295">
        <f>'CAR Mileage'!AD250*CAR!$I$58</f>
        <v>29015.62399879397</v>
      </c>
      <c r="AE229" s="296">
        <f>'CAR Mileage'!AE250*CAR!$I$58</f>
        <v>29015.62399879397</v>
      </c>
      <c r="AG229" s="1711"/>
      <c r="AH229" s="116">
        <v>23</v>
      </c>
      <c r="AI229" s="294">
        <f>'CAR Passenger Kilometres'!C229*'CAR Stock'!C279</f>
        <v>46999.852405111866</v>
      </c>
      <c r="AJ229" s="295">
        <f>'CAR Passenger Kilometres'!D229*'CAR Stock'!D279</f>
        <v>8004.0449809827969</v>
      </c>
      <c r="AK229" s="295">
        <f>'CAR Passenger Kilometres'!E229*'CAR Stock'!E279</f>
        <v>2044.6256566529564</v>
      </c>
      <c r="AL229" s="295">
        <f>'CAR Passenger Kilometres'!F229*'CAR Stock'!F279</f>
        <v>696.39689861416741</v>
      </c>
      <c r="AM229" s="295">
        <f>'CAR Passenger Kilometres'!G229*'CAR Stock'!G279</f>
        <v>296.48987262130584</v>
      </c>
      <c r="AN229" s="295">
        <f>'CAR Passenger Kilometres'!H229*'CAR Stock'!H279</f>
        <v>151.47611037659462</v>
      </c>
      <c r="AO229" s="295">
        <f>'CAR Passenger Kilometres'!I229*'CAR Stock'!I279</f>
        <v>90.286998497754738</v>
      </c>
      <c r="AP229" s="295">
        <f>'CAR Passenger Kilometres'!J229*'CAR Stock'!J279</f>
        <v>61.50327375031133</v>
      </c>
      <c r="AQ229" s="295">
        <f>'CAR Passenger Kilometres'!K229*'CAR Stock'!K279</f>
        <v>13.841385675026054</v>
      </c>
      <c r="AR229" s="295">
        <f>'CAR Passenger Kilometres'!L229*'CAR Stock'!L279</f>
        <v>8.0722725134392324</v>
      </c>
      <c r="AS229" s="295">
        <f>'CAR Passenger Kilometres'!M229*'CAR Stock'!M279</f>
        <v>4.2551187733171609</v>
      </c>
      <c r="AT229" s="295">
        <f>'CAR Passenger Kilometres'!N229*'CAR Stock'!N279</f>
        <v>4.3204188401137236</v>
      </c>
      <c r="AU229" s="295">
        <f>'CAR Passenger Kilometres'!O229*'CAR Stock'!O279</f>
        <v>4.8484466317334176</v>
      </c>
      <c r="AV229" s="295">
        <f>'CAR Passenger Kilometres'!P229*'CAR Stock'!P279</f>
        <v>6.7163548055455617</v>
      </c>
      <c r="AW229" s="295">
        <f>'CAR Passenger Kilometres'!Q229*'CAR Stock'!Q279</f>
        <v>7.549480511172896</v>
      </c>
      <c r="AX229" s="295">
        <f>'CAR Passenger Kilometres'!R229*'CAR Stock'!R279</f>
        <v>10.26463949363982</v>
      </c>
      <c r="AY229" s="295">
        <f>'CAR Passenger Kilometres'!S229*'CAR Stock'!S279</f>
        <v>14.267566187298016</v>
      </c>
      <c r="AZ229" s="295">
        <f>'CAR Passenger Kilometres'!T229*'CAR Stock'!T279</f>
        <v>15.45667427545448</v>
      </c>
      <c r="BA229" s="295">
        <f>'CAR Passenger Kilometres'!U229*'CAR Stock'!U279</f>
        <v>15.71111225064953</v>
      </c>
      <c r="BB229" s="295">
        <f>'CAR Passenger Kilometres'!V229*'CAR Stock'!V279</f>
        <v>18.936878054086115</v>
      </c>
      <c r="BC229" s="295">
        <f>'CAR Passenger Kilometres'!W229*'CAR Stock'!W279</f>
        <v>12.18244409579027</v>
      </c>
      <c r="BD229" s="295">
        <f>'CAR Passenger Kilometres'!X229*'CAR Stock'!X279</f>
        <v>13.012108060258491</v>
      </c>
      <c r="BE229" s="295">
        <f>'CAR Passenger Kilometres'!Y229*'CAR Stock'!Y279</f>
        <v>13.222697314104737</v>
      </c>
      <c r="BF229" s="295">
        <f>'CAR Passenger Kilometres'!Z229*'CAR Stock'!Z279</f>
        <v>11.153730014672865</v>
      </c>
      <c r="BG229" s="295">
        <f>'CAR Passenger Kilometres'!AA229*'CAR Stock'!AA279</f>
        <v>0</v>
      </c>
      <c r="BH229" s="295">
        <f>'CAR Passenger Kilometres'!AB229*'CAR Stock'!AB279</f>
        <v>0</v>
      </c>
      <c r="BI229" s="295">
        <f>'CAR Passenger Kilometres'!AC229*'CAR Stock'!AC279</f>
        <v>0</v>
      </c>
      <c r="BJ229" s="295">
        <f>'CAR Passenger Kilometres'!AD229*'CAR Stock'!AD279</f>
        <v>0</v>
      </c>
      <c r="BK229" s="296">
        <f>'CAR Passenger Kilometres'!AE229*'CAR Stock'!AE279</f>
        <v>0</v>
      </c>
    </row>
    <row r="230" spans="1:63">
      <c r="A230" s="1711"/>
      <c r="B230" s="116">
        <v>24</v>
      </c>
      <c r="C230" s="294">
        <f>'CAR Mileage'!C251*CAR!$I$58</f>
        <v>29015.62399879397</v>
      </c>
      <c r="D230" s="295">
        <f>'CAR Mileage'!D251*CAR!$I$58</f>
        <v>29015.62399879397</v>
      </c>
      <c r="E230" s="295">
        <f>'CAR Mileage'!E251*CAR!$I$58</f>
        <v>29015.62399879397</v>
      </c>
      <c r="F230" s="295">
        <f>'CAR Mileage'!F251*CAR!$I$58</f>
        <v>29015.62399879397</v>
      </c>
      <c r="G230" s="295">
        <f>'CAR Mileage'!G251*CAR!$I$58</f>
        <v>29015.62399879397</v>
      </c>
      <c r="H230" s="295">
        <f>'CAR Mileage'!H251*CAR!$I$58</f>
        <v>29015.62399879397</v>
      </c>
      <c r="I230" s="295">
        <f>'CAR Mileage'!I251*CAR!$I$58</f>
        <v>29015.62399879397</v>
      </c>
      <c r="J230" s="295">
        <f>'CAR Mileage'!J251*CAR!$I$58</f>
        <v>29015.62399879397</v>
      </c>
      <c r="K230" s="295">
        <f>'CAR Mileage'!K251*CAR!$I$58</f>
        <v>29015.62399879397</v>
      </c>
      <c r="L230" s="295">
        <f>'CAR Mileage'!L251*CAR!$I$58</f>
        <v>29015.62399879397</v>
      </c>
      <c r="M230" s="295">
        <f>'CAR Mileage'!M251*CAR!$I$58</f>
        <v>29015.62399879397</v>
      </c>
      <c r="N230" s="295">
        <f>'CAR Mileage'!N251*CAR!$I$58</f>
        <v>29015.62399879397</v>
      </c>
      <c r="O230" s="295">
        <f>'CAR Mileage'!O251*CAR!$I$58</f>
        <v>29015.62399879397</v>
      </c>
      <c r="P230" s="295">
        <f>'CAR Mileage'!P251*CAR!$I$58</f>
        <v>29015.62399879397</v>
      </c>
      <c r="Q230" s="295">
        <f>'CAR Mileage'!Q251*CAR!$I$58</f>
        <v>29015.62399879397</v>
      </c>
      <c r="R230" s="295">
        <f>'CAR Mileage'!R251*CAR!$I$58</f>
        <v>29015.62399879397</v>
      </c>
      <c r="S230" s="295">
        <f>'CAR Mileage'!S251*CAR!$I$58</f>
        <v>29015.62399879397</v>
      </c>
      <c r="T230" s="295">
        <f>'CAR Mileage'!T251*CAR!$I$58</f>
        <v>29015.62399879397</v>
      </c>
      <c r="U230" s="295">
        <f>'CAR Mileage'!U251*CAR!$I$58</f>
        <v>29015.62399879397</v>
      </c>
      <c r="V230" s="295">
        <f>'CAR Mileage'!V251*CAR!$I$58</f>
        <v>29015.62399879397</v>
      </c>
      <c r="W230" s="295">
        <f>'CAR Mileage'!W251*CAR!$I$58</f>
        <v>29015.62399879397</v>
      </c>
      <c r="X230" s="295">
        <f>'CAR Mileage'!X251*CAR!$I$58</f>
        <v>29015.62399879397</v>
      </c>
      <c r="Y230" s="295">
        <f>'CAR Mileage'!Y251*CAR!$I$58</f>
        <v>29015.62399879397</v>
      </c>
      <c r="Z230" s="295">
        <f>'CAR Mileage'!Z251*CAR!$I$58</f>
        <v>29015.62399879397</v>
      </c>
      <c r="AA230" s="295">
        <f>'CAR Mileage'!AA251*CAR!$I$58</f>
        <v>29015.62399879397</v>
      </c>
      <c r="AB230" s="295">
        <f>'CAR Mileage'!AB251*CAR!$I$58</f>
        <v>29015.62399879397</v>
      </c>
      <c r="AC230" s="295">
        <f>'CAR Mileage'!AC251*CAR!$I$58</f>
        <v>29015.62399879397</v>
      </c>
      <c r="AD230" s="295">
        <f>'CAR Mileage'!AD251*CAR!$I$58</f>
        <v>29015.62399879397</v>
      </c>
      <c r="AE230" s="296">
        <f>'CAR Mileage'!AE251*CAR!$I$58</f>
        <v>29015.62399879397</v>
      </c>
      <c r="AG230" s="1711"/>
      <c r="AH230" s="116">
        <v>24</v>
      </c>
      <c r="AI230" s="294">
        <f>'CAR Passenger Kilometres'!C230*'CAR Stock'!C280</f>
        <v>17290.279437932822</v>
      </c>
      <c r="AJ230" s="295">
        <f>'CAR Passenger Kilometres'!D230*'CAR Stock'!D280</f>
        <v>1472.2617973575173</v>
      </c>
      <c r="AK230" s="295">
        <f>'CAR Passenger Kilometres'!E230*'CAR Stock'!E280</f>
        <v>250.72524799142721</v>
      </c>
      <c r="AL230" s="295">
        <f>'CAR Passenger Kilometres'!F230*'CAR Stock'!F280</f>
        <v>64.047525473926243</v>
      </c>
      <c r="AM230" s="295">
        <f>'CAR Passenger Kilometres'!G230*'CAR Stock'!G280</f>
        <v>21.814505730583573</v>
      </c>
      <c r="AN230" s="295">
        <f>'CAR Passenger Kilometres'!H230*'CAR Stock'!H280</f>
        <v>9.2874911393608688</v>
      </c>
      <c r="AO230" s="295">
        <f>'CAR Passenger Kilometres'!I230*'CAR Stock'!I280</f>
        <v>4.7449615074858258</v>
      </c>
      <c r="AP230" s="295">
        <f>'CAR Passenger Kilometres'!J230*'CAR Stock'!J280</f>
        <v>2.8282237471848393</v>
      </c>
      <c r="AQ230" s="295">
        <f>'CAR Passenger Kilometres'!K230*'CAR Stock'!K280</f>
        <v>1.9265788235785262</v>
      </c>
      <c r="AR230" s="295">
        <f>'CAR Passenger Kilometres'!L230*'CAR Stock'!L280</f>
        <v>0.43357887969912123</v>
      </c>
      <c r="AS230" s="295">
        <f>'CAR Passenger Kilometres'!M230*'CAR Stock'!M280</f>
        <v>0.25286246299154613</v>
      </c>
      <c r="AT230" s="295">
        <f>'CAR Passenger Kilometres'!N230*'CAR Stock'!N280</f>
        <v>0.13329081885568372</v>
      </c>
      <c r="AU230" s="295">
        <f>'CAR Passenger Kilometres'!O230*'CAR Stock'!O280</f>
        <v>0.13533633152837921</v>
      </c>
      <c r="AV230" s="295">
        <f>'CAR Passenger Kilometres'!P230*'CAR Stock'!P280</f>
        <v>0.15187670571602624</v>
      </c>
      <c r="AW230" s="295">
        <f>'CAR Passenger Kilometres'!Q230*'CAR Stock'!Q280</f>
        <v>0.2103885882975205</v>
      </c>
      <c r="AX230" s="295">
        <f>'CAR Passenger Kilometres'!R230*'CAR Stock'!R280</f>
        <v>0.23648609894966546</v>
      </c>
      <c r="AY230" s="295">
        <f>'CAR Passenger Kilometres'!S230*'CAR Stock'!S280</f>
        <v>0.32153795845727928</v>
      </c>
      <c r="AZ230" s="295">
        <f>'CAR Passenger Kilometres'!T230*'CAR Stock'!T280</f>
        <v>0.44692890645214195</v>
      </c>
      <c r="BA230" s="295">
        <f>'CAR Passenger Kilometres'!U230*'CAR Stock'!U280</f>
        <v>0.48417750025690004</v>
      </c>
      <c r="BB230" s="295">
        <f>'CAR Passenger Kilometres'!V230*'CAR Stock'!V280</f>
        <v>0.49214772338542906</v>
      </c>
      <c r="BC230" s="295">
        <f>'CAR Passenger Kilometres'!W230*'CAR Stock'!W280</f>
        <v>0.59319424835505707</v>
      </c>
      <c r="BD230" s="295">
        <f>'CAR Passenger Kilometres'!X230*'CAR Stock'!X280</f>
        <v>0.38161283754850489</v>
      </c>
      <c r="BE230" s="295">
        <f>'CAR Passenger Kilometres'!Y230*'CAR Stock'!Y280</f>
        <v>0.40760190979073796</v>
      </c>
      <c r="BF230" s="295">
        <f>'CAR Passenger Kilometres'!Z230*'CAR Stock'!Z280</f>
        <v>0.41419857972704888</v>
      </c>
      <c r="BG230" s="295">
        <f>'CAR Passenger Kilometres'!AA230*'CAR Stock'!AA280</f>
        <v>0.34938855673633423</v>
      </c>
      <c r="BH230" s="295">
        <f>'CAR Passenger Kilometres'!AB230*'CAR Stock'!AB280</f>
        <v>0</v>
      </c>
      <c r="BI230" s="295">
        <f>'CAR Passenger Kilometres'!AC230*'CAR Stock'!AC280</f>
        <v>0</v>
      </c>
      <c r="BJ230" s="295">
        <f>'CAR Passenger Kilometres'!AD230*'CAR Stock'!AD280</f>
        <v>0</v>
      </c>
      <c r="BK230" s="296">
        <f>'CAR Passenger Kilometres'!AE230*'CAR Stock'!AE280</f>
        <v>0</v>
      </c>
    </row>
    <row r="231" spans="1:63" ht="15.75" thickBot="1">
      <c r="A231" s="1711"/>
      <c r="B231" s="116">
        <v>25</v>
      </c>
      <c r="C231" s="297">
        <f>'CAR Mileage'!C252*CAR!$I$58</f>
        <v>29015.62399879397</v>
      </c>
      <c r="D231" s="298">
        <f>'CAR Mileage'!D252*CAR!$I$58</f>
        <v>29015.62399879397</v>
      </c>
      <c r="E231" s="298">
        <f>'CAR Mileage'!E252*CAR!$I$58</f>
        <v>29015.62399879397</v>
      </c>
      <c r="F231" s="298">
        <f>'CAR Mileage'!F252*CAR!$I$58</f>
        <v>29015.62399879397</v>
      </c>
      <c r="G231" s="298">
        <f>'CAR Mileage'!G252*CAR!$I$58</f>
        <v>29015.62399879397</v>
      </c>
      <c r="H231" s="298">
        <f>'CAR Mileage'!H252*CAR!$I$58</f>
        <v>29015.62399879397</v>
      </c>
      <c r="I231" s="298">
        <f>'CAR Mileage'!I252*CAR!$I$58</f>
        <v>29015.62399879397</v>
      </c>
      <c r="J231" s="298">
        <f>'CAR Mileage'!J252*CAR!$I$58</f>
        <v>29015.62399879397</v>
      </c>
      <c r="K231" s="298">
        <f>'CAR Mileage'!K252*CAR!$I$58</f>
        <v>29015.62399879397</v>
      </c>
      <c r="L231" s="298">
        <f>'CAR Mileage'!L252*CAR!$I$58</f>
        <v>29015.62399879397</v>
      </c>
      <c r="M231" s="298">
        <f>'CAR Mileage'!M252*CAR!$I$58</f>
        <v>29015.62399879397</v>
      </c>
      <c r="N231" s="298">
        <f>'CAR Mileage'!N252*CAR!$I$58</f>
        <v>29015.62399879397</v>
      </c>
      <c r="O231" s="298">
        <f>'CAR Mileage'!O252*CAR!$I$58</f>
        <v>29015.62399879397</v>
      </c>
      <c r="P231" s="298">
        <f>'CAR Mileage'!P252*CAR!$I$58</f>
        <v>29015.62399879397</v>
      </c>
      <c r="Q231" s="298">
        <f>'CAR Mileage'!Q252*CAR!$I$58</f>
        <v>29015.62399879397</v>
      </c>
      <c r="R231" s="298">
        <f>'CAR Mileage'!R252*CAR!$I$58</f>
        <v>29015.62399879397</v>
      </c>
      <c r="S231" s="298">
        <f>'CAR Mileage'!S252*CAR!$I$58</f>
        <v>29015.62399879397</v>
      </c>
      <c r="T231" s="298">
        <f>'CAR Mileage'!T252*CAR!$I$58</f>
        <v>29015.62399879397</v>
      </c>
      <c r="U231" s="298">
        <f>'CAR Mileage'!U252*CAR!$I$58</f>
        <v>29015.62399879397</v>
      </c>
      <c r="V231" s="298">
        <f>'CAR Mileage'!V252*CAR!$I$58</f>
        <v>29015.62399879397</v>
      </c>
      <c r="W231" s="298">
        <f>'CAR Mileage'!W252*CAR!$I$58</f>
        <v>29015.62399879397</v>
      </c>
      <c r="X231" s="298">
        <f>'CAR Mileage'!X252*CAR!$I$58</f>
        <v>29015.62399879397</v>
      </c>
      <c r="Y231" s="298">
        <f>'CAR Mileage'!Y252*CAR!$I$58</f>
        <v>29015.62399879397</v>
      </c>
      <c r="Z231" s="298">
        <f>'CAR Mileage'!Z252*CAR!$I$58</f>
        <v>29015.62399879397</v>
      </c>
      <c r="AA231" s="298">
        <f>'CAR Mileage'!AA252*CAR!$I$58</f>
        <v>29015.62399879397</v>
      </c>
      <c r="AB231" s="298">
        <f>'CAR Mileage'!AB252*CAR!$I$58</f>
        <v>29015.62399879397</v>
      </c>
      <c r="AC231" s="298">
        <f>'CAR Mileage'!AC252*CAR!$I$58</f>
        <v>29015.62399879397</v>
      </c>
      <c r="AD231" s="298">
        <f>'CAR Mileage'!AD252*CAR!$I$58</f>
        <v>29015.62399879397</v>
      </c>
      <c r="AE231" s="299">
        <f>'CAR Mileage'!AE252*CAR!$I$58</f>
        <v>29015.62399879397</v>
      </c>
      <c r="AG231" s="1711"/>
      <c r="AH231" s="116">
        <v>25</v>
      </c>
      <c r="AI231" s="297">
        <f>'CAR Passenger Kilometres'!C231*'CAR Stock'!C281</f>
        <v>6360.7383373248067</v>
      </c>
      <c r="AJ231" s="298">
        <f>'CAR Passenger Kilometres'!D231*'CAR Stock'!D281</f>
        <v>0</v>
      </c>
      <c r="AK231" s="298">
        <f>'CAR Passenger Kilometres'!E231*'CAR Stock'!E281</f>
        <v>0</v>
      </c>
      <c r="AL231" s="298">
        <f>'CAR Passenger Kilometres'!F231*'CAR Stock'!F281</f>
        <v>0</v>
      </c>
      <c r="AM231" s="298">
        <f>'CAR Passenger Kilometres'!G231*'CAR Stock'!G281</f>
        <v>0</v>
      </c>
      <c r="AN231" s="298">
        <f>'CAR Passenger Kilometres'!H231*'CAR Stock'!H281</f>
        <v>0</v>
      </c>
      <c r="AO231" s="298">
        <f>'CAR Passenger Kilometres'!I231*'CAR Stock'!I281</f>
        <v>0</v>
      </c>
      <c r="AP231" s="298">
        <f>'CAR Passenger Kilometres'!J231*'CAR Stock'!J281</f>
        <v>0</v>
      </c>
      <c r="AQ231" s="298">
        <f>'CAR Passenger Kilometres'!K231*'CAR Stock'!K281</f>
        <v>0</v>
      </c>
      <c r="AR231" s="298">
        <f>'CAR Passenger Kilometres'!L231*'CAR Stock'!L281</f>
        <v>0</v>
      </c>
      <c r="AS231" s="298">
        <f>'CAR Passenger Kilometres'!M231*'CAR Stock'!M281</f>
        <v>0</v>
      </c>
      <c r="AT231" s="298">
        <f>'CAR Passenger Kilometres'!N231*'CAR Stock'!N281</f>
        <v>0</v>
      </c>
      <c r="AU231" s="298">
        <f>'CAR Passenger Kilometres'!O231*'CAR Stock'!O281</f>
        <v>0</v>
      </c>
      <c r="AV231" s="298">
        <f>'CAR Passenger Kilometres'!P231*'CAR Stock'!P281</f>
        <v>0</v>
      </c>
      <c r="AW231" s="298">
        <f>'CAR Passenger Kilometres'!Q231*'CAR Stock'!Q281</f>
        <v>0</v>
      </c>
      <c r="AX231" s="298">
        <f>'CAR Passenger Kilometres'!R231*'CAR Stock'!R281</f>
        <v>0</v>
      </c>
      <c r="AY231" s="298">
        <f>'CAR Passenger Kilometres'!S231*'CAR Stock'!S281</f>
        <v>0</v>
      </c>
      <c r="AZ231" s="298">
        <f>'CAR Passenger Kilometres'!T231*'CAR Stock'!T281</f>
        <v>0</v>
      </c>
      <c r="BA231" s="298">
        <f>'CAR Passenger Kilometres'!U231*'CAR Stock'!U281</f>
        <v>0</v>
      </c>
      <c r="BB231" s="298">
        <f>'CAR Passenger Kilometres'!V231*'CAR Stock'!V281</f>
        <v>0</v>
      </c>
      <c r="BC231" s="298">
        <f>'CAR Passenger Kilometres'!W231*'CAR Stock'!W281</f>
        <v>0</v>
      </c>
      <c r="BD231" s="298">
        <f>'CAR Passenger Kilometres'!X231*'CAR Stock'!X281</f>
        <v>0</v>
      </c>
      <c r="BE231" s="298">
        <f>'CAR Passenger Kilometres'!Y231*'CAR Stock'!Y281</f>
        <v>0</v>
      </c>
      <c r="BF231" s="298">
        <f>'CAR Passenger Kilometres'!Z231*'CAR Stock'!Z281</f>
        <v>0</v>
      </c>
      <c r="BG231" s="298">
        <f>'CAR Passenger Kilometres'!AA231*'CAR Stock'!AA281</f>
        <v>0</v>
      </c>
      <c r="BH231" s="298">
        <f>'CAR Passenger Kilometres'!AB231*'CAR Stock'!AB281</f>
        <v>0</v>
      </c>
      <c r="BI231" s="298">
        <f>'CAR Passenger Kilometres'!AC231*'CAR Stock'!AC281</f>
        <v>0</v>
      </c>
      <c r="BJ231" s="298">
        <f>'CAR Passenger Kilometres'!AD231*'CAR Stock'!AD281</f>
        <v>0</v>
      </c>
      <c r="BK231" s="299">
        <f>'CAR Passenger Kilometres'!AE231*'CAR Stock'!AE281</f>
        <v>0</v>
      </c>
    </row>
    <row r="232" spans="1:63" ht="16.5" thickTop="1" thickBot="1">
      <c r="A232" s="1712"/>
      <c r="B232" s="300" t="s">
        <v>39</v>
      </c>
      <c r="C232" s="301">
        <f>'CAR Mileage'!C253*CAR!$I$58</f>
        <v>36081.640336921177</v>
      </c>
      <c r="D232" s="301">
        <f>'CAR Mileage'!D253*CAR!$I$58</f>
        <v>35600.624662932663</v>
      </c>
      <c r="E232" s="301">
        <f>'CAR Mileage'!E253*CAR!$I$58</f>
        <v>35067.320632505216</v>
      </c>
      <c r="F232" s="301">
        <f>'CAR Mileage'!F253*CAR!$I$58</f>
        <v>34537.502325179346</v>
      </c>
      <c r="G232" s="301">
        <f>'CAR Mileage'!G253*CAR!$I$58</f>
        <v>34033.7109644964</v>
      </c>
      <c r="H232" s="301">
        <f>'CAR Mileage'!H253*CAR!$I$58</f>
        <v>33568.998562142631</v>
      </c>
      <c r="I232" s="301">
        <f>'CAR Mileage'!I253*CAR!$I$58</f>
        <v>33146.480432157638</v>
      </c>
      <c r="J232" s="301">
        <f>'CAR Mileage'!J253*CAR!$I$58</f>
        <v>32761.483309722087</v>
      </c>
      <c r="K232" s="301">
        <f>'CAR Mileage'!K253*CAR!$I$58</f>
        <v>32408.703840869053</v>
      </c>
      <c r="L232" s="301">
        <f>'CAR Mileage'!L253*CAR!$I$58</f>
        <v>32075.830360803968</v>
      </c>
      <c r="M232" s="301">
        <f>'CAR Mileage'!M253*CAR!$I$58</f>
        <v>31741.46403477819</v>
      </c>
      <c r="N232" s="301">
        <f>'CAR Mileage'!N253*CAR!$I$58</f>
        <v>31374.078906893188</v>
      </c>
      <c r="O232" s="301">
        <f>'CAR Mileage'!O253*CAR!$I$58</f>
        <v>30943.157563650417</v>
      </c>
      <c r="P232" s="301">
        <f>'CAR Mileage'!P253*CAR!$I$58</f>
        <v>30467.405697385788</v>
      </c>
      <c r="Q232" s="301">
        <f>'CAR Mileage'!Q253*CAR!$I$58</f>
        <v>29954.626107382097</v>
      </c>
      <c r="R232" s="301">
        <f>'CAR Mileage'!R253*CAR!$I$58</f>
        <v>29427.062520986692</v>
      </c>
      <c r="S232" s="301">
        <f>'CAR Mileage'!S253*CAR!$I$58</f>
        <v>29015.623998793977</v>
      </c>
      <c r="T232" s="301">
        <f>'CAR Mileage'!T253*CAR!$I$58</f>
        <v>29015.623998793966</v>
      </c>
      <c r="U232" s="301">
        <f>'CAR Mileage'!U253*CAR!$I$58</f>
        <v>29015.623998793977</v>
      </c>
      <c r="V232" s="301">
        <f>'CAR Mileage'!V253*CAR!$I$58</f>
        <v>29015.62399879397</v>
      </c>
      <c r="W232" s="301">
        <f>'CAR Mileage'!W253*CAR!$I$58</f>
        <v>29015.62399879397</v>
      </c>
      <c r="X232" s="301">
        <f>'CAR Mileage'!X253*CAR!$I$58</f>
        <v>29015.62399879397</v>
      </c>
      <c r="Y232" s="301">
        <f>'CAR Mileage'!Y253*CAR!$I$58</f>
        <v>29015.62399879397</v>
      </c>
      <c r="Z232" s="301">
        <f>'CAR Mileage'!Z253*CAR!$I$58</f>
        <v>29015.62399879397</v>
      </c>
      <c r="AA232" s="301">
        <f>'CAR Mileage'!AA253*CAR!$I$58</f>
        <v>29015.62399879397</v>
      </c>
      <c r="AB232" s="301">
        <f>'CAR Mileage'!AB253*CAR!$I$58</f>
        <v>0</v>
      </c>
      <c r="AC232" s="301">
        <f>'CAR Mileage'!AC253*CAR!$I$58</f>
        <v>0</v>
      </c>
      <c r="AD232" s="301">
        <f>'CAR Mileage'!AD253*CAR!$I$58</f>
        <v>0</v>
      </c>
      <c r="AE232" s="302">
        <f>'CAR Mileage'!AE253*CAR!$I$58</f>
        <v>0</v>
      </c>
      <c r="AG232" s="1712"/>
      <c r="AH232" s="300" t="s">
        <v>39</v>
      </c>
      <c r="AI232" s="301">
        <f t="shared" ref="AI232:BK232" si="7">SUM(AI206:AI231)</f>
        <v>9507259657.2963715</v>
      </c>
      <c r="AJ232" s="301">
        <f t="shared" si="7"/>
        <v>8973166249.2980824</v>
      </c>
      <c r="AK232" s="301">
        <f t="shared" si="7"/>
        <v>8490983313.3501806</v>
      </c>
      <c r="AL232" s="301">
        <f t="shared" si="7"/>
        <v>7985200741.4100943</v>
      </c>
      <c r="AM232" s="301">
        <f t="shared" si="7"/>
        <v>7410373821.6306391</v>
      </c>
      <c r="AN232" s="301">
        <f t="shared" si="7"/>
        <v>6728880501.3107319</v>
      </c>
      <c r="AO232" s="301">
        <f t="shared" si="7"/>
        <v>5938252004.2274895</v>
      </c>
      <c r="AP232" s="301">
        <f t="shared" si="7"/>
        <v>5061105906.3169212</v>
      </c>
      <c r="AQ232" s="301">
        <f t="shared" si="7"/>
        <v>4127948609.7084961</v>
      </c>
      <c r="AR232" s="301">
        <f t="shared" si="7"/>
        <v>3220971563.9380703</v>
      </c>
      <c r="AS232" s="301">
        <f t="shared" si="7"/>
        <v>2380775869.183651</v>
      </c>
      <c r="AT232" s="301">
        <f t="shared" si="7"/>
        <v>1609162115.4353571</v>
      </c>
      <c r="AU232" s="301">
        <f t="shared" si="7"/>
        <v>931956088.43245292</v>
      </c>
      <c r="AV232" s="301">
        <f t="shared" si="7"/>
        <v>441591033.23585027</v>
      </c>
      <c r="AW232" s="301">
        <f t="shared" si="7"/>
        <v>164808443.96641496</v>
      </c>
      <c r="AX232" s="301">
        <f t="shared" si="7"/>
        <v>48394341.410621405</v>
      </c>
      <c r="AY232" s="301">
        <f t="shared" si="7"/>
        <v>12857288.45290249</v>
      </c>
      <c r="AZ232" s="301">
        <f t="shared" si="7"/>
        <v>3083899.9788342123</v>
      </c>
      <c r="BA232" s="301">
        <f t="shared" si="7"/>
        <v>648091.83311233215</v>
      </c>
      <c r="BB232" s="301">
        <f t="shared" si="7"/>
        <v>116883.33442344161</v>
      </c>
      <c r="BC232" s="301">
        <f t="shared" si="7"/>
        <v>17586.081065349503</v>
      </c>
      <c r="BD232" s="301">
        <f t="shared" si="7"/>
        <v>2118.9392266318691</v>
      </c>
      <c r="BE232" s="301">
        <f t="shared" si="7"/>
        <v>191.66373913145497</v>
      </c>
      <c r="BF232" s="301">
        <f t="shared" si="7"/>
        <v>11.567928594399914</v>
      </c>
      <c r="BG232" s="301">
        <f t="shared" si="7"/>
        <v>0.34938855673633423</v>
      </c>
      <c r="BH232" s="301">
        <f t="shared" si="7"/>
        <v>0</v>
      </c>
      <c r="BI232" s="301">
        <f t="shared" si="7"/>
        <v>0</v>
      </c>
      <c r="BJ232" s="301">
        <f t="shared" si="7"/>
        <v>0</v>
      </c>
      <c r="BK232" s="302">
        <f t="shared" si="7"/>
        <v>0</v>
      </c>
    </row>
    <row r="233" spans="1:63" ht="15.75" thickBot="1"/>
    <row r="234" spans="1:63" ht="15.75" thickBot="1">
      <c r="A234" s="1710" t="s">
        <v>49</v>
      </c>
      <c r="B234" s="169" t="s">
        <v>10</v>
      </c>
      <c r="C234" s="288">
        <v>2012</v>
      </c>
      <c r="D234" s="289">
        <v>2013</v>
      </c>
      <c r="E234" s="289">
        <v>2014</v>
      </c>
      <c r="F234" s="289">
        <v>2015</v>
      </c>
      <c r="G234" s="288">
        <v>2016</v>
      </c>
      <c r="H234" s="289">
        <v>2017</v>
      </c>
      <c r="I234" s="289">
        <v>2018</v>
      </c>
      <c r="J234" s="289">
        <v>2019</v>
      </c>
      <c r="K234" s="288">
        <v>2020</v>
      </c>
      <c r="L234" s="289">
        <v>2021</v>
      </c>
      <c r="M234" s="289">
        <v>2022</v>
      </c>
      <c r="N234" s="289">
        <v>2023</v>
      </c>
      <c r="O234" s="288">
        <v>2024</v>
      </c>
      <c r="P234" s="289">
        <v>2025</v>
      </c>
      <c r="Q234" s="289">
        <v>2026</v>
      </c>
      <c r="R234" s="289">
        <v>2027</v>
      </c>
      <c r="S234" s="288">
        <v>2028</v>
      </c>
      <c r="T234" s="289">
        <v>2029</v>
      </c>
      <c r="U234" s="289">
        <v>2030</v>
      </c>
      <c r="V234" s="289">
        <v>2031</v>
      </c>
      <c r="W234" s="288">
        <v>2032</v>
      </c>
      <c r="X234" s="289">
        <v>2033</v>
      </c>
      <c r="Y234" s="289">
        <v>2034</v>
      </c>
      <c r="Z234" s="289">
        <v>2035</v>
      </c>
      <c r="AA234" s="288">
        <v>2036</v>
      </c>
      <c r="AB234" s="289">
        <v>2037</v>
      </c>
      <c r="AC234" s="289">
        <v>2038</v>
      </c>
      <c r="AD234" s="289">
        <v>2039</v>
      </c>
      <c r="AE234" s="290">
        <v>2040</v>
      </c>
      <c r="AG234" s="1710" t="s">
        <v>49</v>
      </c>
      <c r="AH234" s="169" t="s">
        <v>10</v>
      </c>
      <c r="AI234" s="288">
        <v>2012</v>
      </c>
      <c r="AJ234" s="289">
        <v>2013</v>
      </c>
      <c r="AK234" s="289">
        <v>2014</v>
      </c>
      <c r="AL234" s="289">
        <v>2015</v>
      </c>
      <c r="AM234" s="288">
        <v>2016</v>
      </c>
      <c r="AN234" s="289">
        <v>2017</v>
      </c>
      <c r="AO234" s="289">
        <v>2018</v>
      </c>
      <c r="AP234" s="289">
        <v>2019</v>
      </c>
      <c r="AQ234" s="288">
        <v>2020</v>
      </c>
      <c r="AR234" s="289">
        <v>2021</v>
      </c>
      <c r="AS234" s="289">
        <v>2022</v>
      </c>
      <c r="AT234" s="289">
        <v>2023</v>
      </c>
      <c r="AU234" s="288">
        <v>2024</v>
      </c>
      <c r="AV234" s="289">
        <v>2025</v>
      </c>
      <c r="AW234" s="289">
        <v>2026</v>
      </c>
      <c r="AX234" s="289">
        <v>2027</v>
      </c>
      <c r="AY234" s="288">
        <v>2028</v>
      </c>
      <c r="AZ234" s="289">
        <v>2029</v>
      </c>
      <c r="BA234" s="289">
        <v>2030</v>
      </c>
      <c r="BB234" s="289">
        <v>2031</v>
      </c>
      <c r="BC234" s="288">
        <v>2032</v>
      </c>
      <c r="BD234" s="289">
        <v>2033</v>
      </c>
      <c r="BE234" s="289">
        <v>2034</v>
      </c>
      <c r="BF234" s="289">
        <v>2035</v>
      </c>
      <c r="BG234" s="288">
        <v>2036</v>
      </c>
      <c r="BH234" s="289">
        <v>2037</v>
      </c>
      <c r="BI234" s="289">
        <v>2038</v>
      </c>
      <c r="BJ234" s="289">
        <v>2039</v>
      </c>
      <c r="BK234" s="290">
        <v>2040</v>
      </c>
    </row>
    <row r="235" spans="1:63">
      <c r="A235" s="1711"/>
      <c r="B235" s="116">
        <v>0</v>
      </c>
      <c r="C235" s="291">
        <f>'CAR Mileage'!C256*CAR!$I$58</f>
        <v>21453.54353368398</v>
      </c>
      <c r="D235" s="292">
        <f>'CAR Mileage'!D256*CAR!$I$58</f>
        <v>21453.54353368398</v>
      </c>
      <c r="E235" s="292">
        <f>'CAR Mileage'!E256*CAR!$I$58</f>
        <v>21453.54353368398</v>
      </c>
      <c r="F235" s="292">
        <f>'CAR Mileage'!F256*CAR!$I$58</f>
        <v>21453.54353368398</v>
      </c>
      <c r="G235" s="292">
        <f>'CAR Mileage'!G256*CAR!$I$58</f>
        <v>21453.54353368398</v>
      </c>
      <c r="H235" s="292">
        <f>'CAR Mileage'!H256*CAR!$I$58</f>
        <v>21453.54353368398</v>
      </c>
      <c r="I235" s="292">
        <f>'CAR Mileage'!I256*CAR!$I$58</f>
        <v>21453.54353368398</v>
      </c>
      <c r="J235" s="292">
        <f>'CAR Mileage'!J256*CAR!$I$58</f>
        <v>21453.54353368398</v>
      </c>
      <c r="K235" s="292">
        <f>'CAR Mileage'!K256*CAR!$I$58</f>
        <v>21453.54353368398</v>
      </c>
      <c r="L235" s="292">
        <f>'CAR Mileage'!L256*CAR!$I$58</f>
        <v>21453.54353368398</v>
      </c>
      <c r="M235" s="292">
        <f>'CAR Mileage'!M256*CAR!$I$58</f>
        <v>21453.54353368398</v>
      </c>
      <c r="N235" s="292">
        <f>'CAR Mileage'!N256*CAR!$I$58</f>
        <v>21453.54353368398</v>
      </c>
      <c r="O235" s="292">
        <f>'CAR Mileage'!O256*CAR!$I$58</f>
        <v>21453.54353368398</v>
      </c>
      <c r="P235" s="292">
        <f>'CAR Mileage'!P256*CAR!$I$58</f>
        <v>21453.54353368398</v>
      </c>
      <c r="Q235" s="292">
        <f>'CAR Mileage'!Q256*CAR!$I$58</f>
        <v>21453.54353368398</v>
      </c>
      <c r="R235" s="292">
        <f>'CAR Mileage'!R256*CAR!$I$58</f>
        <v>21453.54353368398</v>
      </c>
      <c r="S235" s="292">
        <f>'CAR Mileage'!S256*CAR!$I$58</f>
        <v>21453.54353368398</v>
      </c>
      <c r="T235" s="292">
        <f>'CAR Mileage'!T256*CAR!$I$58</f>
        <v>21453.54353368398</v>
      </c>
      <c r="U235" s="292">
        <f>'CAR Mileage'!U256*CAR!$I$58</f>
        <v>21453.54353368398</v>
      </c>
      <c r="V235" s="292">
        <f>'CAR Mileage'!V256*CAR!$I$58</f>
        <v>21453.54353368398</v>
      </c>
      <c r="W235" s="292">
        <f>'CAR Mileage'!W256*CAR!$I$58</f>
        <v>21453.54353368398</v>
      </c>
      <c r="X235" s="292">
        <f>'CAR Mileage'!X256*CAR!$I$58</f>
        <v>21453.54353368398</v>
      </c>
      <c r="Y235" s="292">
        <f>'CAR Mileage'!Y256*CAR!$I$58</f>
        <v>21453.54353368398</v>
      </c>
      <c r="Z235" s="292">
        <f>'CAR Mileage'!Z256*CAR!$I$58</f>
        <v>21453.54353368398</v>
      </c>
      <c r="AA235" s="292">
        <f>'CAR Mileage'!AA256*CAR!$I$58</f>
        <v>21453.54353368398</v>
      </c>
      <c r="AB235" s="292">
        <f>'CAR Mileage'!AB256*CAR!$I$58</f>
        <v>21453.54353368398</v>
      </c>
      <c r="AC235" s="292">
        <f>'CAR Mileage'!AC256*CAR!$I$58</f>
        <v>21453.54353368398</v>
      </c>
      <c r="AD235" s="292">
        <f>'CAR Mileage'!AD256*CAR!$I$58</f>
        <v>21453.54353368398</v>
      </c>
      <c r="AE235" s="293">
        <f>'CAR Mileage'!AE256*CAR!$I$58</f>
        <v>21453.54353368398</v>
      </c>
      <c r="AG235" s="1711"/>
      <c r="AH235" s="116">
        <v>0</v>
      </c>
      <c r="AI235" s="291">
        <f>'CAR Passenger Kilometres'!C235*'CAR Stock'!C285</f>
        <v>0</v>
      </c>
      <c r="AJ235" s="292">
        <f>'CAR Passenger Kilometres'!D235*'CAR Stock'!D285</f>
        <v>0</v>
      </c>
      <c r="AK235" s="292">
        <f>'CAR Passenger Kilometres'!E235*'CAR Stock'!E285</f>
        <v>0</v>
      </c>
      <c r="AL235" s="292">
        <f>'CAR Passenger Kilometres'!F235*'CAR Stock'!F285</f>
        <v>0</v>
      </c>
      <c r="AM235" s="292">
        <f>'CAR Passenger Kilometres'!G235*'CAR Stock'!G285</f>
        <v>0</v>
      </c>
      <c r="AN235" s="292">
        <f>'CAR Passenger Kilometres'!H235*'CAR Stock'!H285</f>
        <v>0</v>
      </c>
      <c r="AO235" s="292">
        <f>'CAR Passenger Kilometres'!I235*'CAR Stock'!I285</f>
        <v>0</v>
      </c>
      <c r="AP235" s="292">
        <f>'CAR Passenger Kilometres'!J235*'CAR Stock'!J285</f>
        <v>0</v>
      </c>
      <c r="AQ235" s="292">
        <f>'CAR Passenger Kilometres'!K235*'CAR Stock'!K285</f>
        <v>0</v>
      </c>
      <c r="AR235" s="292">
        <f>'CAR Passenger Kilometres'!L235*'CAR Stock'!L285</f>
        <v>0</v>
      </c>
      <c r="AS235" s="292">
        <f>'CAR Passenger Kilometres'!M235*'CAR Stock'!M285</f>
        <v>0</v>
      </c>
      <c r="AT235" s="292">
        <f>'CAR Passenger Kilometres'!N235*'CAR Stock'!N285</f>
        <v>0</v>
      </c>
      <c r="AU235" s="292">
        <f>'CAR Passenger Kilometres'!O235*'CAR Stock'!O285</f>
        <v>0</v>
      </c>
      <c r="AV235" s="292">
        <f>'CAR Passenger Kilometres'!P235*'CAR Stock'!P285</f>
        <v>0</v>
      </c>
      <c r="AW235" s="292">
        <f>'CAR Passenger Kilometres'!Q235*'CAR Stock'!Q285</f>
        <v>0</v>
      </c>
      <c r="AX235" s="292">
        <f>'CAR Passenger Kilometres'!R235*'CAR Stock'!R285</f>
        <v>0</v>
      </c>
      <c r="AY235" s="292">
        <f>'CAR Passenger Kilometres'!S235*'CAR Stock'!S285</f>
        <v>0</v>
      </c>
      <c r="AZ235" s="292">
        <f>'CAR Passenger Kilometres'!T235*'CAR Stock'!T285</f>
        <v>0</v>
      </c>
      <c r="BA235" s="292">
        <f>'CAR Passenger Kilometres'!U235*'CAR Stock'!U285</f>
        <v>0</v>
      </c>
      <c r="BB235" s="292">
        <f>'CAR Passenger Kilometres'!V235*'CAR Stock'!V285</f>
        <v>0</v>
      </c>
      <c r="BC235" s="292">
        <f>'CAR Passenger Kilometres'!W235*'CAR Stock'!W285</f>
        <v>0</v>
      </c>
      <c r="BD235" s="292">
        <f>'CAR Passenger Kilometres'!X235*'CAR Stock'!X285</f>
        <v>0</v>
      </c>
      <c r="BE235" s="292">
        <f>'CAR Passenger Kilometres'!Y235*'CAR Stock'!Y285</f>
        <v>0</v>
      </c>
      <c r="BF235" s="292">
        <f>'CAR Passenger Kilometres'!Z235*'CAR Stock'!Z285</f>
        <v>0</v>
      </c>
      <c r="BG235" s="292">
        <f>'CAR Passenger Kilometres'!AA235*'CAR Stock'!AA285</f>
        <v>0</v>
      </c>
      <c r="BH235" s="292">
        <f>'CAR Passenger Kilometres'!AB235*'CAR Stock'!AB285</f>
        <v>0</v>
      </c>
      <c r="BI235" s="292">
        <f>'CAR Passenger Kilometres'!AC235*'CAR Stock'!AC285</f>
        <v>0</v>
      </c>
      <c r="BJ235" s="292">
        <f>'CAR Passenger Kilometres'!AD235*'CAR Stock'!AD285</f>
        <v>0</v>
      </c>
      <c r="BK235" s="293">
        <f>'CAR Passenger Kilometres'!AE235*'CAR Stock'!AE285</f>
        <v>0</v>
      </c>
    </row>
    <row r="236" spans="1:63">
      <c r="A236" s="1711"/>
      <c r="B236" s="116">
        <v>1</v>
      </c>
      <c r="C236" s="294">
        <f>'CAR Mileage'!C257*CAR!$I$58</f>
        <v>21024.4726630103</v>
      </c>
      <c r="D236" s="295">
        <f>'CAR Mileage'!D257*CAR!$I$58</f>
        <v>21024.4726630103</v>
      </c>
      <c r="E236" s="295">
        <f>'CAR Mileage'!E257*CAR!$I$58</f>
        <v>21024.4726630103</v>
      </c>
      <c r="F236" s="295">
        <f>'CAR Mileage'!F257*CAR!$I$58</f>
        <v>21024.4726630103</v>
      </c>
      <c r="G236" s="295">
        <f>'CAR Mileage'!G257*CAR!$I$58</f>
        <v>21024.4726630103</v>
      </c>
      <c r="H236" s="295">
        <f>'CAR Mileage'!H257*CAR!$I$58</f>
        <v>21024.4726630103</v>
      </c>
      <c r="I236" s="295">
        <f>'CAR Mileage'!I257*CAR!$I$58</f>
        <v>21024.4726630103</v>
      </c>
      <c r="J236" s="295">
        <f>'CAR Mileage'!J257*CAR!$I$58</f>
        <v>21024.4726630103</v>
      </c>
      <c r="K236" s="295">
        <f>'CAR Mileage'!K257*CAR!$I$58</f>
        <v>21024.4726630103</v>
      </c>
      <c r="L236" s="295">
        <f>'CAR Mileage'!L257*CAR!$I$58</f>
        <v>21024.4726630103</v>
      </c>
      <c r="M236" s="295">
        <f>'CAR Mileage'!M257*CAR!$I$58</f>
        <v>21024.4726630103</v>
      </c>
      <c r="N236" s="295">
        <f>'CAR Mileage'!N257*CAR!$I$58</f>
        <v>21024.4726630103</v>
      </c>
      <c r="O236" s="295">
        <f>'CAR Mileage'!O257*CAR!$I$58</f>
        <v>21024.4726630103</v>
      </c>
      <c r="P236" s="295">
        <f>'CAR Mileage'!P257*CAR!$I$58</f>
        <v>21024.4726630103</v>
      </c>
      <c r="Q236" s="295">
        <f>'CAR Mileage'!Q257*CAR!$I$58</f>
        <v>21024.4726630103</v>
      </c>
      <c r="R236" s="295">
        <f>'CAR Mileage'!R257*CAR!$I$58</f>
        <v>21024.4726630103</v>
      </c>
      <c r="S236" s="295">
        <f>'CAR Mileage'!S257*CAR!$I$58</f>
        <v>21024.4726630103</v>
      </c>
      <c r="T236" s="295">
        <f>'CAR Mileage'!T257*CAR!$I$58</f>
        <v>21024.4726630103</v>
      </c>
      <c r="U236" s="295">
        <f>'CAR Mileage'!U257*CAR!$I$58</f>
        <v>21024.4726630103</v>
      </c>
      <c r="V236" s="295">
        <f>'CAR Mileage'!V257*CAR!$I$58</f>
        <v>21024.4726630103</v>
      </c>
      <c r="W236" s="295">
        <f>'CAR Mileage'!W257*CAR!$I$58</f>
        <v>21024.4726630103</v>
      </c>
      <c r="X236" s="295">
        <f>'CAR Mileage'!X257*CAR!$I$58</f>
        <v>21024.4726630103</v>
      </c>
      <c r="Y236" s="295">
        <f>'CAR Mileage'!Y257*CAR!$I$58</f>
        <v>21024.4726630103</v>
      </c>
      <c r="Z236" s="295">
        <f>'CAR Mileage'!Z257*CAR!$I$58</f>
        <v>21024.4726630103</v>
      </c>
      <c r="AA236" s="295">
        <f>'CAR Mileage'!AA257*CAR!$I$58</f>
        <v>21024.4726630103</v>
      </c>
      <c r="AB236" s="295">
        <f>'CAR Mileage'!AB257*CAR!$I$58</f>
        <v>21024.4726630103</v>
      </c>
      <c r="AC236" s="295">
        <f>'CAR Mileage'!AC257*CAR!$I$58</f>
        <v>21024.4726630103</v>
      </c>
      <c r="AD236" s="295">
        <f>'CAR Mileage'!AD257*CAR!$I$58</f>
        <v>21024.4726630103</v>
      </c>
      <c r="AE236" s="296">
        <f>'CAR Mileage'!AE257*CAR!$I$58</f>
        <v>21024.4726630103</v>
      </c>
      <c r="AG236" s="1711"/>
      <c r="AH236" s="116">
        <v>1</v>
      </c>
      <c r="AI236" s="294">
        <f>'CAR Passenger Kilometres'!C236*'CAR Stock'!C286</f>
        <v>0</v>
      </c>
      <c r="AJ236" s="295">
        <f>'CAR Passenger Kilometres'!D236*'CAR Stock'!D286</f>
        <v>0</v>
      </c>
      <c r="AK236" s="295">
        <f>'CAR Passenger Kilometres'!E236*'CAR Stock'!E286</f>
        <v>0</v>
      </c>
      <c r="AL236" s="295">
        <f>'CAR Passenger Kilometres'!F236*'CAR Stock'!F286</f>
        <v>0</v>
      </c>
      <c r="AM236" s="295">
        <f>'CAR Passenger Kilometres'!G236*'CAR Stock'!G286</f>
        <v>0</v>
      </c>
      <c r="AN236" s="295">
        <f>'CAR Passenger Kilometres'!H236*'CAR Stock'!H286</f>
        <v>0</v>
      </c>
      <c r="AO236" s="295">
        <f>'CAR Passenger Kilometres'!I236*'CAR Stock'!I286</f>
        <v>0</v>
      </c>
      <c r="AP236" s="295">
        <f>'CAR Passenger Kilometres'!J236*'CAR Stock'!J286</f>
        <v>0</v>
      </c>
      <c r="AQ236" s="295">
        <f>'CAR Passenger Kilometres'!K236*'CAR Stock'!K286</f>
        <v>0</v>
      </c>
      <c r="AR236" s="295">
        <f>'CAR Passenger Kilometres'!L236*'CAR Stock'!L286</f>
        <v>0</v>
      </c>
      <c r="AS236" s="295">
        <f>'CAR Passenger Kilometres'!M236*'CAR Stock'!M286</f>
        <v>0</v>
      </c>
      <c r="AT236" s="295">
        <f>'CAR Passenger Kilometres'!N236*'CAR Stock'!N286</f>
        <v>0</v>
      </c>
      <c r="AU236" s="295">
        <f>'CAR Passenger Kilometres'!O236*'CAR Stock'!O286</f>
        <v>0</v>
      </c>
      <c r="AV236" s="295">
        <f>'CAR Passenger Kilometres'!P236*'CAR Stock'!P286</f>
        <v>0</v>
      </c>
      <c r="AW236" s="295">
        <f>'CAR Passenger Kilometres'!Q236*'CAR Stock'!Q286</f>
        <v>0</v>
      </c>
      <c r="AX236" s="295">
        <f>'CAR Passenger Kilometres'!R236*'CAR Stock'!R286</f>
        <v>0</v>
      </c>
      <c r="AY236" s="295">
        <f>'CAR Passenger Kilometres'!S236*'CAR Stock'!S286</f>
        <v>0</v>
      </c>
      <c r="AZ236" s="295">
        <f>'CAR Passenger Kilometres'!T236*'CAR Stock'!T286</f>
        <v>0</v>
      </c>
      <c r="BA236" s="295">
        <f>'CAR Passenger Kilometres'!U236*'CAR Stock'!U286</f>
        <v>0</v>
      </c>
      <c r="BB236" s="295">
        <f>'CAR Passenger Kilometres'!V236*'CAR Stock'!V286</f>
        <v>0</v>
      </c>
      <c r="BC236" s="295">
        <f>'CAR Passenger Kilometres'!W236*'CAR Stock'!W286</f>
        <v>0</v>
      </c>
      <c r="BD236" s="295">
        <f>'CAR Passenger Kilometres'!X236*'CAR Stock'!X286</f>
        <v>0</v>
      </c>
      <c r="BE236" s="295">
        <f>'CAR Passenger Kilometres'!Y236*'CAR Stock'!Y286</f>
        <v>0</v>
      </c>
      <c r="BF236" s="295">
        <f>'CAR Passenger Kilometres'!Z236*'CAR Stock'!Z286</f>
        <v>0</v>
      </c>
      <c r="BG236" s="295">
        <f>'CAR Passenger Kilometres'!AA236*'CAR Stock'!AA286</f>
        <v>0</v>
      </c>
      <c r="BH236" s="295">
        <f>'CAR Passenger Kilometres'!AB236*'CAR Stock'!AB286</f>
        <v>0</v>
      </c>
      <c r="BI236" s="295">
        <f>'CAR Passenger Kilometres'!AC236*'CAR Stock'!AC286</f>
        <v>0</v>
      </c>
      <c r="BJ236" s="295">
        <f>'CAR Passenger Kilometres'!AD236*'CAR Stock'!AD286</f>
        <v>0</v>
      </c>
      <c r="BK236" s="296">
        <f>'CAR Passenger Kilometres'!AE236*'CAR Stock'!AE286</f>
        <v>0</v>
      </c>
    </row>
    <row r="237" spans="1:63">
      <c r="A237" s="1711"/>
      <c r="B237" s="116">
        <v>2</v>
      </c>
      <c r="C237" s="294">
        <f>'CAR Mileage'!C258*CAR!$I$58</f>
        <v>20603.983209750095</v>
      </c>
      <c r="D237" s="295">
        <f>'CAR Mileage'!D258*CAR!$I$58</f>
        <v>20603.983209750095</v>
      </c>
      <c r="E237" s="295">
        <f>'CAR Mileage'!E258*CAR!$I$58</f>
        <v>20603.983209750095</v>
      </c>
      <c r="F237" s="295">
        <f>'CAR Mileage'!F258*CAR!$I$58</f>
        <v>20603.983209750095</v>
      </c>
      <c r="G237" s="295">
        <f>'CAR Mileage'!G258*CAR!$I$58</f>
        <v>20603.983209750095</v>
      </c>
      <c r="H237" s="295">
        <f>'CAR Mileage'!H258*CAR!$I$58</f>
        <v>20603.983209750095</v>
      </c>
      <c r="I237" s="295">
        <f>'CAR Mileage'!I258*CAR!$I$58</f>
        <v>20603.983209750095</v>
      </c>
      <c r="J237" s="295">
        <f>'CAR Mileage'!J258*CAR!$I$58</f>
        <v>20603.983209750095</v>
      </c>
      <c r="K237" s="295">
        <f>'CAR Mileage'!K258*CAR!$I$58</f>
        <v>20603.983209750095</v>
      </c>
      <c r="L237" s="295">
        <f>'CAR Mileage'!L258*CAR!$I$58</f>
        <v>20603.983209750095</v>
      </c>
      <c r="M237" s="295">
        <f>'CAR Mileage'!M258*CAR!$I$58</f>
        <v>20603.983209750095</v>
      </c>
      <c r="N237" s="295">
        <f>'CAR Mileage'!N258*CAR!$I$58</f>
        <v>20603.983209750095</v>
      </c>
      <c r="O237" s="295">
        <f>'CAR Mileage'!O258*CAR!$I$58</f>
        <v>20603.983209750095</v>
      </c>
      <c r="P237" s="295">
        <f>'CAR Mileage'!P258*CAR!$I$58</f>
        <v>20603.983209750095</v>
      </c>
      <c r="Q237" s="295">
        <f>'CAR Mileage'!Q258*CAR!$I$58</f>
        <v>20603.983209750095</v>
      </c>
      <c r="R237" s="295">
        <f>'CAR Mileage'!R258*CAR!$I$58</f>
        <v>20603.983209750095</v>
      </c>
      <c r="S237" s="295">
        <f>'CAR Mileage'!S258*CAR!$I$58</f>
        <v>20603.983209750095</v>
      </c>
      <c r="T237" s="295">
        <f>'CAR Mileage'!T258*CAR!$I$58</f>
        <v>20603.983209750095</v>
      </c>
      <c r="U237" s="295">
        <f>'CAR Mileage'!U258*CAR!$I$58</f>
        <v>20603.983209750095</v>
      </c>
      <c r="V237" s="295">
        <f>'CAR Mileage'!V258*CAR!$I$58</f>
        <v>20603.983209750095</v>
      </c>
      <c r="W237" s="295">
        <f>'CAR Mileage'!W258*CAR!$I$58</f>
        <v>20603.983209750095</v>
      </c>
      <c r="X237" s="295">
        <f>'CAR Mileage'!X258*CAR!$I$58</f>
        <v>20603.983209750095</v>
      </c>
      <c r="Y237" s="295">
        <f>'CAR Mileage'!Y258*CAR!$I$58</f>
        <v>20603.983209750095</v>
      </c>
      <c r="Z237" s="295">
        <f>'CAR Mileage'!Z258*CAR!$I$58</f>
        <v>20603.983209750095</v>
      </c>
      <c r="AA237" s="295">
        <f>'CAR Mileage'!AA258*CAR!$I$58</f>
        <v>20603.983209750095</v>
      </c>
      <c r="AB237" s="295">
        <f>'CAR Mileage'!AB258*CAR!$I$58</f>
        <v>20603.983209750095</v>
      </c>
      <c r="AC237" s="295">
        <f>'CAR Mileage'!AC258*CAR!$I$58</f>
        <v>20603.983209750095</v>
      </c>
      <c r="AD237" s="295">
        <f>'CAR Mileage'!AD258*CAR!$I$58</f>
        <v>20603.983209750095</v>
      </c>
      <c r="AE237" s="296">
        <f>'CAR Mileage'!AE258*CAR!$I$58</f>
        <v>20603.983209750095</v>
      </c>
      <c r="AG237" s="1711"/>
      <c r="AH237" s="116">
        <v>2</v>
      </c>
      <c r="AI237" s="294">
        <f>'CAR Passenger Kilometres'!C237*'CAR Stock'!C287</f>
        <v>0</v>
      </c>
      <c r="AJ237" s="295">
        <f>'CAR Passenger Kilometres'!D237*'CAR Stock'!D287</f>
        <v>0</v>
      </c>
      <c r="AK237" s="295">
        <f>'CAR Passenger Kilometres'!E237*'CAR Stock'!E287</f>
        <v>0</v>
      </c>
      <c r="AL237" s="295">
        <f>'CAR Passenger Kilometres'!F237*'CAR Stock'!F287</f>
        <v>0</v>
      </c>
      <c r="AM237" s="295">
        <f>'CAR Passenger Kilometres'!G237*'CAR Stock'!G287</f>
        <v>0</v>
      </c>
      <c r="AN237" s="295">
        <f>'CAR Passenger Kilometres'!H237*'CAR Stock'!H287</f>
        <v>0</v>
      </c>
      <c r="AO237" s="295">
        <f>'CAR Passenger Kilometres'!I237*'CAR Stock'!I287</f>
        <v>0</v>
      </c>
      <c r="AP237" s="295">
        <f>'CAR Passenger Kilometres'!J237*'CAR Stock'!J287</f>
        <v>0</v>
      </c>
      <c r="AQ237" s="295">
        <f>'CAR Passenger Kilometres'!K237*'CAR Stock'!K287</f>
        <v>0</v>
      </c>
      <c r="AR237" s="295">
        <f>'CAR Passenger Kilometres'!L237*'CAR Stock'!L287</f>
        <v>0</v>
      </c>
      <c r="AS237" s="295">
        <f>'CAR Passenger Kilometres'!M237*'CAR Stock'!M287</f>
        <v>0</v>
      </c>
      <c r="AT237" s="295">
        <f>'CAR Passenger Kilometres'!N237*'CAR Stock'!N287</f>
        <v>0</v>
      </c>
      <c r="AU237" s="295">
        <f>'CAR Passenger Kilometres'!O237*'CAR Stock'!O287</f>
        <v>0</v>
      </c>
      <c r="AV237" s="295">
        <f>'CAR Passenger Kilometres'!P237*'CAR Stock'!P287</f>
        <v>0</v>
      </c>
      <c r="AW237" s="295">
        <f>'CAR Passenger Kilometres'!Q237*'CAR Stock'!Q287</f>
        <v>0</v>
      </c>
      <c r="AX237" s="295">
        <f>'CAR Passenger Kilometres'!R237*'CAR Stock'!R287</f>
        <v>0</v>
      </c>
      <c r="AY237" s="295">
        <f>'CAR Passenger Kilometres'!S237*'CAR Stock'!S287</f>
        <v>0</v>
      </c>
      <c r="AZ237" s="295">
        <f>'CAR Passenger Kilometres'!T237*'CAR Stock'!T287</f>
        <v>0</v>
      </c>
      <c r="BA237" s="295">
        <f>'CAR Passenger Kilometres'!U237*'CAR Stock'!U287</f>
        <v>0</v>
      </c>
      <c r="BB237" s="295">
        <f>'CAR Passenger Kilometres'!V237*'CAR Stock'!V287</f>
        <v>0</v>
      </c>
      <c r="BC237" s="295">
        <f>'CAR Passenger Kilometres'!W237*'CAR Stock'!W287</f>
        <v>0</v>
      </c>
      <c r="BD237" s="295">
        <f>'CAR Passenger Kilometres'!X237*'CAR Stock'!X287</f>
        <v>0</v>
      </c>
      <c r="BE237" s="295">
        <f>'CAR Passenger Kilometres'!Y237*'CAR Stock'!Y287</f>
        <v>0</v>
      </c>
      <c r="BF237" s="295">
        <f>'CAR Passenger Kilometres'!Z237*'CAR Stock'!Z287</f>
        <v>0</v>
      </c>
      <c r="BG237" s="295">
        <f>'CAR Passenger Kilometres'!AA237*'CAR Stock'!AA287</f>
        <v>0</v>
      </c>
      <c r="BH237" s="295">
        <f>'CAR Passenger Kilometres'!AB237*'CAR Stock'!AB287</f>
        <v>0</v>
      </c>
      <c r="BI237" s="295">
        <f>'CAR Passenger Kilometres'!AC237*'CAR Stock'!AC287</f>
        <v>0</v>
      </c>
      <c r="BJ237" s="295">
        <f>'CAR Passenger Kilometres'!AD237*'CAR Stock'!AD287</f>
        <v>0</v>
      </c>
      <c r="BK237" s="296">
        <f>'CAR Passenger Kilometres'!AE237*'CAR Stock'!AE287</f>
        <v>0</v>
      </c>
    </row>
    <row r="238" spans="1:63">
      <c r="A238" s="1711"/>
      <c r="B238" s="116">
        <v>3</v>
      </c>
      <c r="C238" s="294">
        <f>'CAR Mileage'!C259*CAR!$I$58</f>
        <v>20191.903545555091</v>
      </c>
      <c r="D238" s="295">
        <f>'CAR Mileage'!D259*CAR!$I$58</f>
        <v>20191.903545555091</v>
      </c>
      <c r="E238" s="295">
        <f>'CAR Mileage'!E259*CAR!$I$58</f>
        <v>20191.903545555091</v>
      </c>
      <c r="F238" s="295">
        <f>'CAR Mileage'!F259*CAR!$I$58</f>
        <v>20191.903545555091</v>
      </c>
      <c r="G238" s="295">
        <f>'CAR Mileage'!G259*CAR!$I$58</f>
        <v>20191.903545555091</v>
      </c>
      <c r="H238" s="295">
        <f>'CAR Mileage'!H259*CAR!$I$58</f>
        <v>20191.903545555091</v>
      </c>
      <c r="I238" s="295">
        <f>'CAR Mileage'!I259*CAR!$I$58</f>
        <v>20191.903545555091</v>
      </c>
      <c r="J238" s="295">
        <f>'CAR Mileage'!J259*CAR!$I$58</f>
        <v>20191.903545555091</v>
      </c>
      <c r="K238" s="295">
        <f>'CAR Mileage'!K259*CAR!$I$58</f>
        <v>20191.903545555091</v>
      </c>
      <c r="L238" s="295">
        <f>'CAR Mileage'!L259*CAR!$I$58</f>
        <v>20191.903545555091</v>
      </c>
      <c r="M238" s="295">
        <f>'CAR Mileage'!M259*CAR!$I$58</f>
        <v>20191.903545555091</v>
      </c>
      <c r="N238" s="295">
        <f>'CAR Mileage'!N259*CAR!$I$58</f>
        <v>20191.903545555091</v>
      </c>
      <c r="O238" s="295">
        <f>'CAR Mileage'!O259*CAR!$I$58</f>
        <v>20191.903545555091</v>
      </c>
      <c r="P238" s="295">
        <f>'CAR Mileage'!P259*CAR!$I$58</f>
        <v>20191.903545555091</v>
      </c>
      <c r="Q238" s="295">
        <f>'CAR Mileage'!Q259*CAR!$I$58</f>
        <v>20191.903545555091</v>
      </c>
      <c r="R238" s="295">
        <f>'CAR Mileage'!R259*CAR!$I$58</f>
        <v>20191.903545555091</v>
      </c>
      <c r="S238" s="295">
        <f>'CAR Mileage'!S259*CAR!$I$58</f>
        <v>20191.903545555091</v>
      </c>
      <c r="T238" s="295">
        <f>'CAR Mileage'!T259*CAR!$I$58</f>
        <v>20191.903545555091</v>
      </c>
      <c r="U238" s="295">
        <f>'CAR Mileage'!U259*CAR!$I$58</f>
        <v>20191.903545555091</v>
      </c>
      <c r="V238" s="295">
        <f>'CAR Mileage'!V259*CAR!$I$58</f>
        <v>20191.903545555091</v>
      </c>
      <c r="W238" s="295">
        <f>'CAR Mileage'!W259*CAR!$I$58</f>
        <v>20191.903545555091</v>
      </c>
      <c r="X238" s="295">
        <f>'CAR Mileage'!X259*CAR!$I$58</f>
        <v>20191.903545555091</v>
      </c>
      <c r="Y238" s="295">
        <f>'CAR Mileage'!Y259*CAR!$I$58</f>
        <v>20191.903545555091</v>
      </c>
      <c r="Z238" s="295">
        <f>'CAR Mileage'!Z259*CAR!$I$58</f>
        <v>20191.903545555091</v>
      </c>
      <c r="AA238" s="295">
        <f>'CAR Mileage'!AA259*CAR!$I$58</f>
        <v>20191.903545555091</v>
      </c>
      <c r="AB238" s="295">
        <f>'CAR Mileage'!AB259*CAR!$I$58</f>
        <v>20191.903545555091</v>
      </c>
      <c r="AC238" s="295">
        <f>'CAR Mileage'!AC259*CAR!$I$58</f>
        <v>20191.903545555091</v>
      </c>
      <c r="AD238" s="295">
        <f>'CAR Mileage'!AD259*CAR!$I$58</f>
        <v>20191.903545555091</v>
      </c>
      <c r="AE238" s="296">
        <f>'CAR Mileage'!AE259*CAR!$I$58</f>
        <v>20191.903545555091</v>
      </c>
      <c r="AG238" s="1711"/>
      <c r="AH238" s="116">
        <v>3</v>
      </c>
      <c r="AI238" s="294">
        <f>'CAR Passenger Kilometres'!C238*'CAR Stock'!C288</f>
        <v>0</v>
      </c>
      <c r="AJ238" s="295">
        <f>'CAR Passenger Kilometres'!D238*'CAR Stock'!D288</f>
        <v>0</v>
      </c>
      <c r="AK238" s="295">
        <f>'CAR Passenger Kilometres'!E238*'CAR Stock'!E288</f>
        <v>0</v>
      </c>
      <c r="AL238" s="295">
        <f>'CAR Passenger Kilometres'!F238*'CAR Stock'!F288</f>
        <v>0</v>
      </c>
      <c r="AM238" s="295">
        <f>'CAR Passenger Kilometres'!G238*'CAR Stock'!G288</f>
        <v>0</v>
      </c>
      <c r="AN238" s="295">
        <f>'CAR Passenger Kilometres'!H238*'CAR Stock'!H288</f>
        <v>0</v>
      </c>
      <c r="AO238" s="295">
        <f>'CAR Passenger Kilometres'!I238*'CAR Stock'!I288</f>
        <v>0</v>
      </c>
      <c r="AP238" s="295">
        <f>'CAR Passenger Kilometres'!J238*'CAR Stock'!J288</f>
        <v>0</v>
      </c>
      <c r="AQ238" s="295">
        <f>'CAR Passenger Kilometres'!K238*'CAR Stock'!K288</f>
        <v>0</v>
      </c>
      <c r="AR238" s="295">
        <f>'CAR Passenger Kilometres'!L238*'CAR Stock'!L288</f>
        <v>0</v>
      </c>
      <c r="AS238" s="295">
        <f>'CAR Passenger Kilometres'!M238*'CAR Stock'!M288</f>
        <v>0</v>
      </c>
      <c r="AT238" s="295">
        <f>'CAR Passenger Kilometres'!N238*'CAR Stock'!N288</f>
        <v>0</v>
      </c>
      <c r="AU238" s="295">
        <f>'CAR Passenger Kilometres'!O238*'CAR Stock'!O288</f>
        <v>0</v>
      </c>
      <c r="AV238" s="295">
        <f>'CAR Passenger Kilometres'!P238*'CAR Stock'!P288</f>
        <v>0</v>
      </c>
      <c r="AW238" s="295">
        <f>'CAR Passenger Kilometres'!Q238*'CAR Stock'!Q288</f>
        <v>0</v>
      </c>
      <c r="AX238" s="295">
        <f>'CAR Passenger Kilometres'!R238*'CAR Stock'!R288</f>
        <v>0</v>
      </c>
      <c r="AY238" s="295">
        <f>'CAR Passenger Kilometres'!S238*'CAR Stock'!S288</f>
        <v>0</v>
      </c>
      <c r="AZ238" s="295">
        <f>'CAR Passenger Kilometres'!T238*'CAR Stock'!T288</f>
        <v>0</v>
      </c>
      <c r="BA238" s="295">
        <f>'CAR Passenger Kilometres'!U238*'CAR Stock'!U288</f>
        <v>0</v>
      </c>
      <c r="BB238" s="295">
        <f>'CAR Passenger Kilometres'!V238*'CAR Stock'!V288</f>
        <v>0</v>
      </c>
      <c r="BC238" s="295">
        <f>'CAR Passenger Kilometres'!W238*'CAR Stock'!W288</f>
        <v>0</v>
      </c>
      <c r="BD238" s="295">
        <f>'CAR Passenger Kilometres'!X238*'CAR Stock'!X288</f>
        <v>0</v>
      </c>
      <c r="BE238" s="295">
        <f>'CAR Passenger Kilometres'!Y238*'CAR Stock'!Y288</f>
        <v>0</v>
      </c>
      <c r="BF238" s="295">
        <f>'CAR Passenger Kilometres'!Z238*'CAR Stock'!Z288</f>
        <v>0</v>
      </c>
      <c r="BG238" s="295">
        <f>'CAR Passenger Kilometres'!AA238*'CAR Stock'!AA288</f>
        <v>0</v>
      </c>
      <c r="BH238" s="295">
        <f>'CAR Passenger Kilometres'!AB238*'CAR Stock'!AB288</f>
        <v>0</v>
      </c>
      <c r="BI238" s="295">
        <f>'CAR Passenger Kilometres'!AC238*'CAR Stock'!AC288</f>
        <v>0</v>
      </c>
      <c r="BJ238" s="295">
        <f>'CAR Passenger Kilometres'!AD238*'CAR Stock'!AD288</f>
        <v>0</v>
      </c>
      <c r="BK238" s="296">
        <f>'CAR Passenger Kilometres'!AE238*'CAR Stock'!AE288</f>
        <v>0</v>
      </c>
    </row>
    <row r="239" spans="1:63">
      <c r="A239" s="1711"/>
      <c r="B239" s="116">
        <v>4</v>
      </c>
      <c r="C239" s="294">
        <f>'CAR Mileage'!C260*CAR!$I$58</f>
        <v>19788.06547464399</v>
      </c>
      <c r="D239" s="295">
        <f>'CAR Mileage'!D260*CAR!$I$58</f>
        <v>19788.06547464399</v>
      </c>
      <c r="E239" s="295">
        <f>'CAR Mileage'!E260*CAR!$I$58</f>
        <v>19788.06547464399</v>
      </c>
      <c r="F239" s="295">
        <f>'CAR Mileage'!F260*CAR!$I$58</f>
        <v>19788.06547464399</v>
      </c>
      <c r="G239" s="295">
        <f>'CAR Mileage'!G260*CAR!$I$58</f>
        <v>19788.06547464399</v>
      </c>
      <c r="H239" s="295">
        <f>'CAR Mileage'!H260*CAR!$I$58</f>
        <v>19788.06547464399</v>
      </c>
      <c r="I239" s="295">
        <f>'CAR Mileage'!I260*CAR!$I$58</f>
        <v>19788.06547464399</v>
      </c>
      <c r="J239" s="295">
        <f>'CAR Mileage'!J260*CAR!$I$58</f>
        <v>19788.06547464399</v>
      </c>
      <c r="K239" s="295">
        <f>'CAR Mileage'!K260*CAR!$I$58</f>
        <v>19788.06547464399</v>
      </c>
      <c r="L239" s="295">
        <f>'CAR Mileage'!L260*CAR!$I$58</f>
        <v>19788.06547464399</v>
      </c>
      <c r="M239" s="295">
        <f>'CAR Mileage'!M260*CAR!$I$58</f>
        <v>19788.06547464399</v>
      </c>
      <c r="N239" s="295">
        <f>'CAR Mileage'!N260*CAR!$I$58</f>
        <v>19788.06547464399</v>
      </c>
      <c r="O239" s="295">
        <f>'CAR Mileage'!O260*CAR!$I$58</f>
        <v>19788.06547464399</v>
      </c>
      <c r="P239" s="295">
        <f>'CAR Mileage'!P260*CAR!$I$58</f>
        <v>19788.06547464399</v>
      </c>
      <c r="Q239" s="295">
        <f>'CAR Mileage'!Q260*CAR!$I$58</f>
        <v>19788.06547464399</v>
      </c>
      <c r="R239" s="295">
        <f>'CAR Mileage'!R260*CAR!$I$58</f>
        <v>19788.06547464399</v>
      </c>
      <c r="S239" s="295">
        <f>'CAR Mileage'!S260*CAR!$I$58</f>
        <v>19788.06547464399</v>
      </c>
      <c r="T239" s="295">
        <f>'CAR Mileage'!T260*CAR!$I$58</f>
        <v>19788.06547464399</v>
      </c>
      <c r="U239" s="295">
        <f>'CAR Mileage'!U260*CAR!$I$58</f>
        <v>19788.06547464399</v>
      </c>
      <c r="V239" s="295">
        <f>'CAR Mileage'!V260*CAR!$I$58</f>
        <v>19788.06547464399</v>
      </c>
      <c r="W239" s="295">
        <f>'CAR Mileage'!W260*CAR!$I$58</f>
        <v>19788.06547464399</v>
      </c>
      <c r="X239" s="295">
        <f>'CAR Mileage'!X260*CAR!$I$58</f>
        <v>19788.06547464399</v>
      </c>
      <c r="Y239" s="295">
        <f>'CAR Mileage'!Y260*CAR!$I$58</f>
        <v>19788.06547464399</v>
      </c>
      <c r="Z239" s="295">
        <f>'CAR Mileage'!Z260*CAR!$I$58</f>
        <v>19788.06547464399</v>
      </c>
      <c r="AA239" s="295">
        <f>'CAR Mileage'!AA260*CAR!$I$58</f>
        <v>19788.06547464399</v>
      </c>
      <c r="AB239" s="295">
        <f>'CAR Mileage'!AB260*CAR!$I$58</f>
        <v>19788.06547464399</v>
      </c>
      <c r="AC239" s="295">
        <f>'CAR Mileage'!AC260*CAR!$I$58</f>
        <v>19788.06547464399</v>
      </c>
      <c r="AD239" s="295">
        <f>'CAR Mileage'!AD260*CAR!$I$58</f>
        <v>19788.06547464399</v>
      </c>
      <c r="AE239" s="296">
        <f>'CAR Mileage'!AE260*CAR!$I$58</f>
        <v>19788.06547464399</v>
      </c>
      <c r="AG239" s="1711"/>
      <c r="AH239" s="116">
        <v>4</v>
      </c>
      <c r="AI239" s="294">
        <f>'CAR Passenger Kilometres'!C239*'CAR Stock'!C289</f>
        <v>0</v>
      </c>
      <c r="AJ239" s="295">
        <f>'CAR Passenger Kilometres'!D239*'CAR Stock'!D289</f>
        <v>0</v>
      </c>
      <c r="AK239" s="295">
        <f>'CAR Passenger Kilometres'!E239*'CAR Stock'!E289</f>
        <v>0</v>
      </c>
      <c r="AL239" s="295">
        <f>'CAR Passenger Kilometres'!F239*'CAR Stock'!F289</f>
        <v>0</v>
      </c>
      <c r="AM239" s="295">
        <f>'CAR Passenger Kilometres'!G239*'CAR Stock'!G289</f>
        <v>0</v>
      </c>
      <c r="AN239" s="295">
        <f>'CAR Passenger Kilometres'!H239*'CAR Stock'!H289</f>
        <v>0</v>
      </c>
      <c r="AO239" s="295">
        <f>'CAR Passenger Kilometres'!I239*'CAR Stock'!I289</f>
        <v>0</v>
      </c>
      <c r="AP239" s="295">
        <f>'CAR Passenger Kilometres'!J239*'CAR Stock'!J289</f>
        <v>0</v>
      </c>
      <c r="AQ239" s="295">
        <f>'CAR Passenger Kilometres'!K239*'CAR Stock'!K289</f>
        <v>0</v>
      </c>
      <c r="AR239" s="295">
        <f>'CAR Passenger Kilometres'!L239*'CAR Stock'!L289</f>
        <v>0</v>
      </c>
      <c r="AS239" s="295">
        <f>'CAR Passenger Kilometres'!M239*'CAR Stock'!M289</f>
        <v>0</v>
      </c>
      <c r="AT239" s="295">
        <f>'CAR Passenger Kilometres'!N239*'CAR Stock'!N289</f>
        <v>0</v>
      </c>
      <c r="AU239" s="295">
        <f>'CAR Passenger Kilometres'!O239*'CAR Stock'!O289</f>
        <v>0</v>
      </c>
      <c r="AV239" s="295">
        <f>'CAR Passenger Kilometres'!P239*'CAR Stock'!P289</f>
        <v>0</v>
      </c>
      <c r="AW239" s="295">
        <f>'CAR Passenger Kilometres'!Q239*'CAR Stock'!Q289</f>
        <v>0</v>
      </c>
      <c r="AX239" s="295">
        <f>'CAR Passenger Kilometres'!R239*'CAR Stock'!R289</f>
        <v>0</v>
      </c>
      <c r="AY239" s="295">
        <f>'CAR Passenger Kilometres'!S239*'CAR Stock'!S289</f>
        <v>0</v>
      </c>
      <c r="AZ239" s="295">
        <f>'CAR Passenger Kilometres'!T239*'CAR Stock'!T289</f>
        <v>0</v>
      </c>
      <c r="BA239" s="295">
        <f>'CAR Passenger Kilometres'!U239*'CAR Stock'!U289</f>
        <v>0</v>
      </c>
      <c r="BB239" s="295">
        <f>'CAR Passenger Kilometres'!V239*'CAR Stock'!V289</f>
        <v>0</v>
      </c>
      <c r="BC239" s="295">
        <f>'CAR Passenger Kilometres'!W239*'CAR Stock'!W289</f>
        <v>0</v>
      </c>
      <c r="BD239" s="295">
        <f>'CAR Passenger Kilometres'!X239*'CAR Stock'!X289</f>
        <v>0</v>
      </c>
      <c r="BE239" s="295">
        <f>'CAR Passenger Kilometres'!Y239*'CAR Stock'!Y289</f>
        <v>0</v>
      </c>
      <c r="BF239" s="295">
        <f>'CAR Passenger Kilometres'!Z239*'CAR Stock'!Z289</f>
        <v>0</v>
      </c>
      <c r="BG239" s="295">
        <f>'CAR Passenger Kilometres'!AA239*'CAR Stock'!AA289</f>
        <v>0</v>
      </c>
      <c r="BH239" s="295">
        <f>'CAR Passenger Kilometres'!AB239*'CAR Stock'!AB289</f>
        <v>0</v>
      </c>
      <c r="BI239" s="295">
        <f>'CAR Passenger Kilometres'!AC239*'CAR Stock'!AC289</f>
        <v>0</v>
      </c>
      <c r="BJ239" s="295">
        <f>'CAR Passenger Kilometres'!AD239*'CAR Stock'!AD289</f>
        <v>0</v>
      </c>
      <c r="BK239" s="296">
        <f>'CAR Passenger Kilometres'!AE239*'CAR Stock'!AE289</f>
        <v>0</v>
      </c>
    </row>
    <row r="240" spans="1:63">
      <c r="A240" s="1711"/>
      <c r="B240" s="116">
        <v>5</v>
      </c>
      <c r="C240" s="294">
        <f>'CAR Mileage'!C261*CAR!$I$58</f>
        <v>19392.304165151108</v>
      </c>
      <c r="D240" s="295">
        <f>'CAR Mileage'!D261*CAR!$I$58</f>
        <v>19392.304165151108</v>
      </c>
      <c r="E240" s="295">
        <f>'CAR Mileage'!E261*CAR!$I$58</f>
        <v>19392.304165151108</v>
      </c>
      <c r="F240" s="295">
        <f>'CAR Mileage'!F261*CAR!$I$58</f>
        <v>19392.304165151108</v>
      </c>
      <c r="G240" s="295">
        <f>'CAR Mileage'!G261*CAR!$I$58</f>
        <v>19392.304165151108</v>
      </c>
      <c r="H240" s="295">
        <f>'CAR Mileage'!H261*CAR!$I$58</f>
        <v>19392.304165151108</v>
      </c>
      <c r="I240" s="295">
        <f>'CAR Mileage'!I261*CAR!$I$58</f>
        <v>19392.304165151108</v>
      </c>
      <c r="J240" s="295">
        <f>'CAR Mileage'!J261*CAR!$I$58</f>
        <v>19392.304165151108</v>
      </c>
      <c r="K240" s="295">
        <f>'CAR Mileage'!K261*CAR!$I$58</f>
        <v>19392.304165151108</v>
      </c>
      <c r="L240" s="295">
        <f>'CAR Mileage'!L261*CAR!$I$58</f>
        <v>19392.304165151108</v>
      </c>
      <c r="M240" s="295">
        <f>'CAR Mileage'!M261*CAR!$I$58</f>
        <v>19392.304165151108</v>
      </c>
      <c r="N240" s="295">
        <f>'CAR Mileage'!N261*CAR!$I$58</f>
        <v>19392.304165151108</v>
      </c>
      <c r="O240" s="295">
        <f>'CAR Mileage'!O261*CAR!$I$58</f>
        <v>19392.304165151108</v>
      </c>
      <c r="P240" s="295">
        <f>'CAR Mileage'!P261*CAR!$I$58</f>
        <v>19392.304165151108</v>
      </c>
      <c r="Q240" s="295">
        <f>'CAR Mileage'!Q261*CAR!$I$58</f>
        <v>19392.304165151108</v>
      </c>
      <c r="R240" s="295">
        <f>'CAR Mileage'!R261*CAR!$I$58</f>
        <v>19392.304165151108</v>
      </c>
      <c r="S240" s="295">
        <f>'CAR Mileage'!S261*CAR!$I$58</f>
        <v>19392.304165151108</v>
      </c>
      <c r="T240" s="295">
        <f>'CAR Mileage'!T261*CAR!$I$58</f>
        <v>19392.304165151108</v>
      </c>
      <c r="U240" s="295">
        <f>'CAR Mileage'!U261*CAR!$I$58</f>
        <v>19392.304165151108</v>
      </c>
      <c r="V240" s="295">
        <f>'CAR Mileage'!V261*CAR!$I$58</f>
        <v>19392.304165151108</v>
      </c>
      <c r="W240" s="295">
        <f>'CAR Mileage'!W261*CAR!$I$58</f>
        <v>19392.304165151108</v>
      </c>
      <c r="X240" s="295">
        <f>'CAR Mileage'!X261*CAR!$I$58</f>
        <v>19392.304165151108</v>
      </c>
      <c r="Y240" s="295">
        <f>'CAR Mileage'!Y261*CAR!$I$58</f>
        <v>19392.304165151108</v>
      </c>
      <c r="Z240" s="295">
        <f>'CAR Mileage'!Z261*CAR!$I$58</f>
        <v>19392.304165151108</v>
      </c>
      <c r="AA240" s="295">
        <f>'CAR Mileage'!AA261*CAR!$I$58</f>
        <v>19392.304165151108</v>
      </c>
      <c r="AB240" s="295">
        <f>'CAR Mileage'!AB261*CAR!$I$58</f>
        <v>19392.304165151108</v>
      </c>
      <c r="AC240" s="295">
        <f>'CAR Mileage'!AC261*CAR!$I$58</f>
        <v>19392.304165151108</v>
      </c>
      <c r="AD240" s="295">
        <f>'CAR Mileage'!AD261*CAR!$I$58</f>
        <v>19392.304165151108</v>
      </c>
      <c r="AE240" s="296">
        <f>'CAR Mileage'!AE261*CAR!$I$58</f>
        <v>19392.304165151108</v>
      </c>
      <c r="AG240" s="1711"/>
      <c r="AH240" s="116">
        <v>5</v>
      </c>
      <c r="AI240" s="294">
        <f>'CAR Passenger Kilometres'!C240*'CAR Stock'!C290</f>
        <v>0</v>
      </c>
      <c r="AJ240" s="295">
        <f>'CAR Passenger Kilometres'!D240*'CAR Stock'!D290</f>
        <v>0</v>
      </c>
      <c r="AK240" s="295">
        <f>'CAR Passenger Kilometres'!E240*'CAR Stock'!E290</f>
        <v>0</v>
      </c>
      <c r="AL240" s="295">
        <f>'CAR Passenger Kilometres'!F240*'CAR Stock'!F290</f>
        <v>0</v>
      </c>
      <c r="AM240" s="295">
        <f>'CAR Passenger Kilometres'!G240*'CAR Stock'!G290</f>
        <v>0</v>
      </c>
      <c r="AN240" s="295">
        <f>'CAR Passenger Kilometres'!H240*'CAR Stock'!H290</f>
        <v>0</v>
      </c>
      <c r="AO240" s="295">
        <f>'CAR Passenger Kilometres'!I240*'CAR Stock'!I290</f>
        <v>0</v>
      </c>
      <c r="AP240" s="295">
        <f>'CAR Passenger Kilometres'!J240*'CAR Stock'!J290</f>
        <v>0</v>
      </c>
      <c r="AQ240" s="295">
        <f>'CAR Passenger Kilometres'!K240*'CAR Stock'!K290</f>
        <v>0</v>
      </c>
      <c r="AR240" s="295">
        <f>'CAR Passenger Kilometres'!L240*'CAR Stock'!L290</f>
        <v>0</v>
      </c>
      <c r="AS240" s="295">
        <f>'CAR Passenger Kilometres'!M240*'CAR Stock'!M290</f>
        <v>0</v>
      </c>
      <c r="AT240" s="295">
        <f>'CAR Passenger Kilometres'!N240*'CAR Stock'!N290</f>
        <v>0</v>
      </c>
      <c r="AU240" s="295">
        <f>'CAR Passenger Kilometres'!O240*'CAR Stock'!O290</f>
        <v>0</v>
      </c>
      <c r="AV240" s="295">
        <f>'CAR Passenger Kilometres'!P240*'CAR Stock'!P290</f>
        <v>0</v>
      </c>
      <c r="AW240" s="295">
        <f>'CAR Passenger Kilometres'!Q240*'CAR Stock'!Q290</f>
        <v>0</v>
      </c>
      <c r="AX240" s="295">
        <f>'CAR Passenger Kilometres'!R240*'CAR Stock'!R290</f>
        <v>0</v>
      </c>
      <c r="AY240" s="295">
        <f>'CAR Passenger Kilometres'!S240*'CAR Stock'!S290</f>
        <v>0</v>
      </c>
      <c r="AZ240" s="295">
        <f>'CAR Passenger Kilometres'!T240*'CAR Stock'!T290</f>
        <v>0</v>
      </c>
      <c r="BA240" s="295">
        <f>'CAR Passenger Kilometres'!U240*'CAR Stock'!U290</f>
        <v>0</v>
      </c>
      <c r="BB240" s="295">
        <f>'CAR Passenger Kilometres'!V240*'CAR Stock'!V290</f>
        <v>0</v>
      </c>
      <c r="BC240" s="295">
        <f>'CAR Passenger Kilometres'!W240*'CAR Stock'!W290</f>
        <v>0</v>
      </c>
      <c r="BD240" s="295">
        <f>'CAR Passenger Kilometres'!X240*'CAR Stock'!X290</f>
        <v>0</v>
      </c>
      <c r="BE240" s="295">
        <f>'CAR Passenger Kilometres'!Y240*'CAR Stock'!Y290</f>
        <v>0</v>
      </c>
      <c r="BF240" s="295">
        <f>'CAR Passenger Kilometres'!Z240*'CAR Stock'!Z290</f>
        <v>0</v>
      </c>
      <c r="BG240" s="295">
        <f>'CAR Passenger Kilometres'!AA240*'CAR Stock'!AA290</f>
        <v>0</v>
      </c>
      <c r="BH240" s="295">
        <f>'CAR Passenger Kilometres'!AB240*'CAR Stock'!AB290</f>
        <v>0</v>
      </c>
      <c r="BI240" s="295">
        <f>'CAR Passenger Kilometres'!AC240*'CAR Stock'!AC290</f>
        <v>0</v>
      </c>
      <c r="BJ240" s="295">
        <f>'CAR Passenger Kilometres'!AD240*'CAR Stock'!AD290</f>
        <v>0</v>
      </c>
      <c r="BK240" s="296">
        <f>'CAR Passenger Kilometres'!AE240*'CAR Stock'!AE290</f>
        <v>0</v>
      </c>
    </row>
    <row r="241" spans="1:63">
      <c r="A241" s="1711"/>
      <c r="B241" s="116">
        <v>6</v>
      </c>
      <c r="C241" s="294">
        <f>'CAR Mileage'!C262*CAR!$I$58</f>
        <v>19004.458081848086</v>
      </c>
      <c r="D241" s="295">
        <f>'CAR Mileage'!D262*CAR!$I$58</f>
        <v>19004.458081848086</v>
      </c>
      <c r="E241" s="295">
        <f>'CAR Mileage'!E262*CAR!$I$58</f>
        <v>19004.458081848086</v>
      </c>
      <c r="F241" s="295">
        <f>'CAR Mileage'!F262*CAR!$I$58</f>
        <v>19004.458081848086</v>
      </c>
      <c r="G241" s="295">
        <f>'CAR Mileage'!G262*CAR!$I$58</f>
        <v>19004.458081848086</v>
      </c>
      <c r="H241" s="295">
        <f>'CAR Mileage'!H262*CAR!$I$58</f>
        <v>19004.458081848086</v>
      </c>
      <c r="I241" s="295">
        <f>'CAR Mileage'!I262*CAR!$I$58</f>
        <v>19004.458081848086</v>
      </c>
      <c r="J241" s="295">
        <f>'CAR Mileage'!J262*CAR!$I$58</f>
        <v>19004.458081848086</v>
      </c>
      <c r="K241" s="295">
        <f>'CAR Mileage'!K262*CAR!$I$58</f>
        <v>19004.458081848086</v>
      </c>
      <c r="L241" s="295">
        <f>'CAR Mileage'!L262*CAR!$I$58</f>
        <v>19004.458081848086</v>
      </c>
      <c r="M241" s="295">
        <f>'CAR Mileage'!M262*CAR!$I$58</f>
        <v>19004.458081848086</v>
      </c>
      <c r="N241" s="295">
        <f>'CAR Mileage'!N262*CAR!$I$58</f>
        <v>19004.458081848086</v>
      </c>
      <c r="O241" s="295">
        <f>'CAR Mileage'!O262*CAR!$I$58</f>
        <v>19004.458081848086</v>
      </c>
      <c r="P241" s="295">
        <f>'CAR Mileage'!P262*CAR!$I$58</f>
        <v>19004.458081848086</v>
      </c>
      <c r="Q241" s="295">
        <f>'CAR Mileage'!Q262*CAR!$I$58</f>
        <v>19004.458081848086</v>
      </c>
      <c r="R241" s="295">
        <f>'CAR Mileage'!R262*CAR!$I$58</f>
        <v>19004.458081848086</v>
      </c>
      <c r="S241" s="295">
        <f>'CAR Mileage'!S262*CAR!$I$58</f>
        <v>19004.458081848086</v>
      </c>
      <c r="T241" s="295">
        <f>'CAR Mileage'!T262*CAR!$I$58</f>
        <v>19004.458081848086</v>
      </c>
      <c r="U241" s="295">
        <f>'CAR Mileage'!U262*CAR!$I$58</f>
        <v>19004.458081848086</v>
      </c>
      <c r="V241" s="295">
        <f>'CAR Mileage'!V262*CAR!$I$58</f>
        <v>19004.458081848086</v>
      </c>
      <c r="W241" s="295">
        <f>'CAR Mileage'!W262*CAR!$I$58</f>
        <v>19004.458081848086</v>
      </c>
      <c r="X241" s="295">
        <f>'CAR Mileage'!X262*CAR!$I$58</f>
        <v>19004.458081848086</v>
      </c>
      <c r="Y241" s="295">
        <f>'CAR Mileage'!Y262*CAR!$I$58</f>
        <v>19004.458081848086</v>
      </c>
      <c r="Z241" s="295">
        <f>'CAR Mileage'!Z262*CAR!$I$58</f>
        <v>19004.458081848086</v>
      </c>
      <c r="AA241" s="295">
        <f>'CAR Mileage'!AA262*CAR!$I$58</f>
        <v>19004.458081848086</v>
      </c>
      <c r="AB241" s="295">
        <f>'CAR Mileage'!AB262*CAR!$I$58</f>
        <v>19004.458081848086</v>
      </c>
      <c r="AC241" s="295">
        <f>'CAR Mileage'!AC262*CAR!$I$58</f>
        <v>19004.458081848086</v>
      </c>
      <c r="AD241" s="295">
        <f>'CAR Mileage'!AD262*CAR!$I$58</f>
        <v>19004.458081848086</v>
      </c>
      <c r="AE241" s="296">
        <f>'CAR Mileage'!AE262*CAR!$I$58</f>
        <v>19004.458081848086</v>
      </c>
      <c r="AG241" s="1711"/>
      <c r="AH241" s="116">
        <v>6</v>
      </c>
      <c r="AI241" s="294">
        <f>'CAR Passenger Kilometres'!C241*'CAR Stock'!C291</f>
        <v>0</v>
      </c>
      <c r="AJ241" s="295">
        <f>'CAR Passenger Kilometres'!D241*'CAR Stock'!D291</f>
        <v>0</v>
      </c>
      <c r="AK241" s="295">
        <f>'CAR Passenger Kilometres'!E241*'CAR Stock'!E291</f>
        <v>0</v>
      </c>
      <c r="AL241" s="295">
        <f>'CAR Passenger Kilometres'!F241*'CAR Stock'!F291</f>
        <v>0</v>
      </c>
      <c r="AM241" s="295">
        <f>'CAR Passenger Kilometres'!G241*'CAR Stock'!G291</f>
        <v>0</v>
      </c>
      <c r="AN241" s="295">
        <f>'CAR Passenger Kilometres'!H241*'CAR Stock'!H291</f>
        <v>0</v>
      </c>
      <c r="AO241" s="295">
        <f>'CAR Passenger Kilometres'!I241*'CAR Stock'!I291</f>
        <v>0</v>
      </c>
      <c r="AP241" s="295">
        <f>'CAR Passenger Kilometres'!J241*'CAR Stock'!J291</f>
        <v>0</v>
      </c>
      <c r="AQ241" s="295">
        <f>'CAR Passenger Kilometres'!K241*'CAR Stock'!K291</f>
        <v>0</v>
      </c>
      <c r="AR241" s="295">
        <f>'CAR Passenger Kilometres'!L241*'CAR Stock'!L291</f>
        <v>0</v>
      </c>
      <c r="AS241" s="295">
        <f>'CAR Passenger Kilometres'!M241*'CAR Stock'!M291</f>
        <v>0</v>
      </c>
      <c r="AT241" s="295">
        <f>'CAR Passenger Kilometres'!N241*'CAR Stock'!N291</f>
        <v>0</v>
      </c>
      <c r="AU241" s="295">
        <f>'CAR Passenger Kilometres'!O241*'CAR Stock'!O291</f>
        <v>0</v>
      </c>
      <c r="AV241" s="295">
        <f>'CAR Passenger Kilometres'!P241*'CAR Stock'!P291</f>
        <v>0</v>
      </c>
      <c r="AW241" s="295">
        <f>'CAR Passenger Kilometres'!Q241*'CAR Stock'!Q291</f>
        <v>0</v>
      </c>
      <c r="AX241" s="295">
        <f>'CAR Passenger Kilometres'!R241*'CAR Stock'!R291</f>
        <v>0</v>
      </c>
      <c r="AY241" s="295">
        <f>'CAR Passenger Kilometres'!S241*'CAR Stock'!S291</f>
        <v>0</v>
      </c>
      <c r="AZ241" s="295">
        <f>'CAR Passenger Kilometres'!T241*'CAR Stock'!T291</f>
        <v>0</v>
      </c>
      <c r="BA241" s="295">
        <f>'CAR Passenger Kilometres'!U241*'CAR Stock'!U291</f>
        <v>0</v>
      </c>
      <c r="BB241" s="295">
        <f>'CAR Passenger Kilometres'!V241*'CAR Stock'!V291</f>
        <v>0</v>
      </c>
      <c r="BC241" s="295">
        <f>'CAR Passenger Kilometres'!W241*'CAR Stock'!W291</f>
        <v>0</v>
      </c>
      <c r="BD241" s="295">
        <f>'CAR Passenger Kilometres'!X241*'CAR Stock'!X291</f>
        <v>0</v>
      </c>
      <c r="BE241" s="295">
        <f>'CAR Passenger Kilometres'!Y241*'CAR Stock'!Y291</f>
        <v>0</v>
      </c>
      <c r="BF241" s="295">
        <f>'CAR Passenger Kilometres'!Z241*'CAR Stock'!Z291</f>
        <v>0</v>
      </c>
      <c r="BG241" s="295">
        <f>'CAR Passenger Kilometres'!AA241*'CAR Stock'!AA291</f>
        <v>0</v>
      </c>
      <c r="BH241" s="295">
        <f>'CAR Passenger Kilometres'!AB241*'CAR Stock'!AB291</f>
        <v>0</v>
      </c>
      <c r="BI241" s="295">
        <f>'CAR Passenger Kilometres'!AC241*'CAR Stock'!AC291</f>
        <v>0</v>
      </c>
      <c r="BJ241" s="295">
        <f>'CAR Passenger Kilometres'!AD241*'CAR Stock'!AD291</f>
        <v>0</v>
      </c>
      <c r="BK241" s="296">
        <f>'CAR Passenger Kilometres'!AE241*'CAR Stock'!AE291</f>
        <v>0</v>
      </c>
    </row>
    <row r="242" spans="1:63">
      <c r="A242" s="1711"/>
      <c r="B242" s="116">
        <v>7</v>
      </c>
      <c r="C242" s="294">
        <f>'CAR Mileage'!C263*CAR!$I$58</f>
        <v>18624.368920211124</v>
      </c>
      <c r="D242" s="295">
        <f>'CAR Mileage'!D263*CAR!$I$58</f>
        <v>18624.368920211124</v>
      </c>
      <c r="E242" s="295">
        <f>'CAR Mileage'!E263*CAR!$I$58</f>
        <v>18624.368920211124</v>
      </c>
      <c r="F242" s="295">
        <f>'CAR Mileage'!F263*CAR!$I$58</f>
        <v>18624.368920211124</v>
      </c>
      <c r="G242" s="295">
        <f>'CAR Mileage'!G263*CAR!$I$58</f>
        <v>18624.368920211124</v>
      </c>
      <c r="H242" s="295">
        <f>'CAR Mileage'!H263*CAR!$I$58</f>
        <v>18624.368920211124</v>
      </c>
      <c r="I242" s="295">
        <f>'CAR Mileage'!I263*CAR!$I$58</f>
        <v>18624.368920211124</v>
      </c>
      <c r="J242" s="295">
        <f>'CAR Mileage'!J263*CAR!$I$58</f>
        <v>18624.368920211124</v>
      </c>
      <c r="K242" s="295">
        <f>'CAR Mileage'!K263*CAR!$I$58</f>
        <v>18624.368920211124</v>
      </c>
      <c r="L242" s="295">
        <f>'CAR Mileage'!L263*CAR!$I$58</f>
        <v>18624.368920211124</v>
      </c>
      <c r="M242" s="295">
        <f>'CAR Mileage'!M263*CAR!$I$58</f>
        <v>18624.368920211124</v>
      </c>
      <c r="N242" s="295">
        <f>'CAR Mileage'!N263*CAR!$I$58</f>
        <v>18624.368920211124</v>
      </c>
      <c r="O242" s="295">
        <f>'CAR Mileage'!O263*CAR!$I$58</f>
        <v>18624.368920211124</v>
      </c>
      <c r="P242" s="295">
        <f>'CAR Mileage'!P263*CAR!$I$58</f>
        <v>18624.368920211124</v>
      </c>
      <c r="Q242" s="295">
        <f>'CAR Mileage'!Q263*CAR!$I$58</f>
        <v>18624.368920211124</v>
      </c>
      <c r="R242" s="295">
        <f>'CAR Mileage'!R263*CAR!$I$58</f>
        <v>18624.368920211124</v>
      </c>
      <c r="S242" s="295">
        <f>'CAR Mileage'!S263*CAR!$I$58</f>
        <v>18624.368920211124</v>
      </c>
      <c r="T242" s="295">
        <f>'CAR Mileage'!T263*CAR!$I$58</f>
        <v>18624.368920211124</v>
      </c>
      <c r="U242" s="295">
        <f>'CAR Mileage'!U263*CAR!$I$58</f>
        <v>18624.368920211124</v>
      </c>
      <c r="V242" s="295">
        <f>'CAR Mileage'!V263*CAR!$I$58</f>
        <v>18624.368920211124</v>
      </c>
      <c r="W242" s="295">
        <f>'CAR Mileage'!W263*CAR!$I$58</f>
        <v>18624.368920211124</v>
      </c>
      <c r="X242" s="295">
        <f>'CAR Mileage'!X263*CAR!$I$58</f>
        <v>18624.368920211124</v>
      </c>
      <c r="Y242" s="295">
        <f>'CAR Mileage'!Y263*CAR!$I$58</f>
        <v>18624.368920211124</v>
      </c>
      <c r="Z242" s="295">
        <f>'CAR Mileage'!Z263*CAR!$I$58</f>
        <v>18624.368920211124</v>
      </c>
      <c r="AA242" s="295">
        <f>'CAR Mileage'!AA263*CAR!$I$58</f>
        <v>18624.368920211124</v>
      </c>
      <c r="AB242" s="295">
        <f>'CAR Mileage'!AB263*CAR!$I$58</f>
        <v>18624.368920211124</v>
      </c>
      <c r="AC242" s="295">
        <f>'CAR Mileage'!AC263*CAR!$I$58</f>
        <v>18624.368920211124</v>
      </c>
      <c r="AD242" s="295">
        <f>'CAR Mileage'!AD263*CAR!$I$58</f>
        <v>18624.368920211124</v>
      </c>
      <c r="AE242" s="296">
        <f>'CAR Mileage'!AE263*CAR!$I$58</f>
        <v>18624.368920211124</v>
      </c>
      <c r="AG242" s="1711"/>
      <c r="AH242" s="116">
        <v>7</v>
      </c>
      <c r="AI242" s="294">
        <f>'CAR Passenger Kilometres'!C242*'CAR Stock'!C292</f>
        <v>0</v>
      </c>
      <c r="AJ242" s="295">
        <f>'CAR Passenger Kilometres'!D242*'CAR Stock'!D292</f>
        <v>0</v>
      </c>
      <c r="AK242" s="295">
        <f>'CAR Passenger Kilometres'!E242*'CAR Stock'!E292</f>
        <v>0</v>
      </c>
      <c r="AL242" s="295">
        <f>'CAR Passenger Kilometres'!F242*'CAR Stock'!F292</f>
        <v>0</v>
      </c>
      <c r="AM242" s="295">
        <f>'CAR Passenger Kilometres'!G242*'CAR Stock'!G292</f>
        <v>0</v>
      </c>
      <c r="AN242" s="295">
        <f>'CAR Passenger Kilometres'!H242*'CAR Stock'!H292</f>
        <v>0</v>
      </c>
      <c r="AO242" s="295">
        <f>'CAR Passenger Kilometres'!I242*'CAR Stock'!I292</f>
        <v>0</v>
      </c>
      <c r="AP242" s="295">
        <f>'CAR Passenger Kilometres'!J242*'CAR Stock'!J292</f>
        <v>0</v>
      </c>
      <c r="AQ242" s="295">
        <f>'CAR Passenger Kilometres'!K242*'CAR Stock'!K292</f>
        <v>0</v>
      </c>
      <c r="AR242" s="295">
        <f>'CAR Passenger Kilometres'!L242*'CAR Stock'!L292</f>
        <v>0</v>
      </c>
      <c r="AS242" s="295">
        <f>'CAR Passenger Kilometres'!M242*'CAR Stock'!M292</f>
        <v>0</v>
      </c>
      <c r="AT242" s="295">
        <f>'CAR Passenger Kilometres'!N242*'CAR Stock'!N292</f>
        <v>0</v>
      </c>
      <c r="AU242" s="295">
        <f>'CAR Passenger Kilometres'!O242*'CAR Stock'!O292</f>
        <v>0</v>
      </c>
      <c r="AV242" s="295">
        <f>'CAR Passenger Kilometres'!P242*'CAR Stock'!P292</f>
        <v>0</v>
      </c>
      <c r="AW242" s="295">
        <f>'CAR Passenger Kilometres'!Q242*'CAR Stock'!Q292</f>
        <v>0</v>
      </c>
      <c r="AX242" s="295">
        <f>'CAR Passenger Kilometres'!R242*'CAR Stock'!R292</f>
        <v>0</v>
      </c>
      <c r="AY242" s="295">
        <f>'CAR Passenger Kilometres'!S242*'CAR Stock'!S292</f>
        <v>0</v>
      </c>
      <c r="AZ242" s="295">
        <f>'CAR Passenger Kilometres'!T242*'CAR Stock'!T292</f>
        <v>0</v>
      </c>
      <c r="BA242" s="295">
        <f>'CAR Passenger Kilometres'!U242*'CAR Stock'!U292</f>
        <v>0</v>
      </c>
      <c r="BB242" s="295">
        <f>'CAR Passenger Kilometres'!V242*'CAR Stock'!V292</f>
        <v>0</v>
      </c>
      <c r="BC242" s="295">
        <f>'CAR Passenger Kilometres'!W242*'CAR Stock'!W292</f>
        <v>0</v>
      </c>
      <c r="BD242" s="295">
        <f>'CAR Passenger Kilometres'!X242*'CAR Stock'!X292</f>
        <v>0</v>
      </c>
      <c r="BE242" s="295">
        <f>'CAR Passenger Kilometres'!Y242*'CAR Stock'!Y292</f>
        <v>0</v>
      </c>
      <c r="BF242" s="295">
        <f>'CAR Passenger Kilometres'!Z242*'CAR Stock'!Z292</f>
        <v>0</v>
      </c>
      <c r="BG242" s="295">
        <f>'CAR Passenger Kilometres'!AA242*'CAR Stock'!AA292</f>
        <v>0</v>
      </c>
      <c r="BH242" s="295">
        <f>'CAR Passenger Kilometres'!AB242*'CAR Stock'!AB292</f>
        <v>0</v>
      </c>
      <c r="BI242" s="295">
        <f>'CAR Passenger Kilometres'!AC242*'CAR Stock'!AC292</f>
        <v>0</v>
      </c>
      <c r="BJ242" s="295">
        <f>'CAR Passenger Kilometres'!AD242*'CAR Stock'!AD292</f>
        <v>0</v>
      </c>
      <c r="BK242" s="296">
        <f>'CAR Passenger Kilometres'!AE242*'CAR Stock'!AE292</f>
        <v>0</v>
      </c>
    </row>
    <row r="243" spans="1:63">
      <c r="A243" s="1711"/>
      <c r="B243" s="116">
        <v>8</v>
      </c>
      <c r="C243" s="294">
        <f>'CAR Mileage'!C264*CAR!$I$58</f>
        <v>18251.881541806903</v>
      </c>
      <c r="D243" s="295">
        <f>'CAR Mileage'!D264*CAR!$I$58</f>
        <v>18251.881541806903</v>
      </c>
      <c r="E243" s="295">
        <f>'CAR Mileage'!E264*CAR!$I$58</f>
        <v>18251.881541806903</v>
      </c>
      <c r="F243" s="295">
        <f>'CAR Mileage'!F264*CAR!$I$58</f>
        <v>18251.881541806903</v>
      </c>
      <c r="G243" s="295">
        <f>'CAR Mileage'!G264*CAR!$I$58</f>
        <v>18251.881541806903</v>
      </c>
      <c r="H243" s="295">
        <f>'CAR Mileage'!H264*CAR!$I$58</f>
        <v>18251.881541806903</v>
      </c>
      <c r="I243" s="295">
        <f>'CAR Mileage'!I264*CAR!$I$58</f>
        <v>18251.881541806903</v>
      </c>
      <c r="J243" s="295">
        <f>'CAR Mileage'!J264*CAR!$I$58</f>
        <v>18251.881541806903</v>
      </c>
      <c r="K243" s="295">
        <f>'CAR Mileage'!K264*CAR!$I$58</f>
        <v>18251.881541806903</v>
      </c>
      <c r="L243" s="295">
        <f>'CAR Mileage'!L264*CAR!$I$58</f>
        <v>18251.881541806903</v>
      </c>
      <c r="M243" s="295">
        <f>'CAR Mileage'!M264*CAR!$I$58</f>
        <v>18251.881541806903</v>
      </c>
      <c r="N243" s="295">
        <f>'CAR Mileage'!N264*CAR!$I$58</f>
        <v>18251.881541806903</v>
      </c>
      <c r="O243" s="295">
        <f>'CAR Mileage'!O264*CAR!$I$58</f>
        <v>18251.881541806903</v>
      </c>
      <c r="P243" s="295">
        <f>'CAR Mileage'!P264*CAR!$I$58</f>
        <v>18251.881541806903</v>
      </c>
      <c r="Q243" s="295">
        <f>'CAR Mileage'!Q264*CAR!$I$58</f>
        <v>18251.881541806903</v>
      </c>
      <c r="R243" s="295">
        <f>'CAR Mileage'!R264*CAR!$I$58</f>
        <v>18251.881541806903</v>
      </c>
      <c r="S243" s="295">
        <f>'CAR Mileage'!S264*CAR!$I$58</f>
        <v>18251.881541806903</v>
      </c>
      <c r="T243" s="295">
        <f>'CAR Mileage'!T264*CAR!$I$58</f>
        <v>18251.881541806903</v>
      </c>
      <c r="U243" s="295">
        <f>'CAR Mileage'!U264*CAR!$I$58</f>
        <v>18251.881541806903</v>
      </c>
      <c r="V243" s="295">
        <f>'CAR Mileage'!V264*CAR!$I$58</f>
        <v>18251.881541806903</v>
      </c>
      <c r="W243" s="295">
        <f>'CAR Mileage'!W264*CAR!$I$58</f>
        <v>18251.881541806903</v>
      </c>
      <c r="X243" s="295">
        <f>'CAR Mileage'!X264*CAR!$I$58</f>
        <v>18251.881541806903</v>
      </c>
      <c r="Y243" s="295">
        <f>'CAR Mileage'!Y264*CAR!$I$58</f>
        <v>18251.881541806903</v>
      </c>
      <c r="Z243" s="295">
        <f>'CAR Mileage'!Z264*CAR!$I$58</f>
        <v>18251.881541806903</v>
      </c>
      <c r="AA243" s="295">
        <f>'CAR Mileage'!AA264*CAR!$I$58</f>
        <v>18251.881541806903</v>
      </c>
      <c r="AB243" s="295">
        <f>'CAR Mileage'!AB264*CAR!$I$58</f>
        <v>18251.881541806903</v>
      </c>
      <c r="AC243" s="295">
        <f>'CAR Mileage'!AC264*CAR!$I$58</f>
        <v>18251.881541806903</v>
      </c>
      <c r="AD243" s="295">
        <f>'CAR Mileage'!AD264*CAR!$I$58</f>
        <v>18251.881541806903</v>
      </c>
      <c r="AE243" s="296">
        <f>'CAR Mileage'!AE264*CAR!$I$58</f>
        <v>18251.881541806903</v>
      </c>
      <c r="AG243" s="1711"/>
      <c r="AH243" s="116">
        <v>8</v>
      </c>
      <c r="AI243" s="294">
        <f>'CAR Passenger Kilometres'!C243*'CAR Stock'!C293</f>
        <v>0</v>
      </c>
      <c r="AJ243" s="295">
        <f>'CAR Passenger Kilometres'!D243*'CAR Stock'!D293</f>
        <v>0</v>
      </c>
      <c r="AK243" s="295">
        <f>'CAR Passenger Kilometres'!E243*'CAR Stock'!E293</f>
        <v>0</v>
      </c>
      <c r="AL243" s="295">
        <f>'CAR Passenger Kilometres'!F243*'CAR Stock'!F293</f>
        <v>0</v>
      </c>
      <c r="AM243" s="295">
        <f>'CAR Passenger Kilometres'!G243*'CAR Stock'!G293</f>
        <v>0</v>
      </c>
      <c r="AN243" s="295">
        <f>'CAR Passenger Kilometres'!H243*'CAR Stock'!H293</f>
        <v>0</v>
      </c>
      <c r="AO243" s="295">
        <f>'CAR Passenger Kilometres'!I243*'CAR Stock'!I293</f>
        <v>0</v>
      </c>
      <c r="AP243" s="295">
        <f>'CAR Passenger Kilometres'!J243*'CAR Stock'!J293</f>
        <v>0</v>
      </c>
      <c r="AQ243" s="295">
        <f>'CAR Passenger Kilometres'!K243*'CAR Stock'!K293</f>
        <v>0</v>
      </c>
      <c r="AR243" s="295">
        <f>'CAR Passenger Kilometres'!L243*'CAR Stock'!L293</f>
        <v>0</v>
      </c>
      <c r="AS243" s="295">
        <f>'CAR Passenger Kilometres'!M243*'CAR Stock'!M293</f>
        <v>0</v>
      </c>
      <c r="AT243" s="295">
        <f>'CAR Passenger Kilometres'!N243*'CAR Stock'!N293</f>
        <v>0</v>
      </c>
      <c r="AU243" s="295">
        <f>'CAR Passenger Kilometres'!O243*'CAR Stock'!O293</f>
        <v>0</v>
      </c>
      <c r="AV243" s="295">
        <f>'CAR Passenger Kilometres'!P243*'CAR Stock'!P293</f>
        <v>0</v>
      </c>
      <c r="AW243" s="295">
        <f>'CAR Passenger Kilometres'!Q243*'CAR Stock'!Q293</f>
        <v>0</v>
      </c>
      <c r="AX243" s="295">
        <f>'CAR Passenger Kilometres'!R243*'CAR Stock'!R293</f>
        <v>0</v>
      </c>
      <c r="AY243" s="295">
        <f>'CAR Passenger Kilometres'!S243*'CAR Stock'!S293</f>
        <v>0</v>
      </c>
      <c r="AZ243" s="295">
        <f>'CAR Passenger Kilometres'!T243*'CAR Stock'!T293</f>
        <v>0</v>
      </c>
      <c r="BA243" s="295">
        <f>'CAR Passenger Kilometres'!U243*'CAR Stock'!U293</f>
        <v>0</v>
      </c>
      <c r="BB243" s="295">
        <f>'CAR Passenger Kilometres'!V243*'CAR Stock'!V293</f>
        <v>0</v>
      </c>
      <c r="BC243" s="295">
        <f>'CAR Passenger Kilometres'!W243*'CAR Stock'!W293</f>
        <v>0</v>
      </c>
      <c r="BD243" s="295">
        <f>'CAR Passenger Kilometres'!X243*'CAR Stock'!X293</f>
        <v>0</v>
      </c>
      <c r="BE243" s="295">
        <f>'CAR Passenger Kilometres'!Y243*'CAR Stock'!Y293</f>
        <v>0</v>
      </c>
      <c r="BF243" s="295">
        <f>'CAR Passenger Kilometres'!Z243*'CAR Stock'!Z293</f>
        <v>0</v>
      </c>
      <c r="BG243" s="295">
        <f>'CAR Passenger Kilometres'!AA243*'CAR Stock'!AA293</f>
        <v>0</v>
      </c>
      <c r="BH243" s="295">
        <f>'CAR Passenger Kilometres'!AB243*'CAR Stock'!AB293</f>
        <v>0</v>
      </c>
      <c r="BI243" s="295">
        <f>'CAR Passenger Kilometres'!AC243*'CAR Stock'!AC293</f>
        <v>0</v>
      </c>
      <c r="BJ243" s="295">
        <f>'CAR Passenger Kilometres'!AD243*'CAR Stock'!AD293</f>
        <v>0</v>
      </c>
      <c r="BK243" s="296">
        <f>'CAR Passenger Kilometres'!AE243*'CAR Stock'!AE293</f>
        <v>0</v>
      </c>
    </row>
    <row r="244" spans="1:63">
      <c r="A244" s="1711"/>
      <c r="B244" s="116">
        <v>9</v>
      </c>
      <c r="C244" s="294">
        <f>'CAR Mileage'!C265*CAR!$I$58</f>
        <v>17886.843910970765</v>
      </c>
      <c r="D244" s="295">
        <f>'CAR Mileage'!D265*CAR!$I$58</f>
        <v>17886.843910970765</v>
      </c>
      <c r="E244" s="295">
        <f>'CAR Mileage'!E265*CAR!$I$58</f>
        <v>17886.843910970765</v>
      </c>
      <c r="F244" s="295">
        <f>'CAR Mileage'!F265*CAR!$I$58</f>
        <v>17886.843910970765</v>
      </c>
      <c r="G244" s="295">
        <f>'CAR Mileage'!G265*CAR!$I$58</f>
        <v>17886.843910970765</v>
      </c>
      <c r="H244" s="295">
        <f>'CAR Mileage'!H265*CAR!$I$58</f>
        <v>17886.843910970765</v>
      </c>
      <c r="I244" s="295">
        <f>'CAR Mileage'!I265*CAR!$I$58</f>
        <v>17886.843910970765</v>
      </c>
      <c r="J244" s="295">
        <f>'CAR Mileage'!J265*CAR!$I$58</f>
        <v>17886.843910970765</v>
      </c>
      <c r="K244" s="295">
        <f>'CAR Mileage'!K265*CAR!$I$58</f>
        <v>17886.843910970765</v>
      </c>
      <c r="L244" s="295">
        <f>'CAR Mileage'!L265*CAR!$I$58</f>
        <v>17886.843910970765</v>
      </c>
      <c r="M244" s="295">
        <f>'CAR Mileage'!M265*CAR!$I$58</f>
        <v>17886.843910970765</v>
      </c>
      <c r="N244" s="295">
        <f>'CAR Mileage'!N265*CAR!$I$58</f>
        <v>17886.843910970765</v>
      </c>
      <c r="O244" s="295">
        <f>'CAR Mileage'!O265*CAR!$I$58</f>
        <v>17886.843910970765</v>
      </c>
      <c r="P244" s="295">
        <f>'CAR Mileage'!P265*CAR!$I$58</f>
        <v>17886.843910970765</v>
      </c>
      <c r="Q244" s="295">
        <f>'CAR Mileage'!Q265*CAR!$I$58</f>
        <v>17886.843910970765</v>
      </c>
      <c r="R244" s="295">
        <f>'CAR Mileage'!R265*CAR!$I$58</f>
        <v>17886.843910970765</v>
      </c>
      <c r="S244" s="295">
        <f>'CAR Mileage'!S265*CAR!$I$58</f>
        <v>17886.843910970765</v>
      </c>
      <c r="T244" s="295">
        <f>'CAR Mileage'!T265*CAR!$I$58</f>
        <v>17886.843910970765</v>
      </c>
      <c r="U244" s="295">
        <f>'CAR Mileage'!U265*CAR!$I$58</f>
        <v>17886.843910970765</v>
      </c>
      <c r="V244" s="295">
        <f>'CAR Mileage'!V265*CAR!$I$58</f>
        <v>17886.843910970765</v>
      </c>
      <c r="W244" s="295">
        <f>'CAR Mileage'!W265*CAR!$I$58</f>
        <v>17886.843910970765</v>
      </c>
      <c r="X244" s="295">
        <f>'CAR Mileage'!X265*CAR!$I$58</f>
        <v>17886.843910970765</v>
      </c>
      <c r="Y244" s="295">
        <f>'CAR Mileage'!Y265*CAR!$I$58</f>
        <v>17886.843910970765</v>
      </c>
      <c r="Z244" s="295">
        <f>'CAR Mileage'!Z265*CAR!$I$58</f>
        <v>17886.843910970765</v>
      </c>
      <c r="AA244" s="295">
        <f>'CAR Mileage'!AA265*CAR!$I$58</f>
        <v>17886.843910970765</v>
      </c>
      <c r="AB244" s="295">
        <f>'CAR Mileage'!AB265*CAR!$I$58</f>
        <v>17886.843910970765</v>
      </c>
      <c r="AC244" s="295">
        <f>'CAR Mileage'!AC265*CAR!$I$58</f>
        <v>17886.843910970765</v>
      </c>
      <c r="AD244" s="295">
        <f>'CAR Mileage'!AD265*CAR!$I$58</f>
        <v>17886.843910970765</v>
      </c>
      <c r="AE244" s="296">
        <f>'CAR Mileage'!AE265*CAR!$I$58</f>
        <v>17886.843910970765</v>
      </c>
      <c r="AG244" s="1711"/>
      <c r="AH244" s="116">
        <v>9</v>
      </c>
      <c r="AI244" s="294">
        <f>'CAR Passenger Kilometres'!C244*'CAR Stock'!C294</f>
        <v>0</v>
      </c>
      <c r="AJ244" s="295">
        <f>'CAR Passenger Kilometres'!D244*'CAR Stock'!D294</f>
        <v>0</v>
      </c>
      <c r="AK244" s="295">
        <f>'CAR Passenger Kilometres'!E244*'CAR Stock'!E294</f>
        <v>0</v>
      </c>
      <c r="AL244" s="295">
        <f>'CAR Passenger Kilometres'!F244*'CAR Stock'!F294</f>
        <v>0</v>
      </c>
      <c r="AM244" s="295">
        <f>'CAR Passenger Kilometres'!G244*'CAR Stock'!G294</f>
        <v>0</v>
      </c>
      <c r="AN244" s="295">
        <f>'CAR Passenger Kilometres'!H244*'CAR Stock'!H294</f>
        <v>0</v>
      </c>
      <c r="AO244" s="295">
        <f>'CAR Passenger Kilometres'!I244*'CAR Stock'!I294</f>
        <v>0</v>
      </c>
      <c r="AP244" s="295">
        <f>'CAR Passenger Kilometres'!J244*'CAR Stock'!J294</f>
        <v>0</v>
      </c>
      <c r="AQ244" s="295">
        <f>'CAR Passenger Kilometres'!K244*'CAR Stock'!K294</f>
        <v>0</v>
      </c>
      <c r="AR244" s="295">
        <f>'CAR Passenger Kilometres'!L244*'CAR Stock'!L294</f>
        <v>0</v>
      </c>
      <c r="AS244" s="295">
        <f>'CAR Passenger Kilometres'!M244*'CAR Stock'!M294</f>
        <v>0</v>
      </c>
      <c r="AT244" s="295">
        <f>'CAR Passenger Kilometres'!N244*'CAR Stock'!N294</f>
        <v>0</v>
      </c>
      <c r="AU244" s="295">
        <f>'CAR Passenger Kilometres'!O244*'CAR Stock'!O294</f>
        <v>0</v>
      </c>
      <c r="AV244" s="295">
        <f>'CAR Passenger Kilometres'!P244*'CAR Stock'!P294</f>
        <v>0</v>
      </c>
      <c r="AW244" s="295">
        <f>'CAR Passenger Kilometres'!Q244*'CAR Stock'!Q294</f>
        <v>0</v>
      </c>
      <c r="AX244" s="295">
        <f>'CAR Passenger Kilometres'!R244*'CAR Stock'!R294</f>
        <v>0</v>
      </c>
      <c r="AY244" s="295">
        <f>'CAR Passenger Kilometres'!S244*'CAR Stock'!S294</f>
        <v>0</v>
      </c>
      <c r="AZ244" s="295">
        <f>'CAR Passenger Kilometres'!T244*'CAR Stock'!T294</f>
        <v>0</v>
      </c>
      <c r="BA244" s="295">
        <f>'CAR Passenger Kilometres'!U244*'CAR Stock'!U294</f>
        <v>0</v>
      </c>
      <c r="BB244" s="295">
        <f>'CAR Passenger Kilometres'!V244*'CAR Stock'!V294</f>
        <v>0</v>
      </c>
      <c r="BC244" s="295">
        <f>'CAR Passenger Kilometres'!W244*'CAR Stock'!W294</f>
        <v>0</v>
      </c>
      <c r="BD244" s="295">
        <f>'CAR Passenger Kilometres'!X244*'CAR Stock'!X294</f>
        <v>0</v>
      </c>
      <c r="BE244" s="295">
        <f>'CAR Passenger Kilometres'!Y244*'CAR Stock'!Y294</f>
        <v>0</v>
      </c>
      <c r="BF244" s="295">
        <f>'CAR Passenger Kilometres'!Z244*'CAR Stock'!Z294</f>
        <v>0</v>
      </c>
      <c r="BG244" s="295">
        <f>'CAR Passenger Kilometres'!AA244*'CAR Stock'!AA294</f>
        <v>0</v>
      </c>
      <c r="BH244" s="295">
        <f>'CAR Passenger Kilometres'!AB244*'CAR Stock'!AB294</f>
        <v>0</v>
      </c>
      <c r="BI244" s="295">
        <f>'CAR Passenger Kilometres'!AC244*'CAR Stock'!AC294</f>
        <v>0</v>
      </c>
      <c r="BJ244" s="295">
        <f>'CAR Passenger Kilometres'!AD244*'CAR Stock'!AD294</f>
        <v>0</v>
      </c>
      <c r="BK244" s="296">
        <f>'CAR Passenger Kilometres'!AE244*'CAR Stock'!AE294</f>
        <v>0</v>
      </c>
    </row>
    <row r="245" spans="1:63">
      <c r="A245" s="1711"/>
      <c r="B245" s="116">
        <v>10</v>
      </c>
      <c r="C245" s="294">
        <f>'CAR Mileage'!C266*CAR!$I$58</f>
        <v>17529.107032751348</v>
      </c>
      <c r="D245" s="295">
        <f>'CAR Mileage'!D266*CAR!$I$58</f>
        <v>17529.107032751348</v>
      </c>
      <c r="E245" s="295">
        <f>'CAR Mileage'!E266*CAR!$I$58</f>
        <v>17529.107032751348</v>
      </c>
      <c r="F245" s="295">
        <f>'CAR Mileage'!F266*CAR!$I$58</f>
        <v>17529.107032751348</v>
      </c>
      <c r="G245" s="295">
        <f>'CAR Mileage'!G266*CAR!$I$58</f>
        <v>17529.107032751348</v>
      </c>
      <c r="H245" s="295">
        <f>'CAR Mileage'!H266*CAR!$I$58</f>
        <v>17529.107032751348</v>
      </c>
      <c r="I245" s="295">
        <f>'CAR Mileage'!I266*CAR!$I$58</f>
        <v>17529.107032751348</v>
      </c>
      <c r="J245" s="295">
        <f>'CAR Mileage'!J266*CAR!$I$58</f>
        <v>17529.107032751348</v>
      </c>
      <c r="K245" s="295">
        <f>'CAR Mileage'!K266*CAR!$I$58</f>
        <v>17529.107032751348</v>
      </c>
      <c r="L245" s="295">
        <f>'CAR Mileage'!L266*CAR!$I$58</f>
        <v>17529.107032751348</v>
      </c>
      <c r="M245" s="295">
        <f>'CAR Mileage'!M266*CAR!$I$58</f>
        <v>17529.107032751348</v>
      </c>
      <c r="N245" s="295">
        <f>'CAR Mileage'!N266*CAR!$I$58</f>
        <v>17529.107032751348</v>
      </c>
      <c r="O245" s="295">
        <f>'CAR Mileage'!O266*CAR!$I$58</f>
        <v>17529.107032751348</v>
      </c>
      <c r="P245" s="295">
        <f>'CAR Mileage'!P266*CAR!$I$58</f>
        <v>17529.107032751348</v>
      </c>
      <c r="Q245" s="295">
        <f>'CAR Mileage'!Q266*CAR!$I$58</f>
        <v>17529.107032751348</v>
      </c>
      <c r="R245" s="295">
        <f>'CAR Mileage'!R266*CAR!$I$58</f>
        <v>17529.107032751348</v>
      </c>
      <c r="S245" s="295">
        <f>'CAR Mileage'!S266*CAR!$I$58</f>
        <v>17529.107032751348</v>
      </c>
      <c r="T245" s="295">
        <f>'CAR Mileage'!T266*CAR!$I$58</f>
        <v>17529.107032751348</v>
      </c>
      <c r="U245" s="295">
        <f>'CAR Mileage'!U266*CAR!$I$58</f>
        <v>17529.107032751348</v>
      </c>
      <c r="V245" s="295">
        <f>'CAR Mileage'!V266*CAR!$I$58</f>
        <v>17529.107032751348</v>
      </c>
      <c r="W245" s="295">
        <f>'CAR Mileage'!W266*CAR!$I$58</f>
        <v>17529.107032751348</v>
      </c>
      <c r="X245" s="295">
        <f>'CAR Mileage'!X266*CAR!$I$58</f>
        <v>17529.107032751348</v>
      </c>
      <c r="Y245" s="295">
        <f>'CAR Mileage'!Y266*CAR!$I$58</f>
        <v>17529.107032751348</v>
      </c>
      <c r="Z245" s="295">
        <f>'CAR Mileage'!Z266*CAR!$I$58</f>
        <v>17529.107032751348</v>
      </c>
      <c r="AA245" s="295">
        <f>'CAR Mileage'!AA266*CAR!$I$58</f>
        <v>17529.107032751348</v>
      </c>
      <c r="AB245" s="295">
        <f>'CAR Mileage'!AB266*CAR!$I$58</f>
        <v>17529.107032751348</v>
      </c>
      <c r="AC245" s="295">
        <f>'CAR Mileage'!AC266*CAR!$I$58</f>
        <v>17529.107032751348</v>
      </c>
      <c r="AD245" s="295">
        <f>'CAR Mileage'!AD266*CAR!$I$58</f>
        <v>17529.107032751348</v>
      </c>
      <c r="AE245" s="296">
        <f>'CAR Mileage'!AE266*CAR!$I$58</f>
        <v>17529.107032751348</v>
      </c>
      <c r="AG245" s="1711"/>
      <c r="AH245" s="116">
        <v>10</v>
      </c>
      <c r="AI245" s="294">
        <f>'CAR Passenger Kilometres'!C245*'CAR Stock'!C295</f>
        <v>0</v>
      </c>
      <c r="AJ245" s="295">
        <f>'CAR Passenger Kilometres'!D245*'CAR Stock'!D295</f>
        <v>0</v>
      </c>
      <c r="AK245" s="295">
        <f>'CAR Passenger Kilometres'!E245*'CAR Stock'!E295</f>
        <v>0</v>
      </c>
      <c r="AL245" s="295">
        <f>'CAR Passenger Kilometres'!F245*'CAR Stock'!F295</f>
        <v>0</v>
      </c>
      <c r="AM245" s="295">
        <f>'CAR Passenger Kilometres'!G245*'CAR Stock'!G295</f>
        <v>0</v>
      </c>
      <c r="AN245" s="295">
        <f>'CAR Passenger Kilometres'!H245*'CAR Stock'!H295</f>
        <v>0</v>
      </c>
      <c r="AO245" s="295">
        <f>'CAR Passenger Kilometres'!I245*'CAR Stock'!I295</f>
        <v>0</v>
      </c>
      <c r="AP245" s="295">
        <f>'CAR Passenger Kilometres'!J245*'CAR Stock'!J295</f>
        <v>0</v>
      </c>
      <c r="AQ245" s="295">
        <f>'CAR Passenger Kilometres'!K245*'CAR Stock'!K295</f>
        <v>0</v>
      </c>
      <c r="AR245" s="295">
        <f>'CAR Passenger Kilometres'!L245*'CAR Stock'!L295</f>
        <v>0</v>
      </c>
      <c r="AS245" s="295">
        <f>'CAR Passenger Kilometres'!M245*'CAR Stock'!M295</f>
        <v>0</v>
      </c>
      <c r="AT245" s="295">
        <f>'CAR Passenger Kilometres'!N245*'CAR Stock'!N295</f>
        <v>0</v>
      </c>
      <c r="AU245" s="295">
        <f>'CAR Passenger Kilometres'!O245*'CAR Stock'!O295</f>
        <v>0</v>
      </c>
      <c r="AV245" s="295">
        <f>'CAR Passenger Kilometres'!P245*'CAR Stock'!P295</f>
        <v>0</v>
      </c>
      <c r="AW245" s="295">
        <f>'CAR Passenger Kilometres'!Q245*'CAR Stock'!Q295</f>
        <v>0</v>
      </c>
      <c r="AX245" s="295">
        <f>'CAR Passenger Kilometres'!R245*'CAR Stock'!R295</f>
        <v>0</v>
      </c>
      <c r="AY245" s="295">
        <f>'CAR Passenger Kilometres'!S245*'CAR Stock'!S295</f>
        <v>0</v>
      </c>
      <c r="AZ245" s="295">
        <f>'CAR Passenger Kilometres'!T245*'CAR Stock'!T295</f>
        <v>0</v>
      </c>
      <c r="BA245" s="295">
        <f>'CAR Passenger Kilometres'!U245*'CAR Stock'!U295</f>
        <v>0</v>
      </c>
      <c r="BB245" s="295">
        <f>'CAR Passenger Kilometres'!V245*'CAR Stock'!V295</f>
        <v>0</v>
      </c>
      <c r="BC245" s="295">
        <f>'CAR Passenger Kilometres'!W245*'CAR Stock'!W295</f>
        <v>0</v>
      </c>
      <c r="BD245" s="295">
        <f>'CAR Passenger Kilometres'!X245*'CAR Stock'!X295</f>
        <v>0</v>
      </c>
      <c r="BE245" s="295">
        <f>'CAR Passenger Kilometres'!Y245*'CAR Stock'!Y295</f>
        <v>0</v>
      </c>
      <c r="BF245" s="295">
        <f>'CAR Passenger Kilometres'!Z245*'CAR Stock'!Z295</f>
        <v>0</v>
      </c>
      <c r="BG245" s="295">
        <f>'CAR Passenger Kilometres'!AA245*'CAR Stock'!AA295</f>
        <v>0</v>
      </c>
      <c r="BH245" s="295">
        <f>'CAR Passenger Kilometres'!AB245*'CAR Stock'!AB295</f>
        <v>0</v>
      </c>
      <c r="BI245" s="295">
        <f>'CAR Passenger Kilometres'!AC245*'CAR Stock'!AC295</f>
        <v>0</v>
      </c>
      <c r="BJ245" s="295">
        <f>'CAR Passenger Kilometres'!AD245*'CAR Stock'!AD295</f>
        <v>0</v>
      </c>
      <c r="BK245" s="296">
        <f>'CAR Passenger Kilometres'!AE245*'CAR Stock'!AE295</f>
        <v>0</v>
      </c>
    </row>
    <row r="246" spans="1:63">
      <c r="A246" s="1711"/>
      <c r="B246" s="116">
        <v>11</v>
      </c>
      <c r="C246" s="294">
        <f>'CAR Mileage'!C267*CAR!$I$58</f>
        <v>17178.52489209632</v>
      </c>
      <c r="D246" s="295">
        <f>'CAR Mileage'!D267*CAR!$I$58</f>
        <v>17178.52489209632</v>
      </c>
      <c r="E246" s="295">
        <f>'CAR Mileage'!E267*CAR!$I$58</f>
        <v>17178.52489209632</v>
      </c>
      <c r="F246" s="295">
        <f>'CAR Mileage'!F267*CAR!$I$58</f>
        <v>17178.52489209632</v>
      </c>
      <c r="G246" s="295">
        <f>'CAR Mileage'!G267*CAR!$I$58</f>
        <v>17178.52489209632</v>
      </c>
      <c r="H246" s="295">
        <f>'CAR Mileage'!H267*CAR!$I$58</f>
        <v>17178.52489209632</v>
      </c>
      <c r="I246" s="295">
        <f>'CAR Mileage'!I267*CAR!$I$58</f>
        <v>17178.52489209632</v>
      </c>
      <c r="J246" s="295">
        <f>'CAR Mileage'!J267*CAR!$I$58</f>
        <v>17178.52489209632</v>
      </c>
      <c r="K246" s="295">
        <f>'CAR Mileage'!K267*CAR!$I$58</f>
        <v>17178.52489209632</v>
      </c>
      <c r="L246" s="295">
        <f>'CAR Mileage'!L267*CAR!$I$58</f>
        <v>17178.52489209632</v>
      </c>
      <c r="M246" s="295">
        <f>'CAR Mileage'!M267*CAR!$I$58</f>
        <v>17178.52489209632</v>
      </c>
      <c r="N246" s="295">
        <f>'CAR Mileage'!N267*CAR!$I$58</f>
        <v>17178.52489209632</v>
      </c>
      <c r="O246" s="295">
        <f>'CAR Mileage'!O267*CAR!$I$58</f>
        <v>17178.52489209632</v>
      </c>
      <c r="P246" s="295">
        <f>'CAR Mileage'!P267*CAR!$I$58</f>
        <v>17178.52489209632</v>
      </c>
      <c r="Q246" s="295">
        <f>'CAR Mileage'!Q267*CAR!$I$58</f>
        <v>17178.52489209632</v>
      </c>
      <c r="R246" s="295">
        <f>'CAR Mileage'!R267*CAR!$I$58</f>
        <v>17178.52489209632</v>
      </c>
      <c r="S246" s="295">
        <f>'CAR Mileage'!S267*CAR!$I$58</f>
        <v>17178.52489209632</v>
      </c>
      <c r="T246" s="295">
        <f>'CAR Mileage'!T267*CAR!$I$58</f>
        <v>17178.52489209632</v>
      </c>
      <c r="U246" s="295">
        <f>'CAR Mileage'!U267*CAR!$I$58</f>
        <v>17178.52489209632</v>
      </c>
      <c r="V246" s="295">
        <f>'CAR Mileage'!V267*CAR!$I$58</f>
        <v>17178.52489209632</v>
      </c>
      <c r="W246" s="295">
        <f>'CAR Mileage'!W267*CAR!$I$58</f>
        <v>17178.52489209632</v>
      </c>
      <c r="X246" s="295">
        <f>'CAR Mileage'!X267*CAR!$I$58</f>
        <v>17178.52489209632</v>
      </c>
      <c r="Y246" s="295">
        <f>'CAR Mileage'!Y267*CAR!$I$58</f>
        <v>17178.52489209632</v>
      </c>
      <c r="Z246" s="295">
        <f>'CAR Mileage'!Z267*CAR!$I$58</f>
        <v>17178.52489209632</v>
      </c>
      <c r="AA246" s="295">
        <f>'CAR Mileage'!AA267*CAR!$I$58</f>
        <v>17178.52489209632</v>
      </c>
      <c r="AB246" s="295">
        <f>'CAR Mileage'!AB267*CAR!$I$58</f>
        <v>17178.52489209632</v>
      </c>
      <c r="AC246" s="295">
        <f>'CAR Mileage'!AC267*CAR!$I$58</f>
        <v>17178.52489209632</v>
      </c>
      <c r="AD246" s="295">
        <f>'CAR Mileage'!AD267*CAR!$I$58</f>
        <v>17178.52489209632</v>
      </c>
      <c r="AE246" s="296">
        <f>'CAR Mileage'!AE267*CAR!$I$58</f>
        <v>17178.52489209632</v>
      </c>
      <c r="AG246" s="1711"/>
      <c r="AH246" s="116">
        <v>11</v>
      </c>
      <c r="AI246" s="294">
        <f>'CAR Passenger Kilometres'!C246*'CAR Stock'!C296</f>
        <v>0</v>
      </c>
      <c r="AJ246" s="295">
        <f>'CAR Passenger Kilometres'!D246*'CAR Stock'!D296</f>
        <v>0</v>
      </c>
      <c r="AK246" s="295">
        <f>'CAR Passenger Kilometres'!E246*'CAR Stock'!E296</f>
        <v>0</v>
      </c>
      <c r="AL246" s="295">
        <f>'CAR Passenger Kilometres'!F246*'CAR Stock'!F296</f>
        <v>0</v>
      </c>
      <c r="AM246" s="295">
        <f>'CAR Passenger Kilometres'!G246*'CAR Stock'!G296</f>
        <v>0</v>
      </c>
      <c r="AN246" s="295">
        <f>'CAR Passenger Kilometres'!H246*'CAR Stock'!H296</f>
        <v>0</v>
      </c>
      <c r="AO246" s="295">
        <f>'CAR Passenger Kilometres'!I246*'CAR Stock'!I296</f>
        <v>0</v>
      </c>
      <c r="AP246" s="295">
        <f>'CAR Passenger Kilometres'!J246*'CAR Stock'!J296</f>
        <v>0</v>
      </c>
      <c r="AQ246" s="295">
        <f>'CAR Passenger Kilometres'!K246*'CAR Stock'!K296</f>
        <v>0</v>
      </c>
      <c r="AR246" s="295">
        <f>'CAR Passenger Kilometres'!L246*'CAR Stock'!L296</f>
        <v>0</v>
      </c>
      <c r="AS246" s="295">
        <f>'CAR Passenger Kilometres'!M246*'CAR Stock'!M296</f>
        <v>0</v>
      </c>
      <c r="AT246" s="295">
        <f>'CAR Passenger Kilometres'!N246*'CAR Stock'!N296</f>
        <v>0</v>
      </c>
      <c r="AU246" s="295">
        <f>'CAR Passenger Kilometres'!O246*'CAR Stock'!O296</f>
        <v>0</v>
      </c>
      <c r="AV246" s="295">
        <f>'CAR Passenger Kilometres'!P246*'CAR Stock'!P296</f>
        <v>0</v>
      </c>
      <c r="AW246" s="295">
        <f>'CAR Passenger Kilometres'!Q246*'CAR Stock'!Q296</f>
        <v>0</v>
      </c>
      <c r="AX246" s="295">
        <f>'CAR Passenger Kilometres'!R246*'CAR Stock'!R296</f>
        <v>0</v>
      </c>
      <c r="AY246" s="295">
        <f>'CAR Passenger Kilometres'!S246*'CAR Stock'!S296</f>
        <v>0</v>
      </c>
      <c r="AZ246" s="295">
        <f>'CAR Passenger Kilometres'!T246*'CAR Stock'!T296</f>
        <v>0</v>
      </c>
      <c r="BA246" s="295">
        <f>'CAR Passenger Kilometres'!U246*'CAR Stock'!U296</f>
        <v>0</v>
      </c>
      <c r="BB246" s="295">
        <f>'CAR Passenger Kilometres'!V246*'CAR Stock'!V296</f>
        <v>0</v>
      </c>
      <c r="BC246" s="295">
        <f>'CAR Passenger Kilometres'!W246*'CAR Stock'!W296</f>
        <v>0</v>
      </c>
      <c r="BD246" s="295">
        <f>'CAR Passenger Kilometres'!X246*'CAR Stock'!X296</f>
        <v>0</v>
      </c>
      <c r="BE246" s="295">
        <f>'CAR Passenger Kilometres'!Y246*'CAR Stock'!Y296</f>
        <v>0</v>
      </c>
      <c r="BF246" s="295">
        <f>'CAR Passenger Kilometres'!Z246*'CAR Stock'!Z296</f>
        <v>0</v>
      </c>
      <c r="BG246" s="295">
        <f>'CAR Passenger Kilometres'!AA246*'CAR Stock'!AA296</f>
        <v>0</v>
      </c>
      <c r="BH246" s="295">
        <f>'CAR Passenger Kilometres'!AB246*'CAR Stock'!AB296</f>
        <v>0</v>
      </c>
      <c r="BI246" s="295">
        <f>'CAR Passenger Kilometres'!AC246*'CAR Stock'!AC296</f>
        <v>0</v>
      </c>
      <c r="BJ246" s="295">
        <f>'CAR Passenger Kilometres'!AD246*'CAR Stock'!AD296</f>
        <v>0</v>
      </c>
      <c r="BK246" s="296">
        <f>'CAR Passenger Kilometres'!AE246*'CAR Stock'!AE296</f>
        <v>0</v>
      </c>
    </row>
    <row r="247" spans="1:63">
      <c r="A247" s="1711"/>
      <c r="B247" s="116">
        <v>12</v>
      </c>
      <c r="C247" s="294">
        <f>'CAR Mileage'!C268*CAR!$I$58</f>
        <v>16834.954394254393</v>
      </c>
      <c r="D247" s="295">
        <f>'CAR Mileage'!D268*CAR!$I$58</f>
        <v>16834.954394254393</v>
      </c>
      <c r="E247" s="295">
        <f>'CAR Mileage'!E268*CAR!$I$58</f>
        <v>16834.954394254393</v>
      </c>
      <c r="F247" s="295">
        <f>'CAR Mileage'!F268*CAR!$I$58</f>
        <v>16834.954394254393</v>
      </c>
      <c r="G247" s="295">
        <f>'CAR Mileage'!G268*CAR!$I$58</f>
        <v>16834.954394254393</v>
      </c>
      <c r="H247" s="295">
        <f>'CAR Mileage'!H268*CAR!$I$58</f>
        <v>16834.954394254393</v>
      </c>
      <c r="I247" s="295">
        <f>'CAR Mileage'!I268*CAR!$I$58</f>
        <v>16834.954394254393</v>
      </c>
      <c r="J247" s="295">
        <f>'CAR Mileage'!J268*CAR!$I$58</f>
        <v>16834.954394254393</v>
      </c>
      <c r="K247" s="295">
        <f>'CAR Mileage'!K268*CAR!$I$58</f>
        <v>16834.954394254393</v>
      </c>
      <c r="L247" s="295">
        <f>'CAR Mileage'!L268*CAR!$I$58</f>
        <v>16834.954394254393</v>
      </c>
      <c r="M247" s="295">
        <f>'CAR Mileage'!M268*CAR!$I$58</f>
        <v>16834.954394254393</v>
      </c>
      <c r="N247" s="295">
        <f>'CAR Mileage'!N268*CAR!$I$58</f>
        <v>16834.954394254393</v>
      </c>
      <c r="O247" s="295">
        <f>'CAR Mileage'!O268*CAR!$I$58</f>
        <v>16834.954394254393</v>
      </c>
      <c r="P247" s="295">
        <f>'CAR Mileage'!P268*CAR!$I$58</f>
        <v>16834.954394254393</v>
      </c>
      <c r="Q247" s="295">
        <f>'CAR Mileage'!Q268*CAR!$I$58</f>
        <v>16834.954394254393</v>
      </c>
      <c r="R247" s="295">
        <f>'CAR Mileage'!R268*CAR!$I$58</f>
        <v>16834.954394254393</v>
      </c>
      <c r="S247" s="295">
        <f>'CAR Mileage'!S268*CAR!$I$58</f>
        <v>16834.954394254393</v>
      </c>
      <c r="T247" s="295">
        <f>'CAR Mileage'!T268*CAR!$I$58</f>
        <v>16834.954394254393</v>
      </c>
      <c r="U247" s="295">
        <f>'CAR Mileage'!U268*CAR!$I$58</f>
        <v>16834.954394254393</v>
      </c>
      <c r="V247" s="295">
        <f>'CAR Mileage'!V268*CAR!$I$58</f>
        <v>16834.954394254393</v>
      </c>
      <c r="W247" s="295">
        <f>'CAR Mileage'!W268*CAR!$I$58</f>
        <v>16834.954394254393</v>
      </c>
      <c r="X247" s="295">
        <f>'CAR Mileage'!X268*CAR!$I$58</f>
        <v>16834.954394254393</v>
      </c>
      <c r="Y247" s="295">
        <f>'CAR Mileage'!Y268*CAR!$I$58</f>
        <v>16834.954394254393</v>
      </c>
      <c r="Z247" s="295">
        <f>'CAR Mileage'!Z268*CAR!$I$58</f>
        <v>16834.954394254393</v>
      </c>
      <c r="AA247" s="295">
        <f>'CAR Mileage'!AA268*CAR!$I$58</f>
        <v>16834.954394254393</v>
      </c>
      <c r="AB247" s="295">
        <f>'CAR Mileage'!AB268*CAR!$I$58</f>
        <v>16834.954394254393</v>
      </c>
      <c r="AC247" s="295">
        <f>'CAR Mileage'!AC268*CAR!$I$58</f>
        <v>16834.954394254393</v>
      </c>
      <c r="AD247" s="295">
        <f>'CAR Mileage'!AD268*CAR!$I$58</f>
        <v>16834.954394254393</v>
      </c>
      <c r="AE247" s="296">
        <f>'CAR Mileage'!AE268*CAR!$I$58</f>
        <v>16834.954394254393</v>
      </c>
      <c r="AG247" s="1711"/>
      <c r="AH247" s="116">
        <v>12</v>
      </c>
      <c r="AI247" s="294">
        <f>'CAR Passenger Kilometres'!C247*'CAR Stock'!C297</f>
        <v>0</v>
      </c>
      <c r="AJ247" s="295">
        <f>'CAR Passenger Kilometres'!D247*'CAR Stock'!D297</f>
        <v>0</v>
      </c>
      <c r="AK247" s="295">
        <f>'CAR Passenger Kilometres'!E247*'CAR Stock'!E297</f>
        <v>0</v>
      </c>
      <c r="AL247" s="295">
        <f>'CAR Passenger Kilometres'!F247*'CAR Stock'!F297</f>
        <v>0</v>
      </c>
      <c r="AM247" s="295">
        <f>'CAR Passenger Kilometres'!G247*'CAR Stock'!G297</f>
        <v>0</v>
      </c>
      <c r="AN247" s="295">
        <f>'CAR Passenger Kilometres'!H247*'CAR Stock'!H297</f>
        <v>0</v>
      </c>
      <c r="AO247" s="295">
        <f>'CAR Passenger Kilometres'!I247*'CAR Stock'!I297</f>
        <v>0</v>
      </c>
      <c r="AP247" s="295">
        <f>'CAR Passenger Kilometres'!J247*'CAR Stock'!J297</f>
        <v>0</v>
      </c>
      <c r="AQ247" s="295">
        <f>'CAR Passenger Kilometres'!K247*'CAR Stock'!K297</f>
        <v>0</v>
      </c>
      <c r="AR247" s="295">
        <f>'CAR Passenger Kilometres'!L247*'CAR Stock'!L297</f>
        <v>0</v>
      </c>
      <c r="AS247" s="295">
        <f>'CAR Passenger Kilometres'!M247*'CAR Stock'!M297</f>
        <v>0</v>
      </c>
      <c r="AT247" s="295">
        <f>'CAR Passenger Kilometres'!N247*'CAR Stock'!N297</f>
        <v>0</v>
      </c>
      <c r="AU247" s="295">
        <f>'CAR Passenger Kilometres'!O247*'CAR Stock'!O297</f>
        <v>0</v>
      </c>
      <c r="AV247" s="295">
        <f>'CAR Passenger Kilometres'!P247*'CAR Stock'!P297</f>
        <v>0</v>
      </c>
      <c r="AW247" s="295">
        <f>'CAR Passenger Kilometres'!Q247*'CAR Stock'!Q297</f>
        <v>0</v>
      </c>
      <c r="AX247" s="295">
        <f>'CAR Passenger Kilometres'!R247*'CAR Stock'!R297</f>
        <v>0</v>
      </c>
      <c r="AY247" s="295">
        <f>'CAR Passenger Kilometres'!S247*'CAR Stock'!S297</f>
        <v>0</v>
      </c>
      <c r="AZ247" s="295">
        <f>'CAR Passenger Kilometres'!T247*'CAR Stock'!T297</f>
        <v>0</v>
      </c>
      <c r="BA247" s="295">
        <f>'CAR Passenger Kilometres'!U247*'CAR Stock'!U297</f>
        <v>0</v>
      </c>
      <c r="BB247" s="295">
        <f>'CAR Passenger Kilometres'!V247*'CAR Stock'!V297</f>
        <v>0</v>
      </c>
      <c r="BC247" s="295">
        <f>'CAR Passenger Kilometres'!W247*'CAR Stock'!W297</f>
        <v>0</v>
      </c>
      <c r="BD247" s="295">
        <f>'CAR Passenger Kilometres'!X247*'CAR Stock'!X297</f>
        <v>0</v>
      </c>
      <c r="BE247" s="295">
        <f>'CAR Passenger Kilometres'!Y247*'CAR Stock'!Y297</f>
        <v>0</v>
      </c>
      <c r="BF247" s="295">
        <f>'CAR Passenger Kilometres'!Z247*'CAR Stock'!Z297</f>
        <v>0</v>
      </c>
      <c r="BG247" s="295">
        <f>'CAR Passenger Kilometres'!AA247*'CAR Stock'!AA297</f>
        <v>0</v>
      </c>
      <c r="BH247" s="295">
        <f>'CAR Passenger Kilometres'!AB247*'CAR Stock'!AB297</f>
        <v>0</v>
      </c>
      <c r="BI247" s="295">
        <f>'CAR Passenger Kilometres'!AC247*'CAR Stock'!AC297</f>
        <v>0</v>
      </c>
      <c r="BJ247" s="295">
        <f>'CAR Passenger Kilometres'!AD247*'CAR Stock'!AD297</f>
        <v>0</v>
      </c>
      <c r="BK247" s="296">
        <f>'CAR Passenger Kilometres'!AE247*'CAR Stock'!AE297</f>
        <v>0</v>
      </c>
    </row>
    <row r="248" spans="1:63">
      <c r="A248" s="1711"/>
      <c r="B248" s="116">
        <v>13</v>
      </c>
      <c r="C248" s="294">
        <f>'CAR Mileage'!C269*CAR!$I$58</f>
        <v>16498.255306369305</v>
      </c>
      <c r="D248" s="295">
        <f>'CAR Mileage'!D269*CAR!$I$58</f>
        <v>16498.255306369305</v>
      </c>
      <c r="E248" s="295">
        <f>'CAR Mileage'!E269*CAR!$I$58</f>
        <v>16498.255306369305</v>
      </c>
      <c r="F248" s="295">
        <f>'CAR Mileage'!F269*CAR!$I$58</f>
        <v>16498.255306369305</v>
      </c>
      <c r="G248" s="295">
        <f>'CAR Mileage'!G269*CAR!$I$58</f>
        <v>16498.255306369305</v>
      </c>
      <c r="H248" s="295">
        <f>'CAR Mileage'!H269*CAR!$I$58</f>
        <v>16498.255306369305</v>
      </c>
      <c r="I248" s="295">
        <f>'CAR Mileage'!I269*CAR!$I$58</f>
        <v>16498.255306369305</v>
      </c>
      <c r="J248" s="295">
        <f>'CAR Mileage'!J269*CAR!$I$58</f>
        <v>16498.255306369305</v>
      </c>
      <c r="K248" s="295">
        <f>'CAR Mileage'!K269*CAR!$I$58</f>
        <v>16498.255306369305</v>
      </c>
      <c r="L248" s="295">
        <f>'CAR Mileage'!L269*CAR!$I$58</f>
        <v>16498.255306369305</v>
      </c>
      <c r="M248" s="295">
        <f>'CAR Mileage'!M269*CAR!$I$58</f>
        <v>16498.255306369305</v>
      </c>
      <c r="N248" s="295">
        <f>'CAR Mileage'!N269*CAR!$I$58</f>
        <v>16498.255306369305</v>
      </c>
      <c r="O248" s="295">
        <f>'CAR Mileage'!O269*CAR!$I$58</f>
        <v>16498.255306369305</v>
      </c>
      <c r="P248" s="295">
        <f>'CAR Mileage'!P269*CAR!$I$58</f>
        <v>16498.255306369305</v>
      </c>
      <c r="Q248" s="295">
        <f>'CAR Mileage'!Q269*CAR!$I$58</f>
        <v>16498.255306369305</v>
      </c>
      <c r="R248" s="295">
        <f>'CAR Mileage'!R269*CAR!$I$58</f>
        <v>16498.255306369305</v>
      </c>
      <c r="S248" s="295">
        <f>'CAR Mileage'!S269*CAR!$I$58</f>
        <v>16498.255306369305</v>
      </c>
      <c r="T248" s="295">
        <f>'CAR Mileage'!T269*CAR!$I$58</f>
        <v>16498.255306369305</v>
      </c>
      <c r="U248" s="295">
        <f>'CAR Mileage'!U269*CAR!$I$58</f>
        <v>16498.255306369305</v>
      </c>
      <c r="V248" s="295">
        <f>'CAR Mileage'!V269*CAR!$I$58</f>
        <v>16498.255306369305</v>
      </c>
      <c r="W248" s="295">
        <f>'CAR Mileage'!W269*CAR!$I$58</f>
        <v>16498.255306369305</v>
      </c>
      <c r="X248" s="295">
        <f>'CAR Mileage'!X269*CAR!$I$58</f>
        <v>16498.255306369305</v>
      </c>
      <c r="Y248" s="295">
        <f>'CAR Mileage'!Y269*CAR!$I$58</f>
        <v>16498.255306369305</v>
      </c>
      <c r="Z248" s="295">
        <f>'CAR Mileage'!Z269*CAR!$I$58</f>
        <v>16498.255306369305</v>
      </c>
      <c r="AA248" s="295">
        <f>'CAR Mileage'!AA269*CAR!$I$58</f>
        <v>16498.255306369305</v>
      </c>
      <c r="AB248" s="295">
        <f>'CAR Mileage'!AB269*CAR!$I$58</f>
        <v>16498.255306369305</v>
      </c>
      <c r="AC248" s="295">
        <f>'CAR Mileage'!AC269*CAR!$I$58</f>
        <v>16498.255306369305</v>
      </c>
      <c r="AD248" s="295">
        <f>'CAR Mileage'!AD269*CAR!$I$58</f>
        <v>16498.255306369305</v>
      </c>
      <c r="AE248" s="296">
        <f>'CAR Mileage'!AE269*CAR!$I$58</f>
        <v>16498.255306369305</v>
      </c>
      <c r="AG248" s="1711"/>
      <c r="AH248" s="116">
        <v>13</v>
      </c>
      <c r="AI248" s="294">
        <f>'CAR Passenger Kilometres'!C248*'CAR Stock'!C298</f>
        <v>0</v>
      </c>
      <c r="AJ248" s="295">
        <f>'CAR Passenger Kilometres'!D248*'CAR Stock'!D298</f>
        <v>0</v>
      </c>
      <c r="AK248" s="295">
        <f>'CAR Passenger Kilometres'!E248*'CAR Stock'!E298</f>
        <v>0</v>
      </c>
      <c r="AL248" s="295">
        <f>'CAR Passenger Kilometres'!F248*'CAR Stock'!F298</f>
        <v>0</v>
      </c>
      <c r="AM248" s="295">
        <f>'CAR Passenger Kilometres'!G248*'CAR Stock'!G298</f>
        <v>0</v>
      </c>
      <c r="AN248" s="295">
        <f>'CAR Passenger Kilometres'!H248*'CAR Stock'!H298</f>
        <v>0</v>
      </c>
      <c r="AO248" s="295">
        <f>'CAR Passenger Kilometres'!I248*'CAR Stock'!I298</f>
        <v>0</v>
      </c>
      <c r="AP248" s="295">
        <f>'CAR Passenger Kilometres'!J248*'CAR Stock'!J298</f>
        <v>0</v>
      </c>
      <c r="AQ248" s="295">
        <f>'CAR Passenger Kilometres'!K248*'CAR Stock'!K298</f>
        <v>0</v>
      </c>
      <c r="AR248" s="295">
        <f>'CAR Passenger Kilometres'!L248*'CAR Stock'!L298</f>
        <v>0</v>
      </c>
      <c r="AS248" s="295">
        <f>'CAR Passenger Kilometres'!M248*'CAR Stock'!M298</f>
        <v>0</v>
      </c>
      <c r="AT248" s="295">
        <f>'CAR Passenger Kilometres'!N248*'CAR Stock'!N298</f>
        <v>0</v>
      </c>
      <c r="AU248" s="295">
        <f>'CAR Passenger Kilometres'!O248*'CAR Stock'!O298</f>
        <v>0</v>
      </c>
      <c r="AV248" s="295">
        <f>'CAR Passenger Kilometres'!P248*'CAR Stock'!P298</f>
        <v>0</v>
      </c>
      <c r="AW248" s="295">
        <f>'CAR Passenger Kilometres'!Q248*'CAR Stock'!Q298</f>
        <v>0</v>
      </c>
      <c r="AX248" s="295">
        <f>'CAR Passenger Kilometres'!R248*'CAR Stock'!R298</f>
        <v>0</v>
      </c>
      <c r="AY248" s="295">
        <f>'CAR Passenger Kilometres'!S248*'CAR Stock'!S298</f>
        <v>0</v>
      </c>
      <c r="AZ248" s="295">
        <f>'CAR Passenger Kilometres'!T248*'CAR Stock'!T298</f>
        <v>0</v>
      </c>
      <c r="BA248" s="295">
        <f>'CAR Passenger Kilometres'!U248*'CAR Stock'!U298</f>
        <v>0</v>
      </c>
      <c r="BB248" s="295">
        <f>'CAR Passenger Kilometres'!V248*'CAR Stock'!V298</f>
        <v>0</v>
      </c>
      <c r="BC248" s="295">
        <f>'CAR Passenger Kilometres'!W248*'CAR Stock'!W298</f>
        <v>0</v>
      </c>
      <c r="BD248" s="295">
        <f>'CAR Passenger Kilometres'!X248*'CAR Stock'!X298</f>
        <v>0</v>
      </c>
      <c r="BE248" s="295">
        <f>'CAR Passenger Kilometres'!Y248*'CAR Stock'!Y298</f>
        <v>0</v>
      </c>
      <c r="BF248" s="295">
        <f>'CAR Passenger Kilometres'!Z248*'CAR Stock'!Z298</f>
        <v>0</v>
      </c>
      <c r="BG248" s="295">
        <f>'CAR Passenger Kilometres'!AA248*'CAR Stock'!AA298</f>
        <v>0</v>
      </c>
      <c r="BH248" s="295">
        <f>'CAR Passenger Kilometres'!AB248*'CAR Stock'!AB298</f>
        <v>0</v>
      </c>
      <c r="BI248" s="295">
        <f>'CAR Passenger Kilometres'!AC248*'CAR Stock'!AC298</f>
        <v>0</v>
      </c>
      <c r="BJ248" s="295">
        <f>'CAR Passenger Kilometres'!AD248*'CAR Stock'!AD298</f>
        <v>0</v>
      </c>
      <c r="BK248" s="296">
        <f>'CAR Passenger Kilometres'!AE248*'CAR Stock'!AE298</f>
        <v>0</v>
      </c>
    </row>
    <row r="249" spans="1:63">
      <c r="A249" s="1711"/>
      <c r="B249" s="116">
        <v>14</v>
      </c>
      <c r="C249" s="294">
        <f>'CAR Mileage'!C270*CAR!$I$58</f>
        <v>16168.290200241918</v>
      </c>
      <c r="D249" s="295">
        <f>'CAR Mileage'!D270*CAR!$I$58</f>
        <v>16168.290200241918</v>
      </c>
      <c r="E249" s="295">
        <f>'CAR Mileage'!E270*CAR!$I$58</f>
        <v>16168.290200241918</v>
      </c>
      <c r="F249" s="295">
        <f>'CAR Mileage'!F270*CAR!$I$58</f>
        <v>16168.290200241918</v>
      </c>
      <c r="G249" s="295">
        <f>'CAR Mileage'!G270*CAR!$I$58</f>
        <v>16168.290200241918</v>
      </c>
      <c r="H249" s="295">
        <f>'CAR Mileage'!H270*CAR!$I$58</f>
        <v>16168.290200241918</v>
      </c>
      <c r="I249" s="295">
        <f>'CAR Mileage'!I270*CAR!$I$58</f>
        <v>16168.290200241918</v>
      </c>
      <c r="J249" s="295">
        <f>'CAR Mileage'!J270*CAR!$I$58</f>
        <v>16168.290200241918</v>
      </c>
      <c r="K249" s="295">
        <f>'CAR Mileage'!K270*CAR!$I$58</f>
        <v>16168.290200241918</v>
      </c>
      <c r="L249" s="295">
        <f>'CAR Mileage'!L270*CAR!$I$58</f>
        <v>16168.290200241918</v>
      </c>
      <c r="M249" s="295">
        <f>'CAR Mileage'!M270*CAR!$I$58</f>
        <v>16168.290200241918</v>
      </c>
      <c r="N249" s="295">
        <f>'CAR Mileage'!N270*CAR!$I$58</f>
        <v>16168.290200241918</v>
      </c>
      <c r="O249" s="295">
        <f>'CAR Mileage'!O270*CAR!$I$58</f>
        <v>16168.290200241918</v>
      </c>
      <c r="P249" s="295">
        <f>'CAR Mileage'!P270*CAR!$I$58</f>
        <v>16168.290200241918</v>
      </c>
      <c r="Q249" s="295">
        <f>'CAR Mileage'!Q270*CAR!$I$58</f>
        <v>16168.290200241918</v>
      </c>
      <c r="R249" s="295">
        <f>'CAR Mileage'!R270*CAR!$I$58</f>
        <v>16168.290200241918</v>
      </c>
      <c r="S249" s="295">
        <f>'CAR Mileage'!S270*CAR!$I$58</f>
        <v>16168.290200241918</v>
      </c>
      <c r="T249" s="295">
        <f>'CAR Mileage'!T270*CAR!$I$58</f>
        <v>16168.290200241918</v>
      </c>
      <c r="U249" s="295">
        <f>'CAR Mileage'!U270*CAR!$I$58</f>
        <v>16168.290200241918</v>
      </c>
      <c r="V249" s="295">
        <f>'CAR Mileage'!V270*CAR!$I$58</f>
        <v>16168.290200241918</v>
      </c>
      <c r="W249" s="295">
        <f>'CAR Mileage'!W270*CAR!$I$58</f>
        <v>16168.290200241918</v>
      </c>
      <c r="X249" s="295">
        <f>'CAR Mileage'!X270*CAR!$I$58</f>
        <v>16168.290200241918</v>
      </c>
      <c r="Y249" s="295">
        <f>'CAR Mileage'!Y270*CAR!$I$58</f>
        <v>16168.290200241918</v>
      </c>
      <c r="Z249" s="295">
        <f>'CAR Mileage'!Z270*CAR!$I$58</f>
        <v>16168.290200241918</v>
      </c>
      <c r="AA249" s="295">
        <f>'CAR Mileage'!AA270*CAR!$I$58</f>
        <v>16168.290200241918</v>
      </c>
      <c r="AB249" s="295">
        <f>'CAR Mileage'!AB270*CAR!$I$58</f>
        <v>16168.290200241918</v>
      </c>
      <c r="AC249" s="295">
        <f>'CAR Mileage'!AC270*CAR!$I$58</f>
        <v>16168.290200241918</v>
      </c>
      <c r="AD249" s="295">
        <f>'CAR Mileage'!AD270*CAR!$I$58</f>
        <v>16168.290200241918</v>
      </c>
      <c r="AE249" s="296">
        <f>'CAR Mileage'!AE270*CAR!$I$58</f>
        <v>16168.290200241918</v>
      </c>
      <c r="AG249" s="1711"/>
      <c r="AH249" s="116">
        <v>14</v>
      </c>
      <c r="AI249" s="294">
        <f>'CAR Passenger Kilometres'!C249*'CAR Stock'!C299</f>
        <v>0</v>
      </c>
      <c r="AJ249" s="295">
        <f>'CAR Passenger Kilometres'!D249*'CAR Stock'!D299</f>
        <v>0</v>
      </c>
      <c r="AK249" s="295">
        <f>'CAR Passenger Kilometres'!E249*'CAR Stock'!E299</f>
        <v>0</v>
      </c>
      <c r="AL249" s="295">
        <f>'CAR Passenger Kilometres'!F249*'CAR Stock'!F299</f>
        <v>0</v>
      </c>
      <c r="AM249" s="295">
        <f>'CAR Passenger Kilometres'!G249*'CAR Stock'!G299</f>
        <v>0</v>
      </c>
      <c r="AN249" s="295">
        <f>'CAR Passenger Kilometres'!H249*'CAR Stock'!H299</f>
        <v>0</v>
      </c>
      <c r="AO249" s="295">
        <f>'CAR Passenger Kilometres'!I249*'CAR Stock'!I299</f>
        <v>0</v>
      </c>
      <c r="AP249" s="295">
        <f>'CAR Passenger Kilometres'!J249*'CAR Stock'!J299</f>
        <v>0</v>
      </c>
      <c r="AQ249" s="295">
        <f>'CAR Passenger Kilometres'!K249*'CAR Stock'!K299</f>
        <v>0</v>
      </c>
      <c r="AR249" s="295">
        <f>'CAR Passenger Kilometres'!L249*'CAR Stock'!L299</f>
        <v>0</v>
      </c>
      <c r="AS249" s="295">
        <f>'CAR Passenger Kilometres'!M249*'CAR Stock'!M299</f>
        <v>0</v>
      </c>
      <c r="AT249" s="295">
        <f>'CAR Passenger Kilometres'!N249*'CAR Stock'!N299</f>
        <v>0</v>
      </c>
      <c r="AU249" s="295">
        <f>'CAR Passenger Kilometres'!O249*'CAR Stock'!O299</f>
        <v>0</v>
      </c>
      <c r="AV249" s="295">
        <f>'CAR Passenger Kilometres'!P249*'CAR Stock'!P299</f>
        <v>0</v>
      </c>
      <c r="AW249" s="295">
        <f>'CAR Passenger Kilometres'!Q249*'CAR Stock'!Q299</f>
        <v>0</v>
      </c>
      <c r="AX249" s="295">
        <f>'CAR Passenger Kilometres'!R249*'CAR Stock'!R299</f>
        <v>0</v>
      </c>
      <c r="AY249" s="295">
        <f>'CAR Passenger Kilometres'!S249*'CAR Stock'!S299</f>
        <v>0</v>
      </c>
      <c r="AZ249" s="295">
        <f>'CAR Passenger Kilometres'!T249*'CAR Stock'!T299</f>
        <v>0</v>
      </c>
      <c r="BA249" s="295">
        <f>'CAR Passenger Kilometres'!U249*'CAR Stock'!U299</f>
        <v>0</v>
      </c>
      <c r="BB249" s="295">
        <f>'CAR Passenger Kilometres'!V249*'CAR Stock'!V299</f>
        <v>0</v>
      </c>
      <c r="BC249" s="295">
        <f>'CAR Passenger Kilometres'!W249*'CAR Stock'!W299</f>
        <v>0</v>
      </c>
      <c r="BD249" s="295">
        <f>'CAR Passenger Kilometres'!X249*'CAR Stock'!X299</f>
        <v>0</v>
      </c>
      <c r="BE249" s="295">
        <f>'CAR Passenger Kilometres'!Y249*'CAR Stock'!Y299</f>
        <v>0</v>
      </c>
      <c r="BF249" s="295">
        <f>'CAR Passenger Kilometres'!Z249*'CAR Stock'!Z299</f>
        <v>0</v>
      </c>
      <c r="BG249" s="295">
        <f>'CAR Passenger Kilometres'!AA249*'CAR Stock'!AA299</f>
        <v>0</v>
      </c>
      <c r="BH249" s="295">
        <f>'CAR Passenger Kilometres'!AB249*'CAR Stock'!AB299</f>
        <v>0</v>
      </c>
      <c r="BI249" s="295">
        <f>'CAR Passenger Kilometres'!AC249*'CAR Stock'!AC299</f>
        <v>0</v>
      </c>
      <c r="BJ249" s="295">
        <f>'CAR Passenger Kilometres'!AD249*'CAR Stock'!AD299</f>
        <v>0</v>
      </c>
      <c r="BK249" s="296">
        <f>'CAR Passenger Kilometres'!AE249*'CAR Stock'!AE299</f>
        <v>0</v>
      </c>
    </row>
    <row r="250" spans="1:63">
      <c r="A250" s="1711"/>
      <c r="B250" s="116">
        <v>15</v>
      </c>
      <c r="C250" s="294">
        <f>'CAR Mileage'!C271*CAR!$I$58</f>
        <v>15844.92439623708</v>
      </c>
      <c r="D250" s="295">
        <f>'CAR Mileage'!D271*CAR!$I$58</f>
        <v>15844.92439623708</v>
      </c>
      <c r="E250" s="295">
        <f>'CAR Mileage'!E271*CAR!$I$58</f>
        <v>15844.92439623708</v>
      </c>
      <c r="F250" s="295">
        <f>'CAR Mileage'!F271*CAR!$I$58</f>
        <v>15844.92439623708</v>
      </c>
      <c r="G250" s="295">
        <f>'CAR Mileage'!G271*CAR!$I$58</f>
        <v>15844.92439623708</v>
      </c>
      <c r="H250" s="295">
        <f>'CAR Mileage'!H271*CAR!$I$58</f>
        <v>15844.92439623708</v>
      </c>
      <c r="I250" s="295">
        <f>'CAR Mileage'!I271*CAR!$I$58</f>
        <v>15844.92439623708</v>
      </c>
      <c r="J250" s="295">
        <f>'CAR Mileage'!J271*CAR!$I$58</f>
        <v>15844.92439623708</v>
      </c>
      <c r="K250" s="295">
        <f>'CAR Mileage'!K271*CAR!$I$58</f>
        <v>15844.92439623708</v>
      </c>
      <c r="L250" s="295">
        <f>'CAR Mileage'!L271*CAR!$I$58</f>
        <v>15844.92439623708</v>
      </c>
      <c r="M250" s="295">
        <f>'CAR Mileage'!M271*CAR!$I$58</f>
        <v>15844.92439623708</v>
      </c>
      <c r="N250" s="295">
        <f>'CAR Mileage'!N271*CAR!$I$58</f>
        <v>15844.92439623708</v>
      </c>
      <c r="O250" s="295">
        <f>'CAR Mileage'!O271*CAR!$I$58</f>
        <v>15844.92439623708</v>
      </c>
      <c r="P250" s="295">
        <f>'CAR Mileage'!P271*CAR!$I$58</f>
        <v>15844.92439623708</v>
      </c>
      <c r="Q250" s="295">
        <f>'CAR Mileage'!Q271*CAR!$I$58</f>
        <v>15844.92439623708</v>
      </c>
      <c r="R250" s="295">
        <f>'CAR Mileage'!R271*CAR!$I$58</f>
        <v>15844.92439623708</v>
      </c>
      <c r="S250" s="295">
        <f>'CAR Mileage'!S271*CAR!$I$58</f>
        <v>15844.92439623708</v>
      </c>
      <c r="T250" s="295">
        <f>'CAR Mileage'!T271*CAR!$I$58</f>
        <v>15844.92439623708</v>
      </c>
      <c r="U250" s="295">
        <f>'CAR Mileage'!U271*CAR!$I$58</f>
        <v>15844.92439623708</v>
      </c>
      <c r="V250" s="295">
        <f>'CAR Mileage'!V271*CAR!$I$58</f>
        <v>15844.92439623708</v>
      </c>
      <c r="W250" s="295">
        <f>'CAR Mileage'!W271*CAR!$I$58</f>
        <v>15844.92439623708</v>
      </c>
      <c r="X250" s="295">
        <f>'CAR Mileage'!X271*CAR!$I$58</f>
        <v>15844.92439623708</v>
      </c>
      <c r="Y250" s="295">
        <f>'CAR Mileage'!Y271*CAR!$I$58</f>
        <v>15844.92439623708</v>
      </c>
      <c r="Z250" s="295">
        <f>'CAR Mileage'!Z271*CAR!$I$58</f>
        <v>15844.92439623708</v>
      </c>
      <c r="AA250" s="295">
        <f>'CAR Mileage'!AA271*CAR!$I$58</f>
        <v>15844.92439623708</v>
      </c>
      <c r="AB250" s="295">
        <f>'CAR Mileage'!AB271*CAR!$I$58</f>
        <v>15844.92439623708</v>
      </c>
      <c r="AC250" s="295">
        <f>'CAR Mileage'!AC271*CAR!$I$58</f>
        <v>15844.92439623708</v>
      </c>
      <c r="AD250" s="295">
        <f>'CAR Mileage'!AD271*CAR!$I$58</f>
        <v>15844.92439623708</v>
      </c>
      <c r="AE250" s="296">
        <f>'CAR Mileage'!AE271*CAR!$I$58</f>
        <v>15844.92439623708</v>
      </c>
      <c r="AG250" s="1711"/>
      <c r="AH250" s="116">
        <v>15</v>
      </c>
      <c r="AI250" s="294">
        <f>'CAR Passenger Kilometres'!C250*'CAR Stock'!C300</f>
        <v>0</v>
      </c>
      <c r="AJ250" s="295">
        <f>'CAR Passenger Kilometres'!D250*'CAR Stock'!D300</f>
        <v>0</v>
      </c>
      <c r="AK250" s="295">
        <f>'CAR Passenger Kilometres'!E250*'CAR Stock'!E300</f>
        <v>0</v>
      </c>
      <c r="AL250" s="295">
        <f>'CAR Passenger Kilometres'!F250*'CAR Stock'!F300</f>
        <v>0</v>
      </c>
      <c r="AM250" s="295">
        <f>'CAR Passenger Kilometres'!G250*'CAR Stock'!G300</f>
        <v>0</v>
      </c>
      <c r="AN250" s="295">
        <f>'CAR Passenger Kilometres'!H250*'CAR Stock'!H300</f>
        <v>0</v>
      </c>
      <c r="AO250" s="295">
        <f>'CAR Passenger Kilometres'!I250*'CAR Stock'!I300</f>
        <v>0</v>
      </c>
      <c r="AP250" s="295">
        <f>'CAR Passenger Kilometres'!J250*'CAR Stock'!J300</f>
        <v>0</v>
      </c>
      <c r="AQ250" s="295">
        <f>'CAR Passenger Kilometres'!K250*'CAR Stock'!K300</f>
        <v>0</v>
      </c>
      <c r="AR250" s="295">
        <f>'CAR Passenger Kilometres'!L250*'CAR Stock'!L300</f>
        <v>0</v>
      </c>
      <c r="AS250" s="295">
        <f>'CAR Passenger Kilometres'!M250*'CAR Stock'!M300</f>
        <v>0</v>
      </c>
      <c r="AT250" s="295">
        <f>'CAR Passenger Kilometres'!N250*'CAR Stock'!N300</f>
        <v>0</v>
      </c>
      <c r="AU250" s="295">
        <f>'CAR Passenger Kilometres'!O250*'CAR Stock'!O300</f>
        <v>0</v>
      </c>
      <c r="AV250" s="295">
        <f>'CAR Passenger Kilometres'!P250*'CAR Stock'!P300</f>
        <v>0</v>
      </c>
      <c r="AW250" s="295">
        <f>'CAR Passenger Kilometres'!Q250*'CAR Stock'!Q300</f>
        <v>0</v>
      </c>
      <c r="AX250" s="295">
        <f>'CAR Passenger Kilometres'!R250*'CAR Stock'!R300</f>
        <v>0</v>
      </c>
      <c r="AY250" s="295">
        <f>'CAR Passenger Kilometres'!S250*'CAR Stock'!S300</f>
        <v>0</v>
      </c>
      <c r="AZ250" s="295">
        <f>'CAR Passenger Kilometres'!T250*'CAR Stock'!T300</f>
        <v>0</v>
      </c>
      <c r="BA250" s="295">
        <f>'CAR Passenger Kilometres'!U250*'CAR Stock'!U300</f>
        <v>0</v>
      </c>
      <c r="BB250" s="295">
        <f>'CAR Passenger Kilometres'!V250*'CAR Stock'!V300</f>
        <v>0</v>
      </c>
      <c r="BC250" s="295">
        <f>'CAR Passenger Kilometres'!W250*'CAR Stock'!W300</f>
        <v>0</v>
      </c>
      <c r="BD250" s="295">
        <f>'CAR Passenger Kilometres'!X250*'CAR Stock'!X300</f>
        <v>0</v>
      </c>
      <c r="BE250" s="295">
        <f>'CAR Passenger Kilometres'!Y250*'CAR Stock'!Y300</f>
        <v>0</v>
      </c>
      <c r="BF250" s="295">
        <f>'CAR Passenger Kilometres'!Z250*'CAR Stock'!Z300</f>
        <v>0</v>
      </c>
      <c r="BG250" s="295">
        <f>'CAR Passenger Kilometres'!AA250*'CAR Stock'!AA300</f>
        <v>0</v>
      </c>
      <c r="BH250" s="295">
        <f>'CAR Passenger Kilometres'!AB250*'CAR Stock'!AB300</f>
        <v>0</v>
      </c>
      <c r="BI250" s="295">
        <f>'CAR Passenger Kilometres'!AC250*'CAR Stock'!AC300</f>
        <v>0</v>
      </c>
      <c r="BJ250" s="295">
        <f>'CAR Passenger Kilometres'!AD250*'CAR Stock'!AD300</f>
        <v>0</v>
      </c>
      <c r="BK250" s="296">
        <f>'CAR Passenger Kilometres'!AE250*'CAR Stock'!AE300</f>
        <v>0</v>
      </c>
    </row>
    <row r="251" spans="1:63">
      <c r="A251" s="1711"/>
      <c r="B251" s="116">
        <v>16</v>
      </c>
      <c r="C251" s="294">
        <f>'CAR Mileage'!C272*CAR!$I$58</f>
        <v>15528.025908312338</v>
      </c>
      <c r="D251" s="295">
        <f>'CAR Mileage'!D272*CAR!$I$58</f>
        <v>15528.025908312338</v>
      </c>
      <c r="E251" s="295">
        <f>'CAR Mileage'!E272*CAR!$I$58</f>
        <v>15528.025908312338</v>
      </c>
      <c r="F251" s="295">
        <f>'CAR Mileage'!F272*CAR!$I$58</f>
        <v>15528.025908312338</v>
      </c>
      <c r="G251" s="295">
        <f>'CAR Mileage'!G272*CAR!$I$58</f>
        <v>15528.025908312338</v>
      </c>
      <c r="H251" s="295">
        <f>'CAR Mileage'!H272*CAR!$I$58</f>
        <v>15528.025908312338</v>
      </c>
      <c r="I251" s="295">
        <f>'CAR Mileage'!I272*CAR!$I$58</f>
        <v>15528.025908312338</v>
      </c>
      <c r="J251" s="295">
        <f>'CAR Mileage'!J272*CAR!$I$58</f>
        <v>15528.025908312338</v>
      </c>
      <c r="K251" s="295">
        <f>'CAR Mileage'!K272*CAR!$I$58</f>
        <v>15528.025908312338</v>
      </c>
      <c r="L251" s="295">
        <f>'CAR Mileage'!L272*CAR!$I$58</f>
        <v>15528.025908312338</v>
      </c>
      <c r="M251" s="295">
        <f>'CAR Mileage'!M272*CAR!$I$58</f>
        <v>15528.025908312338</v>
      </c>
      <c r="N251" s="295">
        <f>'CAR Mileage'!N272*CAR!$I$58</f>
        <v>15528.025908312338</v>
      </c>
      <c r="O251" s="295">
        <f>'CAR Mileage'!O272*CAR!$I$58</f>
        <v>15528.025908312338</v>
      </c>
      <c r="P251" s="295">
        <f>'CAR Mileage'!P272*CAR!$I$58</f>
        <v>15528.025908312338</v>
      </c>
      <c r="Q251" s="295">
        <f>'CAR Mileage'!Q272*CAR!$I$58</f>
        <v>15528.025908312338</v>
      </c>
      <c r="R251" s="295">
        <f>'CAR Mileage'!R272*CAR!$I$58</f>
        <v>15528.025908312338</v>
      </c>
      <c r="S251" s="295">
        <f>'CAR Mileage'!S272*CAR!$I$58</f>
        <v>15528.025908312338</v>
      </c>
      <c r="T251" s="295">
        <f>'CAR Mileage'!T272*CAR!$I$58</f>
        <v>15528.025908312338</v>
      </c>
      <c r="U251" s="295">
        <f>'CAR Mileage'!U272*CAR!$I$58</f>
        <v>15528.025908312338</v>
      </c>
      <c r="V251" s="295">
        <f>'CAR Mileage'!V272*CAR!$I$58</f>
        <v>15528.025908312338</v>
      </c>
      <c r="W251" s="295">
        <f>'CAR Mileage'!W272*CAR!$I$58</f>
        <v>15528.025908312338</v>
      </c>
      <c r="X251" s="295">
        <f>'CAR Mileage'!X272*CAR!$I$58</f>
        <v>15528.025908312338</v>
      </c>
      <c r="Y251" s="295">
        <f>'CAR Mileage'!Y272*CAR!$I$58</f>
        <v>15528.025908312338</v>
      </c>
      <c r="Z251" s="295">
        <f>'CAR Mileage'!Z272*CAR!$I$58</f>
        <v>15528.025908312338</v>
      </c>
      <c r="AA251" s="295">
        <f>'CAR Mileage'!AA272*CAR!$I$58</f>
        <v>15528.025908312338</v>
      </c>
      <c r="AB251" s="295">
        <f>'CAR Mileage'!AB272*CAR!$I$58</f>
        <v>15528.025908312338</v>
      </c>
      <c r="AC251" s="295">
        <f>'CAR Mileage'!AC272*CAR!$I$58</f>
        <v>15528.025908312338</v>
      </c>
      <c r="AD251" s="295">
        <f>'CAR Mileage'!AD272*CAR!$I$58</f>
        <v>15528.025908312338</v>
      </c>
      <c r="AE251" s="296">
        <f>'CAR Mileage'!AE272*CAR!$I$58</f>
        <v>15528.025908312338</v>
      </c>
      <c r="AG251" s="1711"/>
      <c r="AH251" s="116">
        <v>16</v>
      </c>
      <c r="AI251" s="294">
        <f>'CAR Passenger Kilometres'!C251*'CAR Stock'!C301</f>
        <v>0</v>
      </c>
      <c r="AJ251" s="295">
        <f>'CAR Passenger Kilometres'!D251*'CAR Stock'!D301</f>
        <v>0</v>
      </c>
      <c r="AK251" s="295">
        <f>'CAR Passenger Kilometres'!E251*'CAR Stock'!E301</f>
        <v>0</v>
      </c>
      <c r="AL251" s="295">
        <f>'CAR Passenger Kilometres'!F251*'CAR Stock'!F301</f>
        <v>0</v>
      </c>
      <c r="AM251" s="295">
        <f>'CAR Passenger Kilometres'!G251*'CAR Stock'!G301</f>
        <v>0</v>
      </c>
      <c r="AN251" s="295">
        <f>'CAR Passenger Kilometres'!H251*'CAR Stock'!H301</f>
        <v>0</v>
      </c>
      <c r="AO251" s="295">
        <f>'CAR Passenger Kilometres'!I251*'CAR Stock'!I301</f>
        <v>0</v>
      </c>
      <c r="AP251" s="295">
        <f>'CAR Passenger Kilometres'!J251*'CAR Stock'!J301</f>
        <v>0</v>
      </c>
      <c r="AQ251" s="295">
        <f>'CAR Passenger Kilometres'!K251*'CAR Stock'!K301</f>
        <v>0</v>
      </c>
      <c r="AR251" s="295">
        <f>'CAR Passenger Kilometres'!L251*'CAR Stock'!L301</f>
        <v>0</v>
      </c>
      <c r="AS251" s="295">
        <f>'CAR Passenger Kilometres'!M251*'CAR Stock'!M301</f>
        <v>0</v>
      </c>
      <c r="AT251" s="295">
        <f>'CAR Passenger Kilometres'!N251*'CAR Stock'!N301</f>
        <v>0</v>
      </c>
      <c r="AU251" s="295">
        <f>'CAR Passenger Kilometres'!O251*'CAR Stock'!O301</f>
        <v>0</v>
      </c>
      <c r="AV251" s="295">
        <f>'CAR Passenger Kilometres'!P251*'CAR Stock'!P301</f>
        <v>0</v>
      </c>
      <c r="AW251" s="295">
        <f>'CAR Passenger Kilometres'!Q251*'CAR Stock'!Q301</f>
        <v>0</v>
      </c>
      <c r="AX251" s="295">
        <f>'CAR Passenger Kilometres'!R251*'CAR Stock'!R301</f>
        <v>0</v>
      </c>
      <c r="AY251" s="295">
        <f>'CAR Passenger Kilometres'!S251*'CAR Stock'!S301</f>
        <v>0</v>
      </c>
      <c r="AZ251" s="295">
        <f>'CAR Passenger Kilometres'!T251*'CAR Stock'!T301</f>
        <v>0</v>
      </c>
      <c r="BA251" s="295">
        <f>'CAR Passenger Kilometres'!U251*'CAR Stock'!U301</f>
        <v>0</v>
      </c>
      <c r="BB251" s="295">
        <f>'CAR Passenger Kilometres'!V251*'CAR Stock'!V301</f>
        <v>0</v>
      </c>
      <c r="BC251" s="295">
        <f>'CAR Passenger Kilometres'!W251*'CAR Stock'!W301</f>
        <v>0</v>
      </c>
      <c r="BD251" s="295">
        <f>'CAR Passenger Kilometres'!X251*'CAR Stock'!X301</f>
        <v>0</v>
      </c>
      <c r="BE251" s="295">
        <f>'CAR Passenger Kilometres'!Y251*'CAR Stock'!Y301</f>
        <v>0</v>
      </c>
      <c r="BF251" s="295">
        <f>'CAR Passenger Kilometres'!Z251*'CAR Stock'!Z301</f>
        <v>0</v>
      </c>
      <c r="BG251" s="295">
        <f>'CAR Passenger Kilometres'!AA251*'CAR Stock'!AA301</f>
        <v>0</v>
      </c>
      <c r="BH251" s="295">
        <f>'CAR Passenger Kilometres'!AB251*'CAR Stock'!AB301</f>
        <v>0</v>
      </c>
      <c r="BI251" s="295">
        <f>'CAR Passenger Kilometres'!AC251*'CAR Stock'!AC301</f>
        <v>0</v>
      </c>
      <c r="BJ251" s="295">
        <f>'CAR Passenger Kilometres'!AD251*'CAR Stock'!AD301</f>
        <v>0</v>
      </c>
      <c r="BK251" s="296">
        <f>'CAR Passenger Kilometres'!AE251*'CAR Stock'!AE301</f>
        <v>0</v>
      </c>
    </row>
    <row r="252" spans="1:63">
      <c r="A252" s="1711"/>
      <c r="B252" s="116">
        <v>17</v>
      </c>
      <c r="C252" s="294">
        <f>'CAR Mileage'!C273*CAR!$I$58</f>
        <v>15528.025908312338</v>
      </c>
      <c r="D252" s="295">
        <f>'CAR Mileage'!D273*CAR!$I$58</f>
        <v>15528.025908312338</v>
      </c>
      <c r="E252" s="295">
        <f>'CAR Mileage'!E273*CAR!$I$58</f>
        <v>15528.025908312338</v>
      </c>
      <c r="F252" s="295">
        <f>'CAR Mileage'!F273*CAR!$I$58</f>
        <v>15528.025908312338</v>
      </c>
      <c r="G252" s="295">
        <f>'CAR Mileage'!G273*CAR!$I$58</f>
        <v>15528.025908312338</v>
      </c>
      <c r="H252" s="295">
        <f>'CAR Mileage'!H273*CAR!$I$58</f>
        <v>15528.025908312338</v>
      </c>
      <c r="I252" s="295">
        <f>'CAR Mileage'!I273*CAR!$I$58</f>
        <v>15528.025908312338</v>
      </c>
      <c r="J252" s="295">
        <f>'CAR Mileage'!J273*CAR!$I$58</f>
        <v>15528.025908312338</v>
      </c>
      <c r="K252" s="295">
        <f>'CAR Mileage'!K273*CAR!$I$58</f>
        <v>15528.025908312338</v>
      </c>
      <c r="L252" s="295">
        <f>'CAR Mileage'!L273*CAR!$I$58</f>
        <v>15528.025908312338</v>
      </c>
      <c r="M252" s="295">
        <f>'CAR Mileage'!M273*CAR!$I$58</f>
        <v>15528.025908312338</v>
      </c>
      <c r="N252" s="295">
        <f>'CAR Mileage'!N273*CAR!$I$58</f>
        <v>15528.025908312338</v>
      </c>
      <c r="O252" s="295">
        <f>'CAR Mileage'!O273*CAR!$I$58</f>
        <v>15528.025908312338</v>
      </c>
      <c r="P252" s="295">
        <f>'CAR Mileage'!P273*CAR!$I$58</f>
        <v>15528.025908312338</v>
      </c>
      <c r="Q252" s="295">
        <f>'CAR Mileage'!Q273*CAR!$I$58</f>
        <v>15528.025908312338</v>
      </c>
      <c r="R252" s="295">
        <f>'CAR Mileage'!R273*CAR!$I$58</f>
        <v>15528.025908312338</v>
      </c>
      <c r="S252" s="295">
        <f>'CAR Mileage'!S273*CAR!$I$58</f>
        <v>15528.025908312338</v>
      </c>
      <c r="T252" s="295">
        <f>'CAR Mileage'!T273*CAR!$I$58</f>
        <v>15528.025908312338</v>
      </c>
      <c r="U252" s="295">
        <f>'CAR Mileage'!U273*CAR!$I$58</f>
        <v>15528.025908312338</v>
      </c>
      <c r="V252" s="295">
        <f>'CAR Mileage'!V273*CAR!$I$58</f>
        <v>15528.025908312338</v>
      </c>
      <c r="W252" s="295">
        <f>'CAR Mileage'!W273*CAR!$I$58</f>
        <v>15528.025908312338</v>
      </c>
      <c r="X252" s="295">
        <f>'CAR Mileage'!X273*CAR!$I$58</f>
        <v>15528.025908312338</v>
      </c>
      <c r="Y252" s="295">
        <f>'CAR Mileage'!Y273*CAR!$I$58</f>
        <v>15528.025908312338</v>
      </c>
      <c r="Z252" s="295">
        <f>'CAR Mileage'!Z273*CAR!$I$58</f>
        <v>15528.025908312338</v>
      </c>
      <c r="AA252" s="295">
        <f>'CAR Mileage'!AA273*CAR!$I$58</f>
        <v>15528.025908312338</v>
      </c>
      <c r="AB252" s="295">
        <f>'CAR Mileage'!AB273*CAR!$I$58</f>
        <v>15528.025908312338</v>
      </c>
      <c r="AC252" s="295">
        <f>'CAR Mileage'!AC273*CAR!$I$58</f>
        <v>15528.025908312338</v>
      </c>
      <c r="AD252" s="295">
        <f>'CAR Mileage'!AD273*CAR!$I$58</f>
        <v>15528.025908312338</v>
      </c>
      <c r="AE252" s="296">
        <f>'CAR Mileage'!AE273*CAR!$I$58</f>
        <v>15528.025908312338</v>
      </c>
      <c r="AG252" s="1711"/>
      <c r="AH252" s="116">
        <v>17</v>
      </c>
      <c r="AI252" s="294">
        <f>'CAR Passenger Kilometres'!C252*'CAR Stock'!C302</f>
        <v>0</v>
      </c>
      <c r="AJ252" s="295">
        <f>'CAR Passenger Kilometres'!D252*'CAR Stock'!D302</f>
        <v>0</v>
      </c>
      <c r="AK252" s="295">
        <f>'CAR Passenger Kilometres'!E252*'CAR Stock'!E302</f>
        <v>0</v>
      </c>
      <c r="AL252" s="295">
        <f>'CAR Passenger Kilometres'!F252*'CAR Stock'!F302</f>
        <v>0</v>
      </c>
      <c r="AM252" s="295">
        <f>'CAR Passenger Kilometres'!G252*'CAR Stock'!G302</f>
        <v>0</v>
      </c>
      <c r="AN252" s="295">
        <f>'CAR Passenger Kilometres'!H252*'CAR Stock'!H302</f>
        <v>0</v>
      </c>
      <c r="AO252" s="295">
        <f>'CAR Passenger Kilometres'!I252*'CAR Stock'!I302</f>
        <v>0</v>
      </c>
      <c r="AP252" s="295">
        <f>'CAR Passenger Kilometres'!J252*'CAR Stock'!J302</f>
        <v>0</v>
      </c>
      <c r="AQ252" s="295">
        <f>'CAR Passenger Kilometres'!K252*'CAR Stock'!K302</f>
        <v>0</v>
      </c>
      <c r="AR252" s="295">
        <f>'CAR Passenger Kilometres'!L252*'CAR Stock'!L302</f>
        <v>0</v>
      </c>
      <c r="AS252" s="295">
        <f>'CAR Passenger Kilometres'!M252*'CAR Stock'!M302</f>
        <v>0</v>
      </c>
      <c r="AT252" s="295">
        <f>'CAR Passenger Kilometres'!N252*'CAR Stock'!N302</f>
        <v>0</v>
      </c>
      <c r="AU252" s="295">
        <f>'CAR Passenger Kilometres'!O252*'CAR Stock'!O302</f>
        <v>0</v>
      </c>
      <c r="AV252" s="295">
        <f>'CAR Passenger Kilometres'!P252*'CAR Stock'!P302</f>
        <v>0</v>
      </c>
      <c r="AW252" s="295">
        <f>'CAR Passenger Kilometres'!Q252*'CAR Stock'!Q302</f>
        <v>0</v>
      </c>
      <c r="AX252" s="295">
        <f>'CAR Passenger Kilometres'!R252*'CAR Stock'!R302</f>
        <v>0</v>
      </c>
      <c r="AY252" s="295">
        <f>'CAR Passenger Kilometres'!S252*'CAR Stock'!S302</f>
        <v>0</v>
      </c>
      <c r="AZ252" s="295">
        <f>'CAR Passenger Kilometres'!T252*'CAR Stock'!T302</f>
        <v>0</v>
      </c>
      <c r="BA252" s="295">
        <f>'CAR Passenger Kilometres'!U252*'CAR Stock'!U302</f>
        <v>0</v>
      </c>
      <c r="BB252" s="295">
        <f>'CAR Passenger Kilometres'!V252*'CAR Stock'!V302</f>
        <v>0</v>
      </c>
      <c r="BC252" s="295">
        <f>'CAR Passenger Kilometres'!W252*'CAR Stock'!W302</f>
        <v>0</v>
      </c>
      <c r="BD252" s="295">
        <f>'CAR Passenger Kilometres'!X252*'CAR Stock'!X302</f>
        <v>0</v>
      </c>
      <c r="BE252" s="295">
        <f>'CAR Passenger Kilometres'!Y252*'CAR Stock'!Y302</f>
        <v>0</v>
      </c>
      <c r="BF252" s="295">
        <f>'CAR Passenger Kilometres'!Z252*'CAR Stock'!Z302</f>
        <v>0</v>
      </c>
      <c r="BG252" s="295">
        <f>'CAR Passenger Kilometres'!AA252*'CAR Stock'!AA302</f>
        <v>0</v>
      </c>
      <c r="BH252" s="295">
        <f>'CAR Passenger Kilometres'!AB252*'CAR Stock'!AB302</f>
        <v>0</v>
      </c>
      <c r="BI252" s="295">
        <f>'CAR Passenger Kilometres'!AC252*'CAR Stock'!AC302</f>
        <v>0</v>
      </c>
      <c r="BJ252" s="295">
        <f>'CAR Passenger Kilometres'!AD252*'CAR Stock'!AD302</f>
        <v>0</v>
      </c>
      <c r="BK252" s="296">
        <f>'CAR Passenger Kilometres'!AE252*'CAR Stock'!AE302</f>
        <v>0</v>
      </c>
    </row>
    <row r="253" spans="1:63">
      <c r="A253" s="1711"/>
      <c r="B253" s="116">
        <v>18</v>
      </c>
      <c r="C253" s="294">
        <f>'CAR Mileage'!C274*CAR!$I$58</f>
        <v>15528.025908312338</v>
      </c>
      <c r="D253" s="295">
        <f>'CAR Mileage'!D274*CAR!$I$58</f>
        <v>15528.025908312338</v>
      </c>
      <c r="E253" s="295">
        <f>'CAR Mileage'!E274*CAR!$I$58</f>
        <v>15528.025908312338</v>
      </c>
      <c r="F253" s="295">
        <f>'CAR Mileage'!F274*CAR!$I$58</f>
        <v>15528.025908312338</v>
      </c>
      <c r="G253" s="295">
        <f>'CAR Mileage'!G274*CAR!$I$58</f>
        <v>15528.025908312338</v>
      </c>
      <c r="H253" s="295">
        <f>'CAR Mileage'!H274*CAR!$I$58</f>
        <v>15528.025908312338</v>
      </c>
      <c r="I253" s="295">
        <f>'CAR Mileage'!I274*CAR!$I$58</f>
        <v>15528.025908312338</v>
      </c>
      <c r="J253" s="295">
        <f>'CAR Mileage'!J274*CAR!$I$58</f>
        <v>15528.025908312338</v>
      </c>
      <c r="K253" s="295">
        <f>'CAR Mileage'!K274*CAR!$I$58</f>
        <v>15528.025908312338</v>
      </c>
      <c r="L253" s="295">
        <f>'CAR Mileage'!L274*CAR!$I$58</f>
        <v>15528.025908312338</v>
      </c>
      <c r="M253" s="295">
        <f>'CAR Mileage'!M274*CAR!$I$58</f>
        <v>15528.025908312338</v>
      </c>
      <c r="N253" s="295">
        <f>'CAR Mileage'!N274*CAR!$I$58</f>
        <v>15528.025908312338</v>
      </c>
      <c r="O253" s="295">
        <f>'CAR Mileage'!O274*CAR!$I$58</f>
        <v>15528.025908312338</v>
      </c>
      <c r="P253" s="295">
        <f>'CAR Mileage'!P274*CAR!$I$58</f>
        <v>15528.025908312338</v>
      </c>
      <c r="Q253" s="295">
        <f>'CAR Mileage'!Q274*CAR!$I$58</f>
        <v>15528.025908312338</v>
      </c>
      <c r="R253" s="295">
        <f>'CAR Mileage'!R274*CAR!$I$58</f>
        <v>15528.025908312338</v>
      </c>
      <c r="S253" s="295">
        <f>'CAR Mileage'!S274*CAR!$I$58</f>
        <v>15528.025908312338</v>
      </c>
      <c r="T253" s="295">
        <f>'CAR Mileage'!T274*CAR!$I$58</f>
        <v>15528.025908312338</v>
      </c>
      <c r="U253" s="295">
        <f>'CAR Mileage'!U274*CAR!$I$58</f>
        <v>15528.025908312338</v>
      </c>
      <c r="V253" s="295">
        <f>'CAR Mileage'!V274*CAR!$I$58</f>
        <v>15528.025908312338</v>
      </c>
      <c r="W253" s="295">
        <f>'CAR Mileage'!W274*CAR!$I$58</f>
        <v>15528.025908312338</v>
      </c>
      <c r="X253" s="295">
        <f>'CAR Mileage'!X274*CAR!$I$58</f>
        <v>15528.025908312338</v>
      </c>
      <c r="Y253" s="295">
        <f>'CAR Mileage'!Y274*CAR!$I$58</f>
        <v>15528.025908312338</v>
      </c>
      <c r="Z253" s="295">
        <f>'CAR Mileage'!Z274*CAR!$I$58</f>
        <v>15528.025908312338</v>
      </c>
      <c r="AA253" s="295">
        <f>'CAR Mileage'!AA274*CAR!$I$58</f>
        <v>15528.025908312338</v>
      </c>
      <c r="AB253" s="295">
        <f>'CAR Mileage'!AB274*CAR!$I$58</f>
        <v>15528.025908312338</v>
      </c>
      <c r="AC253" s="295">
        <f>'CAR Mileage'!AC274*CAR!$I$58</f>
        <v>15528.025908312338</v>
      </c>
      <c r="AD253" s="295">
        <f>'CAR Mileage'!AD274*CAR!$I$58</f>
        <v>15528.025908312338</v>
      </c>
      <c r="AE253" s="296">
        <f>'CAR Mileage'!AE274*CAR!$I$58</f>
        <v>15528.025908312338</v>
      </c>
      <c r="AG253" s="1711"/>
      <c r="AH253" s="116">
        <v>18</v>
      </c>
      <c r="AI253" s="294">
        <f>'CAR Passenger Kilometres'!C253*'CAR Stock'!C303</f>
        <v>0</v>
      </c>
      <c r="AJ253" s="295">
        <f>'CAR Passenger Kilometres'!D253*'CAR Stock'!D303</f>
        <v>0</v>
      </c>
      <c r="AK253" s="295">
        <f>'CAR Passenger Kilometres'!E253*'CAR Stock'!E303</f>
        <v>0</v>
      </c>
      <c r="AL253" s="295">
        <f>'CAR Passenger Kilometres'!F253*'CAR Stock'!F303</f>
        <v>0</v>
      </c>
      <c r="AM253" s="295">
        <f>'CAR Passenger Kilometres'!G253*'CAR Stock'!G303</f>
        <v>0</v>
      </c>
      <c r="AN253" s="295">
        <f>'CAR Passenger Kilometres'!H253*'CAR Stock'!H303</f>
        <v>0</v>
      </c>
      <c r="AO253" s="295">
        <f>'CAR Passenger Kilometres'!I253*'CAR Stock'!I303</f>
        <v>0</v>
      </c>
      <c r="AP253" s="295">
        <f>'CAR Passenger Kilometres'!J253*'CAR Stock'!J303</f>
        <v>0</v>
      </c>
      <c r="AQ253" s="295">
        <f>'CAR Passenger Kilometres'!K253*'CAR Stock'!K303</f>
        <v>0</v>
      </c>
      <c r="AR253" s="295">
        <f>'CAR Passenger Kilometres'!L253*'CAR Stock'!L303</f>
        <v>0</v>
      </c>
      <c r="AS253" s="295">
        <f>'CAR Passenger Kilometres'!M253*'CAR Stock'!M303</f>
        <v>0</v>
      </c>
      <c r="AT253" s="295">
        <f>'CAR Passenger Kilometres'!N253*'CAR Stock'!N303</f>
        <v>0</v>
      </c>
      <c r="AU253" s="295">
        <f>'CAR Passenger Kilometres'!O253*'CAR Stock'!O303</f>
        <v>0</v>
      </c>
      <c r="AV253" s="295">
        <f>'CAR Passenger Kilometres'!P253*'CAR Stock'!P303</f>
        <v>0</v>
      </c>
      <c r="AW253" s="295">
        <f>'CAR Passenger Kilometres'!Q253*'CAR Stock'!Q303</f>
        <v>0</v>
      </c>
      <c r="AX253" s="295">
        <f>'CAR Passenger Kilometres'!R253*'CAR Stock'!R303</f>
        <v>0</v>
      </c>
      <c r="AY253" s="295">
        <f>'CAR Passenger Kilometres'!S253*'CAR Stock'!S303</f>
        <v>0</v>
      </c>
      <c r="AZ253" s="295">
        <f>'CAR Passenger Kilometres'!T253*'CAR Stock'!T303</f>
        <v>0</v>
      </c>
      <c r="BA253" s="295">
        <f>'CAR Passenger Kilometres'!U253*'CAR Stock'!U303</f>
        <v>0</v>
      </c>
      <c r="BB253" s="295">
        <f>'CAR Passenger Kilometres'!V253*'CAR Stock'!V303</f>
        <v>0</v>
      </c>
      <c r="BC253" s="295">
        <f>'CAR Passenger Kilometres'!W253*'CAR Stock'!W303</f>
        <v>0</v>
      </c>
      <c r="BD253" s="295">
        <f>'CAR Passenger Kilometres'!X253*'CAR Stock'!X303</f>
        <v>0</v>
      </c>
      <c r="BE253" s="295">
        <f>'CAR Passenger Kilometres'!Y253*'CAR Stock'!Y303</f>
        <v>0</v>
      </c>
      <c r="BF253" s="295">
        <f>'CAR Passenger Kilometres'!Z253*'CAR Stock'!Z303</f>
        <v>0</v>
      </c>
      <c r="BG253" s="295">
        <f>'CAR Passenger Kilometres'!AA253*'CAR Stock'!AA303</f>
        <v>0</v>
      </c>
      <c r="BH253" s="295">
        <f>'CAR Passenger Kilometres'!AB253*'CAR Stock'!AB303</f>
        <v>0</v>
      </c>
      <c r="BI253" s="295">
        <f>'CAR Passenger Kilometres'!AC253*'CAR Stock'!AC303</f>
        <v>0</v>
      </c>
      <c r="BJ253" s="295">
        <f>'CAR Passenger Kilometres'!AD253*'CAR Stock'!AD303</f>
        <v>0</v>
      </c>
      <c r="BK253" s="296">
        <f>'CAR Passenger Kilometres'!AE253*'CAR Stock'!AE303</f>
        <v>0</v>
      </c>
    </row>
    <row r="254" spans="1:63">
      <c r="A254" s="1711"/>
      <c r="B254" s="116">
        <v>19</v>
      </c>
      <c r="C254" s="294">
        <f>'CAR Mileage'!C275*CAR!$I$58</f>
        <v>15528.025908312338</v>
      </c>
      <c r="D254" s="295">
        <f>'CAR Mileage'!D275*CAR!$I$58</f>
        <v>15528.025908312338</v>
      </c>
      <c r="E254" s="295">
        <f>'CAR Mileage'!E275*CAR!$I$58</f>
        <v>15528.025908312338</v>
      </c>
      <c r="F254" s="295">
        <f>'CAR Mileage'!F275*CAR!$I$58</f>
        <v>15528.025908312338</v>
      </c>
      <c r="G254" s="295">
        <f>'CAR Mileage'!G275*CAR!$I$58</f>
        <v>15528.025908312338</v>
      </c>
      <c r="H254" s="295">
        <f>'CAR Mileage'!H275*CAR!$I$58</f>
        <v>15528.025908312338</v>
      </c>
      <c r="I254" s="295">
        <f>'CAR Mileage'!I275*CAR!$I$58</f>
        <v>15528.025908312338</v>
      </c>
      <c r="J254" s="295">
        <f>'CAR Mileage'!J275*CAR!$I$58</f>
        <v>15528.025908312338</v>
      </c>
      <c r="K254" s="295">
        <f>'CAR Mileage'!K275*CAR!$I$58</f>
        <v>15528.025908312338</v>
      </c>
      <c r="L254" s="295">
        <f>'CAR Mileage'!L275*CAR!$I$58</f>
        <v>15528.025908312338</v>
      </c>
      <c r="M254" s="295">
        <f>'CAR Mileage'!M275*CAR!$I$58</f>
        <v>15528.025908312338</v>
      </c>
      <c r="N254" s="295">
        <f>'CAR Mileage'!N275*CAR!$I$58</f>
        <v>15528.025908312338</v>
      </c>
      <c r="O254" s="295">
        <f>'CAR Mileage'!O275*CAR!$I$58</f>
        <v>15528.025908312338</v>
      </c>
      <c r="P254" s="295">
        <f>'CAR Mileage'!P275*CAR!$I$58</f>
        <v>15528.025908312338</v>
      </c>
      <c r="Q254" s="295">
        <f>'CAR Mileage'!Q275*CAR!$I$58</f>
        <v>15528.025908312338</v>
      </c>
      <c r="R254" s="295">
        <f>'CAR Mileage'!R275*CAR!$I$58</f>
        <v>15528.025908312338</v>
      </c>
      <c r="S254" s="295">
        <f>'CAR Mileage'!S275*CAR!$I$58</f>
        <v>15528.025908312338</v>
      </c>
      <c r="T254" s="295">
        <f>'CAR Mileage'!T275*CAR!$I$58</f>
        <v>15528.025908312338</v>
      </c>
      <c r="U254" s="295">
        <f>'CAR Mileage'!U275*CAR!$I$58</f>
        <v>15528.025908312338</v>
      </c>
      <c r="V254" s="295">
        <f>'CAR Mileage'!V275*CAR!$I$58</f>
        <v>15528.025908312338</v>
      </c>
      <c r="W254" s="295">
        <f>'CAR Mileage'!W275*CAR!$I$58</f>
        <v>15528.025908312338</v>
      </c>
      <c r="X254" s="295">
        <f>'CAR Mileage'!X275*CAR!$I$58</f>
        <v>15528.025908312338</v>
      </c>
      <c r="Y254" s="295">
        <f>'CAR Mileage'!Y275*CAR!$I$58</f>
        <v>15528.025908312338</v>
      </c>
      <c r="Z254" s="295">
        <f>'CAR Mileage'!Z275*CAR!$I$58</f>
        <v>15528.025908312338</v>
      </c>
      <c r="AA254" s="295">
        <f>'CAR Mileage'!AA275*CAR!$I$58</f>
        <v>15528.025908312338</v>
      </c>
      <c r="AB254" s="295">
        <f>'CAR Mileage'!AB275*CAR!$I$58</f>
        <v>15528.025908312338</v>
      </c>
      <c r="AC254" s="295">
        <f>'CAR Mileage'!AC275*CAR!$I$58</f>
        <v>15528.025908312338</v>
      </c>
      <c r="AD254" s="295">
        <f>'CAR Mileage'!AD275*CAR!$I$58</f>
        <v>15528.025908312338</v>
      </c>
      <c r="AE254" s="296">
        <f>'CAR Mileage'!AE275*CAR!$I$58</f>
        <v>15528.025908312338</v>
      </c>
      <c r="AG254" s="1711"/>
      <c r="AH254" s="116">
        <v>19</v>
      </c>
      <c r="AI254" s="294">
        <f>'CAR Passenger Kilometres'!C254*'CAR Stock'!C304</f>
        <v>0</v>
      </c>
      <c r="AJ254" s="295">
        <f>'CAR Passenger Kilometres'!D254*'CAR Stock'!D304</f>
        <v>0</v>
      </c>
      <c r="AK254" s="295">
        <f>'CAR Passenger Kilometres'!E254*'CAR Stock'!E304</f>
        <v>0</v>
      </c>
      <c r="AL254" s="295">
        <f>'CAR Passenger Kilometres'!F254*'CAR Stock'!F304</f>
        <v>0</v>
      </c>
      <c r="AM254" s="295">
        <f>'CAR Passenger Kilometres'!G254*'CAR Stock'!G304</f>
        <v>0</v>
      </c>
      <c r="AN254" s="295">
        <f>'CAR Passenger Kilometres'!H254*'CAR Stock'!H304</f>
        <v>0</v>
      </c>
      <c r="AO254" s="295">
        <f>'CAR Passenger Kilometres'!I254*'CAR Stock'!I304</f>
        <v>0</v>
      </c>
      <c r="AP254" s="295">
        <f>'CAR Passenger Kilometres'!J254*'CAR Stock'!J304</f>
        <v>0</v>
      </c>
      <c r="AQ254" s="295">
        <f>'CAR Passenger Kilometres'!K254*'CAR Stock'!K304</f>
        <v>0</v>
      </c>
      <c r="AR254" s="295">
        <f>'CAR Passenger Kilometres'!L254*'CAR Stock'!L304</f>
        <v>0</v>
      </c>
      <c r="AS254" s="295">
        <f>'CAR Passenger Kilometres'!M254*'CAR Stock'!M304</f>
        <v>0</v>
      </c>
      <c r="AT254" s="295">
        <f>'CAR Passenger Kilometres'!N254*'CAR Stock'!N304</f>
        <v>0</v>
      </c>
      <c r="AU254" s="295">
        <f>'CAR Passenger Kilometres'!O254*'CAR Stock'!O304</f>
        <v>0</v>
      </c>
      <c r="AV254" s="295">
        <f>'CAR Passenger Kilometres'!P254*'CAR Stock'!P304</f>
        <v>0</v>
      </c>
      <c r="AW254" s="295">
        <f>'CAR Passenger Kilometres'!Q254*'CAR Stock'!Q304</f>
        <v>0</v>
      </c>
      <c r="AX254" s="295">
        <f>'CAR Passenger Kilometres'!R254*'CAR Stock'!R304</f>
        <v>0</v>
      </c>
      <c r="AY254" s="295">
        <f>'CAR Passenger Kilometres'!S254*'CAR Stock'!S304</f>
        <v>0</v>
      </c>
      <c r="AZ254" s="295">
        <f>'CAR Passenger Kilometres'!T254*'CAR Stock'!T304</f>
        <v>0</v>
      </c>
      <c r="BA254" s="295">
        <f>'CAR Passenger Kilometres'!U254*'CAR Stock'!U304</f>
        <v>0</v>
      </c>
      <c r="BB254" s="295">
        <f>'CAR Passenger Kilometres'!V254*'CAR Stock'!V304</f>
        <v>0</v>
      </c>
      <c r="BC254" s="295">
        <f>'CAR Passenger Kilometres'!W254*'CAR Stock'!W304</f>
        <v>0</v>
      </c>
      <c r="BD254" s="295">
        <f>'CAR Passenger Kilometres'!X254*'CAR Stock'!X304</f>
        <v>0</v>
      </c>
      <c r="BE254" s="295">
        <f>'CAR Passenger Kilometres'!Y254*'CAR Stock'!Y304</f>
        <v>0</v>
      </c>
      <c r="BF254" s="295">
        <f>'CAR Passenger Kilometres'!Z254*'CAR Stock'!Z304</f>
        <v>0</v>
      </c>
      <c r="BG254" s="295">
        <f>'CAR Passenger Kilometres'!AA254*'CAR Stock'!AA304</f>
        <v>0</v>
      </c>
      <c r="BH254" s="295">
        <f>'CAR Passenger Kilometres'!AB254*'CAR Stock'!AB304</f>
        <v>0</v>
      </c>
      <c r="BI254" s="295">
        <f>'CAR Passenger Kilometres'!AC254*'CAR Stock'!AC304</f>
        <v>0</v>
      </c>
      <c r="BJ254" s="295">
        <f>'CAR Passenger Kilometres'!AD254*'CAR Stock'!AD304</f>
        <v>0</v>
      </c>
      <c r="BK254" s="296">
        <f>'CAR Passenger Kilometres'!AE254*'CAR Stock'!AE304</f>
        <v>0</v>
      </c>
    </row>
    <row r="255" spans="1:63">
      <c r="A255" s="1711"/>
      <c r="B255" s="116">
        <v>20</v>
      </c>
      <c r="C255" s="294">
        <f>'CAR Mileage'!C276*CAR!$I$58</f>
        <v>15528.025908312338</v>
      </c>
      <c r="D255" s="295">
        <f>'CAR Mileage'!D276*CAR!$I$58</f>
        <v>15528.025908312338</v>
      </c>
      <c r="E255" s="295">
        <f>'CAR Mileage'!E276*CAR!$I$58</f>
        <v>15528.025908312338</v>
      </c>
      <c r="F255" s="295">
        <f>'CAR Mileage'!F276*CAR!$I$58</f>
        <v>15528.025908312338</v>
      </c>
      <c r="G255" s="295">
        <f>'CAR Mileage'!G276*CAR!$I$58</f>
        <v>15528.025908312338</v>
      </c>
      <c r="H255" s="295">
        <f>'CAR Mileage'!H276*CAR!$I$58</f>
        <v>15528.025908312338</v>
      </c>
      <c r="I255" s="295">
        <f>'CAR Mileage'!I276*CAR!$I$58</f>
        <v>15528.025908312338</v>
      </c>
      <c r="J255" s="295">
        <f>'CAR Mileage'!J276*CAR!$I$58</f>
        <v>15528.025908312338</v>
      </c>
      <c r="K255" s="295">
        <f>'CAR Mileage'!K276*CAR!$I$58</f>
        <v>15528.025908312338</v>
      </c>
      <c r="L255" s="295">
        <f>'CAR Mileage'!L276*CAR!$I$58</f>
        <v>15528.025908312338</v>
      </c>
      <c r="M255" s="295">
        <f>'CAR Mileage'!M276*CAR!$I$58</f>
        <v>15528.025908312338</v>
      </c>
      <c r="N255" s="295">
        <f>'CAR Mileage'!N276*CAR!$I$58</f>
        <v>15528.025908312338</v>
      </c>
      <c r="O255" s="295">
        <f>'CAR Mileage'!O276*CAR!$I$58</f>
        <v>15528.025908312338</v>
      </c>
      <c r="P255" s="295">
        <f>'CAR Mileage'!P276*CAR!$I$58</f>
        <v>15528.025908312338</v>
      </c>
      <c r="Q255" s="295">
        <f>'CAR Mileage'!Q276*CAR!$I$58</f>
        <v>15528.025908312338</v>
      </c>
      <c r="R255" s="295">
        <f>'CAR Mileage'!R276*CAR!$I$58</f>
        <v>15528.025908312338</v>
      </c>
      <c r="S255" s="295">
        <f>'CAR Mileage'!S276*CAR!$I$58</f>
        <v>15528.025908312338</v>
      </c>
      <c r="T255" s="295">
        <f>'CAR Mileage'!T276*CAR!$I$58</f>
        <v>15528.025908312338</v>
      </c>
      <c r="U255" s="295">
        <f>'CAR Mileage'!U276*CAR!$I$58</f>
        <v>15528.025908312338</v>
      </c>
      <c r="V255" s="295">
        <f>'CAR Mileage'!V276*CAR!$I$58</f>
        <v>15528.025908312338</v>
      </c>
      <c r="W255" s="295">
        <f>'CAR Mileage'!W276*CAR!$I$58</f>
        <v>15528.025908312338</v>
      </c>
      <c r="X255" s="295">
        <f>'CAR Mileage'!X276*CAR!$I$58</f>
        <v>15528.025908312338</v>
      </c>
      <c r="Y255" s="295">
        <f>'CAR Mileage'!Y276*CAR!$I$58</f>
        <v>15528.025908312338</v>
      </c>
      <c r="Z255" s="295">
        <f>'CAR Mileage'!Z276*CAR!$I$58</f>
        <v>15528.025908312338</v>
      </c>
      <c r="AA255" s="295">
        <f>'CAR Mileage'!AA276*CAR!$I$58</f>
        <v>15528.025908312338</v>
      </c>
      <c r="AB255" s="295">
        <f>'CAR Mileage'!AB276*CAR!$I$58</f>
        <v>15528.025908312338</v>
      </c>
      <c r="AC255" s="295">
        <f>'CAR Mileage'!AC276*CAR!$I$58</f>
        <v>15528.025908312338</v>
      </c>
      <c r="AD255" s="295">
        <f>'CAR Mileage'!AD276*CAR!$I$58</f>
        <v>15528.025908312338</v>
      </c>
      <c r="AE255" s="296">
        <f>'CAR Mileage'!AE276*CAR!$I$58</f>
        <v>15528.025908312338</v>
      </c>
      <c r="AG255" s="1711"/>
      <c r="AH255" s="116">
        <v>20</v>
      </c>
      <c r="AI255" s="294">
        <f>'CAR Passenger Kilometres'!C255*'CAR Stock'!C305</f>
        <v>0</v>
      </c>
      <c r="AJ255" s="295">
        <f>'CAR Passenger Kilometres'!D255*'CAR Stock'!D305</f>
        <v>0</v>
      </c>
      <c r="AK255" s="295">
        <f>'CAR Passenger Kilometres'!E255*'CAR Stock'!E305</f>
        <v>0</v>
      </c>
      <c r="AL255" s="295">
        <f>'CAR Passenger Kilometres'!F255*'CAR Stock'!F305</f>
        <v>0</v>
      </c>
      <c r="AM255" s="295">
        <f>'CAR Passenger Kilometres'!G255*'CAR Stock'!G305</f>
        <v>0</v>
      </c>
      <c r="AN255" s="295">
        <f>'CAR Passenger Kilometres'!H255*'CAR Stock'!H305</f>
        <v>0</v>
      </c>
      <c r="AO255" s="295">
        <f>'CAR Passenger Kilometres'!I255*'CAR Stock'!I305</f>
        <v>0</v>
      </c>
      <c r="AP255" s="295">
        <f>'CAR Passenger Kilometres'!J255*'CAR Stock'!J305</f>
        <v>0</v>
      </c>
      <c r="AQ255" s="295">
        <f>'CAR Passenger Kilometres'!K255*'CAR Stock'!K305</f>
        <v>0</v>
      </c>
      <c r="AR255" s="295">
        <f>'CAR Passenger Kilometres'!L255*'CAR Stock'!L305</f>
        <v>0</v>
      </c>
      <c r="AS255" s="295">
        <f>'CAR Passenger Kilometres'!M255*'CAR Stock'!M305</f>
        <v>0</v>
      </c>
      <c r="AT255" s="295">
        <f>'CAR Passenger Kilometres'!N255*'CAR Stock'!N305</f>
        <v>0</v>
      </c>
      <c r="AU255" s="295">
        <f>'CAR Passenger Kilometres'!O255*'CAR Stock'!O305</f>
        <v>0</v>
      </c>
      <c r="AV255" s="295">
        <f>'CAR Passenger Kilometres'!P255*'CAR Stock'!P305</f>
        <v>0</v>
      </c>
      <c r="AW255" s="295">
        <f>'CAR Passenger Kilometres'!Q255*'CAR Stock'!Q305</f>
        <v>0</v>
      </c>
      <c r="AX255" s="295">
        <f>'CAR Passenger Kilometres'!R255*'CAR Stock'!R305</f>
        <v>0</v>
      </c>
      <c r="AY255" s="295">
        <f>'CAR Passenger Kilometres'!S255*'CAR Stock'!S305</f>
        <v>0</v>
      </c>
      <c r="AZ255" s="295">
        <f>'CAR Passenger Kilometres'!T255*'CAR Stock'!T305</f>
        <v>0</v>
      </c>
      <c r="BA255" s="295">
        <f>'CAR Passenger Kilometres'!U255*'CAR Stock'!U305</f>
        <v>0</v>
      </c>
      <c r="BB255" s="295">
        <f>'CAR Passenger Kilometres'!V255*'CAR Stock'!V305</f>
        <v>0</v>
      </c>
      <c r="BC255" s="295">
        <f>'CAR Passenger Kilometres'!W255*'CAR Stock'!W305</f>
        <v>0</v>
      </c>
      <c r="BD255" s="295">
        <f>'CAR Passenger Kilometres'!X255*'CAR Stock'!X305</f>
        <v>0</v>
      </c>
      <c r="BE255" s="295">
        <f>'CAR Passenger Kilometres'!Y255*'CAR Stock'!Y305</f>
        <v>0</v>
      </c>
      <c r="BF255" s="295">
        <f>'CAR Passenger Kilometres'!Z255*'CAR Stock'!Z305</f>
        <v>0</v>
      </c>
      <c r="BG255" s="295">
        <f>'CAR Passenger Kilometres'!AA255*'CAR Stock'!AA305</f>
        <v>0</v>
      </c>
      <c r="BH255" s="295">
        <f>'CAR Passenger Kilometres'!AB255*'CAR Stock'!AB305</f>
        <v>0</v>
      </c>
      <c r="BI255" s="295">
        <f>'CAR Passenger Kilometres'!AC255*'CAR Stock'!AC305</f>
        <v>0</v>
      </c>
      <c r="BJ255" s="295">
        <f>'CAR Passenger Kilometres'!AD255*'CAR Stock'!AD305</f>
        <v>0</v>
      </c>
      <c r="BK255" s="296">
        <f>'CAR Passenger Kilometres'!AE255*'CAR Stock'!AE305</f>
        <v>0</v>
      </c>
    </row>
    <row r="256" spans="1:63">
      <c r="A256" s="1711"/>
      <c r="B256" s="116">
        <v>21</v>
      </c>
      <c r="C256" s="294">
        <f>'CAR Mileage'!C277*CAR!$I$58</f>
        <v>15528.025908312338</v>
      </c>
      <c r="D256" s="295">
        <f>'CAR Mileage'!D277*CAR!$I$58</f>
        <v>15528.025908312338</v>
      </c>
      <c r="E256" s="295">
        <f>'CAR Mileage'!E277*CAR!$I$58</f>
        <v>15528.025908312338</v>
      </c>
      <c r="F256" s="295">
        <f>'CAR Mileage'!F277*CAR!$I$58</f>
        <v>15528.025908312338</v>
      </c>
      <c r="G256" s="295">
        <f>'CAR Mileage'!G277*CAR!$I$58</f>
        <v>15528.025908312338</v>
      </c>
      <c r="H256" s="295">
        <f>'CAR Mileage'!H277*CAR!$I$58</f>
        <v>15528.025908312338</v>
      </c>
      <c r="I256" s="295">
        <f>'CAR Mileage'!I277*CAR!$I$58</f>
        <v>15528.025908312338</v>
      </c>
      <c r="J256" s="295">
        <f>'CAR Mileage'!J277*CAR!$I$58</f>
        <v>15528.025908312338</v>
      </c>
      <c r="K256" s="295">
        <f>'CAR Mileage'!K277*CAR!$I$58</f>
        <v>15528.025908312338</v>
      </c>
      <c r="L256" s="295">
        <f>'CAR Mileage'!L277*CAR!$I$58</f>
        <v>15528.025908312338</v>
      </c>
      <c r="M256" s="295">
        <f>'CAR Mileage'!M277*CAR!$I$58</f>
        <v>15528.025908312338</v>
      </c>
      <c r="N256" s="295">
        <f>'CAR Mileage'!N277*CAR!$I$58</f>
        <v>15528.025908312338</v>
      </c>
      <c r="O256" s="295">
        <f>'CAR Mileage'!O277*CAR!$I$58</f>
        <v>15528.025908312338</v>
      </c>
      <c r="P256" s="295">
        <f>'CAR Mileage'!P277*CAR!$I$58</f>
        <v>15528.025908312338</v>
      </c>
      <c r="Q256" s="295">
        <f>'CAR Mileage'!Q277*CAR!$I$58</f>
        <v>15528.025908312338</v>
      </c>
      <c r="R256" s="295">
        <f>'CAR Mileage'!R277*CAR!$I$58</f>
        <v>15528.025908312338</v>
      </c>
      <c r="S256" s="295">
        <f>'CAR Mileage'!S277*CAR!$I$58</f>
        <v>15528.025908312338</v>
      </c>
      <c r="T256" s="295">
        <f>'CAR Mileage'!T277*CAR!$I$58</f>
        <v>15528.025908312338</v>
      </c>
      <c r="U256" s="295">
        <f>'CAR Mileage'!U277*CAR!$I$58</f>
        <v>15528.025908312338</v>
      </c>
      <c r="V256" s="295">
        <f>'CAR Mileage'!V277*CAR!$I$58</f>
        <v>15528.025908312338</v>
      </c>
      <c r="W256" s="295">
        <f>'CAR Mileage'!W277*CAR!$I$58</f>
        <v>15528.025908312338</v>
      </c>
      <c r="X256" s="295">
        <f>'CAR Mileage'!X277*CAR!$I$58</f>
        <v>15528.025908312338</v>
      </c>
      <c r="Y256" s="295">
        <f>'CAR Mileage'!Y277*CAR!$I$58</f>
        <v>15528.025908312338</v>
      </c>
      <c r="Z256" s="295">
        <f>'CAR Mileage'!Z277*CAR!$I$58</f>
        <v>15528.025908312338</v>
      </c>
      <c r="AA256" s="295">
        <f>'CAR Mileage'!AA277*CAR!$I$58</f>
        <v>15528.025908312338</v>
      </c>
      <c r="AB256" s="295">
        <f>'CAR Mileage'!AB277*CAR!$I$58</f>
        <v>15528.025908312338</v>
      </c>
      <c r="AC256" s="295">
        <f>'CAR Mileage'!AC277*CAR!$I$58</f>
        <v>15528.025908312338</v>
      </c>
      <c r="AD256" s="295">
        <f>'CAR Mileage'!AD277*CAR!$I$58</f>
        <v>15528.025908312338</v>
      </c>
      <c r="AE256" s="296">
        <f>'CAR Mileage'!AE277*CAR!$I$58</f>
        <v>15528.025908312338</v>
      </c>
      <c r="AG256" s="1711"/>
      <c r="AH256" s="116">
        <v>21</v>
      </c>
      <c r="AI256" s="294">
        <f>'CAR Passenger Kilometres'!C256*'CAR Stock'!C306</f>
        <v>0</v>
      </c>
      <c r="AJ256" s="295">
        <f>'CAR Passenger Kilometres'!D256*'CAR Stock'!D306</f>
        <v>0</v>
      </c>
      <c r="AK256" s="295">
        <f>'CAR Passenger Kilometres'!E256*'CAR Stock'!E306</f>
        <v>0</v>
      </c>
      <c r="AL256" s="295">
        <f>'CAR Passenger Kilometres'!F256*'CAR Stock'!F306</f>
        <v>0</v>
      </c>
      <c r="AM256" s="295">
        <f>'CAR Passenger Kilometres'!G256*'CAR Stock'!G306</f>
        <v>0</v>
      </c>
      <c r="AN256" s="295">
        <f>'CAR Passenger Kilometres'!H256*'CAR Stock'!H306</f>
        <v>0</v>
      </c>
      <c r="AO256" s="295">
        <f>'CAR Passenger Kilometres'!I256*'CAR Stock'!I306</f>
        <v>0</v>
      </c>
      <c r="AP256" s="295">
        <f>'CAR Passenger Kilometres'!J256*'CAR Stock'!J306</f>
        <v>0</v>
      </c>
      <c r="AQ256" s="295">
        <f>'CAR Passenger Kilometres'!K256*'CAR Stock'!K306</f>
        <v>0</v>
      </c>
      <c r="AR256" s="295">
        <f>'CAR Passenger Kilometres'!L256*'CAR Stock'!L306</f>
        <v>0</v>
      </c>
      <c r="AS256" s="295">
        <f>'CAR Passenger Kilometres'!M256*'CAR Stock'!M306</f>
        <v>0</v>
      </c>
      <c r="AT256" s="295">
        <f>'CAR Passenger Kilometres'!N256*'CAR Stock'!N306</f>
        <v>0</v>
      </c>
      <c r="AU256" s="295">
        <f>'CAR Passenger Kilometres'!O256*'CAR Stock'!O306</f>
        <v>0</v>
      </c>
      <c r="AV256" s="295">
        <f>'CAR Passenger Kilometres'!P256*'CAR Stock'!P306</f>
        <v>0</v>
      </c>
      <c r="AW256" s="295">
        <f>'CAR Passenger Kilometres'!Q256*'CAR Stock'!Q306</f>
        <v>0</v>
      </c>
      <c r="AX256" s="295">
        <f>'CAR Passenger Kilometres'!R256*'CAR Stock'!R306</f>
        <v>0</v>
      </c>
      <c r="AY256" s="295">
        <f>'CAR Passenger Kilometres'!S256*'CAR Stock'!S306</f>
        <v>0</v>
      </c>
      <c r="AZ256" s="295">
        <f>'CAR Passenger Kilometres'!T256*'CAR Stock'!T306</f>
        <v>0</v>
      </c>
      <c r="BA256" s="295">
        <f>'CAR Passenger Kilometres'!U256*'CAR Stock'!U306</f>
        <v>0</v>
      </c>
      <c r="BB256" s="295">
        <f>'CAR Passenger Kilometres'!V256*'CAR Stock'!V306</f>
        <v>0</v>
      </c>
      <c r="BC256" s="295">
        <f>'CAR Passenger Kilometres'!W256*'CAR Stock'!W306</f>
        <v>0</v>
      </c>
      <c r="BD256" s="295">
        <f>'CAR Passenger Kilometres'!X256*'CAR Stock'!X306</f>
        <v>0</v>
      </c>
      <c r="BE256" s="295">
        <f>'CAR Passenger Kilometres'!Y256*'CAR Stock'!Y306</f>
        <v>0</v>
      </c>
      <c r="BF256" s="295">
        <f>'CAR Passenger Kilometres'!Z256*'CAR Stock'!Z306</f>
        <v>0</v>
      </c>
      <c r="BG256" s="295">
        <f>'CAR Passenger Kilometres'!AA256*'CAR Stock'!AA306</f>
        <v>0</v>
      </c>
      <c r="BH256" s="295">
        <f>'CAR Passenger Kilometres'!AB256*'CAR Stock'!AB306</f>
        <v>0</v>
      </c>
      <c r="BI256" s="295">
        <f>'CAR Passenger Kilometres'!AC256*'CAR Stock'!AC306</f>
        <v>0</v>
      </c>
      <c r="BJ256" s="295">
        <f>'CAR Passenger Kilometres'!AD256*'CAR Stock'!AD306</f>
        <v>0</v>
      </c>
      <c r="BK256" s="296">
        <f>'CAR Passenger Kilometres'!AE256*'CAR Stock'!AE306</f>
        <v>0</v>
      </c>
    </row>
    <row r="257" spans="1:63">
      <c r="A257" s="1711"/>
      <c r="B257" s="116">
        <v>22</v>
      </c>
      <c r="C257" s="294">
        <f>'CAR Mileage'!C278*CAR!$I$58</f>
        <v>15528.025908312338</v>
      </c>
      <c r="D257" s="295">
        <f>'CAR Mileage'!D278*CAR!$I$58</f>
        <v>15528.025908312338</v>
      </c>
      <c r="E257" s="295">
        <f>'CAR Mileage'!E278*CAR!$I$58</f>
        <v>15528.025908312338</v>
      </c>
      <c r="F257" s="295">
        <f>'CAR Mileage'!F278*CAR!$I$58</f>
        <v>15528.025908312338</v>
      </c>
      <c r="G257" s="295">
        <f>'CAR Mileage'!G278*CAR!$I$58</f>
        <v>15528.025908312338</v>
      </c>
      <c r="H257" s="295">
        <f>'CAR Mileage'!H278*CAR!$I$58</f>
        <v>15528.025908312338</v>
      </c>
      <c r="I257" s="295">
        <f>'CAR Mileage'!I278*CAR!$I$58</f>
        <v>15528.025908312338</v>
      </c>
      <c r="J257" s="295">
        <f>'CAR Mileage'!J278*CAR!$I$58</f>
        <v>15528.025908312338</v>
      </c>
      <c r="K257" s="295">
        <f>'CAR Mileage'!K278*CAR!$I$58</f>
        <v>15528.025908312338</v>
      </c>
      <c r="L257" s="295">
        <f>'CAR Mileage'!L278*CAR!$I$58</f>
        <v>15528.025908312338</v>
      </c>
      <c r="M257" s="295">
        <f>'CAR Mileage'!M278*CAR!$I$58</f>
        <v>15528.025908312338</v>
      </c>
      <c r="N257" s="295">
        <f>'CAR Mileage'!N278*CAR!$I$58</f>
        <v>15528.025908312338</v>
      </c>
      <c r="O257" s="295">
        <f>'CAR Mileage'!O278*CAR!$I$58</f>
        <v>15528.025908312338</v>
      </c>
      <c r="P257" s="295">
        <f>'CAR Mileage'!P278*CAR!$I$58</f>
        <v>15528.025908312338</v>
      </c>
      <c r="Q257" s="295">
        <f>'CAR Mileage'!Q278*CAR!$I$58</f>
        <v>15528.025908312338</v>
      </c>
      <c r="R257" s="295">
        <f>'CAR Mileage'!R278*CAR!$I$58</f>
        <v>15528.025908312338</v>
      </c>
      <c r="S257" s="295">
        <f>'CAR Mileage'!S278*CAR!$I$58</f>
        <v>15528.025908312338</v>
      </c>
      <c r="T257" s="295">
        <f>'CAR Mileage'!T278*CAR!$I$58</f>
        <v>15528.025908312338</v>
      </c>
      <c r="U257" s="295">
        <f>'CAR Mileage'!U278*CAR!$I$58</f>
        <v>15528.025908312338</v>
      </c>
      <c r="V257" s="295">
        <f>'CAR Mileage'!V278*CAR!$I$58</f>
        <v>15528.025908312338</v>
      </c>
      <c r="W257" s="295">
        <f>'CAR Mileage'!W278*CAR!$I$58</f>
        <v>15528.025908312338</v>
      </c>
      <c r="X257" s="295">
        <f>'CAR Mileage'!X278*CAR!$I$58</f>
        <v>15528.025908312338</v>
      </c>
      <c r="Y257" s="295">
        <f>'CAR Mileage'!Y278*CAR!$I$58</f>
        <v>15528.025908312338</v>
      </c>
      <c r="Z257" s="295">
        <f>'CAR Mileage'!Z278*CAR!$I$58</f>
        <v>15528.025908312338</v>
      </c>
      <c r="AA257" s="295">
        <f>'CAR Mileage'!AA278*CAR!$I$58</f>
        <v>15528.025908312338</v>
      </c>
      <c r="AB257" s="295">
        <f>'CAR Mileage'!AB278*CAR!$I$58</f>
        <v>15528.025908312338</v>
      </c>
      <c r="AC257" s="295">
        <f>'CAR Mileage'!AC278*CAR!$I$58</f>
        <v>15528.025908312338</v>
      </c>
      <c r="AD257" s="295">
        <f>'CAR Mileage'!AD278*CAR!$I$58</f>
        <v>15528.025908312338</v>
      </c>
      <c r="AE257" s="296">
        <f>'CAR Mileage'!AE278*CAR!$I$58</f>
        <v>15528.025908312338</v>
      </c>
      <c r="AG257" s="1711"/>
      <c r="AH257" s="116">
        <v>22</v>
      </c>
      <c r="AI257" s="294">
        <f>'CAR Passenger Kilometres'!C257*'CAR Stock'!C307</f>
        <v>0</v>
      </c>
      <c r="AJ257" s="295">
        <f>'CAR Passenger Kilometres'!D257*'CAR Stock'!D307</f>
        <v>0</v>
      </c>
      <c r="AK257" s="295">
        <f>'CAR Passenger Kilometres'!E257*'CAR Stock'!E307</f>
        <v>0</v>
      </c>
      <c r="AL257" s="295">
        <f>'CAR Passenger Kilometres'!F257*'CAR Stock'!F307</f>
        <v>0</v>
      </c>
      <c r="AM257" s="295">
        <f>'CAR Passenger Kilometres'!G257*'CAR Stock'!G307</f>
        <v>0</v>
      </c>
      <c r="AN257" s="295">
        <f>'CAR Passenger Kilometres'!H257*'CAR Stock'!H307</f>
        <v>0</v>
      </c>
      <c r="AO257" s="295">
        <f>'CAR Passenger Kilometres'!I257*'CAR Stock'!I307</f>
        <v>0</v>
      </c>
      <c r="AP257" s="295">
        <f>'CAR Passenger Kilometres'!J257*'CAR Stock'!J307</f>
        <v>0</v>
      </c>
      <c r="AQ257" s="295">
        <f>'CAR Passenger Kilometres'!K257*'CAR Stock'!K307</f>
        <v>0</v>
      </c>
      <c r="AR257" s="295">
        <f>'CAR Passenger Kilometres'!L257*'CAR Stock'!L307</f>
        <v>0</v>
      </c>
      <c r="AS257" s="295">
        <f>'CAR Passenger Kilometres'!M257*'CAR Stock'!M307</f>
        <v>0</v>
      </c>
      <c r="AT257" s="295">
        <f>'CAR Passenger Kilometres'!N257*'CAR Stock'!N307</f>
        <v>0</v>
      </c>
      <c r="AU257" s="295">
        <f>'CAR Passenger Kilometres'!O257*'CAR Stock'!O307</f>
        <v>0</v>
      </c>
      <c r="AV257" s="295">
        <f>'CAR Passenger Kilometres'!P257*'CAR Stock'!P307</f>
        <v>0</v>
      </c>
      <c r="AW257" s="295">
        <f>'CAR Passenger Kilometres'!Q257*'CAR Stock'!Q307</f>
        <v>0</v>
      </c>
      <c r="AX257" s="295">
        <f>'CAR Passenger Kilometres'!R257*'CAR Stock'!R307</f>
        <v>0</v>
      </c>
      <c r="AY257" s="295">
        <f>'CAR Passenger Kilometres'!S257*'CAR Stock'!S307</f>
        <v>0</v>
      </c>
      <c r="AZ257" s="295">
        <f>'CAR Passenger Kilometres'!T257*'CAR Stock'!T307</f>
        <v>0</v>
      </c>
      <c r="BA257" s="295">
        <f>'CAR Passenger Kilometres'!U257*'CAR Stock'!U307</f>
        <v>0</v>
      </c>
      <c r="BB257" s="295">
        <f>'CAR Passenger Kilometres'!V257*'CAR Stock'!V307</f>
        <v>0</v>
      </c>
      <c r="BC257" s="295">
        <f>'CAR Passenger Kilometres'!W257*'CAR Stock'!W307</f>
        <v>0</v>
      </c>
      <c r="BD257" s="295">
        <f>'CAR Passenger Kilometres'!X257*'CAR Stock'!X307</f>
        <v>0</v>
      </c>
      <c r="BE257" s="295">
        <f>'CAR Passenger Kilometres'!Y257*'CAR Stock'!Y307</f>
        <v>0</v>
      </c>
      <c r="BF257" s="295">
        <f>'CAR Passenger Kilometres'!Z257*'CAR Stock'!Z307</f>
        <v>0</v>
      </c>
      <c r="BG257" s="295">
        <f>'CAR Passenger Kilometres'!AA257*'CAR Stock'!AA307</f>
        <v>0</v>
      </c>
      <c r="BH257" s="295">
        <f>'CAR Passenger Kilometres'!AB257*'CAR Stock'!AB307</f>
        <v>0</v>
      </c>
      <c r="BI257" s="295">
        <f>'CAR Passenger Kilometres'!AC257*'CAR Stock'!AC307</f>
        <v>0</v>
      </c>
      <c r="BJ257" s="295">
        <f>'CAR Passenger Kilometres'!AD257*'CAR Stock'!AD307</f>
        <v>0</v>
      </c>
      <c r="BK257" s="296">
        <f>'CAR Passenger Kilometres'!AE257*'CAR Stock'!AE307</f>
        <v>0</v>
      </c>
    </row>
    <row r="258" spans="1:63">
      <c r="A258" s="1711"/>
      <c r="B258" s="116">
        <v>23</v>
      </c>
      <c r="C258" s="294">
        <f>'CAR Mileage'!C279*CAR!$I$58</f>
        <v>15528.025908312338</v>
      </c>
      <c r="D258" s="295">
        <f>'CAR Mileage'!D279*CAR!$I$58</f>
        <v>15528.025908312338</v>
      </c>
      <c r="E258" s="295">
        <f>'CAR Mileage'!E279*CAR!$I$58</f>
        <v>15528.025908312338</v>
      </c>
      <c r="F258" s="295">
        <f>'CAR Mileage'!F279*CAR!$I$58</f>
        <v>15528.025908312338</v>
      </c>
      <c r="G258" s="295">
        <f>'CAR Mileage'!G279*CAR!$I$58</f>
        <v>15528.025908312338</v>
      </c>
      <c r="H258" s="295">
        <f>'CAR Mileage'!H279*CAR!$I$58</f>
        <v>15528.025908312338</v>
      </c>
      <c r="I258" s="295">
        <f>'CAR Mileage'!I279*CAR!$I$58</f>
        <v>15528.025908312338</v>
      </c>
      <c r="J258" s="295">
        <f>'CAR Mileage'!J279*CAR!$I$58</f>
        <v>15528.025908312338</v>
      </c>
      <c r="K258" s="295">
        <f>'CAR Mileage'!K279*CAR!$I$58</f>
        <v>15528.025908312338</v>
      </c>
      <c r="L258" s="295">
        <f>'CAR Mileage'!L279*CAR!$I$58</f>
        <v>15528.025908312338</v>
      </c>
      <c r="M258" s="295">
        <f>'CAR Mileage'!M279*CAR!$I$58</f>
        <v>15528.025908312338</v>
      </c>
      <c r="N258" s="295">
        <f>'CAR Mileage'!N279*CAR!$I$58</f>
        <v>15528.025908312338</v>
      </c>
      <c r="O258" s="295">
        <f>'CAR Mileage'!O279*CAR!$I$58</f>
        <v>15528.025908312338</v>
      </c>
      <c r="P258" s="295">
        <f>'CAR Mileage'!P279*CAR!$I$58</f>
        <v>15528.025908312338</v>
      </c>
      <c r="Q258" s="295">
        <f>'CAR Mileage'!Q279*CAR!$I$58</f>
        <v>15528.025908312338</v>
      </c>
      <c r="R258" s="295">
        <f>'CAR Mileage'!R279*CAR!$I$58</f>
        <v>15528.025908312338</v>
      </c>
      <c r="S258" s="295">
        <f>'CAR Mileage'!S279*CAR!$I$58</f>
        <v>15528.025908312338</v>
      </c>
      <c r="T258" s="295">
        <f>'CAR Mileage'!T279*CAR!$I$58</f>
        <v>15528.025908312338</v>
      </c>
      <c r="U258" s="295">
        <f>'CAR Mileage'!U279*CAR!$I$58</f>
        <v>15528.025908312338</v>
      </c>
      <c r="V258" s="295">
        <f>'CAR Mileage'!V279*CAR!$I$58</f>
        <v>15528.025908312338</v>
      </c>
      <c r="W258" s="295">
        <f>'CAR Mileage'!W279*CAR!$I$58</f>
        <v>15528.025908312338</v>
      </c>
      <c r="X258" s="295">
        <f>'CAR Mileage'!X279*CAR!$I$58</f>
        <v>15528.025908312338</v>
      </c>
      <c r="Y258" s="295">
        <f>'CAR Mileage'!Y279*CAR!$I$58</f>
        <v>15528.025908312338</v>
      </c>
      <c r="Z258" s="295">
        <f>'CAR Mileage'!Z279*CAR!$I$58</f>
        <v>15528.025908312338</v>
      </c>
      <c r="AA258" s="295">
        <f>'CAR Mileage'!AA279*CAR!$I$58</f>
        <v>15528.025908312338</v>
      </c>
      <c r="AB258" s="295">
        <f>'CAR Mileage'!AB279*CAR!$I$58</f>
        <v>15528.025908312338</v>
      </c>
      <c r="AC258" s="295">
        <f>'CAR Mileage'!AC279*CAR!$I$58</f>
        <v>15528.025908312338</v>
      </c>
      <c r="AD258" s="295">
        <f>'CAR Mileage'!AD279*CAR!$I$58</f>
        <v>15528.025908312338</v>
      </c>
      <c r="AE258" s="296">
        <f>'CAR Mileage'!AE279*CAR!$I$58</f>
        <v>15528.025908312338</v>
      </c>
      <c r="AG258" s="1711"/>
      <c r="AH258" s="116">
        <v>23</v>
      </c>
      <c r="AI258" s="294">
        <f>'CAR Passenger Kilometres'!C258*'CAR Stock'!C308</f>
        <v>0</v>
      </c>
      <c r="AJ258" s="295">
        <f>'CAR Passenger Kilometres'!D258*'CAR Stock'!D308</f>
        <v>0</v>
      </c>
      <c r="AK258" s="295">
        <f>'CAR Passenger Kilometres'!E258*'CAR Stock'!E308</f>
        <v>0</v>
      </c>
      <c r="AL258" s="295">
        <f>'CAR Passenger Kilometres'!F258*'CAR Stock'!F308</f>
        <v>0</v>
      </c>
      <c r="AM258" s="295">
        <f>'CAR Passenger Kilometres'!G258*'CAR Stock'!G308</f>
        <v>0</v>
      </c>
      <c r="AN258" s="295">
        <f>'CAR Passenger Kilometres'!H258*'CAR Stock'!H308</f>
        <v>0</v>
      </c>
      <c r="AO258" s="295">
        <f>'CAR Passenger Kilometres'!I258*'CAR Stock'!I308</f>
        <v>0</v>
      </c>
      <c r="AP258" s="295">
        <f>'CAR Passenger Kilometres'!J258*'CAR Stock'!J308</f>
        <v>0</v>
      </c>
      <c r="AQ258" s="295">
        <f>'CAR Passenger Kilometres'!K258*'CAR Stock'!K308</f>
        <v>0</v>
      </c>
      <c r="AR258" s="295">
        <f>'CAR Passenger Kilometres'!L258*'CAR Stock'!L308</f>
        <v>0</v>
      </c>
      <c r="AS258" s="295">
        <f>'CAR Passenger Kilometres'!M258*'CAR Stock'!M308</f>
        <v>0</v>
      </c>
      <c r="AT258" s="295">
        <f>'CAR Passenger Kilometres'!N258*'CAR Stock'!N308</f>
        <v>0</v>
      </c>
      <c r="AU258" s="295">
        <f>'CAR Passenger Kilometres'!O258*'CAR Stock'!O308</f>
        <v>0</v>
      </c>
      <c r="AV258" s="295">
        <f>'CAR Passenger Kilometres'!P258*'CAR Stock'!P308</f>
        <v>0</v>
      </c>
      <c r="AW258" s="295">
        <f>'CAR Passenger Kilometres'!Q258*'CAR Stock'!Q308</f>
        <v>0</v>
      </c>
      <c r="AX258" s="295">
        <f>'CAR Passenger Kilometres'!R258*'CAR Stock'!R308</f>
        <v>0</v>
      </c>
      <c r="AY258" s="295">
        <f>'CAR Passenger Kilometres'!S258*'CAR Stock'!S308</f>
        <v>0</v>
      </c>
      <c r="AZ258" s="295">
        <f>'CAR Passenger Kilometres'!T258*'CAR Stock'!T308</f>
        <v>0</v>
      </c>
      <c r="BA258" s="295">
        <f>'CAR Passenger Kilometres'!U258*'CAR Stock'!U308</f>
        <v>0</v>
      </c>
      <c r="BB258" s="295">
        <f>'CAR Passenger Kilometres'!V258*'CAR Stock'!V308</f>
        <v>0</v>
      </c>
      <c r="BC258" s="295">
        <f>'CAR Passenger Kilometres'!W258*'CAR Stock'!W308</f>
        <v>0</v>
      </c>
      <c r="BD258" s="295">
        <f>'CAR Passenger Kilometres'!X258*'CAR Stock'!X308</f>
        <v>0</v>
      </c>
      <c r="BE258" s="295">
        <f>'CAR Passenger Kilometres'!Y258*'CAR Stock'!Y308</f>
        <v>0</v>
      </c>
      <c r="BF258" s="295">
        <f>'CAR Passenger Kilometres'!Z258*'CAR Stock'!Z308</f>
        <v>0</v>
      </c>
      <c r="BG258" s="295">
        <f>'CAR Passenger Kilometres'!AA258*'CAR Stock'!AA308</f>
        <v>0</v>
      </c>
      <c r="BH258" s="295">
        <f>'CAR Passenger Kilometres'!AB258*'CAR Stock'!AB308</f>
        <v>0</v>
      </c>
      <c r="BI258" s="295">
        <f>'CAR Passenger Kilometres'!AC258*'CAR Stock'!AC308</f>
        <v>0</v>
      </c>
      <c r="BJ258" s="295">
        <f>'CAR Passenger Kilometres'!AD258*'CAR Stock'!AD308</f>
        <v>0</v>
      </c>
      <c r="BK258" s="296">
        <f>'CAR Passenger Kilometres'!AE258*'CAR Stock'!AE308</f>
        <v>0</v>
      </c>
    </row>
    <row r="259" spans="1:63">
      <c r="A259" s="1711"/>
      <c r="B259" s="116">
        <v>24</v>
      </c>
      <c r="C259" s="294">
        <f>'CAR Mileage'!C280*CAR!$I$58</f>
        <v>15528.025908312338</v>
      </c>
      <c r="D259" s="295">
        <f>'CAR Mileage'!D280*CAR!$I$58</f>
        <v>15528.025908312338</v>
      </c>
      <c r="E259" s="295">
        <f>'CAR Mileage'!E280*CAR!$I$58</f>
        <v>15528.025908312338</v>
      </c>
      <c r="F259" s="295">
        <f>'CAR Mileage'!F280*CAR!$I$58</f>
        <v>15528.025908312338</v>
      </c>
      <c r="G259" s="295">
        <f>'CAR Mileage'!G280*CAR!$I$58</f>
        <v>15528.025908312338</v>
      </c>
      <c r="H259" s="295">
        <f>'CAR Mileage'!H280*CAR!$I$58</f>
        <v>15528.025908312338</v>
      </c>
      <c r="I259" s="295">
        <f>'CAR Mileage'!I280*CAR!$I$58</f>
        <v>15528.025908312338</v>
      </c>
      <c r="J259" s="295">
        <f>'CAR Mileage'!J280*CAR!$I$58</f>
        <v>15528.025908312338</v>
      </c>
      <c r="K259" s="295">
        <f>'CAR Mileage'!K280*CAR!$I$58</f>
        <v>15528.025908312338</v>
      </c>
      <c r="L259" s="295">
        <f>'CAR Mileage'!L280*CAR!$I$58</f>
        <v>15528.025908312338</v>
      </c>
      <c r="M259" s="295">
        <f>'CAR Mileage'!M280*CAR!$I$58</f>
        <v>15528.025908312338</v>
      </c>
      <c r="N259" s="295">
        <f>'CAR Mileage'!N280*CAR!$I$58</f>
        <v>15528.025908312338</v>
      </c>
      <c r="O259" s="295">
        <f>'CAR Mileage'!O280*CAR!$I$58</f>
        <v>15528.025908312338</v>
      </c>
      <c r="P259" s="295">
        <f>'CAR Mileage'!P280*CAR!$I$58</f>
        <v>15528.025908312338</v>
      </c>
      <c r="Q259" s="295">
        <f>'CAR Mileage'!Q280*CAR!$I$58</f>
        <v>15528.025908312338</v>
      </c>
      <c r="R259" s="295">
        <f>'CAR Mileage'!R280*CAR!$I$58</f>
        <v>15528.025908312338</v>
      </c>
      <c r="S259" s="295">
        <f>'CAR Mileage'!S280*CAR!$I$58</f>
        <v>15528.025908312338</v>
      </c>
      <c r="T259" s="295">
        <f>'CAR Mileage'!T280*CAR!$I$58</f>
        <v>15528.025908312338</v>
      </c>
      <c r="U259" s="295">
        <f>'CAR Mileage'!U280*CAR!$I$58</f>
        <v>15528.025908312338</v>
      </c>
      <c r="V259" s="295">
        <f>'CAR Mileage'!V280*CAR!$I$58</f>
        <v>15528.025908312338</v>
      </c>
      <c r="W259" s="295">
        <f>'CAR Mileage'!W280*CAR!$I$58</f>
        <v>15528.025908312338</v>
      </c>
      <c r="X259" s="295">
        <f>'CAR Mileage'!X280*CAR!$I$58</f>
        <v>15528.025908312338</v>
      </c>
      <c r="Y259" s="295">
        <f>'CAR Mileage'!Y280*CAR!$I$58</f>
        <v>15528.025908312338</v>
      </c>
      <c r="Z259" s="295">
        <f>'CAR Mileage'!Z280*CAR!$I$58</f>
        <v>15528.025908312338</v>
      </c>
      <c r="AA259" s="295">
        <f>'CAR Mileage'!AA280*CAR!$I$58</f>
        <v>15528.025908312338</v>
      </c>
      <c r="AB259" s="295">
        <f>'CAR Mileage'!AB280*CAR!$I$58</f>
        <v>15528.025908312338</v>
      </c>
      <c r="AC259" s="295">
        <f>'CAR Mileage'!AC280*CAR!$I$58</f>
        <v>15528.025908312338</v>
      </c>
      <c r="AD259" s="295">
        <f>'CAR Mileage'!AD280*CAR!$I$58</f>
        <v>15528.025908312338</v>
      </c>
      <c r="AE259" s="296">
        <f>'CAR Mileage'!AE280*CAR!$I$58</f>
        <v>15528.025908312338</v>
      </c>
      <c r="AG259" s="1711"/>
      <c r="AH259" s="116">
        <v>24</v>
      </c>
      <c r="AI259" s="294">
        <f>'CAR Passenger Kilometres'!C259*'CAR Stock'!C309</f>
        <v>0</v>
      </c>
      <c r="AJ259" s="295">
        <f>'CAR Passenger Kilometres'!D259*'CAR Stock'!D309</f>
        <v>0</v>
      </c>
      <c r="AK259" s="295">
        <f>'CAR Passenger Kilometres'!E259*'CAR Stock'!E309</f>
        <v>0</v>
      </c>
      <c r="AL259" s="295">
        <f>'CAR Passenger Kilometres'!F259*'CAR Stock'!F309</f>
        <v>0</v>
      </c>
      <c r="AM259" s="295">
        <f>'CAR Passenger Kilometres'!G259*'CAR Stock'!G309</f>
        <v>0</v>
      </c>
      <c r="AN259" s="295">
        <f>'CAR Passenger Kilometres'!H259*'CAR Stock'!H309</f>
        <v>0</v>
      </c>
      <c r="AO259" s="295">
        <f>'CAR Passenger Kilometres'!I259*'CAR Stock'!I309</f>
        <v>0</v>
      </c>
      <c r="AP259" s="295">
        <f>'CAR Passenger Kilometres'!J259*'CAR Stock'!J309</f>
        <v>0</v>
      </c>
      <c r="AQ259" s="295">
        <f>'CAR Passenger Kilometres'!K259*'CAR Stock'!K309</f>
        <v>0</v>
      </c>
      <c r="AR259" s="295">
        <f>'CAR Passenger Kilometres'!L259*'CAR Stock'!L309</f>
        <v>0</v>
      </c>
      <c r="AS259" s="295">
        <f>'CAR Passenger Kilometres'!M259*'CAR Stock'!M309</f>
        <v>0</v>
      </c>
      <c r="AT259" s="295">
        <f>'CAR Passenger Kilometres'!N259*'CAR Stock'!N309</f>
        <v>0</v>
      </c>
      <c r="AU259" s="295">
        <f>'CAR Passenger Kilometres'!O259*'CAR Stock'!O309</f>
        <v>0</v>
      </c>
      <c r="AV259" s="295">
        <f>'CAR Passenger Kilometres'!P259*'CAR Stock'!P309</f>
        <v>0</v>
      </c>
      <c r="AW259" s="295">
        <f>'CAR Passenger Kilometres'!Q259*'CAR Stock'!Q309</f>
        <v>0</v>
      </c>
      <c r="AX259" s="295">
        <f>'CAR Passenger Kilometres'!R259*'CAR Stock'!R309</f>
        <v>0</v>
      </c>
      <c r="AY259" s="295">
        <f>'CAR Passenger Kilometres'!S259*'CAR Stock'!S309</f>
        <v>0</v>
      </c>
      <c r="AZ259" s="295">
        <f>'CAR Passenger Kilometres'!T259*'CAR Stock'!T309</f>
        <v>0</v>
      </c>
      <c r="BA259" s="295">
        <f>'CAR Passenger Kilometres'!U259*'CAR Stock'!U309</f>
        <v>0</v>
      </c>
      <c r="BB259" s="295">
        <f>'CAR Passenger Kilometres'!V259*'CAR Stock'!V309</f>
        <v>0</v>
      </c>
      <c r="BC259" s="295">
        <f>'CAR Passenger Kilometres'!W259*'CAR Stock'!W309</f>
        <v>0</v>
      </c>
      <c r="BD259" s="295">
        <f>'CAR Passenger Kilometres'!X259*'CAR Stock'!X309</f>
        <v>0</v>
      </c>
      <c r="BE259" s="295">
        <f>'CAR Passenger Kilometres'!Y259*'CAR Stock'!Y309</f>
        <v>0</v>
      </c>
      <c r="BF259" s="295">
        <f>'CAR Passenger Kilometres'!Z259*'CAR Stock'!Z309</f>
        <v>0</v>
      </c>
      <c r="BG259" s="295">
        <f>'CAR Passenger Kilometres'!AA259*'CAR Stock'!AA309</f>
        <v>0</v>
      </c>
      <c r="BH259" s="295">
        <f>'CAR Passenger Kilometres'!AB259*'CAR Stock'!AB309</f>
        <v>0</v>
      </c>
      <c r="BI259" s="295">
        <f>'CAR Passenger Kilometres'!AC259*'CAR Stock'!AC309</f>
        <v>0</v>
      </c>
      <c r="BJ259" s="295">
        <f>'CAR Passenger Kilometres'!AD259*'CAR Stock'!AD309</f>
        <v>0</v>
      </c>
      <c r="BK259" s="296">
        <f>'CAR Passenger Kilometres'!AE259*'CAR Stock'!AE309</f>
        <v>0</v>
      </c>
    </row>
    <row r="260" spans="1:63" ht="15.75" thickBot="1">
      <c r="A260" s="1711"/>
      <c r="B260" s="116">
        <v>25</v>
      </c>
      <c r="C260" s="297">
        <f>'CAR Mileage'!C281*CAR!$I$58</f>
        <v>15528.025908312338</v>
      </c>
      <c r="D260" s="298">
        <f>'CAR Mileage'!D281*CAR!$I$58</f>
        <v>15528.025908312338</v>
      </c>
      <c r="E260" s="298">
        <f>'CAR Mileage'!E281*CAR!$I$58</f>
        <v>15528.025908312338</v>
      </c>
      <c r="F260" s="298">
        <f>'CAR Mileage'!F281*CAR!$I$58</f>
        <v>15528.025908312338</v>
      </c>
      <c r="G260" s="298">
        <f>'CAR Mileage'!G281*CAR!$I$58</f>
        <v>15528.025908312338</v>
      </c>
      <c r="H260" s="298">
        <f>'CAR Mileage'!H281*CAR!$I$58</f>
        <v>15528.025908312338</v>
      </c>
      <c r="I260" s="298">
        <f>'CAR Mileage'!I281*CAR!$I$58</f>
        <v>15528.025908312338</v>
      </c>
      <c r="J260" s="298">
        <f>'CAR Mileage'!J281*CAR!$I$58</f>
        <v>15528.025908312338</v>
      </c>
      <c r="K260" s="298">
        <f>'CAR Mileage'!K281*CAR!$I$58</f>
        <v>15528.025908312338</v>
      </c>
      <c r="L260" s="298">
        <f>'CAR Mileage'!L281*CAR!$I$58</f>
        <v>15528.025908312338</v>
      </c>
      <c r="M260" s="298">
        <f>'CAR Mileage'!M281*CAR!$I$58</f>
        <v>15528.025908312338</v>
      </c>
      <c r="N260" s="298">
        <f>'CAR Mileage'!N281*CAR!$I$58</f>
        <v>15528.025908312338</v>
      </c>
      <c r="O260" s="298">
        <f>'CAR Mileage'!O281*CAR!$I$58</f>
        <v>15528.025908312338</v>
      </c>
      <c r="P260" s="298">
        <f>'CAR Mileage'!P281*CAR!$I$58</f>
        <v>15528.025908312338</v>
      </c>
      <c r="Q260" s="298">
        <f>'CAR Mileage'!Q281*CAR!$I$58</f>
        <v>15528.025908312338</v>
      </c>
      <c r="R260" s="298">
        <f>'CAR Mileage'!R281*CAR!$I$58</f>
        <v>15528.025908312338</v>
      </c>
      <c r="S260" s="298">
        <f>'CAR Mileage'!S281*CAR!$I$58</f>
        <v>15528.025908312338</v>
      </c>
      <c r="T260" s="298">
        <f>'CAR Mileage'!T281*CAR!$I$58</f>
        <v>15528.025908312338</v>
      </c>
      <c r="U260" s="298">
        <f>'CAR Mileage'!U281*CAR!$I$58</f>
        <v>15528.025908312338</v>
      </c>
      <c r="V260" s="298">
        <f>'CAR Mileage'!V281*CAR!$I$58</f>
        <v>15528.025908312338</v>
      </c>
      <c r="W260" s="298">
        <f>'CAR Mileage'!W281*CAR!$I$58</f>
        <v>15528.025908312338</v>
      </c>
      <c r="X260" s="298">
        <f>'CAR Mileage'!X281*CAR!$I$58</f>
        <v>15528.025908312338</v>
      </c>
      <c r="Y260" s="298">
        <f>'CAR Mileage'!Y281*CAR!$I$58</f>
        <v>15528.025908312338</v>
      </c>
      <c r="Z260" s="298">
        <f>'CAR Mileage'!Z281*CAR!$I$58</f>
        <v>15528.025908312338</v>
      </c>
      <c r="AA260" s="298">
        <f>'CAR Mileage'!AA281*CAR!$I$58</f>
        <v>15528.025908312338</v>
      </c>
      <c r="AB260" s="298">
        <f>'CAR Mileage'!AB281*CAR!$I$58</f>
        <v>15528.025908312338</v>
      </c>
      <c r="AC260" s="298">
        <f>'CAR Mileage'!AC281*CAR!$I$58</f>
        <v>15528.025908312338</v>
      </c>
      <c r="AD260" s="298">
        <f>'CAR Mileage'!AD281*CAR!$I$58</f>
        <v>15528.025908312338</v>
      </c>
      <c r="AE260" s="299">
        <f>'CAR Mileage'!AE281*CAR!$I$58</f>
        <v>15528.025908312338</v>
      </c>
      <c r="AG260" s="1711"/>
      <c r="AH260" s="116">
        <v>25</v>
      </c>
      <c r="AI260" s="297">
        <f>'CAR Passenger Kilometres'!C260*'CAR Stock'!C310</f>
        <v>0</v>
      </c>
      <c r="AJ260" s="298">
        <f>'CAR Passenger Kilometres'!D260*'CAR Stock'!D310</f>
        <v>0</v>
      </c>
      <c r="AK260" s="298">
        <f>'CAR Passenger Kilometres'!E260*'CAR Stock'!E310</f>
        <v>0</v>
      </c>
      <c r="AL260" s="298">
        <f>'CAR Passenger Kilometres'!F260*'CAR Stock'!F310</f>
        <v>0</v>
      </c>
      <c r="AM260" s="298">
        <f>'CAR Passenger Kilometres'!G260*'CAR Stock'!G310</f>
        <v>0</v>
      </c>
      <c r="AN260" s="298">
        <f>'CAR Passenger Kilometres'!H260*'CAR Stock'!H310</f>
        <v>0</v>
      </c>
      <c r="AO260" s="298">
        <f>'CAR Passenger Kilometres'!I260*'CAR Stock'!I310</f>
        <v>0</v>
      </c>
      <c r="AP260" s="298">
        <f>'CAR Passenger Kilometres'!J260*'CAR Stock'!J310</f>
        <v>0</v>
      </c>
      <c r="AQ260" s="298">
        <f>'CAR Passenger Kilometres'!K260*'CAR Stock'!K310</f>
        <v>0</v>
      </c>
      <c r="AR260" s="298">
        <f>'CAR Passenger Kilometres'!L260*'CAR Stock'!L310</f>
        <v>0</v>
      </c>
      <c r="AS260" s="298">
        <f>'CAR Passenger Kilometres'!M260*'CAR Stock'!M310</f>
        <v>0</v>
      </c>
      <c r="AT260" s="298">
        <f>'CAR Passenger Kilometres'!N260*'CAR Stock'!N310</f>
        <v>0</v>
      </c>
      <c r="AU260" s="298">
        <f>'CAR Passenger Kilometres'!O260*'CAR Stock'!O310</f>
        <v>0</v>
      </c>
      <c r="AV260" s="298">
        <f>'CAR Passenger Kilometres'!P260*'CAR Stock'!P310</f>
        <v>0</v>
      </c>
      <c r="AW260" s="298">
        <f>'CAR Passenger Kilometres'!Q260*'CAR Stock'!Q310</f>
        <v>0</v>
      </c>
      <c r="AX260" s="298">
        <f>'CAR Passenger Kilometres'!R260*'CAR Stock'!R310</f>
        <v>0</v>
      </c>
      <c r="AY260" s="298">
        <f>'CAR Passenger Kilometres'!S260*'CAR Stock'!S310</f>
        <v>0</v>
      </c>
      <c r="AZ260" s="298">
        <f>'CAR Passenger Kilometres'!T260*'CAR Stock'!T310</f>
        <v>0</v>
      </c>
      <c r="BA260" s="298">
        <f>'CAR Passenger Kilometres'!U260*'CAR Stock'!U310</f>
        <v>0</v>
      </c>
      <c r="BB260" s="298">
        <f>'CAR Passenger Kilometres'!V260*'CAR Stock'!V310</f>
        <v>0</v>
      </c>
      <c r="BC260" s="298">
        <f>'CAR Passenger Kilometres'!W260*'CAR Stock'!W310</f>
        <v>0</v>
      </c>
      <c r="BD260" s="298">
        <f>'CAR Passenger Kilometres'!X260*'CAR Stock'!X310</f>
        <v>0</v>
      </c>
      <c r="BE260" s="298">
        <f>'CAR Passenger Kilometres'!Y260*'CAR Stock'!Y310</f>
        <v>0</v>
      </c>
      <c r="BF260" s="298">
        <f>'CAR Passenger Kilometres'!Z260*'CAR Stock'!Z310</f>
        <v>0</v>
      </c>
      <c r="BG260" s="298">
        <f>'CAR Passenger Kilometres'!AA260*'CAR Stock'!AA310</f>
        <v>0</v>
      </c>
      <c r="BH260" s="298">
        <f>'CAR Passenger Kilometres'!AB260*'CAR Stock'!AB310</f>
        <v>0</v>
      </c>
      <c r="BI260" s="298">
        <f>'CAR Passenger Kilometres'!AC260*'CAR Stock'!AC310</f>
        <v>0</v>
      </c>
      <c r="BJ260" s="298">
        <f>'CAR Passenger Kilometres'!AD260*'CAR Stock'!AD310</f>
        <v>0</v>
      </c>
      <c r="BK260" s="299">
        <f>'CAR Passenger Kilometres'!AE260*'CAR Stock'!AE310</f>
        <v>0</v>
      </c>
    </row>
    <row r="261" spans="1:63" ht="16.5" thickTop="1" thickBot="1">
      <c r="A261" s="1712"/>
      <c r="B261" s="300" t="s">
        <v>39</v>
      </c>
      <c r="C261" s="301">
        <f>'CAR Mileage'!C282*CAR!$I$58</f>
        <v>0</v>
      </c>
      <c r="D261" s="301">
        <f>'CAR Mileage'!D282*CAR!$I$58</f>
        <v>0</v>
      </c>
      <c r="E261" s="301">
        <f>'CAR Mileage'!E282*CAR!$I$58</f>
        <v>0</v>
      </c>
      <c r="F261" s="301">
        <f>'CAR Mileage'!F282*CAR!$I$58</f>
        <v>0</v>
      </c>
      <c r="G261" s="301">
        <f>'CAR Mileage'!G282*CAR!$I$58</f>
        <v>0</v>
      </c>
      <c r="H261" s="301">
        <f>'CAR Mileage'!H282*CAR!$I$58</f>
        <v>0</v>
      </c>
      <c r="I261" s="301">
        <f>'CAR Mileage'!I282*CAR!$I$58</f>
        <v>0</v>
      </c>
      <c r="J261" s="301">
        <f>'CAR Mileage'!J282*CAR!$I$58</f>
        <v>0</v>
      </c>
      <c r="K261" s="301">
        <f>'CAR Mileage'!K282*CAR!$I$58</f>
        <v>0</v>
      </c>
      <c r="L261" s="301">
        <f>'CAR Mileage'!L282*CAR!$I$58</f>
        <v>0</v>
      </c>
      <c r="M261" s="301">
        <f>'CAR Mileage'!M282*CAR!$I$58</f>
        <v>0</v>
      </c>
      <c r="N261" s="301">
        <f>'CAR Mileage'!N282*CAR!$I$58</f>
        <v>0</v>
      </c>
      <c r="O261" s="301">
        <f>'CAR Mileage'!O282*CAR!$I$58</f>
        <v>0</v>
      </c>
      <c r="P261" s="301">
        <f>'CAR Mileage'!P282*CAR!$I$58</f>
        <v>0</v>
      </c>
      <c r="Q261" s="301">
        <f>'CAR Mileage'!Q282*CAR!$I$58</f>
        <v>0</v>
      </c>
      <c r="R261" s="301">
        <f>'CAR Mileage'!R282*CAR!$I$58</f>
        <v>0</v>
      </c>
      <c r="S261" s="301">
        <f>'CAR Mileage'!S282*CAR!$I$58</f>
        <v>0</v>
      </c>
      <c r="T261" s="301">
        <f>'CAR Mileage'!T282*CAR!$I$58</f>
        <v>0</v>
      </c>
      <c r="U261" s="301">
        <f>'CAR Mileage'!U282*CAR!$I$58</f>
        <v>0</v>
      </c>
      <c r="V261" s="301">
        <f>'CAR Mileage'!V282*CAR!$I$58</f>
        <v>0</v>
      </c>
      <c r="W261" s="301">
        <f>'CAR Mileage'!W282*CAR!$I$58</f>
        <v>0</v>
      </c>
      <c r="X261" s="301">
        <f>'CAR Mileage'!X282*CAR!$I$58</f>
        <v>0</v>
      </c>
      <c r="Y261" s="301">
        <f>'CAR Mileage'!Y282*CAR!$I$58</f>
        <v>0</v>
      </c>
      <c r="Z261" s="301">
        <f>'CAR Mileage'!Z282*CAR!$I$58</f>
        <v>0</v>
      </c>
      <c r="AA261" s="301">
        <f>'CAR Mileage'!AA282*CAR!$I$58</f>
        <v>0</v>
      </c>
      <c r="AB261" s="301">
        <f>'CAR Mileage'!AB282*CAR!$I$58</f>
        <v>0</v>
      </c>
      <c r="AC261" s="301">
        <f>'CAR Mileage'!AC282*CAR!$I$58</f>
        <v>0</v>
      </c>
      <c r="AD261" s="301">
        <f>'CAR Mileage'!AD282*CAR!$I$58</f>
        <v>0</v>
      </c>
      <c r="AE261" s="302">
        <f>'CAR Mileage'!AE282*CAR!$I$58</f>
        <v>0</v>
      </c>
      <c r="AG261" s="1712"/>
      <c r="AH261" s="300" t="s">
        <v>39</v>
      </c>
      <c r="AI261" s="301">
        <f t="shared" ref="AI261:BK261" si="8">SUM(AI235:AI260)</f>
        <v>0</v>
      </c>
      <c r="AJ261" s="301">
        <f t="shared" si="8"/>
        <v>0</v>
      </c>
      <c r="AK261" s="301">
        <f t="shared" si="8"/>
        <v>0</v>
      </c>
      <c r="AL261" s="301">
        <f t="shared" si="8"/>
        <v>0</v>
      </c>
      <c r="AM261" s="301">
        <f t="shared" si="8"/>
        <v>0</v>
      </c>
      <c r="AN261" s="301">
        <f t="shared" si="8"/>
        <v>0</v>
      </c>
      <c r="AO261" s="301">
        <f t="shared" si="8"/>
        <v>0</v>
      </c>
      <c r="AP261" s="301">
        <f t="shared" si="8"/>
        <v>0</v>
      </c>
      <c r="AQ261" s="301">
        <f t="shared" si="8"/>
        <v>0</v>
      </c>
      <c r="AR261" s="301">
        <f t="shared" si="8"/>
        <v>0</v>
      </c>
      <c r="AS261" s="301">
        <f t="shared" si="8"/>
        <v>0</v>
      </c>
      <c r="AT261" s="301">
        <f t="shared" si="8"/>
        <v>0</v>
      </c>
      <c r="AU261" s="301">
        <f t="shared" si="8"/>
        <v>0</v>
      </c>
      <c r="AV261" s="301">
        <f t="shared" si="8"/>
        <v>0</v>
      </c>
      <c r="AW261" s="301">
        <f t="shared" si="8"/>
        <v>0</v>
      </c>
      <c r="AX261" s="301">
        <f t="shared" si="8"/>
        <v>0</v>
      </c>
      <c r="AY261" s="301">
        <f t="shared" si="8"/>
        <v>0</v>
      </c>
      <c r="AZ261" s="301">
        <f t="shared" si="8"/>
        <v>0</v>
      </c>
      <c r="BA261" s="301">
        <f t="shared" si="8"/>
        <v>0</v>
      </c>
      <c r="BB261" s="301">
        <f t="shared" si="8"/>
        <v>0</v>
      </c>
      <c r="BC261" s="301">
        <f t="shared" si="8"/>
        <v>0</v>
      </c>
      <c r="BD261" s="301">
        <f t="shared" si="8"/>
        <v>0</v>
      </c>
      <c r="BE261" s="301">
        <f t="shared" si="8"/>
        <v>0</v>
      </c>
      <c r="BF261" s="301">
        <f t="shared" si="8"/>
        <v>0</v>
      </c>
      <c r="BG261" s="301">
        <f t="shared" si="8"/>
        <v>0</v>
      </c>
      <c r="BH261" s="301">
        <f t="shared" si="8"/>
        <v>0</v>
      </c>
      <c r="BI261" s="301">
        <f t="shared" si="8"/>
        <v>0</v>
      </c>
      <c r="BJ261" s="301">
        <f t="shared" si="8"/>
        <v>0</v>
      </c>
      <c r="BK261" s="302">
        <f t="shared" si="8"/>
        <v>0</v>
      </c>
    </row>
    <row r="262" spans="1:63" ht="15.75" thickBot="1">
      <c r="AI262">
        <f>AI30</f>
        <v>0</v>
      </c>
    </row>
    <row r="263" spans="1:63" ht="15.75" thickBot="1">
      <c r="A263" s="1710" t="s">
        <v>50</v>
      </c>
      <c r="B263" s="169" t="s">
        <v>10</v>
      </c>
      <c r="C263" s="288">
        <f t="shared" ref="C263:C292" si="9">C31</f>
        <v>2012</v>
      </c>
      <c r="D263" s="289">
        <v>2013</v>
      </c>
      <c r="E263" s="289">
        <v>2014</v>
      </c>
      <c r="F263" s="289">
        <v>2015</v>
      </c>
      <c r="G263" s="288">
        <v>2016</v>
      </c>
      <c r="H263" s="289">
        <v>2017</v>
      </c>
      <c r="I263" s="289">
        <v>2018</v>
      </c>
      <c r="J263" s="289">
        <v>2019</v>
      </c>
      <c r="K263" s="288">
        <v>2020</v>
      </c>
      <c r="L263" s="289">
        <v>2021</v>
      </c>
      <c r="M263" s="289">
        <v>2022</v>
      </c>
      <c r="N263" s="289">
        <v>2023</v>
      </c>
      <c r="O263" s="288">
        <v>2024</v>
      </c>
      <c r="P263" s="289">
        <v>2025</v>
      </c>
      <c r="Q263" s="289">
        <v>2026</v>
      </c>
      <c r="R263" s="289">
        <v>2027</v>
      </c>
      <c r="S263" s="288">
        <v>2028</v>
      </c>
      <c r="T263" s="289">
        <v>2029</v>
      </c>
      <c r="U263" s="289">
        <v>2030</v>
      </c>
      <c r="V263" s="289">
        <v>2031</v>
      </c>
      <c r="W263" s="288">
        <v>2032</v>
      </c>
      <c r="X263" s="289">
        <v>2033</v>
      </c>
      <c r="Y263" s="289">
        <v>2034</v>
      </c>
      <c r="Z263" s="289">
        <v>2035</v>
      </c>
      <c r="AA263" s="288">
        <v>2036</v>
      </c>
      <c r="AB263" s="289">
        <v>2037</v>
      </c>
      <c r="AC263" s="289">
        <v>2038</v>
      </c>
      <c r="AD263" s="289">
        <v>2039</v>
      </c>
      <c r="AE263" s="290">
        <v>2040</v>
      </c>
      <c r="AG263" s="1710" t="s">
        <v>50</v>
      </c>
      <c r="AH263" s="169" t="s">
        <v>10</v>
      </c>
      <c r="AI263" s="288">
        <f>AI31</f>
        <v>2012</v>
      </c>
      <c r="AJ263" s="289">
        <v>2013</v>
      </c>
      <c r="AK263" s="289">
        <v>2014</v>
      </c>
      <c r="AL263" s="289">
        <v>2015</v>
      </c>
      <c r="AM263" s="288">
        <v>2016</v>
      </c>
      <c r="AN263" s="289">
        <v>2017</v>
      </c>
      <c r="AO263" s="289">
        <v>2018</v>
      </c>
      <c r="AP263" s="289">
        <v>2019</v>
      </c>
      <c r="AQ263" s="288">
        <v>2020</v>
      </c>
      <c r="AR263" s="289">
        <v>2021</v>
      </c>
      <c r="AS263" s="289">
        <v>2022</v>
      </c>
      <c r="AT263" s="289">
        <v>2023</v>
      </c>
      <c r="AU263" s="288">
        <v>2024</v>
      </c>
      <c r="AV263" s="289">
        <v>2025</v>
      </c>
      <c r="AW263" s="289">
        <v>2026</v>
      </c>
      <c r="AX263" s="289">
        <v>2027</v>
      </c>
      <c r="AY263" s="288">
        <v>2028</v>
      </c>
      <c r="AZ263" s="289">
        <v>2029</v>
      </c>
      <c r="BA263" s="289">
        <v>2030</v>
      </c>
      <c r="BB263" s="289">
        <v>2031</v>
      </c>
      <c r="BC263" s="288">
        <v>2032</v>
      </c>
      <c r="BD263" s="289">
        <v>2033</v>
      </c>
      <c r="BE263" s="289">
        <v>2034</v>
      </c>
      <c r="BF263" s="289">
        <v>2035</v>
      </c>
      <c r="BG263" s="288">
        <v>2036</v>
      </c>
      <c r="BH263" s="289">
        <v>2037</v>
      </c>
      <c r="BI263" s="289">
        <v>2038</v>
      </c>
      <c r="BJ263" s="289">
        <v>2039</v>
      </c>
      <c r="BK263" s="290">
        <v>2040</v>
      </c>
    </row>
    <row r="264" spans="1:63">
      <c r="A264" s="1711"/>
      <c r="B264" s="116">
        <v>0</v>
      </c>
      <c r="C264" s="291">
        <f>'CAR Mileage'!C285*CAR!$I$58</f>
        <v>25623.012471651051</v>
      </c>
      <c r="D264" s="292">
        <f>'CAR Mileage'!D285*CAR!$I$58</f>
        <v>25623.012471651051</v>
      </c>
      <c r="E264" s="292">
        <f>'CAR Mileage'!E285*CAR!$I$58</f>
        <v>25623.012471651051</v>
      </c>
      <c r="F264" s="292">
        <f>'CAR Mileage'!F285*CAR!$I$58</f>
        <v>25623.012471651051</v>
      </c>
      <c r="G264" s="292">
        <f>'CAR Mileage'!G285*CAR!$I$58</f>
        <v>25623.012471651051</v>
      </c>
      <c r="H264" s="292">
        <f>'CAR Mileage'!H285*CAR!$I$58</f>
        <v>25623.012471651051</v>
      </c>
      <c r="I264" s="292">
        <f>'CAR Mileage'!I285*CAR!$I$58</f>
        <v>25623.012471651051</v>
      </c>
      <c r="J264" s="292">
        <f>'CAR Mileage'!J285*CAR!$I$58</f>
        <v>25623.012471651051</v>
      </c>
      <c r="K264" s="292">
        <f>'CAR Mileage'!K285*CAR!$I$58</f>
        <v>25623.012471651051</v>
      </c>
      <c r="L264" s="292">
        <f>'CAR Mileage'!L285*CAR!$I$58</f>
        <v>25623.012471651051</v>
      </c>
      <c r="M264" s="292">
        <f>'CAR Mileage'!M285*CAR!$I$58</f>
        <v>25623.012471651051</v>
      </c>
      <c r="N264" s="292">
        <f>'CAR Mileage'!N285*CAR!$I$58</f>
        <v>25623.012471651051</v>
      </c>
      <c r="O264" s="292">
        <f>'CAR Mileage'!O285*CAR!$I$58</f>
        <v>25623.012471651051</v>
      </c>
      <c r="P264" s="292">
        <f>'CAR Mileage'!P285*CAR!$I$58</f>
        <v>25623.012471651051</v>
      </c>
      <c r="Q264" s="292">
        <f>'CAR Mileage'!Q285*CAR!$I$58</f>
        <v>25623.012471651051</v>
      </c>
      <c r="R264" s="292">
        <f>'CAR Mileage'!R285*CAR!$I$58</f>
        <v>25623.012471651051</v>
      </c>
      <c r="S264" s="292">
        <f>'CAR Mileage'!S285*CAR!$I$58</f>
        <v>25623.012471651051</v>
      </c>
      <c r="T264" s="292">
        <f>'CAR Mileage'!T285*CAR!$I$58</f>
        <v>25623.012471651051</v>
      </c>
      <c r="U264" s="292">
        <f>'CAR Mileage'!U285*CAR!$I$58</f>
        <v>25623.012471651051</v>
      </c>
      <c r="V264" s="292">
        <f>'CAR Mileage'!V285*CAR!$I$58</f>
        <v>25623.012471651051</v>
      </c>
      <c r="W264" s="292">
        <f>'CAR Mileage'!W285*CAR!$I$58</f>
        <v>25623.012471651051</v>
      </c>
      <c r="X264" s="292">
        <f>'CAR Mileage'!X285*CAR!$I$58</f>
        <v>25623.012471651051</v>
      </c>
      <c r="Y264" s="292">
        <f>'CAR Mileage'!Y285*CAR!$I$58</f>
        <v>25623.012471651051</v>
      </c>
      <c r="Z264" s="292">
        <f>'CAR Mileage'!Z285*CAR!$I$58</f>
        <v>25623.012471651051</v>
      </c>
      <c r="AA264" s="292">
        <f>'CAR Mileage'!AA285*CAR!$I$58</f>
        <v>25623.012471651051</v>
      </c>
      <c r="AB264" s="292">
        <f>'CAR Mileage'!AB285*CAR!$I$58</f>
        <v>25623.012471651051</v>
      </c>
      <c r="AC264" s="292">
        <f>'CAR Mileage'!AC285*CAR!$I$58</f>
        <v>25623.012471651051</v>
      </c>
      <c r="AD264" s="292">
        <f>'CAR Mileage'!AD285*CAR!$I$58</f>
        <v>25623.012471651051</v>
      </c>
      <c r="AE264" s="293">
        <f>'CAR Mileage'!AE285*CAR!$I$58</f>
        <v>25623.012471651051</v>
      </c>
      <c r="AG264" s="1711"/>
      <c r="AH264" s="116">
        <v>0</v>
      </c>
      <c r="AI264" s="291">
        <f>'CAR Passenger Kilometres'!C264*'CAR Stock'!C314</f>
        <v>29850809.529473476</v>
      </c>
      <c r="AJ264" s="292">
        <f>'CAR Passenger Kilometres'!D264*'CAR Stock'!D314</f>
        <v>0</v>
      </c>
      <c r="AK264" s="292">
        <f>'CAR Passenger Kilometres'!E264*'CAR Stock'!E314</f>
        <v>0</v>
      </c>
      <c r="AL264" s="292">
        <f>'CAR Passenger Kilometres'!F264*'CAR Stock'!F314</f>
        <v>0</v>
      </c>
      <c r="AM264" s="292">
        <f>'CAR Passenger Kilometres'!G264*'CAR Stock'!G314</f>
        <v>0</v>
      </c>
      <c r="AN264" s="292">
        <f>'CAR Passenger Kilometres'!H264*'CAR Stock'!H314</f>
        <v>0</v>
      </c>
      <c r="AO264" s="292">
        <f>'CAR Passenger Kilometres'!I264*'CAR Stock'!I314</f>
        <v>0</v>
      </c>
      <c r="AP264" s="292">
        <f>'CAR Passenger Kilometres'!J264*'CAR Stock'!J314</f>
        <v>0</v>
      </c>
      <c r="AQ264" s="292">
        <f>'CAR Passenger Kilometres'!K264*'CAR Stock'!K314</f>
        <v>0</v>
      </c>
      <c r="AR264" s="292">
        <f>'CAR Passenger Kilometres'!L264*'CAR Stock'!L314</f>
        <v>0</v>
      </c>
      <c r="AS264" s="292">
        <f>'CAR Passenger Kilometres'!M264*'CAR Stock'!M314</f>
        <v>0</v>
      </c>
      <c r="AT264" s="292">
        <f>'CAR Passenger Kilometres'!N264*'CAR Stock'!N314</f>
        <v>0</v>
      </c>
      <c r="AU264" s="292">
        <f>'CAR Passenger Kilometres'!O264*'CAR Stock'!O314</f>
        <v>0</v>
      </c>
      <c r="AV264" s="292">
        <f>'CAR Passenger Kilometres'!P264*'CAR Stock'!P314</f>
        <v>0</v>
      </c>
      <c r="AW264" s="292">
        <f>'CAR Passenger Kilometres'!Q264*'CAR Stock'!Q314</f>
        <v>0</v>
      </c>
      <c r="AX264" s="292">
        <f>'CAR Passenger Kilometres'!R264*'CAR Stock'!R314</f>
        <v>0</v>
      </c>
      <c r="AY264" s="292">
        <f>'CAR Passenger Kilometres'!S264*'CAR Stock'!S314</f>
        <v>0</v>
      </c>
      <c r="AZ264" s="292">
        <f>'CAR Passenger Kilometres'!T264*'CAR Stock'!T314</f>
        <v>0</v>
      </c>
      <c r="BA264" s="292">
        <f>'CAR Passenger Kilometres'!U264*'CAR Stock'!U314</f>
        <v>0</v>
      </c>
      <c r="BB264" s="292">
        <f>'CAR Passenger Kilometres'!V264*'CAR Stock'!V314</f>
        <v>0</v>
      </c>
      <c r="BC264" s="292">
        <f>'CAR Passenger Kilometres'!W264*'CAR Stock'!W314</f>
        <v>0</v>
      </c>
      <c r="BD264" s="292">
        <f>'CAR Passenger Kilometres'!X264*'CAR Stock'!X314</f>
        <v>0</v>
      </c>
      <c r="BE264" s="292">
        <f>'CAR Passenger Kilometres'!Y264*'CAR Stock'!Y314</f>
        <v>0</v>
      </c>
      <c r="BF264" s="292">
        <f>'CAR Passenger Kilometres'!Z264*'CAR Stock'!Z314</f>
        <v>0</v>
      </c>
      <c r="BG264" s="292">
        <f>'CAR Passenger Kilometres'!AA264*'CAR Stock'!AA314</f>
        <v>0</v>
      </c>
      <c r="BH264" s="292">
        <f>'CAR Passenger Kilometres'!AB264*'CAR Stock'!AB314</f>
        <v>0</v>
      </c>
      <c r="BI264" s="292">
        <f>'CAR Passenger Kilometres'!AC264*'CAR Stock'!AC314</f>
        <v>0</v>
      </c>
      <c r="BJ264" s="292">
        <f>'CAR Passenger Kilometres'!AD264*'CAR Stock'!AD314</f>
        <v>0</v>
      </c>
      <c r="BK264" s="293">
        <f>'CAR Passenger Kilometres'!AE264*'CAR Stock'!AE314</f>
        <v>0</v>
      </c>
    </row>
    <row r="265" spans="1:63">
      <c r="A265" s="1711"/>
      <c r="B265" s="116">
        <v>1</v>
      </c>
      <c r="C265" s="294">
        <f>'CAR Mileage'!C286*CAR!$I$58</f>
        <v>25110.55222221803</v>
      </c>
      <c r="D265" s="295">
        <f>'CAR Mileage'!D286*CAR!$I$58</f>
        <v>25110.55222221803</v>
      </c>
      <c r="E265" s="295">
        <f>'CAR Mileage'!E286*CAR!$I$58</f>
        <v>25110.55222221803</v>
      </c>
      <c r="F265" s="295">
        <f>'CAR Mileage'!F286*CAR!$I$58</f>
        <v>25110.55222221803</v>
      </c>
      <c r="G265" s="295">
        <f>'CAR Mileage'!G286*CAR!$I$58</f>
        <v>25110.55222221803</v>
      </c>
      <c r="H265" s="295">
        <f>'CAR Mileage'!H286*CAR!$I$58</f>
        <v>25110.55222221803</v>
      </c>
      <c r="I265" s="295">
        <f>'CAR Mileage'!I286*CAR!$I$58</f>
        <v>25110.55222221803</v>
      </c>
      <c r="J265" s="295">
        <f>'CAR Mileage'!J286*CAR!$I$58</f>
        <v>25110.55222221803</v>
      </c>
      <c r="K265" s="295">
        <f>'CAR Mileage'!K286*CAR!$I$58</f>
        <v>25110.55222221803</v>
      </c>
      <c r="L265" s="295">
        <f>'CAR Mileage'!L286*CAR!$I$58</f>
        <v>25110.55222221803</v>
      </c>
      <c r="M265" s="295">
        <f>'CAR Mileage'!M286*CAR!$I$58</f>
        <v>25110.55222221803</v>
      </c>
      <c r="N265" s="295">
        <f>'CAR Mileage'!N286*CAR!$I$58</f>
        <v>25110.55222221803</v>
      </c>
      <c r="O265" s="295">
        <f>'CAR Mileage'!O286*CAR!$I$58</f>
        <v>25110.55222221803</v>
      </c>
      <c r="P265" s="295">
        <f>'CAR Mileage'!P286*CAR!$I$58</f>
        <v>25110.55222221803</v>
      </c>
      <c r="Q265" s="295">
        <f>'CAR Mileage'!Q286*CAR!$I$58</f>
        <v>25110.55222221803</v>
      </c>
      <c r="R265" s="295">
        <f>'CAR Mileage'!R286*CAR!$I$58</f>
        <v>25110.55222221803</v>
      </c>
      <c r="S265" s="295">
        <f>'CAR Mileage'!S286*CAR!$I$58</f>
        <v>25110.55222221803</v>
      </c>
      <c r="T265" s="295">
        <f>'CAR Mileage'!T286*CAR!$I$58</f>
        <v>25110.55222221803</v>
      </c>
      <c r="U265" s="295">
        <f>'CAR Mileage'!U286*CAR!$I$58</f>
        <v>25110.55222221803</v>
      </c>
      <c r="V265" s="295">
        <f>'CAR Mileage'!V286*CAR!$I$58</f>
        <v>25110.55222221803</v>
      </c>
      <c r="W265" s="295">
        <f>'CAR Mileage'!W286*CAR!$I$58</f>
        <v>25110.55222221803</v>
      </c>
      <c r="X265" s="295">
        <f>'CAR Mileage'!X286*CAR!$I$58</f>
        <v>25110.55222221803</v>
      </c>
      <c r="Y265" s="295">
        <f>'CAR Mileage'!Y286*CAR!$I$58</f>
        <v>25110.55222221803</v>
      </c>
      <c r="Z265" s="295">
        <f>'CAR Mileage'!Z286*CAR!$I$58</f>
        <v>25110.55222221803</v>
      </c>
      <c r="AA265" s="295">
        <f>'CAR Mileage'!AA286*CAR!$I$58</f>
        <v>25110.55222221803</v>
      </c>
      <c r="AB265" s="295">
        <f>'CAR Mileage'!AB286*CAR!$I$58</f>
        <v>25110.55222221803</v>
      </c>
      <c r="AC265" s="295">
        <f>'CAR Mileage'!AC286*CAR!$I$58</f>
        <v>25110.55222221803</v>
      </c>
      <c r="AD265" s="295">
        <f>'CAR Mileage'!AD286*CAR!$I$58</f>
        <v>25110.55222221803</v>
      </c>
      <c r="AE265" s="296">
        <f>'CAR Mileage'!AE286*CAR!$I$58</f>
        <v>25110.55222221803</v>
      </c>
      <c r="AG265" s="1711"/>
      <c r="AH265" s="116">
        <v>1</v>
      </c>
      <c r="AI265" s="294">
        <f>'CAR Passenger Kilometres'!C265*'CAR Stock'!C315</f>
        <v>32216838.501105733</v>
      </c>
      <c r="AJ265" s="295">
        <f>'CAR Passenger Kilometres'!D265*'CAR Stock'!D315</f>
        <v>29253793.338884003</v>
      </c>
      <c r="AK265" s="295">
        <f>'CAR Passenger Kilometres'!E265*'CAR Stock'!E315</f>
        <v>0</v>
      </c>
      <c r="AL265" s="295">
        <f>'CAR Passenger Kilometres'!F265*'CAR Stock'!F315</f>
        <v>0</v>
      </c>
      <c r="AM265" s="295">
        <f>'CAR Passenger Kilometres'!G265*'CAR Stock'!G315</f>
        <v>0</v>
      </c>
      <c r="AN265" s="295">
        <f>'CAR Passenger Kilometres'!H265*'CAR Stock'!H315</f>
        <v>0</v>
      </c>
      <c r="AO265" s="295">
        <f>'CAR Passenger Kilometres'!I265*'CAR Stock'!I315</f>
        <v>0</v>
      </c>
      <c r="AP265" s="295">
        <f>'CAR Passenger Kilometres'!J265*'CAR Stock'!J315</f>
        <v>0</v>
      </c>
      <c r="AQ265" s="295">
        <f>'CAR Passenger Kilometres'!K265*'CAR Stock'!K315</f>
        <v>0</v>
      </c>
      <c r="AR265" s="295">
        <f>'CAR Passenger Kilometres'!L265*'CAR Stock'!L315</f>
        <v>0</v>
      </c>
      <c r="AS265" s="295">
        <f>'CAR Passenger Kilometres'!M265*'CAR Stock'!M315</f>
        <v>0</v>
      </c>
      <c r="AT265" s="295">
        <f>'CAR Passenger Kilometres'!N265*'CAR Stock'!N315</f>
        <v>0</v>
      </c>
      <c r="AU265" s="295">
        <f>'CAR Passenger Kilometres'!O265*'CAR Stock'!O315</f>
        <v>0</v>
      </c>
      <c r="AV265" s="295">
        <f>'CAR Passenger Kilometres'!P265*'CAR Stock'!P315</f>
        <v>0</v>
      </c>
      <c r="AW265" s="295">
        <f>'CAR Passenger Kilometres'!Q265*'CAR Stock'!Q315</f>
        <v>0</v>
      </c>
      <c r="AX265" s="295">
        <f>'CAR Passenger Kilometres'!R265*'CAR Stock'!R315</f>
        <v>0</v>
      </c>
      <c r="AY265" s="295">
        <f>'CAR Passenger Kilometres'!S265*'CAR Stock'!S315</f>
        <v>0</v>
      </c>
      <c r="AZ265" s="295">
        <f>'CAR Passenger Kilometres'!T265*'CAR Stock'!T315</f>
        <v>0</v>
      </c>
      <c r="BA265" s="295">
        <f>'CAR Passenger Kilometres'!U265*'CAR Stock'!U315</f>
        <v>0</v>
      </c>
      <c r="BB265" s="295">
        <f>'CAR Passenger Kilometres'!V265*'CAR Stock'!V315</f>
        <v>0</v>
      </c>
      <c r="BC265" s="295">
        <f>'CAR Passenger Kilometres'!W265*'CAR Stock'!W315</f>
        <v>0</v>
      </c>
      <c r="BD265" s="295">
        <f>'CAR Passenger Kilometres'!X265*'CAR Stock'!X315</f>
        <v>0</v>
      </c>
      <c r="BE265" s="295">
        <f>'CAR Passenger Kilometres'!Y265*'CAR Stock'!Y315</f>
        <v>0</v>
      </c>
      <c r="BF265" s="295">
        <f>'CAR Passenger Kilometres'!Z265*'CAR Stock'!Z315</f>
        <v>0</v>
      </c>
      <c r="BG265" s="295">
        <f>'CAR Passenger Kilometres'!AA265*'CAR Stock'!AA315</f>
        <v>0</v>
      </c>
      <c r="BH265" s="295">
        <f>'CAR Passenger Kilometres'!AB265*'CAR Stock'!AB315</f>
        <v>0</v>
      </c>
      <c r="BI265" s="295">
        <f>'CAR Passenger Kilometres'!AC265*'CAR Stock'!AC315</f>
        <v>0</v>
      </c>
      <c r="BJ265" s="295">
        <f>'CAR Passenger Kilometres'!AD265*'CAR Stock'!AD315</f>
        <v>0</v>
      </c>
      <c r="BK265" s="296">
        <f>'CAR Passenger Kilometres'!AE265*'CAR Stock'!AE315</f>
        <v>0</v>
      </c>
    </row>
    <row r="266" spans="1:63">
      <c r="A266" s="1711"/>
      <c r="B266" s="116">
        <v>2</v>
      </c>
      <c r="C266" s="294">
        <f>'CAR Mileage'!C287*CAR!$I$58</f>
        <v>24608.341177773669</v>
      </c>
      <c r="D266" s="295">
        <f>'CAR Mileage'!D287*CAR!$I$58</f>
        <v>24608.341177773669</v>
      </c>
      <c r="E266" s="295">
        <f>'CAR Mileage'!E287*CAR!$I$58</f>
        <v>24608.341177773669</v>
      </c>
      <c r="F266" s="295">
        <f>'CAR Mileage'!F287*CAR!$I$58</f>
        <v>24608.341177773669</v>
      </c>
      <c r="G266" s="295">
        <f>'CAR Mileage'!G287*CAR!$I$58</f>
        <v>24608.341177773669</v>
      </c>
      <c r="H266" s="295">
        <f>'CAR Mileage'!H287*CAR!$I$58</f>
        <v>24608.341177773669</v>
      </c>
      <c r="I266" s="295">
        <f>'CAR Mileage'!I287*CAR!$I$58</f>
        <v>24608.341177773669</v>
      </c>
      <c r="J266" s="295">
        <f>'CAR Mileage'!J287*CAR!$I$58</f>
        <v>24608.341177773669</v>
      </c>
      <c r="K266" s="295">
        <f>'CAR Mileage'!K287*CAR!$I$58</f>
        <v>24608.341177773669</v>
      </c>
      <c r="L266" s="295">
        <f>'CAR Mileage'!L287*CAR!$I$58</f>
        <v>24608.341177773669</v>
      </c>
      <c r="M266" s="295">
        <f>'CAR Mileage'!M287*CAR!$I$58</f>
        <v>24608.341177773669</v>
      </c>
      <c r="N266" s="295">
        <f>'CAR Mileage'!N287*CAR!$I$58</f>
        <v>24608.341177773669</v>
      </c>
      <c r="O266" s="295">
        <f>'CAR Mileage'!O287*CAR!$I$58</f>
        <v>24608.341177773669</v>
      </c>
      <c r="P266" s="295">
        <f>'CAR Mileage'!P287*CAR!$I$58</f>
        <v>24608.341177773669</v>
      </c>
      <c r="Q266" s="295">
        <f>'CAR Mileage'!Q287*CAR!$I$58</f>
        <v>24608.341177773669</v>
      </c>
      <c r="R266" s="295">
        <f>'CAR Mileage'!R287*CAR!$I$58</f>
        <v>24608.341177773669</v>
      </c>
      <c r="S266" s="295">
        <f>'CAR Mileage'!S287*CAR!$I$58</f>
        <v>24608.341177773669</v>
      </c>
      <c r="T266" s="295">
        <f>'CAR Mileage'!T287*CAR!$I$58</f>
        <v>24608.341177773669</v>
      </c>
      <c r="U266" s="295">
        <f>'CAR Mileage'!U287*CAR!$I$58</f>
        <v>24608.341177773669</v>
      </c>
      <c r="V266" s="295">
        <f>'CAR Mileage'!V287*CAR!$I$58</f>
        <v>24608.341177773669</v>
      </c>
      <c r="W266" s="295">
        <f>'CAR Mileage'!W287*CAR!$I$58</f>
        <v>24608.341177773669</v>
      </c>
      <c r="X266" s="295">
        <f>'CAR Mileage'!X287*CAR!$I$58</f>
        <v>24608.341177773669</v>
      </c>
      <c r="Y266" s="295">
        <f>'CAR Mileage'!Y287*CAR!$I$58</f>
        <v>24608.341177773669</v>
      </c>
      <c r="Z266" s="295">
        <f>'CAR Mileage'!Z287*CAR!$I$58</f>
        <v>24608.341177773669</v>
      </c>
      <c r="AA266" s="295">
        <f>'CAR Mileage'!AA287*CAR!$I$58</f>
        <v>24608.341177773669</v>
      </c>
      <c r="AB266" s="295">
        <f>'CAR Mileage'!AB287*CAR!$I$58</f>
        <v>24608.341177773669</v>
      </c>
      <c r="AC266" s="295">
        <f>'CAR Mileage'!AC287*CAR!$I$58</f>
        <v>24608.341177773669</v>
      </c>
      <c r="AD266" s="295">
        <f>'CAR Mileage'!AD287*CAR!$I$58</f>
        <v>24608.341177773669</v>
      </c>
      <c r="AE266" s="296">
        <f>'CAR Mileage'!AE287*CAR!$I$58</f>
        <v>24608.341177773669</v>
      </c>
      <c r="AG266" s="1711"/>
      <c r="AH266" s="116">
        <v>2</v>
      </c>
      <c r="AI266" s="294">
        <f>'CAR Passenger Kilometres'!C266*'CAR Stock'!C316</f>
        <v>71708706.192032471</v>
      </c>
      <c r="AJ266" s="295">
        <f>'CAR Passenger Kilometres'!D266*'CAR Stock'!D316</f>
        <v>31572501.731083617</v>
      </c>
      <c r="AK266" s="295">
        <f>'CAR Passenger Kilometres'!E266*'CAR Stock'!E316</f>
        <v>28668717.472106326</v>
      </c>
      <c r="AL266" s="295">
        <f>'CAR Passenger Kilometres'!F266*'CAR Stock'!F316</f>
        <v>0</v>
      </c>
      <c r="AM266" s="295">
        <f>'CAR Passenger Kilometres'!G266*'CAR Stock'!G316</f>
        <v>0</v>
      </c>
      <c r="AN266" s="295">
        <f>'CAR Passenger Kilometres'!H266*'CAR Stock'!H316</f>
        <v>0</v>
      </c>
      <c r="AO266" s="295">
        <f>'CAR Passenger Kilometres'!I266*'CAR Stock'!I316</f>
        <v>0</v>
      </c>
      <c r="AP266" s="295">
        <f>'CAR Passenger Kilometres'!J266*'CAR Stock'!J316</f>
        <v>0</v>
      </c>
      <c r="AQ266" s="295">
        <f>'CAR Passenger Kilometres'!K266*'CAR Stock'!K316</f>
        <v>0</v>
      </c>
      <c r="AR266" s="295">
        <f>'CAR Passenger Kilometres'!L266*'CAR Stock'!L316</f>
        <v>0</v>
      </c>
      <c r="AS266" s="295">
        <f>'CAR Passenger Kilometres'!M266*'CAR Stock'!M316</f>
        <v>0</v>
      </c>
      <c r="AT266" s="295">
        <f>'CAR Passenger Kilometres'!N266*'CAR Stock'!N316</f>
        <v>0</v>
      </c>
      <c r="AU266" s="295">
        <f>'CAR Passenger Kilometres'!O266*'CAR Stock'!O316</f>
        <v>0</v>
      </c>
      <c r="AV266" s="295">
        <f>'CAR Passenger Kilometres'!P266*'CAR Stock'!P316</f>
        <v>0</v>
      </c>
      <c r="AW266" s="295">
        <f>'CAR Passenger Kilometres'!Q266*'CAR Stock'!Q316</f>
        <v>0</v>
      </c>
      <c r="AX266" s="295">
        <f>'CAR Passenger Kilometres'!R266*'CAR Stock'!R316</f>
        <v>0</v>
      </c>
      <c r="AY266" s="295">
        <f>'CAR Passenger Kilometres'!S266*'CAR Stock'!S316</f>
        <v>0</v>
      </c>
      <c r="AZ266" s="295">
        <f>'CAR Passenger Kilometres'!T266*'CAR Stock'!T316</f>
        <v>0</v>
      </c>
      <c r="BA266" s="295">
        <f>'CAR Passenger Kilometres'!U266*'CAR Stock'!U316</f>
        <v>0</v>
      </c>
      <c r="BB266" s="295">
        <f>'CAR Passenger Kilometres'!V266*'CAR Stock'!V316</f>
        <v>0</v>
      </c>
      <c r="BC266" s="295">
        <f>'CAR Passenger Kilometres'!W266*'CAR Stock'!W316</f>
        <v>0</v>
      </c>
      <c r="BD266" s="295">
        <f>'CAR Passenger Kilometres'!X266*'CAR Stock'!X316</f>
        <v>0</v>
      </c>
      <c r="BE266" s="295">
        <f>'CAR Passenger Kilometres'!Y266*'CAR Stock'!Y316</f>
        <v>0</v>
      </c>
      <c r="BF266" s="295">
        <f>'CAR Passenger Kilometres'!Z266*'CAR Stock'!Z316</f>
        <v>0</v>
      </c>
      <c r="BG266" s="295">
        <f>'CAR Passenger Kilometres'!AA266*'CAR Stock'!AA316</f>
        <v>0</v>
      </c>
      <c r="BH266" s="295">
        <f>'CAR Passenger Kilometres'!AB266*'CAR Stock'!AB316</f>
        <v>0</v>
      </c>
      <c r="BI266" s="295">
        <f>'CAR Passenger Kilometres'!AC266*'CAR Stock'!AC316</f>
        <v>0</v>
      </c>
      <c r="BJ266" s="295">
        <f>'CAR Passenger Kilometres'!AD266*'CAR Stock'!AD316</f>
        <v>0</v>
      </c>
      <c r="BK266" s="296">
        <f>'CAR Passenger Kilometres'!AE266*'CAR Stock'!AE316</f>
        <v>0</v>
      </c>
    </row>
    <row r="267" spans="1:63">
      <c r="A267" s="1711"/>
      <c r="B267" s="116">
        <v>3</v>
      </c>
      <c r="C267" s="294">
        <f>'CAR Mileage'!C288*CAR!$I$58</f>
        <v>24116.174354218194</v>
      </c>
      <c r="D267" s="295">
        <f>'CAR Mileage'!D288*CAR!$I$58</f>
        <v>24116.174354218194</v>
      </c>
      <c r="E267" s="295">
        <f>'CAR Mileage'!E288*CAR!$I$58</f>
        <v>24116.174354218194</v>
      </c>
      <c r="F267" s="295">
        <f>'CAR Mileage'!F288*CAR!$I$58</f>
        <v>24116.174354218194</v>
      </c>
      <c r="G267" s="295">
        <f>'CAR Mileage'!G288*CAR!$I$58</f>
        <v>24116.174354218194</v>
      </c>
      <c r="H267" s="295">
        <f>'CAR Mileage'!H288*CAR!$I$58</f>
        <v>24116.174354218194</v>
      </c>
      <c r="I267" s="295">
        <f>'CAR Mileage'!I288*CAR!$I$58</f>
        <v>24116.174354218194</v>
      </c>
      <c r="J267" s="295">
        <f>'CAR Mileage'!J288*CAR!$I$58</f>
        <v>24116.174354218194</v>
      </c>
      <c r="K267" s="295">
        <f>'CAR Mileage'!K288*CAR!$I$58</f>
        <v>24116.174354218194</v>
      </c>
      <c r="L267" s="295">
        <f>'CAR Mileage'!L288*CAR!$I$58</f>
        <v>24116.174354218194</v>
      </c>
      <c r="M267" s="295">
        <f>'CAR Mileage'!M288*CAR!$I$58</f>
        <v>24116.174354218194</v>
      </c>
      <c r="N267" s="295">
        <f>'CAR Mileage'!N288*CAR!$I$58</f>
        <v>24116.174354218194</v>
      </c>
      <c r="O267" s="295">
        <f>'CAR Mileage'!O288*CAR!$I$58</f>
        <v>24116.174354218194</v>
      </c>
      <c r="P267" s="295">
        <f>'CAR Mileage'!P288*CAR!$I$58</f>
        <v>24116.174354218194</v>
      </c>
      <c r="Q267" s="295">
        <f>'CAR Mileage'!Q288*CAR!$I$58</f>
        <v>24116.174354218194</v>
      </c>
      <c r="R267" s="295">
        <f>'CAR Mileage'!R288*CAR!$I$58</f>
        <v>24116.174354218194</v>
      </c>
      <c r="S267" s="295">
        <f>'CAR Mileage'!S288*CAR!$I$58</f>
        <v>24116.174354218194</v>
      </c>
      <c r="T267" s="295">
        <f>'CAR Mileage'!T288*CAR!$I$58</f>
        <v>24116.174354218194</v>
      </c>
      <c r="U267" s="295">
        <f>'CAR Mileage'!U288*CAR!$I$58</f>
        <v>24116.174354218194</v>
      </c>
      <c r="V267" s="295">
        <f>'CAR Mileage'!V288*CAR!$I$58</f>
        <v>24116.174354218194</v>
      </c>
      <c r="W267" s="295">
        <f>'CAR Mileage'!W288*CAR!$I$58</f>
        <v>24116.174354218194</v>
      </c>
      <c r="X267" s="295">
        <f>'CAR Mileage'!X288*CAR!$I$58</f>
        <v>24116.174354218194</v>
      </c>
      <c r="Y267" s="295">
        <f>'CAR Mileage'!Y288*CAR!$I$58</f>
        <v>24116.174354218194</v>
      </c>
      <c r="Z267" s="295">
        <f>'CAR Mileage'!Z288*CAR!$I$58</f>
        <v>24116.174354218194</v>
      </c>
      <c r="AA267" s="295">
        <f>'CAR Mileage'!AA288*CAR!$I$58</f>
        <v>24116.174354218194</v>
      </c>
      <c r="AB267" s="295">
        <f>'CAR Mileage'!AB288*CAR!$I$58</f>
        <v>24116.174354218194</v>
      </c>
      <c r="AC267" s="295">
        <f>'CAR Mileage'!AC288*CAR!$I$58</f>
        <v>24116.174354218194</v>
      </c>
      <c r="AD267" s="295">
        <f>'CAR Mileage'!AD288*CAR!$I$58</f>
        <v>24116.174354218194</v>
      </c>
      <c r="AE267" s="296">
        <f>'CAR Mileage'!AE288*CAR!$I$58</f>
        <v>24116.174354218194</v>
      </c>
      <c r="AG267" s="1711"/>
      <c r="AH267" s="116">
        <v>3</v>
      </c>
      <c r="AI267" s="294">
        <f>'CAR Passenger Kilometres'!C267*'CAR Stock'!C317</f>
        <v>10804046.110689752</v>
      </c>
      <c r="AJ267" s="295">
        <f>'CAR Passenger Kilometres'!D267*'CAR Stock'!D317</f>
        <v>70274532.068191811</v>
      </c>
      <c r="AK267" s="295">
        <f>'CAR Passenger Kilometres'!E267*'CAR Stock'!E317</f>
        <v>30941051.696461942</v>
      </c>
      <c r="AL267" s="295">
        <f>'CAR Passenger Kilometres'!F267*'CAR Stock'!F317</f>
        <v>28095343.122664195</v>
      </c>
      <c r="AM267" s="295">
        <f>'CAR Passenger Kilometres'!G267*'CAR Stock'!G317</f>
        <v>0</v>
      </c>
      <c r="AN267" s="295">
        <f>'CAR Passenger Kilometres'!H267*'CAR Stock'!H317</f>
        <v>0</v>
      </c>
      <c r="AO267" s="295">
        <f>'CAR Passenger Kilometres'!I267*'CAR Stock'!I317</f>
        <v>0</v>
      </c>
      <c r="AP267" s="295">
        <f>'CAR Passenger Kilometres'!J267*'CAR Stock'!J317</f>
        <v>0</v>
      </c>
      <c r="AQ267" s="295">
        <f>'CAR Passenger Kilometres'!K267*'CAR Stock'!K317</f>
        <v>0</v>
      </c>
      <c r="AR267" s="295">
        <f>'CAR Passenger Kilometres'!L267*'CAR Stock'!L317</f>
        <v>0</v>
      </c>
      <c r="AS267" s="295">
        <f>'CAR Passenger Kilometres'!M267*'CAR Stock'!M317</f>
        <v>0</v>
      </c>
      <c r="AT267" s="295">
        <f>'CAR Passenger Kilometres'!N267*'CAR Stock'!N317</f>
        <v>0</v>
      </c>
      <c r="AU267" s="295">
        <f>'CAR Passenger Kilometres'!O267*'CAR Stock'!O317</f>
        <v>0</v>
      </c>
      <c r="AV267" s="295">
        <f>'CAR Passenger Kilometres'!P267*'CAR Stock'!P317</f>
        <v>0</v>
      </c>
      <c r="AW267" s="295">
        <f>'CAR Passenger Kilometres'!Q267*'CAR Stock'!Q317</f>
        <v>0</v>
      </c>
      <c r="AX267" s="295">
        <f>'CAR Passenger Kilometres'!R267*'CAR Stock'!R317</f>
        <v>0</v>
      </c>
      <c r="AY267" s="295">
        <f>'CAR Passenger Kilometres'!S267*'CAR Stock'!S317</f>
        <v>0</v>
      </c>
      <c r="AZ267" s="295">
        <f>'CAR Passenger Kilometres'!T267*'CAR Stock'!T317</f>
        <v>0</v>
      </c>
      <c r="BA267" s="295">
        <f>'CAR Passenger Kilometres'!U267*'CAR Stock'!U317</f>
        <v>0</v>
      </c>
      <c r="BB267" s="295">
        <f>'CAR Passenger Kilometres'!V267*'CAR Stock'!V317</f>
        <v>0</v>
      </c>
      <c r="BC267" s="295">
        <f>'CAR Passenger Kilometres'!W267*'CAR Stock'!W317</f>
        <v>0</v>
      </c>
      <c r="BD267" s="295">
        <f>'CAR Passenger Kilometres'!X267*'CAR Stock'!X317</f>
        <v>0</v>
      </c>
      <c r="BE267" s="295">
        <f>'CAR Passenger Kilometres'!Y267*'CAR Stock'!Y317</f>
        <v>0</v>
      </c>
      <c r="BF267" s="295">
        <f>'CAR Passenger Kilometres'!Z267*'CAR Stock'!Z317</f>
        <v>0</v>
      </c>
      <c r="BG267" s="295">
        <f>'CAR Passenger Kilometres'!AA267*'CAR Stock'!AA317</f>
        <v>0</v>
      </c>
      <c r="BH267" s="295">
        <f>'CAR Passenger Kilometres'!AB267*'CAR Stock'!AB317</f>
        <v>0</v>
      </c>
      <c r="BI267" s="295">
        <f>'CAR Passenger Kilometres'!AC267*'CAR Stock'!AC317</f>
        <v>0</v>
      </c>
      <c r="BJ267" s="295">
        <f>'CAR Passenger Kilometres'!AD267*'CAR Stock'!AD317</f>
        <v>0</v>
      </c>
      <c r="BK267" s="296">
        <f>'CAR Passenger Kilometres'!AE267*'CAR Stock'!AE317</f>
        <v>0</v>
      </c>
    </row>
    <row r="268" spans="1:63">
      <c r="A268" s="1711"/>
      <c r="B268" s="116">
        <v>4</v>
      </c>
      <c r="C268" s="294">
        <f>'CAR Mileage'!C289*CAR!$I$58</f>
        <v>23633.850867133831</v>
      </c>
      <c r="D268" s="295">
        <f>'CAR Mileage'!D289*CAR!$I$58</f>
        <v>23633.850867133831</v>
      </c>
      <c r="E268" s="295">
        <f>'CAR Mileage'!E289*CAR!$I$58</f>
        <v>23633.850867133831</v>
      </c>
      <c r="F268" s="295">
        <f>'CAR Mileage'!F289*CAR!$I$58</f>
        <v>23633.850867133831</v>
      </c>
      <c r="G268" s="295">
        <f>'CAR Mileage'!G289*CAR!$I$58</f>
        <v>23633.850867133831</v>
      </c>
      <c r="H268" s="295">
        <f>'CAR Mileage'!H289*CAR!$I$58</f>
        <v>23633.850867133831</v>
      </c>
      <c r="I268" s="295">
        <f>'CAR Mileage'!I289*CAR!$I$58</f>
        <v>23633.850867133831</v>
      </c>
      <c r="J268" s="295">
        <f>'CAR Mileage'!J289*CAR!$I$58</f>
        <v>23633.850867133831</v>
      </c>
      <c r="K268" s="295">
        <f>'CAR Mileage'!K289*CAR!$I$58</f>
        <v>23633.850867133831</v>
      </c>
      <c r="L268" s="295">
        <f>'CAR Mileage'!L289*CAR!$I$58</f>
        <v>23633.850867133831</v>
      </c>
      <c r="M268" s="295">
        <f>'CAR Mileage'!M289*CAR!$I$58</f>
        <v>23633.850867133831</v>
      </c>
      <c r="N268" s="295">
        <f>'CAR Mileage'!N289*CAR!$I$58</f>
        <v>23633.850867133831</v>
      </c>
      <c r="O268" s="295">
        <f>'CAR Mileage'!O289*CAR!$I$58</f>
        <v>23633.850867133831</v>
      </c>
      <c r="P268" s="295">
        <f>'CAR Mileage'!P289*CAR!$I$58</f>
        <v>23633.850867133831</v>
      </c>
      <c r="Q268" s="295">
        <f>'CAR Mileage'!Q289*CAR!$I$58</f>
        <v>23633.850867133831</v>
      </c>
      <c r="R268" s="295">
        <f>'CAR Mileage'!R289*CAR!$I$58</f>
        <v>23633.850867133831</v>
      </c>
      <c r="S268" s="295">
        <f>'CAR Mileage'!S289*CAR!$I$58</f>
        <v>23633.850867133831</v>
      </c>
      <c r="T268" s="295">
        <f>'CAR Mileage'!T289*CAR!$I$58</f>
        <v>23633.850867133831</v>
      </c>
      <c r="U268" s="295">
        <f>'CAR Mileage'!U289*CAR!$I$58</f>
        <v>23633.850867133831</v>
      </c>
      <c r="V268" s="295">
        <f>'CAR Mileage'!V289*CAR!$I$58</f>
        <v>23633.850867133831</v>
      </c>
      <c r="W268" s="295">
        <f>'CAR Mileage'!W289*CAR!$I$58</f>
        <v>23633.850867133831</v>
      </c>
      <c r="X268" s="295">
        <f>'CAR Mileage'!X289*CAR!$I$58</f>
        <v>23633.850867133831</v>
      </c>
      <c r="Y268" s="295">
        <f>'CAR Mileage'!Y289*CAR!$I$58</f>
        <v>23633.850867133831</v>
      </c>
      <c r="Z268" s="295">
        <f>'CAR Mileage'!Z289*CAR!$I$58</f>
        <v>23633.850867133831</v>
      </c>
      <c r="AA268" s="295">
        <f>'CAR Mileage'!AA289*CAR!$I$58</f>
        <v>23633.850867133831</v>
      </c>
      <c r="AB268" s="295">
        <f>'CAR Mileage'!AB289*CAR!$I$58</f>
        <v>23633.850867133831</v>
      </c>
      <c r="AC268" s="295">
        <f>'CAR Mileage'!AC289*CAR!$I$58</f>
        <v>23633.850867133831</v>
      </c>
      <c r="AD268" s="295">
        <f>'CAR Mileage'!AD289*CAR!$I$58</f>
        <v>23633.850867133831</v>
      </c>
      <c r="AE268" s="296">
        <f>'CAR Mileage'!AE289*CAR!$I$58</f>
        <v>23633.850867133831</v>
      </c>
      <c r="AG268" s="1711"/>
      <c r="AH268" s="116">
        <v>4</v>
      </c>
      <c r="AI268" s="294">
        <f>'CAR Passenger Kilometres'!C268*'CAR Stock'!C318</f>
        <v>2646991.2971189893</v>
      </c>
      <c r="AJ268" s="295">
        <f>'CAR Passenger Kilometres'!D268*'CAR Stock'!D318</f>
        <v>10587965.188475957</v>
      </c>
      <c r="AK268" s="295">
        <f>'CAR Passenger Kilometres'!E268*'CAR Stock'!E318</f>
        <v>68869041.426827982</v>
      </c>
      <c r="AL268" s="295">
        <f>'CAR Passenger Kilometres'!F268*'CAR Stock'!F318</f>
        <v>30322230.662532706</v>
      </c>
      <c r="AM268" s="295">
        <f>'CAR Passenger Kilometres'!G268*'CAR Stock'!G318</f>
        <v>27533436.260210913</v>
      </c>
      <c r="AN268" s="295">
        <f>'CAR Passenger Kilometres'!H268*'CAR Stock'!H318</f>
        <v>0</v>
      </c>
      <c r="AO268" s="295">
        <f>'CAR Passenger Kilometres'!I268*'CAR Stock'!I318</f>
        <v>0</v>
      </c>
      <c r="AP268" s="295">
        <f>'CAR Passenger Kilometres'!J268*'CAR Stock'!J318</f>
        <v>0</v>
      </c>
      <c r="AQ268" s="295">
        <f>'CAR Passenger Kilometres'!K268*'CAR Stock'!K318</f>
        <v>0</v>
      </c>
      <c r="AR268" s="295">
        <f>'CAR Passenger Kilometres'!L268*'CAR Stock'!L318</f>
        <v>0</v>
      </c>
      <c r="AS268" s="295">
        <f>'CAR Passenger Kilometres'!M268*'CAR Stock'!M318</f>
        <v>0</v>
      </c>
      <c r="AT268" s="295">
        <f>'CAR Passenger Kilometres'!N268*'CAR Stock'!N318</f>
        <v>0</v>
      </c>
      <c r="AU268" s="295">
        <f>'CAR Passenger Kilometres'!O268*'CAR Stock'!O318</f>
        <v>0</v>
      </c>
      <c r="AV268" s="295">
        <f>'CAR Passenger Kilometres'!P268*'CAR Stock'!P318</f>
        <v>0</v>
      </c>
      <c r="AW268" s="295">
        <f>'CAR Passenger Kilometres'!Q268*'CAR Stock'!Q318</f>
        <v>0</v>
      </c>
      <c r="AX268" s="295">
        <f>'CAR Passenger Kilometres'!R268*'CAR Stock'!R318</f>
        <v>0</v>
      </c>
      <c r="AY268" s="295">
        <f>'CAR Passenger Kilometres'!S268*'CAR Stock'!S318</f>
        <v>0</v>
      </c>
      <c r="AZ268" s="295">
        <f>'CAR Passenger Kilometres'!T268*'CAR Stock'!T318</f>
        <v>0</v>
      </c>
      <c r="BA268" s="295">
        <f>'CAR Passenger Kilometres'!U268*'CAR Stock'!U318</f>
        <v>0</v>
      </c>
      <c r="BB268" s="295">
        <f>'CAR Passenger Kilometres'!V268*'CAR Stock'!V318</f>
        <v>0</v>
      </c>
      <c r="BC268" s="295">
        <f>'CAR Passenger Kilometres'!W268*'CAR Stock'!W318</f>
        <v>0</v>
      </c>
      <c r="BD268" s="295">
        <f>'CAR Passenger Kilometres'!X268*'CAR Stock'!X318</f>
        <v>0</v>
      </c>
      <c r="BE268" s="295">
        <f>'CAR Passenger Kilometres'!Y268*'CAR Stock'!Y318</f>
        <v>0</v>
      </c>
      <c r="BF268" s="295">
        <f>'CAR Passenger Kilometres'!Z268*'CAR Stock'!Z318</f>
        <v>0</v>
      </c>
      <c r="BG268" s="295">
        <f>'CAR Passenger Kilometres'!AA268*'CAR Stock'!AA318</f>
        <v>0</v>
      </c>
      <c r="BH268" s="295">
        <f>'CAR Passenger Kilometres'!AB268*'CAR Stock'!AB318</f>
        <v>0</v>
      </c>
      <c r="BI268" s="295">
        <f>'CAR Passenger Kilometres'!AC268*'CAR Stock'!AC318</f>
        <v>0</v>
      </c>
      <c r="BJ268" s="295">
        <f>'CAR Passenger Kilometres'!AD268*'CAR Stock'!AD318</f>
        <v>0</v>
      </c>
      <c r="BK268" s="296">
        <f>'CAR Passenger Kilometres'!AE268*'CAR Stock'!AE318</f>
        <v>0</v>
      </c>
    </row>
    <row r="269" spans="1:63">
      <c r="A269" s="1711"/>
      <c r="B269" s="116">
        <v>5</v>
      </c>
      <c r="C269" s="294">
        <f>'CAR Mileage'!C290*CAR!$I$58</f>
        <v>23161.173849791154</v>
      </c>
      <c r="D269" s="295">
        <f>'CAR Mileage'!D290*CAR!$I$58</f>
        <v>23161.173849791154</v>
      </c>
      <c r="E269" s="295">
        <f>'CAR Mileage'!E290*CAR!$I$58</f>
        <v>23161.173849791154</v>
      </c>
      <c r="F269" s="295">
        <f>'CAR Mileage'!F290*CAR!$I$58</f>
        <v>23161.173849791154</v>
      </c>
      <c r="G269" s="295">
        <f>'CAR Mileage'!G290*CAR!$I$58</f>
        <v>23161.173849791154</v>
      </c>
      <c r="H269" s="295">
        <f>'CAR Mileage'!H290*CAR!$I$58</f>
        <v>23161.173849791154</v>
      </c>
      <c r="I269" s="295">
        <f>'CAR Mileage'!I290*CAR!$I$58</f>
        <v>23161.173849791154</v>
      </c>
      <c r="J269" s="295">
        <f>'CAR Mileage'!J290*CAR!$I$58</f>
        <v>23161.173849791154</v>
      </c>
      <c r="K269" s="295">
        <f>'CAR Mileage'!K290*CAR!$I$58</f>
        <v>23161.173849791154</v>
      </c>
      <c r="L269" s="295">
        <f>'CAR Mileage'!L290*CAR!$I$58</f>
        <v>23161.173849791154</v>
      </c>
      <c r="M269" s="295">
        <f>'CAR Mileage'!M290*CAR!$I$58</f>
        <v>23161.173849791154</v>
      </c>
      <c r="N269" s="295">
        <f>'CAR Mileage'!N290*CAR!$I$58</f>
        <v>23161.173849791154</v>
      </c>
      <c r="O269" s="295">
        <f>'CAR Mileage'!O290*CAR!$I$58</f>
        <v>23161.173849791154</v>
      </c>
      <c r="P269" s="295">
        <f>'CAR Mileage'!P290*CAR!$I$58</f>
        <v>23161.173849791154</v>
      </c>
      <c r="Q269" s="295">
        <f>'CAR Mileage'!Q290*CAR!$I$58</f>
        <v>23161.173849791154</v>
      </c>
      <c r="R269" s="295">
        <f>'CAR Mileage'!R290*CAR!$I$58</f>
        <v>23161.173849791154</v>
      </c>
      <c r="S269" s="295">
        <f>'CAR Mileage'!S290*CAR!$I$58</f>
        <v>23161.173849791154</v>
      </c>
      <c r="T269" s="295">
        <f>'CAR Mileage'!T290*CAR!$I$58</f>
        <v>23161.173849791154</v>
      </c>
      <c r="U269" s="295">
        <f>'CAR Mileage'!U290*CAR!$I$58</f>
        <v>23161.173849791154</v>
      </c>
      <c r="V269" s="295">
        <f>'CAR Mileage'!V290*CAR!$I$58</f>
        <v>23161.173849791154</v>
      </c>
      <c r="W269" s="295">
        <f>'CAR Mileage'!W290*CAR!$I$58</f>
        <v>23161.173849791154</v>
      </c>
      <c r="X269" s="295">
        <f>'CAR Mileage'!X290*CAR!$I$58</f>
        <v>23161.173849791154</v>
      </c>
      <c r="Y269" s="295">
        <f>'CAR Mileage'!Y290*CAR!$I$58</f>
        <v>23161.173849791154</v>
      </c>
      <c r="Z269" s="295">
        <f>'CAR Mileage'!Z290*CAR!$I$58</f>
        <v>23161.173849791154</v>
      </c>
      <c r="AA269" s="295">
        <f>'CAR Mileage'!AA290*CAR!$I$58</f>
        <v>23161.173849791154</v>
      </c>
      <c r="AB269" s="295">
        <f>'CAR Mileage'!AB290*CAR!$I$58</f>
        <v>23161.173849791154</v>
      </c>
      <c r="AC269" s="295">
        <f>'CAR Mileage'!AC290*CAR!$I$58</f>
        <v>23161.173849791154</v>
      </c>
      <c r="AD269" s="295">
        <f>'CAR Mileage'!AD290*CAR!$I$58</f>
        <v>23161.173849791154</v>
      </c>
      <c r="AE269" s="296">
        <f>'CAR Mileage'!AE290*CAR!$I$58</f>
        <v>23161.173849791154</v>
      </c>
      <c r="AG269" s="1711"/>
      <c r="AH269" s="116">
        <v>5</v>
      </c>
      <c r="AI269" s="294">
        <f>'CAR Passenger Kilometres'!C269*'CAR Stock'!C319</f>
        <v>0</v>
      </c>
      <c r="AJ269" s="295">
        <f>'CAR Passenger Kilometres'!D269*'CAR Stock'!D319</f>
        <v>2594051.4711766094</v>
      </c>
      <c r="AK269" s="295">
        <f>'CAR Passenger Kilometres'!E269*'CAR Stock'!E319</f>
        <v>10376205.884706438</v>
      </c>
      <c r="AL269" s="295">
        <f>'CAR Passenger Kilometres'!F269*'CAR Stock'!F319</f>
        <v>67491660.598291427</v>
      </c>
      <c r="AM269" s="295">
        <f>'CAR Passenger Kilometres'!G269*'CAR Stock'!G319</f>
        <v>29715786.049282052</v>
      </c>
      <c r="AN269" s="295">
        <f>'CAR Passenger Kilometres'!H269*'CAR Stock'!H319</f>
        <v>26982767.535006694</v>
      </c>
      <c r="AO269" s="295">
        <f>'CAR Passenger Kilometres'!I269*'CAR Stock'!I319</f>
        <v>0</v>
      </c>
      <c r="AP269" s="295">
        <f>'CAR Passenger Kilometres'!J269*'CAR Stock'!J319</f>
        <v>0</v>
      </c>
      <c r="AQ269" s="295">
        <f>'CAR Passenger Kilometres'!K269*'CAR Stock'!K319</f>
        <v>0</v>
      </c>
      <c r="AR269" s="295">
        <f>'CAR Passenger Kilometres'!L269*'CAR Stock'!L319</f>
        <v>0</v>
      </c>
      <c r="AS269" s="295">
        <f>'CAR Passenger Kilometres'!M269*'CAR Stock'!M319</f>
        <v>0</v>
      </c>
      <c r="AT269" s="295">
        <f>'CAR Passenger Kilometres'!N269*'CAR Stock'!N319</f>
        <v>0</v>
      </c>
      <c r="AU269" s="295">
        <f>'CAR Passenger Kilometres'!O269*'CAR Stock'!O319</f>
        <v>0</v>
      </c>
      <c r="AV269" s="295">
        <f>'CAR Passenger Kilometres'!P269*'CAR Stock'!P319</f>
        <v>0</v>
      </c>
      <c r="AW269" s="295">
        <f>'CAR Passenger Kilometres'!Q269*'CAR Stock'!Q319</f>
        <v>0</v>
      </c>
      <c r="AX269" s="295">
        <f>'CAR Passenger Kilometres'!R269*'CAR Stock'!R319</f>
        <v>0</v>
      </c>
      <c r="AY269" s="295">
        <f>'CAR Passenger Kilometres'!S269*'CAR Stock'!S319</f>
        <v>0</v>
      </c>
      <c r="AZ269" s="295">
        <f>'CAR Passenger Kilometres'!T269*'CAR Stock'!T319</f>
        <v>0</v>
      </c>
      <c r="BA269" s="295">
        <f>'CAR Passenger Kilometres'!U269*'CAR Stock'!U319</f>
        <v>0</v>
      </c>
      <c r="BB269" s="295">
        <f>'CAR Passenger Kilometres'!V269*'CAR Stock'!V319</f>
        <v>0</v>
      </c>
      <c r="BC269" s="295">
        <f>'CAR Passenger Kilometres'!W269*'CAR Stock'!W319</f>
        <v>0</v>
      </c>
      <c r="BD269" s="295">
        <f>'CAR Passenger Kilometres'!X269*'CAR Stock'!X319</f>
        <v>0</v>
      </c>
      <c r="BE269" s="295">
        <f>'CAR Passenger Kilometres'!Y269*'CAR Stock'!Y319</f>
        <v>0</v>
      </c>
      <c r="BF269" s="295">
        <f>'CAR Passenger Kilometres'!Z269*'CAR Stock'!Z319</f>
        <v>0</v>
      </c>
      <c r="BG269" s="295">
        <f>'CAR Passenger Kilometres'!AA269*'CAR Stock'!AA319</f>
        <v>0</v>
      </c>
      <c r="BH269" s="295">
        <f>'CAR Passenger Kilometres'!AB269*'CAR Stock'!AB319</f>
        <v>0</v>
      </c>
      <c r="BI269" s="295">
        <f>'CAR Passenger Kilometres'!AC269*'CAR Stock'!AC319</f>
        <v>0</v>
      </c>
      <c r="BJ269" s="295">
        <f>'CAR Passenger Kilometres'!AD269*'CAR Stock'!AD319</f>
        <v>0</v>
      </c>
      <c r="BK269" s="296">
        <f>'CAR Passenger Kilometres'!AE269*'CAR Stock'!AE319</f>
        <v>0</v>
      </c>
    </row>
    <row r="270" spans="1:63">
      <c r="A270" s="1711"/>
      <c r="B270" s="116">
        <v>6</v>
      </c>
      <c r="C270" s="294">
        <f>'CAR Mileage'!C291*CAR!$I$58</f>
        <v>22697.950372795331</v>
      </c>
      <c r="D270" s="295">
        <f>'CAR Mileage'!D291*CAR!$I$58</f>
        <v>22697.950372795331</v>
      </c>
      <c r="E270" s="295">
        <f>'CAR Mileage'!E291*CAR!$I$58</f>
        <v>22697.950372795331</v>
      </c>
      <c r="F270" s="295">
        <f>'CAR Mileage'!F291*CAR!$I$58</f>
        <v>22697.950372795331</v>
      </c>
      <c r="G270" s="295">
        <f>'CAR Mileage'!G291*CAR!$I$58</f>
        <v>22697.950372795331</v>
      </c>
      <c r="H270" s="295">
        <f>'CAR Mileage'!H291*CAR!$I$58</f>
        <v>22697.950372795331</v>
      </c>
      <c r="I270" s="295">
        <f>'CAR Mileage'!I291*CAR!$I$58</f>
        <v>22697.950372795331</v>
      </c>
      <c r="J270" s="295">
        <f>'CAR Mileage'!J291*CAR!$I$58</f>
        <v>22697.950372795331</v>
      </c>
      <c r="K270" s="295">
        <f>'CAR Mileage'!K291*CAR!$I$58</f>
        <v>22697.950372795331</v>
      </c>
      <c r="L270" s="295">
        <f>'CAR Mileage'!L291*CAR!$I$58</f>
        <v>22697.950372795331</v>
      </c>
      <c r="M270" s="295">
        <f>'CAR Mileage'!M291*CAR!$I$58</f>
        <v>22697.950372795331</v>
      </c>
      <c r="N270" s="295">
        <f>'CAR Mileage'!N291*CAR!$I$58</f>
        <v>22697.950372795331</v>
      </c>
      <c r="O270" s="295">
        <f>'CAR Mileage'!O291*CAR!$I$58</f>
        <v>22697.950372795331</v>
      </c>
      <c r="P270" s="295">
        <f>'CAR Mileage'!P291*CAR!$I$58</f>
        <v>22697.950372795331</v>
      </c>
      <c r="Q270" s="295">
        <f>'CAR Mileage'!Q291*CAR!$I$58</f>
        <v>22697.950372795331</v>
      </c>
      <c r="R270" s="295">
        <f>'CAR Mileage'!R291*CAR!$I$58</f>
        <v>22697.950372795331</v>
      </c>
      <c r="S270" s="295">
        <f>'CAR Mileage'!S291*CAR!$I$58</f>
        <v>22697.950372795331</v>
      </c>
      <c r="T270" s="295">
        <f>'CAR Mileage'!T291*CAR!$I$58</f>
        <v>22697.950372795331</v>
      </c>
      <c r="U270" s="295">
        <f>'CAR Mileage'!U291*CAR!$I$58</f>
        <v>22697.950372795331</v>
      </c>
      <c r="V270" s="295">
        <f>'CAR Mileage'!V291*CAR!$I$58</f>
        <v>22697.950372795331</v>
      </c>
      <c r="W270" s="295">
        <f>'CAR Mileage'!W291*CAR!$I$58</f>
        <v>22697.950372795331</v>
      </c>
      <c r="X270" s="295">
        <f>'CAR Mileage'!X291*CAR!$I$58</f>
        <v>22697.950372795331</v>
      </c>
      <c r="Y270" s="295">
        <f>'CAR Mileage'!Y291*CAR!$I$58</f>
        <v>22697.950372795331</v>
      </c>
      <c r="Z270" s="295">
        <f>'CAR Mileage'!Z291*CAR!$I$58</f>
        <v>22697.950372795331</v>
      </c>
      <c r="AA270" s="295">
        <f>'CAR Mileage'!AA291*CAR!$I$58</f>
        <v>22697.950372795331</v>
      </c>
      <c r="AB270" s="295">
        <f>'CAR Mileage'!AB291*CAR!$I$58</f>
        <v>22697.950372795331</v>
      </c>
      <c r="AC270" s="295">
        <f>'CAR Mileage'!AC291*CAR!$I$58</f>
        <v>22697.950372795331</v>
      </c>
      <c r="AD270" s="295">
        <f>'CAR Mileage'!AD291*CAR!$I$58</f>
        <v>22697.950372795331</v>
      </c>
      <c r="AE270" s="296">
        <f>'CAR Mileage'!AE291*CAR!$I$58</f>
        <v>22697.950372795331</v>
      </c>
      <c r="AG270" s="1711"/>
      <c r="AH270" s="116">
        <v>6</v>
      </c>
      <c r="AI270" s="294">
        <f>'CAR Passenger Kilometres'!C270*'CAR Stock'!C320</f>
        <v>0</v>
      </c>
      <c r="AJ270" s="295">
        <f>'CAR Passenger Kilometres'!D270*'CAR Stock'!D320</f>
        <v>0</v>
      </c>
      <c r="AK270" s="295">
        <f>'CAR Passenger Kilometres'!E270*'CAR Stock'!E320</f>
        <v>2542170.4417530769</v>
      </c>
      <c r="AL270" s="295">
        <f>'CAR Passenger Kilometres'!F270*'CAR Stock'!F320</f>
        <v>10168681.767012307</v>
      </c>
      <c r="AM270" s="295">
        <f>'CAR Passenger Kilometres'!G270*'CAR Stock'!G320</f>
        <v>66141827.38632559</v>
      </c>
      <c r="AN270" s="295">
        <f>'CAR Passenger Kilometres'!H270*'CAR Stock'!H320</f>
        <v>29121470.328296408</v>
      </c>
      <c r="AO270" s="295">
        <f>'CAR Passenger Kilometres'!I270*'CAR Stock'!I320</f>
        <v>26443112.184306562</v>
      </c>
      <c r="AP270" s="295">
        <f>'CAR Passenger Kilometres'!J270*'CAR Stock'!J320</f>
        <v>0</v>
      </c>
      <c r="AQ270" s="295">
        <f>'CAR Passenger Kilometres'!K270*'CAR Stock'!K320</f>
        <v>0</v>
      </c>
      <c r="AR270" s="295">
        <f>'CAR Passenger Kilometres'!L270*'CAR Stock'!L320</f>
        <v>0</v>
      </c>
      <c r="AS270" s="295">
        <f>'CAR Passenger Kilometres'!M270*'CAR Stock'!M320</f>
        <v>0</v>
      </c>
      <c r="AT270" s="295">
        <f>'CAR Passenger Kilometres'!N270*'CAR Stock'!N320</f>
        <v>0</v>
      </c>
      <c r="AU270" s="295">
        <f>'CAR Passenger Kilometres'!O270*'CAR Stock'!O320</f>
        <v>0</v>
      </c>
      <c r="AV270" s="295">
        <f>'CAR Passenger Kilometres'!P270*'CAR Stock'!P320</f>
        <v>0</v>
      </c>
      <c r="AW270" s="295">
        <f>'CAR Passenger Kilometres'!Q270*'CAR Stock'!Q320</f>
        <v>0</v>
      </c>
      <c r="AX270" s="295">
        <f>'CAR Passenger Kilometres'!R270*'CAR Stock'!R320</f>
        <v>0</v>
      </c>
      <c r="AY270" s="295">
        <f>'CAR Passenger Kilometres'!S270*'CAR Stock'!S320</f>
        <v>0</v>
      </c>
      <c r="AZ270" s="295">
        <f>'CAR Passenger Kilometres'!T270*'CAR Stock'!T320</f>
        <v>0</v>
      </c>
      <c r="BA270" s="295">
        <f>'CAR Passenger Kilometres'!U270*'CAR Stock'!U320</f>
        <v>0</v>
      </c>
      <c r="BB270" s="295">
        <f>'CAR Passenger Kilometres'!V270*'CAR Stock'!V320</f>
        <v>0</v>
      </c>
      <c r="BC270" s="295">
        <f>'CAR Passenger Kilometres'!W270*'CAR Stock'!W320</f>
        <v>0</v>
      </c>
      <c r="BD270" s="295">
        <f>'CAR Passenger Kilometres'!X270*'CAR Stock'!X320</f>
        <v>0</v>
      </c>
      <c r="BE270" s="295">
        <f>'CAR Passenger Kilometres'!Y270*'CAR Stock'!Y320</f>
        <v>0</v>
      </c>
      <c r="BF270" s="295">
        <f>'CAR Passenger Kilometres'!Z270*'CAR Stock'!Z320</f>
        <v>0</v>
      </c>
      <c r="BG270" s="295">
        <f>'CAR Passenger Kilometres'!AA270*'CAR Stock'!AA320</f>
        <v>0</v>
      </c>
      <c r="BH270" s="295">
        <f>'CAR Passenger Kilometres'!AB270*'CAR Stock'!AB320</f>
        <v>0</v>
      </c>
      <c r="BI270" s="295">
        <f>'CAR Passenger Kilometres'!AC270*'CAR Stock'!AC320</f>
        <v>0</v>
      </c>
      <c r="BJ270" s="295">
        <f>'CAR Passenger Kilometres'!AD270*'CAR Stock'!AD320</f>
        <v>0</v>
      </c>
      <c r="BK270" s="296">
        <f>'CAR Passenger Kilometres'!AE270*'CAR Stock'!AE320</f>
        <v>0</v>
      </c>
    </row>
    <row r="271" spans="1:63">
      <c r="A271" s="1711"/>
      <c r="B271" s="116">
        <v>7</v>
      </c>
      <c r="C271" s="294">
        <f>'CAR Mileage'!C292*CAR!$I$58</f>
        <v>22243.991365339425</v>
      </c>
      <c r="D271" s="295">
        <f>'CAR Mileage'!D292*CAR!$I$58</f>
        <v>22243.991365339425</v>
      </c>
      <c r="E271" s="295">
        <f>'CAR Mileage'!E292*CAR!$I$58</f>
        <v>22243.991365339425</v>
      </c>
      <c r="F271" s="295">
        <f>'CAR Mileage'!F292*CAR!$I$58</f>
        <v>22243.991365339425</v>
      </c>
      <c r="G271" s="295">
        <f>'CAR Mileage'!G292*CAR!$I$58</f>
        <v>22243.991365339425</v>
      </c>
      <c r="H271" s="295">
        <f>'CAR Mileage'!H292*CAR!$I$58</f>
        <v>22243.991365339425</v>
      </c>
      <c r="I271" s="295">
        <f>'CAR Mileage'!I292*CAR!$I$58</f>
        <v>22243.991365339425</v>
      </c>
      <c r="J271" s="295">
        <f>'CAR Mileage'!J292*CAR!$I$58</f>
        <v>22243.991365339425</v>
      </c>
      <c r="K271" s="295">
        <f>'CAR Mileage'!K292*CAR!$I$58</f>
        <v>22243.991365339425</v>
      </c>
      <c r="L271" s="295">
        <f>'CAR Mileage'!L292*CAR!$I$58</f>
        <v>22243.991365339425</v>
      </c>
      <c r="M271" s="295">
        <f>'CAR Mileage'!M292*CAR!$I$58</f>
        <v>22243.991365339425</v>
      </c>
      <c r="N271" s="295">
        <f>'CAR Mileage'!N292*CAR!$I$58</f>
        <v>22243.991365339425</v>
      </c>
      <c r="O271" s="295">
        <f>'CAR Mileage'!O292*CAR!$I$58</f>
        <v>22243.991365339425</v>
      </c>
      <c r="P271" s="295">
        <f>'CAR Mileage'!P292*CAR!$I$58</f>
        <v>22243.991365339425</v>
      </c>
      <c r="Q271" s="295">
        <f>'CAR Mileage'!Q292*CAR!$I$58</f>
        <v>22243.991365339425</v>
      </c>
      <c r="R271" s="295">
        <f>'CAR Mileage'!R292*CAR!$I$58</f>
        <v>22243.991365339425</v>
      </c>
      <c r="S271" s="295">
        <f>'CAR Mileage'!S292*CAR!$I$58</f>
        <v>22243.991365339425</v>
      </c>
      <c r="T271" s="295">
        <f>'CAR Mileage'!T292*CAR!$I$58</f>
        <v>22243.991365339425</v>
      </c>
      <c r="U271" s="295">
        <f>'CAR Mileage'!U292*CAR!$I$58</f>
        <v>22243.991365339425</v>
      </c>
      <c r="V271" s="295">
        <f>'CAR Mileage'!V292*CAR!$I$58</f>
        <v>22243.991365339425</v>
      </c>
      <c r="W271" s="295">
        <f>'CAR Mileage'!W292*CAR!$I$58</f>
        <v>22243.991365339425</v>
      </c>
      <c r="X271" s="295">
        <f>'CAR Mileage'!X292*CAR!$I$58</f>
        <v>22243.991365339425</v>
      </c>
      <c r="Y271" s="295">
        <f>'CAR Mileage'!Y292*CAR!$I$58</f>
        <v>22243.991365339425</v>
      </c>
      <c r="Z271" s="295">
        <f>'CAR Mileage'!Z292*CAR!$I$58</f>
        <v>22243.991365339425</v>
      </c>
      <c r="AA271" s="295">
        <f>'CAR Mileage'!AA292*CAR!$I$58</f>
        <v>22243.991365339425</v>
      </c>
      <c r="AB271" s="295">
        <f>'CAR Mileage'!AB292*CAR!$I$58</f>
        <v>22243.991365339425</v>
      </c>
      <c r="AC271" s="295">
        <f>'CAR Mileage'!AC292*CAR!$I$58</f>
        <v>22243.991365339425</v>
      </c>
      <c r="AD271" s="295">
        <f>'CAR Mileage'!AD292*CAR!$I$58</f>
        <v>22243.991365339425</v>
      </c>
      <c r="AE271" s="296">
        <f>'CAR Mileage'!AE292*CAR!$I$58</f>
        <v>22243.991365339425</v>
      </c>
      <c r="AG271" s="1711"/>
      <c r="AH271" s="116">
        <v>7</v>
      </c>
      <c r="AI271" s="294">
        <f>'CAR Passenger Kilometres'!C271*'CAR Stock'!C321</f>
        <v>0</v>
      </c>
      <c r="AJ271" s="295">
        <f>'CAR Passenger Kilometres'!D271*'CAR Stock'!D321</f>
        <v>0</v>
      </c>
      <c r="AK271" s="295">
        <f>'CAR Passenger Kilometres'!E271*'CAR Stock'!E321</f>
        <v>0</v>
      </c>
      <c r="AL271" s="295">
        <f>'CAR Passenger Kilometres'!F271*'CAR Stock'!F321</f>
        <v>2491327.0329180155</v>
      </c>
      <c r="AM271" s="295">
        <f>'CAR Passenger Kilometres'!G271*'CAR Stock'!G321</f>
        <v>9965308.131672062</v>
      </c>
      <c r="AN271" s="295">
        <f>'CAR Passenger Kilometres'!H271*'CAR Stock'!H321</f>
        <v>64818990.838599086</v>
      </c>
      <c r="AO271" s="295">
        <f>'CAR Passenger Kilometres'!I271*'CAR Stock'!I321</f>
        <v>28539040.921730481</v>
      </c>
      <c r="AP271" s="295">
        <f>'CAR Passenger Kilometres'!J271*'CAR Stock'!J321</f>
        <v>25914249.94062043</v>
      </c>
      <c r="AQ271" s="295">
        <f>'CAR Passenger Kilometres'!K271*'CAR Stock'!K321</f>
        <v>0</v>
      </c>
      <c r="AR271" s="295">
        <f>'CAR Passenger Kilometres'!L271*'CAR Stock'!L321</f>
        <v>0</v>
      </c>
      <c r="AS271" s="295">
        <f>'CAR Passenger Kilometres'!M271*'CAR Stock'!M321</f>
        <v>0</v>
      </c>
      <c r="AT271" s="295">
        <f>'CAR Passenger Kilometres'!N271*'CAR Stock'!N321</f>
        <v>0</v>
      </c>
      <c r="AU271" s="295">
        <f>'CAR Passenger Kilometres'!O271*'CAR Stock'!O321</f>
        <v>0</v>
      </c>
      <c r="AV271" s="295">
        <f>'CAR Passenger Kilometres'!P271*'CAR Stock'!P321</f>
        <v>0</v>
      </c>
      <c r="AW271" s="295">
        <f>'CAR Passenger Kilometres'!Q271*'CAR Stock'!Q321</f>
        <v>0</v>
      </c>
      <c r="AX271" s="295">
        <f>'CAR Passenger Kilometres'!R271*'CAR Stock'!R321</f>
        <v>0</v>
      </c>
      <c r="AY271" s="295">
        <f>'CAR Passenger Kilometres'!S271*'CAR Stock'!S321</f>
        <v>0</v>
      </c>
      <c r="AZ271" s="295">
        <f>'CAR Passenger Kilometres'!T271*'CAR Stock'!T321</f>
        <v>0</v>
      </c>
      <c r="BA271" s="295">
        <f>'CAR Passenger Kilometres'!U271*'CAR Stock'!U321</f>
        <v>0</v>
      </c>
      <c r="BB271" s="295">
        <f>'CAR Passenger Kilometres'!V271*'CAR Stock'!V321</f>
        <v>0</v>
      </c>
      <c r="BC271" s="295">
        <f>'CAR Passenger Kilometres'!W271*'CAR Stock'!W321</f>
        <v>0</v>
      </c>
      <c r="BD271" s="295">
        <f>'CAR Passenger Kilometres'!X271*'CAR Stock'!X321</f>
        <v>0</v>
      </c>
      <c r="BE271" s="295">
        <f>'CAR Passenger Kilometres'!Y271*'CAR Stock'!Y321</f>
        <v>0</v>
      </c>
      <c r="BF271" s="295">
        <f>'CAR Passenger Kilometres'!Z271*'CAR Stock'!Z321</f>
        <v>0</v>
      </c>
      <c r="BG271" s="295">
        <f>'CAR Passenger Kilometres'!AA271*'CAR Stock'!AA321</f>
        <v>0</v>
      </c>
      <c r="BH271" s="295">
        <f>'CAR Passenger Kilometres'!AB271*'CAR Stock'!AB321</f>
        <v>0</v>
      </c>
      <c r="BI271" s="295">
        <f>'CAR Passenger Kilometres'!AC271*'CAR Stock'!AC321</f>
        <v>0</v>
      </c>
      <c r="BJ271" s="295">
        <f>'CAR Passenger Kilometres'!AD271*'CAR Stock'!AD321</f>
        <v>0</v>
      </c>
      <c r="BK271" s="296">
        <f>'CAR Passenger Kilometres'!AE271*'CAR Stock'!AE321</f>
        <v>0</v>
      </c>
    </row>
    <row r="272" spans="1:63">
      <c r="A272" s="1711"/>
      <c r="B272" s="116">
        <v>8</v>
      </c>
      <c r="C272" s="294">
        <f>'CAR Mileage'!C293*CAR!$I$58</f>
        <v>21799.111538032637</v>
      </c>
      <c r="D272" s="295">
        <f>'CAR Mileage'!D293*CAR!$I$58</f>
        <v>21799.111538032637</v>
      </c>
      <c r="E272" s="295">
        <f>'CAR Mileage'!E293*CAR!$I$58</f>
        <v>21799.111538032637</v>
      </c>
      <c r="F272" s="295">
        <f>'CAR Mileage'!F293*CAR!$I$58</f>
        <v>21799.111538032637</v>
      </c>
      <c r="G272" s="295">
        <f>'CAR Mileage'!G293*CAR!$I$58</f>
        <v>21799.111538032637</v>
      </c>
      <c r="H272" s="295">
        <f>'CAR Mileage'!H293*CAR!$I$58</f>
        <v>21799.111538032637</v>
      </c>
      <c r="I272" s="295">
        <f>'CAR Mileage'!I293*CAR!$I$58</f>
        <v>21799.111538032637</v>
      </c>
      <c r="J272" s="295">
        <f>'CAR Mileage'!J293*CAR!$I$58</f>
        <v>21799.111538032637</v>
      </c>
      <c r="K272" s="295">
        <f>'CAR Mileage'!K293*CAR!$I$58</f>
        <v>21799.111538032637</v>
      </c>
      <c r="L272" s="295">
        <f>'CAR Mileage'!L293*CAR!$I$58</f>
        <v>21799.111538032637</v>
      </c>
      <c r="M272" s="295">
        <f>'CAR Mileage'!M293*CAR!$I$58</f>
        <v>21799.111538032637</v>
      </c>
      <c r="N272" s="295">
        <f>'CAR Mileage'!N293*CAR!$I$58</f>
        <v>21799.111538032637</v>
      </c>
      <c r="O272" s="295">
        <f>'CAR Mileage'!O293*CAR!$I$58</f>
        <v>21799.111538032637</v>
      </c>
      <c r="P272" s="295">
        <f>'CAR Mileage'!P293*CAR!$I$58</f>
        <v>21799.111538032637</v>
      </c>
      <c r="Q272" s="295">
        <f>'CAR Mileage'!Q293*CAR!$I$58</f>
        <v>21799.111538032637</v>
      </c>
      <c r="R272" s="295">
        <f>'CAR Mileage'!R293*CAR!$I$58</f>
        <v>21799.111538032637</v>
      </c>
      <c r="S272" s="295">
        <f>'CAR Mileage'!S293*CAR!$I$58</f>
        <v>21799.111538032637</v>
      </c>
      <c r="T272" s="295">
        <f>'CAR Mileage'!T293*CAR!$I$58</f>
        <v>21799.111538032637</v>
      </c>
      <c r="U272" s="295">
        <f>'CAR Mileage'!U293*CAR!$I$58</f>
        <v>21799.111538032637</v>
      </c>
      <c r="V272" s="295">
        <f>'CAR Mileage'!V293*CAR!$I$58</f>
        <v>21799.111538032637</v>
      </c>
      <c r="W272" s="295">
        <f>'CAR Mileage'!W293*CAR!$I$58</f>
        <v>21799.111538032637</v>
      </c>
      <c r="X272" s="295">
        <f>'CAR Mileage'!X293*CAR!$I$58</f>
        <v>21799.111538032637</v>
      </c>
      <c r="Y272" s="295">
        <f>'CAR Mileage'!Y293*CAR!$I$58</f>
        <v>21799.111538032637</v>
      </c>
      <c r="Z272" s="295">
        <f>'CAR Mileage'!Z293*CAR!$I$58</f>
        <v>21799.111538032637</v>
      </c>
      <c r="AA272" s="295">
        <f>'CAR Mileage'!AA293*CAR!$I$58</f>
        <v>21799.111538032637</v>
      </c>
      <c r="AB272" s="295">
        <f>'CAR Mileage'!AB293*CAR!$I$58</f>
        <v>21799.111538032637</v>
      </c>
      <c r="AC272" s="295">
        <f>'CAR Mileage'!AC293*CAR!$I$58</f>
        <v>21799.111538032637</v>
      </c>
      <c r="AD272" s="295">
        <f>'CAR Mileage'!AD293*CAR!$I$58</f>
        <v>21799.111538032637</v>
      </c>
      <c r="AE272" s="296">
        <f>'CAR Mileage'!AE293*CAR!$I$58</f>
        <v>21799.111538032637</v>
      </c>
      <c r="AG272" s="1711"/>
      <c r="AH272" s="116">
        <v>8</v>
      </c>
      <c r="AI272" s="294">
        <f>'CAR Passenger Kilometres'!C272*'CAR Stock'!C322</f>
        <v>0</v>
      </c>
      <c r="AJ272" s="295">
        <f>'CAR Passenger Kilometres'!D272*'CAR Stock'!D322</f>
        <v>0</v>
      </c>
      <c r="AK272" s="295">
        <f>'CAR Passenger Kilometres'!E272*'CAR Stock'!E322</f>
        <v>0</v>
      </c>
      <c r="AL272" s="295">
        <f>'CAR Passenger Kilometres'!F272*'CAR Stock'!F322</f>
        <v>0</v>
      </c>
      <c r="AM272" s="295">
        <f>'CAR Passenger Kilometres'!G272*'CAR Stock'!G322</f>
        <v>2405686.649483467</v>
      </c>
      <c r="AN272" s="295">
        <f>'CAR Passenger Kilometres'!H272*'CAR Stock'!H322</f>
        <v>9622746.5979338679</v>
      </c>
      <c r="AO272" s="295">
        <f>'CAR Passenger Kilometres'!I272*'CAR Stock'!I322</f>
        <v>62590811.576739475</v>
      </c>
      <c r="AP272" s="295">
        <f>'CAR Passenger Kilometres'!J272*'CAR Stock'!J322</f>
        <v>27557999.7436365</v>
      </c>
      <c r="AQ272" s="295">
        <f>'CAR Passenger Kilometres'!K272*'CAR Stock'!K322</f>
        <v>25023437.023644987</v>
      </c>
      <c r="AR272" s="295">
        <f>'CAR Passenger Kilometres'!L272*'CAR Stock'!L322</f>
        <v>0</v>
      </c>
      <c r="AS272" s="295">
        <f>'CAR Passenger Kilometres'!M272*'CAR Stock'!M322</f>
        <v>0</v>
      </c>
      <c r="AT272" s="295">
        <f>'CAR Passenger Kilometres'!N272*'CAR Stock'!N322</f>
        <v>0</v>
      </c>
      <c r="AU272" s="295">
        <f>'CAR Passenger Kilometres'!O272*'CAR Stock'!O322</f>
        <v>0</v>
      </c>
      <c r="AV272" s="295">
        <f>'CAR Passenger Kilometres'!P272*'CAR Stock'!P322</f>
        <v>0</v>
      </c>
      <c r="AW272" s="295">
        <f>'CAR Passenger Kilometres'!Q272*'CAR Stock'!Q322</f>
        <v>0</v>
      </c>
      <c r="AX272" s="295">
        <f>'CAR Passenger Kilometres'!R272*'CAR Stock'!R322</f>
        <v>0</v>
      </c>
      <c r="AY272" s="295">
        <f>'CAR Passenger Kilometres'!S272*'CAR Stock'!S322</f>
        <v>0</v>
      </c>
      <c r="AZ272" s="295">
        <f>'CAR Passenger Kilometres'!T272*'CAR Stock'!T322</f>
        <v>0</v>
      </c>
      <c r="BA272" s="295">
        <f>'CAR Passenger Kilometres'!U272*'CAR Stock'!U322</f>
        <v>0</v>
      </c>
      <c r="BB272" s="295">
        <f>'CAR Passenger Kilometres'!V272*'CAR Stock'!V322</f>
        <v>0</v>
      </c>
      <c r="BC272" s="295">
        <f>'CAR Passenger Kilometres'!W272*'CAR Stock'!W322</f>
        <v>0</v>
      </c>
      <c r="BD272" s="295">
        <f>'CAR Passenger Kilometres'!X272*'CAR Stock'!X322</f>
        <v>0</v>
      </c>
      <c r="BE272" s="295">
        <f>'CAR Passenger Kilometres'!Y272*'CAR Stock'!Y322</f>
        <v>0</v>
      </c>
      <c r="BF272" s="295">
        <f>'CAR Passenger Kilometres'!Z272*'CAR Stock'!Z322</f>
        <v>0</v>
      </c>
      <c r="BG272" s="295">
        <f>'CAR Passenger Kilometres'!AA272*'CAR Stock'!AA322</f>
        <v>0</v>
      </c>
      <c r="BH272" s="295">
        <f>'CAR Passenger Kilometres'!AB272*'CAR Stock'!AB322</f>
        <v>0</v>
      </c>
      <c r="BI272" s="295">
        <f>'CAR Passenger Kilometres'!AC272*'CAR Stock'!AC322</f>
        <v>0</v>
      </c>
      <c r="BJ272" s="295">
        <f>'CAR Passenger Kilometres'!AD272*'CAR Stock'!AD322</f>
        <v>0</v>
      </c>
      <c r="BK272" s="296">
        <f>'CAR Passenger Kilometres'!AE272*'CAR Stock'!AE322</f>
        <v>0</v>
      </c>
    </row>
    <row r="273" spans="1:63">
      <c r="A273" s="1711"/>
      <c r="B273" s="116">
        <v>9</v>
      </c>
      <c r="C273" s="294">
        <f>'CAR Mileage'!C294*CAR!$I$58</f>
        <v>21363.129307271982</v>
      </c>
      <c r="D273" s="295">
        <f>'CAR Mileage'!D294*CAR!$I$58</f>
        <v>21363.129307271982</v>
      </c>
      <c r="E273" s="295">
        <f>'CAR Mileage'!E294*CAR!$I$58</f>
        <v>21363.129307271982</v>
      </c>
      <c r="F273" s="295">
        <f>'CAR Mileage'!F294*CAR!$I$58</f>
        <v>21363.129307271982</v>
      </c>
      <c r="G273" s="295">
        <f>'CAR Mileage'!G294*CAR!$I$58</f>
        <v>21363.129307271982</v>
      </c>
      <c r="H273" s="295">
        <f>'CAR Mileage'!H294*CAR!$I$58</f>
        <v>21363.129307271982</v>
      </c>
      <c r="I273" s="295">
        <f>'CAR Mileage'!I294*CAR!$I$58</f>
        <v>21363.129307271982</v>
      </c>
      <c r="J273" s="295">
        <f>'CAR Mileage'!J294*CAR!$I$58</f>
        <v>21363.129307271982</v>
      </c>
      <c r="K273" s="295">
        <f>'CAR Mileage'!K294*CAR!$I$58</f>
        <v>21363.129307271982</v>
      </c>
      <c r="L273" s="295">
        <f>'CAR Mileage'!L294*CAR!$I$58</f>
        <v>21363.129307271982</v>
      </c>
      <c r="M273" s="295">
        <f>'CAR Mileage'!M294*CAR!$I$58</f>
        <v>21363.129307271982</v>
      </c>
      <c r="N273" s="295">
        <f>'CAR Mileage'!N294*CAR!$I$58</f>
        <v>21363.129307271982</v>
      </c>
      <c r="O273" s="295">
        <f>'CAR Mileage'!O294*CAR!$I$58</f>
        <v>21363.129307271982</v>
      </c>
      <c r="P273" s="295">
        <f>'CAR Mileage'!P294*CAR!$I$58</f>
        <v>21363.129307271982</v>
      </c>
      <c r="Q273" s="295">
        <f>'CAR Mileage'!Q294*CAR!$I$58</f>
        <v>21363.129307271982</v>
      </c>
      <c r="R273" s="295">
        <f>'CAR Mileage'!R294*CAR!$I$58</f>
        <v>21363.129307271982</v>
      </c>
      <c r="S273" s="295">
        <f>'CAR Mileage'!S294*CAR!$I$58</f>
        <v>21363.129307271982</v>
      </c>
      <c r="T273" s="295">
        <f>'CAR Mileage'!T294*CAR!$I$58</f>
        <v>21363.129307271982</v>
      </c>
      <c r="U273" s="295">
        <f>'CAR Mileage'!U294*CAR!$I$58</f>
        <v>21363.129307271982</v>
      </c>
      <c r="V273" s="295">
        <f>'CAR Mileage'!V294*CAR!$I$58</f>
        <v>21363.129307271982</v>
      </c>
      <c r="W273" s="295">
        <f>'CAR Mileage'!W294*CAR!$I$58</f>
        <v>21363.129307271982</v>
      </c>
      <c r="X273" s="295">
        <f>'CAR Mileage'!X294*CAR!$I$58</f>
        <v>21363.129307271982</v>
      </c>
      <c r="Y273" s="295">
        <f>'CAR Mileage'!Y294*CAR!$I$58</f>
        <v>21363.129307271982</v>
      </c>
      <c r="Z273" s="295">
        <f>'CAR Mileage'!Z294*CAR!$I$58</f>
        <v>21363.129307271982</v>
      </c>
      <c r="AA273" s="295">
        <f>'CAR Mileage'!AA294*CAR!$I$58</f>
        <v>21363.129307271982</v>
      </c>
      <c r="AB273" s="295">
        <f>'CAR Mileage'!AB294*CAR!$I$58</f>
        <v>21363.129307271982</v>
      </c>
      <c r="AC273" s="295">
        <f>'CAR Mileage'!AC294*CAR!$I$58</f>
        <v>21363.129307271982</v>
      </c>
      <c r="AD273" s="295">
        <f>'CAR Mileage'!AD294*CAR!$I$58</f>
        <v>21363.129307271982</v>
      </c>
      <c r="AE273" s="296">
        <f>'CAR Mileage'!AE294*CAR!$I$58</f>
        <v>21363.129307271982</v>
      </c>
      <c r="AG273" s="1711"/>
      <c r="AH273" s="116">
        <v>9</v>
      </c>
      <c r="AI273" s="294">
        <f>'CAR Passenger Kilometres'!C273*'CAR Stock'!C323</f>
        <v>21363.129307271982</v>
      </c>
      <c r="AJ273" s="295">
        <f>'CAR Passenger Kilometres'!D273*'CAR Stock'!D323</f>
        <v>0</v>
      </c>
      <c r="AK273" s="295">
        <f>'CAR Passenger Kilometres'!E273*'CAR Stock'!E323</f>
        <v>0</v>
      </c>
      <c r="AL273" s="295">
        <f>'CAR Passenger Kilometres'!F273*'CAR Stock'!F323</f>
        <v>0</v>
      </c>
      <c r="AM273" s="295">
        <f>'CAR Passenger Kilometres'!G273*'CAR Stock'!G323</f>
        <v>0</v>
      </c>
      <c r="AN273" s="295">
        <f>'CAR Passenger Kilometres'!H273*'CAR Stock'!H323</f>
        <v>2203300.0176556916</v>
      </c>
      <c r="AO273" s="295">
        <f>'CAR Passenger Kilometres'!I273*'CAR Stock'!I323</f>
        <v>8813200.0706227664</v>
      </c>
      <c r="AP273" s="295">
        <f>'CAR Passenger Kilometres'!J273*'CAR Stock'!J323</f>
        <v>57325145.102220401</v>
      </c>
      <c r="AQ273" s="295">
        <f>'CAR Passenger Kilometres'!K273*'CAR Stock'!K323</f>
        <v>25239588.595109399</v>
      </c>
      <c r="AR273" s="295">
        <f>'CAR Passenger Kilometres'!L273*'CAR Stock'!L323</f>
        <v>22918254.647936434</v>
      </c>
      <c r="AS273" s="295">
        <f>'CAR Passenger Kilometres'!M273*'CAR Stock'!M323</f>
        <v>0</v>
      </c>
      <c r="AT273" s="295">
        <f>'CAR Passenger Kilometres'!N273*'CAR Stock'!N323</f>
        <v>0</v>
      </c>
      <c r="AU273" s="295">
        <f>'CAR Passenger Kilometres'!O273*'CAR Stock'!O323</f>
        <v>0</v>
      </c>
      <c r="AV273" s="295">
        <f>'CAR Passenger Kilometres'!P273*'CAR Stock'!P323</f>
        <v>0</v>
      </c>
      <c r="AW273" s="295">
        <f>'CAR Passenger Kilometres'!Q273*'CAR Stock'!Q323</f>
        <v>0</v>
      </c>
      <c r="AX273" s="295">
        <f>'CAR Passenger Kilometres'!R273*'CAR Stock'!R323</f>
        <v>0</v>
      </c>
      <c r="AY273" s="295">
        <f>'CAR Passenger Kilometres'!S273*'CAR Stock'!S323</f>
        <v>0</v>
      </c>
      <c r="AZ273" s="295">
        <f>'CAR Passenger Kilometres'!T273*'CAR Stock'!T323</f>
        <v>0</v>
      </c>
      <c r="BA273" s="295">
        <f>'CAR Passenger Kilometres'!U273*'CAR Stock'!U323</f>
        <v>0</v>
      </c>
      <c r="BB273" s="295">
        <f>'CAR Passenger Kilometres'!V273*'CAR Stock'!V323</f>
        <v>0</v>
      </c>
      <c r="BC273" s="295">
        <f>'CAR Passenger Kilometres'!W273*'CAR Stock'!W323</f>
        <v>0</v>
      </c>
      <c r="BD273" s="295">
        <f>'CAR Passenger Kilometres'!X273*'CAR Stock'!X323</f>
        <v>0</v>
      </c>
      <c r="BE273" s="295">
        <f>'CAR Passenger Kilometres'!Y273*'CAR Stock'!Y323</f>
        <v>0</v>
      </c>
      <c r="BF273" s="295">
        <f>'CAR Passenger Kilometres'!Z273*'CAR Stock'!Z323</f>
        <v>0</v>
      </c>
      <c r="BG273" s="295">
        <f>'CAR Passenger Kilometres'!AA273*'CAR Stock'!AA323</f>
        <v>0</v>
      </c>
      <c r="BH273" s="295">
        <f>'CAR Passenger Kilometres'!AB273*'CAR Stock'!AB323</f>
        <v>0</v>
      </c>
      <c r="BI273" s="295">
        <f>'CAR Passenger Kilometres'!AC273*'CAR Stock'!AC323</f>
        <v>0</v>
      </c>
      <c r="BJ273" s="295">
        <f>'CAR Passenger Kilometres'!AD273*'CAR Stock'!AD323</f>
        <v>0</v>
      </c>
      <c r="BK273" s="296">
        <f>'CAR Passenger Kilometres'!AE273*'CAR Stock'!AE323</f>
        <v>0</v>
      </c>
    </row>
    <row r="274" spans="1:63">
      <c r="A274" s="1711"/>
      <c r="B274" s="116">
        <v>10</v>
      </c>
      <c r="C274" s="294">
        <f>'CAR Mileage'!C295*CAR!$I$58</f>
        <v>20935.866721126542</v>
      </c>
      <c r="D274" s="295">
        <f>'CAR Mileage'!D295*CAR!$I$58</f>
        <v>20935.866721126542</v>
      </c>
      <c r="E274" s="295">
        <f>'CAR Mileage'!E295*CAR!$I$58</f>
        <v>20935.866721126542</v>
      </c>
      <c r="F274" s="295">
        <f>'CAR Mileage'!F295*CAR!$I$58</f>
        <v>20935.866721126542</v>
      </c>
      <c r="G274" s="295">
        <f>'CAR Mileage'!G295*CAR!$I$58</f>
        <v>20935.866721126542</v>
      </c>
      <c r="H274" s="295">
        <f>'CAR Mileage'!H295*CAR!$I$58</f>
        <v>20935.866721126542</v>
      </c>
      <c r="I274" s="295">
        <f>'CAR Mileage'!I295*CAR!$I$58</f>
        <v>20935.866721126542</v>
      </c>
      <c r="J274" s="295">
        <f>'CAR Mileage'!J295*CAR!$I$58</f>
        <v>20935.866721126542</v>
      </c>
      <c r="K274" s="295">
        <f>'CAR Mileage'!K295*CAR!$I$58</f>
        <v>20935.866721126542</v>
      </c>
      <c r="L274" s="295">
        <f>'CAR Mileage'!L295*CAR!$I$58</f>
        <v>20935.866721126542</v>
      </c>
      <c r="M274" s="295">
        <f>'CAR Mileage'!M295*CAR!$I$58</f>
        <v>20935.866721126542</v>
      </c>
      <c r="N274" s="295">
        <f>'CAR Mileage'!N295*CAR!$I$58</f>
        <v>20935.866721126542</v>
      </c>
      <c r="O274" s="295">
        <f>'CAR Mileage'!O295*CAR!$I$58</f>
        <v>20935.866721126542</v>
      </c>
      <c r="P274" s="295">
        <f>'CAR Mileage'!P295*CAR!$I$58</f>
        <v>20935.866721126542</v>
      </c>
      <c r="Q274" s="295">
        <f>'CAR Mileage'!Q295*CAR!$I$58</f>
        <v>20935.866721126542</v>
      </c>
      <c r="R274" s="295">
        <f>'CAR Mileage'!R295*CAR!$I$58</f>
        <v>20935.866721126542</v>
      </c>
      <c r="S274" s="295">
        <f>'CAR Mileage'!S295*CAR!$I$58</f>
        <v>20935.866721126542</v>
      </c>
      <c r="T274" s="295">
        <f>'CAR Mileage'!T295*CAR!$I$58</f>
        <v>20935.866721126542</v>
      </c>
      <c r="U274" s="295">
        <f>'CAR Mileage'!U295*CAR!$I$58</f>
        <v>20935.866721126542</v>
      </c>
      <c r="V274" s="295">
        <f>'CAR Mileage'!V295*CAR!$I$58</f>
        <v>20935.866721126542</v>
      </c>
      <c r="W274" s="295">
        <f>'CAR Mileage'!W295*CAR!$I$58</f>
        <v>20935.866721126542</v>
      </c>
      <c r="X274" s="295">
        <f>'CAR Mileage'!X295*CAR!$I$58</f>
        <v>20935.866721126542</v>
      </c>
      <c r="Y274" s="295">
        <f>'CAR Mileage'!Y295*CAR!$I$58</f>
        <v>20935.866721126542</v>
      </c>
      <c r="Z274" s="295">
        <f>'CAR Mileage'!Z295*CAR!$I$58</f>
        <v>20935.866721126542</v>
      </c>
      <c r="AA274" s="295">
        <f>'CAR Mileage'!AA295*CAR!$I$58</f>
        <v>20935.866721126542</v>
      </c>
      <c r="AB274" s="295">
        <f>'CAR Mileage'!AB295*CAR!$I$58</f>
        <v>20935.866721126542</v>
      </c>
      <c r="AC274" s="295">
        <f>'CAR Mileage'!AC295*CAR!$I$58</f>
        <v>20935.866721126542</v>
      </c>
      <c r="AD274" s="295">
        <f>'CAR Mileage'!AD295*CAR!$I$58</f>
        <v>20935.866721126542</v>
      </c>
      <c r="AE274" s="296">
        <f>'CAR Mileage'!AE295*CAR!$I$58</f>
        <v>20935.866721126542</v>
      </c>
      <c r="AG274" s="1711"/>
      <c r="AH274" s="116">
        <v>10</v>
      </c>
      <c r="AI274" s="294">
        <f>'CAR Passenger Kilometres'!C274*'CAR Stock'!C324</f>
        <v>0</v>
      </c>
      <c r="AJ274" s="295">
        <f>'CAR Passenger Kilometres'!D274*'CAR Stock'!D324</f>
        <v>17813.510052968984</v>
      </c>
      <c r="AK274" s="295">
        <f>'CAR Passenger Kilometres'!E274*'CAR Stock'!E324</f>
        <v>0</v>
      </c>
      <c r="AL274" s="295">
        <f>'CAR Passenger Kilometres'!F274*'CAR Stock'!F324</f>
        <v>0</v>
      </c>
      <c r="AM274" s="295">
        <f>'CAR Passenger Kilometres'!G274*'CAR Stock'!G324</f>
        <v>0</v>
      </c>
      <c r="AN274" s="295">
        <f>'CAR Passenger Kilometres'!H274*'CAR Stock'!H324</f>
        <v>0</v>
      </c>
      <c r="AO274" s="295">
        <f>'CAR Passenger Kilometres'!I274*'CAR Stock'!I324</f>
        <v>1837207.7634177059</v>
      </c>
      <c r="AP274" s="295">
        <f>'CAR Passenger Kilometres'!J274*'CAR Stock'!J324</f>
        <v>7348831.0536708236</v>
      </c>
      <c r="AQ274" s="295">
        <f>'CAR Passenger Kilometres'!K274*'CAR Stock'!K324</f>
        <v>47800209.130349949</v>
      </c>
      <c r="AR274" s="295">
        <f>'CAR Passenger Kilometres'!L274*'CAR Stock'!L324</f>
        <v>21045871.075579613</v>
      </c>
      <c r="AS274" s="295">
        <f>'CAR Passenger Kilometres'!M274*'CAR Stock'!M324</f>
        <v>19110241.467693102</v>
      </c>
      <c r="AT274" s="295">
        <f>'CAR Passenger Kilometres'!N274*'CAR Stock'!N324</f>
        <v>0</v>
      </c>
      <c r="AU274" s="295">
        <f>'CAR Passenger Kilometres'!O274*'CAR Stock'!O324</f>
        <v>0</v>
      </c>
      <c r="AV274" s="295">
        <f>'CAR Passenger Kilometres'!P274*'CAR Stock'!P324</f>
        <v>0</v>
      </c>
      <c r="AW274" s="295">
        <f>'CAR Passenger Kilometres'!Q274*'CAR Stock'!Q324</f>
        <v>0</v>
      </c>
      <c r="AX274" s="295">
        <f>'CAR Passenger Kilometres'!R274*'CAR Stock'!R324</f>
        <v>0</v>
      </c>
      <c r="AY274" s="295">
        <f>'CAR Passenger Kilometres'!S274*'CAR Stock'!S324</f>
        <v>0</v>
      </c>
      <c r="AZ274" s="295">
        <f>'CAR Passenger Kilometres'!T274*'CAR Stock'!T324</f>
        <v>0</v>
      </c>
      <c r="BA274" s="295">
        <f>'CAR Passenger Kilometres'!U274*'CAR Stock'!U324</f>
        <v>0</v>
      </c>
      <c r="BB274" s="295">
        <f>'CAR Passenger Kilometres'!V274*'CAR Stock'!V324</f>
        <v>0</v>
      </c>
      <c r="BC274" s="295">
        <f>'CAR Passenger Kilometres'!W274*'CAR Stock'!W324</f>
        <v>0</v>
      </c>
      <c r="BD274" s="295">
        <f>'CAR Passenger Kilometres'!X274*'CAR Stock'!X324</f>
        <v>0</v>
      </c>
      <c r="BE274" s="295">
        <f>'CAR Passenger Kilometres'!Y274*'CAR Stock'!Y324</f>
        <v>0</v>
      </c>
      <c r="BF274" s="295">
        <f>'CAR Passenger Kilometres'!Z274*'CAR Stock'!Z324</f>
        <v>0</v>
      </c>
      <c r="BG274" s="295">
        <f>'CAR Passenger Kilometres'!AA274*'CAR Stock'!AA324</f>
        <v>0</v>
      </c>
      <c r="BH274" s="295">
        <f>'CAR Passenger Kilometres'!AB274*'CAR Stock'!AB324</f>
        <v>0</v>
      </c>
      <c r="BI274" s="295">
        <f>'CAR Passenger Kilometres'!AC274*'CAR Stock'!AC324</f>
        <v>0</v>
      </c>
      <c r="BJ274" s="295">
        <f>'CAR Passenger Kilometres'!AD274*'CAR Stock'!AD324</f>
        <v>0</v>
      </c>
      <c r="BK274" s="296">
        <f>'CAR Passenger Kilometres'!AE274*'CAR Stock'!AE324</f>
        <v>0</v>
      </c>
    </row>
    <row r="275" spans="1:63">
      <c r="A275" s="1711"/>
      <c r="B275" s="116">
        <v>11</v>
      </c>
      <c r="C275" s="294">
        <f>'CAR Mileage'!C296*CAR!$I$58</f>
        <v>20517.149386704012</v>
      </c>
      <c r="D275" s="295">
        <f>'CAR Mileage'!D296*CAR!$I$58</f>
        <v>20517.149386704012</v>
      </c>
      <c r="E275" s="295">
        <f>'CAR Mileage'!E296*CAR!$I$58</f>
        <v>20517.149386704012</v>
      </c>
      <c r="F275" s="295">
        <f>'CAR Mileage'!F296*CAR!$I$58</f>
        <v>20517.149386704012</v>
      </c>
      <c r="G275" s="295">
        <f>'CAR Mileage'!G296*CAR!$I$58</f>
        <v>20517.149386704012</v>
      </c>
      <c r="H275" s="295">
        <f>'CAR Mileage'!H296*CAR!$I$58</f>
        <v>20517.149386704012</v>
      </c>
      <c r="I275" s="295">
        <f>'CAR Mileage'!I296*CAR!$I$58</f>
        <v>20517.149386704012</v>
      </c>
      <c r="J275" s="295">
        <f>'CAR Mileage'!J296*CAR!$I$58</f>
        <v>20517.149386704012</v>
      </c>
      <c r="K275" s="295">
        <f>'CAR Mileage'!K296*CAR!$I$58</f>
        <v>20517.149386704012</v>
      </c>
      <c r="L275" s="295">
        <f>'CAR Mileage'!L296*CAR!$I$58</f>
        <v>20517.149386704012</v>
      </c>
      <c r="M275" s="295">
        <f>'CAR Mileage'!M296*CAR!$I$58</f>
        <v>20517.149386704012</v>
      </c>
      <c r="N275" s="295">
        <f>'CAR Mileage'!N296*CAR!$I$58</f>
        <v>20517.149386704012</v>
      </c>
      <c r="O275" s="295">
        <f>'CAR Mileage'!O296*CAR!$I$58</f>
        <v>20517.149386704012</v>
      </c>
      <c r="P275" s="295">
        <f>'CAR Mileage'!P296*CAR!$I$58</f>
        <v>20517.149386704012</v>
      </c>
      <c r="Q275" s="295">
        <f>'CAR Mileage'!Q296*CAR!$I$58</f>
        <v>20517.149386704012</v>
      </c>
      <c r="R275" s="295">
        <f>'CAR Mileage'!R296*CAR!$I$58</f>
        <v>20517.149386704012</v>
      </c>
      <c r="S275" s="295">
        <f>'CAR Mileage'!S296*CAR!$I$58</f>
        <v>20517.149386704012</v>
      </c>
      <c r="T275" s="295">
        <f>'CAR Mileage'!T296*CAR!$I$58</f>
        <v>20517.149386704012</v>
      </c>
      <c r="U275" s="295">
        <f>'CAR Mileage'!U296*CAR!$I$58</f>
        <v>20517.149386704012</v>
      </c>
      <c r="V275" s="295">
        <f>'CAR Mileage'!V296*CAR!$I$58</f>
        <v>20517.149386704012</v>
      </c>
      <c r="W275" s="295">
        <f>'CAR Mileage'!W296*CAR!$I$58</f>
        <v>20517.149386704012</v>
      </c>
      <c r="X275" s="295">
        <f>'CAR Mileage'!X296*CAR!$I$58</f>
        <v>20517.149386704012</v>
      </c>
      <c r="Y275" s="295">
        <f>'CAR Mileage'!Y296*CAR!$I$58</f>
        <v>20517.149386704012</v>
      </c>
      <c r="Z275" s="295">
        <f>'CAR Mileage'!Z296*CAR!$I$58</f>
        <v>20517.149386704012</v>
      </c>
      <c r="AA275" s="295">
        <f>'CAR Mileage'!AA296*CAR!$I$58</f>
        <v>20517.149386704012</v>
      </c>
      <c r="AB275" s="295">
        <f>'CAR Mileage'!AB296*CAR!$I$58</f>
        <v>20517.149386704012</v>
      </c>
      <c r="AC275" s="295">
        <f>'CAR Mileage'!AC296*CAR!$I$58</f>
        <v>20517.149386704012</v>
      </c>
      <c r="AD275" s="295">
        <f>'CAR Mileage'!AD296*CAR!$I$58</f>
        <v>20517.149386704012</v>
      </c>
      <c r="AE275" s="296">
        <f>'CAR Mileage'!AE296*CAR!$I$58</f>
        <v>20517.149386704012</v>
      </c>
      <c r="AG275" s="1711"/>
      <c r="AH275" s="116">
        <v>11</v>
      </c>
      <c r="AI275" s="294">
        <f>'CAR Passenger Kilometres'!C275*'CAR Stock'!C325</f>
        <v>0</v>
      </c>
      <c r="AJ275" s="295">
        <f>'CAR Passenger Kilometres'!D275*'CAR Stock'!D325</f>
        <v>0</v>
      </c>
      <c r="AK275" s="295">
        <f>'CAR Passenger Kilometres'!E275*'CAR Stock'!E325</f>
        <v>13021.804390234862</v>
      </c>
      <c r="AL275" s="295">
        <f>'CAR Passenger Kilometres'!F275*'CAR Stock'!F325</f>
        <v>0</v>
      </c>
      <c r="AM275" s="295">
        <f>'CAR Passenger Kilometres'!G275*'CAR Stock'!G325</f>
        <v>0</v>
      </c>
      <c r="AN275" s="295">
        <f>'CAR Passenger Kilometres'!H275*'CAR Stock'!H325</f>
        <v>0</v>
      </c>
      <c r="AO275" s="295">
        <f>'CAR Passenger Kilometres'!I275*'CAR Stock'!I325</f>
        <v>0</v>
      </c>
      <c r="AP275" s="295">
        <f>'CAR Passenger Kilometres'!J275*'CAR Stock'!J325</f>
        <v>1343012.1322697361</v>
      </c>
      <c r="AQ275" s="295">
        <f>'CAR Passenger Kilometres'!K275*'CAR Stock'!K325</f>
        <v>5372048.5290789446</v>
      </c>
      <c r="AR275" s="295">
        <f>'CAR Passenger Kilometres'!L275*'CAR Stock'!L325</f>
        <v>34942297.798517957</v>
      </c>
      <c r="AS275" s="295">
        <f>'CAR Passenger Kilometres'!M275*'CAR Stock'!M325</f>
        <v>15384683.622339925</v>
      </c>
      <c r="AT275" s="295">
        <f>'CAR Passenger Kilometres'!N275*'CAR Stock'!N325</f>
        <v>13969724.411555737</v>
      </c>
      <c r="AU275" s="295">
        <f>'CAR Passenger Kilometres'!O275*'CAR Stock'!O325</f>
        <v>0</v>
      </c>
      <c r="AV275" s="295">
        <f>'CAR Passenger Kilometres'!P275*'CAR Stock'!P325</f>
        <v>0</v>
      </c>
      <c r="AW275" s="295">
        <f>'CAR Passenger Kilometres'!Q275*'CAR Stock'!Q325</f>
        <v>0</v>
      </c>
      <c r="AX275" s="295">
        <f>'CAR Passenger Kilometres'!R275*'CAR Stock'!R325</f>
        <v>0</v>
      </c>
      <c r="AY275" s="295">
        <f>'CAR Passenger Kilometres'!S275*'CAR Stock'!S325</f>
        <v>0</v>
      </c>
      <c r="AZ275" s="295">
        <f>'CAR Passenger Kilometres'!T275*'CAR Stock'!T325</f>
        <v>0</v>
      </c>
      <c r="BA275" s="295">
        <f>'CAR Passenger Kilometres'!U275*'CAR Stock'!U325</f>
        <v>0</v>
      </c>
      <c r="BB275" s="295">
        <f>'CAR Passenger Kilometres'!V275*'CAR Stock'!V325</f>
        <v>0</v>
      </c>
      <c r="BC275" s="295">
        <f>'CAR Passenger Kilometres'!W275*'CAR Stock'!W325</f>
        <v>0</v>
      </c>
      <c r="BD275" s="295">
        <f>'CAR Passenger Kilometres'!X275*'CAR Stock'!X325</f>
        <v>0</v>
      </c>
      <c r="BE275" s="295">
        <f>'CAR Passenger Kilometres'!Y275*'CAR Stock'!Y325</f>
        <v>0</v>
      </c>
      <c r="BF275" s="295">
        <f>'CAR Passenger Kilometres'!Z275*'CAR Stock'!Z325</f>
        <v>0</v>
      </c>
      <c r="BG275" s="295">
        <f>'CAR Passenger Kilometres'!AA275*'CAR Stock'!AA325</f>
        <v>0</v>
      </c>
      <c r="BH275" s="295">
        <f>'CAR Passenger Kilometres'!AB275*'CAR Stock'!AB325</f>
        <v>0</v>
      </c>
      <c r="BI275" s="295">
        <f>'CAR Passenger Kilometres'!AC275*'CAR Stock'!AC325</f>
        <v>0</v>
      </c>
      <c r="BJ275" s="295">
        <f>'CAR Passenger Kilometres'!AD275*'CAR Stock'!AD325</f>
        <v>0</v>
      </c>
      <c r="BK275" s="296">
        <f>'CAR Passenger Kilometres'!AE275*'CAR Stock'!AE325</f>
        <v>0</v>
      </c>
    </row>
    <row r="276" spans="1:63">
      <c r="A276" s="1711"/>
      <c r="B276" s="116">
        <v>12</v>
      </c>
      <c r="C276" s="294">
        <f>'CAR Mileage'!C297*CAR!$I$58</f>
        <v>20106.806398969933</v>
      </c>
      <c r="D276" s="295">
        <f>'CAR Mileage'!D297*CAR!$I$58</f>
        <v>20106.806398969933</v>
      </c>
      <c r="E276" s="295">
        <f>'CAR Mileage'!E297*CAR!$I$58</f>
        <v>20106.806398969933</v>
      </c>
      <c r="F276" s="295">
        <f>'CAR Mileage'!F297*CAR!$I$58</f>
        <v>20106.806398969933</v>
      </c>
      <c r="G276" s="295">
        <f>'CAR Mileage'!G297*CAR!$I$58</f>
        <v>20106.806398969933</v>
      </c>
      <c r="H276" s="295">
        <f>'CAR Mileage'!H297*CAR!$I$58</f>
        <v>20106.806398969933</v>
      </c>
      <c r="I276" s="295">
        <f>'CAR Mileage'!I297*CAR!$I$58</f>
        <v>20106.806398969933</v>
      </c>
      <c r="J276" s="295">
        <f>'CAR Mileage'!J297*CAR!$I$58</f>
        <v>20106.806398969933</v>
      </c>
      <c r="K276" s="295">
        <f>'CAR Mileage'!K297*CAR!$I$58</f>
        <v>20106.806398969933</v>
      </c>
      <c r="L276" s="295">
        <f>'CAR Mileage'!L297*CAR!$I$58</f>
        <v>20106.806398969933</v>
      </c>
      <c r="M276" s="295">
        <f>'CAR Mileage'!M297*CAR!$I$58</f>
        <v>20106.806398969933</v>
      </c>
      <c r="N276" s="295">
        <f>'CAR Mileage'!N297*CAR!$I$58</f>
        <v>20106.806398969933</v>
      </c>
      <c r="O276" s="295">
        <f>'CAR Mileage'!O297*CAR!$I$58</f>
        <v>20106.806398969933</v>
      </c>
      <c r="P276" s="295">
        <f>'CAR Mileage'!P297*CAR!$I$58</f>
        <v>20106.806398969933</v>
      </c>
      <c r="Q276" s="295">
        <f>'CAR Mileage'!Q297*CAR!$I$58</f>
        <v>20106.806398969933</v>
      </c>
      <c r="R276" s="295">
        <f>'CAR Mileage'!R297*CAR!$I$58</f>
        <v>20106.806398969933</v>
      </c>
      <c r="S276" s="295">
        <f>'CAR Mileage'!S297*CAR!$I$58</f>
        <v>20106.806398969933</v>
      </c>
      <c r="T276" s="295">
        <f>'CAR Mileage'!T297*CAR!$I$58</f>
        <v>20106.806398969933</v>
      </c>
      <c r="U276" s="295">
        <f>'CAR Mileage'!U297*CAR!$I$58</f>
        <v>20106.806398969933</v>
      </c>
      <c r="V276" s="295">
        <f>'CAR Mileage'!V297*CAR!$I$58</f>
        <v>20106.806398969933</v>
      </c>
      <c r="W276" s="295">
        <f>'CAR Mileage'!W297*CAR!$I$58</f>
        <v>20106.806398969933</v>
      </c>
      <c r="X276" s="295">
        <f>'CAR Mileage'!X297*CAR!$I$58</f>
        <v>20106.806398969933</v>
      </c>
      <c r="Y276" s="295">
        <f>'CAR Mileage'!Y297*CAR!$I$58</f>
        <v>20106.806398969933</v>
      </c>
      <c r="Z276" s="295">
        <f>'CAR Mileage'!Z297*CAR!$I$58</f>
        <v>20106.806398969933</v>
      </c>
      <c r="AA276" s="295">
        <f>'CAR Mileage'!AA297*CAR!$I$58</f>
        <v>20106.806398969933</v>
      </c>
      <c r="AB276" s="295">
        <f>'CAR Mileage'!AB297*CAR!$I$58</f>
        <v>20106.806398969933</v>
      </c>
      <c r="AC276" s="295">
        <f>'CAR Mileage'!AC297*CAR!$I$58</f>
        <v>20106.806398969933</v>
      </c>
      <c r="AD276" s="295">
        <f>'CAR Mileage'!AD297*CAR!$I$58</f>
        <v>20106.806398969933</v>
      </c>
      <c r="AE276" s="296">
        <f>'CAR Mileage'!AE297*CAR!$I$58</f>
        <v>20106.806398969933</v>
      </c>
      <c r="AG276" s="1711"/>
      <c r="AH276" s="116">
        <v>12</v>
      </c>
      <c r="AI276" s="294">
        <f>'CAR Passenger Kilometres'!C276*'CAR Stock'!C326</f>
        <v>0</v>
      </c>
      <c r="AJ276" s="295">
        <f>'CAR Passenger Kilometres'!D276*'CAR Stock'!D326</f>
        <v>0</v>
      </c>
      <c r="AK276" s="295">
        <f>'CAR Passenger Kilometres'!E276*'CAR Stock'!E326</f>
        <v>0</v>
      </c>
      <c r="AL276" s="295">
        <f>'CAR Passenger Kilometres'!F276*'CAR Stock'!F326</f>
        <v>7875.0566401711631</v>
      </c>
      <c r="AM276" s="295">
        <f>'CAR Passenger Kilometres'!G276*'CAR Stock'!G326</f>
        <v>0</v>
      </c>
      <c r="AN276" s="295">
        <f>'CAR Passenger Kilometres'!H276*'CAR Stock'!H326</f>
        <v>0</v>
      </c>
      <c r="AO276" s="295">
        <f>'CAR Passenger Kilometres'!I276*'CAR Stock'!I326</f>
        <v>0</v>
      </c>
      <c r="AP276" s="295">
        <f>'CAR Passenger Kilometres'!J276*'CAR Stock'!J326</f>
        <v>0</v>
      </c>
      <c r="AQ276" s="295">
        <f>'CAR Passenger Kilometres'!K276*'CAR Stock'!K326</f>
        <v>812199.00814916659</v>
      </c>
      <c r="AR276" s="295">
        <f>'CAR Passenger Kilometres'!L276*'CAR Stock'!L326</f>
        <v>3248796.0325966664</v>
      </c>
      <c r="AS276" s="295">
        <f>'CAR Passenger Kilometres'!M276*'CAR Stock'!M326</f>
        <v>21131677.76559528</v>
      </c>
      <c r="AT276" s="295">
        <f>'CAR Passenger Kilometres'!N276*'CAR Stock'!N326</f>
        <v>9304029.7094230428</v>
      </c>
      <c r="AU276" s="295">
        <f>'CAR Passenger Kilometres'!O276*'CAR Stock'!O326</f>
        <v>8448320.0401230268</v>
      </c>
      <c r="AV276" s="295">
        <f>'CAR Passenger Kilometres'!P276*'CAR Stock'!P326</f>
        <v>0</v>
      </c>
      <c r="AW276" s="295">
        <f>'CAR Passenger Kilometres'!Q276*'CAR Stock'!Q326</f>
        <v>0</v>
      </c>
      <c r="AX276" s="295">
        <f>'CAR Passenger Kilometres'!R276*'CAR Stock'!R326</f>
        <v>0</v>
      </c>
      <c r="AY276" s="295">
        <f>'CAR Passenger Kilometres'!S276*'CAR Stock'!S326</f>
        <v>0</v>
      </c>
      <c r="AZ276" s="295">
        <f>'CAR Passenger Kilometres'!T276*'CAR Stock'!T326</f>
        <v>0</v>
      </c>
      <c r="BA276" s="295">
        <f>'CAR Passenger Kilometres'!U276*'CAR Stock'!U326</f>
        <v>0</v>
      </c>
      <c r="BB276" s="295">
        <f>'CAR Passenger Kilometres'!V276*'CAR Stock'!V326</f>
        <v>0</v>
      </c>
      <c r="BC276" s="295">
        <f>'CAR Passenger Kilometres'!W276*'CAR Stock'!W326</f>
        <v>0</v>
      </c>
      <c r="BD276" s="295">
        <f>'CAR Passenger Kilometres'!X276*'CAR Stock'!X326</f>
        <v>0</v>
      </c>
      <c r="BE276" s="295">
        <f>'CAR Passenger Kilometres'!Y276*'CAR Stock'!Y326</f>
        <v>0</v>
      </c>
      <c r="BF276" s="295">
        <f>'CAR Passenger Kilometres'!Z276*'CAR Stock'!Z326</f>
        <v>0</v>
      </c>
      <c r="BG276" s="295">
        <f>'CAR Passenger Kilometres'!AA276*'CAR Stock'!AA326</f>
        <v>0</v>
      </c>
      <c r="BH276" s="295">
        <f>'CAR Passenger Kilometres'!AB276*'CAR Stock'!AB326</f>
        <v>0</v>
      </c>
      <c r="BI276" s="295">
        <f>'CAR Passenger Kilometres'!AC276*'CAR Stock'!AC326</f>
        <v>0</v>
      </c>
      <c r="BJ276" s="295">
        <f>'CAR Passenger Kilometres'!AD276*'CAR Stock'!AD326</f>
        <v>0</v>
      </c>
      <c r="BK276" s="296">
        <f>'CAR Passenger Kilometres'!AE276*'CAR Stock'!AE326</f>
        <v>0</v>
      </c>
    </row>
    <row r="277" spans="1:63">
      <c r="A277" s="1711"/>
      <c r="B277" s="116">
        <v>13</v>
      </c>
      <c r="C277" s="294">
        <f>'CAR Mileage'!C298*CAR!$I$58</f>
        <v>19704.670270990533</v>
      </c>
      <c r="D277" s="295">
        <f>'CAR Mileage'!D298*CAR!$I$58</f>
        <v>19704.670270990533</v>
      </c>
      <c r="E277" s="295">
        <f>'CAR Mileage'!E298*CAR!$I$58</f>
        <v>19704.670270990533</v>
      </c>
      <c r="F277" s="295">
        <f>'CAR Mileage'!F298*CAR!$I$58</f>
        <v>19704.670270990533</v>
      </c>
      <c r="G277" s="295">
        <f>'CAR Mileage'!G298*CAR!$I$58</f>
        <v>19704.670270990533</v>
      </c>
      <c r="H277" s="295">
        <f>'CAR Mileage'!H298*CAR!$I$58</f>
        <v>19704.670270990533</v>
      </c>
      <c r="I277" s="295">
        <f>'CAR Mileage'!I298*CAR!$I$58</f>
        <v>19704.670270990533</v>
      </c>
      <c r="J277" s="295">
        <f>'CAR Mileage'!J298*CAR!$I$58</f>
        <v>19704.670270990533</v>
      </c>
      <c r="K277" s="295">
        <f>'CAR Mileage'!K298*CAR!$I$58</f>
        <v>19704.670270990533</v>
      </c>
      <c r="L277" s="295">
        <f>'CAR Mileage'!L298*CAR!$I$58</f>
        <v>19704.670270990533</v>
      </c>
      <c r="M277" s="295">
        <f>'CAR Mileage'!M298*CAR!$I$58</f>
        <v>19704.670270990533</v>
      </c>
      <c r="N277" s="295">
        <f>'CAR Mileage'!N298*CAR!$I$58</f>
        <v>19704.670270990533</v>
      </c>
      <c r="O277" s="295">
        <f>'CAR Mileage'!O298*CAR!$I$58</f>
        <v>19704.670270990533</v>
      </c>
      <c r="P277" s="295">
        <f>'CAR Mileage'!P298*CAR!$I$58</f>
        <v>19704.670270990533</v>
      </c>
      <c r="Q277" s="295">
        <f>'CAR Mileage'!Q298*CAR!$I$58</f>
        <v>19704.670270990533</v>
      </c>
      <c r="R277" s="295">
        <f>'CAR Mileage'!R298*CAR!$I$58</f>
        <v>19704.670270990533</v>
      </c>
      <c r="S277" s="295">
        <f>'CAR Mileage'!S298*CAR!$I$58</f>
        <v>19704.670270990533</v>
      </c>
      <c r="T277" s="295">
        <f>'CAR Mileage'!T298*CAR!$I$58</f>
        <v>19704.670270990533</v>
      </c>
      <c r="U277" s="295">
        <f>'CAR Mileage'!U298*CAR!$I$58</f>
        <v>19704.670270990533</v>
      </c>
      <c r="V277" s="295">
        <f>'CAR Mileage'!V298*CAR!$I$58</f>
        <v>19704.670270990533</v>
      </c>
      <c r="W277" s="295">
        <f>'CAR Mileage'!W298*CAR!$I$58</f>
        <v>19704.670270990533</v>
      </c>
      <c r="X277" s="295">
        <f>'CAR Mileage'!X298*CAR!$I$58</f>
        <v>19704.670270990533</v>
      </c>
      <c r="Y277" s="295">
        <f>'CAR Mileage'!Y298*CAR!$I$58</f>
        <v>19704.670270990533</v>
      </c>
      <c r="Z277" s="295">
        <f>'CAR Mileage'!Z298*CAR!$I$58</f>
        <v>19704.670270990533</v>
      </c>
      <c r="AA277" s="295">
        <f>'CAR Mileage'!AA298*CAR!$I$58</f>
        <v>19704.670270990533</v>
      </c>
      <c r="AB277" s="295">
        <f>'CAR Mileage'!AB298*CAR!$I$58</f>
        <v>19704.670270990533</v>
      </c>
      <c r="AC277" s="295">
        <f>'CAR Mileage'!AC298*CAR!$I$58</f>
        <v>19704.670270990533</v>
      </c>
      <c r="AD277" s="295">
        <f>'CAR Mileage'!AD298*CAR!$I$58</f>
        <v>19704.670270990533</v>
      </c>
      <c r="AE277" s="296">
        <f>'CAR Mileage'!AE298*CAR!$I$58</f>
        <v>19704.670270990533</v>
      </c>
      <c r="AG277" s="1711"/>
      <c r="AH277" s="116">
        <v>13</v>
      </c>
      <c r="AI277" s="294">
        <f>'CAR Passenger Kilometres'!C277*'CAR Stock'!C327</f>
        <v>0</v>
      </c>
      <c r="AJ277" s="295">
        <f>'CAR Passenger Kilometres'!D277*'CAR Stock'!D327</f>
        <v>0</v>
      </c>
      <c r="AK277" s="295">
        <f>'CAR Passenger Kilometres'!E277*'CAR Stock'!E327</f>
        <v>0</v>
      </c>
      <c r="AL277" s="295">
        <f>'CAR Passenger Kilometres'!F277*'CAR Stock'!F327</f>
        <v>0</v>
      </c>
      <c r="AM277" s="295">
        <f>'CAR Passenger Kilometres'!G277*'CAR Stock'!G327</f>
        <v>3796.8431637964904</v>
      </c>
      <c r="AN277" s="295">
        <f>'CAR Passenger Kilometres'!H277*'CAR Stock'!H327</f>
        <v>0</v>
      </c>
      <c r="AO277" s="295">
        <f>'CAR Passenger Kilometres'!I277*'CAR Stock'!I327</f>
        <v>0</v>
      </c>
      <c r="AP277" s="295">
        <f>'CAR Passenger Kilometres'!J277*'CAR Stock'!J327</f>
        <v>0</v>
      </c>
      <c r="AQ277" s="295">
        <f>'CAR Passenger Kilometres'!K277*'CAR Stock'!K327</f>
        <v>0</v>
      </c>
      <c r="AR277" s="295">
        <f>'CAR Passenger Kilometres'!L277*'CAR Stock'!L327</f>
        <v>391589.85041489522</v>
      </c>
      <c r="AS277" s="295">
        <f>'CAR Passenger Kilometres'!M277*'CAR Stock'!M327</f>
        <v>1566359.4016595809</v>
      </c>
      <c r="AT277" s="295">
        <f>'CAR Passenger Kilometres'!N277*'CAR Stock'!N327</f>
        <v>10188328.786687542</v>
      </c>
      <c r="AU277" s="295">
        <f>'CAR Passenger Kilometres'!O277*'CAR Stock'!O327</f>
        <v>4485801.5900206305</v>
      </c>
      <c r="AV277" s="295">
        <f>'CAR Passenger Kilometres'!P277*'CAR Stock'!P327</f>
        <v>4073233.7119049369</v>
      </c>
      <c r="AW277" s="295">
        <f>'CAR Passenger Kilometres'!Q277*'CAR Stock'!Q327</f>
        <v>0</v>
      </c>
      <c r="AX277" s="295">
        <f>'CAR Passenger Kilometres'!R277*'CAR Stock'!R327</f>
        <v>0</v>
      </c>
      <c r="AY277" s="295">
        <f>'CAR Passenger Kilometres'!S277*'CAR Stock'!S327</f>
        <v>0</v>
      </c>
      <c r="AZ277" s="295">
        <f>'CAR Passenger Kilometres'!T277*'CAR Stock'!T327</f>
        <v>0</v>
      </c>
      <c r="BA277" s="295">
        <f>'CAR Passenger Kilometres'!U277*'CAR Stock'!U327</f>
        <v>0</v>
      </c>
      <c r="BB277" s="295">
        <f>'CAR Passenger Kilometres'!V277*'CAR Stock'!V327</f>
        <v>0</v>
      </c>
      <c r="BC277" s="295">
        <f>'CAR Passenger Kilometres'!W277*'CAR Stock'!W327</f>
        <v>0</v>
      </c>
      <c r="BD277" s="295">
        <f>'CAR Passenger Kilometres'!X277*'CAR Stock'!X327</f>
        <v>0</v>
      </c>
      <c r="BE277" s="295">
        <f>'CAR Passenger Kilometres'!Y277*'CAR Stock'!Y327</f>
        <v>0</v>
      </c>
      <c r="BF277" s="295">
        <f>'CAR Passenger Kilometres'!Z277*'CAR Stock'!Z327</f>
        <v>0</v>
      </c>
      <c r="BG277" s="295">
        <f>'CAR Passenger Kilometres'!AA277*'CAR Stock'!AA327</f>
        <v>0</v>
      </c>
      <c r="BH277" s="295">
        <f>'CAR Passenger Kilometres'!AB277*'CAR Stock'!AB327</f>
        <v>0</v>
      </c>
      <c r="BI277" s="295">
        <f>'CAR Passenger Kilometres'!AC277*'CAR Stock'!AC327</f>
        <v>0</v>
      </c>
      <c r="BJ277" s="295">
        <f>'CAR Passenger Kilometres'!AD277*'CAR Stock'!AD327</f>
        <v>0</v>
      </c>
      <c r="BK277" s="296">
        <f>'CAR Passenger Kilometres'!AE277*'CAR Stock'!AE327</f>
        <v>0</v>
      </c>
    </row>
    <row r="278" spans="1:63">
      <c r="A278" s="1711"/>
      <c r="B278" s="116">
        <v>14</v>
      </c>
      <c r="C278" s="294">
        <f>'CAR Mileage'!C299*CAR!$I$58</f>
        <v>19310.576865570722</v>
      </c>
      <c r="D278" s="295">
        <f>'CAR Mileage'!D299*CAR!$I$58</f>
        <v>19310.576865570722</v>
      </c>
      <c r="E278" s="295">
        <f>'CAR Mileage'!E299*CAR!$I$58</f>
        <v>19310.576865570722</v>
      </c>
      <c r="F278" s="295">
        <f>'CAR Mileage'!F299*CAR!$I$58</f>
        <v>19310.576865570722</v>
      </c>
      <c r="G278" s="295">
        <f>'CAR Mileage'!G299*CAR!$I$58</f>
        <v>19310.576865570722</v>
      </c>
      <c r="H278" s="295">
        <f>'CAR Mileage'!H299*CAR!$I$58</f>
        <v>19310.576865570722</v>
      </c>
      <c r="I278" s="295">
        <f>'CAR Mileage'!I299*CAR!$I$58</f>
        <v>19310.576865570722</v>
      </c>
      <c r="J278" s="295">
        <f>'CAR Mileage'!J299*CAR!$I$58</f>
        <v>19310.576865570722</v>
      </c>
      <c r="K278" s="295">
        <f>'CAR Mileage'!K299*CAR!$I$58</f>
        <v>19310.576865570722</v>
      </c>
      <c r="L278" s="295">
        <f>'CAR Mileage'!L299*CAR!$I$58</f>
        <v>19310.576865570722</v>
      </c>
      <c r="M278" s="295">
        <f>'CAR Mileage'!M299*CAR!$I$58</f>
        <v>19310.576865570722</v>
      </c>
      <c r="N278" s="295">
        <f>'CAR Mileage'!N299*CAR!$I$58</f>
        <v>19310.576865570722</v>
      </c>
      <c r="O278" s="295">
        <f>'CAR Mileage'!O299*CAR!$I$58</f>
        <v>19310.576865570722</v>
      </c>
      <c r="P278" s="295">
        <f>'CAR Mileage'!P299*CAR!$I$58</f>
        <v>19310.576865570722</v>
      </c>
      <c r="Q278" s="295">
        <f>'CAR Mileage'!Q299*CAR!$I$58</f>
        <v>19310.576865570722</v>
      </c>
      <c r="R278" s="295">
        <f>'CAR Mileage'!R299*CAR!$I$58</f>
        <v>19310.576865570722</v>
      </c>
      <c r="S278" s="295">
        <f>'CAR Mileage'!S299*CAR!$I$58</f>
        <v>19310.576865570722</v>
      </c>
      <c r="T278" s="295">
        <f>'CAR Mileage'!T299*CAR!$I$58</f>
        <v>19310.576865570722</v>
      </c>
      <c r="U278" s="295">
        <f>'CAR Mileage'!U299*CAR!$I$58</f>
        <v>19310.576865570722</v>
      </c>
      <c r="V278" s="295">
        <f>'CAR Mileage'!V299*CAR!$I$58</f>
        <v>19310.576865570722</v>
      </c>
      <c r="W278" s="295">
        <f>'CAR Mileage'!W299*CAR!$I$58</f>
        <v>19310.576865570722</v>
      </c>
      <c r="X278" s="295">
        <f>'CAR Mileage'!X299*CAR!$I$58</f>
        <v>19310.576865570722</v>
      </c>
      <c r="Y278" s="295">
        <f>'CAR Mileage'!Y299*CAR!$I$58</f>
        <v>19310.576865570722</v>
      </c>
      <c r="Z278" s="295">
        <f>'CAR Mileage'!Z299*CAR!$I$58</f>
        <v>19310.576865570722</v>
      </c>
      <c r="AA278" s="295">
        <f>'CAR Mileage'!AA299*CAR!$I$58</f>
        <v>19310.576865570722</v>
      </c>
      <c r="AB278" s="295">
        <f>'CAR Mileage'!AB299*CAR!$I$58</f>
        <v>19310.576865570722</v>
      </c>
      <c r="AC278" s="295">
        <f>'CAR Mileage'!AC299*CAR!$I$58</f>
        <v>19310.576865570722</v>
      </c>
      <c r="AD278" s="295">
        <f>'CAR Mileage'!AD299*CAR!$I$58</f>
        <v>19310.576865570722</v>
      </c>
      <c r="AE278" s="296">
        <f>'CAR Mileage'!AE299*CAR!$I$58</f>
        <v>19310.576865570722</v>
      </c>
      <c r="AG278" s="1711"/>
      <c r="AH278" s="116">
        <v>14</v>
      </c>
      <c r="AI278" s="294">
        <f>'CAR Passenger Kilometres'!C278*'CAR Stock'!C328</f>
        <v>0</v>
      </c>
      <c r="AJ278" s="295">
        <f>'CAR Passenger Kilometres'!D278*'CAR Stock'!D328</f>
        <v>0</v>
      </c>
      <c r="AK278" s="295">
        <f>'CAR Passenger Kilometres'!E278*'CAR Stock'!E328</f>
        <v>0</v>
      </c>
      <c r="AL278" s="295">
        <f>'CAR Passenger Kilometres'!F278*'CAR Stock'!F328</f>
        <v>0</v>
      </c>
      <c r="AM278" s="295">
        <f>'CAR Passenger Kilometres'!G278*'CAR Stock'!G328</f>
        <v>0</v>
      </c>
      <c r="AN278" s="295">
        <f>'CAR Passenger Kilometres'!H278*'CAR Stock'!H328</f>
        <v>1410.07903141526</v>
      </c>
      <c r="AO278" s="295">
        <f>'CAR Passenger Kilometres'!I278*'CAR Stock'!I328</f>
        <v>0</v>
      </c>
      <c r="AP278" s="295">
        <f>'CAR Passenger Kilometres'!J278*'CAR Stock'!J328</f>
        <v>0</v>
      </c>
      <c r="AQ278" s="295">
        <f>'CAR Passenger Kilometres'!K278*'CAR Stock'!K328</f>
        <v>0</v>
      </c>
      <c r="AR278" s="295">
        <f>'CAR Passenger Kilometres'!L278*'CAR Stock'!L328</f>
        <v>0</v>
      </c>
      <c r="AS278" s="295">
        <f>'CAR Passenger Kilometres'!M278*'CAR Stock'!M328</f>
        <v>145429.40362934579</v>
      </c>
      <c r="AT278" s="295">
        <f>'CAR Passenger Kilometres'!N278*'CAR Stock'!N328</f>
        <v>581717.61451738316</v>
      </c>
      <c r="AU278" s="295">
        <f>'CAR Passenger Kilometres'!O278*'CAR Stock'!O328</f>
        <v>3783761.4479992292</v>
      </c>
      <c r="AV278" s="295">
        <f>'CAR Passenger Kilometres'!P278*'CAR Stock'!P328</f>
        <v>1665945.757646881</v>
      </c>
      <c r="AW278" s="295">
        <f>'CAR Passenger Kilometres'!Q278*'CAR Stock'!Q328</f>
        <v>1512725.4931088202</v>
      </c>
      <c r="AX278" s="295">
        <f>'CAR Passenger Kilometres'!R278*'CAR Stock'!R328</f>
        <v>0</v>
      </c>
      <c r="AY278" s="295">
        <f>'CAR Passenger Kilometres'!S278*'CAR Stock'!S328</f>
        <v>0</v>
      </c>
      <c r="AZ278" s="295">
        <f>'CAR Passenger Kilometres'!T278*'CAR Stock'!T328</f>
        <v>0</v>
      </c>
      <c r="BA278" s="295">
        <f>'CAR Passenger Kilometres'!U278*'CAR Stock'!U328</f>
        <v>0</v>
      </c>
      <c r="BB278" s="295">
        <f>'CAR Passenger Kilometres'!V278*'CAR Stock'!V328</f>
        <v>0</v>
      </c>
      <c r="BC278" s="295">
        <f>'CAR Passenger Kilometres'!W278*'CAR Stock'!W328</f>
        <v>0</v>
      </c>
      <c r="BD278" s="295">
        <f>'CAR Passenger Kilometres'!X278*'CAR Stock'!X328</f>
        <v>0</v>
      </c>
      <c r="BE278" s="295">
        <f>'CAR Passenger Kilometres'!Y278*'CAR Stock'!Y328</f>
        <v>0</v>
      </c>
      <c r="BF278" s="295">
        <f>'CAR Passenger Kilometres'!Z278*'CAR Stock'!Z328</f>
        <v>0</v>
      </c>
      <c r="BG278" s="295">
        <f>'CAR Passenger Kilometres'!AA278*'CAR Stock'!AA328</f>
        <v>0</v>
      </c>
      <c r="BH278" s="295">
        <f>'CAR Passenger Kilometres'!AB278*'CAR Stock'!AB328</f>
        <v>0</v>
      </c>
      <c r="BI278" s="295">
        <f>'CAR Passenger Kilometres'!AC278*'CAR Stock'!AC328</f>
        <v>0</v>
      </c>
      <c r="BJ278" s="295">
        <f>'CAR Passenger Kilometres'!AD278*'CAR Stock'!AD328</f>
        <v>0</v>
      </c>
      <c r="BK278" s="296">
        <f>'CAR Passenger Kilometres'!AE278*'CAR Stock'!AE328</f>
        <v>0</v>
      </c>
    </row>
    <row r="279" spans="1:63">
      <c r="A279" s="1711"/>
      <c r="B279" s="116">
        <v>15</v>
      </c>
      <c r="C279" s="294">
        <f>'CAR Mileage'!C300*CAR!$I$58</f>
        <v>18924.365328259308</v>
      </c>
      <c r="D279" s="295">
        <f>'CAR Mileage'!D300*CAR!$I$58</f>
        <v>18924.365328259308</v>
      </c>
      <c r="E279" s="295">
        <f>'CAR Mileage'!E300*CAR!$I$58</f>
        <v>18924.365328259308</v>
      </c>
      <c r="F279" s="295">
        <f>'CAR Mileage'!F300*CAR!$I$58</f>
        <v>18924.365328259308</v>
      </c>
      <c r="G279" s="295">
        <f>'CAR Mileage'!G300*CAR!$I$58</f>
        <v>18924.365328259308</v>
      </c>
      <c r="H279" s="295">
        <f>'CAR Mileage'!H300*CAR!$I$58</f>
        <v>18924.365328259308</v>
      </c>
      <c r="I279" s="295">
        <f>'CAR Mileage'!I300*CAR!$I$58</f>
        <v>18924.365328259308</v>
      </c>
      <c r="J279" s="295">
        <f>'CAR Mileage'!J300*CAR!$I$58</f>
        <v>18924.365328259308</v>
      </c>
      <c r="K279" s="295">
        <f>'CAR Mileage'!K300*CAR!$I$58</f>
        <v>18924.365328259308</v>
      </c>
      <c r="L279" s="295">
        <f>'CAR Mileage'!L300*CAR!$I$58</f>
        <v>18924.365328259308</v>
      </c>
      <c r="M279" s="295">
        <f>'CAR Mileage'!M300*CAR!$I$58</f>
        <v>18924.365328259308</v>
      </c>
      <c r="N279" s="295">
        <f>'CAR Mileage'!N300*CAR!$I$58</f>
        <v>18924.365328259308</v>
      </c>
      <c r="O279" s="295">
        <f>'CAR Mileage'!O300*CAR!$I$58</f>
        <v>18924.365328259308</v>
      </c>
      <c r="P279" s="295">
        <f>'CAR Mileage'!P300*CAR!$I$58</f>
        <v>18924.365328259308</v>
      </c>
      <c r="Q279" s="295">
        <f>'CAR Mileage'!Q300*CAR!$I$58</f>
        <v>18924.365328259308</v>
      </c>
      <c r="R279" s="295">
        <f>'CAR Mileage'!R300*CAR!$I$58</f>
        <v>18924.365328259308</v>
      </c>
      <c r="S279" s="295">
        <f>'CAR Mileage'!S300*CAR!$I$58</f>
        <v>18924.365328259308</v>
      </c>
      <c r="T279" s="295">
        <f>'CAR Mileage'!T300*CAR!$I$58</f>
        <v>18924.365328259308</v>
      </c>
      <c r="U279" s="295">
        <f>'CAR Mileage'!U300*CAR!$I$58</f>
        <v>18924.365328259308</v>
      </c>
      <c r="V279" s="295">
        <f>'CAR Mileage'!V300*CAR!$I$58</f>
        <v>18924.365328259308</v>
      </c>
      <c r="W279" s="295">
        <f>'CAR Mileage'!W300*CAR!$I$58</f>
        <v>18924.365328259308</v>
      </c>
      <c r="X279" s="295">
        <f>'CAR Mileage'!X300*CAR!$I$58</f>
        <v>18924.365328259308</v>
      </c>
      <c r="Y279" s="295">
        <f>'CAR Mileage'!Y300*CAR!$I$58</f>
        <v>18924.365328259308</v>
      </c>
      <c r="Z279" s="295">
        <f>'CAR Mileage'!Z300*CAR!$I$58</f>
        <v>18924.365328259308</v>
      </c>
      <c r="AA279" s="295">
        <f>'CAR Mileage'!AA300*CAR!$I$58</f>
        <v>18924.365328259308</v>
      </c>
      <c r="AB279" s="295">
        <f>'CAR Mileage'!AB300*CAR!$I$58</f>
        <v>18924.365328259308</v>
      </c>
      <c r="AC279" s="295">
        <f>'CAR Mileage'!AC300*CAR!$I$58</f>
        <v>18924.365328259308</v>
      </c>
      <c r="AD279" s="295">
        <f>'CAR Mileage'!AD300*CAR!$I$58</f>
        <v>18924.365328259308</v>
      </c>
      <c r="AE279" s="296">
        <f>'CAR Mileage'!AE300*CAR!$I$58</f>
        <v>18924.365328259308</v>
      </c>
      <c r="AG279" s="1711"/>
      <c r="AH279" s="116">
        <v>15</v>
      </c>
      <c r="AI279" s="294">
        <f>'CAR Passenger Kilometres'!C279*'CAR Stock'!C329</f>
        <v>0</v>
      </c>
      <c r="AJ279" s="295">
        <f>'CAR Passenger Kilometres'!D279*'CAR Stock'!D329</f>
        <v>0</v>
      </c>
      <c r="AK279" s="295">
        <f>'CAR Passenger Kilometres'!E279*'CAR Stock'!E329</f>
        <v>0</v>
      </c>
      <c r="AL279" s="295">
        <f>'CAR Passenger Kilometres'!F279*'CAR Stock'!F329</f>
        <v>0</v>
      </c>
      <c r="AM279" s="295">
        <f>'CAR Passenger Kilometres'!G279*'CAR Stock'!G329</f>
        <v>0</v>
      </c>
      <c r="AN279" s="295">
        <f>'CAR Passenger Kilometres'!H279*'CAR Stock'!H329</f>
        <v>0</v>
      </c>
      <c r="AO279" s="295">
        <f>'CAR Passenger Kilometres'!I279*'CAR Stock'!I329</f>
        <v>380.1912326541555</v>
      </c>
      <c r="AP279" s="295">
        <f>'CAR Passenger Kilometres'!J279*'CAR Stock'!J329</f>
        <v>0</v>
      </c>
      <c r="AQ279" s="295">
        <f>'CAR Passenger Kilometres'!K279*'CAR Stock'!K329</f>
        <v>0</v>
      </c>
      <c r="AR279" s="295">
        <f>'CAR Passenger Kilometres'!L279*'CAR Stock'!L329</f>
        <v>0</v>
      </c>
      <c r="AS279" s="295">
        <f>'CAR Passenger Kilometres'!M279*'CAR Stock'!M329</f>
        <v>0</v>
      </c>
      <c r="AT279" s="295">
        <f>'CAR Passenger Kilometres'!N279*'CAR Stock'!N329</f>
        <v>39211.266175985576</v>
      </c>
      <c r="AU279" s="295">
        <f>'CAR Passenger Kilometres'!O279*'CAR Stock'!O329</f>
        <v>156845.06470394231</v>
      </c>
      <c r="AV279" s="295">
        <f>'CAR Passenger Kilometres'!P279*'CAR Stock'!P329</f>
        <v>1020193.1217573393</v>
      </c>
      <c r="AW279" s="295">
        <f>'CAR Passenger Kilometres'!Q279*'CAR Stock'!Q329</f>
        <v>449179.05806954921</v>
      </c>
      <c r="AX279" s="295">
        <f>'CAR Passenger Kilometres'!R279*'CAR Stock'!R329</f>
        <v>407867.18834842148</v>
      </c>
      <c r="AY279" s="295">
        <f>'CAR Passenger Kilometres'!S279*'CAR Stock'!S329</f>
        <v>0</v>
      </c>
      <c r="AZ279" s="295">
        <f>'CAR Passenger Kilometres'!T279*'CAR Stock'!T329</f>
        <v>0</v>
      </c>
      <c r="BA279" s="295">
        <f>'CAR Passenger Kilometres'!U279*'CAR Stock'!U329</f>
        <v>0</v>
      </c>
      <c r="BB279" s="295">
        <f>'CAR Passenger Kilometres'!V279*'CAR Stock'!V329</f>
        <v>0</v>
      </c>
      <c r="BC279" s="295">
        <f>'CAR Passenger Kilometres'!W279*'CAR Stock'!W329</f>
        <v>0</v>
      </c>
      <c r="BD279" s="295">
        <f>'CAR Passenger Kilometres'!X279*'CAR Stock'!X329</f>
        <v>0</v>
      </c>
      <c r="BE279" s="295">
        <f>'CAR Passenger Kilometres'!Y279*'CAR Stock'!Y329</f>
        <v>0</v>
      </c>
      <c r="BF279" s="295">
        <f>'CAR Passenger Kilometres'!Z279*'CAR Stock'!Z329</f>
        <v>0</v>
      </c>
      <c r="BG279" s="295">
        <f>'CAR Passenger Kilometres'!AA279*'CAR Stock'!AA329</f>
        <v>0</v>
      </c>
      <c r="BH279" s="295">
        <f>'CAR Passenger Kilometres'!AB279*'CAR Stock'!AB329</f>
        <v>0</v>
      </c>
      <c r="BI279" s="295">
        <f>'CAR Passenger Kilometres'!AC279*'CAR Stock'!AC329</f>
        <v>0</v>
      </c>
      <c r="BJ279" s="295">
        <f>'CAR Passenger Kilometres'!AD279*'CAR Stock'!AD329</f>
        <v>0</v>
      </c>
      <c r="BK279" s="296">
        <f>'CAR Passenger Kilometres'!AE279*'CAR Stock'!AE329</f>
        <v>0</v>
      </c>
    </row>
    <row r="280" spans="1:63">
      <c r="A280" s="1711"/>
      <c r="B280" s="116">
        <v>16</v>
      </c>
      <c r="C280" s="294">
        <f>'CAR Mileage'!C301*CAR!$I$58</f>
        <v>18545.87802169412</v>
      </c>
      <c r="D280" s="295">
        <f>'CAR Mileage'!D301*CAR!$I$58</f>
        <v>18545.87802169412</v>
      </c>
      <c r="E280" s="295">
        <f>'CAR Mileage'!E301*CAR!$I$58</f>
        <v>18545.87802169412</v>
      </c>
      <c r="F280" s="295">
        <f>'CAR Mileage'!F301*CAR!$I$58</f>
        <v>18545.87802169412</v>
      </c>
      <c r="G280" s="295">
        <f>'CAR Mileage'!G301*CAR!$I$58</f>
        <v>18545.87802169412</v>
      </c>
      <c r="H280" s="295">
        <f>'CAR Mileage'!H301*CAR!$I$58</f>
        <v>18545.87802169412</v>
      </c>
      <c r="I280" s="295">
        <f>'CAR Mileage'!I301*CAR!$I$58</f>
        <v>18545.87802169412</v>
      </c>
      <c r="J280" s="295">
        <f>'CAR Mileage'!J301*CAR!$I$58</f>
        <v>18545.87802169412</v>
      </c>
      <c r="K280" s="295">
        <f>'CAR Mileage'!K301*CAR!$I$58</f>
        <v>18545.87802169412</v>
      </c>
      <c r="L280" s="295">
        <f>'CAR Mileage'!L301*CAR!$I$58</f>
        <v>18545.87802169412</v>
      </c>
      <c r="M280" s="295">
        <f>'CAR Mileage'!M301*CAR!$I$58</f>
        <v>18545.87802169412</v>
      </c>
      <c r="N280" s="295">
        <f>'CAR Mileage'!N301*CAR!$I$58</f>
        <v>18545.87802169412</v>
      </c>
      <c r="O280" s="295">
        <f>'CAR Mileage'!O301*CAR!$I$58</f>
        <v>18545.87802169412</v>
      </c>
      <c r="P280" s="295">
        <f>'CAR Mileage'!P301*CAR!$I$58</f>
        <v>18545.87802169412</v>
      </c>
      <c r="Q280" s="295">
        <f>'CAR Mileage'!Q301*CAR!$I$58</f>
        <v>18545.87802169412</v>
      </c>
      <c r="R280" s="295">
        <f>'CAR Mileage'!R301*CAR!$I$58</f>
        <v>18545.87802169412</v>
      </c>
      <c r="S280" s="295">
        <f>'CAR Mileage'!S301*CAR!$I$58</f>
        <v>18545.87802169412</v>
      </c>
      <c r="T280" s="295">
        <f>'CAR Mileage'!T301*CAR!$I$58</f>
        <v>18545.87802169412</v>
      </c>
      <c r="U280" s="295">
        <f>'CAR Mileage'!U301*CAR!$I$58</f>
        <v>18545.87802169412</v>
      </c>
      <c r="V280" s="295">
        <f>'CAR Mileage'!V301*CAR!$I$58</f>
        <v>18545.87802169412</v>
      </c>
      <c r="W280" s="295">
        <f>'CAR Mileage'!W301*CAR!$I$58</f>
        <v>18545.87802169412</v>
      </c>
      <c r="X280" s="295">
        <f>'CAR Mileage'!X301*CAR!$I$58</f>
        <v>18545.87802169412</v>
      </c>
      <c r="Y280" s="295">
        <f>'CAR Mileage'!Y301*CAR!$I$58</f>
        <v>18545.87802169412</v>
      </c>
      <c r="Z280" s="295">
        <f>'CAR Mileage'!Z301*CAR!$I$58</f>
        <v>18545.87802169412</v>
      </c>
      <c r="AA280" s="295">
        <f>'CAR Mileage'!AA301*CAR!$I$58</f>
        <v>18545.87802169412</v>
      </c>
      <c r="AB280" s="295">
        <f>'CAR Mileage'!AB301*CAR!$I$58</f>
        <v>18545.87802169412</v>
      </c>
      <c r="AC280" s="295">
        <f>'CAR Mileage'!AC301*CAR!$I$58</f>
        <v>18545.87802169412</v>
      </c>
      <c r="AD280" s="295">
        <f>'CAR Mileage'!AD301*CAR!$I$58</f>
        <v>18545.87802169412</v>
      </c>
      <c r="AE280" s="296">
        <f>'CAR Mileage'!AE301*CAR!$I$58</f>
        <v>18545.87802169412</v>
      </c>
      <c r="AG280" s="1711"/>
      <c r="AH280" s="116">
        <v>16</v>
      </c>
      <c r="AI280" s="294">
        <f>'CAR Passenger Kilometres'!C280*'CAR Stock'!C330</f>
        <v>0</v>
      </c>
      <c r="AJ280" s="295">
        <f>'CAR Passenger Kilometres'!D280*'CAR Stock'!D330</f>
        <v>0</v>
      </c>
      <c r="AK280" s="295">
        <f>'CAR Passenger Kilometres'!E280*'CAR Stock'!E330</f>
        <v>0</v>
      </c>
      <c r="AL280" s="295">
        <f>'CAR Passenger Kilometres'!F280*'CAR Stock'!F330</f>
        <v>0</v>
      </c>
      <c r="AM280" s="295">
        <f>'CAR Passenger Kilometres'!G280*'CAR Stock'!G330</f>
        <v>0</v>
      </c>
      <c r="AN280" s="295">
        <f>'CAR Passenger Kilometres'!H280*'CAR Stock'!H330</f>
        <v>0</v>
      </c>
      <c r="AO280" s="295">
        <f>'CAR Passenger Kilometres'!I280*'CAR Stock'!I330</f>
        <v>0</v>
      </c>
      <c r="AP280" s="295">
        <f>'CAR Passenger Kilometres'!J280*'CAR Stock'!J330</f>
        <v>92.257833178193408</v>
      </c>
      <c r="AQ280" s="295">
        <f>'CAR Passenger Kilometres'!K280*'CAR Stock'!K330</f>
        <v>0</v>
      </c>
      <c r="AR280" s="295">
        <f>'CAR Passenger Kilometres'!L280*'CAR Stock'!L330</f>
        <v>0</v>
      </c>
      <c r="AS280" s="295">
        <f>'CAR Passenger Kilometres'!M280*'CAR Stock'!M330</f>
        <v>0</v>
      </c>
      <c r="AT280" s="295">
        <f>'CAR Passenger Kilometres'!N280*'CAR Stock'!N330</f>
        <v>0</v>
      </c>
      <c r="AU280" s="295">
        <f>'CAR Passenger Kilometres'!O280*'CAR Stock'!O330</f>
        <v>9515.070687757152</v>
      </c>
      <c r="AV280" s="295">
        <f>'CAR Passenger Kilometres'!P280*'CAR Stock'!P330</f>
        <v>38060.282751028608</v>
      </c>
      <c r="AW280" s="295">
        <f>'CAR Passenger Kilometres'!Q280*'CAR Stock'!Q330</f>
        <v>247561.74985825308</v>
      </c>
      <c r="AX280" s="295">
        <f>'CAR Passenger Kilometres'!R280*'CAR Stock'!R330</f>
        <v>108998.53296778954</v>
      </c>
      <c r="AY280" s="295">
        <f>'CAR Passenger Kilometres'!S280*'CAR Stock'!S330</f>
        <v>98973.726350331082</v>
      </c>
      <c r="AZ280" s="295">
        <f>'CAR Passenger Kilometres'!T280*'CAR Stock'!T330</f>
        <v>0</v>
      </c>
      <c r="BA280" s="295">
        <f>'CAR Passenger Kilometres'!U280*'CAR Stock'!U330</f>
        <v>0</v>
      </c>
      <c r="BB280" s="295">
        <f>'CAR Passenger Kilometres'!V280*'CAR Stock'!V330</f>
        <v>0</v>
      </c>
      <c r="BC280" s="295">
        <f>'CAR Passenger Kilometres'!W280*'CAR Stock'!W330</f>
        <v>0</v>
      </c>
      <c r="BD280" s="295">
        <f>'CAR Passenger Kilometres'!X280*'CAR Stock'!X330</f>
        <v>0</v>
      </c>
      <c r="BE280" s="295">
        <f>'CAR Passenger Kilometres'!Y280*'CAR Stock'!Y330</f>
        <v>0</v>
      </c>
      <c r="BF280" s="295">
        <f>'CAR Passenger Kilometres'!Z280*'CAR Stock'!Z330</f>
        <v>0</v>
      </c>
      <c r="BG280" s="295">
        <f>'CAR Passenger Kilometres'!AA280*'CAR Stock'!AA330</f>
        <v>0</v>
      </c>
      <c r="BH280" s="295">
        <f>'CAR Passenger Kilometres'!AB280*'CAR Stock'!AB330</f>
        <v>0</v>
      </c>
      <c r="BI280" s="295">
        <f>'CAR Passenger Kilometres'!AC280*'CAR Stock'!AC330</f>
        <v>0</v>
      </c>
      <c r="BJ280" s="295">
        <f>'CAR Passenger Kilometres'!AD280*'CAR Stock'!AD330</f>
        <v>0</v>
      </c>
      <c r="BK280" s="296">
        <f>'CAR Passenger Kilometres'!AE280*'CAR Stock'!AE330</f>
        <v>0</v>
      </c>
    </row>
    <row r="281" spans="1:63">
      <c r="A281" s="1711"/>
      <c r="B281" s="116">
        <v>17</v>
      </c>
      <c r="C281" s="294">
        <f>'CAR Mileage'!C302*CAR!$I$58</f>
        <v>18545.87802169412</v>
      </c>
      <c r="D281" s="295">
        <f>'CAR Mileage'!D302*CAR!$I$58</f>
        <v>18545.87802169412</v>
      </c>
      <c r="E281" s="295">
        <f>'CAR Mileage'!E302*CAR!$I$58</f>
        <v>18545.87802169412</v>
      </c>
      <c r="F281" s="295">
        <f>'CAR Mileage'!F302*CAR!$I$58</f>
        <v>18545.87802169412</v>
      </c>
      <c r="G281" s="295">
        <f>'CAR Mileage'!G302*CAR!$I$58</f>
        <v>18545.87802169412</v>
      </c>
      <c r="H281" s="295">
        <f>'CAR Mileage'!H302*CAR!$I$58</f>
        <v>18545.87802169412</v>
      </c>
      <c r="I281" s="295">
        <f>'CAR Mileage'!I302*CAR!$I$58</f>
        <v>18545.87802169412</v>
      </c>
      <c r="J281" s="295">
        <f>'CAR Mileage'!J302*CAR!$I$58</f>
        <v>18545.87802169412</v>
      </c>
      <c r="K281" s="295">
        <f>'CAR Mileage'!K302*CAR!$I$58</f>
        <v>18545.87802169412</v>
      </c>
      <c r="L281" s="295">
        <f>'CAR Mileage'!L302*CAR!$I$58</f>
        <v>18545.87802169412</v>
      </c>
      <c r="M281" s="295">
        <f>'CAR Mileage'!M302*CAR!$I$58</f>
        <v>18545.87802169412</v>
      </c>
      <c r="N281" s="295">
        <f>'CAR Mileage'!N302*CAR!$I$58</f>
        <v>18545.87802169412</v>
      </c>
      <c r="O281" s="295">
        <f>'CAR Mileage'!O302*CAR!$I$58</f>
        <v>18545.87802169412</v>
      </c>
      <c r="P281" s="295">
        <f>'CAR Mileage'!P302*CAR!$I$58</f>
        <v>18545.87802169412</v>
      </c>
      <c r="Q281" s="295">
        <f>'CAR Mileage'!Q302*CAR!$I$58</f>
        <v>18545.87802169412</v>
      </c>
      <c r="R281" s="295">
        <f>'CAR Mileage'!R302*CAR!$I$58</f>
        <v>18545.87802169412</v>
      </c>
      <c r="S281" s="295">
        <f>'CAR Mileage'!S302*CAR!$I$58</f>
        <v>18545.87802169412</v>
      </c>
      <c r="T281" s="295">
        <f>'CAR Mileage'!T302*CAR!$I$58</f>
        <v>18545.87802169412</v>
      </c>
      <c r="U281" s="295">
        <f>'CAR Mileage'!U302*CAR!$I$58</f>
        <v>18545.87802169412</v>
      </c>
      <c r="V281" s="295">
        <f>'CAR Mileage'!V302*CAR!$I$58</f>
        <v>18545.87802169412</v>
      </c>
      <c r="W281" s="295">
        <f>'CAR Mileage'!W302*CAR!$I$58</f>
        <v>18545.87802169412</v>
      </c>
      <c r="X281" s="295">
        <f>'CAR Mileage'!X302*CAR!$I$58</f>
        <v>18545.87802169412</v>
      </c>
      <c r="Y281" s="295">
        <f>'CAR Mileage'!Y302*CAR!$I$58</f>
        <v>18545.87802169412</v>
      </c>
      <c r="Z281" s="295">
        <f>'CAR Mileage'!Z302*CAR!$I$58</f>
        <v>18545.87802169412</v>
      </c>
      <c r="AA281" s="295">
        <f>'CAR Mileage'!AA302*CAR!$I$58</f>
        <v>18545.87802169412</v>
      </c>
      <c r="AB281" s="295">
        <f>'CAR Mileage'!AB302*CAR!$I$58</f>
        <v>18545.87802169412</v>
      </c>
      <c r="AC281" s="295">
        <f>'CAR Mileage'!AC302*CAR!$I$58</f>
        <v>18545.87802169412</v>
      </c>
      <c r="AD281" s="295">
        <f>'CAR Mileage'!AD302*CAR!$I$58</f>
        <v>18545.87802169412</v>
      </c>
      <c r="AE281" s="296">
        <f>'CAR Mileage'!AE302*CAR!$I$58</f>
        <v>18545.87802169412</v>
      </c>
      <c r="AG281" s="1711"/>
      <c r="AH281" s="116">
        <v>17</v>
      </c>
      <c r="AI281" s="294">
        <f>'CAR Passenger Kilometres'!C281*'CAR Stock'!C331</f>
        <v>0</v>
      </c>
      <c r="AJ281" s="295">
        <f>'CAR Passenger Kilometres'!D281*'CAR Stock'!D331</f>
        <v>0</v>
      </c>
      <c r="AK281" s="295">
        <f>'CAR Passenger Kilometres'!E281*'CAR Stock'!E331</f>
        <v>0</v>
      </c>
      <c r="AL281" s="295">
        <f>'CAR Passenger Kilometres'!F281*'CAR Stock'!F331</f>
        <v>0</v>
      </c>
      <c r="AM281" s="295">
        <f>'CAR Passenger Kilometres'!G281*'CAR Stock'!G331</f>
        <v>0</v>
      </c>
      <c r="AN281" s="295">
        <f>'CAR Passenger Kilometres'!H281*'CAR Stock'!H331</f>
        <v>0</v>
      </c>
      <c r="AO281" s="295">
        <f>'CAR Passenger Kilometres'!I281*'CAR Stock'!I331</f>
        <v>0</v>
      </c>
      <c r="AP281" s="295">
        <f>'CAR Passenger Kilometres'!J281*'CAR Stock'!J331</f>
        <v>0</v>
      </c>
      <c r="AQ281" s="295">
        <f>'CAR Passenger Kilometres'!K281*'CAR Stock'!K331</f>
        <v>20.306066531757271</v>
      </c>
      <c r="AR281" s="295">
        <f>'CAR Passenger Kilometres'!L281*'CAR Stock'!L331</f>
        <v>0</v>
      </c>
      <c r="AS281" s="295">
        <f>'CAR Passenger Kilometres'!M281*'CAR Stock'!M331</f>
        <v>0</v>
      </c>
      <c r="AT281" s="295">
        <f>'CAR Passenger Kilometres'!N281*'CAR Stock'!N331</f>
        <v>0</v>
      </c>
      <c r="AU281" s="295">
        <f>'CAR Passenger Kilometres'!O281*'CAR Stock'!O331</f>
        <v>0</v>
      </c>
      <c r="AV281" s="295">
        <f>'CAR Passenger Kilometres'!P281*'CAR Stock'!P331</f>
        <v>2094.2791715775875</v>
      </c>
      <c r="AW281" s="295">
        <f>'CAR Passenger Kilometres'!Q281*'CAR Stock'!Q331</f>
        <v>8377.1166863103499</v>
      </c>
      <c r="AX281" s="295">
        <f>'CAR Passenger Kilometres'!R281*'CAR Stock'!R331</f>
        <v>54488.656303366879</v>
      </c>
      <c r="AY281" s="295">
        <f>'CAR Passenger Kilometres'!S281*'CAR Stock'!S331</f>
        <v>23990.715867268264</v>
      </c>
      <c r="AZ281" s="295">
        <f>'CAR Passenger Kilometres'!T281*'CAR Stock'!T331</f>
        <v>21784.243168641868</v>
      </c>
      <c r="BA281" s="295">
        <f>'CAR Passenger Kilometres'!U281*'CAR Stock'!U331</f>
        <v>0</v>
      </c>
      <c r="BB281" s="295">
        <f>'CAR Passenger Kilometres'!V281*'CAR Stock'!V331</f>
        <v>0</v>
      </c>
      <c r="BC281" s="295">
        <f>'CAR Passenger Kilometres'!W281*'CAR Stock'!W331</f>
        <v>0</v>
      </c>
      <c r="BD281" s="295">
        <f>'CAR Passenger Kilometres'!X281*'CAR Stock'!X331</f>
        <v>0</v>
      </c>
      <c r="BE281" s="295">
        <f>'CAR Passenger Kilometres'!Y281*'CAR Stock'!Y331</f>
        <v>0</v>
      </c>
      <c r="BF281" s="295">
        <f>'CAR Passenger Kilometres'!Z281*'CAR Stock'!Z331</f>
        <v>0</v>
      </c>
      <c r="BG281" s="295">
        <f>'CAR Passenger Kilometres'!AA281*'CAR Stock'!AA331</f>
        <v>0</v>
      </c>
      <c r="BH281" s="295">
        <f>'CAR Passenger Kilometres'!AB281*'CAR Stock'!AB331</f>
        <v>0</v>
      </c>
      <c r="BI281" s="295">
        <f>'CAR Passenger Kilometres'!AC281*'CAR Stock'!AC331</f>
        <v>0</v>
      </c>
      <c r="BJ281" s="295">
        <f>'CAR Passenger Kilometres'!AD281*'CAR Stock'!AD331</f>
        <v>0</v>
      </c>
      <c r="BK281" s="296">
        <f>'CAR Passenger Kilometres'!AE281*'CAR Stock'!AE331</f>
        <v>0</v>
      </c>
    </row>
    <row r="282" spans="1:63">
      <c r="A282" s="1711"/>
      <c r="B282" s="116">
        <v>18</v>
      </c>
      <c r="C282" s="294">
        <f>'CAR Mileage'!C303*CAR!$I$58</f>
        <v>18545.87802169412</v>
      </c>
      <c r="D282" s="295">
        <f>'CAR Mileage'!D303*CAR!$I$58</f>
        <v>18545.87802169412</v>
      </c>
      <c r="E282" s="295">
        <f>'CAR Mileage'!E303*CAR!$I$58</f>
        <v>18545.87802169412</v>
      </c>
      <c r="F282" s="295">
        <f>'CAR Mileage'!F303*CAR!$I$58</f>
        <v>18545.87802169412</v>
      </c>
      <c r="G282" s="295">
        <f>'CAR Mileage'!G303*CAR!$I$58</f>
        <v>18545.87802169412</v>
      </c>
      <c r="H282" s="295">
        <f>'CAR Mileage'!H303*CAR!$I$58</f>
        <v>18545.87802169412</v>
      </c>
      <c r="I282" s="295">
        <f>'CAR Mileage'!I303*CAR!$I$58</f>
        <v>18545.87802169412</v>
      </c>
      <c r="J282" s="295">
        <f>'CAR Mileage'!J303*CAR!$I$58</f>
        <v>18545.87802169412</v>
      </c>
      <c r="K282" s="295">
        <f>'CAR Mileage'!K303*CAR!$I$58</f>
        <v>18545.87802169412</v>
      </c>
      <c r="L282" s="295">
        <f>'CAR Mileage'!L303*CAR!$I$58</f>
        <v>18545.87802169412</v>
      </c>
      <c r="M282" s="295">
        <f>'CAR Mileage'!M303*CAR!$I$58</f>
        <v>18545.87802169412</v>
      </c>
      <c r="N282" s="295">
        <f>'CAR Mileage'!N303*CAR!$I$58</f>
        <v>18545.87802169412</v>
      </c>
      <c r="O282" s="295">
        <f>'CAR Mileage'!O303*CAR!$I$58</f>
        <v>18545.87802169412</v>
      </c>
      <c r="P282" s="295">
        <f>'CAR Mileage'!P303*CAR!$I$58</f>
        <v>18545.87802169412</v>
      </c>
      <c r="Q282" s="295">
        <f>'CAR Mileage'!Q303*CAR!$I$58</f>
        <v>18545.87802169412</v>
      </c>
      <c r="R282" s="295">
        <f>'CAR Mileage'!R303*CAR!$I$58</f>
        <v>18545.87802169412</v>
      </c>
      <c r="S282" s="295">
        <f>'CAR Mileage'!S303*CAR!$I$58</f>
        <v>18545.87802169412</v>
      </c>
      <c r="T282" s="295">
        <f>'CAR Mileage'!T303*CAR!$I$58</f>
        <v>18545.87802169412</v>
      </c>
      <c r="U282" s="295">
        <f>'CAR Mileage'!U303*CAR!$I$58</f>
        <v>18545.87802169412</v>
      </c>
      <c r="V282" s="295">
        <f>'CAR Mileage'!V303*CAR!$I$58</f>
        <v>18545.87802169412</v>
      </c>
      <c r="W282" s="295">
        <f>'CAR Mileage'!W303*CAR!$I$58</f>
        <v>18545.87802169412</v>
      </c>
      <c r="X282" s="295">
        <f>'CAR Mileage'!X303*CAR!$I$58</f>
        <v>18545.87802169412</v>
      </c>
      <c r="Y282" s="295">
        <f>'CAR Mileage'!Y303*CAR!$I$58</f>
        <v>18545.87802169412</v>
      </c>
      <c r="Z282" s="295">
        <f>'CAR Mileage'!Z303*CAR!$I$58</f>
        <v>18545.87802169412</v>
      </c>
      <c r="AA282" s="295">
        <f>'CAR Mileage'!AA303*CAR!$I$58</f>
        <v>18545.87802169412</v>
      </c>
      <c r="AB282" s="295">
        <f>'CAR Mileage'!AB303*CAR!$I$58</f>
        <v>18545.87802169412</v>
      </c>
      <c r="AC282" s="295">
        <f>'CAR Mileage'!AC303*CAR!$I$58</f>
        <v>18545.87802169412</v>
      </c>
      <c r="AD282" s="295">
        <f>'CAR Mileage'!AD303*CAR!$I$58</f>
        <v>18545.87802169412</v>
      </c>
      <c r="AE282" s="296">
        <f>'CAR Mileage'!AE303*CAR!$I$58</f>
        <v>18545.87802169412</v>
      </c>
      <c r="AG282" s="1711"/>
      <c r="AH282" s="116">
        <v>18</v>
      </c>
      <c r="AI282" s="294">
        <f>'CAR Passenger Kilometres'!C282*'CAR Stock'!C332</f>
        <v>0</v>
      </c>
      <c r="AJ282" s="295">
        <f>'CAR Passenger Kilometres'!D282*'CAR Stock'!D332</f>
        <v>0</v>
      </c>
      <c r="AK282" s="295">
        <f>'CAR Passenger Kilometres'!E282*'CAR Stock'!E332</f>
        <v>0</v>
      </c>
      <c r="AL282" s="295">
        <f>'CAR Passenger Kilometres'!F282*'CAR Stock'!F332</f>
        <v>0</v>
      </c>
      <c r="AM282" s="295">
        <f>'CAR Passenger Kilometres'!G282*'CAR Stock'!G332</f>
        <v>0</v>
      </c>
      <c r="AN282" s="295">
        <f>'CAR Passenger Kilometres'!H282*'CAR Stock'!H332</f>
        <v>0</v>
      </c>
      <c r="AO282" s="295">
        <f>'CAR Passenger Kilometres'!I282*'CAR Stock'!I332</f>
        <v>0</v>
      </c>
      <c r="AP282" s="295">
        <f>'CAR Passenger Kilometres'!J282*'CAR Stock'!J332</f>
        <v>0</v>
      </c>
      <c r="AQ282" s="295">
        <f>'CAR Passenger Kilometres'!K282*'CAR Stock'!K332</f>
        <v>0</v>
      </c>
      <c r="AR282" s="295">
        <f>'CAR Passenger Kilometres'!L282*'CAR Stock'!L332</f>
        <v>3.9107172075705452</v>
      </c>
      <c r="AS282" s="295">
        <f>'CAR Passenger Kilometres'!M282*'CAR Stock'!M332</f>
        <v>0</v>
      </c>
      <c r="AT282" s="295">
        <f>'CAR Passenger Kilometres'!N282*'CAR Stock'!N332</f>
        <v>0</v>
      </c>
      <c r="AU282" s="295">
        <f>'CAR Passenger Kilometres'!O282*'CAR Stock'!O332</f>
        <v>0</v>
      </c>
      <c r="AV282" s="295">
        <f>'CAR Passenger Kilometres'!P282*'CAR Stock'!P332</f>
        <v>0</v>
      </c>
      <c r="AW282" s="295">
        <f>'CAR Passenger Kilometres'!Q282*'CAR Stock'!Q332</f>
        <v>403.33432282102791</v>
      </c>
      <c r="AX282" s="295">
        <f>'CAR Passenger Kilometres'!R282*'CAR Stock'!R332</f>
        <v>1613.3372912841116</v>
      </c>
      <c r="AY282" s="295">
        <f>'CAR Passenger Kilometres'!S282*'CAR Stock'!S332</f>
        <v>10493.894791968529</v>
      </c>
      <c r="AZ282" s="295">
        <f>'CAR Passenger Kilometres'!T282*'CAR Stock'!T332</f>
        <v>4620.338715887312</v>
      </c>
      <c r="BA282" s="295">
        <f>'CAR Passenger Kilometres'!U282*'CAR Stock'!U332</f>
        <v>4195.3971972008703</v>
      </c>
      <c r="BB282" s="295">
        <f>'CAR Passenger Kilometres'!V282*'CAR Stock'!V332</f>
        <v>0</v>
      </c>
      <c r="BC282" s="295">
        <f>'CAR Passenger Kilometres'!W282*'CAR Stock'!W332</f>
        <v>0</v>
      </c>
      <c r="BD282" s="295">
        <f>'CAR Passenger Kilometres'!X282*'CAR Stock'!X332</f>
        <v>0</v>
      </c>
      <c r="BE282" s="295">
        <f>'CAR Passenger Kilometres'!Y282*'CAR Stock'!Y332</f>
        <v>0</v>
      </c>
      <c r="BF282" s="295">
        <f>'CAR Passenger Kilometres'!Z282*'CAR Stock'!Z332</f>
        <v>0</v>
      </c>
      <c r="BG282" s="295">
        <f>'CAR Passenger Kilometres'!AA282*'CAR Stock'!AA332</f>
        <v>0</v>
      </c>
      <c r="BH282" s="295">
        <f>'CAR Passenger Kilometres'!AB282*'CAR Stock'!AB332</f>
        <v>0</v>
      </c>
      <c r="BI282" s="295">
        <f>'CAR Passenger Kilometres'!AC282*'CAR Stock'!AC332</f>
        <v>0</v>
      </c>
      <c r="BJ282" s="295">
        <f>'CAR Passenger Kilometres'!AD282*'CAR Stock'!AD332</f>
        <v>0</v>
      </c>
      <c r="BK282" s="296">
        <f>'CAR Passenger Kilometres'!AE282*'CAR Stock'!AE332</f>
        <v>0</v>
      </c>
    </row>
    <row r="283" spans="1:63">
      <c r="A283" s="1711"/>
      <c r="B283" s="116">
        <v>19</v>
      </c>
      <c r="C283" s="294">
        <f>'CAR Mileage'!C304*CAR!$I$58</f>
        <v>18545.87802169412</v>
      </c>
      <c r="D283" s="295">
        <f>'CAR Mileage'!D304*CAR!$I$58</f>
        <v>18545.87802169412</v>
      </c>
      <c r="E283" s="295">
        <f>'CAR Mileage'!E304*CAR!$I$58</f>
        <v>18545.87802169412</v>
      </c>
      <c r="F283" s="295">
        <f>'CAR Mileage'!F304*CAR!$I$58</f>
        <v>18545.87802169412</v>
      </c>
      <c r="G283" s="295">
        <f>'CAR Mileage'!G304*CAR!$I$58</f>
        <v>18545.87802169412</v>
      </c>
      <c r="H283" s="295">
        <f>'CAR Mileage'!H304*CAR!$I$58</f>
        <v>18545.87802169412</v>
      </c>
      <c r="I283" s="295">
        <f>'CAR Mileage'!I304*CAR!$I$58</f>
        <v>18545.87802169412</v>
      </c>
      <c r="J283" s="295">
        <f>'CAR Mileage'!J304*CAR!$I$58</f>
        <v>18545.87802169412</v>
      </c>
      <c r="K283" s="295">
        <f>'CAR Mileage'!K304*CAR!$I$58</f>
        <v>18545.87802169412</v>
      </c>
      <c r="L283" s="295">
        <f>'CAR Mileage'!L304*CAR!$I$58</f>
        <v>18545.87802169412</v>
      </c>
      <c r="M283" s="295">
        <f>'CAR Mileage'!M304*CAR!$I$58</f>
        <v>18545.87802169412</v>
      </c>
      <c r="N283" s="295">
        <f>'CAR Mileage'!N304*CAR!$I$58</f>
        <v>18545.87802169412</v>
      </c>
      <c r="O283" s="295">
        <f>'CAR Mileage'!O304*CAR!$I$58</f>
        <v>18545.87802169412</v>
      </c>
      <c r="P283" s="295">
        <f>'CAR Mileage'!P304*CAR!$I$58</f>
        <v>18545.87802169412</v>
      </c>
      <c r="Q283" s="295">
        <f>'CAR Mileage'!Q304*CAR!$I$58</f>
        <v>18545.87802169412</v>
      </c>
      <c r="R283" s="295">
        <f>'CAR Mileage'!R304*CAR!$I$58</f>
        <v>18545.87802169412</v>
      </c>
      <c r="S283" s="295">
        <f>'CAR Mileage'!S304*CAR!$I$58</f>
        <v>18545.87802169412</v>
      </c>
      <c r="T283" s="295">
        <f>'CAR Mileage'!T304*CAR!$I$58</f>
        <v>18545.87802169412</v>
      </c>
      <c r="U283" s="295">
        <f>'CAR Mileage'!U304*CAR!$I$58</f>
        <v>18545.87802169412</v>
      </c>
      <c r="V283" s="295">
        <f>'CAR Mileage'!V304*CAR!$I$58</f>
        <v>18545.87802169412</v>
      </c>
      <c r="W283" s="295">
        <f>'CAR Mileage'!W304*CAR!$I$58</f>
        <v>18545.87802169412</v>
      </c>
      <c r="X283" s="295">
        <f>'CAR Mileage'!X304*CAR!$I$58</f>
        <v>18545.87802169412</v>
      </c>
      <c r="Y283" s="295">
        <f>'CAR Mileage'!Y304*CAR!$I$58</f>
        <v>18545.87802169412</v>
      </c>
      <c r="Z283" s="295">
        <f>'CAR Mileage'!Z304*CAR!$I$58</f>
        <v>18545.87802169412</v>
      </c>
      <c r="AA283" s="295">
        <f>'CAR Mileage'!AA304*CAR!$I$58</f>
        <v>18545.87802169412</v>
      </c>
      <c r="AB283" s="295">
        <f>'CAR Mileage'!AB304*CAR!$I$58</f>
        <v>18545.87802169412</v>
      </c>
      <c r="AC283" s="295">
        <f>'CAR Mileage'!AC304*CAR!$I$58</f>
        <v>18545.87802169412</v>
      </c>
      <c r="AD283" s="295">
        <f>'CAR Mileage'!AD304*CAR!$I$58</f>
        <v>18545.87802169412</v>
      </c>
      <c r="AE283" s="296">
        <f>'CAR Mileage'!AE304*CAR!$I$58</f>
        <v>18545.87802169412</v>
      </c>
      <c r="AG283" s="1711"/>
      <c r="AH283" s="116">
        <v>19</v>
      </c>
      <c r="AI283" s="294">
        <f>'CAR Passenger Kilometres'!C283*'CAR Stock'!C333</f>
        <v>0</v>
      </c>
      <c r="AJ283" s="295">
        <f>'CAR Passenger Kilometres'!D283*'CAR Stock'!D333</f>
        <v>0</v>
      </c>
      <c r="AK283" s="295">
        <f>'CAR Passenger Kilometres'!E283*'CAR Stock'!E333</f>
        <v>0</v>
      </c>
      <c r="AL283" s="295">
        <f>'CAR Passenger Kilometres'!F283*'CAR Stock'!F333</f>
        <v>0</v>
      </c>
      <c r="AM283" s="295">
        <f>'CAR Passenger Kilometres'!G283*'CAR Stock'!G333</f>
        <v>0</v>
      </c>
      <c r="AN283" s="295">
        <f>'CAR Passenger Kilometres'!H283*'CAR Stock'!H333</f>
        <v>0</v>
      </c>
      <c r="AO283" s="295">
        <f>'CAR Passenger Kilometres'!I283*'CAR Stock'!I333</f>
        <v>0</v>
      </c>
      <c r="AP283" s="295">
        <f>'CAR Passenger Kilometres'!J283*'CAR Stock'!J333</f>
        <v>0</v>
      </c>
      <c r="AQ283" s="295">
        <f>'CAR Passenger Kilometres'!K283*'CAR Stock'!K333</f>
        <v>0</v>
      </c>
      <c r="AR283" s="295">
        <f>'CAR Passenger Kilometres'!L283*'CAR Stock'!L333</f>
        <v>0</v>
      </c>
      <c r="AS283" s="295">
        <f>'CAR Passenger Kilometres'!M283*'CAR Stock'!M333</f>
        <v>0.64556537695640592</v>
      </c>
      <c r="AT283" s="295">
        <f>'CAR Passenger Kilometres'!N283*'CAR Stock'!N333</f>
        <v>0</v>
      </c>
      <c r="AU283" s="295">
        <f>'CAR Passenger Kilometres'!O283*'CAR Stock'!O333</f>
        <v>0</v>
      </c>
      <c r="AV283" s="295">
        <f>'CAR Passenger Kilometres'!P283*'CAR Stock'!P333</f>
        <v>0</v>
      </c>
      <c r="AW283" s="295">
        <f>'CAR Passenger Kilometres'!Q283*'CAR Stock'!Q333</f>
        <v>0</v>
      </c>
      <c r="AX283" s="295">
        <f>'CAR Passenger Kilometres'!R283*'CAR Stock'!R333</f>
        <v>66.580798439570273</v>
      </c>
      <c r="AY283" s="295">
        <f>'CAR Passenger Kilometres'!S283*'CAR Stock'!S333</f>
        <v>266.32319375828109</v>
      </c>
      <c r="AZ283" s="295">
        <f>'CAR Passenger Kilometres'!T283*'CAR Stock'!T333</f>
        <v>1732.2897022581053</v>
      </c>
      <c r="BA283" s="295">
        <f>'CAR Passenger Kilometres'!U283*'CAR Stock'!U333</f>
        <v>762.70682498186341</v>
      </c>
      <c r="BB283" s="295">
        <f>'CAR Passenger Kilometres'!V283*'CAR Stock'!V333</f>
        <v>692.55919805445876</v>
      </c>
      <c r="BC283" s="295">
        <f>'CAR Passenger Kilometres'!W283*'CAR Stock'!W333</f>
        <v>0</v>
      </c>
      <c r="BD283" s="295">
        <f>'CAR Passenger Kilometres'!X283*'CAR Stock'!X333</f>
        <v>0</v>
      </c>
      <c r="BE283" s="295">
        <f>'CAR Passenger Kilometres'!Y283*'CAR Stock'!Y333</f>
        <v>0</v>
      </c>
      <c r="BF283" s="295">
        <f>'CAR Passenger Kilometres'!Z283*'CAR Stock'!Z333</f>
        <v>0</v>
      </c>
      <c r="BG283" s="295">
        <f>'CAR Passenger Kilometres'!AA283*'CAR Stock'!AA333</f>
        <v>0</v>
      </c>
      <c r="BH283" s="295">
        <f>'CAR Passenger Kilometres'!AB283*'CAR Stock'!AB333</f>
        <v>0</v>
      </c>
      <c r="BI283" s="295">
        <f>'CAR Passenger Kilometres'!AC283*'CAR Stock'!AC333</f>
        <v>0</v>
      </c>
      <c r="BJ283" s="295">
        <f>'CAR Passenger Kilometres'!AD283*'CAR Stock'!AD333</f>
        <v>0</v>
      </c>
      <c r="BK283" s="296">
        <f>'CAR Passenger Kilometres'!AE283*'CAR Stock'!AE333</f>
        <v>0</v>
      </c>
    </row>
    <row r="284" spans="1:63">
      <c r="A284" s="1711"/>
      <c r="B284" s="116">
        <v>20</v>
      </c>
      <c r="C284" s="294">
        <f>'CAR Mileage'!C305*CAR!$I$58</f>
        <v>18545.87802169412</v>
      </c>
      <c r="D284" s="295">
        <f>'CAR Mileage'!D305*CAR!$I$58</f>
        <v>18545.87802169412</v>
      </c>
      <c r="E284" s="295">
        <f>'CAR Mileage'!E305*CAR!$I$58</f>
        <v>18545.87802169412</v>
      </c>
      <c r="F284" s="295">
        <f>'CAR Mileage'!F305*CAR!$I$58</f>
        <v>18545.87802169412</v>
      </c>
      <c r="G284" s="295">
        <f>'CAR Mileage'!G305*CAR!$I$58</f>
        <v>18545.87802169412</v>
      </c>
      <c r="H284" s="295">
        <f>'CAR Mileage'!H305*CAR!$I$58</f>
        <v>18545.87802169412</v>
      </c>
      <c r="I284" s="295">
        <f>'CAR Mileage'!I305*CAR!$I$58</f>
        <v>18545.87802169412</v>
      </c>
      <c r="J284" s="295">
        <f>'CAR Mileage'!J305*CAR!$I$58</f>
        <v>18545.87802169412</v>
      </c>
      <c r="K284" s="295">
        <f>'CAR Mileage'!K305*CAR!$I$58</f>
        <v>18545.87802169412</v>
      </c>
      <c r="L284" s="295">
        <f>'CAR Mileage'!L305*CAR!$I$58</f>
        <v>18545.87802169412</v>
      </c>
      <c r="M284" s="295">
        <f>'CAR Mileage'!M305*CAR!$I$58</f>
        <v>18545.87802169412</v>
      </c>
      <c r="N284" s="295">
        <f>'CAR Mileage'!N305*CAR!$I$58</f>
        <v>18545.87802169412</v>
      </c>
      <c r="O284" s="295">
        <f>'CAR Mileage'!O305*CAR!$I$58</f>
        <v>18545.87802169412</v>
      </c>
      <c r="P284" s="295">
        <f>'CAR Mileage'!P305*CAR!$I$58</f>
        <v>18545.87802169412</v>
      </c>
      <c r="Q284" s="295">
        <f>'CAR Mileage'!Q305*CAR!$I$58</f>
        <v>18545.87802169412</v>
      </c>
      <c r="R284" s="295">
        <f>'CAR Mileage'!R305*CAR!$I$58</f>
        <v>18545.87802169412</v>
      </c>
      <c r="S284" s="295">
        <f>'CAR Mileage'!S305*CAR!$I$58</f>
        <v>18545.87802169412</v>
      </c>
      <c r="T284" s="295">
        <f>'CAR Mileage'!T305*CAR!$I$58</f>
        <v>18545.87802169412</v>
      </c>
      <c r="U284" s="295">
        <f>'CAR Mileage'!U305*CAR!$I$58</f>
        <v>18545.87802169412</v>
      </c>
      <c r="V284" s="295">
        <f>'CAR Mileage'!V305*CAR!$I$58</f>
        <v>18545.87802169412</v>
      </c>
      <c r="W284" s="295">
        <f>'CAR Mileage'!W305*CAR!$I$58</f>
        <v>18545.87802169412</v>
      </c>
      <c r="X284" s="295">
        <f>'CAR Mileage'!X305*CAR!$I$58</f>
        <v>18545.87802169412</v>
      </c>
      <c r="Y284" s="295">
        <f>'CAR Mileage'!Y305*CAR!$I$58</f>
        <v>18545.87802169412</v>
      </c>
      <c r="Z284" s="295">
        <f>'CAR Mileage'!Z305*CAR!$I$58</f>
        <v>18545.87802169412</v>
      </c>
      <c r="AA284" s="295">
        <f>'CAR Mileage'!AA305*CAR!$I$58</f>
        <v>18545.87802169412</v>
      </c>
      <c r="AB284" s="295">
        <f>'CAR Mileage'!AB305*CAR!$I$58</f>
        <v>18545.87802169412</v>
      </c>
      <c r="AC284" s="295">
        <f>'CAR Mileage'!AC305*CAR!$I$58</f>
        <v>18545.87802169412</v>
      </c>
      <c r="AD284" s="295">
        <f>'CAR Mileage'!AD305*CAR!$I$58</f>
        <v>18545.87802169412</v>
      </c>
      <c r="AE284" s="296">
        <f>'CAR Mileage'!AE305*CAR!$I$58</f>
        <v>18545.87802169412</v>
      </c>
      <c r="AG284" s="1711"/>
      <c r="AH284" s="116">
        <v>20</v>
      </c>
      <c r="AI284" s="294">
        <f>'CAR Passenger Kilometres'!C284*'CAR Stock'!C334</f>
        <v>0</v>
      </c>
      <c r="AJ284" s="295">
        <f>'CAR Passenger Kilometres'!D284*'CAR Stock'!D334</f>
        <v>0</v>
      </c>
      <c r="AK284" s="295">
        <f>'CAR Passenger Kilometres'!E284*'CAR Stock'!E334</f>
        <v>0</v>
      </c>
      <c r="AL284" s="295">
        <f>'CAR Passenger Kilometres'!F284*'CAR Stock'!F334</f>
        <v>0</v>
      </c>
      <c r="AM284" s="295">
        <f>'CAR Passenger Kilometres'!G284*'CAR Stock'!G334</f>
        <v>0</v>
      </c>
      <c r="AN284" s="295">
        <f>'CAR Passenger Kilometres'!H284*'CAR Stock'!H334</f>
        <v>0</v>
      </c>
      <c r="AO284" s="295">
        <f>'CAR Passenger Kilometres'!I284*'CAR Stock'!I334</f>
        <v>0</v>
      </c>
      <c r="AP284" s="295">
        <f>'CAR Passenger Kilometres'!J284*'CAR Stock'!J334</f>
        <v>0</v>
      </c>
      <c r="AQ284" s="295">
        <f>'CAR Passenger Kilometres'!K284*'CAR Stock'!K334</f>
        <v>0</v>
      </c>
      <c r="AR284" s="295">
        <f>'CAR Passenger Kilometres'!L284*'CAR Stock'!L334</f>
        <v>0</v>
      </c>
      <c r="AS284" s="295">
        <f>'CAR Passenger Kilometres'!M284*'CAR Stock'!M334</f>
        <v>0</v>
      </c>
      <c r="AT284" s="295">
        <f>'CAR Passenger Kilometres'!N284*'CAR Stock'!N334</f>
        <v>8.8806100817452313E-2</v>
      </c>
      <c r="AU284" s="295">
        <f>'CAR Passenger Kilometres'!O284*'CAR Stock'!O334</f>
        <v>0</v>
      </c>
      <c r="AV284" s="295">
        <f>'CAR Passenger Kilometres'!P284*'CAR Stock'!P334</f>
        <v>0</v>
      </c>
      <c r="AW284" s="295">
        <f>'CAR Passenger Kilometres'!Q284*'CAR Stock'!Q334</f>
        <v>0</v>
      </c>
      <c r="AX284" s="295">
        <f>'CAR Passenger Kilometres'!R284*'CAR Stock'!R334</f>
        <v>0</v>
      </c>
      <c r="AY284" s="295">
        <f>'CAR Passenger Kilometres'!S284*'CAR Stock'!S334</f>
        <v>9.1590740609532908</v>
      </c>
      <c r="AZ284" s="295">
        <f>'CAR Passenger Kilometres'!T284*'CAR Stock'!T334</f>
        <v>36.636296243813163</v>
      </c>
      <c r="BA284" s="295">
        <f>'CAR Passenger Kilometres'!U284*'CAR Stock'!U334</f>
        <v>238.29948047873114</v>
      </c>
      <c r="BB284" s="295">
        <f>'CAR Passenger Kilometres'!V284*'CAR Stock'!V334</f>
        <v>104.92046446609888</v>
      </c>
      <c r="BC284" s="295">
        <f>'CAR Passenger Kilometres'!W284*'CAR Stock'!W334</f>
        <v>95.270725723308786</v>
      </c>
      <c r="BD284" s="295">
        <f>'CAR Passenger Kilometres'!X284*'CAR Stock'!X334</f>
        <v>0</v>
      </c>
      <c r="BE284" s="295">
        <f>'CAR Passenger Kilometres'!Y284*'CAR Stock'!Y334</f>
        <v>0</v>
      </c>
      <c r="BF284" s="295">
        <f>'CAR Passenger Kilometres'!Z284*'CAR Stock'!Z334</f>
        <v>0</v>
      </c>
      <c r="BG284" s="295">
        <f>'CAR Passenger Kilometres'!AA284*'CAR Stock'!AA334</f>
        <v>0</v>
      </c>
      <c r="BH284" s="295">
        <f>'CAR Passenger Kilometres'!AB284*'CAR Stock'!AB334</f>
        <v>0</v>
      </c>
      <c r="BI284" s="295">
        <f>'CAR Passenger Kilometres'!AC284*'CAR Stock'!AC334</f>
        <v>0</v>
      </c>
      <c r="BJ284" s="295">
        <f>'CAR Passenger Kilometres'!AD284*'CAR Stock'!AD334</f>
        <v>0</v>
      </c>
      <c r="BK284" s="296">
        <f>'CAR Passenger Kilometres'!AE284*'CAR Stock'!AE334</f>
        <v>0</v>
      </c>
    </row>
    <row r="285" spans="1:63">
      <c r="A285" s="1711"/>
      <c r="B285" s="116">
        <v>21</v>
      </c>
      <c r="C285" s="294">
        <f>'CAR Mileage'!C306*CAR!$I$58</f>
        <v>18545.87802169412</v>
      </c>
      <c r="D285" s="295">
        <f>'CAR Mileage'!D306*CAR!$I$58</f>
        <v>18545.87802169412</v>
      </c>
      <c r="E285" s="295">
        <f>'CAR Mileage'!E306*CAR!$I$58</f>
        <v>18545.87802169412</v>
      </c>
      <c r="F285" s="295">
        <f>'CAR Mileage'!F306*CAR!$I$58</f>
        <v>18545.87802169412</v>
      </c>
      <c r="G285" s="295">
        <f>'CAR Mileage'!G306*CAR!$I$58</f>
        <v>18545.87802169412</v>
      </c>
      <c r="H285" s="295">
        <f>'CAR Mileage'!H306*CAR!$I$58</f>
        <v>18545.87802169412</v>
      </c>
      <c r="I285" s="295">
        <f>'CAR Mileage'!I306*CAR!$I$58</f>
        <v>18545.87802169412</v>
      </c>
      <c r="J285" s="295">
        <f>'CAR Mileage'!J306*CAR!$I$58</f>
        <v>18545.87802169412</v>
      </c>
      <c r="K285" s="295">
        <f>'CAR Mileage'!K306*CAR!$I$58</f>
        <v>18545.87802169412</v>
      </c>
      <c r="L285" s="295">
        <f>'CAR Mileage'!L306*CAR!$I$58</f>
        <v>18545.87802169412</v>
      </c>
      <c r="M285" s="295">
        <f>'CAR Mileage'!M306*CAR!$I$58</f>
        <v>18545.87802169412</v>
      </c>
      <c r="N285" s="295">
        <f>'CAR Mileage'!N306*CAR!$I$58</f>
        <v>18545.87802169412</v>
      </c>
      <c r="O285" s="295">
        <f>'CAR Mileage'!O306*CAR!$I$58</f>
        <v>18545.87802169412</v>
      </c>
      <c r="P285" s="295">
        <f>'CAR Mileage'!P306*CAR!$I$58</f>
        <v>18545.87802169412</v>
      </c>
      <c r="Q285" s="295">
        <f>'CAR Mileage'!Q306*CAR!$I$58</f>
        <v>18545.87802169412</v>
      </c>
      <c r="R285" s="295">
        <f>'CAR Mileage'!R306*CAR!$I$58</f>
        <v>18545.87802169412</v>
      </c>
      <c r="S285" s="295">
        <f>'CAR Mileage'!S306*CAR!$I$58</f>
        <v>18545.87802169412</v>
      </c>
      <c r="T285" s="295">
        <f>'CAR Mileage'!T306*CAR!$I$58</f>
        <v>18545.87802169412</v>
      </c>
      <c r="U285" s="295">
        <f>'CAR Mileage'!U306*CAR!$I$58</f>
        <v>18545.87802169412</v>
      </c>
      <c r="V285" s="295">
        <f>'CAR Mileage'!V306*CAR!$I$58</f>
        <v>18545.87802169412</v>
      </c>
      <c r="W285" s="295">
        <f>'CAR Mileage'!W306*CAR!$I$58</f>
        <v>18545.87802169412</v>
      </c>
      <c r="X285" s="295">
        <f>'CAR Mileage'!X306*CAR!$I$58</f>
        <v>18545.87802169412</v>
      </c>
      <c r="Y285" s="295">
        <f>'CAR Mileage'!Y306*CAR!$I$58</f>
        <v>18545.87802169412</v>
      </c>
      <c r="Z285" s="295">
        <f>'CAR Mileage'!Z306*CAR!$I$58</f>
        <v>18545.87802169412</v>
      </c>
      <c r="AA285" s="295">
        <f>'CAR Mileage'!AA306*CAR!$I$58</f>
        <v>18545.87802169412</v>
      </c>
      <c r="AB285" s="295">
        <f>'CAR Mileage'!AB306*CAR!$I$58</f>
        <v>18545.87802169412</v>
      </c>
      <c r="AC285" s="295">
        <f>'CAR Mileage'!AC306*CAR!$I$58</f>
        <v>18545.87802169412</v>
      </c>
      <c r="AD285" s="295">
        <f>'CAR Mileage'!AD306*CAR!$I$58</f>
        <v>18545.87802169412</v>
      </c>
      <c r="AE285" s="296">
        <f>'CAR Mileage'!AE306*CAR!$I$58</f>
        <v>18545.87802169412</v>
      </c>
      <c r="AG285" s="1711"/>
      <c r="AH285" s="116">
        <v>21</v>
      </c>
      <c r="AI285" s="294">
        <f>'CAR Passenger Kilometres'!C285*'CAR Stock'!C335</f>
        <v>0</v>
      </c>
      <c r="AJ285" s="295">
        <f>'CAR Passenger Kilometres'!D285*'CAR Stock'!D335</f>
        <v>0</v>
      </c>
      <c r="AK285" s="295">
        <f>'CAR Passenger Kilometres'!E285*'CAR Stock'!E335</f>
        <v>0</v>
      </c>
      <c r="AL285" s="295">
        <f>'CAR Passenger Kilometres'!F285*'CAR Stock'!F335</f>
        <v>0</v>
      </c>
      <c r="AM285" s="295">
        <f>'CAR Passenger Kilometres'!G285*'CAR Stock'!G335</f>
        <v>0</v>
      </c>
      <c r="AN285" s="295">
        <f>'CAR Passenger Kilometres'!H285*'CAR Stock'!H335</f>
        <v>0</v>
      </c>
      <c r="AO285" s="295">
        <f>'CAR Passenger Kilometres'!I285*'CAR Stock'!I335</f>
        <v>0</v>
      </c>
      <c r="AP285" s="295">
        <f>'CAR Passenger Kilometres'!J285*'CAR Stock'!J335</f>
        <v>0</v>
      </c>
      <c r="AQ285" s="295">
        <f>'CAR Passenger Kilometres'!K285*'CAR Stock'!K335</f>
        <v>0</v>
      </c>
      <c r="AR285" s="295">
        <f>'CAR Passenger Kilometres'!L285*'CAR Stock'!L335</f>
        <v>0</v>
      </c>
      <c r="AS285" s="295">
        <f>'CAR Passenger Kilometres'!M285*'CAR Stock'!M335</f>
        <v>0</v>
      </c>
      <c r="AT285" s="295">
        <f>'CAR Passenger Kilometres'!N285*'CAR Stock'!N335</f>
        <v>0</v>
      </c>
      <c r="AU285" s="295">
        <f>'CAR Passenger Kilometres'!O285*'CAR Stock'!O335</f>
        <v>9.7731679224576148E-3</v>
      </c>
      <c r="AV285" s="295">
        <f>'CAR Passenger Kilometres'!P285*'CAR Stock'!P335</f>
        <v>0</v>
      </c>
      <c r="AW285" s="295">
        <f>'CAR Passenger Kilometres'!Q285*'CAR Stock'!Q335</f>
        <v>0</v>
      </c>
      <c r="AX285" s="295">
        <f>'CAR Passenger Kilometres'!R285*'CAR Stock'!R335</f>
        <v>0</v>
      </c>
      <c r="AY285" s="295">
        <f>'CAR Passenger Kilometres'!S285*'CAR Stock'!S335</f>
        <v>0</v>
      </c>
      <c r="AZ285" s="295">
        <f>'CAR Passenger Kilometres'!T285*'CAR Stock'!T335</f>
        <v>1.0079619304074998</v>
      </c>
      <c r="BA285" s="295">
        <f>'CAR Passenger Kilometres'!U285*'CAR Stock'!U335</f>
        <v>4.0318477216299993</v>
      </c>
      <c r="BB285" s="295">
        <f>'CAR Passenger Kilometres'!V285*'CAR Stock'!V335</f>
        <v>26.225009510780843</v>
      </c>
      <c r="BC285" s="295">
        <f>'CAR Passenger Kilometres'!W285*'CAR Stock'!W335</f>
        <v>11.546563899221631</v>
      </c>
      <c r="BD285" s="295">
        <f>'CAR Passenger Kilometres'!X285*'CAR Stock'!X335</f>
        <v>10.484604008256586</v>
      </c>
      <c r="BE285" s="295">
        <f>'CAR Passenger Kilometres'!Y285*'CAR Stock'!Y335</f>
        <v>0</v>
      </c>
      <c r="BF285" s="295">
        <f>'CAR Passenger Kilometres'!Z285*'CAR Stock'!Z335</f>
        <v>0</v>
      </c>
      <c r="BG285" s="295">
        <f>'CAR Passenger Kilometres'!AA285*'CAR Stock'!AA335</f>
        <v>0</v>
      </c>
      <c r="BH285" s="295">
        <f>'CAR Passenger Kilometres'!AB285*'CAR Stock'!AB335</f>
        <v>0</v>
      </c>
      <c r="BI285" s="295">
        <f>'CAR Passenger Kilometres'!AC285*'CAR Stock'!AC335</f>
        <v>0</v>
      </c>
      <c r="BJ285" s="295">
        <f>'CAR Passenger Kilometres'!AD285*'CAR Stock'!AD335</f>
        <v>0</v>
      </c>
      <c r="BK285" s="296">
        <f>'CAR Passenger Kilometres'!AE285*'CAR Stock'!AE335</f>
        <v>0</v>
      </c>
    </row>
    <row r="286" spans="1:63">
      <c r="A286" s="1711"/>
      <c r="B286" s="116">
        <v>22</v>
      </c>
      <c r="C286" s="294">
        <f>'CAR Mileage'!C307*CAR!$I$58</f>
        <v>18545.87802169412</v>
      </c>
      <c r="D286" s="295">
        <f>'CAR Mileage'!D307*CAR!$I$58</f>
        <v>18545.87802169412</v>
      </c>
      <c r="E286" s="295">
        <f>'CAR Mileage'!E307*CAR!$I$58</f>
        <v>18545.87802169412</v>
      </c>
      <c r="F286" s="295">
        <f>'CAR Mileage'!F307*CAR!$I$58</f>
        <v>18545.87802169412</v>
      </c>
      <c r="G286" s="295">
        <f>'CAR Mileage'!G307*CAR!$I$58</f>
        <v>18545.87802169412</v>
      </c>
      <c r="H286" s="295">
        <f>'CAR Mileage'!H307*CAR!$I$58</f>
        <v>18545.87802169412</v>
      </c>
      <c r="I286" s="295">
        <f>'CAR Mileage'!I307*CAR!$I$58</f>
        <v>18545.87802169412</v>
      </c>
      <c r="J286" s="295">
        <f>'CAR Mileage'!J307*CAR!$I$58</f>
        <v>18545.87802169412</v>
      </c>
      <c r="K286" s="295">
        <f>'CAR Mileage'!K307*CAR!$I$58</f>
        <v>18545.87802169412</v>
      </c>
      <c r="L286" s="295">
        <f>'CAR Mileage'!L307*CAR!$I$58</f>
        <v>18545.87802169412</v>
      </c>
      <c r="M286" s="295">
        <f>'CAR Mileage'!M307*CAR!$I$58</f>
        <v>18545.87802169412</v>
      </c>
      <c r="N286" s="295">
        <f>'CAR Mileage'!N307*CAR!$I$58</f>
        <v>18545.87802169412</v>
      </c>
      <c r="O286" s="295">
        <f>'CAR Mileage'!O307*CAR!$I$58</f>
        <v>18545.87802169412</v>
      </c>
      <c r="P286" s="295">
        <f>'CAR Mileage'!P307*CAR!$I$58</f>
        <v>18545.87802169412</v>
      </c>
      <c r="Q286" s="295">
        <f>'CAR Mileage'!Q307*CAR!$I$58</f>
        <v>18545.87802169412</v>
      </c>
      <c r="R286" s="295">
        <f>'CAR Mileage'!R307*CAR!$I$58</f>
        <v>18545.87802169412</v>
      </c>
      <c r="S286" s="295">
        <f>'CAR Mileage'!S307*CAR!$I$58</f>
        <v>18545.87802169412</v>
      </c>
      <c r="T286" s="295">
        <f>'CAR Mileage'!T307*CAR!$I$58</f>
        <v>18545.87802169412</v>
      </c>
      <c r="U286" s="295">
        <f>'CAR Mileage'!U307*CAR!$I$58</f>
        <v>18545.87802169412</v>
      </c>
      <c r="V286" s="295">
        <f>'CAR Mileage'!V307*CAR!$I$58</f>
        <v>18545.87802169412</v>
      </c>
      <c r="W286" s="295">
        <f>'CAR Mileage'!W307*CAR!$I$58</f>
        <v>18545.87802169412</v>
      </c>
      <c r="X286" s="295">
        <f>'CAR Mileage'!X307*CAR!$I$58</f>
        <v>18545.87802169412</v>
      </c>
      <c r="Y286" s="295">
        <f>'CAR Mileage'!Y307*CAR!$I$58</f>
        <v>18545.87802169412</v>
      </c>
      <c r="Z286" s="295">
        <f>'CAR Mileage'!Z307*CAR!$I$58</f>
        <v>18545.87802169412</v>
      </c>
      <c r="AA286" s="295">
        <f>'CAR Mileage'!AA307*CAR!$I$58</f>
        <v>18545.87802169412</v>
      </c>
      <c r="AB286" s="295">
        <f>'CAR Mileage'!AB307*CAR!$I$58</f>
        <v>18545.87802169412</v>
      </c>
      <c r="AC286" s="295">
        <f>'CAR Mileage'!AC307*CAR!$I$58</f>
        <v>18545.87802169412</v>
      </c>
      <c r="AD286" s="295">
        <f>'CAR Mileage'!AD307*CAR!$I$58</f>
        <v>18545.87802169412</v>
      </c>
      <c r="AE286" s="296">
        <f>'CAR Mileage'!AE307*CAR!$I$58</f>
        <v>18545.87802169412</v>
      </c>
      <c r="AG286" s="1711"/>
      <c r="AH286" s="116">
        <v>22</v>
      </c>
      <c r="AI286" s="294">
        <f>'CAR Passenger Kilometres'!C286*'CAR Stock'!C336</f>
        <v>0</v>
      </c>
      <c r="AJ286" s="295">
        <f>'CAR Passenger Kilometres'!D286*'CAR Stock'!D336</f>
        <v>0</v>
      </c>
      <c r="AK286" s="295">
        <f>'CAR Passenger Kilometres'!E286*'CAR Stock'!E336</f>
        <v>0</v>
      </c>
      <c r="AL286" s="295">
        <f>'CAR Passenger Kilometres'!F286*'CAR Stock'!F336</f>
        <v>0</v>
      </c>
      <c r="AM286" s="295">
        <f>'CAR Passenger Kilometres'!G286*'CAR Stock'!G336</f>
        <v>0</v>
      </c>
      <c r="AN286" s="295">
        <f>'CAR Passenger Kilometres'!H286*'CAR Stock'!H336</f>
        <v>0</v>
      </c>
      <c r="AO286" s="295">
        <f>'CAR Passenger Kilometres'!I286*'CAR Stock'!I336</f>
        <v>0</v>
      </c>
      <c r="AP286" s="295">
        <f>'CAR Passenger Kilometres'!J286*'CAR Stock'!J336</f>
        <v>0</v>
      </c>
      <c r="AQ286" s="295">
        <f>'CAR Passenger Kilometres'!K286*'CAR Stock'!K336</f>
        <v>0</v>
      </c>
      <c r="AR286" s="295">
        <f>'CAR Passenger Kilometres'!L286*'CAR Stock'!L336</f>
        <v>0</v>
      </c>
      <c r="AS286" s="295">
        <f>'CAR Passenger Kilometres'!M286*'CAR Stock'!M336</f>
        <v>0</v>
      </c>
      <c r="AT286" s="295">
        <f>'CAR Passenger Kilometres'!N286*'CAR Stock'!N336</f>
        <v>0</v>
      </c>
      <c r="AU286" s="295">
        <f>'CAR Passenger Kilometres'!O286*'CAR Stock'!O336</f>
        <v>0</v>
      </c>
      <c r="AV286" s="295">
        <f>'CAR Passenger Kilometres'!P286*'CAR Stock'!P336</f>
        <v>8.0665751306511395E-4</v>
      </c>
      <c r="AW286" s="295">
        <f>'CAR Passenger Kilometres'!Q286*'CAR Stock'!Q336</f>
        <v>0</v>
      </c>
      <c r="AX286" s="295">
        <f>'CAR Passenger Kilometres'!R286*'CAR Stock'!R336</f>
        <v>0</v>
      </c>
      <c r="AY286" s="295">
        <f>'CAR Passenger Kilometres'!S286*'CAR Stock'!S336</f>
        <v>0</v>
      </c>
      <c r="AZ286" s="295">
        <f>'CAR Passenger Kilometres'!T286*'CAR Stock'!T336</f>
        <v>0</v>
      </c>
      <c r="BA286" s="295">
        <f>'CAR Passenger Kilometres'!U286*'CAR Stock'!U336</f>
        <v>8.319513902738343E-2</v>
      </c>
      <c r="BB286" s="295">
        <f>'CAR Passenger Kilometres'!V286*'CAR Stock'!V336</f>
        <v>0.33278055610953372</v>
      </c>
      <c r="BC286" s="295">
        <f>'CAR Passenger Kilometres'!W286*'CAR Stock'!W336</f>
        <v>2.1645592421946009</v>
      </c>
      <c r="BD286" s="295">
        <f>'CAR Passenger Kilometres'!X286*'CAR Stock'!X336</f>
        <v>0.9530300301083301</v>
      </c>
      <c r="BE286" s="295">
        <f>'CAR Passenger Kilometres'!Y286*'CAR Stock'!Y336</f>
        <v>0.86537800863305092</v>
      </c>
      <c r="BF286" s="295">
        <f>'CAR Passenger Kilometres'!Z286*'CAR Stock'!Z336</f>
        <v>0</v>
      </c>
      <c r="BG286" s="295">
        <f>'CAR Passenger Kilometres'!AA286*'CAR Stock'!AA336</f>
        <v>0</v>
      </c>
      <c r="BH286" s="295">
        <f>'CAR Passenger Kilometres'!AB286*'CAR Stock'!AB336</f>
        <v>0</v>
      </c>
      <c r="BI286" s="295">
        <f>'CAR Passenger Kilometres'!AC286*'CAR Stock'!AC336</f>
        <v>0</v>
      </c>
      <c r="BJ286" s="295">
        <f>'CAR Passenger Kilometres'!AD286*'CAR Stock'!AD336</f>
        <v>0</v>
      </c>
      <c r="BK286" s="296">
        <f>'CAR Passenger Kilometres'!AE286*'CAR Stock'!AE336</f>
        <v>0</v>
      </c>
    </row>
    <row r="287" spans="1:63">
      <c r="A287" s="1711"/>
      <c r="B287" s="116">
        <v>23</v>
      </c>
      <c r="C287" s="294">
        <f>'CAR Mileage'!C308*CAR!$I$58</f>
        <v>18545.87802169412</v>
      </c>
      <c r="D287" s="295">
        <f>'CAR Mileage'!D308*CAR!$I$58</f>
        <v>18545.87802169412</v>
      </c>
      <c r="E287" s="295">
        <f>'CAR Mileage'!E308*CAR!$I$58</f>
        <v>18545.87802169412</v>
      </c>
      <c r="F287" s="295">
        <f>'CAR Mileage'!F308*CAR!$I$58</f>
        <v>18545.87802169412</v>
      </c>
      <c r="G287" s="295">
        <f>'CAR Mileage'!G308*CAR!$I$58</f>
        <v>18545.87802169412</v>
      </c>
      <c r="H287" s="295">
        <f>'CAR Mileage'!H308*CAR!$I$58</f>
        <v>18545.87802169412</v>
      </c>
      <c r="I287" s="295">
        <f>'CAR Mileage'!I308*CAR!$I$58</f>
        <v>18545.87802169412</v>
      </c>
      <c r="J287" s="295">
        <f>'CAR Mileage'!J308*CAR!$I$58</f>
        <v>18545.87802169412</v>
      </c>
      <c r="K287" s="295">
        <f>'CAR Mileage'!K308*CAR!$I$58</f>
        <v>18545.87802169412</v>
      </c>
      <c r="L287" s="295">
        <f>'CAR Mileage'!L308*CAR!$I$58</f>
        <v>18545.87802169412</v>
      </c>
      <c r="M287" s="295">
        <f>'CAR Mileage'!M308*CAR!$I$58</f>
        <v>18545.87802169412</v>
      </c>
      <c r="N287" s="295">
        <f>'CAR Mileage'!N308*CAR!$I$58</f>
        <v>18545.87802169412</v>
      </c>
      <c r="O287" s="295">
        <f>'CAR Mileage'!O308*CAR!$I$58</f>
        <v>18545.87802169412</v>
      </c>
      <c r="P287" s="295">
        <f>'CAR Mileage'!P308*CAR!$I$58</f>
        <v>18545.87802169412</v>
      </c>
      <c r="Q287" s="295">
        <f>'CAR Mileage'!Q308*CAR!$I$58</f>
        <v>18545.87802169412</v>
      </c>
      <c r="R287" s="295">
        <f>'CAR Mileage'!R308*CAR!$I$58</f>
        <v>18545.87802169412</v>
      </c>
      <c r="S287" s="295">
        <f>'CAR Mileage'!S308*CAR!$I$58</f>
        <v>18545.87802169412</v>
      </c>
      <c r="T287" s="295">
        <f>'CAR Mileage'!T308*CAR!$I$58</f>
        <v>18545.87802169412</v>
      </c>
      <c r="U287" s="295">
        <f>'CAR Mileage'!U308*CAR!$I$58</f>
        <v>18545.87802169412</v>
      </c>
      <c r="V287" s="295">
        <f>'CAR Mileage'!V308*CAR!$I$58</f>
        <v>18545.87802169412</v>
      </c>
      <c r="W287" s="295">
        <f>'CAR Mileage'!W308*CAR!$I$58</f>
        <v>18545.87802169412</v>
      </c>
      <c r="X287" s="295">
        <f>'CAR Mileage'!X308*CAR!$I$58</f>
        <v>18545.87802169412</v>
      </c>
      <c r="Y287" s="295">
        <f>'CAR Mileage'!Y308*CAR!$I$58</f>
        <v>18545.87802169412</v>
      </c>
      <c r="Z287" s="295">
        <f>'CAR Mileage'!Z308*CAR!$I$58</f>
        <v>18545.87802169412</v>
      </c>
      <c r="AA287" s="295">
        <f>'CAR Mileage'!AA308*CAR!$I$58</f>
        <v>18545.87802169412</v>
      </c>
      <c r="AB287" s="295">
        <f>'CAR Mileage'!AB308*CAR!$I$58</f>
        <v>18545.87802169412</v>
      </c>
      <c r="AC287" s="295">
        <f>'CAR Mileage'!AC308*CAR!$I$58</f>
        <v>18545.87802169412</v>
      </c>
      <c r="AD287" s="295">
        <f>'CAR Mileage'!AD308*CAR!$I$58</f>
        <v>18545.87802169412</v>
      </c>
      <c r="AE287" s="296">
        <f>'CAR Mileage'!AE308*CAR!$I$58</f>
        <v>18545.87802169412</v>
      </c>
      <c r="AG287" s="1711"/>
      <c r="AH287" s="116">
        <v>23</v>
      </c>
      <c r="AI287" s="294">
        <f>'CAR Passenger Kilometres'!C287*'CAR Stock'!C337</f>
        <v>0</v>
      </c>
      <c r="AJ287" s="295">
        <f>'CAR Passenger Kilometres'!D287*'CAR Stock'!D337</f>
        <v>0</v>
      </c>
      <c r="AK287" s="295">
        <f>'CAR Passenger Kilometres'!E287*'CAR Stock'!E337</f>
        <v>0</v>
      </c>
      <c r="AL287" s="295">
        <f>'CAR Passenger Kilometres'!F287*'CAR Stock'!F337</f>
        <v>0</v>
      </c>
      <c r="AM287" s="295">
        <f>'CAR Passenger Kilometres'!G287*'CAR Stock'!G337</f>
        <v>0</v>
      </c>
      <c r="AN287" s="295">
        <f>'CAR Passenger Kilometres'!H287*'CAR Stock'!H337</f>
        <v>0</v>
      </c>
      <c r="AO287" s="295">
        <f>'CAR Passenger Kilometres'!I287*'CAR Stock'!I337</f>
        <v>0</v>
      </c>
      <c r="AP287" s="295">
        <f>'CAR Passenger Kilometres'!J287*'CAR Stock'!J337</f>
        <v>0</v>
      </c>
      <c r="AQ287" s="295">
        <f>'CAR Passenger Kilometres'!K287*'CAR Stock'!K337</f>
        <v>0</v>
      </c>
      <c r="AR287" s="295">
        <f>'CAR Passenger Kilometres'!L287*'CAR Stock'!L337</f>
        <v>0</v>
      </c>
      <c r="AS287" s="295">
        <f>'CAR Passenger Kilometres'!M287*'CAR Stock'!M337</f>
        <v>0</v>
      </c>
      <c r="AT287" s="295">
        <f>'CAR Passenger Kilometres'!N287*'CAR Stock'!N337</f>
        <v>0</v>
      </c>
      <c r="AU287" s="295">
        <f>'CAR Passenger Kilometres'!O287*'CAR Stock'!O337</f>
        <v>0</v>
      </c>
      <c r="AV287" s="295">
        <f>'CAR Passenger Kilometres'!P287*'CAR Stock'!P337</f>
        <v>0</v>
      </c>
      <c r="AW287" s="295">
        <f>'CAR Passenger Kilometres'!Q287*'CAR Stock'!Q337</f>
        <v>4.4386586386124219E-5</v>
      </c>
      <c r="AX287" s="295">
        <f>'CAR Passenger Kilometres'!R287*'CAR Stock'!R337</f>
        <v>0</v>
      </c>
      <c r="AY287" s="295">
        <f>'CAR Passenger Kilometres'!S287*'CAR Stock'!S337</f>
        <v>0</v>
      </c>
      <c r="AZ287" s="295">
        <f>'CAR Passenger Kilometres'!T287*'CAR Stock'!T337</f>
        <v>0</v>
      </c>
      <c r="BA287" s="295">
        <f>'CAR Passenger Kilometres'!U287*'CAR Stock'!U337</f>
        <v>0</v>
      </c>
      <c r="BB287" s="295">
        <f>'CAR Passenger Kilometres'!V287*'CAR Stock'!V337</f>
        <v>4.5778390029654233E-3</v>
      </c>
      <c r="BC287" s="295">
        <f>'CAR Passenger Kilometres'!W287*'CAR Stock'!W337</f>
        <v>1.8311356011861693E-2</v>
      </c>
      <c r="BD287" s="295">
        <f>'CAR Passenger Kilometres'!X287*'CAR Stock'!X337</f>
        <v>0.11910556120215396</v>
      </c>
      <c r="BE287" s="295">
        <f>'CAR Passenger Kilometres'!Y287*'CAR Stock'!Y337</f>
        <v>5.2440780721470001E-2</v>
      </c>
      <c r="BF287" s="295">
        <f>'CAR Passenger Kilometres'!Z287*'CAR Stock'!Z337</f>
        <v>4.7617700343345698E-2</v>
      </c>
      <c r="BG287" s="295">
        <f>'CAR Passenger Kilometres'!AA287*'CAR Stock'!AA337</f>
        <v>0</v>
      </c>
      <c r="BH287" s="295">
        <f>'CAR Passenger Kilometres'!AB287*'CAR Stock'!AB337</f>
        <v>0</v>
      </c>
      <c r="BI287" s="295">
        <f>'CAR Passenger Kilometres'!AC287*'CAR Stock'!AC337</f>
        <v>0</v>
      </c>
      <c r="BJ287" s="295">
        <f>'CAR Passenger Kilometres'!AD287*'CAR Stock'!AD337</f>
        <v>0</v>
      </c>
      <c r="BK287" s="296">
        <f>'CAR Passenger Kilometres'!AE287*'CAR Stock'!AE337</f>
        <v>0</v>
      </c>
    </row>
    <row r="288" spans="1:63">
      <c r="A288" s="1711"/>
      <c r="B288" s="116">
        <v>24</v>
      </c>
      <c r="C288" s="294">
        <f>'CAR Mileage'!C309*CAR!$I$58</f>
        <v>18545.87802169412</v>
      </c>
      <c r="D288" s="295">
        <f>'CAR Mileage'!D309*CAR!$I$58</f>
        <v>18545.87802169412</v>
      </c>
      <c r="E288" s="295">
        <f>'CAR Mileage'!E309*CAR!$I$58</f>
        <v>18545.87802169412</v>
      </c>
      <c r="F288" s="295">
        <f>'CAR Mileage'!F309*CAR!$I$58</f>
        <v>18545.87802169412</v>
      </c>
      <c r="G288" s="295">
        <f>'CAR Mileage'!G309*CAR!$I$58</f>
        <v>18545.87802169412</v>
      </c>
      <c r="H288" s="295">
        <f>'CAR Mileage'!H309*CAR!$I$58</f>
        <v>18545.87802169412</v>
      </c>
      <c r="I288" s="295">
        <f>'CAR Mileage'!I309*CAR!$I$58</f>
        <v>18545.87802169412</v>
      </c>
      <c r="J288" s="295">
        <f>'CAR Mileage'!J309*CAR!$I$58</f>
        <v>18545.87802169412</v>
      </c>
      <c r="K288" s="295">
        <f>'CAR Mileage'!K309*CAR!$I$58</f>
        <v>18545.87802169412</v>
      </c>
      <c r="L288" s="295">
        <f>'CAR Mileage'!L309*CAR!$I$58</f>
        <v>18545.87802169412</v>
      </c>
      <c r="M288" s="295">
        <f>'CAR Mileage'!M309*CAR!$I$58</f>
        <v>18545.87802169412</v>
      </c>
      <c r="N288" s="295">
        <f>'CAR Mileage'!N309*CAR!$I$58</f>
        <v>18545.87802169412</v>
      </c>
      <c r="O288" s="295">
        <f>'CAR Mileage'!O309*CAR!$I$58</f>
        <v>18545.87802169412</v>
      </c>
      <c r="P288" s="295">
        <f>'CAR Mileage'!P309*CAR!$I$58</f>
        <v>18545.87802169412</v>
      </c>
      <c r="Q288" s="295">
        <f>'CAR Mileage'!Q309*CAR!$I$58</f>
        <v>18545.87802169412</v>
      </c>
      <c r="R288" s="295">
        <f>'CAR Mileage'!R309*CAR!$I$58</f>
        <v>18545.87802169412</v>
      </c>
      <c r="S288" s="295">
        <f>'CAR Mileage'!S309*CAR!$I$58</f>
        <v>18545.87802169412</v>
      </c>
      <c r="T288" s="295">
        <f>'CAR Mileage'!T309*CAR!$I$58</f>
        <v>18545.87802169412</v>
      </c>
      <c r="U288" s="295">
        <f>'CAR Mileage'!U309*CAR!$I$58</f>
        <v>18545.87802169412</v>
      </c>
      <c r="V288" s="295">
        <f>'CAR Mileage'!V309*CAR!$I$58</f>
        <v>18545.87802169412</v>
      </c>
      <c r="W288" s="295">
        <f>'CAR Mileage'!W309*CAR!$I$58</f>
        <v>18545.87802169412</v>
      </c>
      <c r="X288" s="295">
        <f>'CAR Mileage'!X309*CAR!$I$58</f>
        <v>18545.87802169412</v>
      </c>
      <c r="Y288" s="295">
        <f>'CAR Mileage'!Y309*CAR!$I$58</f>
        <v>18545.87802169412</v>
      </c>
      <c r="Z288" s="295">
        <f>'CAR Mileage'!Z309*CAR!$I$58</f>
        <v>18545.87802169412</v>
      </c>
      <c r="AA288" s="295">
        <f>'CAR Mileage'!AA309*CAR!$I$58</f>
        <v>18545.87802169412</v>
      </c>
      <c r="AB288" s="295">
        <f>'CAR Mileage'!AB309*CAR!$I$58</f>
        <v>18545.87802169412</v>
      </c>
      <c r="AC288" s="295">
        <f>'CAR Mileage'!AC309*CAR!$I$58</f>
        <v>18545.87802169412</v>
      </c>
      <c r="AD288" s="295">
        <f>'CAR Mileage'!AD309*CAR!$I$58</f>
        <v>18545.87802169412</v>
      </c>
      <c r="AE288" s="296">
        <f>'CAR Mileage'!AE309*CAR!$I$58</f>
        <v>18545.87802169412</v>
      </c>
      <c r="AG288" s="1711"/>
      <c r="AH288" s="116">
        <v>24</v>
      </c>
      <c r="AI288" s="294">
        <f>'CAR Passenger Kilometres'!C288*'CAR Stock'!C338</f>
        <v>0</v>
      </c>
      <c r="AJ288" s="295">
        <f>'CAR Passenger Kilometres'!D288*'CAR Stock'!D338</f>
        <v>0</v>
      </c>
      <c r="AK288" s="295">
        <f>'CAR Passenger Kilometres'!E288*'CAR Stock'!E338</f>
        <v>0</v>
      </c>
      <c r="AL288" s="295">
        <f>'CAR Passenger Kilometres'!F288*'CAR Stock'!F338</f>
        <v>0</v>
      </c>
      <c r="AM288" s="295">
        <f>'CAR Passenger Kilometres'!G288*'CAR Stock'!G338</f>
        <v>0</v>
      </c>
      <c r="AN288" s="295">
        <f>'CAR Passenger Kilometres'!H288*'CAR Stock'!H338</f>
        <v>0</v>
      </c>
      <c r="AO288" s="295">
        <f>'CAR Passenger Kilometres'!I288*'CAR Stock'!I338</f>
        <v>0</v>
      </c>
      <c r="AP288" s="295">
        <f>'CAR Passenger Kilometres'!J288*'CAR Stock'!J338</f>
        <v>0</v>
      </c>
      <c r="AQ288" s="295">
        <f>'CAR Passenger Kilometres'!K288*'CAR Stock'!K338</f>
        <v>0</v>
      </c>
      <c r="AR288" s="295">
        <f>'CAR Passenger Kilometres'!L288*'CAR Stock'!L338</f>
        <v>0</v>
      </c>
      <c r="AS288" s="295">
        <f>'CAR Passenger Kilometres'!M288*'CAR Stock'!M338</f>
        <v>0</v>
      </c>
      <c r="AT288" s="295">
        <f>'CAR Passenger Kilometres'!N288*'CAR Stock'!N338</f>
        <v>0</v>
      </c>
      <c r="AU288" s="295">
        <f>'CAR Passenger Kilometres'!O288*'CAR Stock'!O338</f>
        <v>0</v>
      </c>
      <c r="AV288" s="295">
        <f>'CAR Passenger Kilometres'!P288*'CAR Stock'!P338</f>
        <v>0</v>
      </c>
      <c r="AW288" s="295">
        <f>'CAR Passenger Kilometres'!Q288*'CAR Stock'!Q338</f>
        <v>0</v>
      </c>
      <c r="AX288" s="295">
        <f>'CAR Passenger Kilometres'!R288*'CAR Stock'!R338</f>
        <v>1.2211930212654178E-6</v>
      </c>
      <c r="AY288" s="295">
        <f>'CAR Passenger Kilometres'!S288*'CAR Stock'!S338</f>
        <v>0</v>
      </c>
      <c r="AZ288" s="295">
        <f>'CAR Passenger Kilometres'!T288*'CAR Stock'!T338</f>
        <v>0</v>
      </c>
      <c r="BA288" s="295">
        <f>'CAR Passenger Kilometres'!U288*'CAR Stock'!U338</f>
        <v>0</v>
      </c>
      <c r="BB288" s="295">
        <f>'CAR Passenger Kilometres'!V288*'CAR Stock'!V338</f>
        <v>0</v>
      </c>
      <c r="BC288" s="295">
        <f>'CAR Passenger Kilometres'!W288*'CAR Stock'!W338</f>
        <v>1.2594852404882497E-4</v>
      </c>
      <c r="BD288" s="295">
        <f>'CAR Passenger Kilometres'!X288*'CAR Stock'!X338</f>
        <v>5.0379409619529989E-4</v>
      </c>
      <c r="BE288" s="295">
        <f>'CAR Passenger Kilometres'!Y288*'CAR Stock'!Y338</f>
        <v>3.2769107060560353E-3</v>
      </c>
      <c r="BF288" s="295">
        <f>'CAR Passenger Kilometres'!Z288*'CAR Stock'!Z338</f>
        <v>1.4427853245950223E-3</v>
      </c>
      <c r="BG288" s="295">
        <f>'CAR Passenger Kilometres'!AA288*'CAR Stock'!AA338</f>
        <v>1.3100895581864382E-3</v>
      </c>
      <c r="BH288" s="295">
        <f>'CAR Passenger Kilometres'!AB288*'CAR Stock'!AB338</f>
        <v>0</v>
      </c>
      <c r="BI288" s="295">
        <f>'CAR Passenger Kilometres'!AC288*'CAR Stock'!AC338</f>
        <v>0</v>
      </c>
      <c r="BJ288" s="295">
        <f>'CAR Passenger Kilometres'!AD288*'CAR Stock'!AD338</f>
        <v>0</v>
      </c>
      <c r="BK288" s="296">
        <f>'CAR Passenger Kilometres'!AE288*'CAR Stock'!AE338</f>
        <v>0</v>
      </c>
    </row>
    <row r="289" spans="1:63" ht="15.75" thickBot="1">
      <c r="A289" s="1711"/>
      <c r="B289" s="116">
        <v>25</v>
      </c>
      <c r="C289" s="297">
        <f>'CAR Mileage'!C310*CAR!$I$58</f>
        <v>18545.87802169412</v>
      </c>
      <c r="D289" s="298">
        <f>'CAR Mileage'!D310*CAR!$I$58</f>
        <v>18545.87802169412</v>
      </c>
      <c r="E289" s="298">
        <f>'CAR Mileage'!E310*CAR!$I$58</f>
        <v>18545.87802169412</v>
      </c>
      <c r="F289" s="298">
        <f>'CAR Mileage'!F310*CAR!$I$58</f>
        <v>18545.87802169412</v>
      </c>
      <c r="G289" s="298">
        <f>'CAR Mileage'!G310*CAR!$I$58</f>
        <v>18545.87802169412</v>
      </c>
      <c r="H289" s="298">
        <f>'CAR Mileage'!H310*CAR!$I$58</f>
        <v>18545.87802169412</v>
      </c>
      <c r="I289" s="298">
        <f>'CAR Mileage'!I310*CAR!$I$58</f>
        <v>18545.87802169412</v>
      </c>
      <c r="J289" s="298">
        <f>'CAR Mileage'!J310*CAR!$I$58</f>
        <v>18545.87802169412</v>
      </c>
      <c r="K289" s="298">
        <f>'CAR Mileage'!K310*CAR!$I$58</f>
        <v>18545.87802169412</v>
      </c>
      <c r="L289" s="298">
        <f>'CAR Mileage'!L310*CAR!$I$58</f>
        <v>18545.87802169412</v>
      </c>
      <c r="M289" s="298">
        <f>'CAR Mileage'!M310*CAR!$I$58</f>
        <v>18545.87802169412</v>
      </c>
      <c r="N289" s="298">
        <f>'CAR Mileage'!N310*CAR!$I$58</f>
        <v>18545.87802169412</v>
      </c>
      <c r="O289" s="298">
        <f>'CAR Mileage'!O310*CAR!$I$58</f>
        <v>18545.87802169412</v>
      </c>
      <c r="P289" s="298">
        <f>'CAR Mileage'!P310*CAR!$I$58</f>
        <v>18545.87802169412</v>
      </c>
      <c r="Q289" s="298">
        <f>'CAR Mileage'!Q310*CAR!$I$58</f>
        <v>18545.87802169412</v>
      </c>
      <c r="R289" s="298">
        <f>'CAR Mileage'!R310*CAR!$I$58</f>
        <v>18545.87802169412</v>
      </c>
      <c r="S289" s="298">
        <f>'CAR Mileage'!S310*CAR!$I$58</f>
        <v>18545.87802169412</v>
      </c>
      <c r="T289" s="298">
        <f>'CAR Mileage'!T310*CAR!$I$58</f>
        <v>18545.87802169412</v>
      </c>
      <c r="U289" s="298">
        <f>'CAR Mileage'!U310*CAR!$I$58</f>
        <v>18545.87802169412</v>
      </c>
      <c r="V289" s="298">
        <f>'CAR Mileage'!V310*CAR!$I$58</f>
        <v>18545.87802169412</v>
      </c>
      <c r="W289" s="298">
        <f>'CAR Mileage'!W310*CAR!$I$58</f>
        <v>18545.87802169412</v>
      </c>
      <c r="X289" s="298">
        <f>'CAR Mileage'!X310*CAR!$I$58</f>
        <v>18545.87802169412</v>
      </c>
      <c r="Y289" s="298">
        <f>'CAR Mileage'!Y310*CAR!$I$58</f>
        <v>18545.87802169412</v>
      </c>
      <c r="Z289" s="298">
        <f>'CAR Mileage'!Z310*CAR!$I$58</f>
        <v>18545.87802169412</v>
      </c>
      <c r="AA289" s="298">
        <f>'CAR Mileage'!AA310*CAR!$I$58</f>
        <v>18545.87802169412</v>
      </c>
      <c r="AB289" s="298">
        <f>'CAR Mileage'!AB310*CAR!$I$58</f>
        <v>18545.87802169412</v>
      </c>
      <c r="AC289" s="298">
        <f>'CAR Mileage'!AC310*CAR!$I$58</f>
        <v>18545.87802169412</v>
      </c>
      <c r="AD289" s="298">
        <f>'CAR Mileage'!AD310*CAR!$I$58</f>
        <v>18545.87802169412</v>
      </c>
      <c r="AE289" s="299">
        <f>'CAR Mileage'!AE310*CAR!$I$58</f>
        <v>18545.87802169412</v>
      </c>
      <c r="AG289" s="1711"/>
      <c r="AH289" s="116">
        <v>25</v>
      </c>
      <c r="AI289" s="297">
        <f>'CAR Passenger Kilometres'!C289*'CAR Stock'!C339</f>
        <v>0</v>
      </c>
      <c r="AJ289" s="298">
        <f>'CAR Passenger Kilometres'!D289*'CAR Stock'!D339</f>
        <v>0</v>
      </c>
      <c r="AK289" s="298">
        <f>'CAR Passenger Kilometres'!E289*'CAR Stock'!E339</f>
        <v>0</v>
      </c>
      <c r="AL289" s="298">
        <f>'CAR Passenger Kilometres'!F289*'CAR Stock'!F339</f>
        <v>0</v>
      </c>
      <c r="AM289" s="298">
        <f>'CAR Passenger Kilometres'!G289*'CAR Stock'!G339</f>
        <v>0</v>
      </c>
      <c r="AN289" s="298">
        <f>'CAR Passenger Kilometres'!H289*'CAR Stock'!H339</f>
        <v>0</v>
      </c>
      <c r="AO289" s="298">
        <f>'CAR Passenger Kilometres'!I289*'CAR Stock'!I339</f>
        <v>0</v>
      </c>
      <c r="AP289" s="298">
        <f>'CAR Passenger Kilometres'!J289*'CAR Stock'!J339</f>
        <v>0</v>
      </c>
      <c r="AQ289" s="298">
        <f>'CAR Passenger Kilometres'!K289*'CAR Stock'!K339</f>
        <v>0</v>
      </c>
      <c r="AR289" s="298">
        <f>'CAR Passenger Kilometres'!L289*'CAR Stock'!L339</f>
        <v>0</v>
      </c>
      <c r="AS289" s="298">
        <f>'CAR Passenger Kilometres'!M289*'CAR Stock'!M339</f>
        <v>0</v>
      </c>
      <c r="AT289" s="298">
        <f>'CAR Passenger Kilometres'!N289*'CAR Stock'!N339</f>
        <v>0</v>
      </c>
      <c r="AU289" s="298">
        <f>'CAR Passenger Kilometres'!O289*'CAR Stock'!O339</f>
        <v>0</v>
      </c>
      <c r="AV289" s="298">
        <f>'CAR Passenger Kilometres'!P289*'CAR Stock'!P339</f>
        <v>0</v>
      </c>
      <c r="AW289" s="298">
        <f>'CAR Passenger Kilometres'!Q289*'CAR Stock'!Q339</f>
        <v>0</v>
      </c>
      <c r="AX289" s="298">
        <f>'CAR Passenger Kilometres'!R289*'CAR Stock'!R339</f>
        <v>0</v>
      </c>
      <c r="AY289" s="298">
        <f>'CAR Passenger Kilometres'!S289*'CAR Stock'!S339</f>
        <v>0</v>
      </c>
      <c r="AZ289" s="298">
        <f>'CAR Passenger Kilometres'!T289*'CAR Stock'!T339</f>
        <v>0</v>
      </c>
      <c r="BA289" s="298">
        <f>'CAR Passenger Kilometres'!U289*'CAR Stock'!U339</f>
        <v>0</v>
      </c>
      <c r="BB289" s="298">
        <f>'CAR Passenger Kilometres'!V289*'CAR Stock'!V339</f>
        <v>0</v>
      </c>
      <c r="BC289" s="298">
        <f>'CAR Passenger Kilometres'!W289*'CAR Stock'!W339</f>
        <v>0</v>
      </c>
      <c r="BD289" s="298">
        <f>'CAR Passenger Kilometres'!X289*'CAR Stock'!X339</f>
        <v>0</v>
      </c>
      <c r="BE289" s="298">
        <f>'CAR Passenger Kilometres'!Y289*'CAR Stock'!Y339</f>
        <v>0</v>
      </c>
      <c r="BF289" s="298">
        <f>'CAR Passenger Kilometres'!Z289*'CAR Stock'!Z339</f>
        <v>0</v>
      </c>
      <c r="BG289" s="298">
        <f>'CAR Passenger Kilometres'!AA289*'CAR Stock'!AA339</f>
        <v>0</v>
      </c>
      <c r="BH289" s="298">
        <f>'CAR Passenger Kilometres'!AB289*'CAR Stock'!AB339</f>
        <v>0</v>
      </c>
      <c r="BI289" s="298">
        <f>'CAR Passenger Kilometres'!AC289*'CAR Stock'!AC339</f>
        <v>0</v>
      </c>
      <c r="BJ289" s="298">
        <f>'CAR Passenger Kilometres'!AD289*'CAR Stock'!AD339</f>
        <v>0</v>
      </c>
      <c r="BK289" s="299">
        <f>'CAR Passenger Kilometres'!AE289*'CAR Stock'!AE339</f>
        <v>0</v>
      </c>
    </row>
    <row r="290" spans="1:63" ht="16.5" thickTop="1" thickBot="1">
      <c r="A290" s="1712"/>
      <c r="B290" s="300" t="s">
        <v>39</v>
      </c>
      <c r="C290" s="301">
        <f>'CAR Mileage'!C311*CAR!$I$58</f>
        <v>24860.502238684403</v>
      </c>
      <c r="D290" s="301">
        <f>'CAR Mileage'!D311*CAR!$I$58</f>
        <v>24363.378497486341</v>
      </c>
      <c r="E290" s="301">
        <f>'CAR Mileage'!E311*CAR!$I$58</f>
        <v>23876.233532860762</v>
      </c>
      <c r="F290" s="301">
        <f>'CAR Mileage'!F311*CAR!$I$58</f>
        <v>23398.843941223724</v>
      </c>
      <c r="G290" s="301">
        <f>'CAR Mileage'!G311*CAR!$I$58</f>
        <v>22931.289539032277</v>
      </c>
      <c r="H290" s="301">
        <f>'CAR Mileage'!H311*CAR!$I$58</f>
        <v>22474.833709860595</v>
      </c>
      <c r="I290" s="301">
        <f>'CAR Mileage'!I311*CAR!$I$58</f>
        <v>22033.193331160892</v>
      </c>
      <c r="J290" s="301">
        <f>'CAR Mileage'!J311*CAR!$I$58</f>
        <v>21611.273836092329</v>
      </c>
      <c r="K290" s="301">
        <f>'CAR Mileage'!K311*CAR!$I$58</f>
        <v>21211.076989437715</v>
      </c>
      <c r="L290" s="301">
        <f>'CAR Mileage'!L311*CAR!$I$58</f>
        <v>20831.599204354232</v>
      </c>
      <c r="M290" s="301">
        <f>'CAR Mileage'!M311*CAR!$I$58</f>
        <v>20473.328603649807</v>
      </c>
      <c r="N290" s="301">
        <f>'CAR Mileage'!N311*CAR!$I$58</f>
        <v>20133.408462261046</v>
      </c>
      <c r="O290" s="301">
        <f>'CAR Mileage'!O311*CAR!$I$58</f>
        <v>19803.999774227053</v>
      </c>
      <c r="P290" s="301">
        <f>'CAR Mileage'!P311*CAR!$I$58</f>
        <v>19479.570223396302</v>
      </c>
      <c r="Q290" s="301">
        <f>'CAR Mileage'!Q311*CAR!$I$58</f>
        <v>19140.278132126077</v>
      </c>
      <c r="R290" s="301">
        <f>'CAR Mileage'!R311*CAR!$I$58</f>
        <v>18813.697591890257</v>
      </c>
      <c r="S290" s="301">
        <f>'CAR Mileage'!S311*CAR!$I$58</f>
        <v>18545.878021694123</v>
      </c>
      <c r="T290" s="301">
        <f>'CAR Mileage'!T311*CAR!$I$58</f>
        <v>18545.878021694123</v>
      </c>
      <c r="U290" s="301">
        <f>'CAR Mileage'!U311*CAR!$I$58</f>
        <v>18545.878021694116</v>
      </c>
      <c r="V290" s="301">
        <f>'CAR Mileage'!V311*CAR!$I$58</f>
        <v>18545.878021694123</v>
      </c>
      <c r="W290" s="301">
        <f>'CAR Mileage'!W311*CAR!$I$58</f>
        <v>18545.878021694123</v>
      </c>
      <c r="X290" s="301">
        <f>'CAR Mileage'!X311*CAR!$I$58</f>
        <v>18545.87802169412</v>
      </c>
      <c r="Y290" s="301">
        <f>'CAR Mileage'!Y311*CAR!$I$58</f>
        <v>18545.878021694116</v>
      </c>
      <c r="Z290" s="301">
        <f>'CAR Mileage'!Z311*CAR!$I$58</f>
        <v>18545.87802169412</v>
      </c>
      <c r="AA290" s="301">
        <f>'CAR Mileage'!AA311*CAR!$I$58</f>
        <v>18545.87802169412</v>
      </c>
      <c r="AB290" s="301">
        <f>'CAR Mileage'!AB311*CAR!$I$58</f>
        <v>0</v>
      </c>
      <c r="AC290" s="301">
        <f>'CAR Mileage'!AC311*CAR!$I$58</f>
        <v>0</v>
      </c>
      <c r="AD290" s="301">
        <f>'CAR Mileage'!AD311*CAR!$I$58</f>
        <v>0</v>
      </c>
      <c r="AE290" s="302">
        <f>'CAR Mileage'!AE311*CAR!$I$58</f>
        <v>0</v>
      </c>
      <c r="AG290" s="1712"/>
      <c r="AH290" s="300" t="s">
        <v>39</v>
      </c>
      <c r="AI290" s="301">
        <f t="shared" ref="AI290:BK290" si="10">SUM(AI264:AI289)</f>
        <v>147248754.75972769</v>
      </c>
      <c r="AJ290" s="301">
        <f t="shared" si="10"/>
        <v>144300657.30786496</v>
      </c>
      <c r="AK290" s="301">
        <f t="shared" si="10"/>
        <v>141410208.726246</v>
      </c>
      <c r="AL290" s="301">
        <f t="shared" si="10"/>
        <v>138577118.24005881</v>
      </c>
      <c r="AM290" s="301">
        <f t="shared" si="10"/>
        <v>135765841.32013786</v>
      </c>
      <c r="AN290" s="301">
        <f t="shared" si="10"/>
        <v>132750685.39652315</v>
      </c>
      <c r="AO290" s="301">
        <f t="shared" si="10"/>
        <v>128223752.70804964</v>
      </c>
      <c r="AP290" s="301">
        <f t="shared" si="10"/>
        <v>119489330.23025107</v>
      </c>
      <c r="AQ290" s="301">
        <f t="shared" si="10"/>
        <v>104247502.59239897</v>
      </c>
      <c r="AR290" s="301">
        <f t="shared" si="10"/>
        <v>82546813.315762773</v>
      </c>
      <c r="AS290" s="301">
        <f t="shared" si="10"/>
        <v>57338392.306482606</v>
      </c>
      <c r="AT290" s="301">
        <f t="shared" si="10"/>
        <v>34083011.877165787</v>
      </c>
      <c r="AU290" s="301">
        <f t="shared" si="10"/>
        <v>16884243.223307755</v>
      </c>
      <c r="AV290" s="301">
        <f t="shared" si="10"/>
        <v>6799527.1540384218</v>
      </c>
      <c r="AW290" s="301">
        <f t="shared" si="10"/>
        <v>2218246.7520901398</v>
      </c>
      <c r="AX290" s="301">
        <f t="shared" si="10"/>
        <v>573034.2957105228</v>
      </c>
      <c r="AY290" s="301">
        <f t="shared" si="10"/>
        <v>133733.81927738708</v>
      </c>
      <c r="AZ290" s="301">
        <f t="shared" si="10"/>
        <v>28174.515844961508</v>
      </c>
      <c r="BA290" s="301">
        <f t="shared" si="10"/>
        <v>5200.5185455221217</v>
      </c>
      <c r="BB290" s="301">
        <f t="shared" si="10"/>
        <v>824.04203042645111</v>
      </c>
      <c r="BC290" s="301">
        <f t="shared" si="10"/>
        <v>109.00028616926092</v>
      </c>
      <c r="BD290" s="301">
        <f t="shared" si="10"/>
        <v>11.557243393663265</v>
      </c>
      <c r="BE290" s="301">
        <f t="shared" si="10"/>
        <v>0.92109570006057695</v>
      </c>
      <c r="BF290" s="301">
        <f t="shared" si="10"/>
        <v>4.9060485667940718E-2</v>
      </c>
      <c r="BG290" s="301">
        <f t="shared" si="10"/>
        <v>1.3100895581864382E-3</v>
      </c>
      <c r="BH290" s="301">
        <f t="shared" si="10"/>
        <v>0</v>
      </c>
      <c r="BI290" s="301">
        <f t="shared" si="10"/>
        <v>0</v>
      </c>
      <c r="BJ290" s="301">
        <f t="shared" si="10"/>
        <v>0</v>
      </c>
      <c r="BK290" s="302">
        <f t="shared" si="10"/>
        <v>0</v>
      </c>
    </row>
    <row r="291" spans="1:63" ht="15.75" thickBot="1">
      <c r="AI291">
        <f>AI59</f>
        <v>0</v>
      </c>
    </row>
    <row r="292" spans="1:63" ht="15.75" thickBot="1">
      <c r="A292" s="1710" t="s">
        <v>51</v>
      </c>
      <c r="B292" s="169" t="s">
        <v>10</v>
      </c>
      <c r="C292" s="288">
        <f t="shared" si="9"/>
        <v>2012</v>
      </c>
      <c r="D292" s="289">
        <v>2013</v>
      </c>
      <c r="E292" s="289">
        <v>2014</v>
      </c>
      <c r="F292" s="289">
        <v>2015</v>
      </c>
      <c r="G292" s="288">
        <v>2016</v>
      </c>
      <c r="H292" s="289">
        <v>2017</v>
      </c>
      <c r="I292" s="289">
        <v>2018</v>
      </c>
      <c r="J292" s="289">
        <v>2019</v>
      </c>
      <c r="K292" s="288">
        <v>2020</v>
      </c>
      <c r="L292" s="289">
        <v>2021</v>
      </c>
      <c r="M292" s="289">
        <v>2022</v>
      </c>
      <c r="N292" s="289">
        <v>2023</v>
      </c>
      <c r="O292" s="288">
        <v>2024</v>
      </c>
      <c r="P292" s="289">
        <v>2025</v>
      </c>
      <c r="Q292" s="289">
        <v>2026</v>
      </c>
      <c r="R292" s="289">
        <v>2027</v>
      </c>
      <c r="S292" s="288">
        <v>2028</v>
      </c>
      <c r="T292" s="289">
        <v>2029</v>
      </c>
      <c r="U292" s="289">
        <v>2030</v>
      </c>
      <c r="V292" s="289">
        <v>2031</v>
      </c>
      <c r="W292" s="288">
        <v>2032</v>
      </c>
      <c r="X292" s="289">
        <v>2033</v>
      </c>
      <c r="Y292" s="289">
        <v>2034</v>
      </c>
      <c r="Z292" s="289">
        <v>2035</v>
      </c>
      <c r="AA292" s="288">
        <v>2036</v>
      </c>
      <c r="AB292" s="289">
        <v>2037</v>
      </c>
      <c r="AC292" s="289">
        <v>2038</v>
      </c>
      <c r="AD292" s="289">
        <v>2039</v>
      </c>
      <c r="AE292" s="290">
        <v>2040</v>
      </c>
      <c r="AG292" s="1710" t="s">
        <v>51</v>
      </c>
      <c r="AH292" s="169" t="s">
        <v>10</v>
      </c>
      <c r="AI292" s="288">
        <f>AI60</f>
        <v>2012</v>
      </c>
      <c r="AJ292" s="289">
        <v>2013</v>
      </c>
      <c r="AK292" s="289">
        <v>2014</v>
      </c>
      <c r="AL292" s="289">
        <v>2015</v>
      </c>
      <c r="AM292" s="288">
        <v>2016</v>
      </c>
      <c r="AN292" s="289">
        <v>2017</v>
      </c>
      <c r="AO292" s="289">
        <v>2018</v>
      </c>
      <c r="AP292" s="289">
        <v>2019</v>
      </c>
      <c r="AQ292" s="288">
        <v>2020</v>
      </c>
      <c r="AR292" s="289">
        <v>2021</v>
      </c>
      <c r="AS292" s="289">
        <v>2022</v>
      </c>
      <c r="AT292" s="289">
        <v>2023</v>
      </c>
      <c r="AU292" s="288">
        <v>2024</v>
      </c>
      <c r="AV292" s="289">
        <v>2025</v>
      </c>
      <c r="AW292" s="289">
        <v>2026</v>
      </c>
      <c r="AX292" s="289">
        <v>2027</v>
      </c>
      <c r="AY292" s="288">
        <v>2028</v>
      </c>
      <c r="AZ292" s="289">
        <v>2029</v>
      </c>
      <c r="BA292" s="289">
        <v>2030</v>
      </c>
      <c r="BB292" s="289">
        <v>2031</v>
      </c>
      <c r="BC292" s="288">
        <v>2032</v>
      </c>
      <c r="BD292" s="289">
        <v>2033</v>
      </c>
      <c r="BE292" s="289">
        <v>2034</v>
      </c>
      <c r="BF292" s="289">
        <v>2035</v>
      </c>
      <c r="BG292" s="288">
        <v>2036</v>
      </c>
      <c r="BH292" s="289">
        <v>2037</v>
      </c>
      <c r="BI292" s="289">
        <v>2038</v>
      </c>
      <c r="BJ292" s="289">
        <v>2039</v>
      </c>
      <c r="BK292" s="290">
        <v>2040</v>
      </c>
    </row>
    <row r="293" spans="1:63">
      <c r="A293" s="1711"/>
      <c r="B293" s="116">
        <v>0</v>
      </c>
      <c r="C293" s="291">
        <f>'CAR Mileage'!C314*CAR!$I$58</f>
        <v>29046.121820436518</v>
      </c>
      <c r="D293" s="292">
        <f>'CAR Mileage'!D314*CAR!$I$58</f>
        <v>29046.121820436518</v>
      </c>
      <c r="E293" s="292">
        <f>'CAR Mileage'!E314*CAR!$I$58</f>
        <v>29046.121820436518</v>
      </c>
      <c r="F293" s="292">
        <f>'CAR Mileage'!F314*CAR!$I$58</f>
        <v>29046.121820436518</v>
      </c>
      <c r="G293" s="292">
        <f>'CAR Mileage'!G314*CAR!$I$58</f>
        <v>29046.121820436518</v>
      </c>
      <c r="H293" s="292">
        <f>'CAR Mileage'!H314*CAR!$I$58</f>
        <v>29046.121820436518</v>
      </c>
      <c r="I293" s="292">
        <f>'CAR Mileage'!I314*CAR!$I$58</f>
        <v>29046.121820436518</v>
      </c>
      <c r="J293" s="292">
        <f>'CAR Mileage'!J314*CAR!$I$58</f>
        <v>29046.121820436518</v>
      </c>
      <c r="K293" s="292">
        <f>'CAR Mileage'!K314*CAR!$I$58</f>
        <v>29046.121820436518</v>
      </c>
      <c r="L293" s="292">
        <f>'CAR Mileage'!L314*CAR!$I$58</f>
        <v>29046.121820436518</v>
      </c>
      <c r="M293" s="292">
        <f>'CAR Mileage'!M314*CAR!$I$58</f>
        <v>29046.121820436518</v>
      </c>
      <c r="N293" s="292">
        <f>'CAR Mileage'!N314*CAR!$I$58</f>
        <v>29046.121820436518</v>
      </c>
      <c r="O293" s="292">
        <f>'CAR Mileage'!O314*CAR!$I$58</f>
        <v>29046.121820436518</v>
      </c>
      <c r="P293" s="292">
        <f>'CAR Mileage'!P314*CAR!$I$58</f>
        <v>29046.121820436518</v>
      </c>
      <c r="Q293" s="292">
        <f>'CAR Mileage'!Q314*CAR!$I$58</f>
        <v>29046.121820436518</v>
      </c>
      <c r="R293" s="292">
        <f>'CAR Mileage'!R314*CAR!$I$58</f>
        <v>29046.121820436518</v>
      </c>
      <c r="S293" s="292">
        <f>'CAR Mileage'!S314*CAR!$I$58</f>
        <v>29046.121820436518</v>
      </c>
      <c r="T293" s="292">
        <f>'CAR Mileage'!T314*CAR!$I$58</f>
        <v>29046.121820436518</v>
      </c>
      <c r="U293" s="292">
        <f>'CAR Mileage'!U314*CAR!$I$58</f>
        <v>29046.121820436518</v>
      </c>
      <c r="V293" s="292">
        <f>'CAR Mileage'!V314*CAR!$I$58</f>
        <v>29046.121820436518</v>
      </c>
      <c r="W293" s="292">
        <f>'CAR Mileage'!W314*CAR!$I$58</f>
        <v>29046.121820436518</v>
      </c>
      <c r="X293" s="292">
        <f>'CAR Mileage'!X314*CAR!$I$58</f>
        <v>29046.121820436518</v>
      </c>
      <c r="Y293" s="292">
        <f>'CAR Mileage'!Y314*CAR!$I$58</f>
        <v>29046.121820436518</v>
      </c>
      <c r="Z293" s="292">
        <f>'CAR Mileage'!Z314*CAR!$I$58</f>
        <v>29046.121820436518</v>
      </c>
      <c r="AA293" s="292">
        <f>'CAR Mileage'!AA314*CAR!$I$58</f>
        <v>29046.121820436518</v>
      </c>
      <c r="AB293" s="292">
        <f>'CAR Mileage'!AB314*CAR!$I$58</f>
        <v>29046.121820436518</v>
      </c>
      <c r="AC293" s="292">
        <f>'CAR Mileage'!AC314*CAR!$I$58</f>
        <v>29046.121820436518</v>
      </c>
      <c r="AD293" s="292">
        <f>'CAR Mileage'!AD314*CAR!$I$58</f>
        <v>29046.121820436518</v>
      </c>
      <c r="AE293" s="293">
        <f>'CAR Mileage'!AE314*CAR!$I$58</f>
        <v>29046.121820436518</v>
      </c>
      <c r="AG293" s="1711"/>
      <c r="AH293" s="116">
        <v>0</v>
      </c>
      <c r="AI293" s="291">
        <f>'CAR Passenger Kilometres'!C293*'CAR Stock'!C343</f>
        <v>0</v>
      </c>
      <c r="AJ293" s="292">
        <f>'CAR Passenger Kilometres'!D293*'CAR Stock'!D343</f>
        <v>0</v>
      </c>
      <c r="AK293" s="292">
        <f>'CAR Passenger Kilometres'!E293*'CAR Stock'!E343</f>
        <v>0</v>
      </c>
      <c r="AL293" s="292">
        <f>'CAR Passenger Kilometres'!F293*'CAR Stock'!F343</f>
        <v>0</v>
      </c>
      <c r="AM293" s="292">
        <f>'CAR Passenger Kilometres'!G293*'CAR Stock'!G343</f>
        <v>0</v>
      </c>
      <c r="AN293" s="292">
        <f>'CAR Passenger Kilometres'!H293*'CAR Stock'!H343</f>
        <v>0</v>
      </c>
      <c r="AO293" s="292">
        <f>'CAR Passenger Kilometres'!I293*'CAR Stock'!I343</f>
        <v>0</v>
      </c>
      <c r="AP293" s="292">
        <f>'CAR Passenger Kilometres'!J293*'CAR Stock'!J343</f>
        <v>0</v>
      </c>
      <c r="AQ293" s="292">
        <f>'CAR Passenger Kilometres'!K293*'CAR Stock'!K343</f>
        <v>0</v>
      </c>
      <c r="AR293" s="292">
        <f>'CAR Passenger Kilometres'!L293*'CAR Stock'!L343</f>
        <v>0</v>
      </c>
      <c r="AS293" s="292">
        <f>'CAR Passenger Kilometres'!M293*'CAR Stock'!M343</f>
        <v>0</v>
      </c>
      <c r="AT293" s="292">
        <f>'CAR Passenger Kilometres'!N293*'CAR Stock'!N343</f>
        <v>0</v>
      </c>
      <c r="AU293" s="292">
        <f>'CAR Passenger Kilometres'!O293*'CAR Stock'!O343</f>
        <v>0</v>
      </c>
      <c r="AV293" s="292">
        <f>'CAR Passenger Kilometres'!P293*'CAR Stock'!P343</f>
        <v>0</v>
      </c>
      <c r="AW293" s="292">
        <f>'CAR Passenger Kilometres'!Q293*'CAR Stock'!Q343</f>
        <v>0</v>
      </c>
      <c r="AX293" s="292">
        <f>'CAR Passenger Kilometres'!R293*'CAR Stock'!R343</f>
        <v>0</v>
      </c>
      <c r="AY293" s="292">
        <f>'CAR Passenger Kilometres'!S293*'CAR Stock'!S343</f>
        <v>0</v>
      </c>
      <c r="AZ293" s="292">
        <f>'CAR Passenger Kilometres'!T293*'CAR Stock'!T343</f>
        <v>0</v>
      </c>
      <c r="BA293" s="292">
        <f>'CAR Passenger Kilometres'!U293*'CAR Stock'!U343</f>
        <v>0</v>
      </c>
      <c r="BB293" s="292">
        <f>'CAR Passenger Kilometres'!V293*'CAR Stock'!V343</f>
        <v>0</v>
      </c>
      <c r="BC293" s="292">
        <f>'CAR Passenger Kilometres'!W293*'CAR Stock'!W343</f>
        <v>0</v>
      </c>
      <c r="BD293" s="292">
        <f>'CAR Passenger Kilometres'!X293*'CAR Stock'!X343</f>
        <v>0</v>
      </c>
      <c r="BE293" s="292">
        <f>'CAR Passenger Kilometres'!Y293*'CAR Stock'!Y343</f>
        <v>0</v>
      </c>
      <c r="BF293" s="292">
        <f>'CAR Passenger Kilometres'!Z293*'CAR Stock'!Z343</f>
        <v>0</v>
      </c>
      <c r="BG293" s="292">
        <f>'CAR Passenger Kilometres'!AA293*'CAR Stock'!AA343</f>
        <v>0</v>
      </c>
      <c r="BH293" s="292">
        <f>'CAR Passenger Kilometres'!AB293*'CAR Stock'!AB343</f>
        <v>0</v>
      </c>
      <c r="BI293" s="292">
        <f>'CAR Passenger Kilometres'!AC293*'CAR Stock'!AC343</f>
        <v>0</v>
      </c>
      <c r="BJ293" s="292">
        <f>'CAR Passenger Kilometres'!AD293*'CAR Stock'!AD343</f>
        <v>0</v>
      </c>
      <c r="BK293" s="293">
        <f>'CAR Passenger Kilometres'!AE293*'CAR Stock'!AE343</f>
        <v>0</v>
      </c>
    </row>
    <row r="294" spans="1:63">
      <c r="A294" s="1711"/>
      <c r="B294" s="116">
        <v>1</v>
      </c>
      <c r="C294" s="294">
        <f>'CAR Mileage'!C315*CAR!$I$58</f>
        <v>28465.199384027786</v>
      </c>
      <c r="D294" s="295">
        <f>'CAR Mileage'!D315*CAR!$I$58</f>
        <v>28465.199384027786</v>
      </c>
      <c r="E294" s="295">
        <f>'CAR Mileage'!E315*CAR!$I$58</f>
        <v>28465.199384027786</v>
      </c>
      <c r="F294" s="295">
        <f>'CAR Mileage'!F315*CAR!$I$58</f>
        <v>28465.199384027786</v>
      </c>
      <c r="G294" s="295">
        <f>'CAR Mileage'!G315*CAR!$I$58</f>
        <v>28465.199384027786</v>
      </c>
      <c r="H294" s="295">
        <f>'CAR Mileage'!H315*CAR!$I$58</f>
        <v>28465.199384027786</v>
      </c>
      <c r="I294" s="295">
        <f>'CAR Mileage'!I315*CAR!$I$58</f>
        <v>28465.199384027786</v>
      </c>
      <c r="J294" s="295">
        <f>'CAR Mileage'!J315*CAR!$I$58</f>
        <v>28465.199384027786</v>
      </c>
      <c r="K294" s="295">
        <f>'CAR Mileage'!K315*CAR!$I$58</f>
        <v>28465.199384027786</v>
      </c>
      <c r="L294" s="295">
        <f>'CAR Mileage'!L315*CAR!$I$58</f>
        <v>28465.199384027786</v>
      </c>
      <c r="M294" s="295">
        <f>'CAR Mileage'!M315*CAR!$I$58</f>
        <v>28465.199384027786</v>
      </c>
      <c r="N294" s="295">
        <f>'CAR Mileage'!N315*CAR!$I$58</f>
        <v>28465.199384027786</v>
      </c>
      <c r="O294" s="295">
        <f>'CAR Mileage'!O315*CAR!$I$58</f>
        <v>28465.199384027786</v>
      </c>
      <c r="P294" s="295">
        <f>'CAR Mileage'!P315*CAR!$I$58</f>
        <v>28465.199384027786</v>
      </c>
      <c r="Q294" s="295">
        <f>'CAR Mileage'!Q315*CAR!$I$58</f>
        <v>28465.199384027786</v>
      </c>
      <c r="R294" s="295">
        <f>'CAR Mileage'!R315*CAR!$I$58</f>
        <v>28465.199384027786</v>
      </c>
      <c r="S294" s="295">
        <f>'CAR Mileage'!S315*CAR!$I$58</f>
        <v>28465.199384027786</v>
      </c>
      <c r="T294" s="295">
        <f>'CAR Mileage'!T315*CAR!$I$58</f>
        <v>28465.199384027786</v>
      </c>
      <c r="U294" s="295">
        <f>'CAR Mileage'!U315*CAR!$I$58</f>
        <v>28465.199384027786</v>
      </c>
      <c r="V294" s="295">
        <f>'CAR Mileage'!V315*CAR!$I$58</f>
        <v>28465.199384027786</v>
      </c>
      <c r="W294" s="295">
        <f>'CAR Mileage'!W315*CAR!$I$58</f>
        <v>28465.199384027786</v>
      </c>
      <c r="X294" s="295">
        <f>'CAR Mileage'!X315*CAR!$I$58</f>
        <v>28465.199384027786</v>
      </c>
      <c r="Y294" s="295">
        <f>'CAR Mileage'!Y315*CAR!$I$58</f>
        <v>28465.199384027786</v>
      </c>
      <c r="Z294" s="295">
        <f>'CAR Mileage'!Z315*CAR!$I$58</f>
        <v>28465.199384027786</v>
      </c>
      <c r="AA294" s="295">
        <f>'CAR Mileage'!AA315*CAR!$I$58</f>
        <v>28465.199384027786</v>
      </c>
      <c r="AB294" s="295">
        <f>'CAR Mileage'!AB315*CAR!$I$58</f>
        <v>28465.199384027786</v>
      </c>
      <c r="AC294" s="295">
        <f>'CAR Mileage'!AC315*CAR!$I$58</f>
        <v>28465.199384027786</v>
      </c>
      <c r="AD294" s="295">
        <f>'CAR Mileage'!AD315*CAR!$I$58</f>
        <v>28465.199384027786</v>
      </c>
      <c r="AE294" s="296">
        <f>'CAR Mileage'!AE315*CAR!$I$58</f>
        <v>28465.199384027786</v>
      </c>
      <c r="AG294" s="1711"/>
      <c r="AH294" s="116">
        <v>1</v>
      </c>
      <c r="AI294" s="294">
        <f>'CAR Passenger Kilometres'!C294*'CAR Stock'!C344</f>
        <v>0</v>
      </c>
      <c r="AJ294" s="295">
        <f>'CAR Passenger Kilometres'!D294*'CAR Stock'!D344</f>
        <v>0</v>
      </c>
      <c r="AK294" s="295">
        <f>'CAR Passenger Kilometres'!E294*'CAR Stock'!E344</f>
        <v>0</v>
      </c>
      <c r="AL294" s="295">
        <f>'CAR Passenger Kilometres'!F294*'CAR Stock'!F344</f>
        <v>0</v>
      </c>
      <c r="AM294" s="295">
        <f>'CAR Passenger Kilometres'!G294*'CAR Stock'!G344</f>
        <v>0</v>
      </c>
      <c r="AN294" s="295">
        <f>'CAR Passenger Kilometres'!H294*'CAR Stock'!H344</f>
        <v>0</v>
      </c>
      <c r="AO294" s="295">
        <f>'CAR Passenger Kilometres'!I294*'CAR Stock'!I344</f>
        <v>0</v>
      </c>
      <c r="AP294" s="295">
        <f>'CAR Passenger Kilometres'!J294*'CAR Stock'!J344</f>
        <v>0</v>
      </c>
      <c r="AQ294" s="295">
        <f>'CAR Passenger Kilometres'!K294*'CAR Stock'!K344</f>
        <v>0</v>
      </c>
      <c r="AR294" s="295">
        <f>'CAR Passenger Kilometres'!L294*'CAR Stock'!L344</f>
        <v>0</v>
      </c>
      <c r="AS294" s="295">
        <f>'CAR Passenger Kilometres'!M294*'CAR Stock'!M344</f>
        <v>0</v>
      </c>
      <c r="AT294" s="295">
        <f>'CAR Passenger Kilometres'!N294*'CAR Stock'!N344</f>
        <v>0</v>
      </c>
      <c r="AU294" s="295">
        <f>'CAR Passenger Kilometres'!O294*'CAR Stock'!O344</f>
        <v>0</v>
      </c>
      <c r="AV294" s="295">
        <f>'CAR Passenger Kilometres'!P294*'CAR Stock'!P344</f>
        <v>0</v>
      </c>
      <c r="AW294" s="295">
        <f>'CAR Passenger Kilometres'!Q294*'CAR Stock'!Q344</f>
        <v>0</v>
      </c>
      <c r="AX294" s="295">
        <f>'CAR Passenger Kilometres'!R294*'CAR Stock'!R344</f>
        <v>0</v>
      </c>
      <c r="AY294" s="295">
        <f>'CAR Passenger Kilometres'!S294*'CAR Stock'!S344</f>
        <v>0</v>
      </c>
      <c r="AZ294" s="295">
        <f>'CAR Passenger Kilometres'!T294*'CAR Stock'!T344</f>
        <v>0</v>
      </c>
      <c r="BA294" s="295">
        <f>'CAR Passenger Kilometres'!U294*'CAR Stock'!U344</f>
        <v>0</v>
      </c>
      <c r="BB294" s="295">
        <f>'CAR Passenger Kilometres'!V294*'CAR Stock'!V344</f>
        <v>0</v>
      </c>
      <c r="BC294" s="295">
        <f>'CAR Passenger Kilometres'!W294*'CAR Stock'!W344</f>
        <v>0</v>
      </c>
      <c r="BD294" s="295">
        <f>'CAR Passenger Kilometres'!X294*'CAR Stock'!X344</f>
        <v>0</v>
      </c>
      <c r="BE294" s="295">
        <f>'CAR Passenger Kilometres'!Y294*'CAR Stock'!Y344</f>
        <v>0</v>
      </c>
      <c r="BF294" s="295">
        <f>'CAR Passenger Kilometres'!Z294*'CAR Stock'!Z344</f>
        <v>0</v>
      </c>
      <c r="BG294" s="295">
        <f>'CAR Passenger Kilometres'!AA294*'CAR Stock'!AA344</f>
        <v>0</v>
      </c>
      <c r="BH294" s="295">
        <f>'CAR Passenger Kilometres'!AB294*'CAR Stock'!AB344</f>
        <v>0</v>
      </c>
      <c r="BI294" s="295">
        <f>'CAR Passenger Kilometres'!AC294*'CAR Stock'!AC344</f>
        <v>0</v>
      </c>
      <c r="BJ294" s="295">
        <f>'CAR Passenger Kilometres'!AD294*'CAR Stock'!AD344</f>
        <v>0</v>
      </c>
      <c r="BK294" s="296">
        <f>'CAR Passenger Kilometres'!AE294*'CAR Stock'!AE344</f>
        <v>0</v>
      </c>
    </row>
    <row r="295" spans="1:63">
      <c r="A295" s="1711"/>
      <c r="B295" s="116">
        <v>2</v>
      </c>
      <c r="C295" s="294">
        <f>'CAR Mileage'!C316*CAR!$I$58</f>
        <v>27895.89539634723</v>
      </c>
      <c r="D295" s="295">
        <f>'CAR Mileage'!D316*CAR!$I$58</f>
        <v>27895.89539634723</v>
      </c>
      <c r="E295" s="295">
        <f>'CAR Mileage'!E316*CAR!$I$58</f>
        <v>27895.89539634723</v>
      </c>
      <c r="F295" s="295">
        <f>'CAR Mileage'!F316*CAR!$I$58</f>
        <v>27895.89539634723</v>
      </c>
      <c r="G295" s="295">
        <f>'CAR Mileage'!G316*CAR!$I$58</f>
        <v>27895.89539634723</v>
      </c>
      <c r="H295" s="295">
        <f>'CAR Mileage'!H316*CAR!$I$58</f>
        <v>27895.89539634723</v>
      </c>
      <c r="I295" s="295">
        <f>'CAR Mileage'!I316*CAR!$I$58</f>
        <v>27895.89539634723</v>
      </c>
      <c r="J295" s="295">
        <f>'CAR Mileage'!J316*CAR!$I$58</f>
        <v>27895.89539634723</v>
      </c>
      <c r="K295" s="295">
        <f>'CAR Mileage'!K316*CAR!$I$58</f>
        <v>27895.89539634723</v>
      </c>
      <c r="L295" s="295">
        <f>'CAR Mileage'!L316*CAR!$I$58</f>
        <v>27895.89539634723</v>
      </c>
      <c r="M295" s="295">
        <f>'CAR Mileage'!M316*CAR!$I$58</f>
        <v>27895.89539634723</v>
      </c>
      <c r="N295" s="295">
        <f>'CAR Mileage'!N316*CAR!$I$58</f>
        <v>27895.89539634723</v>
      </c>
      <c r="O295" s="295">
        <f>'CAR Mileage'!O316*CAR!$I$58</f>
        <v>27895.89539634723</v>
      </c>
      <c r="P295" s="295">
        <f>'CAR Mileage'!P316*CAR!$I$58</f>
        <v>27895.89539634723</v>
      </c>
      <c r="Q295" s="295">
        <f>'CAR Mileage'!Q316*CAR!$I$58</f>
        <v>27895.89539634723</v>
      </c>
      <c r="R295" s="295">
        <f>'CAR Mileage'!R316*CAR!$I$58</f>
        <v>27895.89539634723</v>
      </c>
      <c r="S295" s="295">
        <f>'CAR Mileage'!S316*CAR!$I$58</f>
        <v>27895.89539634723</v>
      </c>
      <c r="T295" s="295">
        <f>'CAR Mileage'!T316*CAR!$I$58</f>
        <v>27895.89539634723</v>
      </c>
      <c r="U295" s="295">
        <f>'CAR Mileage'!U316*CAR!$I$58</f>
        <v>27895.89539634723</v>
      </c>
      <c r="V295" s="295">
        <f>'CAR Mileage'!V316*CAR!$I$58</f>
        <v>27895.89539634723</v>
      </c>
      <c r="W295" s="295">
        <f>'CAR Mileage'!W316*CAR!$I$58</f>
        <v>27895.89539634723</v>
      </c>
      <c r="X295" s="295">
        <f>'CAR Mileage'!X316*CAR!$I$58</f>
        <v>27895.89539634723</v>
      </c>
      <c r="Y295" s="295">
        <f>'CAR Mileage'!Y316*CAR!$I$58</f>
        <v>27895.89539634723</v>
      </c>
      <c r="Z295" s="295">
        <f>'CAR Mileage'!Z316*CAR!$I$58</f>
        <v>27895.89539634723</v>
      </c>
      <c r="AA295" s="295">
        <f>'CAR Mileage'!AA316*CAR!$I$58</f>
        <v>27895.89539634723</v>
      </c>
      <c r="AB295" s="295">
        <f>'CAR Mileage'!AB316*CAR!$I$58</f>
        <v>27895.89539634723</v>
      </c>
      <c r="AC295" s="295">
        <f>'CAR Mileage'!AC316*CAR!$I$58</f>
        <v>27895.89539634723</v>
      </c>
      <c r="AD295" s="295">
        <f>'CAR Mileage'!AD316*CAR!$I$58</f>
        <v>27895.89539634723</v>
      </c>
      <c r="AE295" s="296">
        <f>'CAR Mileage'!AE316*CAR!$I$58</f>
        <v>27895.89539634723</v>
      </c>
      <c r="AG295" s="1711"/>
      <c r="AH295" s="116">
        <v>2</v>
      </c>
      <c r="AI295" s="294">
        <f>'CAR Passenger Kilometres'!C295*'CAR Stock'!C345</f>
        <v>892668.65268311137</v>
      </c>
      <c r="AJ295" s="295">
        <f>'CAR Passenger Kilometres'!D295*'CAR Stock'!D345</f>
        <v>0</v>
      </c>
      <c r="AK295" s="295">
        <f>'CAR Passenger Kilometres'!E295*'CAR Stock'!E345</f>
        <v>0</v>
      </c>
      <c r="AL295" s="295">
        <f>'CAR Passenger Kilometres'!F295*'CAR Stock'!F345</f>
        <v>0</v>
      </c>
      <c r="AM295" s="295">
        <f>'CAR Passenger Kilometres'!G295*'CAR Stock'!G345</f>
        <v>0</v>
      </c>
      <c r="AN295" s="295">
        <f>'CAR Passenger Kilometres'!H295*'CAR Stock'!H345</f>
        <v>0</v>
      </c>
      <c r="AO295" s="295">
        <f>'CAR Passenger Kilometres'!I295*'CAR Stock'!I345</f>
        <v>0</v>
      </c>
      <c r="AP295" s="295">
        <f>'CAR Passenger Kilometres'!J295*'CAR Stock'!J345</f>
        <v>0</v>
      </c>
      <c r="AQ295" s="295">
        <f>'CAR Passenger Kilometres'!K295*'CAR Stock'!K345</f>
        <v>0</v>
      </c>
      <c r="AR295" s="295">
        <f>'CAR Passenger Kilometres'!L295*'CAR Stock'!L345</f>
        <v>0</v>
      </c>
      <c r="AS295" s="295">
        <f>'CAR Passenger Kilometres'!M295*'CAR Stock'!M345</f>
        <v>0</v>
      </c>
      <c r="AT295" s="295">
        <f>'CAR Passenger Kilometres'!N295*'CAR Stock'!N345</f>
        <v>0</v>
      </c>
      <c r="AU295" s="295">
        <f>'CAR Passenger Kilometres'!O295*'CAR Stock'!O345</f>
        <v>0</v>
      </c>
      <c r="AV295" s="295">
        <f>'CAR Passenger Kilometres'!P295*'CAR Stock'!P345</f>
        <v>0</v>
      </c>
      <c r="AW295" s="295">
        <f>'CAR Passenger Kilometres'!Q295*'CAR Stock'!Q345</f>
        <v>0</v>
      </c>
      <c r="AX295" s="295">
        <f>'CAR Passenger Kilometres'!R295*'CAR Stock'!R345</f>
        <v>0</v>
      </c>
      <c r="AY295" s="295">
        <f>'CAR Passenger Kilometres'!S295*'CAR Stock'!S345</f>
        <v>0</v>
      </c>
      <c r="AZ295" s="295">
        <f>'CAR Passenger Kilometres'!T295*'CAR Stock'!T345</f>
        <v>0</v>
      </c>
      <c r="BA295" s="295">
        <f>'CAR Passenger Kilometres'!U295*'CAR Stock'!U345</f>
        <v>0</v>
      </c>
      <c r="BB295" s="295">
        <f>'CAR Passenger Kilometres'!V295*'CAR Stock'!V345</f>
        <v>0</v>
      </c>
      <c r="BC295" s="295">
        <f>'CAR Passenger Kilometres'!W295*'CAR Stock'!W345</f>
        <v>0</v>
      </c>
      <c r="BD295" s="295">
        <f>'CAR Passenger Kilometres'!X295*'CAR Stock'!X345</f>
        <v>0</v>
      </c>
      <c r="BE295" s="295">
        <f>'CAR Passenger Kilometres'!Y295*'CAR Stock'!Y345</f>
        <v>0</v>
      </c>
      <c r="BF295" s="295">
        <f>'CAR Passenger Kilometres'!Z295*'CAR Stock'!Z345</f>
        <v>0</v>
      </c>
      <c r="BG295" s="295">
        <f>'CAR Passenger Kilometres'!AA295*'CAR Stock'!AA345</f>
        <v>0</v>
      </c>
      <c r="BH295" s="295">
        <f>'CAR Passenger Kilometres'!AB295*'CAR Stock'!AB345</f>
        <v>0</v>
      </c>
      <c r="BI295" s="295">
        <f>'CAR Passenger Kilometres'!AC295*'CAR Stock'!AC345</f>
        <v>0</v>
      </c>
      <c r="BJ295" s="295">
        <f>'CAR Passenger Kilometres'!AD295*'CAR Stock'!AD345</f>
        <v>0</v>
      </c>
      <c r="BK295" s="296">
        <f>'CAR Passenger Kilometres'!AE295*'CAR Stock'!AE345</f>
        <v>0</v>
      </c>
    </row>
    <row r="296" spans="1:63">
      <c r="A296" s="1711"/>
      <c r="B296" s="116">
        <v>3</v>
      </c>
      <c r="C296" s="294">
        <f>'CAR Mileage'!C317*CAR!$I$58</f>
        <v>27337.977488420285</v>
      </c>
      <c r="D296" s="295">
        <f>'CAR Mileage'!D317*CAR!$I$58</f>
        <v>27337.977488420285</v>
      </c>
      <c r="E296" s="295">
        <f>'CAR Mileage'!E317*CAR!$I$58</f>
        <v>27337.977488420285</v>
      </c>
      <c r="F296" s="295">
        <f>'CAR Mileage'!F317*CAR!$I$58</f>
        <v>27337.977488420285</v>
      </c>
      <c r="G296" s="295">
        <f>'CAR Mileage'!G317*CAR!$I$58</f>
        <v>27337.977488420285</v>
      </c>
      <c r="H296" s="295">
        <f>'CAR Mileage'!H317*CAR!$I$58</f>
        <v>27337.977488420285</v>
      </c>
      <c r="I296" s="295">
        <f>'CAR Mileage'!I317*CAR!$I$58</f>
        <v>27337.977488420285</v>
      </c>
      <c r="J296" s="295">
        <f>'CAR Mileage'!J317*CAR!$I$58</f>
        <v>27337.977488420285</v>
      </c>
      <c r="K296" s="295">
        <f>'CAR Mileage'!K317*CAR!$I$58</f>
        <v>27337.977488420285</v>
      </c>
      <c r="L296" s="295">
        <f>'CAR Mileage'!L317*CAR!$I$58</f>
        <v>27337.977488420285</v>
      </c>
      <c r="M296" s="295">
        <f>'CAR Mileage'!M317*CAR!$I$58</f>
        <v>27337.977488420285</v>
      </c>
      <c r="N296" s="295">
        <f>'CAR Mileage'!N317*CAR!$I$58</f>
        <v>27337.977488420285</v>
      </c>
      <c r="O296" s="295">
        <f>'CAR Mileage'!O317*CAR!$I$58</f>
        <v>27337.977488420285</v>
      </c>
      <c r="P296" s="295">
        <f>'CAR Mileage'!P317*CAR!$I$58</f>
        <v>27337.977488420285</v>
      </c>
      <c r="Q296" s="295">
        <f>'CAR Mileage'!Q317*CAR!$I$58</f>
        <v>27337.977488420285</v>
      </c>
      <c r="R296" s="295">
        <f>'CAR Mileage'!R317*CAR!$I$58</f>
        <v>27337.977488420285</v>
      </c>
      <c r="S296" s="295">
        <f>'CAR Mileage'!S317*CAR!$I$58</f>
        <v>27337.977488420285</v>
      </c>
      <c r="T296" s="295">
        <f>'CAR Mileage'!T317*CAR!$I$58</f>
        <v>27337.977488420285</v>
      </c>
      <c r="U296" s="295">
        <f>'CAR Mileage'!U317*CAR!$I$58</f>
        <v>27337.977488420285</v>
      </c>
      <c r="V296" s="295">
        <f>'CAR Mileage'!V317*CAR!$I$58</f>
        <v>27337.977488420285</v>
      </c>
      <c r="W296" s="295">
        <f>'CAR Mileage'!W317*CAR!$I$58</f>
        <v>27337.977488420285</v>
      </c>
      <c r="X296" s="295">
        <f>'CAR Mileage'!X317*CAR!$I$58</f>
        <v>27337.977488420285</v>
      </c>
      <c r="Y296" s="295">
        <f>'CAR Mileage'!Y317*CAR!$I$58</f>
        <v>27337.977488420285</v>
      </c>
      <c r="Z296" s="295">
        <f>'CAR Mileage'!Z317*CAR!$I$58</f>
        <v>27337.977488420285</v>
      </c>
      <c r="AA296" s="295">
        <f>'CAR Mileage'!AA317*CAR!$I$58</f>
        <v>27337.977488420285</v>
      </c>
      <c r="AB296" s="295">
        <f>'CAR Mileage'!AB317*CAR!$I$58</f>
        <v>27337.977488420285</v>
      </c>
      <c r="AC296" s="295">
        <f>'CAR Mileage'!AC317*CAR!$I$58</f>
        <v>27337.977488420285</v>
      </c>
      <c r="AD296" s="295">
        <f>'CAR Mileage'!AD317*CAR!$I$58</f>
        <v>27337.977488420285</v>
      </c>
      <c r="AE296" s="296">
        <f>'CAR Mileage'!AE317*CAR!$I$58</f>
        <v>27337.977488420285</v>
      </c>
      <c r="AG296" s="1711"/>
      <c r="AH296" s="116">
        <v>3</v>
      </c>
      <c r="AI296" s="294">
        <f>'CAR Passenger Kilometres'!C296*'CAR Stock'!C346</f>
        <v>4729470.1054967092</v>
      </c>
      <c r="AJ296" s="295">
        <f>'CAR Passenger Kilometres'!D296*'CAR Stock'!D346</f>
        <v>874815.27962944913</v>
      </c>
      <c r="AK296" s="295">
        <f>'CAR Passenger Kilometres'!E296*'CAR Stock'!E346</f>
        <v>0</v>
      </c>
      <c r="AL296" s="295">
        <f>'CAR Passenger Kilometres'!F296*'CAR Stock'!F346</f>
        <v>0</v>
      </c>
      <c r="AM296" s="295">
        <f>'CAR Passenger Kilometres'!G296*'CAR Stock'!G346</f>
        <v>0</v>
      </c>
      <c r="AN296" s="295">
        <f>'CAR Passenger Kilometres'!H296*'CAR Stock'!H346</f>
        <v>0</v>
      </c>
      <c r="AO296" s="295">
        <f>'CAR Passenger Kilometres'!I296*'CAR Stock'!I346</f>
        <v>0</v>
      </c>
      <c r="AP296" s="295">
        <f>'CAR Passenger Kilometres'!J296*'CAR Stock'!J346</f>
        <v>0</v>
      </c>
      <c r="AQ296" s="295">
        <f>'CAR Passenger Kilometres'!K296*'CAR Stock'!K346</f>
        <v>0</v>
      </c>
      <c r="AR296" s="295">
        <f>'CAR Passenger Kilometres'!L296*'CAR Stock'!L346</f>
        <v>0</v>
      </c>
      <c r="AS296" s="295">
        <f>'CAR Passenger Kilometres'!M296*'CAR Stock'!M346</f>
        <v>0</v>
      </c>
      <c r="AT296" s="295">
        <f>'CAR Passenger Kilometres'!N296*'CAR Stock'!N346</f>
        <v>0</v>
      </c>
      <c r="AU296" s="295">
        <f>'CAR Passenger Kilometres'!O296*'CAR Stock'!O346</f>
        <v>0</v>
      </c>
      <c r="AV296" s="295">
        <f>'CAR Passenger Kilometres'!P296*'CAR Stock'!P346</f>
        <v>0</v>
      </c>
      <c r="AW296" s="295">
        <f>'CAR Passenger Kilometres'!Q296*'CAR Stock'!Q346</f>
        <v>0</v>
      </c>
      <c r="AX296" s="295">
        <f>'CAR Passenger Kilometres'!R296*'CAR Stock'!R346</f>
        <v>0</v>
      </c>
      <c r="AY296" s="295">
        <f>'CAR Passenger Kilometres'!S296*'CAR Stock'!S346</f>
        <v>0</v>
      </c>
      <c r="AZ296" s="295">
        <f>'CAR Passenger Kilometres'!T296*'CAR Stock'!T346</f>
        <v>0</v>
      </c>
      <c r="BA296" s="295">
        <f>'CAR Passenger Kilometres'!U296*'CAR Stock'!U346</f>
        <v>0</v>
      </c>
      <c r="BB296" s="295">
        <f>'CAR Passenger Kilometres'!V296*'CAR Stock'!V346</f>
        <v>0</v>
      </c>
      <c r="BC296" s="295">
        <f>'CAR Passenger Kilometres'!W296*'CAR Stock'!W346</f>
        <v>0</v>
      </c>
      <c r="BD296" s="295">
        <f>'CAR Passenger Kilometres'!X296*'CAR Stock'!X346</f>
        <v>0</v>
      </c>
      <c r="BE296" s="295">
        <f>'CAR Passenger Kilometres'!Y296*'CAR Stock'!Y346</f>
        <v>0</v>
      </c>
      <c r="BF296" s="295">
        <f>'CAR Passenger Kilometres'!Z296*'CAR Stock'!Z346</f>
        <v>0</v>
      </c>
      <c r="BG296" s="295">
        <f>'CAR Passenger Kilometres'!AA296*'CAR Stock'!AA346</f>
        <v>0</v>
      </c>
      <c r="BH296" s="295">
        <f>'CAR Passenger Kilometres'!AB296*'CAR Stock'!AB346</f>
        <v>0</v>
      </c>
      <c r="BI296" s="295">
        <f>'CAR Passenger Kilometres'!AC296*'CAR Stock'!AC346</f>
        <v>0</v>
      </c>
      <c r="BJ296" s="295">
        <f>'CAR Passenger Kilometres'!AD296*'CAR Stock'!AD346</f>
        <v>0</v>
      </c>
      <c r="BK296" s="296">
        <f>'CAR Passenger Kilometres'!AE296*'CAR Stock'!AE346</f>
        <v>0</v>
      </c>
    </row>
    <row r="297" spans="1:63">
      <c r="A297" s="1711"/>
      <c r="B297" s="116">
        <v>4</v>
      </c>
      <c r="C297" s="294">
        <f>'CAR Mileage'!C318*CAR!$I$58</f>
        <v>26791.21793865188</v>
      </c>
      <c r="D297" s="295">
        <f>'CAR Mileage'!D318*CAR!$I$58</f>
        <v>26791.21793865188</v>
      </c>
      <c r="E297" s="295">
        <f>'CAR Mileage'!E318*CAR!$I$58</f>
        <v>26791.21793865188</v>
      </c>
      <c r="F297" s="295">
        <f>'CAR Mileage'!F318*CAR!$I$58</f>
        <v>26791.21793865188</v>
      </c>
      <c r="G297" s="295">
        <f>'CAR Mileage'!G318*CAR!$I$58</f>
        <v>26791.21793865188</v>
      </c>
      <c r="H297" s="295">
        <f>'CAR Mileage'!H318*CAR!$I$58</f>
        <v>26791.21793865188</v>
      </c>
      <c r="I297" s="295">
        <f>'CAR Mileage'!I318*CAR!$I$58</f>
        <v>26791.21793865188</v>
      </c>
      <c r="J297" s="295">
        <f>'CAR Mileage'!J318*CAR!$I$58</f>
        <v>26791.21793865188</v>
      </c>
      <c r="K297" s="295">
        <f>'CAR Mileage'!K318*CAR!$I$58</f>
        <v>26791.21793865188</v>
      </c>
      <c r="L297" s="295">
        <f>'CAR Mileage'!L318*CAR!$I$58</f>
        <v>26791.21793865188</v>
      </c>
      <c r="M297" s="295">
        <f>'CAR Mileage'!M318*CAR!$I$58</f>
        <v>26791.21793865188</v>
      </c>
      <c r="N297" s="295">
        <f>'CAR Mileage'!N318*CAR!$I$58</f>
        <v>26791.21793865188</v>
      </c>
      <c r="O297" s="295">
        <f>'CAR Mileage'!O318*CAR!$I$58</f>
        <v>26791.21793865188</v>
      </c>
      <c r="P297" s="295">
        <f>'CAR Mileage'!P318*CAR!$I$58</f>
        <v>26791.21793865188</v>
      </c>
      <c r="Q297" s="295">
        <f>'CAR Mileage'!Q318*CAR!$I$58</f>
        <v>26791.21793865188</v>
      </c>
      <c r="R297" s="295">
        <f>'CAR Mileage'!R318*CAR!$I$58</f>
        <v>26791.21793865188</v>
      </c>
      <c r="S297" s="295">
        <f>'CAR Mileage'!S318*CAR!$I$58</f>
        <v>26791.21793865188</v>
      </c>
      <c r="T297" s="295">
        <f>'CAR Mileage'!T318*CAR!$I$58</f>
        <v>26791.21793865188</v>
      </c>
      <c r="U297" s="295">
        <f>'CAR Mileage'!U318*CAR!$I$58</f>
        <v>26791.21793865188</v>
      </c>
      <c r="V297" s="295">
        <f>'CAR Mileage'!V318*CAR!$I$58</f>
        <v>26791.21793865188</v>
      </c>
      <c r="W297" s="295">
        <f>'CAR Mileage'!W318*CAR!$I$58</f>
        <v>26791.21793865188</v>
      </c>
      <c r="X297" s="295">
        <f>'CAR Mileage'!X318*CAR!$I$58</f>
        <v>26791.21793865188</v>
      </c>
      <c r="Y297" s="295">
        <f>'CAR Mileage'!Y318*CAR!$I$58</f>
        <v>26791.21793865188</v>
      </c>
      <c r="Z297" s="295">
        <f>'CAR Mileage'!Z318*CAR!$I$58</f>
        <v>26791.21793865188</v>
      </c>
      <c r="AA297" s="295">
        <f>'CAR Mileage'!AA318*CAR!$I$58</f>
        <v>26791.21793865188</v>
      </c>
      <c r="AB297" s="295">
        <f>'CAR Mileage'!AB318*CAR!$I$58</f>
        <v>26791.21793865188</v>
      </c>
      <c r="AC297" s="295">
        <f>'CAR Mileage'!AC318*CAR!$I$58</f>
        <v>26791.21793865188</v>
      </c>
      <c r="AD297" s="295">
        <f>'CAR Mileage'!AD318*CAR!$I$58</f>
        <v>26791.21793865188</v>
      </c>
      <c r="AE297" s="296">
        <f>'CAR Mileage'!AE318*CAR!$I$58</f>
        <v>26791.21793865188</v>
      </c>
      <c r="AG297" s="1711"/>
      <c r="AH297" s="116">
        <v>4</v>
      </c>
      <c r="AI297" s="294">
        <f>'CAR Passenger Kilometres'!C297*'CAR Stock'!C347</f>
        <v>38579353.831658706</v>
      </c>
      <c r="AJ297" s="295">
        <f>'CAR Passenger Kilometres'!D297*'CAR Stock'!D347</f>
        <v>4634880.7033867752</v>
      </c>
      <c r="AK297" s="295">
        <f>'CAR Passenger Kilometres'!E297*'CAR Stock'!E347</f>
        <v>857318.97403686016</v>
      </c>
      <c r="AL297" s="295">
        <f>'CAR Passenger Kilometres'!F297*'CAR Stock'!F347</f>
        <v>0</v>
      </c>
      <c r="AM297" s="295">
        <f>'CAR Passenger Kilometres'!G297*'CAR Stock'!G347</f>
        <v>0</v>
      </c>
      <c r="AN297" s="295">
        <f>'CAR Passenger Kilometres'!H297*'CAR Stock'!H347</f>
        <v>0</v>
      </c>
      <c r="AO297" s="295">
        <f>'CAR Passenger Kilometres'!I297*'CAR Stock'!I347</f>
        <v>0</v>
      </c>
      <c r="AP297" s="295">
        <f>'CAR Passenger Kilometres'!J297*'CAR Stock'!J347</f>
        <v>0</v>
      </c>
      <c r="AQ297" s="295">
        <f>'CAR Passenger Kilometres'!K297*'CAR Stock'!K347</f>
        <v>0</v>
      </c>
      <c r="AR297" s="295">
        <f>'CAR Passenger Kilometres'!L297*'CAR Stock'!L347</f>
        <v>0</v>
      </c>
      <c r="AS297" s="295">
        <f>'CAR Passenger Kilometres'!M297*'CAR Stock'!M347</f>
        <v>0</v>
      </c>
      <c r="AT297" s="295">
        <f>'CAR Passenger Kilometres'!N297*'CAR Stock'!N347</f>
        <v>0</v>
      </c>
      <c r="AU297" s="295">
        <f>'CAR Passenger Kilometres'!O297*'CAR Stock'!O347</f>
        <v>0</v>
      </c>
      <c r="AV297" s="295">
        <f>'CAR Passenger Kilometres'!P297*'CAR Stock'!P347</f>
        <v>0</v>
      </c>
      <c r="AW297" s="295">
        <f>'CAR Passenger Kilometres'!Q297*'CAR Stock'!Q347</f>
        <v>0</v>
      </c>
      <c r="AX297" s="295">
        <f>'CAR Passenger Kilometres'!R297*'CAR Stock'!R347</f>
        <v>0</v>
      </c>
      <c r="AY297" s="295">
        <f>'CAR Passenger Kilometres'!S297*'CAR Stock'!S347</f>
        <v>0</v>
      </c>
      <c r="AZ297" s="295">
        <f>'CAR Passenger Kilometres'!T297*'CAR Stock'!T347</f>
        <v>0</v>
      </c>
      <c r="BA297" s="295">
        <f>'CAR Passenger Kilometres'!U297*'CAR Stock'!U347</f>
        <v>0</v>
      </c>
      <c r="BB297" s="295">
        <f>'CAR Passenger Kilometres'!V297*'CAR Stock'!V347</f>
        <v>0</v>
      </c>
      <c r="BC297" s="295">
        <f>'CAR Passenger Kilometres'!W297*'CAR Stock'!W347</f>
        <v>0</v>
      </c>
      <c r="BD297" s="295">
        <f>'CAR Passenger Kilometres'!X297*'CAR Stock'!X347</f>
        <v>0</v>
      </c>
      <c r="BE297" s="295">
        <f>'CAR Passenger Kilometres'!Y297*'CAR Stock'!Y347</f>
        <v>0</v>
      </c>
      <c r="BF297" s="295">
        <f>'CAR Passenger Kilometres'!Z297*'CAR Stock'!Z347</f>
        <v>0</v>
      </c>
      <c r="BG297" s="295">
        <f>'CAR Passenger Kilometres'!AA297*'CAR Stock'!AA347</f>
        <v>0</v>
      </c>
      <c r="BH297" s="295">
        <f>'CAR Passenger Kilometres'!AB297*'CAR Stock'!AB347</f>
        <v>0</v>
      </c>
      <c r="BI297" s="295">
        <f>'CAR Passenger Kilometres'!AC297*'CAR Stock'!AC347</f>
        <v>0</v>
      </c>
      <c r="BJ297" s="295">
        <f>'CAR Passenger Kilometres'!AD297*'CAR Stock'!AD347</f>
        <v>0</v>
      </c>
      <c r="BK297" s="296">
        <f>'CAR Passenger Kilometres'!AE297*'CAR Stock'!AE347</f>
        <v>0</v>
      </c>
    </row>
    <row r="298" spans="1:63">
      <c r="A298" s="1711"/>
      <c r="B298" s="116">
        <v>5</v>
      </c>
      <c r="C298" s="294">
        <f>'CAR Mileage'!C319*CAR!$I$58</f>
        <v>26255.393579878844</v>
      </c>
      <c r="D298" s="295">
        <f>'CAR Mileage'!D319*CAR!$I$58</f>
        <v>26255.393579878844</v>
      </c>
      <c r="E298" s="295">
        <f>'CAR Mileage'!E319*CAR!$I$58</f>
        <v>26255.393579878844</v>
      </c>
      <c r="F298" s="295">
        <f>'CAR Mileage'!F319*CAR!$I$58</f>
        <v>26255.393579878844</v>
      </c>
      <c r="G298" s="295">
        <f>'CAR Mileage'!G319*CAR!$I$58</f>
        <v>26255.393579878844</v>
      </c>
      <c r="H298" s="295">
        <f>'CAR Mileage'!H319*CAR!$I$58</f>
        <v>26255.393579878844</v>
      </c>
      <c r="I298" s="295">
        <f>'CAR Mileage'!I319*CAR!$I$58</f>
        <v>26255.393579878844</v>
      </c>
      <c r="J298" s="295">
        <f>'CAR Mileage'!J319*CAR!$I$58</f>
        <v>26255.393579878844</v>
      </c>
      <c r="K298" s="295">
        <f>'CAR Mileage'!K319*CAR!$I$58</f>
        <v>26255.393579878844</v>
      </c>
      <c r="L298" s="295">
        <f>'CAR Mileage'!L319*CAR!$I$58</f>
        <v>26255.393579878844</v>
      </c>
      <c r="M298" s="295">
        <f>'CAR Mileage'!M319*CAR!$I$58</f>
        <v>26255.393579878844</v>
      </c>
      <c r="N298" s="295">
        <f>'CAR Mileage'!N319*CAR!$I$58</f>
        <v>26255.393579878844</v>
      </c>
      <c r="O298" s="295">
        <f>'CAR Mileage'!O319*CAR!$I$58</f>
        <v>26255.393579878844</v>
      </c>
      <c r="P298" s="295">
        <f>'CAR Mileage'!P319*CAR!$I$58</f>
        <v>26255.393579878844</v>
      </c>
      <c r="Q298" s="295">
        <f>'CAR Mileage'!Q319*CAR!$I$58</f>
        <v>26255.393579878844</v>
      </c>
      <c r="R298" s="295">
        <f>'CAR Mileage'!R319*CAR!$I$58</f>
        <v>26255.393579878844</v>
      </c>
      <c r="S298" s="295">
        <f>'CAR Mileage'!S319*CAR!$I$58</f>
        <v>26255.393579878844</v>
      </c>
      <c r="T298" s="295">
        <f>'CAR Mileage'!T319*CAR!$I$58</f>
        <v>26255.393579878844</v>
      </c>
      <c r="U298" s="295">
        <f>'CAR Mileage'!U319*CAR!$I$58</f>
        <v>26255.393579878844</v>
      </c>
      <c r="V298" s="295">
        <f>'CAR Mileage'!V319*CAR!$I$58</f>
        <v>26255.393579878844</v>
      </c>
      <c r="W298" s="295">
        <f>'CAR Mileage'!W319*CAR!$I$58</f>
        <v>26255.393579878844</v>
      </c>
      <c r="X298" s="295">
        <f>'CAR Mileage'!X319*CAR!$I$58</f>
        <v>26255.393579878844</v>
      </c>
      <c r="Y298" s="295">
        <f>'CAR Mileage'!Y319*CAR!$I$58</f>
        <v>26255.393579878844</v>
      </c>
      <c r="Z298" s="295">
        <f>'CAR Mileage'!Z319*CAR!$I$58</f>
        <v>26255.393579878844</v>
      </c>
      <c r="AA298" s="295">
        <f>'CAR Mileage'!AA319*CAR!$I$58</f>
        <v>26255.393579878844</v>
      </c>
      <c r="AB298" s="295">
        <f>'CAR Mileage'!AB319*CAR!$I$58</f>
        <v>26255.393579878844</v>
      </c>
      <c r="AC298" s="295">
        <f>'CAR Mileage'!AC319*CAR!$I$58</f>
        <v>26255.393579878844</v>
      </c>
      <c r="AD298" s="295">
        <f>'CAR Mileage'!AD319*CAR!$I$58</f>
        <v>26255.393579878844</v>
      </c>
      <c r="AE298" s="296">
        <f>'CAR Mileage'!AE319*CAR!$I$58</f>
        <v>26255.393579878844</v>
      </c>
      <c r="AG298" s="1711"/>
      <c r="AH298" s="116">
        <v>5</v>
      </c>
      <c r="AI298" s="294">
        <f>'CAR Passenger Kilometres'!C298*'CAR Stock'!C348</f>
        <v>10108326.528253354</v>
      </c>
      <c r="AJ298" s="295">
        <f>'CAR Passenger Kilometres'!D298*'CAR Stock'!D348</f>
        <v>37807766.755025536</v>
      </c>
      <c r="AK298" s="295">
        <f>'CAR Passenger Kilometres'!E298*'CAR Stock'!E348</f>
        <v>4542183.0893190401</v>
      </c>
      <c r="AL298" s="295">
        <f>'CAR Passenger Kilometres'!F298*'CAR Stock'!F348</f>
        <v>840172.59455612302</v>
      </c>
      <c r="AM298" s="295">
        <f>'CAR Passenger Kilometres'!G298*'CAR Stock'!G348</f>
        <v>0</v>
      </c>
      <c r="AN298" s="295">
        <f>'CAR Passenger Kilometres'!H298*'CAR Stock'!H348</f>
        <v>0</v>
      </c>
      <c r="AO298" s="295">
        <f>'CAR Passenger Kilometres'!I298*'CAR Stock'!I348</f>
        <v>0</v>
      </c>
      <c r="AP298" s="295">
        <f>'CAR Passenger Kilometres'!J298*'CAR Stock'!J348</f>
        <v>0</v>
      </c>
      <c r="AQ298" s="295">
        <f>'CAR Passenger Kilometres'!K298*'CAR Stock'!K348</f>
        <v>0</v>
      </c>
      <c r="AR298" s="295">
        <f>'CAR Passenger Kilometres'!L298*'CAR Stock'!L348</f>
        <v>0</v>
      </c>
      <c r="AS298" s="295">
        <f>'CAR Passenger Kilometres'!M298*'CAR Stock'!M348</f>
        <v>0</v>
      </c>
      <c r="AT298" s="295">
        <f>'CAR Passenger Kilometres'!N298*'CAR Stock'!N348</f>
        <v>0</v>
      </c>
      <c r="AU298" s="295">
        <f>'CAR Passenger Kilometres'!O298*'CAR Stock'!O348</f>
        <v>0</v>
      </c>
      <c r="AV298" s="295">
        <f>'CAR Passenger Kilometres'!P298*'CAR Stock'!P348</f>
        <v>0</v>
      </c>
      <c r="AW298" s="295">
        <f>'CAR Passenger Kilometres'!Q298*'CAR Stock'!Q348</f>
        <v>0</v>
      </c>
      <c r="AX298" s="295">
        <f>'CAR Passenger Kilometres'!R298*'CAR Stock'!R348</f>
        <v>0</v>
      </c>
      <c r="AY298" s="295">
        <f>'CAR Passenger Kilometres'!S298*'CAR Stock'!S348</f>
        <v>0</v>
      </c>
      <c r="AZ298" s="295">
        <f>'CAR Passenger Kilometres'!T298*'CAR Stock'!T348</f>
        <v>0</v>
      </c>
      <c r="BA298" s="295">
        <f>'CAR Passenger Kilometres'!U298*'CAR Stock'!U348</f>
        <v>0</v>
      </c>
      <c r="BB298" s="295">
        <f>'CAR Passenger Kilometres'!V298*'CAR Stock'!V348</f>
        <v>0</v>
      </c>
      <c r="BC298" s="295">
        <f>'CAR Passenger Kilometres'!W298*'CAR Stock'!W348</f>
        <v>0</v>
      </c>
      <c r="BD298" s="295">
        <f>'CAR Passenger Kilometres'!X298*'CAR Stock'!X348</f>
        <v>0</v>
      </c>
      <c r="BE298" s="295">
        <f>'CAR Passenger Kilometres'!Y298*'CAR Stock'!Y348</f>
        <v>0</v>
      </c>
      <c r="BF298" s="295">
        <f>'CAR Passenger Kilometres'!Z298*'CAR Stock'!Z348</f>
        <v>0</v>
      </c>
      <c r="BG298" s="295">
        <f>'CAR Passenger Kilometres'!AA298*'CAR Stock'!AA348</f>
        <v>0</v>
      </c>
      <c r="BH298" s="295">
        <f>'CAR Passenger Kilometres'!AB298*'CAR Stock'!AB348</f>
        <v>0</v>
      </c>
      <c r="BI298" s="295">
        <f>'CAR Passenger Kilometres'!AC298*'CAR Stock'!AC348</f>
        <v>0</v>
      </c>
      <c r="BJ298" s="295">
        <f>'CAR Passenger Kilometres'!AD298*'CAR Stock'!AD348</f>
        <v>0</v>
      </c>
      <c r="BK298" s="296">
        <f>'CAR Passenger Kilometres'!AE298*'CAR Stock'!AE348</f>
        <v>0</v>
      </c>
    </row>
    <row r="299" spans="1:63">
      <c r="A299" s="1711"/>
      <c r="B299" s="116">
        <v>6</v>
      </c>
      <c r="C299" s="294">
        <f>'CAR Mileage'!C320*CAR!$I$58</f>
        <v>25730.28570828127</v>
      </c>
      <c r="D299" s="295">
        <f>'CAR Mileage'!D320*CAR!$I$58</f>
        <v>25730.28570828127</v>
      </c>
      <c r="E299" s="295">
        <f>'CAR Mileage'!E320*CAR!$I$58</f>
        <v>25730.28570828127</v>
      </c>
      <c r="F299" s="295">
        <f>'CAR Mileage'!F320*CAR!$I$58</f>
        <v>25730.28570828127</v>
      </c>
      <c r="G299" s="295">
        <f>'CAR Mileage'!G320*CAR!$I$58</f>
        <v>25730.28570828127</v>
      </c>
      <c r="H299" s="295">
        <f>'CAR Mileage'!H320*CAR!$I$58</f>
        <v>25730.28570828127</v>
      </c>
      <c r="I299" s="295">
        <f>'CAR Mileage'!I320*CAR!$I$58</f>
        <v>25730.28570828127</v>
      </c>
      <c r="J299" s="295">
        <f>'CAR Mileage'!J320*CAR!$I$58</f>
        <v>25730.28570828127</v>
      </c>
      <c r="K299" s="295">
        <f>'CAR Mileage'!K320*CAR!$I$58</f>
        <v>25730.28570828127</v>
      </c>
      <c r="L299" s="295">
        <f>'CAR Mileage'!L320*CAR!$I$58</f>
        <v>25730.28570828127</v>
      </c>
      <c r="M299" s="295">
        <f>'CAR Mileage'!M320*CAR!$I$58</f>
        <v>25730.28570828127</v>
      </c>
      <c r="N299" s="295">
        <f>'CAR Mileage'!N320*CAR!$I$58</f>
        <v>25730.28570828127</v>
      </c>
      <c r="O299" s="295">
        <f>'CAR Mileage'!O320*CAR!$I$58</f>
        <v>25730.28570828127</v>
      </c>
      <c r="P299" s="295">
        <f>'CAR Mileage'!P320*CAR!$I$58</f>
        <v>25730.28570828127</v>
      </c>
      <c r="Q299" s="295">
        <f>'CAR Mileage'!Q320*CAR!$I$58</f>
        <v>25730.28570828127</v>
      </c>
      <c r="R299" s="295">
        <f>'CAR Mileage'!R320*CAR!$I$58</f>
        <v>25730.28570828127</v>
      </c>
      <c r="S299" s="295">
        <f>'CAR Mileage'!S320*CAR!$I$58</f>
        <v>25730.28570828127</v>
      </c>
      <c r="T299" s="295">
        <f>'CAR Mileage'!T320*CAR!$I$58</f>
        <v>25730.28570828127</v>
      </c>
      <c r="U299" s="295">
        <f>'CAR Mileage'!U320*CAR!$I$58</f>
        <v>25730.28570828127</v>
      </c>
      <c r="V299" s="295">
        <f>'CAR Mileage'!V320*CAR!$I$58</f>
        <v>25730.28570828127</v>
      </c>
      <c r="W299" s="295">
        <f>'CAR Mileage'!W320*CAR!$I$58</f>
        <v>25730.28570828127</v>
      </c>
      <c r="X299" s="295">
        <f>'CAR Mileage'!X320*CAR!$I$58</f>
        <v>25730.28570828127</v>
      </c>
      <c r="Y299" s="295">
        <f>'CAR Mileage'!Y320*CAR!$I$58</f>
        <v>25730.28570828127</v>
      </c>
      <c r="Z299" s="295">
        <f>'CAR Mileage'!Z320*CAR!$I$58</f>
        <v>25730.28570828127</v>
      </c>
      <c r="AA299" s="295">
        <f>'CAR Mileage'!AA320*CAR!$I$58</f>
        <v>25730.28570828127</v>
      </c>
      <c r="AB299" s="295">
        <f>'CAR Mileage'!AB320*CAR!$I$58</f>
        <v>25730.28570828127</v>
      </c>
      <c r="AC299" s="295">
        <f>'CAR Mileage'!AC320*CAR!$I$58</f>
        <v>25730.28570828127</v>
      </c>
      <c r="AD299" s="295">
        <f>'CAR Mileage'!AD320*CAR!$I$58</f>
        <v>25730.28570828127</v>
      </c>
      <c r="AE299" s="296">
        <f>'CAR Mileage'!AE320*CAR!$I$58</f>
        <v>25730.28570828127</v>
      </c>
      <c r="AG299" s="1711"/>
      <c r="AH299" s="116">
        <v>6</v>
      </c>
      <c r="AI299" s="294">
        <f>'CAR Passenger Kilometres'!C299*'CAR Stock'!C349</f>
        <v>1337974.856830626</v>
      </c>
      <c r="AJ299" s="295">
        <f>'CAR Passenger Kilometres'!D299*'CAR Stock'!D349</f>
        <v>9906159.9976882897</v>
      </c>
      <c r="AK299" s="295">
        <f>'CAR Passenger Kilometres'!E299*'CAR Stock'!E349</f>
        <v>37051611.419925027</v>
      </c>
      <c r="AL299" s="295">
        <f>'CAR Passenger Kilometres'!F299*'CAR Stock'!F349</f>
        <v>4451339.4275326598</v>
      </c>
      <c r="AM299" s="295">
        <f>'CAR Passenger Kilometres'!G299*'CAR Stock'!G349</f>
        <v>823369.14266500063</v>
      </c>
      <c r="AN299" s="295">
        <f>'CAR Passenger Kilometres'!H299*'CAR Stock'!H349</f>
        <v>0</v>
      </c>
      <c r="AO299" s="295">
        <f>'CAR Passenger Kilometres'!I299*'CAR Stock'!I349</f>
        <v>0</v>
      </c>
      <c r="AP299" s="295">
        <f>'CAR Passenger Kilometres'!J299*'CAR Stock'!J349</f>
        <v>0</v>
      </c>
      <c r="AQ299" s="295">
        <f>'CAR Passenger Kilometres'!K299*'CAR Stock'!K349</f>
        <v>0</v>
      </c>
      <c r="AR299" s="295">
        <f>'CAR Passenger Kilometres'!L299*'CAR Stock'!L349</f>
        <v>0</v>
      </c>
      <c r="AS299" s="295">
        <f>'CAR Passenger Kilometres'!M299*'CAR Stock'!M349</f>
        <v>0</v>
      </c>
      <c r="AT299" s="295">
        <f>'CAR Passenger Kilometres'!N299*'CAR Stock'!N349</f>
        <v>0</v>
      </c>
      <c r="AU299" s="295">
        <f>'CAR Passenger Kilometres'!O299*'CAR Stock'!O349</f>
        <v>0</v>
      </c>
      <c r="AV299" s="295">
        <f>'CAR Passenger Kilometres'!P299*'CAR Stock'!P349</f>
        <v>0</v>
      </c>
      <c r="AW299" s="295">
        <f>'CAR Passenger Kilometres'!Q299*'CAR Stock'!Q349</f>
        <v>0</v>
      </c>
      <c r="AX299" s="295">
        <f>'CAR Passenger Kilometres'!R299*'CAR Stock'!R349</f>
        <v>0</v>
      </c>
      <c r="AY299" s="295">
        <f>'CAR Passenger Kilometres'!S299*'CAR Stock'!S349</f>
        <v>0</v>
      </c>
      <c r="AZ299" s="295">
        <f>'CAR Passenger Kilometres'!T299*'CAR Stock'!T349</f>
        <v>0</v>
      </c>
      <c r="BA299" s="295">
        <f>'CAR Passenger Kilometres'!U299*'CAR Stock'!U349</f>
        <v>0</v>
      </c>
      <c r="BB299" s="295">
        <f>'CAR Passenger Kilometres'!V299*'CAR Stock'!V349</f>
        <v>0</v>
      </c>
      <c r="BC299" s="295">
        <f>'CAR Passenger Kilometres'!W299*'CAR Stock'!W349</f>
        <v>0</v>
      </c>
      <c r="BD299" s="295">
        <f>'CAR Passenger Kilometres'!X299*'CAR Stock'!X349</f>
        <v>0</v>
      </c>
      <c r="BE299" s="295">
        <f>'CAR Passenger Kilometres'!Y299*'CAR Stock'!Y349</f>
        <v>0</v>
      </c>
      <c r="BF299" s="295">
        <f>'CAR Passenger Kilometres'!Z299*'CAR Stock'!Z349</f>
        <v>0</v>
      </c>
      <c r="BG299" s="295">
        <f>'CAR Passenger Kilometres'!AA299*'CAR Stock'!AA349</f>
        <v>0</v>
      </c>
      <c r="BH299" s="295">
        <f>'CAR Passenger Kilometres'!AB299*'CAR Stock'!AB349</f>
        <v>0</v>
      </c>
      <c r="BI299" s="295">
        <f>'CAR Passenger Kilometres'!AC299*'CAR Stock'!AC349</f>
        <v>0</v>
      </c>
      <c r="BJ299" s="295">
        <f>'CAR Passenger Kilometres'!AD299*'CAR Stock'!AD349</f>
        <v>0</v>
      </c>
      <c r="BK299" s="296">
        <f>'CAR Passenger Kilometres'!AE299*'CAR Stock'!AE349</f>
        <v>0</v>
      </c>
    </row>
    <row r="300" spans="1:63">
      <c r="A300" s="1711"/>
      <c r="B300" s="116">
        <v>7</v>
      </c>
      <c r="C300" s="294">
        <f>'CAR Mileage'!C321*CAR!$I$58</f>
        <v>25215.679994115642</v>
      </c>
      <c r="D300" s="295">
        <f>'CAR Mileage'!D321*CAR!$I$58</f>
        <v>25215.679994115642</v>
      </c>
      <c r="E300" s="295">
        <f>'CAR Mileage'!E321*CAR!$I$58</f>
        <v>25215.679994115642</v>
      </c>
      <c r="F300" s="295">
        <f>'CAR Mileage'!F321*CAR!$I$58</f>
        <v>25215.679994115642</v>
      </c>
      <c r="G300" s="295">
        <f>'CAR Mileage'!G321*CAR!$I$58</f>
        <v>25215.679994115642</v>
      </c>
      <c r="H300" s="295">
        <f>'CAR Mileage'!H321*CAR!$I$58</f>
        <v>25215.679994115642</v>
      </c>
      <c r="I300" s="295">
        <f>'CAR Mileage'!I321*CAR!$I$58</f>
        <v>25215.679994115642</v>
      </c>
      <c r="J300" s="295">
        <f>'CAR Mileage'!J321*CAR!$I$58</f>
        <v>25215.679994115642</v>
      </c>
      <c r="K300" s="295">
        <f>'CAR Mileage'!K321*CAR!$I$58</f>
        <v>25215.679994115642</v>
      </c>
      <c r="L300" s="295">
        <f>'CAR Mileage'!L321*CAR!$I$58</f>
        <v>25215.679994115642</v>
      </c>
      <c r="M300" s="295">
        <f>'CAR Mileage'!M321*CAR!$I$58</f>
        <v>25215.679994115642</v>
      </c>
      <c r="N300" s="295">
        <f>'CAR Mileage'!N321*CAR!$I$58</f>
        <v>25215.679994115642</v>
      </c>
      <c r="O300" s="295">
        <f>'CAR Mileage'!O321*CAR!$I$58</f>
        <v>25215.679994115642</v>
      </c>
      <c r="P300" s="295">
        <f>'CAR Mileage'!P321*CAR!$I$58</f>
        <v>25215.679994115642</v>
      </c>
      <c r="Q300" s="295">
        <f>'CAR Mileage'!Q321*CAR!$I$58</f>
        <v>25215.679994115642</v>
      </c>
      <c r="R300" s="295">
        <f>'CAR Mileage'!R321*CAR!$I$58</f>
        <v>25215.679994115642</v>
      </c>
      <c r="S300" s="295">
        <f>'CAR Mileage'!S321*CAR!$I$58</f>
        <v>25215.679994115642</v>
      </c>
      <c r="T300" s="295">
        <f>'CAR Mileage'!T321*CAR!$I$58</f>
        <v>25215.679994115642</v>
      </c>
      <c r="U300" s="295">
        <f>'CAR Mileage'!U321*CAR!$I$58</f>
        <v>25215.679994115642</v>
      </c>
      <c r="V300" s="295">
        <f>'CAR Mileage'!V321*CAR!$I$58</f>
        <v>25215.679994115642</v>
      </c>
      <c r="W300" s="295">
        <f>'CAR Mileage'!W321*CAR!$I$58</f>
        <v>25215.679994115642</v>
      </c>
      <c r="X300" s="295">
        <f>'CAR Mileage'!X321*CAR!$I$58</f>
        <v>25215.679994115642</v>
      </c>
      <c r="Y300" s="295">
        <f>'CAR Mileage'!Y321*CAR!$I$58</f>
        <v>25215.679994115642</v>
      </c>
      <c r="Z300" s="295">
        <f>'CAR Mileage'!Z321*CAR!$I$58</f>
        <v>25215.679994115642</v>
      </c>
      <c r="AA300" s="295">
        <f>'CAR Mileage'!AA321*CAR!$I$58</f>
        <v>25215.679994115642</v>
      </c>
      <c r="AB300" s="295">
        <f>'CAR Mileage'!AB321*CAR!$I$58</f>
        <v>25215.679994115642</v>
      </c>
      <c r="AC300" s="295">
        <f>'CAR Mileage'!AC321*CAR!$I$58</f>
        <v>25215.679994115642</v>
      </c>
      <c r="AD300" s="295">
        <f>'CAR Mileage'!AD321*CAR!$I$58</f>
        <v>25215.679994115642</v>
      </c>
      <c r="AE300" s="296">
        <f>'CAR Mileage'!AE321*CAR!$I$58</f>
        <v>25215.679994115642</v>
      </c>
      <c r="AG300" s="1711"/>
      <c r="AH300" s="116">
        <v>7</v>
      </c>
      <c r="AI300" s="294">
        <f>'CAR Passenger Kilometres'!C300*'CAR Stock'!C350</f>
        <v>25215.679994115642</v>
      </c>
      <c r="AJ300" s="295">
        <f>'CAR Passenger Kilometres'!D300*'CAR Stock'!D350</f>
        <v>1311215.3596940134</v>
      </c>
      <c r="AK300" s="295">
        <f>'CAR Passenger Kilometres'!E300*'CAR Stock'!E350</f>
        <v>9708036.7977345232</v>
      </c>
      <c r="AL300" s="295">
        <f>'CAR Passenger Kilometres'!F300*'CAR Stock'!F350</f>
        <v>36310579.191526525</v>
      </c>
      <c r="AM300" s="295">
        <f>'CAR Passenger Kilometres'!G300*'CAR Stock'!G350</f>
        <v>4362312.6389820063</v>
      </c>
      <c r="AN300" s="295">
        <f>'CAR Passenger Kilometres'!H300*'CAR Stock'!H350</f>
        <v>806901.75981170055</v>
      </c>
      <c r="AO300" s="295">
        <f>'CAR Passenger Kilometres'!I300*'CAR Stock'!I350</f>
        <v>0</v>
      </c>
      <c r="AP300" s="295">
        <f>'CAR Passenger Kilometres'!J300*'CAR Stock'!J350</f>
        <v>0</v>
      </c>
      <c r="AQ300" s="295">
        <f>'CAR Passenger Kilometres'!K300*'CAR Stock'!K350</f>
        <v>0</v>
      </c>
      <c r="AR300" s="295">
        <f>'CAR Passenger Kilometres'!L300*'CAR Stock'!L350</f>
        <v>0</v>
      </c>
      <c r="AS300" s="295">
        <f>'CAR Passenger Kilometres'!M300*'CAR Stock'!M350</f>
        <v>0</v>
      </c>
      <c r="AT300" s="295">
        <f>'CAR Passenger Kilometres'!N300*'CAR Stock'!N350</f>
        <v>0</v>
      </c>
      <c r="AU300" s="295">
        <f>'CAR Passenger Kilometres'!O300*'CAR Stock'!O350</f>
        <v>0</v>
      </c>
      <c r="AV300" s="295">
        <f>'CAR Passenger Kilometres'!P300*'CAR Stock'!P350</f>
        <v>0</v>
      </c>
      <c r="AW300" s="295">
        <f>'CAR Passenger Kilometres'!Q300*'CAR Stock'!Q350</f>
        <v>0</v>
      </c>
      <c r="AX300" s="295">
        <f>'CAR Passenger Kilometres'!R300*'CAR Stock'!R350</f>
        <v>0</v>
      </c>
      <c r="AY300" s="295">
        <f>'CAR Passenger Kilometres'!S300*'CAR Stock'!S350</f>
        <v>0</v>
      </c>
      <c r="AZ300" s="295">
        <f>'CAR Passenger Kilometres'!T300*'CAR Stock'!T350</f>
        <v>0</v>
      </c>
      <c r="BA300" s="295">
        <f>'CAR Passenger Kilometres'!U300*'CAR Stock'!U350</f>
        <v>0</v>
      </c>
      <c r="BB300" s="295">
        <f>'CAR Passenger Kilometres'!V300*'CAR Stock'!V350</f>
        <v>0</v>
      </c>
      <c r="BC300" s="295">
        <f>'CAR Passenger Kilometres'!W300*'CAR Stock'!W350</f>
        <v>0</v>
      </c>
      <c r="BD300" s="295">
        <f>'CAR Passenger Kilometres'!X300*'CAR Stock'!X350</f>
        <v>0</v>
      </c>
      <c r="BE300" s="295">
        <f>'CAR Passenger Kilometres'!Y300*'CAR Stock'!Y350</f>
        <v>0</v>
      </c>
      <c r="BF300" s="295">
        <f>'CAR Passenger Kilometres'!Z300*'CAR Stock'!Z350</f>
        <v>0</v>
      </c>
      <c r="BG300" s="295">
        <f>'CAR Passenger Kilometres'!AA300*'CAR Stock'!AA350</f>
        <v>0</v>
      </c>
      <c r="BH300" s="295">
        <f>'CAR Passenger Kilometres'!AB300*'CAR Stock'!AB350</f>
        <v>0</v>
      </c>
      <c r="BI300" s="295">
        <f>'CAR Passenger Kilometres'!AC300*'CAR Stock'!AC350</f>
        <v>0</v>
      </c>
      <c r="BJ300" s="295">
        <f>'CAR Passenger Kilometres'!AD300*'CAR Stock'!AD350</f>
        <v>0</v>
      </c>
      <c r="BK300" s="296">
        <f>'CAR Passenger Kilometres'!AE300*'CAR Stock'!AE350</f>
        <v>0</v>
      </c>
    </row>
    <row r="301" spans="1:63">
      <c r="A301" s="1711"/>
      <c r="B301" s="116">
        <v>8</v>
      </c>
      <c r="C301" s="294">
        <f>'CAR Mileage'!C322*CAR!$I$58</f>
        <v>24711.366394233326</v>
      </c>
      <c r="D301" s="295">
        <f>'CAR Mileage'!D322*CAR!$I$58</f>
        <v>24711.366394233326</v>
      </c>
      <c r="E301" s="295">
        <f>'CAR Mileage'!E322*CAR!$I$58</f>
        <v>24711.366394233326</v>
      </c>
      <c r="F301" s="295">
        <f>'CAR Mileage'!F322*CAR!$I$58</f>
        <v>24711.366394233326</v>
      </c>
      <c r="G301" s="295">
        <f>'CAR Mileage'!G322*CAR!$I$58</f>
        <v>24711.366394233326</v>
      </c>
      <c r="H301" s="295">
        <f>'CAR Mileage'!H322*CAR!$I$58</f>
        <v>24711.366394233326</v>
      </c>
      <c r="I301" s="295">
        <f>'CAR Mileage'!I322*CAR!$I$58</f>
        <v>24711.366394233326</v>
      </c>
      <c r="J301" s="295">
        <f>'CAR Mileage'!J322*CAR!$I$58</f>
        <v>24711.366394233326</v>
      </c>
      <c r="K301" s="295">
        <f>'CAR Mileage'!K322*CAR!$I$58</f>
        <v>24711.366394233326</v>
      </c>
      <c r="L301" s="295">
        <f>'CAR Mileage'!L322*CAR!$I$58</f>
        <v>24711.366394233326</v>
      </c>
      <c r="M301" s="295">
        <f>'CAR Mileage'!M322*CAR!$I$58</f>
        <v>24711.366394233326</v>
      </c>
      <c r="N301" s="295">
        <f>'CAR Mileage'!N322*CAR!$I$58</f>
        <v>24711.366394233326</v>
      </c>
      <c r="O301" s="295">
        <f>'CAR Mileage'!O322*CAR!$I$58</f>
        <v>24711.366394233326</v>
      </c>
      <c r="P301" s="295">
        <f>'CAR Mileage'!P322*CAR!$I$58</f>
        <v>24711.366394233326</v>
      </c>
      <c r="Q301" s="295">
        <f>'CAR Mileage'!Q322*CAR!$I$58</f>
        <v>24711.366394233326</v>
      </c>
      <c r="R301" s="295">
        <f>'CAR Mileage'!R322*CAR!$I$58</f>
        <v>24711.366394233326</v>
      </c>
      <c r="S301" s="295">
        <f>'CAR Mileage'!S322*CAR!$I$58</f>
        <v>24711.366394233326</v>
      </c>
      <c r="T301" s="295">
        <f>'CAR Mileage'!T322*CAR!$I$58</f>
        <v>24711.366394233326</v>
      </c>
      <c r="U301" s="295">
        <f>'CAR Mileage'!U322*CAR!$I$58</f>
        <v>24711.366394233326</v>
      </c>
      <c r="V301" s="295">
        <f>'CAR Mileage'!V322*CAR!$I$58</f>
        <v>24711.366394233326</v>
      </c>
      <c r="W301" s="295">
        <f>'CAR Mileage'!W322*CAR!$I$58</f>
        <v>24711.366394233326</v>
      </c>
      <c r="X301" s="295">
        <f>'CAR Mileage'!X322*CAR!$I$58</f>
        <v>24711.366394233326</v>
      </c>
      <c r="Y301" s="295">
        <f>'CAR Mileage'!Y322*CAR!$I$58</f>
        <v>24711.366394233326</v>
      </c>
      <c r="Z301" s="295">
        <f>'CAR Mileage'!Z322*CAR!$I$58</f>
        <v>24711.366394233326</v>
      </c>
      <c r="AA301" s="295">
        <f>'CAR Mileage'!AA322*CAR!$I$58</f>
        <v>24711.366394233326</v>
      </c>
      <c r="AB301" s="295">
        <f>'CAR Mileage'!AB322*CAR!$I$58</f>
        <v>24711.366394233326</v>
      </c>
      <c r="AC301" s="295">
        <f>'CAR Mileage'!AC322*CAR!$I$58</f>
        <v>24711.366394233326</v>
      </c>
      <c r="AD301" s="295">
        <f>'CAR Mileage'!AD322*CAR!$I$58</f>
        <v>24711.366394233326</v>
      </c>
      <c r="AE301" s="296">
        <f>'CAR Mileage'!AE322*CAR!$I$58</f>
        <v>24711.366394233326</v>
      </c>
      <c r="AG301" s="1711"/>
      <c r="AH301" s="116">
        <v>8</v>
      </c>
      <c r="AI301" s="294">
        <f>'CAR Passenger Kilometres'!C301*'CAR Stock'!C351</f>
        <v>0</v>
      </c>
      <c r="AJ301" s="295">
        <f>'CAR Passenger Kilometres'!D301*'CAR Stock'!D351</f>
        <v>24587.812814468467</v>
      </c>
      <c r="AK301" s="295">
        <f>'CAR Passenger Kilometres'!E301*'CAR Stock'!E351</f>
        <v>1278566.2663523601</v>
      </c>
      <c r="AL301" s="295">
        <f>'CAR Passenger Kilometres'!F301*'CAR Stock'!F351</f>
        <v>9466307.9335703608</v>
      </c>
      <c r="AM301" s="295">
        <f>'CAR Passenger Kilometres'!G301*'CAR Stock'!G351</f>
        <v>35406450.452834591</v>
      </c>
      <c r="AN301" s="295">
        <f>'CAR Passenger Kilometres'!H301*'CAR Stock'!H351</f>
        <v>4253691.6169030443</v>
      </c>
      <c r="AO301" s="295">
        <f>'CAR Passenger Kilometres'!I301*'CAR Stock'!I351</f>
        <v>786810.01006299094</v>
      </c>
      <c r="AP301" s="295">
        <f>'CAR Passenger Kilometres'!J301*'CAR Stock'!J351</f>
        <v>0</v>
      </c>
      <c r="AQ301" s="295">
        <f>'CAR Passenger Kilometres'!K301*'CAR Stock'!K351</f>
        <v>0</v>
      </c>
      <c r="AR301" s="295">
        <f>'CAR Passenger Kilometres'!L301*'CAR Stock'!L351</f>
        <v>0</v>
      </c>
      <c r="AS301" s="295">
        <f>'CAR Passenger Kilometres'!M301*'CAR Stock'!M351</f>
        <v>0</v>
      </c>
      <c r="AT301" s="295">
        <f>'CAR Passenger Kilometres'!N301*'CAR Stock'!N351</f>
        <v>0</v>
      </c>
      <c r="AU301" s="295">
        <f>'CAR Passenger Kilometres'!O301*'CAR Stock'!O351</f>
        <v>0</v>
      </c>
      <c r="AV301" s="295">
        <f>'CAR Passenger Kilometres'!P301*'CAR Stock'!P351</f>
        <v>0</v>
      </c>
      <c r="AW301" s="295">
        <f>'CAR Passenger Kilometres'!Q301*'CAR Stock'!Q351</f>
        <v>0</v>
      </c>
      <c r="AX301" s="295">
        <f>'CAR Passenger Kilometres'!R301*'CAR Stock'!R351</f>
        <v>0</v>
      </c>
      <c r="AY301" s="295">
        <f>'CAR Passenger Kilometres'!S301*'CAR Stock'!S351</f>
        <v>0</v>
      </c>
      <c r="AZ301" s="295">
        <f>'CAR Passenger Kilometres'!T301*'CAR Stock'!T351</f>
        <v>0</v>
      </c>
      <c r="BA301" s="295">
        <f>'CAR Passenger Kilometres'!U301*'CAR Stock'!U351</f>
        <v>0</v>
      </c>
      <c r="BB301" s="295">
        <f>'CAR Passenger Kilometres'!V301*'CAR Stock'!V351</f>
        <v>0</v>
      </c>
      <c r="BC301" s="295">
        <f>'CAR Passenger Kilometres'!W301*'CAR Stock'!W351</f>
        <v>0</v>
      </c>
      <c r="BD301" s="295">
        <f>'CAR Passenger Kilometres'!X301*'CAR Stock'!X351</f>
        <v>0</v>
      </c>
      <c r="BE301" s="295">
        <f>'CAR Passenger Kilometres'!Y301*'CAR Stock'!Y351</f>
        <v>0</v>
      </c>
      <c r="BF301" s="295">
        <f>'CAR Passenger Kilometres'!Z301*'CAR Stock'!Z351</f>
        <v>0</v>
      </c>
      <c r="BG301" s="295">
        <f>'CAR Passenger Kilometres'!AA301*'CAR Stock'!AA351</f>
        <v>0</v>
      </c>
      <c r="BH301" s="295">
        <f>'CAR Passenger Kilometres'!AB301*'CAR Stock'!AB351</f>
        <v>0</v>
      </c>
      <c r="BI301" s="295">
        <f>'CAR Passenger Kilometres'!AC301*'CAR Stock'!AC351</f>
        <v>0</v>
      </c>
      <c r="BJ301" s="295">
        <f>'CAR Passenger Kilometres'!AD301*'CAR Stock'!AD351</f>
        <v>0</v>
      </c>
      <c r="BK301" s="296">
        <f>'CAR Passenger Kilometres'!AE301*'CAR Stock'!AE351</f>
        <v>0</v>
      </c>
    </row>
    <row r="302" spans="1:63">
      <c r="A302" s="1711"/>
      <c r="B302" s="116">
        <v>9</v>
      </c>
      <c r="C302" s="294">
        <f>'CAR Mileage'!C323*CAR!$I$58</f>
        <v>24217.13906634866</v>
      </c>
      <c r="D302" s="295">
        <f>'CAR Mileage'!D323*CAR!$I$58</f>
        <v>24217.13906634866</v>
      </c>
      <c r="E302" s="295">
        <f>'CAR Mileage'!E323*CAR!$I$58</f>
        <v>24217.13906634866</v>
      </c>
      <c r="F302" s="295">
        <f>'CAR Mileage'!F323*CAR!$I$58</f>
        <v>24217.13906634866</v>
      </c>
      <c r="G302" s="295">
        <f>'CAR Mileage'!G323*CAR!$I$58</f>
        <v>24217.13906634866</v>
      </c>
      <c r="H302" s="295">
        <f>'CAR Mileage'!H323*CAR!$I$58</f>
        <v>24217.13906634866</v>
      </c>
      <c r="I302" s="295">
        <f>'CAR Mileage'!I323*CAR!$I$58</f>
        <v>24217.13906634866</v>
      </c>
      <c r="J302" s="295">
        <f>'CAR Mileage'!J323*CAR!$I$58</f>
        <v>24217.13906634866</v>
      </c>
      <c r="K302" s="295">
        <f>'CAR Mileage'!K323*CAR!$I$58</f>
        <v>24217.13906634866</v>
      </c>
      <c r="L302" s="295">
        <f>'CAR Mileage'!L323*CAR!$I$58</f>
        <v>24217.13906634866</v>
      </c>
      <c r="M302" s="295">
        <f>'CAR Mileage'!M323*CAR!$I$58</f>
        <v>24217.13906634866</v>
      </c>
      <c r="N302" s="295">
        <f>'CAR Mileage'!N323*CAR!$I$58</f>
        <v>24217.13906634866</v>
      </c>
      <c r="O302" s="295">
        <f>'CAR Mileage'!O323*CAR!$I$58</f>
        <v>24217.13906634866</v>
      </c>
      <c r="P302" s="295">
        <f>'CAR Mileage'!P323*CAR!$I$58</f>
        <v>24217.13906634866</v>
      </c>
      <c r="Q302" s="295">
        <f>'CAR Mileage'!Q323*CAR!$I$58</f>
        <v>24217.13906634866</v>
      </c>
      <c r="R302" s="295">
        <f>'CAR Mileage'!R323*CAR!$I$58</f>
        <v>24217.13906634866</v>
      </c>
      <c r="S302" s="295">
        <f>'CAR Mileage'!S323*CAR!$I$58</f>
        <v>24217.13906634866</v>
      </c>
      <c r="T302" s="295">
        <f>'CAR Mileage'!T323*CAR!$I$58</f>
        <v>24217.13906634866</v>
      </c>
      <c r="U302" s="295">
        <f>'CAR Mileage'!U323*CAR!$I$58</f>
        <v>24217.13906634866</v>
      </c>
      <c r="V302" s="295">
        <f>'CAR Mileage'!V323*CAR!$I$58</f>
        <v>24217.13906634866</v>
      </c>
      <c r="W302" s="295">
        <f>'CAR Mileage'!W323*CAR!$I$58</f>
        <v>24217.13906634866</v>
      </c>
      <c r="X302" s="295">
        <f>'CAR Mileage'!X323*CAR!$I$58</f>
        <v>24217.13906634866</v>
      </c>
      <c r="Y302" s="295">
        <f>'CAR Mileage'!Y323*CAR!$I$58</f>
        <v>24217.13906634866</v>
      </c>
      <c r="Z302" s="295">
        <f>'CAR Mileage'!Z323*CAR!$I$58</f>
        <v>24217.13906634866</v>
      </c>
      <c r="AA302" s="295">
        <f>'CAR Mileage'!AA323*CAR!$I$58</f>
        <v>24217.13906634866</v>
      </c>
      <c r="AB302" s="295">
        <f>'CAR Mileage'!AB323*CAR!$I$58</f>
        <v>24217.13906634866</v>
      </c>
      <c r="AC302" s="295">
        <f>'CAR Mileage'!AC323*CAR!$I$58</f>
        <v>24217.13906634866</v>
      </c>
      <c r="AD302" s="295">
        <f>'CAR Mileage'!AD323*CAR!$I$58</f>
        <v>24217.13906634866</v>
      </c>
      <c r="AE302" s="296">
        <f>'CAR Mileage'!AE323*CAR!$I$58</f>
        <v>24217.13906634866</v>
      </c>
      <c r="AG302" s="1711"/>
      <c r="AH302" s="116">
        <v>9</v>
      </c>
      <c r="AI302" s="294">
        <f>'CAR Passenger Kilometres'!C302*'CAR Stock'!C352</f>
        <v>0</v>
      </c>
      <c r="AJ302" s="295">
        <f>'CAR Passenger Kilometres'!D302*'CAR Stock'!D352</f>
        <v>0</v>
      </c>
      <c r="AK302" s="295">
        <f>'CAR Passenger Kilometres'!E302*'CAR Stock'!E352</f>
        <v>22774.862286232601</v>
      </c>
      <c r="AL302" s="295">
        <f>'CAR Passenger Kilometres'!F302*'CAR Stock'!F352</f>
        <v>1184292.8388840952</v>
      </c>
      <c r="AM302" s="295">
        <f>'CAR Passenger Kilometres'!G302*'CAR Stock'!G352</f>
        <v>8768321.9801995512</v>
      </c>
      <c r="AN302" s="295">
        <f>'CAR Passenger Kilometres'!H302*'CAR Stock'!H352</f>
        <v>32795801.692174945</v>
      </c>
      <c r="AO302" s="295">
        <f>'CAR Passenger Kilometres'!I302*'CAR Stock'!I352</f>
        <v>3940051.1755182394</v>
      </c>
      <c r="AP302" s="295">
        <f>'CAR Passenger Kilometres'!J302*'CAR Stock'!J352</f>
        <v>728795.59315944323</v>
      </c>
      <c r="AQ302" s="295">
        <f>'CAR Passenger Kilometres'!K302*'CAR Stock'!K352</f>
        <v>0</v>
      </c>
      <c r="AR302" s="295">
        <f>'CAR Passenger Kilometres'!L302*'CAR Stock'!L352</f>
        <v>0</v>
      </c>
      <c r="AS302" s="295">
        <f>'CAR Passenger Kilometres'!M302*'CAR Stock'!M352</f>
        <v>0</v>
      </c>
      <c r="AT302" s="295">
        <f>'CAR Passenger Kilometres'!N302*'CAR Stock'!N352</f>
        <v>0</v>
      </c>
      <c r="AU302" s="295">
        <f>'CAR Passenger Kilometres'!O302*'CAR Stock'!O352</f>
        <v>0</v>
      </c>
      <c r="AV302" s="295">
        <f>'CAR Passenger Kilometres'!P302*'CAR Stock'!P352</f>
        <v>0</v>
      </c>
      <c r="AW302" s="295">
        <f>'CAR Passenger Kilometres'!Q302*'CAR Stock'!Q352</f>
        <v>0</v>
      </c>
      <c r="AX302" s="295">
        <f>'CAR Passenger Kilometres'!R302*'CAR Stock'!R352</f>
        <v>0</v>
      </c>
      <c r="AY302" s="295">
        <f>'CAR Passenger Kilometres'!S302*'CAR Stock'!S352</f>
        <v>0</v>
      </c>
      <c r="AZ302" s="295">
        <f>'CAR Passenger Kilometres'!T302*'CAR Stock'!T352</f>
        <v>0</v>
      </c>
      <c r="BA302" s="295">
        <f>'CAR Passenger Kilometres'!U302*'CAR Stock'!U352</f>
        <v>0</v>
      </c>
      <c r="BB302" s="295">
        <f>'CAR Passenger Kilometres'!V302*'CAR Stock'!V352</f>
        <v>0</v>
      </c>
      <c r="BC302" s="295">
        <f>'CAR Passenger Kilometres'!W302*'CAR Stock'!W352</f>
        <v>0</v>
      </c>
      <c r="BD302" s="295">
        <f>'CAR Passenger Kilometres'!X302*'CAR Stock'!X352</f>
        <v>0</v>
      </c>
      <c r="BE302" s="295">
        <f>'CAR Passenger Kilometres'!Y302*'CAR Stock'!Y352</f>
        <v>0</v>
      </c>
      <c r="BF302" s="295">
        <f>'CAR Passenger Kilometres'!Z302*'CAR Stock'!Z352</f>
        <v>0</v>
      </c>
      <c r="BG302" s="295">
        <f>'CAR Passenger Kilometres'!AA302*'CAR Stock'!AA352</f>
        <v>0</v>
      </c>
      <c r="BH302" s="295">
        <f>'CAR Passenger Kilometres'!AB302*'CAR Stock'!AB352</f>
        <v>0</v>
      </c>
      <c r="BI302" s="295">
        <f>'CAR Passenger Kilometres'!AC302*'CAR Stock'!AC352</f>
        <v>0</v>
      </c>
      <c r="BJ302" s="295">
        <f>'CAR Passenger Kilometres'!AD302*'CAR Stock'!AD352</f>
        <v>0</v>
      </c>
      <c r="BK302" s="296">
        <f>'CAR Passenger Kilometres'!AE302*'CAR Stock'!AE352</f>
        <v>0</v>
      </c>
    </row>
    <row r="303" spans="1:63">
      <c r="A303" s="1711"/>
      <c r="B303" s="116">
        <v>10</v>
      </c>
      <c r="C303" s="294">
        <f>'CAR Mileage'!C324*CAR!$I$58</f>
        <v>23732.796285021686</v>
      </c>
      <c r="D303" s="295">
        <f>'CAR Mileage'!D324*CAR!$I$58</f>
        <v>23732.796285021686</v>
      </c>
      <c r="E303" s="295">
        <f>'CAR Mileage'!E324*CAR!$I$58</f>
        <v>23732.796285021686</v>
      </c>
      <c r="F303" s="295">
        <f>'CAR Mileage'!F324*CAR!$I$58</f>
        <v>23732.796285021686</v>
      </c>
      <c r="G303" s="295">
        <f>'CAR Mileage'!G324*CAR!$I$58</f>
        <v>23732.796285021686</v>
      </c>
      <c r="H303" s="295">
        <f>'CAR Mileage'!H324*CAR!$I$58</f>
        <v>23732.796285021686</v>
      </c>
      <c r="I303" s="295">
        <f>'CAR Mileage'!I324*CAR!$I$58</f>
        <v>23732.796285021686</v>
      </c>
      <c r="J303" s="295">
        <f>'CAR Mileage'!J324*CAR!$I$58</f>
        <v>23732.796285021686</v>
      </c>
      <c r="K303" s="295">
        <f>'CAR Mileage'!K324*CAR!$I$58</f>
        <v>23732.796285021686</v>
      </c>
      <c r="L303" s="295">
        <f>'CAR Mileage'!L324*CAR!$I$58</f>
        <v>23732.796285021686</v>
      </c>
      <c r="M303" s="295">
        <f>'CAR Mileage'!M324*CAR!$I$58</f>
        <v>23732.796285021686</v>
      </c>
      <c r="N303" s="295">
        <f>'CAR Mileage'!N324*CAR!$I$58</f>
        <v>23732.796285021686</v>
      </c>
      <c r="O303" s="295">
        <f>'CAR Mileage'!O324*CAR!$I$58</f>
        <v>23732.796285021686</v>
      </c>
      <c r="P303" s="295">
        <f>'CAR Mileage'!P324*CAR!$I$58</f>
        <v>23732.796285021686</v>
      </c>
      <c r="Q303" s="295">
        <f>'CAR Mileage'!Q324*CAR!$I$58</f>
        <v>23732.796285021686</v>
      </c>
      <c r="R303" s="295">
        <f>'CAR Mileage'!R324*CAR!$I$58</f>
        <v>23732.796285021686</v>
      </c>
      <c r="S303" s="295">
        <f>'CAR Mileage'!S324*CAR!$I$58</f>
        <v>23732.796285021686</v>
      </c>
      <c r="T303" s="295">
        <f>'CAR Mileage'!T324*CAR!$I$58</f>
        <v>23732.796285021686</v>
      </c>
      <c r="U303" s="295">
        <f>'CAR Mileage'!U324*CAR!$I$58</f>
        <v>23732.796285021686</v>
      </c>
      <c r="V303" s="295">
        <f>'CAR Mileage'!V324*CAR!$I$58</f>
        <v>23732.796285021686</v>
      </c>
      <c r="W303" s="295">
        <f>'CAR Mileage'!W324*CAR!$I$58</f>
        <v>23732.796285021686</v>
      </c>
      <c r="X303" s="295">
        <f>'CAR Mileage'!X324*CAR!$I$58</f>
        <v>23732.796285021686</v>
      </c>
      <c r="Y303" s="295">
        <f>'CAR Mileage'!Y324*CAR!$I$58</f>
        <v>23732.796285021686</v>
      </c>
      <c r="Z303" s="295">
        <f>'CAR Mileage'!Z324*CAR!$I$58</f>
        <v>23732.796285021686</v>
      </c>
      <c r="AA303" s="295">
        <f>'CAR Mileage'!AA324*CAR!$I$58</f>
        <v>23732.796285021686</v>
      </c>
      <c r="AB303" s="295">
        <f>'CAR Mileage'!AB324*CAR!$I$58</f>
        <v>23732.796285021686</v>
      </c>
      <c r="AC303" s="295">
        <f>'CAR Mileage'!AC324*CAR!$I$58</f>
        <v>23732.796285021686</v>
      </c>
      <c r="AD303" s="295">
        <f>'CAR Mileage'!AD324*CAR!$I$58</f>
        <v>23732.796285021686</v>
      </c>
      <c r="AE303" s="296">
        <f>'CAR Mileage'!AE324*CAR!$I$58</f>
        <v>23732.796285021686</v>
      </c>
      <c r="AG303" s="1711"/>
      <c r="AH303" s="116">
        <v>10</v>
      </c>
      <c r="AI303" s="294">
        <f>'CAR Passenger Kilometres'!C303*'CAR Stock'!C353</f>
        <v>0</v>
      </c>
      <c r="AJ303" s="295">
        <f>'CAR Passenger Kilometres'!D303*'CAR Stock'!D353</f>
        <v>0</v>
      </c>
      <c r="AK303" s="295">
        <f>'CAR Passenger Kilometres'!E303*'CAR Stock'!E353</f>
        <v>0</v>
      </c>
      <c r="AL303" s="295">
        <f>'CAR Passenger Kilometres'!F303*'CAR Stock'!F353</f>
        <v>19100.390921448503</v>
      </c>
      <c r="AM303" s="295">
        <f>'CAR Passenger Kilometres'!G303*'CAR Stock'!G353</f>
        <v>993220.32791532215</v>
      </c>
      <c r="AN303" s="295">
        <f>'CAR Passenger Kilometres'!H303*'CAR Stock'!H353</f>
        <v>7353650.5047576735</v>
      </c>
      <c r="AO303" s="295">
        <f>'CAR Passenger Kilometres'!I303*'CAR Stock'!I353</f>
        <v>27504562.92688584</v>
      </c>
      <c r="AP303" s="295">
        <f>'CAR Passenger Kilometres'!J303*'CAR Stock'!J353</f>
        <v>3304367.6294105905</v>
      </c>
      <c r="AQ303" s="295">
        <f>'CAR Passenger Kilometres'!K303*'CAR Stock'!K353</f>
        <v>611212.50948635209</v>
      </c>
      <c r="AR303" s="295">
        <f>'CAR Passenger Kilometres'!L303*'CAR Stock'!L353</f>
        <v>0</v>
      </c>
      <c r="AS303" s="295">
        <f>'CAR Passenger Kilometres'!M303*'CAR Stock'!M353</f>
        <v>0</v>
      </c>
      <c r="AT303" s="295">
        <f>'CAR Passenger Kilometres'!N303*'CAR Stock'!N353</f>
        <v>0</v>
      </c>
      <c r="AU303" s="295">
        <f>'CAR Passenger Kilometres'!O303*'CAR Stock'!O353</f>
        <v>0</v>
      </c>
      <c r="AV303" s="295">
        <f>'CAR Passenger Kilometres'!P303*'CAR Stock'!P353</f>
        <v>0</v>
      </c>
      <c r="AW303" s="295">
        <f>'CAR Passenger Kilometres'!Q303*'CAR Stock'!Q353</f>
        <v>0</v>
      </c>
      <c r="AX303" s="295">
        <f>'CAR Passenger Kilometres'!R303*'CAR Stock'!R353</f>
        <v>0</v>
      </c>
      <c r="AY303" s="295">
        <f>'CAR Passenger Kilometres'!S303*'CAR Stock'!S353</f>
        <v>0</v>
      </c>
      <c r="AZ303" s="295">
        <f>'CAR Passenger Kilometres'!T303*'CAR Stock'!T353</f>
        <v>0</v>
      </c>
      <c r="BA303" s="295">
        <f>'CAR Passenger Kilometres'!U303*'CAR Stock'!U353</f>
        <v>0</v>
      </c>
      <c r="BB303" s="295">
        <f>'CAR Passenger Kilometres'!V303*'CAR Stock'!V353</f>
        <v>0</v>
      </c>
      <c r="BC303" s="295">
        <f>'CAR Passenger Kilometres'!W303*'CAR Stock'!W353</f>
        <v>0</v>
      </c>
      <c r="BD303" s="295">
        <f>'CAR Passenger Kilometres'!X303*'CAR Stock'!X353</f>
        <v>0</v>
      </c>
      <c r="BE303" s="295">
        <f>'CAR Passenger Kilometres'!Y303*'CAR Stock'!Y353</f>
        <v>0</v>
      </c>
      <c r="BF303" s="295">
        <f>'CAR Passenger Kilometres'!Z303*'CAR Stock'!Z353</f>
        <v>0</v>
      </c>
      <c r="BG303" s="295">
        <f>'CAR Passenger Kilometres'!AA303*'CAR Stock'!AA353</f>
        <v>0</v>
      </c>
      <c r="BH303" s="295">
        <f>'CAR Passenger Kilometres'!AB303*'CAR Stock'!AB353</f>
        <v>0</v>
      </c>
      <c r="BI303" s="295">
        <f>'CAR Passenger Kilometres'!AC303*'CAR Stock'!AC353</f>
        <v>0</v>
      </c>
      <c r="BJ303" s="295">
        <f>'CAR Passenger Kilometres'!AD303*'CAR Stock'!AD353</f>
        <v>0</v>
      </c>
      <c r="BK303" s="296">
        <f>'CAR Passenger Kilometres'!AE303*'CAR Stock'!AE353</f>
        <v>0</v>
      </c>
    </row>
    <row r="304" spans="1:63">
      <c r="A304" s="1711"/>
      <c r="B304" s="116">
        <v>11</v>
      </c>
      <c r="C304" s="294">
        <f>'CAR Mileage'!C325*CAR!$I$58</f>
        <v>23258.140359321249</v>
      </c>
      <c r="D304" s="295">
        <f>'CAR Mileage'!D325*CAR!$I$58</f>
        <v>23258.140359321249</v>
      </c>
      <c r="E304" s="295">
        <f>'CAR Mileage'!E325*CAR!$I$58</f>
        <v>23258.140359321249</v>
      </c>
      <c r="F304" s="295">
        <f>'CAR Mileage'!F325*CAR!$I$58</f>
        <v>23258.140359321249</v>
      </c>
      <c r="G304" s="295">
        <f>'CAR Mileage'!G325*CAR!$I$58</f>
        <v>23258.140359321249</v>
      </c>
      <c r="H304" s="295">
        <f>'CAR Mileage'!H325*CAR!$I$58</f>
        <v>23258.140359321249</v>
      </c>
      <c r="I304" s="295">
        <f>'CAR Mileage'!I325*CAR!$I$58</f>
        <v>23258.140359321249</v>
      </c>
      <c r="J304" s="295">
        <f>'CAR Mileage'!J325*CAR!$I$58</f>
        <v>23258.140359321249</v>
      </c>
      <c r="K304" s="295">
        <f>'CAR Mileage'!K325*CAR!$I$58</f>
        <v>23258.140359321249</v>
      </c>
      <c r="L304" s="295">
        <f>'CAR Mileage'!L325*CAR!$I$58</f>
        <v>23258.140359321249</v>
      </c>
      <c r="M304" s="295">
        <f>'CAR Mileage'!M325*CAR!$I$58</f>
        <v>23258.140359321249</v>
      </c>
      <c r="N304" s="295">
        <f>'CAR Mileage'!N325*CAR!$I$58</f>
        <v>23258.140359321249</v>
      </c>
      <c r="O304" s="295">
        <f>'CAR Mileage'!O325*CAR!$I$58</f>
        <v>23258.140359321249</v>
      </c>
      <c r="P304" s="295">
        <f>'CAR Mileage'!P325*CAR!$I$58</f>
        <v>23258.140359321249</v>
      </c>
      <c r="Q304" s="295">
        <f>'CAR Mileage'!Q325*CAR!$I$58</f>
        <v>23258.140359321249</v>
      </c>
      <c r="R304" s="295">
        <f>'CAR Mileage'!R325*CAR!$I$58</f>
        <v>23258.140359321249</v>
      </c>
      <c r="S304" s="295">
        <f>'CAR Mileage'!S325*CAR!$I$58</f>
        <v>23258.140359321249</v>
      </c>
      <c r="T304" s="295">
        <f>'CAR Mileage'!T325*CAR!$I$58</f>
        <v>23258.140359321249</v>
      </c>
      <c r="U304" s="295">
        <f>'CAR Mileage'!U325*CAR!$I$58</f>
        <v>23258.140359321249</v>
      </c>
      <c r="V304" s="295">
        <f>'CAR Mileage'!V325*CAR!$I$58</f>
        <v>23258.140359321249</v>
      </c>
      <c r="W304" s="295">
        <f>'CAR Mileage'!W325*CAR!$I$58</f>
        <v>23258.140359321249</v>
      </c>
      <c r="X304" s="295">
        <f>'CAR Mileage'!X325*CAR!$I$58</f>
        <v>23258.140359321249</v>
      </c>
      <c r="Y304" s="295">
        <f>'CAR Mileage'!Y325*CAR!$I$58</f>
        <v>23258.140359321249</v>
      </c>
      <c r="Z304" s="295">
        <f>'CAR Mileage'!Z325*CAR!$I$58</f>
        <v>23258.140359321249</v>
      </c>
      <c r="AA304" s="295">
        <f>'CAR Mileage'!AA325*CAR!$I$58</f>
        <v>23258.140359321249</v>
      </c>
      <c r="AB304" s="295">
        <f>'CAR Mileage'!AB325*CAR!$I$58</f>
        <v>23258.140359321249</v>
      </c>
      <c r="AC304" s="295">
        <f>'CAR Mileage'!AC325*CAR!$I$58</f>
        <v>23258.140359321249</v>
      </c>
      <c r="AD304" s="295">
        <f>'CAR Mileage'!AD325*CAR!$I$58</f>
        <v>23258.140359321249</v>
      </c>
      <c r="AE304" s="296">
        <f>'CAR Mileage'!AE325*CAR!$I$58</f>
        <v>23258.140359321249</v>
      </c>
      <c r="AG304" s="1711"/>
      <c r="AH304" s="116">
        <v>11</v>
      </c>
      <c r="AI304" s="294">
        <f>'CAR Passenger Kilometres'!C304*'CAR Stock'!C354</f>
        <v>0</v>
      </c>
      <c r="AJ304" s="295">
        <f>'CAR Passenger Kilometres'!D304*'CAR Stock'!D354</f>
        <v>0</v>
      </c>
      <c r="AK304" s="295">
        <f>'CAR Passenger Kilometres'!E304*'CAR Stock'!E354</f>
        <v>0</v>
      </c>
      <c r="AL304" s="295">
        <f>'CAR Passenger Kilometres'!F304*'CAR Stock'!F354</f>
        <v>0</v>
      </c>
      <c r="AM304" s="295">
        <f>'CAR Passenger Kilometres'!G304*'CAR Stock'!G354</f>
        <v>13848.96945825721</v>
      </c>
      <c r="AN304" s="295">
        <f>'CAR Passenger Kilometres'!H304*'CAR Stock'!H354</f>
        <v>720146.41182937496</v>
      </c>
      <c r="AO304" s="295">
        <f>'CAR Passenger Kilometres'!I304*'CAR Stock'!I354</f>
        <v>5331853.2414290253</v>
      </c>
      <c r="AP304" s="295">
        <f>'CAR Passenger Kilometres'!J304*'CAR Stock'!J354</f>
        <v>19942516.019890379</v>
      </c>
      <c r="AQ304" s="295">
        <f>'CAR Passenger Kilometres'!K304*'CAR Stock'!K354</f>
        <v>2395871.7162784971</v>
      </c>
      <c r="AR304" s="295">
        <f>'CAR Passenger Kilometres'!L304*'CAR Stock'!L354</f>
        <v>443167.02266423072</v>
      </c>
      <c r="AS304" s="295">
        <f>'CAR Passenger Kilometres'!M304*'CAR Stock'!M354</f>
        <v>0</v>
      </c>
      <c r="AT304" s="295">
        <f>'CAR Passenger Kilometres'!N304*'CAR Stock'!N354</f>
        <v>0</v>
      </c>
      <c r="AU304" s="295">
        <f>'CAR Passenger Kilometres'!O304*'CAR Stock'!O354</f>
        <v>0</v>
      </c>
      <c r="AV304" s="295">
        <f>'CAR Passenger Kilometres'!P304*'CAR Stock'!P354</f>
        <v>0</v>
      </c>
      <c r="AW304" s="295">
        <f>'CAR Passenger Kilometres'!Q304*'CAR Stock'!Q354</f>
        <v>0</v>
      </c>
      <c r="AX304" s="295">
        <f>'CAR Passenger Kilometres'!R304*'CAR Stock'!R354</f>
        <v>0</v>
      </c>
      <c r="AY304" s="295">
        <f>'CAR Passenger Kilometres'!S304*'CAR Stock'!S354</f>
        <v>0</v>
      </c>
      <c r="AZ304" s="295">
        <f>'CAR Passenger Kilometres'!T304*'CAR Stock'!T354</f>
        <v>0</v>
      </c>
      <c r="BA304" s="295">
        <f>'CAR Passenger Kilometres'!U304*'CAR Stock'!U354</f>
        <v>0</v>
      </c>
      <c r="BB304" s="295">
        <f>'CAR Passenger Kilometres'!V304*'CAR Stock'!V354</f>
        <v>0</v>
      </c>
      <c r="BC304" s="295">
        <f>'CAR Passenger Kilometres'!W304*'CAR Stock'!W354</f>
        <v>0</v>
      </c>
      <c r="BD304" s="295">
        <f>'CAR Passenger Kilometres'!X304*'CAR Stock'!X354</f>
        <v>0</v>
      </c>
      <c r="BE304" s="295">
        <f>'CAR Passenger Kilometres'!Y304*'CAR Stock'!Y354</f>
        <v>0</v>
      </c>
      <c r="BF304" s="295">
        <f>'CAR Passenger Kilometres'!Z304*'CAR Stock'!Z354</f>
        <v>0</v>
      </c>
      <c r="BG304" s="295">
        <f>'CAR Passenger Kilometres'!AA304*'CAR Stock'!AA354</f>
        <v>0</v>
      </c>
      <c r="BH304" s="295">
        <f>'CAR Passenger Kilometres'!AB304*'CAR Stock'!AB354</f>
        <v>0</v>
      </c>
      <c r="BI304" s="295">
        <f>'CAR Passenger Kilometres'!AC304*'CAR Stock'!AC354</f>
        <v>0</v>
      </c>
      <c r="BJ304" s="295">
        <f>'CAR Passenger Kilometres'!AD304*'CAR Stock'!AD354</f>
        <v>0</v>
      </c>
      <c r="BK304" s="296">
        <f>'CAR Passenger Kilometres'!AE304*'CAR Stock'!AE354</f>
        <v>0</v>
      </c>
    </row>
    <row r="305" spans="1:63">
      <c r="A305" s="1711"/>
      <c r="B305" s="116">
        <v>12</v>
      </c>
      <c r="C305" s="294">
        <f>'CAR Mileage'!C326*CAR!$I$58</f>
        <v>22792.977552134824</v>
      </c>
      <c r="D305" s="295">
        <f>'CAR Mileage'!D326*CAR!$I$58</f>
        <v>22792.977552134824</v>
      </c>
      <c r="E305" s="295">
        <f>'CAR Mileage'!E326*CAR!$I$58</f>
        <v>22792.977552134824</v>
      </c>
      <c r="F305" s="295">
        <f>'CAR Mileage'!F326*CAR!$I$58</f>
        <v>22792.977552134824</v>
      </c>
      <c r="G305" s="295">
        <f>'CAR Mileage'!G326*CAR!$I$58</f>
        <v>22792.977552134824</v>
      </c>
      <c r="H305" s="295">
        <f>'CAR Mileage'!H326*CAR!$I$58</f>
        <v>22792.977552134824</v>
      </c>
      <c r="I305" s="295">
        <f>'CAR Mileage'!I326*CAR!$I$58</f>
        <v>22792.977552134824</v>
      </c>
      <c r="J305" s="295">
        <f>'CAR Mileage'!J326*CAR!$I$58</f>
        <v>22792.977552134824</v>
      </c>
      <c r="K305" s="295">
        <f>'CAR Mileage'!K326*CAR!$I$58</f>
        <v>22792.977552134824</v>
      </c>
      <c r="L305" s="295">
        <f>'CAR Mileage'!L326*CAR!$I$58</f>
        <v>22792.977552134824</v>
      </c>
      <c r="M305" s="295">
        <f>'CAR Mileage'!M326*CAR!$I$58</f>
        <v>22792.977552134824</v>
      </c>
      <c r="N305" s="295">
        <f>'CAR Mileage'!N326*CAR!$I$58</f>
        <v>22792.977552134824</v>
      </c>
      <c r="O305" s="295">
        <f>'CAR Mileage'!O326*CAR!$I$58</f>
        <v>22792.977552134824</v>
      </c>
      <c r="P305" s="295">
        <f>'CAR Mileage'!P326*CAR!$I$58</f>
        <v>22792.977552134824</v>
      </c>
      <c r="Q305" s="295">
        <f>'CAR Mileage'!Q326*CAR!$I$58</f>
        <v>22792.977552134824</v>
      </c>
      <c r="R305" s="295">
        <f>'CAR Mileage'!R326*CAR!$I$58</f>
        <v>22792.977552134824</v>
      </c>
      <c r="S305" s="295">
        <f>'CAR Mileage'!S326*CAR!$I$58</f>
        <v>22792.977552134824</v>
      </c>
      <c r="T305" s="295">
        <f>'CAR Mileage'!T326*CAR!$I$58</f>
        <v>22792.977552134824</v>
      </c>
      <c r="U305" s="295">
        <f>'CAR Mileage'!U326*CAR!$I$58</f>
        <v>22792.977552134824</v>
      </c>
      <c r="V305" s="295">
        <f>'CAR Mileage'!V326*CAR!$I$58</f>
        <v>22792.977552134824</v>
      </c>
      <c r="W305" s="295">
        <f>'CAR Mileage'!W326*CAR!$I$58</f>
        <v>22792.977552134824</v>
      </c>
      <c r="X305" s="295">
        <f>'CAR Mileage'!X326*CAR!$I$58</f>
        <v>22792.977552134824</v>
      </c>
      <c r="Y305" s="295">
        <f>'CAR Mileage'!Y326*CAR!$I$58</f>
        <v>22792.977552134824</v>
      </c>
      <c r="Z305" s="295">
        <f>'CAR Mileage'!Z326*CAR!$I$58</f>
        <v>22792.977552134824</v>
      </c>
      <c r="AA305" s="295">
        <f>'CAR Mileage'!AA326*CAR!$I$58</f>
        <v>22792.977552134824</v>
      </c>
      <c r="AB305" s="295">
        <f>'CAR Mileage'!AB326*CAR!$I$58</f>
        <v>22792.977552134824</v>
      </c>
      <c r="AC305" s="295">
        <f>'CAR Mileage'!AC326*CAR!$I$58</f>
        <v>22792.977552134824</v>
      </c>
      <c r="AD305" s="295">
        <f>'CAR Mileage'!AD326*CAR!$I$58</f>
        <v>22792.977552134824</v>
      </c>
      <c r="AE305" s="296">
        <f>'CAR Mileage'!AE326*CAR!$I$58</f>
        <v>22792.977552134824</v>
      </c>
      <c r="AG305" s="1711"/>
      <c r="AH305" s="116">
        <v>12</v>
      </c>
      <c r="AI305" s="294">
        <f>'CAR Passenger Kilometres'!C305*'CAR Stock'!C355</f>
        <v>0</v>
      </c>
      <c r="AJ305" s="295">
        <f>'CAR Passenger Kilometres'!D305*'CAR Stock'!D355</f>
        <v>0</v>
      </c>
      <c r="AK305" s="295">
        <f>'CAR Passenger Kilometres'!E305*'CAR Stock'!E355</f>
        <v>0</v>
      </c>
      <c r="AL305" s="295">
        <f>'CAR Passenger Kilometres'!F305*'CAR Stock'!F355</f>
        <v>0</v>
      </c>
      <c r="AM305" s="295">
        <f>'CAR Passenger Kilometres'!G305*'CAR Stock'!G355</f>
        <v>0</v>
      </c>
      <c r="AN305" s="295">
        <f>'CAR Passenger Kilometres'!H305*'CAR Stock'!H355</f>
        <v>8140.8169235666664</v>
      </c>
      <c r="AO305" s="295">
        <f>'CAR Passenger Kilometres'!I305*'CAR Stock'!I355</f>
        <v>423322.48002546665</v>
      </c>
      <c r="AP305" s="295">
        <f>'CAR Passenger Kilometres'!J305*'CAR Stock'!J355</f>
        <v>3134214.5155731658</v>
      </c>
      <c r="AQ305" s="295">
        <f>'CAR Passenger Kilometres'!K305*'CAR Stock'!K355</f>
        <v>11722776.369935997</v>
      </c>
      <c r="AR305" s="295">
        <f>'CAR Passenger Kilometres'!L305*'CAR Stock'!L355</f>
        <v>1408361.3277770332</v>
      </c>
      <c r="AS305" s="295">
        <f>'CAR Passenger Kilometres'!M305*'CAR Stock'!M355</f>
        <v>260506.14155413333</v>
      </c>
      <c r="AT305" s="295">
        <f>'CAR Passenger Kilometres'!N305*'CAR Stock'!N355</f>
        <v>0</v>
      </c>
      <c r="AU305" s="295">
        <f>'CAR Passenger Kilometres'!O305*'CAR Stock'!O355</f>
        <v>0</v>
      </c>
      <c r="AV305" s="295">
        <f>'CAR Passenger Kilometres'!P305*'CAR Stock'!P355</f>
        <v>0</v>
      </c>
      <c r="AW305" s="295">
        <f>'CAR Passenger Kilometres'!Q305*'CAR Stock'!Q355</f>
        <v>0</v>
      </c>
      <c r="AX305" s="295">
        <f>'CAR Passenger Kilometres'!R305*'CAR Stock'!R355</f>
        <v>0</v>
      </c>
      <c r="AY305" s="295">
        <f>'CAR Passenger Kilometres'!S305*'CAR Stock'!S355</f>
        <v>0</v>
      </c>
      <c r="AZ305" s="295">
        <f>'CAR Passenger Kilometres'!T305*'CAR Stock'!T355</f>
        <v>0</v>
      </c>
      <c r="BA305" s="295">
        <f>'CAR Passenger Kilometres'!U305*'CAR Stock'!U355</f>
        <v>0</v>
      </c>
      <c r="BB305" s="295">
        <f>'CAR Passenger Kilometres'!V305*'CAR Stock'!V355</f>
        <v>0</v>
      </c>
      <c r="BC305" s="295">
        <f>'CAR Passenger Kilometres'!W305*'CAR Stock'!W355</f>
        <v>0</v>
      </c>
      <c r="BD305" s="295">
        <f>'CAR Passenger Kilometres'!X305*'CAR Stock'!X355</f>
        <v>0</v>
      </c>
      <c r="BE305" s="295">
        <f>'CAR Passenger Kilometres'!Y305*'CAR Stock'!Y355</f>
        <v>0</v>
      </c>
      <c r="BF305" s="295">
        <f>'CAR Passenger Kilometres'!Z305*'CAR Stock'!Z355</f>
        <v>0</v>
      </c>
      <c r="BG305" s="295">
        <f>'CAR Passenger Kilometres'!AA305*'CAR Stock'!AA355</f>
        <v>0</v>
      </c>
      <c r="BH305" s="295">
        <f>'CAR Passenger Kilometres'!AB305*'CAR Stock'!AB355</f>
        <v>0</v>
      </c>
      <c r="BI305" s="295">
        <f>'CAR Passenger Kilometres'!AC305*'CAR Stock'!AC355</f>
        <v>0</v>
      </c>
      <c r="BJ305" s="295">
        <f>'CAR Passenger Kilometres'!AD305*'CAR Stock'!AD355</f>
        <v>0</v>
      </c>
      <c r="BK305" s="296">
        <f>'CAR Passenger Kilometres'!AE305*'CAR Stock'!AE355</f>
        <v>0</v>
      </c>
    </row>
    <row r="306" spans="1:63">
      <c r="A306" s="1711"/>
      <c r="B306" s="116">
        <v>13</v>
      </c>
      <c r="C306" s="294">
        <f>'CAR Mileage'!C327*CAR!$I$58</f>
        <v>22337.118001092127</v>
      </c>
      <c r="D306" s="295">
        <f>'CAR Mileage'!D327*CAR!$I$58</f>
        <v>22337.118001092127</v>
      </c>
      <c r="E306" s="295">
        <f>'CAR Mileage'!E327*CAR!$I$58</f>
        <v>22337.118001092127</v>
      </c>
      <c r="F306" s="295">
        <f>'CAR Mileage'!F327*CAR!$I$58</f>
        <v>22337.118001092127</v>
      </c>
      <c r="G306" s="295">
        <f>'CAR Mileage'!G327*CAR!$I$58</f>
        <v>22337.118001092127</v>
      </c>
      <c r="H306" s="295">
        <f>'CAR Mileage'!H327*CAR!$I$58</f>
        <v>22337.118001092127</v>
      </c>
      <c r="I306" s="295">
        <f>'CAR Mileage'!I327*CAR!$I$58</f>
        <v>22337.118001092127</v>
      </c>
      <c r="J306" s="295">
        <f>'CAR Mileage'!J327*CAR!$I$58</f>
        <v>22337.118001092127</v>
      </c>
      <c r="K306" s="295">
        <f>'CAR Mileage'!K327*CAR!$I$58</f>
        <v>22337.118001092127</v>
      </c>
      <c r="L306" s="295">
        <f>'CAR Mileage'!L327*CAR!$I$58</f>
        <v>22337.118001092127</v>
      </c>
      <c r="M306" s="295">
        <f>'CAR Mileage'!M327*CAR!$I$58</f>
        <v>22337.118001092127</v>
      </c>
      <c r="N306" s="295">
        <f>'CAR Mileage'!N327*CAR!$I$58</f>
        <v>22337.118001092127</v>
      </c>
      <c r="O306" s="295">
        <f>'CAR Mileage'!O327*CAR!$I$58</f>
        <v>22337.118001092127</v>
      </c>
      <c r="P306" s="295">
        <f>'CAR Mileage'!P327*CAR!$I$58</f>
        <v>22337.118001092127</v>
      </c>
      <c r="Q306" s="295">
        <f>'CAR Mileage'!Q327*CAR!$I$58</f>
        <v>22337.118001092127</v>
      </c>
      <c r="R306" s="295">
        <f>'CAR Mileage'!R327*CAR!$I$58</f>
        <v>22337.118001092127</v>
      </c>
      <c r="S306" s="295">
        <f>'CAR Mileage'!S327*CAR!$I$58</f>
        <v>22337.118001092127</v>
      </c>
      <c r="T306" s="295">
        <f>'CAR Mileage'!T327*CAR!$I$58</f>
        <v>22337.118001092127</v>
      </c>
      <c r="U306" s="295">
        <f>'CAR Mileage'!U327*CAR!$I$58</f>
        <v>22337.118001092127</v>
      </c>
      <c r="V306" s="295">
        <f>'CAR Mileage'!V327*CAR!$I$58</f>
        <v>22337.118001092127</v>
      </c>
      <c r="W306" s="295">
        <f>'CAR Mileage'!W327*CAR!$I$58</f>
        <v>22337.118001092127</v>
      </c>
      <c r="X306" s="295">
        <f>'CAR Mileage'!X327*CAR!$I$58</f>
        <v>22337.118001092127</v>
      </c>
      <c r="Y306" s="295">
        <f>'CAR Mileage'!Y327*CAR!$I$58</f>
        <v>22337.118001092127</v>
      </c>
      <c r="Z306" s="295">
        <f>'CAR Mileage'!Z327*CAR!$I$58</f>
        <v>22337.118001092127</v>
      </c>
      <c r="AA306" s="295">
        <f>'CAR Mileage'!AA327*CAR!$I$58</f>
        <v>22337.118001092127</v>
      </c>
      <c r="AB306" s="295">
        <f>'CAR Mileage'!AB327*CAR!$I$58</f>
        <v>22337.118001092127</v>
      </c>
      <c r="AC306" s="295">
        <f>'CAR Mileage'!AC327*CAR!$I$58</f>
        <v>22337.118001092127</v>
      </c>
      <c r="AD306" s="295">
        <f>'CAR Mileage'!AD327*CAR!$I$58</f>
        <v>22337.118001092127</v>
      </c>
      <c r="AE306" s="296">
        <f>'CAR Mileage'!AE327*CAR!$I$58</f>
        <v>22337.118001092127</v>
      </c>
      <c r="AG306" s="1711"/>
      <c r="AH306" s="116">
        <v>13</v>
      </c>
      <c r="AI306" s="294">
        <f>'CAR Passenger Kilometres'!C306*'CAR Stock'!C356</f>
        <v>0</v>
      </c>
      <c r="AJ306" s="295">
        <f>'CAR Passenger Kilometres'!D306*'CAR Stock'!D356</f>
        <v>0</v>
      </c>
      <c r="AK306" s="295">
        <f>'CAR Passenger Kilometres'!E306*'CAR Stock'!E356</f>
        <v>0</v>
      </c>
      <c r="AL306" s="295">
        <f>'CAR Passenger Kilometres'!F306*'CAR Stock'!F356</f>
        <v>0</v>
      </c>
      <c r="AM306" s="295">
        <f>'CAR Passenger Kilometres'!G306*'CAR Stock'!G356</f>
        <v>0</v>
      </c>
      <c r="AN306" s="295">
        <f>'CAR Passenger Kilometres'!H306*'CAR Stock'!H356</f>
        <v>0</v>
      </c>
      <c r="AO306" s="295">
        <f>'CAR Passenger Kilometres'!I306*'CAR Stock'!I356</f>
        <v>3780.8531460309705</v>
      </c>
      <c r="AP306" s="295">
        <f>'CAR Passenger Kilometres'!J306*'CAR Stock'!J356</f>
        <v>196604.36359361047</v>
      </c>
      <c r="AQ306" s="295">
        <f>'CAR Passenger Kilometres'!K306*'CAR Stock'!K356</f>
        <v>1455628.4612219234</v>
      </c>
      <c r="AR306" s="295">
        <f>'CAR Passenger Kilometres'!L306*'CAR Stock'!L356</f>
        <v>5444428.5302845966</v>
      </c>
      <c r="AS306" s="295">
        <f>'CAR Passenger Kilometres'!M306*'CAR Stock'!M356</f>
        <v>654087.59426335781</v>
      </c>
      <c r="AT306" s="295">
        <f>'CAR Passenger Kilometres'!N306*'CAR Stock'!N356</f>
        <v>120987.30067299106</v>
      </c>
      <c r="AU306" s="295">
        <f>'CAR Passenger Kilometres'!O306*'CAR Stock'!O356</f>
        <v>0</v>
      </c>
      <c r="AV306" s="295">
        <f>'CAR Passenger Kilometres'!P306*'CAR Stock'!P356</f>
        <v>0</v>
      </c>
      <c r="AW306" s="295">
        <f>'CAR Passenger Kilometres'!Q306*'CAR Stock'!Q356</f>
        <v>0</v>
      </c>
      <c r="AX306" s="295">
        <f>'CAR Passenger Kilometres'!R306*'CAR Stock'!R356</f>
        <v>0</v>
      </c>
      <c r="AY306" s="295">
        <f>'CAR Passenger Kilometres'!S306*'CAR Stock'!S356</f>
        <v>0</v>
      </c>
      <c r="AZ306" s="295">
        <f>'CAR Passenger Kilometres'!T306*'CAR Stock'!T356</f>
        <v>0</v>
      </c>
      <c r="BA306" s="295">
        <f>'CAR Passenger Kilometres'!U306*'CAR Stock'!U356</f>
        <v>0</v>
      </c>
      <c r="BB306" s="295">
        <f>'CAR Passenger Kilometres'!V306*'CAR Stock'!V356</f>
        <v>0</v>
      </c>
      <c r="BC306" s="295">
        <f>'CAR Passenger Kilometres'!W306*'CAR Stock'!W356</f>
        <v>0</v>
      </c>
      <c r="BD306" s="295">
        <f>'CAR Passenger Kilometres'!X306*'CAR Stock'!X356</f>
        <v>0</v>
      </c>
      <c r="BE306" s="295">
        <f>'CAR Passenger Kilometres'!Y306*'CAR Stock'!Y356</f>
        <v>0</v>
      </c>
      <c r="BF306" s="295">
        <f>'CAR Passenger Kilometres'!Z306*'CAR Stock'!Z356</f>
        <v>0</v>
      </c>
      <c r="BG306" s="295">
        <f>'CAR Passenger Kilometres'!AA306*'CAR Stock'!AA356</f>
        <v>0</v>
      </c>
      <c r="BH306" s="295">
        <f>'CAR Passenger Kilometres'!AB306*'CAR Stock'!AB356</f>
        <v>0</v>
      </c>
      <c r="BI306" s="295">
        <f>'CAR Passenger Kilometres'!AC306*'CAR Stock'!AC356</f>
        <v>0</v>
      </c>
      <c r="BJ306" s="295">
        <f>'CAR Passenger Kilometres'!AD306*'CAR Stock'!AD356</f>
        <v>0</v>
      </c>
      <c r="BK306" s="296">
        <f>'CAR Passenger Kilometres'!AE306*'CAR Stock'!AE356</f>
        <v>0</v>
      </c>
    </row>
    <row r="307" spans="1:63">
      <c r="A307" s="1711"/>
      <c r="B307" s="116">
        <v>14</v>
      </c>
      <c r="C307" s="294">
        <f>'CAR Mileage'!C328*CAR!$I$58</f>
        <v>21890.375641070284</v>
      </c>
      <c r="D307" s="295">
        <f>'CAR Mileage'!D328*CAR!$I$58</f>
        <v>21890.375641070284</v>
      </c>
      <c r="E307" s="295">
        <f>'CAR Mileage'!E328*CAR!$I$58</f>
        <v>21890.375641070284</v>
      </c>
      <c r="F307" s="295">
        <f>'CAR Mileage'!F328*CAR!$I$58</f>
        <v>21890.375641070284</v>
      </c>
      <c r="G307" s="295">
        <f>'CAR Mileage'!G328*CAR!$I$58</f>
        <v>21890.375641070284</v>
      </c>
      <c r="H307" s="295">
        <f>'CAR Mileage'!H328*CAR!$I$58</f>
        <v>21890.375641070284</v>
      </c>
      <c r="I307" s="295">
        <f>'CAR Mileage'!I328*CAR!$I$58</f>
        <v>21890.375641070284</v>
      </c>
      <c r="J307" s="295">
        <f>'CAR Mileage'!J328*CAR!$I$58</f>
        <v>21890.375641070284</v>
      </c>
      <c r="K307" s="295">
        <f>'CAR Mileage'!K328*CAR!$I$58</f>
        <v>21890.375641070284</v>
      </c>
      <c r="L307" s="295">
        <f>'CAR Mileage'!L328*CAR!$I$58</f>
        <v>21890.375641070284</v>
      </c>
      <c r="M307" s="295">
        <f>'CAR Mileage'!M328*CAR!$I$58</f>
        <v>21890.375641070284</v>
      </c>
      <c r="N307" s="295">
        <f>'CAR Mileage'!N328*CAR!$I$58</f>
        <v>21890.375641070284</v>
      </c>
      <c r="O307" s="295">
        <f>'CAR Mileage'!O328*CAR!$I$58</f>
        <v>21890.375641070284</v>
      </c>
      <c r="P307" s="295">
        <f>'CAR Mileage'!P328*CAR!$I$58</f>
        <v>21890.375641070284</v>
      </c>
      <c r="Q307" s="295">
        <f>'CAR Mileage'!Q328*CAR!$I$58</f>
        <v>21890.375641070284</v>
      </c>
      <c r="R307" s="295">
        <f>'CAR Mileage'!R328*CAR!$I$58</f>
        <v>21890.375641070284</v>
      </c>
      <c r="S307" s="295">
        <f>'CAR Mileage'!S328*CAR!$I$58</f>
        <v>21890.375641070284</v>
      </c>
      <c r="T307" s="295">
        <f>'CAR Mileage'!T328*CAR!$I$58</f>
        <v>21890.375641070284</v>
      </c>
      <c r="U307" s="295">
        <f>'CAR Mileage'!U328*CAR!$I$58</f>
        <v>21890.375641070284</v>
      </c>
      <c r="V307" s="295">
        <f>'CAR Mileage'!V328*CAR!$I$58</f>
        <v>21890.375641070284</v>
      </c>
      <c r="W307" s="295">
        <f>'CAR Mileage'!W328*CAR!$I$58</f>
        <v>21890.375641070284</v>
      </c>
      <c r="X307" s="295">
        <f>'CAR Mileage'!X328*CAR!$I$58</f>
        <v>21890.375641070284</v>
      </c>
      <c r="Y307" s="295">
        <f>'CAR Mileage'!Y328*CAR!$I$58</f>
        <v>21890.375641070284</v>
      </c>
      <c r="Z307" s="295">
        <f>'CAR Mileage'!Z328*CAR!$I$58</f>
        <v>21890.375641070284</v>
      </c>
      <c r="AA307" s="295">
        <f>'CAR Mileage'!AA328*CAR!$I$58</f>
        <v>21890.375641070284</v>
      </c>
      <c r="AB307" s="295">
        <f>'CAR Mileage'!AB328*CAR!$I$58</f>
        <v>21890.375641070284</v>
      </c>
      <c r="AC307" s="295">
        <f>'CAR Mileage'!AC328*CAR!$I$58</f>
        <v>21890.375641070284</v>
      </c>
      <c r="AD307" s="295">
        <f>'CAR Mileage'!AD328*CAR!$I$58</f>
        <v>21890.375641070284</v>
      </c>
      <c r="AE307" s="296">
        <f>'CAR Mileage'!AE328*CAR!$I$58</f>
        <v>21890.375641070284</v>
      </c>
      <c r="AG307" s="1711"/>
      <c r="AH307" s="116">
        <v>14</v>
      </c>
      <c r="AI307" s="294">
        <f>'CAR Passenger Kilometres'!C307*'CAR Stock'!C357</f>
        <v>0</v>
      </c>
      <c r="AJ307" s="295">
        <f>'CAR Passenger Kilometres'!D307*'CAR Stock'!D357</f>
        <v>0</v>
      </c>
      <c r="AK307" s="295">
        <f>'CAR Passenger Kilometres'!E307*'CAR Stock'!E357</f>
        <v>0</v>
      </c>
      <c r="AL307" s="295">
        <f>'CAR Passenger Kilometres'!F307*'CAR Stock'!F357</f>
        <v>0</v>
      </c>
      <c r="AM307" s="295">
        <f>'CAR Passenger Kilometres'!G307*'CAR Stock'!G357</f>
        <v>0</v>
      </c>
      <c r="AN307" s="295">
        <f>'CAR Passenger Kilometres'!H307*'CAR Stock'!H357</f>
        <v>0</v>
      </c>
      <c r="AO307" s="295">
        <f>'CAR Passenger Kilometres'!I307*'CAR Stock'!I357</f>
        <v>0</v>
      </c>
      <c r="AP307" s="295">
        <f>'CAR Passenger Kilometres'!J307*'CAR Stock'!J357</f>
        <v>1332.1355543039549</v>
      </c>
      <c r="AQ307" s="295">
        <f>'CAR Passenger Kilometres'!K307*'CAR Stock'!K357</f>
        <v>69271.048823805642</v>
      </c>
      <c r="AR307" s="295">
        <f>'CAR Passenger Kilometres'!L307*'CAR Stock'!L357</f>
        <v>512872.18840702251</v>
      </c>
      <c r="AS307" s="295">
        <f>'CAR Passenger Kilometres'!M307*'CAR Stock'!M357</f>
        <v>1918275.1981976945</v>
      </c>
      <c r="AT307" s="295">
        <f>'CAR Passenger Kilometres'!N307*'CAR Stock'!N357</f>
        <v>230459.45089458415</v>
      </c>
      <c r="AU307" s="295">
        <f>'CAR Passenger Kilometres'!O307*'CAR Stock'!O357</f>
        <v>42628.337737726557</v>
      </c>
      <c r="AV307" s="295">
        <f>'CAR Passenger Kilometres'!P307*'CAR Stock'!P357</f>
        <v>0</v>
      </c>
      <c r="AW307" s="295">
        <f>'CAR Passenger Kilometres'!Q307*'CAR Stock'!Q357</f>
        <v>0</v>
      </c>
      <c r="AX307" s="295">
        <f>'CAR Passenger Kilometres'!R307*'CAR Stock'!R357</f>
        <v>0</v>
      </c>
      <c r="AY307" s="295">
        <f>'CAR Passenger Kilometres'!S307*'CAR Stock'!S357</f>
        <v>0</v>
      </c>
      <c r="AZ307" s="295">
        <f>'CAR Passenger Kilometres'!T307*'CAR Stock'!T357</f>
        <v>0</v>
      </c>
      <c r="BA307" s="295">
        <f>'CAR Passenger Kilometres'!U307*'CAR Stock'!U357</f>
        <v>0</v>
      </c>
      <c r="BB307" s="295">
        <f>'CAR Passenger Kilometres'!V307*'CAR Stock'!V357</f>
        <v>0</v>
      </c>
      <c r="BC307" s="295">
        <f>'CAR Passenger Kilometres'!W307*'CAR Stock'!W357</f>
        <v>0</v>
      </c>
      <c r="BD307" s="295">
        <f>'CAR Passenger Kilometres'!X307*'CAR Stock'!X357</f>
        <v>0</v>
      </c>
      <c r="BE307" s="295">
        <f>'CAR Passenger Kilometres'!Y307*'CAR Stock'!Y357</f>
        <v>0</v>
      </c>
      <c r="BF307" s="295">
        <f>'CAR Passenger Kilometres'!Z307*'CAR Stock'!Z357</f>
        <v>0</v>
      </c>
      <c r="BG307" s="295">
        <f>'CAR Passenger Kilometres'!AA307*'CAR Stock'!AA357</f>
        <v>0</v>
      </c>
      <c r="BH307" s="295">
        <f>'CAR Passenger Kilometres'!AB307*'CAR Stock'!AB357</f>
        <v>0</v>
      </c>
      <c r="BI307" s="295">
        <f>'CAR Passenger Kilometres'!AC307*'CAR Stock'!AC357</f>
        <v>0</v>
      </c>
      <c r="BJ307" s="295">
        <f>'CAR Passenger Kilometres'!AD307*'CAR Stock'!AD357</f>
        <v>0</v>
      </c>
      <c r="BK307" s="296">
        <f>'CAR Passenger Kilometres'!AE307*'CAR Stock'!AE357</f>
        <v>0</v>
      </c>
    </row>
    <row r="308" spans="1:63">
      <c r="A308" s="1711"/>
      <c r="B308" s="116">
        <v>15</v>
      </c>
      <c r="C308" s="294">
        <f>'CAR Mileage'!C329*CAR!$I$58</f>
        <v>21452.568128248877</v>
      </c>
      <c r="D308" s="295">
        <f>'CAR Mileage'!D329*CAR!$I$58</f>
        <v>21452.568128248877</v>
      </c>
      <c r="E308" s="295">
        <f>'CAR Mileage'!E329*CAR!$I$58</f>
        <v>21452.568128248877</v>
      </c>
      <c r="F308" s="295">
        <f>'CAR Mileage'!F329*CAR!$I$58</f>
        <v>21452.568128248877</v>
      </c>
      <c r="G308" s="295">
        <f>'CAR Mileage'!G329*CAR!$I$58</f>
        <v>21452.568128248877</v>
      </c>
      <c r="H308" s="295">
        <f>'CAR Mileage'!H329*CAR!$I$58</f>
        <v>21452.568128248877</v>
      </c>
      <c r="I308" s="295">
        <f>'CAR Mileage'!I329*CAR!$I$58</f>
        <v>21452.568128248877</v>
      </c>
      <c r="J308" s="295">
        <f>'CAR Mileage'!J329*CAR!$I$58</f>
        <v>21452.568128248877</v>
      </c>
      <c r="K308" s="295">
        <f>'CAR Mileage'!K329*CAR!$I$58</f>
        <v>21452.568128248877</v>
      </c>
      <c r="L308" s="295">
        <f>'CAR Mileage'!L329*CAR!$I$58</f>
        <v>21452.568128248877</v>
      </c>
      <c r="M308" s="295">
        <f>'CAR Mileage'!M329*CAR!$I$58</f>
        <v>21452.568128248877</v>
      </c>
      <c r="N308" s="295">
        <f>'CAR Mileage'!N329*CAR!$I$58</f>
        <v>21452.568128248877</v>
      </c>
      <c r="O308" s="295">
        <f>'CAR Mileage'!O329*CAR!$I$58</f>
        <v>21452.568128248877</v>
      </c>
      <c r="P308" s="295">
        <f>'CAR Mileage'!P329*CAR!$I$58</f>
        <v>21452.568128248877</v>
      </c>
      <c r="Q308" s="295">
        <f>'CAR Mileage'!Q329*CAR!$I$58</f>
        <v>21452.568128248877</v>
      </c>
      <c r="R308" s="295">
        <f>'CAR Mileage'!R329*CAR!$I$58</f>
        <v>21452.568128248877</v>
      </c>
      <c r="S308" s="295">
        <f>'CAR Mileage'!S329*CAR!$I$58</f>
        <v>21452.568128248877</v>
      </c>
      <c r="T308" s="295">
        <f>'CAR Mileage'!T329*CAR!$I$58</f>
        <v>21452.568128248877</v>
      </c>
      <c r="U308" s="295">
        <f>'CAR Mileage'!U329*CAR!$I$58</f>
        <v>21452.568128248877</v>
      </c>
      <c r="V308" s="295">
        <f>'CAR Mileage'!V329*CAR!$I$58</f>
        <v>21452.568128248877</v>
      </c>
      <c r="W308" s="295">
        <f>'CAR Mileage'!W329*CAR!$I$58</f>
        <v>21452.568128248877</v>
      </c>
      <c r="X308" s="295">
        <f>'CAR Mileage'!X329*CAR!$I$58</f>
        <v>21452.568128248877</v>
      </c>
      <c r="Y308" s="295">
        <f>'CAR Mileage'!Y329*CAR!$I$58</f>
        <v>21452.568128248877</v>
      </c>
      <c r="Z308" s="295">
        <f>'CAR Mileage'!Z329*CAR!$I$58</f>
        <v>21452.568128248877</v>
      </c>
      <c r="AA308" s="295">
        <f>'CAR Mileage'!AA329*CAR!$I$58</f>
        <v>21452.568128248877</v>
      </c>
      <c r="AB308" s="295">
        <f>'CAR Mileage'!AB329*CAR!$I$58</f>
        <v>21452.568128248877</v>
      </c>
      <c r="AC308" s="295">
        <f>'CAR Mileage'!AC329*CAR!$I$58</f>
        <v>21452.568128248877</v>
      </c>
      <c r="AD308" s="295">
        <f>'CAR Mileage'!AD329*CAR!$I$58</f>
        <v>21452.568128248877</v>
      </c>
      <c r="AE308" s="296">
        <f>'CAR Mileage'!AE329*CAR!$I$58</f>
        <v>21452.568128248877</v>
      </c>
      <c r="AG308" s="1711"/>
      <c r="AH308" s="116">
        <v>15</v>
      </c>
      <c r="AI308" s="294">
        <f>'CAR Passenger Kilometres'!C308*'CAR Stock'!C358</f>
        <v>0</v>
      </c>
      <c r="AJ308" s="295">
        <f>'CAR Passenger Kilometres'!D308*'CAR Stock'!D358</f>
        <v>0</v>
      </c>
      <c r="AK308" s="295">
        <f>'CAR Passenger Kilometres'!E308*'CAR Stock'!E358</f>
        <v>0</v>
      </c>
      <c r="AL308" s="295">
        <f>'CAR Passenger Kilometres'!F308*'CAR Stock'!F358</f>
        <v>0</v>
      </c>
      <c r="AM308" s="295">
        <f>'CAR Passenger Kilometres'!G308*'CAR Stock'!G358</f>
        <v>0</v>
      </c>
      <c r="AN308" s="295">
        <f>'CAR Passenger Kilometres'!H308*'CAR Stock'!H358</f>
        <v>0</v>
      </c>
      <c r="AO308" s="295">
        <f>'CAR Passenger Kilometres'!I308*'CAR Stock'!I358</f>
        <v>0</v>
      </c>
      <c r="AP308" s="295">
        <f>'CAR Passenger Kilometres'!J308*'CAR Stock'!J358</f>
        <v>0</v>
      </c>
      <c r="AQ308" s="295">
        <f>'CAR Passenger Kilometres'!K308*'CAR Stock'!K358</f>
        <v>344.83147383487955</v>
      </c>
      <c r="AR308" s="295">
        <f>'CAR Passenger Kilometres'!L308*'CAR Stock'!L358</f>
        <v>17931.236639413739</v>
      </c>
      <c r="AS308" s="295">
        <f>'CAR Passenger Kilometres'!M308*'CAR Stock'!M358</f>
        <v>132760.11742642862</v>
      </c>
      <c r="AT308" s="295">
        <f>'CAR Passenger Kilometres'!N308*'CAR Stock'!N358</f>
        <v>496557.32232222648</v>
      </c>
      <c r="AU308" s="295">
        <f>'CAR Passenger Kilometres'!O308*'CAR Stock'!O358</f>
        <v>59655.844973434156</v>
      </c>
      <c r="AV308" s="295">
        <f>'CAR Passenger Kilometres'!P308*'CAR Stock'!P358</f>
        <v>11034.607162716145</v>
      </c>
      <c r="AW308" s="295">
        <f>'CAR Passenger Kilometres'!Q308*'CAR Stock'!Q358</f>
        <v>0</v>
      </c>
      <c r="AX308" s="295">
        <f>'CAR Passenger Kilometres'!R308*'CAR Stock'!R358</f>
        <v>0</v>
      </c>
      <c r="AY308" s="295">
        <f>'CAR Passenger Kilometres'!S308*'CAR Stock'!S358</f>
        <v>0</v>
      </c>
      <c r="AZ308" s="295">
        <f>'CAR Passenger Kilometres'!T308*'CAR Stock'!T358</f>
        <v>0</v>
      </c>
      <c r="BA308" s="295">
        <f>'CAR Passenger Kilometres'!U308*'CAR Stock'!U358</f>
        <v>0</v>
      </c>
      <c r="BB308" s="295">
        <f>'CAR Passenger Kilometres'!V308*'CAR Stock'!V358</f>
        <v>0</v>
      </c>
      <c r="BC308" s="295">
        <f>'CAR Passenger Kilometres'!W308*'CAR Stock'!W358</f>
        <v>0</v>
      </c>
      <c r="BD308" s="295">
        <f>'CAR Passenger Kilometres'!X308*'CAR Stock'!X358</f>
        <v>0</v>
      </c>
      <c r="BE308" s="295">
        <f>'CAR Passenger Kilometres'!Y308*'CAR Stock'!Y358</f>
        <v>0</v>
      </c>
      <c r="BF308" s="295">
        <f>'CAR Passenger Kilometres'!Z308*'CAR Stock'!Z358</f>
        <v>0</v>
      </c>
      <c r="BG308" s="295">
        <f>'CAR Passenger Kilometres'!AA308*'CAR Stock'!AA358</f>
        <v>0</v>
      </c>
      <c r="BH308" s="295">
        <f>'CAR Passenger Kilometres'!AB308*'CAR Stock'!AB358</f>
        <v>0</v>
      </c>
      <c r="BI308" s="295">
        <f>'CAR Passenger Kilometres'!AC308*'CAR Stock'!AC358</f>
        <v>0</v>
      </c>
      <c r="BJ308" s="295">
        <f>'CAR Passenger Kilometres'!AD308*'CAR Stock'!AD358</f>
        <v>0</v>
      </c>
      <c r="BK308" s="296">
        <f>'CAR Passenger Kilometres'!AE308*'CAR Stock'!AE358</f>
        <v>0</v>
      </c>
    </row>
    <row r="309" spans="1:63">
      <c r="A309" s="1711"/>
      <c r="B309" s="116">
        <v>16</v>
      </c>
      <c r="C309" s="294">
        <f>'CAR Mileage'!C330*CAR!$I$58</f>
        <v>21023.5167656839</v>
      </c>
      <c r="D309" s="295">
        <f>'CAR Mileage'!D330*CAR!$I$58</f>
        <v>21023.5167656839</v>
      </c>
      <c r="E309" s="295">
        <f>'CAR Mileage'!E330*CAR!$I$58</f>
        <v>21023.5167656839</v>
      </c>
      <c r="F309" s="295">
        <f>'CAR Mileage'!F330*CAR!$I$58</f>
        <v>21023.5167656839</v>
      </c>
      <c r="G309" s="295">
        <f>'CAR Mileage'!G330*CAR!$I$58</f>
        <v>21023.5167656839</v>
      </c>
      <c r="H309" s="295">
        <f>'CAR Mileage'!H330*CAR!$I$58</f>
        <v>21023.5167656839</v>
      </c>
      <c r="I309" s="295">
        <f>'CAR Mileage'!I330*CAR!$I$58</f>
        <v>21023.5167656839</v>
      </c>
      <c r="J309" s="295">
        <f>'CAR Mileage'!J330*CAR!$I$58</f>
        <v>21023.5167656839</v>
      </c>
      <c r="K309" s="295">
        <f>'CAR Mileage'!K330*CAR!$I$58</f>
        <v>21023.5167656839</v>
      </c>
      <c r="L309" s="295">
        <f>'CAR Mileage'!L330*CAR!$I$58</f>
        <v>21023.5167656839</v>
      </c>
      <c r="M309" s="295">
        <f>'CAR Mileage'!M330*CAR!$I$58</f>
        <v>21023.5167656839</v>
      </c>
      <c r="N309" s="295">
        <f>'CAR Mileage'!N330*CAR!$I$58</f>
        <v>21023.5167656839</v>
      </c>
      <c r="O309" s="295">
        <f>'CAR Mileage'!O330*CAR!$I$58</f>
        <v>21023.5167656839</v>
      </c>
      <c r="P309" s="295">
        <f>'CAR Mileage'!P330*CAR!$I$58</f>
        <v>21023.5167656839</v>
      </c>
      <c r="Q309" s="295">
        <f>'CAR Mileage'!Q330*CAR!$I$58</f>
        <v>21023.5167656839</v>
      </c>
      <c r="R309" s="295">
        <f>'CAR Mileage'!R330*CAR!$I$58</f>
        <v>21023.5167656839</v>
      </c>
      <c r="S309" s="295">
        <f>'CAR Mileage'!S330*CAR!$I$58</f>
        <v>21023.5167656839</v>
      </c>
      <c r="T309" s="295">
        <f>'CAR Mileage'!T330*CAR!$I$58</f>
        <v>21023.5167656839</v>
      </c>
      <c r="U309" s="295">
        <f>'CAR Mileage'!U330*CAR!$I$58</f>
        <v>21023.5167656839</v>
      </c>
      <c r="V309" s="295">
        <f>'CAR Mileage'!V330*CAR!$I$58</f>
        <v>21023.5167656839</v>
      </c>
      <c r="W309" s="295">
        <f>'CAR Mileage'!W330*CAR!$I$58</f>
        <v>21023.5167656839</v>
      </c>
      <c r="X309" s="295">
        <f>'CAR Mileage'!X330*CAR!$I$58</f>
        <v>21023.5167656839</v>
      </c>
      <c r="Y309" s="295">
        <f>'CAR Mileage'!Y330*CAR!$I$58</f>
        <v>21023.5167656839</v>
      </c>
      <c r="Z309" s="295">
        <f>'CAR Mileage'!Z330*CAR!$I$58</f>
        <v>21023.5167656839</v>
      </c>
      <c r="AA309" s="295">
        <f>'CAR Mileage'!AA330*CAR!$I$58</f>
        <v>21023.5167656839</v>
      </c>
      <c r="AB309" s="295">
        <f>'CAR Mileage'!AB330*CAR!$I$58</f>
        <v>21023.5167656839</v>
      </c>
      <c r="AC309" s="295">
        <f>'CAR Mileage'!AC330*CAR!$I$58</f>
        <v>21023.5167656839</v>
      </c>
      <c r="AD309" s="295">
        <f>'CAR Mileage'!AD330*CAR!$I$58</f>
        <v>21023.5167656839</v>
      </c>
      <c r="AE309" s="296">
        <f>'CAR Mileage'!AE330*CAR!$I$58</f>
        <v>21023.5167656839</v>
      </c>
      <c r="AG309" s="1711"/>
      <c r="AH309" s="116">
        <v>16</v>
      </c>
      <c r="AI309" s="294">
        <f>'CAR Passenger Kilometres'!C309*'CAR Stock'!C359</f>
        <v>0</v>
      </c>
      <c r="AJ309" s="295">
        <f>'CAR Passenger Kilometres'!D309*'CAR Stock'!D359</f>
        <v>0</v>
      </c>
      <c r="AK309" s="295">
        <f>'CAR Passenger Kilometres'!E309*'CAR Stock'!E359</f>
        <v>0</v>
      </c>
      <c r="AL309" s="295">
        <f>'CAR Passenger Kilometres'!F309*'CAR Stock'!F359</f>
        <v>0</v>
      </c>
      <c r="AM309" s="295">
        <f>'CAR Passenger Kilometres'!G309*'CAR Stock'!G359</f>
        <v>0</v>
      </c>
      <c r="AN309" s="295">
        <f>'CAR Passenger Kilometres'!H309*'CAR Stock'!H359</f>
        <v>0</v>
      </c>
      <c r="AO309" s="295">
        <f>'CAR Passenger Kilometres'!I309*'CAR Stock'!I359</f>
        <v>0</v>
      </c>
      <c r="AP309" s="295">
        <f>'CAR Passenger Kilometres'!J309*'CAR Stock'!J359</f>
        <v>0</v>
      </c>
      <c r="AQ309" s="295">
        <f>'CAR Passenger Kilometres'!K309*'CAR Stock'!K359</f>
        <v>0</v>
      </c>
      <c r="AR309" s="295">
        <f>'CAR Passenger Kilometres'!L309*'CAR Stock'!L359</f>
        <v>80.335571306284166</v>
      </c>
      <c r="AS309" s="295">
        <f>'CAR Passenger Kilometres'!M309*'CAR Stock'!M359</f>
        <v>4177.4497079267767</v>
      </c>
      <c r="AT309" s="295">
        <f>'CAR Passenger Kilometres'!N309*'CAR Stock'!N359</f>
        <v>30929.194952919399</v>
      </c>
      <c r="AU309" s="295">
        <f>'CAR Passenger Kilometres'!O309*'CAR Stock'!O359</f>
        <v>115683.22268104917</v>
      </c>
      <c r="AV309" s="295">
        <f>'CAR Passenger Kilometres'!P309*'CAR Stock'!P359</f>
        <v>13898.053835987159</v>
      </c>
      <c r="AW309" s="295">
        <f>'CAR Passenger Kilometres'!Q309*'CAR Stock'!Q359</f>
        <v>2570.7382818010933</v>
      </c>
      <c r="AX309" s="295">
        <f>'CAR Passenger Kilometres'!R309*'CAR Stock'!R359</f>
        <v>0</v>
      </c>
      <c r="AY309" s="295">
        <f>'CAR Passenger Kilometres'!S309*'CAR Stock'!S359</f>
        <v>0</v>
      </c>
      <c r="AZ309" s="295">
        <f>'CAR Passenger Kilometres'!T309*'CAR Stock'!T359</f>
        <v>0</v>
      </c>
      <c r="BA309" s="295">
        <f>'CAR Passenger Kilometres'!U309*'CAR Stock'!U359</f>
        <v>0</v>
      </c>
      <c r="BB309" s="295">
        <f>'CAR Passenger Kilometres'!V309*'CAR Stock'!V359</f>
        <v>0</v>
      </c>
      <c r="BC309" s="295">
        <f>'CAR Passenger Kilometres'!W309*'CAR Stock'!W359</f>
        <v>0</v>
      </c>
      <c r="BD309" s="295">
        <f>'CAR Passenger Kilometres'!X309*'CAR Stock'!X359</f>
        <v>0</v>
      </c>
      <c r="BE309" s="295">
        <f>'CAR Passenger Kilometres'!Y309*'CAR Stock'!Y359</f>
        <v>0</v>
      </c>
      <c r="BF309" s="295">
        <f>'CAR Passenger Kilometres'!Z309*'CAR Stock'!Z359</f>
        <v>0</v>
      </c>
      <c r="BG309" s="295">
        <f>'CAR Passenger Kilometres'!AA309*'CAR Stock'!AA359</f>
        <v>0</v>
      </c>
      <c r="BH309" s="295">
        <f>'CAR Passenger Kilometres'!AB309*'CAR Stock'!AB359</f>
        <v>0</v>
      </c>
      <c r="BI309" s="295">
        <f>'CAR Passenger Kilometres'!AC309*'CAR Stock'!AC359</f>
        <v>0</v>
      </c>
      <c r="BJ309" s="295">
        <f>'CAR Passenger Kilometres'!AD309*'CAR Stock'!AD359</f>
        <v>0</v>
      </c>
      <c r="BK309" s="296">
        <f>'CAR Passenger Kilometres'!AE309*'CAR Stock'!AE359</f>
        <v>0</v>
      </c>
    </row>
    <row r="310" spans="1:63">
      <c r="A310" s="1711"/>
      <c r="B310" s="116">
        <v>17</v>
      </c>
      <c r="C310" s="294">
        <f>'CAR Mileage'!C331*CAR!$I$58</f>
        <v>21023.5167656839</v>
      </c>
      <c r="D310" s="295">
        <f>'CAR Mileage'!D331*CAR!$I$58</f>
        <v>21023.5167656839</v>
      </c>
      <c r="E310" s="295">
        <f>'CAR Mileage'!E331*CAR!$I$58</f>
        <v>21023.5167656839</v>
      </c>
      <c r="F310" s="295">
        <f>'CAR Mileage'!F331*CAR!$I$58</f>
        <v>21023.5167656839</v>
      </c>
      <c r="G310" s="295">
        <f>'CAR Mileage'!G331*CAR!$I$58</f>
        <v>21023.5167656839</v>
      </c>
      <c r="H310" s="295">
        <f>'CAR Mileage'!H331*CAR!$I$58</f>
        <v>21023.5167656839</v>
      </c>
      <c r="I310" s="295">
        <f>'CAR Mileage'!I331*CAR!$I$58</f>
        <v>21023.5167656839</v>
      </c>
      <c r="J310" s="295">
        <f>'CAR Mileage'!J331*CAR!$I$58</f>
        <v>21023.5167656839</v>
      </c>
      <c r="K310" s="295">
        <f>'CAR Mileage'!K331*CAR!$I$58</f>
        <v>21023.5167656839</v>
      </c>
      <c r="L310" s="295">
        <f>'CAR Mileage'!L331*CAR!$I$58</f>
        <v>21023.5167656839</v>
      </c>
      <c r="M310" s="295">
        <f>'CAR Mileage'!M331*CAR!$I$58</f>
        <v>21023.5167656839</v>
      </c>
      <c r="N310" s="295">
        <f>'CAR Mileage'!N331*CAR!$I$58</f>
        <v>21023.5167656839</v>
      </c>
      <c r="O310" s="295">
        <f>'CAR Mileage'!O331*CAR!$I$58</f>
        <v>21023.5167656839</v>
      </c>
      <c r="P310" s="295">
        <f>'CAR Mileage'!P331*CAR!$I$58</f>
        <v>21023.5167656839</v>
      </c>
      <c r="Q310" s="295">
        <f>'CAR Mileage'!Q331*CAR!$I$58</f>
        <v>21023.5167656839</v>
      </c>
      <c r="R310" s="295">
        <f>'CAR Mileage'!R331*CAR!$I$58</f>
        <v>21023.5167656839</v>
      </c>
      <c r="S310" s="295">
        <f>'CAR Mileage'!S331*CAR!$I$58</f>
        <v>21023.5167656839</v>
      </c>
      <c r="T310" s="295">
        <f>'CAR Mileage'!T331*CAR!$I$58</f>
        <v>21023.5167656839</v>
      </c>
      <c r="U310" s="295">
        <f>'CAR Mileage'!U331*CAR!$I$58</f>
        <v>21023.5167656839</v>
      </c>
      <c r="V310" s="295">
        <f>'CAR Mileage'!V331*CAR!$I$58</f>
        <v>21023.5167656839</v>
      </c>
      <c r="W310" s="295">
        <f>'CAR Mileage'!W331*CAR!$I$58</f>
        <v>21023.5167656839</v>
      </c>
      <c r="X310" s="295">
        <f>'CAR Mileage'!X331*CAR!$I$58</f>
        <v>21023.5167656839</v>
      </c>
      <c r="Y310" s="295">
        <f>'CAR Mileage'!Y331*CAR!$I$58</f>
        <v>21023.5167656839</v>
      </c>
      <c r="Z310" s="295">
        <f>'CAR Mileage'!Z331*CAR!$I$58</f>
        <v>21023.5167656839</v>
      </c>
      <c r="AA310" s="295">
        <f>'CAR Mileage'!AA331*CAR!$I$58</f>
        <v>21023.5167656839</v>
      </c>
      <c r="AB310" s="295">
        <f>'CAR Mileage'!AB331*CAR!$I$58</f>
        <v>21023.5167656839</v>
      </c>
      <c r="AC310" s="295">
        <f>'CAR Mileage'!AC331*CAR!$I$58</f>
        <v>21023.5167656839</v>
      </c>
      <c r="AD310" s="295">
        <f>'CAR Mileage'!AD331*CAR!$I$58</f>
        <v>21023.5167656839</v>
      </c>
      <c r="AE310" s="296">
        <f>'CAR Mileage'!AE331*CAR!$I$58</f>
        <v>21023.5167656839</v>
      </c>
      <c r="AG310" s="1711"/>
      <c r="AH310" s="116">
        <v>17</v>
      </c>
      <c r="AI310" s="294">
        <f>'CAR Passenger Kilometres'!C310*'CAR Stock'!C360</f>
        <v>0</v>
      </c>
      <c r="AJ310" s="295">
        <f>'CAR Passenger Kilometres'!D310*'CAR Stock'!D360</f>
        <v>0</v>
      </c>
      <c r="AK310" s="295">
        <f>'CAR Passenger Kilometres'!E310*'CAR Stock'!E360</f>
        <v>0</v>
      </c>
      <c r="AL310" s="295">
        <f>'CAR Passenger Kilometres'!F310*'CAR Stock'!F360</f>
        <v>0</v>
      </c>
      <c r="AM310" s="295">
        <f>'CAR Passenger Kilometres'!G310*'CAR Stock'!G360</f>
        <v>0</v>
      </c>
      <c r="AN310" s="295">
        <f>'CAR Passenger Kilometres'!H310*'CAR Stock'!H360</f>
        <v>0</v>
      </c>
      <c r="AO310" s="295">
        <f>'CAR Passenger Kilometres'!I310*'CAR Stock'!I360</f>
        <v>0</v>
      </c>
      <c r="AP310" s="295">
        <f>'CAR Passenger Kilometres'!J310*'CAR Stock'!J360</f>
        <v>0</v>
      </c>
      <c r="AQ310" s="295">
        <f>'CAR Passenger Kilometres'!K310*'CAR Stock'!K360</f>
        <v>0</v>
      </c>
      <c r="AR310" s="295">
        <f>'CAR Passenger Kilometres'!L310*'CAR Stock'!L360</f>
        <v>0</v>
      </c>
      <c r="AS310" s="295">
        <f>'CAR Passenger Kilometres'!M310*'CAR Stock'!M360</f>
        <v>16.975801038713019</v>
      </c>
      <c r="AT310" s="295">
        <f>'CAR Passenger Kilometres'!N310*'CAR Stock'!N360</f>
        <v>882.74165401307698</v>
      </c>
      <c r="AU310" s="295">
        <f>'CAR Passenger Kilometres'!O310*'CAR Stock'!O360</f>
        <v>6535.6833999045111</v>
      </c>
      <c r="AV310" s="295">
        <f>'CAR Passenger Kilometres'!P310*'CAR Stock'!P360</f>
        <v>24445.153495746741</v>
      </c>
      <c r="AW310" s="295">
        <f>'CAR Passenger Kilometres'!Q310*'CAR Stock'!Q360</f>
        <v>2936.813579697352</v>
      </c>
      <c r="AX310" s="295">
        <f>'CAR Passenger Kilometres'!R310*'CAR Stock'!R360</f>
        <v>543.22563323881661</v>
      </c>
      <c r="AY310" s="295">
        <f>'CAR Passenger Kilometres'!S310*'CAR Stock'!S360</f>
        <v>0</v>
      </c>
      <c r="AZ310" s="295">
        <f>'CAR Passenger Kilometres'!T310*'CAR Stock'!T360</f>
        <v>0</v>
      </c>
      <c r="BA310" s="295">
        <f>'CAR Passenger Kilometres'!U310*'CAR Stock'!U360</f>
        <v>0</v>
      </c>
      <c r="BB310" s="295">
        <f>'CAR Passenger Kilometres'!V310*'CAR Stock'!V360</f>
        <v>0</v>
      </c>
      <c r="BC310" s="295">
        <f>'CAR Passenger Kilometres'!W310*'CAR Stock'!W360</f>
        <v>0</v>
      </c>
      <c r="BD310" s="295">
        <f>'CAR Passenger Kilometres'!X310*'CAR Stock'!X360</f>
        <v>0</v>
      </c>
      <c r="BE310" s="295">
        <f>'CAR Passenger Kilometres'!Y310*'CAR Stock'!Y360</f>
        <v>0</v>
      </c>
      <c r="BF310" s="295">
        <f>'CAR Passenger Kilometres'!Z310*'CAR Stock'!Z360</f>
        <v>0</v>
      </c>
      <c r="BG310" s="295">
        <f>'CAR Passenger Kilometres'!AA310*'CAR Stock'!AA360</f>
        <v>0</v>
      </c>
      <c r="BH310" s="295">
        <f>'CAR Passenger Kilometres'!AB310*'CAR Stock'!AB360</f>
        <v>0</v>
      </c>
      <c r="BI310" s="295">
        <f>'CAR Passenger Kilometres'!AC310*'CAR Stock'!AC360</f>
        <v>0</v>
      </c>
      <c r="BJ310" s="295">
        <f>'CAR Passenger Kilometres'!AD310*'CAR Stock'!AD360</f>
        <v>0</v>
      </c>
      <c r="BK310" s="296">
        <f>'CAR Passenger Kilometres'!AE310*'CAR Stock'!AE360</f>
        <v>0</v>
      </c>
    </row>
    <row r="311" spans="1:63">
      <c r="A311" s="1711"/>
      <c r="B311" s="116">
        <v>18</v>
      </c>
      <c r="C311" s="294">
        <f>'CAR Mileage'!C332*CAR!$I$58</f>
        <v>21023.5167656839</v>
      </c>
      <c r="D311" s="295">
        <f>'CAR Mileage'!D332*CAR!$I$58</f>
        <v>21023.5167656839</v>
      </c>
      <c r="E311" s="295">
        <f>'CAR Mileage'!E332*CAR!$I$58</f>
        <v>21023.5167656839</v>
      </c>
      <c r="F311" s="295">
        <f>'CAR Mileage'!F332*CAR!$I$58</f>
        <v>21023.5167656839</v>
      </c>
      <c r="G311" s="295">
        <f>'CAR Mileage'!G332*CAR!$I$58</f>
        <v>21023.5167656839</v>
      </c>
      <c r="H311" s="295">
        <f>'CAR Mileage'!H332*CAR!$I$58</f>
        <v>21023.5167656839</v>
      </c>
      <c r="I311" s="295">
        <f>'CAR Mileage'!I332*CAR!$I$58</f>
        <v>21023.5167656839</v>
      </c>
      <c r="J311" s="295">
        <f>'CAR Mileage'!J332*CAR!$I$58</f>
        <v>21023.5167656839</v>
      </c>
      <c r="K311" s="295">
        <f>'CAR Mileage'!K332*CAR!$I$58</f>
        <v>21023.5167656839</v>
      </c>
      <c r="L311" s="295">
        <f>'CAR Mileage'!L332*CAR!$I$58</f>
        <v>21023.5167656839</v>
      </c>
      <c r="M311" s="295">
        <f>'CAR Mileage'!M332*CAR!$I$58</f>
        <v>21023.5167656839</v>
      </c>
      <c r="N311" s="295">
        <f>'CAR Mileage'!N332*CAR!$I$58</f>
        <v>21023.5167656839</v>
      </c>
      <c r="O311" s="295">
        <f>'CAR Mileage'!O332*CAR!$I$58</f>
        <v>21023.5167656839</v>
      </c>
      <c r="P311" s="295">
        <f>'CAR Mileage'!P332*CAR!$I$58</f>
        <v>21023.5167656839</v>
      </c>
      <c r="Q311" s="295">
        <f>'CAR Mileage'!Q332*CAR!$I$58</f>
        <v>21023.5167656839</v>
      </c>
      <c r="R311" s="295">
        <f>'CAR Mileage'!R332*CAR!$I$58</f>
        <v>21023.5167656839</v>
      </c>
      <c r="S311" s="295">
        <f>'CAR Mileage'!S332*CAR!$I$58</f>
        <v>21023.5167656839</v>
      </c>
      <c r="T311" s="295">
        <f>'CAR Mileage'!T332*CAR!$I$58</f>
        <v>21023.5167656839</v>
      </c>
      <c r="U311" s="295">
        <f>'CAR Mileage'!U332*CAR!$I$58</f>
        <v>21023.5167656839</v>
      </c>
      <c r="V311" s="295">
        <f>'CAR Mileage'!V332*CAR!$I$58</f>
        <v>21023.5167656839</v>
      </c>
      <c r="W311" s="295">
        <f>'CAR Mileage'!W332*CAR!$I$58</f>
        <v>21023.5167656839</v>
      </c>
      <c r="X311" s="295">
        <f>'CAR Mileage'!X332*CAR!$I$58</f>
        <v>21023.5167656839</v>
      </c>
      <c r="Y311" s="295">
        <f>'CAR Mileage'!Y332*CAR!$I$58</f>
        <v>21023.5167656839</v>
      </c>
      <c r="Z311" s="295">
        <f>'CAR Mileage'!Z332*CAR!$I$58</f>
        <v>21023.5167656839</v>
      </c>
      <c r="AA311" s="295">
        <f>'CAR Mileage'!AA332*CAR!$I$58</f>
        <v>21023.5167656839</v>
      </c>
      <c r="AB311" s="295">
        <f>'CAR Mileage'!AB332*CAR!$I$58</f>
        <v>21023.5167656839</v>
      </c>
      <c r="AC311" s="295">
        <f>'CAR Mileage'!AC332*CAR!$I$58</f>
        <v>21023.5167656839</v>
      </c>
      <c r="AD311" s="295">
        <f>'CAR Mileage'!AD332*CAR!$I$58</f>
        <v>21023.5167656839</v>
      </c>
      <c r="AE311" s="296">
        <f>'CAR Mileage'!AE332*CAR!$I$58</f>
        <v>21023.5167656839</v>
      </c>
      <c r="AG311" s="1711"/>
      <c r="AH311" s="116">
        <v>18</v>
      </c>
      <c r="AI311" s="294">
        <f>'CAR Passenger Kilometres'!C311*'CAR Stock'!C361</f>
        <v>0</v>
      </c>
      <c r="AJ311" s="295">
        <f>'CAR Passenger Kilometres'!D311*'CAR Stock'!D361</f>
        <v>0</v>
      </c>
      <c r="AK311" s="295">
        <f>'CAR Passenger Kilometres'!E311*'CAR Stock'!E361</f>
        <v>0</v>
      </c>
      <c r="AL311" s="295">
        <f>'CAR Passenger Kilometres'!F311*'CAR Stock'!F361</f>
        <v>0</v>
      </c>
      <c r="AM311" s="295">
        <f>'CAR Passenger Kilometres'!G311*'CAR Stock'!G361</f>
        <v>0</v>
      </c>
      <c r="AN311" s="295">
        <f>'CAR Passenger Kilometres'!H311*'CAR Stock'!H361</f>
        <v>0</v>
      </c>
      <c r="AO311" s="295">
        <f>'CAR Passenger Kilometres'!I311*'CAR Stock'!I361</f>
        <v>0</v>
      </c>
      <c r="AP311" s="295">
        <f>'CAR Passenger Kilometres'!J311*'CAR Stock'!J361</f>
        <v>0</v>
      </c>
      <c r="AQ311" s="295">
        <f>'CAR Passenger Kilometres'!K311*'CAR Stock'!K361</f>
        <v>0</v>
      </c>
      <c r="AR311" s="295">
        <f>'CAR Passenger Kilometres'!L311*'CAR Stock'!L361</f>
        <v>0</v>
      </c>
      <c r="AS311" s="295">
        <f>'CAR Passenger Kilometres'!M311*'CAR Stock'!M361</f>
        <v>0</v>
      </c>
      <c r="AT311" s="295">
        <f>'CAR Passenger Kilometres'!N311*'CAR Stock'!N361</f>
        <v>3.1387788646123584</v>
      </c>
      <c r="AU311" s="295">
        <f>'CAR Passenger Kilometres'!O311*'CAR Stock'!O361</f>
        <v>163.21650095984262</v>
      </c>
      <c r="AV311" s="295">
        <f>'CAR Passenger Kilometres'!P311*'CAR Stock'!P361</f>
        <v>1208.4298628757574</v>
      </c>
      <c r="AW311" s="295">
        <f>'CAR Passenger Kilometres'!Q311*'CAR Stock'!Q361</f>
        <v>4519.8415650417946</v>
      </c>
      <c r="AX311" s="295">
        <f>'CAR Passenger Kilometres'!R311*'CAR Stock'!R361</f>
        <v>543.00874357793782</v>
      </c>
      <c r="AY311" s="295">
        <f>'CAR Passenger Kilometres'!S311*'CAR Stock'!S361</f>
        <v>100.44092366759547</v>
      </c>
      <c r="AZ311" s="295">
        <f>'CAR Passenger Kilometres'!T311*'CAR Stock'!T361</f>
        <v>0</v>
      </c>
      <c r="BA311" s="295">
        <f>'CAR Passenger Kilometres'!U311*'CAR Stock'!U361</f>
        <v>0</v>
      </c>
      <c r="BB311" s="295">
        <f>'CAR Passenger Kilometres'!V311*'CAR Stock'!V361</f>
        <v>0</v>
      </c>
      <c r="BC311" s="295">
        <f>'CAR Passenger Kilometres'!W311*'CAR Stock'!W361</f>
        <v>0</v>
      </c>
      <c r="BD311" s="295">
        <f>'CAR Passenger Kilometres'!X311*'CAR Stock'!X361</f>
        <v>0</v>
      </c>
      <c r="BE311" s="295">
        <f>'CAR Passenger Kilometres'!Y311*'CAR Stock'!Y361</f>
        <v>0</v>
      </c>
      <c r="BF311" s="295">
        <f>'CAR Passenger Kilometres'!Z311*'CAR Stock'!Z361</f>
        <v>0</v>
      </c>
      <c r="BG311" s="295">
        <f>'CAR Passenger Kilometres'!AA311*'CAR Stock'!AA361</f>
        <v>0</v>
      </c>
      <c r="BH311" s="295">
        <f>'CAR Passenger Kilometres'!AB311*'CAR Stock'!AB361</f>
        <v>0</v>
      </c>
      <c r="BI311" s="295">
        <f>'CAR Passenger Kilometres'!AC311*'CAR Stock'!AC361</f>
        <v>0</v>
      </c>
      <c r="BJ311" s="295">
        <f>'CAR Passenger Kilometres'!AD311*'CAR Stock'!AD361</f>
        <v>0</v>
      </c>
      <c r="BK311" s="296">
        <f>'CAR Passenger Kilometres'!AE311*'CAR Stock'!AE361</f>
        <v>0</v>
      </c>
    </row>
    <row r="312" spans="1:63">
      <c r="A312" s="1711"/>
      <c r="B312" s="116">
        <v>19</v>
      </c>
      <c r="C312" s="294">
        <f>'CAR Mileage'!C333*CAR!$I$58</f>
        <v>21023.5167656839</v>
      </c>
      <c r="D312" s="295">
        <f>'CAR Mileage'!D333*CAR!$I$58</f>
        <v>21023.5167656839</v>
      </c>
      <c r="E312" s="295">
        <f>'CAR Mileage'!E333*CAR!$I$58</f>
        <v>21023.5167656839</v>
      </c>
      <c r="F312" s="295">
        <f>'CAR Mileage'!F333*CAR!$I$58</f>
        <v>21023.5167656839</v>
      </c>
      <c r="G312" s="295">
        <f>'CAR Mileage'!G333*CAR!$I$58</f>
        <v>21023.5167656839</v>
      </c>
      <c r="H312" s="295">
        <f>'CAR Mileage'!H333*CAR!$I$58</f>
        <v>21023.5167656839</v>
      </c>
      <c r="I312" s="295">
        <f>'CAR Mileage'!I333*CAR!$I$58</f>
        <v>21023.5167656839</v>
      </c>
      <c r="J312" s="295">
        <f>'CAR Mileage'!J333*CAR!$I$58</f>
        <v>21023.5167656839</v>
      </c>
      <c r="K312" s="295">
        <f>'CAR Mileage'!K333*CAR!$I$58</f>
        <v>21023.5167656839</v>
      </c>
      <c r="L312" s="295">
        <f>'CAR Mileage'!L333*CAR!$I$58</f>
        <v>21023.5167656839</v>
      </c>
      <c r="M312" s="295">
        <f>'CAR Mileage'!M333*CAR!$I$58</f>
        <v>21023.5167656839</v>
      </c>
      <c r="N312" s="295">
        <f>'CAR Mileage'!N333*CAR!$I$58</f>
        <v>21023.5167656839</v>
      </c>
      <c r="O312" s="295">
        <f>'CAR Mileage'!O333*CAR!$I$58</f>
        <v>21023.5167656839</v>
      </c>
      <c r="P312" s="295">
        <f>'CAR Mileage'!P333*CAR!$I$58</f>
        <v>21023.5167656839</v>
      </c>
      <c r="Q312" s="295">
        <f>'CAR Mileage'!Q333*CAR!$I$58</f>
        <v>21023.5167656839</v>
      </c>
      <c r="R312" s="295">
        <f>'CAR Mileage'!R333*CAR!$I$58</f>
        <v>21023.5167656839</v>
      </c>
      <c r="S312" s="295">
        <f>'CAR Mileage'!S333*CAR!$I$58</f>
        <v>21023.5167656839</v>
      </c>
      <c r="T312" s="295">
        <f>'CAR Mileage'!T333*CAR!$I$58</f>
        <v>21023.5167656839</v>
      </c>
      <c r="U312" s="295">
        <f>'CAR Mileage'!U333*CAR!$I$58</f>
        <v>21023.5167656839</v>
      </c>
      <c r="V312" s="295">
        <f>'CAR Mileage'!V333*CAR!$I$58</f>
        <v>21023.5167656839</v>
      </c>
      <c r="W312" s="295">
        <f>'CAR Mileage'!W333*CAR!$I$58</f>
        <v>21023.5167656839</v>
      </c>
      <c r="X312" s="295">
        <f>'CAR Mileage'!X333*CAR!$I$58</f>
        <v>21023.5167656839</v>
      </c>
      <c r="Y312" s="295">
        <f>'CAR Mileage'!Y333*CAR!$I$58</f>
        <v>21023.5167656839</v>
      </c>
      <c r="Z312" s="295">
        <f>'CAR Mileage'!Z333*CAR!$I$58</f>
        <v>21023.5167656839</v>
      </c>
      <c r="AA312" s="295">
        <f>'CAR Mileage'!AA333*CAR!$I$58</f>
        <v>21023.5167656839</v>
      </c>
      <c r="AB312" s="295">
        <f>'CAR Mileage'!AB333*CAR!$I$58</f>
        <v>21023.5167656839</v>
      </c>
      <c r="AC312" s="295">
        <f>'CAR Mileage'!AC333*CAR!$I$58</f>
        <v>21023.5167656839</v>
      </c>
      <c r="AD312" s="295">
        <f>'CAR Mileage'!AD333*CAR!$I$58</f>
        <v>21023.5167656839</v>
      </c>
      <c r="AE312" s="296">
        <f>'CAR Mileage'!AE333*CAR!$I$58</f>
        <v>21023.5167656839</v>
      </c>
      <c r="AG312" s="1711"/>
      <c r="AH312" s="116">
        <v>19</v>
      </c>
      <c r="AI312" s="294">
        <f>'CAR Passenger Kilometres'!C312*'CAR Stock'!C362</f>
        <v>0</v>
      </c>
      <c r="AJ312" s="295">
        <f>'CAR Passenger Kilometres'!D312*'CAR Stock'!D362</f>
        <v>0</v>
      </c>
      <c r="AK312" s="295">
        <f>'CAR Passenger Kilometres'!E312*'CAR Stock'!E362</f>
        <v>0</v>
      </c>
      <c r="AL312" s="295">
        <f>'CAR Passenger Kilometres'!F312*'CAR Stock'!F362</f>
        <v>0</v>
      </c>
      <c r="AM312" s="295">
        <f>'CAR Passenger Kilometres'!G312*'CAR Stock'!G362</f>
        <v>0</v>
      </c>
      <c r="AN312" s="295">
        <f>'CAR Passenger Kilometres'!H312*'CAR Stock'!H362</f>
        <v>0</v>
      </c>
      <c r="AO312" s="295">
        <f>'CAR Passenger Kilometres'!I312*'CAR Stock'!I362</f>
        <v>0</v>
      </c>
      <c r="AP312" s="295">
        <f>'CAR Passenger Kilometres'!J312*'CAR Stock'!J362</f>
        <v>0</v>
      </c>
      <c r="AQ312" s="295">
        <f>'CAR Passenger Kilometres'!K312*'CAR Stock'!K362</f>
        <v>0</v>
      </c>
      <c r="AR312" s="295">
        <f>'CAR Passenger Kilometres'!L312*'CAR Stock'!L362</f>
        <v>0</v>
      </c>
      <c r="AS312" s="295">
        <f>'CAR Passenger Kilometres'!M312*'CAR Stock'!M362</f>
        <v>0</v>
      </c>
      <c r="AT312" s="295">
        <f>'CAR Passenger Kilometres'!N312*'CAR Stock'!N362</f>
        <v>0</v>
      </c>
      <c r="AU312" s="295">
        <f>'CAR Passenger Kilometres'!O312*'CAR Stock'!O362</f>
        <v>0.49744420165101483</v>
      </c>
      <c r="AV312" s="295">
        <f>'CAR Passenger Kilometres'!P312*'CAR Stock'!P362</f>
        <v>25.867098485852768</v>
      </c>
      <c r="AW312" s="295">
        <f>'CAR Passenger Kilometres'!Q312*'CAR Stock'!Q362</f>
        <v>191.51601763564065</v>
      </c>
      <c r="AX312" s="295">
        <f>'CAR Passenger Kilometres'!R312*'CAR Stock'!R362</f>
        <v>716.31965037746113</v>
      </c>
      <c r="AY312" s="295">
        <f>'CAR Passenger Kilometres'!S312*'CAR Stock'!S362</f>
        <v>86.057846885625551</v>
      </c>
      <c r="AZ312" s="295">
        <f>'CAR Passenger Kilometres'!T312*'CAR Stock'!T362</f>
        <v>15.918214452832474</v>
      </c>
      <c r="BA312" s="295">
        <f>'CAR Passenger Kilometres'!U312*'CAR Stock'!U362</f>
        <v>0</v>
      </c>
      <c r="BB312" s="295">
        <f>'CAR Passenger Kilometres'!V312*'CAR Stock'!V362</f>
        <v>0</v>
      </c>
      <c r="BC312" s="295">
        <f>'CAR Passenger Kilometres'!W312*'CAR Stock'!W362</f>
        <v>0</v>
      </c>
      <c r="BD312" s="295">
        <f>'CAR Passenger Kilometres'!X312*'CAR Stock'!X362</f>
        <v>0</v>
      </c>
      <c r="BE312" s="295">
        <f>'CAR Passenger Kilometres'!Y312*'CAR Stock'!Y362</f>
        <v>0</v>
      </c>
      <c r="BF312" s="295">
        <f>'CAR Passenger Kilometres'!Z312*'CAR Stock'!Z362</f>
        <v>0</v>
      </c>
      <c r="BG312" s="295">
        <f>'CAR Passenger Kilometres'!AA312*'CAR Stock'!AA362</f>
        <v>0</v>
      </c>
      <c r="BH312" s="295">
        <f>'CAR Passenger Kilometres'!AB312*'CAR Stock'!AB362</f>
        <v>0</v>
      </c>
      <c r="BI312" s="295">
        <f>'CAR Passenger Kilometres'!AC312*'CAR Stock'!AC362</f>
        <v>0</v>
      </c>
      <c r="BJ312" s="295">
        <f>'CAR Passenger Kilometres'!AD312*'CAR Stock'!AD362</f>
        <v>0</v>
      </c>
      <c r="BK312" s="296">
        <f>'CAR Passenger Kilometres'!AE312*'CAR Stock'!AE362</f>
        <v>0</v>
      </c>
    </row>
    <row r="313" spans="1:63">
      <c r="A313" s="1711"/>
      <c r="B313" s="116">
        <v>20</v>
      </c>
      <c r="C313" s="294">
        <f>'CAR Mileage'!C334*CAR!$I$58</f>
        <v>21023.5167656839</v>
      </c>
      <c r="D313" s="295">
        <f>'CAR Mileage'!D334*CAR!$I$58</f>
        <v>21023.5167656839</v>
      </c>
      <c r="E313" s="295">
        <f>'CAR Mileage'!E334*CAR!$I$58</f>
        <v>21023.5167656839</v>
      </c>
      <c r="F313" s="295">
        <f>'CAR Mileage'!F334*CAR!$I$58</f>
        <v>21023.5167656839</v>
      </c>
      <c r="G313" s="295">
        <f>'CAR Mileage'!G334*CAR!$I$58</f>
        <v>21023.5167656839</v>
      </c>
      <c r="H313" s="295">
        <f>'CAR Mileage'!H334*CAR!$I$58</f>
        <v>21023.5167656839</v>
      </c>
      <c r="I313" s="295">
        <f>'CAR Mileage'!I334*CAR!$I$58</f>
        <v>21023.5167656839</v>
      </c>
      <c r="J313" s="295">
        <f>'CAR Mileage'!J334*CAR!$I$58</f>
        <v>21023.5167656839</v>
      </c>
      <c r="K313" s="295">
        <f>'CAR Mileage'!K334*CAR!$I$58</f>
        <v>21023.5167656839</v>
      </c>
      <c r="L313" s="295">
        <f>'CAR Mileage'!L334*CAR!$I$58</f>
        <v>21023.5167656839</v>
      </c>
      <c r="M313" s="295">
        <f>'CAR Mileage'!M334*CAR!$I$58</f>
        <v>21023.5167656839</v>
      </c>
      <c r="N313" s="295">
        <f>'CAR Mileage'!N334*CAR!$I$58</f>
        <v>21023.5167656839</v>
      </c>
      <c r="O313" s="295">
        <f>'CAR Mileage'!O334*CAR!$I$58</f>
        <v>21023.5167656839</v>
      </c>
      <c r="P313" s="295">
        <f>'CAR Mileage'!P334*CAR!$I$58</f>
        <v>21023.5167656839</v>
      </c>
      <c r="Q313" s="295">
        <f>'CAR Mileage'!Q334*CAR!$I$58</f>
        <v>21023.5167656839</v>
      </c>
      <c r="R313" s="295">
        <f>'CAR Mileage'!R334*CAR!$I$58</f>
        <v>21023.5167656839</v>
      </c>
      <c r="S313" s="295">
        <f>'CAR Mileage'!S334*CAR!$I$58</f>
        <v>21023.5167656839</v>
      </c>
      <c r="T313" s="295">
        <f>'CAR Mileage'!T334*CAR!$I$58</f>
        <v>21023.5167656839</v>
      </c>
      <c r="U313" s="295">
        <f>'CAR Mileage'!U334*CAR!$I$58</f>
        <v>21023.5167656839</v>
      </c>
      <c r="V313" s="295">
        <f>'CAR Mileage'!V334*CAR!$I$58</f>
        <v>21023.5167656839</v>
      </c>
      <c r="W313" s="295">
        <f>'CAR Mileage'!W334*CAR!$I$58</f>
        <v>21023.5167656839</v>
      </c>
      <c r="X313" s="295">
        <f>'CAR Mileage'!X334*CAR!$I$58</f>
        <v>21023.5167656839</v>
      </c>
      <c r="Y313" s="295">
        <f>'CAR Mileage'!Y334*CAR!$I$58</f>
        <v>21023.5167656839</v>
      </c>
      <c r="Z313" s="295">
        <f>'CAR Mileage'!Z334*CAR!$I$58</f>
        <v>21023.5167656839</v>
      </c>
      <c r="AA313" s="295">
        <f>'CAR Mileage'!AA334*CAR!$I$58</f>
        <v>21023.5167656839</v>
      </c>
      <c r="AB313" s="295">
        <f>'CAR Mileage'!AB334*CAR!$I$58</f>
        <v>21023.5167656839</v>
      </c>
      <c r="AC313" s="295">
        <f>'CAR Mileage'!AC334*CAR!$I$58</f>
        <v>21023.5167656839</v>
      </c>
      <c r="AD313" s="295">
        <f>'CAR Mileage'!AD334*CAR!$I$58</f>
        <v>21023.5167656839</v>
      </c>
      <c r="AE313" s="296">
        <f>'CAR Mileage'!AE334*CAR!$I$58</f>
        <v>21023.5167656839</v>
      </c>
      <c r="AG313" s="1711"/>
      <c r="AH313" s="116">
        <v>20</v>
      </c>
      <c r="AI313" s="294">
        <f>'CAR Passenger Kilometres'!C313*'CAR Stock'!C363</f>
        <v>0</v>
      </c>
      <c r="AJ313" s="295">
        <f>'CAR Passenger Kilometres'!D313*'CAR Stock'!D363</f>
        <v>0</v>
      </c>
      <c r="AK313" s="295">
        <f>'CAR Passenger Kilometres'!E313*'CAR Stock'!E363</f>
        <v>0</v>
      </c>
      <c r="AL313" s="295">
        <f>'CAR Passenger Kilometres'!F313*'CAR Stock'!F363</f>
        <v>0</v>
      </c>
      <c r="AM313" s="295">
        <f>'CAR Passenger Kilometres'!G313*'CAR Stock'!G363</f>
        <v>0</v>
      </c>
      <c r="AN313" s="295">
        <f>'CAR Passenger Kilometres'!H313*'CAR Stock'!H363</f>
        <v>0</v>
      </c>
      <c r="AO313" s="295">
        <f>'CAR Passenger Kilometres'!I313*'CAR Stock'!I363</f>
        <v>0</v>
      </c>
      <c r="AP313" s="295">
        <f>'CAR Passenger Kilometres'!J313*'CAR Stock'!J363</f>
        <v>0</v>
      </c>
      <c r="AQ313" s="295">
        <f>'CAR Passenger Kilometres'!K313*'CAR Stock'!K363</f>
        <v>0</v>
      </c>
      <c r="AR313" s="295">
        <f>'CAR Passenger Kilometres'!L313*'CAR Stock'!L363</f>
        <v>0</v>
      </c>
      <c r="AS313" s="295">
        <f>'CAR Passenger Kilometres'!M313*'CAR Stock'!M363</f>
        <v>0</v>
      </c>
      <c r="AT313" s="295">
        <f>'CAR Passenger Kilometres'!N313*'CAR Stock'!N363</f>
        <v>0</v>
      </c>
      <c r="AU313" s="295">
        <f>'CAR Passenger Kilometres'!O313*'CAR Stock'!O363</f>
        <v>0</v>
      </c>
      <c r="AV313" s="295">
        <f>'CAR Passenger Kilometres'!P313*'CAR Stock'!P363</f>
        <v>6.5697187884662653E-2</v>
      </c>
      <c r="AW313" s="295">
        <f>'CAR Passenger Kilometres'!Q313*'CAR Stock'!Q363</f>
        <v>3.416253770002458</v>
      </c>
      <c r="AX313" s="295">
        <f>'CAR Passenger Kilometres'!R313*'CAR Stock'!R363</f>
        <v>25.293417335595116</v>
      </c>
      <c r="AY313" s="295">
        <f>'CAR Passenger Kilometres'!S313*'CAR Stock'!S363</f>
        <v>94.603950553914203</v>
      </c>
      <c r="AZ313" s="295">
        <f>'CAR Passenger Kilometres'!T313*'CAR Stock'!T363</f>
        <v>11.365613504046637</v>
      </c>
      <c r="BA313" s="295">
        <f>'CAR Passenger Kilometres'!U313*'CAR Stock'!U363</f>
        <v>2.1023100123092049</v>
      </c>
      <c r="BB313" s="295">
        <f>'CAR Passenger Kilometres'!V313*'CAR Stock'!V363</f>
        <v>0</v>
      </c>
      <c r="BC313" s="295">
        <f>'CAR Passenger Kilometres'!W313*'CAR Stock'!W363</f>
        <v>0</v>
      </c>
      <c r="BD313" s="295">
        <f>'CAR Passenger Kilometres'!X313*'CAR Stock'!X363</f>
        <v>0</v>
      </c>
      <c r="BE313" s="295">
        <f>'CAR Passenger Kilometres'!Y313*'CAR Stock'!Y363</f>
        <v>0</v>
      </c>
      <c r="BF313" s="295">
        <f>'CAR Passenger Kilometres'!Z313*'CAR Stock'!Z363</f>
        <v>0</v>
      </c>
      <c r="BG313" s="295">
        <f>'CAR Passenger Kilometres'!AA313*'CAR Stock'!AA363</f>
        <v>0</v>
      </c>
      <c r="BH313" s="295">
        <f>'CAR Passenger Kilometres'!AB313*'CAR Stock'!AB363</f>
        <v>0</v>
      </c>
      <c r="BI313" s="295">
        <f>'CAR Passenger Kilometres'!AC313*'CAR Stock'!AC363</f>
        <v>0</v>
      </c>
      <c r="BJ313" s="295">
        <f>'CAR Passenger Kilometres'!AD313*'CAR Stock'!AD363</f>
        <v>0</v>
      </c>
      <c r="BK313" s="296">
        <f>'CAR Passenger Kilometres'!AE313*'CAR Stock'!AE363</f>
        <v>0</v>
      </c>
    </row>
    <row r="314" spans="1:63">
      <c r="A314" s="1711"/>
      <c r="B314" s="116">
        <v>21</v>
      </c>
      <c r="C314" s="294">
        <f>'CAR Mileage'!C335*CAR!$I$58</f>
        <v>21023.5167656839</v>
      </c>
      <c r="D314" s="295">
        <f>'CAR Mileage'!D335*CAR!$I$58</f>
        <v>21023.5167656839</v>
      </c>
      <c r="E314" s="295">
        <f>'CAR Mileage'!E335*CAR!$I$58</f>
        <v>21023.5167656839</v>
      </c>
      <c r="F314" s="295">
        <f>'CAR Mileage'!F335*CAR!$I$58</f>
        <v>21023.5167656839</v>
      </c>
      <c r="G314" s="295">
        <f>'CAR Mileage'!G335*CAR!$I$58</f>
        <v>21023.5167656839</v>
      </c>
      <c r="H314" s="295">
        <f>'CAR Mileage'!H335*CAR!$I$58</f>
        <v>21023.5167656839</v>
      </c>
      <c r="I314" s="295">
        <f>'CAR Mileage'!I335*CAR!$I$58</f>
        <v>21023.5167656839</v>
      </c>
      <c r="J314" s="295">
        <f>'CAR Mileage'!J335*CAR!$I$58</f>
        <v>21023.5167656839</v>
      </c>
      <c r="K314" s="295">
        <f>'CAR Mileage'!K335*CAR!$I$58</f>
        <v>21023.5167656839</v>
      </c>
      <c r="L314" s="295">
        <f>'CAR Mileage'!L335*CAR!$I$58</f>
        <v>21023.5167656839</v>
      </c>
      <c r="M314" s="295">
        <f>'CAR Mileage'!M335*CAR!$I$58</f>
        <v>21023.5167656839</v>
      </c>
      <c r="N314" s="295">
        <f>'CAR Mileage'!N335*CAR!$I$58</f>
        <v>21023.5167656839</v>
      </c>
      <c r="O314" s="295">
        <f>'CAR Mileage'!O335*CAR!$I$58</f>
        <v>21023.5167656839</v>
      </c>
      <c r="P314" s="295">
        <f>'CAR Mileage'!P335*CAR!$I$58</f>
        <v>21023.5167656839</v>
      </c>
      <c r="Q314" s="295">
        <f>'CAR Mileage'!Q335*CAR!$I$58</f>
        <v>21023.5167656839</v>
      </c>
      <c r="R314" s="295">
        <f>'CAR Mileage'!R335*CAR!$I$58</f>
        <v>21023.5167656839</v>
      </c>
      <c r="S314" s="295">
        <f>'CAR Mileage'!S335*CAR!$I$58</f>
        <v>21023.5167656839</v>
      </c>
      <c r="T314" s="295">
        <f>'CAR Mileage'!T335*CAR!$I$58</f>
        <v>21023.5167656839</v>
      </c>
      <c r="U314" s="295">
        <f>'CAR Mileage'!U335*CAR!$I$58</f>
        <v>21023.5167656839</v>
      </c>
      <c r="V314" s="295">
        <f>'CAR Mileage'!V335*CAR!$I$58</f>
        <v>21023.5167656839</v>
      </c>
      <c r="W314" s="295">
        <f>'CAR Mileage'!W335*CAR!$I$58</f>
        <v>21023.5167656839</v>
      </c>
      <c r="X314" s="295">
        <f>'CAR Mileage'!X335*CAR!$I$58</f>
        <v>21023.5167656839</v>
      </c>
      <c r="Y314" s="295">
        <f>'CAR Mileage'!Y335*CAR!$I$58</f>
        <v>21023.5167656839</v>
      </c>
      <c r="Z314" s="295">
        <f>'CAR Mileage'!Z335*CAR!$I$58</f>
        <v>21023.5167656839</v>
      </c>
      <c r="AA314" s="295">
        <f>'CAR Mileage'!AA335*CAR!$I$58</f>
        <v>21023.5167656839</v>
      </c>
      <c r="AB314" s="295">
        <f>'CAR Mileage'!AB335*CAR!$I$58</f>
        <v>21023.5167656839</v>
      </c>
      <c r="AC314" s="295">
        <f>'CAR Mileage'!AC335*CAR!$I$58</f>
        <v>21023.5167656839</v>
      </c>
      <c r="AD314" s="295">
        <f>'CAR Mileage'!AD335*CAR!$I$58</f>
        <v>21023.5167656839</v>
      </c>
      <c r="AE314" s="296">
        <f>'CAR Mileage'!AE335*CAR!$I$58</f>
        <v>21023.5167656839</v>
      </c>
      <c r="AG314" s="1711"/>
      <c r="AH314" s="116">
        <v>21</v>
      </c>
      <c r="AI314" s="294">
        <f>'CAR Passenger Kilometres'!C314*'CAR Stock'!C364</f>
        <v>0</v>
      </c>
      <c r="AJ314" s="295">
        <f>'CAR Passenger Kilometres'!D314*'CAR Stock'!D364</f>
        <v>0</v>
      </c>
      <c r="AK314" s="295">
        <f>'CAR Passenger Kilometres'!E314*'CAR Stock'!E364</f>
        <v>0</v>
      </c>
      <c r="AL314" s="295">
        <f>'CAR Passenger Kilometres'!F314*'CAR Stock'!F364</f>
        <v>0</v>
      </c>
      <c r="AM314" s="295">
        <f>'CAR Passenger Kilometres'!G314*'CAR Stock'!G364</f>
        <v>0</v>
      </c>
      <c r="AN314" s="295">
        <f>'CAR Passenger Kilometres'!H314*'CAR Stock'!H364</f>
        <v>0</v>
      </c>
      <c r="AO314" s="295">
        <f>'CAR Passenger Kilometres'!I314*'CAR Stock'!I364</f>
        <v>0</v>
      </c>
      <c r="AP314" s="295">
        <f>'CAR Passenger Kilometres'!J314*'CAR Stock'!J364</f>
        <v>0</v>
      </c>
      <c r="AQ314" s="295">
        <f>'CAR Passenger Kilometres'!K314*'CAR Stock'!K364</f>
        <v>0</v>
      </c>
      <c r="AR314" s="295">
        <f>'CAR Passenger Kilometres'!L314*'CAR Stock'!L364</f>
        <v>0</v>
      </c>
      <c r="AS314" s="295">
        <f>'CAR Passenger Kilometres'!M314*'CAR Stock'!M364</f>
        <v>0</v>
      </c>
      <c r="AT314" s="295">
        <f>'CAR Passenger Kilometres'!N314*'CAR Stock'!N364</f>
        <v>0</v>
      </c>
      <c r="AU314" s="295">
        <f>'CAR Passenger Kilometres'!O314*'CAR Stock'!O364</f>
        <v>0</v>
      </c>
      <c r="AV314" s="295">
        <f>'CAR Passenger Kilometres'!P314*'CAR Stock'!P364</f>
        <v>0</v>
      </c>
      <c r="AW314" s="295">
        <f>'CAR Passenger Kilometres'!Q314*'CAR Stock'!Q364</f>
        <v>6.9412737856868884E-3</v>
      </c>
      <c r="AX314" s="295">
        <f>'CAR Passenger Kilometres'!R314*'CAR Stock'!R364</f>
        <v>0.36094623685571819</v>
      </c>
      <c r="AY314" s="295">
        <f>'CAR Passenger Kilometres'!S314*'CAR Stock'!S364</f>
        <v>2.6723904074894516</v>
      </c>
      <c r="AZ314" s="295">
        <f>'CAR Passenger Kilometres'!T314*'CAR Stock'!T364</f>
        <v>9.995434251389117</v>
      </c>
      <c r="BA314" s="295">
        <f>'CAR Passenger Kilometres'!U314*'CAR Stock'!U364</f>
        <v>1.2008403649238317</v>
      </c>
      <c r="BB314" s="295">
        <f>'CAR Passenger Kilometres'!V314*'CAR Stock'!V364</f>
        <v>0.22212076114198043</v>
      </c>
      <c r="BC314" s="295">
        <f>'CAR Passenger Kilometres'!W314*'CAR Stock'!W364</f>
        <v>0</v>
      </c>
      <c r="BD314" s="295">
        <f>'CAR Passenger Kilometres'!X314*'CAR Stock'!X364</f>
        <v>0</v>
      </c>
      <c r="BE314" s="295">
        <f>'CAR Passenger Kilometres'!Y314*'CAR Stock'!Y364</f>
        <v>0</v>
      </c>
      <c r="BF314" s="295">
        <f>'CAR Passenger Kilometres'!Z314*'CAR Stock'!Z364</f>
        <v>0</v>
      </c>
      <c r="BG314" s="295">
        <f>'CAR Passenger Kilometres'!AA314*'CAR Stock'!AA364</f>
        <v>0</v>
      </c>
      <c r="BH314" s="295">
        <f>'CAR Passenger Kilometres'!AB314*'CAR Stock'!AB364</f>
        <v>0</v>
      </c>
      <c r="BI314" s="295">
        <f>'CAR Passenger Kilometres'!AC314*'CAR Stock'!AC364</f>
        <v>0</v>
      </c>
      <c r="BJ314" s="295">
        <f>'CAR Passenger Kilometres'!AD314*'CAR Stock'!AD364</f>
        <v>0</v>
      </c>
      <c r="BK314" s="296">
        <f>'CAR Passenger Kilometres'!AE314*'CAR Stock'!AE364</f>
        <v>0</v>
      </c>
    </row>
    <row r="315" spans="1:63">
      <c r="A315" s="1711"/>
      <c r="B315" s="116">
        <v>22</v>
      </c>
      <c r="C315" s="294">
        <f>'CAR Mileage'!C336*CAR!$I$58</f>
        <v>21023.5167656839</v>
      </c>
      <c r="D315" s="295">
        <f>'CAR Mileage'!D336*CAR!$I$58</f>
        <v>21023.5167656839</v>
      </c>
      <c r="E315" s="295">
        <f>'CAR Mileage'!E336*CAR!$I$58</f>
        <v>21023.5167656839</v>
      </c>
      <c r="F315" s="295">
        <f>'CAR Mileage'!F336*CAR!$I$58</f>
        <v>21023.5167656839</v>
      </c>
      <c r="G315" s="295">
        <f>'CAR Mileage'!G336*CAR!$I$58</f>
        <v>21023.5167656839</v>
      </c>
      <c r="H315" s="295">
        <f>'CAR Mileage'!H336*CAR!$I$58</f>
        <v>21023.5167656839</v>
      </c>
      <c r="I315" s="295">
        <f>'CAR Mileage'!I336*CAR!$I$58</f>
        <v>21023.5167656839</v>
      </c>
      <c r="J315" s="295">
        <f>'CAR Mileage'!J336*CAR!$I$58</f>
        <v>21023.5167656839</v>
      </c>
      <c r="K315" s="295">
        <f>'CAR Mileage'!K336*CAR!$I$58</f>
        <v>21023.5167656839</v>
      </c>
      <c r="L315" s="295">
        <f>'CAR Mileage'!L336*CAR!$I$58</f>
        <v>21023.5167656839</v>
      </c>
      <c r="M315" s="295">
        <f>'CAR Mileage'!M336*CAR!$I$58</f>
        <v>21023.5167656839</v>
      </c>
      <c r="N315" s="295">
        <f>'CAR Mileage'!N336*CAR!$I$58</f>
        <v>21023.5167656839</v>
      </c>
      <c r="O315" s="295">
        <f>'CAR Mileage'!O336*CAR!$I$58</f>
        <v>21023.5167656839</v>
      </c>
      <c r="P315" s="295">
        <f>'CAR Mileage'!P336*CAR!$I$58</f>
        <v>21023.5167656839</v>
      </c>
      <c r="Q315" s="295">
        <f>'CAR Mileage'!Q336*CAR!$I$58</f>
        <v>21023.5167656839</v>
      </c>
      <c r="R315" s="295">
        <f>'CAR Mileage'!R336*CAR!$I$58</f>
        <v>21023.5167656839</v>
      </c>
      <c r="S315" s="295">
        <f>'CAR Mileage'!S336*CAR!$I$58</f>
        <v>21023.5167656839</v>
      </c>
      <c r="T315" s="295">
        <f>'CAR Mileage'!T336*CAR!$I$58</f>
        <v>21023.5167656839</v>
      </c>
      <c r="U315" s="295">
        <f>'CAR Mileage'!U336*CAR!$I$58</f>
        <v>21023.5167656839</v>
      </c>
      <c r="V315" s="295">
        <f>'CAR Mileage'!V336*CAR!$I$58</f>
        <v>21023.5167656839</v>
      </c>
      <c r="W315" s="295">
        <f>'CAR Mileage'!W336*CAR!$I$58</f>
        <v>21023.5167656839</v>
      </c>
      <c r="X315" s="295">
        <f>'CAR Mileage'!X336*CAR!$I$58</f>
        <v>21023.5167656839</v>
      </c>
      <c r="Y315" s="295">
        <f>'CAR Mileage'!Y336*CAR!$I$58</f>
        <v>21023.5167656839</v>
      </c>
      <c r="Z315" s="295">
        <f>'CAR Mileage'!Z336*CAR!$I$58</f>
        <v>21023.5167656839</v>
      </c>
      <c r="AA315" s="295">
        <f>'CAR Mileage'!AA336*CAR!$I$58</f>
        <v>21023.5167656839</v>
      </c>
      <c r="AB315" s="295">
        <f>'CAR Mileage'!AB336*CAR!$I$58</f>
        <v>21023.5167656839</v>
      </c>
      <c r="AC315" s="295">
        <f>'CAR Mileage'!AC336*CAR!$I$58</f>
        <v>21023.5167656839</v>
      </c>
      <c r="AD315" s="295">
        <f>'CAR Mileage'!AD336*CAR!$I$58</f>
        <v>21023.5167656839</v>
      </c>
      <c r="AE315" s="296">
        <f>'CAR Mileage'!AE336*CAR!$I$58</f>
        <v>21023.5167656839</v>
      </c>
      <c r="AG315" s="1711"/>
      <c r="AH315" s="116">
        <v>22</v>
      </c>
      <c r="AI315" s="294">
        <f>'CAR Passenger Kilometres'!C315*'CAR Stock'!C365</f>
        <v>0</v>
      </c>
      <c r="AJ315" s="295">
        <f>'CAR Passenger Kilometres'!D315*'CAR Stock'!D365</f>
        <v>0</v>
      </c>
      <c r="AK315" s="295">
        <f>'CAR Passenger Kilometres'!E315*'CAR Stock'!E365</f>
        <v>0</v>
      </c>
      <c r="AL315" s="295">
        <f>'CAR Passenger Kilometres'!F315*'CAR Stock'!F365</f>
        <v>0</v>
      </c>
      <c r="AM315" s="295">
        <f>'CAR Passenger Kilometres'!G315*'CAR Stock'!G365</f>
        <v>0</v>
      </c>
      <c r="AN315" s="295">
        <f>'CAR Passenger Kilometres'!H315*'CAR Stock'!H365</f>
        <v>0</v>
      </c>
      <c r="AO315" s="295">
        <f>'CAR Passenger Kilometres'!I315*'CAR Stock'!I365</f>
        <v>0</v>
      </c>
      <c r="AP315" s="295">
        <f>'CAR Passenger Kilometres'!J315*'CAR Stock'!J365</f>
        <v>0</v>
      </c>
      <c r="AQ315" s="295">
        <f>'CAR Passenger Kilometres'!K315*'CAR Stock'!K365</f>
        <v>0</v>
      </c>
      <c r="AR315" s="295">
        <f>'CAR Passenger Kilometres'!L315*'CAR Stock'!L365</f>
        <v>0</v>
      </c>
      <c r="AS315" s="295">
        <f>'CAR Passenger Kilometres'!M315*'CAR Stock'!M365</f>
        <v>0</v>
      </c>
      <c r="AT315" s="295">
        <f>'CAR Passenger Kilometres'!N315*'CAR Stock'!N365</f>
        <v>0</v>
      </c>
      <c r="AU315" s="295">
        <f>'CAR Passenger Kilometres'!O315*'CAR Stock'!O365</f>
        <v>0</v>
      </c>
      <c r="AV315" s="295">
        <f>'CAR Passenger Kilometres'!P315*'CAR Stock'!P365</f>
        <v>0</v>
      </c>
      <c r="AW315" s="295">
        <f>'CAR Passenger Kilometres'!Q315*'CAR Stock'!Q365</f>
        <v>0</v>
      </c>
      <c r="AX315" s="295">
        <f>'CAR Passenger Kilometres'!R315*'CAR Stock'!R365</f>
        <v>5.5003817498761021E-4</v>
      </c>
      <c r="AY315" s="295">
        <f>'CAR Passenger Kilometres'!S315*'CAR Stock'!S365</f>
        <v>2.8601985099355735E-2</v>
      </c>
      <c r="AZ315" s="295">
        <f>'CAR Passenger Kilometres'!T315*'CAR Stock'!T365</f>
        <v>0.21176469737022993</v>
      </c>
      <c r="BA315" s="295">
        <f>'CAR Passenger Kilometres'!U315*'CAR Stock'!U365</f>
        <v>0.79205497198215868</v>
      </c>
      <c r="BB315" s="295">
        <f>'CAR Passenger Kilometres'!V315*'CAR Stock'!V365</f>
        <v>9.5156604272856576E-2</v>
      </c>
      <c r="BC315" s="295">
        <f>'CAR Passenger Kilometres'!W315*'CAR Stock'!W365</f>
        <v>1.7601221599603527E-2</v>
      </c>
      <c r="BD315" s="295">
        <f>'CAR Passenger Kilometres'!X315*'CAR Stock'!X365</f>
        <v>0</v>
      </c>
      <c r="BE315" s="295">
        <f>'CAR Passenger Kilometres'!Y315*'CAR Stock'!Y365</f>
        <v>0</v>
      </c>
      <c r="BF315" s="295">
        <f>'CAR Passenger Kilometres'!Z315*'CAR Stock'!Z365</f>
        <v>0</v>
      </c>
      <c r="BG315" s="295">
        <f>'CAR Passenger Kilometres'!AA315*'CAR Stock'!AA365</f>
        <v>0</v>
      </c>
      <c r="BH315" s="295">
        <f>'CAR Passenger Kilometres'!AB315*'CAR Stock'!AB365</f>
        <v>0</v>
      </c>
      <c r="BI315" s="295">
        <f>'CAR Passenger Kilometres'!AC315*'CAR Stock'!AC365</f>
        <v>0</v>
      </c>
      <c r="BJ315" s="295">
        <f>'CAR Passenger Kilometres'!AD315*'CAR Stock'!AD365</f>
        <v>0</v>
      </c>
      <c r="BK315" s="296">
        <f>'CAR Passenger Kilometres'!AE315*'CAR Stock'!AE365</f>
        <v>0</v>
      </c>
    </row>
    <row r="316" spans="1:63">
      <c r="A316" s="1711"/>
      <c r="B316" s="116">
        <v>23</v>
      </c>
      <c r="C316" s="294">
        <f>'CAR Mileage'!C337*CAR!$I$58</f>
        <v>21023.5167656839</v>
      </c>
      <c r="D316" s="295">
        <f>'CAR Mileage'!D337*CAR!$I$58</f>
        <v>21023.5167656839</v>
      </c>
      <c r="E316" s="295">
        <f>'CAR Mileage'!E337*CAR!$I$58</f>
        <v>21023.5167656839</v>
      </c>
      <c r="F316" s="295">
        <f>'CAR Mileage'!F337*CAR!$I$58</f>
        <v>21023.5167656839</v>
      </c>
      <c r="G316" s="295">
        <f>'CAR Mileage'!G337*CAR!$I$58</f>
        <v>21023.5167656839</v>
      </c>
      <c r="H316" s="295">
        <f>'CAR Mileage'!H337*CAR!$I$58</f>
        <v>21023.5167656839</v>
      </c>
      <c r="I316" s="295">
        <f>'CAR Mileage'!I337*CAR!$I$58</f>
        <v>21023.5167656839</v>
      </c>
      <c r="J316" s="295">
        <f>'CAR Mileage'!J337*CAR!$I$58</f>
        <v>21023.5167656839</v>
      </c>
      <c r="K316" s="295">
        <f>'CAR Mileage'!K337*CAR!$I$58</f>
        <v>21023.5167656839</v>
      </c>
      <c r="L316" s="295">
        <f>'CAR Mileage'!L337*CAR!$I$58</f>
        <v>21023.5167656839</v>
      </c>
      <c r="M316" s="295">
        <f>'CAR Mileage'!M337*CAR!$I$58</f>
        <v>21023.5167656839</v>
      </c>
      <c r="N316" s="295">
        <f>'CAR Mileage'!N337*CAR!$I$58</f>
        <v>21023.5167656839</v>
      </c>
      <c r="O316" s="295">
        <f>'CAR Mileage'!O337*CAR!$I$58</f>
        <v>21023.5167656839</v>
      </c>
      <c r="P316" s="295">
        <f>'CAR Mileage'!P337*CAR!$I$58</f>
        <v>21023.5167656839</v>
      </c>
      <c r="Q316" s="295">
        <f>'CAR Mileage'!Q337*CAR!$I$58</f>
        <v>21023.5167656839</v>
      </c>
      <c r="R316" s="295">
        <f>'CAR Mileage'!R337*CAR!$I$58</f>
        <v>21023.5167656839</v>
      </c>
      <c r="S316" s="295">
        <f>'CAR Mileage'!S337*CAR!$I$58</f>
        <v>21023.5167656839</v>
      </c>
      <c r="T316" s="295">
        <f>'CAR Mileage'!T337*CAR!$I$58</f>
        <v>21023.5167656839</v>
      </c>
      <c r="U316" s="295">
        <f>'CAR Mileage'!U337*CAR!$I$58</f>
        <v>21023.5167656839</v>
      </c>
      <c r="V316" s="295">
        <f>'CAR Mileage'!V337*CAR!$I$58</f>
        <v>21023.5167656839</v>
      </c>
      <c r="W316" s="295">
        <f>'CAR Mileage'!W337*CAR!$I$58</f>
        <v>21023.5167656839</v>
      </c>
      <c r="X316" s="295">
        <f>'CAR Mileage'!X337*CAR!$I$58</f>
        <v>21023.5167656839</v>
      </c>
      <c r="Y316" s="295">
        <f>'CAR Mileage'!Y337*CAR!$I$58</f>
        <v>21023.5167656839</v>
      </c>
      <c r="Z316" s="295">
        <f>'CAR Mileage'!Z337*CAR!$I$58</f>
        <v>21023.5167656839</v>
      </c>
      <c r="AA316" s="295">
        <f>'CAR Mileage'!AA337*CAR!$I$58</f>
        <v>21023.5167656839</v>
      </c>
      <c r="AB316" s="295">
        <f>'CAR Mileage'!AB337*CAR!$I$58</f>
        <v>21023.5167656839</v>
      </c>
      <c r="AC316" s="295">
        <f>'CAR Mileage'!AC337*CAR!$I$58</f>
        <v>21023.5167656839</v>
      </c>
      <c r="AD316" s="295">
        <f>'CAR Mileage'!AD337*CAR!$I$58</f>
        <v>21023.5167656839</v>
      </c>
      <c r="AE316" s="296">
        <f>'CAR Mileage'!AE337*CAR!$I$58</f>
        <v>21023.5167656839</v>
      </c>
      <c r="AG316" s="1711"/>
      <c r="AH316" s="116">
        <v>23</v>
      </c>
      <c r="AI316" s="294">
        <f>'CAR Passenger Kilometres'!C316*'CAR Stock'!C366</f>
        <v>0</v>
      </c>
      <c r="AJ316" s="295">
        <f>'CAR Passenger Kilometres'!D316*'CAR Stock'!D366</f>
        <v>0</v>
      </c>
      <c r="AK316" s="295">
        <f>'CAR Passenger Kilometres'!E316*'CAR Stock'!E366</f>
        <v>0</v>
      </c>
      <c r="AL316" s="295">
        <f>'CAR Passenger Kilometres'!F316*'CAR Stock'!F366</f>
        <v>0</v>
      </c>
      <c r="AM316" s="295">
        <f>'CAR Passenger Kilometres'!G316*'CAR Stock'!G366</f>
        <v>0</v>
      </c>
      <c r="AN316" s="295">
        <f>'CAR Passenger Kilometres'!H316*'CAR Stock'!H366</f>
        <v>0</v>
      </c>
      <c r="AO316" s="295">
        <f>'CAR Passenger Kilometres'!I316*'CAR Stock'!I366</f>
        <v>0</v>
      </c>
      <c r="AP316" s="295">
        <f>'CAR Passenger Kilometres'!J316*'CAR Stock'!J366</f>
        <v>0</v>
      </c>
      <c r="AQ316" s="295">
        <f>'CAR Passenger Kilometres'!K316*'CAR Stock'!K366</f>
        <v>0</v>
      </c>
      <c r="AR316" s="295">
        <f>'CAR Passenger Kilometres'!L316*'CAR Stock'!L366</f>
        <v>0</v>
      </c>
      <c r="AS316" s="295">
        <f>'CAR Passenger Kilometres'!M316*'CAR Stock'!M366</f>
        <v>0</v>
      </c>
      <c r="AT316" s="295">
        <f>'CAR Passenger Kilometres'!N316*'CAR Stock'!N366</f>
        <v>0</v>
      </c>
      <c r="AU316" s="295">
        <f>'CAR Passenger Kilometres'!O316*'CAR Stock'!O366</f>
        <v>0</v>
      </c>
      <c r="AV316" s="295">
        <f>'CAR Passenger Kilometres'!P316*'CAR Stock'!P366</f>
        <v>0</v>
      </c>
      <c r="AW316" s="295">
        <f>'CAR Passenger Kilometres'!Q316*'CAR Stock'!Q366</f>
        <v>0</v>
      </c>
      <c r="AX316" s="295">
        <f>'CAR Passenger Kilometres'!R316*'CAR Stock'!R366</f>
        <v>0</v>
      </c>
      <c r="AY316" s="295">
        <f>'CAR Passenger Kilometres'!S316*'CAR Stock'!S366</f>
        <v>2.9057298250507594E-5</v>
      </c>
      <c r="AZ316" s="295">
        <f>'CAR Passenger Kilometres'!T316*'CAR Stock'!T366</f>
        <v>1.510979509026395E-3</v>
      </c>
      <c r="BA316" s="295">
        <f>'CAR Passenger Kilometres'!U316*'CAR Stock'!U366</f>
        <v>1.1187059826445422E-2</v>
      </c>
      <c r="BB316" s="295">
        <f>'CAR Passenger Kilometres'!V316*'CAR Stock'!V366</f>
        <v>4.1842509480730934E-2</v>
      </c>
      <c r="BC316" s="295">
        <f>'CAR Passenger Kilometres'!W316*'CAR Stock'!W366</f>
        <v>5.0269125973378143E-3</v>
      </c>
      <c r="BD316" s="295">
        <f>'CAR Passenger Kilometres'!X316*'CAR Stock'!X366</f>
        <v>9.29833544016243E-4</v>
      </c>
      <c r="BE316" s="295">
        <f>'CAR Passenger Kilometres'!Y316*'CAR Stock'!Y366</f>
        <v>0</v>
      </c>
      <c r="BF316" s="295">
        <f>'CAR Passenger Kilometres'!Z316*'CAR Stock'!Z366</f>
        <v>0</v>
      </c>
      <c r="BG316" s="295">
        <f>'CAR Passenger Kilometres'!AA316*'CAR Stock'!AA366</f>
        <v>0</v>
      </c>
      <c r="BH316" s="295">
        <f>'CAR Passenger Kilometres'!AB316*'CAR Stock'!AB366</f>
        <v>0</v>
      </c>
      <c r="BI316" s="295">
        <f>'CAR Passenger Kilometres'!AC316*'CAR Stock'!AC366</f>
        <v>0</v>
      </c>
      <c r="BJ316" s="295">
        <f>'CAR Passenger Kilometres'!AD316*'CAR Stock'!AD366</f>
        <v>0</v>
      </c>
      <c r="BK316" s="296">
        <f>'CAR Passenger Kilometres'!AE316*'CAR Stock'!AE366</f>
        <v>0</v>
      </c>
    </row>
    <row r="317" spans="1:63">
      <c r="A317" s="1711"/>
      <c r="B317" s="116">
        <v>24</v>
      </c>
      <c r="C317" s="294">
        <f>'CAR Mileage'!C338*CAR!$I$58</f>
        <v>21023.5167656839</v>
      </c>
      <c r="D317" s="295">
        <f>'CAR Mileage'!D338*CAR!$I$58</f>
        <v>21023.5167656839</v>
      </c>
      <c r="E317" s="295">
        <f>'CAR Mileage'!E338*CAR!$I$58</f>
        <v>21023.5167656839</v>
      </c>
      <c r="F317" s="295">
        <f>'CAR Mileage'!F338*CAR!$I$58</f>
        <v>21023.5167656839</v>
      </c>
      <c r="G317" s="295">
        <f>'CAR Mileage'!G338*CAR!$I$58</f>
        <v>21023.5167656839</v>
      </c>
      <c r="H317" s="295">
        <f>'CAR Mileage'!H338*CAR!$I$58</f>
        <v>21023.5167656839</v>
      </c>
      <c r="I317" s="295">
        <f>'CAR Mileage'!I338*CAR!$I$58</f>
        <v>21023.5167656839</v>
      </c>
      <c r="J317" s="295">
        <f>'CAR Mileage'!J338*CAR!$I$58</f>
        <v>21023.5167656839</v>
      </c>
      <c r="K317" s="295">
        <f>'CAR Mileage'!K338*CAR!$I$58</f>
        <v>21023.5167656839</v>
      </c>
      <c r="L317" s="295">
        <f>'CAR Mileage'!L338*CAR!$I$58</f>
        <v>21023.5167656839</v>
      </c>
      <c r="M317" s="295">
        <f>'CAR Mileage'!M338*CAR!$I$58</f>
        <v>21023.5167656839</v>
      </c>
      <c r="N317" s="295">
        <f>'CAR Mileage'!N338*CAR!$I$58</f>
        <v>21023.5167656839</v>
      </c>
      <c r="O317" s="295">
        <f>'CAR Mileage'!O338*CAR!$I$58</f>
        <v>21023.5167656839</v>
      </c>
      <c r="P317" s="295">
        <f>'CAR Mileage'!P338*CAR!$I$58</f>
        <v>21023.5167656839</v>
      </c>
      <c r="Q317" s="295">
        <f>'CAR Mileage'!Q338*CAR!$I$58</f>
        <v>21023.5167656839</v>
      </c>
      <c r="R317" s="295">
        <f>'CAR Mileage'!R338*CAR!$I$58</f>
        <v>21023.5167656839</v>
      </c>
      <c r="S317" s="295">
        <f>'CAR Mileage'!S338*CAR!$I$58</f>
        <v>21023.5167656839</v>
      </c>
      <c r="T317" s="295">
        <f>'CAR Mileage'!T338*CAR!$I$58</f>
        <v>21023.5167656839</v>
      </c>
      <c r="U317" s="295">
        <f>'CAR Mileage'!U338*CAR!$I$58</f>
        <v>21023.5167656839</v>
      </c>
      <c r="V317" s="295">
        <f>'CAR Mileage'!V338*CAR!$I$58</f>
        <v>21023.5167656839</v>
      </c>
      <c r="W317" s="295">
        <f>'CAR Mileage'!W338*CAR!$I$58</f>
        <v>21023.5167656839</v>
      </c>
      <c r="X317" s="295">
        <f>'CAR Mileage'!X338*CAR!$I$58</f>
        <v>21023.5167656839</v>
      </c>
      <c r="Y317" s="295">
        <f>'CAR Mileage'!Y338*CAR!$I$58</f>
        <v>21023.5167656839</v>
      </c>
      <c r="Z317" s="295">
        <f>'CAR Mileage'!Z338*CAR!$I$58</f>
        <v>21023.5167656839</v>
      </c>
      <c r="AA317" s="295">
        <f>'CAR Mileage'!AA338*CAR!$I$58</f>
        <v>21023.5167656839</v>
      </c>
      <c r="AB317" s="295">
        <f>'CAR Mileage'!AB338*CAR!$I$58</f>
        <v>21023.5167656839</v>
      </c>
      <c r="AC317" s="295">
        <f>'CAR Mileage'!AC338*CAR!$I$58</f>
        <v>21023.5167656839</v>
      </c>
      <c r="AD317" s="295">
        <f>'CAR Mileage'!AD338*CAR!$I$58</f>
        <v>21023.5167656839</v>
      </c>
      <c r="AE317" s="296">
        <f>'CAR Mileage'!AE338*CAR!$I$58</f>
        <v>21023.5167656839</v>
      </c>
      <c r="AG317" s="1711"/>
      <c r="AH317" s="116">
        <v>24</v>
      </c>
      <c r="AI317" s="294">
        <f>'CAR Passenger Kilometres'!C317*'CAR Stock'!C367</f>
        <v>0</v>
      </c>
      <c r="AJ317" s="295">
        <f>'CAR Passenger Kilometres'!D317*'CAR Stock'!D367</f>
        <v>0</v>
      </c>
      <c r="AK317" s="295">
        <f>'CAR Passenger Kilometres'!E317*'CAR Stock'!E367</f>
        <v>0</v>
      </c>
      <c r="AL317" s="295">
        <f>'CAR Passenger Kilometres'!F317*'CAR Stock'!F367</f>
        <v>0</v>
      </c>
      <c r="AM317" s="295">
        <f>'CAR Passenger Kilometres'!G317*'CAR Stock'!G367</f>
        <v>0</v>
      </c>
      <c r="AN317" s="295">
        <f>'CAR Passenger Kilometres'!H317*'CAR Stock'!H367</f>
        <v>0</v>
      </c>
      <c r="AO317" s="295">
        <f>'CAR Passenger Kilometres'!I317*'CAR Stock'!I367</f>
        <v>0</v>
      </c>
      <c r="AP317" s="295">
        <f>'CAR Passenger Kilometres'!J317*'CAR Stock'!J367</f>
        <v>0</v>
      </c>
      <c r="AQ317" s="295">
        <f>'CAR Passenger Kilometres'!K317*'CAR Stock'!K367</f>
        <v>0</v>
      </c>
      <c r="AR317" s="295">
        <f>'CAR Passenger Kilometres'!L317*'CAR Stock'!L367</f>
        <v>0</v>
      </c>
      <c r="AS317" s="295">
        <f>'CAR Passenger Kilometres'!M317*'CAR Stock'!M367</f>
        <v>0</v>
      </c>
      <c r="AT317" s="295">
        <f>'CAR Passenger Kilometres'!N317*'CAR Stock'!N367</f>
        <v>0</v>
      </c>
      <c r="AU317" s="295">
        <f>'CAR Passenger Kilometres'!O317*'CAR Stock'!O367</f>
        <v>0</v>
      </c>
      <c r="AV317" s="295">
        <f>'CAR Passenger Kilometres'!P317*'CAR Stock'!P367</f>
        <v>0</v>
      </c>
      <c r="AW317" s="295">
        <f>'CAR Passenger Kilometres'!Q317*'CAR Stock'!Q367</f>
        <v>0</v>
      </c>
      <c r="AX317" s="295">
        <f>'CAR Passenger Kilometres'!R317*'CAR Stock'!R367</f>
        <v>0</v>
      </c>
      <c r="AY317" s="295">
        <f>'CAR Passenger Kilometres'!S317*'CAR Stock'!S367</f>
        <v>0</v>
      </c>
      <c r="AZ317" s="295">
        <f>'CAR Passenger Kilometres'!T317*'CAR Stock'!T367</f>
        <v>7.6751634705897389E-7</v>
      </c>
      <c r="BA317" s="295">
        <f>'CAR Passenger Kilometres'!U317*'CAR Stock'!U367</f>
        <v>3.9910850047066647E-5</v>
      </c>
      <c r="BB317" s="295">
        <f>'CAR Passenger Kilometres'!V317*'CAR Stock'!V367</f>
        <v>2.9549379361770494E-4</v>
      </c>
      <c r="BC317" s="295">
        <f>'CAR Passenger Kilometres'!W317*'CAR Stock'!W367</f>
        <v>1.1052235397649222E-3</v>
      </c>
      <c r="BD317" s="295">
        <f>'CAR Passenger Kilometres'!X317*'CAR Stock'!X367</f>
        <v>1.3278032804120248E-4</v>
      </c>
      <c r="BE317" s="295">
        <f>'CAR Passenger Kilometres'!Y317*'CAR Stock'!Y367</f>
        <v>2.4560523105887165E-5</v>
      </c>
      <c r="BF317" s="295">
        <f>'CAR Passenger Kilometres'!Z317*'CAR Stock'!Z367</f>
        <v>0</v>
      </c>
      <c r="BG317" s="295">
        <f>'CAR Passenger Kilometres'!AA317*'CAR Stock'!AA367</f>
        <v>0</v>
      </c>
      <c r="BH317" s="295">
        <f>'CAR Passenger Kilometres'!AB317*'CAR Stock'!AB367</f>
        <v>0</v>
      </c>
      <c r="BI317" s="295">
        <f>'CAR Passenger Kilometres'!AC317*'CAR Stock'!AC367</f>
        <v>0</v>
      </c>
      <c r="BJ317" s="295">
        <f>'CAR Passenger Kilometres'!AD317*'CAR Stock'!AD367</f>
        <v>0</v>
      </c>
      <c r="BK317" s="296">
        <f>'CAR Passenger Kilometres'!AE317*'CAR Stock'!AE367</f>
        <v>0</v>
      </c>
    </row>
    <row r="318" spans="1:63" ht="15.75" thickBot="1">
      <c r="A318" s="1711"/>
      <c r="B318" s="116">
        <v>25</v>
      </c>
      <c r="C318" s="297">
        <f>'CAR Mileage'!C339*CAR!$I$58</f>
        <v>21023.5167656839</v>
      </c>
      <c r="D318" s="298">
        <f>'CAR Mileage'!D339*CAR!$I$58</f>
        <v>21023.5167656839</v>
      </c>
      <c r="E318" s="298">
        <f>'CAR Mileage'!E339*CAR!$I$58</f>
        <v>21023.5167656839</v>
      </c>
      <c r="F318" s="298">
        <f>'CAR Mileage'!F339*CAR!$I$58</f>
        <v>21023.5167656839</v>
      </c>
      <c r="G318" s="298">
        <f>'CAR Mileage'!G339*CAR!$I$58</f>
        <v>21023.5167656839</v>
      </c>
      <c r="H318" s="298">
        <f>'CAR Mileage'!H339*CAR!$I$58</f>
        <v>21023.5167656839</v>
      </c>
      <c r="I318" s="298">
        <f>'CAR Mileage'!I339*CAR!$I$58</f>
        <v>21023.5167656839</v>
      </c>
      <c r="J318" s="298">
        <f>'CAR Mileage'!J339*CAR!$I$58</f>
        <v>21023.5167656839</v>
      </c>
      <c r="K318" s="298">
        <f>'CAR Mileage'!K339*CAR!$I$58</f>
        <v>21023.5167656839</v>
      </c>
      <c r="L318" s="298">
        <f>'CAR Mileage'!L339*CAR!$I$58</f>
        <v>21023.5167656839</v>
      </c>
      <c r="M318" s="298">
        <f>'CAR Mileage'!M339*CAR!$I$58</f>
        <v>21023.5167656839</v>
      </c>
      <c r="N318" s="298">
        <f>'CAR Mileage'!N339*CAR!$I$58</f>
        <v>21023.5167656839</v>
      </c>
      <c r="O318" s="298">
        <f>'CAR Mileage'!O339*CAR!$I$58</f>
        <v>21023.5167656839</v>
      </c>
      <c r="P318" s="298">
        <f>'CAR Mileage'!P339*CAR!$I$58</f>
        <v>21023.5167656839</v>
      </c>
      <c r="Q318" s="298">
        <f>'CAR Mileage'!Q339*CAR!$I$58</f>
        <v>21023.5167656839</v>
      </c>
      <c r="R318" s="298">
        <f>'CAR Mileage'!R339*CAR!$I$58</f>
        <v>21023.5167656839</v>
      </c>
      <c r="S318" s="298">
        <f>'CAR Mileage'!S339*CAR!$I$58</f>
        <v>21023.5167656839</v>
      </c>
      <c r="T318" s="298">
        <f>'CAR Mileage'!T339*CAR!$I$58</f>
        <v>21023.5167656839</v>
      </c>
      <c r="U318" s="298">
        <f>'CAR Mileage'!U339*CAR!$I$58</f>
        <v>21023.5167656839</v>
      </c>
      <c r="V318" s="298">
        <f>'CAR Mileage'!V339*CAR!$I$58</f>
        <v>21023.5167656839</v>
      </c>
      <c r="W318" s="298">
        <f>'CAR Mileage'!W339*CAR!$I$58</f>
        <v>21023.5167656839</v>
      </c>
      <c r="X318" s="298">
        <f>'CAR Mileage'!X339*CAR!$I$58</f>
        <v>21023.5167656839</v>
      </c>
      <c r="Y318" s="298">
        <f>'CAR Mileage'!Y339*CAR!$I$58</f>
        <v>21023.5167656839</v>
      </c>
      <c r="Z318" s="298">
        <f>'CAR Mileage'!Z339*CAR!$I$58</f>
        <v>21023.5167656839</v>
      </c>
      <c r="AA318" s="298">
        <f>'CAR Mileage'!AA339*CAR!$I$58</f>
        <v>21023.5167656839</v>
      </c>
      <c r="AB318" s="298">
        <f>'CAR Mileage'!AB339*CAR!$I$58</f>
        <v>21023.5167656839</v>
      </c>
      <c r="AC318" s="298">
        <f>'CAR Mileage'!AC339*CAR!$I$58</f>
        <v>21023.5167656839</v>
      </c>
      <c r="AD318" s="298">
        <f>'CAR Mileage'!AD339*CAR!$I$58</f>
        <v>21023.5167656839</v>
      </c>
      <c r="AE318" s="299">
        <f>'CAR Mileage'!AE339*CAR!$I$58</f>
        <v>21023.5167656839</v>
      </c>
      <c r="AG318" s="1711"/>
      <c r="AH318" s="116">
        <v>25</v>
      </c>
      <c r="AI318" s="297">
        <f>'CAR Passenger Kilometres'!C318*'CAR Stock'!C368</f>
        <v>0</v>
      </c>
      <c r="AJ318" s="298">
        <f>'CAR Passenger Kilometres'!D318*'CAR Stock'!D368</f>
        <v>0</v>
      </c>
      <c r="AK318" s="298">
        <f>'CAR Passenger Kilometres'!E318*'CAR Stock'!E368</f>
        <v>0</v>
      </c>
      <c r="AL318" s="298">
        <f>'CAR Passenger Kilometres'!F318*'CAR Stock'!F368</f>
        <v>0</v>
      </c>
      <c r="AM318" s="298">
        <f>'CAR Passenger Kilometres'!G318*'CAR Stock'!G368</f>
        <v>0</v>
      </c>
      <c r="AN318" s="298">
        <f>'CAR Passenger Kilometres'!H318*'CAR Stock'!H368</f>
        <v>0</v>
      </c>
      <c r="AO318" s="298">
        <f>'CAR Passenger Kilometres'!I318*'CAR Stock'!I368</f>
        <v>0</v>
      </c>
      <c r="AP318" s="298">
        <f>'CAR Passenger Kilometres'!J318*'CAR Stock'!J368</f>
        <v>0</v>
      </c>
      <c r="AQ318" s="298">
        <f>'CAR Passenger Kilometres'!K318*'CAR Stock'!K368</f>
        <v>0</v>
      </c>
      <c r="AR318" s="298">
        <f>'CAR Passenger Kilometres'!L318*'CAR Stock'!L368</f>
        <v>0</v>
      </c>
      <c r="AS318" s="298">
        <f>'CAR Passenger Kilometres'!M318*'CAR Stock'!M368</f>
        <v>0</v>
      </c>
      <c r="AT318" s="298">
        <f>'CAR Passenger Kilometres'!N318*'CAR Stock'!N368</f>
        <v>0</v>
      </c>
      <c r="AU318" s="298">
        <f>'CAR Passenger Kilometres'!O318*'CAR Stock'!O368</f>
        <v>0</v>
      </c>
      <c r="AV318" s="298">
        <f>'CAR Passenger Kilometres'!P318*'CAR Stock'!P368</f>
        <v>0</v>
      </c>
      <c r="AW318" s="298">
        <f>'CAR Passenger Kilometres'!Q318*'CAR Stock'!Q368</f>
        <v>0</v>
      </c>
      <c r="AX318" s="298">
        <f>'CAR Passenger Kilometres'!R318*'CAR Stock'!R368</f>
        <v>0</v>
      </c>
      <c r="AY318" s="298">
        <f>'CAR Passenger Kilometres'!S318*'CAR Stock'!S368</f>
        <v>0</v>
      </c>
      <c r="AZ318" s="298">
        <f>'CAR Passenger Kilometres'!T318*'CAR Stock'!T368</f>
        <v>0</v>
      </c>
      <c r="BA318" s="298">
        <f>'CAR Passenger Kilometres'!U318*'CAR Stock'!U368</f>
        <v>0</v>
      </c>
      <c r="BB318" s="298">
        <f>'CAR Passenger Kilometres'!V318*'CAR Stock'!V368</f>
        <v>0</v>
      </c>
      <c r="BC318" s="298">
        <f>'CAR Passenger Kilometres'!W318*'CAR Stock'!W368</f>
        <v>0</v>
      </c>
      <c r="BD318" s="298">
        <f>'CAR Passenger Kilometres'!X318*'CAR Stock'!X368</f>
        <v>0</v>
      </c>
      <c r="BE318" s="298">
        <f>'CAR Passenger Kilometres'!Y318*'CAR Stock'!Y368</f>
        <v>0</v>
      </c>
      <c r="BF318" s="298">
        <f>'CAR Passenger Kilometres'!Z318*'CAR Stock'!Z368</f>
        <v>0</v>
      </c>
      <c r="BG318" s="298">
        <f>'CAR Passenger Kilometres'!AA318*'CAR Stock'!AA368</f>
        <v>0</v>
      </c>
      <c r="BH318" s="298">
        <f>'CAR Passenger Kilometres'!AB318*'CAR Stock'!AB368</f>
        <v>0</v>
      </c>
      <c r="BI318" s="298">
        <f>'CAR Passenger Kilometres'!AC318*'CAR Stock'!AC368</f>
        <v>0</v>
      </c>
      <c r="BJ318" s="298">
        <f>'CAR Passenger Kilometres'!AD318*'CAR Stock'!AD368</f>
        <v>0</v>
      </c>
      <c r="BK318" s="299">
        <f>'CAR Passenger Kilometres'!AE318*'CAR Stock'!AE368</f>
        <v>0</v>
      </c>
    </row>
    <row r="319" spans="1:63" ht="16.5" thickTop="1" thickBot="1">
      <c r="A319" s="1712"/>
      <c r="B319" s="300" t="s">
        <v>39</v>
      </c>
      <c r="C319" s="301">
        <f>'CAR Mileage'!C340*CAR!$I$58</f>
        <v>26727.321005720893</v>
      </c>
      <c r="D319" s="301">
        <f>'CAR Mileage'!D340*CAR!$I$58</f>
        <v>26192.778141470026</v>
      </c>
      <c r="E319" s="301">
        <f>'CAR Mileage'!E340*CAR!$I$58</f>
        <v>25669.080145682543</v>
      </c>
      <c r="F319" s="301">
        <f>'CAR Mileage'!F340*CAR!$I$58</f>
        <v>25157.484547208605</v>
      </c>
      <c r="G319" s="301">
        <f>'CAR Mileage'!G340*CAR!$I$58</f>
        <v>24661.955708248232</v>
      </c>
      <c r="H319" s="301">
        <f>'CAR Mileage'!H340*CAR!$I$58</f>
        <v>24183.841812224338</v>
      </c>
      <c r="I319" s="301">
        <f>'CAR Mileage'!I340*CAR!$I$58</f>
        <v>23722.464628852947</v>
      </c>
      <c r="J319" s="301">
        <f>'CAR Mileage'!J340*CAR!$I$58</f>
        <v>23277.570542318848</v>
      </c>
      <c r="K319" s="301">
        <f>'CAR Mileage'!K340*CAR!$I$58</f>
        <v>22848.551617689362</v>
      </c>
      <c r="L319" s="301">
        <f>'CAR Mileage'!L340*CAR!$I$58</f>
        <v>22436.029701311149</v>
      </c>
      <c r="M319" s="301">
        <f>'CAR Mileage'!M340*CAR!$I$58</f>
        <v>22042.645616267469</v>
      </c>
      <c r="N319" s="301">
        <f>'CAR Mileage'!N340*CAR!$I$58</f>
        <v>21668.086741114996</v>
      </c>
      <c r="O319" s="301">
        <f>'CAR Mileage'!O340*CAR!$I$58</f>
        <v>21296.631593853617</v>
      </c>
      <c r="P319" s="301">
        <f>'CAR Mileage'!P340*CAR!$I$58</f>
        <v>21115.590356546811</v>
      </c>
      <c r="Q319" s="301">
        <f>'CAR Mileage'!Q340*CAR!$I$58</f>
        <v>21023.5167656839</v>
      </c>
      <c r="R319" s="301">
        <f>'CAR Mileage'!R340*CAR!$I$58</f>
        <v>21023.5167656839</v>
      </c>
      <c r="S319" s="301">
        <f>'CAR Mileage'!S340*CAR!$I$58</f>
        <v>21023.516765683897</v>
      </c>
      <c r="T319" s="301">
        <f>'CAR Mileage'!T340*CAR!$I$58</f>
        <v>21023.5167656839</v>
      </c>
      <c r="U319" s="301">
        <f>'CAR Mileage'!U340*CAR!$I$58</f>
        <v>21023.5167656839</v>
      </c>
      <c r="V319" s="301">
        <f>'CAR Mileage'!V340*CAR!$I$58</f>
        <v>21023.516765683904</v>
      </c>
      <c r="W319" s="301">
        <f>'CAR Mileage'!W340*CAR!$I$58</f>
        <v>21023.5167656839</v>
      </c>
      <c r="X319" s="301">
        <f>'CAR Mileage'!X340*CAR!$I$58</f>
        <v>21023.5167656839</v>
      </c>
      <c r="Y319" s="301">
        <f>'CAR Mileage'!Y340*CAR!$I$58</f>
        <v>21023.5167656839</v>
      </c>
      <c r="Z319" s="301">
        <f>'CAR Mileage'!Z340*CAR!$I$58</f>
        <v>0</v>
      </c>
      <c r="AA319" s="301">
        <f>'CAR Mileage'!AA340*CAR!$I$58</f>
        <v>0</v>
      </c>
      <c r="AB319" s="301">
        <f>'CAR Mileage'!AB340*CAR!$I$58</f>
        <v>0</v>
      </c>
      <c r="AC319" s="301">
        <f>'CAR Mileage'!AC340*CAR!$I$58</f>
        <v>0</v>
      </c>
      <c r="AD319" s="301">
        <f>'CAR Mileage'!AD340*CAR!$I$58</f>
        <v>0</v>
      </c>
      <c r="AE319" s="302">
        <f>'CAR Mileage'!AE340*CAR!$I$58</f>
        <v>0</v>
      </c>
      <c r="AG319" s="1712"/>
      <c r="AH319" s="300" t="s">
        <v>39</v>
      </c>
      <c r="AI319" s="301">
        <f t="shared" ref="AI319:BK319" si="11">SUM(AI293:AI318)</f>
        <v>55673009.654916622</v>
      </c>
      <c r="AJ319" s="301">
        <f t="shared" si="11"/>
        <v>54559425.90823853</v>
      </c>
      <c r="AK319" s="301">
        <f t="shared" si="11"/>
        <v>53460491.409654044</v>
      </c>
      <c r="AL319" s="301">
        <f t="shared" si="11"/>
        <v>52271792.376991212</v>
      </c>
      <c r="AM319" s="301">
        <f t="shared" si="11"/>
        <v>50367523.512054734</v>
      </c>
      <c r="AN319" s="301">
        <f t="shared" si="11"/>
        <v>45938332.802400306</v>
      </c>
      <c r="AO319" s="301">
        <f t="shared" si="11"/>
        <v>37990380.687067598</v>
      </c>
      <c r="AP319" s="301">
        <f t="shared" si="11"/>
        <v>27307830.257181495</v>
      </c>
      <c r="AQ319" s="301">
        <f t="shared" si="11"/>
        <v>16255104.93722041</v>
      </c>
      <c r="AR319" s="301">
        <f t="shared" si="11"/>
        <v>7826840.6413436029</v>
      </c>
      <c r="AS319" s="301">
        <f t="shared" si="11"/>
        <v>2969823.4769505793</v>
      </c>
      <c r="AT319" s="301">
        <f t="shared" si="11"/>
        <v>879819.14927559881</v>
      </c>
      <c r="AU319" s="301">
        <f t="shared" si="11"/>
        <v>224666.8027372759</v>
      </c>
      <c r="AV319" s="301">
        <f t="shared" si="11"/>
        <v>50612.177152999546</v>
      </c>
      <c r="AW319" s="301">
        <f t="shared" si="11"/>
        <v>10222.332639219667</v>
      </c>
      <c r="AX319" s="301">
        <f t="shared" si="11"/>
        <v>1828.2089408048412</v>
      </c>
      <c r="AY319" s="301">
        <f t="shared" si="11"/>
        <v>283.80374255702225</v>
      </c>
      <c r="AZ319" s="301">
        <f t="shared" si="11"/>
        <v>37.492538652663832</v>
      </c>
      <c r="BA319" s="301">
        <f t="shared" si="11"/>
        <v>4.1064323198916881</v>
      </c>
      <c r="BB319" s="301">
        <f t="shared" si="11"/>
        <v>0.35941536868918561</v>
      </c>
      <c r="BC319" s="301">
        <f t="shared" si="11"/>
        <v>2.3733357736706262E-2</v>
      </c>
      <c r="BD319" s="301">
        <f t="shared" si="11"/>
        <v>1.0626138720574454E-3</v>
      </c>
      <c r="BE319" s="301">
        <f t="shared" si="11"/>
        <v>2.4560523105887165E-5</v>
      </c>
      <c r="BF319" s="301">
        <f t="shared" si="11"/>
        <v>0</v>
      </c>
      <c r="BG319" s="301">
        <f t="shared" si="11"/>
        <v>0</v>
      </c>
      <c r="BH319" s="301">
        <f t="shared" si="11"/>
        <v>0</v>
      </c>
      <c r="BI319" s="301">
        <f t="shared" si="11"/>
        <v>0</v>
      </c>
      <c r="BJ319" s="301">
        <f t="shared" si="11"/>
        <v>0</v>
      </c>
      <c r="BK319" s="302">
        <f t="shared" si="11"/>
        <v>0</v>
      </c>
    </row>
    <row r="320" spans="1:63" ht="15.75" thickBot="1">
      <c r="AI320">
        <f>AI88</f>
        <v>0</v>
      </c>
    </row>
    <row r="321" spans="1:63" ht="15.75" thickBot="1">
      <c r="A321" s="1710" t="s">
        <v>52</v>
      </c>
      <c r="B321" s="169" t="s">
        <v>10</v>
      </c>
      <c r="C321" s="288">
        <f t="shared" ref="C321" si="12">C89</f>
        <v>2012</v>
      </c>
      <c r="D321" s="289">
        <v>2013</v>
      </c>
      <c r="E321" s="289">
        <v>2014</v>
      </c>
      <c r="F321" s="289">
        <v>2015</v>
      </c>
      <c r="G321" s="288">
        <v>2016</v>
      </c>
      <c r="H321" s="289">
        <v>2017</v>
      </c>
      <c r="I321" s="289">
        <v>2018</v>
      </c>
      <c r="J321" s="289">
        <v>2019</v>
      </c>
      <c r="K321" s="288">
        <v>2020</v>
      </c>
      <c r="L321" s="289">
        <v>2021</v>
      </c>
      <c r="M321" s="289">
        <v>2022</v>
      </c>
      <c r="N321" s="289">
        <v>2023</v>
      </c>
      <c r="O321" s="288">
        <v>2024</v>
      </c>
      <c r="P321" s="289">
        <v>2025</v>
      </c>
      <c r="Q321" s="289">
        <v>2026</v>
      </c>
      <c r="R321" s="289">
        <v>2027</v>
      </c>
      <c r="S321" s="288">
        <v>2028</v>
      </c>
      <c r="T321" s="289">
        <v>2029</v>
      </c>
      <c r="U321" s="289">
        <v>2030</v>
      </c>
      <c r="V321" s="289">
        <v>2031</v>
      </c>
      <c r="W321" s="288">
        <v>2032</v>
      </c>
      <c r="X321" s="289">
        <v>2033</v>
      </c>
      <c r="Y321" s="289">
        <v>2034</v>
      </c>
      <c r="Z321" s="289">
        <v>2035</v>
      </c>
      <c r="AA321" s="288">
        <v>2036</v>
      </c>
      <c r="AB321" s="289">
        <v>2037</v>
      </c>
      <c r="AC321" s="289">
        <v>2038</v>
      </c>
      <c r="AD321" s="289">
        <v>2039</v>
      </c>
      <c r="AE321" s="290">
        <v>2040</v>
      </c>
      <c r="AG321" s="1710" t="s">
        <v>52</v>
      </c>
      <c r="AH321" s="169" t="s">
        <v>10</v>
      </c>
      <c r="AI321" s="288">
        <f>AI89</f>
        <v>2012</v>
      </c>
      <c r="AJ321" s="289">
        <v>2013</v>
      </c>
      <c r="AK321" s="289">
        <v>2014</v>
      </c>
      <c r="AL321" s="289">
        <v>2015</v>
      </c>
      <c r="AM321" s="288">
        <v>2016</v>
      </c>
      <c r="AN321" s="289">
        <v>2017</v>
      </c>
      <c r="AO321" s="289">
        <v>2018</v>
      </c>
      <c r="AP321" s="289">
        <v>2019</v>
      </c>
      <c r="AQ321" s="288">
        <v>2020</v>
      </c>
      <c r="AR321" s="289">
        <v>2021</v>
      </c>
      <c r="AS321" s="289">
        <v>2022</v>
      </c>
      <c r="AT321" s="289">
        <v>2023</v>
      </c>
      <c r="AU321" s="288">
        <v>2024</v>
      </c>
      <c r="AV321" s="289">
        <v>2025</v>
      </c>
      <c r="AW321" s="289">
        <v>2026</v>
      </c>
      <c r="AX321" s="289">
        <v>2027</v>
      </c>
      <c r="AY321" s="288">
        <v>2028</v>
      </c>
      <c r="AZ321" s="289">
        <v>2029</v>
      </c>
      <c r="BA321" s="289">
        <v>2030</v>
      </c>
      <c r="BB321" s="289">
        <v>2031</v>
      </c>
      <c r="BC321" s="288">
        <v>2032</v>
      </c>
      <c r="BD321" s="289">
        <v>2033</v>
      </c>
      <c r="BE321" s="289">
        <v>2034</v>
      </c>
      <c r="BF321" s="289">
        <v>2035</v>
      </c>
      <c r="BG321" s="288">
        <v>2036</v>
      </c>
      <c r="BH321" s="289">
        <v>2037</v>
      </c>
      <c r="BI321" s="289">
        <v>2038</v>
      </c>
      <c r="BJ321" s="289">
        <v>2039</v>
      </c>
      <c r="BK321" s="290">
        <v>2040</v>
      </c>
    </row>
    <row r="322" spans="1:63">
      <c r="A322" s="1711" t="s">
        <v>41</v>
      </c>
      <c r="B322" s="116">
        <v>0</v>
      </c>
      <c r="C322" s="291">
        <f>'CAR Mileage'!C343*CAR!$I$58</f>
        <v>27815.051798879802</v>
      </c>
      <c r="D322" s="292">
        <f>'CAR Mileage'!D343*CAR!$I$58</f>
        <v>27815.051798879802</v>
      </c>
      <c r="E322" s="292">
        <f>'CAR Mileage'!E343*CAR!$I$58</f>
        <v>27815.051798879802</v>
      </c>
      <c r="F322" s="292">
        <f>'CAR Mileage'!F343*CAR!$I$58</f>
        <v>27815.051798879802</v>
      </c>
      <c r="G322" s="292">
        <f>'CAR Mileage'!G343*CAR!$I$58</f>
        <v>27815.051798879802</v>
      </c>
      <c r="H322" s="292">
        <f>'CAR Mileage'!H343*CAR!$I$58</f>
        <v>27815.051798879802</v>
      </c>
      <c r="I322" s="292">
        <f>'CAR Mileage'!I343*CAR!$I$58</f>
        <v>27815.051798879802</v>
      </c>
      <c r="J322" s="292">
        <f>'CAR Mileage'!J343*CAR!$I$58</f>
        <v>27815.051798879802</v>
      </c>
      <c r="K322" s="292">
        <f>'CAR Mileage'!K343*CAR!$I$58</f>
        <v>27815.051798879802</v>
      </c>
      <c r="L322" s="292">
        <f>'CAR Mileage'!L343*CAR!$I$58</f>
        <v>27815.051798879802</v>
      </c>
      <c r="M322" s="292">
        <f>'CAR Mileage'!M343*CAR!$I$58</f>
        <v>27815.051798879802</v>
      </c>
      <c r="N322" s="292">
        <f>'CAR Mileage'!N343*CAR!$I$58</f>
        <v>27815.051798879802</v>
      </c>
      <c r="O322" s="292">
        <f>'CAR Mileage'!O343*CAR!$I$58</f>
        <v>27815.051798879802</v>
      </c>
      <c r="P322" s="292">
        <f>'CAR Mileage'!P343*CAR!$I$58</f>
        <v>27815.051798879802</v>
      </c>
      <c r="Q322" s="292">
        <f>'CAR Mileage'!Q343*CAR!$I$58</f>
        <v>27815.051798879802</v>
      </c>
      <c r="R322" s="292">
        <f>'CAR Mileage'!R343*CAR!$I$58</f>
        <v>27815.051798879802</v>
      </c>
      <c r="S322" s="292">
        <f>'CAR Mileage'!S343*CAR!$I$58</f>
        <v>27815.051798879802</v>
      </c>
      <c r="T322" s="292">
        <f>'CAR Mileage'!T343*CAR!$I$58</f>
        <v>27815.051798879802</v>
      </c>
      <c r="U322" s="292">
        <f>'CAR Mileage'!U343*CAR!$I$58</f>
        <v>27815.051798879802</v>
      </c>
      <c r="V322" s="292">
        <f>'CAR Mileage'!V343*CAR!$I$58</f>
        <v>27815.051798879802</v>
      </c>
      <c r="W322" s="292">
        <f>'CAR Mileage'!W343*CAR!$I$58</f>
        <v>27815.051798879802</v>
      </c>
      <c r="X322" s="292">
        <f>'CAR Mileage'!X343*CAR!$I$58</f>
        <v>27815.051798879802</v>
      </c>
      <c r="Y322" s="292">
        <f>'CAR Mileage'!Y343*CAR!$I$58</f>
        <v>27815.051798879802</v>
      </c>
      <c r="Z322" s="292">
        <f>'CAR Mileage'!Z343*CAR!$I$58</f>
        <v>27815.051798879802</v>
      </c>
      <c r="AA322" s="292">
        <f>'CAR Mileage'!AA343*CAR!$I$58</f>
        <v>27815.051798879802</v>
      </c>
      <c r="AB322" s="292">
        <f>'CAR Mileage'!AB343*CAR!$I$58</f>
        <v>27815.051798879802</v>
      </c>
      <c r="AC322" s="292">
        <f>'CAR Mileage'!AC343*CAR!$I$58</f>
        <v>27815.051798879802</v>
      </c>
      <c r="AD322" s="292">
        <f>'CAR Mileage'!AD343*CAR!$I$58</f>
        <v>27815.051798879802</v>
      </c>
      <c r="AE322" s="293">
        <f>'CAR Mileage'!AE343*CAR!$I$58</f>
        <v>27815.051798879802</v>
      </c>
      <c r="AG322" s="1711" t="s">
        <v>41</v>
      </c>
      <c r="AH322" s="116">
        <v>0</v>
      </c>
      <c r="AI322" s="291">
        <f>'CAR Passenger Kilometres'!C322*'CAR Stock'!C372</f>
        <v>0</v>
      </c>
      <c r="AJ322" s="292">
        <f>'CAR Passenger Kilometres'!D322*'CAR Stock'!D372</f>
        <v>0</v>
      </c>
      <c r="AK322" s="292">
        <f>'CAR Passenger Kilometres'!E322*'CAR Stock'!E372</f>
        <v>0</v>
      </c>
      <c r="AL322" s="292">
        <f>'CAR Passenger Kilometres'!F322*'CAR Stock'!F372</f>
        <v>0</v>
      </c>
      <c r="AM322" s="292">
        <f>'CAR Passenger Kilometres'!G322*'CAR Stock'!G372</f>
        <v>0</v>
      </c>
      <c r="AN322" s="292">
        <f>'CAR Passenger Kilometres'!H322*'CAR Stock'!H372</f>
        <v>0</v>
      </c>
      <c r="AO322" s="292">
        <f>'CAR Passenger Kilometres'!I322*'CAR Stock'!I372</f>
        <v>0</v>
      </c>
      <c r="AP322" s="292">
        <f>'CAR Passenger Kilometres'!J322*'CAR Stock'!J372</f>
        <v>0</v>
      </c>
      <c r="AQ322" s="292">
        <f>'CAR Passenger Kilometres'!K322*'CAR Stock'!K372</f>
        <v>0</v>
      </c>
      <c r="AR322" s="292">
        <f>'CAR Passenger Kilometres'!L322*'CAR Stock'!L372</f>
        <v>0</v>
      </c>
      <c r="AS322" s="292">
        <f>'CAR Passenger Kilometres'!M322*'CAR Stock'!M372</f>
        <v>0</v>
      </c>
      <c r="AT322" s="292">
        <f>'CAR Passenger Kilometres'!N322*'CAR Stock'!N372</f>
        <v>0</v>
      </c>
      <c r="AU322" s="292">
        <f>'CAR Passenger Kilometres'!O322*'CAR Stock'!O372</f>
        <v>0</v>
      </c>
      <c r="AV322" s="292">
        <f>'CAR Passenger Kilometres'!P322*'CAR Stock'!P372</f>
        <v>0</v>
      </c>
      <c r="AW322" s="292">
        <f>'CAR Passenger Kilometres'!Q322*'CAR Stock'!Q372</f>
        <v>0</v>
      </c>
      <c r="AX322" s="292">
        <f>'CAR Passenger Kilometres'!R322*'CAR Stock'!R372</f>
        <v>0</v>
      </c>
      <c r="AY322" s="292">
        <f>'CAR Passenger Kilometres'!S322*'CAR Stock'!S372</f>
        <v>0</v>
      </c>
      <c r="AZ322" s="292">
        <f>'CAR Passenger Kilometres'!T322*'CAR Stock'!T372</f>
        <v>0</v>
      </c>
      <c r="BA322" s="292">
        <f>'CAR Passenger Kilometres'!U322*'CAR Stock'!U372</f>
        <v>0</v>
      </c>
      <c r="BB322" s="292">
        <f>'CAR Passenger Kilometres'!V322*'CAR Stock'!V372</f>
        <v>0</v>
      </c>
      <c r="BC322" s="292">
        <f>'CAR Passenger Kilometres'!W322*'CAR Stock'!W372</f>
        <v>0</v>
      </c>
      <c r="BD322" s="292">
        <f>'CAR Passenger Kilometres'!X322*'CAR Stock'!X372</f>
        <v>0</v>
      </c>
      <c r="BE322" s="292">
        <f>'CAR Passenger Kilometres'!Y322*'CAR Stock'!Y372</f>
        <v>0</v>
      </c>
      <c r="BF322" s="292">
        <f>'CAR Passenger Kilometres'!Z322*'CAR Stock'!Z372</f>
        <v>0</v>
      </c>
      <c r="BG322" s="292">
        <f>'CAR Passenger Kilometres'!AA322*'CAR Stock'!AA372</f>
        <v>0</v>
      </c>
      <c r="BH322" s="292">
        <f>'CAR Passenger Kilometres'!AB322*'CAR Stock'!AB372</f>
        <v>0</v>
      </c>
      <c r="BI322" s="292">
        <f>'CAR Passenger Kilometres'!AC322*'CAR Stock'!AC372</f>
        <v>0</v>
      </c>
      <c r="BJ322" s="292">
        <f>'CAR Passenger Kilometres'!AD322*'CAR Stock'!AD372</f>
        <v>0</v>
      </c>
      <c r="BK322" s="293">
        <f>'CAR Passenger Kilometres'!AE322*'CAR Stock'!AE372</f>
        <v>0</v>
      </c>
    </row>
    <row r="323" spans="1:63">
      <c r="A323" s="1711"/>
      <c r="B323" s="116">
        <v>1</v>
      </c>
      <c r="C323" s="294">
        <f>'CAR Mileage'!C344*CAR!$I$58</f>
        <v>27258.750762902207</v>
      </c>
      <c r="D323" s="295">
        <f>'CAR Mileage'!D344*CAR!$I$58</f>
        <v>27258.750762902207</v>
      </c>
      <c r="E323" s="295">
        <f>'CAR Mileage'!E344*CAR!$I$58</f>
        <v>27258.750762902207</v>
      </c>
      <c r="F323" s="295">
        <f>'CAR Mileage'!F344*CAR!$I$58</f>
        <v>27258.750762902207</v>
      </c>
      <c r="G323" s="295">
        <f>'CAR Mileage'!G344*CAR!$I$58</f>
        <v>27258.750762902207</v>
      </c>
      <c r="H323" s="295">
        <f>'CAR Mileage'!H344*CAR!$I$58</f>
        <v>27258.750762902207</v>
      </c>
      <c r="I323" s="295">
        <f>'CAR Mileage'!I344*CAR!$I$58</f>
        <v>27258.750762902207</v>
      </c>
      <c r="J323" s="295">
        <f>'CAR Mileage'!J344*CAR!$I$58</f>
        <v>27258.750762902207</v>
      </c>
      <c r="K323" s="295">
        <f>'CAR Mileage'!K344*CAR!$I$58</f>
        <v>27258.750762902207</v>
      </c>
      <c r="L323" s="295">
        <f>'CAR Mileage'!L344*CAR!$I$58</f>
        <v>27258.750762902207</v>
      </c>
      <c r="M323" s="295">
        <f>'CAR Mileage'!M344*CAR!$I$58</f>
        <v>27258.750762902207</v>
      </c>
      <c r="N323" s="295">
        <f>'CAR Mileage'!N344*CAR!$I$58</f>
        <v>27258.750762902207</v>
      </c>
      <c r="O323" s="295">
        <f>'CAR Mileage'!O344*CAR!$I$58</f>
        <v>27258.750762902207</v>
      </c>
      <c r="P323" s="295">
        <f>'CAR Mileage'!P344*CAR!$I$58</f>
        <v>27258.750762902207</v>
      </c>
      <c r="Q323" s="295">
        <f>'CAR Mileage'!Q344*CAR!$I$58</f>
        <v>27258.750762902207</v>
      </c>
      <c r="R323" s="295">
        <f>'CAR Mileage'!R344*CAR!$I$58</f>
        <v>27258.750762902207</v>
      </c>
      <c r="S323" s="295">
        <f>'CAR Mileage'!S344*CAR!$I$58</f>
        <v>27258.750762902207</v>
      </c>
      <c r="T323" s="295">
        <f>'CAR Mileage'!T344*CAR!$I$58</f>
        <v>27258.750762902207</v>
      </c>
      <c r="U323" s="295">
        <f>'CAR Mileage'!U344*CAR!$I$58</f>
        <v>27258.750762902207</v>
      </c>
      <c r="V323" s="295">
        <f>'CAR Mileage'!V344*CAR!$I$58</f>
        <v>27258.750762902207</v>
      </c>
      <c r="W323" s="295">
        <f>'CAR Mileage'!W344*CAR!$I$58</f>
        <v>27258.750762902207</v>
      </c>
      <c r="X323" s="295">
        <f>'CAR Mileage'!X344*CAR!$I$58</f>
        <v>27258.750762902207</v>
      </c>
      <c r="Y323" s="295">
        <f>'CAR Mileage'!Y344*CAR!$I$58</f>
        <v>27258.750762902207</v>
      </c>
      <c r="Z323" s="295">
        <f>'CAR Mileage'!Z344*CAR!$I$58</f>
        <v>27258.750762902207</v>
      </c>
      <c r="AA323" s="295">
        <f>'CAR Mileage'!AA344*CAR!$I$58</f>
        <v>27258.750762902207</v>
      </c>
      <c r="AB323" s="295">
        <f>'CAR Mileage'!AB344*CAR!$I$58</f>
        <v>27258.750762902207</v>
      </c>
      <c r="AC323" s="295">
        <f>'CAR Mileage'!AC344*CAR!$I$58</f>
        <v>27258.750762902207</v>
      </c>
      <c r="AD323" s="295">
        <f>'CAR Mileage'!AD344*CAR!$I$58</f>
        <v>27258.750762902207</v>
      </c>
      <c r="AE323" s="296">
        <f>'CAR Mileage'!AE344*CAR!$I$58</f>
        <v>27258.750762902207</v>
      </c>
      <c r="AG323" s="1711"/>
      <c r="AH323" s="116">
        <v>1</v>
      </c>
      <c r="AI323" s="294">
        <f>'CAR Passenger Kilometres'!C323*'CAR Stock'!C373</f>
        <v>54517.501525804415</v>
      </c>
      <c r="AJ323" s="295">
        <f>'CAR Passenger Kilometres'!D323*'CAR Stock'!D373</f>
        <v>0</v>
      </c>
      <c r="AK323" s="295">
        <f>'CAR Passenger Kilometres'!E323*'CAR Stock'!E373</f>
        <v>0</v>
      </c>
      <c r="AL323" s="295">
        <f>'CAR Passenger Kilometres'!F323*'CAR Stock'!F373</f>
        <v>0</v>
      </c>
      <c r="AM323" s="295">
        <f>'CAR Passenger Kilometres'!G323*'CAR Stock'!G373</f>
        <v>0</v>
      </c>
      <c r="AN323" s="295">
        <f>'CAR Passenger Kilometres'!H323*'CAR Stock'!H373</f>
        <v>0</v>
      </c>
      <c r="AO323" s="295">
        <f>'CAR Passenger Kilometres'!I323*'CAR Stock'!I373</f>
        <v>0</v>
      </c>
      <c r="AP323" s="295">
        <f>'CAR Passenger Kilometres'!J323*'CAR Stock'!J373</f>
        <v>0</v>
      </c>
      <c r="AQ323" s="295">
        <f>'CAR Passenger Kilometres'!K323*'CAR Stock'!K373</f>
        <v>0</v>
      </c>
      <c r="AR323" s="295">
        <f>'CAR Passenger Kilometres'!L323*'CAR Stock'!L373</f>
        <v>0</v>
      </c>
      <c r="AS323" s="295">
        <f>'CAR Passenger Kilometres'!M323*'CAR Stock'!M373</f>
        <v>0</v>
      </c>
      <c r="AT323" s="295">
        <f>'CAR Passenger Kilometres'!N323*'CAR Stock'!N373</f>
        <v>0</v>
      </c>
      <c r="AU323" s="295">
        <f>'CAR Passenger Kilometres'!O323*'CAR Stock'!O373</f>
        <v>0</v>
      </c>
      <c r="AV323" s="295">
        <f>'CAR Passenger Kilometres'!P323*'CAR Stock'!P373</f>
        <v>0</v>
      </c>
      <c r="AW323" s="295">
        <f>'CAR Passenger Kilometres'!Q323*'CAR Stock'!Q373</f>
        <v>0</v>
      </c>
      <c r="AX323" s="295">
        <f>'CAR Passenger Kilometres'!R323*'CAR Stock'!R373</f>
        <v>0</v>
      </c>
      <c r="AY323" s="295">
        <f>'CAR Passenger Kilometres'!S323*'CAR Stock'!S373</f>
        <v>0</v>
      </c>
      <c r="AZ323" s="295">
        <f>'CAR Passenger Kilometres'!T323*'CAR Stock'!T373</f>
        <v>0</v>
      </c>
      <c r="BA323" s="295">
        <f>'CAR Passenger Kilometres'!U323*'CAR Stock'!U373</f>
        <v>0</v>
      </c>
      <c r="BB323" s="295">
        <f>'CAR Passenger Kilometres'!V323*'CAR Stock'!V373</f>
        <v>0</v>
      </c>
      <c r="BC323" s="295">
        <f>'CAR Passenger Kilometres'!W323*'CAR Stock'!W373</f>
        <v>0</v>
      </c>
      <c r="BD323" s="295">
        <f>'CAR Passenger Kilometres'!X323*'CAR Stock'!X373</f>
        <v>0</v>
      </c>
      <c r="BE323" s="295">
        <f>'CAR Passenger Kilometres'!Y323*'CAR Stock'!Y373</f>
        <v>0</v>
      </c>
      <c r="BF323" s="295">
        <f>'CAR Passenger Kilometres'!Z323*'CAR Stock'!Z373</f>
        <v>0</v>
      </c>
      <c r="BG323" s="295">
        <f>'CAR Passenger Kilometres'!AA323*'CAR Stock'!AA373</f>
        <v>0</v>
      </c>
      <c r="BH323" s="295">
        <f>'CAR Passenger Kilometres'!AB323*'CAR Stock'!AB373</f>
        <v>0</v>
      </c>
      <c r="BI323" s="295">
        <f>'CAR Passenger Kilometres'!AC323*'CAR Stock'!AC373</f>
        <v>0</v>
      </c>
      <c r="BJ323" s="295">
        <f>'CAR Passenger Kilometres'!AD323*'CAR Stock'!AD373</f>
        <v>0</v>
      </c>
      <c r="BK323" s="296">
        <f>'CAR Passenger Kilometres'!AE323*'CAR Stock'!AE373</f>
        <v>0</v>
      </c>
    </row>
    <row r="324" spans="1:63">
      <c r="A324" s="1711"/>
      <c r="B324" s="116">
        <v>2</v>
      </c>
      <c r="C324" s="294">
        <f>'CAR Mileage'!C345*CAR!$I$58</f>
        <v>26713.575747644161</v>
      </c>
      <c r="D324" s="295">
        <f>'CAR Mileage'!D345*CAR!$I$58</f>
        <v>26713.575747644161</v>
      </c>
      <c r="E324" s="295">
        <f>'CAR Mileage'!E345*CAR!$I$58</f>
        <v>26713.575747644161</v>
      </c>
      <c r="F324" s="295">
        <f>'CAR Mileage'!F345*CAR!$I$58</f>
        <v>26713.575747644161</v>
      </c>
      <c r="G324" s="295">
        <f>'CAR Mileage'!G345*CAR!$I$58</f>
        <v>26713.575747644161</v>
      </c>
      <c r="H324" s="295">
        <f>'CAR Mileage'!H345*CAR!$I$58</f>
        <v>26713.575747644161</v>
      </c>
      <c r="I324" s="295">
        <f>'CAR Mileage'!I345*CAR!$I$58</f>
        <v>26713.575747644161</v>
      </c>
      <c r="J324" s="295">
        <f>'CAR Mileage'!J345*CAR!$I$58</f>
        <v>26713.575747644161</v>
      </c>
      <c r="K324" s="295">
        <f>'CAR Mileage'!K345*CAR!$I$58</f>
        <v>26713.575747644161</v>
      </c>
      <c r="L324" s="295">
        <f>'CAR Mileage'!L345*CAR!$I$58</f>
        <v>26713.575747644161</v>
      </c>
      <c r="M324" s="295">
        <f>'CAR Mileage'!M345*CAR!$I$58</f>
        <v>26713.575747644161</v>
      </c>
      <c r="N324" s="295">
        <f>'CAR Mileage'!N345*CAR!$I$58</f>
        <v>26713.575747644161</v>
      </c>
      <c r="O324" s="295">
        <f>'CAR Mileage'!O345*CAR!$I$58</f>
        <v>26713.575747644161</v>
      </c>
      <c r="P324" s="295">
        <f>'CAR Mileage'!P345*CAR!$I$58</f>
        <v>26713.575747644161</v>
      </c>
      <c r="Q324" s="295">
        <f>'CAR Mileage'!Q345*CAR!$I$58</f>
        <v>26713.575747644161</v>
      </c>
      <c r="R324" s="295">
        <f>'CAR Mileage'!R345*CAR!$I$58</f>
        <v>26713.575747644161</v>
      </c>
      <c r="S324" s="295">
        <f>'CAR Mileage'!S345*CAR!$I$58</f>
        <v>26713.575747644161</v>
      </c>
      <c r="T324" s="295">
        <f>'CAR Mileage'!T345*CAR!$I$58</f>
        <v>26713.575747644161</v>
      </c>
      <c r="U324" s="295">
        <f>'CAR Mileage'!U345*CAR!$I$58</f>
        <v>26713.575747644161</v>
      </c>
      <c r="V324" s="295">
        <f>'CAR Mileage'!V345*CAR!$I$58</f>
        <v>26713.575747644161</v>
      </c>
      <c r="W324" s="295">
        <f>'CAR Mileage'!W345*CAR!$I$58</f>
        <v>26713.575747644161</v>
      </c>
      <c r="X324" s="295">
        <f>'CAR Mileage'!X345*CAR!$I$58</f>
        <v>26713.575747644161</v>
      </c>
      <c r="Y324" s="295">
        <f>'CAR Mileage'!Y345*CAR!$I$58</f>
        <v>26713.575747644161</v>
      </c>
      <c r="Z324" s="295">
        <f>'CAR Mileage'!Z345*CAR!$I$58</f>
        <v>26713.575747644161</v>
      </c>
      <c r="AA324" s="295">
        <f>'CAR Mileage'!AA345*CAR!$I$58</f>
        <v>26713.575747644161</v>
      </c>
      <c r="AB324" s="295">
        <f>'CAR Mileage'!AB345*CAR!$I$58</f>
        <v>26713.575747644161</v>
      </c>
      <c r="AC324" s="295">
        <f>'CAR Mileage'!AC345*CAR!$I$58</f>
        <v>26713.575747644161</v>
      </c>
      <c r="AD324" s="295">
        <f>'CAR Mileage'!AD345*CAR!$I$58</f>
        <v>26713.575747644161</v>
      </c>
      <c r="AE324" s="296">
        <f>'CAR Mileage'!AE345*CAR!$I$58</f>
        <v>26713.575747644161</v>
      </c>
      <c r="AG324" s="1711"/>
      <c r="AH324" s="116">
        <v>2</v>
      </c>
      <c r="AI324" s="294">
        <f>'CAR Passenger Kilometres'!C324*'CAR Stock'!C374</f>
        <v>240422.18172879744</v>
      </c>
      <c r="AJ324" s="295">
        <f>'CAR Passenger Kilometres'!D324*'CAR Stock'!D374</f>
        <v>53427.151495288323</v>
      </c>
      <c r="AK324" s="295">
        <f>'CAR Passenger Kilometres'!E324*'CAR Stock'!E374</f>
        <v>0</v>
      </c>
      <c r="AL324" s="295">
        <f>'CAR Passenger Kilometres'!F324*'CAR Stock'!F374</f>
        <v>0</v>
      </c>
      <c r="AM324" s="295">
        <f>'CAR Passenger Kilometres'!G324*'CAR Stock'!G374</f>
        <v>0</v>
      </c>
      <c r="AN324" s="295">
        <f>'CAR Passenger Kilometres'!H324*'CAR Stock'!H374</f>
        <v>0</v>
      </c>
      <c r="AO324" s="295">
        <f>'CAR Passenger Kilometres'!I324*'CAR Stock'!I374</f>
        <v>0</v>
      </c>
      <c r="AP324" s="295">
        <f>'CAR Passenger Kilometres'!J324*'CAR Stock'!J374</f>
        <v>0</v>
      </c>
      <c r="AQ324" s="295">
        <f>'CAR Passenger Kilometres'!K324*'CAR Stock'!K374</f>
        <v>0</v>
      </c>
      <c r="AR324" s="295">
        <f>'CAR Passenger Kilometres'!L324*'CAR Stock'!L374</f>
        <v>0</v>
      </c>
      <c r="AS324" s="295">
        <f>'CAR Passenger Kilometres'!M324*'CAR Stock'!M374</f>
        <v>0</v>
      </c>
      <c r="AT324" s="295">
        <f>'CAR Passenger Kilometres'!N324*'CAR Stock'!N374</f>
        <v>0</v>
      </c>
      <c r="AU324" s="295">
        <f>'CAR Passenger Kilometres'!O324*'CAR Stock'!O374</f>
        <v>0</v>
      </c>
      <c r="AV324" s="295">
        <f>'CAR Passenger Kilometres'!P324*'CAR Stock'!P374</f>
        <v>0</v>
      </c>
      <c r="AW324" s="295">
        <f>'CAR Passenger Kilometres'!Q324*'CAR Stock'!Q374</f>
        <v>0</v>
      </c>
      <c r="AX324" s="295">
        <f>'CAR Passenger Kilometres'!R324*'CAR Stock'!R374</f>
        <v>0</v>
      </c>
      <c r="AY324" s="295">
        <f>'CAR Passenger Kilometres'!S324*'CAR Stock'!S374</f>
        <v>0</v>
      </c>
      <c r="AZ324" s="295">
        <f>'CAR Passenger Kilometres'!T324*'CAR Stock'!T374</f>
        <v>0</v>
      </c>
      <c r="BA324" s="295">
        <f>'CAR Passenger Kilometres'!U324*'CAR Stock'!U374</f>
        <v>0</v>
      </c>
      <c r="BB324" s="295">
        <f>'CAR Passenger Kilometres'!V324*'CAR Stock'!V374</f>
        <v>0</v>
      </c>
      <c r="BC324" s="295">
        <f>'CAR Passenger Kilometres'!W324*'CAR Stock'!W374</f>
        <v>0</v>
      </c>
      <c r="BD324" s="295">
        <f>'CAR Passenger Kilometres'!X324*'CAR Stock'!X374</f>
        <v>0</v>
      </c>
      <c r="BE324" s="295">
        <f>'CAR Passenger Kilometres'!Y324*'CAR Stock'!Y374</f>
        <v>0</v>
      </c>
      <c r="BF324" s="295">
        <f>'CAR Passenger Kilometres'!Z324*'CAR Stock'!Z374</f>
        <v>0</v>
      </c>
      <c r="BG324" s="295">
        <f>'CAR Passenger Kilometres'!AA324*'CAR Stock'!AA374</f>
        <v>0</v>
      </c>
      <c r="BH324" s="295">
        <f>'CAR Passenger Kilometres'!AB324*'CAR Stock'!AB374</f>
        <v>0</v>
      </c>
      <c r="BI324" s="295">
        <f>'CAR Passenger Kilometres'!AC324*'CAR Stock'!AC374</f>
        <v>0</v>
      </c>
      <c r="BJ324" s="295">
        <f>'CAR Passenger Kilometres'!AD324*'CAR Stock'!AD374</f>
        <v>0</v>
      </c>
      <c r="BK324" s="296">
        <f>'CAR Passenger Kilometres'!AE324*'CAR Stock'!AE374</f>
        <v>0</v>
      </c>
    </row>
    <row r="325" spans="1:63">
      <c r="A325" s="1711"/>
      <c r="B325" s="116">
        <v>3</v>
      </c>
      <c r="C325" s="294">
        <f>'CAR Mileage'!C346*CAR!$I$58</f>
        <v>26179.304232691276</v>
      </c>
      <c r="D325" s="295">
        <f>'CAR Mileage'!D346*CAR!$I$58</f>
        <v>26179.304232691276</v>
      </c>
      <c r="E325" s="295">
        <f>'CAR Mileage'!E346*CAR!$I$58</f>
        <v>26179.304232691276</v>
      </c>
      <c r="F325" s="295">
        <f>'CAR Mileage'!F346*CAR!$I$58</f>
        <v>26179.304232691276</v>
      </c>
      <c r="G325" s="295">
        <f>'CAR Mileage'!G346*CAR!$I$58</f>
        <v>26179.304232691276</v>
      </c>
      <c r="H325" s="295">
        <f>'CAR Mileage'!H346*CAR!$I$58</f>
        <v>26179.304232691276</v>
      </c>
      <c r="I325" s="295">
        <f>'CAR Mileage'!I346*CAR!$I$58</f>
        <v>26179.304232691276</v>
      </c>
      <c r="J325" s="295">
        <f>'CAR Mileage'!J346*CAR!$I$58</f>
        <v>26179.304232691276</v>
      </c>
      <c r="K325" s="295">
        <f>'CAR Mileage'!K346*CAR!$I$58</f>
        <v>26179.304232691276</v>
      </c>
      <c r="L325" s="295">
        <f>'CAR Mileage'!L346*CAR!$I$58</f>
        <v>26179.304232691276</v>
      </c>
      <c r="M325" s="295">
        <f>'CAR Mileage'!M346*CAR!$I$58</f>
        <v>26179.304232691276</v>
      </c>
      <c r="N325" s="295">
        <f>'CAR Mileage'!N346*CAR!$I$58</f>
        <v>26179.304232691276</v>
      </c>
      <c r="O325" s="295">
        <f>'CAR Mileage'!O346*CAR!$I$58</f>
        <v>26179.304232691276</v>
      </c>
      <c r="P325" s="295">
        <f>'CAR Mileage'!P346*CAR!$I$58</f>
        <v>26179.304232691276</v>
      </c>
      <c r="Q325" s="295">
        <f>'CAR Mileage'!Q346*CAR!$I$58</f>
        <v>26179.304232691276</v>
      </c>
      <c r="R325" s="295">
        <f>'CAR Mileage'!R346*CAR!$I$58</f>
        <v>26179.304232691276</v>
      </c>
      <c r="S325" s="295">
        <f>'CAR Mileage'!S346*CAR!$I$58</f>
        <v>26179.304232691276</v>
      </c>
      <c r="T325" s="295">
        <f>'CAR Mileage'!T346*CAR!$I$58</f>
        <v>26179.304232691276</v>
      </c>
      <c r="U325" s="295">
        <f>'CAR Mileage'!U346*CAR!$I$58</f>
        <v>26179.304232691276</v>
      </c>
      <c r="V325" s="295">
        <f>'CAR Mileage'!V346*CAR!$I$58</f>
        <v>26179.304232691276</v>
      </c>
      <c r="W325" s="295">
        <f>'CAR Mileage'!W346*CAR!$I$58</f>
        <v>26179.304232691276</v>
      </c>
      <c r="X325" s="295">
        <f>'CAR Mileage'!X346*CAR!$I$58</f>
        <v>26179.304232691276</v>
      </c>
      <c r="Y325" s="295">
        <f>'CAR Mileage'!Y346*CAR!$I$58</f>
        <v>26179.304232691276</v>
      </c>
      <c r="Z325" s="295">
        <f>'CAR Mileage'!Z346*CAR!$I$58</f>
        <v>26179.304232691276</v>
      </c>
      <c r="AA325" s="295">
        <f>'CAR Mileage'!AA346*CAR!$I$58</f>
        <v>26179.304232691276</v>
      </c>
      <c r="AB325" s="295">
        <f>'CAR Mileage'!AB346*CAR!$I$58</f>
        <v>26179.304232691276</v>
      </c>
      <c r="AC325" s="295">
        <f>'CAR Mileage'!AC346*CAR!$I$58</f>
        <v>26179.304232691276</v>
      </c>
      <c r="AD325" s="295">
        <f>'CAR Mileage'!AD346*CAR!$I$58</f>
        <v>26179.304232691276</v>
      </c>
      <c r="AE325" s="296">
        <f>'CAR Mileage'!AE346*CAR!$I$58</f>
        <v>26179.304232691276</v>
      </c>
      <c r="AG325" s="1711"/>
      <c r="AH325" s="116">
        <v>3</v>
      </c>
      <c r="AI325" s="294">
        <f>'CAR Passenger Kilometres'!C325*'CAR Stock'!C375</f>
        <v>1570758.2539614765</v>
      </c>
      <c r="AJ325" s="295">
        <f>'CAR Passenger Kilometres'!D325*'CAR Stock'!D375</f>
        <v>235613.73809422148</v>
      </c>
      <c r="AK325" s="295">
        <f>'CAR Passenger Kilometres'!E325*'CAR Stock'!E375</f>
        <v>52358.608465382553</v>
      </c>
      <c r="AL325" s="295">
        <f>'CAR Passenger Kilometres'!F325*'CAR Stock'!F375</f>
        <v>0</v>
      </c>
      <c r="AM325" s="295">
        <f>'CAR Passenger Kilometres'!G325*'CAR Stock'!G375</f>
        <v>0</v>
      </c>
      <c r="AN325" s="295">
        <f>'CAR Passenger Kilometres'!H325*'CAR Stock'!H375</f>
        <v>0</v>
      </c>
      <c r="AO325" s="295">
        <f>'CAR Passenger Kilometres'!I325*'CAR Stock'!I375</f>
        <v>0</v>
      </c>
      <c r="AP325" s="295">
        <f>'CAR Passenger Kilometres'!J325*'CAR Stock'!J375</f>
        <v>0</v>
      </c>
      <c r="AQ325" s="295">
        <f>'CAR Passenger Kilometres'!K325*'CAR Stock'!K375</f>
        <v>0</v>
      </c>
      <c r="AR325" s="295">
        <f>'CAR Passenger Kilometres'!L325*'CAR Stock'!L375</f>
        <v>0</v>
      </c>
      <c r="AS325" s="295">
        <f>'CAR Passenger Kilometres'!M325*'CAR Stock'!M375</f>
        <v>0</v>
      </c>
      <c r="AT325" s="295">
        <f>'CAR Passenger Kilometres'!N325*'CAR Stock'!N375</f>
        <v>0</v>
      </c>
      <c r="AU325" s="295">
        <f>'CAR Passenger Kilometres'!O325*'CAR Stock'!O375</f>
        <v>0</v>
      </c>
      <c r="AV325" s="295">
        <f>'CAR Passenger Kilometres'!P325*'CAR Stock'!P375</f>
        <v>0</v>
      </c>
      <c r="AW325" s="295">
        <f>'CAR Passenger Kilometres'!Q325*'CAR Stock'!Q375</f>
        <v>0</v>
      </c>
      <c r="AX325" s="295">
        <f>'CAR Passenger Kilometres'!R325*'CAR Stock'!R375</f>
        <v>0</v>
      </c>
      <c r="AY325" s="295">
        <f>'CAR Passenger Kilometres'!S325*'CAR Stock'!S375</f>
        <v>0</v>
      </c>
      <c r="AZ325" s="295">
        <f>'CAR Passenger Kilometres'!T325*'CAR Stock'!T375</f>
        <v>0</v>
      </c>
      <c r="BA325" s="295">
        <f>'CAR Passenger Kilometres'!U325*'CAR Stock'!U375</f>
        <v>0</v>
      </c>
      <c r="BB325" s="295">
        <f>'CAR Passenger Kilometres'!V325*'CAR Stock'!V375</f>
        <v>0</v>
      </c>
      <c r="BC325" s="295">
        <f>'CAR Passenger Kilometres'!W325*'CAR Stock'!W375</f>
        <v>0</v>
      </c>
      <c r="BD325" s="295">
        <f>'CAR Passenger Kilometres'!X325*'CAR Stock'!X375</f>
        <v>0</v>
      </c>
      <c r="BE325" s="295">
        <f>'CAR Passenger Kilometres'!Y325*'CAR Stock'!Y375</f>
        <v>0</v>
      </c>
      <c r="BF325" s="295">
        <f>'CAR Passenger Kilometres'!Z325*'CAR Stock'!Z375</f>
        <v>0</v>
      </c>
      <c r="BG325" s="295">
        <f>'CAR Passenger Kilometres'!AA325*'CAR Stock'!AA375</f>
        <v>0</v>
      </c>
      <c r="BH325" s="295">
        <f>'CAR Passenger Kilometres'!AB325*'CAR Stock'!AB375</f>
        <v>0</v>
      </c>
      <c r="BI325" s="295">
        <f>'CAR Passenger Kilometres'!AC325*'CAR Stock'!AC375</f>
        <v>0</v>
      </c>
      <c r="BJ325" s="295">
        <f>'CAR Passenger Kilometres'!AD325*'CAR Stock'!AD375</f>
        <v>0</v>
      </c>
      <c r="BK325" s="296">
        <f>'CAR Passenger Kilometres'!AE325*'CAR Stock'!AE375</f>
        <v>0</v>
      </c>
    </row>
    <row r="326" spans="1:63">
      <c r="A326" s="1711"/>
      <c r="B326" s="116">
        <v>4</v>
      </c>
      <c r="C326" s="294">
        <f>'CAR Mileage'!C347*CAR!$I$58</f>
        <v>25655.718148037453</v>
      </c>
      <c r="D326" s="295">
        <f>'CAR Mileage'!D347*CAR!$I$58</f>
        <v>25655.718148037453</v>
      </c>
      <c r="E326" s="295">
        <f>'CAR Mileage'!E347*CAR!$I$58</f>
        <v>25655.718148037453</v>
      </c>
      <c r="F326" s="295">
        <f>'CAR Mileage'!F347*CAR!$I$58</f>
        <v>25655.718148037453</v>
      </c>
      <c r="G326" s="295">
        <f>'CAR Mileage'!G347*CAR!$I$58</f>
        <v>25655.718148037453</v>
      </c>
      <c r="H326" s="295">
        <f>'CAR Mileage'!H347*CAR!$I$58</f>
        <v>25655.718148037453</v>
      </c>
      <c r="I326" s="295">
        <f>'CAR Mileage'!I347*CAR!$I$58</f>
        <v>25655.718148037453</v>
      </c>
      <c r="J326" s="295">
        <f>'CAR Mileage'!J347*CAR!$I$58</f>
        <v>25655.718148037453</v>
      </c>
      <c r="K326" s="295">
        <f>'CAR Mileage'!K347*CAR!$I$58</f>
        <v>25655.718148037453</v>
      </c>
      <c r="L326" s="295">
        <f>'CAR Mileage'!L347*CAR!$I$58</f>
        <v>25655.718148037453</v>
      </c>
      <c r="M326" s="295">
        <f>'CAR Mileage'!M347*CAR!$I$58</f>
        <v>25655.718148037453</v>
      </c>
      <c r="N326" s="295">
        <f>'CAR Mileage'!N347*CAR!$I$58</f>
        <v>25655.718148037453</v>
      </c>
      <c r="O326" s="295">
        <f>'CAR Mileage'!O347*CAR!$I$58</f>
        <v>25655.718148037453</v>
      </c>
      <c r="P326" s="295">
        <f>'CAR Mileage'!P347*CAR!$I$58</f>
        <v>25655.718148037453</v>
      </c>
      <c r="Q326" s="295">
        <f>'CAR Mileage'!Q347*CAR!$I$58</f>
        <v>25655.718148037453</v>
      </c>
      <c r="R326" s="295">
        <f>'CAR Mileage'!R347*CAR!$I$58</f>
        <v>25655.718148037453</v>
      </c>
      <c r="S326" s="295">
        <f>'CAR Mileage'!S347*CAR!$I$58</f>
        <v>25655.718148037453</v>
      </c>
      <c r="T326" s="295">
        <f>'CAR Mileage'!T347*CAR!$I$58</f>
        <v>25655.718148037453</v>
      </c>
      <c r="U326" s="295">
        <f>'CAR Mileage'!U347*CAR!$I$58</f>
        <v>25655.718148037453</v>
      </c>
      <c r="V326" s="295">
        <f>'CAR Mileage'!V347*CAR!$I$58</f>
        <v>25655.718148037453</v>
      </c>
      <c r="W326" s="295">
        <f>'CAR Mileage'!W347*CAR!$I$58</f>
        <v>25655.718148037453</v>
      </c>
      <c r="X326" s="295">
        <f>'CAR Mileage'!X347*CAR!$I$58</f>
        <v>25655.718148037453</v>
      </c>
      <c r="Y326" s="295">
        <f>'CAR Mileage'!Y347*CAR!$I$58</f>
        <v>25655.718148037453</v>
      </c>
      <c r="Z326" s="295">
        <f>'CAR Mileage'!Z347*CAR!$I$58</f>
        <v>25655.718148037453</v>
      </c>
      <c r="AA326" s="295">
        <f>'CAR Mileage'!AA347*CAR!$I$58</f>
        <v>25655.718148037453</v>
      </c>
      <c r="AB326" s="295">
        <f>'CAR Mileage'!AB347*CAR!$I$58</f>
        <v>25655.718148037453</v>
      </c>
      <c r="AC326" s="295">
        <f>'CAR Mileage'!AC347*CAR!$I$58</f>
        <v>25655.718148037453</v>
      </c>
      <c r="AD326" s="295">
        <f>'CAR Mileage'!AD347*CAR!$I$58</f>
        <v>25655.718148037453</v>
      </c>
      <c r="AE326" s="296">
        <f>'CAR Mileage'!AE347*CAR!$I$58</f>
        <v>25655.718148037453</v>
      </c>
      <c r="AG326" s="1711"/>
      <c r="AH326" s="116">
        <v>4</v>
      </c>
      <c r="AI326" s="294">
        <f>'CAR Passenger Kilometres'!C326*'CAR Stock'!C376</f>
        <v>24706456.576560069</v>
      </c>
      <c r="AJ326" s="295">
        <f>'CAR Passenger Kilometres'!D326*'CAR Stock'!D376</f>
        <v>1539343.0888822472</v>
      </c>
      <c r="AK326" s="295">
        <f>'CAR Passenger Kilometres'!E326*'CAR Stock'!E376</f>
        <v>230901.46333233707</v>
      </c>
      <c r="AL326" s="295">
        <f>'CAR Passenger Kilometres'!F326*'CAR Stock'!F376</f>
        <v>51311.436296074906</v>
      </c>
      <c r="AM326" s="295">
        <f>'CAR Passenger Kilometres'!G326*'CAR Stock'!G376</f>
        <v>0</v>
      </c>
      <c r="AN326" s="295">
        <f>'CAR Passenger Kilometres'!H326*'CAR Stock'!H376</f>
        <v>0</v>
      </c>
      <c r="AO326" s="295">
        <f>'CAR Passenger Kilometres'!I326*'CAR Stock'!I376</f>
        <v>0</v>
      </c>
      <c r="AP326" s="295">
        <f>'CAR Passenger Kilometres'!J326*'CAR Stock'!J376</f>
        <v>0</v>
      </c>
      <c r="AQ326" s="295">
        <f>'CAR Passenger Kilometres'!K326*'CAR Stock'!K376</f>
        <v>0</v>
      </c>
      <c r="AR326" s="295">
        <f>'CAR Passenger Kilometres'!L326*'CAR Stock'!L376</f>
        <v>0</v>
      </c>
      <c r="AS326" s="295">
        <f>'CAR Passenger Kilometres'!M326*'CAR Stock'!M376</f>
        <v>0</v>
      </c>
      <c r="AT326" s="295">
        <f>'CAR Passenger Kilometres'!N326*'CAR Stock'!N376</f>
        <v>0</v>
      </c>
      <c r="AU326" s="295">
        <f>'CAR Passenger Kilometres'!O326*'CAR Stock'!O376</f>
        <v>0</v>
      </c>
      <c r="AV326" s="295">
        <f>'CAR Passenger Kilometres'!P326*'CAR Stock'!P376</f>
        <v>0</v>
      </c>
      <c r="AW326" s="295">
        <f>'CAR Passenger Kilometres'!Q326*'CAR Stock'!Q376</f>
        <v>0</v>
      </c>
      <c r="AX326" s="295">
        <f>'CAR Passenger Kilometres'!R326*'CAR Stock'!R376</f>
        <v>0</v>
      </c>
      <c r="AY326" s="295">
        <f>'CAR Passenger Kilometres'!S326*'CAR Stock'!S376</f>
        <v>0</v>
      </c>
      <c r="AZ326" s="295">
        <f>'CAR Passenger Kilometres'!T326*'CAR Stock'!T376</f>
        <v>0</v>
      </c>
      <c r="BA326" s="295">
        <f>'CAR Passenger Kilometres'!U326*'CAR Stock'!U376</f>
        <v>0</v>
      </c>
      <c r="BB326" s="295">
        <f>'CAR Passenger Kilometres'!V326*'CAR Stock'!V376</f>
        <v>0</v>
      </c>
      <c r="BC326" s="295">
        <f>'CAR Passenger Kilometres'!W326*'CAR Stock'!W376</f>
        <v>0</v>
      </c>
      <c r="BD326" s="295">
        <f>'CAR Passenger Kilometres'!X326*'CAR Stock'!X376</f>
        <v>0</v>
      </c>
      <c r="BE326" s="295">
        <f>'CAR Passenger Kilometres'!Y326*'CAR Stock'!Y376</f>
        <v>0</v>
      </c>
      <c r="BF326" s="295">
        <f>'CAR Passenger Kilometres'!Z326*'CAR Stock'!Z376</f>
        <v>0</v>
      </c>
      <c r="BG326" s="295">
        <f>'CAR Passenger Kilometres'!AA326*'CAR Stock'!AA376</f>
        <v>0</v>
      </c>
      <c r="BH326" s="295">
        <f>'CAR Passenger Kilometres'!AB326*'CAR Stock'!AB376</f>
        <v>0</v>
      </c>
      <c r="BI326" s="295">
        <f>'CAR Passenger Kilometres'!AC326*'CAR Stock'!AC376</f>
        <v>0</v>
      </c>
      <c r="BJ326" s="295">
        <f>'CAR Passenger Kilometres'!AD326*'CAR Stock'!AD376</f>
        <v>0</v>
      </c>
      <c r="BK326" s="296">
        <f>'CAR Passenger Kilometres'!AE326*'CAR Stock'!AE376</f>
        <v>0</v>
      </c>
    </row>
    <row r="327" spans="1:63">
      <c r="A327" s="1711"/>
      <c r="B327" s="116">
        <v>5</v>
      </c>
      <c r="C327" s="294">
        <f>'CAR Mileage'!C348*CAR!$I$58</f>
        <v>25142.603785076702</v>
      </c>
      <c r="D327" s="295">
        <f>'CAR Mileage'!D348*CAR!$I$58</f>
        <v>25142.603785076702</v>
      </c>
      <c r="E327" s="295">
        <f>'CAR Mileage'!E348*CAR!$I$58</f>
        <v>25142.603785076702</v>
      </c>
      <c r="F327" s="295">
        <f>'CAR Mileage'!F348*CAR!$I$58</f>
        <v>25142.603785076702</v>
      </c>
      <c r="G327" s="295">
        <f>'CAR Mileage'!G348*CAR!$I$58</f>
        <v>25142.603785076702</v>
      </c>
      <c r="H327" s="295">
        <f>'CAR Mileage'!H348*CAR!$I$58</f>
        <v>25142.603785076702</v>
      </c>
      <c r="I327" s="295">
        <f>'CAR Mileage'!I348*CAR!$I$58</f>
        <v>25142.603785076702</v>
      </c>
      <c r="J327" s="295">
        <f>'CAR Mileage'!J348*CAR!$I$58</f>
        <v>25142.603785076702</v>
      </c>
      <c r="K327" s="295">
        <f>'CAR Mileage'!K348*CAR!$I$58</f>
        <v>25142.603785076702</v>
      </c>
      <c r="L327" s="295">
        <f>'CAR Mileage'!L348*CAR!$I$58</f>
        <v>25142.603785076702</v>
      </c>
      <c r="M327" s="295">
        <f>'CAR Mileage'!M348*CAR!$I$58</f>
        <v>25142.603785076702</v>
      </c>
      <c r="N327" s="295">
        <f>'CAR Mileage'!N348*CAR!$I$58</f>
        <v>25142.603785076702</v>
      </c>
      <c r="O327" s="295">
        <f>'CAR Mileage'!O348*CAR!$I$58</f>
        <v>25142.603785076702</v>
      </c>
      <c r="P327" s="295">
        <f>'CAR Mileage'!P348*CAR!$I$58</f>
        <v>25142.603785076702</v>
      </c>
      <c r="Q327" s="295">
        <f>'CAR Mileage'!Q348*CAR!$I$58</f>
        <v>25142.603785076702</v>
      </c>
      <c r="R327" s="295">
        <f>'CAR Mileage'!R348*CAR!$I$58</f>
        <v>25142.603785076702</v>
      </c>
      <c r="S327" s="295">
        <f>'CAR Mileage'!S348*CAR!$I$58</f>
        <v>25142.603785076702</v>
      </c>
      <c r="T327" s="295">
        <f>'CAR Mileage'!T348*CAR!$I$58</f>
        <v>25142.603785076702</v>
      </c>
      <c r="U327" s="295">
        <f>'CAR Mileage'!U348*CAR!$I$58</f>
        <v>25142.603785076702</v>
      </c>
      <c r="V327" s="295">
        <f>'CAR Mileage'!V348*CAR!$I$58</f>
        <v>25142.603785076702</v>
      </c>
      <c r="W327" s="295">
        <f>'CAR Mileage'!W348*CAR!$I$58</f>
        <v>25142.603785076702</v>
      </c>
      <c r="X327" s="295">
        <f>'CAR Mileage'!X348*CAR!$I$58</f>
        <v>25142.603785076702</v>
      </c>
      <c r="Y327" s="295">
        <f>'CAR Mileage'!Y348*CAR!$I$58</f>
        <v>25142.603785076702</v>
      </c>
      <c r="Z327" s="295">
        <f>'CAR Mileage'!Z348*CAR!$I$58</f>
        <v>25142.603785076702</v>
      </c>
      <c r="AA327" s="295">
        <f>'CAR Mileage'!AA348*CAR!$I$58</f>
        <v>25142.603785076702</v>
      </c>
      <c r="AB327" s="295">
        <f>'CAR Mileage'!AB348*CAR!$I$58</f>
        <v>25142.603785076702</v>
      </c>
      <c r="AC327" s="295">
        <f>'CAR Mileage'!AC348*CAR!$I$58</f>
        <v>25142.603785076702</v>
      </c>
      <c r="AD327" s="295">
        <f>'CAR Mileage'!AD348*CAR!$I$58</f>
        <v>25142.603785076702</v>
      </c>
      <c r="AE327" s="296">
        <f>'CAR Mileage'!AE348*CAR!$I$58</f>
        <v>25142.603785076702</v>
      </c>
      <c r="AG327" s="1711"/>
      <c r="AH327" s="116">
        <v>5</v>
      </c>
      <c r="AI327" s="294">
        <f>'CAR Passenger Kilometres'!C327*'CAR Stock'!C377</f>
        <v>9453619.0231888406</v>
      </c>
      <c r="AJ327" s="295">
        <f>'CAR Passenger Kilometres'!D327*'CAR Stock'!D377</f>
        <v>24212327.445028864</v>
      </c>
      <c r="AK327" s="295">
        <f>'CAR Passenger Kilometres'!E327*'CAR Stock'!E377</f>
        <v>1508556.2271046021</v>
      </c>
      <c r="AL327" s="295">
        <f>'CAR Passenger Kilometres'!F327*'CAR Stock'!F377</f>
        <v>226283.43406569032</v>
      </c>
      <c r="AM327" s="295">
        <f>'CAR Passenger Kilometres'!G327*'CAR Stock'!G377</f>
        <v>50285.207570153405</v>
      </c>
      <c r="AN327" s="295">
        <f>'CAR Passenger Kilometres'!H327*'CAR Stock'!H377</f>
        <v>0</v>
      </c>
      <c r="AO327" s="295">
        <f>'CAR Passenger Kilometres'!I327*'CAR Stock'!I377</f>
        <v>0</v>
      </c>
      <c r="AP327" s="295">
        <f>'CAR Passenger Kilometres'!J327*'CAR Stock'!J377</f>
        <v>0</v>
      </c>
      <c r="AQ327" s="295">
        <f>'CAR Passenger Kilometres'!K327*'CAR Stock'!K377</f>
        <v>0</v>
      </c>
      <c r="AR327" s="295">
        <f>'CAR Passenger Kilometres'!L327*'CAR Stock'!L377</f>
        <v>0</v>
      </c>
      <c r="AS327" s="295">
        <f>'CAR Passenger Kilometres'!M327*'CAR Stock'!M377</f>
        <v>0</v>
      </c>
      <c r="AT327" s="295">
        <f>'CAR Passenger Kilometres'!N327*'CAR Stock'!N377</f>
        <v>0</v>
      </c>
      <c r="AU327" s="295">
        <f>'CAR Passenger Kilometres'!O327*'CAR Stock'!O377</f>
        <v>0</v>
      </c>
      <c r="AV327" s="295">
        <f>'CAR Passenger Kilometres'!P327*'CAR Stock'!P377</f>
        <v>0</v>
      </c>
      <c r="AW327" s="295">
        <f>'CAR Passenger Kilometres'!Q327*'CAR Stock'!Q377</f>
        <v>0</v>
      </c>
      <c r="AX327" s="295">
        <f>'CAR Passenger Kilometres'!R327*'CAR Stock'!R377</f>
        <v>0</v>
      </c>
      <c r="AY327" s="295">
        <f>'CAR Passenger Kilometres'!S327*'CAR Stock'!S377</f>
        <v>0</v>
      </c>
      <c r="AZ327" s="295">
        <f>'CAR Passenger Kilometres'!T327*'CAR Stock'!T377</f>
        <v>0</v>
      </c>
      <c r="BA327" s="295">
        <f>'CAR Passenger Kilometres'!U327*'CAR Stock'!U377</f>
        <v>0</v>
      </c>
      <c r="BB327" s="295">
        <f>'CAR Passenger Kilometres'!V327*'CAR Stock'!V377</f>
        <v>0</v>
      </c>
      <c r="BC327" s="295">
        <f>'CAR Passenger Kilometres'!W327*'CAR Stock'!W377</f>
        <v>0</v>
      </c>
      <c r="BD327" s="295">
        <f>'CAR Passenger Kilometres'!X327*'CAR Stock'!X377</f>
        <v>0</v>
      </c>
      <c r="BE327" s="295">
        <f>'CAR Passenger Kilometres'!Y327*'CAR Stock'!Y377</f>
        <v>0</v>
      </c>
      <c r="BF327" s="295">
        <f>'CAR Passenger Kilometres'!Z327*'CAR Stock'!Z377</f>
        <v>0</v>
      </c>
      <c r="BG327" s="295">
        <f>'CAR Passenger Kilometres'!AA327*'CAR Stock'!AA377</f>
        <v>0</v>
      </c>
      <c r="BH327" s="295">
        <f>'CAR Passenger Kilometres'!AB327*'CAR Stock'!AB377</f>
        <v>0</v>
      </c>
      <c r="BI327" s="295">
        <f>'CAR Passenger Kilometres'!AC327*'CAR Stock'!AC377</f>
        <v>0</v>
      </c>
      <c r="BJ327" s="295">
        <f>'CAR Passenger Kilometres'!AD327*'CAR Stock'!AD377</f>
        <v>0</v>
      </c>
      <c r="BK327" s="296">
        <f>'CAR Passenger Kilometres'!AE327*'CAR Stock'!AE377</f>
        <v>0</v>
      </c>
    </row>
    <row r="328" spans="1:63">
      <c r="A328" s="1711"/>
      <c r="B328" s="116">
        <v>6</v>
      </c>
      <c r="C328" s="294">
        <f>'CAR Mileage'!C349*CAR!$I$58</f>
        <v>24639.75170937517</v>
      </c>
      <c r="D328" s="295">
        <f>'CAR Mileage'!D349*CAR!$I$58</f>
        <v>24639.75170937517</v>
      </c>
      <c r="E328" s="295">
        <f>'CAR Mileage'!E349*CAR!$I$58</f>
        <v>24639.75170937517</v>
      </c>
      <c r="F328" s="295">
        <f>'CAR Mileage'!F349*CAR!$I$58</f>
        <v>24639.75170937517</v>
      </c>
      <c r="G328" s="295">
        <f>'CAR Mileage'!G349*CAR!$I$58</f>
        <v>24639.75170937517</v>
      </c>
      <c r="H328" s="295">
        <f>'CAR Mileage'!H349*CAR!$I$58</f>
        <v>24639.75170937517</v>
      </c>
      <c r="I328" s="295">
        <f>'CAR Mileage'!I349*CAR!$I$58</f>
        <v>24639.75170937517</v>
      </c>
      <c r="J328" s="295">
        <f>'CAR Mileage'!J349*CAR!$I$58</f>
        <v>24639.75170937517</v>
      </c>
      <c r="K328" s="295">
        <f>'CAR Mileage'!K349*CAR!$I$58</f>
        <v>24639.75170937517</v>
      </c>
      <c r="L328" s="295">
        <f>'CAR Mileage'!L349*CAR!$I$58</f>
        <v>24639.75170937517</v>
      </c>
      <c r="M328" s="295">
        <f>'CAR Mileage'!M349*CAR!$I$58</f>
        <v>24639.75170937517</v>
      </c>
      <c r="N328" s="295">
        <f>'CAR Mileage'!N349*CAR!$I$58</f>
        <v>24639.75170937517</v>
      </c>
      <c r="O328" s="295">
        <f>'CAR Mileage'!O349*CAR!$I$58</f>
        <v>24639.75170937517</v>
      </c>
      <c r="P328" s="295">
        <f>'CAR Mileage'!P349*CAR!$I$58</f>
        <v>24639.75170937517</v>
      </c>
      <c r="Q328" s="295">
        <f>'CAR Mileage'!Q349*CAR!$I$58</f>
        <v>24639.75170937517</v>
      </c>
      <c r="R328" s="295">
        <f>'CAR Mileage'!R349*CAR!$I$58</f>
        <v>24639.75170937517</v>
      </c>
      <c r="S328" s="295">
        <f>'CAR Mileage'!S349*CAR!$I$58</f>
        <v>24639.75170937517</v>
      </c>
      <c r="T328" s="295">
        <f>'CAR Mileage'!T349*CAR!$I$58</f>
        <v>24639.75170937517</v>
      </c>
      <c r="U328" s="295">
        <f>'CAR Mileage'!U349*CAR!$I$58</f>
        <v>24639.75170937517</v>
      </c>
      <c r="V328" s="295">
        <f>'CAR Mileage'!V349*CAR!$I$58</f>
        <v>24639.75170937517</v>
      </c>
      <c r="W328" s="295">
        <f>'CAR Mileage'!W349*CAR!$I$58</f>
        <v>24639.75170937517</v>
      </c>
      <c r="X328" s="295">
        <f>'CAR Mileage'!X349*CAR!$I$58</f>
        <v>24639.75170937517</v>
      </c>
      <c r="Y328" s="295">
        <f>'CAR Mileage'!Y349*CAR!$I$58</f>
        <v>24639.75170937517</v>
      </c>
      <c r="Z328" s="295">
        <f>'CAR Mileage'!Z349*CAR!$I$58</f>
        <v>24639.75170937517</v>
      </c>
      <c r="AA328" s="295">
        <f>'CAR Mileage'!AA349*CAR!$I$58</f>
        <v>24639.75170937517</v>
      </c>
      <c r="AB328" s="295">
        <f>'CAR Mileage'!AB349*CAR!$I$58</f>
        <v>24639.75170937517</v>
      </c>
      <c r="AC328" s="295">
        <f>'CAR Mileage'!AC349*CAR!$I$58</f>
        <v>24639.75170937517</v>
      </c>
      <c r="AD328" s="295">
        <f>'CAR Mileage'!AD349*CAR!$I$58</f>
        <v>24639.75170937517</v>
      </c>
      <c r="AE328" s="296">
        <f>'CAR Mileage'!AE349*CAR!$I$58</f>
        <v>24639.75170937517</v>
      </c>
      <c r="AG328" s="1711"/>
      <c r="AH328" s="116">
        <v>6</v>
      </c>
      <c r="AI328" s="294">
        <f>'CAR Passenger Kilometres'!C328*'CAR Stock'!C378</f>
        <v>320316.77222187724</v>
      </c>
      <c r="AJ328" s="295">
        <f>'CAR Passenger Kilometres'!D328*'CAR Stock'!D378</f>
        <v>9264546.6427250635</v>
      </c>
      <c r="AK328" s="295">
        <f>'CAR Passenger Kilometres'!E328*'CAR Stock'!E378</f>
        <v>23728080.896128289</v>
      </c>
      <c r="AL328" s="295">
        <f>'CAR Passenger Kilometres'!F328*'CAR Stock'!F378</f>
        <v>1478385.1025625102</v>
      </c>
      <c r="AM328" s="295">
        <f>'CAR Passenger Kilometres'!G328*'CAR Stock'!G378</f>
        <v>221757.76538437654</v>
      </c>
      <c r="AN328" s="295">
        <f>'CAR Passenger Kilometres'!H328*'CAR Stock'!H378</f>
        <v>49279.503418750341</v>
      </c>
      <c r="AO328" s="295">
        <f>'CAR Passenger Kilometres'!I328*'CAR Stock'!I378</f>
        <v>0</v>
      </c>
      <c r="AP328" s="295">
        <f>'CAR Passenger Kilometres'!J328*'CAR Stock'!J378</f>
        <v>0</v>
      </c>
      <c r="AQ328" s="295">
        <f>'CAR Passenger Kilometres'!K328*'CAR Stock'!K378</f>
        <v>0</v>
      </c>
      <c r="AR328" s="295">
        <f>'CAR Passenger Kilometres'!L328*'CAR Stock'!L378</f>
        <v>0</v>
      </c>
      <c r="AS328" s="295">
        <f>'CAR Passenger Kilometres'!M328*'CAR Stock'!M378</f>
        <v>0</v>
      </c>
      <c r="AT328" s="295">
        <f>'CAR Passenger Kilometres'!N328*'CAR Stock'!N378</f>
        <v>0</v>
      </c>
      <c r="AU328" s="295">
        <f>'CAR Passenger Kilometres'!O328*'CAR Stock'!O378</f>
        <v>0</v>
      </c>
      <c r="AV328" s="295">
        <f>'CAR Passenger Kilometres'!P328*'CAR Stock'!P378</f>
        <v>0</v>
      </c>
      <c r="AW328" s="295">
        <f>'CAR Passenger Kilometres'!Q328*'CAR Stock'!Q378</f>
        <v>0</v>
      </c>
      <c r="AX328" s="295">
        <f>'CAR Passenger Kilometres'!R328*'CAR Stock'!R378</f>
        <v>0</v>
      </c>
      <c r="AY328" s="295">
        <f>'CAR Passenger Kilometres'!S328*'CAR Stock'!S378</f>
        <v>0</v>
      </c>
      <c r="AZ328" s="295">
        <f>'CAR Passenger Kilometres'!T328*'CAR Stock'!T378</f>
        <v>0</v>
      </c>
      <c r="BA328" s="295">
        <f>'CAR Passenger Kilometres'!U328*'CAR Stock'!U378</f>
        <v>0</v>
      </c>
      <c r="BB328" s="295">
        <f>'CAR Passenger Kilometres'!V328*'CAR Stock'!V378</f>
        <v>0</v>
      </c>
      <c r="BC328" s="295">
        <f>'CAR Passenger Kilometres'!W328*'CAR Stock'!W378</f>
        <v>0</v>
      </c>
      <c r="BD328" s="295">
        <f>'CAR Passenger Kilometres'!X328*'CAR Stock'!X378</f>
        <v>0</v>
      </c>
      <c r="BE328" s="295">
        <f>'CAR Passenger Kilometres'!Y328*'CAR Stock'!Y378</f>
        <v>0</v>
      </c>
      <c r="BF328" s="295">
        <f>'CAR Passenger Kilometres'!Z328*'CAR Stock'!Z378</f>
        <v>0</v>
      </c>
      <c r="BG328" s="295">
        <f>'CAR Passenger Kilometres'!AA328*'CAR Stock'!AA378</f>
        <v>0</v>
      </c>
      <c r="BH328" s="295">
        <f>'CAR Passenger Kilometres'!AB328*'CAR Stock'!AB378</f>
        <v>0</v>
      </c>
      <c r="BI328" s="295">
        <f>'CAR Passenger Kilometres'!AC328*'CAR Stock'!AC378</f>
        <v>0</v>
      </c>
      <c r="BJ328" s="295">
        <f>'CAR Passenger Kilometres'!AD328*'CAR Stock'!AD378</f>
        <v>0</v>
      </c>
      <c r="BK328" s="296">
        <f>'CAR Passenger Kilometres'!AE328*'CAR Stock'!AE378</f>
        <v>0</v>
      </c>
    </row>
    <row r="329" spans="1:63">
      <c r="A329" s="1711"/>
      <c r="B329" s="116">
        <v>7</v>
      </c>
      <c r="C329" s="294">
        <f>'CAR Mileage'!C350*CAR!$I$58</f>
        <v>24146.956675187666</v>
      </c>
      <c r="D329" s="295">
        <f>'CAR Mileage'!D350*CAR!$I$58</f>
        <v>24146.956675187666</v>
      </c>
      <c r="E329" s="295">
        <f>'CAR Mileage'!E350*CAR!$I$58</f>
        <v>24146.956675187666</v>
      </c>
      <c r="F329" s="295">
        <f>'CAR Mileage'!F350*CAR!$I$58</f>
        <v>24146.956675187666</v>
      </c>
      <c r="G329" s="295">
        <f>'CAR Mileage'!G350*CAR!$I$58</f>
        <v>24146.956675187666</v>
      </c>
      <c r="H329" s="295">
        <f>'CAR Mileage'!H350*CAR!$I$58</f>
        <v>24146.956675187666</v>
      </c>
      <c r="I329" s="295">
        <f>'CAR Mileage'!I350*CAR!$I$58</f>
        <v>24146.956675187666</v>
      </c>
      <c r="J329" s="295">
        <f>'CAR Mileage'!J350*CAR!$I$58</f>
        <v>24146.956675187666</v>
      </c>
      <c r="K329" s="295">
        <f>'CAR Mileage'!K350*CAR!$I$58</f>
        <v>24146.956675187666</v>
      </c>
      <c r="L329" s="295">
        <f>'CAR Mileage'!L350*CAR!$I$58</f>
        <v>24146.956675187666</v>
      </c>
      <c r="M329" s="295">
        <f>'CAR Mileage'!M350*CAR!$I$58</f>
        <v>24146.956675187666</v>
      </c>
      <c r="N329" s="295">
        <f>'CAR Mileage'!N350*CAR!$I$58</f>
        <v>24146.956675187666</v>
      </c>
      <c r="O329" s="295">
        <f>'CAR Mileage'!O350*CAR!$I$58</f>
        <v>24146.956675187666</v>
      </c>
      <c r="P329" s="295">
        <f>'CAR Mileage'!P350*CAR!$I$58</f>
        <v>24146.956675187666</v>
      </c>
      <c r="Q329" s="295">
        <f>'CAR Mileage'!Q350*CAR!$I$58</f>
        <v>24146.956675187666</v>
      </c>
      <c r="R329" s="295">
        <f>'CAR Mileage'!R350*CAR!$I$58</f>
        <v>24146.956675187666</v>
      </c>
      <c r="S329" s="295">
        <f>'CAR Mileage'!S350*CAR!$I$58</f>
        <v>24146.956675187666</v>
      </c>
      <c r="T329" s="295">
        <f>'CAR Mileage'!T350*CAR!$I$58</f>
        <v>24146.956675187666</v>
      </c>
      <c r="U329" s="295">
        <f>'CAR Mileage'!U350*CAR!$I$58</f>
        <v>24146.956675187666</v>
      </c>
      <c r="V329" s="295">
        <f>'CAR Mileage'!V350*CAR!$I$58</f>
        <v>24146.956675187666</v>
      </c>
      <c r="W329" s="295">
        <f>'CAR Mileage'!W350*CAR!$I$58</f>
        <v>24146.956675187666</v>
      </c>
      <c r="X329" s="295">
        <f>'CAR Mileage'!X350*CAR!$I$58</f>
        <v>24146.956675187666</v>
      </c>
      <c r="Y329" s="295">
        <f>'CAR Mileage'!Y350*CAR!$I$58</f>
        <v>24146.956675187666</v>
      </c>
      <c r="Z329" s="295">
        <f>'CAR Mileage'!Z350*CAR!$I$58</f>
        <v>24146.956675187666</v>
      </c>
      <c r="AA329" s="295">
        <f>'CAR Mileage'!AA350*CAR!$I$58</f>
        <v>24146.956675187666</v>
      </c>
      <c r="AB329" s="295">
        <f>'CAR Mileage'!AB350*CAR!$I$58</f>
        <v>24146.956675187666</v>
      </c>
      <c r="AC329" s="295">
        <f>'CAR Mileage'!AC350*CAR!$I$58</f>
        <v>24146.956675187666</v>
      </c>
      <c r="AD329" s="295">
        <f>'CAR Mileage'!AD350*CAR!$I$58</f>
        <v>24146.956675187666</v>
      </c>
      <c r="AE329" s="296">
        <f>'CAR Mileage'!AE350*CAR!$I$58</f>
        <v>24146.956675187666</v>
      </c>
      <c r="AG329" s="1711"/>
      <c r="AH329" s="116">
        <v>7</v>
      </c>
      <c r="AI329" s="294">
        <f>'CAR Passenger Kilometres'!C329*'CAR Stock'!C379</f>
        <v>24146.956675187666</v>
      </c>
      <c r="AJ329" s="295">
        <f>'CAR Passenger Kilometres'!D329*'CAR Stock'!D379</f>
        <v>313910.43677743967</v>
      </c>
      <c r="AK329" s="295">
        <f>'CAR Passenger Kilometres'!E329*'CAR Stock'!E379</f>
        <v>9079255.709870562</v>
      </c>
      <c r="AL329" s="295">
        <f>'CAR Passenger Kilometres'!F329*'CAR Stock'!F379</f>
        <v>23253519.278205723</v>
      </c>
      <c r="AM329" s="295">
        <f>'CAR Passenger Kilometres'!G329*'CAR Stock'!G379</f>
        <v>1448817.4005112599</v>
      </c>
      <c r="AN329" s="295">
        <f>'CAR Passenger Kilometres'!H329*'CAR Stock'!H379</f>
        <v>217322.61007668899</v>
      </c>
      <c r="AO329" s="295">
        <f>'CAR Passenger Kilometres'!I329*'CAR Stock'!I379</f>
        <v>48293.913350375333</v>
      </c>
      <c r="AP329" s="295">
        <f>'CAR Passenger Kilometres'!J329*'CAR Stock'!J379</f>
        <v>0</v>
      </c>
      <c r="AQ329" s="295">
        <f>'CAR Passenger Kilometres'!K329*'CAR Stock'!K379</f>
        <v>0</v>
      </c>
      <c r="AR329" s="295">
        <f>'CAR Passenger Kilometres'!L329*'CAR Stock'!L379</f>
        <v>0</v>
      </c>
      <c r="AS329" s="295">
        <f>'CAR Passenger Kilometres'!M329*'CAR Stock'!M379</f>
        <v>0</v>
      </c>
      <c r="AT329" s="295">
        <f>'CAR Passenger Kilometres'!N329*'CAR Stock'!N379</f>
        <v>0</v>
      </c>
      <c r="AU329" s="295">
        <f>'CAR Passenger Kilometres'!O329*'CAR Stock'!O379</f>
        <v>0</v>
      </c>
      <c r="AV329" s="295">
        <f>'CAR Passenger Kilometres'!P329*'CAR Stock'!P379</f>
        <v>0</v>
      </c>
      <c r="AW329" s="295">
        <f>'CAR Passenger Kilometres'!Q329*'CAR Stock'!Q379</f>
        <v>0</v>
      </c>
      <c r="AX329" s="295">
        <f>'CAR Passenger Kilometres'!R329*'CAR Stock'!R379</f>
        <v>0</v>
      </c>
      <c r="AY329" s="295">
        <f>'CAR Passenger Kilometres'!S329*'CAR Stock'!S379</f>
        <v>0</v>
      </c>
      <c r="AZ329" s="295">
        <f>'CAR Passenger Kilometres'!T329*'CAR Stock'!T379</f>
        <v>0</v>
      </c>
      <c r="BA329" s="295">
        <f>'CAR Passenger Kilometres'!U329*'CAR Stock'!U379</f>
        <v>0</v>
      </c>
      <c r="BB329" s="295">
        <f>'CAR Passenger Kilometres'!V329*'CAR Stock'!V379</f>
        <v>0</v>
      </c>
      <c r="BC329" s="295">
        <f>'CAR Passenger Kilometres'!W329*'CAR Stock'!W379</f>
        <v>0</v>
      </c>
      <c r="BD329" s="295">
        <f>'CAR Passenger Kilometres'!X329*'CAR Stock'!X379</f>
        <v>0</v>
      </c>
      <c r="BE329" s="295">
        <f>'CAR Passenger Kilometres'!Y329*'CAR Stock'!Y379</f>
        <v>0</v>
      </c>
      <c r="BF329" s="295">
        <f>'CAR Passenger Kilometres'!Z329*'CAR Stock'!Z379</f>
        <v>0</v>
      </c>
      <c r="BG329" s="295">
        <f>'CAR Passenger Kilometres'!AA329*'CAR Stock'!AA379</f>
        <v>0</v>
      </c>
      <c r="BH329" s="295">
        <f>'CAR Passenger Kilometres'!AB329*'CAR Stock'!AB379</f>
        <v>0</v>
      </c>
      <c r="BI329" s="295">
        <f>'CAR Passenger Kilometres'!AC329*'CAR Stock'!AC379</f>
        <v>0</v>
      </c>
      <c r="BJ329" s="295">
        <f>'CAR Passenger Kilometres'!AD329*'CAR Stock'!AD379</f>
        <v>0</v>
      </c>
      <c r="BK329" s="296">
        <f>'CAR Passenger Kilometres'!AE329*'CAR Stock'!AE379</f>
        <v>0</v>
      </c>
    </row>
    <row r="330" spans="1:63">
      <c r="A330" s="1711"/>
      <c r="B330" s="116">
        <v>8</v>
      </c>
      <c r="C330" s="294">
        <f>'CAR Mileage'!C351*CAR!$I$58</f>
        <v>23664.017541683912</v>
      </c>
      <c r="D330" s="295">
        <f>'CAR Mileage'!D351*CAR!$I$58</f>
        <v>23664.017541683912</v>
      </c>
      <c r="E330" s="295">
        <f>'CAR Mileage'!E351*CAR!$I$58</f>
        <v>23664.017541683912</v>
      </c>
      <c r="F330" s="295">
        <f>'CAR Mileage'!F351*CAR!$I$58</f>
        <v>23664.017541683912</v>
      </c>
      <c r="G330" s="295">
        <f>'CAR Mileage'!G351*CAR!$I$58</f>
        <v>23664.017541683912</v>
      </c>
      <c r="H330" s="295">
        <f>'CAR Mileage'!H351*CAR!$I$58</f>
        <v>23664.017541683912</v>
      </c>
      <c r="I330" s="295">
        <f>'CAR Mileage'!I351*CAR!$I$58</f>
        <v>23664.017541683912</v>
      </c>
      <c r="J330" s="295">
        <f>'CAR Mileage'!J351*CAR!$I$58</f>
        <v>23664.017541683912</v>
      </c>
      <c r="K330" s="295">
        <f>'CAR Mileage'!K351*CAR!$I$58</f>
        <v>23664.017541683912</v>
      </c>
      <c r="L330" s="295">
        <f>'CAR Mileage'!L351*CAR!$I$58</f>
        <v>23664.017541683912</v>
      </c>
      <c r="M330" s="295">
        <f>'CAR Mileage'!M351*CAR!$I$58</f>
        <v>23664.017541683912</v>
      </c>
      <c r="N330" s="295">
        <f>'CAR Mileage'!N351*CAR!$I$58</f>
        <v>23664.017541683912</v>
      </c>
      <c r="O330" s="295">
        <f>'CAR Mileage'!O351*CAR!$I$58</f>
        <v>23664.017541683912</v>
      </c>
      <c r="P330" s="295">
        <f>'CAR Mileage'!P351*CAR!$I$58</f>
        <v>23664.017541683912</v>
      </c>
      <c r="Q330" s="295">
        <f>'CAR Mileage'!Q351*CAR!$I$58</f>
        <v>23664.017541683912</v>
      </c>
      <c r="R330" s="295">
        <f>'CAR Mileage'!R351*CAR!$I$58</f>
        <v>23664.017541683912</v>
      </c>
      <c r="S330" s="295">
        <f>'CAR Mileage'!S351*CAR!$I$58</f>
        <v>23664.017541683912</v>
      </c>
      <c r="T330" s="295">
        <f>'CAR Mileage'!T351*CAR!$I$58</f>
        <v>23664.017541683912</v>
      </c>
      <c r="U330" s="295">
        <f>'CAR Mileage'!U351*CAR!$I$58</f>
        <v>23664.017541683912</v>
      </c>
      <c r="V330" s="295">
        <f>'CAR Mileage'!V351*CAR!$I$58</f>
        <v>23664.017541683912</v>
      </c>
      <c r="W330" s="295">
        <f>'CAR Mileage'!W351*CAR!$I$58</f>
        <v>23664.017541683912</v>
      </c>
      <c r="X330" s="295">
        <f>'CAR Mileage'!X351*CAR!$I$58</f>
        <v>23664.017541683912</v>
      </c>
      <c r="Y330" s="295">
        <f>'CAR Mileage'!Y351*CAR!$I$58</f>
        <v>23664.017541683912</v>
      </c>
      <c r="Z330" s="295">
        <f>'CAR Mileage'!Z351*CAR!$I$58</f>
        <v>23664.017541683912</v>
      </c>
      <c r="AA330" s="295">
        <f>'CAR Mileage'!AA351*CAR!$I$58</f>
        <v>23664.017541683912</v>
      </c>
      <c r="AB330" s="295">
        <f>'CAR Mileage'!AB351*CAR!$I$58</f>
        <v>23664.017541683912</v>
      </c>
      <c r="AC330" s="295">
        <f>'CAR Mileage'!AC351*CAR!$I$58</f>
        <v>23664.017541683912</v>
      </c>
      <c r="AD330" s="295">
        <f>'CAR Mileage'!AD351*CAR!$I$58</f>
        <v>23664.017541683912</v>
      </c>
      <c r="AE330" s="296">
        <f>'CAR Mileage'!AE351*CAR!$I$58</f>
        <v>23664.017541683912</v>
      </c>
      <c r="AG330" s="1711"/>
      <c r="AH330" s="116">
        <v>8</v>
      </c>
      <c r="AI330" s="294">
        <f>'CAR Passenger Kilometres'!C330*'CAR Stock'!C380</f>
        <v>0</v>
      </c>
      <c r="AJ330" s="295">
        <f>'CAR Passenger Kilometres'!D330*'CAR Stock'!D380</f>
        <v>23664.017541683912</v>
      </c>
      <c r="AK330" s="295">
        <f>'CAR Passenger Kilometres'!E330*'CAR Stock'!E380</f>
        <v>307632.22804189083</v>
      </c>
      <c r="AL330" s="295">
        <f>'CAR Passenger Kilometres'!F330*'CAR Stock'!F380</f>
        <v>8897670.5956731513</v>
      </c>
      <c r="AM330" s="295">
        <f>'CAR Passenger Kilometres'!G330*'CAR Stock'!G380</f>
        <v>22788448.892641608</v>
      </c>
      <c r="AN330" s="295">
        <f>'CAR Passenger Kilometres'!H330*'CAR Stock'!H380</f>
        <v>1419841.0525010347</v>
      </c>
      <c r="AO330" s="295">
        <f>'CAR Passenger Kilometres'!I330*'CAR Stock'!I380</f>
        <v>212976.15787515522</v>
      </c>
      <c r="AP330" s="295">
        <f>'CAR Passenger Kilometres'!J330*'CAR Stock'!J380</f>
        <v>47328.035083367824</v>
      </c>
      <c r="AQ330" s="295">
        <f>'CAR Passenger Kilometres'!K330*'CAR Stock'!K380</f>
        <v>0</v>
      </c>
      <c r="AR330" s="295">
        <f>'CAR Passenger Kilometres'!L330*'CAR Stock'!L380</f>
        <v>0</v>
      </c>
      <c r="AS330" s="295">
        <f>'CAR Passenger Kilometres'!M330*'CAR Stock'!M380</f>
        <v>0</v>
      </c>
      <c r="AT330" s="295">
        <f>'CAR Passenger Kilometres'!N330*'CAR Stock'!N380</f>
        <v>0</v>
      </c>
      <c r="AU330" s="295">
        <f>'CAR Passenger Kilometres'!O330*'CAR Stock'!O380</f>
        <v>0</v>
      </c>
      <c r="AV330" s="295">
        <f>'CAR Passenger Kilometres'!P330*'CAR Stock'!P380</f>
        <v>0</v>
      </c>
      <c r="AW330" s="295">
        <f>'CAR Passenger Kilometres'!Q330*'CAR Stock'!Q380</f>
        <v>0</v>
      </c>
      <c r="AX330" s="295">
        <f>'CAR Passenger Kilometres'!R330*'CAR Stock'!R380</f>
        <v>0</v>
      </c>
      <c r="AY330" s="295">
        <f>'CAR Passenger Kilometres'!S330*'CAR Stock'!S380</f>
        <v>0</v>
      </c>
      <c r="AZ330" s="295">
        <f>'CAR Passenger Kilometres'!T330*'CAR Stock'!T380</f>
        <v>0</v>
      </c>
      <c r="BA330" s="295">
        <f>'CAR Passenger Kilometres'!U330*'CAR Stock'!U380</f>
        <v>0</v>
      </c>
      <c r="BB330" s="295">
        <f>'CAR Passenger Kilometres'!V330*'CAR Stock'!V380</f>
        <v>0</v>
      </c>
      <c r="BC330" s="295">
        <f>'CAR Passenger Kilometres'!W330*'CAR Stock'!W380</f>
        <v>0</v>
      </c>
      <c r="BD330" s="295">
        <f>'CAR Passenger Kilometres'!X330*'CAR Stock'!X380</f>
        <v>0</v>
      </c>
      <c r="BE330" s="295">
        <f>'CAR Passenger Kilometres'!Y330*'CAR Stock'!Y380</f>
        <v>0</v>
      </c>
      <c r="BF330" s="295">
        <f>'CAR Passenger Kilometres'!Z330*'CAR Stock'!Z380</f>
        <v>0</v>
      </c>
      <c r="BG330" s="295">
        <f>'CAR Passenger Kilometres'!AA330*'CAR Stock'!AA380</f>
        <v>0</v>
      </c>
      <c r="BH330" s="295">
        <f>'CAR Passenger Kilometres'!AB330*'CAR Stock'!AB380</f>
        <v>0</v>
      </c>
      <c r="BI330" s="295">
        <f>'CAR Passenger Kilometres'!AC330*'CAR Stock'!AC380</f>
        <v>0</v>
      </c>
      <c r="BJ330" s="295">
        <f>'CAR Passenger Kilometres'!AD330*'CAR Stock'!AD380</f>
        <v>0</v>
      </c>
      <c r="BK330" s="296">
        <f>'CAR Passenger Kilometres'!AE330*'CAR Stock'!AE380</f>
        <v>0</v>
      </c>
    </row>
    <row r="331" spans="1:63">
      <c r="A331" s="1711"/>
      <c r="B331" s="116">
        <v>9</v>
      </c>
      <c r="C331" s="294">
        <f>'CAR Mileage'!C352*CAR!$I$58</f>
        <v>23190.737190850235</v>
      </c>
      <c r="D331" s="295">
        <f>'CAR Mileage'!D352*CAR!$I$58</f>
        <v>23190.737190850235</v>
      </c>
      <c r="E331" s="295">
        <f>'CAR Mileage'!E352*CAR!$I$58</f>
        <v>23190.737190850235</v>
      </c>
      <c r="F331" s="295">
        <f>'CAR Mileage'!F352*CAR!$I$58</f>
        <v>23190.737190850235</v>
      </c>
      <c r="G331" s="295">
        <f>'CAR Mileage'!G352*CAR!$I$58</f>
        <v>23190.737190850235</v>
      </c>
      <c r="H331" s="295">
        <f>'CAR Mileage'!H352*CAR!$I$58</f>
        <v>23190.737190850235</v>
      </c>
      <c r="I331" s="295">
        <f>'CAR Mileage'!I352*CAR!$I$58</f>
        <v>23190.737190850235</v>
      </c>
      <c r="J331" s="295">
        <f>'CAR Mileage'!J352*CAR!$I$58</f>
        <v>23190.737190850235</v>
      </c>
      <c r="K331" s="295">
        <f>'CAR Mileage'!K352*CAR!$I$58</f>
        <v>23190.737190850235</v>
      </c>
      <c r="L331" s="295">
        <f>'CAR Mileage'!L352*CAR!$I$58</f>
        <v>23190.737190850235</v>
      </c>
      <c r="M331" s="295">
        <f>'CAR Mileage'!M352*CAR!$I$58</f>
        <v>23190.737190850235</v>
      </c>
      <c r="N331" s="295">
        <f>'CAR Mileage'!N352*CAR!$I$58</f>
        <v>23190.737190850235</v>
      </c>
      <c r="O331" s="295">
        <f>'CAR Mileage'!O352*CAR!$I$58</f>
        <v>23190.737190850235</v>
      </c>
      <c r="P331" s="295">
        <f>'CAR Mileage'!P352*CAR!$I$58</f>
        <v>23190.737190850235</v>
      </c>
      <c r="Q331" s="295">
        <f>'CAR Mileage'!Q352*CAR!$I$58</f>
        <v>23190.737190850235</v>
      </c>
      <c r="R331" s="295">
        <f>'CAR Mileage'!R352*CAR!$I$58</f>
        <v>23190.737190850235</v>
      </c>
      <c r="S331" s="295">
        <f>'CAR Mileage'!S352*CAR!$I$58</f>
        <v>23190.737190850235</v>
      </c>
      <c r="T331" s="295">
        <f>'CAR Mileage'!T352*CAR!$I$58</f>
        <v>23190.737190850235</v>
      </c>
      <c r="U331" s="295">
        <f>'CAR Mileage'!U352*CAR!$I$58</f>
        <v>23190.737190850235</v>
      </c>
      <c r="V331" s="295">
        <f>'CAR Mileage'!V352*CAR!$I$58</f>
        <v>23190.737190850235</v>
      </c>
      <c r="W331" s="295">
        <f>'CAR Mileage'!W352*CAR!$I$58</f>
        <v>23190.737190850235</v>
      </c>
      <c r="X331" s="295">
        <f>'CAR Mileage'!X352*CAR!$I$58</f>
        <v>23190.737190850235</v>
      </c>
      <c r="Y331" s="295">
        <f>'CAR Mileage'!Y352*CAR!$I$58</f>
        <v>23190.737190850235</v>
      </c>
      <c r="Z331" s="295">
        <f>'CAR Mileage'!Z352*CAR!$I$58</f>
        <v>23190.737190850235</v>
      </c>
      <c r="AA331" s="295">
        <f>'CAR Mileage'!AA352*CAR!$I$58</f>
        <v>23190.737190850235</v>
      </c>
      <c r="AB331" s="295">
        <f>'CAR Mileage'!AB352*CAR!$I$58</f>
        <v>23190.737190850235</v>
      </c>
      <c r="AC331" s="295">
        <f>'CAR Mileage'!AC352*CAR!$I$58</f>
        <v>23190.737190850235</v>
      </c>
      <c r="AD331" s="295">
        <f>'CAR Mileage'!AD352*CAR!$I$58</f>
        <v>23190.737190850235</v>
      </c>
      <c r="AE331" s="296">
        <f>'CAR Mileage'!AE352*CAR!$I$58</f>
        <v>23190.737190850235</v>
      </c>
      <c r="AG331" s="1711"/>
      <c r="AH331" s="116">
        <v>9</v>
      </c>
      <c r="AI331" s="294">
        <f>'CAR Passenger Kilometres'!C331*'CAR Stock'!C381</f>
        <v>0</v>
      </c>
      <c r="AJ331" s="295">
        <f>'CAR Passenger Kilometres'!D331*'CAR Stock'!D381</f>
        <v>0</v>
      </c>
      <c r="AK331" s="295">
        <f>'CAR Passenger Kilometres'!E331*'CAR Stock'!E381</f>
        <v>22563.88659210375</v>
      </c>
      <c r="AL331" s="295">
        <f>'CAR Passenger Kilometres'!F331*'CAR Stock'!F381</f>
        <v>293330.52569734876</v>
      </c>
      <c r="AM331" s="295">
        <f>'CAR Passenger Kilometres'!G331*'CAR Stock'!G381</f>
        <v>8484021.3586310111</v>
      </c>
      <c r="AN331" s="295">
        <f>'CAR Passenger Kilometres'!H331*'CAR Stock'!H381</f>
        <v>21729022.788195912</v>
      </c>
      <c r="AO331" s="295">
        <f>'CAR Passenger Kilometres'!I331*'CAR Stock'!I381</f>
        <v>1353833.195526225</v>
      </c>
      <c r="AP331" s="295">
        <f>'CAR Passenger Kilometres'!J331*'CAR Stock'!J381</f>
        <v>203074.97932893372</v>
      </c>
      <c r="AQ331" s="295">
        <f>'CAR Passenger Kilometres'!K331*'CAR Stock'!K381</f>
        <v>45127.773184207501</v>
      </c>
      <c r="AR331" s="295">
        <f>'CAR Passenger Kilometres'!L331*'CAR Stock'!L381</f>
        <v>0</v>
      </c>
      <c r="AS331" s="295">
        <f>'CAR Passenger Kilometres'!M331*'CAR Stock'!M381</f>
        <v>0</v>
      </c>
      <c r="AT331" s="295">
        <f>'CAR Passenger Kilometres'!N331*'CAR Stock'!N381</f>
        <v>0</v>
      </c>
      <c r="AU331" s="295">
        <f>'CAR Passenger Kilometres'!O331*'CAR Stock'!O381</f>
        <v>0</v>
      </c>
      <c r="AV331" s="295">
        <f>'CAR Passenger Kilometres'!P331*'CAR Stock'!P381</f>
        <v>0</v>
      </c>
      <c r="AW331" s="295">
        <f>'CAR Passenger Kilometres'!Q331*'CAR Stock'!Q381</f>
        <v>0</v>
      </c>
      <c r="AX331" s="295">
        <f>'CAR Passenger Kilometres'!R331*'CAR Stock'!R381</f>
        <v>0</v>
      </c>
      <c r="AY331" s="295">
        <f>'CAR Passenger Kilometres'!S331*'CAR Stock'!S381</f>
        <v>0</v>
      </c>
      <c r="AZ331" s="295">
        <f>'CAR Passenger Kilometres'!T331*'CAR Stock'!T381</f>
        <v>0</v>
      </c>
      <c r="BA331" s="295">
        <f>'CAR Passenger Kilometres'!U331*'CAR Stock'!U381</f>
        <v>0</v>
      </c>
      <c r="BB331" s="295">
        <f>'CAR Passenger Kilometres'!V331*'CAR Stock'!V381</f>
        <v>0</v>
      </c>
      <c r="BC331" s="295">
        <f>'CAR Passenger Kilometres'!W331*'CAR Stock'!W381</f>
        <v>0</v>
      </c>
      <c r="BD331" s="295">
        <f>'CAR Passenger Kilometres'!X331*'CAR Stock'!X381</f>
        <v>0</v>
      </c>
      <c r="BE331" s="295">
        <f>'CAR Passenger Kilometres'!Y331*'CAR Stock'!Y381</f>
        <v>0</v>
      </c>
      <c r="BF331" s="295">
        <f>'CAR Passenger Kilometres'!Z331*'CAR Stock'!Z381</f>
        <v>0</v>
      </c>
      <c r="BG331" s="295">
        <f>'CAR Passenger Kilometres'!AA331*'CAR Stock'!AA381</f>
        <v>0</v>
      </c>
      <c r="BH331" s="295">
        <f>'CAR Passenger Kilometres'!AB331*'CAR Stock'!AB381</f>
        <v>0</v>
      </c>
      <c r="BI331" s="295">
        <f>'CAR Passenger Kilometres'!AC331*'CAR Stock'!AC381</f>
        <v>0</v>
      </c>
      <c r="BJ331" s="295">
        <f>'CAR Passenger Kilometres'!AD331*'CAR Stock'!AD381</f>
        <v>0</v>
      </c>
      <c r="BK331" s="296">
        <f>'CAR Passenger Kilometres'!AE331*'CAR Stock'!AE381</f>
        <v>0</v>
      </c>
    </row>
    <row r="332" spans="1:63">
      <c r="A332" s="1711"/>
      <c r="B332" s="116">
        <v>10</v>
      </c>
      <c r="C332" s="294">
        <f>'CAR Mileage'!C353*CAR!$I$58</f>
        <v>22726.922447033226</v>
      </c>
      <c r="D332" s="295">
        <f>'CAR Mileage'!D353*CAR!$I$58</f>
        <v>22726.922447033226</v>
      </c>
      <c r="E332" s="295">
        <f>'CAR Mileage'!E353*CAR!$I$58</f>
        <v>22726.922447033226</v>
      </c>
      <c r="F332" s="295">
        <f>'CAR Mileage'!F353*CAR!$I$58</f>
        <v>22726.922447033226</v>
      </c>
      <c r="G332" s="295">
        <f>'CAR Mileage'!G353*CAR!$I$58</f>
        <v>22726.922447033226</v>
      </c>
      <c r="H332" s="295">
        <f>'CAR Mileage'!H353*CAR!$I$58</f>
        <v>22726.922447033226</v>
      </c>
      <c r="I332" s="295">
        <f>'CAR Mileage'!I353*CAR!$I$58</f>
        <v>22726.922447033226</v>
      </c>
      <c r="J332" s="295">
        <f>'CAR Mileage'!J353*CAR!$I$58</f>
        <v>22726.922447033226</v>
      </c>
      <c r="K332" s="295">
        <f>'CAR Mileage'!K353*CAR!$I$58</f>
        <v>22726.922447033226</v>
      </c>
      <c r="L332" s="295">
        <f>'CAR Mileage'!L353*CAR!$I$58</f>
        <v>22726.922447033226</v>
      </c>
      <c r="M332" s="295">
        <f>'CAR Mileage'!M353*CAR!$I$58</f>
        <v>22726.922447033226</v>
      </c>
      <c r="N332" s="295">
        <f>'CAR Mileage'!N353*CAR!$I$58</f>
        <v>22726.922447033226</v>
      </c>
      <c r="O332" s="295">
        <f>'CAR Mileage'!O353*CAR!$I$58</f>
        <v>22726.922447033226</v>
      </c>
      <c r="P332" s="295">
        <f>'CAR Mileage'!P353*CAR!$I$58</f>
        <v>22726.922447033226</v>
      </c>
      <c r="Q332" s="295">
        <f>'CAR Mileage'!Q353*CAR!$I$58</f>
        <v>22726.922447033226</v>
      </c>
      <c r="R332" s="295">
        <f>'CAR Mileage'!R353*CAR!$I$58</f>
        <v>22726.922447033226</v>
      </c>
      <c r="S332" s="295">
        <f>'CAR Mileage'!S353*CAR!$I$58</f>
        <v>22726.922447033226</v>
      </c>
      <c r="T332" s="295">
        <f>'CAR Mileage'!T353*CAR!$I$58</f>
        <v>22726.922447033226</v>
      </c>
      <c r="U332" s="295">
        <f>'CAR Mileage'!U353*CAR!$I$58</f>
        <v>22726.922447033226</v>
      </c>
      <c r="V332" s="295">
        <f>'CAR Mileage'!V353*CAR!$I$58</f>
        <v>22726.922447033226</v>
      </c>
      <c r="W332" s="295">
        <f>'CAR Mileage'!W353*CAR!$I$58</f>
        <v>22726.922447033226</v>
      </c>
      <c r="X332" s="295">
        <f>'CAR Mileage'!X353*CAR!$I$58</f>
        <v>22726.922447033226</v>
      </c>
      <c r="Y332" s="295">
        <f>'CAR Mileage'!Y353*CAR!$I$58</f>
        <v>22726.922447033226</v>
      </c>
      <c r="Z332" s="295">
        <f>'CAR Mileage'!Z353*CAR!$I$58</f>
        <v>22726.922447033226</v>
      </c>
      <c r="AA332" s="295">
        <f>'CAR Mileage'!AA353*CAR!$I$58</f>
        <v>22726.922447033226</v>
      </c>
      <c r="AB332" s="295">
        <f>'CAR Mileage'!AB353*CAR!$I$58</f>
        <v>22726.922447033226</v>
      </c>
      <c r="AC332" s="295">
        <f>'CAR Mileage'!AC353*CAR!$I$58</f>
        <v>22726.922447033226</v>
      </c>
      <c r="AD332" s="295">
        <f>'CAR Mileage'!AD353*CAR!$I$58</f>
        <v>22726.922447033226</v>
      </c>
      <c r="AE332" s="296">
        <f>'CAR Mileage'!AE353*CAR!$I$58</f>
        <v>22726.922447033226</v>
      </c>
      <c r="AG332" s="1711"/>
      <c r="AH332" s="116">
        <v>10</v>
      </c>
      <c r="AI332" s="294">
        <f>'CAR Passenger Kilometres'!C332*'CAR Stock'!C382</f>
        <v>0</v>
      </c>
      <c r="AJ332" s="295">
        <f>'CAR Passenger Kilometres'!D332*'CAR Stock'!D382</f>
        <v>0</v>
      </c>
      <c r="AK332" s="295">
        <f>'CAR Passenger Kilometres'!E332*'CAR Stock'!E382</f>
        <v>0</v>
      </c>
      <c r="AL332" s="295">
        <f>'CAR Passenger Kilometres'!F332*'CAR Stock'!F382</f>
        <v>19511.132292668855</v>
      </c>
      <c r="AM332" s="295">
        <f>'CAR Passenger Kilometres'!G332*'CAR Stock'!G382</f>
        <v>253644.71980469508</v>
      </c>
      <c r="AN332" s="295">
        <f>'CAR Passenger Kilometres'!H332*'CAR Stock'!H382</f>
        <v>7336185.7420434905</v>
      </c>
      <c r="AO332" s="295">
        <f>'CAR Passenger Kilometres'!I332*'CAR Stock'!I382</f>
        <v>18789220.397840109</v>
      </c>
      <c r="AP332" s="295">
        <f>'CAR Passenger Kilometres'!J332*'CAR Stock'!J382</f>
        <v>1170667.9375601313</v>
      </c>
      <c r="AQ332" s="295">
        <f>'CAR Passenger Kilometres'!K332*'CAR Stock'!K382</f>
        <v>175600.1906340197</v>
      </c>
      <c r="AR332" s="295">
        <f>'CAR Passenger Kilometres'!L332*'CAR Stock'!L382</f>
        <v>39022.264585337711</v>
      </c>
      <c r="AS332" s="295">
        <f>'CAR Passenger Kilometres'!M332*'CAR Stock'!M382</f>
        <v>0</v>
      </c>
      <c r="AT332" s="295">
        <f>'CAR Passenger Kilometres'!N332*'CAR Stock'!N382</f>
        <v>0</v>
      </c>
      <c r="AU332" s="295">
        <f>'CAR Passenger Kilometres'!O332*'CAR Stock'!O382</f>
        <v>0</v>
      </c>
      <c r="AV332" s="295">
        <f>'CAR Passenger Kilometres'!P332*'CAR Stock'!P382</f>
        <v>0</v>
      </c>
      <c r="AW332" s="295">
        <f>'CAR Passenger Kilometres'!Q332*'CAR Stock'!Q382</f>
        <v>0</v>
      </c>
      <c r="AX332" s="295">
        <f>'CAR Passenger Kilometres'!R332*'CAR Stock'!R382</f>
        <v>0</v>
      </c>
      <c r="AY332" s="295">
        <f>'CAR Passenger Kilometres'!S332*'CAR Stock'!S382</f>
        <v>0</v>
      </c>
      <c r="AZ332" s="295">
        <f>'CAR Passenger Kilometres'!T332*'CAR Stock'!T382</f>
        <v>0</v>
      </c>
      <c r="BA332" s="295">
        <f>'CAR Passenger Kilometres'!U332*'CAR Stock'!U382</f>
        <v>0</v>
      </c>
      <c r="BB332" s="295">
        <f>'CAR Passenger Kilometres'!V332*'CAR Stock'!V382</f>
        <v>0</v>
      </c>
      <c r="BC332" s="295">
        <f>'CAR Passenger Kilometres'!W332*'CAR Stock'!W382</f>
        <v>0</v>
      </c>
      <c r="BD332" s="295">
        <f>'CAR Passenger Kilometres'!X332*'CAR Stock'!X382</f>
        <v>0</v>
      </c>
      <c r="BE332" s="295">
        <f>'CAR Passenger Kilometres'!Y332*'CAR Stock'!Y382</f>
        <v>0</v>
      </c>
      <c r="BF332" s="295">
        <f>'CAR Passenger Kilometres'!Z332*'CAR Stock'!Z382</f>
        <v>0</v>
      </c>
      <c r="BG332" s="295">
        <f>'CAR Passenger Kilometres'!AA332*'CAR Stock'!AA382</f>
        <v>0</v>
      </c>
      <c r="BH332" s="295">
        <f>'CAR Passenger Kilometres'!AB332*'CAR Stock'!AB382</f>
        <v>0</v>
      </c>
      <c r="BI332" s="295">
        <f>'CAR Passenger Kilometres'!AC332*'CAR Stock'!AC382</f>
        <v>0</v>
      </c>
      <c r="BJ332" s="295">
        <f>'CAR Passenger Kilometres'!AD332*'CAR Stock'!AD382</f>
        <v>0</v>
      </c>
      <c r="BK332" s="296">
        <f>'CAR Passenger Kilometres'!AE332*'CAR Stock'!AE382</f>
        <v>0</v>
      </c>
    </row>
    <row r="333" spans="1:63">
      <c r="A333" s="1711"/>
      <c r="B333" s="116">
        <v>11</v>
      </c>
      <c r="C333" s="294">
        <f>'CAR Mileage'!C354*CAR!$I$58</f>
        <v>22272.383998092562</v>
      </c>
      <c r="D333" s="295">
        <f>'CAR Mileage'!D354*CAR!$I$58</f>
        <v>22272.383998092562</v>
      </c>
      <c r="E333" s="295">
        <f>'CAR Mileage'!E354*CAR!$I$58</f>
        <v>22272.383998092562</v>
      </c>
      <c r="F333" s="295">
        <f>'CAR Mileage'!F354*CAR!$I$58</f>
        <v>22272.383998092562</v>
      </c>
      <c r="G333" s="295">
        <f>'CAR Mileage'!G354*CAR!$I$58</f>
        <v>22272.383998092562</v>
      </c>
      <c r="H333" s="295">
        <f>'CAR Mileage'!H354*CAR!$I$58</f>
        <v>22272.383998092562</v>
      </c>
      <c r="I333" s="295">
        <f>'CAR Mileage'!I354*CAR!$I$58</f>
        <v>22272.383998092562</v>
      </c>
      <c r="J333" s="295">
        <f>'CAR Mileage'!J354*CAR!$I$58</f>
        <v>22272.383998092562</v>
      </c>
      <c r="K333" s="295">
        <f>'CAR Mileage'!K354*CAR!$I$58</f>
        <v>22272.383998092562</v>
      </c>
      <c r="L333" s="295">
        <f>'CAR Mileage'!L354*CAR!$I$58</f>
        <v>22272.383998092562</v>
      </c>
      <c r="M333" s="295">
        <f>'CAR Mileage'!M354*CAR!$I$58</f>
        <v>22272.383998092562</v>
      </c>
      <c r="N333" s="295">
        <f>'CAR Mileage'!N354*CAR!$I$58</f>
        <v>22272.383998092562</v>
      </c>
      <c r="O333" s="295">
        <f>'CAR Mileage'!O354*CAR!$I$58</f>
        <v>22272.383998092562</v>
      </c>
      <c r="P333" s="295">
        <f>'CAR Mileage'!P354*CAR!$I$58</f>
        <v>22272.383998092562</v>
      </c>
      <c r="Q333" s="295">
        <f>'CAR Mileage'!Q354*CAR!$I$58</f>
        <v>22272.383998092562</v>
      </c>
      <c r="R333" s="295">
        <f>'CAR Mileage'!R354*CAR!$I$58</f>
        <v>22272.383998092562</v>
      </c>
      <c r="S333" s="295">
        <f>'CAR Mileage'!S354*CAR!$I$58</f>
        <v>22272.383998092562</v>
      </c>
      <c r="T333" s="295">
        <f>'CAR Mileage'!T354*CAR!$I$58</f>
        <v>22272.383998092562</v>
      </c>
      <c r="U333" s="295">
        <f>'CAR Mileage'!U354*CAR!$I$58</f>
        <v>22272.383998092562</v>
      </c>
      <c r="V333" s="295">
        <f>'CAR Mileage'!V354*CAR!$I$58</f>
        <v>22272.383998092562</v>
      </c>
      <c r="W333" s="295">
        <f>'CAR Mileage'!W354*CAR!$I$58</f>
        <v>22272.383998092562</v>
      </c>
      <c r="X333" s="295">
        <f>'CAR Mileage'!X354*CAR!$I$58</f>
        <v>22272.383998092562</v>
      </c>
      <c r="Y333" s="295">
        <f>'CAR Mileage'!Y354*CAR!$I$58</f>
        <v>22272.383998092562</v>
      </c>
      <c r="Z333" s="295">
        <f>'CAR Mileage'!Z354*CAR!$I$58</f>
        <v>22272.383998092562</v>
      </c>
      <c r="AA333" s="295">
        <f>'CAR Mileage'!AA354*CAR!$I$58</f>
        <v>22272.383998092562</v>
      </c>
      <c r="AB333" s="295">
        <f>'CAR Mileage'!AB354*CAR!$I$58</f>
        <v>22272.383998092562</v>
      </c>
      <c r="AC333" s="295">
        <f>'CAR Mileage'!AC354*CAR!$I$58</f>
        <v>22272.383998092562</v>
      </c>
      <c r="AD333" s="295">
        <f>'CAR Mileage'!AD354*CAR!$I$58</f>
        <v>22272.383998092562</v>
      </c>
      <c r="AE333" s="296">
        <f>'CAR Mileage'!AE354*CAR!$I$58</f>
        <v>22272.383998092562</v>
      </c>
      <c r="AG333" s="1711"/>
      <c r="AH333" s="116">
        <v>11</v>
      </c>
      <c r="AI333" s="294">
        <f>'CAR Passenger Kilometres'!C333*'CAR Stock'!C383</f>
        <v>0</v>
      </c>
      <c r="AJ333" s="295">
        <f>'CAR Passenger Kilometres'!D333*'CAR Stock'!D383</f>
        <v>0</v>
      </c>
      <c r="AK333" s="295">
        <f>'CAR Passenger Kilometres'!E333*'CAR Stock'!E383</f>
        <v>0</v>
      </c>
      <c r="AL333" s="295">
        <f>'CAR Passenger Kilometres'!F333*'CAR Stock'!F383</f>
        <v>0</v>
      </c>
      <c r="AM333" s="295">
        <f>'CAR Passenger Kilometres'!G333*'CAR Stock'!G383</f>
        <v>14656.608086134878</v>
      </c>
      <c r="AN333" s="295">
        <f>'CAR Passenger Kilometres'!H333*'CAR Stock'!H383</f>
        <v>190535.90511975338</v>
      </c>
      <c r="AO333" s="295">
        <f>'CAR Passenger Kilometres'!I333*'CAR Stock'!I383</f>
        <v>5510884.6403867155</v>
      </c>
      <c r="AP333" s="295">
        <f>'CAR Passenger Kilometres'!J333*'CAR Stock'!J383</f>
        <v>14114313.58694789</v>
      </c>
      <c r="AQ333" s="295">
        <f>'CAR Passenger Kilometres'!K333*'CAR Stock'!K383</f>
        <v>879396.48516809277</v>
      </c>
      <c r="AR333" s="295">
        <f>'CAR Passenger Kilometres'!L333*'CAR Stock'!L383</f>
        <v>131909.47277521392</v>
      </c>
      <c r="AS333" s="295">
        <f>'CAR Passenger Kilometres'!M333*'CAR Stock'!M383</f>
        <v>29313.216172269756</v>
      </c>
      <c r="AT333" s="295">
        <f>'CAR Passenger Kilometres'!N333*'CAR Stock'!N383</f>
        <v>0</v>
      </c>
      <c r="AU333" s="295">
        <f>'CAR Passenger Kilometres'!O333*'CAR Stock'!O383</f>
        <v>0</v>
      </c>
      <c r="AV333" s="295">
        <f>'CAR Passenger Kilometres'!P333*'CAR Stock'!P383</f>
        <v>0</v>
      </c>
      <c r="AW333" s="295">
        <f>'CAR Passenger Kilometres'!Q333*'CAR Stock'!Q383</f>
        <v>0</v>
      </c>
      <c r="AX333" s="295">
        <f>'CAR Passenger Kilometres'!R333*'CAR Stock'!R383</f>
        <v>0</v>
      </c>
      <c r="AY333" s="295">
        <f>'CAR Passenger Kilometres'!S333*'CAR Stock'!S383</f>
        <v>0</v>
      </c>
      <c r="AZ333" s="295">
        <f>'CAR Passenger Kilometres'!T333*'CAR Stock'!T383</f>
        <v>0</v>
      </c>
      <c r="BA333" s="295">
        <f>'CAR Passenger Kilometres'!U333*'CAR Stock'!U383</f>
        <v>0</v>
      </c>
      <c r="BB333" s="295">
        <f>'CAR Passenger Kilometres'!V333*'CAR Stock'!V383</f>
        <v>0</v>
      </c>
      <c r="BC333" s="295">
        <f>'CAR Passenger Kilometres'!W333*'CAR Stock'!W383</f>
        <v>0</v>
      </c>
      <c r="BD333" s="295">
        <f>'CAR Passenger Kilometres'!X333*'CAR Stock'!X383</f>
        <v>0</v>
      </c>
      <c r="BE333" s="295">
        <f>'CAR Passenger Kilometres'!Y333*'CAR Stock'!Y383</f>
        <v>0</v>
      </c>
      <c r="BF333" s="295">
        <f>'CAR Passenger Kilometres'!Z333*'CAR Stock'!Z383</f>
        <v>0</v>
      </c>
      <c r="BG333" s="295">
        <f>'CAR Passenger Kilometres'!AA333*'CAR Stock'!AA383</f>
        <v>0</v>
      </c>
      <c r="BH333" s="295">
        <f>'CAR Passenger Kilometres'!AB333*'CAR Stock'!AB383</f>
        <v>0</v>
      </c>
      <c r="BI333" s="295">
        <f>'CAR Passenger Kilometres'!AC333*'CAR Stock'!AC383</f>
        <v>0</v>
      </c>
      <c r="BJ333" s="295">
        <f>'CAR Passenger Kilometres'!AD333*'CAR Stock'!AD383</f>
        <v>0</v>
      </c>
      <c r="BK333" s="296">
        <f>'CAR Passenger Kilometres'!AE333*'CAR Stock'!AE383</f>
        <v>0</v>
      </c>
    </row>
    <row r="334" spans="1:63">
      <c r="A334" s="1711"/>
      <c r="B334" s="116">
        <v>12</v>
      </c>
      <c r="C334" s="294">
        <f>'CAR Mileage'!C355*CAR!$I$58</f>
        <v>21826.936318130713</v>
      </c>
      <c r="D334" s="295">
        <f>'CAR Mileage'!D355*CAR!$I$58</f>
        <v>21826.936318130713</v>
      </c>
      <c r="E334" s="295">
        <f>'CAR Mileage'!E355*CAR!$I$58</f>
        <v>21826.936318130713</v>
      </c>
      <c r="F334" s="295">
        <f>'CAR Mileage'!F355*CAR!$I$58</f>
        <v>21826.936318130713</v>
      </c>
      <c r="G334" s="295">
        <f>'CAR Mileage'!G355*CAR!$I$58</f>
        <v>21826.936318130713</v>
      </c>
      <c r="H334" s="295">
        <f>'CAR Mileage'!H355*CAR!$I$58</f>
        <v>21826.936318130713</v>
      </c>
      <c r="I334" s="295">
        <f>'CAR Mileage'!I355*CAR!$I$58</f>
        <v>21826.936318130713</v>
      </c>
      <c r="J334" s="295">
        <f>'CAR Mileage'!J355*CAR!$I$58</f>
        <v>21826.936318130713</v>
      </c>
      <c r="K334" s="295">
        <f>'CAR Mileage'!K355*CAR!$I$58</f>
        <v>21826.936318130713</v>
      </c>
      <c r="L334" s="295">
        <f>'CAR Mileage'!L355*CAR!$I$58</f>
        <v>21826.936318130713</v>
      </c>
      <c r="M334" s="295">
        <f>'CAR Mileage'!M355*CAR!$I$58</f>
        <v>21826.936318130713</v>
      </c>
      <c r="N334" s="295">
        <f>'CAR Mileage'!N355*CAR!$I$58</f>
        <v>21826.936318130713</v>
      </c>
      <c r="O334" s="295">
        <f>'CAR Mileage'!O355*CAR!$I$58</f>
        <v>21826.936318130713</v>
      </c>
      <c r="P334" s="295">
        <f>'CAR Mileage'!P355*CAR!$I$58</f>
        <v>21826.936318130713</v>
      </c>
      <c r="Q334" s="295">
        <f>'CAR Mileage'!Q355*CAR!$I$58</f>
        <v>21826.936318130713</v>
      </c>
      <c r="R334" s="295">
        <f>'CAR Mileage'!R355*CAR!$I$58</f>
        <v>21826.936318130713</v>
      </c>
      <c r="S334" s="295">
        <f>'CAR Mileage'!S355*CAR!$I$58</f>
        <v>21826.936318130713</v>
      </c>
      <c r="T334" s="295">
        <f>'CAR Mileage'!T355*CAR!$I$58</f>
        <v>21826.936318130713</v>
      </c>
      <c r="U334" s="295">
        <f>'CAR Mileage'!U355*CAR!$I$58</f>
        <v>21826.936318130713</v>
      </c>
      <c r="V334" s="295">
        <f>'CAR Mileage'!V355*CAR!$I$58</f>
        <v>21826.936318130713</v>
      </c>
      <c r="W334" s="295">
        <f>'CAR Mileage'!W355*CAR!$I$58</f>
        <v>21826.936318130713</v>
      </c>
      <c r="X334" s="295">
        <f>'CAR Mileage'!X355*CAR!$I$58</f>
        <v>21826.936318130713</v>
      </c>
      <c r="Y334" s="295">
        <f>'CAR Mileage'!Y355*CAR!$I$58</f>
        <v>21826.936318130713</v>
      </c>
      <c r="Z334" s="295">
        <f>'CAR Mileage'!Z355*CAR!$I$58</f>
        <v>21826.936318130713</v>
      </c>
      <c r="AA334" s="295">
        <f>'CAR Mileage'!AA355*CAR!$I$58</f>
        <v>21826.936318130713</v>
      </c>
      <c r="AB334" s="295">
        <f>'CAR Mileage'!AB355*CAR!$I$58</f>
        <v>21826.936318130713</v>
      </c>
      <c r="AC334" s="295">
        <f>'CAR Mileage'!AC355*CAR!$I$58</f>
        <v>21826.936318130713</v>
      </c>
      <c r="AD334" s="295">
        <f>'CAR Mileage'!AD355*CAR!$I$58</f>
        <v>21826.936318130713</v>
      </c>
      <c r="AE334" s="296">
        <f>'CAR Mileage'!AE355*CAR!$I$58</f>
        <v>21826.936318130713</v>
      </c>
      <c r="AG334" s="1711"/>
      <c r="AH334" s="116">
        <v>12</v>
      </c>
      <c r="AI334" s="294">
        <f>'CAR Passenger Kilometres'!C334*'CAR Stock'!C384</f>
        <v>0</v>
      </c>
      <c r="AJ334" s="295">
        <f>'CAR Passenger Kilometres'!D334*'CAR Stock'!D384</f>
        <v>0</v>
      </c>
      <c r="AK334" s="295">
        <f>'CAR Passenger Kilometres'!E334*'CAR Stock'!E384</f>
        <v>0</v>
      </c>
      <c r="AL334" s="295">
        <f>'CAR Passenger Kilometres'!F334*'CAR Stock'!F384</f>
        <v>0</v>
      </c>
      <c r="AM334" s="295">
        <f>'CAR Passenger Kilometres'!G334*'CAR Stock'!G384</f>
        <v>0</v>
      </c>
      <c r="AN334" s="295">
        <f>'CAR Passenger Kilometres'!H334*'CAR Stock'!H384</f>
        <v>9133.4378236464072</v>
      </c>
      <c r="AO334" s="295">
        <f>'CAR Passenger Kilometres'!I334*'CAR Stock'!I384</f>
        <v>118734.69170740328</v>
      </c>
      <c r="AP334" s="295">
        <f>'CAR Passenger Kilometres'!J334*'CAR Stock'!J384</f>
        <v>3434172.62169105</v>
      </c>
      <c r="AQ334" s="295">
        <f>'CAR Passenger Kilometres'!K334*'CAR Stock'!K384</f>
        <v>8795500.6241714917</v>
      </c>
      <c r="AR334" s="295">
        <f>'CAR Passenger Kilometres'!L334*'CAR Stock'!L384</f>
        <v>548006.26941878453</v>
      </c>
      <c r="AS334" s="295">
        <f>'CAR Passenger Kilometres'!M334*'CAR Stock'!M384</f>
        <v>82200.940412817683</v>
      </c>
      <c r="AT334" s="295">
        <f>'CAR Passenger Kilometres'!N334*'CAR Stock'!N384</f>
        <v>18266.875647292814</v>
      </c>
      <c r="AU334" s="295">
        <f>'CAR Passenger Kilometres'!O334*'CAR Stock'!O384</f>
        <v>0</v>
      </c>
      <c r="AV334" s="295">
        <f>'CAR Passenger Kilometres'!P334*'CAR Stock'!P384</f>
        <v>0</v>
      </c>
      <c r="AW334" s="295">
        <f>'CAR Passenger Kilometres'!Q334*'CAR Stock'!Q384</f>
        <v>0</v>
      </c>
      <c r="AX334" s="295">
        <f>'CAR Passenger Kilometres'!R334*'CAR Stock'!R384</f>
        <v>0</v>
      </c>
      <c r="AY334" s="295">
        <f>'CAR Passenger Kilometres'!S334*'CAR Stock'!S384</f>
        <v>0</v>
      </c>
      <c r="AZ334" s="295">
        <f>'CAR Passenger Kilometres'!T334*'CAR Stock'!T384</f>
        <v>0</v>
      </c>
      <c r="BA334" s="295">
        <f>'CAR Passenger Kilometres'!U334*'CAR Stock'!U384</f>
        <v>0</v>
      </c>
      <c r="BB334" s="295">
        <f>'CAR Passenger Kilometres'!V334*'CAR Stock'!V384</f>
        <v>0</v>
      </c>
      <c r="BC334" s="295">
        <f>'CAR Passenger Kilometres'!W334*'CAR Stock'!W384</f>
        <v>0</v>
      </c>
      <c r="BD334" s="295">
        <f>'CAR Passenger Kilometres'!X334*'CAR Stock'!X384</f>
        <v>0</v>
      </c>
      <c r="BE334" s="295">
        <f>'CAR Passenger Kilometres'!Y334*'CAR Stock'!Y384</f>
        <v>0</v>
      </c>
      <c r="BF334" s="295">
        <f>'CAR Passenger Kilometres'!Z334*'CAR Stock'!Z384</f>
        <v>0</v>
      </c>
      <c r="BG334" s="295">
        <f>'CAR Passenger Kilometres'!AA334*'CAR Stock'!AA384</f>
        <v>0</v>
      </c>
      <c r="BH334" s="295">
        <f>'CAR Passenger Kilometres'!AB334*'CAR Stock'!AB384</f>
        <v>0</v>
      </c>
      <c r="BI334" s="295">
        <f>'CAR Passenger Kilometres'!AC334*'CAR Stock'!AC384</f>
        <v>0</v>
      </c>
      <c r="BJ334" s="295">
        <f>'CAR Passenger Kilometres'!AD334*'CAR Stock'!AD384</f>
        <v>0</v>
      </c>
      <c r="BK334" s="296">
        <f>'CAR Passenger Kilometres'!AE334*'CAR Stock'!AE384</f>
        <v>0</v>
      </c>
    </row>
    <row r="335" spans="1:63">
      <c r="A335" s="1711"/>
      <c r="B335" s="116">
        <v>13</v>
      </c>
      <c r="C335" s="294">
        <f>'CAR Mileage'!C356*CAR!$I$58</f>
        <v>21390.397591768098</v>
      </c>
      <c r="D335" s="295">
        <f>'CAR Mileage'!D356*CAR!$I$58</f>
        <v>21390.397591768098</v>
      </c>
      <c r="E335" s="295">
        <f>'CAR Mileage'!E356*CAR!$I$58</f>
        <v>21390.397591768098</v>
      </c>
      <c r="F335" s="295">
        <f>'CAR Mileage'!F356*CAR!$I$58</f>
        <v>21390.397591768098</v>
      </c>
      <c r="G335" s="295">
        <f>'CAR Mileage'!G356*CAR!$I$58</f>
        <v>21390.397591768098</v>
      </c>
      <c r="H335" s="295">
        <f>'CAR Mileage'!H356*CAR!$I$58</f>
        <v>21390.397591768098</v>
      </c>
      <c r="I335" s="295">
        <f>'CAR Mileage'!I356*CAR!$I$58</f>
        <v>21390.397591768098</v>
      </c>
      <c r="J335" s="295">
        <f>'CAR Mileage'!J356*CAR!$I$58</f>
        <v>21390.397591768098</v>
      </c>
      <c r="K335" s="295">
        <f>'CAR Mileage'!K356*CAR!$I$58</f>
        <v>21390.397591768098</v>
      </c>
      <c r="L335" s="295">
        <f>'CAR Mileage'!L356*CAR!$I$58</f>
        <v>21390.397591768098</v>
      </c>
      <c r="M335" s="295">
        <f>'CAR Mileage'!M356*CAR!$I$58</f>
        <v>21390.397591768098</v>
      </c>
      <c r="N335" s="295">
        <f>'CAR Mileage'!N356*CAR!$I$58</f>
        <v>21390.397591768098</v>
      </c>
      <c r="O335" s="295">
        <f>'CAR Mileage'!O356*CAR!$I$58</f>
        <v>21390.397591768098</v>
      </c>
      <c r="P335" s="295">
        <f>'CAR Mileage'!P356*CAR!$I$58</f>
        <v>21390.397591768098</v>
      </c>
      <c r="Q335" s="295">
        <f>'CAR Mileage'!Q356*CAR!$I$58</f>
        <v>21390.397591768098</v>
      </c>
      <c r="R335" s="295">
        <f>'CAR Mileage'!R356*CAR!$I$58</f>
        <v>21390.397591768098</v>
      </c>
      <c r="S335" s="295">
        <f>'CAR Mileage'!S356*CAR!$I$58</f>
        <v>21390.397591768098</v>
      </c>
      <c r="T335" s="295">
        <f>'CAR Mileage'!T356*CAR!$I$58</f>
        <v>21390.397591768098</v>
      </c>
      <c r="U335" s="295">
        <f>'CAR Mileage'!U356*CAR!$I$58</f>
        <v>21390.397591768098</v>
      </c>
      <c r="V335" s="295">
        <f>'CAR Mileage'!V356*CAR!$I$58</f>
        <v>21390.397591768098</v>
      </c>
      <c r="W335" s="295">
        <f>'CAR Mileage'!W356*CAR!$I$58</f>
        <v>21390.397591768098</v>
      </c>
      <c r="X335" s="295">
        <f>'CAR Mileage'!X356*CAR!$I$58</f>
        <v>21390.397591768098</v>
      </c>
      <c r="Y335" s="295">
        <f>'CAR Mileage'!Y356*CAR!$I$58</f>
        <v>21390.397591768098</v>
      </c>
      <c r="Z335" s="295">
        <f>'CAR Mileage'!Z356*CAR!$I$58</f>
        <v>21390.397591768098</v>
      </c>
      <c r="AA335" s="295">
        <f>'CAR Mileage'!AA356*CAR!$I$58</f>
        <v>21390.397591768098</v>
      </c>
      <c r="AB335" s="295">
        <f>'CAR Mileage'!AB356*CAR!$I$58</f>
        <v>21390.397591768098</v>
      </c>
      <c r="AC335" s="295">
        <f>'CAR Mileage'!AC356*CAR!$I$58</f>
        <v>21390.397591768098</v>
      </c>
      <c r="AD335" s="295">
        <f>'CAR Mileage'!AD356*CAR!$I$58</f>
        <v>21390.397591768098</v>
      </c>
      <c r="AE335" s="296">
        <f>'CAR Mileage'!AE356*CAR!$I$58</f>
        <v>21390.397591768098</v>
      </c>
      <c r="AG335" s="1711"/>
      <c r="AH335" s="116">
        <v>13</v>
      </c>
      <c r="AI335" s="294">
        <f>'CAR Passenger Kilometres'!C335*'CAR Stock'!C385</f>
        <v>0</v>
      </c>
      <c r="AJ335" s="295">
        <f>'CAR Passenger Kilometres'!D335*'CAR Stock'!D385</f>
        <v>0</v>
      </c>
      <c r="AK335" s="295">
        <f>'CAR Passenger Kilometres'!E335*'CAR Stock'!E385</f>
        <v>0</v>
      </c>
      <c r="AL335" s="295">
        <f>'CAR Passenger Kilometres'!F335*'CAR Stock'!F385</f>
        <v>0</v>
      </c>
      <c r="AM335" s="295">
        <f>'CAR Passenger Kilometres'!G335*'CAR Stock'!G385</f>
        <v>0</v>
      </c>
      <c r="AN335" s="295">
        <f>'CAR Passenger Kilometres'!H335*'CAR Stock'!H385</f>
        <v>0</v>
      </c>
      <c r="AO335" s="295">
        <f>'CAR Passenger Kilometres'!I335*'CAR Stock'!I385</f>
        <v>4591.6413419059418</v>
      </c>
      <c r="AP335" s="295">
        <f>'CAR Passenger Kilometres'!J335*'CAR Stock'!J385</f>
        <v>59691.337444777229</v>
      </c>
      <c r="AQ335" s="295">
        <f>'CAR Passenger Kilometres'!K335*'CAR Stock'!K385</f>
        <v>1726457.1445566344</v>
      </c>
      <c r="AR335" s="295">
        <f>'CAR Passenger Kilometres'!L335*'CAR Stock'!L385</f>
        <v>4421750.6122554224</v>
      </c>
      <c r="AS335" s="295">
        <f>'CAR Passenger Kilometres'!M335*'CAR Stock'!M385</f>
        <v>275498.48051435652</v>
      </c>
      <c r="AT335" s="295">
        <f>'CAR Passenger Kilometres'!N335*'CAR Stock'!N385</f>
        <v>41324.772077153473</v>
      </c>
      <c r="AU335" s="295">
        <f>'CAR Passenger Kilometres'!O335*'CAR Stock'!O385</f>
        <v>9183.2826838118835</v>
      </c>
      <c r="AV335" s="295">
        <f>'CAR Passenger Kilometres'!P335*'CAR Stock'!P385</f>
        <v>0</v>
      </c>
      <c r="AW335" s="295">
        <f>'CAR Passenger Kilometres'!Q335*'CAR Stock'!Q385</f>
        <v>0</v>
      </c>
      <c r="AX335" s="295">
        <f>'CAR Passenger Kilometres'!R335*'CAR Stock'!R385</f>
        <v>0</v>
      </c>
      <c r="AY335" s="295">
        <f>'CAR Passenger Kilometres'!S335*'CAR Stock'!S385</f>
        <v>0</v>
      </c>
      <c r="AZ335" s="295">
        <f>'CAR Passenger Kilometres'!T335*'CAR Stock'!T385</f>
        <v>0</v>
      </c>
      <c r="BA335" s="295">
        <f>'CAR Passenger Kilometres'!U335*'CAR Stock'!U385</f>
        <v>0</v>
      </c>
      <c r="BB335" s="295">
        <f>'CAR Passenger Kilometres'!V335*'CAR Stock'!V385</f>
        <v>0</v>
      </c>
      <c r="BC335" s="295">
        <f>'CAR Passenger Kilometres'!W335*'CAR Stock'!W385</f>
        <v>0</v>
      </c>
      <c r="BD335" s="295">
        <f>'CAR Passenger Kilometres'!X335*'CAR Stock'!X385</f>
        <v>0</v>
      </c>
      <c r="BE335" s="295">
        <f>'CAR Passenger Kilometres'!Y335*'CAR Stock'!Y385</f>
        <v>0</v>
      </c>
      <c r="BF335" s="295">
        <f>'CAR Passenger Kilometres'!Z335*'CAR Stock'!Z385</f>
        <v>0</v>
      </c>
      <c r="BG335" s="295">
        <f>'CAR Passenger Kilometres'!AA335*'CAR Stock'!AA385</f>
        <v>0</v>
      </c>
      <c r="BH335" s="295">
        <f>'CAR Passenger Kilometres'!AB335*'CAR Stock'!AB385</f>
        <v>0</v>
      </c>
      <c r="BI335" s="295">
        <f>'CAR Passenger Kilometres'!AC335*'CAR Stock'!AC385</f>
        <v>0</v>
      </c>
      <c r="BJ335" s="295">
        <f>'CAR Passenger Kilometres'!AD335*'CAR Stock'!AD385</f>
        <v>0</v>
      </c>
      <c r="BK335" s="296">
        <f>'CAR Passenger Kilometres'!AE335*'CAR Stock'!AE385</f>
        <v>0</v>
      </c>
    </row>
    <row r="336" spans="1:63">
      <c r="A336" s="1711"/>
      <c r="B336" s="116">
        <v>14</v>
      </c>
      <c r="C336" s="294">
        <f>'CAR Mileage'!C357*CAR!$I$58</f>
        <v>20962.589639932736</v>
      </c>
      <c r="D336" s="295">
        <f>'CAR Mileage'!D357*CAR!$I$58</f>
        <v>20962.589639932736</v>
      </c>
      <c r="E336" s="295">
        <f>'CAR Mileage'!E357*CAR!$I$58</f>
        <v>20962.589639932736</v>
      </c>
      <c r="F336" s="295">
        <f>'CAR Mileage'!F357*CAR!$I$58</f>
        <v>20962.589639932736</v>
      </c>
      <c r="G336" s="295">
        <f>'CAR Mileage'!G357*CAR!$I$58</f>
        <v>20962.589639932736</v>
      </c>
      <c r="H336" s="295">
        <f>'CAR Mileage'!H357*CAR!$I$58</f>
        <v>20962.589639932736</v>
      </c>
      <c r="I336" s="295">
        <f>'CAR Mileage'!I357*CAR!$I$58</f>
        <v>20962.589639932736</v>
      </c>
      <c r="J336" s="295">
        <f>'CAR Mileage'!J357*CAR!$I$58</f>
        <v>20962.589639932736</v>
      </c>
      <c r="K336" s="295">
        <f>'CAR Mileage'!K357*CAR!$I$58</f>
        <v>20962.589639932736</v>
      </c>
      <c r="L336" s="295">
        <f>'CAR Mileage'!L357*CAR!$I$58</f>
        <v>20962.589639932736</v>
      </c>
      <c r="M336" s="295">
        <f>'CAR Mileage'!M357*CAR!$I$58</f>
        <v>20962.589639932736</v>
      </c>
      <c r="N336" s="295">
        <f>'CAR Mileage'!N357*CAR!$I$58</f>
        <v>20962.589639932736</v>
      </c>
      <c r="O336" s="295">
        <f>'CAR Mileage'!O357*CAR!$I$58</f>
        <v>20962.589639932736</v>
      </c>
      <c r="P336" s="295">
        <f>'CAR Mileage'!P357*CAR!$I$58</f>
        <v>20962.589639932736</v>
      </c>
      <c r="Q336" s="295">
        <f>'CAR Mileage'!Q357*CAR!$I$58</f>
        <v>20962.589639932736</v>
      </c>
      <c r="R336" s="295">
        <f>'CAR Mileage'!R357*CAR!$I$58</f>
        <v>20962.589639932736</v>
      </c>
      <c r="S336" s="295">
        <f>'CAR Mileage'!S357*CAR!$I$58</f>
        <v>20962.589639932736</v>
      </c>
      <c r="T336" s="295">
        <f>'CAR Mileage'!T357*CAR!$I$58</f>
        <v>20962.589639932736</v>
      </c>
      <c r="U336" s="295">
        <f>'CAR Mileage'!U357*CAR!$I$58</f>
        <v>20962.589639932736</v>
      </c>
      <c r="V336" s="295">
        <f>'CAR Mileage'!V357*CAR!$I$58</f>
        <v>20962.589639932736</v>
      </c>
      <c r="W336" s="295">
        <f>'CAR Mileage'!W357*CAR!$I$58</f>
        <v>20962.589639932736</v>
      </c>
      <c r="X336" s="295">
        <f>'CAR Mileage'!X357*CAR!$I$58</f>
        <v>20962.589639932736</v>
      </c>
      <c r="Y336" s="295">
        <f>'CAR Mileage'!Y357*CAR!$I$58</f>
        <v>20962.589639932736</v>
      </c>
      <c r="Z336" s="295">
        <f>'CAR Mileage'!Z357*CAR!$I$58</f>
        <v>20962.589639932736</v>
      </c>
      <c r="AA336" s="295">
        <f>'CAR Mileage'!AA357*CAR!$I$58</f>
        <v>20962.589639932736</v>
      </c>
      <c r="AB336" s="295">
        <f>'CAR Mileage'!AB357*CAR!$I$58</f>
        <v>20962.589639932736</v>
      </c>
      <c r="AC336" s="295">
        <f>'CAR Mileage'!AC357*CAR!$I$58</f>
        <v>20962.589639932736</v>
      </c>
      <c r="AD336" s="295">
        <f>'CAR Mileage'!AD357*CAR!$I$58</f>
        <v>20962.589639932736</v>
      </c>
      <c r="AE336" s="296">
        <f>'CAR Mileage'!AE357*CAR!$I$58</f>
        <v>20962.589639932736</v>
      </c>
      <c r="AG336" s="1711"/>
      <c r="AH336" s="116">
        <v>14</v>
      </c>
      <c r="AI336" s="294">
        <f>'CAR Passenger Kilometres'!C336*'CAR Stock'!C386</f>
        <v>0</v>
      </c>
      <c r="AJ336" s="295">
        <f>'CAR Passenger Kilometres'!D336*'CAR Stock'!D386</f>
        <v>0</v>
      </c>
      <c r="AK336" s="295">
        <f>'CAR Passenger Kilometres'!E336*'CAR Stock'!E386</f>
        <v>0</v>
      </c>
      <c r="AL336" s="295">
        <f>'CAR Passenger Kilometres'!F336*'CAR Stock'!F386</f>
        <v>0</v>
      </c>
      <c r="AM336" s="295">
        <f>'CAR Passenger Kilometres'!G336*'CAR Stock'!G386</f>
        <v>0</v>
      </c>
      <c r="AN336" s="295">
        <f>'CAR Passenger Kilometres'!H336*'CAR Stock'!H386</f>
        <v>0</v>
      </c>
      <c r="AO336" s="295">
        <f>'CAR Passenger Kilometres'!I336*'CAR Stock'!I386</f>
        <v>0</v>
      </c>
      <c r="AP336" s="295">
        <f>'CAR Passenger Kilometres'!J336*'CAR Stock'!J386</f>
        <v>1814.6419022640043</v>
      </c>
      <c r="AQ336" s="295">
        <f>'CAR Passenger Kilometres'!K336*'CAR Stock'!K386</f>
        <v>23590.344729432054</v>
      </c>
      <c r="AR336" s="295">
        <f>'CAR Passenger Kilometres'!L336*'CAR Stock'!L386</f>
        <v>682305.35525126581</v>
      </c>
      <c r="AS336" s="295">
        <f>'CAR Passenger Kilometres'!M336*'CAR Stock'!M386</f>
        <v>1747500.1518802366</v>
      </c>
      <c r="AT336" s="295">
        <f>'CAR Passenger Kilometres'!N336*'CAR Stock'!N386</f>
        <v>108878.51413584028</v>
      </c>
      <c r="AU336" s="295">
        <f>'CAR Passenger Kilometres'!O336*'CAR Stock'!O386</f>
        <v>16331.77712037604</v>
      </c>
      <c r="AV336" s="295">
        <f>'CAR Passenger Kilometres'!P336*'CAR Stock'!P386</f>
        <v>3629.2838045280087</v>
      </c>
      <c r="AW336" s="295">
        <f>'CAR Passenger Kilometres'!Q336*'CAR Stock'!Q386</f>
        <v>0</v>
      </c>
      <c r="AX336" s="295">
        <f>'CAR Passenger Kilometres'!R336*'CAR Stock'!R386</f>
        <v>0</v>
      </c>
      <c r="AY336" s="295">
        <f>'CAR Passenger Kilometres'!S336*'CAR Stock'!S386</f>
        <v>0</v>
      </c>
      <c r="AZ336" s="295">
        <f>'CAR Passenger Kilometres'!T336*'CAR Stock'!T386</f>
        <v>0</v>
      </c>
      <c r="BA336" s="295">
        <f>'CAR Passenger Kilometres'!U336*'CAR Stock'!U386</f>
        <v>0</v>
      </c>
      <c r="BB336" s="295">
        <f>'CAR Passenger Kilometres'!V336*'CAR Stock'!V386</f>
        <v>0</v>
      </c>
      <c r="BC336" s="295">
        <f>'CAR Passenger Kilometres'!W336*'CAR Stock'!W386</f>
        <v>0</v>
      </c>
      <c r="BD336" s="295">
        <f>'CAR Passenger Kilometres'!X336*'CAR Stock'!X386</f>
        <v>0</v>
      </c>
      <c r="BE336" s="295">
        <f>'CAR Passenger Kilometres'!Y336*'CAR Stock'!Y386</f>
        <v>0</v>
      </c>
      <c r="BF336" s="295">
        <f>'CAR Passenger Kilometres'!Z336*'CAR Stock'!Z386</f>
        <v>0</v>
      </c>
      <c r="BG336" s="295">
        <f>'CAR Passenger Kilometres'!AA336*'CAR Stock'!AA386</f>
        <v>0</v>
      </c>
      <c r="BH336" s="295">
        <f>'CAR Passenger Kilometres'!AB336*'CAR Stock'!AB386</f>
        <v>0</v>
      </c>
      <c r="BI336" s="295">
        <f>'CAR Passenger Kilometres'!AC336*'CAR Stock'!AC386</f>
        <v>0</v>
      </c>
      <c r="BJ336" s="295">
        <f>'CAR Passenger Kilometres'!AD336*'CAR Stock'!AD386</f>
        <v>0</v>
      </c>
      <c r="BK336" s="296">
        <f>'CAR Passenger Kilometres'!AE336*'CAR Stock'!AE386</f>
        <v>0</v>
      </c>
    </row>
    <row r="337" spans="1:63">
      <c r="A337" s="1711"/>
      <c r="B337" s="116">
        <v>15</v>
      </c>
      <c r="C337" s="294">
        <f>'CAR Mileage'!C358*CAR!$I$58</f>
        <v>20543.337847134077</v>
      </c>
      <c r="D337" s="295">
        <f>'CAR Mileage'!D358*CAR!$I$58</f>
        <v>20543.337847134077</v>
      </c>
      <c r="E337" s="295">
        <f>'CAR Mileage'!E358*CAR!$I$58</f>
        <v>20543.337847134077</v>
      </c>
      <c r="F337" s="295">
        <f>'CAR Mileage'!F358*CAR!$I$58</f>
        <v>20543.337847134077</v>
      </c>
      <c r="G337" s="295">
        <f>'CAR Mileage'!G358*CAR!$I$58</f>
        <v>20543.337847134077</v>
      </c>
      <c r="H337" s="295">
        <f>'CAR Mileage'!H358*CAR!$I$58</f>
        <v>20543.337847134077</v>
      </c>
      <c r="I337" s="295">
        <f>'CAR Mileage'!I358*CAR!$I$58</f>
        <v>20543.337847134077</v>
      </c>
      <c r="J337" s="295">
        <f>'CAR Mileage'!J358*CAR!$I$58</f>
        <v>20543.337847134077</v>
      </c>
      <c r="K337" s="295">
        <f>'CAR Mileage'!K358*CAR!$I$58</f>
        <v>20543.337847134077</v>
      </c>
      <c r="L337" s="295">
        <f>'CAR Mileage'!L358*CAR!$I$58</f>
        <v>20543.337847134077</v>
      </c>
      <c r="M337" s="295">
        <f>'CAR Mileage'!M358*CAR!$I$58</f>
        <v>20543.337847134077</v>
      </c>
      <c r="N337" s="295">
        <f>'CAR Mileage'!N358*CAR!$I$58</f>
        <v>20543.337847134077</v>
      </c>
      <c r="O337" s="295">
        <f>'CAR Mileage'!O358*CAR!$I$58</f>
        <v>20543.337847134077</v>
      </c>
      <c r="P337" s="295">
        <f>'CAR Mileage'!P358*CAR!$I$58</f>
        <v>20543.337847134077</v>
      </c>
      <c r="Q337" s="295">
        <f>'CAR Mileage'!Q358*CAR!$I$58</f>
        <v>20543.337847134077</v>
      </c>
      <c r="R337" s="295">
        <f>'CAR Mileage'!R358*CAR!$I$58</f>
        <v>20543.337847134077</v>
      </c>
      <c r="S337" s="295">
        <f>'CAR Mileage'!S358*CAR!$I$58</f>
        <v>20543.337847134077</v>
      </c>
      <c r="T337" s="295">
        <f>'CAR Mileage'!T358*CAR!$I$58</f>
        <v>20543.337847134077</v>
      </c>
      <c r="U337" s="295">
        <f>'CAR Mileage'!U358*CAR!$I$58</f>
        <v>20543.337847134077</v>
      </c>
      <c r="V337" s="295">
        <f>'CAR Mileage'!V358*CAR!$I$58</f>
        <v>20543.337847134077</v>
      </c>
      <c r="W337" s="295">
        <f>'CAR Mileage'!W358*CAR!$I$58</f>
        <v>20543.337847134077</v>
      </c>
      <c r="X337" s="295">
        <f>'CAR Mileage'!X358*CAR!$I$58</f>
        <v>20543.337847134077</v>
      </c>
      <c r="Y337" s="295">
        <f>'CAR Mileage'!Y358*CAR!$I$58</f>
        <v>20543.337847134077</v>
      </c>
      <c r="Z337" s="295">
        <f>'CAR Mileage'!Z358*CAR!$I$58</f>
        <v>20543.337847134077</v>
      </c>
      <c r="AA337" s="295">
        <f>'CAR Mileage'!AA358*CAR!$I$58</f>
        <v>20543.337847134077</v>
      </c>
      <c r="AB337" s="295">
        <f>'CAR Mileage'!AB358*CAR!$I$58</f>
        <v>20543.337847134077</v>
      </c>
      <c r="AC337" s="295">
        <f>'CAR Mileage'!AC358*CAR!$I$58</f>
        <v>20543.337847134077</v>
      </c>
      <c r="AD337" s="295">
        <f>'CAR Mileage'!AD358*CAR!$I$58</f>
        <v>20543.337847134077</v>
      </c>
      <c r="AE337" s="296">
        <f>'CAR Mileage'!AE358*CAR!$I$58</f>
        <v>20543.337847134077</v>
      </c>
      <c r="AG337" s="1711"/>
      <c r="AH337" s="116">
        <v>15</v>
      </c>
      <c r="AI337" s="294">
        <f>'CAR Passenger Kilometres'!C337*'CAR Stock'!C387</f>
        <v>0</v>
      </c>
      <c r="AJ337" s="295">
        <f>'CAR Passenger Kilometres'!D337*'CAR Stock'!D387</f>
        <v>0</v>
      </c>
      <c r="AK337" s="295">
        <f>'CAR Passenger Kilometres'!E337*'CAR Stock'!E387</f>
        <v>0</v>
      </c>
      <c r="AL337" s="295">
        <f>'CAR Passenger Kilometres'!F337*'CAR Stock'!F387</f>
        <v>0</v>
      </c>
      <c r="AM337" s="295">
        <f>'CAR Passenger Kilometres'!G337*'CAR Stock'!G387</f>
        <v>0</v>
      </c>
      <c r="AN337" s="295">
        <f>'CAR Passenger Kilometres'!H337*'CAR Stock'!H387</f>
        <v>0</v>
      </c>
      <c r="AO337" s="295">
        <f>'CAR Passenger Kilometres'!I337*'CAR Stock'!I387</f>
        <v>0</v>
      </c>
      <c r="AP337" s="295">
        <f>'CAR Passenger Kilometres'!J337*'CAR Stock'!J387</f>
        <v>0</v>
      </c>
      <c r="AQ337" s="295">
        <f>'CAR Passenger Kilometres'!K337*'CAR Stock'!K387</f>
        <v>543.48788732255855</v>
      </c>
      <c r="AR337" s="295">
        <f>'CAR Passenger Kilometres'!L337*'CAR Stock'!L387</f>
        <v>7065.342535193261</v>
      </c>
      <c r="AS337" s="295">
        <f>'CAR Passenger Kilometres'!M337*'CAR Stock'!M387</f>
        <v>204351.44563328204</v>
      </c>
      <c r="AT337" s="295">
        <f>'CAR Passenger Kilometres'!N337*'CAR Stock'!N387</f>
        <v>523378.83549162402</v>
      </c>
      <c r="AU337" s="295">
        <f>'CAR Passenger Kilometres'!O337*'CAR Stock'!O387</f>
        <v>32609.273239353515</v>
      </c>
      <c r="AV337" s="295">
        <f>'CAR Passenger Kilometres'!P337*'CAR Stock'!P387</f>
        <v>4891.3909859030273</v>
      </c>
      <c r="AW337" s="295">
        <f>'CAR Passenger Kilometres'!Q337*'CAR Stock'!Q387</f>
        <v>1086.9757746451171</v>
      </c>
      <c r="AX337" s="295">
        <f>'CAR Passenger Kilometres'!R337*'CAR Stock'!R387</f>
        <v>0</v>
      </c>
      <c r="AY337" s="295">
        <f>'CAR Passenger Kilometres'!S337*'CAR Stock'!S387</f>
        <v>0</v>
      </c>
      <c r="AZ337" s="295">
        <f>'CAR Passenger Kilometres'!T337*'CAR Stock'!T387</f>
        <v>0</v>
      </c>
      <c r="BA337" s="295">
        <f>'CAR Passenger Kilometres'!U337*'CAR Stock'!U387</f>
        <v>0</v>
      </c>
      <c r="BB337" s="295">
        <f>'CAR Passenger Kilometres'!V337*'CAR Stock'!V387</f>
        <v>0</v>
      </c>
      <c r="BC337" s="295">
        <f>'CAR Passenger Kilometres'!W337*'CAR Stock'!W387</f>
        <v>0</v>
      </c>
      <c r="BD337" s="295">
        <f>'CAR Passenger Kilometres'!X337*'CAR Stock'!X387</f>
        <v>0</v>
      </c>
      <c r="BE337" s="295">
        <f>'CAR Passenger Kilometres'!Y337*'CAR Stock'!Y387</f>
        <v>0</v>
      </c>
      <c r="BF337" s="295">
        <f>'CAR Passenger Kilometres'!Z337*'CAR Stock'!Z387</f>
        <v>0</v>
      </c>
      <c r="BG337" s="295">
        <f>'CAR Passenger Kilometres'!AA337*'CAR Stock'!AA387</f>
        <v>0</v>
      </c>
      <c r="BH337" s="295">
        <f>'CAR Passenger Kilometres'!AB337*'CAR Stock'!AB387</f>
        <v>0</v>
      </c>
      <c r="BI337" s="295">
        <f>'CAR Passenger Kilometres'!AC337*'CAR Stock'!AC387</f>
        <v>0</v>
      </c>
      <c r="BJ337" s="295">
        <f>'CAR Passenger Kilometres'!AD337*'CAR Stock'!AD387</f>
        <v>0</v>
      </c>
      <c r="BK337" s="296">
        <f>'CAR Passenger Kilometres'!AE337*'CAR Stock'!AE387</f>
        <v>0</v>
      </c>
    </row>
    <row r="338" spans="1:63">
      <c r="A338" s="1711"/>
      <c r="B338" s="116">
        <v>16</v>
      </c>
      <c r="C338" s="294">
        <f>'CAR Mileage'!C359*CAR!$I$58</f>
        <v>20132.471090191397</v>
      </c>
      <c r="D338" s="295">
        <f>'CAR Mileage'!D359*CAR!$I$58</f>
        <v>20132.471090191397</v>
      </c>
      <c r="E338" s="295">
        <f>'CAR Mileage'!E359*CAR!$I$58</f>
        <v>20132.471090191397</v>
      </c>
      <c r="F338" s="295">
        <f>'CAR Mileage'!F359*CAR!$I$58</f>
        <v>20132.471090191397</v>
      </c>
      <c r="G338" s="295">
        <f>'CAR Mileage'!G359*CAR!$I$58</f>
        <v>20132.471090191397</v>
      </c>
      <c r="H338" s="295">
        <f>'CAR Mileage'!H359*CAR!$I$58</f>
        <v>20132.471090191397</v>
      </c>
      <c r="I338" s="295">
        <f>'CAR Mileage'!I359*CAR!$I$58</f>
        <v>20132.471090191397</v>
      </c>
      <c r="J338" s="295">
        <f>'CAR Mileage'!J359*CAR!$I$58</f>
        <v>20132.471090191397</v>
      </c>
      <c r="K338" s="295">
        <f>'CAR Mileage'!K359*CAR!$I$58</f>
        <v>20132.471090191397</v>
      </c>
      <c r="L338" s="295">
        <f>'CAR Mileage'!L359*CAR!$I$58</f>
        <v>20132.471090191397</v>
      </c>
      <c r="M338" s="295">
        <f>'CAR Mileage'!M359*CAR!$I$58</f>
        <v>20132.471090191397</v>
      </c>
      <c r="N338" s="295">
        <f>'CAR Mileage'!N359*CAR!$I$58</f>
        <v>20132.471090191397</v>
      </c>
      <c r="O338" s="295">
        <f>'CAR Mileage'!O359*CAR!$I$58</f>
        <v>20132.471090191397</v>
      </c>
      <c r="P338" s="295">
        <f>'CAR Mileage'!P359*CAR!$I$58</f>
        <v>20132.471090191397</v>
      </c>
      <c r="Q338" s="295">
        <f>'CAR Mileage'!Q359*CAR!$I$58</f>
        <v>20132.471090191397</v>
      </c>
      <c r="R338" s="295">
        <f>'CAR Mileage'!R359*CAR!$I$58</f>
        <v>20132.471090191397</v>
      </c>
      <c r="S338" s="295">
        <f>'CAR Mileage'!S359*CAR!$I$58</f>
        <v>20132.471090191397</v>
      </c>
      <c r="T338" s="295">
        <f>'CAR Mileage'!T359*CAR!$I$58</f>
        <v>20132.471090191397</v>
      </c>
      <c r="U338" s="295">
        <f>'CAR Mileage'!U359*CAR!$I$58</f>
        <v>20132.471090191397</v>
      </c>
      <c r="V338" s="295">
        <f>'CAR Mileage'!V359*CAR!$I$58</f>
        <v>20132.471090191397</v>
      </c>
      <c r="W338" s="295">
        <f>'CAR Mileage'!W359*CAR!$I$58</f>
        <v>20132.471090191397</v>
      </c>
      <c r="X338" s="295">
        <f>'CAR Mileage'!X359*CAR!$I$58</f>
        <v>20132.471090191397</v>
      </c>
      <c r="Y338" s="295">
        <f>'CAR Mileage'!Y359*CAR!$I$58</f>
        <v>20132.471090191397</v>
      </c>
      <c r="Z338" s="295">
        <f>'CAR Mileage'!Z359*CAR!$I$58</f>
        <v>20132.471090191397</v>
      </c>
      <c r="AA338" s="295">
        <f>'CAR Mileage'!AA359*CAR!$I$58</f>
        <v>20132.471090191397</v>
      </c>
      <c r="AB338" s="295">
        <f>'CAR Mileage'!AB359*CAR!$I$58</f>
        <v>20132.471090191397</v>
      </c>
      <c r="AC338" s="295">
        <f>'CAR Mileage'!AC359*CAR!$I$58</f>
        <v>20132.471090191397</v>
      </c>
      <c r="AD338" s="295">
        <f>'CAR Mileage'!AD359*CAR!$I$58</f>
        <v>20132.471090191397</v>
      </c>
      <c r="AE338" s="296">
        <f>'CAR Mileage'!AE359*CAR!$I$58</f>
        <v>20132.471090191397</v>
      </c>
      <c r="AG338" s="1711"/>
      <c r="AH338" s="116">
        <v>16</v>
      </c>
      <c r="AI338" s="294">
        <f>'CAR Passenger Kilometres'!C338*'CAR Stock'!C388</f>
        <v>0</v>
      </c>
      <c r="AJ338" s="295">
        <f>'CAR Passenger Kilometres'!D338*'CAR Stock'!D388</f>
        <v>0</v>
      </c>
      <c r="AK338" s="295">
        <f>'CAR Passenger Kilometres'!E338*'CAR Stock'!E388</f>
        <v>0</v>
      </c>
      <c r="AL338" s="295">
        <f>'CAR Passenger Kilometres'!F338*'CAR Stock'!F388</f>
        <v>0</v>
      </c>
      <c r="AM338" s="295">
        <f>'CAR Passenger Kilometres'!G338*'CAR Stock'!G388</f>
        <v>0</v>
      </c>
      <c r="AN338" s="295">
        <f>'CAR Passenger Kilometres'!H338*'CAR Stock'!H388</f>
        <v>0</v>
      </c>
      <c r="AO338" s="295">
        <f>'CAR Passenger Kilometres'!I338*'CAR Stock'!I388</f>
        <v>0</v>
      </c>
      <c r="AP338" s="295">
        <f>'CAR Passenger Kilometres'!J338*'CAR Stock'!J388</f>
        <v>0</v>
      </c>
      <c r="AQ338" s="295">
        <f>'CAR Passenger Kilometres'!K338*'CAR Stock'!K388</f>
        <v>0</v>
      </c>
      <c r="AR338" s="295">
        <f>'CAR Passenger Kilometres'!L338*'CAR Stock'!L388</f>
        <v>146.49787099484067</v>
      </c>
      <c r="AS338" s="295">
        <f>'CAR Passenger Kilometres'!M338*'CAR Stock'!M388</f>
        <v>1904.4723229329286</v>
      </c>
      <c r="AT338" s="295">
        <f>'CAR Passenger Kilometres'!N338*'CAR Stock'!N388</f>
        <v>55083.199494060093</v>
      </c>
      <c r="AU338" s="295">
        <f>'CAR Passenger Kilometres'!O338*'CAR Stock'!O388</f>
        <v>141077.4497680316</v>
      </c>
      <c r="AV338" s="295">
        <f>'CAR Passenger Kilometres'!P338*'CAR Stock'!P388</f>
        <v>8789.8722596904408</v>
      </c>
      <c r="AW338" s="295">
        <f>'CAR Passenger Kilometres'!Q338*'CAR Stock'!Q388</f>
        <v>1318.480838953566</v>
      </c>
      <c r="AX338" s="295">
        <f>'CAR Passenger Kilometres'!R338*'CAR Stock'!R388</f>
        <v>292.99574198968133</v>
      </c>
      <c r="AY338" s="295">
        <f>'CAR Passenger Kilometres'!S338*'CAR Stock'!S388</f>
        <v>0</v>
      </c>
      <c r="AZ338" s="295">
        <f>'CAR Passenger Kilometres'!T338*'CAR Stock'!T388</f>
        <v>0</v>
      </c>
      <c r="BA338" s="295">
        <f>'CAR Passenger Kilometres'!U338*'CAR Stock'!U388</f>
        <v>0</v>
      </c>
      <c r="BB338" s="295">
        <f>'CAR Passenger Kilometres'!V338*'CAR Stock'!V388</f>
        <v>0</v>
      </c>
      <c r="BC338" s="295">
        <f>'CAR Passenger Kilometres'!W338*'CAR Stock'!W388</f>
        <v>0</v>
      </c>
      <c r="BD338" s="295">
        <f>'CAR Passenger Kilometres'!X338*'CAR Stock'!X388</f>
        <v>0</v>
      </c>
      <c r="BE338" s="295">
        <f>'CAR Passenger Kilometres'!Y338*'CAR Stock'!Y388</f>
        <v>0</v>
      </c>
      <c r="BF338" s="295">
        <f>'CAR Passenger Kilometres'!Z338*'CAR Stock'!Z388</f>
        <v>0</v>
      </c>
      <c r="BG338" s="295">
        <f>'CAR Passenger Kilometres'!AA338*'CAR Stock'!AA388</f>
        <v>0</v>
      </c>
      <c r="BH338" s="295">
        <f>'CAR Passenger Kilometres'!AB338*'CAR Stock'!AB388</f>
        <v>0</v>
      </c>
      <c r="BI338" s="295">
        <f>'CAR Passenger Kilometres'!AC338*'CAR Stock'!AC388</f>
        <v>0</v>
      </c>
      <c r="BJ338" s="295">
        <f>'CAR Passenger Kilometres'!AD338*'CAR Stock'!AD388</f>
        <v>0</v>
      </c>
      <c r="BK338" s="296">
        <f>'CAR Passenger Kilometres'!AE338*'CAR Stock'!AE388</f>
        <v>0</v>
      </c>
    </row>
    <row r="339" spans="1:63">
      <c r="A339" s="1711"/>
      <c r="B339" s="116">
        <v>17</v>
      </c>
      <c r="C339" s="294">
        <f>'CAR Mileage'!C360*CAR!$I$58</f>
        <v>20132.471090191397</v>
      </c>
      <c r="D339" s="295">
        <f>'CAR Mileage'!D360*CAR!$I$58</f>
        <v>20132.471090191397</v>
      </c>
      <c r="E339" s="295">
        <f>'CAR Mileage'!E360*CAR!$I$58</f>
        <v>20132.471090191397</v>
      </c>
      <c r="F339" s="295">
        <f>'CAR Mileage'!F360*CAR!$I$58</f>
        <v>20132.471090191397</v>
      </c>
      <c r="G339" s="295">
        <f>'CAR Mileage'!G360*CAR!$I$58</f>
        <v>20132.471090191397</v>
      </c>
      <c r="H339" s="295">
        <f>'CAR Mileage'!H360*CAR!$I$58</f>
        <v>20132.471090191397</v>
      </c>
      <c r="I339" s="295">
        <f>'CAR Mileage'!I360*CAR!$I$58</f>
        <v>20132.471090191397</v>
      </c>
      <c r="J339" s="295">
        <f>'CAR Mileage'!J360*CAR!$I$58</f>
        <v>20132.471090191397</v>
      </c>
      <c r="K339" s="295">
        <f>'CAR Mileage'!K360*CAR!$I$58</f>
        <v>20132.471090191397</v>
      </c>
      <c r="L339" s="295">
        <f>'CAR Mileage'!L360*CAR!$I$58</f>
        <v>20132.471090191397</v>
      </c>
      <c r="M339" s="295">
        <f>'CAR Mileage'!M360*CAR!$I$58</f>
        <v>20132.471090191397</v>
      </c>
      <c r="N339" s="295">
        <f>'CAR Mileage'!N360*CAR!$I$58</f>
        <v>20132.471090191397</v>
      </c>
      <c r="O339" s="295">
        <f>'CAR Mileage'!O360*CAR!$I$58</f>
        <v>20132.471090191397</v>
      </c>
      <c r="P339" s="295">
        <f>'CAR Mileage'!P360*CAR!$I$58</f>
        <v>20132.471090191397</v>
      </c>
      <c r="Q339" s="295">
        <f>'CAR Mileage'!Q360*CAR!$I$58</f>
        <v>20132.471090191397</v>
      </c>
      <c r="R339" s="295">
        <f>'CAR Mileage'!R360*CAR!$I$58</f>
        <v>20132.471090191397</v>
      </c>
      <c r="S339" s="295">
        <f>'CAR Mileage'!S360*CAR!$I$58</f>
        <v>20132.471090191397</v>
      </c>
      <c r="T339" s="295">
        <f>'CAR Mileage'!T360*CAR!$I$58</f>
        <v>20132.471090191397</v>
      </c>
      <c r="U339" s="295">
        <f>'CAR Mileage'!U360*CAR!$I$58</f>
        <v>20132.471090191397</v>
      </c>
      <c r="V339" s="295">
        <f>'CAR Mileage'!V360*CAR!$I$58</f>
        <v>20132.471090191397</v>
      </c>
      <c r="W339" s="295">
        <f>'CAR Mileage'!W360*CAR!$I$58</f>
        <v>20132.471090191397</v>
      </c>
      <c r="X339" s="295">
        <f>'CAR Mileage'!X360*CAR!$I$58</f>
        <v>20132.471090191397</v>
      </c>
      <c r="Y339" s="295">
        <f>'CAR Mileage'!Y360*CAR!$I$58</f>
        <v>20132.471090191397</v>
      </c>
      <c r="Z339" s="295">
        <f>'CAR Mileage'!Z360*CAR!$I$58</f>
        <v>20132.471090191397</v>
      </c>
      <c r="AA339" s="295">
        <f>'CAR Mileage'!AA360*CAR!$I$58</f>
        <v>20132.471090191397</v>
      </c>
      <c r="AB339" s="295">
        <f>'CAR Mileage'!AB360*CAR!$I$58</f>
        <v>20132.471090191397</v>
      </c>
      <c r="AC339" s="295">
        <f>'CAR Mileage'!AC360*CAR!$I$58</f>
        <v>20132.471090191397</v>
      </c>
      <c r="AD339" s="295">
        <f>'CAR Mileage'!AD360*CAR!$I$58</f>
        <v>20132.471090191397</v>
      </c>
      <c r="AE339" s="296">
        <f>'CAR Mileage'!AE360*CAR!$I$58</f>
        <v>20132.471090191397</v>
      </c>
      <c r="AG339" s="1711"/>
      <c r="AH339" s="116">
        <v>17</v>
      </c>
      <c r="AI339" s="294">
        <f>'CAR Passenger Kilometres'!C339*'CAR Stock'!C389</f>
        <v>0</v>
      </c>
      <c r="AJ339" s="295">
        <f>'CAR Passenger Kilometres'!D339*'CAR Stock'!D389</f>
        <v>0</v>
      </c>
      <c r="AK339" s="295">
        <f>'CAR Passenger Kilometres'!E339*'CAR Stock'!E389</f>
        <v>0</v>
      </c>
      <c r="AL339" s="295">
        <f>'CAR Passenger Kilometres'!F339*'CAR Stock'!F389</f>
        <v>0</v>
      </c>
      <c r="AM339" s="295">
        <f>'CAR Passenger Kilometres'!G339*'CAR Stock'!G389</f>
        <v>0</v>
      </c>
      <c r="AN339" s="295">
        <f>'CAR Passenger Kilometres'!H339*'CAR Stock'!H389</f>
        <v>0</v>
      </c>
      <c r="AO339" s="295">
        <f>'CAR Passenger Kilometres'!I339*'CAR Stock'!I389</f>
        <v>0</v>
      </c>
      <c r="AP339" s="295">
        <f>'CAR Passenger Kilometres'!J339*'CAR Stock'!J389</f>
        <v>0</v>
      </c>
      <c r="AQ339" s="295">
        <f>'CAR Passenger Kilometres'!K339*'CAR Stock'!K389</f>
        <v>0</v>
      </c>
      <c r="AR339" s="295">
        <f>'CAR Passenger Kilometres'!L339*'CAR Stock'!L389</f>
        <v>0</v>
      </c>
      <c r="AS339" s="295">
        <f>'CAR Passenger Kilometres'!M339*'CAR Stock'!M389</f>
        <v>35.817408407035231</v>
      </c>
      <c r="AT339" s="295">
        <f>'CAR Passenger Kilometres'!N339*'CAR Stock'!N389</f>
        <v>465.62630929145797</v>
      </c>
      <c r="AU339" s="295">
        <f>'CAR Passenger Kilometres'!O339*'CAR Stock'!O389</f>
        <v>13467.345561045246</v>
      </c>
      <c r="AV339" s="295">
        <f>'CAR Passenger Kilometres'!P339*'CAR Stock'!P389</f>
        <v>34492.164295974937</v>
      </c>
      <c r="AW339" s="295">
        <f>'CAR Passenger Kilometres'!Q339*'CAR Stock'!Q389</f>
        <v>2149.0445044221142</v>
      </c>
      <c r="AX339" s="295">
        <f>'CAR Passenger Kilometres'!R339*'CAR Stock'!R389</f>
        <v>322.35667566331705</v>
      </c>
      <c r="AY339" s="295">
        <f>'CAR Passenger Kilometres'!S339*'CAR Stock'!S389</f>
        <v>71.634816814070462</v>
      </c>
      <c r="AZ339" s="295">
        <f>'CAR Passenger Kilometres'!T339*'CAR Stock'!T389</f>
        <v>0</v>
      </c>
      <c r="BA339" s="295">
        <f>'CAR Passenger Kilometres'!U339*'CAR Stock'!U389</f>
        <v>0</v>
      </c>
      <c r="BB339" s="295">
        <f>'CAR Passenger Kilometres'!V339*'CAR Stock'!V389</f>
        <v>0</v>
      </c>
      <c r="BC339" s="295">
        <f>'CAR Passenger Kilometres'!W339*'CAR Stock'!W389</f>
        <v>0</v>
      </c>
      <c r="BD339" s="295">
        <f>'CAR Passenger Kilometres'!X339*'CAR Stock'!X389</f>
        <v>0</v>
      </c>
      <c r="BE339" s="295">
        <f>'CAR Passenger Kilometres'!Y339*'CAR Stock'!Y389</f>
        <v>0</v>
      </c>
      <c r="BF339" s="295">
        <f>'CAR Passenger Kilometres'!Z339*'CAR Stock'!Z389</f>
        <v>0</v>
      </c>
      <c r="BG339" s="295">
        <f>'CAR Passenger Kilometres'!AA339*'CAR Stock'!AA389</f>
        <v>0</v>
      </c>
      <c r="BH339" s="295">
        <f>'CAR Passenger Kilometres'!AB339*'CAR Stock'!AB389</f>
        <v>0</v>
      </c>
      <c r="BI339" s="295">
        <f>'CAR Passenger Kilometres'!AC339*'CAR Stock'!AC389</f>
        <v>0</v>
      </c>
      <c r="BJ339" s="295">
        <f>'CAR Passenger Kilometres'!AD339*'CAR Stock'!AD389</f>
        <v>0</v>
      </c>
      <c r="BK339" s="296">
        <f>'CAR Passenger Kilometres'!AE339*'CAR Stock'!AE389</f>
        <v>0</v>
      </c>
    </row>
    <row r="340" spans="1:63">
      <c r="A340" s="1711"/>
      <c r="B340" s="116">
        <v>18</v>
      </c>
      <c r="C340" s="294">
        <f>'CAR Mileage'!C361*CAR!$I$58</f>
        <v>20132.471090191397</v>
      </c>
      <c r="D340" s="295">
        <f>'CAR Mileage'!D361*CAR!$I$58</f>
        <v>20132.471090191397</v>
      </c>
      <c r="E340" s="295">
        <f>'CAR Mileage'!E361*CAR!$I$58</f>
        <v>20132.471090191397</v>
      </c>
      <c r="F340" s="295">
        <f>'CAR Mileage'!F361*CAR!$I$58</f>
        <v>20132.471090191397</v>
      </c>
      <c r="G340" s="295">
        <f>'CAR Mileage'!G361*CAR!$I$58</f>
        <v>20132.471090191397</v>
      </c>
      <c r="H340" s="295">
        <f>'CAR Mileage'!H361*CAR!$I$58</f>
        <v>20132.471090191397</v>
      </c>
      <c r="I340" s="295">
        <f>'CAR Mileage'!I361*CAR!$I$58</f>
        <v>20132.471090191397</v>
      </c>
      <c r="J340" s="295">
        <f>'CAR Mileage'!J361*CAR!$I$58</f>
        <v>20132.471090191397</v>
      </c>
      <c r="K340" s="295">
        <f>'CAR Mileage'!K361*CAR!$I$58</f>
        <v>20132.471090191397</v>
      </c>
      <c r="L340" s="295">
        <f>'CAR Mileage'!L361*CAR!$I$58</f>
        <v>20132.471090191397</v>
      </c>
      <c r="M340" s="295">
        <f>'CAR Mileage'!M361*CAR!$I$58</f>
        <v>20132.471090191397</v>
      </c>
      <c r="N340" s="295">
        <f>'CAR Mileage'!N361*CAR!$I$58</f>
        <v>20132.471090191397</v>
      </c>
      <c r="O340" s="295">
        <f>'CAR Mileage'!O361*CAR!$I$58</f>
        <v>20132.471090191397</v>
      </c>
      <c r="P340" s="295">
        <f>'CAR Mileage'!P361*CAR!$I$58</f>
        <v>20132.471090191397</v>
      </c>
      <c r="Q340" s="295">
        <f>'CAR Mileage'!Q361*CAR!$I$58</f>
        <v>20132.471090191397</v>
      </c>
      <c r="R340" s="295">
        <f>'CAR Mileage'!R361*CAR!$I$58</f>
        <v>20132.471090191397</v>
      </c>
      <c r="S340" s="295">
        <f>'CAR Mileage'!S361*CAR!$I$58</f>
        <v>20132.471090191397</v>
      </c>
      <c r="T340" s="295">
        <f>'CAR Mileage'!T361*CAR!$I$58</f>
        <v>20132.471090191397</v>
      </c>
      <c r="U340" s="295">
        <f>'CAR Mileage'!U361*CAR!$I$58</f>
        <v>20132.471090191397</v>
      </c>
      <c r="V340" s="295">
        <f>'CAR Mileage'!V361*CAR!$I$58</f>
        <v>20132.471090191397</v>
      </c>
      <c r="W340" s="295">
        <f>'CAR Mileage'!W361*CAR!$I$58</f>
        <v>20132.471090191397</v>
      </c>
      <c r="X340" s="295">
        <f>'CAR Mileage'!X361*CAR!$I$58</f>
        <v>20132.471090191397</v>
      </c>
      <c r="Y340" s="295">
        <f>'CAR Mileage'!Y361*CAR!$I$58</f>
        <v>20132.471090191397</v>
      </c>
      <c r="Z340" s="295">
        <f>'CAR Mileage'!Z361*CAR!$I$58</f>
        <v>20132.471090191397</v>
      </c>
      <c r="AA340" s="295">
        <f>'CAR Mileage'!AA361*CAR!$I$58</f>
        <v>20132.471090191397</v>
      </c>
      <c r="AB340" s="295">
        <f>'CAR Mileage'!AB361*CAR!$I$58</f>
        <v>20132.471090191397</v>
      </c>
      <c r="AC340" s="295">
        <f>'CAR Mileage'!AC361*CAR!$I$58</f>
        <v>20132.471090191397</v>
      </c>
      <c r="AD340" s="295">
        <f>'CAR Mileage'!AD361*CAR!$I$58</f>
        <v>20132.471090191397</v>
      </c>
      <c r="AE340" s="296">
        <f>'CAR Mileage'!AE361*CAR!$I$58</f>
        <v>20132.471090191397</v>
      </c>
      <c r="AG340" s="1711"/>
      <c r="AH340" s="116">
        <v>18</v>
      </c>
      <c r="AI340" s="294">
        <f>'CAR Passenger Kilometres'!C340*'CAR Stock'!C390</f>
        <v>0</v>
      </c>
      <c r="AJ340" s="295">
        <f>'CAR Passenger Kilometres'!D340*'CAR Stock'!D390</f>
        <v>0</v>
      </c>
      <c r="AK340" s="295">
        <f>'CAR Passenger Kilometres'!E340*'CAR Stock'!E390</f>
        <v>0</v>
      </c>
      <c r="AL340" s="295">
        <f>'CAR Passenger Kilometres'!F340*'CAR Stock'!F390</f>
        <v>0</v>
      </c>
      <c r="AM340" s="295">
        <f>'CAR Passenger Kilometres'!G340*'CAR Stock'!G390</f>
        <v>0</v>
      </c>
      <c r="AN340" s="295">
        <f>'CAR Passenger Kilometres'!H340*'CAR Stock'!H390</f>
        <v>0</v>
      </c>
      <c r="AO340" s="295">
        <f>'CAR Passenger Kilometres'!I340*'CAR Stock'!I390</f>
        <v>0</v>
      </c>
      <c r="AP340" s="295">
        <f>'CAR Passenger Kilometres'!J340*'CAR Stock'!J390</f>
        <v>0</v>
      </c>
      <c r="AQ340" s="295">
        <f>'CAR Passenger Kilometres'!K340*'CAR Stock'!K390</f>
        <v>0</v>
      </c>
      <c r="AR340" s="295">
        <f>'CAR Passenger Kilometres'!L340*'CAR Stock'!L390</f>
        <v>0</v>
      </c>
      <c r="AS340" s="295">
        <f>'CAR Passenger Kilometres'!M340*'CAR Stock'!M390</f>
        <v>0</v>
      </c>
      <c r="AT340" s="295">
        <f>'CAR Passenger Kilometres'!N340*'CAR Stock'!N390</f>
        <v>7.662404199111851</v>
      </c>
      <c r="AU340" s="295">
        <f>'CAR Passenger Kilometres'!O340*'CAR Stock'!O390</f>
        <v>99.611254588454045</v>
      </c>
      <c r="AV340" s="295">
        <f>'CAR Passenger Kilometres'!P340*'CAR Stock'!P390</f>
        <v>2881.0639788660555</v>
      </c>
      <c r="AW340" s="295">
        <f>'CAR Passenger Kilometres'!Q340*'CAR Stock'!Q390</f>
        <v>7378.8952437447142</v>
      </c>
      <c r="AX340" s="295">
        <f>'CAR Passenger Kilometres'!R340*'CAR Stock'!R390</f>
        <v>459.74425194671107</v>
      </c>
      <c r="AY340" s="295">
        <f>'CAR Passenger Kilometres'!S340*'CAR Stock'!S390</f>
        <v>68.961637792006655</v>
      </c>
      <c r="AZ340" s="295">
        <f>'CAR Passenger Kilometres'!T340*'CAR Stock'!T390</f>
        <v>15.324808398223702</v>
      </c>
      <c r="BA340" s="295">
        <f>'CAR Passenger Kilometres'!U340*'CAR Stock'!U390</f>
        <v>0</v>
      </c>
      <c r="BB340" s="295">
        <f>'CAR Passenger Kilometres'!V340*'CAR Stock'!V390</f>
        <v>0</v>
      </c>
      <c r="BC340" s="295">
        <f>'CAR Passenger Kilometres'!W340*'CAR Stock'!W390</f>
        <v>0</v>
      </c>
      <c r="BD340" s="295">
        <f>'CAR Passenger Kilometres'!X340*'CAR Stock'!X390</f>
        <v>0</v>
      </c>
      <c r="BE340" s="295">
        <f>'CAR Passenger Kilometres'!Y340*'CAR Stock'!Y390</f>
        <v>0</v>
      </c>
      <c r="BF340" s="295">
        <f>'CAR Passenger Kilometres'!Z340*'CAR Stock'!Z390</f>
        <v>0</v>
      </c>
      <c r="BG340" s="295">
        <f>'CAR Passenger Kilometres'!AA340*'CAR Stock'!AA390</f>
        <v>0</v>
      </c>
      <c r="BH340" s="295">
        <f>'CAR Passenger Kilometres'!AB340*'CAR Stock'!AB390</f>
        <v>0</v>
      </c>
      <c r="BI340" s="295">
        <f>'CAR Passenger Kilometres'!AC340*'CAR Stock'!AC390</f>
        <v>0</v>
      </c>
      <c r="BJ340" s="295">
        <f>'CAR Passenger Kilometres'!AD340*'CAR Stock'!AD390</f>
        <v>0</v>
      </c>
      <c r="BK340" s="296">
        <f>'CAR Passenger Kilometres'!AE340*'CAR Stock'!AE390</f>
        <v>0</v>
      </c>
    </row>
    <row r="341" spans="1:63">
      <c r="A341" s="1711"/>
      <c r="B341" s="116">
        <v>19</v>
      </c>
      <c r="C341" s="294">
        <f>'CAR Mileage'!C362*CAR!$I$58</f>
        <v>20132.471090191397</v>
      </c>
      <c r="D341" s="295">
        <f>'CAR Mileage'!D362*CAR!$I$58</f>
        <v>20132.471090191397</v>
      </c>
      <c r="E341" s="295">
        <f>'CAR Mileage'!E362*CAR!$I$58</f>
        <v>20132.471090191397</v>
      </c>
      <c r="F341" s="295">
        <f>'CAR Mileage'!F362*CAR!$I$58</f>
        <v>20132.471090191397</v>
      </c>
      <c r="G341" s="295">
        <f>'CAR Mileage'!G362*CAR!$I$58</f>
        <v>20132.471090191397</v>
      </c>
      <c r="H341" s="295">
        <f>'CAR Mileage'!H362*CAR!$I$58</f>
        <v>20132.471090191397</v>
      </c>
      <c r="I341" s="295">
        <f>'CAR Mileage'!I362*CAR!$I$58</f>
        <v>20132.471090191397</v>
      </c>
      <c r="J341" s="295">
        <f>'CAR Mileage'!J362*CAR!$I$58</f>
        <v>20132.471090191397</v>
      </c>
      <c r="K341" s="295">
        <f>'CAR Mileage'!K362*CAR!$I$58</f>
        <v>20132.471090191397</v>
      </c>
      <c r="L341" s="295">
        <f>'CAR Mileage'!L362*CAR!$I$58</f>
        <v>20132.471090191397</v>
      </c>
      <c r="M341" s="295">
        <f>'CAR Mileage'!M362*CAR!$I$58</f>
        <v>20132.471090191397</v>
      </c>
      <c r="N341" s="295">
        <f>'CAR Mileage'!N362*CAR!$I$58</f>
        <v>20132.471090191397</v>
      </c>
      <c r="O341" s="295">
        <f>'CAR Mileage'!O362*CAR!$I$58</f>
        <v>20132.471090191397</v>
      </c>
      <c r="P341" s="295">
        <f>'CAR Mileage'!P362*CAR!$I$58</f>
        <v>20132.471090191397</v>
      </c>
      <c r="Q341" s="295">
        <f>'CAR Mileage'!Q362*CAR!$I$58</f>
        <v>20132.471090191397</v>
      </c>
      <c r="R341" s="295">
        <f>'CAR Mileage'!R362*CAR!$I$58</f>
        <v>20132.471090191397</v>
      </c>
      <c r="S341" s="295">
        <f>'CAR Mileage'!S362*CAR!$I$58</f>
        <v>20132.471090191397</v>
      </c>
      <c r="T341" s="295">
        <f>'CAR Mileage'!T362*CAR!$I$58</f>
        <v>20132.471090191397</v>
      </c>
      <c r="U341" s="295">
        <f>'CAR Mileage'!U362*CAR!$I$58</f>
        <v>20132.471090191397</v>
      </c>
      <c r="V341" s="295">
        <f>'CAR Mileage'!V362*CAR!$I$58</f>
        <v>20132.471090191397</v>
      </c>
      <c r="W341" s="295">
        <f>'CAR Mileage'!W362*CAR!$I$58</f>
        <v>20132.471090191397</v>
      </c>
      <c r="X341" s="295">
        <f>'CAR Mileage'!X362*CAR!$I$58</f>
        <v>20132.471090191397</v>
      </c>
      <c r="Y341" s="295">
        <f>'CAR Mileage'!Y362*CAR!$I$58</f>
        <v>20132.471090191397</v>
      </c>
      <c r="Z341" s="295">
        <f>'CAR Mileage'!Z362*CAR!$I$58</f>
        <v>20132.471090191397</v>
      </c>
      <c r="AA341" s="295">
        <f>'CAR Mileage'!AA362*CAR!$I$58</f>
        <v>20132.471090191397</v>
      </c>
      <c r="AB341" s="295">
        <f>'CAR Mileage'!AB362*CAR!$I$58</f>
        <v>20132.471090191397</v>
      </c>
      <c r="AC341" s="295">
        <f>'CAR Mileage'!AC362*CAR!$I$58</f>
        <v>20132.471090191397</v>
      </c>
      <c r="AD341" s="295">
        <f>'CAR Mileage'!AD362*CAR!$I$58</f>
        <v>20132.471090191397</v>
      </c>
      <c r="AE341" s="296">
        <f>'CAR Mileage'!AE362*CAR!$I$58</f>
        <v>20132.471090191397</v>
      </c>
      <c r="AG341" s="1711"/>
      <c r="AH341" s="116">
        <v>19</v>
      </c>
      <c r="AI341" s="294">
        <f>'CAR Passenger Kilometres'!C341*'CAR Stock'!C391</f>
        <v>0</v>
      </c>
      <c r="AJ341" s="295">
        <f>'CAR Passenger Kilometres'!D341*'CAR Stock'!D391</f>
        <v>0</v>
      </c>
      <c r="AK341" s="295">
        <f>'CAR Passenger Kilometres'!E341*'CAR Stock'!E391</f>
        <v>0</v>
      </c>
      <c r="AL341" s="295">
        <f>'CAR Passenger Kilometres'!F341*'CAR Stock'!F391</f>
        <v>0</v>
      </c>
      <c r="AM341" s="295">
        <f>'CAR Passenger Kilometres'!G341*'CAR Stock'!G391</f>
        <v>0</v>
      </c>
      <c r="AN341" s="295">
        <f>'CAR Passenger Kilometres'!H341*'CAR Stock'!H391</f>
        <v>0</v>
      </c>
      <c r="AO341" s="295">
        <f>'CAR Passenger Kilometres'!I341*'CAR Stock'!I391</f>
        <v>0</v>
      </c>
      <c r="AP341" s="295">
        <f>'CAR Passenger Kilometres'!J341*'CAR Stock'!J391</f>
        <v>0</v>
      </c>
      <c r="AQ341" s="295">
        <f>'CAR Passenger Kilometres'!K341*'CAR Stock'!K391</f>
        <v>0</v>
      </c>
      <c r="AR341" s="295">
        <f>'CAR Passenger Kilometres'!L341*'CAR Stock'!L391</f>
        <v>0</v>
      </c>
      <c r="AS341" s="295">
        <f>'CAR Passenger Kilometres'!M341*'CAR Stock'!M391</f>
        <v>0</v>
      </c>
      <c r="AT341" s="295">
        <f>'CAR Passenger Kilometres'!N341*'CAR Stock'!N391</f>
        <v>0</v>
      </c>
      <c r="AU341" s="295">
        <f>'CAR Passenger Kilometres'!O341*'CAR Stock'!O391</f>
        <v>1.4050415479538076</v>
      </c>
      <c r="AV341" s="295">
        <f>'CAR Passenger Kilometres'!P341*'CAR Stock'!P391</f>
        <v>18.2655401233995</v>
      </c>
      <c r="AW341" s="295">
        <f>'CAR Passenger Kilometres'!Q341*'CAR Stock'!Q391</f>
        <v>528.29562203063165</v>
      </c>
      <c r="AX341" s="295">
        <f>'CAR Passenger Kilometres'!R341*'CAR Stock'!R391</f>
        <v>1353.0550106795174</v>
      </c>
      <c r="AY341" s="295">
        <f>'CAR Passenger Kilometres'!S341*'CAR Stock'!S391</f>
        <v>84.302492877228488</v>
      </c>
      <c r="AZ341" s="295">
        <f>'CAR Passenger Kilometres'!T341*'CAR Stock'!T391</f>
        <v>12.645373931584269</v>
      </c>
      <c r="BA341" s="295">
        <f>'CAR Passenger Kilometres'!U341*'CAR Stock'!U391</f>
        <v>2.8100830959076153</v>
      </c>
      <c r="BB341" s="295">
        <f>'CAR Passenger Kilometres'!V341*'CAR Stock'!V391</f>
        <v>0</v>
      </c>
      <c r="BC341" s="295">
        <f>'CAR Passenger Kilometres'!W341*'CAR Stock'!W391</f>
        <v>0</v>
      </c>
      <c r="BD341" s="295">
        <f>'CAR Passenger Kilometres'!X341*'CAR Stock'!X391</f>
        <v>0</v>
      </c>
      <c r="BE341" s="295">
        <f>'CAR Passenger Kilometres'!Y341*'CAR Stock'!Y391</f>
        <v>0</v>
      </c>
      <c r="BF341" s="295">
        <f>'CAR Passenger Kilometres'!Z341*'CAR Stock'!Z391</f>
        <v>0</v>
      </c>
      <c r="BG341" s="295">
        <f>'CAR Passenger Kilometres'!AA341*'CAR Stock'!AA391</f>
        <v>0</v>
      </c>
      <c r="BH341" s="295">
        <f>'CAR Passenger Kilometres'!AB341*'CAR Stock'!AB391</f>
        <v>0</v>
      </c>
      <c r="BI341" s="295">
        <f>'CAR Passenger Kilometres'!AC341*'CAR Stock'!AC391</f>
        <v>0</v>
      </c>
      <c r="BJ341" s="295">
        <f>'CAR Passenger Kilometres'!AD341*'CAR Stock'!AD391</f>
        <v>0</v>
      </c>
      <c r="BK341" s="296">
        <f>'CAR Passenger Kilometres'!AE341*'CAR Stock'!AE391</f>
        <v>0</v>
      </c>
    </row>
    <row r="342" spans="1:63">
      <c r="A342" s="1711"/>
      <c r="B342" s="116">
        <v>20</v>
      </c>
      <c r="C342" s="294">
        <f>'CAR Mileage'!C363*CAR!$I$58</f>
        <v>20132.471090191397</v>
      </c>
      <c r="D342" s="295">
        <f>'CAR Mileage'!D363*CAR!$I$58</f>
        <v>20132.471090191397</v>
      </c>
      <c r="E342" s="295">
        <f>'CAR Mileage'!E363*CAR!$I$58</f>
        <v>20132.471090191397</v>
      </c>
      <c r="F342" s="295">
        <f>'CAR Mileage'!F363*CAR!$I$58</f>
        <v>20132.471090191397</v>
      </c>
      <c r="G342" s="295">
        <f>'CAR Mileage'!G363*CAR!$I$58</f>
        <v>20132.471090191397</v>
      </c>
      <c r="H342" s="295">
        <f>'CAR Mileage'!H363*CAR!$I$58</f>
        <v>20132.471090191397</v>
      </c>
      <c r="I342" s="295">
        <f>'CAR Mileage'!I363*CAR!$I$58</f>
        <v>20132.471090191397</v>
      </c>
      <c r="J342" s="295">
        <f>'CAR Mileage'!J363*CAR!$I$58</f>
        <v>20132.471090191397</v>
      </c>
      <c r="K342" s="295">
        <f>'CAR Mileage'!K363*CAR!$I$58</f>
        <v>20132.471090191397</v>
      </c>
      <c r="L342" s="295">
        <f>'CAR Mileage'!L363*CAR!$I$58</f>
        <v>20132.471090191397</v>
      </c>
      <c r="M342" s="295">
        <f>'CAR Mileage'!M363*CAR!$I$58</f>
        <v>20132.471090191397</v>
      </c>
      <c r="N342" s="295">
        <f>'CAR Mileage'!N363*CAR!$I$58</f>
        <v>20132.471090191397</v>
      </c>
      <c r="O342" s="295">
        <f>'CAR Mileage'!O363*CAR!$I$58</f>
        <v>20132.471090191397</v>
      </c>
      <c r="P342" s="295">
        <f>'CAR Mileage'!P363*CAR!$I$58</f>
        <v>20132.471090191397</v>
      </c>
      <c r="Q342" s="295">
        <f>'CAR Mileage'!Q363*CAR!$I$58</f>
        <v>20132.471090191397</v>
      </c>
      <c r="R342" s="295">
        <f>'CAR Mileage'!R363*CAR!$I$58</f>
        <v>20132.471090191397</v>
      </c>
      <c r="S342" s="295">
        <f>'CAR Mileage'!S363*CAR!$I$58</f>
        <v>20132.471090191397</v>
      </c>
      <c r="T342" s="295">
        <f>'CAR Mileage'!T363*CAR!$I$58</f>
        <v>20132.471090191397</v>
      </c>
      <c r="U342" s="295">
        <f>'CAR Mileage'!U363*CAR!$I$58</f>
        <v>20132.471090191397</v>
      </c>
      <c r="V342" s="295">
        <f>'CAR Mileage'!V363*CAR!$I$58</f>
        <v>20132.471090191397</v>
      </c>
      <c r="W342" s="295">
        <f>'CAR Mileage'!W363*CAR!$I$58</f>
        <v>20132.471090191397</v>
      </c>
      <c r="X342" s="295">
        <f>'CAR Mileage'!X363*CAR!$I$58</f>
        <v>20132.471090191397</v>
      </c>
      <c r="Y342" s="295">
        <f>'CAR Mileage'!Y363*CAR!$I$58</f>
        <v>20132.471090191397</v>
      </c>
      <c r="Z342" s="295">
        <f>'CAR Mileage'!Z363*CAR!$I$58</f>
        <v>20132.471090191397</v>
      </c>
      <c r="AA342" s="295">
        <f>'CAR Mileage'!AA363*CAR!$I$58</f>
        <v>20132.471090191397</v>
      </c>
      <c r="AB342" s="295">
        <f>'CAR Mileage'!AB363*CAR!$I$58</f>
        <v>20132.471090191397</v>
      </c>
      <c r="AC342" s="295">
        <f>'CAR Mileage'!AC363*CAR!$I$58</f>
        <v>20132.471090191397</v>
      </c>
      <c r="AD342" s="295">
        <f>'CAR Mileage'!AD363*CAR!$I$58</f>
        <v>20132.471090191397</v>
      </c>
      <c r="AE342" s="296">
        <f>'CAR Mileage'!AE363*CAR!$I$58</f>
        <v>20132.471090191397</v>
      </c>
      <c r="AG342" s="1711"/>
      <c r="AH342" s="116">
        <v>20</v>
      </c>
      <c r="AI342" s="294">
        <f>'CAR Passenger Kilometres'!C342*'CAR Stock'!C392</f>
        <v>0</v>
      </c>
      <c r="AJ342" s="295">
        <f>'CAR Passenger Kilometres'!D342*'CAR Stock'!D392</f>
        <v>0</v>
      </c>
      <c r="AK342" s="295">
        <f>'CAR Passenger Kilometres'!E342*'CAR Stock'!E392</f>
        <v>0</v>
      </c>
      <c r="AL342" s="295">
        <f>'CAR Passenger Kilometres'!F342*'CAR Stock'!F392</f>
        <v>0</v>
      </c>
      <c r="AM342" s="295">
        <f>'CAR Passenger Kilometres'!G342*'CAR Stock'!G392</f>
        <v>0</v>
      </c>
      <c r="AN342" s="295">
        <f>'CAR Passenger Kilometres'!H342*'CAR Stock'!H392</f>
        <v>0</v>
      </c>
      <c r="AO342" s="295">
        <f>'CAR Passenger Kilometres'!I342*'CAR Stock'!I392</f>
        <v>0</v>
      </c>
      <c r="AP342" s="295">
        <f>'CAR Passenger Kilometres'!J342*'CAR Stock'!J392</f>
        <v>0</v>
      </c>
      <c r="AQ342" s="295">
        <f>'CAR Passenger Kilometres'!K342*'CAR Stock'!K392</f>
        <v>0</v>
      </c>
      <c r="AR342" s="295">
        <f>'CAR Passenger Kilometres'!L342*'CAR Stock'!L392</f>
        <v>0</v>
      </c>
      <c r="AS342" s="295">
        <f>'CAR Passenger Kilometres'!M342*'CAR Stock'!M392</f>
        <v>0</v>
      </c>
      <c r="AT342" s="295">
        <f>'CAR Passenger Kilometres'!N342*'CAR Stock'!N392</f>
        <v>0</v>
      </c>
      <c r="AU342" s="295">
        <f>'CAR Passenger Kilometres'!O342*'CAR Stock'!O392</f>
        <v>0</v>
      </c>
      <c r="AV342" s="295">
        <f>'CAR Passenger Kilometres'!P342*'CAR Stock'!P392</f>
        <v>0.21469999278047039</v>
      </c>
      <c r="AW342" s="295">
        <f>'CAR Passenger Kilometres'!Q342*'CAR Stock'!Q392</f>
        <v>2.7910999061461146</v>
      </c>
      <c r="AX342" s="295">
        <f>'CAR Passenger Kilometres'!R342*'CAR Stock'!R392</f>
        <v>80.727197285456853</v>
      </c>
      <c r="AY342" s="295">
        <f>'CAR Passenger Kilometres'!S342*'CAR Stock'!S392</f>
        <v>206.75609304759305</v>
      </c>
      <c r="AZ342" s="295">
        <f>'CAR Passenger Kilometres'!T342*'CAR Stock'!T392</f>
        <v>12.881999566828226</v>
      </c>
      <c r="BA342" s="295">
        <f>'CAR Passenger Kilometres'!U342*'CAR Stock'!U392</f>
        <v>1.9322999350242331</v>
      </c>
      <c r="BB342" s="295">
        <f>'CAR Passenger Kilometres'!V342*'CAR Stock'!V392</f>
        <v>0.42939998556094078</v>
      </c>
      <c r="BC342" s="295">
        <f>'CAR Passenger Kilometres'!W342*'CAR Stock'!W392</f>
        <v>0</v>
      </c>
      <c r="BD342" s="295">
        <f>'CAR Passenger Kilometres'!X342*'CAR Stock'!X392</f>
        <v>0</v>
      </c>
      <c r="BE342" s="295">
        <f>'CAR Passenger Kilometres'!Y342*'CAR Stock'!Y392</f>
        <v>0</v>
      </c>
      <c r="BF342" s="295">
        <f>'CAR Passenger Kilometres'!Z342*'CAR Stock'!Z392</f>
        <v>0</v>
      </c>
      <c r="BG342" s="295">
        <f>'CAR Passenger Kilometres'!AA342*'CAR Stock'!AA392</f>
        <v>0</v>
      </c>
      <c r="BH342" s="295">
        <f>'CAR Passenger Kilometres'!AB342*'CAR Stock'!AB392</f>
        <v>0</v>
      </c>
      <c r="BI342" s="295">
        <f>'CAR Passenger Kilometres'!AC342*'CAR Stock'!AC392</f>
        <v>0</v>
      </c>
      <c r="BJ342" s="295">
        <f>'CAR Passenger Kilometres'!AD342*'CAR Stock'!AD392</f>
        <v>0</v>
      </c>
      <c r="BK342" s="296">
        <f>'CAR Passenger Kilometres'!AE342*'CAR Stock'!AE392</f>
        <v>0</v>
      </c>
    </row>
    <row r="343" spans="1:63">
      <c r="A343" s="1711"/>
      <c r="B343" s="116">
        <v>21</v>
      </c>
      <c r="C343" s="294">
        <f>'CAR Mileage'!C364*CAR!$I$58</f>
        <v>20132.471090191397</v>
      </c>
      <c r="D343" s="295">
        <f>'CAR Mileage'!D364*CAR!$I$58</f>
        <v>20132.471090191397</v>
      </c>
      <c r="E343" s="295">
        <f>'CAR Mileage'!E364*CAR!$I$58</f>
        <v>20132.471090191397</v>
      </c>
      <c r="F343" s="295">
        <f>'CAR Mileage'!F364*CAR!$I$58</f>
        <v>20132.471090191397</v>
      </c>
      <c r="G343" s="295">
        <f>'CAR Mileage'!G364*CAR!$I$58</f>
        <v>20132.471090191397</v>
      </c>
      <c r="H343" s="295">
        <f>'CAR Mileage'!H364*CAR!$I$58</f>
        <v>20132.471090191397</v>
      </c>
      <c r="I343" s="295">
        <f>'CAR Mileage'!I364*CAR!$I$58</f>
        <v>20132.471090191397</v>
      </c>
      <c r="J343" s="295">
        <f>'CAR Mileage'!J364*CAR!$I$58</f>
        <v>20132.471090191397</v>
      </c>
      <c r="K343" s="295">
        <f>'CAR Mileage'!K364*CAR!$I$58</f>
        <v>20132.471090191397</v>
      </c>
      <c r="L343" s="295">
        <f>'CAR Mileage'!L364*CAR!$I$58</f>
        <v>20132.471090191397</v>
      </c>
      <c r="M343" s="295">
        <f>'CAR Mileage'!M364*CAR!$I$58</f>
        <v>20132.471090191397</v>
      </c>
      <c r="N343" s="295">
        <f>'CAR Mileage'!N364*CAR!$I$58</f>
        <v>20132.471090191397</v>
      </c>
      <c r="O343" s="295">
        <f>'CAR Mileage'!O364*CAR!$I$58</f>
        <v>20132.471090191397</v>
      </c>
      <c r="P343" s="295">
        <f>'CAR Mileage'!P364*CAR!$I$58</f>
        <v>20132.471090191397</v>
      </c>
      <c r="Q343" s="295">
        <f>'CAR Mileage'!Q364*CAR!$I$58</f>
        <v>20132.471090191397</v>
      </c>
      <c r="R343" s="295">
        <f>'CAR Mileage'!R364*CAR!$I$58</f>
        <v>20132.471090191397</v>
      </c>
      <c r="S343" s="295">
        <f>'CAR Mileage'!S364*CAR!$I$58</f>
        <v>20132.471090191397</v>
      </c>
      <c r="T343" s="295">
        <f>'CAR Mileage'!T364*CAR!$I$58</f>
        <v>20132.471090191397</v>
      </c>
      <c r="U343" s="295">
        <f>'CAR Mileage'!U364*CAR!$I$58</f>
        <v>20132.471090191397</v>
      </c>
      <c r="V343" s="295">
        <f>'CAR Mileage'!V364*CAR!$I$58</f>
        <v>20132.471090191397</v>
      </c>
      <c r="W343" s="295">
        <f>'CAR Mileage'!W364*CAR!$I$58</f>
        <v>20132.471090191397</v>
      </c>
      <c r="X343" s="295">
        <f>'CAR Mileage'!X364*CAR!$I$58</f>
        <v>20132.471090191397</v>
      </c>
      <c r="Y343" s="295">
        <f>'CAR Mileage'!Y364*CAR!$I$58</f>
        <v>20132.471090191397</v>
      </c>
      <c r="Z343" s="295">
        <f>'CAR Mileage'!Z364*CAR!$I$58</f>
        <v>20132.471090191397</v>
      </c>
      <c r="AA343" s="295">
        <f>'CAR Mileage'!AA364*CAR!$I$58</f>
        <v>20132.471090191397</v>
      </c>
      <c r="AB343" s="295">
        <f>'CAR Mileage'!AB364*CAR!$I$58</f>
        <v>20132.471090191397</v>
      </c>
      <c r="AC343" s="295">
        <f>'CAR Mileage'!AC364*CAR!$I$58</f>
        <v>20132.471090191397</v>
      </c>
      <c r="AD343" s="295">
        <f>'CAR Mileage'!AD364*CAR!$I$58</f>
        <v>20132.471090191397</v>
      </c>
      <c r="AE343" s="296">
        <f>'CAR Mileage'!AE364*CAR!$I$58</f>
        <v>20132.471090191397</v>
      </c>
      <c r="AG343" s="1711"/>
      <c r="AH343" s="116">
        <v>21</v>
      </c>
      <c r="AI343" s="294">
        <f>'CAR Passenger Kilometres'!C343*'CAR Stock'!C393</f>
        <v>0</v>
      </c>
      <c r="AJ343" s="295">
        <f>'CAR Passenger Kilometres'!D343*'CAR Stock'!D393</f>
        <v>0</v>
      </c>
      <c r="AK343" s="295">
        <f>'CAR Passenger Kilometres'!E343*'CAR Stock'!E393</f>
        <v>0</v>
      </c>
      <c r="AL343" s="295">
        <f>'CAR Passenger Kilometres'!F343*'CAR Stock'!F393</f>
        <v>0</v>
      </c>
      <c r="AM343" s="295">
        <f>'CAR Passenger Kilometres'!G343*'CAR Stock'!G393</f>
        <v>0</v>
      </c>
      <c r="AN343" s="295">
        <f>'CAR Passenger Kilometres'!H343*'CAR Stock'!H393</f>
        <v>0</v>
      </c>
      <c r="AO343" s="295">
        <f>'CAR Passenger Kilometres'!I343*'CAR Stock'!I393</f>
        <v>0</v>
      </c>
      <c r="AP343" s="295">
        <f>'CAR Passenger Kilometres'!J343*'CAR Stock'!J393</f>
        <v>0</v>
      </c>
      <c r="AQ343" s="295">
        <f>'CAR Passenger Kilometres'!K343*'CAR Stock'!K393</f>
        <v>0</v>
      </c>
      <c r="AR343" s="295">
        <f>'CAR Passenger Kilometres'!L343*'CAR Stock'!L393</f>
        <v>0</v>
      </c>
      <c r="AS343" s="295">
        <f>'CAR Passenger Kilometres'!M343*'CAR Stock'!M393</f>
        <v>0</v>
      </c>
      <c r="AT343" s="295">
        <f>'CAR Passenger Kilometres'!N343*'CAR Stock'!N393</f>
        <v>0</v>
      </c>
      <c r="AU343" s="295">
        <f>'CAR Passenger Kilometres'!O343*'CAR Stock'!O393</f>
        <v>0</v>
      </c>
      <c r="AV343" s="295">
        <f>'CAR Passenger Kilometres'!P343*'CAR Stock'!P393</f>
        <v>0</v>
      </c>
      <c r="AW343" s="295">
        <f>'CAR Passenger Kilometres'!Q343*'CAR Stock'!Q393</f>
        <v>2.6246106083945925E-2</v>
      </c>
      <c r="AX343" s="295">
        <f>'CAR Passenger Kilometres'!R343*'CAR Stock'!R393</f>
        <v>0.34119937909129694</v>
      </c>
      <c r="AY343" s="295">
        <f>'CAR Passenger Kilometres'!S343*'CAR Stock'!S393</f>
        <v>9.8685358875636666</v>
      </c>
      <c r="AZ343" s="295">
        <f>'CAR Passenger Kilometres'!T343*'CAR Stock'!T393</f>
        <v>25.275000158839934</v>
      </c>
      <c r="BA343" s="295">
        <f>'CAR Passenger Kilometres'!U343*'CAR Stock'!U393</f>
        <v>1.5747663650367558</v>
      </c>
      <c r="BB343" s="295">
        <f>'CAR Passenger Kilometres'!V343*'CAR Stock'!V393</f>
        <v>0.23621495475551327</v>
      </c>
      <c r="BC343" s="295">
        <f>'CAR Passenger Kilometres'!W343*'CAR Stock'!W393</f>
        <v>5.249221216789185E-2</v>
      </c>
      <c r="BD343" s="295">
        <f>'CAR Passenger Kilometres'!X343*'CAR Stock'!X393</f>
        <v>0</v>
      </c>
      <c r="BE343" s="295">
        <f>'CAR Passenger Kilometres'!Y343*'CAR Stock'!Y393</f>
        <v>0</v>
      </c>
      <c r="BF343" s="295">
        <f>'CAR Passenger Kilometres'!Z343*'CAR Stock'!Z393</f>
        <v>0</v>
      </c>
      <c r="BG343" s="295">
        <f>'CAR Passenger Kilometres'!AA343*'CAR Stock'!AA393</f>
        <v>0</v>
      </c>
      <c r="BH343" s="295">
        <f>'CAR Passenger Kilometres'!AB343*'CAR Stock'!AB393</f>
        <v>0</v>
      </c>
      <c r="BI343" s="295">
        <f>'CAR Passenger Kilometres'!AC343*'CAR Stock'!AC393</f>
        <v>0</v>
      </c>
      <c r="BJ343" s="295">
        <f>'CAR Passenger Kilometres'!AD343*'CAR Stock'!AD393</f>
        <v>0</v>
      </c>
      <c r="BK343" s="296">
        <f>'CAR Passenger Kilometres'!AE343*'CAR Stock'!AE393</f>
        <v>0</v>
      </c>
    </row>
    <row r="344" spans="1:63">
      <c r="A344" s="1711"/>
      <c r="B344" s="116">
        <v>22</v>
      </c>
      <c r="C344" s="294">
        <f>'CAR Mileage'!C365*CAR!$I$58</f>
        <v>20132.471090191397</v>
      </c>
      <c r="D344" s="295">
        <f>'CAR Mileage'!D365*CAR!$I$58</f>
        <v>20132.471090191397</v>
      </c>
      <c r="E344" s="295">
        <f>'CAR Mileage'!E365*CAR!$I$58</f>
        <v>20132.471090191397</v>
      </c>
      <c r="F344" s="295">
        <f>'CAR Mileage'!F365*CAR!$I$58</f>
        <v>20132.471090191397</v>
      </c>
      <c r="G344" s="295">
        <f>'CAR Mileage'!G365*CAR!$I$58</f>
        <v>20132.471090191397</v>
      </c>
      <c r="H344" s="295">
        <f>'CAR Mileage'!H365*CAR!$I$58</f>
        <v>20132.471090191397</v>
      </c>
      <c r="I344" s="295">
        <f>'CAR Mileage'!I365*CAR!$I$58</f>
        <v>20132.471090191397</v>
      </c>
      <c r="J344" s="295">
        <f>'CAR Mileage'!J365*CAR!$I$58</f>
        <v>20132.471090191397</v>
      </c>
      <c r="K344" s="295">
        <f>'CAR Mileage'!K365*CAR!$I$58</f>
        <v>20132.471090191397</v>
      </c>
      <c r="L344" s="295">
        <f>'CAR Mileage'!L365*CAR!$I$58</f>
        <v>20132.471090191397</v>
      </c>
      <c r="M344" s="295">
        <f>'CAR Mileage'!M365*CAR!$I$58</f>
        <v>20132.471090191397</v>
      </c>
      <c r="N344" s="295">
        <f>'CAR Mileage'!N365*CAR!$I$58</f>
        <v>20132.471090191397</v>
      </c>
      <c r="O344" s="295">
        <f>'CAR Mileage'!O365*CAR!$I$58</f>
        <v>20132.471090191397</v>
      </c>
      <c r="P344" s="295">
        <f>'CAR Mileage'!P365*CAR!$I$58</f>
        <v>20132.471090191397</v>
      </c>
      <c r="Q344" s="295">
        <f>'CAR Mileage'!Q365*CAR!$I$58</f>
        <v>20132.471090191397</v>
      </c>
      <c r="R344" s="295">
        <f>'CAR Mileage'!R365*CAR!$I$58</f>
        <v>20132.471090191397</v>
      </c>
      <c r="S344" s="295">
        <f>'CAR Mileage'!S365*CAR!$I$58</f>
        <v>20132.471090191397</v>
      </c>
      <c r="T344" s="295">
        <f>'CAR Mileage'!T365*CAR!$I$58</f>
        <v>20132.471090191397</v>
      </c>
      <c r="U344" s="295">
        <f>'CAR Mileage'!U365*CAR!$I$58</f>
        <v>20132.471090191397</v>
      </c>
      <c r="V344" s="295">
        <f>'CAR Mileage'!V365*CAR!$I$58</f>
        <v>20132.471090191397</v>
      </c>
      <c r="W344" s="295">
        <f>'CAR Mileage'!W365*CAR!$I$58</f>
        <v>20132.471090191397</v>
      </c>
      <c r="X344" s="295">
        <f>'CAR Mileage'!X365*CAR!$I$58</f>
        <v>20132.471090191397</v>
      </c>
      <c r="Y344" s="295">
        <f>'CAR Mileage'!Y365*CAR!$I$58</f>
        <v>20132.471090191397</v>
      </c>
      <c r="Z344" s="295">
        <f>'CAR Mileage'!Z365*CAR!$I$58</f>
        <v>20132.471090191397</v>
      </c>
      <c r="AA344" s="295">
        <f>'CAR Mileage'!AA365*CAR!$I$58</f>
        <v>20132.471090191397</v>
      </c>
      <c r="AB344" s="295">
        <f>'CAR Mileage'!AB365*CAR!$I$58</f>
        <v>20132.471090191397</v>
      </c>
      <c r="AC344" s="295">
        <f>'CAR Mileage'!AC365*CAR!$I$58</f>
        <v>20132.471090191397</v>
      </c>
      <c r="AD344" s="295">
        <f>'CAR Mileage'!AD365*CAR!$I$58</f>
        <v>20132.471090191397</v>
      </c>
      <c r="AE344" s="296">
        <f>'CAR Mileage'!AE365*CAR!$I$58</f>
        <v>20132.471090191397</v>
      </c>
      <c r="AG344" s="1711"/>
      <c r="AH344" s="116">
        <v>22</v>
      </c>
      <c r="AI344" s="294">
        <f>'CAR Passenger Kilometres'!C344*'CAR Stock'!C394</f>
        <v>0</v>
      </c>
      <c r="AJ344" s="295">
        <f>'CAR Passenger Kilometres'!D344*'CAR Stock'!D394</f>
        <v>0</v>
      </c>
      <c r="AK344" s="295">
        <f>'CAR Passenger Kilometres'!E344*'CAR Stock'!E394</f>
        <v>0</v>
      </c>
      <c r="AL344" s="295">
        <f>'CAR Passenger Kilometres'!F344*'CAR Stock'!F394</f>
        <v>0</v>
      </c>
      <c r="AM344" s="295">
        <f>'CAR Passenger Kilometres'!G344*'CAR Stock'!G394</f>
        <v>0</v>
      </c>
      <c r="AN344" s="295">
        <f>'CAR Passenger Kilometres'!H344*'CAR Stock'!H394</f>
        <v>0</v>
      </c>
      <c r="AO344" s="295">
        <f>'CAR Passenger Kilometres'!I344*'CAR Stock'!I394</f>
        <v>0</v>
      </c>
      <c r="AP344" s="295">
        <f>'CAR Passenger Kilometres'!J344*'CAR Stock'!J394</f>
        <v>0</v>
      </c>
      <c r="AQ344" s="295">
        <f>'CAR Passenger Kilometres'!K344*'CAR Stock'!K394</f>
        <v>0</v>
      </c>
      <c r="AR344" s="295">
        <f>'CAR Passenger Kilometres'!L344*'CAR Stock'!L394</f>
        <v>0</v>
      </c>
      <c r="AS344" s="295">
        <f>'CAR Passenger Kilometres'!M344*'CAR Stock'!M394</f>
        <v>0</v>
      </c>
      <c r="AT344" s="295">
        <f>'CAR Passenger Kilometres'!N344*'CAR Stock'!N394</f>
        <v>0</v>
      </c>
      <c r="AU344" s="295">
        <f>'CAR Passenger Kilometres'!O344*'CAR Stock'!O394</f>
        <v>0</v>
      </c>
      <c r="AV344" s="295">
        <f>'CAR Passenger Kilometres'!P344*'CAR Stock'!P394</f>
        <v>0</v>
      </c>
      <c r="AW344" s="295">
        <f>'CAR Passenger Kilometres'!Q344*'CAR Stock'!Q394</f>
        <v>0</v>
      </c>
      <c r="AX344" s="295">
        <f>'CAR Passenger Kilometres'!R344*'CAR Stock'!R394</f>
        <v>2.4063510982768074E-3</v>
      </c>
      <c r="AY344" s="295">
        <f>'CAR Passenger Kilometres'!S344*'CAR Stock'!S394</f>
        <v>3.1282564277598492E-2</v>
      </c>
      <c r="AZ344" s="295">
        <f>'CAR Passenger Kilometres'!T344*'CAR Stock'!T394</f>
        <v>0.90478801295207945</v>
      </c>
      <c r="BA344" s="295">
        <f>'CAR Passenger Kilometres'!U344*'CAR Stock'!U394</f>
        <v>2.3173161076405662</v>
      </c>
      <c r="BB344" s="295">
        <f>'CAR Passenger Kilometres'!V344*'CAR Stock'!V394</f>
        <v>0.14438106589660848</v>
      </c>
      <c r="BC344" s="295">
        <f>'CAR Passenger Kilometres'!W344*'CAR Stock'!W394</f>
        <v>2.165715988449126E-2</v>
      </c>
      <c r="BD344" s="295">
        <f>'CAR Passenger Kilometres'!X344*'CAR Stock'!X394</f>
        <v>4.8127021965536148E-3</v>
      </c>
      <c r="BE344" s="295">
        <f>'CAR Passenger Kilometres'!Y344*'CAR Stock'!Y394</f>
        <v>0</v>
      </c>
      <c r="BF344" s="295">
        <f>'CAR Passenger Kilometres'!Z344*'CAR Stock'!Z394</f>
        <v>0</v>
      </c>
      <c r="BG344" s="295">
        <f>'CAR Passenger Kilometres'!AA344*'CAR Stock'!AA394</f>
        <v>0</v>
      </c>
      <c r="BH344" s="295">
        <f>'CAR Passenger Kilometres'!AB344*'CAR Stock'!AB394</f>
        <v>0</v>
      </c>
      <c r="BI344" s="295">
        <f>'CAR Passenger Kilometres'!AC344*'CAR Stock'!AC394</f>
        <v>0</v>
      </c>
      <c r="BJ344" s="295">
        <f>'CAR Passenger Kilometres'!AD344*'CAR Stock'!AD394</f>
        <v>0</v>
      </c>
      <c r="BK344" s="296">
        <f>'CAR Passenger Kilometres'!AE344*'CAR Stock'!AE394</f>
        <v>0</v>
      </c>
    </row>
    <row r="345" spans="1:63">
      <c r="A345" s="1711"/>
      <c r="B345" s="116">
        <v>23</v>
      </c>
      <c r="C345" s="294">
        <f>'CAR Mileage'!C366*CAR!$I$58</f>
        <v>20132.471090191397</v>
      </c>
      <c r="D345" s="295">
        <f>'CAR Mileage'!D366*CAR!$I$58</f>
        <v>20132.471090191397</v>
      </c>
      <c r="E345" s="295">
        <f>'CAR Mileage'!E366*CAR!$I$58</f>
        <v>20132.471090191397</v>
      </c>
      <c r="F345" s="295">
        <f>'CAR Mileage'!F366*CAR!$I$58</f>
        <v>20132.471090191397</v>
      </c>
      <c r="G345" s="295">
        <f>'CAR Mileage'!G366*CAR!$I$58</f>
        <v>20132.471090191397</v>
      </c>
      <c r="H345" s="295">
        <f>'CAR Mileage'!H366*CAR!$I$58</f>
        <v>20132.471090191397</v>
      </c>
      <c r="I345" s="295">
        <f>'CAR Mileage'!I366*CAR!$I$58</f>
        <v>20132.471090191397</v>
      </c>
      <c r="J345" s="295">
        <f>'CAR Mileage'!J366*CAR!$I$58</f>
        <v>20132.471090191397</v>
      </c>
      <c r="K345" s="295">
        <f>'CAR Mileage'!K366*CAR!$I$58</f>
        <v>20132.471090191397</v>
      </c>
      <c r="L345" s="295">
        <f>'CAR Mileage'!L366*CAR!$I$58</f>
        <v>20132.471090191397</v>
      </c>
      <c r="M345" s="295">
        <f>'CAR Mileage'!M366*CAR!$I$58</f>
        <v>20132.471090191397</v>
      </c>
      <c r="N345" s="295">
        <f>'CAR Mileage'!N366*CAR!$I$58</f>
        <v>20132.471090191397</v>
      </c>
      <c r="O345" s="295">
        <f>'CAR Mileage'!O366*CAR!$I$58</f>
        <v>20132.471090191397</v>
      </c>
      <c r="P345" s="295">
        <f>'CAR Mileage'!P366*CAR!$I$58</f>
        <v>20132.471090191397</v>
      </c>
      <c r="Q345" s="295">
        <f>'CAR Mileage'!Q366*CAR!$I$58</f>
        <v>20132.471090191397</v>
      </c>
      <c r="R345" s="295">
        <f>'CAR Mileage'!R366*CAR!$I$58</f>
        <v>20132.471090191397</v>
      </c>
      <c r="S345" s="295">
        <f>'CAR Mileage'!S366*CAR!$I$58</f>
        <v>20132.471090191397</v>
      </c>
      <c r="T345" s="295">
        <f>'CAR Mileage'!T366*CAR!$I$58</f>
        <v>20132.471090191397</v>
      </c>
      <c r="U345" s="295">
        <f>'CAR Mileage'!U366*CAR!$I$58</f>
        <v>20132.471090191397</v>
      </c>
      <c r="V345" s="295">
        <f>'CAR Mileage'!V366*CAR!$I$58</f>
        <v>20132.471090191397</v>
      </c>
      <c r="W345" s="295">
        <f>'CAR Mileage'!W366*CAR!$I$58</f>
        <v>20132.471090191397</v>
      </c>
      <c r="X345" s="295">
        <f>'CAR Mileage'!X366*CAR!$I$58</f>
        <v>20132.471090191397</v>
      </c>
      <c r="Y345" s="295">
        <f>'CAR Mileage'!Y366*CAR!$I$58</f>
        <v>20132.471090191397</v>
      </c>
      <c r="Z345" s="295">
        <f>'CAR Mileage'!Z366*CAR!$I$58</f>
        <v>20132.471090191397</v>
      </c>
      <c r="AA345" s="295">
        <f>'CAR Mileage'!AA366*CAR!$I$58</f>
        <v>20132.471090191397</v>
      </c>
      <c r="AB345" s="295">
        <f>'CAR Mileage'!AB366*CAR!$I$58</f>
        <v>20132.471090191397</v>
      </c>
      <c r="AC345" s="295">
        <f>'CAR Mileage'!AC366*CAR!$I$58</f>
        <v>20132.471090191397</v>
      </c>
      <c r="AD345" s="295">
        <f>'CAR Mileage'!AD366*CAR!$I$58</f>
        <v>20132.471090191397</v>
      </c>
      <c r="AE345" s="296">
        <f>'CAR Mileage'!AE366*CAR!$I$58</f>
        <v>20132.471090191397</v>
      </c>
      <c r="AG345" s="1711"/>
      <c r="AH345" s="116">
        <v>23</v>
      </c>
      <c r="AI345" s="294">
        <f>'CAR Passenger Kilometres'!C345*'CAR Stock'!C395</f>
        <v>0</v>
      </c>
      <c r="AJ345" s="295">
        <f>'CAR Passenger Kilometres'!D345*'CAR Stock'!D395</f>
        <v>0</v>
      </c>
      <c r="AK345" s="295">
        <f>'CAR Passenger Kilometres'!E345*'CAR Stock'!E395</f>
        <v>0</v>
      </c>
      <c r="AL345" s="295">
        <f>'CAR Passenger Kilometres'!F345*'CAR Stock'!F395</f>
        <v>0</v>
      </c>
      <c r="AM345" s="295">
        <f>'CAR Passenger Kilometres'!G345*'CAR Stock'!G395</f>
        <v>0</v>
      </c>
      <c r="AN345" s="295">
        <f>'CAR Passenger Kilometres'!H345*'CAR Stock'!H395</f>
        <v>0</v>
      </c>
      <c r="AO345" s="295">
        <f>'CAR Passenger Kilometres'!I345*'CAR Stock'!I395</f>
        <v>0</v>
      </c>
      <c r="AP345" s="295">
        <f>'CAR Passenger Kilometres'!J345*'CAR Stock'!J395</f>
        <v>0</v>
      </c>
      <c r="AQ345" s="295">
        <f>'CAR Passenger Kilometres'!K345*'CAR Stock'!K395</f>
        <v>0</v>
      </c>
      <c r="AR345" s="295">
        <f>'CAR Passenger Kilometres'!L345*'CAR Stock'!L395</f>
        <v>0</v>
      </c>
      <c r="AS345" s="295">
        <f>'CAR Passenger Kilometres'!M345*'CAR Stock'!M395</f>
        <v>0</v>
      </c>
      <c r="AT345" s="295">
        <f>'CAR Passenger Kilometres'!N345*'CAR Stock'!N395</f>
        <v>0</v>
      </c>
      <c r="AU345" s="295">
        <f>'CAR Passenger Kilometres'!O345*'CAR Stock'!O395</f>
        <v>0</v>
      </c>
      <c r="AV345" s="295">
        <f>'CAR Passenger Kilometres'!P345*'CAR Stock'!P395</f>
        <v>0</v>
      </c>
      <c r="AW345" s="295">
        <f>'CAR Passenger Kilometres'!Q345*'CAR Stock'!Q395</f>
        <v>0</v>
      </c>
      <c r="AX345" s="295">
        <f>'CAR Passenger Kilometres'!R345*'CAR Stock'!R395</f>
        <v>0</v>
      </c>
      <c r="AY345" s="295">
        <f>'CAR Passenger Kilometres'!S345*'CAR Stock'!S395</f>
        <v>1.4708278603709813E-4</v>
      </c>
      <c r="AZ345" s="295">
        <f>'CAR Passenger Kilometres'!T345*'CAR Stock'!T395</f>
        <v>1.9120762184822759E-3</v>
      </c>
      <c r="BA345" s="295">
        <f>'CAR Passenger Kilometres'!U345*'CAR Stock'!U395</f>
        <v>5.5303127549948899E-2</v>
      </c>
      <c r="BB345" s="295">
        <f>'CAR Passenger Kilometres'!V345*'CAR Stock'!V395</f>
        <v>0.14164072295372554</v>
      </c>
      <c r="BC345" s="295">
        <f>'CAR Passenger Kilometres'!W345*'CAR Stock'!W395</f>
        <v>8.8249671622258902E-3</v>
      </c>
      <c r="BD345" s="295">
        <f>'CAR Passenger Kilometres'!X345*'CAR Stock'!X395</f>
        <v>1.3237450743338829E-3</v>
      </c>
      <c r="BE345" s="295">
        <f>'CAR Passenger Kilometres'!Y345*'CAR Stock'!Y395</f>
        <v>2.9416557207419627E-4</v>
      </c>
      <c r="BF345" s="295">
        <f>'CAR Passenger Kilometres'!Z345*'CAR Stock'!Z395</f>
        <v>0</v>
      </c>
      <c r="BG345" s="295">
        <f>'CAR Passenger Kilometres'!AA345*'CAR Stock'!AA395</f>
        <v>0</v>
      </c>
      <c r="BH345" s="295">
        <f>'CAR Passenger Kilometres'!AB345*'CAR Stock'!AB395</f>
        <v>0</v>
      </c>
      <c r="BI345" s="295">
        <f>'CAR Passenger Kilometres'!AC345*'CAR Stock'!AC395</f>
        <v>0</v>
      </c>
      <c r="BJ345" s="295">
        <f>'CAR Passenger Kilometres'!AD345*'CAR Stock'!AD395</f>
        <v>0</v>
      </c>
      <c r="BK345" s="296">
        <f>'CAR Passenger Kilometres'!AE345*'CAR Stock'!AE395</f>
        <v>0</v>
      </c>
    </row>
    <row r="346" spans="1:63">
      <c r="A346" s="1711"/>
      <c r="B346" s="116">
        <v>24</v>
      </c>
      <c r="C346" s="294">
        <f>'CAR Mileage'!C367*CAR!$I$58</f>
        <v>20132.471090191397</v>
      </c>
      <c r="D346" s="295">
        <f>'CAR Mileage'!D367*CAR!$I$58</f>
        <v>20132.471090191397</v>
      </c>
      <c r="E346" s="295">
        <f>'CAR Mileage'!E367*CAR!$I$58</f>
        <v>20132.471090191397</v>
      </c>
      <c r="F346" s="295">
        <f>'CAR Mileage'!F367*CAR!$I$58</f>
        <v>20132.471090191397</v>
      </c>
      <c r="G346" s="295">
        <f>'CAR Mileage'!G367*CAR!$I$58</f>
        <v>20132.471090191397</v>
      </c>
      <c r="H346" s="295">
        <f>'CAR Mileage'!H367*CAR!$I$58</f>
        <v>20132.471090191397</v>
      </c>
      <c r="I346" s="295">
        <f>'CAR Mileage'!I367*CAR!$I$58</f>
        <v>20132.471090191397</v>
      </c>
      <c r="J346" s="295">
        <f>'CAR Mileage'!J367*CAR!$I$58</f>
        <v>20132.471090191397</v>
      </c>
      <c r="K346" s="295">
        <f>'CAR Mileage'!K367*CAR!$I$58</f>
        <v>20132.471090191397</v>
      </c>
      <c r="L346" s="295">
        <f>'CAR Mileage'!L367*CAR!$I$58</f>
        <v>20132.471090191397</v>
      </c>
      <c r="M346" s="295">
        <f>'CAR Mileage'!M367*CAR!$I$58</f>
        <v>20132.471090191397</v>
      </c>
      <c r="N346" s="295">
        <f>'CAR Mileage'!N367*CAR!$I$58</f>
        <v>20132.471090191397</v>
      </c>
      <c r="O346" s="295">
        <f>'CAR Mileage'!O367*CAR!$I$58</f>
        <v>20132.471090191397</v>
      </c>
      <c r="P346" s="295">
        <f>'CAR Mileage'!P367*CAR!$I$58</f>
        <v>20132.471090191397</v>
      </c>
      <c r="Q346" s="295">
        <f>'CAR Mileage'!Q367*CAR!$I$58</f>
        <v>20132.471090191397</v>
      </c>
      <c r="R346" s="295">
        <f>'CAR Mileage'!R367*CAR!$I$58</f>
        <v>20132.471090191397</v>
      </c>
      <c r="S346" s="295">
        <f>'CAR Mileage'!S367*CAR!$I$58</f>
        <v>20132.471090191397</v>
      </c>
      <c r="T346" s="295">
        <f>'CAR Mileage'!T367*CAR!$I$58</f>
        <v>20132.471090191397</v>
      </c>
      <c r="U346" s="295">
        <f>'CAR Mileage'!U367*CAR!$I$58</f>
        <v>20132.471090191397</v>
      </c>
      <c r="V346" s="295">
        <f>'CAR Mileage'!V367*CAR!$I$58</f>
        <v>20132.471090191397</v>
      </c>
      <c r="W346" s="295">
        <f>'CAR Mileage'!W367*CAR!$I$58</f>
        <v>20132.471090191397</v>
      </c>
      <c r="X346" s="295">
        <f>'CAR Mileage'!X367*CAR!$I$58</f>
        <v>20132.471090191397</v>
      </c>
      <c r="Y346" s="295">
        <f>'CAR Mileage'!Y367*CAR!$I$58</f>
        <v>20132.471090191397</v>
      </c>
      <c r="Z346" s="295">
        <f>'CAR Mileage'!Z367*CAR!$I$58</f>
        <v>20132.471090191397</v>
      </c>
      <c r="AA346" s="295">
        <f>'CAR Mileage'!AA367*CAR!$I$58</f>
        <v>20132.471090191397</v>
      </c>
      <c r="AB346" s="295">
        <f>'CAR Mileage'!AB367*CAR!$I$58</f>
        <v>20132.471090191397</v>
      </c>
      <c r="AC346" s="295">
        <f>'CAR Mileage'!AC367*CAR!$I$58</f>
        <v>20132.471090191397</v>
      </c>
      <c r="AD346" s="295">
        <f>'CAR Mileage'!AD367*CAR!$I$58</f>
        <v>20132.471090191397</v>
      </c>
      <c r="AE346" s="296">
        <f>'CAR Mileage'!AE367*CAR!$I$58</f>
        <v>20132.471090191397</v>
      </c>
      <c r="AG346" s="1711"/>
      <c r="AH346" s="116">
        <v>24</v>
      </c>
      <c r="AI346" s="294">
        <f>'CAR Passenger Kilometres'!C346*'CAR Stock'!C396</f>
        <v>0</v>
      </c>
      <c r="AJ346" s="295">
        <f>'CAR Passenger Kilometres'!D346*'CAR Stock'!D396</f>
        <v>0</v>
      </c>
      <c r="AK346" s="295">
        <f>'CAR Passenger Kilometres'!E346*'CAR Stock'!E396</f>
        <v>0</v>
      </c>
      <c r="AL346" s="295">
        <f>'CAR Passenger Kilometres'!F346*'CAR Stock'!F396</f>
        <v>0</v>
      </c>
      <c r="AM346" s="295">
        <f>'CAR Passenger Kilometres'!G346*'CAR Stock'!G396</f>
        <v>0</v>
      </c>
      <c r="AN346" s="295">
        <f>'CAR Passenger Kilometres'!H346*'CAR Stock'!H396</f>
        <v>0</v>
      </c>
      <c r="AO346" s="295">
        <f>'CAR Passenger Kilometres'!I346*'CAR Stock'!I396</f>
        <v>0</v>
      </c>
      <c r="AP346" s="295">
        <f>'CAR Passenger Kilometres'!J346*'CAR Stock'!J396</f>
        <v>0</v>
      </c>
      <c r="AQ346" s="295">
        <f>'CAR Passenger Kilometres'!K346*'CAR Stock'!K396</f>
        <v>0</v>
      </c>
      <c r="AR346" s="295">
        <f>'CAR Passenger Kilometres'!L346*'CAR Stock'!L396</f>
        <v>0</v>
      </c>
      <c r="AS346" s="295">
        <f>'CAR Passenger Kilometres'!M346*'CAR Stock'!M396</f>
        <v>0</v>
      </c>
      <c r="AT346" s="295">
        <f>'CAR Passenger Kilometres'!N346*'CAR Stock'!N396</f>
        <v>0</v>
      </c>
      <c r="AU346" s="295">
        <f>'CAR Passenger Kilometres'!O346*'CAR Stock'!O396</f>
        <v>0</v>
      </c>
      <c r="AV346" s="295">
        <f>'CAR Passenger Kilometres'!P346*'CAR Stock'!P396</f>
        <v>0</v>
      </c>
      <c r="AW346" s="295">
        <f>'CAR Passenger Kilometres'!Q346*'CAR Stock'!Q396</f>
        <v>0</v>
      </c>
      <c r="AX346" s="295">
        <f>'CAR Passenger Kilometres'!R346*'CAR Stock'!R396</f>
        <v>0</v>
      </c>
      <c r="AY346" s="295">
        <f>'CAR Passenger Kilometres'!S346*'CAR Stock'!S396</f>
        <v>0</v>
      </c>
      <c r="AZ346" s="295">
        <f>'CAR Passenger Kilometres'!T346*'CAR Stock'!T396</f>
        <v>4.4950518575461606E-6</v>
      </c>
      <c r="BA346" s="295">
        <f>'CAR Passenger Kilometres'!U346*'CAR Stock'!U396</f>
        <v>5.8435674148100081E-5</v>
      </c>
      <c r="BB346" s="295">
        <f>'CAR Passenger Kilometres'!V346*'CAR Stock'!V396</f>
        <v>1.6901394984373558E-3</v>
      </c>
      <c r="BC346" s="295">
        <f>'CAR Passenger Kilometres'!W346*'CAR Stock'!W396</f>
        <v>4.3287349388169529E-3</v>
      </c>
      <c r="BD346" s="295">
        <f>'CAR Passenger Kilometres'!X346*'CAR Stock'!X396</f>
        <v>2.6970311145276969E-4</v>
      </c>
      <c r="BE346" s="295">
        <f>'CAR Passenger Kilometres'!Y346*'CAR Stock'!Y396</f>
        <v>4.0455466717915425E-5</v>
      </c>
      <c r="BF346" s="295">
        <f>'CAR Passenger Kilometres'!Z346*'CAR Stock'!Z396</f>
        <v>8.9901037150923212E-6</v>
      </c>
      <c r="BG346" s="295">
        <f>'CAR Passenger Kilometres'!AA346*'CAR Stock'!AA396</f>
        <v>0</v>
      </c>
      <c r="BH346" s="295">
        <f>'CAR Passenger Kilometres'!AB346*'CAR Stock'!AB396</f>
        <v>0</v>
      </c>
      <c r="BI346" s="295">
        <f>'CAR Passenger Kilometres'!AC346*'CAR Stock'!AC396</f>
        <v>0</v>
      </c>
      <c r="BJ346" s="295">
        <f>'CAR Passenger Kilometres'!AD346*'CAR Stock'!AD396</f>
        <v>0</v>
      </c>
      <c r="BK346" s="296">
        <f>'CAR Passenger Kilometres'!AE346*'CAR Stock'!AE396</f>
        <v>0</v>
      </c>
    </row>
    <row r="347" spans="1:63" ht="15.75" thickBot="1">
      <c r="A347" s="1711"/>
      <c r="B347" s="116">
        <v>25</v>
      </c>
      <c r="C347" s="297">
        <f>'CAR Mileage'!C368*CAR!$I$58</f>
        <v>20132.471090191397</v>
      </c>
      <c r="D347" s="298">
        <f>'CAR Mileage'!D368*CAR!$I$58</f>
        <v>20132.471090191397</v>
      </c>
      <c r="E347" s="298">
        <f>'CAR Mileage'!E368*CAR!$I$58</f>
        <v>20132.471090191397</v>
      </c>
      <c r="F347" s="298">
        <f>'CAR Mileage'!F368*CAR!$I$58</f>
        <v>20132.471090191397</v>
      </c>
      <c r="G347" s="298">
        <f>'CAR Mileage'!G368*CAR!$I$58</f>
        <v>20132.471090191397</v>
      </c>
      <c r="H347" s="298">
        <f>'CAR Mileage'!H368*CAR!$I$58</f>
        <v>20132.471090191397</v>
      </c>
      <c r="I347" s="298">
        <f>'CAR Mileage'!I368*CAR!$I$58</f>
        <v>20132.471090191397</v>
      </c>
      <c r="J347" s="298">
        <f>'CAR Mileage'!J368*CAR!$I$58</f>
        <v>20132.471090191397</v>
      </c>
      <c r="K347" s="298">
        <f>'CAR Mileage'!K368*CAR!$I$58</f>
        <v>20132.471090191397</v>
      </c>
      <c r="L347" s="298">
        <f>'CAR Mileage'!L368*CAR!$I$58</f>
        <v>20132.471090191397</v>
      </c>
      <c r="M347" s="298">
        <f>'CAR Mileage'!M368*CAR!$I$58</f>
        <v>20132.471090191397</v>
      </c>
      <c r="N347" s="298">
        <f>'CAR Mileage'!N368*CAR!$I$58</f>
        <v>20132.471090191397</v>
      </c>
      <c r="O347" s="298">
        <f>'CAR Mileage'!O368*CAR!$I$58</f>
        <v>20132.471090191397</v>
      </c>
      <c r="P347" s="298">
        <f>'CAR Mileage'!P368*CAR!$I$58</f>
        <v>20132.471090191397</v>
      </c>
      <c r="Q347" s="298">
        <f>'CAR Mileage'!Q368*CAR!$I$58</f>
        <v>20132.471090191397</v>
      </c>
      <c r="R347" s="298">
        <f>'CAR Mileage'!R368*CAR!$I$58</f>
        <v>20132.471090191397</v>
      </c>
      <c r="S347" s="298">
        <f>'CAR Mileage'!S368*CAR!$I$58</f>
        <v>20132.471090191397</v>
      </c>
      <c r="T347" s="298">
        <f>'CAR Mileage'!T368*CAR!$I$58</f>
        <v>20132.471090191397</v>
      </c>
      <c r="U347" s="298">
        <f>'CAR Mileage'!U368*CAR!$I$58</f>
        <v>20132.471090191397</v>
      </c>
      <c r="V347" s="298">
        <f>'CAR Mileage'!V368*CAR!$I$58</f>
        <v>20132.471090191397</v>
      </c>
      <c r="W347" s="298">
        <f>'CAR Mileage'!W368*CAR!$I$58</f>
        <v>20132.471090191397</v>
      </c>
      <c r="X347" s="298">
        <f>'CAR Mileage'!X368*CAR!$I$58</f>
        <v>20132.471090191397</v>
      </c>
      <c r="Y347" s="298">
        <f>'CAR Mileage'!Y368*CAR!$I$58</f>
        <v>20132.471090191397</v>
      </c>
      <c r="Z347" s="298">
        <f>'CAR Mileage'!Z368*CAR!$I$58</f>
        <v>20132.471090191397</v>
      </c>
      <c r="AA347" s="298">
        <f>'CAR Mileage'!AA368*CAR!$I$58</f>
        <v>20132.471090191397</v>
      </c>
      <c r="AB347" s="298">
        <f>'CAR Mileage'!AB368*CAR!$I$58</f>
        <v>20132.471090191397</v>
      </c>
      <c r="AC347" s="298">
        <f>'CAR Mileage'!AC368*CAR!$I$58</f>
        <v>20132.471090191397</v>
      </c>
      <c r="AD347" s="298">
        <f>'CAR Mileage'!AD368*CAR!$I$58</f>
        <v>20132.471090191397</v>
      </c>
      <c r="AE347" s="299">
        <f>'CAR Mileage'!AE368*CAR!$I$58</f>
        <v>20132.471090191397</v>
      </c>
      <c r="AG347" s="1711"/>
      <c r="AH347" s="116">
        <v>25</v>
      </c>
      <c r="AI347" s="297">
        <f>'CAR Passenger Kilometres'!C347*'CAR Stock'!C397</f>
        <v>0</v>
      </c>
      <c r="AJ347" s="298">
        <f>'CAR Passenger Kilometres'!D347*'CAR Stock'!D397</f>
        <v>0</v>
      </c>
      <c r="AK347" s="298">
        <f>'CAR Passenger Kilometres'!E347*'CAR Stock'!E397</f>
        <v>0</v>
      </c>
      <c r="AL347" s="298">
        <f>'CAR Passenger Kilometres'!F347*'CAR Stock'!F397</f>
        <v>0</v>
      </c>
      <c r="AM347" s="298">
        <f>'CAR Passenger Kilometres'!G347*'CAR Stock'!G397</f>
        <v>0</v>
      </c>
      <c r="AN347" s="298">
        <f>'CAR Passenger Kilometres'!H347*'CAR Stock'!H397</f>
        <v>0</v>
      </c>
      <c r="AO347" s="298">
        <f>'CAR Passenger Kilometres'!I347*'CAR Stock'!I397</f>
        <v>0</v>
      </c>
      <c r="AP347" s="298">
        <f>'CAR Passenger Kilometres'!J347*'CAR Stock'!J397</f>
        <v>0</v>
      </c>
      <c r="AQ347" s="298">
        <f>'CAR Passenger Kilometres'!K347*'CAR Stock'!K397</f>
        <v>0</v>
      </c>
      <c r="AR347" s="298">
        <f>'CAR Passenger Kilometres'!L347*'CAR Stock'!L397</f>
        <v>0</v>
      </c>
      <c r="AS347" s="298">
        <f>'CAR Passenger Kilometres'!M347*'CAR Stock'!M397</f>
        <v>0</v>
      </c>
      <c r="AT347" s="298">
        <f>'CAR Passenger Kilometres'!N347*'CAR Stock'!N397</f>
        <v>0</v>
      </c>
      <c r="AU347" s="298">
        <f>'CAR Passenger Kilometres'!O347*'CAR Stock'!O397</f>
        <v>0</v>
      </c>
      <c r="AV347" s="298">
        <f>'CAR Passenger Kilometres'!P347*'CAR Stock'!P397</f>
        <v>0</v>
      </c>
      <c r="AW347" s="298">
        <f>'CAR Passenger Kilometres'!Q347*'CAR Stock'!Q397</f>
        <v>0</v>
      </c>
      <c r="AX347" s="298">
        <f>'CAR Passenger Kilometres'!R347*'CAR Stock'!R397</f>
        <v>0</v>
      </c>
      <c r="AY347" s="298">
        <f>'CAR Passenger Kilometres'!S347*'CAR Stock'!S397</f>
        <v>0</v>
      </c>
      <c r="AZ347" s="298">
        <f>'CAR Passenger Kilometres'!T347*'CAR Stock'!T397</f>
        <v>0</v>
      </c>
      <c r="BA347" s="298">
        <f>'CAR Passenger Kilometres'!U347*'CAR Stock'!U397</f>
        <v>0</v>
      </c>
      <c r="BB347" s="298">
        <f>'CAR Passenger Kilometres'!V347*'CAR Stock'!V397</f>
        <v>0</v>
      </c>
      <c r="BC347" s="298">
        <f>'CAR Passenger Kilometres'!W347*'CAR Stock'!W397</f>
        <v>0</v>
      </c>
      <c r="BD347" s="298">
        <f>'CAR Passenger Kilometres'!X347*'CAR Stock'!X397</f>
        <v>0</v>
      </c>
      <c r="BE347" s="298">
        <f>'CAR Passenger Kilometres'!Y347*'CAR Stock'!Y397</f>
        <v>0</v>
      </c>
      <c r="BF347" s="298">
        <f>'CAR Passenger Kilometres'!Z347*'CAR Stock'!Z397</f>
        <v>0</v>
      </c>
      <c r="BG347" s="298">
        <f>'CAR Passenger Kilometres'!AA347*'CAR Stock'!AA397</f>
        <v>0</v>
      </c>
      <c r="BH347" s="298">
        <f>'CAR Passenger Kilometres'!AB347*'CAR Stock'!AB397</f>
        <v>0</v>
      </c>
      <c r="BI347" s="298">
        <f>'CAR Passenger Kilometres'!AC347*'CAR Stock'!AC397</f>
        <v>0</v>
      </c>
      <c r="BJ347" s="298">
        <f>'CAR Passenger Kilometres'!AD347*'CAR Stock'!AD397</f>
        <v>0</v>
      </c>
      <c r="BK347" s="299">
        <f>'CAR Passenger Kilometres'!AE347*'CAR Stock'!AE397</f>
        <v>0</v>
      </c>
    </row>
    <row r="348" spans="1:63" ht="16.5" thickTop="1" thickBot="1">
      <c r="A348" s="1712"/>
      <c r="B348" s="300" t="s">
        <v>39</v>
      </c>
      <c r="C348" s="301">
        <f>'CAR Mileage'!C369*CAR!$I$58</f>
        <v>25540.896956363798</v>
      </c>
      <c r="D348" s="301">
        <f>'CAR Mileage'!D369*CAR!$I$58</f>
        <v>25030.079017236527</v>
      </c>
      <c r="E348" s="301">
        <f>'CAR Mileage'!E369*CAR!$I$58</f>
        <v>24529.502849197128</v>
      </c>
      <c r="F348" s="301">
        <f>'CAR Mileage'!F369*CAR!$I$58</f>
        <v>24039.227663866666</v>
      </c>
      <c r="G348" s="301">
        <f>'CAR Mileage'!G369*CAR!$I$58</f>
        <v>23562.149586321291</v>
      </c>
      <c r="H348" s="301">
        <f>'CAR Mileage'!H369*CAR!$I$58</f>
        <v>23102.478098474345</v>
      </c>
      <c r="I348" s="301">
        <f>'CAR Mileage'!I369*CAR!$I$58</f>
        <v>22657.918841835093</v>
      </c>
      <c r="J348" s="301">
        <f>'CAR Mileage'!J369*CAR!$I$58</f>
        <v>22227.509378582137</v>
      </c>
      <c r="K348" s="301">
        <f>'CAR Mileage'!K369*CAR!$I$58</f>
        <v>21809.997828383464</v>
      </c>
      <c r="L348" s="301">
        <f>'CAR Mileage'!L369*CAR!$I$58</f>
        <v>21406.014564715195</v>
      </c>
      <c r="M348" s="301">
        <f>'CAR Mileage'!M369*CAR!$I$58</f>
        <v>21018.60685926869</v>
      </c>
      <c r="N348" s="301">
        <f>'CAR Mileage'!N369*CAR!$I$58</f>
        <v>20647.054800362544</v>
      </c>
      <c r="O348" s="301">
        <f>'CAR Mileage'!O369*CAR!$I$58</f>
        <v>20307.993263658522</v>
      </c>
      <c r="P348" s="301">
        <f>'CAR Mileage'!P369*CAR!$I$58</f>
        <v>20221.763855411482</v>
      </c>
      <c r="Q348" s="301">
        <f>'CAR Mileage'!Q369*CAR!$I$58</f>
        <v>20167.645747740073</v>
      </c>
      <c r="R348" s="301">
        <f>'CAR Mileage'!R369*CAR!$I$58</f>
        <v>20132.471090191404</v>
      </c>
      <c r="S348" s="301">
        <f>'CAR Mileage'!S369*CAR!$I$58</f>
        <v>20132.471090191397</v>
      </c>
      <c r="T348" s="301">
        <f>'CAR Mileage'!T369*CAR!$I$58</f>
        <v>20132.4710901914</v>
      </c>
      <c r="U348" s="301">
        <f>'CAR Mileage'!U369*CAR!$I$58</f>
        <v>20132.471090191397</v>
      </c>
      <c r="V348" s="301">
        <f>'CAR Mileage'!V369*CAR!$I$58</f>
        <v>20132.471090191397</v>
      </c>
      <c r="W348" s="301">
        <f>'CAR Mileage'!W369*CAR!$I$58</f>
        <v>20132.471090191397</v>
      </c>
      <c r="X348" s="301">
        <f>'CAR Mileage'!X369*CAR!$I$58</f>
        <v>20132.4710901914</v>
      </c>
      <c r="Y348" s="301">
        <f>'CAR Mileage'!Y369*CAR!$I$58</f>
        <v>20132.471090191397</v>
      </c>
      <c r="Z348" s="301">
        <f>'CAR Mileage'!Z369*CAR!$I$58</f>
        <v>20132.471090191397</v>
      </c>
      <c r="AA348" s="301">
        <f>'CAR Mileage'!AA369*CAR!$I$58</f>
        <v>0</v>
      </c>
      <c r="AB348" s="301">
        <f>'CAR Mileage'!AB369*CAR!$I$58</f>
        <v>0</v>
      </c>
      <c r="AC348" s="301">
        <f>'CAR Mileage'!AC369*CAR!$I$58</f>
        <v>0</v>
      </c>
      <c r="AD348" s="301">
        <f>'CAR Mileage'!AD369*CAR!$I$58</f>
        <v>0</v>
      </c>
      <c r="AE348" s="302">
        <f>'CAR Mileage'!AE369*CAR!$I$58</f>
        <v>0</v>
      </c>
      <c r="AG348" s="1712"/>
      <c r="AH348" s="300" t="s">
        <v>39</v>
      </c>
      <c r="AI348" s="301">
        <f t="shared" ref="AI348:BK348" si="13">SUM(AI322:AI347)</f>
        <v>36370237.265862048</v>
      </c>
      <c r="AJ348" s="301">
        <f t="shared" si="13"/>
        <v>35642832.520544812</v>
      </c>
      <c r="AK348" s="301">
        <f t="shared" si="13"/>
        <v>34929349.019535169</v>
      </c>
      <c r="AL348" s="301">
        <f t="shared" si="13"/>
        <v>34220011.504793167</v>
      </c>
      <c r="AM348" s="301">
        <f t="shared" si="13"/>
        <v>33261631.952629242</v>
      </c>
      <c r="AN348" s="301">
        <f t="shared" si="13"/>
        <v>30951321.039179277</v>
      </c>
      <c r="AO348" s="301">
        <f t="shared" si="13"/>
        <v>26038534.638027888</v>
      </c>
      <c r="AP348" s="301">
        <f t="shared" si="13"/>
        <v>19031063.139958415</v>
      </c>
      <c r="AQ348" s="301">
        <f t="shared" si="13"/>
        <v>11646216.050331201</v>
      </c>
      <c r="AR348" s="301">
        <f t="shared" si="13"/>
        <v>5830205.8146922123</v>
      </c>
      <c r="AS348" s="301">
        <f t="shared" si="13"/>
        <v>2340804.5243443022</v>
      </c>
      <c r="AT348" s="301">
        <f t="shared" si="13"/>
        <v>747405.48555946129</v>
      </c>
      <c r="AU348" s="301">
        <f t="shared" si="13"/>
        <v>212770.14466875471</v>
      </c>
      <c r="AV348" s="301">
        <f t="shared" si="13"/>
        <v>54702.255565078653</v>
      </c>
      <c r="AW348" s="301">
        <f t="shared" si="13"/>
        <v>12464.509329808374</v>
      </c>
      <c r="AX348" s="301">
        <f t="shared" si="13"/>
        <v>2509.2224832948732</v>
      </c>
      <c r="AY348" s="301">
        <f t="shared" si="13"/>
        <v>441.55500606552596</v>
      </c>
      <c r="AZ348" s="301">
        <f t="shared" si="13"/>
        <v>67.033886639698551</v>
      </c>
      <c r="BA348" s="301">
        <f t="shared" si="13"/>
        <v>8.6898270668332689</v>
      </c>
      <c r="BB348" s="301">
        <f t="shared" si="13"/>
        <v>0.95332686866522542</v>
      </c>
      <c r="BC348" s="301">
        <f t="shared" si="13"/>
        <v>8.7303074153425961E-2</v>
      </c>
      <c r="BD348" s="301">
        <f t="shared" si="13"/>
        <v>6.4061503823402673E-3</v>
      </c>
      <c r="BE348" s="301">
        <f t="shared" si="13"/>
        <v>3.3462103879211167E-4</v>
      </c>
      <c r="BF348" s="301">
        <f t="shared" si="13"/>
        <v>8.9901037150923212E-6</v>
      </c>
      <c r="BG348" s="301">
        <f t="shared" si="13"/>
        <v>0</v>
      </c>
      <c r="BH348" s="301">
        <f t="shared" si="13"/>
        <v>0</v>
      </c>
      <c r="BI348" s="301">
        <f t="shared" si="13"/>
        <v>0</v>
      </c>
      <c r="BJ348" s="301">
        <f t="shared" si="13"/>
        <v>0</v>
      </c>
      <c r="BK348" s="302">
        <f t="shared" si="13"/>
        <v>0</v>
      </c>
    </row>
    <row r="349" spans="1:63" ht="15.75" thickBot="1"/>
    <row r="350" spans="1:63" ht="15.75" thickBot="1">
      <c r="A350" s="1710" t="s">
        <v>53</v>
      </c>
      <c r="B350" s="169" t="s">
        <v>10</v>
      </c>
      <c r="C350" s="288">
        <v>2012</v>
      </c>
      <c r="D350" s="289">
        <v>2013</v>
      </c>
      <c r="E350" s="289">
        <v>2014</v>
      </c>
      <c r="F350" s="289">
        <v>2015</v>
      </c>
      <c r="G350" s="288">
        <v>2016</v>
      </c>
      <c r="H350" s="289">
        <v>2017</v>
      </c>
      <c r="I350" s="289">
        <v>2018</v>
      </c>
      <c r="J350" s="289">
        <v>2019</v>
      </c>
      <c r="K350" s="288">
        <v>2020</v>
      </c>
      <c r="L350" s="289">
        <v>2021</v>
      </c>
      <c r="M350" s="289">
        <v>2022</v>
      </c>
      <c r="N350" s="289">
        <v>2023</v>
      </c>
      <c r="O350" s="288">
        <v>2024</v>
      </c>
      <c r="P350" s="289">
        <v>2025</v>
      </c>
      <c r="Q350" s="289">
        <v>2026</v>
      </c>
      <c r="R350" s="289">
        <v>2027</v>
      </c>
      <c r="S350" s="288">
        <v>2028</v>
      </c>
      <c r="T350" s="289">
        <v>2029</v>
      </c>
      <c r="U350" s="289">
        <v>2030</v>
      </c>
      <c r="V350" s="289">
        <v>2031</v>
      </c>
      <c r="W350" s="288">
        <v>2032</v>
      </c>
      <c r="X350" s="289">
        <v>2033</v>
      </c>
      <c r="Y350" s="289">
        <v>2034</v>
      </c>
      <c r="Z350" s="289">
        <v>2035</v>
      </c>
      <c r="AA350" s="288">
        <v>2036</v>
      </c>
      <c r="AB350" s="289">
        <v>2037</v>
      </c>
      <c r="AC350" s="289">
        <v>2038</v>
      </c>
      <c r="AD350" s="289">
        <v>2039</v>
      </c>
      <c r="AE350" s="290">
        <v>2040</v>
      </c>
      <c r="AG350" s="1710" t="s">
        <v>53</v>
      </c>
      <c r="AH350" s="169" t="s">
        <v>10</v>
      </c>
      <c r="AI350" s="288">
        <v>2012</v>
      </c>
      <c r="AJ350" s="289">
        <v>2013</v>
      </c>
      <c r="AK350" s="289">
        <v>2014</v>
      </c>
      <c r="AL350" s="289">
        <v>2015</v>
      </c>
      <c r="AM350" s="288">
        <v>2016</v>
      </c>
      <c r="AN350" s="289">
        <v>2017</v>
      </c>
      <c r="AO350" s="289">
        <v>2018</v>
      </c>
      <c r="AP350" s="289">
        <v>2019</v>
      </c>
      <c r="AQ350" s="288">
        <v>2020</v>
      </c>
      <c r="AR350" s="289">
        <v>2021</v>
      </c>
      <c r="AS350" s="289">
        <v>2022</v>
      </c>
      <c r="AT350" s="289">
        <v>2023</v>
      </c>
      <c r="AU350" s="288">
        <v>2024</v>
      </c>
      <c r="AV350" s="289">
        <v>2025</v>
      </c>
      <c r="AW350" s="289">
        <v>2026</v>
      </c>
      <c r="AX350" s="289">
        <v>2027</v>
      </c>
      <c r="AY350" s="288">
        <v>2028</v>
      </c>
      <c r="AZ350" s="289">
        <v>2029</v>
      </c>
      <c r="BA350" s="289">
        <v>2030</v>
      </c>
      <c r="BB350" s="289">
        <v>2031</v>
      </c>
      <c r="BC350" s="288">
        <v>2032</v>
      </c>
      <c r="BD350" s="289">
        <v>2033</v>
      </c>
      <c r="BE350" s="289">
        <v>2034</v>
      </c>
      <c r="BF350" s="289">
        <v>2035</v>
      </c>
      <c r="BG350" s="288">
        <v>2036</v>
      </c>
      <c r="BH350" s="289">
        <v>2037</v>
      </c>
      <c r="BI350" s="289">
        <v>2038</v>
      </c>
      <c r="BJ350" s="289">
        <v>2039</v>
      </c>
      <c r="BK350" s="290">
        <v>2040</v>
      </c>
    </row>
    <row r="351" spans="1:63">
      <c r="A351" s="1711"/>
      <c r="B351" s="116">
        <v>0</v>
      </c>
      <c r="C351" s="291">
        <f>'CAR Mileage'!C372*CAR!$I$58</f>
        <v>21453.54353368398</v>
      </c>
      <c r="D351" s="292">
        <f>'CAR Mileage'!D372*CAR!$I$58</f>
        <v>21453.54353368398</v>
      </c>
      <c r="E351" s="292">
        <f>'CAR Mileage'!E372*CAR!$I$58</f>
        <v>21453.54353368398</v>
      </c>
      <c r="F351" s="292">
        <f>'CAR Mileage'!F372*CAR!$I$58</f>
        <v>21453.54353368398</v>
      </c>
      <c r="G351" s="292">
        <f>'CAR Mileage'!G372*CAR!$I$58</f>
        <v>21453.54353368398</v>
      </c>
      <c r="H351" s="292">
        <f>'CAR Mileage'!H372*CAR!$I$58</f>
        <v>21453.54353368398</v>
      </c>
      <c r="I351" s="292">
        <f>'CAR Mileage'!I372*CAR!$I$58</f>
        <v>21453.54353368398</v>
      </c>
      <c r="J351" s="292">
        <f>'CAR Mileage'!J372*CAR!$I$58</f>
        <v>21453.54353368398</v>
      </c>
      <c r="K351" s="292">
        <f>'CAR Mileage'!K372*CAR!$I$58</f>
        <v>21453.54353368398</v>
      </c>
      <c r="L351" s="292">
        <f>'CAR Mileage'!L372*CAR!$I$58</f>
        <v>21453.54353368398</v>
      </c>
      <c r="M351" s="292">
        <f>'CAR Mileage'!M372*CAR!$I$58</f>
        <v>21453.54353368398</v>
      </c>
      <c r="N351" s="292">
        <f>'CAR Mileage'!N372*CAR!$I$58</f>
        <v>21453.54353368398</v>
      </c>
      <c r="O351" s="292">
        <f>'CAR Mileage'!O372*CAR!$I$58</f>
        <v>21453.54353368398</v>
      </c>
      <c r="P351" s="292">
        <f>'CAR Mileage'!P372*CAR!$I$58</f>
        <v>21453.54353368398</v>
      </c>
      <c r="Q351" s="292">
        <f>'CAR Mileage'!Q372*CAR!$I$58</f>
        <v>21453.54353368398</v>
      </c>
      <c r="R351" s="292">
        <f>'CAR Mileage'!R372*CAR!$I$58</f>
        <v>21453.54353368398</v>
      </c>
      <c r="S351" s="292">
        <f>'CAR Mileage'!S372*CAR!$I$58</f>
        <v>21453.54353368398</v>
      </c>
      <c r="T351" s="292">
        <f>'CAR Mileage'!T372*CAR!$I$58</f>
        <v>21453.54353368398</v>
      </c>
      <c r="U351" s="292">
        <f>'CAR Mileage'!U372*CAR!$I$58</f>
        <v>21453.54353368398</v>
      </c>
      <c r="V351" s="292">
        <f>'CAR Mileage'!V372*CAR!$I$58</f>
        <v>21453.54353368398</v>
      </c>
      <c r="W351" s="292">
        <f>'CAR Mileage'!W372*CAR!$I$58</f>
        <v>21453.54353368398</v>
      </c>
      <c r="X351" s="292">
        <f>'CAR Mileage'!X372*CAR!$I$58</f>
        <v>21453.54353368398</v>
      </c>
      <c r="Y351" s="292">
        <f>'CAR Mileage'!Y372*CAR!$I$58</f>
        <v>21453.54353368398</v>
      </c>
      <c r="Z351" s="292">
        <f>'CAR Mileage'!Z372*CAR!$I$58</f>
        <v>21453.54353368398</v>
      </c>
      <c r="AA351" s="292">
        <f>'CAR Mileage'!AA372*CAR!$I$58</f>
        <v>21453.54353368398</v>
      </c>
      <c r="AB351" s="292">
        <f>'CAR Mileage'!AB372*CAR!$I$58</f>
        <v>21453.54353368398</v>
      </c>
      <c r="AC351" s="292">
        <f>'CAR Mileage'!AC372*CAR!$I$58</f>
        <v>21453.54353368398</v>
      </c>
      <c r="AD351" s="292">
        <f>'CAR Mileage'!AD372*CAR!$I$58</f>
        <v>21453.54353368398</v>
      </c>
      <c r="AE351" s="293">
        <f>'CAR Mileage'!AE372*CAR!$I$58</f>
        <v>21453.54353368398</v>
      </c>
      <c r="AG351" s="1711"/>
      <c r="AH351" s="116">
        <v>0</v>
      </c>
      <c r="AI351" s="291">
        <f>'CAR Passenger Kilometres'!C351*'CAR Stock'!C401</f>
        <v>0</v>
      </c>
      <c r="AJ351" s="292">
        <f>'CAR Passenger Kilometres'!D351*'CAR Stock'!D401</f>
        <v>0</v>
      </c>
      <c r="AK351" s="292">
        <f>'CAR Passenger Kilometres'!E351*'CAR Stock'!E401</f>
        <v>0</v>
      </c>
      <c r="AL351" s="292">
        <f>'CAR Passenger Kilometres'!F351*'CAR Stock'!F401</f>
        <v>0</v>
      </c>
      <c r="AM351" s="292">
        <f>'CAR Passenger Kilometres'!G351*'CAR Stock'!G401</f>
        <v>0</v>
      </c>
      <c r="AN351" s="292">
        <f>'CAR Passenger Kilometres'!H351*'CAR Stock'!H401</f>
        <v>0</v>
      </c>
      <c r="AO351" s="292">
        <f>'CAR Passenger Kilometres'!I351*'CAR Stock'!I401</f>
        <v>0</v>
      </c>
      <c r="AP351" s="292">
        <f>'CAR Passenger Kilometres'!J351*'CAR Stock'!J401</f>
        <v>0</v>
      </c>
      <c r="AQ351" s="292">
        <f>'CAR Passenger Kilometres'!K351*'CAR Stock'!K401</f>
        <v>0</v>
      </c>
      <c r="AR351" s="292">
        <f>'CAR Passenger Kilometres'!L351*'CAR Stock'!L401</f>
        <v>0</v>
      </c>
      <c r="AS351" s="292">
        <f>'CAR Passenger Kilometres'!M351*'CAR Stock'!M401</f>
        <v>0</v>
      </c>
      <c r="AT351" s="292">
        <f>'CAR Passenger Kilometres'!N351*'CAR Stock'!N401</f>
        <v>0</v>
      </c>
      <c r="AU351" s="292">
        <f>'CAR Passenger Kilometres'!O351*'CAR Stock'!O401</f>
        <v>0</v>
      </c>
      <c r="AV351" s="292">
        <f>'CAR Passenger Kilometres'!P351*'CAR Stock'!P401</f>
        <v>0</v>
      </c>
      <c r="AW351" s="292">
        <f>'CAR Passenger Kilometres'!Q351*'CAR Stock'!Q401</f>
        <v>0</v>
      </c>
      <c r="AX351" s="292">
        <f>'CAR Passenger Kilometres'!R351*'CAR Stock'!R401</f>
        <v>0</v>
      </c>
      <c r="AY351" s="292">
        <f>'CAR Passenger Kilometres'!S351*'CAR Stock'!S401</f>
        <v>0</v>
      </c>
      <c r="AZ351" s="292">
        <f>'CAR Passenger Kilometres'!T351*'CAR Stock'!T401</f>
        <v>0</v>
      </c>
      <c r="BA351" s="292">
        <f>'CAR Passenger Kilometres'!U351*'CAR Stock'!U401</f>
        <v>0</v>
      </c>
      <c r="BB351" s="292">
        <f>'CAR Passenger Kilometres'!V351*'CAR Stock'!V401</f>
        <v>0</v>
      </c>
      <c r="BC351" s="292">
        <f>'CAR Passenger Kilometres'!W351*'CAR Stock'!W401</f>
        <v>0</v>
      </c>
      <c r="BD351" s="292">
        <f>'CAR Passenger Kilometres'!X351*'CAR Stock'!X401</f>
        <v>0</v>
      </c>
      <c r="BE351" s="292">
        <f>'CAR Passenger Kilometres'!Y351*'CAR Stock'!Y401</f>
        <v>0</v>
      </c>
      <c r="BF351" s="292">
        <f>'CAR Passenger Kilometres'!Z351*'CAR Stock'!Z401</f>
        <v>0</v>
      </c>
      <c r="BG351" s="292">
        <f>'CAR Passenger Kilometres'!AA351*'CAR Stock'!AA401</f>
        <v>0</v>
      </c>
      <c r="BH351" s="292">
        <f>'CAR Passenger Kilometres'!AB351*'CAR Stock'!AB401</f>
        <v>0</v>
      </c>
      <c r="BI351" s="292">
        <f>'CAR Passenger Kilometres'!AC351*'CAR Stock'!AC401</f>
        <v>0</v>
      </c>
      <c r="BJ351" s="292">
        <f>'CAR Passenger Kilometres'!AD351*'CAR Stock'!AD401</f>
        <v>0</v>
      </c>
      <c r="BK351" s="293">
        <f>'CAR Passenger Kilometres'!AE351*'CAR Stock'!AE401</f>
        <v>0</v>
      </c>
    </row>
    <row r="352" spans="1:63">
      <c r="A352" s="1711"/>
      <c r="B352" s="116">
        <v>1</v>
      </c>
      <c r="C352" s="294">
        <f>'CAR Mileage'!C373*CAR!$I$58</f>
        <v>21024.4726630103</v>
      </c>
      <c r="D352" s="295">
        <f>'CAR Mileage'!D373*CAR!$I$58</f>
        <v>21024.4726630103</v>
      </c>
      <c r="E352" s="295">
        <f>'CAR Mileage'!E373*CAR!$I$58</f>
        <v>21024.4726630103</v>
      </c>
      <c r="F352" s="295">
        <f>'CAR Mileage'!F373*CAR!$I$58</f>
        <v>21024.4726630103</v>
      </c>
      <c r="G352" s="295">
        <f>'CAR Mileage'!G373*CAR!$I$58</f>
        <v>21024.4726630103</v>
      </c>
      <c r="H352" s="295">
        <f>'CAR Mileage'!H373*CAR!$I$58</f>
        <v>21024.4726630103</v>
      </c>
      <c r="I352" s="295">
        <f>'CAR Mileage'!I373*CAR!$I$58</f>
        <v>21024.4726630103</v>
      </c>
      <c r="J352" s="295">
        <f>'CAR Mileage'!J373*CAR!$I$58</f>
        <v>21024.4726630103</v>
      </c>
      <c r="K352" s="295">
        <f>'CAR Mileage'!K373*CAR!$I$58</f>
        <v>21024.4726630103</v>
      </c>
      <c r="L352" s="295">
        <f>'CAR Mileage'!L373*CAR!$I$58</f>
        <v>21024.4726630103</v>
      </c>
      <c r="M352" s="295">
        <f>'CAR Mileage'!M373*CAR!$I$58</f>
        <v>21024.4726630103</v>
      </c>
      <c r="N352" s="295">
        <f>'CAR Mileage'!N373*CAR!$I$58</f>
        <v>21024.4726630103</v>
      </c>
      <c r="O352" s="295">
        <f>'CAR Mileage'!O373*CAR!$I$58</f>
        <v>21024.4726630103</v>
      </c>
      <c r="P352" s="295">
        <f>'CAR Mileage'!P373*CAR!$I$58</f>
        <v>21024.4726630103</v>
      </c>
      <c r="Q352" s="295">
        <f>'CAR Mileage'!Q373*CAR!$I$58</f>
        <v>21024.4726630103</v>
      </c>
      <c r="R352" s="295">
        <f>'CAR Mileage'!R373*CAR!$I$58</f>
        <v>21024.4726630103</v>
      </c>
      <c r="S352" s="295">
        <f>'CAR Mileage'!S373*CAR!$I$58</f>
        <v>21024.4726630103</v>
      </c>
      <c r="T352" s="295">
        <f>'CAR Mileage'!T373*CAR!$I$58</f>
        <v>21024.4726630103</v>
      </c>
      <c r="U352" s="295">
        <f>'CAR Mileage'!U373*CAR!$I$58</f>
        <v>21024.4726630103</v>
      </c>
      <c r="V352" s="295">
        <f>'CAR Mileage'!V373*CAR!$I$58</f>
        <v>21024.4726630103</v>
      </c>
      <c r="W352" s="295">
        <f>'CAR Mileage'!W373*CAR!$I$58</f>
        <v>21024.4726630103</v>
      </c>
      <c r="X352" s="295">
        <f>'CAR Mileage'!X373*CAR!$I$58</f>
        <v>21024.4726630103</v>
      </c>
      <c r="Y352" s="295">
        <f>'CAR Mileage'!Y373*CAR!$I$58</f>
        <v>21024.4726630103</v>
      </c>
      <c r="Z352" s="295">
        <f>'CAR Mileage'!Z373*CAR!$I$58</f>
        <v>21024.4726630103</v>
      </c>
      <c r="AA352" s="295">
        <f>'CAR Mileage'!AA373*CAR!$I$58</f>
        <v>21024.4726630103</v>
      </c>
      <c r="AB352" s="295">
        <f>'CAR Mileage'!AB373*CAR!$I$58</f>
        <v>21024.4726630103</v>
      </c>
      <c r="AC352" s="295">
        <f>'CAR Mileage'!AC373*CAR!$I$58</f>
        <v>21024.4726630103</v>
      </c>
      <c r="AD352" s="295">
        <f>'CAR Mileage'!AD373*CAR!$I$58</f>
        <v>21024.4726630103</v>
      </c>
      <c r="AE352" s="296">
        <f>'CAR Mileage'!AE373*CAR!$I$58</f>
        <v>21024.4726630103</v>
      </c>
      <c r="AG352" s="1711"/>
      <c r="AH352" s="116">
        <v>1</v>
      </c>
      <c r="AI352" s="294">
        <f>'CAR Passenger Kilometres'!C352*'CAR Stock'!C402</f>
        <v>0</v>
      </c>
      <c r="AJ352" s="295">
        <f>'CAR Passenger Kilometres'!D352*'CAR Stock'!D402</f>
        <v>0</v>
      </c>
      <c r="AK352" s="295">
        <f>'CAR Passenger Kilometres'!E352*'CAR Stock'!E402</f>
        <v>0</v>
      </c>
      <c r="AL352" s="295">
        <f>'CAR Passenger Kilometres'!F352*'CAR Stock'!F402</f>
        <v>0</v>
      </c>
      <c r="AM352" s="295">
        <f>'CAR Passenger Kilometres'!G352*'CAR Stock'!G402</f>
        <v>0</v>
      </c>
      <c r="AN352" s="295">
        <f>'CAR Passenger Kilometres'!H352*'CAR Stock'!H402</f>
        <v>0</v>
      </c>
      <c r="AO352" s="295">
        <f>'CAR Passenger Kilometres'!I352*'CAR Stock'!I402</f>
        <v>0</v>
      </c>
      <c r="AP352" s="295">
        <f>'CAR Passenger Kilometres'!J352*'CAR Stock'!J402</f>
        <v>0</v>
      </c>
      <c r="AQ352" s="295">
        <f>'CAR Passenger Kilometres'!K352*'CAR Stock'!K402</f>
        <v>0</v>
      </c>
      <c r="AR352" s="295">
        <f>'CAR Passenger Kilometres'!L352*'CAR Stock'!L402</f>
        <v>0</v>
      </c>
      <c r="AS352" s="295">
        <f>'CAR Passenger Kilometres'!M352*'CAR Stock'!M402</f>
        <v>0</v>
      </c>
      <c r="AT352" s="295">
        <f>'CAR Passenger Kilometres'!N352*'CAR Stock'!N402</f>
        <v>0</v>
      </c>
      <c r="AU352" s="295">
        <f>'CAR Passenger Kilometres'!O352*'CAR Stock'!O402</f>
        <v>0</v>
      </c>
      <c r="AV352" s="295">
        <f>'CAR Passenger Kilometres'!P352*'CAR Stock'!P402</f>
        <v>0</v>
      </c>
      <c r="AW352" s="295">
        <f>'CAR Passenger Kilometres'!Q352*'CAR Stock'!Q402</f>
        <v>0</v>
      </c>
      <c r="AX352" s="295">
        <f>'CAR Passenger Kilometres'!R352*'CAR Stock'!R402</f>
        <v>0</v>
      </c>
      <c r="AY352" s="295">
        <f>'CAR Passenger Kilometres'!S352*'CAR Stock'!S402</f>
        <v>0</v>
      </c>
      <c r="AZ352" s="295">
        <f>'CAR Passenger Kilometres'!T352*'CAR Stock'!T402</f>
        <v>0</v>
      </c>
      <c r="BA352" s="295">
        <f>'CAR Passenger Kilometres'!U352*'CAR Stock'!U402</f>
        <v>0</v>
      </c>
      <c r="BB352" s="295">
        <f>'CAR Passenger Kilometres'!V352*'CAR Stock'!V402</f>
        <v>0</v>
      </c>
      <c r="BC352" s="295">
        <f>'CAR Passenger Kilometres'!W352*'CAR Stock'!W402</f>
        <v>0</v>
      </c>
      <c r="BD352" s="295">
        <f>'CAR Passenger Kilometres'!X352*'CAR Stock'!X402</f>
        <v>0</v>
      </c>
      <c r="BE352" s="295">
        <f>'CAR Passenger Kilometres'!Y352*'CAR Stock'!Y402</f>
        <v>0</v>
      </c>
      <c r="BF352" s="295">
        <f>'CAR Passenger Kilometres'!Z352*'CAR Stock'!Z402</f>
        <v>0</v>
      </c>
      <c r="BG352" s="295">
        <f>'CAR Passenger Kilometres'!AA352*'CAR Stock'!AA402</f>
        <v>0</v>
      </c>
      <c r="BH352" s="295">
        <f>'CAR Passenger Kilometres'!AB352*'CAR Stock'!AB402</f>
        <v>0</v>
      </c>
      <c r="BI352" s="295">
        <f>'CAR Passenger Kilometres'!AC352*'CAR Stock'!AC402</f>
        <v>0</v>
      </c>
      <c r="BJ352" s="295">
        <f>'CAR Passenger Kilometres'!AD352*'CAR Stock'!AD402</f>
        <v>0</v>
      </c>
      <c r="BK352" s="296">
        <f>'CAR Passenger Kilometres'!AE352*'CAR Stock'!AE402</f>
        <v>0</v>
      </c>
    </row>
    <row r="353" spans="1:63">
      <c r="A353" s="1711"/>
      <c r="B353" s="116">
        <v>2</v>
      </c>
      <c r="C353" s="294">
        <f>'CAR Mileage'!C374*CAR!$I$58</f>
        <v>20603.983209750095</v>
      </c>
      <c r="D353" s="295">
        <f>'CAR Mileage'!D374*CAR!$I$58</f>
        <v>20603.983209750095</v>
      </c>
      <c r="E353" s="295">
        <f>'CAR Mileage'!E374*CAR!$I$58</f>
        <v>20603.983209750095</v>
      </c>
      <c r="F353" s="295">
        <f>'CAR Mileage'!F374*CAR!$I$58</f>
        <v>20603.983209750095</v>
      </c>
      <c r="G353" s="295">
        <f>'CAR Mileage'!G374*CAR!$I$58</f>
        <v>20603.983209750095</v>
      </c>
      <c r="H353" s="295">
        <f>'CAR Mileage'!H374*CAR!$I$58</f>
        <v>20603.983209750095</v>
      </c>
      <c r="I353" s="295">
        <f>'CAR Mileage'!I374*CAR!$I$58</f>
        <v>20603.983209750095</v>
      </c>
      <c r="J353" s="295">
        <f>'CAR Mileage'!J374*CAR!$I$58</f>
        <v>20603.983209750095</v>
      </c>
      <c r="K353" s="295">
        <f>'CAR Mileage'!K374*CAR!$I$58</f>
        <v>20603.983209750095</v>
      </c>
      <c r="L353" s="295">
        <f>'CAR Mileage'!L374*CAR!$I$58</f>
        <v>20603.983209750095</v>
      </c>
      <c r="M353" s="295">
        <f>'CAR Mileage'!M374*CAR!$I$58</f>
        <v>20603.983209750095</v>
      </c>
      <c r="N353" s="295">
        <f>'CAR Mileage'!N374*CAR!$I$58</f>
        <v>20603.983209750095</v>
      </c>
      <c r="O353" s="295">
        <f>'CAR Mileage'!O374*CAR!$I$58</f>
        <v>20603.983209750095</v>
      </c>
      <c r="P353" s="295">
        <f>'CAR Mileage'!P374*CAR!$I$58</f>
        <v>20603.983209750095</v>
      </c>
      <c r="Q353" s="295">
        <f>'CAR Mileage'!Q374*CAR!$I$58</f>
        <v>20603.983209750095</v>
      </c>
      <c r="R353" s="295">
        <f>'CAR Mileage'!R374*CAR!$I$58</f>
        <v>20603.983209750095</v>
      </c>
      <c r="S353" s="295">
        <f>'CAR Mileage'!S374*CAR!$I$58</f>
        <v>20603.983209750095</v>
      </c>
      <c r="T353" s="295">
        <f>'CAR Mileage'!T374*CAR!$I$58</f>
        <v>20603.983209750095</v>
      </c>
      <c r="U353" s="295">
        <f>'CAR Mileage'!U374*CAR!$I$58</f>
        <v>20603.983209750095</v>
      </c>
      <c r="V353" s="295">
        <f>'CAR Mileage'!V374*CAR!$I$58</f>
        <v>20603.983209750095</v>
      </c>
      <c r="W353" s="295">
        <f>'CAR Mileage'!W374*CAR!$I$58</f>
        <v>20603.983209750095</v>
      </c>
      <c r="X353" s="295">
        <f>'CAR Mileage'!X374*CAR!$I$58</f>
        <v>20603.983209750095</v>
      </c>
      <c r="Y353" s="295">
        <f>'CAR Mileage'!Y374*CAR!$I$58</f>
        <v>20603.983209750095</v>
      </c>
      <c r="Z353" s="295">
        <f>'CAR Mileage'!Z374*CAR!$I$58</f>
        <v>20603.983209750095</v>
      </c>
      <c r="AA353" s="295">
        <f>'CAR Mileage'!AA374*CAR!$I$58</f>
        <v>20603.983209750095</v>
      </c>
      <c r="AB353" s="295">
        <f>'CAR Mileage'!AB374*CAR!$I$58</f>
        <v>20603.983209750095</v>
      </c>
      <c r="AC353" s="295">
        <f>'CAR Mileage'!AC374*CAR!$I$58</f>
        <v>20603.983209750095</v>
      </c>
      <c r="AD353" s="295">
        <f>'CAR Mileage'!AD374*CAR!$I$58</f>
        <v>20603.983209750095</v>
      </c>
      <c r="AE353" s="296">
        <f>'CAR Mileage'!AE374*CAR!$I$58</f>
        <v>20603.983209750095</v>
      </c>
      <c r="AG353" s="1711"/>
      <c r="AH353" s="116">
        <v>2</v>
      </c>
      <c r="AI353" s="294">
        <f>'CAR Passenger Kilometres'!C353*'CAR Stock'!C403</f>
        <v>0</v>
      </c>
      <c r="AJ353" s="295">
        <f>'CAR Passenger Kilometres'!D353*'CAR Stock'!D403</f>
        <v>0</v>
      </c>
      <c r="AK353" s="295">
        <f>'CAR Passenger Kilometres'!E353*'CAR Stock'!E403</f>
        <v>0</v>
      </c>
      <c r="AL353" s="295">
        <f>'CAR Passenger Kilometres'!F353*'CAR Stock'!F403</f>
        <v>0</v>
      </c>
      <c r="AM353" s="295">
        <f>'CAR Passenger Kilometres'!G353*'CAR Stock'!G403</f>
        <v>0</v>
      </c>
      <c r="AN353" s="295">
        <f>'CAR Passenger Kilometres'!H353*'CAR Stock'!H403</f>
        <v>0</v>
      </c>
      <c r="AO353" s="295">
        <f>'CAR Passenger Kilometres'!I353*'CAR Stock'!I403</f>
        <v>0</v>
      </c>
      <c r="AP353" s="295">
        <f>'CAR Passenger Kilometres'!J353*'CAR Stock'!J403</f>
        <v>0</v>
      </c>
      <c r="AQ353" s="295">
        <f>'CAR Passenger Kilometres'!K353*'CAR Stock'!K403</f>
        <v>0</v>
      </c>
      <c r="AR353" s="295">
        <f>'CAR Passenger Kilometres'!L353*'CAR Stock'!L403</f>
        <v>0</v>
      </c>
      <c r="AS353" s="295">
        <f>'CAR Passenger Kilometres'!M353*'CAR Stock'!M403</f>
        <v>0</v>
      </c>
      <c r="AT353" s="295">
        <f>'CAR Passenger Kilometres'!N353*'CAR Stock'!N403</f>
        <v>0</v>
      </c>
      <c r="AU353" s="295">
        <f>'CAR Passenger Kilometres'!O353*'CAR Stock'!O403</f>
        <v>0</v>
      </c>
      <c r="AV353" s="295">
        <f>'CAR Passenger Kilometres'!P353*'CAR Stock'!P403</f>
        <v>0</v>
      </c>
      <c r="AW353" s="295">
        <f>'CAR Passenger Kilometres'!Q353*'CAR Stock'!Q403</f>
        <v>0</v>
      </c>
      <c r="AX353" s="295">
        <f>'CAR Passenger Kilometres'!R353*'CAR Stock'!R403</f>
        <v>0</v>
      </c>
      <c r="AY353" s="295">
        <f>'CAR Passenger Kilometres'!S353*'CAR Stock'!S403</f>
        <v>0</v>
      </c>
      <c r="AZ353" s="295">
        <f>'CAR Passenger Kilometres'!T353*'CAR Stock'!T403</f>
        <v>0</v>
      </c>
      <c r="BA353" s="295">
        <f>'CAR Passenger Kilometres'!U353*'CAR Stock'!U403</f>
        <v>0</v>
      </c>
      <c r="BB353" s="295">
        <f>'CAR Passenger Kilometres'!V353*'CAR Stock'!V403</f>
        <v>0</v>
      </c>
      <c r="BC353" s="295">
        <f>'CAR Passenger Kilometres'!W353*'CAR Stock'!W403</f>
        <v>0</v>
      </c>
      <c r="BD353" s="295">
        <f>'CAR Passenger Kilometres'!X353*'CAR Stock'!X403</f>
        <v>0</v>
      </c>
      <c r="BE353" s="295">
        <f>'CAR Passenger Kilometres'!Y353*'CAR Stock'!Y403</f>
        <v>0</v>
      </c>
      <c r="BF353" s="295">
        <f>'CAR Passenger Kilometres'!Z353*'CAR Stock'!Z403</f>
        <v>0</v>
      </c>
      <c r="BG353" s="295">
        <f>'CAR Passenger Kilometres'!AA353*'CAR Stock'!AA403</f>
        <v>0</v>
      </c>
      <c r="BH353" s="295">
        <f>'CAR Passenger Kilometres'!AB353*'CAR Stock'!AB403</f>
        <v>0</v>
      </c>
      <c r="BI353" s="295">
        <f>'CAR Passenger Kilometres'!AC353*'CAR Stock'!AC403</f>
        <v>0</v>
      </c>
      <c r="BJ353" s="295">
        <f>'CAR Passenger Kilometres'!AD353*'CAR Stock'!AD403</f>
        <v>0</v>
      </c>
      <c r="BK353" s="296">
        <f>'CAR Passenger Kilometres'!AE353*'CAR Stock'!AE403</f>
        <v>0</v>
      </c>
    </row>
    <row r="354" spans="1:63">
      <c r="A354" s="1711"/>
      <c r="B354" s="116">
        <v>3</v>
      </c>
      <c r="C354" s="294">
        <f>'CAR Mileage'!C375*CAR!$I$58</f>
        <v>20191.903545555091</v>
      </c>
      <c r="D354" s="295">
        <f>'CAR Mileage'!D375*CAR!$I$58</f>
        <v>20191.903545555091</v>
      </c>
      <c r="E354" s="295">
        <f>'CAR Mileage'!E375*CAR!$I$58</f>
        <v>20191.903545555091</v>
      </c>
      <c r="F354" s="295">
        <f>'CAR Mileage'!F375*CAR!$I$58</f>
        <v>20191.903545555091</v>
      </c>
      <c r="G354" s="295">
        <f>'CAR Mileage'!G375*CAR!$I$58</f>
        <v>20191.903545555091</v>
      </c>
      <c r="H354" s="295">
        <f>'CAR Mileage'!H375*CAR!$I$58</f>
        <v>20191.903545555091</v>
      </c>
      <c r="I354" s="295">
        <f>'CAR Mileage'!I375*CAR!$I$58</f>
        <v>20191.903545555091</v>
      </c>
      <c r="J354" s="295">
        <f>'CAR Mileage'!J375*CAR!$I$58</f>
        <v>20191.903545555091</v>
      </c>
      <c r="K354" s="295">
        <f>'CAR Mileage'!K375*CAR!$I$58</f>
        <v>20191.903545555091</v>
      </c>
      <c r="L354" s="295">
        <f>'CAR Mileage'!L375*CAR!$I$58</f>
        <v>20191.903545555091</v>
      </c>
      <c r="M354" s="295">
        <f>'CAR Mileage'!M375*CAR!$I$58</f>
        <v>20191.903545555091</v>
      </c>
      <c r="N354" s="295">
        <f>'CAR Mileage'!N375*CAR!$I$58</f>
        <v>20191.903545555091</v>
      </c>
      <c r="O354" s="295">
        <f>'CAR Mileage'!O375*CAR!$I$58</f>
        <v>20191.903545555091</v>
      </c>
      <c r="P354" s="295">
        <f>'CAR Mileage'!P375*CAR!$I$58</f>
        <v>20191.903545555091</v>
      </c>
      <c r="Q354" s="295">
        <f>'CAR Mileage'!Q375*CAR!$I$58</f>
        <v>20191.903545555091</v>
      </c>
      <c r="R354" s="295">
        <f>'CAR Mileage'!R375*CAR!$I$58</f>
        <v>20191.903545555091</v>
      </c>
      <c r="S354" s="295">
        <f>'CAR Mileage'!S375*CAR!$I$58</f>
        <v>20191.903545555091</v>
      </c>
      <c r="T354" s="295">
        <f>'CAR Mileage'!T375*CAR!$I$58</f>
        <v>20191.903545555091</v>
      </c>
      <c r="U354" s="295">
        <f>'CAR Mileage'!U375*CAR!$I$58</f>
        <v>20191.903545555091</v>
      </c>
      <c r="V354" s="295">
        <f>'CAR Mileage'!V375*CAR!$I$58</f>
        <v>20191.903545555091</v>
      </c>
      <c r="W354" s="295">
        <f>'CAR Mileage'!W375*CAR!$I$58</f>
        <v>20191.903545555091</v>
      </c>
      <c r="X354" s="295">
        <f>'CAR Mileage'!X375*CAR!$I$58</f>
        <v>20191.903545555091</v>
      </c>
      <c r="Y354" s="295">
        <f>'CAR Mileage'!Y375*CAR!$I$58</f>
        <v>20191.903545555091</v>
      </c>
      <c r="Z354" s="295">
        <f>'CAR Mileage'!Z375*CAR!$I$58</f>
        <v>20191.903545555091</v>
      </c>
      <c r="AA354" s="295">
        <f>'CAR Mileage'!AA375*CAR!$I$58</f>
        <v>20191.903545555091</v>
      </c>
      <c r="AB354" s="295">
        <f>'CAR Mileage'!AB375*CAR!$I$58</f>
        <v>20191.903545555091</v>
      </c>
      <c r="AC354" s="295">
        <f>'CAR Mileage'!AC375*CAR!$I$58</f>
        <v>20191.903545555091</v>
      </c>
      <c r="AD354" s="295">
        <f>'CAR Mileage'!AD375*CAR!$I$58</f>
        <v>20191.903545555091</v>
      </c>
      <c r="AE354" s="296">
        <f>'CAR Mileage'!AE375*CAR!$I$58</f>
        <v>20191.903545555091</v>
      </c>
      <c r="AG354" s="1711"/>
      <c r="AH354" s="116">
        <v>3</v>
      </c>
      <c r="AI354" s="294">
        <f>'CAR Passenger Kilometres'!C354*'CAR Stock'!C404</f>
        <v>0</v>
      </c>
      <c r="AJ354" s="295">
        <f>'CAR Passenger Kilometres'!D354*'CAR Stock'!D404</f>
        <v>0</v>
      </c>
      <c r="AK354" s="295">
        <f>'CAR Passenger Kilometres'!E354*'CAR Stock'!E404</f>
        <v>0</v>
      </c>
      <c r="AL354" s="295">
        <f>'CAR Passenger Kilometres'!F354*'CAR Stock'!F404</f>
        <v>0</v>
      </c>
      <c r="AM354" s="295">
        <f>'CAR Passenger Kilometres'!G354*'CAR Stock'!G404</f>
        <v>0</v>
      </c>
      <c r="AN354" s="295">
        <f>'CAR Passenger Kilometres'!H354*'CAR Stock'!H404</f>
        <v>0</v>
      </c>
      <c r="AO354" s="295">
        <f>'CAR Passenger Kilometres'!I354*'CAR Stock'!I404</f>
        <v>0</v>
      </c>
      <c r="AP354" s="295">
        <f>'CAR Passenger Kilometres'!J354*'CAR Stock'!J404</f>
        <v>0</v>
      </c>
      <c r="AQ354" s="295">
        <f>'CAR Passenger Kilometres'!K354*'CAR Stock'!K404</f>
        <v>0</v>
      </c>
      <c r="AR354" s="295">
        <f>'CAR Passenger Kilometres'!L354*'CAR Stock'!L404</f>
        <v>0</v>
      </c>
      <c r="AS354" s="295">
        <f>'CAR Passenger Kilometres'!M354*'CAR Stock'!M404</f>
        <v>0</v>
      </c>
      <c r="AT354" s="295">
        <f>'CAR Passenger Kilometres'!N354*'CAR Stock'!N404</f>
        <v>0</v>
      </c>
      <c r="AU354" s="295">
        <f>'CAR Passenger Kilometres'!O354*'CAR Stock'!O404</f>
        <v>0</v>
      </c>
      <c r="AV354" s="295">
        <f>'CAR Passenger Kilometres'!P354*'CAR Stock'!P404</f>
        <v>0</v>
      </c>
      <c r="AW354" s="295">
        <f>'CAR Passenger Kilometres'!Q354*'CAR Stock'!Q404</f>
        <v>0</v>
      </c>
      <c r="AX354" s="295">
        <f>'CAR Passenger Kilometres'!R354*'CAR Stock'!R404</f>
        <v>0</v>
      </c>
      <c r="AY354" s="295">
        <f>'CAR Passenger Kilometres'!S354*'CAR Stock'!S404</f>
        <v>0</v>
      </c>
      <c r="AZ354" s="295">
        <f>'CAR Passenger Kilometres'!T354*'CAR Stock'!T404</f>
        <v>0</v>
      </c>
      <c r="BA354" s="295">
        <f>'CAR Passenger Kilometres'!U354*'CAR Stock'!U404</f>
        <v>0</v>
      </c>
      <c r="BB354" s="295">
        <f>'CAR Passenger Kilometres'!V354*'CAR Stock'!V404</f>
        <v>0</v>
      </c>
      <c r="BC354" s="295">
        <f>'CAR Passenger Kilometres'!W354*'CAR Stock'!W404</f>
        <v>0</v>
      </c>
      <c r="BD354" s="295">
        <f>'CAR Passenger Kilometres'!X354*'CAR Stock'!X404</f>
        <v>0</v>
      </c>
      <c r="BE354" s="295">
        <f>'CAR Passenger Kilometres'!Y354*'CAR Stock'!Y404</f>
        <v>0</v>
      </c>
      <c r="BF354" s="295">
        <f>'CAR Passenger Kilometres'!Z354*'CAR Stock'!Z404</f>
        <v>0</v>
      </c>
      <c r="BG354" s="295">
        <f>'CAR Passenger Kilometres'!AA354*'CAR Stock'!AA404</f>
        <v>0</v>
      </c>
      <c r="BH354" s="295">
        <f>'CAR Passenger Kilometres'!AB354*'CAR Stock'!AB404</f>
        <v>0</v>
      </c>
      <c r="BI354" s="295">
        <f>'CAR Passenger Kilometres'!AC354*'CAR Stock'!AC404</f>
        <v>0</v>
      </c>
      <c r="BJ354" s="295">
        <f>'CAR Passenger Kilometres'!AD354*'CAR Stock'!AD404</f>
        <v>0</v>
      </c>
      <c r="BK354" s="296">
        <f>'CAR Passenger Kilometres'!AE354*'CAR Stock'!AE404</f>
        <v>0</v>
      </c>
    </row>
    <row r="355" spans="1:63">
      <c r="A355" s="1711"/>
      <c r="B355" s="116">
        <v>4</v>
      </c>
      <c r="C355" s="294">
        <f>'CAR Mileage'!C376*CAR!$I$58</f>
        <v>19788.06547464399</v>
      </c>
      <c r="D355" s="295">
        <f>'CAR Mileage'!D376*CAR!$I$58</f>
        <v>19788.06547464399</v>
      </c>
      <c r="E355" s="295">
        <f>'CAR Mileage'!E376*CAR!$I$58</f>
        <v>19788.06547464399</v>
      </c>
      <c r="F355" s="295">
        <f>'CAR Mileage'!F376*CAR!$I$58</f>
        <v>19788.06547464399</v>
      </c>
      <c r="G355" s="295">
        <f>'CAR Mileage'!G376*CAR!$I$58</f>
        <v>19788.06547464399</v>
      </c>
      <c r="H355" s="295">
        <f>'CAR Mileage'!H376*CAR!$I$58</f>
        <v>19788.06547464399</v>
      </c>
      <c r="I355" s="295">
        <f>'CAR Mileage'!I376*CAR!$I$58</f>
        <v>19788.06547464399</v>
      </c>
      <c r="J355" s="295">
        <f>'CAR Mileage'!J376*CAR!$I$58</f>
        <v>19788.06547464399</v>
      </c>
      <c r="K355" s="295">
        <f>'CAR Mileage'!K376*CAR!$I$58</f>
        <v>19788.06547464399</v>
      </c>
      <c r="L355" s="295">
        <f>'CAR Mileage'!L376*CAR!$I$58</f>
        <v>19788.06547464399</v>
      </c>
      <c r="M355" s="295">
        <f>'CAR Mileage'!M376*CAR!$I$58</f>
        <v>19788.06547464399</v>
      </c>
      <c r="N355" s="295">
        <f>'CAR Mileage'!N376*CAR!$I$58</f>
        <v>19788.06547464399</v>
      </c>
      <c r="O355" s="295">
        <f>'CAR Mileage'!O376*CAR!$I$58</f>
        <v>19788.06547464399</v>
      </c>
      <c r="P355" s="295">
        <f>'CAR Mileage'!P376*CAR!$I$58</f>
        <v>19788.06547464399</v>
      </c>
      <c r="Q355" s="295">
        <f>'CAR Mileage'!Q376*CAR!$I$58</f>
        <v>19788.06547464399</v>
      </c>
      <c r="R355" s="295">
        <f>'CAR Mileage'!R376*CAR!$I$58</f>
        <v>19788.06547464399</v>
      </c>
      <c r="S355" s="295">
        <f>'CAR Mileage'!S376*CAR!$I$58</f>
        <v>19788.06547464399</v>
      </c>
      <c r="T355" s="295">
        <f>'CAR Mileage'!T376*CAR!$I$58</f>
        <v>19788.06547464399</v>
      </c>
      <c r="U355" s="295">
        <f>'CAR Mileage'!U376*CAR!$I$58</f>
        <v>19788.06547464399</v>
      </c>
      <c r="V355" s="295">
        <f>'CAR Mileage'!V376*CAR!$I$58</f>
        <v>19788.06547464399</v>
      </c>
      <c r="W355" s="295">
        <f>'CAR Mileage'!W376*CAR!$I$58</f>
        <v>19788.06547464399</v>
      </c>
      <c r="X355" s="295">
        <f>'CAR Mileage'!X376*CAR!$I$58</f>
        <v>19788.06547464399</v>
      </c>
      <c r="Y355" s="295">
        <f>'CAR Mileage'!Y376*CAR!$I$58</f>
        <v>19788.06547464399</v>
      </c>
      <c r="Z355" s="295">
        <f>'CAR Mileage'!Z376*CAR!$I$58</f>
        <v>19788.06547464399</v>
      </c>
      <c r="AA355" s="295">
        <f>'CAR Mileage'!AA376*CAR!$I$58</f>
        <v>19788.06547464399</v>
      </c>
      <c r="AB355" s="295">
        <f>'CAR Mileage'!AB376*CAR!$I$58</f>
        <v>19788.06547464399</v>
      </c>
      <c r="AC355" s="295">
        <f>'CAR Mileage'!AC376*CAR!$I$58</f>
        <v>19788.06547464399</v>
      </c>
      <c r="AD355" s="295">
        <f>'CAR Mileage'!AD376*CAR!$I$58</f>
        <v>19788.06547464399</v>
      </c>
      <c r="AE355" s="296">
        <f>'CAR Mileage'!AE376*CAR!$I$58</f>
        <v>19788.06547464399</v>
      </c>
      <c r="AG355" s="1711"/>
      <c r="AH355" s="116">
        <v>4</v>
      </c>
      <c r="AI355" s="294">
        <f>'CAR Passenger Kilometres'!C355*'CAR Stock'!C405</f>
        <v>0</v>
      </c>
      <c r="AJ355" s="295">
        <f>'CAR Passenger Kilometres'!D355*'CAR Stock'!D405</f>
        <v>0</v>
      </c>
      <c r="AK355" s="295">
        <f>'CAR Passenger Kilometres'!E355*'CAR Stock'!E405</f>
        <v>0</v>
      </c>
      <c r="AL355" s="295">
        <f>'CAR Passenger Kilometres'!F355*'CAR Stock'!F405</f>
        <v>0</v>
      </c>
      <c r="AM355" s="295">
        <f>'CAR Passenger Kilometres'!G355*'CAR Stock'!G405</f>
        <v>0</v>
      </c>
      <c r="AN355" s="295">
        <f>'CAR Passenger Kilometres'!H355*'CAR Stock'!H405</f>
        <v>0</v>
      </c>
      <c r="AO355" s="295">
        <f>'CAR Passenger Kilometres'!I355*'CAR Stock'!I405</f>
        <v>0</v>
      </c>
      <c r="AP355" s="295">
        <f>'CAR Passenger Kilometres'!J355*'CAR Stock'!J405</f>
        <v>0</v>
      </c>
      <c r="AQ355" s="295">
        <f>'CAR Passenger Kilometres'!K355*'CAR Stock'!K405</f>
        <v>0</v>
      </c>
      <c r="AR355" s="295">
        <f>'CAR Passenger Kilometres'!L355*'CAR Stock'!L405</f>
        <v>0</v>
      </c>
      <c r="AS355" s="295">
        <f>'CAR Passenger Kilometres'!M355*'CAR Stock'!M405</f>
        <v>0</v>
      </c>
      <c r="AT355" s="295">
        <f>'CAR Passenger Kilometres'!N355*'CAR Stock'!N405</f>
        <v>0</v>
      </c>
      <c r="AU355" s="295">
        <f>'CAR Passenger Kilometres'!O355*'CAR Stock'!O405</f>
        <v>0</v>
      </c>
      <c r="AV355" s="295">
        <f>'CAR Passenger Kilometres'!P355*'CAR Stock'!P405</f>
        <v>0</v>
      </c>
      <c r="AW355" s="295">
        <f>'CAR Passenger Kilometres'!Q355*'CAR Stock'!Q405</f>
        <v>0</v>
      </c>
      <c r="AX355" s="295">
        <f>'CAR Passenger Kilometres'!R355*'CAR Stock'!R405</f>
        <v>0</v>
      </c>
      <c r="AY355" s="295">
        <f>'CAR Passenger Kilometres'!S355*'CAR Stock'!S405</f>
        <v>0</v>
      </c>
      <c r="AZ355" s="295">
        <f>'CAR Passenger Kilometres'!T355*'CAR Stock'!T405</f>
        <v>0</v>
      </c>
      <c r="BA355" s="295">
        <f>'CAR Passenger Kilometres'!U355*'CAR Stock'!U405</f>
        <v>0</v>
      </c>
      <c r="BB355" s="295">
        <f>'CAR Passenger Kilometres'!V355*'CAR Stock'!V405</f>
        <v>0</v>
      </c>
      <c r="BC355" s="295">
        <f>'CAR Passenger Kilometres'!W355*'CAR Stock'!W405</f>
        <v>0</v>
      </c>
      <c r="BD355" s="295">
        <f>'CAR Passenger Kilometres'!X355*'CAR Stock'!X405</f>
        <v>0</v>
      </c>
      <c r="BE355" s="295">
        <f>'CAR Passenger Kilometres'!Y355*'CAR Stock'!Y405</f>
        <v>0</v>
      </c>
      <c r="BF355" s="295">
        <f>'CAR Passenger Kilometres'!Z355*'CAR Stock'!Z405</f>
        <v>0</v>
      </c>
      <c r="BG355" s="295">
        <f>'CAR Passenger Kilometres'!AA355*'CAR Stock'!AA405</f>
        <v>0</v>
      </c>
      <c r="BH355" s="295">
        <f>'CAR Passenger Kilometres'!AB355*'CAR Stock'!AB405</f>
        <v>0</v>
      </c>
      <c r="BI355" s="295">
        <f>'CAR Passenger Kilometres'!AC355*'CAR Stock'!AC405</f>
        <v>0</v>
      </c>
      <c r="BJ355" s="295">
        <f>'CAR Passenger Kilometres'!AD355*'CAR Stock'!AD405</f>
        <v>0</v>
      </c>
      <c r="BK355" s="296">
        <f>'CAR Passenger Kilometres'!AE355*'CAR Stock'!AE405</f>
        <v>0</v>
      </c>
    </row>
    <row r="356" spans="1:63">
      <c r="A356" s="1711"/>
      <c r="B356" s="116">
        <v>5</v>
      </c>
      <c r="C356" s="294">
        <f>'CAR Mileage'!C377*CAR!$I$58</f>
        <v>19392.304165151108</v>
      </c>
      <c r="D356" s="295">
        <f>'CAR Mileage'!D377*CAR!$I$58</f>
        <v>19392.304165151108</v>
      </c>
      <c r="E356" s="295">
        <f>'CAR Mileage'!E377*CAR!$I$58</f>
        <v>19392.304165151108</v>
      </c>
      <c r="F356" s="295">
        <f>'CAR Mileage'!F377*CAR!$I$58</f>
        <v>19392.304165151108</v>
      </c>
      <c r="G356" s="295">
        <f>'CAR Mileage'!G377*CAR!$I$58</f>
        <v>19392.304165151108</v>
      </c>
      <c r="H356" s="295">
        <f>'CAR Mileage'!H377*CAR!$I$58</f>
        <v>19392.304165151108</v>
      </c>
      <c r="I356" s="295">
        <f>'CAR Mileage'!I377*CAR!$I$58</f>
        <v>19392.304165151108</v>
      </c>
      <c r="J356" s="295">
        <f>'CAR Mileage'!J377*CAR!$I$58</f>
        <v>19392.304165151108</v>
      </c>
      <c r="K356" s="295">
        <f>'CAR Mileage'!K377*CAR!$I$58</f>
        <v>19392.304165151108</v>
      </c>
      <c r="L356" s="295">
        <f>'CAR Mileage'!L377*CAR!$I$58</f>
        <v>19392.304165151108</v>
      </c>
      <c r="M356" s="295">
        <f>'CAR Mileage'!M377*CAR!$I$58</f>
        <v>19392.304165151108</v>
      </c>
      <c r="N356" s="295">
        <f>'CAR Mileage'!N377*CAR!$I$58</f>
        <v>19392.304165151108</v>
      </c>
      <c r="O356" s="295">
        <f>'CAR Mileage'!O377*CAR!$I$58</f>
        <v>19392.304165151108</v>
      </c>
      <c r="P356" s="295">
        <f>'CAR Mileage'!P377*CAR!$I$58</f>
        <v>19392.304165151108</v>
      </c>
      <c r="Q356" s="295">
        <f>'CAR Mileage'!Q377*CAR!$I$58</f>
        <v>19392.304165151108</v>
      </c>
      <c r="R356" s="295">
        <f>'CAR Mileage'!R377*CAR!$I$58</f>
        <v>19392.304165151108</v>
      </c>
      <c r="S356" s="295">
        <f>'CAR Mileage'!S377*CAR!$I$58</f>
        <v>19392.304165151108</v>
      </c>
      <c r="T356" s="295">
        <f>'CAR Mileage'!T377*CAR!$I$58</f>
        <v>19392.304165151108</v>
      </c>
      <c r="U356" s="295">
        <f>'CAR Mileage'!U377*CAR!$I$58</f>
        <v>19392.304165151108</v>
      </c>
      <c r="V356" s="295">
        <f>'CAR Mileage'!V377*CAR!$I$58</f>
        <v>19392.304165151108</v>
      </c>
      <c r="W356" s="295">
        <f>'CAR Mileage'!W377*CAR!$I$58</f>
        <v>19392.304165151108</v>
      </c>
      <c r="X356" s="295">
        <f>'CAR Mileage'!X377*CAR!$I$58</f>
        <v>19392.304165151108</v>
      </c>
      <c r="Y356" s="295">
        <f>'CAR Mileage'!Y377*CAR!$I$58</f>
        <v>19392.304165151108</v>
      </c>
      <c r="Z356" s="295">
        <f>'CAR Mileage'!Z377*CAR!$I$58</f>
        <v>19392.304165151108</v>
      </c>
      <c r="AA356" s="295">
        <f>'CAR Mileage'!AA377*CAR!$I$58</f>
        <v>19392.304165151108</v>
      </c>
      <c r="AB356" s="295">
        <f>'CAR Mileage'!AB377*CAR!$I$58</f>
        <v>19392.304165151108</v>
      </c>
      <c r="AC356" s="295">
        <f>'CAR Mileage'!AC377*CAR!$I$58</f>
        <v>19392.304165151108</v>
      </c>
      <c r="AD356" s="295">
        <f>'CAR Mileage'!AD377*CAR!$I$58</f>
        <v>19392.304165151108</v>
      </c>
      <c r="AE356" s="296">
        <f>'CAR Mileage'!AE377*CAR!$I$58</f>
        <v>19392.304165151108</v>
      </c>
      <c r="AG356" s="1711"/>
      <c r="AH356" s="116">
        <v>5</v>
      </c>
      <c r="AI356" s="294">
        <f>'CAR Passenger Kilometres'!C356*'CAR Stock'!C406</f>
        <v>0</v>
      </c>
      <c r="AJ356" s="295">
        <f>'CAR Passenger Kilometres'!D356*'CAR Stock'!D406</f>
        <v>0</v>
      </c>
      <c r="AK356" s="295">
        <f>'CAR Passenger Kilometres'!E356*'CAR Stock'!E406</f>
        <v>0</v>
      </c>
      <c r="AL356" s="295">
        <f>'CAR Passenger Kilometres'!F356*'CAR Stock'!F406</f>
        <v>0</v>
      </c>
      <c r="AM356" s="295">
        <f>'CAR Passenger Kilometres'!G356*'CAR Stock'!G406</f>
        <v>0</v>
      </c>
      <c r="AN356" s="295">
        <f>'CAR Passenger Kilometres'!H356*'CAR Stock'!H406</f>
        <v>0</v>
      </c>
      <c r="AO356" s="295">
        <f>'CAR Passenger Kilometres'!I356*'CAR Stock'!I406</f>
        <v>0</v>
      </c>
      <c r="AP356" s="295">
        <f>'CAR Passenger Kilometres'!J356*'CAR Stock'!J406</f>
        <v>0</v>
      </c>
      <c r="AQ356" s="295">
        <f>'CAR Passenger Kilometres'!K356*'CAR Stock'!K406</f>
        <v>0</v>
      </c>
      <c r="AR356" s="295">
        <f>'CAR Passenger Kilometres'!L356*'CAR Stock'!L406</f>
        <v>0</v>
      </c>
      <c r="AS356" s="295">
        <f>'CAR Passenger Kilometres'!M356*'CAR Stock'!M406</f>
        <v>0</v>
      </c>
      <c r="AT356" s="295">
        <f>'CAR Passenger Kilometres'!N356*'CAR Stock'!N406</f>
        <v>0</v>
      </c>
      <c r="AU356" s="295">
        <f>'CAR Passenger Kilometres'!O356*'CAR Stock'!O406</f>
        <v>0</v>
      </c>
      <c r="AV356" s="295">
        <f>'CAR Passenger Kilometres'!P356*'CAR Stock'!P406</f>
        <v>0</v>
      </c>
      <c r="AW356" s="295">
        <f>'CAR Passenger Kilometres'!Q356*'CAR Stock'!Q406</f>
        <v>0</v>
      </c>
      <c r="AX356" s="295">
        <f>'CAR Passenger Kilometres'!R356*'CAR Stock'!R406</f>
        <v>0</v>
      </c>
      <c r="AY356" s="295">
        <f>'CAR Passenger Kilometres'!S356*'CAR Stock'!S406</f>
        <v>0</v>
      </c>
      <c r="AZ356" s="295">
        <f>'CAR Passenger Kilometres'!T356*'CAR Stock'!T406</f>
        <v>0</v>
      </c>
      <c r="BA356" s="295">
        <f>'CAR Passenger Kilometres'!U356*'CAR Stock'!U406</f>
        <v>0</v>
      </c>
      <c r="BB356" s="295">
        <f>'CAR Passenger Kilometres'!V356*'CAR Stock'!V406</f>
        <v>0</v>
      </c>
      <c r="BC356" s="295">
        <f>'CAR Passenger Kilometres'!W356*'CAR Stock'!W406</f>
        <v>0</v>
      </c>
      <c r="BD356" s="295">
        <f>'CAR Passenger Kilometres'!X356*'CAR Stock'!X406</f>
        <v>0</v>
      </c>
      <c r="BE356" s="295">
        <f>'CAR Passenger Kilometres'!Y356*'CAR Stock'!Y406</f>
        <v>0</v>
      </c>
      <c r="BF356" s="295">
        <f>'CAR Passenger Kilometres'!Z356*'CAR Stock'!Z406</f>
        <v>0</v>
      </c>
      <c r="BG356" s="295">
        <f>'CAR Passenger Kilometres'!AA356*'CAR Stock'!AA406</f>
        <v>0</v>
      </c>
      <c r="BH356" s="295">
        <f>'CAR Passenger Kilometres'!AB356*'CAR Stock'!AB406</f>
        <v>0</v>
      </c>
      <c r="BI356" s="295">
        <f>'CAR Passenger Kilometres'!AC356*'CAR Stock'!AC406</f>
        <v>0</v>
      </c>
      <c r="BJ356" s="295">
        <f>'CAR Passenger Kilometres'!AD356*'CAR Stock'!AD406</f>
        <v>0</v>
      </c>
      <c r="BK356" s="296">
        <f>'CAR Passenger Kilometres'!AE356*'CAR Stock'!AE406</f>
        <v>0</v>
      </c>
    </row>
    <row r="357" spans="1:63">
      <c r="A357" s="1711"/>
      <c r="B357" s="116">
        <v>6</v>
      </c>
      <c r="C357" s="294">
        <f>'CAR Mileage'!C378*CAR!$I$58</f>
        <v>19004.458081848086</v>
      </c>
      <c r="D357" s="295">
        <f>'CAR Mileage'!D378*CAR!$I$58</f>
        <v>19004.458081848086</v>
      </c>
      <c r="E357" s="295">
        <f>'CAR Mileage'!E378*CAR!$I$58</f>
        <v>19004.458081848086</v>
      </c>
      <c r="F357" s="295">
        <f>'CAR Mileage'!F378*CAR!$I$58</f>
        <v>19004.458081848086</v>
      </c>
      <c r="G357" s="295">
        <f>'CAR Mileage'!G378*CAR!$I$58</f>
        <v>19004.458081848086</v>
      </c>
      <c r="H357" s="295">
        <f>'CAR Mileage'!H378*CAR!$I$58</f>
        <v>19004.458081848086</v>
      </c>
      <c r="I357" s="295">
        <f>'CAR Mileage'!I378*CAR!$I$58</f>
        <v>19004.458081848086</v>
      </c>
      <c r="J357" s="295">
        <f>'CAR Mileage'!J378*CAR!$I$58</f>
        <v>19004.458081848086</v>
      </c>
      <c r="K357" s="295">
        <f>'CAR Mileage'!K378*CAR!$I$58</f>
        <v>19004.458081848086</v>
      </c>
      <c r="L357" s="295">
        <f>'CAR Mileage'!L378*CAR!$I$58</f>
        <v>19004.458081848086</v>
      </c>
      <c r="M357" s="295">
        <f>'CAR Mileage'!M378*CAR!$I$58</f>
        <v>19004.458081848086</v>
      </c>
      <c r="N357" s="295">
        <f>'CAR Mileage'!N378*CAR!$I$58</f>
        <v>19004.458081848086</v>
      </c>
      <c r="O357" s="295">
        <f>'CAR Mileage'!O378*CAR!$I$58</f>
        <v>19004.458081848086</v>
      </c>
      <c r="P357" s="295">
        <f>'CAR Mileage'!P378*CAR!$I$58</f>
        <v>19004.458081848086</v>
      </c>
      <c r="Q357" s="295">
        <f>'CAR Mileage'!Q378*CAR!$I$58</f>
        <v>19004.458081848086</v>
      </c>
      <c r="R357" s="295">
        <f>'CAR Mileage'!R378*CAR!$I$58</f>
        <v>19004.458081848086</v>
      </c>
      <c r="S357" s="295">
        <f>'CAR Mileage'!S378*CAR!$I$58</f>
        <v>19004.458081848086</v>
      </c>
      <c r="T357" s="295">
        <f>'CAR Mileage'!T378*CAR!$I$58</f>
        <v>19004.458081848086</v>
      </c>
      <c r="U357" s="295">
        <f>'CAR Mileage'!U378*CAR!$I$58</f>
        <v>19004.458081848086</v>
      </c>
      <c r="V357" s="295">
        <f>'CAR Mileage'!V378*CAR!$I$58</f>
        <v>19004.458081848086</v>
      </c>
      <c r="W357" s="295">
        <f>'CAR Mileage'!W378*CAR!$I$58</f>
        <v>19004.458081848086</v>
      </c>
      <c r="X357" s="295">
        <f>'CAR Mileage'!X378*CAR!$I$58</f>
        <v>19004.458081848086</v>
      </c>
      <c r="Y357" s="295">
        <f>'CAR Mileage'!Y378*CAR!$I$58</f>
        <v>19004.458081848086</v>
      </c>
      <c r="Z357" s="295">
        <f>'CAR Mileage'!Z378*CAR!$I$58</f>
        <v>19004.458081848086</v>
      </c>
      <c r="AA357" s="295">
        <f>'CAR Mileage'!AA378*CAR!$I$58</f>
        <v>19004.458081848086</v>
      </c>
      <c r="AB357" s="295">
        <f>'CAR Mileage'!AB378*CAR!$I$58</f>
        <v>19004.458081848086</v>
      </c>
      <c r="AC357" s="295">
        <f>'CAR Mileage'!AC378*CAR!$I$58</f>
        <v>19004.458081848086</v>
      </c>
      <c r="AD357" s="295">
        <f>'CAR Mileage'!AD378*CAR!$I$58</f>
        <v>19004.458081848086</v>
      </c>
      <c r="AE357" s="296">
        <f>'CAR Mileage'!AE378*CAR!$I$58</f>
        <v>19004.458081848086</v>
      </c>
      <c r="AG357" s="1711"/>
      <c r="AH357" s="116">
        <v>6</v>
      </c>
      <c r="AI357" s="294">
        <f>'CAR Passenger Kilometres'!C357*'CAR Stock'!C407</f>
        <v>0</v>
      </c>
      <c r="AJ357" s="295">
        <f>'CAR Passenger Kilometres'!D357*'CAR Stock'!D407</f>
        <v>0</v>
      </c>
      <c r="AK357" s="295">
        <f>'CAR Passenger Kilometres'!E357*'CAR Stock'!E407</f>
        <v>0</v>
      </c>
      <c r="AL357" s="295">
        <f>'CAR Passenger Kilometres'!F357*'CAR Stock'!F407</f>
        <v>0</v>
      </c>
      <c r="AM357" s="295">
        <f>'CAR Passenger Kilometres'!G357*'CAR Stock'!G407</f>
        <v>0</v>
      </c>
      <c r="AN357" s="295">
        <f>'CAR Passenger Kilometres'!H357*'CAR Stock'!H407</f>
        <v>0</v>
      </c>
      <c r="AO357" s="295">
        <f>'CAR Passenger Kilometres'!I357*'CAR Stock'!I407</f>
        <v>0</v>
      </c>
      <c r="AP357" s="295">
        <f>'CAR Passenger Kilometres'!J357*'CAR Stock'!J407</f>
        <v>0</v>
      </c>
      <c r="AQ357" s="295">
        <f>'CAR Passenger Kilometres'!K357*'CAR Stock'!K407</f>
        <v>0</v>
      </c>
      <c r="AR357" s="295">
        <f>'CAR Passenger Kilometres'!L357*'CAR Stock'!L407</f>
        <v>0</v>
      </c>
      <c r="AS357" s="295">
        <f>'CAR Passenger Kilometres'!M357*'CAR Stock'!M407</f>
        <v>0</v>
      </c>
      <c r="AT357" s="295">
        <f>'CAR Passenger Kilometres'!N357*'CAR Stock'!N407</f>
        <v>0</v>
      </c>
      <c r="AU357" s="295">
        <f>'CAR Passenger Kilometres'!O357*'CAR Stock'!O407</f>
        <v>0</v>
      </c>
      <c r="AV357" s="295">
        <f>'CAR Passenger Kilometres'!P357*'CAR Stock'!P407</f>
        <v>0</v>
      </c>
      <c r="AW357" s="295">
        <f>'CAR Passenger Kilometres'!Q357*'CAR Stock'!Q407</f>
        <v>0</v>
      </c>
      <c r="AX357" s="295">
        <f>'CAR Passenger Kilometres'!R357*'CAR Stock'!R407</f>
        <v>0</v>
      </c>
      <c r="AY357" s="295">
        <f>'CAR Passenger Kilometres'!S357*'CAR Stock'!S407</f>
        <v>0</v>
      </c>
      <c r="AZ357" s="295">
        <f>'CAR Passenger Kilometres'!T357*'CAR Stock'!T407</f>
        <v>0</v>
      </c>
      <c r="BA357" s="295">
        <f>'CAR Passenger Kilometres'!U357*'CAR Stock'!U407</f>
        <v>0</v>
      </c>
      <c r="BB357" s="295">
        <f>'CAR Passenger Kilometres'!V357*'CAR Stock'!V407</f>
        <v>0</v>
      </c>
      <c r="BC357" s="295">
        <f>'CAR Passenger Kilometres'!W357*'CAR Stock'!W407</f>
        <v>0</v>
      </c>
      <c r="BD357" s="295">
        <f>'CAR Passenger Kilometres'!X357*'CAR Stock'!X407</f>
        <v>0</v>
      </c>
      <c r="BE357" s="295">
        <f>'CAR Passenger Kilometres'!Y357*'CAR Stock'!Y407</f>
        <v>0</v>
      </c>
      <c r="BF357" s="295">
        <f>'CAR Passenger Kilometres'!Z357*'CAR Stock'!Z407</f>
        <v>0</v>
      </c>
      <c r="BG357" s="295">
        <f>'CAR Passenger Kilometres'!AA357*'CAR Stock'!AA407</f>
        <v>0</v>
      </c>
      <c r="BH357" s="295">
        <f>'CAR Passenger Kilometres'!AB357*'CAR Stock'!AB407</f>
        <v>0</v>
      </c>
      <c r="BI357" s="295">
        <f>'CAR Passenger Kilometres'!AC357*'CAR Stock'!AC407</f>
        <v>0</v>
      </c>
      <c r="BJ357" s="295">
        <f>'CAR Passenger Kilometres'!AD357*'CAR Stock'!AD407</f>
        <v>0</v>
      </c>
      <c r="BK357" s="296">
        <f>'CAR Passenger Kilometres'!AE357*'CAR Stock'!AE407</f>
        <v>0</v>
      </c>
    </row>
    <row r="358" spans="1:63">
      <c r="A358" s="1711"/>
      <c r="B358" s="116">
        <v>7</v>
      </c>
      <c r="C358" s="294">
        <f>'CAR Mileage'!C379*CAR!$I$58</f>
        <v>18624.368920211124</v>
      </c>
      <c r="D358" s="295">
        <f>'CAR Mileage'!D379*CAR!$I$58</f>
        <v>18624.368920211124</v>
      </c>
      <c r="E358" s="295">
        <f>'CAR Mileage'!E379*CAR!$I$58</f>
        <v>18624.368920211124</v>
      </c>
      <c r="F358" s="295">
        <f>'CAR Mileage'!F379*CAR!$I$58</f>
        <v>18624.368920211124</v>
      </c>
      <c r="G358" s="295">
        <f>'CAR Mileage'!G379*CAR!$I$58</f>
        <v>18624.368920211124</v>
      </c>
      <c r="H358" s="295">
        <f>'CAR Mileage'!H379*CAR!$I$58</f>
        <v>18624.368920211124</v>
      </c>
      <c r="I358" s="295">
        <f>'CAR Mileage'!I379*CAR!$I$58</f>
        <v>18624.368920211124</v>
      </c>
      <c r="J358" s="295">
        <f>'CAR Mileage'!J379*CAR!$I$58</f>
        <v>18624.368920211124</v>
      </c>
      <c r="K358" s="295">
        <f>'CAR Mileage'!K379*CAR!$I$58</f>
        <v>18624.368920211124</v>
      </c>
      <c r="L358" s="295">
        <f>'CAR Mileage'!L379*CAR!$I$58</f>
        <v>18624.368920211124</v>
      </c>
      <c r="M358" s="295">
        <f>'CAR Mileage'!M379*CAR!$I$58</f>
        <v>18624.368920211124</v>
      </c>
      <c r="N358" s="295">
        <f>'CAR Mileage'!N379*CAR!$I$58</f>
        <v>18624.368920211124</v>
      </c>
      <c r="O358" s="295">
        <f>'CAR Mileage'!O379*CAR!$I$58</f>
        <v>18624.368920211124</v>
      </c>
      <c r="P358" s="295">
        <f>'CAR Mileage'!P379*CAR!$I$58</f>
        <v>18624.368920211124</v>
      </c>
      <c r="Q358" s="295">
        <f>'CAR Mileage'!Q379*CAR!$I$58</f>
        <v>18624.368920211124</v>
      </c>
      <c r="R358" s="295">
        <f>'CAR Mileage'!R379*CAR!$I$58</f>
        <v>18624.368920211124</v>
      </c>
      <c r="S358" s="295">
        <f>'CAR Mileage'!S379*CAR!$I$58</f>
        <v>18624.368920211124</v>
      </c>
      <c r="T358" s="295">
        <f>'CAR Mileage'!T379*CAR!$I$58</f>
        <v>18624.368920211124</v>
      </c>
      <c r="U358" s="295">
        <f>'CAR Mileage'!U379*CAR!$I$58</f>
        <v>18624.368920211124</v>
      </c>
      <c r="V358" s="295">
        <f>'CAR Mileage'!V379*CAR!$I$58</f>
        <v>18624.368920211124</v>
      </c>
      <c r="W358" s="295">
        <f>'CAR Mileage'!W379*CAR!$I$58</f>
        <v>18624.368920211124</v>
      </c>
      <c r="X358" s="295">
        <f>'CAR Mileage'!X379*CAR!$I$58</f>
        <v>18624.368920211124</v>
      </c>
      <c r="Y358" s="295">
        <f>'CAR Mileage'!Y379*CAR!$I$58</f>
        <v>18624.368920211124</v>
      </c>
      <c r="Z358" s="295">
        <f>'CAR Mileage'!Z379*CAR!$I$58</f>
        <v>18624.368920211124</v>
      </c>
      <c r="AA358" s="295">
        <f>'CAR Mileage'!AA379*CAR!$I$58</f>
        <v>18624.368920211124</v>
      </c>
      <c r="AB358" s="295">
        <f>'CAR Mileage'!AB379*CAR!$I$58</f>
        <v>18624.368920211124</v>
      </c>
      <c r="AC358" s="295">
        <f>'CAR Mileage'!AC379*CAR!$I$58</f>
        <v>18624.368920211124</v>
      </c>
      <c r="AD358" s="295">
        <f>'CAR Mileage'!AD379*CAR!$I$58</f>
        <v>18624.368920211124</v>
      </c>
      <c r="AE358" s="296">
        <f>'CAR Mileage'!AE379*CAR!$I$58</f>
        <v>18624.368920211124</v>
      </c>
      <c r="AG358" s="1711"/>
      <c r="AH358" s="116">
        <v>7</v>
      </c>
      <c r="AI358" s="294">
        <f>'CAR Passenger Kilometres'!C358*'CAR Stock'!C408</f>
        <v>0</v>
      </c>
      <c r="AJ358" s="295">
        <f>'CAR Passenger Kilometres'!D358*'CAR Stock'!D408</f>
        <v>0</v>
      </c>
      <c r="AK358" s="295">
        <f>'CAR Passenger Kilometres'!E358*'CAR Stock'!E408</f>
        <v>0</v>
      </c>
      <c r="AL358" s="295">
        <f>'CAR Passenger Kilometres'!F358*'CAR Stock'!F408</f>
        <v>0</v>
      </c>
      <c r="AM358" s="295">
        <f>'CAR Passenger Kilometres'!G358*'CAR Stock'!G408</f>
        <v>0</v>
      </c>
      <c r="AN358" s="295">
        <f>'CAR Passenger Kilometres'!H358*'CAR Stock'!H408</f>
        <v>0</v>
      </c>
      <c r="AO358" s="295">
        <f>'CAR Passenger Kilometres'!I358*'CAR Stock'!I408</f>
        <v>0</v>
      </c>
      <c r="AP358" s="295">
        <f>'CAR Passenger Kilometres'!J358*'CAR Stock'!J408</f>
        <v>0</v>
      </c>
      <c r="AQ358" s="295">
        <f>'CAR Passenger Kilometres'!K358*'CAR Stock'!K408</f>
        <v>0</v>
      </c>
      <c r="AR358" s="295">
        <f>'CAR Passenger Kilometres'!L358*'CAR Stock'!L408</f>
        <v>0</v>
      </c>
      <c r="AS358" s="295">
        <f>'CAR Passenger Kilometres'!M358*'CAR Stock'!M408</f>
        <v>0</v>
      </c>
      <c r="AT358" s="295">
        <f>'CAR Passenger Kilometres'!N358*'CAR Stock'!N408</f>
        <v>0</v>
      </c>
      <c r="AU358" s="295">
        <f>'CAR Passenger Kilometres'!O358*'CAR Stock'!O408</f>
        <v>0</v>
      </c>
      <c r="AV358" s="295">
        <f>'CAR Passenger Kilometres'!P358*'CAR Stock'!P408</f>
        <v>0</v>
      </c>
      <c r="AW358" s="295">
        <f>'CAR Passenger Kilometres'!Q358*'CAR Stock'!Q408</f>
        <v>0</v>
      </c>
      <c r="AX358" s="295">
        <f>'CAR Passenger Kilometres'!R358*'CAR Stock'!R408</f>
        <v>0</v>
      </c>
      <c r="AY358" s="295">
        <f>'CAR Passenger Kilometres'!S358*'CAR Stock'!S408</f>
        <v>0</v>
      </c>
      <c r="AZ358" s="295">
        <f>'CAR Passenger Kilometres'!T358*'CAR Stock'!T408</f>
        <v>0</v>
      </c>
      <c r="BA358" s="295">
        <f>'CAR Passenger Kilometres'!U358*'CAR Stock'!U408</f>
        <v>0</v>
      </c>
      <c r="BB358" s="295">
        <f>'CAR Passenger Kilometres'!V358*'CAR Stock'!V408</f>
        <v>0</v>
      </c>
      <c r="BC358" s="295">
        <f>'CAR Passenger Kilometres'!W358*'CAR Stock'!W408</f>
        <v>0</v>
      </c>
      <c r="BD358" s="295">
        <f>'CAR Passenger Kilometres'!X358*'CAR Stock'!X408</f>
        <v>0</v>
      </c>
      <c r="BE358" s="295">
        <f>'CAR Passenger Kilometres'!Y358*'CAR Stock'!Y408</f>
        <v>0</v>
      </c>
      <c r="BF358" s="295">
        <f>'CAR Passenger Kilometres'!Z358*'CAR Stock'!Z408</f>
        <v>0</v>
      </c>
      <c r="BG358" s="295">
        <f>'CAR Passenger Kilometres'!AA358*'CAR Stock'!AA408</f>
        <v>0</v>
      </c>
      <c r="BH358" s="295">
        <f>'CAR Passenger Kilometres'!AB358*'CAR Stock'!AB408</f>
        <v>0</v>
      </c>
      <c r="BI358" s="295">
        <f>'CAR Passenger Kilometres'!AC358*'CAR Stock'!AC408</f>
        <v>0</v>
      </c>
      <c r="BJ358" s="295">
        <f>'CAR Passenger Kilometres'!AD358*'CAR Stock'!AD408</f>
        <v>0</v>
      </c>
      <c r="BK358" s="296">
        <f>'CAR Passenger Kilometres'!AE358*'CAR Stock'!AE408</f>
        <v>0</v>
      </c>
    </row>
    <row r="359" spans="1:63">
      <c r="A359" s="1711"/>
      <c r="B359" s="116">
        <v>8</v>
      </c>
      <c r="C359" s="294">
        <f>'CAR Mileage'!C380*CAR!$I$58</f>
        <v>18251.881541806903</v>
      </c>
      <c r="D359" s="295">
        <f>'CAR Mileage'!D380*CAR!$I$58</f>
        <v>18251.881541806903</v>
      </c>
      <c r="E359" s="295">
        <f>'CAR Mileage'!E380*CAR!$I$58</f>
        <v>18251.881541806903</v>
      </c>
      <c r="F359" s="295">
        <f>'CAR Mileage'!F380*CAR!$I$58</f>
        <v>18251.881541806903</v>
      </c>
      <c r="G359" s="295">
        <f>'CAR Mileage'!G380*CAR!$I$58</f>
        <v>18251.881541806903</v>
      </c>
      <c r="H359" s="295">
        <f>'CAR Mileage'!H380*CAR!$I$58</f>
        <v>18251.881541806903</v>
      </c>
      <c r="I359" s="295">
        <f>'CAR Mileage'!I380*CAR!$I$58</f>
        <v>18251.881541806903</v>
      </c>
      <c r="J359" s="295">
        <f>'CAR Mileage'!J380*CAR!$I$58</f>
        <v>18251.881541806903</v>
      </c>
      <c r="K359" s="295">
        <f>'CAR Mileage'!K380*CAR!$I$58</f>
        <v>18251.881541806903</v>
      </c>
      <c r="L359" s="295">
        <f>'CAR Mileage'!L380*CAR!$I$58</f>
        <v>18251.881541806903</v>
      </c>
      <c r="M359" s="295">
        <f>'CAR Mileage'!M380*CAR!$I$58</f>
        <v>18251.881541806903</v>
      </c>
      <c r="N359" s="295">
        <f>'CAR Mileage'!N380*CAR!$I$58</f>
        <v>18251.881541806903</v>
      </c>
      <c r="O359" s="295">
        <f>'CAR Mileage'!O380*CAR!$I$58</f>
        <v>18251.881541806903</v>
      </c>
      <c r="P359" s="295">
        <f>'CAR Mileage'!P380*CAR!$I$58</f>
        <v>18251.881541806903</v>
      </c>
      <c r="Q359" s="295">
        <f>'CAR Mileage'!Q380*CAR!$I$58</f>
        <v>18251.881541806903</v>
      </c>
      <c r="R359" s="295">
        <f>'CAR Mileage'!R380*CAR!$I$58</f>
        <v>18251.881541806903</v>
      </c>
      <c r="S359" s="295">
        <f>'CAR Mileage'!S380*CAR!$I$58</f>
        <v>18251.881541806903</v>
      </c>
      <c r="T359" s="295">
        <f>'CAR Mileage'!T380*CAR!$I$58</f>
        <v>18251.881541806903</v>
      </c>
      <c r="U359" s="295">
        <f>'CAR Mileage'!U380*CAR!$I$58</f>
        <v>18251.881541806903</v>
      </c>
      <c r="V359" s="295">
        <f>'CAR Mileage'!V380*CAR!$I$58</f>
        <v>18251.881541806903</v>
      </c>
      <c r="W359" s="295">
        <f>'CAR Mileage'!W380*CAR!$I$58</f>
        <v>18251.881541806903</v>
      </c>
      <c r="X359" s="295">
        <f>'CAR Mileage'!X380*CAR!$I$58</f>
        <v>18251.881541806903</v>
      </c>
      <c r="Y359" s="295">
        <f>'CAR Mileage'!Y380*CAR!$I$58</f>
        <v>18251.881541806903</v>
      </c>
      <c r="Z359" s="295">
        <f>'CAR Mileage'!Z380*CAR!$I$58</f>
        <v>18251.881541806903</v>
      </c>
      <c r="AA359" s="295">
        <f>'CAR Mileage'!AA380*CAR!$I$58</f>
        <v>18251.881541806903</v>
      </c>
      <c r="AB359" s="295">
        <f>'CAR Mileage'!AB380*CAR!$I$58</f>
        <v>18251.881541806903</v>
      </c>
      <c r="AC359" s="295">
        <f>'CAR Mileage'!AC380*CAR!$I$58</f>
        <v>18251.881541806903</v>
      </c>
      <c r="AD359" s="295">
        <f>'CAR Mileage'!AD380*CAR!$I$58</f>
        <v>18251.881541806903</v>
      </c>
      <c r="AE359" s="296">
        <f>'CAR Mileage'!AE380*CAR!$I$58</f>
        <v>18251.881541806903</v>
      </c>
      <c r="AG359" s="1711"/>
      <c r="AH359" s="116">
        <v>8</v>
      </c>
      <c r="AI359" s="294">
        <f>'CAR Passenger Kilometres'!C359*'CAR Stock'!C409</f>
        <v>0</v>
      </c>
      <c r="AJ359" s="295">
        <f>'CAR Passenger Kilometres'!D359*'CAR Stock'!D409</f>
        <v>0</v>
      </c>
      <c r="AK359" s="295">
        <f>'CAR Passenger Kilometres'!E359*'CAR Stock'!E409</f>
        <v>0</v>
      </c>
      <c r="AL359" s="295">
        <f>'CAR Passenger Kilometres'!F359*'CAR Stock'!F409</f>
        <v>0</v>
      </c>
      <c r="AM359" s="295">
        <f>'CAR Passenger Kilometres'!G359*'CAR Stock'!G409</f>
        <v>0</v>
      </c>
      <c r="AN359" s="295">
        <f>'CAR Passenger Kilometres'!H359*'CAR Stock'!H409</f>
        <v>0</v>
      </c>
      <c r="AO359" s="295">
        <f>'CAR Passenger Kilometres'!I359*'CAR Stock'!I409</f>
        <v>0</v>
      </c>
      <c r="AP359" s="295">
        <f>'CAR Passenger Kilometres'!J359*'CAR Stock'!J409</f>
        <v>0</v>
      </c>
      <c r="AQ359" s="295">
        <f>'CAR Passenger Kilometres'!K359*'CAR Stock'!K409</f>
        <v>0</v>
      </c>
      <c r="AR359" s="295">
        <f>'CAR Passenger Kilometres'!L359*'CAR Stock'!L409</f>
        <v>0</v>
      </c>
      <c r="AS359" s="295">
        <f>'CAR Passenger Kilometres'!M359*'CAR Stock'!M409</f>
        <v>0</v>
      </c>
      <c r="AT359" s="295">
        <f>'CAR Passenger Kilometres'!N359*'CAR Stock'!N409</f>
        <v>0</v>
      </c>
      <c r="AU359" s="295">
        <f>'CAR Passenger Kilometres'!O359*'CAR Stock'!O409</f>
        <v>0</v>
      </c>
      <c r="AV359" s="295">
        <f>'CAR Passenger Kilometres'!P359*'CAR Stock'!P409</f>
        <v>0</v>
      </c>
      <c r="AW359" s="295">
        <f>'CAR Passenger Kilometres'!Q359*'CAR Stock'!Q409</f>
        <v>0</v>
      </c>
      <c r="AX359" s="295">
        <f>'CAR Passenger Kilometres'!R359*'CAR Stock'!R409</f>
        <v>0</v>
      </c>
      <c r="AY359" s="295">
        <f>'CAR Passenger Kilometres'!S359*'CAR Stock'!S409</f>
        <v>0</v>
      </c>
      <c r="AZ359" s="295">
        <f>'CAR Passenger Kilometres'!T359*'CAR Stock'!T409</f>
        <v>0</v>
      </c>
      <c r="BA359" s="295">
        <f>'CAR Passenger Kilometres'!U359*'CAR Stock'!U409</f>
        <v>0</v>
      </c>
      <c r="BB359" s="295">
        <f>'CAR Passenger Kilometres'!V359*'CAR Stock'!V409</f>
        <v>0</v>
      </c>
      <c r="BC359" s="295">
        <f>'CAR Passenger Kilometres'!W359*'CAR Stock'!W409</f>
        <v>0</v>
      </c>
      <c r="BD359" s="295">
        <f>'CAR Passenger Kilometres'!X359*'CAR Stock'!X409</f>
        <v>0</v>
      </c>
      <c r="BE359" s="295">
        <f>'CAR Passenger Kilometres'!Y359*'CAR Stock'!Y409</f>
        <v>0</v>
      </c>
      <c r="BF359" s="295">
        <f>'CAR Passenger Kilometres'!Z359*'CAR Stock'!Z409</f>
        <v>0</v>
      </c>
      <c r="BG359" s="295">
        <f>'CAR Passenger Kilometres'!AA359*'CAR Stock'!AA409</f>
        <v>0</v>
      </c>
      <c r="BH359" s="295">
        <f>'CAR Passenger Kilometres'!AB359*'CAR Stock'!AB409</f>
        <v>0</v>
      </c>
      <c r="BI359" s="295">
        <f>'CAR Passenger Kilometres'!AC359*'CAR Stock'!AC409</f>
        <v>0</v>
      </c>
      <c r="BJ359" s="295">
        <f>'CAR Passenger Kilometres'!AD359*'CAR Stock'!AD409</f>
        <v>0</v>
      </c>
      <c r="BK359" s="296">
        <f>'CAR Passenger Kilometres'!AE359*'CAR Stock'!AE409</f>
        <v>0</v>
      </c>
    </row>
    <row r="360" spans="1:63">
      <c r="A360" s="1711"/>
      <c r="B360" s="116">
        <v>9</v>
      </c>
      <c r="C360" s="294">
        <f>'CAR Mileage'!C381*CAR!$I$58</f>
        <v>17886.843910970765</v>
      </c>
      <c r="D360" s="295">
        <f>'CAR Mileage'!D381*CAR!$I$58</f>
        <v>17886.843910970765</v>
      </c>
      <c r="E360" s="295">
        <f>'CAR Mileage'!E381*CAR!$I$58</f>
        <v>17886.843910970765</v>
      </c>
      <c r="F360" s="295">
        <f>'CAR Mileage'!F381*CAR!$I$58</f>
        <v>17886.843910970765</v>
      </c>
      <c r="G360" s="295">
        <f>'CAR Mileage'!G381*CAR!$I$58</f>
        <v>17886.843910970765</v>
      </c>
      <c r="H360" s="295">
        <f>'CAR Mileage'!H381*CAR!$I$58</f>
        <v>17886.843910970765</v>
      </c>
      <c r="I360" s="295">
        <f>'CAR Mileage'!I381*CAR!$I$58</f>
        <v>17886.843910970765</v>
      </c>
      <c r="J360" s="295">
        <f>'CAR Mileage'!J381*CAR!$I$58</f>
        <v>17886.843910970765</v>
      </c>
      <c r="K360" s="295">
        <f>'CAR Mileage'!K381*CAR!$I$58</f>
        <v>17886.843910970765</v>
      </c>
      <c r="L360" s="295">
        <f>'CAR Mileage'!L381*CAR!$I$58</f>
        <v>17886.843910970765</v>
      </c>
      <c r="M360" s="295">
        <f>'CAR Mileage'!M381*CAR!$I$58</f>
        <v>17886.843910970765</v>
      </c>
      <c r="N360" s="295">
        <f>'CAR Mileage'!N381*CAR!$I$58</f>
        <v>17886.843910970765</v>
      </c>
      <c r="O360" s="295">
        <f>'CAR Mileage'!O381*CAR!$I$58</f>
        <v>17886.843910970765</v>
      </c>
      <c r="P360" s="295">
        <f>'CAR Mileage'!P381*CAR!$I$58</f>
        <v>17886.843910970765</v>
      </c>
      <c r="Q360" s="295">
        <f>'CAR Mileage'!Q381*CAR!$I$58</f>
        <v>17886.843910970765</v>
      </c>
      <c r="R360" s="295">
        <f>'CAR Mileage'!R381*CAR!$I$58</f>
        <v>17886.843910970765</v>
      </c>
      <c r="S360" s="295">
        <f>'CAR Mileage'!S381*CAR!$I$58</f>
        <v>17886.843910970765</v>
      </c>
      <c r="T360" s="295">
        <f>'CAR Mileage'!T381*CAR!$I$58</f>
        <v>17886.843910970765</v>
      </c>
      <c r="U360" s="295">
        <f>'CAR Mileage'!U381*CAR!$I$58</f>
        <v>17886.843910970765</v>
      </c>
      <c r="V360" s="295">
        <f>'CAR Mileage'!V381*CAR!$I$58</f>
        <v>17886.843910970765</v>
      </c>
      <c r="W360" s="295">
        <f>'CAR Mileage'!W381*CAR!$I$58</f>
        <v>17886.843910970765</v>
      </c>
      <c r="X360" s="295">
        <f>'CAR Mileage'!X381*CAR!$I$58</f>
        <v>17886.843910970765</v>
      </c>
      <c r="Y360" s="295">
        <f>'CAR Mileage'!Y381*CAR!$I$58</f>
        <v>17886.843910970765</v>
      </c>
      <c r="Z360" s="295">
        <f>'CAR Mileage'!Z381*CAR!$I$58</f>
        <v>17886.843910970765</v>
      </c>
      <c r="AA360" s="295">
        <f>'CAR Mileage'!AA381*CAR!$I$58</f>
        <v>17886.843910970765</v>
      </c>
      <c r="AB360" s="295">
        <f>'CAR Mileage'!AB381*CAR!$I$58</f>
        <v>17886.843910970765</v>
      </c>
      <c r="AC360" s="295">
        <f>'CAR Mileage'!AC381*CAR!$I$58</f>
        <v>17886.843910970765</v>
      </c>
      <c r="AD360" s="295">
        <f>'CAR Mileage'!AD381*CAR!$I$58</f>
        <v>17886.843910970765</v>
      </c>
      <c r="AE360" s="296">
        <f>'CAR Mileage'!AE381*CAR!$I$58</f>
        <v>17886.843910970765</v>
      </c>
      <c r="AG360" s="1711"/>
      <c r="AH360" s="116">
        <v>9</v>
      </c>
      <c r="AI360" s="294">
        <f>'CAR Passenger Kilometres'!C360*'CAR Stock'!C410</f>
        <v>0</v>
      </c>
      <c r="AJ360" s="295">
        <f>'CAR Passenger Kilometres'!D360*'CAR Stock'!D410</f>
        <v>0</v>
      </c>
      <c r="AK360" s="295">
        <f>'CAR Passenger Kilometres'!E360*'CAR Stock'!E410</f>
        <v>0</v>
      </c>
      <c r="AL360" s="295">
        <f>'CAR Passenger Kilometres'!F360*'CAR Stock'!F410</f>
        <v>0</v>
      </c>
      <c r="AM360" s="295">
        <f>'CAR Passenger Kilometres'!G360*'CAR Stock'!G410</f>
        <v>0</v>
      </c>
      <c r="AN360" s="295">
        <f>'CAR Passenger Kilometres'!H360*'CAR Stock'!H410</f>
        <v>0</v>
      </c>
      <c r="AO360" s="295">
        <f>'CAR Passenger Kilometres'!I360*'CAR Stock'!I410</f>
        <v>0</v>
      </c>
      <c r="AP360" s="295">
        <f>'CAR Passenger Kilometres'!J360*'CAR Stock'!J410</f>
        <v>0</v>
      </c>
      <c r="AQ360" s="295">
        <f>'CAR Passenger Kilometres'!K360*'CAR Stock'!K410</f>
        <v>0</v>
      </c>
      <c r="AR360" s="295">
        <f>'CAR Passenger Kilometres'!L360*'CAR Stock'!L410</f>
        <v>0</v>
      </c>
      <c r="AS360" s="295">
        <f>'CAR Passenger Kilometres'!M360*'CAR Stock'!M410</f>
        <v>0</v>
      </c>
      <c r="AT360" s="295">
        <f>'CAR Passenger Kilometres'!N360*'CAR Stock'!N410</f>
        <v>0</v>
      </c>
      <c r="AU360" s="295">
        <f>'CAR Passenger Kilometres'!O360*'CAR Stock'!O410</f>
        <v>0</v>
      </c>
      <c r="AV360" s="295">
        <f>'CAR Passenger Kilometres'!P360*'CAR Stock'!P410</f>
        <v>0</v>
      </c>
      <c r="AW360" s="295">
        <f>'CAR Passenger Kilometres'!Q360*'CAR Stock'!Q410</f>
        <v>0</v>
      </c>
      <c r="AX360" s="295">
        <f>'CAR Passenger Kilometres'!R360*'CAR Stock'!R410</f>
        <v>0</v>
      </c>
      <c r="AY360" s="295">
        <f>'CAR Passenger Kilometres'!S360*'CAR Stock'!S410</f>
        <v>0</v>
      </c>
      <c r="AZ360" s="295">
        <f>'CAR Passenger Kilometres'!T360*'CAR Stock'!T410</f>
        <v>0</v>
      </c>
      <c r="BA360" s="295">
        <f>'CAR Passenger Kilometres'!U360*'CAR Stock'!U410</f>
        <v>0</v>
      </c>
      <c r="BB360" s="295">
        <f>'CAR Passenger Kilometres'!V360*'CAR Stock'!V410</f>
        <v>0</v>
      </c>
      <c r="BC360" s="295">
        <f>'CAR Passenger Kilometres'!W360*'CAR Stock'!W410</f>
        <v>0</v>
      </c>
      <c r="BD360" s="295">
        <f>'CAR Passenger Kilometres'!X360*'CAR Stock'!X410</f>
        <v>0</v>
      </c>
      <c r="BE360" s="295">
        <f>'CAR Passenger Kilometres'!Y360*'CAR Stock'!Y410</f>
        <v>0</v>
      </c>
      <c r="BF360" s="295">
        <f>'CAR Passenger Kilometres'!Z360*'CAR Stock'!Z410</f>
        <v>0</v>
      </c>
      <c r="BG360" s="295">
        <f>'CAR Passenger Kilometres'!AA360*'CAR Stock'!AA410</f>
        <v>0</v>
      </c>
      <c r="BH360" s="295">
        <f>'CAR Passenger Kilometres'!AB360*'CAR Stock'!AB410</f>
        <v>0</v>
      </c>
      <c r="BI360" s="295">
        <f>'CAR Passenger Kilometres'!AC360*'CAR Stock'!AC410</f>
        <v>0</v>
      </c>
      <c r="BJ360" s="295">
        <f>'CAR Passenger Kilometres'!AD360*'CAR Stock'!AD410</f>
        <v>0</v>
      </c>
      <c r="BK360" s="296">
        <f>'CAR Passenger Kilometres'!AE360*'CAR Stock'!AE410</f>
        <v>0</v>
      </c>
    </row>
    <row r="361" spans="1:63">
      <c r="A361" s="1711"/>
      <c r="B361" s="116">
        <v>10</v>
      </c>
      <c r="C361" s="294">
        <f>'CAR Mileage'!C382*CAR!$I$58</f>
        <v>17529.107032751348</v>
      </c>
      <c r="D361" s="295">
        <f>'CAR Mileage'!D382*CAR!$I$58</f>
        <v>17529.107032751348</v>
      </c>
      <c r="E361" s="295">
        <f>'CAR Mileage'!E382*CAR!$I$58</f>
        <v>17529.107032751348</v>
      </c>
      <c r="F361" s="295">
        <f>'CAR Mileage'!F382*CAR!$I$58</f>
        <v>17529.107032751348</v>
      </c>
      <c r="G361" s="295">
        <f>'CAR Mileage'!G382*CAR!$I$58</f>
        <v>17529.107032751348</v>
      </c>
      <c r="H361" s="295">
        <f>'CAR Mileage'!H382*CAR!$I$58</f>
        <v>17529.107032751348</v>
      </c>
      <c r="I361" s="295">
        <f>'CAR Mileage'!I382*CAR!$I$58</f>
        <v>17529.107032751348</v>
      </c>
      <c r="J361" s="295">
        <f>'CAR Mileage'!J382*CAR!$I$58</f>
        <v>17529.107032751348</v>
      </c>
      <c r="K361" s="295">
        <f>'CAR Mileage'!K382*CAR!$I$58</f>
        <v>17529.107032751348</v>
      </c>
      <c r="L361" s="295">
        <f>'CAR Mileage'!L382*CAR!$I$58</f>
        <v>17529.107032751348</v>
      </c>
      <c r="M361" s="295">
        <f>'CAR Mileage'!M382*CAR!$I$58</f>
        <v>17529.107032751348</v>
      </c>
      <c r="N361" s="295">
        <f>'CAR Mileage'!N382*CAR!$I$58</f>
        <v>17529.107032751348</v>
      </c>
      <c r="O361" s="295">
        <f>'CAR Mileage'!O382*CAR!$I$58</f>
        <v>17529.107032751348</v>
      </c>
      <c r="P361" s="295">
        <f>'CAR Mileage'!P382*CAR!$I$58</f>
        <v>17529.107032751348</v>
      </c>
      <c r="Q361" s="295">
        <f>'CAR Mileage'!Q382*CAR!$I$58</f>
        <v>17529.107032751348</v>
      </c>
      <c r="R361" s="295">
        <f>'CAR Mileage'!R382*CAR!$I$58</f>
        <v>17529.107032751348</v>
      </c>
      <c r="S361" s="295">
        <f>'CAR Mileage'!S382*CAR!$I$58</f>
        <v>17529.107032751348</v>
      </c>
      <c r="T361" s="295">
        <f>'CAR Mileage'!T382*CAR!$I$58</f>
        <v>17529.107032751348</v>
      </c>
      <c r="U361" s="295">
        <f>'CAR Mileage'!U382*CAR!$I$58</f>
        <v>17529.107032751348</v>
      </c>
      <c r="V361" s="295">
        <f>'CAR Mileage'!V382*CAR!$I$58</f>
        <v>17529.107032751348</v>
      </c>
      <c r="W361" s="295">
        <f>'CAR Mileage'!W382*CAR!$I$58</f>
        <v>17529.107032751348</v>
      </c>
      <c r="X361" s="295">
        <f>'CAR Mileage'!X382*CAR!$I$58</f>
        <v>17529.107032751348</v>
      </c>
      <c r="Y361" s="295">
        <f>'CAR Mileage'!Y382*CAR!$I$58</f>
        <v>17529.107032751348</v>
      </c>
      <c r="Z361" s="295">
        <f>'CAR Mileage'!Z382*CAR!$I$58</f>
        <v>17529.107032751348</v>
      </c>
      <c r="AA361" s="295">
        <f>'CAR Mileage'!AA382*CAR!$I$58</f>
        <v>17529.107032751348</v>
      </c>
      <c r="AB361" s="295">
        <f>'CAR Mileage'!AB382*CAR!$I$58</f>
        <v>17529.107032751348</v>
      </c>
      <c r="AC361" s="295">
        <f>'CAR Mileage'!AC382*CAR!$I$58</f>
        <v>17529.107032751348</v>
      </c>
      <c r="AD361" s="295">
        <f>'CAR Mileage'!AD382*CAR!$I$58</f>
        <v>17529.107032751348</v>
      </c>
      <c r="AE361" s="296">
        <f>'CAR Mileage'!AE382*CAR!$I$58</f>
        <v>17529.107032751348</v>
      </c>
      <c r="AG361" s="1711"/>
      <c r="AH361" s="116">
        <v>10</v>
      </c>
      <c r="AI361" s="294">
        <f>'CAR Passenger Kilometres'!C361*'CAR Stock'!C411</f>
        <v>0</v>
      </c>
      <c r="AJ361" s="295">
        <f>'CAR Passenger Kilometres'!D361*'CAR Stock'!D411</f>
        <v>0</v>
      </c>
      <c r="AK361" s="295">
        <f>'CAR Passenger Kilometres'!E361*'CAR Stock'!E411</f>
        <v>0</v>
      </c>
      <c r="AL361" s="295">
        <f>'CAR Passenger Kilometres'!F361*'CAR Stock'!F411</f>
        <v>0</v>
      </c>
      <c r="AM361" s="295">
        <f>'CAR Passenger Kilometres'!G361*'CAR Stock'!G411</f>
        <v>0</v>
      </c>
      <c r="AN361" s="295">
        <f>'CAR Passenger Kilometres'!H361*'CAR Stock'!H411</f>
        <v>0</v>
      </c>
      <c r="AO361" s="295">
        <f>'CAR Passenger Kilometres'!I361*'CAR Stock'!I411</f>
        <v>0</v>
      </c>
      <c r="AP361" s="295">
        <f>'CAR Passenger Kilometres'!J361*'CAR Stock'!J411</f>
        <v>0</v>
      </c>
      <c r="AQ361" s="295">
        <f>'CAR Passenger Kilometres'!K361*'CAR Stock'!K411</f>
        <v>0</v>
      </c>
      <c r="AR361" s="295">
        <f>'CAR Passenger Kilometres'!L361*'CAR Stock'!L411</f>
        <v>0</v>
      </c>
      <c r="AS361" s="295">
        <f>'CAR Passenger Kilometres'!M361*'CAR Stock'!M411</f>
        <v>0</v>
      </c>
      <c r="AT361" s="295">
        <f>'CAR Passenger Kilometres'!N361*'CAR Stock'!N411</f>
        <v>0</v>
      </c>
      <c r="AU361" s="295">
        <f>'CAR Passenger Kilometres'!O361*'CAR Stock'!O411</f>
        <v>0</v>
      </c>
      <c r="AV361" s="295">
        <f>'CAR Passenger Kilometres'!P361*'CAR Stock'!P411</f>
        <v>0</v>
      </c>
      <c r="AW361" s="295">
        <f>'CAR Passenger Kilometres'!Q361*'CAR Stock'!Q411</f>
        <v>0</v>
      </c>
      <c r="AX361" s="295">
        <f>'CAR Passenger Kilometres'!R361*'CAR Stock'!R411</f>
        <v>0</v>
      </c>
      <c r="AY361" s="295">
        <f>'CAR Passenger Kilometres'!S361*'CAR Stock'!S411</f>
        <v>0</v>
      </c>
      <c r="AZ361" s="295">
        <f>'CAR Passenger Kilometres'!T361*'CAR Stock'!T411</f>
        <v>0</v>
      </c>
      <c r="BA361" s="295">
        <f>'CAR Passenger Kilometres'!U361*'CAR Stock'!U411</f>
        <v>0</v>
      </c>
      <c r="BB361" s="295">
        <f>'CAR Passenger Kilometres'!V361*'CAR Stock'!V411</f>
        <v>0</v>
      </c>
      <c r="BC361" s="295">
        <f>'CAR Passenger Kilometres'!W361*'CAR Stock'!W411</f>
        <v>0</v>
      </c>
      <c r="BD361" s="295">
        <f>'CAR Passenger Kilometres'!X361*'CAR Stock'!X411</f>
        <v>0</v>
      </c>
      <c r="BE361" s="295">
        <f>'CAR Passenger Kilometres'!Y361*'CAR Stock'!Y411</f>
        <v>0</v>
      </c>
      <c r="BF361" s="295">
        <f>'CAR Passenger Kilometres'!Z361*'CAR Stock'!Z411</f>
        <v>0</v>
      </c>
      <c r="BG361" s="295">
        <f>'CAR Passenger Kilometres'!AA361*'CAR Stock'!AA411</f>
        <v>0</v>
      </c>
      <c r="BH361" s="295">
        <f>'CAR Passenger Kilometres'!AB361*'CAR Stock'!AB411</f>
        <v>0</v>
      </c>
      <c r="BI361" s="295">
        <f>'CAR Passenger Kilometres'!AC361*'CAR Stock'!AC411</f>
        <v>0</v>
      </c>
      <c r="BJ361" s="295">
        <f>'CAR Passenger Kilometres'!AD361*'CAR Stock'!AD411</f>
        <v>0</v>
      </c>
      <c r="BK361" s="296">
        <f>'CAR Passenger Kilometres'!AE361*'CAR Stock'!AE411</f>
        <v>0</v>
      </c>
    </row>
    <row r="362" spans="1:63">
      <c r="A362" s="1711"/>
      <c r="B362" s="116">
        <v>11</v>
      </c>
      <c r="C362" s="294">
        <f>'CAR Mileage'!C383*CAR!$I$58</f>
        <v>17178.52489209632</v>
      </c>
      <c r="D362" s="295">
        <f>'CAR Mileage'!D383*CAR!$I$58</f>
        <v>17178.52489209632</v>
      </c>
      <c r="E362" s="295">
        <f>'CAR Mileage'!E383*CAR!$I$58</f>
        <v>17178.52489209632</v>
      </c>
      <c r="F362" s="295">
        <f>'CAR Mileage'!F383*CAR!$I$58</f>
        <v>17178.52489209632</v>
      </c>
      <c r="G362" s="295">
        <f>'CAR Mileage'!G383*CAR!$I$58</f>
        <v>17178.52489209632</v>
      </c>
      <c r="H362" s="295">
        <f>'CAR Mileage'!H383*CAR!$I$58</f>
        <v>17178.52489209632</v>
      </c>
      <c r="I362" s="295">
        <f>'CAR Mileage'!I383*CAR!$I$58</f>
        <v>17178.52489209632</v>
      </c>
      <c r="J362" s="295">
        <f>'CAR Mileage'!J383*CAR!$I$58</f>
        <v>17178.52489209632</v>
      </c>
      <c r="K362" s="295">
        <f>'CAR Mileage'!K383*CAR!$I$58</f>
        <v>17178.52489209632</v>
      </c>
      <c r="L362" s="295">
        <f>'CAR Mileage'!L383*CAR!$I$58</f>
        <v>17178.52489209632</v>
      </c>
      <c r="M362" s="295">
        <f>'CAR Mileage'!M383*CAR!$I$58</f>
        <v>17178.52489209632</v>
      </c>
      <c r="N362" s="295">
        <f>'CAR Mileage'!N383*CAR!$I$58</f>
        <v>17178.52489209632</v>
      </c>
      <c r="O362" s="295">
        <f>'CAR Mileage'!O383*CAR!$I$58</f>
        <v>17178.52489209632</v>
      </c>
      <c r="P362" s="295">
        <f>'CAR Mileage'!P383*CAR!$I$58</f>
        <v>17178.52489209632</v>
      </c>
      <c r="Q362" s="295">
        <f>'CAR Mileage'!Q383*CAR!$I$58</f>
        <v>17178.52489209632</v>
      </c>
      <c r="R362" s="295">
        <f>'CAR Mileage'!R383*CAR!$I$58</f>
        <v>17178.52489209632</v>
      </c>
      <c r="S362" s="295">
        <f>'CAR Mileage'!S383*CAR!$I$58</f>
        <v>17178.52489209632</v>
      </c>
      <c r="T362" s="295">
        <f>'CAR Mileage'!T383*CAR!$I$58</f>
        <v>17178.52489209632</v>
      </c>
      <c r="U362" s="295">
        <f>'CAR Mileage'!U383*CAR!$I$58</f>
        <v>17178.52489209632</v>
      </c>
      <c r="V362" s="295">
        <f>'CAR Mileage'!V383*CAR!$I$58</f>
        <v>17178.52489209632</v>
      </c>
      <c r="W362" s="295">
        <f>'CAR Mileage'!W383*CAR!$I$58</f>
        <v>17178.52489209632</v>
      </c>
      <c r="X362" s="295">
        <f>'CAR Mileage'!X383*CAR!$I$58</f>
        <v>17178.52489209632</v>
      </c>
      <c r="Y362" s="295">
        <f>'CAR Mileage'!Y383*CAR!$I$58</f>
        <v>17178.52489209632</v>
      </c>
      <c r="Z362" s="295">
        <f>'CAR Mileage'!Z383*CAR!$I$58</f>
        <v>17178.52489209632</v>
      </c>
      <c r="AA362" s="295">
        <f>'CAR Mileage'!AA383*CAR!$I$58</f>
        <v>17178.52489209632</v>
      </c>
      <c r="AB362" s="295">
        <f>'CAR Mileage'!AB383*CAR!$I$58</f>
        <v>17178.52489209632</v>
      </c>
      <c r="AC362" s="295">
        <f>'CAR Mileage'!AC383*CAR!$I$58</f>
        <v>17178.52489209632</v>
      </c>
      <c r="AD362" s="295">
        <f>'CAR Mileage'!AD383*CAR!$I$58</f>
        <v>17178.52489209632</v>
      </c>
      <c r="AE362" s="296">
        <f>'CAR Mileage'!AE383*CAR!$I$58</f>
        <v>17178.52489209632</v>
      </c>
      <c r="AG362" s="1711"/>
      <c r="AH362" s="116">
        <v>11</v>
      </c>
      <c r="AI362" s="294">
        <f>'CAR Passenger Kilometres'!C362*'CAR Stock'!C412</f>
        <v>17178.52489209632</v>
      </c>
      <c r="AJ362" s="295">
        <f>'CAR Passenger Kilometres'!D362*'CAR Stock'!D412</f>
        <v>0</v>
      </c>
      <c r="AK362" s="295">
        <f>'CAR Passenger Kilometres'!E362*'CAR Stock'!E412</f>
        <v>0</v>
      </c>
      <c r="AL362" s="295">
        <f>'CAR Passenger Kilometres'!F362*'CAR Stock'!F412</f>
        <v>0</v>
      </c>
      <c r="AM362" s="295">
        <f>'CAR Passenger Kilometres'!G362*'CAR Stock'!G412</f>
        <v>0</v>
      </c>
      <c r="AN362" s="295">
        <f>'CAR Passenger Kilometres'!H362*'CAR Stock'!H412</f>
        <v>0</v>
      </c>
      <c r="AO362" s="295">
        <f>'CAR Passenger Kilometres'!I362*'CAR Stock'!I412</f>
        <v>0</v>
      </c>
      <c r="AP362" s="295">
        <f>'CAR Passenger Kilometres'!J362*'CAR Stock'!J412</f>
        <v>0</v>
      </c>
      <c r="AQ362" s="295">
        <f>'CAR Passenger Kilometres'!K362*'CAR Stock'!K412</f>
        <v>0</v>
      </c>
      <c r="AR362" s="295">
        <f>'CAR Passenger Kilometres'!L362*'CAR Stock'!L412</f>
        <v>0</v>
      </c>
      <c r="AS362" s="295">
        <f>'CAR Passenger Kilometres'!M362*'CAR Stock'!M412</f>
        <v>0</v>
      </c>
      <c r="AT362" s="295">
        <f>'CAR Passenger Kilometres'!N362*'CAR Stock'!N412</f>
        <v>0</v>
      </c>
      <c r="AU362" s="295">
        <f>'CAR Passenger Kilometres'!O362*'CAR Stock'!O412</f>
        <v>0</v>
      </c>
      <c r="AV362" s="295">
        <f>'CAR Passenger Kilometres'!P362*'CAR Stock'!P412</f>
        <v>0</v>
      </c>
      <c r="AW362" s="295">
        <f>'CAR Passenger Kilometres'!Q362*'CAR Stock'!Q412</f>
        <v>0</v>
      </c>
      <c r="AX362" s="295">
        <f>'CAR Passenger Kilometres'!R362*'CAR Stock'!R412</f>
        <v>0</v>
      </c>
      <c r="AY362" s="295">
        <f>'CAR Passenger Kilometres'!S362*'CAR Stock'!S412</f>
        <v>0</v>
      </c>
      <c r="AZ362" s="295">
        <f>'CAR Passenger Kilometres'!T362*'CAR Stock'!T412</f>
        <v>0</v>
      </c>
      <c r="BA362" s="295">
        <f>'CAR Passenger Kilometres'!U362*'CAR Stock'!U412</f>
        <v>0</v>
      </c>
      <c r="BB362" s="295">
        <f>'CAR Passenger Kilometres'!V362*'CAR Stock'!V412</f>
        <v>0</v>
      </c>
      <c r="BC362" s="295">
        <f>'CAR Passenger Kilometres'!W362*'CAR Stock'!W412</f>
        <v>0</v>
      </c>
      <c r="BD362" s="295">
        <f>'CAR Passenger Kilometres'!X362*'CAR Stock'!X412</f>
        <v>0</v>
      </c>
      <c r="BE362" s="295">
        <f>'CAR Passenger Kilometres'!Y362*'CAR Stock'!Y412</f>
        <v>0</v>
      </c>
      <c r="BF362" s="295">
        <f>'CAR Passenger Kilometres'!Z362*'CAR Stock'!Z412</f>
        <v>0</v>
      </c>
      <c r="BG362" s="295">
        <f>'CAR Passenger Kilometres'!AA362*'CAR Stock'!AA412</f>
        <v>0</v>
      </c>
      <c r="BH362" s="295">
        <f>'CAR Passenger Kilometres'!AB362*'CAR Stock'!AB412</f>
        <v>0</v>
      </c>
      <c r="BI362" s="295">
        <f>'CAR Passenger Kilometres'!AC362*'CAR Stock'!AC412</f>
        <v>0</v>
      </c>
      <c r="BJ362" s="295">
        <f>'CAR Passenger Kilometres'!AD362*'CAR Stock'!AD412</f>
        <v>0</v>
      </c>
      <c r="BK362" s="296">
        <f>'CAR Passenger Kilometres'!AE362*'CAR Stock'!AE412</f>
        <v>0</v>
      </c>
    </row>
    <row r="363" spans="1:63">
      <c r="A363" s="1711"/>
      <c r="B363" s="116">
        <v>12</v>
      </c>
      <c r="C363" s="294">
        <f>'CAR Mileage'!C384*CAR!$I$58</f>
        <v>16834.954394254393</v>
      </c>
      <c r="D363" s="295">
        <f>'CAR Mileage'!D384*CAR!$I$58</f>
        <v>16834.954394254393</v>
      </c>
      <c r="E363" s="295">
        <f>'CAR Mileage'!E384*CAR!$I$58</f>
        <v>16834.954394254393</v>
      </c>
      <c r="F363" s="295">
        <f>'CAR Mileage'!F384*CAR!$I$58</f>
        <v>16834.954394254393</v>
      </c>
      <c r="G363" s="295">
        <f>'CAR Mileage'!G384*CAR!$I$58</f>
        <v>16834.954394254393</v>
      </c>
      <c r="H363" s="295">
        <f>'CAR Mileage'!H384*CAR!$I$58</f>
        <v>16834.954394254393</v>
      </c>
      <c r="I363" s="295">
        <f>'CAR Mileage'!I384*CAR!$I$58</f>
        <v>16834.954394254393</v>
      </c>
      <c r="J363" s="295">
        <f>'CAR Mileage'!J384*CAR!$I$58</f>
        <v>16834.954394254393</v>
      </c>
      <c r="K363" s="295">
        <f>'CAR Mileage'!K384*CAR!$I$58</f>
        <v>16834.954394254393</v>
      </c>
      <c r="L363" s="295">
        <f>'CAR Mileage'!L384*CAR!$I$58</f>
        <v>16834.954394254393</v>
      </c>
      <c r="M363" s="295">
        <f>'CAR Mileage'!M384*CAR!$I$58</f>
        <v>16834.954394254393</v>
      </c>
      <c r="N363" s="295">
        <f>'CAR Mileage'!N384*CAR!$I$58</f>
        <v>16834.954394254393</v>
      </c>
      <c r="O363" s="295">
        <f>'CAR Mileage'!O384*CAR!$I$58</f>
        <v>16834.954394254393</v>
      </c>
      <c r="P363" s="295">
        <f>'CAR Mileage'!P384*CAR!$I$58</f>
        <v>16834.954394254393</v>
      </c>
      <c r="Q363" s="295">
        <f>'CAR Mileage'!Q384*CAR!$I$58</f>
        <v>16834.954394254393</v>
      </c>
      <c r="R363" s="295">
        <f>'CAR Mileage'!R384*CAR!$I$58</f>
        <v>16834.954394254393</v>
      </c>
      <c r="S363" s="295">
        <f>'CAR Mileage'!S384*CAR!$I$58</f>
        <v>16834.954394254393</v>
      </c>
      <c r="T363" s="295">
        <f>'CAR Mileage'!T384*CAR!$I$58</f>
        <v>16834.954394254393</v>
      </c>
      <c r="U363" s="295">
        <f>'CAR Mileage'!U384*CAR!$I$58</f>
        <v>16834.954394254393</v>
      </c>
      <c r="V363" s="295">
        <f>'CAR Mileage'!V384*CAR!$I$58</f>
        <v>16834.954394254393</v>
      </c>
      <c r="W363" s="295">
        <f>'CAR Mileage'!W384*CAR!$I$58</f>
        <v>16834.954394254393</v>
      </c>
      <c r="X363" s="295">
        <f>'CAR Mileage'!X384*CAR!$I$58</f>
        <v>16834.954394254393</v>
      </c>
      <c r="Y363" s="295">
        <f>'CAR Mileage'!Y384*CAR!$I$58</f>
        <v>16834.954394254393</v>
      </c>
      <c r="Z363" s="295">
        <f>'CAR Mileage'!Z384*CAR!$I$58</f>
        <v>16834.954394254393</v>
      </c>
      <c r="AA363" s="295">
        <f>'CAR Mileage'!AA384*CAR!$I$58</f>
        <v>16834.954394254393</v>
      </c>
      <c r="AB363" s="295">
        <f>'CAR Mileage'!AB384*CAR!$I$58</f>
        <v>16834.954394254393</v>
      </c>
      <c r="AC363" s="295">
        <f>'CAR Mileage'!AC384*CAR!$I$58</f>
        <v>16834.954394254393</v>
      </c>
      <c r="AD363" s="295">
        <f>'CAR Mileage'!AD384*CAR!$I$58</f>
        <v>16834.954394254393</v>
      </c>
      <c r="AE363" s="296">
        <f>'CAR Mileage'!AE384*CAR!$I$58</f>
        <v>16834.954394254393</v>
      </c>
      <c r="AG363" s="1711"/>
      <c r="AH363" s="116">
        <v>12</v>
      </c>
      <c r="AI363" s="294">
        <f>'CAR Passenger Kilometres'!C363*'CAR Stock'!C413</f>
        <v>33669.908788508787</v>
      </c>
      <c r="AJ363" s="295">
        <f>'CAR Passenger Kilometres'!D363*'CAR Stock'!D413</f>
        <v>12213.037088743817</v>
      </c>
      <c r="AK363" s="295">
        <f>'CAR Passenger Kilometres'!E363*'CAR Stock'!E413</f>
        <v>0</v>
      </c>
      <c r="AL363" s="295">
        <f>'CAR Passenger Kilometres'!F363*'CAR Stock'!F413</f>
        <v>0</v>
      </c>
      <c r="AM363" s="295">
        <f>'CAR Passenger Kilometres'!G363*'CAR Stock'!G413</f>
        <v>0</v>
      </c>
      <c r="AN363" s="295">
        <f>'CAR Passenger Kilometres'!H363*'CAR Stock'!H413</f>
        <v>0</v>
      </c>
      <c r="AO363" s="295">
        <f>'CAR Passenger Kilometres'!I363*'CAR Stock'!I413</f>
        <v>0</v>
      </c>
      <c r="AP363" s="295">
        <f>'CAR Passenger Kilometres'!J363*'CAR Stock'!J413</f>
        <v>0</v>
      </c>
      <c r="AQ363" s="295">
        <f>'CAR Passenger Kilometres'!K363*'CAR Stock'!K413</f>
        <v>0</v>
      </c>
      <c r="AR363" s="295">
        <f>'CAR Passenger Kilometres'!L363*'CAR Stock'!L413</f>
        <v>0</v>
      </c>
      <c r="AS363" s="295">
        <f>'CAR Passenger Kilometres'!M363*'CAR Stock'!M413</f>
        <v>0</v>
      </c>
      <c r="AT363" s="295">
        <f>'CAR Passenger Kilometres'!N363*'CAR Stock'!N413</f>
        <v>0</v>
      </c>
      <c r="AU363" s="295">
        <f>'CAR Passenger Kilometres'!O363*'CAR Stock'!O413</f>
        <v>0</v>
      </c>
      <c r="AV363" s="295">
        <f>'CAR Passenger Kilometres'!P363*'CAR Stock'!P413</f>
        <v>0</v>
      </c>
      <c r="AW363" s="295">
        <f>'CAR Passenger Kilometres'!Q363*'CAR Stock'!Q413</f>
        <v>0</v>
      </c>
      <c r="AX363" s="295">
        <f>'CAR Passenger Kilometres'!R363*'CAR Stock'!R413</f>
        <v>0</v>
      </c>
      <c r="AY363" s="295">
        <f>'CAR Passenger Kilometres'!S363*'CAR Stock'!S413</f>
        <v>0</v>
      </c>
      <c r="AZ363" s="295">
        <f>'CAR Passenger Kilometres'!T363*'CAR Stock'!T413</f>
        <v>0</v>
      </c>
      <c r="BA363" s="295">
        <f>'CAR Passenger Kilometres'!U363*'CAR Stock'!U413</f>
        <v>0</v>
      </c>
      <c r="BB363" s="295">
        <f>'CAR Passenger Kilometres'!V363*'CAR Stock'!V413</f>
        <v>0</v>
      </c>
      <c r="BC363" s="295">
        <f>'CAR Passenger Kilometres'!W363*'CAR Stock'!W413</f>
        <v>0</v>
      </c>
      <c r="BD363" s="295">
        <f>'CAR Passenger Kilometres'!X363*'CAR Stock'!X413</f>
        <v>0</v>
      </c>
      <c r="BE363" s="295">
        <f>'CAR Passenger Kilometres'!Y363*'CAR Stock'!Y413</f>
        <v>0</v>
      </c>
      <c r="BF363" s="295">
        <f>'CAR Passenger Kilometres'!Z363*'CAR Stock'!Z413</f>
        <v>0</v>
      </c>
      <c r="BG363" s="295">
        <f>'CAR Passenger Kilometres'!AA363*'CAR Stock'!AA413</f>
        <v>0</v>
      </c>
      <c r="BH363" s="295">
        <f>'CAR Passenger Kilometres'!AB363*'CAR Stock'!AB413</f>
        <v>0</v>
      </c>
      <c r="BI363" s="295">
        <f>'CAR Passenger Kilometres'!AC363*'CAR Stock'!AC413</f>
        <v>0</v>
      </c>
      <c r="BJ363" s="295">
        <f>'CAR Passenger Kilometres'!AD363*'CAR Stock'!AD413</f>
        <v>0</v>
      </c>
      <c r="BK363" s="296">
        <f>'CAR Passenger Kilometres'!AE363*'CAR Stock'!AE413</f>
        <v>0</v>
      </c>
    </row>
    <row r="364" spans="1:63">
      <c r="A364" s="1711"/>
      <c r="B364" s="116">
        <v>13</v>
      </c>
      <c r="C364" s="294">
        <f>'CAR Mileage'!C385*CAR!$I$58</f>
        <v>16498.255306369305</v>
      </c>
      <c r="D364" s="295">
        <f>'CAR Mileage'!D385*CAR!$I$58</f>
        <v>16498.255306369305</v>
      </c>
      <c r="E364" s="295">
        <f>'CAR Mileage'!E385*CAR!$I$58</f>
        <v>16498.255306369305</v>
      </c>
      <c r="F364" s="295">
        <f>'CAR Mileage'!F385*CAR!$I$58</f>
        <v>16498.255306369305</v>
      </c>
      <c r="G364" s="295">
        <f>'CAR Mileage'!G385*CAR!$I$58</f>
        <v>16498.255306369305</v>
      </c>
      <c r="H364" s="295">
        <f>'CAR Mileage'!H385*CAR!$I$58</f>
        <v>16498.255306369305</v>
      </c>
      <c r="I364" s="295">
        <f>'CAR Mileage'!I385*CAR!$I$58</f>
        <v>16498.255306369305</v>
      </c>
      <c r="J364" s="295">
        <f>'CAR Mileage'!J385*CAR!$I$58</f>
        <v>16498.255306369305</v>
      </c>
      <c r="K364" s="295">
        <f>'CAR Mileage'!K385*CAR!$I$58</f>
        <v>16498.255306369305</v>
      </c>
      <c r="L364" s="295">
        <f>'CAR Mileage'!L385*CAR!$I$58</f>
        <v>16498.255306369305</v>
      </c>
      <c r="M364" s="295">
        <f>'CAR Mileage'!M385*CAR!$I$58</f>
        <v>16498.255306369305</v>
      </c>
      <c r="N364" s="295">
        <f>'CAR Mileage'!N385*CAR!$I$58</f>
        <v>16498.255306369305</v>
      </c>
      <c r="O364" s="295">
        <f>'CAR Mileage'!O385*CAR!$I$58</f>
        <v>16498.255306369305</v>
      </c>
      <c r="P364" s="295">
        <f>'CAR Mileage'!P385*CAR!$I$58</f>
        <v>16498.255306369305</v>
      </c>
      <c r="Q364" s="295">
        <f>'CAR Mileage'!Q385*CAR!$I$58</f>
        <v>16498.255306369305</v>
      </c>
      <c r="R364" s="295">
        <f>'CAR Mileage'!R385*CAR!$I$58</f>
        <v>16498.255306369305</v>
      </c>
      <c r="S364" s="295">
        <f>'CAR Mileage'!S385*CAR!$I$58</f>
        <v>16498.255306369305</v>
      </c>
      <c r="T364" s="295">
        <f>'CAR Mileage'!T385*CAR!$I$58</f>
        <v>16498.255306369305</v>
      </c>
      <c r="U364" s="295">
        <f>'CAR Mileage'!U385*CAR!$I$58</f>
        <v>16498.255306369305</v>
      </c>
      <c r="V364" s="295">
        <f>'CAR Mileage'!V385*CAR!$I$58</f>
        <v>16498.255306369305</v>
      </c>
      <c r="W364" s="295">
        <f>'CAR Mileage'!W385*CAR!$I$58</f>
        <v>16498.255306369305</v>
      </c>
      <c r="X364" s="295">
        <f>'CAR Mileage'!X385*CAR!$I$58</f>
        <v>16498.255306369305</v>
      </c>
      <c r="Y364" s="295">
        <f>'CAR Mileage'!Y385*CAR!$I$58</f>
        <v>16498.255306369305</v>
      </c>
      <c r="Z364" s="295">
        <f>'CAR Mileage'!Z385*CAR!$I$58</f>
        <v>16498.255306369305</v>
      </c>
      <c r="AA364" s="295">
        <f>'CAR Mileage'!AA385*CAR!$I$58</f>
        <v>16498.255306369305</v>
      </c>
      <c r="AB364" s="295">
        <f>'CAR Mileage'!AB385*CAR!$I$58</f>
        <v>16498.255306369305</v>
      </c>
      <c r="AC364" s="295">
        <f>'CAR Mileage'!AC385*CAR!$I$58</f>
        <v>16498.255306369305</v>
      </c>
      <c r="AD364" s="295">
        <f>'CAR Mileage'!AD385*CAR!$I$58</f>
        <v>16498.255306369305</v>
      </c>
      <c r="AE364" s="296">
        <f>'CAR Mileage'!AE385*CAR!$I$58</f>
        <v>16498.255306369305</v>
      </c>
      <c r="AG364" s="1711"/>
      <c r="AH364" s="116">
        <v>13</v>
      </c>
      <c r="AI364" s="294">
        <f>'CAR Passenger Kilometres'!C364*'CAR Stock'!C414</f>
        <v>0</v>
      </c>
      <c r="AJ364" s="295">
        <f>'CAR Passenger Kilometres'!D364*'CAR Stock'!D414</f>
        <v>20032.771156674691</v>
      </c>
      <c r="AK364" s="295">
        <f>'CAR Passenger Kilometres'!E364*'CAR Stock'!E414</f>
        <v>7266.4579718221803</v>
      </c>
      <c r="AL364" s="295">
        <f>'CAR Passenger Kilometres'!F364*'CAR Stock'!F414</f>
        <v>0</v>
      </c>
      <c r="AM364" s="295">
        <f>'CAR Passenger Kilometres'!G364*'CAR Stock'!G414</f>
        <v>0</v>
      </c>
      <c r="AN364" s="295">
        <f>'CAR Passenger Kilometres'!H364*'CAR Stock'!H414</f>
        <v>0</v>
      </c>
      <c r="AO364" s="295">
        <f>'CAR Passenger Kilometres'!I364*'CAR Stock'!I414</f>
        <v>0</v>
      </c>
      <c r="AP364" s="295">
        <f>'CAR Passenger Kilometres'!J364*'CAR Stock'!J414</f>
        <v>0</v>
      </c>
      <c r="AQ364" s="295">
        <f>'CAR Passenger Kilometres'!K364*'CAR Stock'!K414</f>
        <v>0</v>
      </c>
      <c r="AR364" s="295">
        <f>'CAR Passenger Kilometres'!L364*'CAR Stock'!L414</f>
        <v>0</v>
      </c>
      <c r="AS364" s="295">
        <f>'CAR Passenger Kilometres'!M364*'CAR Stock'!M414</f>
        <v>0</v>
      </c>
      <c r="AT364" s="295">
        <f>'CAR Passenger Kilometres'!N364*'CAR Stock'!N414</f>
        <v>0</v>
      </c>
      <c r="AU364" s="295">
        <f>'CAR Passenger Kilometres'!O364*'CAR Stock'!O414</f>
        <v>0</v>
      </c>
      <c r="AV364" s="295">
        <f>'CAR Passenger Kilometres'!P364*'CAR Stock'!P414</f>
        <v>0</v>
      </c>
      <c r="AW364" s="295">
        <f>'CAR Passenger Kilometres'!Q364*'CAR Stock'!Q414</f>
        <v>0</v>
      </c>
      <c r="AX364" s="295">
        <f>'CAR Passenger Kilometres'!R364*'CAR Stock'!R414</f>
        <v>0</v>
      </c>
      <c r="AY364" s="295">
        <f>'CAR Passenger Kilometres'!S364*'CAR Stock'!S414</f>
        <v>0</v>
      </c>
      <c r="AZ364" s="295">
        <f>'CAR Passenger Kilometres'!T364*'CAR Stock'!T414</f>
        <v>0</v>
      </c>
      <c r="BA364" s="295">
        <f>'CAR Passenger Kilometres'!U364*'CAR Stock'!U414</f>
        <v>0</v>
      </c>
      <c r="BB364" s="295">
        <f>'CAR Passenger Kilometres'!V364*'CAR Stock'!V414</f>
        <v>0</v>
      </c>
      <c r="BC364" s="295">
        <f>'CAR Passenger Kilometres'!W364*'CAR Stock'!W414</f>
        <v>0</v>
      </c>
      <c r="BD364" s="295">
        <f>'CAR Passenger Kilometres'!X364*'CAR Stock'!X414</f>
        <v>0</v>
      </c>
      <c r="BE364" s="295">
        <f>'CAR Passenger Kilometres'!Y364*'CAR Stock'!Y414</f>
        <v>0</v>
      </c>
      <c r="BF364" s="295">
        <f>'CAR Passenger Kilometres'!Z364*'CAR Stock'!Z414</f>
        <v>0</v>
      </c>
      <c r="BG364" s="295">
        <f>'CAR Passenger Kilometres'!AA364*'CAR Stock'!AA414</f>
        <v>0</v>
      </c>
      <c r="BH364" s="295">
        <f>'CAR Passenger Kilometres'!AB364*'CAR Stock'!AB414</f>
        <v>0</v>
      </c>
      <c r="BI364" s="295">
        <f>'CAR Passenger Kilometres'!AC364*'CAR Stock'!AC414</f>
        <v>0</v>
      </c>
      <c r="BJ364" s="295">
        <f>'CAR Passenger Kilometres'!AD364*'CAR Stock'!AD414</f>
        <v>0</v>
      </c>
      <c r="BK364" s="296">
        <f>'CAR Passenger Kilometres'!AE364*'CAR Stock'!AE414</f>
        <v>0</v>
      </c>
    </row>
    <row r="365" spans="1:63">
      <c r="A365" s="1711"/>
      <c r="B365" s="116">
        <v>14</v>
      </c>
      <c r="C365" s="294">
        <f>'CAR Mileage'!C386*CAR!$I$58</f>
        <v>16168.290200241918</v>
      </c>
      <c r="D365" s="295">
        <f>'CAR Mileage'!D386*CAR!$I$58</f>
        <v>16168.290200241918</v>
      </c>
      <c r="E365" s="295">
        <f>'CAR Mileage'!E386*CAR!$I$58</f>
        <v>16168.290200241918</v>
      </c>
      <c r="F365" s="295">
        <f>'CAR Mileage'!F386*CAR!$I$58</f>
        <v>16168.290200241918</v>
      </c>
      <c r="G365" s="295">
        <f>'CAR Mileage'!G386*CAR!$I$58</f>
        <v>16168.290200241918</v>
      </c>
      <c r="H365" s="295">
        <f>'CAR Mileage'!H386*CAR!$I$58</f>
        <v>16168.290200241918</v>
      </c>
      <c r="I365" s="295">
        <f>'CAR Mileage'!I386*CAR!$I$58</f>
        <v>16168.290200241918</v>
      </c>
      <c r="J365" s="295">
        <f>'CAR Mileage'!J386*CAR!$I$58</f>
        <v>16168.290200241918</v>
      </c>
      <c r="K365" s="295">
        <f>'CAR Mileage'!K386*CAR!$I$58</f>
        <v>16168.290200241918</v>
      </c>
      <c r="L365" s="295">
        <f>'CAR Mileage'!L386*CAR!$I$58</f>
        <v>16168.290200241918</v>
      </c>
      <c r="M365" s="295">
        <f>'CAR Mileage'!M386*CAR!$I$58</f>
        <v>16168.290200241918</v>
      </c>
      <c r="N365" s="295">
        <f>'CAR Mileage'!N386*CAR!$I$58</f>
        <v>16168.290200241918</v>
      </c>
      <c r="O365" s="295">
        <f>'CAR Mileage'!O386*CAR!$I$58</f>
        <v>16168.290200241918</v>
      </c>
      <c r="P365" s="295">
        <f>'CAR Mileage'!P386*CAR!$I$58</f>
        <v>16168.290200241918</v>
      </c>
      <c r="Q365" s="295">
        <f>'CAR Mileage'!Q386*CAR!$I$58</f>
        <v>16168.290200241918</v>
      </c>
      <c r="R365" s="295">
        <f>'CAR Mileage'!R386*CAR!$I$58</f>
        <v>16168.290200241918</v>
      </c>
      <c r="S365" s="295">
        <f>'CAR Mileage'!S386*CAR!$I$58</f>
        <v>16168.290200241918</v>
      </c>
      <c r="T365" s="295">
        <f>'CAR Mileage'!T386*CAR!$I$58</f>
        <v>16168.290200241918</v>
      </c>
      <c r="U365" s="295">
        <f>'CAR Mileage'!U386*CAR!$I$58</f>
        <v>16168.290200241918</v>
      </c>
      <c r="V365" s="295">
        <f>'CAR Mileage'!V386*CAR!$I$58</f>
        <v>16168.290200241918</v>
      </c>
      <c r="W365" s="295">
        <f>'CAR Mileage'!W386*CAR!$I$58</f>
        <v>16168.290200241918</v>
      </c>
      <c r="X365" s="295">
        <f>'CAR Mileage'!X386*CAR!$I$58</f>
        <v>16168.290200241918</v>
      </c>
      <c r="Y365" s="295">
        <f>'CAR Mileage'!Y386*CAR!$I$58</f>
        <v>16168.290200241918</v>
      </c>
      <c r="Z365" s="295">
        <f>'CAR Mileage'!Z386*CAR!$I$58</f>
        <v>16168.290200241918</v>
      </c>
      <c r="AA365" s="295">
        <f>'CAR Mileage'!AA386*CAR!$I$58</f>
        <v>16168.290200241918</v>
      </c>
      <c r="AB365" s="295">
        <f>'CAR Mileage'!AB386*CAR!$I$58</f>
        <v>16168.290200241918</v>
      </c>
      <c r="AC365" s="295">
        <f>'CAR Mileage'!AC386*CAR!$I$58</f>
        <v>16168.290200241918</v>
      </c>
      <c r="AD365" s="295">
        <f>'CAR Mileage'!AD386*CAR!$I$58</f>
        <v>16168.290200241918</v>
      </c>
      <c r="AE365" s="296">
        <f>'CAR Mileage'!AE386*CAR!$I$58</f>
        <v>16168.290200241918</v>
      </c>
      <c r="AG365" s="1711"/>
      <c r="AH365" s="116">
        <v>14</v>
      </c>
      <c r="AI365" s="294">
        <f>'CAR Passenger Kilometres'!C365*'CAR Stock'!C415</f>
        <v>0</v>
      </c>
      <c r="AJ365" s="295">
        <f>'CAR Passenger Kilometres'!D365*'CAR Stock'!D415</f>
        <v>0</v>
      </c>
      <c r="AK365" s="295">
        <f>'CAR Passenger Kilometres'!E365*'CAR Stock'!E415</f>
        <v>9414.7115113930558</v>
      </c>
      <c r="AL365" s="295">
        <f>'CAR Passenger Kilometres'!F365*'CAR Stock'!F415</f>
        <v>3414.9846259075416</v>
      </c>
      <c r="AM365" s="295">
        <f>'CAR Passenger Kilometres'!G365*'CAR Stock'!G415</f>
        <v>0</v>
      </c>
      <c r="AN365" s="295">
        <f>'CAR Passenger Kilometres'!H365*'CAR Stock'!H415</f>
        <v>0</v>
      </c>
      <c r="AO365" s="295">
        <f>'CAR Passenger Kilometres'!I365*'CAR Stock'!I415</f>
        <v>0</v>
      </c>
      <c r="AP365" s="295">
        <f>'CAR Passenger Kilometres'!J365*'CAR Stock'!J415</f>
        <v>0</v>
      </c>
      <c r="AQ365" s="295">
        <f>'CAR Passenger Kilometres'!K365*'CAR Stock'!K415</f>
        <v>0</v>
      </c>
      <c r="AR365" s="295">
        <f>'CAR Passenger Kilometres'!L365*'CAR Stock'!L415</f>
        <v>0</v>
      </c>
      <c r="AS365" s="295">
        <f>'CAR Passenger Kilometres'!M365*'CAR Stock'!M415</f>
        <v>0</v>
      </c>
      <c r="AT365" s="295">
        <f>'CAR Passenger Kilometres'!N365*'CAR Stock'!N415</f>
        <v>0</v>
      </c>
      <c r="AU365" s="295">
        <f>'CAR Passenger Kilometres'!O365*'CAR Stock'!O415</f>
        <v>0</v>
      </c>
      <c r="AV365" s="295">
        <f>'CAR Passenger Kilometres'!P365*'CAR Stock'!P415</f>
        <v>0</v>
      </c>
      <c r="AW365" s="295">
        <f>'CAR Passenger Kilometres'!Q365*'CAR Stock'!Q415</f>
        <v>0</v>
      </c>
      <c r="AX365" s="295">
        <f>'CAR Passenger Kilometres'!R365*'CAR Stock'!R415</f>
        <v>0</v>
      </c>
      <c r="AY365" s="295">
        <f>'CAR Passenger Kilometres'!S365*'CAR Stock'!S415</f>
        <v>0</v>
      </c>
      <c r="AZ365" s="295">
        <f>'CAR Passenger Kilometres'!T365*'CAR Stock'!T415</f>
        <v>0</v>
      </c>
      <c r="BA365" s="295">
        <f>'CAR Passenger Kilometres'!U365*'CAR Stock'!U415</f>
        <v>0</v>
      </c>
      <c r="BB365" s="295">
        <f>'CAR Passenger Kilometres'!V365*'CAR Stock'!V415</f>
        <v>0</v>
      </c>
      <c r="BC365" s="295">
        <f>'CAR Passenger Kilometres'!W365*'CAR Stock'!W415</f>
        <v>0</v>
      </c>
      <c r="BD365" s="295">
        <f>'CAR Passenger Kilometres'!X365*'CAR Stock'!X415</f>
        <v>0</v>
      </c>
      <c r="BE365" s="295">
        <f>'CAR Passenger Kilometres'!Y365*'CAR Stock'!Y415</f>
        <v>0</v>
      </c>
      <c r="BF365" s="295">
        <f>'CAR Passenger Kilometres'!Z365*'CAR Stock'!Z415</f>
        <v>0</v>
      </c>
      <c r="BG365" s="295">
        <f>'CAR Passenger Kilometres'!AA365*'CAR Stock'!AA415</f>
        <v>0</v>
      </c>
      <c r="BH365" s="295">
        <f>'CAR Passenger Kilometres'!AB365*'CAR Stock'!AB415</f>
        <v>0</v>
      </c>
      <c r="BI365" s="295">
        <f>'CAR Passenger Kilometres'!AC365*'CAR Stock'!AC415</f>
        <v>0</v>
      </c>
      <c r="BJ365" s="295">
        <f>'CAR Passenger Kilometres'!AD365*'CAR Stock'!AD415</f>
        <v>0</v>
      </c>
      <c r="BK365" s="296">
        <f>'CAR Passenger Kilometres'!AE365*'CAR Stock'!AE415</f>
        <v>0</v>
      </c>
    </row>
    <row r="366" spans="1:63">
      <c r="A366" s="1711"/>
      <c r="B366" s="116">
        <v>15</v>
      </c>
      <c r="C366" s="294">
        <f>'CAR Mileage'!C387*CAR!$I$58</f>
        <v>15844.92439623708</v>
      </c>
      <c r="D366" s="295">
        <f>'CAR Mileage'!D387*CAR!$I$58</f>
        <v>15844.92439623708</v>
      </c>
      <c r="E366" s="295">
        <f>'CAR Mileage'!E387*CAR!$I$58</f>
        <v>15844.92439623708</v>
      </c>
      <c r="F366" s="295">
        <f>'CAR Mileage'!F387*CAR!$I$58</f>
        <v>15844.92439623708</v>
      </c>
      <c r="G366" s="295">
        <f>'CAR Mileage'!G387*CAR!$I$58</f>
        <v>15844.92439623708</v>
      </c>
      <c r="H366" s="295">
        <f>'CAR Mileage'!H387*CAR!$I$58</f>
        <v>15844.92439623708</v>
      </c>
      <c r="I366" s="295">
        <f>'CAR Mileage'!I387*CAR!$I$58</f>
        <v>15844.92439623708</v>
      </c>
      <c r="J366" s="295">
        <f>'CAR Mileage'!J387*CAR!$I$58</f>
        <v>15844.92439623708</v>
      </c>
      <c r="K366" s="295">
        <f>'CAR Mileage'!K387*CAR!$I$58</f>
        <v>15844.92439623708</v>
      </c>
      <c r="L366" s="295">
        <f>'CAR Mileage'!L387*CAR!$I$58</f>
        <v>15844.92439623708</v>
      </c>
      <c r="M366" s="295">
        <f>'CAR Mileage'!M387*CAR!$I$58</f>
        <v>15844.92439623708</v>
      </c>
      <c r="N366" s="295">
        <f>'CAR Mileage'!N387*CAR!$I$58</f>
        <v>15844.92439623708</v>
      </c>
      <c r="O366" s="295">
        <f>'CAR Mileage'!O387*CAR!$I$58</f>
        <v>15844.92439623708</v>
      </c>
      <c r="P366" s="295">
        <f>'CAR Mileage'!P387*CAR!$I$58</f>
        <v>15844.92439623708</v>
      </c>
      <c r="Q366" s="295">
        <f>'CAR Mileage'!Q387*CAR!$I$58</f>
        <v>15844.92439623708</v>
      </c>
      <c r="R366" s="295">
        <f>'CAR Mileage'!R387*CAR!$I$58</f>
        <v>15844.92439623708</v>
      </c>
      <c r="S366" s="295">
        <f>'CAR Mileage'!S387*CAR!$I$58</f>
        <v>15844.92439623708</v>
      </c>
      <c r="T366" s="295">
        <f>'CAR Mileage'!T387*CAR!$I$58</f>
        <v>15844.92439623708</v>
      </c>
      <c r="U366" s="295">
        <f>'CAR Mileage'!U387*CAR!$I$58</f>
        <v>15844.92439623708</v>
      </c>
      <c r="V366" s="295">
        <f>'CAR Mileage'!V387*CAR!$I$58</f>
        <v>15844.92439623708</v>
      </c>
      <c r="W366" s="295">
        <f>'CAR Mileage'!W387*CAR!$I$58</f>
        <v>15844.92439623708</v>
      </c>
      <c r="X366" s="295">
        <f>'CAR Mileage'!X387*CAR!$I$58</f>
        <v>15844.92439623708</v>
      </c>
      <c r="Y366" s="295">
        <f>'CAR Mileage'!Y387*CAR!$I$58</f>
        <v>15844.92439623708</v>
      </c>
      <c r="Z366" s="295">
        <f>'CAR Mileage'!Z387*CAR!$I$58</f>
        <v>15844.92439623708</v>
      </c>
      <c r="AA366" s="295">
        <f>'CAR Mileage'!AA387*CAR!$I$58</f>
        <v>15844.92439623708</v>
      </c>
      <c r="AB366" s="295">
        <f>'CAR Mileage'!AB387*CAR!$I$58</f>
        <v>15844.92439623708</v>
      </c>
      <c r="AC366" s="295">
        <f>'CAR Mileage'!AC387*CAR!$I$58</f>
        <v>15844.92439623708</v>
      </c>
      <c r="AD366" s="295">
        <f>'CAR Mileage'!AD387*CAR!$I$58</f>
        <v>15844.92439623708</v>
      </c>
      <c r="AE366" s="296">
        <f>'CAR Mileage'!AE387*CAR!$I$58</f>
        <v>15844.92439623708</v>
      </c>
      <c r="AG366" s="1711"/>
      <c r="AH366" s="116">
        <v>15</v>
      </c>
      <c r="AI366" s="294">
        <f>'CAR Passenger Kilometres'!C366*'CAR Stock'!C416</f>
        <v>0</v>
      </c>
      <c r="AJ366" s="295">
        <f>'CAR Passenger Kilometres'!D366*'CAR Stock'!D416</f>
        <v>0</v>
      </c>
      <c r="AK366" s="295">
        <f>'CAR Passenger Kilometres'!E366*'CAR Stock'!E416</f>
        <v>0</v>
      </c>
      <c r="AL366" s="295">
        <f>'CAR Passenger Kilometres'!F366*'CAR Stock'!F416</f>
        <v>3202.7030036760148</v>
      </c>
      <c r="AM366" s="295">
        <f>'CAR Passenger Kilometres'!G366*'CAR Stock'!G416</f>
        <v>1161.7118066407079</v>
      </c>
      <c r="AN366" s="295">
        <f>'CAR Passenger Kilometres'!H366*'CAR Stock'!H416</f>
        <v>0</v>
      </c>
      <c r="AO366" s="295">
        <f>'CAR Passenger Kilometres'!I366*'CAR Stock'!I416</f>
        <v>0</v>
      </c>
      <c r="AP366" s="295">
        <f>'CAR Passenger Kilometres'!J366*'CAR Stock'!J416</f>
        <v>0</v>
      </c>
      <c r="AQ366" s="295">
        <f>'CAR Passenger Kilometres'!K366*'CAR Stock'!K416</f>
        <v>0</v>
      </c>
      <c r="AR366" s="295">
        <f>'CAR Passenger Kilometres'!L366*'CAR Stock'!L416</f>
        <v>0</v>
      </c>
      <c r="AS366" s="295">
        <f>'CAR Passenger Kilometres'!M366*'CAR Stock'!M416</f>
        <v>0</v>
      </c>
      <c r="AT366" s="295">
        <f>'CAR Passenger Kilometres'!N366*'CAR Stock'!N416</f>
        <v>0</v>
      </c>
      <c r="AU366" s="295">
        <f>'CAR Passenger Kilometres'!O366*'CAR Stock'!O416</f>
        <v>0</v>
      </c>
      <c r="AV366" s="295">
        <f>'CAR Passenger Kilometres'!P366*'CAR Stock'!P416</f>
        <v>0</v>
      </c>
      <c r="AW366" s="295">
        <f>'CAR Passenger Kilometres'!Q366*'CAR Stock'!Q416</f>
        <v>0</v>
      </c>
      <c r="AX366" s="295">
        <f>'CAR Passenger Kilometres'!R366*'CAR Stock'!R416</f>
        <v>0</v>
      </c>
      <c r="AY366" s="295">
        <f>'CAR Passenger Kilometres'!S366*'CAR Stock'!S416</f>
        <v>0</v>
      </c>
      <c r="AZ366" s="295">
        <f>'CAR Passenger Kilometres'!T366*'CAR Stock'!T416</f>
        <v>0</v>
      </c>
      <c r="BA366" s="295">
        <f>'CAR Passenger Kilometres'!U366*'CAR Stock'!U416</f>
        <v>0</v>
      </c>
      <c r="BB366" s="295">
        <f>'CAR Passenger Kilometres'!V366*'CAR Stock'!V416</f>
        <v>0</v>
      </c>
      <c r="BC366" s="295">
        <f>'CAR Passenger Kilometres'!W366*'CAR Stock'!W416</f>
        <v>0</v>
      </c>
      <c r="BD366" s="295">
        <f>'CAR Passenger Kilometres'!X366*'CAR Stock'!X416</f>
        <v>0</v>
      </c>
      <c r="BE366" s="295">
        <f>'CAR Passenger Kilometres'!Y366*'CAR Stock'!Y416</f>
        <v>0</v>
      </c>
      <c r="BF366" s="295">
        <f>'CAR Passenger Kilometres'!Z366*'CAR Stock'!Z416</f>
        <v>0</v>
      </c>
      <c r="BG366" s="295">
        <f>'CAR Passenger Kilometres'!AA366*'CAR Stock'!AA416</f>
        <v>0</v>
      </c>
      <c r="BH366" s="295">
        <f>'CAR Passenger Kilometres'!AB366*'CAR Stock'!AB416</f>
        <v>0</v>
      </c>
      <c r="BI366" s="295">
        <f>'CAR Passenger Kilometres'!AC366*'CAR Stock'!AC416</f>
        <v>0</v>
      </c>
      <c r="BJ366" s="295">
        <f>'CAR Passenger Kilometres'!AD366*'CAR Stock'!AD416</f>
        <v>0</v>
      </c>
      <c r="BK366" s="296">
        <f>'CAR Passenger Kilometres'!AE366*'CAR Stock'!AE416</f>
        <v>0</v>
      </c>
    </row>
    <row r="367" spans="1:63">
      <c r="A367" s="1711"/>
      <c r="B367" s="116">
        <v>16</v>
      </c>
      <c r="C367" s="294">
        <f>'CAR Mileage'!C388*CAR!$I$58</f>
        <v>15528.025908312338</v>
      </c>
      <c r="D367" s="295">
        <f>'CAR Mileage'!D388*CAR!$I$58</f>
        <v>15528.025908312338</v>
      </c>
      <c r="E367" s="295">
        <f>'CAR Mileage'!E388*CAR!$I$58</f>
        <v>15528.025908312338</v>
      </c>
      <c r="F367" s="295">
        <f>'CAR Mileage'!F388*CAR!$I$58</f>
        <v>15528.025908312338</v>
      </c>
      <c r="G367" s="295">
        <f>'CAR Mileage'!G388*CAR!$I$58</f>
        <v>15528.025908312338</v>
      </c>
      <c r="H367" s="295">
        <f>'CAR Mileage'!H388*CAR!$I$58</f>
        <v>15528.025908312338</v>
      </c>
      <c r="I367" s="295">
        <f>'CAR Mileage'!I388*CAR!$I$58</f>
        <v>15528.025908312338</v>
      </c>
      <c r="J367" s="295">
        <f>'CAR Mileage'!J388*CAR!$I$58</f>
        <v>15528.025908312338</v>
      </c>
      <c r="K367" s="295">
        <f>'CAR Mileage'!K388*CAR!$I$58</f>
        <v>15528.025908312338</v>
      </c>
      <c r="L367" s="295">
        <f>'CAR Mileage'!L388*CAR!$I$58</f>
        <v>15528.025908312338</v>
      </c>
      <c r="M367" s="295">
        <f>'CAR Mileage'!M388*CAR!$I$58</f>
        <v>15528.025908312338</v>
      </c>
      <c r="N367" s="295">
        <f>'CAR Mileage'!N388*CAR!$I$58</f>
        <v>15528.025908312338</v>
      </c>
      <c r="O367" s="295">
        <f>'CAR Mileage'!O388*CAR!$I$58</f>
        <v>15528.025908312338</v>
      </c>
      <c r="P367" s="295">
        <f>'CAR Mileage'!P388*CAR!$I$58</f>
        <v>15528.025908312338</v>
      </c>
      <c r="Q367" s="295">
        <f>'CAR Mileage'!Q388*CAR!$I$58</f>
        <v>15528.025908312338</v>
      </c>
      <c r="R367" s="295">
        <f>'CAR Mileage'!R388*CAR!$I$58</f>
        <v>15528.025908312338</v>
      </c>
      <c r="S367" s="295">
        <f>'CAR Mileage'!S388*CAR!$I$58</f>
        <v>15528.025908312338</v>
      </c>
      <c r="T367" s="295">
        <f>'CAR Mileage'!T388*CAR!$I$58</f>
        <v>15528.025908312338</v>
      </c>
      <c r="U367" s="295">
        <f>'CAR Mileage'!U388*CAR!$I$58</f>
        <v>15528.025908312338</v>
      </c>
      <c r="V367" s="295">
        <f>'CAR Mileage'!V388*CAR!$I$58</f>
        <v>15528.025908312338</v>
      </c>
      <c r="W367" s="295">
        <f>'CAR Mileage'!W388*CAR!$I$58</f>
        <v>15528.025908312338</v>
      </c>
      <c r="X367" s="295">
        <f>'CAR Mileage'!X388*CAR!$I$58</f>
        <v>15528.025908312338</v>
      </c>
      <c r="Y367" s="295">
        <f>'CAR Mileage'!Y388*CAR!$I$58</f>
        <v>15528.025908312338</v>
      </c>
      <c r="Z367" s="295">
        <f>'CAR Mileage'!Z388*CAR!$I$58</f>
        <v>15528.025908312338</v>
      </c>
      <c r="AA367" s="295">
        <f>'CAR Mileage'!AA388*CAR!$I$58</f>
        <v>15528.025908312338</v>
      </c>
      <c r="AB367" s="295">
        <f>'CAR Mileage'!AB388*CAR!$I$58</f>
        <v>15528.025908312338</v>
      </c>
      <c r="AC367" s="295">
        <f>'CAR Mileage'!AC388*CAR!$I$58</f>
        <v>15528.025908312338</v>
      </c>
      <c r="AD367" s="295">
        <f>'CAR Mileage'!AD388*CAR!$I$58</f>
        <v>15528.025908312338</v>
      </c>
      <c r="AE367" s="296">
        <f>'CAR Mileage'!AE388*CAR!$I$58</f>
        <v>15528.025908312338</v>
      </c>
      <c r="AG367" s="1711"/>
      <c r="AH367" s="116">
        <v>16</v>
      </c>
      <c r="AI367" s="294">
        <f>'CAR Passenger Kilometres'!C367*'CAR Stock'!C417</f>
        <v>0</v>
      </c>
      <c r="AJ367" s="295">
        <f>'CAR Passenger Kilometres'!D367*'CAR Stock'!D417</f>
        <v>0</v>
      </c>
      <c r="AK367" s="295">
        <f>'CAR Passenger Kilometres'!E367*'CAR Stock'!E417</f>
        <v>0</v>
      </c>
      <c r="AL367" s="295">
        <f>'CAR Passenger Kilometres'!F367*'CAR Stock'!F417</f>
        <v>0</v>
      </c>
      <c r="AM367" s="295">
        <f>'CAR Passenger Kilometres'!G367*'CAR Stock'!G417</f>
        <v>980.54792922846264</v>
      </c>
      <c r="AN367" s="295">
        <f>'CAR Passenger Kilometres'!H367*'CAR Stock'!H417</f>
        <v>355.67272552414136</v>
      </c>
      <c r="AO367" s="295">
        <f>'CAR Passenger Kilometres'!I367*'CAR Stock'!I417</f>
        <v>0</v>
      </c>
      <c r="AP367" s="295">
        <f>'CAR Passenger Kilometres'!J367*'CAR Stock'!J417</f>
        <v>0</v>
      </c>
      <c r="AQ367" s="295">
        <f>'CAR Passenger Kilometres'!K367*'CAR Stock'!K417</f>
        <v>0</v>
      </c>
      <c r="AR367" s="295">
        <f>'CAR Passenger Kilometres'!L367*'CAR Stock'!L417</f>
        <v>0</v>
      </c>
      <c r="AS367" s="295">
        <f>'CAR Passenger Kilometres'!M367*'CAR Stock'!M417</f>
        <v>0</v>
      </c>
      <c r="AT367" s="295">
        <f>'CAR Passenger Kilometres'!N367*'CAR Stock'!N417</f>
        <v>0</v>
      </c>
      <c r="AU367" s="295">
        <f>'CAR Passenger Kilometres'!O367*'CAR Stock'!O417</f>
        <v>0</v>
      </c>
      <c r="AV367" s="295">
        <f>'CAR Passenger Kilometres'!P367*'CAR Stock'!P417</f>
        <v>0</v>
      </c>
      <c r="AW367" s="295">
        <f>'CAR Passenger Kilometres'!Q367*'CAR Stock'!Q417</f>
        <v>0</v>
      </c>
      <c r="AX367" s="295">
        <f>'CAR Passenger Kilometres'!R367*'CAR Stock'!R417</f>
        <v>0</v>
      </c>
      <c r="AY367" s="295">
        <f>'CAR Passenger Kilometres'!S367*'CAR Stock'!S417</f>
        <v>0</v>
      </c>
      <c r="AZ367" s="295">
        <f>'CAR Passenger Kilometres'!T367*'CAR Stock'!T417</f>
        <v>0</v>
      </c>
      <c r="BA367" s="295">
        <f>'CAR Passenger Kilometres'!U367*'CAR Stock'!U417</f>
        <v>0</v>
      </c>
      <c r="BB367" s="295">
        <f>'CAR Passenger Kilometres'!V367*'CAR Stock'!V417</f>
        <v>0</v>
      </c>
      <c r="BC367" s="295">
        <f>'CAR Passenger Kilometres'!W367*'CAR Stock'!W417</f>
        <v>0</v>
      </c>
      <c r="BD367" s="295">
        <f>'CAR Passenger Kilometres'!X367*'CAR Stock'!X417</f>
        <v>0</v>
      </c>
      <c r="BE367" s="295">
        <f>'CAR Passenger Kilometres'!Y367*'CAR Stock'!Y417</f>
        <v>0</v>
      </c>
      <c r="BF367" s="295">
        <f>'CAR Passenger Kilometres'!Z367*'CAR Stock'!Z417</f>
        <v>0</v>
      </c>
      <c r="BG367" s="295">
        <f>'CAR Passenger Kilometres'!AA367*'CAR Stock'!AA417</f>
        <v>0</v>
      </c>
      <c r="BH367" s="295">
        <f>'CAR Passenger Kilometres'!AB367*'CAR Stock'!AB417</f>
        <v>0</v>
      </c>
      <c r="BI367" s="295">
        <f>'CAR Passenger Kilometres'!AC367*'CAR Stock'!AC417</f>
        <v>0</v>
      </c>
      <c r="BJ367" s="295">
        <f>'CAR Passenger Kilometres'!AD367*'CAR Stock'!AD417</f>
        <v>0</v>
      </c>
      <c r="BK367" s="296">
        <f>'CAR Passenger Kilometres'!AE367*'CAR Stock'!AE417</f>
        <v>0</v>
      </c>
    </row>
    <row r="368" spans="1:63">
      <c r="A368" s="1711"/>
      <c r="B368" s="116">
        <v>17</v>
      </c>
      <c r="C368" s="294">
        <f>'CAR Mileage'!C389*CAR!$I$58</f>
        <v>15528.025908312338</v>
      </c>
      <c r="D368" s="295">
        <f>'CAR Mileage'!D389*CAR!$I$58</f>
        <v>15528.025908312338</v>
      </c>
      <c r="E368" s="295">
        <f>'CAR Mileage'!E389*CAR!$I$58</f>
        <v>15528.025908312338</v>
      </c>
      <c r="F368" s="295">
        <f>'CAR Mileage'!F389*CAR!$I$58</f>
        <v>15528.025908312338</v>
      </c>
      <c r="G368" s="295">
        <f>'CAR Mileage'!G389*CAR!$I$58</f>
        <v>15528.025908312338</v>
      </c>
      <c r="H368" s="295">
        <f>'CAR Mileage'!H389*CAR!$I$58</f>
        <v>15528.025908312338</v>
      </c>
      <c r="I368" s="295">
        <f>'CAR Mileage'!I389*CAR!$I$58</f>
        <v>15528.025908312338</v>
      </c>
      <c r="J368" s="295">
        <f>'CAR Mileage'!J389*CAR!$I$58</f>
        <v>15528.025908312338</v>
      </c>
      <c r="K368" s="295">
        <f>'CAR Mileage'!K389*CAR!$I$58</f>
        <v>15528.025908312338</v>
      </c>
      <c r="L368" s="295">
        <f>'CAR Mileage'!L389*CAR!$I$58</f>
        <v>15528.025908312338</v>
      </c>
      <c r="M368" s="295">
        <f>'CAR Mileage'!M389*CAR!$I$58</f>
        <v>15528.025908312338</v>
      </c>
      <c r="N368" s="295">
        <f>'CAR Mileage'!N389*CAR!$I$58</f>
        <v>15528.025908312338</v>
      </c>
      <c r="O368" s="295">
        <f>'CAR Mileage'!O389*CAR!$I$58</f>
        <v>15528.025908312338</v>
      </c>
      <c r="P368" s="295">
        <f>'CAR Mileage'!P389*CAR!$I$58</f>
        <v>15528.025908312338</v>
      </c>
      <c r="Q368" s="295">
        <f>'CAR Mileage'!Q389*CAR!$I$58</f>
        <v>15528.025908312338</v>
      </c>
      <c r="R368" s="295">
        <f>'CAR Mileage'!R389*CAR!$I$58</f>
        <v>15528.025908312338</v>
      </c>
      <c r="S368" s="295">
        <f>'CAR Mileage'!S389*CAR!$I$58</f>
        <v>15528.025908312338</v>
      </c>
      <c r="T368" s="295">
        <f>'CAR Mileage'!T389*CAR!$I$58</f>
        <v>15528.025908312338</v>
      </c>
      <c r="U368" s="295">
        <f>'CAR Mileage'!U389*CAR!$I$58</f>
        <v>15528.025908312338</v>
      </c>
      <c r="V368" s="295">
        <f>'CAR Mileage'!V389*CAR!$I$58</f>
        <v>15528.025908312338</v>
      </c>
      <c r="W368" s="295">
        <f>'CAR Mileage'!W389*CAR!$I$58</f>
        <v>15528.025908312338</v>
      </c>
      <c r="X368" s="295">
        <f>'CAR Mileage'!X389*CAR!$I$58</f>
        <v>15528.025908312338</v>
      </c>
      <c r="Y368" s="295">
        <f>'CAR Mileage'!Y389*CAR!$I$58</f>
        <v>15528.025908312338</v>
      </c>
      <c r="Z368" s="295">
        <f>'CAR Mileage'!Z389*CAR!$I$58</f>
        <v>15528.025908312338</v>
      </c>
      <c r="AA368" s="295">
        <f>'CAR Mileage'!AA389*CAR!$I$58</f>
        <v>15528.025908312338</v>
      </c>
      <c r="AB368" s="295">
        <f>'CAR Mileage'!AB389*CAR!$I$58</f>
        <v>15528.025908312338</v>
      </c>
      <c r="AC368" s="295">
        <f>'CAR Mileage'!AC389*CAR!$I$58</f>
        <v>15528.025908312338</v>
      </c>
      <c r="AD368" s="295">
        <f>'CAR Mileage'!AD389*CAR!$I$58</f>
        <v>15528.025908312338</v>
      </c>
      <c r="AE368" s="296">
        <f>'CAR Mileage'!AE389*CAR!$I$58</f>
        <v>15528.025908312338</v>
      </c>
      <c r="AG368" s="1711"/>
      <c r="AH368" s="116">
        <v>17</v>
      </c>
      <c r="AI368" s="294">
        <f>'CAR Passenger Kilometres'!C368*'CAR Stock'!C418</f>
        <v>0</v>
      </c>
      <c r="AJ368" s="295">
        <f>'CAR Passenger Kilometres'!D368*'CAR Stock'!D418</f>
        <v>0</v>
      </c>
      <c r="AK368" s="295">
        <f>'CAR Passenger Kilometres'!E368*'CAR Stock'!E418</f>
        <v>0</v>
      </c>
      <c r="AL368" s="295">
        <f>'CAR Passenger Kilometres'!F368*'CAR Stock'!F418</f>
        <v>0</v>
      </c>
      <c r="AM368" s="295">
        <f>'CAR Passenger Kilometres'!G368*'CAR Stock'!G418</f>
        <v>0</v>
      </c>
      <c r="AN368" s="295">
        <f>'CAR Passenger Kilometres'!H368*'CAR Stock'!H418</f>
        <v>272.29670651026055</v>
      </c>
      <c r="AO368" s="295">
        <f>'CAR Passenger Kilometres'!I368*'CAR Stock'!I418</f>
        <v>98.769788675150394</v>
      </c>
      <c r="AP368" s="295">
        <f>'CAR Passenger Kilometres'!J368*'CAR Stock'!J418</f>
        <v>0</v>
      </c>
      <c r="AQ368" s="295">
        <f>'CAR Passenger Kilometres'!K368*'CAR Stock'!K418</f>
        <v>0</v>
      </c>
      <c r="AR368" s="295">
        <f>'CAR Passenger Kilometres'!L368*'CAR Stock'!L418</f>
        <v>0</v>
      </c>
      <c r="AS368" s="295">
        <f>'CAR Passenger Kilometres'!M368*'CAR Stock'!M418</f>
        <v>0</v>
      </c>
      <c r="AT368" s="295">
        <f>'CAR Passenger Kilometres'!N368*'CAR Stock'!N418</f>
        <v>0</v>
      </c>
      <c r="AU368" s="295">
        <f>'CAR Passenger Kilometres'!O368*'CAR Stock'!O418</f>
        <v>0</v>
      </c>
      <c r="AV368" s="295">
        <f>'CAR Passenger Kilometres'!P368*'CAR Stock'!P418</f>
        <v>0</v>
      </c>
      <c r="AW368" s="295">
        <f>'CAR Passenger Kilometres'!Q368*'CAR Stock'!Q418</f>
        <v>0</v>
      </c>
      <c r="AX368" s="295">
        <f>'CAR Passenger Kilometres'!R368*'CAR Stock'!R418</f>
        <v>0</v>
      </c>
      <c r="AY368" s="295">
        <f>'CAR Passenger Kilometres'!S368*'CAR Stock'!S418</f>
        <v>0</v>
      </c>
      <c r="AZ368" s="295">
        <f>'CAR Passenger Kilometres'!T368*'CAR Stock'!T418</f>
        <v>0</v>
      </c>
      <c r="BA368" s="295">
        <f>'CAR Passenger Kilometres'!U368*'CAR Stock'!U418</f>
        <v>0</v>
      </c>
      <c r="BB368" s="295">
        <f>'CAR Passenger Kilometres'!V368*'CAR Stock'!V418</f>
        <v>0</v>
      </c>
      <c r="BC368" s="295">
        <f>'CAR Passenger Kilometres'!W368*'CAR Stock'!W418</f>
        <v>0</v>
      </c>
      <c r="BD368" s="295">
        <f>'CAR Passenger Kilometres'!X368*'CAR Stock'!X418</f>
        <v>0</v>
      </c>
      <c r="BE368" s="295">
        <f>'CAR Passenger Kilometres'!Y368*'CAR Stock'!Y418</f>
        <v>0</v>
      </c>
      <c r="BF368" s="295">
        <f>'CAR Passenger Kilometres'!Z368*'CAR Stock'!Z418</f>
        <v>0</v>
      </c>
      <c r="BG368" s="295">
        <f>'CAR Passenger Kilometres'!AA368*'CAR Stock'!AA418</f>
        <v>0</v>
      </c>
      <c r="BH368" s="295">
        <f>'CAR Passenger Kilometres'!AB368*'CAR Stock'!AB418</f>
        <v>0</v>
      </c>
      <c r="BI368" s="295">
        <f>'CAR Passenger Kilometres'!AC368*'CAR Stock'!AC418</f>
        <v>0</v>
      </c>
      <c r="BJ368" s="295">
        <f>'CAR Passenger Kilometres'!AD368*'CAR Stock'!AD418</f>
        <v>0</v>
      </c>
      <c r="BK368" s="296">
        <f>'CAR Passenger Kilometres'!AE368*'CAR Stock'!AE418</f>
        <v>0</v>
      </c>
    </row>
    <row r="369" spans="1:63">
      <c r="A369" s="1711"/>
      <c r="B369" s="116">
        <v>18</v>
      </c>
      <c r="C369" s="294">
        <f>'CAR Mileage'!C390*CAR!$I$58</f>
        <v>15528.025908312338</v>
      </c>
      <c r="D369" s="295">
        <f>'CAR Mileage'!D390*CAR!$I$58</f>
        <v>15528.025908312338</v>
      </c>
      <c r="E369" s="295">
        <f>'CAR Mileage'!E390*CAR!$I$58</f>
        <v>15528.025908312338</v>
      </c>
      <c r="F369" s="295">
        <f>'CAR Mileage'!F390*CAR!$I$58</f>
        <v>15528.025908312338</v>
      </c>
      <c r="G369" s="295">
        <f>'CAR Mileage'!G390*CAR!$I$58</f>
        <v>15528.025908312338</v>
      </c>
      <c r="H369" s="295">
        <f>'CAR Mileage'!H390*CAR!$I$58</f>
        <v>15528.025908312338</v>
      </c>
      <c r="I369" s="295">
        <f>'CAR Mileage'!I390*CAR!$I$58</f>
        <v>15528.025908312338</v>
      </c>
      <c r="J369" s="295">
        <f>'CAR Mileage'!J390*CAR!$I$58</f>
        <v>15528.025908312338</v>
      </c>
      <c r="K369" s="295">
        <f>'CAR Mileage'!K390*CAR!$I$58</f>
        <v>15528.025908312338</v>
      </c>
      <c r="L369" s="295">
        <f>'CAR Mileage'!L390*CAR!$I$58</f>
        <v>15528.025908312338</v>
      </c>
      <c r="M369" s="295">
        <f>'CAR Mileage'!M390*CAR!$I$58</f>
        <v>15528.025908312338</v>
      </c>
      <c r="N369" s="295">
        <f>'CAR Mileage'!N390*CAR!$I$58</f>
        <v>15528.025908312338</v>
      </c>
      <c r="O369" s="295">
        <f>'CAR Mileage'!O390*CAR!$I$58</f>
        <v>15528.025908312338</v>
      </c>
      <c r="P369" s="295">
        <f>'CAR Mileage'!P390*CAR!$I$58</f>
        <v>15528.025908312338</v>
      </c>
      <c r="Q369" s="295">
        <f>'CAR Mileage'!Q390*CAR!$I$58</f>
        <v>15528.025908312338</v>
      </c>
      <c r="R369" s="295">
        <f>'CAR Mileage'!R390*CAR!$I$58</f>
        <v>15528.025908312338</v>
      </c>
      <c r="S369" s="295">
        <f>'CAR Mileage'!S390*CAR!$I$58</f>
        <v>15528.025908312338</v>
      </c>
      <c r="T369" s="295">
        <f>'CAR Mileage'!T390*CAR!$I$58</f>
        <v>15528.025908312338</v>
      </c>
      <c r="U369" s="295">
        <f>'CAR Mileage'!U390*CAR!$I$58</f>
        <v>15528.025908312338</v>
      </c>
      <c r="V369" s="295">
        <f>'CAR Mileage'!V390*CAR!$I$58</f>
        <v>15528.025908312338</v>
      </c>
      <c r="W369" s="295">
        <f>'CAR Mileage'!W390*CAR!$I$58</f>
        <v>15528.025908312338</v>
      </c>
      <c r="X369" s="295">
        <f>'CAR Mileage'!X390*CAR!$I$58</f>
        <v>15528.025908312338</v>
      </c>
      <c r="Y369" s="295">
        <f>'CAR Mileage'!Y390*CAR!$I$58</f>
        <v>15528.025908312338</v>
      </c>
      <c r="Z369" s="295">
        <f>'CAR Mileage'!Z390*CAR!$I$58</f>
        <v>15528.025908312338</v>
      </c>
      <c r="AA369" s="295">
        <f>'CAR Mileage'!AA390*CAR!$I$58</f>
        <v>15528.025908312338</v>
      </c>
      <c r="AB369" s="295">
        <f>'CAR Mileage'!AB390*CAR!$I$58</f>
        <v>15528.025908312338</v>
      </c>
      <c r="AC369" s="295">
        <f>'CAR Mileage'!AC390*CAR!$I$58</f>
        <v>15528.025908312338</v>
      </c>
      <c r="AD369" s="295">
        <f>'CAR Mileage'!AD390*CAR!$I$58</f>
        <v>15528.025908312338</v>
      </c>
      <c r="AE369" s="296">
        <f>'CAR Mileage'!AE390*CAR!$I$58</f>
        <v>15528.025908312338</v>
      </c>
      <c r="AG369" s="1711"/>
      <c r="AH369" s="116">
        <v>18</v>
      </c>
      <c r="AI369" s="294">
        <f>'CAR Passenger Kilometres'!C369*'CAR Stock'!C419</f>
        <v>0</v>
      </c>
      <c r="AJ369" s="295">
        <f>'CAR Passenger Kilometres'!D369*'CAR Stock'!D419</f>
        <v>0</v>
      </c>
      <c r="AK369" s="295">
        <f>'CAR Passenger Kilometres'!E369*'CAR Stock'!E419</f>
        <v>0</v>
      </c>
      <c r="AL369" s="295">
        <f>'CAR Passenger Kilometres'!F369*'CAR Stock'!F419</f>
        <v>0</v>
      </c>
      <c r="AM369" s="295">
        <f>'CAR Passenger Kilometres'!G369*'CAR Stock'!G419</f>
        <v>0</v>
      </c>
      <c r="AN369" s="295">
        <f>'CAR Passenger Kilometres'!H369*'CAR Stock'!H419</f>
        <v>0</v>
      </c>
      <c r="AO369" s="295">
        <f>'CAR Passenger Kilometres'!I369*'CAR Stock'!I419</f>
        <v>66.164342808149485</v>
      </c>
      <c r="AP369" s="295">
        <f>'CAR Passenger Kilometres'!J369*'CAR Stock'!J419</f>
        <v>23.999695922671332</v>
      </c>
      <c r="AQ369" s="295">
        <f>'CAR Passenger Kilometres'!K369*'CAR Stock'!K419</f>
        <v>0</v>
      </c>
      <c r="AR369" s="295">
        <f>'CAR Passenger Kilometres'!L369*'CAR Stock'!L419</f>
        <v>0</v>
      </c>
      <c r="AS369" s="295">
        <f>'CAR Passenger Kilometres'!M369*'CAR Stock'!M419</f>
        <v>0</v>
      </c>
      <c r="AT369" s="295">
        <f>'CAR Passenger Kilometres'!N369*'CAR Stock'!N419</f>
        <v>0</v>
      </c>
      <c r="AU369" s="295">
        <f>'CAR Passenger Kilometres'!O369*'CAR Stock'!O419</f>
        <v>0</v>
      </c>
      <c r="AV369" s="295">
        <f>'CAR Passenger Kilometres'!P369*'CAR Stock'!P419</f>
        <v>0</v>
      </c>
      <c r="AW369" s="295">
        <f>'CAR Passenger Kilometres'!Q369*'CAR Stock'!Q419</f>
        <v>0</v>
      </c>
      <c r="AX369" s="295">
        <f>'CAR Passenger Kilometres'!R369*'CAR Stock'!R419</f>
        <v>0</v>
      </c>
      <c r="AY369" s="295">
        <f>'CAR Passenger Kilometres'!S369*'CAR Stock'!S419</f>
        <v>0</v>
      </c>
      <c r="AZ369" s="295">
        <f>'CAR Passenger Kilometres'!T369*'CAR Stock'!T419</f>
        <v>0</v>
      </c>
      <c r="BA369" s="295">
        <f>'CAR Passenger Kilometres'!U369*'CAR Stock'!U419</f>
        <v>0</v>
      </c>
      <c r="BB369" s="295">
        <f>'CAR Passenger Kilometres'!V369*'CAR Stock'!V419</f>
        <v>0</v>
      </c>
      <c r="BC369" s="295">
        <f>'CAR Passenger Kilometres'!W369*'CAR Stock'!W419</f>
        <v>0</v>
      </c>
      <c r="BD369" s="295">
        <f>'CAR Passenger Kilometres'!X369*'CAR Stock'!X419</f>
        <v>0</v>
      </c>
      <c r="BE369" s="295">
        <f>'CAR Passenger Kilometres'!Y369*'CAR Stock'!Y419</f>
        <v>0</v>
      </c>
      <c r="BF369" s="295">
        <f>'CAR Passenger Kilometres'!Z369*'CAR Stock'!Z419</f>
        <v>0</v>
      </c>
      <c r="BG369" s="295">
        <f>'CAR Passenger Kilometres'!AA369*'CAR Stock'!AA419</f>
        <v>0</v>
      </c>
      <c r="BH369" s="295">
        <f>'CAR Passenger Kilometres'!AB369*'CAR Stock'!AB419</f>
        <v>0</v>
      </c>
      <c r="BI369" s="295">
        <f>'CAR Passenger Kilometres'!AC369*'CAR Stock'!AC419</f>
        <v>0</v>
      </c>
      <c r="BJ369" s="295">
        <f>'CAR Passenger Kilometres'!AD369*'CAR Stock'!AD419</f>
        <v>0</v>
      </c>
      <c r="BK369" s="296">
        <f>'CAR Passenger Kilometres'!AE369*'CAR Stock'!AE419</f>
        <v>0</v>
      </c>
    </row>
    <row r="370" spans="1:63">
      <c r="A370" s="1711"/>
      <c r="B370" s="116">
        <v>19</v>
      </c>
      <c r="C370" s="294">
        <f>'CAR Mileage'!C391*CAR!$I$58</f>
        <v>15528.025908312338</v>
      </c>
      <c r="D370" s="295">
        <f>'CAR Mileage'!D391*CAR!$I$58</f>
        <v>15528.025908312338</v>
      </c>
      <c r="E370" s="295">
        <f>'CAR Mileage'!E391*CAR!$I$58</f>
        <v>15528.025908312338</v>
      </c>
      <c r="F370" s="295">
        <f>'CAR Mileage'!F391*CAR!$I$58</f>
        <v>15528.025908312338</v>
      </c>
      <c r="G370" s="295">
        <f>'CAR Mileage'!G391*CAR!$I$58</f>
        <v>15528.025908312338</v>
      </c>
      <c r="H370" s="295">
        <f>'CAR Mileage'!H391*CAR!$I$58</f>
        <v>15528.025908312338</v>
      </c>
      <c r="I370" s="295">
        <f>'CAR Mileage'!I391*CAR!$I$58</f>
        <v>15528.025908312338</v>
      </c>
      <c r="J370" s="295">
        <f>'CAR Mileage'!J391*CAR!$I$58</f>
        <v>15528.025908312338</v>
      </c>
      <c r="K370" s="295">
        <f>'CAR Mileage'!K391*CAR!$I$58</f>
        <v>15528.025908312338</v>
      </c>
      <c r="L370" s="295">
        <f>'CAR Mileage'!L391*CAR!$I$58</f>
        <v>15528.025908312338</v>
      </c>
      <c r="M370" s="295">
        <f>'CAR Mileage'!M391*CAR!$I$58</f>
        <v>15528.025908312338</v>
      </c>
      <c r="N370" s="295">
        <f>'CAR Mileage'!N391*CAR!$I$58</f>
        <v>15528.025908312338</v>
      </c>
      <c r="O370" s="295">
        <f>'CAR Mileage'!O391*CAR!$I$58</f>
        <v>15528.025908312338</v>
      </c>
      <c r="P370" s="295">
        <f>'CAR Mileage'!P391*CAR!$I$58</f>
        <v>15528.025908312338</v>
      </c>
      <c r="Q370" s="295">
        <f>'CAR Mileage'!Q391*CAR!$I$58</f>
        <v>15528.025908312338</v>
      </c>
      <c r="R370" s="295">
        <f>'CAR Mileage'!R391*CAR!$I$58</f>
        <v>15528.025908312338</v>
      </c>
      <c r="S370" s="295">
        <f>'CAR Mileage'!S391*CAR!$I$58</f>
        <v>15528.025908312338</v>
      </c>
      <c r="T370" s="295">
        <f>'CAR Mileage'!T391*CAR!$I$58</f>
        <v>15528.025908312338</v>
      </c>
      <c r="U370" s="295">
        <f>'CAR Mileage'!U391*CAR!$I$58</f>
        <v>15528.025908312338</v>
      </c>
      <c r="V370" s="295">
        <f>'CAR Mileage'!V391*CAR!$I$58</f>
        <v>15528.025908312338</v>
      </c>
      <c r="W370" s="295">
        <f>'CAR Mileage'!W391*CAR!$I$58</f>
        <v>15528.025908312338</v>
      </c>
      <c r="X370" s="295">
        <f>'CAR Mileage'!X391*CAR!$I$58</f>
        <v>15528.025908312338</v>
      </c>
      <c r="Y370" s="295">
        <f>'CAR Mileage'!Y391*CAR!$I$58</f>
        <v>15528.025908312338</v>
      </c>
      <c r="Z370" s="295">
        <f>'CAR Mileage'!Z391*CAR!$I$58</f>
        <v>15528.025908312338</v>
      </c>
      <c r="AA370" s="295">
        <f>'CAR Mileage'!AA391*CAR!$I$58</f>
        <v>15528.025908312338</v>
      </c>
      <c r="AB370" s="295">
        <f>'CAR Mileage'!AB391*CAR!$I$58</f>
        <v>15528.025908312338</v>
      </c>
      <c r="AC370" s="295">
        <f>'CAR Mileage'!AC391*CAR!$I$58</f>
        <v>15528.025908312338</v>
      </c>
      <c r="AD370" s="295">
        <f>'CAR Mileage'!AD391*CAR!$I$58</f>
        <v>15528.025908312338</v>
      </c>
      <c r="AE370" s="296">
        <f>'CAR Mileage'!AE391*CAR!$I$58</f>
        <v>15528.025908312338</v>
      </c>
      <c r="AG370" s="1711"/>
      <c r="AH370" s="116">
        <v>19</v>
      </c>
      <c r="AI370" s="294">
        <f>'CAR Passenger Kilometres'!C370*'CAR Stock'!C420</f>
        <v>0</v>
      </c>
      <c r="AJ370" s="295">
        <f>'CAR Passenger Kilometres'!D370*'CAR Stock'!D420</f>
        <v>0</v>
      </c>
      <c r="AK370" s="295">
        <f>'CAR Passenger Kilometres'!E370*'CAR Stock'!E420</f>
        <v>0</v>
      </c>
      <c r="AL370" s="295">
        <f>'CAR Passenger Kilometres'!F370*'CAR Stock'!F420</f>
        <v>0</v>
      </c>
      <c r="AM370" s="295">
        <f>'CAR Passenger Kilometres'!G370*'CAR Stock'!G420</f>
        <v>0</v>
      </c>
      <c r="AN370" s="295">
        <f>'CAR Passenger Kilometres'!H370*'CAR Stock'!H420</f>
        <v>0</v>
      </c>
      <c r="AO370" s="295">
        <f>'CAR Passenger Kilometres'!I370*'CAR Stock'!I420</f>
        <v>0</v>
      </c>
      <c r="AP370" s="295">
        <f>'CAR Passenger Kilometres'!J370*'CAR Stock'!J420</f>
        <v>13.780304943316983</v>
      </c>
      <c r="AQ370" s="295">
        <f>'CAR Passenger Kilometres'!K370*'CAR Stock'!K420</f>
        <v>4.9985099877778403</v>
      </c>
      <c r="AR370" s="295">
        <f>'CAR Passenger Kilometres'!L370*'CAR Stock'!L420</f>
        <v>0</v>
      </c>
      <c r="AS370" s="295">
        <f>'CAR Passenger Kilometres'!M370*'CAR Stock'!M420</f>
        <v>0</v>
      </c>
      <c r="AT370" s="295">
        <f>'CAR Passenger Kilometres'!N370*'CAR Stock'!N420</f>
        <v>0</v>
      </c>
      <c r="AU370" s="295">
        <f>'CAR Passenger Kilometres'!O370*'CAR Stock'!O420</f>
        <v>0</v>
      </c>
      <c r="AV370" s="295">
        <f>'CAR Passenger Kilometres'!P370*'CAR Stock'!P420</f>
        <v>0</v>
      </c>
      <c r="AW370" s="295">
        <f>'CAR Passenger Kilometres'!Q370*'CAR Stock'!Q420</f>
        <v>0</v>
      </c>
      <c r="AX370" s="295">
        <f>'CAR Passenger Kilometres'!R370*'CAR Stock'!R420</f>
        <v>0</v>
      </c>
      <c r="AY370" s="295">
        <f>'CAR Passenger Kilometres'!S370*'CAR Stock'!S420</f>
        <v>0</v>
      </c>
      <c r="AZ370" s="295">
        <f>'CAR Passenger Kilometres'!T370*'CAR Stock'!T420</f>
        <v>0</v>
      </c>
      <c r="BA370" s="295">
        <f>'CAR Passenger Kilometres'!U370*'CAR Stock'!U420</f>
        <v>0</v>
      </c>
      <c r="BB370" s="295">
        <f>'CAR Passenger Kilometres'!V370*'CAR Stock'!V420</f>
        <v>0</v>
      </c>
      <c r="BC370" s="295">
        <f>'CAR Passenger Kilometres'!W370*'CAR Stock'!W420</f>
        <v>0</v>
      </c>
      <c r="BD370" s="295">
        <f>'CAR Passenger Kilometres'!X370*'CAR Stock'!X420</f>
        <v>0</v>
      </c>
      <c r="BE370" s="295">
        <f>'CAR Passenger Kilometres'!Y370*'CAR Stock'!Y420</f>
        <v>0</v>
      </c>
      <c r="BF370" s="295">
        <f>'CAR Passenger Kilometres'!Z370*'CAR Stock'!Z420</f>
        <v>0</v>
      </c>
      <c r="BG370" s="295">
        <f>'CAR Passenger Kilometres'!AA370*'CAR Stock'!AA420</f>
        <v>0</v>
      </c>
      <c r="BH370" s="295">
        <f>'CAR Passenger Kilometres'!AB370*'CAR Stock'!AB420</f>
        <v>0</v>
      </c>
      <c r="BI370" s="295">
        <f>'CAR Passenger Kilometres'!AC370*'CAR Stock'!AC420</f>
        <v>0</v>
      </c>
      <c r="BJ370" s="295">
        <f>'CAR Passenger Kilometres'!AD370*'CAR Stock'!AD420</f>
        <v>0</v>
      </c>
      <c r="BK370" s="296">
        <f>'CAR Passenger Kilometres'!AE370*'CAR Stock'!AE420</f>
        <v>0</v>
      </c>
    </row>
    <row r="371" spans="1:63">
      <c r="A371" s="1711"/>
      <c r="B371" s="116">
        <v>20</v>
      </c>
      <c r="C371" s="294">
        <f>'CAR Mileage'!C392*CAR!$I$58</f>
        <v>15528.025908312338</v>
      </c>
      <c r="D371" s="295">
        <f>'CAR Mileage'!D392*CAR!$I$58</f>
        <v>15528.025908312338</v>
      </c>
      <c r="E371" s="295">
        <f>'CAR Mileage'!E392*CAR!$I$58</f>
        <v>15528.025908312338</v>
      </c>
      <c r="F371" s="295">
        <f>'CAR Mileage'!F392*CAR!$I$58</f>
        <v>15528.025908312338</v>
      </c>
      <c r="G371" s="295">
        <f>'CAR Mileage'!G392*CAR!$I$58</f>
        <v>15528.025908312338</v>
      </c>
      <c r="H371" s="295">
        <f>'CAR Mileage'!H392*CAR!$I$58</f>
        <v>15528.025908312338</v>
      </c>
      <c r="I371" s="295">
        <f>'CAR Mileage'!I392*CAR!$I$58</f>
        <v>15528.025908312338</v>
      </c>
      <c r="J371" s="295">
        <f>'CAR Mileage'!J392*CAR!$I$58</f>
        <v>15528.025908312338</v>
      </c>
      <c r="K371" s="295">
        <f>'CAR Mileage'!K392*CAR!$I$58</f>
        <v>15528.025908312338</v>
      </c>
      <c r="L371" s="295">
        <f>'CAR Mileage'!L392*CAR!$I$58</f>
        <v>15528.025908312338</v>
      </c>
      <c r="M371" s="295">
        <f>'CAR Mileage'!M392*CAR!$I$58</f>
        <v>15528.025908312338</v>
      </c>
      <c r="N371" s="295">
        <f>'CAR Mileage'!N392*CAR!$I$58</f>
        <v>15528.025908312338</v>
      </c>
      <c r="O371" s="295">
        <f>'CAR Mileage'!O392*CAR!$I$58</f>
        <v>15528.025908312338</v>
      </c>
      <c r="P371" s="295">
        <f>'CAR Mileage'!P392*CAR!$I$58</f>
        <v>15528.025908312338</v>
      </c>
      <c r="Q371" s="295">
        <f>'CAR Mileage'!Q392*CAR!$I$58</f>
        <v>15528.025908312338</v>
      </c>
      <c r="R371" s="295">
        <f>'CAR Mileage'!R392*CAR!$I$58</f>
        <v>15528.025908312338</v>
      </c>
      <c r="S371" s="295">
        <f>'CAR Mileage'!S392*CAR!$I$58</f>
        <v>15528.025908312338</v>
      </c>
      <c r="T371" s="295">
        <f>'CAR Mileage'!T392*CAR!$I$58</f>
        <v>15528.025908312338</v>
      </c>
      <c r="U371" s="295">
        <f>'CAR Mileage'!U392*CAR!$I$58</f>
        <v>15528.025908312338</v>
      </c>
      <c r="V371" s="295">
        <f>'CAR Mileage'!V392*CAR!$I$58</f>
        <v>15528.025908312338</v>
      </c>
      <c r="W371" s="295">
        <f>'CAR Mileage'!W392*CAR!$I$58</f>
        <v>15528.025908312338</v>
      </c>
      <c r="X371" s="295">
        <f>'CAR Mileage'!X392*CAR!$I$58</f>
        <v>15528.025908312338</v>
      </c>
      <c r="Y371" s="295">
        <f>'CAR Mileage'!Y392*CAR!$I$58</f>
        <v>15528.025908312338</v>
      </c>
      <c r="Z371" s="295">
        <f>'CAR Mileage'!Z392*CAR!$I$58</f>
        <v>15528.025908312338</v>
      </c>
      <c r="AA371" s="295">
        <f>'CAR Mileage'!AA392*CAR!$I$58</f>
        <v>15528.025908312338</v>
      </c>
      <c r="AB371" s="295">
        <f>'CAR Mileage'!AB392*CAR!$I$58</f>
        <v>15528.025908312338</v>
      </c>
      <c r="AC371" s="295">
        <f>'CAR Mileage'!AC392*CAR!$I$58</f>
        <v>15528.025908312338</v>
      </c>
      <c r="AD371" s="295">
        <f>'CAR Mileage'!AD392*CAR!$I$58</f>
        <v>15528.025908312338</v>
      </c>
      <c r="AE371" s="296">
        <f>'CAR Mileage'!AE392*CAR!$I$58</f>
        <v>15528.025908312338</v>
      </c>
      <c r="AG371" s="1711"/>
      <c r="AH371" s="116">
        <v>20</v>
      </c>
      <c r="AI371" s="294">
        <f>'CAR Passenger Kilometres'!C371*'CAR Stock'!C421</f>
        <v>0</v>
      </c>
      <c r="AJ371" s="295">
        <f>'CAR Passenger Kilometres'!D371*'CAR Stock'!D421</f>
        <v>0</v>
      </c>
      <c r="AK371" s="295">
        <f>'CAR Passenger Kilometres'!E371*'CAR Stock'!E421</f>
        <v>0</v>
      </c>
      <c r="AL371" s="295">
        <f>'CAR Passenger Kilometres'!F371*'CAR Stock'!F421</f>
        <v>0</v>
      </c>
      <c r="AM371" s="295">
        <f>'CAR Passenger Kilometres'!G371*'CAR Stock'!G421</f>
        <v>0</v>
      </c>
      <c r="AN371" s="295">
        <f>'CAR Passenger Kilometres'!H371*'CAR Stock'!H421</f>
        <v>0</v>
      </c>
      <c r="AO371" s="295">
        <f>'CAR Passenger Kilometres'!I371*'CAR Stock'!I421</f>
        <v>0</v>
      </c>
      <c r="AP371" s="295">
        <f>'CAR Passenger Kilometres'!J371*'CAR Stock'!J421</f>
        <v>0</v>
      </c>
      <c r="AQ371" s="295">
        <f>'CAR Passenger Kilometres'!K371*'CAR Stock'!K421</f>
        <v>2.3917314103941703</v>
      </c>
      <c r="AR371" s="295">
        <f>'CAR Passenger Kilometres'!L371*'CAR Stock'!L421</f>
        <v>0.86754925904125857</v>
      </c>
      <c r="AS371" s="295">
        <f>'CAR Passenger Kilometres'!M371*'CAR Stock'!M421</f>
        <v>0</v>
      </c>
      <c r="AT371" s="295">
        <f>'CAR Passenger Kilometres'!N371*'CAR Stock'!N421</f>
        <v>0</v>
      </c>
      <c r="AU371" s="295">
        <f>'CAR Passenger Kilometres'!O371*'CAR Stock'!O421</f>
        <v>0</v>
      </c>
      <c r="AV371" s="295">
        <f>'CAR Passenger Kilometres'!P371*'CAR Stock'!P421</f>
        <v>0</v>
      </c>
      <c r="AW371" s="295">
        <f>'CAR Passenger Kilometres'!Q371*'CAR Stock'!Q421</f>
        <v>0</v>
      </c>
      <c r="AX371" s="295">
        <f>'CAR Passenger Kilometres'!R371*'CAR Stock'!R421</f>
        <v>0</v>
      </c>
      <c r="AY371" s="295">
        <f>'CAR Passenger Kilometres'!S371*'CAR Stock'!S421</f>
        <v>0</v>
      </c>
      <c r="AZ371" s="295">
        <f>'CAR Passenger Kilometres'!T371*'CAR Stock'!T421</f>
        <v>0</v>
      </c>
      <c r="BA371" s="295">
        <f>'CAR Passenger Kilometres'!U371*'CAR Stock'!U421</f>
        <v>0</v>
      </c>
      <c r="BB371" s="295">
        <f>'CAR Passenger Kilometres'!V371*'CAR Stock'!V421</f>
        <v>0</v>
      </c>
      <c r="BC371" s="295">
        <f>'CAR Passenger Kilometres'!W371*'CAR Stock'!W421</f>
        <v>0</v>
      </c>
      <c r="BD371" s="295">
        <f>'CAR Passenger Kilometres'!X371*'CAR Stock'!X421</f>
        <v>0</v>
      </c>
      <c r="BE371" s="295">
        <f>'CAR Passenger Kilometres'!Y371*'CAR Stock'!Y421</f>
        <v>0</v>
      </c>
      <c r="BF371" s="295">
        <f>'CAR Passenger Kilometres'!Z371*'CAR Stock'!Z421</f>
        <v>0</v>
      </c>
      <c r="BG371" s="295">
        <f>'CAR Passenger Kilometres'!AA371*'CAR Stock'!AA421</f>
        <v>0</v>
      </c>
      <c r="BH371" s="295">
        <f>'CAR Passenger Kilometres'!AB371*'CAR Stock'!AB421</f>
        <v>0</v>
      </c>
      <c r="BI371" s="295">
        <f>'CAR Passenger Kilometres'!AC371*'CAR Stock'!AC421</f>
        <v>0</v>
      </c>
      <c r="BJ371" s="295">
        <f>'CAR Passenger Kilometres'!AD371*'CAR Stock'!AD421</f>
        <v>0</v>
      </c>
      <c r="BK371" s="296">
        <f>'CAR Passenger Kilometres'!AE371*'CAR Stock'!AE421</f>
        <v>0</v>
      </c>
    </row>
    <row r="372" spans="1:63">
      <c r="A372" s="1711"/>
      <c r="B372" s="116">
        <v>21</v>
      </c>
      <c r="C372" s="294">
        <f>'CAR Mileage'!C393*CAR!$I$58</f>
        <v>15528.025908312338</v>
      </c>
      <c r="D372" s="295">
        <f>'CAR Mileage'!D393*CAR!$I$58</f>
        <v>15528.025908312338</v>
      </c>
      <c r="E372" s="295">
        <f>'CAR Mileage'!E393*CAR!$I$58</f>
        <v>15528.025908312338</v>
      </c>
      <c r="F372" s="295">
        <f>'CAR Mileage'!F393*CAR!$I$58</f>
        <v>15528.025908312338</v>
      </c>
      <c r="G372" s="295">
        <f>'CAR Mileage'!G393*CAR!$I$58</f>
        <v>15528.025908312338</v>
      </c>
      <c r="H372" s="295">
        <f>'CAR Mileage'!H393*CAR!$I$58</f>
        <v>15528.025908312338</v>
      </c>
      <c r="I372" s="295">
        <f>'CAR Mileage'!I393*CAR!$I$58</f>
        <v>15528.025908312338</v>
      </c>
      <c r="J372" s="295">
        <f>'CAR Mileage'!J393*CAR!$I$58</f>
        <v>15528.025908312338</v>
      </c>
      <c r="K372" s="295">
        <f>'CAR Mileage'!K393*CAR!$I$58</f>
        <v>15528.025908312338</v>
      </c>
      <c r="L372" s="295">
        <f>'CAR Mileage'!L393*CAR!$I$58</f>
        <v>15528.025908312338</v>
      </c>
      <c r="M372" s="295">
        <f>'CAR Mileage'!M393*CAR!$I$58</f>
        <v>15528.025908312338</v>
      </c>
      <c r="N372" s="295">
        <f>'CAR Mileage'!N393*CAR!$I$58</f>
        <v>15528.025908312338</v>
      </c>
      <c r="O372" s="295">
        <f>'CAR Mileage'!O393*CAR!$I$58</f>
        <v>15528.025908312338</v>
      </c>
      <c r="P372" s="295">
        <f>'CAR Mileage'!P393*CAR!$I$58</f>
        <v>15528.025908312338</v>
      </c>
      <c r="Q372" s="295">
        <f>'CAR Mileage'!Q393*CAR!$I$58</f>
        <v>15528.025908312338</v>
      </c>
      <c r="R372" s="295">
        <f>'CAR Mileage'!R393*CAR!$I$58</f>
        <v>15528.025908312338</v>
      </c>
      <c r="S372" s="295">
        <f>'CAR Mileage'!S393*CAR!$I$58</f>
        <v>15528.025908312338</v>
      </c>
      <c r="T372" s="295">
        <f>'CAR Mileage'!T393*CAR!$I$58</f>
        <v>15528.025908312338</v>
      </c>
      <c r="U372" s="295">
        <f>'CAR Mileage'!U393*CAR!$I$58</f>
        <v>15528.025908312338</v>
      </c>
      <c r="V372" s="295">
        <f>'CAR Mileage'!V393*CAR!$I$58</f>
        <v>15528.025908312338</v>
      </c>
      <c r="W372" s="295">
        <f>'CAR Mileage'!W393*CAR!$I$58</f>
        <v>15528.025908312338</v>
      </c>
      <c r="X372" s="295">
        <f>'CAR Mileage'!X393*CAR!$I$58</f>
        <v>15528.025908312338</v>
      </c>
      <c r="Y372" s="295">
        <f>'CAR Mileage'!Y393*CAR!$I$58</f>
        <v>15528.025908312338</v>
      </c>
      <c r="Z372" s="295">
        <f>'CAR Mileage'!Z393*CAR!$I$58</f>
        <v>15528.025908312338</v>
      </c>
      <c r="AA372" s="295">
        <f>'CAR Mileage'!AA393*CAR!$I$58</f>
        <v>15528.025908312338</v>
      </c>
      <c r="AB372" s="295">
        <f>'CAR Mileage'!AB393*CAR!$I$58</f>
        <v>15528.025908312338</v>
      </c>
      <c r="AC372" s="295">
        <f>'CAR Mileage'!AC393*CAR!$I$58</f>
        <v>15528.025908312338</v>
      </c>
      <c r="AD372" s="295">
        <f>'CAR Mileage'!AD393*CAR!$I$58</f>
        <v>15528.025908312338</v>
      </c>
      <c r="AE372" s="296">
        <f>'CAR Mileage'!AE393*CAR!$I$58</f>
        <v>15528.025908312338</v>
      </c>
      <c r="AG372" s="1711"/>
      <c r="AH372" s="116">
        <v>21</v>
      </c>
      <c r="AI372" s="294">
        <f>'CAR Passenger Kilometres'!C372*'CAR Stock'!C422</f>
        <v>0</v>
      </c>
      <c r="AJ372" s="295">
        <f>'CAR Passenger Kilometres'!D372*'CAR Stock'!D422</f>
        <v>0</v>
      </c>
      <c r="AK372" s="295">
        <f>'CAR Passenger Kilometres'!E372*'CAR Stock'!E422</f>
        <v>0</v>
      </c>
      <c r="AL372" s="295">
        <f>'CAR Passenger Kilometres'!F372*'CAR Stock'!F422</f>
        <v>0</v>
      </c>
      <c r="AM372" s="295">
        <f>'CAR Passenger Kilometres'!G372*'CAR Stock'!G422</f>
        <v>0</v>
      </c>
      <c r="AN372" s="295">
        <f>'CAR Passenger Kilometres'!H372*'CAR Stock'!H422</f>
        <v>0</v>
      </c>
      <c r="AO372" s="295">
        <f>'CAR Passenger Kilometres'!I372*'CAR Stock'!I422</f>
        <v>0</v>
      </c>
      <c r="AP372" s="295">
        <f>'CAR Passenger Kilometres'!J372*'CAR Stock'!J422</f>
        <v>0</v>
      </c>
      <c r="AQ372" s="295">
        <f>'CAR Passenger Kilometres'!K372*'CAR Stock'!K422</f>
        <v>0</v>
      </c>
      <c r="AR372" s="295">
        <f>'CAR Passenger Kilometres'!L372*'CAR Stock'!L422</f>
        <v>0.33209013373773222</v>
      </c>
      <c r="AS372" s="295">
        <f>'CAR Passenger Kilometres'!M372*'CAR Stock'!M422</f>
        <v>0.12045857164688945</v>
      </c>
      <c r="AT372" s="295">
        <f>'CAR Passenger Kilometres'!N372*'CAR Stock'!N422</f>
        <v>0</v>
      </c>
      <c r="AU372" s="295">
        <f>'CAR Passenger Kilometres'!O372*'CAR Stock'!O422</f>
        <v>0</v>
      </c>
      <c r="AV372" s="295">
        <f>'CAR Passenger Kilometres'!P372*'CAR Stock'!P422</f>
        <v>0</v>
      </c>
      <c r="AW372" s="295">
        <f>'CAR Passenger Kilometres'!Q372*'CAR Stock'!Q422</f>
        <v>0</v>
      </c>
      <c r="AX372" s="295">
        <f>'CAR Passenger Kilometres'!R372*'CAR Stock'!R422</f>
        <v>0</v>
      </c>
      <c r="AY372" s="295">
        <f>'CAR Passenger Kilometres'!S372*'CAR Stock'!S422</f>
        <v>0</v>
      </c>
      <c r="AZ372" s="295">
        <f>'CAR Passenger Kilometres'!T372*'CAR Stock'!T422</f>
        <v>0</v>
      </c>
      <c r="BA372" s="295">
        <f>'CAR Passenger Kilometres'!U372*'CAR Stock'!U422</f>
        <v>0</v>
      </c>
      <c r="BB372" s="295">
        <f>'CAR Passenger Kilometres'!V372*'CAR Stock'!V422</f>
        <v>0</v>
      </c>
      <c r="BC372" s="295">
        <f>'CAR Passenger Kilometres'!W372*'CAR Stock'!W422</f>
        <v>0</v>
      </c>
      <c r="BD372" s="295">
        <f>'CAR Passenger Kilometres'!X372*'CAR Stock'!X422</f>
        <v>0</v>
      </c>
      <c r="BE372" s="295">
        <f>'CAR Passenger Kilometres'!Y372*'CAR Stock'!Y422</f>
        <v>0</v>
      </c>
      <c r="BF372" s="295">
        <f>'CAR Passenger Kilometres'!Z372*'CAR Stock'!Z422</f>
        <v>0</v>
      </c>
      <c r="BG372" s="295">
        <f>'CAR Passenger Kilometres'!AA372*'CAR Stock'!AA422</f>
        <v>0</v>
      </c>
      <c r="BH372" s="295">
        <f>'CAR Passenger Kilometres'!AB372*'CAR Stock'!AB422</f>
        <v>0</v>
      </c>
      <c r="BI372" s="295">
        <f>'CAR Passenger Kilometres'!AC372*'CAR Stock'!AC422</f>
        <v>0</v>
      </c>
      <c r="BJ372" s="295">
        <f>'CAR Passenger Kilometres'!AD372*'CAR Stock'!AD422</f>
        <v>0</v>
      </c>
      <c r="BK372" s="296">
        <f>'CAR Passenger Kilometres'!AE372*'CAR Stock'!AE422</f>
        <v>0</v>
      </c>
    </row>
    <row r="373" spans="1:63">
      <c r="A373" s="1711"/>
      <c r="B373" s="116">
        <v>22</v>
      </c>
      <c r="C373" s="294">
        <f>'CAR Mileage'!C394*CAR!$I$58</f>
        <v>15528.025908312338</v>
      </c>
      <c r="D373" s="295">
        <f>'CAR Mileage'!D394*CAR!$I$58</f>
        <v>15528.025908312338</v>
      </c>
      <c r="E373" s="295">
        <f>'CAR Mileage'!E394*CAR!$I$58</f>
        <v>15528.025908312338</v>
      </c>
      <c r="F373" s="295">
        <f>'CAR Mileage'!F394*CAR!$I$58</f>
        <v>15528.025908312338</v>
      </c>
      <c r="G373" s="295">
        <f>'CAR Mileage'!G394*CAR!$I$58</f>
        <v>15528.025908312338</v>
      </c>
      <c r="H373" s="295">
        <f>'CAR Mileage'!H394*CAR!$I$58</f>
        <v>15528.025908312338</v>
      </c>
      <c r="I373" s="295">
        <f>'CAR Mileage'!I394*CAR!$I$58</f>
        <v>15528.025908312338</v>
      </c>
      <c r="J373" s="295">
        <f>'CAR Mileage'!J394*CAR!$I$58</f>
        <v>15528.025908312338</v>
      </c>
      <c r="K373" s="295">
        <f>'CAR Mileage'!K394*CAR!$I$58</f>
        <v>15528.025908312338</v>
      </c>
      <c r="L373" s="295">
        <f>'CAR Mileage'!L394*CAR!$I$58</f>
        <v>15528.025908312338</v>
      </c>
      <c r="M373" s="295">
        <f>'CAR Mileage'!M394*CAR!$I$58</f>
        <v>15528.025908312338</v>
      </c>
      <c r="N373" s="295">
        <f>'CAR Mileage'!N394*CAR!$I$58</f>
        <v>15528.025908312338</v>
      </c>
      <c r="O373" s="295">
        <f>'CAR Mileage'!O394*CAR!$I$58</f>
        <v>15528.025908312338</v>
      </c>
      <c r="P373" s="295">
        <f>'CAR Mileage'!P394*CAR!$I$58</f>
        <v>15528.025908312338</v>
      </c>
      <c r="Q373" s="295">
        <f>'CAR Mileage'!Q394*CAR!$I$58</f>
        <v>15528.025908312338</v>
      </c>
      <c r="R373" s="295">
        <f>'CAR Mileage'!R394*CAR!$I$58</f>
        <v>15528.025908312338</v>
      </c>
      <c r="S373" s="295">
        <f>'CAR Mileage'!S394*CAR!$I$58</f>
        <v>15528.025908312338</v>
      </c>
      <c r="T373" s="295">
        <f>'CAR Mileage'!T394*CAR!$I$58</f>
        <v>15528.025908312338</v>
      </c>
      <c r="U373" s="295">
        <f>'CAR Mileage'!U394*CAR!$I$58</f>
        <v>15528.025908312338</v>
      </c>
      <c r="V373" s="295">
        <f>'CAR Mileage'!V394*CAR!$I$58</f>
        <v>15528.025908312338</v>
      </c>
      <c r="W373" s="295">
        <f>'CAR Mileage'!W394*CAR!$I$58</f>
        <v>15528.025908312338</v>
      </c>
      <c r="X373" s="295">
        <f>'CAR Mileage'!X394*CAR!$I$58</f>
        <v>15528.025908312338</v>
      </c>
      <c r="Y373" s="295">
        <f>'CAR Mileage'!Y394*CAR!$I$58</f>
        <v>15528.025908312338</v>
      </c>
      <c r="Z373" s="295">
        <f>'CAR Mileage'!Z394*CAR!$I$58</f>
        <v>15528.025908312338</v>
      </c>
      <c r="AA373" s="295">
        <f>'CAR Mileage'!AA394*CAR!$I$58</f>
        <v>15528.025908312338</v>
      </c>
      <c r="AB373" s="295">
        <f>'CAR Mileage'!AB394*CAR!$I$58</f>
        <v>15528.025908312338</v>
      </c>
      <c r="AC373" s="295">
        <f>'CAR Mileage'!AC394*CAR!$I$58</f>
        <v>15528.025908312338</v>
      </c>
      <c r="AD373" s="295">
        <f>'CAR Mileage'!AD394*CAR!$I$58</f>
        <v>15528.025908312338</v>
      </c>
      <c r="AE373" s="296">
        <f>'CAR Mileage'!AE394*CAR!$I$58</f>
        <v>15528.025908312338</v>
      </c>
      <c r="AG373" s="1711"/>
      <c r="AH373" s="116">
        <v>22</v>
      </c>
      <c r="AI373" s="294">
        <f>'CAR Passenger Kilometres'!C373*'CAR Stock'!C423</f>
        <v>0</v>
      </c>
      <c r="AJ373" s="295">
        <f>'CAR Passenger Kilometres'!D373*'CAR Stock'!D423</f>
        <v>0</v>
      </c>
      <c r="AK373" s="295">
        <f>'CAR Passenger Kilometres'!E373*'CAR Stock'!E423</f>
        <v>0</v>
      </c>
      <c r="AL373" s="295">
        <f>'CAR Passenger Kilometres'!F373*'CAR Stock'!F423</f>
        <v>0</v>
      </c>
      <c r="AM373" s="295">
        <f>'CAR Passenger Kilometres'!G373*'CAR Stock'!G423</f>
        <v>0</v>
      </c>
      <c r="AN373" s="295">
        <f>'CAR Passenger Kilometres'!H373*'CAR Stock'!H423</f>
        <v>0</v>
      </c>
      <c r="AO373" s="295">
        <f>'CAR Passenger Kilometres'!I373*'CAR Stock'!I423</f>
        <v>0</v>
      </c>
      <c r="AP373" s="295">
        <f>'CAR Passenger Kilometres'!J373*'CAR Stock'!J423</f>
        <v>0</v>
      </c>
      <c r="AQ373" s="295">
        <f>'CAR Passenger Kilometres'!K373*'CAR Stock'!K423</f>
        <v>0</v>
      </c>
      <c r="AR373" s="295">
        <f>'CAR Passenger Kilometres'!L373*'CAR Stock'!L423</f>
        <v>0</v>
      </c>
      <c r="AS373" s="295">
        <f>'CAR Passenger Kilometres'!M373*'CAR Stock'!M423</f>
        <v>3.4582851709434689E-2</v>
      </c>
      <c r="AT373" s="295">
        <f>'CAR Passenger Kilometres'!N373*'CAR Stock'!N423</f>
        <v>1.2544187547843947E-2</v>
      </c>
      <c r="AU373" s="295">
        <f>'CAR Passenger Kilometres'!O373*'CAR Stock'!O423</f>
        <v>0</v>
      </c>
      <c r="AV373" s="295">
        <f>'CAR Passenger Kilometres'!P373*'CAR Stock'!P423</f>
        <v>0</v>
      </c>
      <c r="AW373" s="295">
        <f>'CAR Passenger Kilometres'!Q373*'CAR Stock'!Q423</f>
        <v>0</v>
      </c>
      <c r="AX373" s="295">
        <f>'CAR Passenger Kilometres'!R373*'CAR Stock'!R423</f>
        <v>0</v>
      </c>
      <c r="AY373" s="295">
        <f>'CAR Passenger Kilometres'!S373*'CAR Stock'!S423</f>
        <v>0</v>
      </c>
      <c r="AZ373" s="295">
        <f>'CAR Passenger Kilometres'!T373*'CAR Stock'!T423</f>
        <v>0</v>
      </c>
      <c r="BA373" s="295">
        <f>'CAR Passenger Kilometres'!U373*'CAR Stock'!U423</f>
        <v>0</v>
      </c>
      <c r="BB373" s="295">
        <f>'CAR Passenger Kilometres'!V373*'CAR Stock'!V423</f>
        <v>0</v>
      </c>
      <c r="BC373" s="295">
        <f>'CAR Passenger Kilometres'!W373*'CAR Stock'!W423</f>
        <v>0</v>
      </c>
      <c r="BD373" s="295">
        <f>'CAR Passenger Kilometres'!X373*'CAR Stock'!X423</f>
        <v>0</v>
      </c>
      <c r="BE373" s="295">
        <f>'CAR Passenger Kilometres'!Y373*'CAR Stock'!Y423</f>
        <v>0</v>
      </c>
      <c r="BF373" s="295">
        <f>'CAR Passenger Kilometres'!Z373*'CAR Stock'!Z423</f>
        <v>0</v>
      </c>
      <c r="BG373" s="295">
        <f>'CAR Passenger Kilometres'!AA373*'CAR Stock'!AA423</f>
        <v>0</v>
      </c>
      <c r="BH373" s="295">
        <f>'CAR Passenger Kilometres'!AB373*'CAR Stock'!AB423</f>
        <v>0</v>
      </c>
      <c r="BI373" s="295">
        <f>'CAR Passenger Kilometres'!AC373*'CAR Stock'!AC423</f>
        <v>0</v>
      </c>
      <c r="BJ373" s="295">
        <f>'CAR Passenger Kilometres'!AD373*'CAR Stock'!AD423</f>
        <v>0</v>
      </c>
      <c r="BK373" s="296">
        <f>'CAR Passenger Kilometres'!AE373*'CAR Stock'!AE423</f>
        <v>0</v>
      </c>
    </row>
    <row r="374" spans="1:63">
      <c r="A374" s="1711"/>
      <c r="B374" s="116">
        <v>23</v>
      </c>
      <c r="C374" s="294">
        <f>'CAR Mileage'!C395*CAR!$I$58</f>
        <v>15528.025908312338</v>
      </c>
      <c r="D374" s="295">
        <f>'CAR Mileage'!D395*CAR!$I$58</f>
        <v>15528.025908312338</v>
      </c>
      <c r="E374" s="295">
        <f>'CAR Mileage'!E395*CAR!$I$58</f>
        <v>15528.025908312338</v>
      </c>
      <c r="F374" s="295">
        <f>'CAR Mileage'!F395*CAR!$I$58</f>
        <v>15528.025908312338</v>
      </c>
      <c r="G374" s="295">
        <f>'CAR Mileage'!G395*CAR!$I$58</f>
        <v>15528.025908312338</v>
      </c>
      <c r="H374" s="295">
        <f>'CAR Mileage'!H395*CAR!$I$58</f>
        <v>15528.025908312338</v>
      </c>
      <c r="I374" s="295">
        <f>'CAR Mileage'!I395*CAR!$I$58</f>
        <v>15528.025908312338</v>
      </c>
      <c r="J374" s="295">
        <f>'CAR Mileage'!J395*CAR!$I$58</f>
        <v>15528.025908312338</v>
      </c>
      <c r="K374" s="295">
        <f>'CAR Mileage'!K395*CAR!$I$58</f>
        <v>15528.025908312338</v>
      </c>
      <c r="L374" s="295">
        <f>'CAR Mileage'!L395*CAR!$I$58</f>
        <v>15528.025908312338</v>
      </c>
      <c r="M374" s="295">
        <f>'CAR Mileage'!M395*CAR!$I$58</f>
        <v>15528.025908312338</v>
      </c>
      <c r="N374" s="295">
        <f>'CAR Mileage'!N395*CAR!$I$58</f>
        <v>15528.025908312338</v>
      </c>
      <c r="O374" s="295">
        <f>'CAR Mileage'!O395*CAR!$I$58</f>
        <v>15528.025908312338</v>
      </c>
      <c r="P374" s="295">
        <f>'CAR Mileage'!P395*CAR!$I$58</f>
        <v>15528.025908312338</v>
      </c>
      <c r="Q374" s="295">
        <f>'CAR Mileage'!Q395*CAR!$I$58</f>
        <v>15528.025908312338</v>
      </c>
      <c r="R374" s="295">
        <f>'CAR Mileage'!R395*CAR!$I$58</f>
        <v>15528.025908312338</v>
      </c>
      <c r="S374" s="295">
        <f>'CAR Mileage'!S395*CAR!$I$58</f>
        <v>15528.025908312338</v>
      </c>
      <c r="T374" s="295">
        <f>'CAR Mileage'!T395*CAR!$I$58</f>
        <v>15528.025908312338</v>
      </c>
      <c r="U374" s="295">
        <f>'CAR Mileage'!U395*CAR!$I$58</f>
        <v>15528.025908312338</v>
      </c>
      <c r="V374" s="295">
        <f>'CAR Mileage'!V395*CAR!$I$58</f>
        <v>15528.025908312338</v>
      </c>
      <c r="W374" s="295">
        <f>'CAR Mileage'!W395*CAR!$I$58</f>
        <v>15528.025908312338</v>
      </c>
      <c r="X374" s="295">
        <f>'CAR Mileage'!X395*CAR!$I$58</f>
        <v>15528.025908312338</v>
      </c>
      <c r="Y374" s="295">
        <f>'CAR Mileage'!Y395*CAR!$I$58</f>
        <v>15528.025908312338</v>
      </c>
      <c r="Z374" s="295">
        <f>'CAR Mileage'!Z395*CAR!$I$58</f>
        <v>15528.025908312338</v>
      </c>
      <c r="AA374" s="295">
        <f>'CAR Mileage'!AA395*CAR!$I$58</f>
        <v>15528.025908312338</v>
      </c>
      <c r="AB374" s="295">
        <f>'CAR Mileage'!AB395*CAR!$I$58</f>
        <v>15528.025908312338</v>
      </c>
      <c r="AC374" s="295">
        <f>'CAR Mileage'!AC395*CAR!$I$58</f>
        <v>15528.025908312338</v>
      </c>
      <c r="AD374" s="295">
        <f>'CAR Mileage'!AD395*CAR!$I$58</f>
        <v>15528.025908312338</v>
      </c>
      <c r="AE374" s="296">
        <f>'CAR Mileage'!AE395*CAR!$I$58</f>
        <v>15528.025908312338</v>
      </c>
      <c r="AG374" s="1711"/>
      <c r="AH374" s="116">
        <v>23</v>
      </c>
      <c r="AI374" s="294">
        <f>'CAR Passenger Kilometres'!C374*'CAR Stock'!C424</f>
        <v>0</v>
      </c>
      <c r="AJ374" s="295">
        <f>'CAR Passenger Kilometres'!D374*'CAR Stock'!D424</f>
        <v>0</v>
      </c>
      <c r="AK374" s="295">
        <f>'CAR Passenger Kilometres'!E374*'CAR Stock'!E424</f>
        <v>0</v>
      </c>
      <c r="AL374" s="295">
        <f>'CAR Passenger Kilometres'!F374*'CAR Stock'!F424</f>
        <v>0</v>
      </c>
      <c r="AM374" s="295">
        <f>'CAR Passenger Kilometres'!G374*'CAR Stock'!G424</f>
        <v>0</v>
      </c>
      <c r="AN374" s="295">
        <f>'CAR Passenger Kilometres'!H374*'CAR Stock'!H424</f>
        <v>0</v>
      </c>
      <c r="AO374" s="295">
        <f>'CAR Passenger Kilometres'!I374*'CAR Stock'!I424</f>
        <v>0</v>
      </c>
      <c r="AP374" s="295">
        <f>'CAR Passenger Kilometres'!J374*'CAR Stock'!J424</f>
        <v>0</v>
      </c>
      <c r="AQ374" s="295">
        <f>'CAR Passenger Kilometres'!K374*'CAR Stock'!K424</f>
        <v>0</v>
      </c>
      <c r="AR374" s="295">
        <f>'CAR Passenger Kilometres'!L374*'CAR Stock'!L424</f>
        <v>0</v>
      </c>
      <c r="AS374" s="295">
        <f>'CAR Passenger Kilometres'!M374*'CAR Stock'!M424</f>
        <v>0</v>
      </c>
      <c r="AT374" s="295">
        <f>'CAR Passenger Kilometres'!N374*'CAR Stock'!N424</f>
        <v>2.4009016646492102E-3</v>
      </c>
      <c r="AU374" s="295">
        <f>'CAR Passenger Kilometres'!O374*'CAR Stock'!O424</f>
        <v>8.7087557204179285E-4</v>
      </c>
      <c r="AV374" s="295">
        <f>'CAR Passenger Kilometres'!P374*'CAR Stock'!P424</f>
        <v>0</v>
      </c>
      <c r="AW374" s="295">
        <f>'CAR Passenger Kilometres'!Q374*'CAR Stock'!Q424</f>
        <v>0</v>
      </c>
      <c r="AX374" s="295">
        <f>'CAR Passenger Kilometres'!R374*'CAR Stock'!R424</f>
        <v>0</v>
      </c>
      <c r="AY374" s="295">
        <f>'CAR Passenger Kilometres'!S374*'CAR Stock'!S424</f>
        <v>0</v>
      </c>
      <c r="AZ374" s="295">
        <f>'CAR Passenger Kilometres'!T374*'CAR Stock'!T424</f>
        <v>0</v>
      </c>
      <c r="BA374" s="295">
        <f>'CAR Passenger Kilometres'!U374*'CAR Stock'!U424</f>
        <v>0</v>
      </c>
      <c r="BB374" s="295">
        <f>'CAR Passenger Kilometres'!V374*'CAR Stock'!V424</f>
        <v>0</v>
      </c>
      <c r="BC374" s="295">
        <f>'CAR Passenger Kilometres'!W374*'CAR Stock'!W424</f>
        <v>0</v>
      </c>
      <c r="BD374" s="295">
        <f>'CAR Passenger Kilometres'!X374*'CAR Stock'!X424</f>
        <v>0</v>
      </c>
      <c r="BE374" s="295">
        <f>'CAR Passenger Kilometres'!Y374*'CAR Stock'!Y424</f>
        <v>0</v>
      </c>
      <c r="BF374" s="295">
        <f>'CAR Passenger Kilometres'!Z374*'CAR Stock'!Z424</f>
        <v>0</v>
      </c>
      <c r="BG374" s="295">
        <f>'CAR Passenger Kilometres'!AA374*'CAR Stock'!AA424</f>
        <v>0</v>
      </c>
      <c r="BH374" s="295">
        <f>'CAR Passenger Kilometres'!AB374*'CAR Stock'!AB424</f>
        <v>0</v>
      </c>
      <c r="BI374" s="295">
        <f>'CAR Passenger Kilometres'!AC374*'CAR Stock'!AC424</f>
        <v>0</v>
      </c>
      <c r="BJ374" s="295">
        <f>'CAR Passenger Kilometres'!AD374*'CAR Stock'!AD424</f>
        <v>0</v>
      </c>
      <c r="BK374" s="296">
        <f>'CAR Passenger Kilometres'!AE374*'CAR Stock'!AE424</f>
        <v>0</v>
      </c>
    </row>
    <row r="375" spans="1:63">
      <c r="A375" s="1711"/>
      <c r="B375" s="116">
        <v>24</v>
      </c>
      <c r="C375" s="294">
        <f>'CAR Mileage'!C396*CAR!$I$58</f>
        <v>15528.025908312338</v>
      </c>
      <c r="D375" s="295">
        <f>'CAR Mileage'!D396*CAR!$I$58</f>
        <v>15528.025908312338</v>
      </c>
      <c r="E375" s="295">
        <f>'CAR Mileage'!E396*CAR!$I$58</f>
        <v>15528.025908312338</v>
      </c>
      <c r="F375" s="295">
        <f>'CAR Mileage'!F396*CAR!$I$58</f>
        <v>15528.025908312338</v>
      </c>
      <c r="G375" s="295">
        <f>'CAR Mileage'!G396*CAR!$I$58</f>
        <v>15528.025908312338</v>
      </c>
      <c r="H375" s="295">
        <f>'CAR Mileage'!H396*CAR!$I$58</f>
        <v>15528.025908312338</v>
      </c>
      <c r="I375" s="295">
        <f>'CAR Mileage'!I396*CAR!$I$58</f>
        <v>15528.025908312338</v>
      </c>
      <c r="J375" s="295">
        <f>'CAR Mileage'!J396*CAR!$I$58</f>
        <v>15528.025908312338</v>
      </c>
      <c r="K375" s="295">
        <f>'CAR Mileage'!K396*CAR!$I$58</f>
        <v>15528.025908312338</v>
      </c>
      <c r="L375" s="295">
        <f>'CAR Mileage'!L396*CAR!$I$58</f>
        <v>15528.025908312338</v>
      </c>
      <c r="M375" s="295">
        <f>'CAR Mileage'!M396*CAR!$I$58</f>
        <v>15528.025908312338</v>
      </c>
      <c r="N375" s="295">
        <f>'CAR Mileage'!N396*CAR!$I$58</f>
        <v>15528.025908312338</v>
      </c>
      <c r="O375" s="295">
        <f>'CAR Mileage'!O396*CAR!$I$58</f>
        <v>15528.025908312338</v>
      </c>
      <c r="P375" s="295">
        <f>'CAR Mileage'!P396*CAR!$I$58</f>
        <v>15528.025908312338</v>
      </c>
      <c r="Q375" s="295">
        <f>'CAR Mileage'!Q396*CAR!$I$58</f>
        <v>15528.025908312338</v>
      </c>
      <c r="R375" s="295">
        <f>'CAR Mileage'!R396*CAR!$I$58</f>
        <v>15528.025908312338</v>
      </c>
      <c r="S375" s="295">
        <f>'CAR Mileage'!S396*CAR!$I$58</f>
        <v>15528.025908312338</v>
      </c>
      <c r="T375" s="295">
        <f>'CAR Mileage'!T396*CAR!$I$58</f>
        <v>15528.025908312338</v>
      </c>
      <c r="U375" s="295">
        <f>'CAR Mileage'!U396*CAR!$I$58</f>
        <v>15528.025908312338</v>
      </c>
      <c r="V375" s="295">
        <f>'CAR Mileage'!V396*CAR!$I$58</f>
        <v>15528.025908312338</v>
      </c>
      <c r="W375" s="295">
        <f>'CAR Mileage'!W396*CAR!$I$58</f>
        <v>15528.025908312338</v>
      </c>
      <c r="X375" s="295">
        <f>'CAR Mileage'!X396*CAR!$I$58</f>
        <v>15528.025908312338</v>
      </c>
      <c r="Y375" s="295">
        <f>'CAR Mileage'!Y396*CAR!$I$58</f>
        <v>15528.025908312338</v>
      </c>
      <c r="Z375" s="295">
        <f>'CAR Mileage'!Z396*CAR!$I$58</f>
        <v>15528.025908312338</v>
      </c>
      <c r="AA375" s="295">
        <f>'CAR Mileage'!AA396*CAR!$I$58</f>
        <v>15528.025908312338</v>
      </c>
      <c r="AB375" s="295">
        <f>'CAR Mileage'!AB396*CAR!$I$58</f>
        <v>15528.025908312338</v>
      </c>
      <c r="AC375" s="295">
        <f>'CAR Mileage'!AC396*CAR!$I$58</f>
        <v>15528.025908312338</v>
      </c>
      <c r="AD375" s="295">
        <f>'CAR Mileage'!AD396*CAR!$I$58</f>
        <v>15528.025908312338</v>
      </c>
      <c r="AE375" s="296">
        <f>'CAR Mileage'!AE396*CAR!$I$58</f>
        <v>15528.025908312338</v>
      </c>
      <c r="AG375" s="1711"/>
      <c r="AH375" s="116">
        <v>24</v>
      </c>
      <c r="AI375" s="294">
        <f>'CAR Passenger Kilometres'!C375*'CAR Stock'!C425</f>
        <v>0</v>
      </c>
      <c r="AJ375" s="295">
        <f>'CAR Passenger Kilometres'!D375*'CAR Stock'!D425</f>
        <v>0</v>
      </c>
      <c r="AK375" s="295">
        <f>'CAR Passenger Kilometres'!E375*'CAR Stock'!E425</f>
        <v>0</v>
      </c>
      <c r="AL375" s="295">
        <f>'CAR Passenger Kilometres'!F375*'CAR Stock'!F425</f>
        <v>0</v>
      </c>
      <c r="AM375" s="295">
        <f>'CAR Passenger Kilometres'!G375*'CAR Stock'!G425</f>
        <v>0</v>
      </c>
      <c r="AN375" s="295">
        <f>'CAR Passenger Kilometres'!H375*'CAR Stock'!H425</f>
        <v>0</v>
      </c>
      <c r="AO375" s="295">
        <f>'CAR Passenger Kilometres'!I375*'CAR Stock'!I425</f>
        <v>0</v>
      </c>
      <c r="AP375" s="295">
        <f>'CAR Passenger Kilometres'!J375*'CAR Stock'!J425</f>
        <v>0</v>
      </c>
      <c r="AQ375" s="295">
        <f>'CAR Passenger Kilometres'!K375*'CAR Stock'!K425</f>
        <v>0</v>
      </c>
      <c r="AR375" s="295">
        <f>'CAR Passenger Kilometres'!L375*'CAR Stock'!L425</f>
        <v>0</v>
      </c>
      <c r="AS375" s="295">
        <f>'CAR Passenger Kilometres'!M375*'CAR Stock'!M425</f>
        <v>0</v>
      </c>
      <c r="AT375" s="295">
        <f>'CAR Passenger Kilometres'!N375*'CAR Stock'!N425</f>
        <v>0</v>
      </c>
      <c r="AU375" s="295">
        <f>'CAR Passenger Kilometres'!O375*'CAR Stock'!O425</f>
        <v>8.3340854186162488E-5</v>
      </c>
      <c r="AV375" s="295">
        <f>'CAR Passenger Kilometres'!P375*'CAR Stock'!P425</f>
        <v>3.0230106935441822E-5</v>
      </c>
      <c r="AW375" s="295">
        <f>'CAR Passenger Kilometres'!Q375*'CAR Stock'!Q425</f>
        <v>0</v>
      </c>
      <c r="AX375" s="295">
        <f>'CAR Passenger Kilometres'!R375*'CAR Stock'!R425</f>
        <v>0</v>
      </c>
      <c r="AY375" s="295">
        <f>'CAR Passenger Kilometres'!S375*'CAR Stock'!S425</f>
        <v>0</v>
      </c>
      <c r="AZ375" s="295">
        <f>'CAR Passenger Kilometres'!T375*'CAR Stock'!T425</f>
        <v>0</v>
      </c>
      <c r="BA375" s="295">
        <f>'CAR Passenger Kilometres'!U375*'CAR Stock'!U425</f>
        <v>0</v>
      </c>
      <c r="BB375" s="295">
        <f>'CAR Passenger Kilometres'!V375*'CAR Stock'!V425</f>
        <v>0</v>
      </c>
      <c r="BC375" s="295">
        <f>'CAR Passenger Kilometres'!W375*'CAR Stock'!W425</f>
        <v>0</v>
      </c>
      <c r="BD375" s="295">
        <f>'CAR Passenger Kilometres'!X375*'CAR Stock'!X425</f>
        <v>0</v>
      </c>
      <c r="BE375" s="295">
        <f>'CAR Passenger Kilometres'!Y375*'CAR Stock'!Y425</f>
        <v>0</v>
      </c>
      <c r="BF375" s="295">
        <f>'CAR Passenger Kilometres'!Z375*'CAR Stock'!Z425</f>
        <v>0</v>
      </c>
      <c r="BG375" s="295">
        <f>'CAR Passenger Kilometres'!AA375*'CAR Stock'!AA425</f>
        <v>0</v>
      </c>
      <c r="BH375" s="295">
        <f>'CAR Passenger Kilometres'!AB375*'CAR Stock'!AB425</f>
        <v>0</v>
      </c>
      <c r="BI375" s="295">
        <f>'CAR Passenger Kilometres'!AC375*'CAR Stock'!AC425</f>
        <v>0</v>
      </c>
      <c r="BJ375" s="295">
        <f>'CAR Passenger Kilometres'!AD375*'CAR Stock'!AD425</f>
        <v>0</v>
      </c>
      <c r="BK375" s="296">
        <f>'CAR Passenger Kilometres'!AE375*'CAR Stock'!AE425</f>
        <v>0</v>
      </c>
    </row>
    <row r="376" spans="1:63" ht="15.75" thickBot="1">
      <c r="A376" s="1711"/>
      <c r="B376" s="116">
        <v>25</v>
      </c>
      <c r="C376" s="297">
        <f>'CAR Mileage'!C397*CAR!$I$58</f>
        <v>15528.025908312338</v>
      </c>
      <c r="D376" s="298">
        <f>'CAR Mileage'!D397*CAR!$I$58</f>
        <v>15528.025908312338</v>
      </c>
      <c r="E376" s="298">
        <f>'CAR Mileage'!E397*CAR!$I$58</f>
        <v>15528.025908312338</v>
      </c>
      <c r="F376" s="298">
        <f>'CAR Mileage'!F397*CAR!$I$58</f>
        <v>15528.025908312338</v>
      </c>
      <c r="G376" s="298">
        <f>'CAR Mileage'!G397*CAR!$I$58</f>
        <v>15528.025908312338</v>
      </c>
      <c r="H376" s="298">
        <f>'CAR Mileage'!H397*CAR!$I$58</f>
        <v>15528.025908312338</v>
      </c>
      <c r="I376" s="298">
        <f>'CAR Mileage'!I397*CAR!$I$58</f>
        <v>15528.025908312338</v>
      </c>
      <c r="J376" s="298">
        <f>'CAR Mileage'!J397*CAR!$I$58</f>
        <v>15528.025908312338</v>
      </c>
      <c r="K376" s="298">
        <f>'CAR Mileage'!K397*CAR!$I$58</f>
        <v>15528.025908312338</v>
      </c>
      <c r="L376" s="298">
        <f>'CAR Mileage'!L397*CAR!$I$58</f>
        <v>15528.025908312338</v>
      </c>
      <c r="M376" s="298">
        <f>'CAR Mileage'!M397*CAR!$I$58</f>
        <v>15528.025908312338</v>
      </c>
      <c r="N376" s="298">
        <f>'CAR Mileage'!N397*CAR!$I$58</f>
        <v>15528.025908312338</v>
      </c>
      <c r="O376" s="298">
        <f>'CAR Mileage'!O397*CAR!$I$58</f>
        <v>15528.025908312338</v>
      </c>
      <c r="P376" s="298">
        <f>'CAR Mileage'!P397*CAR!$I$58</f>
        <v>15528.025908312338</v>
      </c>
      <c r="Q376" s="298">
        <f>'CAR Mileage'!Q397*CAR!$I$58</f>
        <v>15528.025908312338</v>
      </c>
      <c r="R376" s="298">
        <f>'CAR Mileage'!R397*CAR!$I$58</f>
        <v>15528.025908312338</v>
      </c>
      <c r="S376" s="298">
        <f>'CAR Mileage'!S397*CAR!$I$58</f>
        <v>15528.025908312338</v>
      </c>
      <c r="T376" s="298">
        <f>'CAR Mileage'!T397*CAR!$I$58</f>
        <v>15528.025908312338</v>
      </c>
      <c r="U376" s="298">
        <f>'CAR Mileage'!U397*CAR!$I$58</f>
        <v>15528.025908312338</v>
      </c>
      <c r="V376" s="298">
        <f>'CAR Mileage'!V397*CAR!$I$58</f>
        <v>15528.025908312338</v>
      </c>
      <c r="W376" s="298">
        <f>'CAR Mileage'!W397*CAR!$I$58</f>
        <v>15528.025908312338</v>
      </c>
      <c r="X376" s="298">
        <f>'CAR Mileage'!X397*CAR!$I$58</f>
        <v>15528.025908312338</v>
      </c>
      <c r="Y376" s="298">
        <f>'CAR Mileage'!Y397*CAR!$I$58</f>
        <v>15528.025908312338</v>
      </c>
      <c r="Z376" s="298">
        <f>'CAR Mileage'!Z397*CAR!$I$58</f>
        <v>15528.025908312338</v>
      </c>
      <c r="AA376" s="298">
        <f>'CAR Mileage'!AA397*CAR!$I$58</f>
        <v>15528.025908312338</v>
      </c>
      <c r="AB376" s="298">
        <f>'CAR Mileage'!AB397*CAR!$I$58</f>
        <v>15528.025908312338</v>
      </c>
      <c r="AC376" s="298">
        <f>'CAR Mileage'!AC397*CAR!$I$58</f>
        <v>15528.025908312338</v>
      </c>
      <c r="AD376" s="298">
        <f>'CAR Mileage'!AD397*CAR!$I$58</f>
        <v>15528.025908312338</v>
      </c>
      <c r="AE376" s="299">
        <f>'CAR Mileage'!AE397*CAR!$I$58</f>
        <v>15528.025908312338</v>
      </c>
      <c r="AG376" s="1711"/>
      <c r="AH376" s="116">
        <v>25</v>
      </c>
      <c r="AI376" s="297">
        <f>'CAR Passenger Kilometres'!C376*'CAR Stock'!C426</f>
        <v>0</v>
      </c>
      <c r="AJ376" s="298">
        <f>'CAR Passenger Kilometres'!D376*'CAR Stock'!D426</f>
        <v>0</v>
      </c>
      <c r="AK376" s="298">
        <f>'CAR Passenger Kilometres'!E376*'CAR Stock'!E426</f>
        <v>0</v>
      </c>
      <c r="AL376" s="298">
        <f>'CAR Passenger Kilometres'!F376*'CAR Stock'!F426</f>
        <v>0</v>
      </c>
      <c r="AM376" s="298">
        <f>'CAR Passenger Kilometres'!G376*'CAR Stock'!G426</f>
        <v>0</v>
      </c>
      <c r="AN376" s="298">
        <f>'CAR Passenger Kilometres'!H376*'CAR Stock'!H426</f>
        <v>0</v>
      </c>
      <c r="AO376" s="298">
        <f>'CAR Passenger Kilometres'!I376*'CAR Stock'!I426</f>
        <v>0</v>
      </c>
      <c r="AP376" s="298">
        <f>'CAR Passenger Kilometres'!J376*'CAR Stock'!J426</f>
        <v>0</v>
      </c>
      <c r="AQ376" s="298">
        <f>'CAR Passenger Kilometres'!K376*'CAR Stock'!K426</f>
        <v>0</v>
      </c>
      <c r="AR376" s="298">
        <f>'CAR Passenger Kilometres'!L376*'CAR Stock'!L426</f>
        <v>0</v>
      </c>
      <c r="AS376" s="298">
        <f>'CAR Passenger Kilometres'!M376*'CAR Stock'!M426</f>
        <v>0</v>
      </c>
      <c r="AT376" s="298">
        <f>'CAR Passenger Kilometres'!N376*'CAR Stock'!N426</f>
        <v>0</v>
      </c>
      <c r="AU376" s="298">
        <f>'CAR Passenger Kilometres'!O376*'CAR Stock'!O426</f>
        <v>0</v>
      </c>
      <c r="AV376" s="298">
        <f>'CAR Passenger Kilometres'!P376*'CAR Stock'!P426</f>
        <v>0</v>
      </c>
      <c r="AW376" s="298">
        <f>'CAR Passenger Kilometres'!Q376*'CAR Stock'!Q426</f>
        <v>0</v>
      </c>
      <c r="AX376" s="298">
        <f>'CAR Passenger Kilometres'!R376*'CAR Stock'!R426</f>
        <v>0</v>
      </c>
      <c r="AY376" s="298">
        <f>'CAR Passenger Kilometres'!S376*'CAR Stock'!S426</f>
        <v>0</v>
      </c>
      <c r="AZ376" s="298">
        <f>'CAR Passenger Kilometres'!T376*'CAR Stock'!T426</f>
        <v>0</v>
      </c>
      <c r="BA376" s="298">
        <f>'CAR Passenger Kilometres'!U376*'CAR Stock'!U426</f>
        <v>0</v>
      </c>
      <c r="BB376" s="298">
        <f>'CAR Passenger Kilometres'!V376*'CAR Stock'!V426</f>
        <v>0</v>
      </c>
      <c r="BC376" s="298">
        <f>'CAR Passenger Kilometres'!W376*'CAR Stock'!W426</f>
        <v>0</v>
      </c>
      <c r="BD376" s="298">
        <f>'CAR Passenger Kilometres'!X376*'CAR Stock'!X426</f>
        <v>0</v>
      </c>
      <c r="BE376" s="298">
        <f>'CAR Passenger Kilometres'!Y376*'CAR Stock'!Y426</f>
        <v>0</v>
      </c>
      <c r="BF376" s="298">
        <f>'CAR Passenger Kilometres'!Z376*'CAR Stock'!Z426</f>
        <v>0</v>
      </c>
      <c r="BG376" s="298">
        <f>'CAR Passenger Kilometres'!AA376*'CAR Stock'!AA426</f>
        <v>0</v>
      </c>
      <c r="BH376" s="298">
        <f>'CAR Passenger Kilometres'!AB376*'CAR Stock'!AB426</f>
        <v>0</v>
      </c>
      <c r="BI376" s="298">
        <f>'CAR Passenger Kilometres'!AC376*'CAR Stock'!AC426</f>
        <v>0</v>
      </c>
      <c r="BJ376" s="298">
        <f>'CAR Passenger Kilometres'!AD376*'CAR Stock'!AD426</f>
        <v>0</v>
      </c>
      <c r="BK376" s="299">
        <f>'CAR Passenger Kilometres'!AE376*'CAR Stock'!AE426</f>
        <v>0</v>
      </c>
    </row>
    <row r="377" spans="1:63" ht="16.5" thickTop="1" thickBot="1">
      <c r="A377" s="1712"/>
      <c r="B377" s="300" t="s">
        <v>39</v>
      </c>
      <c r="C377" s="301">
        <f>'CAR Mileage'!C398*CAR!$I$58</f>
        <v>16949.477893535033</v>
      </c>
      <c r="D377" s="301">
        <f>'CAR Mileage'!D398*CAR!$I$58</f>
        <v>16624.182844050603</v>
      </c>
      <c r="E377" s="301">
        <f>'CAR Mileage'!E398*CAR!$I$58</f>
        <v>16310.389058135866</v>
      </c>
      <c r="F377" s="301">
        <f>'CAR Mileage'!F398*CAR!$I$58</f>
        <v>16010.16173973169</v>
      </c>
      <c r="G377" s="301">
        <f>'CAR Mileage'!G398*CAR!$I$58</f>
        <v>15698.284275035663</v>
      </c>
      <c r="H377" s="301">
        <f>'CAR Mileage'!H398*CAR!$I$58</f>
        <v>15528.025908312338</v>
      </c>
      <c r="I377" s="301">
        <f>'CAR Mileage'!I398*CAR!$I$58</f>
        <v>15528.025908312342</v>
      </c>
      <c r="J377" s="301">
        <f>'CAR Mileage'!J398*CAR!$I$58</f>
        <v>15528.025908312338</v>
      </c>
      <c r="K377" s="301">
        <f>'CAR Mileage'!K398*CAR!$I$58</f>
        <v>15528.025908312338</v>
      </c>
      <c r="L377" s="301">
        <f>'CAR Mileage'!L398*CAR!$I$58</f>
        <v>15528.025908312338</v>
      </c>
      <c r="M377" s="301">
        <f>'CAR Mileage'!M398*CAR!$I$58</f>
        <v>15528.025908312338</v>
      </c>
      <c r="N377" s="301">
        <f>'CAR Mileage'!N398*CAR!$I$58</f>
        <v>15528.025908312338</v>
      </c>
      <c r="O377" s="301">
        <f>'CAR Mileage'!O398*CAR!$I$58</f>
        <v>15528.025908312338</v>
      </c>
      <c r="P377" s="301">
        <f>'CAR Mileage'!P398*CAR!$I$58</f>
        <v>15528.025908312338</v>
      </c>
      <c r="Q377" s="301">
        <f>'CAR Mileage'!Q398*CAR!$I$58</f>
        <v>0</v>
      </c>
      <c r="R377" s="301">
        <f>'CAR Mileage'!R398*CAR!$I$58</f>
        <v>0</v>
      </c>
      <c r="S377" s="301">
        <f>'CAR Mileage'!S398*CAR!$I$58</f>
        <v>0</v>
      </c>
      <c r="T377" s="301">
        <f>'CAR Mileage'!T398*CAR!$I$58</f>
        <v>0</v>
      </c>
      <c r="U377" s="301">
        <f>'CAR Mileage'!U398*CAR!$I$58</f>
        <v>0</v>
      </c>
      <c r="V377" s="301">
        <f>'CAR Mileage'!V398*CAR!$I$58</f>
        <v>0</v>
      </c>
      <c r="W377" s="301">
        <f>'CAR Mileage'!W398*CAR!$I$58</f>
        <v>0</v>
      </c>
      <c r="X377" s="301">
        <f>'CAR Mileage'!X398*CAR!$I$58</f>
        <v>0</v>
      </c>
      <c r="Y377" s="301">
        <f>'CAR Mileage'!Y398*CAR!$I$58</f>
        <v>0</v>
      </c>
      <c r="Z377" s="301">
        <f>'CAR Mileage'!Z398*CAR!$I$58</f>
        <v>0</v>
      </c>
      <c r="AA377" s="301">
        <f>'CAR Mileage'!AA398*CAR!$I$58</f>
        <v>0</v>
      </c>
      <c r="AB377" s="301">
        <f>'CAR Mileage'!AB398*CAR!$I$58</f>
        <v>0</v>
      </c>
      <c r="AC377" s="301">
        <f>'CAR Mileage'!AC398*CAR!$I$58</f>
        <v>0</v>
      </c>
      <c r="AD377" s="301">
        <f>'CAR Mileage'!AD398*CAR!$I$58</f>
        <v>0</v>
      </c>
      <c r="AE377" s="302">
        <f>'CAR Mileage'!AE398*CAR!$I$58</f>
        <v>0</v>
      </c>
      <c r="AG377" s="1712"/>
      <c r="AH377" s="300" t="s">
        <v>39</v>
      </c>
      <c r="AI377" s="301">
        <f t="shared" ref="AI377:BK377" si="14">SUM(AI351:AI376)</f>
        <v>50848.433680605107</v>
      </c>
      <c r="AJ377" s="301">
        <f t="shared" si="14"/>
        <v>32245.808245418506</v>
      </c>
      <c r="AK377" s="301">
        <f t="shared" si="14"/>
        <v>16681.169483215235</v>
      </c>
      <c r="AL377" s="301">
        <f t="shared" si="14"/>
        <v>6617.6876295835564</v>
      </c>
      <c r="AM377" s="301">
        <f t="shared" si="14"/>
        <v>2142.2597358691705</v>
      </c>
      <c r="AN377" s="301">
        <f t="shared" si="14"/>
        <v>627.96943203440196</v>
      </c>
      <c r="AO377" s="301">
        <f t="shared" si="14"/>
        <v>164.93413148329989</v>
      </c>
      <c r="AP377" s="301">
        <f t="shared" si="14"/>
        <v>37.780000865988313</v>
      </c>
      <c r="AQ377" s="301">
        <f t="shared" si="14"/>
        <v>7.3902413981720105</v>
      </c>
      <c r="AR377" s="301">
        <f t="shared" si="14"/>
        <v>1.1996393927789908</v>
      </c>
      <c r="AS377" s="301">
        <f t="shared" si="14"/>
        <v>0.15504142335632415</v>
      </c>
      <c r="AT377" s="301">
        <f t="shared" si="14"/>
        <v>1.4945089212493157E-2</v>
      </c>
      <c r="AU377" s="301">
        <f t="shared" si="14"/>
        <v>9.542164262279553E-4</v>
      </c>
      <c r="AV377" s="301">
        <f t="shared" si="14"/>
        <v>3.0230106935441822E-5</v>
      </c>
      <c r="AW377" s="301">
        <f t="shared" si="14"/>
        <v>0</v>
      </c>
      <c r="AX377" s="301">
        <f t="shared" si="14"/>
        <v>0</v>
      </c>
      <c r="AY377" s="301">
        <f t="shared" si="14"/>
        <v>0</v>
      </c>
      <c r="AZ377" s="301">
        <f t="shared" si="14"/>
        <v>0</v>
      </c>
      <c r="BA377" s="301">
        <f t="shared" si="14"/>
        <v>0</v>
      </c>
      <c r="BB377" s="301">
        <f t="shared" si="14"/>
        <v>0</v>
      </c>
      <c r="BC377" s="301">
        <f t="shared" si="14"/>
        <v>0</v>
      </c>
      <c r="BD377" s="301">
        <f t="shared" si="14"/>
        <v>0</v>
      </c>
      <c r="BE377" s="301">
        <f t="shared" si="14"/>
        <v>0</v>
      </c>
      <c r="BF377" s="301">
        <f t="shared" si="14"/>
        <v>0</v>
      </c>
      <c r="BG377" s="301">
        <f t="shared" si="14"/>
        <v>0</v>
      </c>
      <c r="BH377" s="301">
        <f t="shared" si="14"/>
        <v>0</v>
      </c>
      <c r="BI377" s="301">
        <f t="shared" si="14"/>
        <v>0</v>
      </c>
      <c r="BJ377" s="301">
        <f t="shared" si="14"/>
        <v>0</v>
      </c>
      <c r="BK377" s="302">
        <f t="shared" si="14"/>
        <v>0</v>
      </c>
    </row>
    <row r="378" spans="1:63" ht="15.75" thickBot="1">
      <c r="AI378">
        <f>AI262</f>
        <v>0</v>
      </c>
    </row>
    <row r="379" spans="1:63" ht="15.75" thickBot="1">
      <c r="A379" s="1710" t="s">
        <v>54</v>
      </c>
      <c r="B379" s="169" t="s">
        <v>10</v>
      </c>
      <c r="C379" s="288">
        <f t="shared" ref="C379:C408" si="15">C263</f>
        <v>2012</v>
      </c>
      <c r="D379" s="289">
        <v>2013</v>
      </c>
      <c r="E379" s="289">
        <v>2014</v>
      </c>
      <c r="F379" s="289">
        <v>2015</v>
      </c>
      <c r="G379" s="288">
        <v>2016</v>
      </c>
      <c r="H379" s="289">
        <v>2017</v>
      </c>
      <c r="I379" s="289">
        <v>2018</v>
      </c>
      <c r="J379" s="289">
        <v>2019</v>
      </c>
      <c r="K379" s="288">
        <v>2020</v>
      </c>
      <c r="L379" s="289">
        <v>2021</v>
      </c>
      <c r="M379" s="289">
        <v>2022</v>
      </c>
      <c r="N379" s="289">
        <v>2023</v>
      </c>
      <c r="O379" s="288">
        <v>2024</v>
      </c>
      <c r="P379" s="289">
        <v>2025</v>
      </c>
      <c r="Q379" s="289">
        <v>2026</v>
      </c>
      <c r="R379" s="289">
        <v>2027</v>
      </c>
      <c r="S379" s="288">
        <v>2028</v>
      </c>
      <c r="T379" s="289">
        <v>2029</v>
      </c>
      <c r="U379" s="289">
        <v>2030</v>
      </c>
      <c r="V379" s="289">
        <v>2031</v>
      </c>
      <c r="W379" s="288">
        <v>2032</v>
      </c>
      <c r="X379" s="289">
        <v>2033</v>
      </c>
      <c r="Y379" s="289">
        <v>2034</v>
      </c>
      <c r="Z379" s="289">
        <v>2035</v>
      </c>
      <c r="AA379" s="288">
        <v>2036</v>
      </c>
      <c r="AB379" s="289">
        <v>2037</v>
      </c>
      <c r="AC379" s="289">
        <v>2038</v>
      </c>
      <c r="AD379" s="289">
        <v>2039</v>
      </c>
      <c r="AE379" s="290">
        <v>2040</v>
      </c>
      <c r="AG379" s="1710" t="s">
        <v>54</v>
      </c>
      <c r="AH379" s="169" t="s">
        <v>10</v>
      </c>
      <c r="AI379" s="288">
        <f>AI263</f>
        <v>2012</v>
      </c>
      <c r="AJ379" s="289">
        <v>2013</v>
      </c>
      <c r="AK379" s="289">
        <v>2014</v>
      </c>
      <c r="AL379" s="289">
        <v>2015</v>
      </c>
      <c r="AM379" s="288">
        <v>2016</v>
      </c>
      <c r="AN379" s="289">
        <v>2017</v>
      </c>
      <c r="AO379" s="289">
        <v>2018</v>
      </c>
      <c r="AP379" s="289">
        <v>2019</v>
      </c>
      <c r="AQ379" s="288">
        <v>2020</v>
      </c>
      <c r="AR379" s="289">
        <v>2021</v>
      </c>
      <c r="AS379" s="289">
        <v>2022</v>
      </c>
      <c r="AT379" s="289">
        <v>2023</v>
      </c>
      <c r="AU379" s="288">
        <v>2024</v>
      </c>
      <c r="AV379" s="289">
        <v>2025</v>
      </c>
      <c r="AW379" s="289">
        <v>2026</v>
      </c>
      <c r="AX379" s="289">
        <v>2027</v>
      </c>
      <c r="AY379" s="288">
        <v>2028</v>
      </c>
      <c r="AZ379" s="289">
        <v>2029</v>
      </c>
      <c r="BA379" s="289">
        <v>2030</v>
      </c>
      <c r="BB379" s="289">
        <v>2031</v>
      </c>
      <c r="BC379" s="288">
        <v>2032</v>
      </c>
      <c r="BD379" s="289">
        <v>2033</v>
      </c>
      <c r="BE379" s="289">
        <v>2034</v>
      </c>
      <c r="BF379" s="289">
        <v>2035</v>
      </c>
      <c r="BG379" s="288">
        <v>2036</v>
      </c>
      <c r="BH379" s="289">
        <v>2037</v>
      </c>
      <c r="BI379" s="289">
        <v>2038</v>
      </c>
      <c r="BJ379" s="289">
        <v>2039</v>
      </c>
      <c r="BK379" s="290">
        <v>2040</v>
      </c>
    </row>
    <row r="380" spans="1:63">
      <c r="A380" s="1711"/>
      <c r="B380" s="116">
        <v>0</v>
      </c>
      <c r="C380" s="291">
        <f>'CAR Mileage'!C401*CAR!$I$58</f>
        <v>25623.012471651051</v>
      </c>
      <c r="D380" s="292">
        <f>'CAR Mileage'!D401*CAR!$I$58</f>
        <v>25623.012471651051</v>
      </c>
      <c r="E380" s="292">
        <f>'CAR Mileage'!E401*CAR!$I$58</f>
        <v>25623.012471651051</v>
      </c>
      <c r="F380" s="292">
        <f>'CAR Mileage'!F401*CAR!$I$58</f>
        <v>25623.012471651051</v>
      </c>
      <c r="G380" s="292">
        <f>'CAR Mileage'!G401*CAR!$I$58</f>
        <v>25623.012471651051</v>
      </c>
      <c r="H380" s="292">
        <f>'CAR Mileage'!H401*CAR!$I$58</f>
        <v>25623.012471651051</v>
      </c>
      <c r="I380" s="292">
        <f>'CAR Mileage'!I401*CAR!$I$58</f>
        <v>25623.012471651051</v>
      </c>
      <c r="J380" s="292">
        <f>'CAR Mileage'!J401*CAR!$I$58</f>
        <v>25623.012471651051</v>
      </c>
      <c r="K380" s="292">
        <f>'CAR Mileage'!K401*CAR!$I$58</f>
        <v>25623.012471651051</v>
      </c>
      <c r="L380" s="292">
        <f>'CAR Mileage'!L401*CAR!$I$58</f>
        <v>25623.012471651051</v>
      </c>
      <c r="M380" s="292">
        <f>'CAR Mileage'!M401*CAR!$I$58</f>
        <v>25623.012471651051</v>
      </c>
      <c r="N380" s="292">
        <f>'CAR Mileage'!N401*CAR!$I$58</f>
        <v>25623.012471651051</v>
      </c>
      <c r="O380" s="292">
        <f>'CAR Mileage'!O401*CAR!$I$58</f>
        <v>25623.012471651051</v>
      </c>
      <c r="P380" s="292">
        <f>'CAR Mileage'!P401*CAR!$I$58</f>
        <v>25623.012471651051</v>
      </c>
      <c r="Q380" s="292">
        <f>'CAR Mileage'!Q401*CAR!$I$58</f>
        <v>25623.012471651051</v>
      </c>
      <c r="R380" s="292">
        <f>'CAR Mileage'!R401*CAR!$I$58</f>
        <v>25623.012471651051</v>
      </c>
      <c r="S380" s="292">
        <f>'CAR Mileage'!S401*CAR!$I$58</f>
        <v>25623.012471651051</v>
      </c>
      <c r="T380" s="292">
        <f>'CAR Mileage'!T401*CAR!$I$58</f>
        <v>25623.012471651051</v>
      </c>
      <c r="U380" s="292">
        <f>'CAR Mileage'!U401*CAR!$I$58</f>
        <v>25623.012471651051</v>
      </c>
      <c r="V380" s="292">
        <f>'CAR Mileage'!V401*CAR!$I$58</f>
        <v>25623.012471651051</v>
      </c>
      <c r="W380" s="292">
        <f>'CAR Mileage'!W401*CAR!$I$58</f>
        <v>25623.012471651051</v>
      </c>
      <c r="X380" s="292">
        <f>'CAR Mileage'!X401*CAR!$I$58</f>
        <v>25623.012471651051</v>
      </c>
      <c r="Y380" s="292">
        <f>'CAR Mileage'!Y401*CAR!$I$58</f>
        <v>25623.012471651051</v>
      </c>
      <c r="Z380" s="292">
        <f>'CAR Mileage'!Z401*CAR!$I$58</f>
        <v>25623.012471651051</v>
      </c>
      <c r="AA380" s="292">
        <f>'CAR Mileage'!AA401*CAR!$I$58</f>
        <v>25623.012471651051</v>
      </c>
      <c r="AB380" s="292">
        <f>'CAR Mileage'!AB401*CAR!$I$58</f>
        <v>25623.012471651051</v>
      </c>
      <c r="AC380" s="292">
        <f>'CAR Mileage'!AC401*CAR!$I$58</f>
        <v>25623.012471651051</v>
      </c>
      <c r="AD380" s="292">
        <f>'CAR Mileage'!AD401*CAR!$I$58</f>
        <v>25623.012471651051</v>
      </c>
      <c r="AE380" s="293">
        <f>'CAR Mileage'!AE401*CAR!$I$58</f>
        <v>25623.012471651051</v>
      </c>
      <c r="AG380" s="1711"/>
      <c r="AH380" s="116">
        <v>0</v>
      </c>
      <c r="AI380" s="291">
        <f>'CAR Passenger Kilometres'!C380*'CAR Stock'!C430</f>
        <v>1255527.6111109015</v>
      </c>
      <c r="AJ380" s="292">
        <f>'CAR Passenger Kilometres'!D380*'CAR Stock'!D430</f>
        <v>0</v>
      </c>
      <c r="AK380" s="292">
        <f>'CAR Passenger Kilometres'!E380*'CAR Stock'!E430</f>
        <v>0</v>
      </c>
      <c r="AL380" s="292">
        <f>'CAR Passenger Kilometres'!F380*'CAR Stock'!F430</f>
        <v>0</v>
      </c>
      <c r="AM380" s="292">
        <f>'CAR Passenger Kilometres'!G380*'CAR Stock'!G430</f>
        <v>0</v>
      </c>
      <c r="AN380" s="292">
        <f>'CAR Passenger Kilometres'!H380*'CAR Stock'!H430</f>
        <v>0</v>
      </c>
      <c r="AO380" s="292">
        <f>'CAR Passenger Kilometres'!I380*'CAR Stock'!I430</f>
        <v>0</v>
      </c>
      <c r="AP380" s="292">
        <f>'CAR Passenger Kilometres'!J380*'CAR Stock'!J430</f>
        <v>0</v>
      </c>
      <c r="AQ380" s="292">
        <f>'CAR Passenger Kilometres'!K380*'CAR Stock'!K430</f>
        <v>0</v>
      </c>
      <c r="AR380" s="292">
        <f>'CAR Passenger Kilometres'!L380*'CAR Stock'!L430</f>
        <v>0</v>
      </c>
      <c r="AS380" s="292">
        <f>'CAR Passenger Kilometres'!M380*'CAR Stock'!M430</f>
        <v>0</v>
      </c>
      <c r="AT380" s="292">
        <f>'CAR Passenger Kilometres'!N380*'CAR Stock'!N430</f>
        <v>0</v>
      </c>
      <c r="AU380" s="292">
        <f>'CAR Passenger Kilometres'!O380*'CAR Stock'!O430</f>
        <v>0</v>
      </c>
      <c r="AV380" s="292">
        <f>'CAR Passenger Kilometres'!P380*'CAR Stock'!P430</f>
        <v>0</v>
      </c>
      <c r="AW380" s="292">
        <f>'CAR Passenger Kilometres'!Q380*'CAR Stock'!Q430</f>
        <v>0</v>
      </c>
      <c r="AX380" s="292">
        <f>'CAR Passenger Kilometres'!R380*'CAR Stock'!R430</f>
        <v>0</v>
      </c>
      <c r="AY380" s="292">
        <f>'CAR Passenger Kilometres'!S380*'CAR Stock'!S430</f>
        <v>0</v>
      </c>
      <c r="AZ380" s="292">
        <f>'CAR Passenger Kilometres'!T380*'CAR Stock'!T430</f>
        <v>0</v>
      </c>
      <c r="BA380" s="292">
        <f>'CAR Passenger Kilometres'!U380*'CAR Stock'!U430</f>
        <v>0</v>
      </c>
      <c r="BB380" s="292">
        <f>'CAR Passenger Kilometres'!V380*'CAR Stock'!V430</f>
        <v>0</v>
      </c>
      <c r="BC380" s="292">
        <f>'CAR Passenger Kilometres'!W380*'CAR Stock'!W430</f>
        <v>0</v>
      </c>
      <c r="BD380" s="292">
        <f>'CAR Passenger Kilometres'!X380*'CAR Stock'!X430</f>
        <v>0</v>
      </c>
      <c r="BE380" s="292">
        <f>'CAR Passenger Kilometres'!Y380*'CAR Stock'!Y430</f>
        <v>0</v>
      </c>
      <c r="BF380" s="292">
        <f>'CAR Passenger Kilometres'!Z380*'CAR Stock'!Z430</f>
        <v>0</v>
      </c>
      <c r="BG380" s="292">
        <f>'CAR Passenger Kilometres'!AA380*'CAR Stock'!AA430</f>
        <v>0</v>
      </c>
      <c r="BH380" s="292">
        <f>'CAR Passenger Kilometres'!AB380*'CAR Stock'!AB430</f>
        <v>0</v>
      </c>
      <c r="BI380" s="292">
        <f>'CAR Passenger Kilometres'!AC380*'CAR Stock'!AC430</f>
        <v>0</v>
      </c>
      <c r="BJ380" s="292">
        <f>'CAR Passenger Kilometres'!AD380*'CAR Stock'!AD430</f>
        <v>0</v>
      </c>
      <c r="BK380" s="293">
        <f>'CAR Passenger Kilometres'!AE380*'CAR Stock'!AE430</f>
        <v>0</v>
      </c>
    </row>
    <row r="381" spans="1:63">
      <c r="A381" s="1711"/>
      <c r="B381" s="116">
        <v>1</v>
      </c>
      <c r="C381" s="294">
        <f>'CAR Mileage'!C402*CAR!$I$58</f>
        <v>25110.55222221803</v>
      </c>
      <c r="D381" s="295">
        <f>'CAR Mileage'!D402*CAR!$I$58</f>
        <v>25110.55222221803</v>
      </c>
      <c r="E381" s="295">
        <f>'CAR Mileage'!E402*CAR!$I$58</f>
        <v>25110.55222221803</v>
      </c>
      <c r="F381" s="295">
        <f>'CAR Mileage'!F402*CAR!$I$58</f>
        <v>25110.55222221803</v>
      </c>
      <c r="G381" s="295">
        <f>'CAR Mileage'!G402*CAR!$I$58</f>
        <v>25110.55222221803</v>
      </c>
      <c r="H381" s="295">
        <f>'CAR Mileage'!H402*CAR!$I$58</f>
        <v>25110.55222221803</v>
      </c>
      <c r="I381" s="295">
        <f>'CAR Mileage'!I402*CAR!$I$58</f>
        <v>25110.55222221803</v>
      </c>
      <c r="J381" s="295">
        <f>'CAR Mileage'!J402*CAR!$I$58</f>
        <v>25110.55222221803</v>
      </c>
      <c r="K381" s="295">
        <f>'CAR Mileage'!K402*CAR!$I$58</f>
        <v>25110.55222221803</v>
      </c>
      <c r="L381" s="295">
        <f>'CAR Mileage'!L402*CAR!$I$58</f>
        <v>25110.55222221803</v>
      </c>
      <c r="M381" s="295">
        <f>'CAR Mileage'!M402*CAR!$I$58</f>
        <v>25110.55222221803</v>
      </c>
      <c r="N381" s="295">
        <f>'CAR Mileage'!N402*CAR!$I$58</f>
        <v>25110.55222221803</v>
      </c>
      <c r="O381" s="295">
        <f>'CAR Mileage'!O402*CAR!$I$58</f>
        <v>25110.55222221803</v>
      </c>
      <c r="P381" s="295">
        <f>'CAR Mileage'!P402*CAR!$I$58</f>
        <v>25110.55222221803</v>
      </c>
      <c r="Q381" s="295">
        <f>'CAR Mileage'!Q402*CAR!$I$58</f>
        <v>25110.55222221803</v>
      </c>
      <c r="R381" s="295">
        <f>'CAR Mileage'!R402*CAR!$I$58</f>
        <v>25110.55222221803</v>
      </c>
      <c r="S381" s="295">
        <f>'CAR Mileage'!S402*CAR!$I$58</f>
        <v>25110.55222221803</v>
      </c>
      <c r="T381" s="295">
        <f>'CAR Mileage'!T402*CAR!$I$58</f>
        <v>25110.55222221803</v>
      </c>
      <c r="U381" s="295">
        <f>'CAR Mileage'!U402*CAR!$I$58</f>
        <v>25110.55222221803</v>
      </c>
      <c r="V381" s="295">
        <f>'CAR Mileage'!V402*CAR!$I$58</f>
        <v>25110.55222221803</v>
      </c>
      <c r="W381" s="295">
        <f>'CAR Mileage'!W402*CAR!$I$58</f>
        <v>25110.55222221803</v>
      </c>
      <c r="X381" s="295">
        <f>'CAR Mileage'!X402*CAR!$I$58</f>
        <v>25110.55222221803</v>
      </c>
      <c r="Y381" s="295">
        <f>'CAR Mileage'!Y402*CAR!$I$58</f>
        <v>25110.55222221803</v>
      </c>
      <c r="Z381" s="295">
        <f>'CAR Mileage'!Z402*CAR!$I$58</f>
        <v>25110.55222221803</v>
      </c>
      <c r="AA381" s="295">
        <f>'CAR Mileage'!AA402*CAR!$I$58</f>
        <v>25110.55222221803</v>
      </c>
      <c r="AB381" s="295">
        <f>'CAR Mileage'!AB402*CAR!$I$58</f>
        <v>25110.55222221803</v>
      </c>
      <c r="AC381" s="295">
        <f>'CAR Mileage'!AC402*CAR!$I$58</f>
        <v>25110.55222221803</v>
      </c>
      <c r="AD381" s="295">
        <f>'CAR Mileage'!AD402*CAR!$I$58</f>
        <v>25110.55222221803</v>
      </c>
      <c r="AE381" s="296">
        <f>'CAR Mileage'!AE402*CAR!$I$58</f>
        <v>25110.55222221803</v>
      </c>
      <c r="AG381" s="1711"/>
      <c r="AH381" s="116">
        <v>1</v>
      </c>
      <c r="AI381" s="294">
        <f>'CAR Passenger Kilometres'!C381*'CAR Stock'!C431</f>
        <v>2109286.3866663147</v>
      </c>
      <c r="AJ381" s="295">
        <f>'CAR Passenger Kilometres'!D381*'CAR Stock'!D431</f>
        <v>1230417.0588886836</v>
      </c>
      <c r="AK381" s="295">
        <f>'CAR Passenger Kilometres'!E381*'CAR Stock'!E431</f>
        <v>0</v>
      </c>
      <c r="AL381" s="295">
        <f>'CAR Passenger Kilometres'!F381*'CAR Stock'!F431</f>
        <v>0</v>
      </c>
      <c r="AM381" s="295">
        <f>'CAR Passenger Kilometres'!G381*'CAR Stock'!G431</f>
        <v>0</v>
      </c>
      <c r="AN381" s="295">
        <f>'CAR Passenger Kilometres'!H381*'CAR Stock'!H431</f>
        <v>0</v>
      </c>
      <c r="AO381" s="295">
        <f>'CAR Passenger Kilometres'!I381*'CAR Stock'!I431</f>
        <v>0</v>
      </c>
      <c r="AP381" s="295">
        <f>'CAR Passenger Kilometres'!J381*'CAR Stock'!J431</f>
        <v>0</v>
      </c>
      <c r="AQ381" s="295">
        <f>'CAR Passenger Kilometres'!K381*'CAR Stock'!K431</f>
        <v>0</v>
      </c>
      <c r="AR381" s="295">
        <f>'CAR Passenger Kilometres'!L381*'CAR Stock'!L431</f>
        <v>0</v>
      </c>
      <c r="AS381" s="295">
        <f>'CAR Passenger Kilometres'!M381*'CAR Stock'!M431</f>
        <v>0</v>
      </c>
      <c r="AT381" s="295">
        <f>'CAR Passenger Kilometres'!N381*'CAR Stock'!N431</f>
        <v>0</v>
      </c>
      <c r="AU381" s="295">
        <f>'CAR Passenger Kilometres'!O381*'CAR Stock'!O431</f>
        <v>0</v>
      </c>
      <c r="AV381" s="295">
        <f>'CAR Passenger Kilometres'!P381*'CAR Stock'!P431</f>
        <v>0</v>
      </c>
      <c r="AW381" s="295">
        <f>'CAR Passenger Kilometres'!Q381*'CAR Stock'!Q431</f>
        <v>0</v>
      </c>
      <c r="AX381" s="295">
        <f>'CAR Passenger Kilometres'!R381*'CAR Stock'!R431</f>
        <v>0</v>
      </c>
      <c r="AY381" s="295">
        <f>'CAR Passenger Kilometres'!S381*'CAR Stock'!S431</f>
        <v>0</v>
      </c>
      <c r="AZ381" s="295">
        <f>'CAR Passenger Kilometres'!T381*'CAR Stock'!T431</f>
        <v>0</v>
      </c>
      <c r="BA381" s="295">
        <f>'CAR Passenger Kilometres'!U381*'CAR Stock'!U431</f>
        <v>0</v>
      </c>
      <c r="BB381" s="295">
        <f>'CAR Passenger Kilometres'!V381*'CAR Stock'!V431</f>
        <v>0</v>
      </c>
      <c r="BC381" s="295">
        <f>'CAR Passenger Kilometres'!W381*'CAR Stock'!W431</f>
        <v>0</v>
      </c>
      <c r="BD381" s="295">
        <f>'CAR Passenger Kilometres'!X381*'CAR Stock'!X431</f>
        <v>0</v>
      </c>
      <c r="BE381" s="295">
        <f>'CAR Passenger Kilometres'!Y381*'CAR Stock'!Y431</f>
        <v>0</v>
      </c>
      <c r="BF381" s="295">
        <f>'CAR Passenger Kilometres'!Z381*'CAR Stock'!Z431</f>
        <v>0</v>
      </c>
      <c r="BG381" s="295">
        <f>'CAR Passenger Kilometres'!AA381*'CAR Stock'!AA431</f>
        <v>0</v>
      </c>
      <c r="BH381" s="295">
        <f>'CAR Passenger Kilometres'!AB381*'CAR Stock'!AB431</f>
        <v>0</v>
      </c>
      <c r="BI381" s="295">
        <f>'CAR Passenger Kilometres'!AC381*'CAR Stock'!AC431</f>
        <v>0</v>
      </c>
      <c r="BJ381" s="295">
        <f>'CAR Passenger Kilometres'!AD381*'CAR Stock'!AD431</f>
        <v>0</v>
      </c>
      <c r="BK381" s="296">
        <f>'CAR Passenger Kilometres'!AE381*'CAR Stock'!AE431</f>
        <v>0</v>
      </c>
    </row>
    <row r="382" spans="1:63">
      <c r="A382" s="1711"/>
      <c r="B382" s="116">
        <v>2</v>
      </c>
      <c r="C382" s="294">
        <f>'CAR Mileage'!C403*CAR!$I$58</f>
        <v>24608.341177773669</v>
      </c>
      <c r="D382" s="295">
        <f>'CAR Mileage'!D403*CAR!$I$58</f>
        <v>24608.341177773669</v>
      </c>
      <c r="E382" s="295">
        <f>'CAR Mileage'!E403*CAR!$I$58</f>
        <v>24608.341177773669</v>
      </c>
      <c r="F382" s="295">
        <f>'CAR Mileage'!F403*CAR!$I$58</f>
        <v>24608.341177773669</v>
      </c>
      <c r="G382" s="295">
        <f>'CAR Mileage'!G403*CAR!$I$58</f>
        <v>24608.341177773669</v>
      </c>
      <c r="H382" s="295">
        <f>'CAR Mileage'!H403*CAR!$I$58</f>
        <v>24608.341177773669</v>
      </c>
      <c r="I382" s="295">
        <f>'CAR Mileage'!I403*CAR!$I$58</f>
        <v>24608.341177773669</v>
      </c>
      <c r="J382" s="295">
        <f>'CAR Mileage'!J403*CAR!$I$58</f>
        <v>24608.341177773669</v>
      </c>
      <c r="K382" s="295">
        <f>'CAR Mileage'!K403*CAR!$I$58</f>
        <v>24608.341177773669</v>
      </c>
      <c r="L382" s="295">
        <f>'CAR Mileage'!L403*CAR!$I$58</f>
        <v>24608.341177773669</v>
      </c>
      <c r="M382" s="295">
        <f>'CAR Mileage'!M403*CAR!$I$58</f>
        <v>24608.341177773669</v>
      </c>
      <c r="N382" s="295">
        <f>'CAR Mileage'!N403*CAR!$I$58</f>
        <v>24608.341177773669</v>
      </c>
      <c r="O382" s="295">
        <f>'CAR Mileage'!O403*CAR!$I$58</f>
        <v>24608.341177773669</v>
      </c>
      <c r="P382" s="295">
        <f>'CAR Mileage'!P403*CAR!$I$58</f>
        <v>24608.341177773669</v>
      </c>
      <c r="Q382" s="295">
        <f>'CAR Mileage'!Q403*CAR!$I$58</f>
        <v>24608.341177773669</v>
      </c>
      <c r="R382" s="295">
        <f>'CAR Mileage'!R403*CAR!$I$58</f>
        <v>24608.341177773669</v>
      </c>
      <c r="S382" s="295">
        <f>'CAR Mileage'!S403*CAR!$I$58</f>
        <v>24608.341177773669</v>
      </c>
      <c r="T382" s="295">
        <f>'CAR Mileage'!T403*CAR!$I$58</f>
        <v>24608.341177773669</v>
      </c>
      <c r="U382" s="295">
        <f>'CAR Mileage'!U403*CAR!$I$58</f>
        <v>24608.341177773669</v>
      </c>
      <c r="V382" s="295">
        <f>'CAR Mileage'!V403*CAR!$I$58</f>
        <v>24608.341177773669</v>
      </c>
      <c r="W382" s="295">
        <f>'CAR Mileage'!W403*CAR!$I$58</f>
        <v>24608.341177773669</v>
      </c>
      <c r="X382" s="295">
        <f>'CAR Mileage'!X403*CAR!$I$58</f>
        <v>24608.341177773669</v>
      </c>
      <c r="Y382" s="295">
        <f>'CAR Mileage'!Y403*CAR!$I$58</f>
        <v>24608.341177773669</v>
      </c>
      <c r="Z382" s="295">
        <f>'CAR Mileage'!Z403*CAR!$I$58</f>
        <v>24608.341177773669</v>
      </c>
      <c r="AA382" s="295">
        <f>'CAR Mileage'!AA403*CAR!$I$58</f>
        <v>24608.341177773669</v>
      </c>
      <c r="AB382" s="295">
        <f>'CAR Mileage'!AB403*CAR!$I$58</f>
        <v>24608.341177773669</v>
      </c>
      <c r="AC382" s="295">
        <f>'CAR Mileage'!AC403*CAR!$I$58</f>
        <v>24608.341177773669</v>
      </c>
      <c r="AD382" s="295">
        <f>'CAR Mileage'!AD403*CAR!$I$58</f>
        <v>24608.341177773669</v>
      </c>
      <c r="AE382" s="296">
        <f>'CAR Mileage'!AE403*CAR!$I$58</f>
        <v>24608.341177773669</v>
      </c>
      <c r="AG382" s="1711"/>
      <c r="AH382" s="116">
        <v>2</v>
      </c>
      <c r="AI382" s="294">
        <f>'CAR Passenger Kilometres'!C382*'CAR Stock'!C432</f>
        <v>5487660.0826435285</v>
      </c>
      <c r="AJ382" s="295">
        <f>'CAR Passenger Kilometres'!D382*'CAR Stock'!D432</f>
        <v>2067100.6589329883</v>
      </c>
      <c r="AK382" s="295">
        <f>'CAR Passenger Kilometres'!E382*'CAR Stock'!E432</f>
        <v>1205808.7177109099</v>
      </c>
      <c r="AL382" s="295">
        <f>'CAR Passenger Kilometres'!F382*'CAR Stock'!F432</f>
        <v>0</v>
      </c>
      <c r="AM382" s="295">
        <f>'CAR Passenger Kilometres'!G382*'CAR Stock'!G432</f>
        <v>0</v>
      </c>
      <c r="AN382" s="295">
        <f>'CAR Passenger Kilometres'!H382*'CAR Stock'!H432</f>
        <v>0</v>
      </c>
      <c r="AO382" s="295">
        <f>'CAR Passenger Kilometres'!I382*'CAR Stock'!I432</f>
        <v>0</v>
      </c>
      <c r="AP382" s="295">
        <f>'CAR Passenger Kilometres'!J382*'CAR Stock'!J432</f>
        <v>0</v>
      </c>
      <c r="AQ382" s="295">
        <f>'CAR Passenger Kilometres'!K382*'CAR Stock'!K432</f>
        <v>0</v>
      </c>
      <c r="AR382" s="295">
        <f>'CAR Passenger Kilometres'!L382*'CAR Stock'!L432</f>
        <v>0</v>
      </c>
      <c r="AS382" s="295">
        <f>'CAR Passenger Kilometres'!M382*'CAR Stock'!M432</f>
        <v>0</v>
      </c>
      <c r="AT382" s="295">
        <f>'CAR Passenger Kilometres'!N382*'CAR Stock'!N432</f>
        <v>0</v>
      </c>
      <c r="AU382" s="295">
        <f>'CAR Passenger Kilometres'!O382*'CAR Stock'!O432</f>
        <v>0</v>
      </c>
      <c r="AV382" s="295">
        <f>'CAR Passenger Kilometres'!P382*'CAR Stock'!P432</f>
        <v>0</v>
      </c>
      <c r="AW382" s="295">
        <f>'CAR Passenger Kilometres'!Q382*'CAR Stock'!Q432</f>
        <v>0</v>
      </c>
      <c r="AX382" s="295">
        <f>'CAR Passenger Kilometres'!R382*'CAR Stock'!R432</f>
        <v>0</v>
      </c>
      <c r="AY382" s="295">
        <f>'CAR Passenger Kilometres'!S382*'CAR Stock'!S432</f>
        <v>0</v>
      </c>
      <c r="AZ382" s="295">
        <f>'CAR Passenger Kilometres'!T382*'CAR Stock'!T432</f>
        <v>0</v>
      </c>
      <c r="BA382" s="295">
        <f>'CAR Passenger Kilometres'!U382*'CAR Stock'!U432</f>
        <v>0</v>
      </c>
      <c r="BB382" s="295">
        <f>'CAR Passenger Kilometres'!V382*'CAR Stock'!V432</f>
        <v>0</v>
      </c>
      <c r="BC382" s="295">
        <f>'CAR Passenger Kilometres'!W382*'CAR Stock'!W432</f>
        <v>0</v>
      </c>
      <c r="BD382" s="295">
        <f>'CAR Passenger Kilometres'!X382*'CAR Stock'!X432</f>
        <v>0</v>
      </c>
      <c r="BE382" s="295">
        <f>'CAR Passenger Kilometres'!Y382*'CAR Stock'!Y432</f>
        <v>0</v>
      </c>
      <c r="BF382" s="295">
        <f>'CAR Passenger Kilometres'!Z382*'CAR Stock'!Z432</f>
        <v>0</v>
      </c>
      <c r="BG382" s="295">
        <f>'CAR Passenger Kilometres'!AA382*'CAR Stock'!AA432</f>
        <v>0</v>
      </c>
      <c r="BH382" s="295">
        <f>'CAR Passenger Kilometres'!AB382*'CAR Stock'!AB432</f>
        <v>0</v>
      </c>
      <c r="BI382" s="295">
        <f>'CAR Passenger Kilometres'!AC382*'CAR Stock'!AC432</f>
        <v>0</v>
      </c>
      <c r="BJ382" s="295">
        <f>'CAR Passenger Kilometres'!AD382*'CAR Stock'!AD432</f>
        <v>0</v>
      </c>
      <c r="BK382" s="296">
        <f>'CAR Passenger Kilometres'!AE382*'CAR Stock'!AE432</f>
        <v>0</v>
      </c>
    </row>
    <row r="383" spans="1:63">
      <c r="A383" s="1711"/>
      <c r="B383" s="116">
        <v>3</v>
      </c>
      <c r="C383" s="294">
        <f>'CAR Mileage'!C404*CAR!$I$58</f>
        <v>24116.174354218194</v>
      </c>
      <c r="D383" s="295">
        <f>'CAR Mileage'!D404*CAR!$I$58</f>
        <v>24116.174354218194</v>
      </c>
      <c r="E383" s="295">
        <f>'CAR Mileage'!E404*CAR!$I$58</f>
        <v>24116.174354218194</v>
      </c>
      <c r="F383" s="295">
        <f>'CAR Mileage'!F404*CAR!$I$58</f>
        <v>24116.174354218194</v>
      </c>
      <c r="G383" s="295">
        <f>'CAR Mileage'!G404*CAR!$I$58</f>
        <v>24116.174354218194</v>
      </c>
      <c r="H383" s="295">
        <f>'CAR Mileage'!H404*CAR!$I$58</f>
        <v>24116.174354218194</v>
      </c>
      <c r="I383" s="295">
        <f>'CAR Mileage'!I404*CAR!$I$58</f>
        <v>24116.174354218194</v>
      </c>
      <c r="J383" s="295">
        <f>'CAR Mileage'!J404*CAR!$I$58</f>
        <v>24116.174354218194</v>
      </c>
      <c r="K383" s="295">
        <f>'CAR Mileage'!K404*CAR!$I$58</f>
        <v>24116.174354218194</v>
      </c>
      <c r="L383" s="295">
        <f>'CAR Mileage'!L404*CAR!$I$58</f>
        <v>24116.174354218194</v>
      </c>
      <c r="M383" s="295">
        <f>'CAR Mileage'!M404*CAR!$I$58</f>
        <v>24116.174354218194</v>
      </c>
      <c r="N383" s="295">
        <f>'CAR Mileage'!N404*CAR!$I$58</f>
        <v>24116.174354218194</v>
      </c>
      <c r="O383" s="295">
        <f>'CAR Mileage'!O404*CAR!$I$58</f>
        <v>24116.174354218194</v>
      </c>
      <c r="P383" s="295">
        <f>'CAR Mileage'!P404*CAR!$I$58</f>
        <v>24116.174354218194</v>
      </c>
      <c r="Q383" s="295">
        <f>'CAR Mileage'!Q404*CAR!$I$58</f>
        <v>24116.174354218194</v>
      </c>
      <c r="R383" s="295">
        <f>'CAR Mileage'!R404*CAR!$I$58</f>
        <v>24116.174354218194</v>
      </c>
      <c r="S383" s="295">
        <f>'CAR Mileage'!S404*CAR!$I$58</f>
        <v>24116.174354218194</v>
      </c>
      <c r="T383" s="295">
        <f>'CAR Mileage'!T404*CAR!$I$58</f>
        <v>24116.174354218194</v>
      </c>
      <c r="U383" s="295">
        <f>'CAR Mileage'!U404*CAR!$I$58</f>
        <v>24116.174354218194</v>
      </c>
      <c r="V383" s="295">
        <f>'CAR Mileage'!V404*CAR!$I$58</f>
        <v>24116.174354218194</v>
      </c>
      <c r="W383" s="295">
        <f>'CAR Mileage'!W404*CAR!$I$58</f>
        <v>24116.174354218194</v>
      </c>
      <c r="X383" s="295">
        <f>'CAR Mileage'!X404*CAR!$I$58</f>
        <v>24116.174354218194</v>
      </c>
      <c r="Y383" s="295">
        <f>'CAR Mileage'!Y404*CAR!$I$58</f>
        <v>24116.174354218194</v>
      </c>
      <c r="Z383" s="295">
        <f>'CAR Mileage'!Z404*CAR!$I$58</f>
        <v>24116.174354218194</v>
      </c>
      <c r="AA383" s="295">
        <f>'CAR Mileage'!AA404*CAR!$I$58</f>
        <v>24116.174354218194</v>
      </c>
      <c r="AB383" s="295">
        <f>'CAR Mileage'!AB404*CAR!$I$58</f>
        <v>24116.174354218194</v>
      </c>
      <c r="AC383" s="295">
        <f>'CAR Mileage'!AC404*CAR!$I$58</f>
        <v>24116.174354218194</v>
      </c>
      <c r="AD383" s="295">
        <f>'CAR Mileage'!AD404*CAR!$I$58</f>
        <v>24116.174354218194</v>
      </c>
      <c r="AE383" s="296">
        <f>'CAR Mileage'!AE404*CAR!$I$58</f>
        <v>24116.174354218194</v>
      </c>
      <c r="AG383" s="1711"/>
      <c r="AH383" s="116">
        <v>3</v>
      </c>
      <c r="AI383" s="294">
        <f>'CAR Passenger Kilometres'!C383*'CAR Stock'!C433</f>
        <v>10128793.228771642</v>
      </c>
      <c r="AJ383" s="295">
        <f>'CAR Passenger Kilometres'!D383*'CAR Stock'!D433</f>
        <v>5377906.880990657</v>
      </c>
      <c r="AK383" s="295">
        <f>'CAR Passenger Kilometres'!E383*'CAR Stock'!E433</f>
        <v>2025758.6457543282</v>
      </c>
      <c r="AL383" s="295">
        <f>'CAR Passenger Kilometres'!F383*'CAR Stock'!F433</f>
        <v>1181692.5433566915</v>
      </c>
      <c r="AM383" s="295">
        <f>'CAR Passenger Kilometres'!G383*'CAR Stock'!G433</f>
        <v>0</v>
      </c>
      <c r="AN383" s="295">
        <f>'CAR Passenger Kilometres'!H383*'CAR Stock'!H433</f>
        <v>0</v>
      </c>
      <c r="AO383" s="295">
        <f>'CAR Passenger Kilometres'!I383*'CAR Stock'!I433</f>
        <v>0</v>
      </c>
      <c r="AP383" s="295">
        <f>'CAR Passenger Kilometres'!J383*'CAR Stock'!J433</f>
        <v>0</v>
      </c>
      <c r="AQ383" s="295">
        <f>'CAR Passenger Kilometres'!K383*'CAR Stock'!K433</f>
        <v>0</v>
      </c>
      <c r="AR383" s="295">
        <f>'CAR Passenger Kilometres'!L383*'CAR Stock'!L433</f>
        <v>0</v>
      </c>
      <c r="AS383" s="295">
        <f>'CAR Passenger Kilometres'!M383*'CAR Stock'!M433</f>
        <v>0</v>
      </c>
      <c r="AT383" s="295">
        <f>'CAR Passenger Kilometres'!N383*'CAR Stock'!N433</f>
        <v>0</v>
      </c>
      <c r="AU383" s="295">
        <f>'CAR Passenger Kilometres'!O383*'CAR Stock'!O433</f>
        <v>0</v>
      </c>
      <c r="AV383" s="295">
        <f>'CAR Passenger Kilometres'!P383*'CAR Stock'!P433</f>
        <v>0</v>
      </c>
      <c r="AW383" s="295">
        <f>'CAR Passenger Kilometres'!Q383*'CAR Stock'!Q433</f>
        <v>0</v>
      </c>
      <c r="AX383" s="295">
        <f>'CAR Passenger Kilometres'!R383*'CAR Stock'!R433</f>
        <v>0</v>
      </c>
      <c r="AY383" s="295">
        <f>'CAR Passenger Kilometres'!S383*'CAR Stock'!S433</f>
        <v>0</v>
      </c>
      <c r="AZ383" s="295">
        <f>'CAR Passenger Kilometres'!T383*'CAR Stock'!T433</f>
        <v>0</v>
      </c>
      <c r="BA383" s="295">
        <f>'CAR Passenger Kilometres'!U383*'CAR Stock'!U433</f>
        <v>0</v>
      </c>
      <c r="BB383" s="295">
        <f>'CAR Passenger Kilometres'!V383*'CAR Stock'!V433</f>
        <v>0</v>
      </c>
      <c r="BC383" s="295">
        <f>'CAR Passenger Kilometres'!W383*'CAR Stock'!W433</f>
        <v>0</v>
      </c>
      <c r="BD383" s="295">
        <f>'CAR Passenger Kilometres'!X383*'CAR Stock'!X433</f>
        <v>0</v>
      </c>
      <c r="BE383" s="295">
        <f>'CAR Passenger Kilometres'!Y383*'CAR Stock'!Y433</f>
        <v>0</v>
      </c>
      <c r="BF383" s="295">
        <f>'CAR Passenger Kilometres'!Z383*'CAR Stock'!Z433</f>
        <v>0</v>
      </c>
      <c r="BG383" s="295">
        <f>'CAR Passenger Kilometres'!AA383*'CAR Stock'!AA433</f>
        <v>0</v>
      </c>
      <c r="BH383" s="295">
        <f>'CAR Passenger Kilometres'!AB383*'CAR Stock'!AB433</f>
        <v>0</v>
      </c>
      <c r="BI383" s="295">
        <f>'CAR Passenger Kilometres'!AC383*'CAR Stock'!AC433</f>
        <v>0</v>
      </c>
      <c r="BJ383" s="295">
        <f>'CAR Passenger Kilometres'!AD383*'CAR Stock'!AD433</f>
        <v>0</v>
      </c>
      <c r="BK383" s="296">
        <f>'CAR Passenger Kilometres'!AE383*'CAR Stock'!AE433</f>
        <v>0</v>
      </c>
    </row>
    <row r="384" spans="1:63">
      <c r="A384" s="1711"/>
      <c r="B384" s="116">
        <v>4</v>
      </c>
      <c r="C384" s="294">
        <f>'CAR Mileage'!C405*CAR!$I$58</f>
        <v>23633.850867133831</v>
      </c>
      <c r="D384" s="295">
        <f>'CAR Mileage'!D405*CAR!$I$58</f>
        <v>23633.850867133831</v>
      </c>
      <c r="E384" s="295">
        <f>'CAR Mileage'!E405*CAR!$I$58</f>
        <v>23633.850867133831</v>
      </c>
      <c r="F384" s="295">
        <f>'CAR Mileage'!F405*CAR!$I$58</f>
        <v>23633.850867133831</v>
      </c>
      <c r="G384" s="295">
        <f>'CAR Mileage'!G405*CAR!$I$58</f>
        <v>23633.850867133831</v>
      </c>
      <c r="H384" s="295">
        <f>'CAR Mileage'!H405*CAR!$I$58</f>
        <v>23633.850867133831</v>
      </c>
      <c r="I384" s="295">
        <f>'CAR Mileage'!I405*CAR!$I$58</f>
        <v>23633.850867133831</v>
      </c>
      <c r="J384" s="295">
        <f>'CAR Mileage'!J405*CAR!$I$58</f>
        <v>23633.850867133831</v>
      </c>
      <c r="K384" s="295">
        <f>'CAR Mileage'!K405*CAR!$I$58</f>
        <v>23633.850867133831</v>
      </c>
      <c r="L384" s="295">
        <f>'CAR Mileage'!L405*CAR!$I$58</f>
        <v>23633.850867133831</v>
      </c>
      <c r="M384" s="295">
        <f>'CAR Mileage'!M405*CAR!$I$58</f>
        <v>23633.850867133831</v>
      </c>
      <c r="N384" s="295">
        <f>'CAR Mileage'!N405*CAR!$I$58</f>
        <v>23633.850867133831</v>
      </c>
      <c r="O384" s="295">
        <f>'CAR Mileage'!O405*CAR!$I$58</f>
        <v>23633.850867133831</v>
      </c>
      <c r="P384" s="295">
        <f>'CAR Mileage'!P405*CAR!$I$58</f>
        <v>23633.850867133831</v>
      </c>
      <c r="Q384" s="295">
        <f>'CAR Mileage'!Q405*CAR!$I$58</f>
        <v>23633.850867133831</v>
      </c>
      <c r="R384" s="295">
        <f>'CAR Mileage'!R405*CAR!$I$58</f>
        <v>23633.850867133831</v>
      </c>
      <c r="S384" s="295">
        <f>'CAR Mileage'!S405*CAR!$I$58</f>
        <v>23633.850867133831</v>
      </c>
      <c r="T384" s="295">
        <f>'CAR Mileage'!T405*CAR!$I$58</f>
        <v>23633.850867133831</v>
      </c>
      <c r="U384" s="295">
        <f>'CAR Mileage'!U405*CAR!$I$58</f>
        <v>23633.850867133831</v>
      </c>
      <c r="V384" s="295">
        <f>'CAR Mileage'!V405*CAR!$I$58</f>
        <v>23633.850867133831</v>
      </c>
      <c r="W384" s="295">
        <f>'CAR Mileage'!W405*CAR!$I$58</f>
        <v>23633.850867133831</v>
      </c>
      <c r="X384" s="295">
        <f>'CAR Mileage'!X405*CAR!$I$58</f>
        <v>23633.850867133831</v>
      </c>
      <c r="Y384" s="295">
        <f>'CAR Mileage'!Y405*CAR!$I$58</f>
        <v>23633.850867133831</v>
      </c>
      <c r="Z384" s="295">
        <f>'CAR Mileage'!Z405*CAR!$I$58</f>
        <v>23633.850867133831</v>
      </c>
      <c r="AA384" s="295">
        <f>'CAR Mileage'!AA405*CAR!$I$58</f>
        <v>23633.850867133831</v>
      </c>
      <c r="AB384" s="295">
        <f>'CAR Mileage'!AB405*CAR!$I$58</f>
        <v>23633.850867133831</v>
      </c>
      <c r="AC384" s="295">
        <f>'CAR Mileage'!AC405*CAR!$I$58</f>
        <v>23633.850867133831</v>
      </c>
      <c r="AD384" s="295">
        <f>'CAR Mileage'!AD405*CAR!$I$58</f>
        <v>23633.850867133831</v>
      </c>
      <c r="AE384" s="296">
        <f>'CAR Mileage'!AE405*CAR!$I$58</f>
        <v>23633.850867133831</v>
      </c>
      <c r="AG384" s="1711"/>
      <c r="AH384" s="116">
        <v>4</v>
      </c>
      <c r="AI384" s="294">
        <f>'CAR Passenger Kilometres'!C384*'CAR Stock'!C434</f>
        <v>27675239.365413718</v>
      </c>
      <c r="AJ384" s="295">
        <f>'CAR Passenger Kilometres'!D384*'CAR Stock'!D434</f>
        <v>9926217.3641962092</v>
      </c>
      <c r="AK384" s="295">
        <f>'CAR Passenger Kilometres'!E384*'CAR Stock'!E434</f>
        <v>5270348.7433708441</v>
      </c>
      <c r="AL384" s="295">
        <f>'CAR Passenger Kilometres'!F384*'CAR Stock'!F434</f>
        <v>1985243.4728392418</v>
      </c>
      <c r="AM384" s="295">
        <f>'CAR Passenger Kilometres'!G384*'CAR Stock'!G434</f>
        <v>1158058.6924895577</v>
      </c>
      <c r="AN384" s="295">
        <f>'CAR Passenger Kilometres'!H384*'CAR Stock'!H434</f>
        <v>0</v>
      </c>
      <c r="AO384" s="295">
        <f>'CAR Passenger Kilometres'!I384*'CAR Stock'!I434</f>
        <v>0</v>
      </c>
      <c r="AP384" s="295">
        <f>'CAR Passenger Kilometres'!J384*'CAR Stock'!J434</f>
        <v>0</v>
      </c>
      <c r="AQ384" s="295">
        <f>'CAR Passenger Kilometres'!K384*'CAR Stock'!K434</f>
        <v>0</v>
      </c>
      <c r="AR384" s="295">
        <f>'CAR Passenger Kilometres'!L384*'CAR Stock'!L434</f>
        <v>0</v>
      </c>
      <c r="AS384" s="295">
        <f>'CAR Passenger Kilometres'!M384*'CAR Stock'!M434</f>
        <v>0</v>
      </c>
      <c r="AT384" s="295">
        <f>'CAR Passenger Kilometres'!N384*'CAR Stock'!N434</f>
        <v>0</v>
      </c>
      <c r="AU384" s="295">
        <f>'CAR Passenger Kilometres'!O384*'CAR Stock'!O434</f>
        <v>0</v>
      </c>
      <c r="AV384" s="295">
        <f>'CAR Passenger Kilometres'!P384*'CAR Stock'!P434</f>
        <v>0</v>
      </c>
      <c r="AW384" s="295">
        <f>'CAR Passenger Kilometres'!Q384*'CAR Stock'!Q434</f>
        <v>0</v>
      </c>
      <c r="AX384" s="295">
        <f>'CAR Passenger Kilometres'!R384*'CAR Stock'!R434</f>
        <v>0</v>
      </c>
      <c r="AY384" s="295">
        <f>'CAR Passenger Kilometres'!S384*'CAR Stock'!S434</f>
        <v>0</v>
      </c>
      <c r="AZ384" s="295">
        <f>'CAR Passenger Kilometres'!T384*'CAR Stock'!T434</f>
        <v>0</v>
      </c>
      <c r="BA384" s="295">
        <f>'CAR Passenger Kilometres'!U384*'CAR Stock'!U434</f>
        <v>0</v>
      </c>
      <c r="BB384" s="295">
        <f>'CAR Passenger Kilometres'!V384*'CAR Stock'!V434</f>
        <v>0</v>
      </c>
      <c r="BC384" s="295">
        <f>'CAR Passenger Kilometres'!W384*'CAR Stock'!W434</f>
        <v>0</v>
      </c>
      <c r="BD384" s="295">
        <f>'CAR Passenger Kilometres'!X384*'CAR Stock'!X434</f>
        <v>0</v>
      </c>
      <c r="BE384" s="295">
        <f>'CAR Passenger Kilometres'!Y384*'CAR Stock'!Y434</f>
        <v>0</v>
      </c>
      <c r="BF384" s="295">
        <f>'CAR Passenger Kilometres'!Z384*'CAR Stock'!Z434</f>
        <v>0</v>
      </c>
      <c r="BG384" s="295">
        <f>'CAR Passenger Kilometres'!AA384*'CAR Stock'!AA434</f>
        <v>0</v>
      </c>
      <c r="BH384" s="295">
        <f>'CAR Passenger Kilometres'!AB384*'CAR Stock'!AB434</f>
        <v>0</v>
      </c>
      <c r="BI384" s="295">
        <f>'CAR Passenger Kilometres'!AC384*'CAR Stock'!AC434</f>
        <v>0</v>
      </c>
      <c r="BJ384" s="295">
        <f>'CAR Passenger Kilometres'!AD384*'CAR Stock'!AD434</f>
        <v>0</v>
      </c>
      <c r="BK384" s="296">
        <f>'CAR Passenger Kilometres'!AE384*'CAR Stock'!AE434</f>
        <v>0</v>
      </c>
    </row>
    <row r="385" spans="1:63">
      <c r="A385" s="1711"/>
      <c r="B385" s="116">
        <v>5</v>
      </c>
      <c r="C385" s="294">
        <f>'CAR Mileage'!C406*CAR!$I$58</f>
        <v>23161.173849791154</v>
      </c>
      <c r="D385" s="295">
        <f>'CAR Mileage'!D406*CAR!$I$58</f>
        <v>23161.173849791154</v>
      </c>
      <c r="E385" s="295">
        <f>'CAR Mileage'!E406*CAR!$I$58</f>
        <v>23161.173849791154</v>
      </c>
      <c r="F385" s="295">
        <f>'CAR Mileage'!F406*CAR!$I$58</f>
        <v>23161.173849791154</v>
      </c>
      <c r="G385" s="295">
        <f>'CAR Mileage'!G406*CAR!$I$58</f>
        <v>23161.173849791154</v>
      </c>
      <c r="H385" s="295">
        <f>'CAR Mileage'!H406*CAR!$I$58</f>
        <v>23161.173849791154</v>
      </c>
      <c r="I385" s="295">
        <f>'CAR Mileage'!I406*CAR!$I$58</f>
        <v>23161.173849791154</v>
      </c>
      <c r="J385" s="295">
        <f>'CAR Mileage'!J406*CAR!$I$58</f>
        <v>23161.173849791154</v>
      </c>
      <c r="K385" s="295">
        <f>'CAR Mileage'!K406*CAR!$I$58</f>
        <v>23161.173849791154</v>
      </c>
      <c r="L385" s="295">
        <f>'CAR Mileage'!L406*CAR!$I$58</f>
        <v>23161.173849791154</v>
      </c>
      <c r="M385" s="295">
        <f>'CAR Mileage'!M406*CAR!$I$58</f>
        <v>23161.173849791154</v>
      </c>
      <c r="N385" s="295">
        <f>'CAR Mileage'!N406*CAR!$I$58</f>
        <v>23161.173849791154</v>
      </c>
      <c r="O385" s="295">
        <f>'CAR Mileage'!O406*CAR!$I$58</f>
        <v>23161.173849791154</v>
      </c>
      <c r="P385" s="295">
        <f>'CAR Mileage'!P406*CAR!$I$58</f>
        <v>23161.173849791154</v>
      </c>
      <c r="Q385" s="295">
        <f>'CAR Mileage'!Q406*CAR!$I$58</f>
        <v>23161.173849791154</v>
      </c>
      <c r="R385" s="295">
        <f>'CAR Mileage'!R406*CAR!$I$58</f>
        <v>23161.173849791154</v>
      </c>
      <c r="S385" s="295">
        <f>'CAR Mileage'!S406*CAR!$I$58</f>
        <v>23161.173849791154</v>
      </c>
      <c r="T385" s="295">
        <f>'CAR Mileage'!T406*CAR!$I$58</f>
        <v>23161.173849791154</v>
      </c>
      <c r="U385" s="295">
        <f>'CAR Mileage'!U406*CAR!$I$58</f>
        <v>23161.173849791154</v>
      </c>
      <c r="V385" s="295">
        <f>'CAR Mileage'!V406*CAR!$I$58</f>
        <v>23161.173849791154</v>
      </c>
      <c r="W385" s="295">
        <f>'CAR Mileage'!W406*CAR!$I$58</f>
        <v>23161.173849791154</v>
      </c>
      <c r="X385" s="295">
        <f>'CAR Mileage'!X406*CAR!$I$58</f>
        <v>23161.173849791154</v>
      </c>
      <c r="Y385" s="295">
        <f>'CAR Mileage'!Y406*CAR!$I$58</f>
        <v>23161.173849791154</v>
      </c>
      <c r="Z385" s="295">
        <f>'CAR Mileage'!Z406*CAR!$I$58</f>
        <v>23161.173849791154</v>
      </c>
      <c r="AA385" s="295">
        <f>'CAR Mileage'!AA406*CAR!$I$58</f>
        <v>23161.173849791154</v>
      </c>
      <c r="AB385" s="295">
        <f>'CAR Mileage'!AB406*CAR!$I$58</f>
        <v>23161.173849791154</v>
      </c>
      <c r="AC385" s="295">
        <f>'CAR Mileage'!AC406*CAR!$I$58</f>
        <v>23161.173849791154</v>
      </c>
      <c r="AD385" s="295">
        <f>'CAR Mileage'!AD406*CAR!$I$58</f>
        <v>23161.173849791154</v>
      </c>
      <c r="AE385" s="296">
        <f>'CAR Mileage'!AE406*CAR!$I$58</f>
        <v>23161.173849791154</v>
      </c>
      <c r="AG385" s="1711"/>
      <c r="AH385" s="116">
        <v>5</v>
      </c>
      <c r="AI385" s="294">
        <f>'CAR Passenger Kilometres'!C385*'CAR Stock'!C435</f>
        <v>16444433.43335172</v>
      </c>
      <c r="AJ385" s="295">
        <f>'CAR Passenger Kilometres'!D385*'CAR Stock'!D435</f>
        <v>27121734.578105442</v>
      </c>
      <c r="AK385" s="295">
        <f>'CAR Passenger Kilometres'!E385*'CAR Stock'!E435</f>
        <v>9727693.0169122852</v>
      </c>
      <c r="AL385" s="295">
        <f>'CAR Passenger Kilometres'!F385*'CAR Stock'!F435</f>
        <v>5164941.7685034275</v>
      </c>
      <c r="AM385" s="295">
        <f>'CAR Passenger Kilometres'!G385*'CAR Stock'!G435</f>
        <v>1945538.6033824568</v>
      </c>
      <c r="AN385" s="295">
        <f>'CAR Passenger Kilometres'!H385*'CAR Stock'!H435</f>
        <v>1134897.5186397666</v>
      </c>
      <c r="AO385" s="295">
        <f>'CAR Passenger Kilometres'!I385*'CAR Stock'!I435</f>
        <v>0</v>
      </c>
      <c r="AP385" s="295">
        <f>'CAR Passenger Kilometres'!J385*'CAR Stock'!J435</f>
        <v>0</v>
      </c>
      <c r="AQ385" s="295">
        <f>'CAR Passenger Kilometres'!K385*'CAR Stock'!K435</f>
        <v>0</v>
      </c>
      <c r="AR385" s="295">
        <f>'CAR Passenger Kilometres'!L385*'CAR Stock'!L435</f>
        <v>0</v>
      </c>
      <c r="AS385" s="295">
        <f>'CAR Passenger Kilometres'!M385*'CAR Stock'!M435</f>
        <v>0</v>
      </c>
      <c r="AT385" s="295">
        <f>'CAR Passenger Kilometres'!N385*'CAR Stock'!N435</f>
        <v>0</v>
      </c>
      <c r="AU385" s="295">
        <f>'CAR Passenger Kilometres'!O385*'CAR Stock'!O435</f>
        <v>0</v>
      </c>
      <c r="AV385" s="295">
        <f>'CAR Passenger Kilometres'!P385*'CAR Stock'!P435</f>
        <v>0</v>
      </c>
      <c r="AW385" s="295">
        <f>'CAR Passenger Kilometres'!Q385*'CAR Stock'!Q435</f>
        <v>0</v>
      </c>
      <c r="AX385" s="295">
        <f>'CAR Passenger Kilometres'!R385*'CAR Stock'!R435</f>
        <v>0</v>
      </c>
      <c r="AY385" s="295">
        <f>'CAR Passenger Kilometres'!S385*'CAR Stock'!S435</f>
        <v>0</v>
      </c>
      <c r="AZ385" s="295">
        <f>'CAR Passenger Kilometres'!T385*'CAR Stock'!T435</f>
        <v>0</v>
      </c>
      <c r="BA385" s="295">
        <f>'CAR Passenger Kilometres'!U385*'CAR Stock'!U435</f>
        <v>0</v>
      </c>
      <c r="BB385" s="295">
        <f>'CAR Passenger Kilometres'!V385*'CAR Stock'!V435</f>
        <v>0</v>
      </c>
      <c r="BC385" s="295">
        <f>'CAR Passenger Kilometres'!W385*'CAR Stock'!W435</f>
        <v>0</v>
      </c>
      <c r="BD385" s="295">
        <f>'CAR Passenger Kilometres'!X385*'CAR Stock'!X435</f>
        <v>0</v>
      </c>
      <c r="BE385" s="295">
        <f>'CAR Passenger Kilometres'!Y385*'CAR Stock'!Y435</f>
        <v>0</v>
      </c>
      <c r="BF385" s="295">
        <f>'CAR Passenger Kilometres'!Z385*'CAR Stock'!Z435</f>
        <v>0</v>
      </c>
      <c r="BG385" s="295">
        <f>'CAR Passenger Kilometres'!AA385*'CAR Stock'!AA435</f>
        <v>0</v>
      </c>
      <c r="BH385" s="295">
        <f>'CAR Passenger Kilometres'!AB385*'CAR Stock'!AB435</f>
        <v>0</v>
      </c>
      <c r="BI385" s="295">
        <f>'CAR Passenger Kilometres'!AC385*'CAR Stock'!AC435</f>
        <v>0</v>
      </c>
      <c r="BJ385" s="295">
        <f>'CAR Passenger Kilometres'!AD385*'CAR Stock'!AD435</f>
        <v>0</v>
      </c>
      <c r="BK385" s="296">
        <f>'CAR Passenger Kilometres'!AE385*'CAR Stock'!AE435</f>
        <v>0</v>
      </c>
    </row>
    <row r="386" spans="1:63">
      <c r="A386" s="1711"/>
      <c r="B386" s="116">
        <v>6</v>
      </c>
      <c r="C386" s="294">
        <f>'CAR Mileage'!C407*CAR!$I$58</f>
        <v>22697.950372795331</v>
      </c>
      <c r="D386" s="295">
        <f>'CAR Mileage'!D407*CAR!$I$58</f>
        <v>22697.950372795331</v>
      </c>
      <c r="E386" s="295">
        <f>'CAR Mileage'!E407*CAR!$I$58</f>
        <v>22697.950372795331</v>
      </c>
      <c r="F386" s="295">
        <f>'CAR Mileage'!F407*CAR!$I$58</f>
        <v>22697.950372795331</v>
      </c>
      <c r="G386" s="295">
        <f>'CAR Mileage'!G407*CAR!$I$58</f>
        <v>22697.950372795331</v>
      </c>
      <c r="H386" s="295">
        <f>'CAR Mileage'!H407*CAR!$I$58</f>
        <v>22697.950372795331</v>
      </c>
      <c r="I386" s="295">
        <f>'CAR Mileage'!I407*CAR!$I$58</f>
        <v>22697.950372795331</v>
      </c>
      <c r="J386" s="295">
        <f>'CAR Mileage'!J407*CAR!$I$58</f>
        <v>22697.950372795331</v>
      </c>
      <c r="K386" s="295">
        <f>'CAR Mileage'!K407*CAR!$I$58</f>
        <v>22697.950372795331</v>
      </c>
      <c r="L386" s="295">
        <f>'CAR Mileage'!L407*CAR!$I$58</f>
        <v>22697.950372795331</v>
      </c>
      <c r="M386" s="295">
        <f>'CAR Mileage'!M407*CAR!$I$58</f>
        <v>22697.950372795331</v>
      </c>
      <c r="N386" s="295">
        <f>'CAR Mileage'!N407*CAR!$I$58</f>
        <v>22697.950372795331</v>
      </c>
      <c r="O386" s="295">
        <f>'CAR Mileage'!O407*CAR!$I$58</f>
        <v>22697.950372795331</v>
      </c>
      <c r="P386" s="295">
        <f>'CAR Mileage'!P407*CAR!$I$58</f>
        <v>22697.950372795331</v>
      </c>
      <c r="Q386" s="295">
        <f>'CAR Mileage'!Q407*CAR!$I$58</f>
        <v>22697.950372795331</v>
      </c>
      <c r="R386" s="295">
        <f>'CAR Mileage'!R407*CAR!$I$58</f>
        <v>22697.950372795331</v>
      </c>
      <c r="S386" s="295">
        <f>'CAR Mileage'!S407*CAR!$I$58</f>
        <v>22697.950372795331</v>
      </c>
      <c r="T386" s="295">
        <f>'CAR Mileage'!T407*CAR!$I$58</f>
        <v>22697.950372795331</v>
      </c>
      <c r="U386" s="295">
        <f>'CAR Mileage'!U407*CAR!$I$58</f>
        <v>22697.950372795331</v>
      </c>
      <c r="V386" s="295">
        <f>'CAR Mileage'!V407*CAR!$I$58</f>
        <v>22697.950372795331</v>
      </c>
      <c r="W386" s="295">
        <f>'CAR Mileage'!W407*CAR!$I$58</f>
        <v>22697.950372795331</v>
      </c>
      <c r="X386" s="295">
        <f>'CAR Mileage'!X407*CAR!$I$58</f>
        <v>22697.950372795331</v>
      </c>
      <c r="Y386" s="295">
        <f>'CAR Mileage'!Y407*CAR!$I$58</f>
        <v>22697.950372795331</v>
      </c>
      <c r="Z386" s="295">
        <f>'CAR Mileage'!Z407*CAR!$I$58</f>
        <v>22697.950372795331</v>
      </c>
      <c r="AA386" s="295">
        <f>'CAR Mileage'!AA407*CAR!$I$58</f>
        <v>22697.950372795331</v>
      </c>
      <c r="AB386" s="295">
        <f>'CAR Mileage'!AB407*CAR!$I$58</f>
        <v>22697.950372795331</v>
      </c>
      <c r="AC386" s="295">
        <f>'CAR Mileage'!AC407*CAR!$I$58</f>
        <v>22697.950372795331</v>
      </c>
      <c r="AD386" s="295">
        <f>'CAR Mileage'!AD407*CAR!$I$58</f>
        <v>22697.950372795331</v>
      </c>
      <c r="AE386" s="296">
        <f>'CAR Mileage'!AE407*CAR!$I$58</f>
        <v>22697.950372795331</v>
      </c>
      <c r="AG386" s="1711"/>
      <c r="AH386" s="116">
        <v>6</v>
      </c>
      <c r="AI386" s="294">
        <f>'CAR Passenger Kilometres'!C386*'CAR Stock'!C436</f>
        <v>8920294.4965085648</v>
      </c>
      <c r="AJ386" s="295">
        <f>'CAR Passenger Kilometres'!D386*'CAR Stock'!D436</f>
        <v>16115544.764684685</v>
      </c>
      <c r="AK386" s="295">
        <f>'CAR Passenger Kilometres'!E386*'CAR Stock'!E436</f>
        <v>26579299.886543334</v>
      </c>
      <c r="AL386" s="295">
        <f>'CAR Passenger Kilometres'!F386*'CAR Stock'!F436</f>
        <v>9533139.1565740388</v>
      </c>
      <c r="AM386" s="295">
        <f>'CAR Passenger Kilometres'!G386*'CAR Stock'!G436</f>
        <v>5061642.9331333591</v>
      </c>
      <c r="AN386" s="295">
        <f>'CAR Passenger Kilometres'!H386*'CAR Stock'!H436</f>
        <v>1906627.8313148078</v>
      </c>
      <c r="AO386" s="295">
        <f>'CAR Passenger Kilometres'!I386*'CAR Stock'!I436</f>
        <v>1112199.5682669713</v>
      </c>
      <c r="AP386" s="295">
        <f>'CAR Passenger Kilometres'!J386*'CAR Stock'!J436</f>
        <v>0</v>
      </c>
      <c r="AQ386" s="295">
        <f>'CAR Passenger Kilometres'!K386*'CAR Stock'!K436</f>
        <v>0</v>
      </c>
      <c r="AR386" s="295">
        <f>'CAR Passenger Kilometres'!L386*'CAR Stock'!L436</f>
        <v>0</v>
      </c>
      <c r="AS386" s="295">
        <f>'CAR Passenger Kilometres'!M386*'CAR Stock'!M436</f>
        <v>0</v>
      </c>
      <c r="AT386" s="295">
        <f>'CAR Passenger Kilometres'!N386*'CAR Stock'!N436</f>
        <v>0</v>
      </c>
      <c r="AU386" s="295">
        <f>'CAR Passenger Kilometres'!O386*'CAR Stock'!O436</f>
        <v>0</v>
      </c>
      <c r="AV386" s="295">
        <f>'CAR Passenger Kilometres'!P386*'CAR Stock'!P436</f>
        <v>0</v>
      </c>
      <c r="AW386" s="295">
        <f>'CAR Passenger Kilometres'!Q386*'CAR Stock'!Q436</f>
        <v>0</v>
      </c>
      <c r="AX386" s="295">
        <f>'CAR Passenger Kilometres'!R386*'CAR Stock'!R436</f>
        <v>0</v>
      </c>
      <c r="AY386" s="295">
        <f>'CAR Passenger Kilometres'!S386*'CAR Stock'!S436</f>
        <v>0</v>
      </c>
      <c r="AZ386" s="295">
        <f>'CAR Passenger Kilometres'!T386*'CAR Stock'!T436</f>
        <v>0</v>
      </c>
      <c r="BA386" s="295">
        <f>'CAR Passenger Kilometres'!U386*'CAR Stock'!U436</f>
        <v>0</v>
      </c>
      <c r="BB386" s="295">
        <f>'CAR Passenger Kilometres'!V386*'CAR Stock'!V436</f>
        <v>0</v>
      </c>
      <c r="BC386" s="295">
        <f>'CAR Passenger Kilometres'!W386*'CAR Stock'!W436</f>
        <v>0</v>
      </c>
      <c r="BD386" s="295">
        <f>'CAR Passenger Kilometres'!X386*'CAR Stock'!X436</f>
        <v>0</v>
      </c>
      <c r="BE386" s="295">
        <f>'CAR Passenger Kilometres'!Y386*'CAR Stock'!Y436</f>
        <v>0</v>
      </c>
      <c r="BF386" s="295">
        <f>'CAR Passenger Kilometres'!Z386*'CAR Stock'!Z436</f>
        <v>0</v>
      </c>
      <c r="BG386" s="295">
        <f>'CAR Passenger Kilometres'!AA386*'CAR Stock'!AA436</f>
        <v>0</v>
      </c>
      <c r="BH386" s="295">
        <f>'CAR Passenger Kilometres'!AB386*'CAR Stock'!AB436</f>
        <v>0</v>
      </c>
      <c r="BI386" s="295">
        <f>'CAR Passenger Kilometres'!AC386*'CAR Stock'!AC436</f>
        <v>0</v>
      </c>
      <c r="BJ386" s="295">
        <f>'CAR Passenger Kilometres'!AD386*'CAR Stock'!AD436</f>
        <v>0</v>
      </c>
      <c r="BK386" s="296">
        <f>'CAR Passenger Kilometres'!AE386*'CAR Stock'!AE436</f>
        <v>0</v>
      </c>
    </row>
    <row r="387" spans="1:63">
      <c r="A387" s="1711"/>
      <c r="B387" s="116">
        <v>7</v>
      </c>
      <c r="C387" s="294">
        <f>'CAR Mileage'!C408*CAR!$I$58</f>
        <v>22243.991365339425</v>
      </c>
      <c r="D387" s="295">
        <f>'CAR Mileage'!D408*CAR!$I$58</f>
        <v>22243.991365339425</v>
      </c>
      <c r="E387" s="295">
        <f>'CAR Mileage'!E408*CAR!$I$58</f>
        <v>22243.991365339425</v>
      </c>
      <c r="F387" s="295">
        <f>'CAR Mileage'!F408*CAR!$I$58</f>
        <v>22243.991365339425</v>
      </c>
      <c r="G387" s="295">
        <f>'CAR Mileage'!G408*CAR!$I$58</f>
        <v>22243.991365339425</v>
      </c>
      <c r="H387" s="295">
        <f>'CAR Mileage'!H408*CAR!$I$58</f>
        <v>22243.991365339425</v>
      </c>
      <c r="I387" s="295">
        <f>'CAR Mileage'!I408*CAR!$I$58</f>
        <v>22243.991365339425</v>
      </c>
      <c r="J387" s="295">
        <f>'CAR Mileage'!J408*CAR!$I$58</f>
        <v>22243.991365339425</v>
      </c>
      <c r="K387" s="295">
        <f>'CAR Mileage'!K408*CAR!$I$58</f>
        <v>22243.991365339425</v>
      </c>
      <c r="L387" s="295">
        <f>'CAR Mileage'!L408*CAR!$I$58</f>
        <v>22243.991365339425</v>
      </c>
      <c r="M387" s="295">
        <f>'CAR Mileage'!M408*CAR!$I$58</f>
        <v>22243.991365339425</v>
      </c>
      <c r="N387" s="295">
        <f>'CAR Mileage'!N408*CAR!$I$58</f>
        <v>22243.991365339425</v>
      </c>
      <c r="O387" s="295">
        <f>'CAR Mileage'!O408*CAR!$I$58</f>
        <v>22243.991365339425</v>
      </c>
      <c r="P387" s="295">
        <f>'CAR Mileage'!P408*CAR!$I$58</f>
        <v>22243.991365339425</v>
      </c>
      <c r="Q387" s="295">
        <f>'CAR Mileage'!Q408*CAR!$I$58</f>
        <v>22243.991365339425</v>
      </c>
      <c r="R387" s="295">
        <f>'CAR Mileage'!R408*CAR!$I$58</f>
        <v>22243.991365339425</v>
      </c>
      <c r="S387" s="295">
        <f>'CAR Mileage'!S408*CAR!$I$58</f>
        <v>22243.991365339425</v>
      </c>
      <c r="T387" s="295">
        <f>'CAR Mileage'!T408*CAR!$I$58</f>
        <v>22243.991365339425</v>
      </c>
      <c r="U387" s="295">
        <f>'CAR Mileage'!U408*CAR!$I$58</f>
        <v>22243.991365339425</v>
      </c>
      <c r="V387" s="295">
        <f>'CAR Mileage'!V408*CAR!$I$58</f>
        <v>22243.991365339425</v>
      </c>
      <c r="W387" s="295">
        <f>'CAR Mileage'!W408*CAR!$I$58</f>
        <v>22243.991365339425</v>
      </c>
      <c r="X387" s="295">
        <f>'CAR Mileage'!X408*CAR!$I$58</f>
        <v>22243.991365339425</v>
      </c>
      <c r="Y387" s="295">
        <f>'CAR Mileage'!Y408*CAR!$I$58</f>
        <v>22243.991365339425</v>
      </c>
      <c r="Z387" s="295">
        <f>'CAR Mileage'!Z408*CAR!$I$58</f>
        <v>22243.991365339425</v>
      </c>
      <c r="AA387" s="295">
        <f>'CAR Mileage'!AA408*CAR!$I$58</f>
        <v>22243.991365339425</v>
      </c>
      <c r="AB387" s="295">
        <f>'CAR Mileage'!AB408*CAR!$I$58</f>
        <v>22243.991365339425</v>
      </c>
      <c r="AC387" s="295">
        <f>'CAR Mileage'!AC408*CAR!$I$58</f>
        <v>22243.991365339425</v>
      </c>
      <c r="AD387" s="295">
        <f>'CAR Mileage'!AD408*CAR!$I$58</f>
        <v>22243.991365339425</v>
      </c>
      <c r="AE387" s="296">
        <f>'CAR Mileage'!AE408*CAR!$I$58</f>
        <v>22243.991365339425</v>
      </c>
      <c r="AG387" s="1711"/>
      <c r="AH387" s="116">
        <v>7</v>
      </c>
      <c r="AI387" s="294">
        <f>'CAR Passenger Kilometres'!C387*'CAR Stock'!C437</f>
        <v>7496225.0901193861</v>
      </c>
      <c r="AJ387" s="295">
        <f>'CAR Passenger Kilometres'!D387*'CAR Stock'!D437</f>
        <v>8741888.6065783948</v>
      </c>
      <c r="AK387" s="295">
        <f>'CAR Passenger Kilometres'!E387*'CAR Stock'!E437</f>
        <v>15793233.869390992</v>
      </c>
      <c r="AL387" s="295">
        <f>'CAR Passenger Kilometres'!F387*'CAR Stock'!F437</f>
        <v>26047713.888812467</v>
      </c>
      <c r="AM387" s="295">
        <f>'CAR Passenger Kilometres'!G387*'CAR Stock'!G437</f>
        <v>9342476.3734425586</v>
      </c>
      <c r="AN387" s="295">
        <f>'CAR Passenger Kilometres'!H387*'CAR Stock'!H437</f>
        <v>4960410.0744706914</v>
      </c>
      <c r="AO387" s="295">
        <f>'CAR Passenger Kilometres'!I387*'CAR Stock'!I437</f>
        <v>1868495.2746885116</v>
      </c>
      <c r="AP387" s="295">
        <f>'CAR Passenger Kilometres'!J387*'CAR Stock'!J437</f>
        <v>1089955.5769016319</v>
      </c>
      <c r="AQ387" s="295">
        <f>'CAR Passenger Kilometres'!K387*'CAR Stock'!K437</f>
        <v>0</v>
      </c>
      <c r="AR387" s="295">
        <f>'CAR Passenger Kilometres'!L387*'CAR Stock'!L437</f>
        <v>0</v>
      </c>
      <c r="AS387" s="295">
        <f>'CAR Passenger Kilometres'!M387*'CAR Stock'!M437</f>
        <v>0</v>
      </c>
      <c r="AT387" s="295">
        <f>'CAR Passenger Kilometres'!N387*'CAR Stock'!N437</f>
        <v>0</v>
      </c>
      <c r="AU387" s="295">
        <f>'CAR Passenger Kilometres'!O387*'CAR Stock'!O437</f>
        <v>0</v>
      </c>
      <c r="AV387" s="295">
        <f>'CAR Passenger Kilometres'!P387*'CAR Stock'!P437</f>
        <v>0</v>
      </c>
      <c r="AW387" s="295">
        <f>'CAR Passenger Kilometres'!Q387*'CAR Stock'!Q437</f>
        <v>0</v>
      </c>
      <c r="AX387" s="295">
        <f>'CAR Passenger Kilometres'!R387*'CAR Stock'!R437</f>
        <v>0</v>
      </c>
      <c r="AY387" s="295">
        <f>'CAR Passenger Kilometres'!S387*'CAR Stock'!S437</f>
        <v>0</v>
      </c>
      <c r="AZ387" s="295">
        <f>'CAR Passenger Kilometres'!T387*'CAR Stock'!T437</f>
        <v>0</v>
      </c>
      <c r="BA387" s="295">
        <f>'CAR Passenger Kilometres'!U387*'CAR Stock'!U437</f>
        <v>0</v>
      </c>
      <c r="BB387" s="295">
        <f>'CAR Passenger Kilometres'!V387*'CAR Stock'!V437</f>
        <v>0</v>
      </c>
      <c r="BC387" s="295">
        <f>'CAR Passenger Kilometres'!W387*'CAR Stock'!W437</f>
        <v>0</v>
      </c>
      <c r="BD387" s="295">
        <f>'CAR Passenger Kilometres'!X387*'CAR Stock'!X437</f>
        <v>0</v>
      </c>
      <c r="BE387" s="295">
        <f>'CAR Passenger Kilometres'!Y387*'CAR Stock'!Y437</f>
        <v>0</v>
      </c>
      <c r="BF387" s="295">
        <f>'CAR Passenger Kilometres'!Z387*'CAR Stock'!Z437</f>
        <v>0</v>
      </c>
      <c r="BG387" s="295">
        <f>'CAR Passenger Kilometres'!AA387*'CAR Stock'!AA437</f>
        <v>0</v>
      </c>
      <c r="BH387" s="295">
        <f>'CAR Passenger Kilometres'!AB387*'CAR Stock'!AB437</f>
        <v>0</v>
      </c>
      <c r="BI387" s="295">
        <f>'CAR Passenger Kilometres'!AC387*'CAR Stock'!AC437</f>
        <v>0</v>
      </c>
      <c r="BJ387" s="295">
        <f>'CAR Passenger Kilometres'!AD387*'CAR Stock'!AD437</f>
        <v>0</v>
      </c>
      <c r="BK387" s="296">
        <f>'CAR Passenger Kilometres'!AE387*'CAR Stock'!AE437</f>
        <v>0</v>
      </c>
    </row>
    <row r="388" spans="1:63">
      <c r="A388" s="1711"/>
      <c r="B388" s="116">
        <v>8</v>
      </c>
      <c r="C388" s="294">
        <f>'CAR Mileage'!C409*CAR!$I$58</f>
        <v>21799.111538032637</v>
      </c>
      <c r="D388" s="295">
        <f>'CAR Mileage'!D409*CAR!$I$58</f>
        <v>21799.111538032637</v>
      </c>
      <c r="E388" s="295">
        <f>'CAR Mileage'!E409*CAR!$I$58</f>
        <v>21799.111538032637</v>
      </c>
      <c r="F388" s="295">
        <f>'CAR Mileage'!F409*CAR!$I$58</f>
        <v>21799.111538032637</v>
      </c>
      <c r="G388" s="295">
        <f>'CAR Mileage'!G409*CAR!$I$58</f>
        <v>21799.111538032637</v>
      </c>
      <c r="H388" s="295">
        <f>'CAR Mileage'!H409*CAR!$I$58</f>
        <v>21799.111538032637</v>
      </c>
      <c r="I388" s="295">
        <f>'CAR Mileage'!I409*CAR!$I$58</f>
        <v>21799.111538032637</v>
      </c>
      <c r="J388" s="295">
        <f>'CAR Mileage'!J409*CAR!$I$58</f>
        <v>21799.111538032637</v>
      </c>
      <c r="K388" s="295">
        <f>'CAR Mileage'!K409*CAR!$I$58</f>
        <v>21799.111538032637</v>
      </c>
      <c r="L388" s="295">
        <f>'CAR Mileage'!L409*CAR!$I$58</f>
        <v>21799.111538032637</v>
      </c>
      <c r="M388" s="295">
        <f>'CAR Mileage'!M409*CAR!$I$58</f>
        <v>21799.111538032637</v>
      </c>
      <c r="N388" s="295">
        <f>'CAR Mileage'!N409*CAR!$I$58</f>
        <v>21799.111538032637</v>
      </c>
      <c r="O388" s="295">
        <f>'CAR Mileage'!O409*CAR!$I$58</f>
        <v>21799.111538032637</v>
      </c>
      <c r="P388" s="295">
        <f>'CAR Mileage'!P409*CAR!$I$58</f>
        <v>21799.111538032637</v>
      </c>
      <c r="Q388" s="295">
        <f>'CAR Mileage'!Q409*CAR!$I$58</f>
        <v>21799.111538032637</v>
      </c>
      <c r="R388" s="295">
        <f>'CAR Mileage'!R409*CAR!$I$58</f>
        <v>21799.111538032637</v>
      </c>
      <c r="S388" s="295">
        <f>'CAR Mileage'!S409*CAR!$I$58</f>
        <v>21799.111538032637</v>
      </c>
      <c r="T388" s="295">
        <f>'CAR Mileage'!T409*CAR!$I$58</f>
        <v>21799.111538032637</v>
      </c>
      <c r="U388" s="295">
        <f>'CAR Mileage'!U409*CAR!$I$58</f>
        <v>21799.111538032637</v>
      </c>
      <c r="V388" s="295">
        <f>'CAR Mileage'!V409*CAR!$I$58</f>
        <v>21799.111538032637</v>
      </c>
      <c r="W388" s="295">
        <f>'CAR Mileage'!W409*CAR!$I$58</f>
        <v>21799.111538032637</v>
      </c>
      <c r="X388" s="295">
        <f>'CAR Mileage'!X409*CAR!$I$58</f>
        <v>21799.111538032637</v>
      </c>
      <c r="Y388" s="295">
        <f>'CAR Mileage'!Y409*CAR!$I$58</f>
        <v>21799.111538032637</v>
      </c>
      <c r="Z388" s="295">
        <f>'CAR Mileage'!Z409*CAR!$I$58</f>
        <v>21799.111538032637</v>
      </c>
      <c r="AA388" s="295">
        <f>'CAR Mileage'!AA409*CAR!$I$58</f>
        <v>21799.111538032637</v>
      </c>
      <c r="AB388" s="295">
        <f>'CAR Mileage'!AB409*CAR!$I$58</f>
        <v>21799.111538032637</v>
      </c>
      <c r="AC388" s="295">
        <f>'CAR Mileage'!AC409*CAR!$I$58</f>
        <v>21799.111538032637</v>
      </c>
      <c r="AD388" s="295">
        <f>'CAR Mileage'!AD409*CAR!$I$58</f>
        <v>21799.111538032637</v>
      </c>
      <c r="AE388" s="296">
        <f>'CAR Mileage'!AE409*CAR!$I$58</f>
        <v>21799.111538032637</v>
      </c>
      <c r="AG388" s="1711"/>
      <c r="AH388" s="116">
        <v>8</v>
      </c>
      <c r="AI388" s="294">
        <f>'CAR Passenger Kilometres'!C388*'CAR Stock'!C438</f>
        <v>5754965.4460406164</v>
      </c>
      <c r="AJ388" s="295">
        <f>'CAR Passenger Kilometres'!D388*'CAR Stock'!D438</f>
        <v>7238539.2935350742</v>
      </c>
      <c r="AK388" s="295">
        <f>'CAR Passenger Kilometres'!E388*'CAR Stock'!E438</f>
        <v>8441382.6182768065</v>
      </c>
      <c r="AL388" s="295">
        <f>'CAR Passenger Kilometres'!F388*'CAR Stock'!F438</f>
        <v>15250335.010118404</v>
      </c>
      <c r="AM388" s="295">
        <f>'CAR Passenger Kilometres'!G388*'CAR Stock'!G438</f>
        <v>25152313.094153032</v>
      </c>
      <c r="AN388" s="295">
        <f>'CAR Passenger Kilometres'!H388*'CAR Stock'!H438</f>
        <v>9021324.9355629999</v>
      </c>
      <c r="AO388" s="295">
        <f>'CAR Passenger Kilometres'!I388*'CAR Stock'!I438</f>
        <v>4789893.9538822602</v>
      </c>
      <c r="AP388" s="295">
        <f>'CAR Passenger Kilometres'!J388*'CAR Stock'!J438</f>
        <v>1804264.9871125999</v>
      </c>
      <c r="AQ388" s="295">
        <f>'CAR Passenger Kilometres'!K388*'CAR Stock'!K438</f>
        <v>1052487.9091490167</v>
      </c>
      <c r="AR388" s="295">
        <f>'CAR Passenger Kilometres'!L388*'CAR Stock'!L438</f>
        <v>0</v>
      </c>
      <c r="AS388" s="295">
        <f>'CAR Passenger Kilometres'!M388*'CAR Stock'!M438</f>
        <v>0</v>
      </c>
      <c r="AT388" s="295">
        <f>'CAR Passenger Kilometres'!N388*'CAR Stock'!N438</f>
        <v>0</v>
      </c>
      <c r="AU388" s="295">
        <f>'CAR Passenger Kilometres'!O388*'CAR Stock'!O438</f>
        <v>0</v>
      </c>
      <c r="AV388" s="295">
        <f>'CAR Passenger Kilometres'!P388*'CAR Stock'!P438</f>
        <v>0</v>
      </c>
      <c r="AW388" s="295">
        <f>'CAR Passenger Kilometres'!Q388*'CAR Stock'!Q438</f>
        <v>0</v>
      </c>
      <c r="AX388" s="295">
        <f>'CAR Passenger Kilometres'!R388*'CAR Stock'!R438</f>
        <v>0</v>
      </c>
      <c r="AY388" s="295">
        <f>'CAR Passenger Kilometres'!S388*'CAR Stock'!S438</f>
        <v>0</v>
      </c>
      <c r="AZ388" s="295">
        <f>'CAR Passenger Kilometres'!T388*'CAR Stock'!T438</f>
        <v>0</v>
      </c>
      <c r="BA388" s="295">
        <f>'CAR Passenger Kilometres'!U388*'CAR Stock'!U438</f>
        <v>0</v>
      </c>
      <c r="BB388" s="295">
        <f>'CAR Passenger Kilometres'!V388*'CAR Stock'!V438</f>
        <v>0</v>
      </c>
      <c r="BC388" s="295">
        <f>'CAR Passenger Kilometres'!W388*'CAR Stock'!W438</f>
        <v>0</v>
      </c>
      <c r="BD388" s="295">
        <f>'CAR Passenger Kilometres'!X388*'CAR Stock'!X438</f>
        <v>0</v>
      </c>
      <c r="BE388" s="295">
        <f>'CAR Passenger Kilometres'!Y388*'CAR Stock'!Y438</f>
        <v>0</v>
      </c>
      <c r="BF388" s="295">
        <f>'CAR Passenger Kilometres'!Z388*'CAR Stock'!Z438</f>
        <v>0</v>
      </c>
      <c r="BG388" s="295">
        <f>'CAR Passenger Kilometres'!AA388*'CAR Stock'!AA438</f>
        <v>0</v>
      </c>
      <c r="BH388" s="295">
        <f>'CAR Passenger Kilometres'!AB388*'CAR Stock'!AB438</f>
        <v>0</v>
      </c>
      <c r="BI388" s="295">
        <f>'CAR Passenger Kilometres'!AC388*'CAR Stock'!AC438</f>
        <v>0</v>
      </c>
      <c r="BJ388" s="295">
        <f>'CAR Passenger Kilometres'!AD388*'CAR Stock'!AD438</f>
        <v>0</v>
      </c>
      <c r="BK388" s="296">
        <f>'CAR Passenger Kilometres'!AE388*'CAR Stock'!AE438</f>
        <v>0</v>
      </c>
    </row>
    <row r="389" spans="1:63">
      <c r="A389" s="1711"/>
      <c r="B389" s="116">
        <v>9</v>
      </c>
      <c r="C389" s="294">
        <f>'CAR Mileage'!C410*CAR!$I$58</f>
        <v>21363.129307271982</v>
      </c>
      <c r="D389" s="295">
        <f>'CAR Mileage'!D410*CAR!$I$58</f>
        <v>21363.129307271982</v>
      </c>
      <c r="E389" s="295">
        <f>'CAR Mileage'!E410*CAR!$I$58</f>
        <v>21363.129307271982</v>
      </c>
      <c r="F389" s="295">
        <f>'CAR Mileage'!F410*CAR!$I$58</f>
        <v>21363.129307271982</v>
      </c>
      <c r="G389" s="295">
        <f>'CAR Mileage'!G410*CAR!$I$58</f>
        <v>21363.129307271982</v>
      </c>
      <c r="H389" s="295">
        <f>'CAR Mileage'!H410*CAR!$I$58</f>
        <v>21363.129307271982</v>
      </c>
      <c r="I389" s="295">
        <f>'CAR Mileage'!I410*CAR!$I$58</f>
        <v>21363.129307271982</v>
      </c>
      <c r="J389" s="295">
        <f>'CAR Mileage'!J410*CAR!$I$58</f>
        <v>21363.129307271982</v>
      </c>
      <c r="K389" s="295">
        <f>'CAR Mileage'!K410*CAR!$I$58</f>
        <v>21363.129307271982</v>
      </c>
      <c r="L389" s="295">
        <f>'CAR Mileage'!L410*CAR!$I$58</f>
        <v>21363.129307271982</v>
      </c>
      <c r="M389" s="295">
        <f>'CAR Mileage'!M410*CAR!$I$58</f>
        <v>21363.129307271982</v>
      </c>
      <c r="N389" s="295">
        <f>'CAR Mileage'!N410*CAR!$I$58</f>
        <v>21363.129307271982</v>
      </c>
      <c r="O389" s="295">
        <f>'CAR Mileage'!O410*CAR!$I$58</f>
        <v>21363.129307271982</v>
      </c>
      <c r="P389" s="295">
        <f>'CAR Mileage'!P410*CAR!$I$58</f>
        <v>21363.129307271982</v>
      </c>
      <c r="Q389" s="295">
        <f>'CAR Mileage'!Q410*CAR!$I$58</f>
        <v>21363.129307271982</v>
      </c>
      <c r="R389" s="295">
        <f>'CAR Mileage'!R410*CAR!$I$58</f>
        <v>21363.129307271982</v>
      </c>
      <c r="S389" s="295">
        <f>'CAR Mileage'!S410*CAR!$I$58</f>
        <v>21363.129307271982</v>
      </c>
      <c r="T389" s="295">
        <f>'CAR Mileage'!T410*CAR!$I$58</f>
        <v>21363.129307271982</v>
      </c>
      <c r="U389" s="295">
        <f>'CAR Mileage'!U410*CAR!$I$58</f>
        <v>21363.129307271982</v>
      </c>
      <c r="V389" s="295">
        <f>'CAR Mileage'!V410*CAR!$I$58</f>
        <v>21363.129307271982</v>
      </c>
      <c r="W389" s="295">
        <f>'CAR Mileage'!W410*CAR!$I$58</f>
        <v>21363.129307271982</v>
      </c>
      <c r="X389" s="295">
        <f>'CAR Mileage'!X410*CAR!$I$58</f>
        <v>21363.129307271982</v>
      </c>
      <c r="Y389" s="295">
        <f>'CAR Mileage'!Y410*CAR!$I$58</f>
        <v>21363.129307271982</v>
      </c>
      <c r="Z389" s="295">
        <f>'CAR Mileage'!Z410*CAR!$I$58</f>
        <v>21363.129307271982</v>
      </c>
      <c r="AA389" s="295">
        <f>'CAR Mileage'!AA410*CAR!$I$58</f>
        <v>21363.129307271982</v>
      </c>
      <c r="AB389" s="295">
        <f>'CAR Mileage'!AB410*CAR!$I$58</f>
        <v>21363.129307271982</v>
      </c>
      <c r="AC389" s="295">
        <f>'CAR Mileage'!AC410*CAR!$I$58</f>
        <v>21363.129307271982</v>
      </c>
      <c r="AD389" s="295">
        <f>'CAR Mileage'!AD410*CAR!$I$58</f>
        <v>21363.129307271982</v>
      </c>
      <c r="AE389" s="296">
        <f>'CAR Mileage'!AE410*CAR!$I$58</f>
        <v>21363.129307271982</v>
      </c>
      <c r="AG389" s="1711"/>
      <c r="AH389" s="116">
        <v>9</v>
      </c>
      <c r="AI389" s="294">
        <f>'CAR Passenger Kilometres'!C389*'CAR Stock'!C439</f>
        <v>704983.26713997545</v>
      </c>
      <c r="AJ389" s="295">
        <f>'CAR Passenger Kilometres'!D389*'CAR Stock'!D439</f>
        <v>5270809.2600471191</v>
      </c>
      <c r="AK389" s="295">
        <f>'CAR Passenger Kilometres'!E389*'CAR Stock'!E439</f>
        <v>6629572.3745532865</v>
      </c>
      <c r="AL389" s="295">
        <f>'CAR Passenger Kilometres'!F389*'CAR Stock'!F439</f>
        <v>7731222.383381132</v>
      </c>
      <c r="AM389" s="295">
        <f>'CAR Passenger Kilometres'!G389*'CAR Stock'!G439</f>
        <v>13967348.326210186</v>
      </c>
      <c r="AN389" s="295">
        <f>'CAR Passenger Kilometres'!H389*'CAR Stock'!H439</f>
        <v>23036288.577453703</v>
      </c>
      <c r="AO389" s="295">
        <f>'CAR Passenger Kilometres'!I389*'CAR Stock'!I439</f>
        <v>8262375.0662088422</v>
      </c>
      <c r="AP389" s="295">
        <f>'CAR Passenger Kilometres'!J389*'CAR Stock'!J439</f>
        <v>4386927.713725172</v>
      </c>
      <c r="AQ389" s="295">
        <f>'CAR Passenger Kilometres'!K389*'CAR Stock'!K439</f>
        <v>1652475.0132417686</v>
      </c>
      <c r="AR389" s="295">
        <f>'CAR Passenger Kilometres'!L389*'CAR Stock'!L439</f>
        <v>963943.7577243651</v>
      </c>
      <c r="AS389" s="295">
        <f>'CAR Passenger Kilometres'!M389*'CAR Stock'!M439</f>
        <v>0</v>
      </c>
      <c r="AT389" s="295">
        <f>'CAR Passenger Kilometres'!N389*'CAR Stock'!N439</f>
        <v>0</v>
      </c>
      <c r="AU389" s="295">
        <f>'CAR Passenger Kilometres'!O389*'CAR Stock'!O439</f>
        <v>0</v>
      </c>
      <c r="AV389" s="295">
        <f>'CAR Passenger Kilometres'!P389*'CAR Stock'!P439</f>
        <v>0</v>
      </c>
      <c r="AW389" s="295">
        <f>'CAR Passenger Kilometres'!Q389*'CAR Stock'!Q439</f>
        <v>0</v>
      </c>
      <c r="AX389" s="295">
        <f>'CAR Passenger Kilometres'!R389*'CAR Stock'!R439</f>
        <v>0</v>
      </c>
      <c r="AY389" s="295">
        <f>'CAR Passenger Kilometres'!S389*'CAR Stock'!S439</f>
        <v>0</v>
      </c>
      <c r="AZ389" s="295">
        <f>'CAR Passenger Kilometres'!T389*'CAR Stock'!T439</f>
        <v>0</v>
      </c>
      <c r="BA389" s="295">
        <f>'CAR Passenger Kilometres'!U389*'CAR Stock'!U439</f>
        <v>0</v>
      </c>
      <c r="BB389" s="295">
        <f>'CAR Passenger Kilometres'!V389*'CAR Stock'!V439</f>
        <v>0</v>
      </c>
      <c r="BC389" s="295">
        <f>'CAR Passenger Kilometres'!W389*'CAR Stock'!W439</f>
        <v>0</v>
      </c>
      <c r="BD389" s="295">
        <f>'CAR Passenger Kilometres'!X389*'CAR Stock'!X439</f>
        <v>0</v>
      </c>
      <c r="BE389" s="295">
        <f>'CAR Passenger Kilometres'!Y389*'CAR Stock'!Y439</f>
        <v>0</v>
      </c>
      <c r="BF389" s="295">
        <f>'CAR Passenger Kilometres'!Z389*'CAR Stock'!Z439</f>
        <v>0</v>
      </c>
      <c r="BG389" s="295">
        <f>'CAR Passenger Kilometres'!AA389*'CAR Stock'!AA439</f>
        <v>0</v>
      </c>
      <c r="BH389" s="295">
        <f>'CAR Passenger Kilometres'!AB389*'CAR Stock'!AB439</f>
        <v>0</v>
      </c>
      <c r="BI389" s="295">
        <f>'CAR Passenger Kilometres'!AC389*'CAR Stock'!AC439</f>
        <v>0</v>
      </c>
      <c r="BJ389" s="295">
        <f>'CAR Passenger Kilometres'!AD389*'CAR Stock'!AD439</f>
        <v>0</v>
      </c>
      <c r="BK389" s="296">
        <f>'CAR Passenger Kilometres'!AE389*'CAR Stock'!AE439</f>
        <v>0</v>
      </c>
    </row>
    <row r="390" spans="1:63">
      <c r="A390" s="1711"/>
      <c r="B390" s="116">
        <v>10</v>
      </c>
      <c r="C390" s="294">
        <f>'CAR Mileage'!C411*CAR!$I$58</f>
        <v>20935.866721126542</v>
      </c>
      <c r="D390" s="295">
        <f>'CAR Mileage'!D411*CAR!$I$58</f>
        <v>20935.866721126542</v>
      </c>
      <c r="E390" s="295">
        <f>'CAR Mileage'!E411*CAR!$I$58</f>
        <v>20935.866721126542</v>
      </c>
      <c r="F390" s="295">
        <f>'CAR Mileage'!F411*CAR!$I$58</f>
        <v>20935.866721126542</v>
      </c>
      <c r="G390" s="295">
        <f>'CAR Mileage'!G411*CAR!$I$58</f>
        <v>20935.866721126542</v>
      </c>
      <c r="H390" s="295">
        <f>'CAR Mileage'!H411*CAR!$I$58</f>
        <v>20935.866721126542</v>
      </c>
      <c r="I390" s="295">
        <f>'CAR Mileage'!I411*CAR!$I$58</f>
        <v>20935.866721126542</v>
      </c>
      <c r="J390" s="295">
        <f>'CAR Mileage'!J411*CAR!$I$58</f>
        <v>20935.866721126542</v>
      </c>
      <c r="K390" s="295">
        <f>'CAR Mileage'!K411*CAR!$I$58</f>
        <v>20935.866721126542</v>
      </c>
      <c r="L390" s="295">
        <f>'CAR Mileage'!L411*CAR!$I$58</f>
        <v>20935.866721126542</v>
      </c>
      <c r="M390" s="295">
        <f>'CAR Mileage'!M411*CAR!$I$58</f>
        <v>20935.866721126542</v>
      </c>
      <c r="N390" s="295">
        <f>'CAR Mileage'!N411*CAR!$I$58</f>
        <v>20935.866721126542</v>
      </c>
      <c r="O390" s="295">
        <f>'CAR Mileage'!O411*CAR!$I$58</f>
        <v>20935.866721126542</v>
      </c>
      <c r="P390" s="295">
        <f>'CAR Mileage'!P411*CAR!$I$58</f>
        <v>20935.866721126542</v>
      </c>
      <c r="Q390" s="295">
        <f>'CAR Mileage'!Q411*CAR!$I$58</f>
        <v>20935.866721126542</v>
      </c>
      <c r="R390" s="295">
        <f>'CAR Mileage'!R411*CAR!$I$58</f>
        <v>20935.866721126542</v>
      </c>
      <c r="S390" s="295">
        <f>'CAR Mileage'!S411*CAR!$I$58</f>
        <v>20935.866721126542</v>
      </c>
      <c r="T390" s="295">
        <f>'CAR Mileage'!T411*CAR!$I$58</f>
        <v>20935.866721126542</v>
      </c>
      <c r="U390" s="295">
        <f>'CAR Mileage'!U411*CAR!$I$58</f>
        <v>20935.866721126542</v>
      </c>
      <c r="V390" s="295">
        <f>'CAR Mileage'!V411*CAR!$I$58</f>
        <v>20935.866721126542</v>
      </c>
      <c r="W390" s="295">
        <f>'CAR Mileage'!W411*CAR!$I$58</f>
        <v>20935.866721126542</v>
      </c>
      <c r="X390" s="295">
        <f>'CAR Mileage'!X411*CAR!$I$58</f>
        <v>20935.866721126542</v>
      </c>
      <c r="Y390" s="295">
        <f>'CAR Mileage'!Y411*CAR!$I$58</f>
        <v>20935.866721126542</v>
      </c>
      <c r="Z390" s="295">
        <f>'CAR Mileage'!Z411*CAR!$I$58</f>
        <v>20935.866721126542</v>
      </c>
      <c r="AA390" s="295">
        <f>'CAR Mileage'!AA411*CAR!$I$58</f>
        <v>20935.866721126542</v>
      </c>
      <c r="AB390" s="295">
        <f>'CAR Mileage'!AB411*CAR!$I$58</f>
        <v>20935.866721126542</v>
      </c>
      <c r="AC390" s="295">
        <f>'CAR Mileage'!AC411*CAR!$I$58</f>
        <v>20935.866721126542</v>
      </c>
      <c r="AD390" s="295">
        <f>'CAR Mileage'!AD411*CAR!$I$58</f>
        <v>20935.866721126542</v>
      </c>
      <c r="AE390" s="296">
        <f>'CAR Mileage'!AE411*CAR!$I$58</f>
        <v>20935.866721126542</v>
      </c>
      <c r="AG390" s="1711"/>
      <c r="AH390" s="116">
        <v>10</v>
      </c>
      <c r="AI390" s="294">
        <f>'CAR Passenger Kilometres'!C390*'CAR Stock'!C440</f>
        <v>334973.86753802467</v>
      </c>
      <c r="AJ390" s="295">
        <f>'CAR Passenger Kilometres'!D390*'CAR Stock'!D440</f>
        <v>587845.83174797636</v>
      </c>
      <c r="AK390" s="295">
        <f>'CAR Passenger Kilometres'!E390*'CAR Stock'!E440</f>
        <v>4395030.9147438798</v>
      </c>
      <c r="AL390" s="295">
        <f>'CAR Passenger Kilometres'!F390*'CAR Stock'!F440</f>
        <v>5528026.9309979193</v>
      </c>
      <c r="AM390" s="295">
        <f>'CAR Passenger Kilometres'!G390*'CAR Stock'!G440</f>
        <v>6446630.8127067713</v>
      </c>
      <c r="AN390" s="295">
        <f>'CAR Passenger Kilometres'!H390*'CAR Stock'!H440</f>
        <v>11646584.92880867</v>
      </c>
      <c r="AO390" s="295">
        <f>'CAR Passenger Kilometres'!I390*'CAR Stock'!I440</f>
        <v>19208663.312161908</v>
      </c>
      <c r="AP390" s="295">
        <f>'CAR Passenger Kilometres'!J390*'CAR Stock'!J440</f>
        <v>6889529.1128163952</v>
      </c>
      <c r="AQ390" s="295">
        <f>'CAR Passenger Kilometres'!K390*'CAR Stock'!K440</f>
        <v>3658011.8860906106</v>
      </c>
      <c r="AR390" s="295">
        <f>'CAR Passenger Kilometres'!L390*'CAR Stock'!L440</f>
        <v>1377905.8225632794</v>
      </c>
      <c r="AS390" s="295">
        <f>'CAR Passenger Kilometres'!M390*'CAR Stock'!M440</f>
        <v>803778.39649524633</v>
      </c>
      <c r="AT390" s="295">
        <f>'CAR Passenger Kilometres'!N390*'CAR Stock'!N440</f>
        <v>0</v>
      </c>
      <c r="AU390" s="295">
        <f>'CAR Passenger Kilometres'!O390*'CAR Stock'!O440</f>
        <v>0</v>
      </c>
      <c r="AV390" s="295">
        <f>'CAR Passenger Kilometres'!P390*'CAR Stock'!P440</f>
        <v>0</v>
      </c>
      <c r="AW390" s="295">
        <f>'CAR Passenger Kilometres'!Q390*'CAR Stock'!Q440</f>
        <v>0</v>
      </c>
      <c r="AX390" s="295">
        <f>'CAR Passenger Kilometres'!R390*'CAR Stock'!R440</f>
        <v>0</v>
      </c>
      <c r="AY390" s="295">
        <f>'CAR Passenger Kilometres'!S390*'CAR Stock'!S440</f>
        <v>0</v>
      </c>
      <c r="AZ390" s="295">
        <f>'CAR Passenger Kilometres'!T390*'CAR Stock'!T440</f>
        <v>0</v>
      </c>
      <c r="BA390" s="295">
        <f>'CAR Passenger Kilometres'!U390*'CAR Stock'!U440</f>
        <v>0</v>
      </c>
      <c r="BB390" s="295">
        <f>'CAR Passenger Kilometres'!V390*'CAR Stock'!V440</f>
        <v>0</v>
      </c>
      <c r="BC390" s="295">
        <f>'CAR Passenger Kilometres'!W390*'CAR Stock'!W440</f>
        <v>0</v>
      </c>
      <c r="BD390" s="295">
        <f>'CAR Passenger Kilometres'!X390*'CAR Stock'!X440</f>
        <v>0</v>
      </c>
      <c r="BE390" s="295">
        <f>'CAR Passenger Kilometres'!Y390*'CAR Stock'!Y440</f>
        <v>0</v>
      </c>
      <c r="BF390" s="295">
        <f>'CAR Passenger Kilometres'!Z390*'CAR Stock'!Z440</f>
        <v>0</v>
      </c>
      <c r="BG390" s="295">
        <f>'CAR Passenger Kilometres'!AA390*'CAR Stock'!AA440</f>
        <v>0</v>
      </c>
      <c r="BH390" s="295">
        <f>'CAR Passenger Kilometres'!AB390*'CAR Stock'!AB440</f>
        <v>0</v>
      </c>
      <c r="BI390" s="295">
        <f>'CAR Passenger Kilometres'!AC390*'CAR Stock'!AC440</f>
        <v>0</v>
      </c>
      <c r="BJ390" s="295">
        <f>'CAR Passenger Kilometres'!AD390*'CAR Stock'!AD440</f>
        <v>0</v>
      </c>
      <c r="BK390" s="296">
        <f>'CAR Passenger Kilometres'!AE390*'CAR Stock'!AE440</f>
        <v>0</v>
      </c>
    </row>
    <row r="391" spans="1:63">
      <c r="A391" s="1711"/>
      <c r="B391" s="116">
        <v>11</v>
      </c>
      <c r="C391" s="294">
        <f>'CAR Mileage'!C412*CAR!$I$58</f>
        <v>20517.149386704012</v>
      </c>
      <c r="D391" s="295">
        <f>'CAR Mileage'!D412*CAR!$I$58</f>
        <v>20517.149386704012</v>
      </c>
      <c r="E391" s="295">
        <f>'CAR Mileage'!E412*CAR!$I$58</f>
        <v>20517.149386704012</v>
      </c>
      <c r="F391" s="295">
        <f>'CAR Mileage'!F412*CAR!$I$58</f>
        <v>20517.149386704012</v>
      </c>
      <c r="G391" s="295">
        <f>'CAR Mileage'!G412*CAR!$I$58</f>
        <v>20517.149386704012</v>
      </c>
      <c r="H391" s="295">
        <f>'CAR Mileage'!H412*CAR!$I$58</f>
        <v>20517.149386704012</v>
      </c>
      <c r="I391" s="295">
        <f>'CAR Mileage'!I412*CAR!$I$58</f>
        <v>20517.149386704012</v>
      </c>
      <c r="J391" s="295">
        <f>'CAR Mileage'!J412*CAR!$I$58</f>
        <v>20517.149386704012</v>
      </c>
      <c r="K391" s="295">
        <f>'CAR Mileage'!K412*CAR!$I$58</f>
        <v>20517.149386704012</v>
      </c>
      <c r="L391" s="295">
        <f>'CAR Mileage'!L412*CAR!$I$58</f>
        <v>20517.149386704012</v>
      </c>
      <c r="M391" s="295">
        <f>'CAR Mileage'!M412*CAR!$I$58</f>
        <v>20517.149386704012</v>
      </c>
      <c r="N391" s="295">
        <f>'CAR Mileage'!N412*CAR!$I$58</f>
        <v>20517.149386704012</v>
      </c>
      <c r="O391" s="295">
        <f>'CAR Mileage'!O412*CAR!$I$58</f>
        <v>20517.149386704012</v>
      </c>
      <c r="P391" s="295">
        <f>'CAR Mileage'!P412*CAR!$I$58</f>
        <v>20517.149386704012</v>
      </c>
      <c r="Q391" s="295">
        <f>'CAR Mileage'!Q412*CAR!$I$58</f>
        <v>20517.149386704012</v>
      </c>
      <c r="R391" s="295">
        <f>'CAR Mileage'!R412*CAR!$I$58</f>
        <v>20517.149386704012</v>
      </c>
      <c r="S391" s="295">
        <f>'CAR Mileage'!S412*CAR!$I$58</f>
        <v>20517.149386704012</v>
      </c>
      <c r="T391" s="295">
        <f>'CAR Mileage'!T412*CAR!$I$58</f>
        <v>20517.149386704012</v>
      </c>
      <c r="U391" s="295">
        <f>'CAR Mileage'!U412*CAR!$I$58</f>
        <v>20517.149386704012</v>
      </c>
      <c r="V391" s="295">
        <f>'CAR Mileage'!V412*CAR!$I$58</f>
        <v>20517.149386704012</v>
      </c>
      <c r="W391" s="295">
        <f>'CAR Mileage'!W412*CAR!$I$58</f>
        <v>20517.149386704012</v>
      </c>
      <c r="X391" s="295">
        <f>'CAR Mileage'!X412*CAR!$I$58</f>
        <v>20517.149386704012</v>
      </c>
      <c r="Y391" s="295">
        <f>'CAR Mileage'!Y412*CAR!$I$58</f>
        <v>20517.149386704012</v>
      </c>
      <c r="Z391" s="295">
        <f>'CAR Mileage'!Z412*CAR!$I$58</f>
        <v>20517.149386704012</v>
      </c>
      <c r="AA391" s="295">
        <f>'CAR Mileage'!AA412*CAR!$I$58</f>
        <v>20517.149386704012</v>
      </c>
      <c r="AB391" s="295">
        <f>'CAR Mileage'!AB412*CAR!$I$58</f>
        <v>20517.149386704012</v>
      </c>
      <c r="AC391" s="295">
        <f>'CAR Mileage'!AC412*CAR!$I$58</f>
        <v>20517.149386704012</v>
      </c>
      <c r="AD391" s="295">
        <f>'CAR Mileage'!AD412*CAR!$I$58</f>
        <v>20517.149386704012</v>
      </c>
      <c r="AE391" s="296">
        <f>'CAR Mileage'!AE412*CAR!$I$58</f>
        <v>20517.149386704012</v>
      </c>
      <c r="AG391" s="1711"/>
      <c r="AH391" s="116">
        <v>11</v>
      </c>
      <c r="AI391" s="294">
        <f>'CAR Passenger Kilometres'!C391*'CAR Stock'!C441</f>
        <v>205171.49386704012</v>
      </c>
      <c r="AJ391" s="295">
        <f>'CAR Passenger Kilometres'!D391*'CAR Stock'!D441</f>
        <v>244868.31432716938</v>
      </c>
      <c r="AK391" s="295">
        <f>'CAR Passenger Kilometres'!E391*'CAR Stock'!E441</f>
        <v>429719.54487775039</v>
      </c>
      <c r="AL391" s="295">
        <f>'CAR Passenger Kilometres'!F391*'CAR Stock'!F441</f>
        <v>3212799.3130298899</v>
      </c>
      <c r="AM391" s="295">
        <f>'CAR Passenger Kilometres'!G391*'CAR Stock'!G441</f>
        <v>4041027.5765616172</v>
      </c>
      <c r="AN391" s="295">
        <f>'CAR Passenger Kilometres'!H391*'CAR Stock'!H441</f>
        <v>4712533.642696484</v>
      </c>
      <c r="AO391" s="295">
        <f>'CAR Passenger Kilometres'!I391*'CAR Stock'!I441</f>
        <v>8513737.624209933</v>
      </c>
      <c r="AP391" s="295">
        <f>'CAR Passenger Kilometres'!J391*'CAR Stock'!J441</f>
        <v>14041671.490070187</v>
      </c>
      <c r="AQ391" s="295">
        <f>'CAR Passenger Kilometres'!K391*'CAR Stock'!K441</f>
        <v>5036295.4960115096</v>
      </c>
      <c r="AR391" s="295">
        <f>'CAR Passenger Kilometres'!L391*'CAR Stock'!L441</f>
        <v>2674033.0847870638</v>
      </c>
      <c r="AS391" s="295">
        <f>'CAR Passenger Kilometres'!M391*'CAR Stock'!M441</f>
        <v>1007259.0992023019</v>
      </c>
      <c r="AT391" s="295">
        <f>'CAR Passenger Kilometres'!N391*'CAR Stock'!N441</f>
        <v>587567.80786800955</v>
      </c>
      <c r="AU391" s="295">
        <f>'CAR Passenger Kilometres'!O391*'CAR Stock'!O441</f>
        <v>0</v>
      </c>
      <c r="AV391" s="295">
        <f>'CAR Passenger Kilometres'!P391*'CAR Stock'!P441</f>
        <v>0</v>
      </c>
      <c r="AW391" s="295">
        <f>'CAR Passenger Kilometres'!Q391*'CAR Stock'!Q441</f>
        <v>0</v>
      </c>
      <c r="AX391" s="295">
        <f>'CAR Passenger Kilometres'!R391*'CAR Stock'!R441</f>
        <v>0</v>
      </c>
      <c r="AY391" s="295">
        <f>'CAR Passenger Kilometres'!S391*'CAR Stock'!S441</f>
        <v>0</v>
      </c>
      <c r="AZ391" s="295">
        <f>'CAR Passenger Kilometres'!T391*'CAR Stock'!T441</f>
        <v>0</v>
      </c>
      <c r="BA391" s="295">
        <f>'CAR Passenger Kilometres'!U391*'CAR Stock'!U441</f>
        <v>0</v>
      </c>
      <c r="BB391" s="295">
        <f>'CAR Passenger Kilometres'!V391*'CAR Stock'!V441</f>
        <v>0</v>
      </c>
      <c r="BC391" s="295">
        <f>'CAR Passenger Kilometres'!W391*'CAR Stock'!W441</f>
        <v>0</v>
      </c>
      <c r="BD391" s="295">
        <f>'CAR Passenger Kilometres'!X391*'CAR Stock'!X441</f>
        <v>0</v>
      </c>
      <c r="BE391" s="295">
        <f>'CAR Passenger Kilometres'!Y391*'CAR Stock'!Y441</f>
        <v>0</v>
      </c>
      <c r="BF391" s="295">
        <f>'CAR Passenger Kilometres'!Z391*'CAR Stock'!Z441</f>
        <v>0</v>
      </c>
      <c r="BG391" s="295">
        <f>'CAR Passenger Kilometres'!AA391*'CAR Stock'!AA441</f>
        <v>0</v>
      </c>
      <c r="BH391" s="295">
        <f>'CAR Passenger Kilometres'!AB391*'CAR Stock'!AB441</f>
        <v>0</v>
      </c>
      <c r="BI391" s="295">
        <f>'CAR Passenger Kilometres'!AC391*'CAR Stock'!AC441</f>
        <v>0</v>
      </c>
      <c r="BJ391" s="295">
        <f>'CAR Passenger Kilometres'!AD391*'CAR Stock'!AD441</f>
        <v>0</v>
      </c>
      <c r="BK391" s="296">
        <f>'CAR Passenger Kilometres'!AE391*'CAR Stock'!AE441</f>
        <v>0</v>
      </c>
    </row>
    <row r="392" spans="1:63">
      <c r="A392" s="1711"/>
      <c r="B392" s="116">
        <v>12</v>
      </c>
      <c r="C392" s="294">
        <f>'CAR Mileage'!C413*CAR!$I$58</f>
        <v>20106.806398969933</v>
      </c>
      <c r="D392" s="295">
        <f>'CAR Mileage'!D413*CAR!$I$58</f>
        <v>20106.806398969933</v>
      </c>
      <c r="E392" s="295">
        <f>'CAR Mileage'!E413*CAR!$I$58</f>
        <v>20106.806398969933</v>
      </c>
      <c r="F392" s="295">
        <f>'CAR Mileage'!F413*CAR!$I$58</f>
        <v>20106.806398969933</v>
      </c>
      <c r="G392" s="295">
        <f>'CAR Mileage'!G413*CAR!$I$58</f>
        <v>20106.806398969933</v>
      </c>
      <c r="H392" s="295">
        <f>'CAR Mileage'!H413*CAR!$I$58</f>
        <v>20106.806398969933</v>
      </c>
      <c r="I392" s="295">
        <f>'CAR Mileage'!I413*CAR!$I$58</f>
        <v>20106.806398969933</v>
      </c>
      <c r="J392" s="295">
        <f>'CAR Mileage'!J413*CAR!$I$58</f>
        <v>20106.806398969933</v>
      </c>
      <c r="K392" s="295">
        <f>'CAR Mileage'!K413*CAR!$I$58</f>
        <v>20106.806398969933</v>
      </c>
      <c r="L392" s="295">
        <f>'CAR Mileage'!L413*CAR!$I$58</f>
        <v>20106.806398969933</v>
      </c>
      <c r="M392" s="295">
        <f>'CAR Mileage'!M413*CAR!$I$58</f>
        <v>20106.806398969933</v>
      </c>
      <c r="N392" s="295">
        <f>'CAR Mileage'!N413*CAR!$I$58</f>
        <v>20106.806398969933</v>
      </c>
      <c r="O392" s="295">
        <f>'CAR Mileage'!O413*CAR!$I$58</f>
        <v>20106.806398969933</v>
      </c>
      <c r="P392" s="295">
        <f>'CAR Mileage'!P413*CAR!$I$58</f>
        <v>20106.806398969933</v>
      </c>
      <c r="Q392" s="295">
        <f>'CAR Mileage'!Q413*CAR!$I$58</f>
        <v>20106.806398969933</v>
      </c>
      <c r="R392" s="295">
        <f>'CAR Mileage'!R413*CAR!$I$58</f>
        <v>20106.806398969933</v>
      </c>
      <c r="S392" s="295">
        <f>'CAR Mileage'!S413*CAR!$I$58</f>
        <v>20106.806398969933</v>
      </c>
      <c r="T392" s="295">
        <f>'CAR Mileage'!T413*CAR!$I$58</f>
        <v>20106.806398969933</v>
      </c>
      <c r="U392" s="295">
        <f>'CAR Mileage'!U413*CAR!$I$58</f>
        <v>20106.806398969933</v>
      </c>
      <c r="V392" s="295">
        <f>'CAR Mileage'!V413*CAR!$I$58</f>
        <v>20106.806398969933</v>
      </c>
      <c r="W392" s="295">
        <f>'CAR Mileage'!W413*CAR!$I$58</f>
        <v>20106.806398969933</v>
      </c>
      <c r="X392" s="295">
        <f>'CAR Mileage'!X413*CAR!$I$58</f>
        <v>20106.806398969933</v>
      </c>
      <c r="Y392" s="295">
        <f>'CAR Mileage'!Y413*CAR!$I$58</f>
        <v>20106.806398969933</v>
      </c>
      <c r="Z392" s="295">
        <f>'CAR Mileage'!Z413*CAR!$I$58</f>
        <v>20106.806398969933</v>
      </c>
      <c r="AA392" s="295">
        <f>'CAR Mileage'!AA413*CAR!$I$58</f>
        <v>20106.806398969933</v>
      </c>
      <c r="AB392" s="295">
        <f>'CAR Mileage'!AB413*CAR!$I$58</f>
        <v>20106.806398969933</v>
      </c>
      <c r="AC392" s="295">
        <f>'CAR Mileage'!AC413*CAR!$I$58</f>
        <v>20106.806398969933</v>
      </c>
      <c r="AD392" s="295">
        <f>'CAR Mileage'!AD413*CAR!$I$58</f>
        <v>20106.806398969933</v>
      </c>
      <c r="AE392" s="296">
        <f>'CAR Mileage'!AE413*CAR!$I$58</f>
        <v>20106.806398969933</v>
      </c>
      <c r="AG392" s="1711"/>
      <c r="AH392" s="116">
        <v>12</v>
      </c>
      <c r="AI392" s="294">
        <f>'CAR Passenger Kilometres'!C392*'CAR Stock'!C442</f>
        <v>201068.06398969932</v>
      </c>
      <c r="AJ392" s="295">
        <f>'CAR Passenger Kilometres'!D392*'CAR Stock'!D442</f>
        <v>124079.3584922166</v>
      </c>
      <c r="AK392" s="295">
        <f>'CAR Passenger Kilometres'!E392*'CAR Stock'!E442</f>
        <v>148086.37781072635</v>
      </c>
      <c r="AL392" s="295">
        <f>'CAR Passenger Kilometres'!F392*'CAR Stock'!F442</f>
        <v>259876.86912564837</v>
      </c>
      <c r="AM392" s="295">
        <f>'CAR Passenger Kilometres'!G392*'CAR Stock'!G442</f>
        <v>1942970.0988740667</v>
      </c>
      <c r="AN392" s="295">
        <f>'CAR Passenger Kilometres'!H392*'CAR Stock'!H442</f>
        <v>2443848.8013059748</v>
      </c>
      <c r="AO392" s="295">
        <f>'CAR Passenger Kilometres'!I392*'CAR Stock'!I442</f>
        <v>2849948.3053805577</v>
      </c>
      <c r="AP392" s="295">
        <f>'CAR Passenger Kilometres'!J392*'CAR Stock'!J442</f>
        <v>5148761.5695170369</v>
      </c>
      <c r="AQ392" s="295">
        <f>'CAR Passenger Kilometres'!K392*'CAR Stock'!K442</f>
        <v>8491830.7012738753</v>
      </c>
      <c r="AR392" s="295">
        <f>'CAR Passenger Kilometres'!L392*'CAR Stock'!L442</f>
        <v>3045746.280559374</v>
      </c>
      <c r="AS392" s="295">
        <f>'CAR Passenger Kilometres'!M392*'CAR Stock'!M442</f>
        <v>1617146.2394398584</v>
      </c>
      <c r="AT392" s="295">
        <f>'CAR Passenger Kilometres'!N392*'CAR Stock'!N442</f>
        <v>609149.25611187483</v>
      </c>
      <c r="AU392" s="295">
        <f>'CAR Passenger Kilometres'!O392*'CAR Stock'!O442</f>
        <v>355337.06606526038</v>
      </c>
      <c r="AV392" s="295">
        <f>'CAR Passenger Kilometres'!P392*'CAR Stock'!P442</f>
        <v>0</v>
      </c>
      <c r="AW392" s="295">
        <f>'CAR Passenger Kilometres'!Q392*'CAR Stock'!Q442</f>
        <v>0</v>
      </c>
      <c r="AX392" s="295">
        <f>'CAR Passenger Kilometres'!R392*'CAR Stock'!R442</f>
        <v>0</v>
      </c>
      <c r="AY392" s="295">
        <f>'CAR Passenger Kilometres'!S392*'CAR Stock'!S442</f>
        <v>0</v>
      </c>
      <c r="AZ392" s="295">
        <f>'CAR Passenger Kilometres'!T392*'CAR Stock'!T442</f>
        <v>0</v>
      </c>
      <c r="BA392" s="295">
        <f>'CAR Passenger Kilometres'!U392*'CAR Stock'!U442</f>
        <v>0</v>
      </c>
      <c r="BB392" s="295">
        <f>'CAR Passenger Kilometres'!V392*'CAR Stock'!V442</f>
        <v>0</v>
      </c>
      <c r="BC392" s="295">
        <f>'CAR Passenger Kilometres'!W392*'CAR Stock'!W442</f>
        <v>0</v>
      </c>
      <c r="BD392" s="295">
        <f>'CAR Passenger Kilometres'!X392*'CAR Stock'!X442</f>
        <v>0</v>
      </c>
      <c r="BE392" s="295">
        <f>'CAR Passenger Kilometres'!Y392*'CAR Stock'!Y442</f>
        <v>0</v>
      </c>
      <c r="BF392" s="295">
        <f>'CAR Passenger Kilometres'!Z392*'CAR Stock'!Z442</f>
        <v>0</v>
      </c>
      <c r="BG392" s="295">
        <f>'CAR Passenger Kilometres'!AA392*'CAR Stock'!AA442</f>
        <v>0</v>
      </c>
      <c r="BH392" s="295">
        <f>'CAR Passenger Kilometres'!AB392*'CAR Stock'!AB442</f>
        <v>0</v>
      </c>
      <c r="BI392" s="295">
        <f>'CAR Passenger Kilometres'!AC392*'CAR Stock'!AC442</f>
        <v>0</v>
      </c>
      <c r="BJ392" s="295">
        <f>'CAR Passenger Kilometres'!AD392*'CAR Stock'!AD442</f>
        <v>0</v>
      </c>
      <c r="BK392" s="296">
        <f>'CAR Passenger Kilometres'!AE392*'CAR Stock'!AE442</f>
        <v>0</v>
      </c>
    </row>
    <row r="393" spans="1:63">
      <c r="A393" s="1711"/>
      <c r="B393" s="116">
        <v>13</v>
      </c>
      <c r="C393" s="294">
        <f>'CAR Mileage'!C414*CAR!$I$58</f>
        <v>19704.670270990533</v>
      </c>
      <c r="D393" s="295">
        <f>'CAR Mileage'!D414*CAR!$I$58</f>
        <v>19704.670270990533</v>
      </c>
      <c r="E393" s="295">
        <f>'CAR Mileage'!E414*CAR!$I$58</f>
        <v>19704.670270990533</v>
      </c>
      <c r="F393" s="295">
        <f>'CAR Mileage'!F414*CAR!$I$58</f>
        <v>19704.670270990533</v>
      </c>
      <c r="G393" s="295">
        <f>'CAR Mileage'!G414*CAR!$I$58</f>
        <v>19704.670270990533</v>
      </c>
      <c r="H393" s="295">
        <f>'CAR Mileage'!H414*CAR!$I$58</f>
        <v>19704.670270990533</v>
      </c>
      <c r="I393" s="295">
        <f>'CAR Mileage'!I414*CAR!$I$58</f>
        <v>19704.670270990533</v>
      </c>
      <c r="J393" s="295">
        <f>'CAR Mileage'!J414*CAR!$I$58</f>
        <v>19704.670270990533</v>
      </c>
      <c r="K393" s="295">
        <f>'CAR Mileage'!K414*CAR!$I$58</f>
        <v>19704.670270990533</v>
      </c>
      <c r="L393" s="295">
        <f>'CAR Mileage'!L414*CAR!$I$58</f>
        <v>19704.670270990533</v>
      </c>
      <c r="M393" s="295">
        <f>'CAR Mileage'!M414*CAR!$I$58</f>
        <v>19704.670270990533</v>
      </c>
      <c r="N393" s="295">
        <f>'CAR Mileage'!N414*CAR!$I$58</f>
        <v>19704.670270990533</v>
      </c>
      <c r="O393" s="295">
        <f>'CAR Mileage'!O414*CAR!$I$58</f>
        <v>19704.670270990533</v>
      </c>
      <c r="P393" s="295">
        <f>'CAR Mileage'!P414*CAR!$I$58</f>
        <v>19704.670270990533</v>
      </c>
      <c r="Q393" s="295">
        <f>'CAR Mileage'!Q414*CAR!$I$58</f>
        <v>19704.670270990533</v>
      </c>
      <c r="R393" s="295">
        <f>'CAR Mileage'!R414*CAR!$I$58</f>
        <v>19704.670270990533</v>
      </c>
      <c r="S393" s="295">
        <f>'CAR Mileage'!S414*CAR!$I$58</f>
        <v>19704.670270990533</v>
      </c>
      <c r="T393" s="295">
        <f>'CAR Mileage'!T414*CAR!$I$58</f>
        <v>19704.670270990533</v>
      </c>
      <c r="U393" s="295">
        <f>'CAR Mileage'!U414*CAR!$I$58</f>
        <v>19704.670270990533</v>
      </c>
      <c r="V393" s="295">
        <f>'CAR Mileage'!V414*CAR!$I$58</f>
        <v>19704.670270990533</v>
      </c>
      <c r="W393" s="295">
        <f>'CAR Mileage'!W414*CAR!$I$58</f>
        <v>19704.670270990533</v>
      </c>
      <c r="X393" s="295">
        <f>'CAR Mileage'!X414*CAR!$I$58</f>
        <v>19704.670270990533</v>
      </c>
      <c r="Y393" s="295">
        <f>'CAR Mileage'!Y414*CAR!$I$58</f>
        <v>19704.670270990533</v>
      </c>
      <c r="Z393" s="295">
        <f>'CAR Mileage'!Z414*CAR!$I$58</f>
        <v>19704.670270990533</v>
      </c>
      <c r="AA393" s="295">
        <f>'CAR Mileage'!AA414*CAR!$I$58</f>
        <v>19704.670270990533</v>
      </c>
      <c r="AB393" s="295">
        <f>'CAR Mileage'!AB414*CAR!$I$58</f>
        <v>19704.670270990533</v>
      </c>
      <c r="AC393" s="295">
        <f>'CAR Mileage'!AC414*CAR!$I$58</f>
        <v>19704.670270990533</v>
      </c>
      <c r="AD393" s="295">
        <f>'CAR Mileage'!AD414*CAR!$I$58</f>
        <v>19704.670270990533</v>
      </c>
      <c r="AE393" s="296">
        <f>'CAR Mileage'!AE414*CAR!$I$58</f>
        <v>19704.670270990533</v>
      </c>
      <c r="AG393" s="1711"/>
      <c r="AH393" s="116">
        <v>13</v>
      </c>
      <c r="AI393" s="294">
        <f>'CAR Passenger Kilometres'!C393*'CAR Stock'!C443</f>
        <v>59114.010812971595</v>
      </c>
      <c r="AJ393" s="295">
        <f>'CAR Passenger Kilometres'!D393*'CAR Stock'!D443</f>
        <v>96942.020749769799</v>
      </c>
      <c r="AK393" s="295">
        <f>'CAR Passenger Kilometres'!E393*'CAR Stock'!E443</f>
        <v>59823.044529770792</v>
      </c>
      <c r="AL393" s="295">
        <f>'CAR Passenger Kilometres'!F393*'CAR Stock'!F443</f>
        <v>71397.67711306519</v>
      </c>
      <c r="AM393" s="295">
        <f>'CAR Passenger Kilometres'!G393*'CAR Stock'!G443</f>
        <v>125295.82440528418</v>
      </c>
      <c r="AN393" s="295">
        <f>'CAR Passenger Kilometres'!H393*'CAR Stock'!H443</f>
        <v>936774.56232373859</v>
      </c>
      <c r="AO393" s="295">
        <f>'CAR Passenger Kilometres'!I393*'CAR Stock'!I443</f>
        <v>1178265.8891948189</v>
      </c>
      <c r="AP393" s="295">
        <f>'CAR Passenger Kilometres'!J393*'CAR Stock'!J443</f>
        <v>1374060.8144022664</v>
      </c>
      <c r="AQ393" s="295">
        <f>'CAR Passenger Kilometres'!K393*'CAR Stock'!K443</f>
        <v>2482399.9445944251</v>
      </c>
      <c r="AR393" s="295">
        <f>'CAR Passenger Kilometres'!L393*'CAR Stock'!L443</f>
        <v>4094211.7396057351</v>
      </c>
      <c r="AS393" s="295">
        <f>'CAR Passenger Kilometres'!M393*'CAR Stock'!M443</f>
        <v>1468461.939055857</v>
      </c>
      <c r="AT393" s="295">
        <f>'CAR Passenger Kilometres'!N393*'CAR Stock'!N443</f>
        <v>779683.36287965742</v>
      </c>
      <c r="AU393" s="295">
        <f>'CAR Passenger Kilometres'!O393*'CAR Stock'!O443</f>
        <v>293692.38781117141</v>
      </c>
      <c r="AV393" s="295">
        <f>'CAR Passenger Kilometres'!P393*'CAR Stock'!P443</f>
        <v>171320.55955651664</v>
      </c>
      <c r="AW393" s="295">
        <f>'CAR Passenger Kilometres'!Q393*'CAR Stock'!Q443</f>
        <v>0</v>
      </c>
      <c r="AX393" s="295">
        <f>'CAR Passenger Kilometres'!R393*'CAR Stock'!R443</f>
        <v>0</v>
      </c>
      <c r="AY393" s="295">
        <f>'CAR Passenger Kilometres'!S393*'CAR Stock'!S443</f>
        <v>0</v>
      </c>
      <c r="AZ393" s="295">
        <f>'CAR Passenger Kilometres'!T393*'CAR Stock'!T443</f>
        <v>0</v>
      </c>
      <c r="BA393" s="295">
        <f>'CAR Passenger Kilometres'!U393*'CAR Stock'!U443</f>
        <v>0</v>
      </c>
      <c r="BB393" s="295">
        <f>'CAR Passenger Kilometres'!V393*'CAR Stock'!V443</f>
        <v>0</v>
      </c>
      <c r="BC393" s="295">
        <f>'CAR Passenger Kilometres'!W393*'CAR Stock'!W443</f>
        <v>0</v>
      </c>
      <c r="BD393" s="295">
        <f>'CAR Passenger Kilometres'!X393*'CAR Stock'!X443</f>
        <v>0</v>
      </c>
      <c r="BE393" s="295">
        <f>'CAR Passenger Kilometres'!Y393*'CAR Stock'!Y443</f>
        <v>0</v>
      </c>
      <c r="BF393" s="295">
        <f>'CAR Passenger Kilometres'!Z393*'CAR Stock'!Z443</f>
        <v>0</v>
      </c>
      <c r="BG393" s="295">
        <f>'CAR Passenger Kilometres'!AA393*'CAR Stock'!AA443</f>
        <v>0</v>
      </c>
      <c r="BH393" s="295">
        <f>'CAR Passenger Kilometres'!AB393*'CAR Stock'!AB443</f>
        <v>0</v>
      </c>
      <c r="BI393" s="295">
        <f>'CAR Passenger Kilometres'!AC393*'CAR Stock'!AC443</f>
        <v>0</v>
      </c>
      <c r="BJ393" s="295">
        <f>'CAR Passenger Kilometres'!AD393*'CAR Stock'!AD443</f>
        <v>0</v>
      </c>
      <c r="BK393" s="296">
        <f>'CAR Passenger Kilometres'!AE393*'CAR Stock'!AE443</f>
        <v>0</v>
      </c>
    </row>
    <row r="394" spans="1:63">
      <c r="A394" s="1711"/>
      <c r="B394" s="116">
        <v>14</v>
      </c>
      <c r="C394" s="294">
        <f>'CAR Mileage'!C415*CAR!$I$58</f>
        <v>19310.576865570722</v>
      </c>
      <c r="D394" s="295">
        <f>'CAR Mileage'!D415*CAR!$I$58</f>
        <v>19310.576865570722</v>
      </c>
      <c r="E394" s="295">
        <f>'CAR Mileage'!E415*CAR!$I$58</f>
        <v>19310.576865570722</v>
      </c>
      <c r="F394" s="295">
        <f>'CAR Mileage'!F415*CAR!$I$58</f>
        <v>19310.576865570722</v>
      </c>
      <c r="G394" s="295">
        <f>'CAR Mileage'!G415*CAR!$I$58</f>
        <v>19310.576865570722</v>
      </c>
      <c r="H394" s="295">
        <f>'CAR Mileage'!H415*CAR!$I$58</f>
        <v>19310.576865570722</v>
      </c>
      <c r="I394" s="295">
        <f>'CAR Mileage'!I415*CAR!$I$58</f>
        <v>19310.576865570722</v>
      </c>
      <c r="J394" s="295">
        <f>'CAR Mileage'!J415*CAR!$I$58</f>
        <v>19310.576865570722</v>
      </c>
      <c r="K394" s="295">
        <f>'CAR Mileage'!K415*CAR!$I$58</f>
        <v>19310.576865570722</v>
      </c>
      <c r="L394" s="295">
        <f>'CAR Mileage'!L415*CAR!$I$58</f>
        <v>19310.576865570722</v>
      </c>
      <c r="M394" s="295">
        <f>'CAR Mileage'!M415*CAR!$I$58</f>
        <v>19310.576865570722</v>
      </c>
      <c r="N394" s="295">
        <f>'CAR Mileage'!N415*CAR!$I$58</f>
        <v>19310.576865570722</v>
      </c>
      <c r="O394" s="295">
        <f>'CAR Mileage'!O415*CAR!$I$58</f>
        <v>19310.576865570722</v>
      </c>
      <c r="P394" s="295">
        <f>'CAR Mileage'!P415*CAR!$I$58</f>
        <v>19310.576865570722</v>
      </c>
      <c r="Q394" s="295">
        <f>'CAR Mileage'!Q415*CAR!$I$58</f>
        <v>19310.576865570722</v>
      </c>
      <c r="R394" s="295">
        <f>'CAR Mileage'!R415*CAR!$I$58</f>
        <v>19310.576865570722</v>
      </c>
      <c r="S394" s="295">
        <f>'CAR Mileage'!S415*CAR!$I$58</f>
        <v>19310.576865570722</v>
      </c>
      <c r="T394" s="295">
        <f>'CAR Mileage'!T415*CAR!$I$58</f>
        <v>19310.576865570722</v>
      </c>
      <c r="U394" s="295">
        <f>'CAR Mileage'!U415*CAR!$I$58</f>
        <v>19310.576865570722</v>
      </c>
      <c r="V394" s="295">
        <f>'CAR Mileage'!V415*CAR!$I$58</f>
        <v>19310.576865570722</v>
      </c>
      <c r="W394" s="295">
        <f>'CAR Mileage'!W415*CAR!$I$58</f>
        <v>19310.576865570722</v>
      </c>
      <c r="X394" s="295">
        <f>'CAR Mileage'!X415*CAR!$I$58</f>
        <v>19310.576865570722</v>
      </c>
      <c r="Y394" s="295">
        <f>'CAR Mileage'!Y415*CAR!$I$58</f>
        <v>19310.576865570722</v>
      </c>
      <c r="Z394" s="295">
        <f>'CAR Mileage'!Z415*CAR!$I$58</f>
        <v>19310.576865570722</v>
      </c>
      <c r="AA394" s="295">
        <f>'CAR Mileage'!AA415*CAR!$I$58</f>
        <v>19310.576865570722</v>
      </c>
      <c r="AB394" s="295">
        <f>'CAR Mileage'!AB415*CAR!$I$58</f>
        <v>19310.576865570722</v>
      </c>
      <c r="AC394" s="295">
        <f>'CAR Mileage'!AC415*CAR!$I$58</f>
        <v>19310.576865570722</v>
      </c>
      <c r="AD394" s="295">
        <f>'CAR Mileage'!AD415*CAR!$I$58</f>
        <v>19310.576865570722</v>
      </c>
      <c r="AE394" s="296">
        <f>'CAR Mileage'!AE415*CAR!$I$58</f>
        <v>19310.576865570722</v>
      </c>
      <c r="AG394" s="1711"/>
      <c r="AH394" s="116">
        <v>14</v>
      </c>
      <c r="AI394" s="294">
        <f>'CAR Passenger Kilometres'!C394*'CAR Stock'!C444</f>
        <v>135174.03805899504</v>
      </c>
      <c r="AJ394" s="295">
        <f>'CAR Passenger Kilometres'!D394*'CAR Stock'!D444</f>
        <v>21953.876816675918</v>
      </c>
      <c r="AK394" s="295">
        <f>'CAR Passenger Kilometres'!E394*'CAR Stock'!E444</f>
        <v>36002.51704513131</v>
      </c>
      <c r="AL394" s="295">
        <f>'CAR Passenger Kilometres'!F394*'CAR Stock'!F444</f>
        <v>22217.199143538968</v>
      </c>
      <c r="AM394" s="295">
        <f>'CAR Passenger Kilometres'!G394*'CAR Stock'!G444</f>
        <v>26515.808803707194</v>
      </c>
      <c r="AN394" s="295">
        <f>'CAR Passenger Kilometres'!H394*'CAR Stock'!H444</f>
        <v>46532.60803670359</v>
      </c>
      <c r="AO394" s="295">
        <f>'CAR Passenger Kilometres'!I394*'CAR Stock'!I444</f>
        <v>347901.1669723824</v>
      </c>
      <c r="AP394" s="295">
        <f>'CAR Passenger Kilometres'!J394*'CAR Stock'!J444</f>
        <v>437586.68770615663</v>
      </c>
      <c r="AQ394" s="295">
        <f>'CAR Passenger Kilometres'!K394*'CAR Stock'!K444</f>
        <v>510301.38952082949</v>
      </c>
      <c r="AR394" s="295">
        <f>'CAR Passenger Kilometres'!L394*'CAR Stock'!L444</f>
        <v>921918.54086460278</v>
      </c>
      <c r="AS394" s="295">
        <f>'CAR Passenger Kilometres'!M394*'CAR Stock'!M444</f>
        <v>1520516.354017535</v>
      </c>
      <c r="AT394" s="295">
        <f>'CAR Passenger Kilometres'!N394*'CAR Stock'!N444</f>
        <v>545360.26361004671</v>
      </c>
      <c r="AU394" s="295">
        <f>'CAR Passenger Kilometres'!O394*'CAR Stock'!O444</f>
        <v>289560.3304405724</v>
      </c>
      <c r="AV394" s="295">
        <f>'CAR Passenger Kilometres'!P394*'CAR Stock'!P444</f>
        <v>109072.05272200934</v>
      </c>
      <c r="AW394" s="295">
        <f>'CAR Passenger Kilometres'!Q394*'CAR Stock'!Q444</f>
        <v>63625.364087838781</v>
      </c>
      <c r="AX394" s="295">
        <f>'CAR Passenger Kilometres'!R394*'CAR Stock'!R444</f>
        <v>0</v>
      </c>
      <c r="AY394" s="295">
        <f>'CAR Passenger Kilometres'!S394*'CAR Stock'!S444</f>
        <v>0</v>
      </c>
      <c r="AZ394" s="295">
        <f>'CAR Passenger Kilometres'!T394*'CAR Stock'!T444</f>
        <v>0</v>
      </c>
      <c r="BA394" s="295">
        <f>'CAR Passenger Kilometres'!U394*'CAR Stock'!U444</f>
        <v>0</v>
      </c>
      <c r="BB394" s="295">
        <f>'CAR Passenger Kilometres'!V394*'CAR Stock'!V444</f>
        <v>0</v>
      </c>
      <c r="BC394" s="295">
        <f>'CAR Passenger Kilometres'!W394*'CAR Stock'!W444</f>
        <v>0</v>
      </c>
      <c r="BD394" s="295">
        <f>'CAR Passenger Kilometres'!X394*'CAR Stock'!X444</f>
        <v>0</v>
      </c>
      <c r="BE394" s="295">
        <f>'CAR Passenger Kilometres'!Y394*'CAR Stock'!Y444</f>
        <v>0</v>
      </c>
      <c r="BF394" s="295">
        <f>'CAR Passenger Kilometres'!Z394*'CAR Stock'!Z444</f>
        <v>0</v>
      </c>
      <c r="BG394" s="295">
        <f>'CAR Passenger Kilometres'!AA394*'CAR Stock'!AA444</f>
        <v>0</v>
      </c>
      <c r="BH394" s="295">
        <f>'CAR Passenger Kilometres'!AB394*'CAR Stock'!AB444</f>
        <v>0</v>
      </c>
      <c r="BI394" s="295">
        <f>'CAR Passenger Kilometres'!AC394*'CAR Stock'!AC444</f>
        <v>0</v>
      </c>
      <c r="BJ394" s="295">
        <f>'CAR Passenger Kilometres'!AD394*'CAR Stock'!AD444</f>
        <v>0</v>
      </c>
      <c r="BK394" s="296">
        <f>'CAR Passenger Kilometres'!AE394*'CAR Stock'!AE444</f>
        <v>0</v>
      </c>
    </row>
    <row r="395" spans="1:63">
      <c r="A395" s="1711"/>
      <c r="B395" s="116">
        <v>15</v>
      </c>
      <c r="C395" s="294">
        <f>'CAR Mileage'!C416*CAR!$I$58</f>
        <v>18924.365328259308</v>
      </c>
      <c r="D395" s="295">
        <f>'CAR Mileage'!D416*CAR!$I$58</f>
        <v>18924.365328259308</v>
      </c>
      <c r="E395" s="295">
        <f>'CAR Mileage'!E416*CAR!$I$58</f>
        <v>18924.365328259308</v>
      </c>
      <c r="F395" s="295">
        <f>'CAR Mileage'!F416*CAR!$I$58</f>
        <v>18924.365328259308</v>
      </c>
      <c r="G395" s="295">
        <f>'CAR Mileage'!G416*CAR!$I$58</f>
        <v>18924.365328259308</v>
      </c>
      <c r="H395" s="295">
        <f>'CAR Mileage'!H416*CAR!$I$58</f>
        <v>18924.365328259308</v>
      </c>
      <c r="I395" s="295">
        <f>'CAR Mileage'!I416*CAR!$I$58</f>
        <v>18924.365328259308</v>
      </c>
      <c r="J395" s="295">
        <f>'CAR Mileage'!J416*CAR!$I$58</f>
        <v>18924.365328259308</v>
      </c>
      <c r="K395" s="295">
        <f>'CAR Mileage'!K416*CAR!$I$58</f>
        <v>18924.365328259308</v>
      </c>
      <c r="L395" s="295">
        <f>'CAR Mileage'!L416*CAR!$I$58</f>
        <v>18924.365328259308</v>
      </c>
      <c r="M395" s="295">
        <f>'CAR Mileage'!M416*CAR!$I$58</f>
        <v>18924.365328259308</v>
      </c>
      <c r="N395" s="295">
        <f>'CAR Mileage'!N416*CAR!$I$58</f>
        <v>18924.365328259308</v>
      </c>
      <c r="O395" s="295">
        <f>'CAR Mileage'!O416*CAR!$I$58</f>
        <v>18924.365328259308</v>
      </c>
      <c r="P395" s="295">
        <f>'CAR Mileage'!P416*CAR!$I$58</f>
        <v>18924.365328259308</v>
      </c>
      <c r="Q395" s="295">
        <f>'CAR Mileage'!Q416*CAR!$I$58</f>
        <v>18924.365328259308</v>
      </c>
      <c r="R395" s="295">
        <f>'CAR Mileage'!R416*CAR!$I$58</f>
        <v>18924.365328259308</v>
      </c>
      <c r="S395" s="295">
        <f>'CAR Mileage'!S416*CAR!$I$58</f>
        <v>18924.365328259308</v>
      </c>
      <c r="T395" s="295">
        <f>'CAR Mileage'!T416*CAR!$I$58</f>
        <v>18924.365328259308</v>
      </c>
      <c r="U395" s="295">
        <f>'CAR Mileage'!U416*CAR!$I$58</f>
        <v>18924.365328259308</v>
      </c>
      <c r="V395" s="295">
        <f>'CAR Mileage'!V416*CAR!$I$58</f>
        <v>18924.365328259308</v>
      </c>
      <c r="W395" s="295">
        <f>'CAR Mileage'!W416*CAR!$I$58</f>
        <v>18924.365328259308</v>
      </c>
      <c r="X395" s="295">
        <f>'CAR Mileage'!X416*CAR!$I$58</f>
        <v>18924.365328259308</v>
      </c>
      <c r="Y395" s="295">
        <f>'CAR Mileage'!Y416*CAR!$I$58</f>
        <v>18924.365328259308</v>
      </c>
      <c r="Z395" s="295">
        <f>'CAR Mileage'!Z416*CAR!$I$58</f>
        <v>18924.365328259308</v>
      </c>
      <c r="AA395" s="295">
        <f>'CAR Mileage'!AA416*CAR!$I$58</f>
        <v>18924.365328259308</v>
      </c>
      <c r="AB395" s="295">
        <f>'CAR Mileage'!AB416*CAR!$I$58</f>
        <v>18924.365328259308</v>
      </c>
      <c r="AC395" s="295">
        <f>'CAR Mileage'!AC416*CAR!$I$58</f>
        <v>18924.365328259308</v>
      </c>
      <c r="AD395" s="295">
        <f>'CAR Mileage'!AD416*CAR!$I$58</f>
        <v>18924.365328259308</v>
      </c>
      <c r="AE395" s="296">
        <f>'CAR Mileage'!AE416*CAR!$I$58</f>
        <v>18924.365328259308</v>
      </c>
      <c r="AG395" s="1711"/>
      <c r="AH395" s="116">
        <v>15</v>
      </c>
      <c r="AI395" s="294">
        <f>'CAR Passenger Kilometres'!C395*'CAR Stock'!C445</f>
        <v>0</v>
      </c>
      <c r="AJ395" s="295">
        <f>'CAR Passenger Kilometres'!D395*'CAR Stock'!D445</f>
        <v>36446.172879337304</v>
      </c>
      <c r="AK395" s="295">
        <f>'CAR Passenger Kilometres'!E395*'CAR Stock'!E445</f>
        <v>5919.2933888905263</v>
      </c>
      <c r="AL395" s="295">
        <f>'CAR Passenger Kilometres'!F395*'CAR Stock'!F445</f>
        <v>9707.144797623565</v>
      </c>
      <c r="AM395" s="295">
        <f>'CAR Passenger Kilometres'!G395*'CAR Stock'!G445</f>
        <v>5990.2914236141141</v>
      </c>
      <c r="AN395" s="295">
        <f>'CAR Passenger Kilometres'!H395*'CAR Stock'!H445</f>
        <v>7149.3000103584473</v>
      </c>
      <c r="AO395" s="295">
        <f>'CAR Passenger Kilometres'!I395*'CAR Stock'!I445</f>
        <v>12546.310677587133</v>
      </c>
      <c r="AP395" s="295">
        <f>'CAR Passenger Kilometres'!J395*'CAR Stock'!J445</f>
        <v>93802.52494095618</v>
      </c>
      <c r="AQ395" s="295">
        <f>'CAR Passenger Kilometres'!K395*'CAR Stock'!K445</f>
        <v>117983.89911881379</v>
      </c>
      <c r="AR395" s="295">
        <f>'CAR Passenger Kilometres'!L395*'CAR Stock'!L445</f>
        <v>137589.53220680656</v>
      </c>
      <c r="AS395" s="295">
        <f>'CAR Passenger Kilometres'!M395*'CAR Stock'!M445</f>
        <v>248571.41950848003</v>
      </c>
      <c r="AT395" s="295">
        <f>'CAR Passenger Kilometres'!N395*'CAR Stock'!N445</f>
        <v>409967.79189356352</v>
      </c>
      <c r="AU395" s="295">
        <f>'CAR Passenger Kilometres'!O395*'CAR Stock'!O445</f>
        <v>147042.24815994591</v>
      </c>
      <c r="AV395" s="295">
        <f>'CAR Passenger Kilometres'!P395*'CAR Stock'!P445</f>
        <v>78072.431761114145</v>
      </c>
      <c r="AW395" s="295">
        <f>'CAR Passenger Kilometres'!Q395*'CAR Stock'!Q445</f>
        <v>29408.449631989184</v>
      </c>
      <c r="AX395" s="295">
        <f>'CAR Passenger Kilometres'!R395*'CAR Stock'!R445</f>
        <v>17154.92895199369</v>
      </c>
      <c r="AY395" s="295">
        <f>'CAR Passenger Kilometres'!S395*'CAR Stock'!S445</f>
        <v>0</v>
      </c>
      <c r="AZ395" s="295">
        <f>'CAR Passenger Kilometres'!T395*'CAR Stock'!T445</f>
        <v>0</v>
      </c>
      <c r="BA395" s="295">
        <f>'CAR Passenger Kilometres'!U395*'CAR Stock'!U445</f>
        <v>0</v>
      </c>
      <c r="BB395" s="295">
        <f>'CAR Passenger Kilometres'!V395*'CAR Stock'!V445</f>
        <v>0</v>
      </c>
      <c r="BC395" s="295">
        <f>'CAR Passenger Kilometres'!W395*'CAR Stock'!W445</f>
        <v>0</v>
      </c>
      <c r="BD395" s="295">
        <f>'CAR Passenger Kilometres'!X395*'CAR Stock'!X445</f>
        <v>0</v>
      </c>
      <c r="BE395" s="295">
        <f>'CAR Passenger Kilometres'!Y395*'CAR Stock'!Y445</f>
        <v>0</v>
      </c>
      <c r="BF395" s="295">
        <f>'CAR Passenger Kilometres'!Z395*'CAR Stock'!Z445</f>
        <v>0</v>
      </c>
      <c r="BG395" s="295">
        <f>'CAR Passenger Kilometres'!AA395*'CAR Stock'!AA445</f>
        <v>0</v>
      </c>
      <c r="BH395" s="295">
        <f>'CAR Passenger Kilometres'!AB395*'CAR Stock'!AB445</f>
        <v>0</v>
      </c>
      <c r="BI395" s="295">
        <f>'CAR Passenger Kilometres'!AC395*'CAR Stock'!AC445</f>
        <v>0</v>
      </c>
      <c r="BJ395" s="295">
        <f>'CAR Passenger Kilometres'!AD395*'CAR Stock'!AD445</f>
        <v>0</v>
      </c>
      <c r="BK395" s="296">
        <f>'CAR Passenger Kilometres'!AE395*'CAR Stock'!AE445</f>
        <v>0</v>
      </c>
    </row>
    <row r="396" spans="1:63">
      <c r="A396" s="1711"/>
      <c r="B396" s="116">
        <v>16</v>
      </c>
      <c r="C396" s="294">
        <f>'CAR Mileage'!C417*CAR!$I$58</f>
        <v>18545.87802169412</v>
      </c>
      <c r="D396" s="295">
        <f>'CAR Mileage'!D417*CAR!$I$58</f>
        <v>18545.87802169412</v>
      </c>
      <c r="E396" s="295">
        <f>'CAR Mileage'!E417*CAR!$I$58</f>
        <v>18545.87802169412</v>
      </c>
      <c r="F396" s="295">
        <f>'CAR Mileage'!F417*CAR!$I$58</f>
        <v>18545.87802169412</v>
      </c>
      <c r="G396" s="295">
        <f>'CAR Mileage'!G417*CAR!$I$58</f>
        <v>18545.87802169412</v>
      </c>
      <c r="H396" s="295">
        <f>'CAR Mileage'!H417*CAR!$I$58</f>
        <v>18545.87802169412</v>
      </c>
      <c r="I396" s="295">
        <f>'CAR Mileage'!I417*CAR!$I$58</f>
        <v>18545.87802169412</v>
      </c>
      <c r="J396" s="295">
        <f>'CAR Mileage'!J417*CAR!$I$58</f>
        <v>18545.87802169412</v>
      </c>
      <c r="K396" s="295">
        <f>'CAR Mileage'!K417*CAR!$I$58</f>
        <v>18545.87802169412</v>
      </c>
      <c r="L396" s="295">
        <f>'CAR Mileage'!L417*CAR!$I$58</f>
        <v>18545.87802169412</v>
      </c>
      <c r="M396" s="295">
        <f>'CAR Mileage'!M417*CAR!$I$58</f>
        <v>18545.87802169412</v>
      </c>
      <c r="N396" s="295">
        <f>'CAR Mileage'!N417*CAR!$I$58</f>
        <v>18545.87802169412</v>
      </c>
      <c r="O396" s="295">
        <f>'CAR Mileage'!O417*CAR!$I$58</f>
        <v>18545.87802169412</v>
      </c>
      <c r="P396" s="295">
        <f>'CAR Mileage'!P417*CAR!$I$58</f>
        <v>18545.87802169412</v>
      </c>
      <c r="Q396" s="295">
        <f>'CAR Mileage'!Q417*CAR!$I$58</f>
        <v>18545.87802169412</v>
      </c>
      <c r="R396" s="295">
        <f>'CAR Mileage'!R417*CAR!$I$58</f>
        <v>18545.87802169412</v>
      </c>
      <c r="S396" s="295">
        <f>'CAR Mileage'!S417*CAR!$I$58</f>
        <v>18545.87802169412</v>
      </c>
      <c r="T396" s="295">
        <f>'CAR Mileage'!T417*CAR!$I$58</f>
        <v>18545.87802169412</v>
      </c>
      <c r="U396" s="295">
        <f>'CAR Mileage'!U417*CAR!$I$58</f>
        <v>18545.87802169412</v>
      </c>
      <c r="V396" s="295">
        <f>'CAR Mileage'!V417*CAR!$I$58</f>
        <v>18545.87802169412</v>
      </c>
      <c r="W396" s="295">
        <f>'CAR Mileage'!W417*CAR!$I$58</f>
        <v>18545.87802169412</v>
      </c>
      <c r="X396" s="295">
        <f>'CAR Mileage'!X417*CAR!$I$58</f>
        <v>18545.87802169412</v>
      </c>
      <c r="Y396" s="295">
        <f>'CAR Mileage'!Y417*CAR!$I$58</f>
        <v>18545.87802169412</v>
      </c>
      <c r="Z396" s="295">
        <f>'CAR Mileage'!Z417*CAR!$I$58</f>
        <v>18545.87802169412</v>
      </c>
      <c r="AA396" s="295">
        <f>'CAR Mileage'!AA417*CAR!$I$58</f>
        <v>18545.87802169412</v>
      </c>
      <c r="AB396" s="295">
        <f>'CAR Mileage'!AB417*CAR!$I$58</f>
        <v>18545.87802169412</v>
      </c>
      <c r="AC396" s="295">
        <f>'CAR Mileage'!AC417*CAR!$I$58</f>
        <v>18545.87802169412</v>
      </c>
      <c r="AD396" s="295">
        <f>'CAR Mileage'!AD417*CAR!$I$58</f>
        <v>18545.87802169412</v>
      </c>
      <c r="AE396" s="296">
        <f>'CAR Mileage'!AE417*CAR!$I$58</f>
        <v>18545.87802169412</v>
      </c>
      <c r="AG396" s="1711"/>
      <c r="AH396" s="116">
        <v>16</v>
      </c>
      <c r="AI396" s="294">
        <f>'CAR Passenger Kilometres'!C396*'CAR Stock'!C446</f>
        <v>0</v>
      </c>
      <c r="AJ396" s="295">
        <f>'CAR Passenger Kilometres'!D396*'CAR Stock'!D446</f>
        <v>0</v>
      </c>
      <c r="AK396" s="295">
        <f>'CAR Passenger Kilometres'!E396*'CAR Stock'!E446</f>
        <v>8844.0885761933823</v>
      </c>
      <c r="AL396" s="295">
        <f>'CAR Passenger Kilometres'!F396*'CAR Stock'!F446</f>
        <v>1436.3855215509698</v>
      </c>
      <c r="AM396" s="295">
        <f>'CAR Passenger Kilometres'!G396*'CAR Stock'!G446</f>
        <v>2355.5518077671645</v>
      </c>
      <c r="AN396" s="295">
        <f>'CAR Passenger Kilometres'!H396*'CAR Stock'!H446</f>
        <v>1453.6140220552586</v>
      </c>
      <c r="AO396" s="295">
        <f>'CAR Passenger Kilometres'!I396*'CAR Stock'!I446</f>
        <v>1734.8609621845173</v>
      </c>
      <c r="AP396" s="295">
        <f>'CAR Passenger Kilometres'!J396*'CAR Stock'!J446</f>
        <v>3044.5084948803819</v>
      </c>
      <c r="AQ396" s="295">
        <f>'CAR Passenger Kilometres'!K396*'CAR Stock'!K446</f>
        <v>22762.275808627779</v>
      </c>
      <c r="AR396" s="295">
        <f>'CAR Passenger Kilometres'!L396*'CAR Stock'!L446</f>
        <v>28630.168051555011</v>
      </c>
      <c r="AS396" s="295">
        <f>'CAR Passenger Kilometres'!M396*'CAR Stock'!M446</f>
        <v>33387.703395433578</v>
      </c>
      <c r="AT396" s="295">
        <f>'CAR Passenger Kilometres'!N396*'CAR Stock'!N446</f>
        <v>60318.751681317655</v>
      </c>
      <c r="AU396" s="295">
        <f>'CAR Passenger Kilometres'!O396*'CAR Stock'!O446</f>
        <v>99483.462280032356</v>
      </c>
      <c r="AV396" s="295">
        <f>'CAR Passenger Kilometres'!P396*'CAR Stock'!P446</f>
        <v>35681.515079089317</v>
      </c>
      <c r="AW396" s="295">
        <f>'CAR Passenger Kilometres'!Q396*'CAR Stock'!Q446</f>
        <v>18945.185387230758</v>
      </c>
      <c r="AX396" s="295">
        <f>'CAR Passenger Kilometres'!R396*'CAR Stock'!R446</f>
        <v>7136.3030158178635</v>
      </c>
      <c r="AY396" s="295">
        <f>'CAR Passenger Kilometres'!S396*'CAR Stock'!S446</f>
        <v>4162.8434258937541</v>
      </c>
      <c r="AZ396" s="295">
        <f>'CAR Passenger Kilometres'!T396*'CAR Stock'!T446</f>
        <v>0</v>
      </c>
      <c r="BA396" s="295">
        <f>'CAR Passenger Kilometres'!U396*'CAR Stock'!U446</f>
        <v>0</v>
      </c>
      <c r="BB396" s="295">
        <f>'CAR Passenger Kilometres'!V396*'CAR Stock'!V446</f>
        <v>0</v>
      </c>
      <c r="BC396" s="295">
        <f>'CAR Passenger Kilometres'!W396*'CAR Stock'!W446</f>
        <v>0</v>
      </c>
      <c r="BD396" s="295">
        <f>'CAR Passenger Kilometres'!X396*'CAR Stock'!X446</f>
        <v>0</v>
      </c>
      <c r="BE396" s="295">
        <f>'CAR Passenger Kilometres'!Y396*'CAR Stock'!Y446</f>
        <v>0</v>
      </c>
      <c r="BF396" s="295">
        <f>'CAR Passenger Kilometres'!Z396*'CAR Stock'!Z446</f>
        <v>0</v>
      </c>
      <c r="BG396" s="295">
        <f>'CAR Passenger Kilometres'!AA396*'CAR Stock'!AA446</f>
        <v>0</v>
      </c>
      <c r="BH396" s="295">
        <f>'CAR Passenger Kilometres'!AB396*'CAR Stock'!AB446</f>
        <v>0</v>
      </c>
      <c r="BI396" s="295">
        <f>'CAR Passenger Kilometres'!AC396*'CAR Stock'!AC446</f>
        <v>0</v>
      </c>
      <c r="BJ396" s="295">
        <f>'CAR Passenger Kilometres'!AD396*'CAR Stock'!AD446</f>
        <v>0</v>
      </c>
      <c r="BK396" s="296">
        <f>'CAR Passenger Kilometres'!AE396*'CAR Stock'!AE446</f>
        <v>0</v>
      </c>
    </row>
    <row r="397" spans="1:63">
      <c r="A397" s="1711"/>
      <c r="B397" s="116">
        <v>17</v>
      </c>
      <c r="C397" s="294">
        <f>'CAR Mileage'!C418*CAR!$I$58</f>
        <v>18545.87802169412</v>
      </c>
      <c r="D397" s="295">
        <f>'CAR Mileage'!D418*CAR!$I$58</f>
        <v>18545.87802169412</v>
      </c>
      <c r="E397" s="295">
        <f>'CAR Mileage'!E418*CAR!$I$58</f>
        <v>18545.87802169412</v>
      </c>
      <c r="F397" s="295">
        <f>'CAR Mileage'!F418*CAR!$I$58</f>
        <v>18545.87802169412</v>
      </c>
      <c r="G397" s="295">
        <f>'CAR Mileage'!G418*CAR!$I$58</f>
        <v>18545.87802169412</v>
      </c>
      <c r="H397" s="295">
        <f>'CAR Mileage'!H418*CAR!$I$58</f>
        <v>18545.87802169412</v>
      </c>
      <c r="I397" s="295">
        <f>'CAR Mileage'!I418*CAR!$I$58</f>
        <v>18545.87802169412</v>
      </c>
      <c r="J397" s="295">
        <f>'CAR Mileage'!J418*CAR!$I$58</f>
        <v>18545.87802169412</v>
      </c>
      <c r="K397" s="295">
        <f>'CAR Mileage'!K418*CAR!$I$58</f>
        <v>18545.87802169412</v>
      </c>
      <c r="L397" s="295">
        <f>'CAR Mileage'!L418*CAR!$I$58</f>
        <v>18545.87802169412</v>
      </c>
      <c r="M397" s="295">
        <f>'CAR Mileage'!M418*CAR!$I$58</f>
        <v>18545.87802169412</v>
      </c>
      <c r="N397" s="295">
        <f>'CAR Mileage'!N418*CAR!$I$58</f>
        <v>18545.87802169412</v>
      </c>
      <c r="O397" s="295">
        <f>'CAR Mileage'!O418*CAR!$I$58</f>
        <v>18545.87802169412</v>
      </c>
      <c r="P397" s="295">
        <f>'CAR Mileage'!P418*CAR!$I$58</f>
        <v>18545.87802169412</v>
      </c>
      <c r="Q397" s="295">
        <f>'CAR Mileage'!Q418*CAR!$I$58</f>
        <v>18545.87802169412</v>
      </c>
      <c r="R397" s="295">
        <f>'CAR Mileage'!R418*CAR!$I$58</f>
        <v>18545.87802169412</v>
      </c>
      <c r="S397" s="295">
        <f>'CAR Mileage'!S418*CAR!$I$58</f>
        <v>18545.87802169412</v>
      </c>
      <c r="T397" s="295">
        <f>'CAR Mileage'!T418*CAR!$I$58</f>
        <v>18545.87802169412</v>
      </c>
      <c r="U397" s="295">
        <f>'CAR Mileage'!U418*CAR!$I$58</f>
        <v>18545.87802169412</v>
      </c>
      <c r="V397" s="295">
        <f>'CAR Mileage'!V418*CAR!$I$58</f>
        <v>18545.87802169412</v>
      </c>
      <c r="W397" s="295">
        <f>'CAR Mileage'!W418*CAR!$I$58</f>
        <v>18545.87802169412</v>
      </c>
      <c r="X397" s="295">
        <f>'CAR Mileage'!X418*CAR!$I$58</f>
        <v>18545.87802169412</v>
      </c>
      <c r="Y397" s="295">
        <f>'CAR Mileage'!Y418*CAR!$I$58</f>
        <v>18545.87802169412</v>
      </c>
      <c r="Z397" s="295">
        <f>'CAR Mileage'!Z418*CAR!$I$58</f>
        <v>18545.87802169412</v>
      </c>
      <c r="AA397" s="295">
        <f>'CAR Mileage'!AA418*CAR!$I$58</f>
        <v>18545.87802169412</v>
      </c>
      <c r="AB397" s="295">
        <f>'CAR Mileage'!AB418*CAR!$I$58</f>
        <v>18545.87802169412</v>
      </c>
      <c r="AC397" s="295">
        <f>'CAR Mileage'!AC418*CAR!$I$58</f>
        <v>18545.87802169412</v>
      </c>
      <c r="AD397" s="295">
        <f>'CAR Mileage'!AD418*CAR!$I$58</f>
        <v>18545.87802169412</v>
      </c>
      <c r="AE397" s="296">
        <f>'CAR Mileage'!AE418*CAR!$I$58</f>
        <v>18545.87802169412</v>
      </c>
      <c r="AG397" s="1711"/>
      <c r="AH397" s="116">
        <v>17</v>
      </c>
      <c r="AI397" s="294">
        <f>'CAR Passenger Kilometres'!C397*'CAR Stock'!C447</f>
        <v>0</v>
      </c>
      <c r="AJ397" s="295">
        <f>'CAR Passenger Kilometres'!D397*'CAR Stock'!D447</f>
        <v>0</v>
      </c>
      <c r="AK397" s="295">
        <f>'CAR Passenger Kilometres'!E397*'CAR Stock'!E447</f>
        <v>0</v>
      </c>
      <c r="AL397" s="295">
        <f>'CAR Passenger Kilometres'!F397*'CAR Stock'!F447</f>
        <v>1946.5951546256981</v>
      </c>
      <c r="AM397" s="295">
        <f>'CAR Passenger Kilometres'!G397*'CAR Stock'!G447</f>
        <v>316.15028189022132</v>
      </c>
      <c r="AN397" s="295">
        <f>'CAR Passenger Kilometres'!H397*'CAR Stock'!H447</f>
        <v>518.4599516350554</v>
      </c>
      <c r="AO397" s="295">
        <f>'CAR Passenger Kilometres'!I397*'CAR Stock'!I447</f>
        <v>319.94229678403303</v>
      </c>
      <c r="AP397" s="295">
        <f>'CAR Passenger Kilometres'!J397*'CAR Stock'!J447</f>
        <v>381.84510634912664</v>
      </c>
      <c r="AQ397" s="295">
        <f>'CAR Passenger Kilometres'!K397*'CAR Stock'!K447</f>
        <v>670.10019554798987</v>
      </c>
      <c r="AR397" s="295">
        <f>'CAR Passenger Kilometres'!L397*'CAR Stock'!L447</f>
        <v>5010.0058830934686</v>
      </c>
      <c r="AS397" s="295">
        <f>'CAR Passenger Kilometres'!M397*'CAR Stock'!M447</f>
        <v>6301.5364359075629</v>
      </c>
      <c r="AT397" s="295">
        <f>'CAR Passenger Kilometres'!N397*'CAR Stock'!N447</f>
        <v>7348.6760216963567</v>
      </c>
      <c r="AU397" s="295">
        <f>'CAR Passenger Kilometres'!O397*'CAR Stock'!O447</f>
        <v>13276.23403410792</v>
      </c>
      <c r="AV397" s="295">
        <f>'CAR Passenger Kilometres'!P397*'CAR Stock'!P447</f>
        <v>21896.436695690667</v>
      </c>
      <c r="AW397" s="295">
        <f>'CAR Passenger Kilometres'!Q397*'CAR Stock'!Q447</f>
        <v>7853.5468934159526</v>
      </c>
      <c r="AX397" s="295">
        <f>'CAR Passenger Kilometres'!R397*'CAR Stock'!R447</f>
        <v>4169.8594219803745</v>
      </c>
      <c r="AY397" s="295">
        <f>'CAR Passenger Kilometres'!S397*'CAR Stock'!S447</f>
        <v>1570.7093786831906</v>
      </c>
      <c r="AZ397" s="295">
        <f>'CAR Passenger Kilometres'!T397*'CAR Stock'!T447</f>
        <v>916.24713756519452</v>
      </c>
      <c r="BA397" s="295">
        <f>'CAR Passenger Kilometres'!U397*'CAR Stock'!U447</f>
        <v>0</v>
      </c>
      <c r="BB397" s="295">
        <f>'CAR Passenger Kilometres'!V397*'CAR Stock'!V447</f>
        <v>0</v>
      </c>
      <c r="BC397" s="295">
        <f>'CAR Passenger Kilometres'!W397*'CAR Stock'!W447</f>
        <v>0</v>
      </c>
      <c r="BD397" s="295">
        <f>'CAR Passenger Kilometres'!X397*'CAR Stock'!X447</f>
        <v>0</v>
      </c>
      <c r="BE397" s="295">
        <f>'CAR Passenger Kilometres'!Y397*'CAR Stock'!Y447</f>
        <v>0</v>
      </c>
      <c r="BF397" s="295">
        <f>'CAR Passenger Kilometres'!Z397*'CAR Stock'!Z447</f>
        <v>0</v>
      </c>
      <c r="BG397" s="295">
        <f>'CAR Passenger Kilometres'!AA397*'CAR Stock'!AA447</f>
        <v>0</v>
      </c>
      <c r="BH397" s="295">
        <f>'CAR Passenger Kilometres'!AB397*'CAR Stock'!AB447</f>
        <v>0</v>
      </c>
      <c r="BI397" s="295">
        <f>'CAR Passenger Kilometres'!AC397*'CAR Stock'!AC447</f>
        <v>0</v>
      </c>
      <c r="BJ397" s="295">
        <f>'CAR Passenger Kilometres'!AD397*'CAR Stock'!AD447</f>
        <v>0</v>
      </c>
      <c r="BK397" s="296">
        <f>'CAR Passenger Kilometres'!AE397*'CAR Stock'!AE447</f>
        <v>0</v>
      </c>
    </row>
    <row r="398" spans="1:63">
      <c r="A398" s="1711"/>
      <c r="B398" s="116">
        <v>18</v>
      </c>
      <c r="C398" s="294">
        <f>'CAR Mileage'!C419*CAR!$I$58</f>
        <v>18545.87802169412</v>
      </c>
      <c r="D398" s="295">
        <f>'CAR Mileage'!D419*CAR!$I$58</f>
        <v>18545.87802169412</v>
      </c>
      <c r="E398" s="295">
        <f>'CAR Mileage'!E419*CAR!$I$58</f>
        <v>18545.87802169412</v>
      </c>
      <c r="F398" s="295">
        <f>'CAR Mileage'!F419*CAR!$I$58</f>
        <v>18545.87802169412</v>
      </c>
      <c r="G398" s="295">
        <f>'CAR Mileage'!G419*CAR!$I$58</f>
        <v>18545.87802169412</v>
      </c>
      <c r="H398" s="295">
        <f>'CAR Mileage'!H419*CAR!$I$58</f>
        <v>18545.87802169412</v>
      </c>
      <c r="I398" s="295">
        <f>'CAR Mileage'!I419*CAR!$I$58</f>
        <v>18545.87802169412</v>
      </c>
      <c r="J398" s="295">
        <f>'CAR Mileage'!J419*CAR!$I$58</f>
        <v>18545.87802169412</v>
      </c>
      <c r="K398" s="295">
        <f>'CAR Mileage'!K419*CAR!$I$58</f>
        <v>18545.87802169412</v>
      </c>
      <c r="L398" s="295">
        <f>'CAR Mileage'!L419*CAR!$I$58</f>
        <v>18545.87802169412</v>
      </c>
      <c r="M398" s="295">
        <f>'CAR Mileage'!M419*CAR!$I$58</f>
        <v>18545.87802169412</v>
      </c>
      <c r="N398" s="295">
        <f>'CAR Mileage'!N419*CAR!$I$58</f>
        <v>18545.87802169412</v>
      </c>
      <c r="O398" s="295">
        <f>'CAR Mileage'!O419*CAR!$I$58</f>
        <v>18545.87802169412</v>
      </c>
      <c r="P398" s="295">
        <f>'CAR Mileage'!P419*CAR!$I$58</f>
        <v>18545.87802169412</v>
      </c>
      <c r="Q398" s="295">
        <f>'CAR Mileage'!Q419*CAR!$I$58</f>
        <v>18545.87802169412</v>
      </c>
      <c r="R398" s="295">
        <f>'CAR Mileage'!R419*CAR!$I$58</f>
        <v>18545.87802169412</v>
      </c>
      <c r="S398" s="295">
        <f>'CAR Mileage'!S419*CAR!$I$58</f>
        <v>18545.87802169412</v>
      </c>
      <c r="T398" s="295">
        <f>'CAR Mileage'!T419*CAR!$I$58</f>
        <v>18545.87802169412</v>
      </c>
      <c r="U398" s="295">
        <f>'CAR Mileage'!U419*CAR!$I$58</f>
        <v>18545.87802169412</v>
      </c>
      <c r="V398" s="295">
        <f>'CAR Mileage'!V419*CAR!$I$58</f>
        <v>18545.87802169412</v>
      </c>
      <c r="W398" s="295">
        <f>'CAR Mileage'!W419*CAR!$I$58</f>
        <v>18545.87802169412</v>
      </c>
      <c r="X398" s="295">
        <f>'CAR Mileage'!X419*CAR!$I$58</f>
        <v>18545.87802169412</v>
      </c>
      <c r="Y398" s="295">
        <f>'CAR Mileage'!Y419*CAR!$I$58</f>
        <v>18545.87802169412</v>
      </c>
      <c r="Z398" s="295">
        <f>'CAR Mileage'!Z419*CAR!$I$58</f>
        <v>18545.87802169412</v>
      </c>
      <c r="AA398" s="295">
        <f>'CAR Mileage'!AA419*CAR!$I$58</f>
        <v>18545.87802169412</v>
      </c>
      <c r="AB398" s="295">
        <f>'CAR Mileage'!AB419*CAR!$I$58</f>
        <v>18545.87802169412</v>
      </c>
      <c r="AC398" s="295">
        <f>'CAR Mileage'!AC419*CAR!$I$58</f>
        <v>18545.87802169412</v>
      </c>
      <c r="AD398" s="295">
        <f>'CAR Mileage'!AD419*CAR!$I$58</f>
        <v>18545.87802169412</v>
      </c>
      <c r="AE398" s="296">
        <f>'CAR Mileage'!AE419*CAR!$I$58</f>
        <v>18545.87802169412</v>
      </c>
      <c r="AG398" s="1711"/>
      <c r="AH398" s="116">
        <v>18</v>
      </c>
      <c r="AI398" s="294">
        <f>'CAR Passenger Kilometres'!C398*'CAR Stock'!C448</f>
        <v>0</v>
      </c>
      <c r="AJ398" s="295">
        <f>'CAR Passenger Kilometres'!D398*'CAR Stock'!D448</f>
        <v>0</v>
      </c>
      <c r="AK398" s="295">
        <f>'CAR Passenger Kilometres'!E398*'CAR Stock'!E448</f>
        <v>0</v>
      </c>
      <c r="AL398" s="295">
        <f>'CAR Passenger Kilometres'!F398*'CAR Stock'!F448</f>
        <v>0</v>
      </c>
      <c r="AM398" s="295">
        <f>'CAR Passenger Kilometres'!G398*'CAR Stock'!G448</f>
        <v>374.89206269774678</v>
      </c>
      <c r="AN398" s="295">
        <f>'CAR Passenger Kilometres'!H398*'CAR Stock'!H448</f>
        <v>60.886944580466327</v>
      </c>
      <c r="AO398" s="295">
        <f>'CAR Passenger Kilometres'!I398*'CAR Stock'!I448</f>
        <v>99.849483459756058</v>
      </c>
      <c r="AP398" s="295">
        <f>'CAR Passenger Kilometres'!J398*'CAR Stock'!J448</f>
        <v>61.617243472839249</v>
      </c>
      <c r="AQ398" s="295">
        <f>'CAR Passenger Kilometres'!K398*'CAR Stock'!K448</f>
        <v>73.539019764893212</v>
      </c>
      <c r="AR398" s="295">
        <f>'CAR Passenger Kilometres'!L398*'CAR Stock'!L448</f>
        <v>129.05366784982797</v>
      </c>
      <c r="AS398" s="295">
        <f>'CAR Passenger Kilometres'!M398*'CAR Stock'!M448</f>
        <v>964.87008876887364</v>
      </c>
      <c r="AT398" s="295">
        <f>'CAR Passenger Kilometres'!N398*'CAR Stock'!N448</f>
        <v>1213.6041677739859</v>
      </c>
      <c r="AU398" s="295">
        <f>'CAR Passenger Kilometres'!O398*'CAR Stock'!O448</f>
        <v>1415.2713291844998</v>
      </c>
      <c r="AV398" s="295">
        <f>'CAR Passenger Kilometres'!P398*'CAR Stock'!P448</f>
        <v>2556.8515107404446</v>
      </c>
      <c r="AW398" s="295">
        <f>'CAR Passenger Kilometres'!Q398*'CAR Stock'!Q448</f>
        <v>4217.0043930662823</v>
      </c>
      <c r="AX398" s="295">
        <f>'CAR Passenger Kilometres'!R398*'CAR Stock'!R448</f>
        <v>1512.5037105788545</v>
      </c>
      <c r="AY398" s="295">
        <f>'CAR Passenger Kilometres'!S398*'CAR Stock'!S448</f>
        <v>803.06744633115363</v>
      </c>
      <c r="AZ398" s="295">
        <f>'CAR Passenger Kilometres'!T398*'CAR Stock'!T448</f>
        <v>302.50074211577095</v>
      </c>
      <c r="BA398" s="295">
        <f>'CAR Passenger Kilometres'!U398*'CAR Stock'!U448</f>
        <v>176.45876623419971</v>
      </c>
      <c r="BB398" s="295">
        <f>'CAR Passenger Kilometres'!V398*'CAR Stock'!V448</f>
        <v>0</v>
      </c>
      <c r="BC398" s="295">
        <f>'CAR Passenger Kilometres'!W398*'CAR Stock'!W448</f>
        <v>0</v>
      </c>
      <c r="BD398" s="295">
        <f>'CAR Passenger Kilometres'!X398*'CAR Stock'!X448</f>
        <v>0</v>
      </c>
      <c r="BE398" s="295">
        <f>'CAR Passenger Kilometres'!Y398*'CAR Stock'!Y448</f>
        <v>0</v>
      </c>
      <c r="BF398" s="295">
        <f>'CAR Passenger Kilometres'!Z398*'CAR Stock'!Z448</f>
        <v>0</v>
      </c>
      <c r="BG398" s="295">
        <f>'CAR Passenger Kilometres'!AA398*'CAR Stock'!AA448</f>
        <v>0</v>
      </c>
      <c r="BH398" s="295">
        <f>'CAR Passenger Kilometres'!AB398*'CAR Stock'!AB448</f>
        <v>0</v>
      </c>
      <c r="BI398" s="295">
        <f>'CAR Passenger Kilometres'!AC398*'CAR Stock'!AC448</f>
        <v>0</v>
      </c>
      <c r="BJ398" s="295">
        <f>'CAR Passenger Kilometres'!AD398*'CAR Stock'!AD448</f>
        <v>0</v>
      </c>
      <c r="BK398" s="296">
        <f>'CAR Passenger Kilometres'!AE398*'CAR Stock'!AE448</f>
        <v>0</v>
      </c>
    </row>
    <row r="399" spans="1:63">
      <c r="A399" s="1711"/>
      <c r="B399" s="116">
        <v>19</v>
      </c>
      <c r="C399" s="294">
        <f>'CAR Mileage'!C420*CAR!$I$58</f>
        <v>18545.87802169412</v>
      </c>
      <c r="D399" s="295">
        <f>'CAR Mileage'!D420*CAR!$I$58</f>
        <v>18545.87802169412</v>
      </c>
      <c r="E399" s="295">
        <f>'CAR Mileage'!E420*CAR!$I$58</f>
        <v>18545.87802169412</v>
      </c>
      <c r="F399" s="295">
        <f>'CAR Mileage'!F420*CAR!$I$58</f>
        <v>18545.87802169412</v>
      </c>
      <c r="G399" s="295">
        <f>'CAR Mileage'!G420*CAR!$I$58</f>
        <v>18545.87802169412</v>
      </c>
      <c r="H399" s="295">
        <f>'CAR Mileage'!H420*CAR!$I$58</f>
        <v>18545.87802169412</v>
      </c>
      <c r="I399" s="295">
        <f>'CAR Mileage'!I420*CAR!$I$58</f>
        <v>18545.87802169412</v>
      </c>
      <c r="J399" s="295">
        <f>'CAR Mileage'!J420*CAR!$I$58</f>
        <v>18545.87802169412</v>
      </c>
      <c r="K399" s="295">
        <f>'CAR Mileage'!K420*CAR!$I$58</f>
        <v>18545.87802169412</v>
      </c>
      <c r="L399" s="295">
        <f>'CAR Mileage'!L420*CAR!$I$58</f>
        <v>18545.87802169412</v>
      </c>
      <c r="M399" s="295">
        <f>'CAR Mileage'!M420*CAR!$I$58</f>
        <v>18545.87802169412</v>
      </c>
      <c r="N399" s="295">
        <f>'CAR Mileage'!N420*CAR!$I$58</f>
        <v>18545.87802169412</v>
      </c>
      <c r="O399" s="295">
        <f>'CAR Mileage'!O420*CAR!$I$58</f>
        <v>18545.87802169412</v>
      </c>
      <c r="P399" s="295">
        <f>'CAR Mileage'!P420*CAR!$I$58</f>
        <v>18545.87802169412</v>
      </c>
      <c r="Q399" s="295">
        <f>'CAR Mileage'!Q420*CAR!$I$58</f>
        <v>18545.87802169412</v>
      </c>
      <c r="R399" s="295">
        <f>'CAR Mileage'!R420*CAR!$I$58</f>
        <v>18545.87802169412</v>
      </c>
      <c r="S399" s="295">
        <f>'CAR Mileage'!S420*CAR!$I$58</f>
        <v>18545.87802169412</v>
      </c>
      <c r="T399" s="295">
        <f>'CAR Mileage'!T420*CAR!$I$58</f>
        <v>18545.87802169412</v>
      </c>
      <c r="U399" s="295">
        <f>'CAR Mileage'!U420*CAR!$I$58</f>
        <v>18545.87802169412</v>
      </c>
      <c r="V399" s="295">
        <f>'CAR Mileage'!V420*CAR!$I$58</f>
        <v>18545.87802169412</v>
      </c>
      <c r="W399" s="295">
        <f>'CAR Mileage'!W420*CAR!$I$58</f>
        <v>18545.87802169412</v>
      </c>
      <c r="X399" s="295">
        <f>'CAR Mileage'!X420*CAR!$I$58</f>
        <v>18545.87802169412</v>
      </c>
      <c r="Y399" s="295">
        <f>'CAR Mileage'!Y420*CAR!$I$58</f>
        <v>18545.87802169412</v>
      </c>
      <c r="Z399" s="295">
        <f>'CAR Mileage'!Z420*CAR!$I$58</f>
        <v>18545.87802169412</v>
      </c>
      <c r="AA399" s="295">
        <f>'CAR Mileage'!AA420*CAR!$I$58</f>
        <v>18545.87802169412</v>
      </c>
      <c r="AB399" s="295">
        <f>'CAR Mileage'!AB420*CAR!$I$58</f>
        <v>18545.87802169412</v>
      </c>
      <c r="AC399" s="295">
        <f>'CAR Mileage'!AC420*CAR!$I$58</f>
        <v>18545.87802169412</v>
      </c>
      <c r="AD399" s="295">
        <f>'CAR Mileage'!AD420*CAR!$I$58</f>
        <v>18545.87802169412</v>
      </c>
      <c r="AE399" s="296">
        <f>'CAR Mileage'!AE420*CAR!$I$58</f>
        <v>18545.87802169412</v>
      </c>
      <c r="AG399" s="1711"/>
      <c r="AH399" s="116">
        <v>19</v>
      </c>
      <c r="AI399" s="294">
        <f>'CAR Passenger Kilometres'!C399*'CAR Stock'!C449</f>
        <v>0</v>
      </c>
      <c r="AJ399" s="295">
        <f>'CAR Passenger Kilometres'!D399*'CAR Stock'!D449</f>
        <v>0</v>
      </c>
      <c r="AK399" s="295">
        <f>'CAR Passenger Kilometres'!E399*'CAR Stock'!E449</f>
        <v>0</v>
      </c>
      <c r="AL399" s="295">
        <f>'CAR Passenger Kilometres'!F399*'CAR Stock'!F449</f>
        <v>0</v>
      </c>
      <c r="AM399" s="295">
        <f>'CAR Passenger Kilometres'!G399*'CAR Stock'!G449</f>
        <v>0</v>
      </c>
      <c r="AN399" s="295">
        <f>'CAR Passenger Kilometres'!H399*'CAR Stock'!H449</f>
        <v>61.885665193312178</v>
      </c>
      <c r="AO399" s="295">
        <f>'CAR Passenger Kilometres'!I399*'CAR Stock'!I449</f>
        <v>10.050970510913245</v>
      </c>
      <c r="AP399" s="295">
        <f>'CAR Passenger Kilometres'!J399*'CAR Stock'!J449</f>
        <v>16.482748817484538</v>
      </c>
      <c r="AQ399" s="295">
        <f>'CAR Passenger Kilometres'!K399*'CAR Stock'!K449</f>
        <v>10.171525297854348</v>
      </c>
      <c r="AR399" s="295">
        <f>'CAR Passenger Kilometres'!L399*'CAR Stock'!L449</f>
        <v>12.139523902067134</v>
      </c>
      <c r="AS399" s="295">
        <f>'CAR Passenger Kilometres'!M399*'CAR Stock'!M449</f>
        <v>21.303657439561395</v>
      </c>
      <c r="AT399" s="295">
        <f>'CAR Passenger Kilometres'!N399*'CAR Stock'!N449</f>
        <v>159.2768511525779</v>
      </c>
      <c r="AU399" s="295">
        <f>'CAR Passenger Kilometres'!O399*'CAR Stock'!O449</f>
        <v>200.33686673334989</v>
      </c>
      <c r="AV399" s="295">
        <f>'CAR Passenger Kilometres'!P399*'CAR Stock'!P449</f>
        <v>233.62726595313504</v>
      </c>
      <c r="AW399" s="295">
        <f>'CAR Passenger Kilometres'!Q399*'CAR Stock'!Q449</f>
        <v>422.07470439370439</v>
      </c>
      <c r="AX399" s="295">
        <f>'CAR Passenger Kilometres'!R399*'CAR Stock'!R449</f>
        <v>696.12602654229272</v>
      </c>
      <c r="AY399" s="295">
        <f>'CAR Passenger Kilometres'!S399*'CAR Stock'!S449</f>
        <v>249.67799414838856</v>
      </c>
      <c r="AZ399" s="295">
        <f>'CAR Passenger Kilometres'!T399*'CAR Stock'!T449</f>
        <v>132.56712546450154</v>
      </c>
      <c r="BA399" s="295">
        <f>'CAR Passenger Kilometres'!U399*'CAR Stock'!U449</f>
        <v>49.935598829677716</v>
      </c>
      <c r="BB399" s="295">
        <f>'CAR Passenger Kilometres'!V399*'CAR Stock'!V449</f>
        <v>29.129099317312004</v>
      </c>
      <c r="BC399" s="295">
        <f>'CAR Passenger Kilometres'!W399*'CAR Stock'!W449</f>
        <v>0</v>
      </c>
      <c r="BD399" s="295">
        <f>'CAR Passenger Kilometres'!X399*'CAR Stock'!X449</f>
        <v>0</v>
      </c>
      <c r="BE399" s="295">
        <f>'CAR Passenger Kilometres'!Y399*'CAR Stock'!Y449</f>
        <v>0</v>
      </c>
      <c r="BF399" s="295">
        <f>'CAR Passenger Kilometres'!Z399*'CAR Stock'!Z449</f>
        <v>0</v>
      </c>
      <c r="BG399" s="295">
        <f>'CAR Passenger Kilometres'!AA399*'CAR Stock'!AA449</f>
        <v>0</v>
      </c>
      <c r="BH399" s="295">
        <f>'CAR Passenger Kilometres'!AB399*'CAR Stock'!AB449</f>
        <v>0</v>
      </c>
      <c r="BI399" s="295">
        <f>'CAR Passenger Kilometres'!AC399*'CAR Stock'!AC449</f>
        <v>0</v>
      </c>
      <c r="BJ399" s="295">
        <f>'CAR Passenger Kilometres'!AD399*'CAR Stock'!AD449</f>
        <v>0</v>
      </c>
      <c r="BK399" s="296">
        <f>'CAR Passenger Kilometres'!AE399*'CAR Stock'!AE449</f>
        <v>0</v>
      </c>
    </row>
    <row r="400" spans="1:63">
      <c r="A400" s="1711"/>
      <c r="B400" s="116">
        <v>20</v>
      </c>
      <c r="C400" s="294">
        <f>'CAR Mileage'!C421*CAR!$I$58</f>
        <v>18545.87802169412</v>
      </c>
      <c r="D400" s="295">
        <f>'CAR Mileage'!D421*CAR!$I$58</f>
        <v>18545.87802169412</v>
      </c>
      <c r="E400" s="295">
        <f>'CAR Mileage'!E421*CAR!$I$58</f>
        <v>18545.87802169412</v>
      </c>
      <c r="F400" s="295">
        <f>'CAR Mileage'!F421*CAR!$I$58</f>
        <v>18545.87802169412</v>
      </c>
      <c r="G400" s="295">
        <f>'CAR Mileage'!G421*CAR!$I$58</f>
        <v>18545.87802169412</v>
      </c>
      <c r="H400" s="295">
        <f>'CAR Mileage'!H421*CAR!$I$58</f>
        <v>18545.87802169412</v>
      </c>
      <c r="I400" s="295">
        <f>'CAR Mileage'!I421*CAR!$I$58</f>
        <v>18545.87802169412</v>
      </c>
      <c r="J400" s="295">
        <f>'CAR Mileage'!J421*CAR!$I$58</f>
        <v>18545.87802169412</v>
      </c>
      <c r="K400" s="295">
        <f>'CAR Mileage'!K421*CAR!$I$58</f>
        <v>18545.87802169412</v>
      </c>
      <c r="L400" s="295">
        <f>'CAR Mileage'!L421*CAR!$I$58</f>
        <v>18545.87802169412</v>
      </c>
      <c r="M400" s="295">
        <f>'CAR Mileage'!M421*CAR!$I$58</f>
        <v>18545.87802169412</v>
      </c>
      <c r="N400" s="295">
        <f>'CAR Mileage'!N421*CAR!$I$58</f>
        <v>18545.87802169412</v>
      </c>
      <c r="O400" s="295">
        <f>'CAR Mileage'!O421*CAR!$I$58</f>
        <v>18545.87802169412</v>
      </c>
      <c r="P400" s="295">
        <f>'CAR Mileage'!P421*CAR!$I$58</f>
        <v>18545.87802169412</v>
      </c>
      <c r="Q400" s="295">
        <f>'CAR Mileage'!Q421*CAR!$I$58</f>
        <v>18545.87802169412</v>
      </c>
      <c r="R400" s="295">
        <f>'CAR Mileage'!R421*CAR!$I$58</f>
        <v>18545.87802169412</v>
      </c>
      <c r="S400" s="295">
        <f>'CAR Mileage'!S421*CAR!$I$58</f>
        <v>18545.87802169412</v>
      </c>
      <c r="T400" s="295">
        <f>'CAR Mileage'!T421*CAR!$I$58</f>
        <v>18545.87802169412</v>
      </c>
      <c r="U400" s="295">
        <f>'CAR Mileage'!U421*CAR!$I$58</f>
        <v>18545.87802169412</v>
      </c>
      <c r="V400" s="295">
        <f>'CAR Mileage'!V421*CAR!$I$58</f>
        <v>18545.87802169412</v>
      </c>
      <c r="W400" s="295">
        <f>'CAR Mileage'!W421*CAR!$I$58</f>
        <v>18545.87802169412</v>
      </c>
      <c r="X400" s="295">
        <f>'CAR Mileage'!X421*CAR!$I$58</f>
        <v>18545.87802169412</v>
      </c>
      <c r="Y400" s="295">
        <f>'CAR Mileage'!Y421*CAR!$I$58</f>
        <v>18545.87802169412</v>
      </c>
      <c r="Z400" s="295">
        <f>'CAR Mileage'!Z421*CAR!$I$58</f>
        <v>18545.87802169412</v>
      </c>
      <c r="AA400" s="295">
        <f>'CAR Mileage'!AA421*CAR!$I$58</f>
        <v>18545.87802169412</v>
      </c>
      <c r="AB400" s="295">
        <f>'CAR Mileage'!AB421*CAR!$I$58</f>
        <v>18545.87802169412</v>
      </c>
      <c r="AC400" s="295">
        <f>'CAR Mileage'!AC421*CAR!$I$58</f>
        <v>18545.87802169412</v>
      </c>
      <c r="AD400" s="295">
        <f>'CAR Mileage'!AD421*CAR!$I$58</f>
        <v>18545.87802169412</v>
      </c>
      <c r="AE400" s="296">
        <f>'CAR Mileage'!AE421*CAR!$I$58</f>
        <v>18545.87802169412</v>
      </c>
      <c r="AG400" s="1711"/>
      <c r="AH400" s="116">
        <v>20</v>
      </c>
      <c r="AI400" s="294">
        <f>'CAR Passenger Kilometres'!C400*'CAR Stock'!C450</f>
        <v>0</v>
      </c>
      <c r="AJ400" s="295">
        <f>'CAR Passenger Kilometres'!D400*'CAR Stock'!D450</f>
        <v>0</v>
      </c>
      <c r="AK400" s="295">
        <f>'CAR Passenger Kilometres'!E400*'CAR Stock'!E450</f>
        <v>0</v>
      </c>
      <c r="AL400" s="295">
        <f>'CAR Passenger Kilometres'!F400*'CAR Stock'!F450</f>
        <v>0</v>
      </c>
      <c r="AM400" s="295">
        <f>'CAR Passenger Kilometres'!G400*'CAR Stock'!G450</f>
        <v>0</v>
      </c>
      <c r="AN400" s="295">
        <f>'CAR Passenger Kilometres'!H400*'CAR Stock'!H450</f>
        <v>0</v>
      </c>
      <c r="AO400" s="295">
        <f>'CAR Passenger Kilometres'!I400*'CAR Stock'!I450</f>
        <v>8.5131960580399983</v>
      </c>
      <c r="AP400" s="295">
        <f>'CAR Passenger Kilometres'!J400*'CAR Stock'!J450</f>
        <v>1.3826446280524072</v>
      </c>
      <c r="AQ400" s="295">
        <f>'CAR Passenger Kilometres'!K400*'CAR Stock'!K450</f>
        <v>2.2674212488522616</v>
      </c>
      <c r="AR400" s="295">
        <f>'CAR Passenger Kilometres'!L400*'CAR Stock'!L450</f>
        <v>1.3992285418514909</v>
      </c>
      <c r="AS400" s="295">
        <f>'CAR Passenger Kilometres'!M400*'CAR Stock'!M450</f>
        <v>1.6699529156992663</v>
      </c>
      <c r="AT400" s="295">
        <f>'CAR Passenger Kilometres'!N400*'CAR Stock'!N450</f>
        <v>2.9306013269759261</v>
      </c>
      <c r="AU400" s="295">
        <f>'CAR Passenger Kilometres'!O400*'CAR Stock'!O450</f>
        <v>21.910648566732775</v>
      </c>
      <c r="AV400" s="295">
        <f>'CAR Passenger Kilometres'!P400*'CAR Stock'!P450</f>
        <v>27.55899962983267</v>
      </c>
      <c r="AW400" s="295">
        <f>'CAR Passenger Kilometres'!Q400*'CAR Stock'!Q450</f>
        <v>32.13853666030932</v>
      </c>
      <c r="AX400" s="295">
        <f>'CAR Passenger Kilometres'!R400*'CAR Stock'!R450</f>
        <v>58.061987350686032</v>
      </c>
      <c r="AY400" s="295">
        <f>'CAR Passenger Kilometres'!S400*'CAR Stock'!S450</f>
        <v>95.761390405145548</v>
      </c>
      <c r="AZ400" s="295">
        <f>'CAR Passenger Kilometres'!T400*'CAR Stock'!T450</f>
        <v>34.346527728574841</v>
      </c>
      <c r="BA400" s="295">
        <f>'CAR Passenger Kilometres'!U400*'CAR Stock'!U450</f>
        <v>18.236370674933784</v>
      </c>
      <c r="BB400" s="295">
        <f>'CAR Passenger Kilometres'!V400*'CAR Stock'!V450</f>
        <v>6.8693055457149681</v>
      </c>
      <c r="BC400" s="295">
        <f>'CAR Passenger Kilometres'!W400*'CAR Stock'!W450</f>
        <v>4.0070949016670649</v>
      </c>
      <c r="BD400" s="295">
        <f>'CAR Passenger Kilometres'!X400*'CAR Stock'!X450</f>
        <v>0</v>
      </c>
      <c r="BE400" s="295">
        <f>'CAR Passenger Kilometres'!Y400*'CAR Stock'!Y450</f>
        <v>0</v>
      </c>
      <c r="BF400" s="295">
        <f>'CAR Passenger Kilometres'!Z400*'CAR Stock'!Z450</f>
        <v>0</v>
      </c>
      <c r="BG400" s="295">
        <f>'CAR Passenger Kilometres'!AA400*'CAR Stock'!AA450</f>
        <v>0</v>
      </c>
      <c r="BH400" s="295">
        <f>'CAR Passenger Kilometres'!AB400*'CAR Stock'!AB450</f>
        <v>0</v>
      </c>
      <c r="BI400" s="295">
        <f>'CAR Passenger Kilometres'!AC400*'CAR Stock'!AC450</f>
        <v>0</v>
      </c>
      <c r="BJ400" s="295">
        <f>'CAR Passenger Kilometres'!AD400*'CAR Stock'!AD450</f>
        <v>0</v>
      </c>
      <c r="BK400" s="296">
        <f>'CAR Passenger Kilometres'!AE400*'CAR Stock'!AE450</f>
        <v>0</v>
      </c>
    </row>
    <row r="401" spans="1:63">
      <c r="A401" s="1711"/>
      <c r="B401" s="116">
        <v>21</v>
      </c>
      <c r="C401" s="294">
        <f>'CAR Mileage'!C422*CAR!$I$58</f>
        <v>18545.87802169412</v>
      </c>
      <c r="D401" s="295">
        <f>'CAR Mileage'!D422*CAR!$I$58</f>
        <v>18545.87802169412</v>
      </c>
      <c r="E401" s="295">
        <f>'CAR Mileage'!E422*CAR!$I$58</f>
        <v>18545.87802169412</v>
      </c>
      <c r="F401" s="295">
        <f>'CAR Mileage'!F422*CAR!$I$58</f>
        <v>18545.87802169412</v>
      </c>
      <c r="G401" s="295">
        <f>'CAR Mileage'!G422*CAR!$I$58</f>
        <v>18545.87802169412</v>
      </c>
      <c r="H401" s="295">
        <f>'CAR Mileage'!H422*CAR!$I$58</f>
        <v>18545.87802169412</v>
      </c>
      <c r="I401" s="295">
        <f>'CAR Mileage'!I422*CAR!$I$58</f>
        <v>18545.87802169412</v>
      </c>
      <c r="J401" s="295">
        <f>'CAR Mileage'!J422*CAR!$I$58</f>
        <v>18545.87802169412</v>
      </c>
      <c r="K401" s="295">
        <f>'CAR Mileage'!K422*CAR!$I$58</f>
        <v>18545.87802169412</v>
      </c>
      <c r="L401" s="295">
        <f>'CAR Mileage'!L422*CAR!$I$58</f>
        <v>18545.87802169412</v>
      </c>
      <c r="M401" s="295">
        <f>'CAR Mileage'!M422*CAR!$I$58</f>
        <v>18545.87802169412</v>
      </c>
      <c r="N401" s="295">
        <f>'CAR Mileage'!N422*CAR!$I$58</f>
        <v>18545.87802169412</v>
      </c>
      <c r="O401" s="295">
        <f>'CAR Mileage'!O422*CAR!$I$58</f>
        <v>18545.87802169412</v>
      </c>
      <c r="P401" s="295">
        <f>'CAR Mileage'!P422*CAR!$I$58</f>
        <v>18545.87802169412</v>
      </c>
      <c r="Q401" s="295">
        <f>'CAR Mileage'!Q422*CAR!$I$58</f>
        <v>18545.87802169412</v>
      </c>
      <c r="R401" s="295">
        <f>'CAR Mileage'!R422*CAR!$I$58</f>
        <v>18545.87802169412</v>
      </c>
      <c r="S401" s="295">
        <f>'CAR Mileage'!S422*CAR!$I$58</f>
        <v>18545.87802169412</v>
      </c>
      <c r="T401" s="295">
        <f>'CAR Mileage'!T422*CAR!$I$58</f>
        <v>18545.87802169412</v>
      </c>
      <c r="U401" s="295">
        <f>'CAR Mileage'!U422*CAR!$I$58</f>
        <v>18545.87802169412</v>
      </c>
      <c r="V401" s="295">
        <f>'CAR Mileage'!V422*CAR!$I$58</f>
        <v>18545.87802169412</v>
      </c>
      <c r="W401" s="295">
        <f>'CAR Mileage'!W422*CAR!$I$58</f>
        <v>18545.87802169412</v>
      </c>
      <c r="X401" s="295">
        <f>'CAR Mileage'!X422*CAR!$I$58</f>
        <v>18545.87802169412</v>
      </c>
      <c r="Y401" s="295">
        <f>'CAR Mileage'!Y422*CAR!$I$58</f>
        <v>18545.87802169412</v>
      </c>
      <c r="Z401" s="295">
        <f>'CAR Mileage'!Z422*CAR!$I$58</f>
        <v>18545.87802169412</v>
      </c>
      <c r="AA401" s="295">
        <f>'CAR Mileage'!AA422*CAR!$I$58</f>
        <v>18545.87802169412</v>
      </c>
      <c r="AB401" s="295">
        <f>'CAR Mileage'!AB422*CAR!$I$58</f>
        <v>18545.87802169412</v>
      </c>
      <c r="AC401" s="295">
        <f>'CAR Mileage'!AC422*CAR!$I$58</f>
        <v>18545.87802169412</v>
      </c>
      <c r="AD401" s="295">
        <f>'CAR Mileage'!AD422*CAR!$I$58</f>
        <v>18545.87802169412</v>
      </c>
      <c r="AE401" s="296">
        <f>'CAR Mileage'!AE422*CAR!$I$58</f>
        <v>18545.87802169412</v>
      </c>
      <c r="AG401" s="1711"/>
      <c r="AH401" s="116">
        <v>21</v>
      </c>
      <c r="AI401" s="294">
        <f>'CAR Passenger Kilometres'!C401*'CAR Stock'!C451</f>
        <v>0</v>
      </c>
      <c r="AJ401" s="295">
        <f>'CAR Passenger Kilometres'!D401*'CAR Stock'!D451</f>
        <v>0</v>
      </c>
      <c r="AK401" s="295">
        <f>'CAR Passenger Kilometres'!E401*'CAR Stock'!E451</f>
        <v>0</v>
      </c>
      <c r="AL401" s="295">
        <f>'CAR Passenger Kilometres'!F401*'CAR Stock'!F451</f>
        <v>0</v>
      </c>
      <c r="AM401" s="295">
        <f>'CAR Passenger Kilometres'!G401*'CAR Stock'!G451</f>
        <v>0</v>
      </c>
      <c r="AN401" s="295">
        <f>'CAR Passenger Kilometres'!H401*'CAR Stock'!H451</f>
        <v>0</v>
      </c>
      <c r="AO401" s="295">
        <f>'CAR Passenger Kilometres'!I401*'CAR Stock'!I451</f>
        <v>0</v>
      </c>
      <c r="AP401" s="295">
        <f>'CAR Passenger Kilometres'!J401*'CAR Stock'!J451</f>
        <v>0.93688264506798791</v>
      </c>
      <c r="AQ401" s="295">
        <f>'CAR Passenger Kilometres'!K401*'CAR Stock'!K451</f>
        <v>0.15216092140805448</v>
      </c>
      <c r="AR401" s="295">
        <f>'CAR Passenger Kilometres'!L401*'CAR Stock'!L451</f>
        <v>0.24953115171144649</v>
      </c>
      <c r="AS401" s="295">
        <f>'CAR Passenger Kilometres'!M401*'CAR Stock'!M451</f>
        <v>0.15398599167775556</v>
      </c>
      <c r="AT401" s="295">
        <f>'CAR Passenger Kilometres'!N401*'CAR Stock'!N451</f>
        <v>0.18377938134312569</v>
      </c>
      <c r="AU401" s="295">
        <f>'CAR Passenger Kilometres'!O401*'CAR Stock'!O451</f>
        <v>0.3225145414411012</v>
      </c>
      <c r="AV401" s="295">
        <f>'CAR Passenger Kilometres'!P401*'CAR Stock'!P451</f>
        <v>2.4112808214923027</v>
      </c>
      <c r="AW401" s="295">
        <f>'CAR Passenger Kilometres'!Q401*'CAR Stock'!Q451</f>
        <v>3.032885451315424</v>
      </c>
      <c r="AX401" s="295">
        <f>'CAR Passenger Kilometres'!R401*'CAR Stock'!R451</f>
        <v>3.5368664165191745</v>
      </c>
      <c r="AY401" s="295">
        <f>'CAR Passenger Kilometres'!S401*'CAR Stock'!S451</f>
        <v>6.3897586659761156</v>
      </c>
      <c r="AZ401" s="295">
        <f>'CAR Passenger Kilometres'!T401*'CAR Stock'!T451</f>
        <v>10.538601968814126</v>
      </c>
      <c r="BA401" s="295">
        <f>'CAR Passenger Kilometres'!U401*'CAR Stock'!U451</f>
        <v>3.7798572390281246</v>
      </c>
      <c r="BB401" s="295">
        <f>'CAR Passenger Kilometres'!V401*'CAR Stock'!V451</f>
        <v>2.0069242007220756</v>
      </c>
      <c r="BC401" s="295">
        <f>'CAR Passenger Kilometres'!W401*'CAR Stock'!W451</f>
        <v>0.75597144780562497</v>
      </c>
      <c r="BD401" s="295">
        <f>'CAR Passenger Kilometres'!X401*'CAR Stock'!X451</f>
        <v>0.44098334455328125</v>
      </c>
      <c r="BE401" s="295">
        <f>'CAR Passenger Kilometres'!Y401*'CAR Stock'!Y451</f>
        <v>0</v>
      </c>
      <c r="BF401" s="295">
        <f>'CAR Passenger Kilometres'!Z401*'CAR Stock'!Z451</f>
        <v>0</v>
      </c>
      <c r="BG401" s="295">
        <f>'CAR Passenger Kilometres'!AA401*'CAR Stock'!AA451</f>
        <v>0</v>
      </c>
      <c r="BH401" s="295">
        <f>'CAR Passenger Kilometres'!AB401*'CAR Stock'!AB451</f>
        <v>0</v>
      </c>
      <c r="BI401" s="295">
        <f>'CAR Passenger Kilometres'!AC401*'CAR Stock'!AC451</f>
        <v>0</v>
      </c>
      <c r="BJ401" s="295">
        <f>'CAR Passenger Kilometres'!AD401*'CAR Stock'!AD451</f>
        <v>0</v>
      </c>
      <c r="BK401" s="296">
        <f>'CAR Passenger Kilometres'!AE401*'CAR Stock'!AE451</f>
        <v>0</v>
      </c>
    </row>
    <row r="402" spans="1:63">
      <c r="A402" s="1711"/>
      <c r="B402" s="116">
        <v>22</v>
      </c>
      <c r="C402" s="294">
        <f>'CAR Mileage'!C423*CAR!$I$58</f>
        <v>18545.87802169412</v>
      </c>
      <c r="D402" s="295">
        <f>'CAR Mileage'!D423*CAR!$I$58</f>
        <v>18545.87802169412</v>
      </c>
      <c r="E402" s="295">
        <f>'CAR Mileage'!E423*CAR!$I$58</f>
        <v>18545.87802169412</v>
      </c>
      <c r="F402" s="295">
        <f>'CAR Mileage'!F423*CAR!$I$58</f>
        <v>18545.87802169412</v>
      </c>
      <c r="G402" s="295">
        <f>'CAR Mileage'!G423*CAR!$I$58</f>
        <v>18545.87802169412</v>
      </c>
      <c r="H402" s="295">
        <f>'CAR Mileage'!H423*CAR!$I$58</f>
        <v>18545.87802169412</v>
      </c>
      <c r="I402" s="295">
        <f>'CAR Mileage'!I423*CAR!$I$58</f>
        <v>18545.87802169412</v>
      </c>
      <c r="J402" s="295">
        <f>'CAR Mileage'!J423*CAR!$I$58</f>
        <v>18545.87802169412</v>
      </c>
      <c r="K402" s="295">
        <f>'CAR Mileage'!K423*CAR!$I$58</f>
        <v>18545.87802169412</v>
      </c>
      <c r="L402" s="295">
        <f>'CAR Mileage'!L423*CAR!$I$58</f>
        <v>18545.87802169412</v>
      </c>
      <c r="M402" s="295">
        <f>'CAR Mileage'!M423*CAR!$I$58</f>
        <v>18545.87802169412</v>
      </c>
      <c r="N402" s="295">
        <f>'CAR Mileage'!N423*CAR!$I$58</f>
        <v>18545.87802169412</v>
      </c>
      <c r="O402" s="295">
        <f>'CAR Mileage'!O423*CAR!$I$58</f>
        <v>18545.87802169412</v>
      </c>
      <c r="P402" s="295">
        <f>'CAR Mileage'!P423*CAR!$I$58</f>
        <v>18545.87802169412</v>
      </c>
      <c r="Q402" s="295">
        <f>'CAR Mileage'!Q423*CAR!$I$58</f>
        <v>18545.87802169412</v>
      </c>
      <c r="R402" s="295">
        <f>'CAR Mileage'!R423*CAR!$I$58</f>
        <v>18545.87802169412</v>
      </c>
      <c r="S402" s="295">
        <f>'CAR Mileage'!S423*CAR!$I$58</f>
        <v>18545.87802169412</v>
      </c>
      <c r="T402" s="295">
        <f>'CAR Mileage'!T423*CAR!$I$58</f>
        <v>18545.87802169412</v>
      </c>
      <c r="U402" s="295">
        <f>'CAR Mileage'!U423*CAR!$I$58</f>
        <v>18545.87802169412</v>
      </c>
      <c r="V402" s="295">
        <f>'CAR Mileage'!V423*CAR!$I$58</f>
        <v>18545.87802169412</v>
      </c>
      <c r="W402" s="295">
        <f>'CAR Mileage'!W423*CAR!$I$58</f>
        <v>18545.87802169412</v>
      </c>
      <c r="X402" s="295">
        <f>'CAR Mileage'!X423*CAR!$I$58</f>
        <v>18545.87802169412</v>
      </c>
      <c r="Y402" s="295">
        <f>'CAR Mileage'!Y423*CAR!$I$58</f>
        <v>18545.87802169412</v>
      </c>
      <c r="Z402" s="295">
        <f>'CAR Mileage'!Z423*CAR!$I$58</f>
        <v>18545.87802169412</v>
      </c>
      <c r="AA402" s="295">
        <f>'CAR Mileage'!AA423*CAR!$I$58</f>
        <v>18545.87802169412</v>
      </c>
      <c r="AB402" s="295">
        <f>'CAR Mileage'!AB423*CAR!$I$58</f>
        <v>18545.87802169412</v>
      </c>
      <c r="AC402" s="295">
        <f>'CAR Mileage'!AC423*CAR!$I$58</f>
        <v>18545.87802169412</v>
      </c>
      <c r="AD402" s="295">
        <f>'CAR Mileage'!AD423*CAR!$I$58</f>
        <v>18545.87802169412</v>
      </c>
      <c r="AE402" s="296">
        <f>'CAR Mileage'!AE423*CAR!$I$58</f>
        <v>18545.87802169412</v>
      </c>
      <c r="AG402" s="1711"/>
      <c r="AH402" s="116">
        <v>22</v>
      </c>
      <c r="AI402" s="294">
        <f>'CAR Passenger Kilometres'!C402*'CAR Stock'!C452</f>
        <v>0</v>
      </c>
      <c r="AJ402" s="295">
        <f>'CAR Passenger Kilometres'!D402*'CAR Stock'!D452</f>
        <v>0</v>
      </c>
      <c r="AK402" s="295">
        <f>'CAR Passenger Kilometres'!E402*'CAR Stock'!E452</f>
        <v>0</v>
      </c>
      <c r="AL402" s="295">
        <f>'CAR Passenger Kilometres'!F402*'CAR Stock'!F452</f>
        <v>0</v>
      </c>
      <c r="AM402" s="295">
        <f>'CAR Passenger Kilometres'!G402*'CAR Stock'!G452</f>
        <v>0</v>
      </c>
      <c r="AN402" s="295">
        <f>'CAR Passenger Kilometres'!H402*'CAR Stock'!H452</f>
        <v>0</v>
      </c>
      <c r="AO402" s="295">
        <f>'CAR Passenger Kilometres'!I402*'CAR Stock'!I452</f>
        <v>0</v>
      </c>
      <c r="AP402" s="295">
        <f>'CAR Passenger Kilometres'!J402*'CAR Stock'!J452</f>
        <v>0</v>
      </c>
      <c r="AQ402" s="295">
        <f>'CAR Passenger Kilometres'!K402*'CAR Stock'!K452</f>
        <v>7.7328398580750635E-2</v>
      </c>
      <c r="AR402" s="295">
        <f>'CAR Passenger Kilometres'!L402*'CAR Stock'!L452</f>
        <v>1.2559054691639041E-2</v>
      </c>
      <c r="AS402" s="295">
        <f>'CAR Passenger Kilometres'!M402*'CAR Stock'!M452</f>
        <v>2.0595796559403898E-2</v>
      </c>
      <c r="AT402" s="295">
        <f>'CAR Passenger Kilometres'!N402*'CAR Stock'!N452</f>
        <v>1.2709692300304618E-2</v>
      </c>
      <c r="AU402" s="295">
        <f>'CAR Passenger Kilometres'!O402*'CAR Stock'!O452</f>
        <v>1.5168778423036851E-2</v>
      </c>
      <c r="AV402" s="295">
        <f>'CAR Passenger Kilometres'!P402*'CAR Stock'!P452</f>
        <v>2.6619697931148753E-2</v>
      </c>
      <c r="AW402" s="295">
        <f>'CAR Passenger Kilometres'!Q402*'CAR Stock'!Q452</f>
        <v>0.19902224193825843</v>
      </c>
      <c r="AX402" s="295">
        <f>'CAR Passenger Kilometres'!R402*'CAR Stock'!R452</f>
        <v>0.25032823082346622</v>
      </c>
      <c r="AY402" s="295">
        <f>'CAR Passenger Kilometres'!S402*'CAR Stock'!S452</f>
        <v>0.29192580033715798</v>
      </c>
      <c r="AZ402" s="295">
        <f>'CAR Passenger Kilometres'!T402*'CAR Stock'!T452</f>
        <v>0.52739775633430563</v>
      </c>
      <c r="BA402" s="295">
        <f>'CAR Passenger Kilometres'!U402*'CAR Stock'!U452</f>
        <v>0.86983489108094614</v>
      </c>
      <c r="BB402" s="295">
        <f>'CAR Passenger Kilometres'!V402*'CAR Stock'!V452</f>
        <v>0.31198177135268784</v>
      </c>
      <c r="BC402" s="295">
        <f>'CAR Passenger Kilometres'!W402*'CAR Stock'!W452</f>
        <v>0.16564746431345093</v>
      </c>
      <c r="BD402" s="295">
        <f>'CAR Passenger Kilometres'!X402*'CAR Stock'!X452</f>
        <v>6.2396354270537573E-2</v>
      </c>
      <c r="BE402" s="295">
        <f>'CAR Passenger Kilometres'!Y402*'CAR Stock'!Y452</f>
        <v>3.6397873324480259E-2</v>
      </c>
      <c r="BF402" s="295">
        <f>'CAR Passenger Kilometres'!Z402*'CAR Stock'!Z452</f>
        <v>0</v>
      </c>
      <c r="BG402" s="295">
        <f>'CAR Passenger Kilometres'!AA402*'CAR Stock'!AA452</f>
        <v>0</v>
      </c>
      <c r="BH402" s="295">
        <f>'CAR Passenger Kilometres'!AB402*'CAR Stock'!AB452</f>
        <v>0</v>
      </c>
      <c r="BI402" s="295">
        <f>'CAR Passenger Kilometres'!AC402*'CAR Stock'!AC452</f>
        <v>0</v>
      </c>
      <c r="BJ402" s="295">
        <f>'CAR Passenger Kilometres'!AD402*'CAR Stock'!AD452</f>
        <v>0</v>
      </c>
      <c r="BK402" s="296">
        <f>'CAR Passenger Kilometres'!AE402*'CAR Stock'!AE452</f>
        <v>0</v>
      </c>
    </row>
    <row r="403" spans="1:63">
      <c r="A403" s="1711"/>
      <c r="B403" s="116">
        <v>23</v>
      </c>
      <c r="C403" s="294">
        <f>'CAR Mileage'!C424*CAR!$I$58</f>
        <v>18545.87802169412</v>
      </c>
      <c r="D403" s="295">
        <f>'CAR Mileage'!D424*CAR!$I$58</f>
        <v>18545.87802169412</v>
      </c>
      <c r="E403" s="295">
        <f>'CAR Mileage'!E424*CAR!$I$58</f>
        <v>18545.87802169412</v>
      </c>
      <c r="F403" s="295">
        <f>'CAR Mileage'!F424*CAR!$I$58</f>
        <v>18545.87802169412</v>
      </c>
      <c r="G403" s="295">
        <f>'CAR Mileage'!G424*CAR!$I$58</f>
        <v>18545.87802169412</v>
      </c>
      <c r="H403" s="295">
        <f>'CAR Mileage'!H424*CAR!$I$58</f>
        <v>18545.87802169412</v>
      </c>
      <c r="I403" s="295">
        <f>'CAR Mileage'!I424*CAR!$I$58</f>
        <v>18545.87802169412</v>
      </c>
      <c r="J403" s="295">
        <f>'CAR Mileage'!J424*CAR!$I$58</f>
        <v>18545.87802169412</v>
      </c>
      <c r="K403" s="295">
        <f>'CAR Mileage'!K424*CAR!$I$58</f>
        <v>18545.87802169412</v>
      </c>
      <c r="L403" s="295">
        <f>'CAR Mileage'!L424*CAR!$I$58</f>
        <v>18545.87802169412</v>
      </c>
      <c r="M403" s="295">
        <f>'CAR Mileage'!M424*CAR!$I$58</f>
        <v>18545.87802169412</v>
      </c>
      <c r="N403" s="295">
        <f>'CAR Mileage'!N424*CAR!$I$58</f>
        <v>18545.87802169412</v>
      </c>
      <c r="O403" s="295">
        <f>'CAR Mileage'!O424*CAR!$I$58</f>
        <v>18545.87802169412</v>
      </c>
      <c r="P403" s="295">
        <f>'CAR Mileage'!P424*CAR!$I$58</f>
        <v>18545.87802169412</v>
      </c>
      <c r="Q403" s="295">
        <f>'CAR Mileage'!Q424*CAR!$I$58</f>
        <v>18545.87802169412</v>
      </c>
      <c r="R403" s="295">
        <f>'CAR Mileage'!R424*CAR!$I$58</f>
        <v>18545.87802169412</v>
      </c>
      <c r="S403" s="295">
        <f>'CAR Mileage'!S424*CAR!$I$58</f>
        <v>18545.87802169412</v>
      </c>
      <c r="T403" s="295">
        <f>'CAR Mileage'!T424*CAR!$I$58</f>
        <v>18545.87802169412</v>
      </c>
      <c r="U403" s="295">
        <f>'CAR Mileage'!U424*CAR!$I$58</f>
        <v>18545.87802169412</v>
      </c>
      <c r="V403" s="295">
        <f>'CAR Mileage'!V424*CAR!$I$58</f>
        <v>18545.87802169412</v>
      </c>
      <c r="W403" s="295">
        <f>'CAR Mileage'!W424*CAR!$I$58</f>
        <v>18545.87802169412</v>
      </c>
      <c r="X403" s="295">
        <f>'CAR Mileage'!X424*CAR!$I$58</f>
        <v>18545.87802169412</v>
      </c>
      <c r="Y403" s="295">
        <f>'CAR Mileage'!Y424*CAR!$I$58</f>
        <v>18545.87802169412</v>
      </c>
      <c r="Z403" s="295">
        <f>'CAR Mileage'!Z424*CAR!$I$58</f>
        <v>18545.87802169412</v>
      </c>
      <c r="AA403" s="295">
        <f>'CAR Mileage'!AA424*CAR!$I$58</f>
        <v>18545.87802169412</v>
      </c>
      <c r="AB403" s="295">
        <f>'CAR Mileage'!AB424*CAR!$I$58</f>
        <v>18545.87802169412</v>
      </c>
      <c r="AC403" s="295">
        <f>'CAR Mileage'!AC424*CAR!$I$58</f>
        <v>18545.87802169412</v>
      </c>
      <c r="AD403" s="295">
        <f>'CAR Mileage'!AD424*CAR!$I$58</f>
        <v>18545.87802169412</v>
      </c>
      <c r="AE403" s="296">
        <f>'CAR Mileage'!AE424*CAR!$I$58</f>
        <v>18545.87802169412</v>
      </c>
      <c r="AG403" s="1711"/>
      <c r="AH403" s="116">
        <v>23</v>
      </c>
      <c r="AI403" s="294">
        <f>'CAR Passenger Kilometres'!C403*'CAR Stock'!C453</f>
        <v>0</v>
      </c>
      <c r="AJ403" s="295">
        <f>'CAR Passenger Kilometres'!D403*'CAR Stock'!D453</f>
        <v>0</v>
      </c>
      <c r="AK403" s="295">
        <f>'CAR Passenger Kilometres'!E403*'CAR Stock'!E453</f>
        <v>0</v>
      </c>
      <c r="AL403" s="295">
        <f>'CAR Passenger Kilometres'!F403*'CAR Stock'!F453</f>
        <v>0</v>
      </c>
      <c r="AM403" s="295">
        <f>'CAR Passenger Kilometres'!G403*'CAR Stock'!G453</f>
        <v>0</v>
      </c>
      <c r="AN403" s="295">
        <f>'CAR Passenger Kilometres'!H403*'CAR Stock'!H453</f>
        <v>0</v>
      </c>
      <c r="AO403" s="295">
        <f>'CAR Passenger Kilometres'!I403*'CAR Stock'!I453</f>
        <v>0</v>
      </c>
      <c r="AP403" s="295">
        <f>'CAR Passenger Kilometres'!J403*'CAR Stock'!J453</f>
        <v>0</v>
      </c>
      <c r="AQ403" s="295">
        <f>'CAR Passenger Kilometres'!K403*'CAR Stock'!K453</f>
        <v>0</v>
      </c>
      <c r="AR403" s="295">
        <f>'CAR Passenger Kilometres'!L403*'CAR Stock'!L453</f>
        <v>4.2550197427195747E-3</v>
      </c>
      <c r="AS403" s="295">
        <f>'CAR Passenger Kilometres'!M403*'CAR Stock'!M453</f>
        <v>6.9106598149727629E-4</v>
      </c>
      <c r="AT403" s="295">
        <f>'CAR Passenger Kilometres'!N403*'CAR Stock'!N453</f>
        <v>1.1332902605733595E-3</v>
      </c>
      <c r="AU403" s="295">
        <f>'CAR Passenger Kilometres'!O403*'CAR Stock'!O453</f>
        <v>6.9935486385656583E-4</v>
      </c>
      <c r="AV403" s="295">
        <f>'CAR Passenger Kilometres'!P403*'CAR Stock'!P453</f>
        <v>8.3466686039748543E-4</v>
      </c>
      <c r="AW403" s="295">
        <f>'CAR Passenger Kilometres'!Q403*'CAR Stock'!Q453</f>
        <v>1.4647573507420989E-3</v>
      </c>
      <c r="AX403" s="295">
        <f>'CAR Passenger Kilometres'!R403*'CAR Stock'!R453</f>
        <v>1.0951262204185958E-2</v>
      </c>
      <c r="AY403" s="295">
        <f>'CAR Passenger Kilometres'!S403*'CAR Stock'!S453</f>
        <v>1.3774390571422747E-2</v>
      </c>
      <c r="AZ403" s="295">
        <f>'CAR Passenger Kilometres'!T403*'CAR Stock'!T453</f>
        <v>1.606331007290546E-2</v>
      </c>
      <c r="BA403" s="295">
        <f>'CAR Passenger Kilometres'!U403*'CAR Stock'!U453</f>
        <v>2.9020229393798662E-2</v>
      </c>
      <c r="BB403" s="295">
        <f>'CAR Passenger Kilometres'!V403*'CAR Stock'!V453</f>
        <v>4.7862941718504547E-2</v>
      </c>
      <c r="BC403" s="295">
        <f>'CAR Passenger Kilometres'!W403*'CAR Stock'!W453</f>
        <v>1.7166896261120335E-2</v>
      </c>
      <c r="BD403" s="295">
        <f>'CAR Passenger Kilometres'!X403*'CAR Stock'!X453</f>
        <v>9.1148044434043694E-3</v>
      </c>
      <c r="BE403" s="295">
        <f>'CAR Passenger Kilometres'!Y403*'CAR Stock'!Y453</f>
        <v>3.4333792522240674E-3</v>
      </c>
      <c r="BF403" s="295">
        <f>'CAR Passenger Kilometres'!Z403*'CAR Stock'!Z453</f>
        <v>2.0028045637973729E-3</v>
      </c>
      <c r="BG403" s="295">
        <f>'CAR Passenger Kilometres'!AA403*'CAR Stock'!AA453</f>
        <v>0</v>
      </c>
      <c r="BH403" s="295">
        <f>'CAR Passenger Kilometres'!AB403*'CAR Stock'!AB453</f>
        <v>0</v>
      </c>
      <c r="BI403" s="295">
        <f>'CAR Passenger Kilometres'!AC403*'CAR Stock'!AC453</f>
        <v>0</v>
      </c>
      <c r="BJ403" s="295">
        <f>'CAR Passenger Kilometres'!AD403*'CAR Stock'!AD453</f>
        <v>0</v>
      </c>
      <c r="BK403" s="296">
        <f>'CAR Passenger Kilometres'!AE403*'CAR Stock'!AE453</f>
        <v>0</v>
      </c>
    </row>
    <row r="404" spans="1:63">
      <c r="A404" s="1711"/>
      <c r="B404" s="116">
        <v>24</v>
      </c>
      <c r="C404" s="294">
        <f>'CAR Mileage'!C425*CAR!$I$58</f>
        <v>18545.87802169412</v>
      </c>
      <c r="D404" s="295">
        <f>'CAR Mileage'!D425*CAR!$I$58</f>
        <v>18545.87802169412</v>
      </c>
      <c r="E404" s="295">
        <f>'CAR Mileage'!E425*CAR!$I$58</f>
        <v>18545.87802169412</v>
      </c>
      <c r="F404" s="295">
        <f>'CAR Mileage'!F425*CAR!$I$58</f>
        <v>18545.87802169412</v>
      </c>
      <c r="G404" s="295">
        <f>'CAR Mileage'!G425*CAR!$I$58</f>
        <v>18545.87802169412</v>
      </c>
      <c r="H404" s="295">
        <f>'CAR Mileage'!H425*CAR!$I$58</f>
        <v>18545.87802169412</v>
      </c>
      <c r="I404" s="295">
        <f>'CAR Mileage'!I425*CAR!$I$58</f>
        <v>18545.87802169412</v>
      </c>
      <c r="J404" s="295">
        <f>'CAR Mileage'!J425*CAR!$I$58</f>
        <v>18545.87802169412</v>
      </c>
      <c r="K404" s="295">
        <f>'CAR Mileage'!K425*CAR!$I$58</f>
        <v>18545.87802169412</v>
      </c>
      <c r="L404" s="295">
        <f>'CAR Mileage'!L425*CAR!$I$58</f>
        <v>18545.87802169412</v>
      </c>
      <c r="M404" s="295">
        <f>'CAR Mileage'!M425*CAR!$I$58</f>
        <v>18545.87802169412</v>
      </c>
      <c r="N404" s="295">
        <f>'CAR Mileage'!N425*CAR!$I$58</f>
        <v>18545.87802169412</v>
      </c>
      <c r="O404" s="295">
        <f>'CAR Mileage'!O425*CAR!$I$58</f>
        <v>18545.87802169412</v>
      </c>
      <c r="P404" s="295">
        <f>'CAR Mileage'!P425*CAR!$I$58</f>
        <v>18545.87802169412</v>
      </c>
      <c r="Q404" s="295">
        <f>'CAR Mileage'!Q425*CAR!$I$58</f>
        <v>18545.87802169412</v>
      </c>
      <c r="R404" s="295">
        <f>'CAR Mileage'!R425*CAR!$I$58</f>
        <v>18545.87802169412</v>
      </c>
      <c r="S404" s="295">
        <f>'CAR Mileage'!S425*CAR!$I$58</f>
        <v>18545.87802169412</v>
      </c>
      <c r="T404" s="295">
        <f>'CAR Mileage'!T425*CAR!$I$58</f>
        <v>18545.87802169412</v>
      </c>
      <c r="U404" s="295">
        <f>'CAR Mileage'!U425*CAR!$I$58</f>
        <v>18545.87802169412</v>
      </c>
      <c r="V404" s="295">
        <f>'CAR Mileage'!V425*CAR!$I$58</f>
        <v>18545.87802169412</v>
      </c>
      <c r="W404" s="295">
        <f>'CAR Mileage'!W425*CAR!$I$58</f>
        <v>18545.87802169412</v>
      </c>
      <c r="X404" s="295">
        <f>'CAR Mileage'!X425*CAR!$I$58</f>
        <v>18545.87802169412</v>
      </c>
      <c r="Y404" s="295">
        <f>'CAR Mileage'!Y425*CAR!$I$58</f>
        <v>18545.87802169412</v>
      </c>
      <c r="Z404" s="295">
        <f>'CAR Mileage'!Z425*CAR!$I$58</f>
        <v>18545.87802169412</v>
      </c>
      <c r="AA404" s="295">
        <f>'CAR Mileage'!AA425*CAR!$I$58</f>
        <v>18545.87802169412</v>
      </c>
      <c r="AB404" s="295">
        <f>'CAR Mileage'!AB425*CAR!$I$58</f>
        <v>18545.87802169412</v>
      </c>
      <c r="AC404" s="295">
        <f>'CAR Mileage'!AC425*CAR!$I$58</f>
        <v>18545.87802169412</v>
      </c>
      <c r="AD404" s="295">
        <f>'CAR Mileage'!AD425*CAR!$I$58</f>
        <v>18545.87802169412</v>
      </c>
      <c r="AE404" s="296">
        <f>'CAR Mileage'!AE425*CAR!$I$58</f>
        <v>18545.87802169412</v>
      </c>
      <c r="AG404" s="1711"/>
      <c r="AH404" s="116">
        <v>24</v>
      </c>
      <c r="AI404" s="294">
        <f>'CAR Passenger Kilometres'!C404*'CAR Stock'!C454</f>
        <v>0</v>
      </c>
      <c r="AJ404" s="295">
        <f>'CAR Passenger Kilometres'!D404*'CAR Stock'!D454</f>
        <v>0</v>
      </c>
      <c r="AK404" s="295">
        <f>'CAR Passenger Kilometres'!E404*'CAR Stock'!E454</f>
        <v>0</v>
      </c>
      <c r="AL404" s="295">
        <f>'CAR Passenger Kilometres'!F404*'CAR Stock'!F454</f>
        <v>0</v>
      </c>
      <c r="AM404" s="295">
        <f>'CAR Passenger Kilometres'!G404*'CAR Stock'!G454</f>
        <v>0</v>
      </c>
      <c r="AN404" s="295">
        <f>'CAR Passenger Kilometres'!H404*'CAR Stock'!H454</f>
        <v>0</v>
      </c>
      <c r="AO404" s="295">
        <f>'CAR Passenger Kilometres'!I404*'CAR Stock'!I454</f>
        <v>0</v>
      </c>
      <c r="AP404" s="295">
        <f>'CAR Passenger Kilometres'!J404*'CAR Stock'!J454</f>
        <v>0</v>
      </c>
      <c r="AQ404" s="295">
        <f>'CAR Passenger Kilometres'!K404*'CAR Stock'!K454</f>
        <v>0</v>
      </c>
      <c r="AR404" s="295">
        <f>'CAR Passenger Kilometres'!L404*'CAR Stock'!L454</f>
        <v>0</v>
      </c>
      <c r="AS404" s="295">
        <f>'CAR Passenger Kilometres'!M404*'CAR Stock'!M454</f>
        <v>1.1706690778050266E-4</v>
      </c>
      <c r="AT404" s="295">
        <f>'CAR Passenger Kilometres'!N404*'CAR Stock'!N454</f>
        <v>1.9013062786514068E-5</v>
      </c>
      <c r="AU404" s="295">
        <f>'CAR Passenger Kilometres'!O404*'CAR Stock'!O454</f>
        <v>3.1179828636538218E-5</v>
      </c>
      <c r="AV404" s="295">
        <f>'CAR Passenger Kilometres'!P404*'CAR Stock'!P454</f>
        <v>1.9241111981448749E-5</v>
      </c>
      <c r="AW404" s="295">
        <f>'CAR Passenger Kilometres'!Q404*'CAR Stock'!Q454</f>
        <v>2.2963904818721721E-5</v>
      </c>
      <c r="AX404" s="295">
        <f>'CAR Passenger Kilometres'!R404*'CAR Stock'!R454</f>
        <v>4.0299369701758778E-5</v>
      </c>
      <c r="AY404" s="295">
        <f>'CAR Passenger Kilometres'!S404*'CAR Stock'!S454</f>
        <v>3.0129834408668062E-4</v>
      </c>
      <c r="AZ404" s="295">
        <f>'CAR Passenger Kilometres'!T404*'CAR Stock'!T454</f>
        <v>3.7897011253976799E-4</v>
      </c>
      <c r="BA404" s="295">
        <f>'CAR Passenger Kilometres'!U404*'CAR Stock'!U454</f>
        <v>4.419443745641805E-4</v>
      </c>
      <c r="BB404" s="295">
        <f>'CAR Passenger Kilometres'!V404*'CAR Stock'!V454</f>
        <v>7.9842367923808682E-4</v>
      </c>
      <c r="BC404" s="295">
        <f>'CAR Passenger Kilometres'!W404*'CAR Stock'!W454</f>
        <v>1.3168368005461962E-3</v>
      </c>
      <c r="BD404" s="295">
        <f>'CAR Passenger Kilometres'!X404*'CAR Stock'!X454</f>
        <v>4.7230696518309358E-4</v>
      </c>
      <c r="BE404" s="295">
        <f>'CAR Passenger Kilometres'!Y404*'CAR Stock'!Y454</f>
        <v>2.5077250770435687E-4</v>
      </c>
      <c r="BF404" s="295">
        <f>'CAR Passenger Kilometres'!Z404*'CAR Stock'!Z454</f>
        <v>9.4461393036618729E-5</v>
      </c>
      <c r="BG404" s="295">
        <f>'CAR Passenger Kilometres'!AA404*'CAR Stock'!AA454</f>
        <v>5.5102479271360936E-5</v>
      </c>
      <c r="BH404" s="295">
        <f>'CAR Passenger Kilometres'!AB404*'CAR Stock'!AB454</f>
        <v>0</v>
      </c>
      <c r="BI404" s="295">
        <f>'CAR Passenger Kilometres'!AC404*'CAR Stock'!AC454</f>
        <v>0</v>
      </c>
      <c r="BJ404" s="295">
        <f>'CAR Passenger Kilometres'!AD404*'CAR Stock'!AD454</f>
        <v>0</v>
      </c>
      <c r="BK404" s="296">
        <f>'CAR Passenger Kilometres'!AE404*'CAR Stock'!AE454</f>
        <v>0</v>
      </c>
    </row>
    <row r="405" spans="1:63" ht="15.75" thickBot="1">
      <c r="A405" s="1711"/>
      <c r="B405" s="116">
        <v>25</v>
      </c>
      <c r="C405" s="297">
        <f>'CAR Mileage'!C426*CAR!$I$58</f>
        <v>18545.87802169412</v>
      </c>
      <c r="D405" s="298">
        <f>'CAR Mileage'!D426*CAR!$I$58</f>
        <v>18545.87802169412</v>
      </c>
      <c r="E405" s="298">
        <f>'CAR Mileage'!E426*CAR!$I$58</f>
        <v>18545.87802169412</v>
      </c>
      <c r="F405" s="298">
        <f>'CAR Mileage'!F426*CAR!$I$58</f>
        <v>18545.87802169412</v>
      </c>
      <c r="G405" s="298">
        <f>'CAR Mileage'!G426*CAR!$I$58</f>
        <v>18545.87802169412</v>
      </c>
      <c r="H405" s="298">
        <f>'CAR Mileage'!H426*CAR!$I$58</f>
        <v>18545.87802169412</v>
      </c>
      <c r="I405" s="298">
        <f>'CAR Mileage'!I426*CAR!$I$58</f>
        <v>18545.87802169412</v>
      </c>
      <c r="J405" s="298">
        <f>'CAR Mileage'!J426*CAR!$I$58</f>
        <v>18545.87802169412</v>
      </c>
      <c r="K405" s="298">
        <f>'CAR Mileage'!K426*CAR!$I$58</f>
        <v>18545.87802169412</v>
      </c>
      <c r="L405" s="298">
        <f>'CAR Mileage'!L426*CAR!$I$58</f>
        <v>18545.87802169412</v>
      </c>
      <c r="M405" s="298">
        <f>'CAR Mileage'!M426*CAR!$I$58</f>
        <v>18545.87802169412</v>
      </c>
      <c r="N405" s="298">
        <f>'CAR Mileage'!N426*CAR!$I$58</f>
        <v>18545.87802169412</v>
      </c>
      <c r="O405" s="298">
        <f>'CAR Mileage'!O426*CAR!$I$58</f>
        <v>18545.87802169412</v>
      </c>
      <c r="P405" s="298">
        <f>'CAR Mileage'!P426*CAR!$I$58</f>
        <v>18545.87802169412</v>
      </c>
      <c r="Q405" s="298">
        <f>'CAR Mileage'!Q426*CAR!$I$58</f>
        <v>18545.87802169412</v>
      </c>
      <c r="R405" s="298">
        <f>'CAR Mileage'!R426*CAR!$I$58</f>
        <v>18545.87802169412</v>
      </c>
      <c r="S405" s="298">
        <f>'CAR Mileage'!S426*CAR!$I$58</f>
        <v>18545.87802169412</v>
      </c>
      <c r="T405" s="298">
        <f>'CAR Mileage'!T426*CAR!$I$58</f>
        <v>18545.87802169412</v>
      </c>
      <c r="U405" s="298">
        <f>'CAR Mileage'!U426*CAR!$I$58</f>
        <v>18545.87802169412</v>
      </c>
      <c r="V405" s="298">
        <f>'CAR Mileage'!V426*CAR!$I$58</f>
        <v>18545.87802169412</v>
      </c>
      <c r="W405" s="298">
        <f>'CAR Mileage'!W426*CAR!$I$58</f>
        <v>18545.87802169412</v>
      </c>
      <c r="X405" s="298">
        <f>'CAR Mileage'!X426*CAR!$I$58</f>
        <v>18545.87802169412</v>
      </c>
      <c r="Y405" s="298">
        <f>'CAR Mileage'!Y426*CAR!$I$58</f>
        <v>18545.87802169412</v>
      </c>
      <c r="Z405" s="298">
        <f>'CAR Mileage'!Z426*CAR!$I$58</f>
        <v>18545.87802169412</v>
      </c>
      <c r="AA405" s="298">
        <f>'CAR Mileage'!AA426*CAR!$I$58</f>
        <v>18545.87802169412</v>
      </c>
      <c r="AB405" s="298">
        <f>'CAR Mileage'!AB426*CAR!$I$58</f>
        <v>18545.87802169412</v>
      </c>
      <c r="AC405" s="298">
        <f>'CAR Mileage'!AC426*CAR!$I$58</f>
        <v>18545.87802169412</v>
      </c>
      <c r="AD405" s="298">
        <f>'CAR Mileage'!AD426*CAR!$I$58</f>
        <v>18545.87802169412</v>
      </c>
      <c r="AE405" s="299">
        <f>'CAR Mileage'!AE426*CAR!$I$58</f>
        <v>18545.87802169412</v>
      </c>
      <c r="AG405" s="1711"/>
      <c r="AH405" s="116">
        <v>25</v>
      </c>
      <c r="AI405" s="297">
        <f>'CAR Passenger Kilometres'!C405*'CAR Stock'!C455</f>
        <v>0</v>
      </c>
      <c r="AJ405" s="298">
        <f>'CAR Passenger Kilometres'!D405*'CAR Stock'!D455</f>
        <v>0</v>
      </c>
      <c r="AK405" s="298">
        <f>'CAR Passenger Kilometres'!E405*'CAR Stock'!E455</f>
        <v>0</v>
      </c>
      <c r="AL405" s="298">
        <f>'CAR Passenger Kilometres'!F405*'CAR Stock'!F455</f>
        <v>0</v>
      </c>
      <c r="AM405" s="298">
        <f>'CAR Passenger Kilometres'!G405*'CAR Stock'!G455</f>
        <v>0</v>
      </c>
      <c r="AN405" s="298">
        <f>'CAR Passenger Kilometres'!H405*'CAR Stock'!H455</f>
        <v>0</v>
      </c>
      <c r="AO405" s="298">
        <f>'CAR Passenger Kilometres'!I405*'CAR Stock'!I455</f>
        <v>0</v>
      </c>
      <c r="AP405" s="298">
        <f>'CAR Passenger Kilometres'!J405*'CAR Stock'!J455</f>
        <v>0</v>
      </c>
      <c r="AQ405" s="298">
        <f>'CAR Passenger Kilometres'!K405*'CAR Stock'!K455</f>
        <v>0</v>
      </c>
      <c r="AR405" s="298">
        <f>'CAR Passenger Kilometres'!L405*'CAR Stock'!L455</f>
        <v>0</v>
      </c>
      <c r="AS405" s="298">
        <f>'CAR Passenger Kilometres'!M405*'CAR Stock'!M455</f>
        <v>0</v>
      </c>
      <c r="AT405" s="298">
        <f>'CAR Passenger Kilometres'!N405*'CAR Stock'!N455</f>
        <v>0</v>
      </c>
      <c r="AU405" s="298">
        <f>'CAR Passenger Kilometres'!O405*'CAR Stock'!O455</f>
        <v>0</v>
      </c>
      <c r="AV405" s="298">
        <f>'CAR Passenger Kilometres'!P405*'CAR Stock'!P455</f>
        <v>0</v>
      </c>
      <c r="AW405" s="298">
        <f>'CAR Passenger Kilometres'!Q405*'CAR Stock'!Q455</f>
        <v>0</v>
      </c>
      <c r="AX405" s="298">
        <f>'CAR Passenger Kilometres'!R405*'CAR Stock'!R455</f>
        <v>0</v>
      </c>
      <c r="AY405" s="298">
        <f>'CAR Passenger Kilometres'!S405*'CAR Stock'!S455</f>
        <v>0</v>
      </c>
      <c r="AZ405" s="298">
        <f>'CAR Passenger Kilometres'!T405*'CAR Stock'!T455</f>
        <v>0</v>
      </c>
      <c r="BA405" s="298">
        <f>'CAR Passenger Kilometres'!U405*'CAR Stock'!U455</f>
        <v>0</v>
      </c>
      <c r="BB405" s="298">
        <f>'CAR Passenger Kilometres'!V405*'CAR Stock'!V455</f>
        <v>0</v>
      </c>
      <c r="BC405" s="298">
        <f>'CAR Passenger Kilometres'!W405*'CAR Stock'!W455</f>
        <v>0</v>
      </c>
      <c r="BD405" s="298">
        <f>'CAR Passenger Kilometres'!X405*'CAR Stock'!X455</f>
        <v>0</v>
      </c>
      <c r="BE405" s="298">
        <f>'CAR Passenger Kilometres'!Y405*'CAR Stock'!Y455</f>
        <v>0</v>
      </c>
      <c r="BF405" s="298">
        <f>'CAR Passenger Kilometres'!Z405*'CAR Stock'!Z455</f>
        <v>0</v>
      </c>
      <c r="BG405" s="298">
        <f>'CAR Passenger Kilometres'!AA405*'CAR Stock'!AA455</f>
        <v>0</v>
      </c>
      <c r="BH405" s="298">
        <f>'CAR Passenger Kilometres'!AB405*'CAR Stock'!AB455</f>
        <v>0</v>
      </c>
      <c r="BI405" s="298">
        <f>'CAR Passenger Kilometres'!AC405*'CAR Stock'!AC455</f>
        <v>0</v>
      </c>
      <c r="BJ405" s="298">
        <f>'CAR Passenger Kilometres'!AD405*'CAR Stock'!AD455</f>
        <v>0</v>
      </c>
      <c r="BK405" s="299">
        <f>'CAR Passenger Kilometres'!AE405*'CAR Stock'!AE455</f>
        <v>0</v>
      </c>
    </row>
    <row r="406" spans="1:63" ht="16.5" thickTop="1" thickBot="1">
      <c r="A406" s="1712"/>
      <c r="B406" s="300" t="s">
        <v>39</v>
      </c>
      <c r="C406" s="301">
        <f>'CAR Mileage'!C427*CAR!$I$58</f>
        <v>23301.048225746137</v>
      </c>
      <c r="D406" s="301">
        <f>'CAR Mileage'!D427*CAR!$I$58</f>
        <v>22862.74337388092</v>
      </c>
      <c r="E406" s="301">
        <f>'CAR Mileage'!E427*CAR!$I$58</f>
        <v>22441.776534047076</v>
      </c>
      <c r="F406" s="301">
        <f>'CAR Mileage'!F427*CAR!$I$58</f>
        <v>22045.378447904845</v>
      </c>
      <c r="G406" s="301">
        <f>'CAR Mileage'!G427*CAR!$I$58</f>
        <v>21675.899773078007</v>
      </c>
      <c r="H406" s="301">
        <f>'CAR Mileage'!H427*CAR!$I$58</f>
        <v>21330.11721111579</v>
      </c>
      <c r="I406" s="301">
        <f>'CAR Mileage'!I427*CAR!$I$58</f>
        <v>21003.64853471941</v>
      </c>
      <c r="J406" s="301">
        <f>'CAR Mileage'!J427*CAR!$I$58</f>
        <v>20696.055811443177</v>
      </c>
      <c r="K406" s="301">
        <f>'CAR Mileage'!K427*CAR!$I$58</f>
        <v>20411.233123024573</v>
      </c>
      <c r="L406" s="301">
        <f>'CAR Mileage'!L427*CAR!$I$58</f>
        <v>20155.066700640858</v>
      </c>
      <c r="M406" s="301">
        <f>'CAR Mileage'!M427*CAR!$I$58</f>
        <v>19929.5613386898</v>
      </c>
      <c r="N406" s="301">
        <f>'CAR Mileage'!N427*CAR!$I$58</f>
        <v>19725.06558395044</v>
      </c>
      <c r="O406" s="301">
        <f>'CAR Mileage'!O427*CAR!$I$58</f>
        <v>19509.36260943134</v>
      </c>
      <c r="P406" s="301">
        <f>'CAR Mileage'!P427*CAR!$I$58</f>
        <v>19280.321233407594</v>
      </c>
      <c r="Q406" s="301">
        <f>'CAR Mileage'!Q427*CAR!$I$58</f>
        <v>19020.639095501498</v>
      </c>
      <c r="R406" s="301">
        <f>'CAR Mileage'!R427*CAR!$I$58</f>
        <v>18755.268679813493</v>
      </c>
      <c r="S406" s="301">
        <f>'CAR Mileage'!S427*CAR!$I$58</f>
        <v>18545.878021694123</v>
      </c>
      <c r="T406" s="301">
        <f>'CAR Mileage'!T427*CAR!$I$58</f>
        <v>18545.878021694123</v>
      </c>
      <c r="U406" s="301">
        <f>'CAR Mileage'!U427*CAR!$I$58</f>
        <v>18545.878021694123</v>
      </c>
      <c r="V406" s="301">
        <f>'CAR Mileage'!V427*CAR!$I$58</f>
        <v>18545.878021694112</v>
      </c>
      <c r="W406" s="301">
        <f>'CAR Mileage'!W427*CAR!$I$58</f>
        <v>18545.878021694112</v>
      </c>
      <c r="X406" s="301">
        <f>'CAR Mileage'!X427*CAR!$I$58</f>
        <v>18545.878021694123</v>
      </c>
      <c r="Y406" s="301">
        <f>'CAR Mileage'!Y427*CAR!$I$58</f>
        <v>18545.878021694123</v>
      </c>
      <c r="Z406" s="301">
        <f>'CAR Mileage'!Z427*CAR!$I$58</f>
        <v>18545.87802169412</v>
      </c>
      <c r="AA406" s="301">
        <f>'CAR Mileage'!AA427*CAR!$I$58</f>
        <v>18545.87802169412</v>
      </c>
      <c r="AB406" s="301">
        <f>'CAR Mileage'!AB427*CAR!$I$58</f>
        <v>0</v>
      </c>
      <c r="AC406" s="301">
        <f>'CAR Mileage'!AC427*CAR!$I$58</f>
        <v>0</v>
      </c>
      <c r="AD406" s="301">
        <f>'CAR Mileage'!AD427*CAR!$I$58</f>
        <v>0</v>
      </c>
      <c r="AE406" s="302">
        <f>'CAR Mileage'!AE427*CAR!$I$58</f>
        <v>0</v>
      </c>
      <c r="AG406" s="1712"/>
      <c r="AH406" s="300" t="s">
        <v>39</v>
      </c>
      <c r="AI406" s="301">
        <f t="shared" ref="AI406:BK406" si="16">SUM(AI380:AI405)</f>
        <v>86912909.88203308</v>
      </c>
      <c r="AJ406" s="301">
        <f t="shared" si="16"/>
        <v>84202294.040972382</v>
      </c>
      <c r="AK406" s="301">
        <f t="shared" si="16"/>
        <v>80756523.653485149</v>
      </c>
      <c r="AL406" s="301">
        <f t="shared" si="16"/>
        <v>76001696.338469267</v>
      </c>
      <c r="AM406" s="301">
        <f t="shared" si="16"/>
        <v>69218855.02973856</v>
      </c>
      <c r="AN406" s="301">
        <f t="shared" si="16"/>
        <v>59855067.627207354</v>
      </c>
      <c r="AO406" s="301">
        <f t="shared" si="16"/>
        <v>48146199.688552767</v>
      </c>
      <c r="AP406" s="301">
        <f t="shared" si="16"/>
        <v>35270067.2503132</v>
      </c>
      <c r="AQ406" s="301">
        <f t="shared" si="16"/>
        <v>23025304.822460655</v>
      </c>
      <c r="AR406" s="301">
        <f t="shared" si="16"/>
        <v>13249131.791011397</v>
      </c>
      <c r="AS406" s="301">
        <f t="shared" si="16"/>
        <v>6706410.706639667</v>
      </c>
      <c r="AT406" s="301">
        <f t="shared" si="16"/>
        <v>3000771.919327796</v>
      </c>
      <c r="AU406" s="301">
        <f t="shared" si="16"/>
        <v>1200029.5860494296</v>
      </c>
      <c r="AV406" s="301">
        <f t="shared" si="16"/>
        <v>418863.47234517086</v>
      </c>
      <c r="AW406" s="301">
        <f t="shared" si="16"/>
        <v>124506.9970300095</v>
      </c>
      <c r="AX406" s="301">
        <f t="shared" si="16"/>
        <v>30731.581300472677</v>
      </c>
      <c r="AY406" s="301">
        <f t="shared" si="16"/>
        <v>6888.7553956168613</v>
      </c>
      <c r="AZ406" s="301">
        <f t="shared" si="16"/>
        <v>1396.7439748793756</v>
      </c>
      <c r="BA406" s="301">
        <f t="shared" si="16"/>
        <v>249.30989004268869</v>
      </c>
      <c r="BB406" s="301">
        <f t="shared" si="16"/>
        <v>38.365972200499478</v>
      </c>
      <c r="BC406" s="301">
        <f t="shared" si="16"/>
        <v>4.9471975468478071</v>
      </c>
      <c r="BD406" s="301">
        <f t="shared" si="16"/>
        <v>0.51296681023240631</v>
      </c>
      <c r="BE406" s="301">
        <f t="shared" si="16"/>
        <v>4.0082025084408682E-2</v>
      </c>
      <c r="BF406" s="301">
        <f t="shared" si="16"/>
        <v>2.0972659568339914E-3</v>
      </c>
      <c r="BG406" s="301">
        <f t="shared" si="16"/>
        <v>5.5102479271360936E-5</v>
      </c>
      <c r="BH406" s="301">
        <f t="shared" si="16"/>
        <v>0</v>
      </c>
      <c r="BI406" s="301">
        <f t="shared" si="16"/>
        <v>0</v>
      </c>
      <c r="BJ406" s="301">
        <f t="shared" si="16"/>
        <v>0</v>
      </c>
      <c r="BK406" s="302">
        <f t="shared" si="16"/>
        <v>0</v>
      </c>
    </row>
    <row r="407" spans="1:63" ht="15.75" thickBot="1">
      <c r="AI407">
        <f>AI291</f>
        <v>0</v>
      </c>
    </row>
    <row r="408" spans="1:63" ht="15.75" thickBot="1">
      <c r="A408" s="1710" t="s">
        <v>55</v>
      </c>
      <c r="B408" s="169" t="s">
        <v>10</v>
      </c>
      <c r="C408" s="288">
        <f t="shared" si="15"/>
        <v>2012</v>
      </c>
      <c r="D408" s="289">
        <v>2013</v>
      </c>
      <c r="E408" s="289">
        <v>2014</v>
      </c>
      <c r="F408" s="289">
        <v>2015</v>
      </c>
      <c r="G408" s="288">
        <v>2016</v>
      </c>
      <c r="H408" s="289">
        <v>2017</v>
      </c>
      <c r="I408" s="289">
        <v>2018</v>
      </c>
      <c r="J408" s="289">
        <v>2019</v>
      </c>
      <c r="K408" s="288">
        <v>2020</v>
      </c>
      <c r="L408" s="289">
        <v>2021</v>
      </c>
      <c r="M408" s="289">
        <v>2022</v>
      </c>
      <c r="N408" s="289">
        <v>2023</v>
      </c>
      <c r="O408" s="288">
        <v>2024</v>
      </c>
      <c r="P408" s="289">
        <v>2025</v>
      </c>
      <c r="Q408" s="289">
        <v>2026</v>
      </c>
      <c r="R408" s="289">
        <v>2027</v>
      </c>
      <c r="S408" s="288">
        <v>2028</v>
      </c>
      <c r="T408" s="289">
        <v>2029</v>
      </c>
      <c r="U408" s="289">
        <v>2030</v>
      </c>
      <c r="V408" s="289">
        <v>2031</v>
      </c>
      <c r="W408" s="288">
        <v>2032</v>
      </c>
      <c r="X408" s="289">
        <v>2033</v>
      </c>
      <c r="Y408" s="289">
        <v>2034</v>
      </c>
      <c r="Z408" s="289">
        <v>2035</v>
      </c>
      <c r="AA408" s="288">
        <v>2036</v>
      </c>
      <c r="AB408" s="289">
        <v>2037</v>
      </c>
      <c r="AC408" s="289">
        <v>2038</v>
      </c>
      <c r="AD408" s="289">
        <v>2039</v>
      </c>
      <c r="AE408" s="290">
        <v>2040</v>
      </c>
      <c r="AG408" s="1710" t="s">
        <v>55</v>
      </c>
      <c r="AH408" s="169" t="s">
        <v>10</v>
      </c>
      <c r="AI408" s="288">
        <f>AI292</f>
        <v>2012</v>
      </c>
      <c r="AJ408" s="289">
        <v>2013</v>
      </c>
      <c r="AK408" s="289">
        <v>2014</v>
      </c>
      <c r="AL408" s="289">
        <v>2015</v>
      </c>
      <c r="AM408" s="288">
        <v>2016</v>
      </c>
      <c r="AN408" s="289">
        <v>2017</v>
      </c>
      <c r="AO408" s="289">
        <v>2018</v>
      </c>
      <c r="AP408" s="289">
        <v>2019</v>
      </c>
      <c r="AQ408" s="288">
        <v>2020</v>
      </c>
      <c r="AR408" s="289">
        <v>2021</v>
      </c>
      <c r="AS408" s="289">
        <v>2022</v>
      </c>
      <c r="AT408" s="289">
        <v>2023</v>
      </c>
      <c r="AU408" s="288">
        <v>2024</v>
      </c>
      <c r="AV408" s="289">
        <v>2025</v>
      </c>
      <c r="AW408" s="289">
        <v>2026</v>
      </c>
      <c r="AX408" s="289">
        <v>2027</v>
      </c>
      <c r="AY408" s="288">
        <v>2028</v>
      </c>
      <c r="AZ408" s="289">
        <v>2029</v>
      </c>
      <c r="BA408" s="289">
        <v>2030</v>
      </c>
      <c r="BB408" s="289">
        <v>2031</v>
      </c>
      <c r="BC408" s="288">
        <v>2032</v>
      </c>
      <c r="BD408" s="289">
        <v>2033</v>
      </c>
      <c r="BE408" s="289">
        <v>2034</v>
      </c>
      <c r="BF408" s="289">
        <v>2035</v>
      </c>
      <c r="BG408" s="288">
        <v>2036</v>
      </c>
      <c r="BH408" s="289">
        <v>2037</v>
      </c>
      <c r="BI408" s="289">
        <v>2038</v>
      </c>
      <c r="BJ408" s="289">
        <v>2039</v>
      </c>
      <c r="BK408" s="290">
        <v>2040</v>
      </c>
    </row>
    <row r="409" spans="1:63">
      <c r="A409" s="1711"/>
      <c r="B409" s="116">
        <v>0</v>
      </c>
      <c r="C409" s="291">
        <f>'CAR Mileage'!C430*CAR!$I$58</f>
        <v>29046.121820436518</v>
      </c>
      <c r="D409" s="292">
        <f>'CAR Mileage'!D430*CAR!$I$58</f>
        <v>29046.121820436518</v>
      </c>
      <c r="E409" s="292">
        <f>'CAR Mileage'!E430*CAR!$I$58</f>
        <v>29046.121820436518</v>
      </c>
      <c r="F409" s="292">
        <f>'CAR Mileage'!F430*CAR!$I$58</f>
        <v>29046.121820436518</v>
      </c>
      <c r="G409" s="292">
        <f>'CAR Mileage'!G430*CAR!$I$58</f>
        <v>29046.121820436518</v>
      </c>
      <c r="H409" s="292">
        <f>'CAR Mileage'!H430*CAR!$I$58</f>
        <v>29046.121820436518</v>
      </c>
      <c r="I409" s="292">
        <f>'CAR Mileage'!I430*CAR!$I$58</f>
        <v>29046.121820436518</v>
      </c>
      <c r="J409" s="292">
        <f>'CAR Mileage'!J430*CAR!$I$58</f>
        <v>29046.121820436518</v>
      </c>
      <c r="K409" s="292">
        <f>'CAR Mileage'!K430*CAR!$I$58</f>
        <v>29046.121820436518</v>
      </c>
      <c r="L409" s="292">
        <f>'CAR Mileage'!L430*CAR!$I$58</f>
        <v>29046.121820436518</v>
      </c>
      <c r="M409" s="292">
        <f>'CAR Mileage'!M430*CAR!$I$58</f>
        <v>29046.121820436518</v>
      </c>
      <c r="N409" s="292">
        <f>'CAR Mileage'!N430*CAR!$I$58</f>
        <v>29046.121820436518</v>
      </c>
      <c r="O409" s="292">
        <f>'CAR Mileage'!O430*CAR!$I$58</f>
        <v>29046.121820436518</v>
      </c>
      <c r="P409" s="292">
        <f>'CAR Mileage'!P430*CAR!$I$58</f>
        <v>29046.121820436518</v>
      </c>
      <c r="Q409" s="292">
        <f>'CAR Mileage'!Q430*CAR!$I$58</f>
        <v>29046.121820436518</v>
      </c>
      <c r="R409" s="292">
        <f>'CAR Mileage'!R430*CAR!$I$58</f>
        <v>29046.121820436518</v>
      </c>
      <c r="S409" s="292">
        <f>'CAR Mileage'!S430*CAR!$I$58</f>
        <v>29046.121820436518</v>
      </c>
      <c r="T409" s="292">
        <f>'CAR Mileage'!T430*CAR!$I$58</f>
        <v>29046.121820436518</v>
      </c>
      <c r="U409" s="292">
        <f>'CAR Mileage'!U430*CAR!$I$58</f>
        <v>29046.121820436518</v>
      </c>
      <c r="V409" s="292">
        <f>'CAR Mileage'!V430*CAR!$I$58</f>
        <v>29046.121820436518</v>
      </c>
      <c r="W409" s="292">
        <f>'CAR Mileage'!W430*CAR!$I$58</f>
        <v>29046.121820436518</v>
      </c>
      <c r="X409" s="292">
        <f>'CAR Mileage'!X430*CAR!$I$58</f>
        <v>29046.121820436518</v>
      </c>
      <c r="Y409" s="292">
        <f>'CAR Mileage'!Y430*CAR!$I$58</f>
        <v>29046.121820436518</v>
      </c>
      <c r="Z409" s="292">
        <f>'CAR Mileage'!Z430*CAR!$I$58</f>
        <v>29046.121820436518</v>
      </c>
      <c r="AA409" s="292">
        <f>'CAR Mileage'!AA430*CAR!$I$58</f>
        <v>29046.121820436518</v>
      </c>
      <c r="AB409" s="292">
        <f>'CAR Mileage'!AB430*CAR!$I$58</f>
        <v>29046.121820436518</v>
      </c>
      <c r="AC409" s="292">
        <f>'CAR Mileage'!AC430*CAR!$I$58</f>
        <v>29046.121820436518</v>
      </c>
      <c r="AD409" s="292">
        <f>'CAR Mileage'!AD430*CAR!$I$58</f>
        <v>29046.121820436518</v>
      </c>
      <c r="AE409" s="293">
        <f>'CAR Mileage'!AE430*CAR!$I$58</f>
        <v>29046.121820436518</v>
      </c>
      <c r="AG409" s="1711"/>
      <c r="AH409" s="116">
        <v>0</v>
      </c>
      <c r="AI409" s="291">
        <f>'CAR Passenger Kilometres'!C409*'CAR Stock'!C459</f>
        <v>12954570.331914688</v>
      </c>
      <c r="AJ409" s="292">
        <f>'CAR Passenger Kilometres'!D409*'CAR Stock'!D459</f>
        <v>0</v>
      </c>
      <c r="AK409" s="292">
        <f>'CAR Passenger Kilometres'!E409*'CAR Stock'!E459</f>
        <v>0</v>
      </c>
      <c r="AL409" s="292">
        <f>'CAR Passenger Kilometres'!F409*'CAR Stock'!F459</f>
        <v>0</v>
      </c>
      <c r="AM409" s="292">
        <f>'CAR Passenger Kilometres'!G409*'CAR Stock'!G459</f>
        <v>0</v>
      </c>
      <c r="AN409" s="292">
        <f>'CAR Passenger Kilometres'!H409*'CAR Stock'!H459</f>
        <v>0</v>
      </c>
      <c r="AO409" s="292">
        <f>'CAR Passenger Kilometres'!I409*'CAR Stock'!I459</f>
        <v>0</v>
      </c>
      <c r="AP409" s="292">
        <f>'CAR Passenger Kilometres'!J409*'CAR Stock'!J459</f>
        <v>0</v>
      </c>
      <c r="AQ409" s="292">
        <f>'CAR Passenger Kilometres'!K409*'CAR Stock'!K459</f>
        <v>0</v>
      </c>
      <c r="AR409" s="292">
        <f>'CAR Passenger Kilometres'!L409*'CAR Stock'!L459</f>
        <v>0</v>
      </c>
      <c r="AS409" s="292">
        <f>'CAR Passenger Kilometres'!M409*'CAR Stock'!M459</f>
        <v>0</v>
      </c>
      <c r="AT409" s="292">
        <f>'CAR Passenger Kilometres'!N409*'CAR Stock'!N459</f>
        <v>0</v>
      </c>
      <c r="AU409" s="292">
        <f>'CAR Passenger Kilometres'!O409*'CAR Stock'!O459</f>
        <v>0</v>
      </c>
      <c r="AV409" s="292">
        <f>'CAR Passenger Kilometres'!P409*'CAR Stock'!P459</f>
        <v>0</v>
      </c>
      <c r="AW409" s="292">
        <f>'CAR Passenger Kilometres'!Q409*'CAR Stock'!Q459</f>
        <v>0</v>
      </c>
      <c r="AX409" s="292">
        <f>'CAR Passenger Kilometres'!R409*'CAR Stock'!R459</f>
        <v>0</v>
      </c>
      <c r="AY409" s="292">
        <f>'CAR Passenger Kilometres'!S409*'CAR Stock'!S459</f>
        <v>0</v>
      </c>
      <c r="AZ409" s="292">
        <f>'CAR Passenger Kilometres'!T409*'CAR Stock'!T459</f>
        <v>0</v>
      </c>
      <c r="BA409" s="292">
        <f>'CAR Passenger Kilometres'!U409*'CAR Stock'!U459</f>
        <v>0</v>
      </c>
      <c r="BB409" s="292">
        <f>'CAR Passenger Kilometres'!V409*'CAR Stock'!V459</f>
        <v>0</v>
      </c>
      <c r="BC409" s="292">
        <f>'CAR Passenger Kilometres'!W409*'CAR Stock'!W459</f>
        <v>0</v>
      </c>
      <c r="BD409" s="292">
        <f>'CAR Passenger Kilometres'!X409*'CAR Stock'!X459</f>
        <v>0</v>
      </c>
      <c r="BE409" s="292">
        <f>'CAR Passenger Kilometres'!Y409*'CAR Stock'!Y459</f>
        <v>0</v>
      </c>
      <c r="BF409" s="292">
        <f>'CAR Passenger Kilometres'!Z409*'CAR Stock'!Z459</f>
        <v>0</v>
      </c>
      <c r="BG409" s="292">
        <f>'CAR Passenger Kilometres'!AA409*'CAR Stock'!AA459</f>
        <v>0</v>
      </c>
      <c r="BH409" s="292">
        <f>'CAR Passenger Kilometres'!AB409*'CAR Stock'!AB459</f>
        <v>0</v>
      </c>
      <c r="BI409" s="292">
        <f>'CAR Passenger Kilometres'!AC409*'CAR Stock'!AC459</f>
        <v>0</v>
      </c>
      <c r="BJ409" s="292">
        <f>'CAR Passenger Kilometres'!AD409*'CAR Stock'!AD459</f>
        <v>0</v>
      </c>
      <c r="BK409" s="293">
        <f>'CAR Passenger Kilometres'!AE409*'CAR Stock'!AE459</f>
        <v>0</v>
      </c>
    </row>
    <row r="410" spans="1:63">
      <c r="A410" s="1711"/>
      <c r="B410" s="116">
        <v>1</v>
      </c>
      <c r="C410" s="294">
        <f>'CAR Mileage'!C431*CAR!$I$58</f>
        <v>28465.199384027786</v>
      </c>
      <c r="D410" s="295">
        <f>'CAR Mileage'!D431*CAR!$I$58</f>
        <v>28465.199384027786</v>
      </c>
      <c r="E410" s="295">
        <f>'CAR Mileage'!E431*CAR!$I$58</f>
        <v>28465.199384027786</v>
      </c>
      <c r="F410" s="295">
        <f>'CAR Mileage'!F431*CAR!$I$58</f>
        <v>28465.199384027786</v>
      </c>
      <c r="G410" s="295">
        <f>'CAR Mileage'!G431*CAR!$I$58</f>
        <v>28465.199384027786</v>
      </c>
      <c r="H410" s="295">
        <f>'CAR Mileage'!H431*CAR!$I$58</f>
        <v>28465.199384027786</v>
      </c>
      <c r="I410" s="295">
        <f>'CAR Mileage'!I431*CAR!$I$58</f>
        <v>28465.199384027786</v>
      </c>
      <c r="J410" s="295">
        <f>'CAR Mileage'!J431*CAR!$I$58</f>
        <v>28465.199384027786</v>
      </c>
      <c r="K410" s="295">
        <f>'CAR Mileage'!K431*CAR!$I$58</f>
        <v>28465.199384027786</v>
      </c>
      <c r="L410" s="295">
        <f>'CAR Mileage'!L431*CAR!$I$58</f>
        <v>28465.199384027786</v>
      </c>
      <c r="M410" s="295">
        <f>'CAR Mileage'!M431*CAR!$I$58</f>
        <v>28465.199384027786</v>
      </c>
      <c r="N410" s="295">
        <f>'CAR Mileage'!N431*CAR!$I$58</f>
        <v>28465.199384027786</v>
      </c>
      <c r="O410" s="295">
        <f>'CAR Mileage'!O431*CAR!$I$58</f>
        <v>28465.199384027786</v>
      </c>
      <c r="P410" s="295">
        <f>'CAR Mileage'!P431*CAR!$I$58</f>
        <v>28465.199384027786</v>
      </c>
      <c r="Q410" s="295">
        <f>'CAR Mileage'!Q431*CAR!$I$58</f>
        <v>28465.199384027786</v>
      </c>
      <c r="R410" s="295">
        <f>'CAR Mileage'!R431*CAR!$I$58</f>
        <v>28465.199384027786</v>
      </c>
      <c r="S410" s="295">
        <f>'CAR Mileage'!S431*CAR!$I$58</f>
        <v>28465.199384027786</v>
      </c>
      <c r="T410" s="295">
        <f>'CAR Mileage'!T431*CAR!$I$58</f>
        <v>28465.199384027786</v>
      </c>
      <c r="U410" s="295">
        <f>'CAR Mileage'!U431*CAR!$I$58</f>
        <v>28465.199384027786</v>
      </c>
      <c r="V410" s="295">
        <f>'CAR Mileage'!V431*CAR!$I$58</f>
        <v>28465.199384027786</v>
      </c>
      <c r="W410" s="295">
        <f>'CAR Mileage'!W431*CAR!$I$58</f>
        <v>28465.199384027786</v>
      </c>
      <c r="X410" s="295">
        <f>'CAR Mileage'!X431*CAR!$I$58</f>
        <v>28465.199384027786</v>
      </c>
      <c r="Y410" s="295">
        <f>'CAR Mileage'!Y431*CAR!$I$58</f>
        <v>28465.199384027786</v>
      </c>
      <c r="Z410" s="295">
        <f>'CAR Mileage'!Z431*CAR!$I$58</f>
        <v>28465.199384027786</v>
      </c>
      <c r="AA410" s="295">
        <f>'CAR Mileage'!AA431*CAR!$I$58</f>
        <v>28465.199384027786</v>
      </c>
      <c r="AB410" s="295">
        <f>'CAR Mileage'!AB431*CAR!$I$58</f>
        <v>28465.199384027786</v>
      </c>
      <c r="AC410" s="295">
        <f>'CAR Mileage'!AC431*CAR!$I$58</f>
        <v>28465.199384027786</v>
      </c>
      <c r="AD410" s="295">
        <f>'CAR Mileage'!AD431*CAR!$I$58</f>
        <v>28465.199384027786</v>
      </c>
      <c r="AE410" s="296">
        <f>'CAR Mileage'!AE431*CAR!$I$58</f>
        <v>28465.199384027786</v>
      </c>
      <c r="AG410" s="1711"/>
      <c r="AH410" s="116">
        <v>1</v>
      </c>
      <c r="AI410" s="294">
        <f>'CAR Passenger Kilometres'!C410*'CAR Stock'!C460</f>
        <v>9763563.3887215313</v>
      </c>
      <c r="AJ410" s="295">
        <f>'CAR Passenger Kilometres'!D410*'CAR Stock'!D460</f>
        <v>12695478.925276393</v>
      </c>
      <c r="AK410" s="295">
        <f>'CAR Passenger Kilometres'!E410*'CAR Stock'!E460</f>
        <v>0</v>
      </c>
      <c r="AL410" s="295">
        <f>'CAR Passenger Kilometres'!F410*'CAR Stock'!F460</f>
        <v>0</v>
      </c>
      <c r="AM410" s="295">
        <f>'CAR Passenger Kilometres'!G410*'CAR Stock'!G460</f>
        <v>0</v>
      </c>
      <c r="AN410" s="295">
        <f>'CAR Passenger Kilometres'!H410*'CAR Stock'!H460</f>
        <v>0</v>
      </c>
      <c r="AO410" s="295">
        <f>'CAR Passenger Kilometres'!I410*'CAR Stock'!I460</f>
        <v>0</v>
      </c>
      <c r="AP410" s="295">
        <f>'CAR Passenger Kilometres'!J410*'CAR Stock'!J460</f>
        <v>0</v>
      </c>
      <c r="AQ410" s="295">
        <f>'CAR Passenger Kilometres'!K410*'CAR Stock'!K460</f>
        <v>0</v>
      </c>
      <c r="AR410" s="295">
        <f>'CAR Passenger Kilometres'!L410*'CAR Stock'!L460</f>
        <v>0</v>
      </c>
      <c r="AS410" s="295">
        <f>'CAR Passenger Kilometres'!M410*'CAR Stock'!M460</f>
        <v>0</v>
      </c>
      <c r="AT410" s="295">
        <f>'CAR Passenger Kilometres'!N410*'CAR Stock'!N460</f>
        <v>0</v>
      </c>
      <c r="AU410" s="295">
        <f>'CAR Passenger Kilometres'!O410*'CAR Stock'!O460</f>
        <v>0</v>
      </c>
      <c r="AV410" s="295">
        <f>'CAR Passenger Kilometres'!P410*'CAR Stock'!P460</f>
        <v>0</v>
      </c>
      <c r="AW410" s="295">
        <f>'CAR Passenger Kilometres'!Q410*'CAR Stock'!Q460</f>
        <v>0</v>
      </c>
      <c r="AX410" s="295">
        <f>'CAR Passenger Kilometres'!R410*'CAR Stock'!R460</f>
        <v>0</v>
      </c>
      <c r="AY410" s="295">
        <f>'CAR Passenger Kilometres'!S410*'CAR Stock'!S460</f>
        <v>0</v>
      </c>
      <c r="AZ410" s="295">
        <f>'CAR Passenger Kilometres'!T410*'CAR Stock'!T460</f>
        <v>0</v>
      </c>
      <c r="BA410" s="295">
        <f>'CAR Passenger Kilometres'!U410*'CAR Stock'!U460</f>
        <v>0</v>
      </c>
      <c r="BB410" s="295">
        <f>'CAR Passenger Kilometres'!V410*'CAR Stock'!V460</f>
        <v>0</v>
      </c>
      <c r="BC410" s="295">
        <f>'CAR Passenger Kilometres'!W410*'CAR Stock'!W460</f>
        <v>0</v>
      </c>
      <c r="BD410" s="295">
        <f>'CAR Passenger Kilometres'!X410*'CAR Stock'!X460</f>
        <v>0</v>
      </c>
      <c r="BE410" s="295">
        <f>'CAR Passenger Kilometres'!Y410*'CAR Stock'!Y460</f>
        <v>0</v>
      </c>
      <c r="BF410" s="295">
        <f>'CAR Passenger Kilometres'!Z410*'CAR Stock'!Z460</f>
        <v>0</v>
      </c>
      <c r="BG410" s="295">
        <f>'CAR Passenger Kilometres'!AA410*'CAR Stock'!AA460</f>
        <v>0</v>
      </c>
      <c r="BH410" s="295">
        <f>'CAR Passenger Kilometres'!AB410*'CAR Stock'!AB460</f>
        <v>0</v>
      </c>
      <c r="BI410" s="295">
        <f>'CAR Passenger Kilometres'!AC410*'CAR Stock'!AC460</f>
        <v>0</v>
      </c>
      <c r="BJ410" s="295">
        <f>'CAR Passenger Kilometres'!AD410*'CAR Stock'!AD460</f>
        <v>0</v>
      </c>
      <c r="BK410" s="296">
        <f>'CAR Passenger Kilometres'!AE410*'CAR Stock'!AE460</f>
        <v>0</v>
      </c>
    </row>
    <row r="411" spans="1:63">
      <c r="A411" s="1711"/>
      <c r="B411" s="116">
        <v>2</v>
      </c>
      <c r="C411" s="294">
        <f>'CAR Mileage'!C432*CAR!$I$58</f>
        <v>27895.89539634723</v>
      </c>
      <c r="D411" s="295">
        <f>'CAR Mileage'!D432*CAR!$I$58</f>
        <v>27895.89539634723</v>
      </c>
      <c r="E411" s="295">
        <f>'CAR Mileage'!E432*CAR!$I$58</f>
        <v>27895.89539634723</v>
      </c>
      <c r="F411" s="295">
        <f>'CAR Mileage'!F432*CAR!$I$58</f>
        <v>27895.89539634723</v>
      </c>
      <c r="G411" s="295">
        <f>'CAR Mileage'!G432*CAR!$I$58</f>
        <v>27895.89539634723</v>
      </c>
      <c r="H411" s="295">
        <f>'CAR Mileage'!H432*CAR!$I$58</f>
        <v>27895.89539634723</v>
      </c>
      <c r="I411" s="295">
        <f>'CAR Mileage'!I432*CAR!$I$58</f>
        <v>27895.89539634723</v>
      </c>
      <c r="J411" s="295">
        <f>'CAR Mileage'!J432*CAR!$I$58</f>
        <v>27895.89539634723</v>
      </c>
      <c r="K411" s="295">
        <f>'CAR Mileage'!K432*CAR!$I$58</f>
        <v>27895.89539634723</v>
      </c>
      <c r="L411" s="295">
        <f>'CAR Mileage'!L432*CAR!$I$58</f>
        <v>27895.89539634723</v>
      </c>
      <c r="M411" s="295">
        <f>'CAR Mileage'!M432*CAR!$I$58</f>
        <v>27895.89539634723</v>
      </c>
      <c r="N411" s="295">
        <f>'CAR Mileage'!N432*CAR!$I$58</f>
        <v>27895.89539634723</v>
      </c>
      <c r="O411" s="295">
        <f>'CAR Mileage'!O432*CAR!$I$58</f>
        <v>27895.89539634723</v>
      </c>
      <c r="P411" s="295">
        <f>'CAR Mileage'!P432*CAR!$I$58</f>
        <v>27895.89539634723</v>
      </c>
      <c r="Q411" s="295">
        <f>'CAR Mileage'!Q432*CAR!$I$58</f>
        <v>27895.89539634723</v>
      </c>
      <c r="R411" s="295">
        <f>'CAR Mileage'!R432*CAR!$I$58</f>
        <v>27895.89539634723</v>
      </c>
      <c r="S411" s="295">
        <f>'CAR Mileage'!S432*CAR!$I$58</f>
        <v>27895.89539634723</v>
      </c>
      <c r="T411" s="295">
        <f>'CAR Mileage'!T432*CAR!$I$58</f>
        <v>27895.89539634723</v>
      </c>
      <c r="U411" s="295">
        <f>'CAR Mileage'!U432*CAR!$I$58</f>
        <v>27895.89539634723</v>
      </c>
      <c r="V411" s="295">
        <f>'CAR Mileage'!V432*CAR!$I$58</f>
        <v>27895.89539634723</v>
      </c>
      <c r="W411" s="295">
        <f>'CAR Mileage'!W432*CAR!$I$58</f>
        <v>27895.89539634723</v>
      </c>
      <c r="X411" s="295">
        <f>'CAR Mileage'!X432*CAR!$I$58</f>
        <v>27895.89539634723</v>
      </c>
      <c r="Y411" s="295">
        <f>'CAR Mileage'!Y432*CAR!$I$58</f>
        <v>27895.89539634723</v>
      </c>
      <c r="Z411" s="295">
        <f>'CAR Mileage'!Z432*CAR!$I$58</f>
        <v>27895.89539634723</v>
      </c>
      <c r="AA411" s="295">
        <f>'CAR Mileage'!AA432*CAR!$I$58</f>
        <v>27895.89539634723</v>
      </c>
      <c r="AB411" s="295">
        <f>'CAR Mileage'!AB432*CAR!$I$58</f>
        <v>27895.89539634723</v>
      </c>
      <c r="AC411" s="295">
        <f>'CAR Mileage'!AC432*CAR!$I$58</f>
        <v>27895.89539634723</v>
      </c>
      <c r="AD411" s="295">
        <f>'CAR Mileage'!AD432*CAR!$I$58</f>
        <v>27895.89539634723</v>
      </c>
      <c r="AE411" s="296">
        <f>'CAR Mileage'!AE432*CAR!$I$58</f>
        <v>27895.89539634723</v>
      </c>
      <c r="AG411" s="1711"/>
      <c r="AH411" s="116">
        <v>2</v>
      </c>
      <c r="AI411" s="294">
        <f>'CAR Passenger Kilometres'!C411*'CAR Stock'!C461</f>
        <v>11297837.635520628</v>
      </c>
      <c r="AJ411" s="295">
        <f>'CAR Passenger Kilometres'!D411*'CAR Stock'!D461</f>
        <v>9568292.1209471002</v>
      </c>
      <c r="AK411" s="295">
        <f>'CAR Passenger Kilometres'!E411*'CAR Stock'!E461</f>
        <v>12441569.346770864</v>
      </c>
      <c r="AL411" s="295">
        <f>'CAR Passenger Kilometres'!F411*'CAR Stock'!F461</f>
        <v>0</v>
      </c>
      <c r="AM411" s="295">
        <f>'CAR Passenger Kilometres'!G411*'CAR Stock'!G461</f>
        <v>0</v>
      </c>
      <c r="AN411" s="295">
        <f>'CAR Passenger Kilometres'!H411*'CAR Stock'!H461</f>
        <v>0</v>
      </c>
      <c r="AO411" s="295">
        <f>'CAR Passenger Kilometres'!I411*'CAR Stock'!I461</f>
        <v>0</v>
      </c>
      <c r="AP411" s="295">
        <f>'CAR Passenger Kilometres'!J411*'CAR Stock'!J461</f>
        <v>0</v>
      </c>
      <c r="AQ411" s="295">
        <f>'CAR Passenger Kilometres'!K411*'CAR Stock'!K461</f>
        <v>0</v>
      </c>
      <c r="AR411" s="295">
        <f>'CAR Passenger Kilometres'!L411*'CAR Stock'!L461</f>
        <v>0</v>
      </c>
      <c r="AS411" s="295">
        <f>'CAR Passenger Kilometres'!M411*'CAR Stock'!M461</f>
        <v>0</v>
      </c>
      <c r="AT411" s="295">
        <f>'CAR Passenger Kilometres'!N411*'CAR Stock'!N461</f>
        <v>0</v>
      </c>
      <c r="AU411" s="295">
        <f>'CAR Passenger Kilometres'!O411*'CAR Stock'!O461</f>
        <v>0</v>
      </c>
      <c r="AV411" s="295">
        <f>'CAR Passenger Kilometres'!P411*'CAR Stock'!P461</f>
        <v>0</v>
      </c>
      <c r="AW411" s="295">
        <f>'CAR Passenger Kilometres'!Q411*'CAR Stock'!Q461</f>
        <v>0</v>
      </c>
      <c r="AX411" s="295">
        <f>'CAR Passenger Kilometres'!R411*'CAR Stock'!R461</f>
        <v>0</v>
      </c>
      <c r="AY411" s="295">
        <f>'CAR Passenger Kilometres'!S411*'CAR Stock'!S461</f>
        <v>0</v>
      </c>
      <c r="AZ411" s="295">
        <f>'CAR Passenger Kilometres'!T411*'CAR Stock'!T461</f>
        <v>0</v>
      </c>
      <c r="BA411" s="295">
        <f>'CAR Passenger Kilometres'!U411*'CAR Stock'!U461</f>
        <v>0</v>
      </c>
      <c r="BB411" s="295">
        <f>'CAR Passenger Kilometres'!V411*'CAR Stock'!V461</f>
        <v>0</v>
      </c>
      <c r="BC411" s="295">
        <f>'CAR Passenger Kilometres'!W411*'CAR Stock'!W461</f>
        <v>0</v>
      </c>
      <c r="BD411" s="295">
        <f>'CAR Passenger Kilometres'!X411*'CAR Stock'!X461</f>
        <v>0</v>
      </c>
      <c r="BE411" s="295">
        <f>'CAR Passenger Kilometres'!Y411*'CAR Stock'!Y461</f>
        <v>0</v>
      </c>
      <c r="BF411" s="295">
        <f>'CAR Passenger Kilometres'!Z411*'CAR Stock'!Z461</f>
        <v>0</v>
      </c>
      <c r="BG411" s="295">
        <f>'CAR Passenger Kilometres'!AA411*'CAR Stock'!AA461</f>
        <v>0</v>
      </c>
      <c r="BH411" s="295">
        <f>'CAR Passenger Kilometres'!AB411*'CAR Stock'!AB461</f>
        <v>0</v>
      </c>
      <c r="BI411" s="295">
        <f>'CAR Passenger Kilometres'!AC411*'CAR Stock'!AC461</f>
        <v>0</v>
      </c>
      <c r="BJ411" s="295">
        <f>'CAR Passenger Kilometres'!AD411*'CAR Stock'!AD461</f>
        <v>0</v>
      </c>
      <c r="BK411" s="296">
        <f>'CAR Passenger Kilometres'!AE411*'CAR Stock'!AE461</f>
        <v>0</v>
      </c>
    </row>
    <row r="412" spans="1:63">
      <c r="A412" s="1711"/>
      <c r="B412" s="116">
        <v>3</v>
      </c>
      <c r="C412" s="294">
        <f>'CAR Mileage'!C433*CAR!$I$58</f>
        <v>27337.977488420285</v>
      </c>
      <c r="D412" s="295">
        <f>'CAR Mileage'!D433*CAR!$I$58</f>
        <v>27337.977488420285</v>
      </c>
      <c r="E412" s="295">
        <f>'CAR Mileage'!E433*CAR!$I$58</f>
        <v>27337.977488420285</v>
      </c>
      <c r="F412" s="295">
        <f>'CAR Mileage'!F433*CAR!$I$58</f>
        <v>27337.977488420285</v>
      </c>
      <c r="G412" s="295">
        <f>'CAR Mileage'!G433*CAR!$I$58</f>
        <v>27337.977488420285</v>
      </c>
      <c r="H412" s="295">
        <f>'CAR Mileage'!H433*CAR!$I$58</f>
        <v>27337.977488420285</v>
      </c>
      <c r="I412" s="295">
        <f>'CAR Mileage'!I433*CAR!$I$58</f>
        <v>27337.977488420285</v>
      </c>
      <c r="J412" s="295">
        <f>'CAR Mileage'!J433*CAR!$I$58</f>
        <v>27337.977488420285</v>
      </c>
      <c r="K412" s="295">
        <f>'CAR Mileage'!K433*CAR!$I$58</f>
        <v>27337.977488420285</v>
      </c>
      <c r="L412" s="295">
        <f>'CAR Mileage'!L433*CAR!$I$58</f>
        <v>27337.977488420285</v>
      </c>
      <c r="M412" s="295">
        <f>'CAR Mileage'!M433*CAR!$I$58</f>
        <v>27337.977488420285</v>
      </c>
      <c r="N412" s="295">
        <f>'CAR Mileage'!N433*CAR!$I$58</f>
        <v>27337.977488420285</v>
      </c>
      <c r="O412" s="295">
        <f>'CAR Mileage'!O433*CAR!$I$58</f>
        <v>27337.977488420285</v>
      </c>
      <c r="P412" s="295">
        <f>'CAR Mileage'!P433*CAR!$I$58</f>
        <v>27337.977488420285</v>
      </c>
      <c r="Q412" s="295">
        <f>'CAR Mileage'!Q433*CAR!$I$58</f>
        <v>27337.977488420285</v>
      </c>
      <c r="R412" s="295">
        <f>'CAR Mileage'!R433*CAR!$I$58</f>
        <v>27337.977488420285</v>
      </c>
      <c r="S412" s="295">
        <f>'CAR Mileage'!S433*CAR!$I$58</f>
        <v>27337.977488420285</v>
      </c>
      <c r="T412" s="295">
        <f>'CAR Mileage'!T433*CAR!$I$58</f>
        <v>27337.977488420285</v>
      </c>
      <c r="U412" s="295">
        <f>'CAR Mileage'!U433*CAR!$I$58</f>
        <v>27337.977488420285</v>
      </c>
      <c r="V412" s="295">
        <f>'CAR Mileage'!V433*CAR!$I$58</f>
        <v>27337.977488420285</v>
      </c>
      <c r="W412" s="295">
        <f>'CAR Mileage'!W433*CAR!$I$58</f>
        <v>27337.977488420285</v>
      </c>
      <c r="X412" s="295">
        <f>'CAR Mileage'!X433*CAR!$I$58</f>
        <v>27337.977488420285</v>
      </c>
      <c r="Y412" s="295">
        <f>'CAR Mileage'!Y433*CAR!$I$58</f>
        <v>27337.977488420285</v>
      </c>
      <c r="Z412" s="295">
        <f>'CAR Mileage'!Z433*CAR!$I$58</f>
        <v>27337.977488420285</v>
      </c>
      <c r="AA412" s="295">
        <f>'CAR Mileage'!AA433*CAR!$I$58</f>
        <v>27337.977488420285</v>
      </c>
      <c r="AB412" s="295">
        <f>'CAR Mileage'!AB433*CAR!$I$58</f>
        <v>27337.977488420285</v>
      </c>
      <c r="AC412" s="295">
        <f>'CAR Mileage'!AC433*CAR!$I$58</f>
        <v>27337.977488420285</v>
      </c>
      <c r="AD412" s="295">
        <f>'CAR Mileage'!AD433*CAR!$I$58</f>
        <v>27337.977488420285</v>
      </c>
      <c r="AE412" s="296">
        <f>'CAR Mileage'!AE433*CAR!$I$58</f>
        <v>27337.977488420285</v>
      </c>
      <c r="AG412" s="1711"/>
      <c r="AH412" s="116">
        <v>3</v>
      </c>
      <c r="AI412" s="294">
        <f>'CAR Passenger Kilometres'!C412*'CAR Stock'!C462</f>
        <v>1093519.0995368115</v>
      </c>
      <c r="AJ412" s="295">
        <f>'CAR Passenger Kilometres'!D412*'CAR Stock'!D462</f>
        <v>11071880.882810216</v>
      </c>
      <c r="AK412" s="295">
        <f>'CAR Passenger Kilometres'!E412*'CAR Stock'!E462</f>
        <v>9376926.2785281576</v>
      </c>
      <c r="AL412" s="295">
        <f>'CAR Passenger Kilometres'!F412*'CAR Stock'!F462</f>
        <v>12192737.959835447</v>
      </c>
      <c r="AM412" s="295">
        <f>'CAR Passenger Kilometres'!G412*'CAR Stock'!G462</f>
        <v>0</v>
      </c>
      <c r="AN412" s="295">
        <f>'CAR Passenger Kilometres'!H412*'CAR Stock'!H462</f>
        <v>0</v>
      </c>
      <c r="AO412" s="295">
        <f>'CAR Passenger Kilometres'!I412*'CAR Stock'!I462</f>
        <v>0</v>
      </c>
      <c r="AP412" s="295">
        <f>'CAR Passenger Kilometres'!J412*'CAR Stock'!J462</f>
        <v>0</v>
      </c>
      <c r="AQ412" s="295">
        <f>'CAR Passenger Kilometres'!K412*'CAR Stock'!K462</f>
        <v>0</v>
      </c>
      <c r="AR412" s="295">
        <f>'CAR Passenger Kilometres'!L412*'CAR Stock'!L462</f>
        <v>0</v>
      </c>
      <c r="AS412" s="295">
        <f>'CAR Passenger Kilometres'!M412*'CAR Stock'!M462</f>
        <v>0</v>
      </c>
      <c r="AT412" s="295">
        <f>'CAR Passenger Kilometres'!N412*'CAR Stock'!N462</f>
        <v>0</v>
      </c>
      <c r="AU412" s="295">
        <f>'CAR Passenger Kilometres'!O412*'CAR Stock'!O462</f>
        <v>0</v>
      </c>
      <c r="AV412" s="295">
        <f>'CAR Passenger Kilometres'!P412*'CAR Stock'!P462</f>
        <v>0</v>
      </c>
      <c r="AW412" s="295">
        <f>'CAR Passenger Kilometres'!Q412*'CAR Stock'!Q462</f>
        <v>0</v>
      </c>
      <c r="AX412" s="295">
        <f>'CAR Passenger Kilometres'!R412*'CAR Stock'!R462</f>
        <v>0</v>
      </c>
      <c r="AY412" s="295">
        <f>'CAR Passenger Kilometres'!S412*'CAR Stock'!S462</f>
        <v>0</v>
      </c>
      <c r="AZ412" s="295">
        <f>'CAR Passenger Kilometres'!T412*'CAR Stock'!T462</f>
        <v>0</v>
      </c>
      <c r="BA412" s="295">
        <f>'CAR Passenger Kilometres'!U412*'CAR Stock'!U462</f>
        <v>0</v>
      </c>
      <c r="BB412" s="295">
        <f>'CAR Passenger Kilometres'!V412*'CAR Stock'!V462</f>
        <v>0</v>
      </c>
      <c r="BC412" s="295">
        <f>'CAR Passenger Kilometres'!W412*'CAR Stock'!W462</f>
        <v>0</v>
      </c>
      <c r="BD412" s="295">
        <f>'CAR Passenger Kilometres'!X412*'CAR Stock'!X462</f>
        <v>0</v>
      </c>
      <c r="BE412" s="295">
        <f>'CAR Passenger Kilometres'!Y412*'CAR Stock'!Y462</f>
        <v>0</v>
      </c>
      <c r="BF412" s="295">
        <f>'CAR Passenger Kilometres'!Z412*'CAR Stock'!Z462</f>
        <v>0</v>
      </c>
      <c r="BG412" s="295">
        <f>'CAR Passenger Kilometres'!AA412*'CAR Stock'!AA462</f>
        <v>0</v>
      </c>
      <c r="BH412" s="295">
        <f>'CAR Passenger Kilometres'!AB412*'CAR Stock'!AB462</f>
        <v>0</v>
      </c>
      <c r="BI412" s="295">
        <f>'CAR Passenger Kilometres'!AC412*'CAR Stock'!AC462</f>
        <v>0</v>
      </c>
      <c r="BJ412" s="295">
        <f>'CAR Passenger Kilometres'!AD412*'CAR Stock'!AD462</f>
        <v>0</v>
      </c>
      <c r="BK412" s="296">
        <f>'CAR Passenger Kilometres'!AE412*'CAR Stock'!AE462</f>
        <v>0</v>
      </c>
    </row>
    <row r="413" spans="1:63">
      <c r="A413" s="1711"/>
      <c r="B413" s="116">
        <v>4</v>
      </c>
      <c r="C413" s="294">
        <f>'CAR Mileage'!C434*CAR!$I$58</f>
        <v>26791.21793865188</v>
      </c>
      <c r="D413" s="295">
        <f>'CAR Mileage'!D434*CAR!$I$58</f>
        <v>26791.21793865188</v>
      </c>
      <c r="E413" s="295">
        <f>'CAR Mileage'!E434*CAR!$I$58</f>
        <v>26791.21793865188</v>
      </c>
      <c r="F413" s="295">
        <f>'CAR Mileage'!F434*CAR!$I$58</f>
        <v>26791.21793865188</v>
      </c>
      <c r="G413" s="295">
        <f>'CAR Mileage'!G434*CAR!$I$58</f>
        <v>26791.21793865188</v>
      </c>
      <c r="H413" s="295">
        <f>'CAR Mileage'!H434*CAR!$I$58</f>
        <v>26791.21793865188</v>
      </c>
      <c r="I413" s="295">
        <f>'CAR Mileage'!I434*CAR!$I$58</f>
        <v>26791.21793865188</v>
      </c>
      <c r="J413" s="295">
        <f>'CAR Mileage'!J434*CAR!$I$58</f>
        <v>26791.21793865188</v>
      </c>
      <c r="K413" s="295">
        <f>'CAR Mileage'!K434*CAR!$I$58</f>
        <v>26791.21793865188</v>
      </c>
      <c r="L413" s="295">
        <f>'CAR Mileage'!L434*CAR!$I$58</f>
        <v>26791.21793865188</v>
      </c>
      <c r="M413" s="295">
        <f>'CAR Mileage'!M434*CAR!$I$58</f>
        <v>26791.21793865188</v>
      </c>
      <c r="N413" s="295">
        <f>'CAR Mileage'!N434*CAR!$I$58</f>
        <v>26791.21793865188</v>
      </c>
      <c r="O413" s="295">
        <f>'CAR Mileage'!O434*CAR!$I$58</f>
        <v>26791.21793865188</v>
      </c>
      <c r="P413" s="295">
        <f>'CAR Mileage'!P434*CAR!$I$58</f>
        <v>26791.21793865188</v>
      </c>
      <c r="Q413" s="295">
        <f>'CAR Mileage'!Q434*CAR!$I$58</f>
        <v>26791.21793865188</v>
      </c>
      <c r="R413" s="295">
        <f>'CAR Mileage'!R434*CAR!$I$58</f>
        <v>26791.21793865188</v>
      </c>
      <c r="S413" s="295">
        <f>'CAR Mileage'!S434*CAR!$I$58</f>
        <v>26791.21793865188</v>
      </c>
      <c r="T413" s="295">
        <f>'CAR Mileage'!T434*CAR!$I$58</f>
        <v>26791.21793865188</v>
      </c>
      <c r="U413" s="295">
        <f>'CAR Mileage'!U434*CAR!$I$58</f>
        <v>26791.21793865188</v>
      </c>
      <c r="V413" s="295">
        <f>'CAR Mileage'!V434*CAR!$I$58</f>
        <v>26791.21793865188</v>
      </c>
      <c r="W413" s="295">
        <f>'CAR Mileage'!W434*CAR!$I$58</f>
        <v>26791.21793865188</v>
      </c>
      <c r="X413" s="295">
        <f>'CAR Mileage'!X434*CAR!$I$58</f>
        <v>26791.21793865188</v>
      </c>
      <c r="Y413" s="295">
        <f>'CAR Mileage'!Y434*CAR!$I$58</f>
        <v>26791.21793865188</v>
      </c>
      <c r="Z413" s="295">
        <f>'CAR Mileage'!Z434*CAR!$I$58</f>
        <v>26791.21793865188</v>
      </c>
      <c r="AA413" s="295">
        <f>'CAR Mileage'!AA434*CAR!$I$58</f>
        <v>26791.21793865188</v>
      </c>
      <c r="AB413" s="295">
        <f>'CAR Mileage'!AB434*CAR!$I$58</f>
        <v>26791.21793865188</v>
      </c>
      <c r="AC413" s="295">
        <f>'CAR Mileage'!AC434*CAR!$I$58</f>
        <v>26791.21793865188</v>
      </c>
      <c r="AD413" s="295">
        <f>'CAR Mileage'!AD434*CAR!$I$58</f>
        <v>26791.21793865188</v>
      </c>
      <c r="AE413" s="296">
        <f>'CAR Mileage'!AE434*CAR!$I$58</f>
        <v>26791.21793865188</v>
      </c>
      <c r="AG413" s="1711"/>
      <c r="AH413" s="116">
        <v>4</v>
      </c>
      <c r="AI413" s="294">
        <f>'CAR Passenger Kilometres'!C413*'CAR Stock'!C463</f>
        <v>26791.21793865188</v>
      </c>
      <c r="AJ413" s="295">
        <f>'CAR Passenger Kilometres'!D413*'CAR Stock'!D463</f>
        <v>1071648.7175460751</v>
      </c>
      <c r="AK413" s="295">
        <f>'CAR Passenger Kilometres'!E413*'CAR Stock'!E463</f>
        <v>10850443.265154012</v>
      </c>
      <c r="AL413" s="295">
        <f>'CAR Passenger Kilometres'!F413*'CAR Stock'!F463</f>
        <v>9189387.7529575955</v>
      </c>
      <c r="AM413" s="295">
        <f>'CAR Passenger Kilometres'!G413*'CAR Stock'!G463</f>
        <v>11948883.200638739</v>
      </c>
      <c r="AN413" s="295">
        <f>'CAR Passenger Kilometres'!H413*'CAR Stock'!H463</f>
        <v>0</v>
      </c>
      <c r="AO413" s="295">
        <f>'CAR Passenger Kilometres'!I413*'CAR Stock'!I463</f>
        <v>0</v>
      </c>
      <c r="AP413" s="295">
        <f>'CAR Passenger Kilometres'!J413*'CAR Stock'!J463</f>
        <v>0</v>
      </c>
      <c r="AQ413" s="295">
        <f>'CAR Passenger Kilometres'!K413*'CAR Stock'!K463</f>
        <v>0</v>
      </c>
      <c r="AR413" s="295">
        <f>'CAR Passenger Kilometres'!L413*'CAR Stock'!L463</f>
        <v>0</v>
      </c>
      <c r="AS413" s="295">
        <f>'CAR Passenger Kilometres'!M413*'CAR Stock'!M463</f>
        <v>0</v>
      </c>
      <c r="AT413" s="295">
        <f>'CAR Passenger Kilometres'!N413*'CAR Stock'!N463</f>
        <v>0</v>
      </c>
      <c r="AU413" s="295">
        <f>'CAR Passenger Kilometres'!O413*'CAR Stock'!O463</f>
        <v>0</v>
      </c>
      <c r="AV413" s="295">
        <f>'CAR Passenger Kilometres'!P413*'CAR Stock'!P463</f>
        <v>0</v>
      </c>
      <c r="AW413" s="295">
        <f>'CAR Passenger Kilometres'!Q413*'CAR Stock'!Q463</f>
        <v>0</v>
      </c>
      <c r="AX413" s="295">
        <f>'CAR Passenger Kilometres'!R413*'CAR Stock'!R463</f>
        <v>0</v>
      </c>
      <c r="AY413" s="295">
        <f>'CAR Passenger Kilometres'!S413*'CAR Stock'!S463</f>
        <v>0</v>
      </c>
      <c r="AZ413" s="295">
        <f>'CAR Passenger Kilometres'!T413*'CAR Stock'!T463</f>
        <v>0</v>
      </c>
      <c r="BA413" s="295">
        <f>'CAR Passenger Kilometres'!U413*'CAR Stock'!U463</f>
        <v>0</v>
      </c>
      <c r="BB413" s="295">
        <f>'CAR Passenger Kilometres'!V413*'CAR Stock'!V463</f>
        <v>0</v>
      </c>
      <c r="BC413" s="295">
        <f>'CAR Passenger Kilometres'!W413*'CAR Stock'!W463</f>
        <v>0</v>
      </c>
      <c r="BD413" s="295">
        <f>'CAR Passenger Kilometres'!X413*'CAR Stock'!X463</f>
        <v>0</v>
      </c>
      <c r="BE413" s="295">
        <f>'CAR Passenger Kilometres'!Y413*'CAR Stock'!Y463</f>
        <v>0</v>
      </c>
      <c r="BF413" s="295">
        <f>'CAR Passenger Kilometres'!Z413*'CAR Stock'!Z463</f>
        <v>0</v>
      </c>
      <c r="BG413" s="295">
        <f>'CAR Passenger Kilometres'!AA413*'CAR Stock'!AA463</f>
        <v>0</v>
      </c>
      <c r="BH413" s="295">
        <f>'CAR Passenger Kilometres'!AB413*'CAR Stock'!AB463</f>
        <v>0</v>
      </c>
      <c r="BI413" s="295">
        <f>'CAR Passenger Kilometres'!AC413*'CAR Stock'!AC463</f>
        <v>0</v>
      </c>
      <c r="BJ413" s="295">
        <f>'CAR Passenger Kilometres'!AD413*'CAR Stock'!AD463</f>
        <v>0</v>
      </c>
      <c r="BK413" s="296">
        <f>'CAR Passenger Kilometres'!AE413*'CAR Stock'!AE463</f>
        <v>0</v>
      </c>
    </row>
    <row r="414" spans="1:63">
      <c r="A414" s="1711"/>
      <c r="B414" s="116">
        <v>5</v>
      </c>
      <c r="C414" s="294">
        <f>'CAR Mileage'!C435*CAR!$I$58</f>
        <v>26255.393579878844</v>
      </c>
      <c r="D414" s="295">
        <f>'CAR Mileage'!D435*CAR!$I$58</f>
        <v>26255.393579878844</v>
      </c>
      <c r="E414" s="295">
        <f>'CAR Mileage'!E435*CAR!$I$58</f>
        <v>26255.393579878844</v>
      </c>
      <c r="F414" s="295">
        <f>'CAR Mileage'!F435*CAR!$I$58</f>
        <v>26255.393579878844</v>
      </c>
      <c r="G414" s="295">
        <f>'CAR Mileage'!G435*CAR!$I$58</f>
        <v>26255.393579878844</v>
      </c>
      <c r="H414" s="295">
        <f>'CAR Mileage'!H435*CAR!$I$58</f>
        <v>26255.393579878844</v>
      </c>
      <c r="I414" s="295">
        <f>'CAR Mileage'!I435*CAR!$I$58</f>
        <v>26255.393579878844</v>
      </c>
      <c r="J414" s="295">
        <f>'CAR Mileage'!J435*CAR!$I$58</f>
        <v>26255.393579878844</v>
      </c>
      <c r="K414" s="295">
        <f>'CAR Mileage'!K435*CAR!$I$58</f>
        <v>26255.393579878844</v>
      </c>
      <c r="L414" s="295">
        <f>'CAR Mileage'!L435*CAR!$I$58</f>
        <v>26255.393579878844</v>
      </c>
      <c r="M414" s="295">
        <f>'CAR Mileage'!M435*CAR!$I$58</f>
        <v>26255.393579878844</v>
      </c>
      <c r="N414" s="295">
        <f>'CAR Mileage'!N435*CAR!$I$58</f>
        <v>26255.393579878844</v>
      </c>
      <c r="O414" s="295">
        <f>'CAR Mileage'!O435*CAR!$I$58</f>
        <v>26255.393579878844</v>
      </c>
      <c r="P414" s="295">
        <f>'CAR Mileage'!P435*CAR!$I$58</f>
        <v>26255.393579878844</v>
      </c>
      <c r="Q414" s="295">
        <f>'CAR Mileage'!Q435*CAR!$I$58</f>
        <v>26255.393579878844</v>
      </c>
      <c r="R414" s="295">
        <f>'CAR Mileage'!R435*CAR!$I$58</f>
        <v>26255.393579878844</v>
      </c>
      <c r="S414" s="295">
        <f>'CAR Mileage'!S435*CAR!$I$58</f>
        <v>26255.393579878844</v>
      </c>
      <c r="T414" s="295">
        <f>'CAR Mileage'!T435*CAR!$I$58</f>
        <v>26255.393579878844</v>
      </c>
      <c r="U414" s="295">
        <f>'CAR Mileage'!U435*CAR!$I$58</f>
        <v>26255.393579878844</v>
      </c>
      <c r="V414" s="295">
        <f>'CAR Mileage'!V435*CAR!$I$58</f>
        <v>26255.393579878844</v>
      </c>
      <c r="W414" s="295">
        <f>'CAR Mileage'!W435*CAR!$I$58</f>
        <v>26255.393579878844</v>
      </c>
      <c r="X414" s="295">
        <f>'CAR Mileage'!X435*CAR!$I$58</f>
        <v>26255.393579878844</v>
      </c>
      <c r="Y414" s="295">
        <f>'CAR Mileage'!Y435*CAR!$I$58</f>
        <v>26255.393579878844</v>
      </c>
      <c r="Z414" s="295">
        <f>'CAR Mileage'!Z435*CAR!$I$58</f>
        <v>26255.393579878844</v>
      </c>
      <c r="AA414" s="295">
        <f>'CAR Mileage'!AA435*CAR!$I$58</f>
        <v>26255.393579878844</v>
      </c>
      <c r="AB414" s="295">
        <f>'CAR Mileage'!AB435*CAR!$I$58</f>
        <v>26255.393579878844</v>
      </c>
      <c r="AC414" s="295">
        <f>'CAR Mileage'!AC435*CAR!$I$58</f>
        <v>26255.393579878844</v>
      </c>
      <c r="AD414" s="295">
        <f>'CAR Mileage'!AD435*CAR!$I$58</f>
        <v>26255.393579878844</v>
      </c>
      <c r="AE414" s="296">
        <f>'CAR Mileage'!AE435*CAR!$I$58</f>
        <v>26255.393579878844</v>
      </c>
      <c r="AG414" s="1711"/>
      <c r="AH414" s="116">
        <v>5</v>
      </c>
      <c r="AI414" s="294">
        <f>'CAR Passenger Kilometres'!C414*'CAR Stock'!C464</f>
        <v>0</v>
      </c>
      <c r="AJ414" s="295">
        <f>'CAR Passenger Kilometres'!D414*'CAR Stock'!D464</f>
        <v>26255.393579878844</v>
      </c>
      <c r="AK414" s="295">
        <f>'CAR Passenger Kilometres'!E414*'CAR Stock'!E464</f>
        <v>1050215.7431951538</v>
      </c>
      <c r="AL414" s="295">
        <f>'CAR Passenger Kilometres'!F414*'CAR Stock'!F464</f>
        <v>10633434.399850931</v>
      </c>
      <c r="AM414" s="295">
        <f>'CAR Passenger Kilometres'!G414*'CAR Stock'!G464</f>
        <v>9005599.9978984445</v>
      </c>
      <c r="AN414" s="295">
        <f>'CAR Passenger Kilometres'!H414*'CAR Stock'!H464</f>
        <v>11709905.536625965</v>
      </c>
      <c r="AO414" s="295">
        <f>'CAR Passenger Kilometres'!I414*'CAR Stock'!I464</f>
        <v>0</v>
      </c>
      <c r="AP414" s="295">
        <f>'CAR Passenger Kilometres'!J414*'CAR Stock'!J464</f>
        <v>0</v>
      </c>
      <c r="AQ414" s="295">
        <f>'CAR Passenger Kilometres'!K414*'CAR Stock'!K464</f>
        <v>0</v>
      </c>
      <c r="AR414" s="295">
        <f>'CAR Passenger Kilometres'!L414*'CAR Stock'!L464</f>
        <v>0</v>
      </c>
      <c r="AS414" s="295">
        <f>'CAR Passenger Kilometres'!M414*'CAR Stock'!M464</f>
        <v>0</v>
      </c>
      <c r="AT414" s="295">
        <f>'CAR Passenger Kilometres'!N414*'CAR Stock'!N464</f>
        <v>0</v>
      </c>
      <c r="AU414" s="295">
        <f>'CAR Passenger Kilometres'!O414*'CAR Stock'!O464</f>
        <v>0</v>
      </c>
      <c r="AV414" s="295">
        <f>'CAR Passenger Kilometres'!P414*'CAR Stock'!P464</f>
        <v>0</v>
      </c>
      <c r="AW414" s="295">
        <f>'CAR Passenger Kilometres'!Q414*'CAR Stock'!Q464</f>
        <v>0</v>
      </c>
      <c r="AX414" s="295">
        <f>'CAR Passenger Kilometres'!R414*'CAR Stock'!R464</f>
        <v>0</v>
      </c>
      <c r="AY414" s="295">
        <f>'CAR Passenger Kilometres'!S414*'CAR Stock'!S464</f>
        <v>0</v>
      </c>
      <c r="AZ414" s="295">
        <f>'CAR Passenger Kilometres'!T414*'CAR Stock'!T464</f>
        <v>0</v>
      </c>
      <c r="BA414" s="295">
        <f>'CAR Passenger Kilometres'!U414*'CAR Stock'!U464</f>
        <v>0</v>
      </c>
      <c r="BB414" s="295">
        <f>'CAR Passenger Kilometres'!V414*'CAR Stock'!V464</f>
        <v>0</v>
      </c>
      <c r="BC414" s="295">
        <f>'CAR Passenger Kilometres'!W414*'CAR Stock'!W464</f>
        <v>0</v>
      </c>
      <c r="BD414" s="295">
        <f>'CAR Passenger Kilometres'!X414*'CAR Stock'!X464</f>
        <v>0</v>
      </c>
      <c r="BE414" s="295">
        <f>'CAR Passenger Kilometres'!Y414*'CAR Stock'!Y464</f>
        <v>0</v>
      </c>
      <c r="BF414" s="295">
        <f>'CAR Passenger Kilometres'!Z414*'CAR Stock'!Z464</f>
        <v>0</v>
      </c>
      <c r="BG414" s="295">
        <f>'CAR Passenger Kilometres'!AA414*'CAR Stock'!AA464</f>
        <v>0</v>
      </c>
      <c r="BH414" s="295">
        <f>'CAR Passenger Kilometres'!AB414*'CAR Stock'!AB464</f>
        <v>0</v>
      </c>
      <c r="BI414" s="295">
        <f>'CAR Passenger Kilometres'!AC414*'CAR Stock'!AC464</f>
        <v>0</v>
      </c>
      <c r="BJ414" s="295">
        <f>'CAR Passenger Kilometres'!AD414*'CAR Stock'!AD464</f>
        <v>0</v>
      </c>
      <c r="BK414" s="296">
        <f>'CAR Passenger Kilometres'!AE414*'CAR Stock'!AE464</f>
        <v>0</v>
      </c>
    </row>
    <row r="415" spans="1:63">
      <c r="A415" s="1711"/>
      <c r="B415" s="116">
        <v>6</v>
      </c>
      <c r="C415" s="294">
        <f>'CAR Mileage'!C436*CAR!$I$58</f>
        <v>25730.28570828127</v>
      </c>
      <c r="D415" s="295">
        <f>'CAR Mileage'!D436*CAR!$I$58</f>
        <v>25730.28570828127</v>
      </c>
      <c r="E415" s="295">
        <f>'CAR Mileage'!E436*CAR!$I$58</f>
        <v>25730.28570828127</v>
      </c>
      <c r="F415" s="295">
        <f>'CAR Mileage'!F436*CAR!$I$58</f>
        <v>25730.28570828127</v>
      </c>
      <c r="G415" s="295">
        <f>'CAR Mileage'!G436*CAR!$I$58</f>
        <v>25730.28570828127</v>
      </c>
      <c r="H415" s="295">
        <f>'CAR Mileage'!H436*CAR!$I$58</f>
        <v>25730.28570828127</v>
      </c>
      <c r="I415" s="295">
        <f>'CAR Mileage'!I436*CAR!$I$58</f>
        <v>25730.28570828127</v>
      </c>
      <c r="J415" s="295">
        <f>'CAR Mileage'!J436*CAR!$I$58</f>
        <v>25730.28570828127</v>
      </c>
      <c r="K415" s="295">
        <f>'CAR Mileage'!K436*CAR!$I$58</f>
        <v>25730.28570828127</v>
      </c>
      <c r="L415" s="295">
        <f>'CAR Mileage'!L436*CAR!$I$58</f>
        <v>25730.28570828127</v>
      </c>
      <c r="M415" s="295">
        <f>'CAR Mileage'!M436*CAR!$I$58</f>
        <v>25730.28570828127</v>
      </c>
      <c r="N415" s="295">
        <f>'CAR Mileage'!N436*CAR!$I$58</f>
        <v>25730.28570828127</v>
      </c>
      <c r="O415" s="295">
        <f>'CAR Mileage'!O436*CAR!$I$58</f>
        <v>25730.28570828127</v>
      </c>
      <c r="P415" s="295">
        <f>'CAR Mileage'!P436*CAR!$I$58</f>
        <v>25730.28570828127</v>
      </c>
      <c r="Q415" s="295">
        <f>'CAR Mileage'!Q436*CAR!$I$58</f>
        <v>25730.28570828127</v>
      </c>
      <c r="R415" s="295">
        <f>'CAR Mileage'!R436*CAR!$I$58</f>
        <v>25730.28570828127</v>
      </c>
      <c r="S415" s="295">
        <f>'CAR Mileage'!S436*CAR!$I$58</f>
        <v>25730.28570828127</v>
      </c>
      <c r="T415" s="295">
        <f>'CAR Mileage'!T436*CAR!$I$58</f>
        <v>25730.28570828127</v>
      </c>
      <c r="U415" s="295">
        <f>'CAR Mileage'!U436*CAR!$I$58</f>
        <v>25730.28570828127</v>
      </c>
      <c r="V415" s="295">
        <f>'CAR Mileage'!V436*CAR!$I$58</f>
        <v>25730.28570828127</v>
      </c>
      <c r="W415" s="295">
        <f>'CAR Mileage'!W436*CAR!$I$58</f>
        <v>25730.28570828127</v>
      </c>
      <c r="X415" s="295">
        <f>'CAR Mileage'!X436*CAR!$I$58</f>
        <v>25730.28570828127</v>
      </c>
      <c r="Y415" s="295">
        <f>'CAR Mileage'!Y436*CAR!$I$58</f>
        <v>25730.28570828127</v>
      </c>
      <c r="Z415" s="295">
        <f>'CAR Mileage'!Z436*CAR!$I$58</f>
        <v>25730.28570828127</v>
      </c>
      <c r="AA415" s="295">
        <f>'CAR Mileage'!AA436*CAR!$I$58</f>
        <v>25730.28570828127</v>
      </c>
      <c r="AB415" s="295">
        <f>'CAR Mileage'!AB436*CAR!$I$58</f>
        <v>25730.28570828127</v>
      </c>
      <c r="AC415" s="295">
        <f>'CAR Mileage'!AC436*CAR!$I$58</f>
        <v>25730.28570828127</v>
      </c>
      <c r="AD415" s="295">
        <f>'CAR Mileage'!AD436*CAR!$I$58</f>
        <v>25730.28570828127</v>
      </c>
      <c r="AE415" s="296">
        <f>'CAR Mileage'!AE436*CAR!$I$58</f>
        <v>25730.28570828127</v>
      </c>
      <c r="AG415" s="1711"/>
      <c r="AH415" s="116">
        <v>6</v>
      </c>
      <c r="AI415" s="294">
        <f>'CAR Passenger Kilometres'!C415*'CAR Stock'!C465</f>
        <v>0</v>
      </c>
      <c r="AJ415" s="295">
        <f>'CAR Passenger Kilometres'!D415*'CAR Stock'!D465</f>
        <v>0</v>
      </c>
      <c r="AK415" s="295">
        <f>'CAR Passenger Kilometres'!E415*'CAR Stock'!E465</f>
        <v>25730.28570828127</v>
      </c>
      <c r="AL415" s="295">
        <f>'CAR Passenger Kilometres'!F415*'CAR Stock'!F465</f>
        <v>1029211.4283312508</v>
      </c>
      <c r="AM415" s="295">
        <f>'CAR Passenger Kilometres'!G415*'CAR Stock'!G465</f>
        <v>10420765.711853914</v>
      </c>
      <c r="AN415" s="295">
        <f>'CAR Passenger Kilometres'!H415*'CAR Stock'!H465</f>
        <v>8825487.9979404751</v>
      </c>
      <c r="AO415" s="295">
        <f>'CAR Passenger Kilometres'!I415*'CAR Stock'!I465</f>
        <v>11475707.425893446</v>
      </c>
      <c r="AP415" s="295">
        <f>'CAR Passenger Kilometres'!J415*'CAR Stock'!J465</f>
        <v>0</v>
      </c>
      <c r="AQ415" s="295">
        <f>'CAR Passenger Kilometres'!K415*'CAR Stock'!K465</f>
        <v>0</v>
      </c>
      <c r="AR415" s="295">
        <f>'CAR Passenger Kilometres'!L415*'CAR Stock'!L465</f>
        <v>0</v>
      </c>
      <c r="AS415" s="295">
        <f>'CAR Passenger Kilometres'!M415*'CAR Stock'!M465</f>
        <v>0</v>
      </c>
      <c r="AT415" s="295">
        <f>'CAR Passenger Kilometres'!N415*'CAR Stock'!N465</f>
        <v>0</v>
      </c>
      <c r="AU415" s="295">
        <f>'CAR Passenger Kilometres'!O415*'CAR Stock'!O465</f>
        <v>0</v>
      </c>
      <c r="AV415" s="295">
        <f>'CAR Passenger Kilometres'!P415*'CAR Stock'!P465</f>
        <v>0</v>
      </c>
      <c r="AW415" s="295">
        <f>'CAR Passenger Kilometres'!Q415*'CAR Stock'!Q465</f>
        <v>0</v>
      </c>
      <c r="AX415" s="295">
        <f>'CAR Passenger Kilometres'!R415*'CAR Stock'!R465</f>
        <v>0</v>
      </c>
      <c r="AY415" s="295">
        <f>'CAR Passenger Kilometres'!S415*'CAR Stock'!S465</f>
        <v>0</v>
      </c>
      <c r="AZ415" s="295">
        <f>'CAR Passenger Kilometres'!T415*'CAR Stock'!T465</f>
        <v>0</v>
      </c>
      <c r="BA415" s="295">
        <f>'CAR Passenger Kilometres'!U415*'CAR Stock'!U465</f>
        <v>0</v>
      </c>
      <c r="BB415" s="295">
        <f>'CAR Passenger Kilometres'!V415*'CAR Stock'!V465</f>
        <v>0</v>
      </c>
      <c r="BC415" s="295">
        <f>'CAR Passenger Kilometres'!W415*'CAR Stock'!W465</f>
        <v>0</v>
      </c>
      <c r="BD415" s="295">
        <f>'CAR Passenger Kilometres'!X415*'CAR Stock'!X465</f>
        <v>0</v>
      </c>
      <c r="BE415" s="295">
        <f>'CAR Passenger Kilometres'!Y415*'CAR Stock'!Y465</f>
        <v>0</v>
      </c>
      <c r="BF415" s="295">
        <f>'CAR Passenger Kilometres'!Z415*'CAR Stock'!Z465</f>
        <v>0</v>
      </c>
      <c r="BG415" s="295">
        <f>'CAR Passenger Kilometres'!AA415*'CAR Stock'!AA465</f>
        <v>0</v>
      </c>
      <c r="BH415" s="295">
        <f>'CAR Passenger Kilometres'!AB415*'CAR Stock'!AB465</f>
        <v>0</v>
      </c>
      <c r="BI415" s="295">
        <f>'CAR Passenger Kilometres'!AC415*'CAR Stock'!AC465</f>
        <v>0</v>
      </c>
      <c r="BJ415" s="295">
        <f>'CAR Passenger Kilometres'!AD415*'CAR Stock'!AD465</f>
        <v>0</v>
      </c>
      <c r="BK415" s="296">
        <f>'CAR Passenger Kilometres'!AE415*'CAR Stock'!AE465</f>
        <v>0</v>
      </c>
    </row>
    <row r="416" spans="1:63">
      <c r="A416" s="1711"/>
      <c r="B416" s="116">
        <v>7</v>
      </c>
      <c r="C416" s="294">
        <f>'CAR Mileage'!C437*CAR!$I$58</f>
        <v>25215.679994115642</v>
      </c>
      <c r="D416" s="295">
        <f>'CAR Mileage'!D437*CAR!$I$58</f>
        <v>25215.679994115642</v>
      </c>
      <c r="E416" s="295">
        <f>'CAR Mileage'!E437*CAR!$I$58</f>
        <v>25215.679994115642</v>
      </c>
      <c r="F416" s="295">
        <f>'CAR Mileage'!F437*CAR!$I$58</f>
        <v>25215.679994115642</v>
      </c>
      <c r="G416" s="295">
        <f>'CAR Mileage'!G437*CAR!$I$58</f>
        <v>25215.679994115642</v>
      </c>
      <c r="H416" s="295">
        <f>'CAR Mileage'!H437*CAR!$I$58</f>
        <v>25215.679994115642</v>
      </c>
      <c r="I416" s="295">
        <f>'CAR Mileage'!I437*CAR!$I$58</f>
        <v>25215.679994115642</v>
      </c>
      <c r="J416" s="295">
        <f>'CAR Mileage'!J437*CAR!$I$58</f>
        <v>25215.679994115642</v>
      </c>
      <c r="K416" s="295">
        <f>'CAR Mileage'!K437*CAR!$I$58</f>
        <v>25215.679994115642</v>
      </c>
      <c r="L416" s="295">
        <f>'CAR Mileage'!L437*CAR!$I$58</f>
        <v>25215.679994115642</v>
      </c>
      <c r="M416" s="295">
        <f>'CAR Mileage'!M437*CAR!$I$58</f>
        <v>25215.679994115642</v>
      </c>
      <c r="N416" s="295">
        <f>'CAR Mileage'!N437*CAR!$I$58</f>
        <v>25215.679994115642</v>
      </c>
      <c r="O416" s="295">
        <f>'CAR Mileage'!O437*CAR!$I$58</f>
        <v>25215.679994115642</v>
      </c>
      <c r="P416" s="295">
        <f>'CAR Mileage'!P437*CAR!$I$58</f>
        <v>25215.679994115642</v>
      </c>
      <c r="Q416" s="295">
        <f>'CAR Mileage'!Q437*CAR!$I$58</f>
        <v>25215.679994115642</v>
      </c>
      <c r="R416" s="295">
        <f>'CAR Mileage'!R437*CAR!$I$58</f>
        <v>25215.679994115642</v>
      </c>
      <c r="S416" s="295">
        <f>'CAR Mileage'!S437*CAR!$I$58</f>
        <v>25215.679994115642</v>
      </c>
      <c r="T416" s="295">
        <f>'CAR Mileage'!T437*CAR!$I$58</f>
        <v>25215.679994115642</v>
      </c>
      <c r="U416" s="295">
        <f>'CAR Mileage'!U437*CAR!$I$58</f>
        <v>25215.679994115642</v>
      </c>
      <c r="V416" s="295">
        <f>'CAR Mileage'!V437*CAR!$I$58</f>
        <v>25215.679994115642</v>
      </c>
      <c r="W416" s="295">
        <f>'CAR Mileage'!W437*CAR!$I$58</f>
        <v>25215.679994115642</v>
      </c>
      <c r="X416" s="295">
        <f>'CAR Mileage'!X437*CAR!$I$58</f>
        <v>25215.679994115642</v>
      </c>
      <c r="Y416" s="295">
        <f>'CAR Mileage'!Y437*CAR!$I$58</f>
        <v>25215.679994115642</v>
      </c>
      <c r="Z416" s="295">
        <f>'CAR Mileage'!Z437*CAR!$I$58</f>
        <v>25215.679994115642</v>
      </c>
      <c r="AA416" s="295">
        <f>'CAR Mileage'!AA437*CAR!$I$58</f>
        <v>25215.679994115642</v>
      </c>
      <c r="AB416" s="295">
        <f>'CAR Mileage'!AB437*CAR!$I$58</f>
        <v>25215.679994115642</v>
      </c>
      <c r="AC416" s="295">
        <f>'CAR Mileage'!AC437*CAR!$I$58</f>
        <v>25215.679994115642</v>
      </c>
      <c r="AD416" s="295">
        <f>'CAR Mileage'!AD437*CAR!$I$58</f>
        <v>25215.679994115642</v>
      </c>
      <c r="AE416" s="296">
        <f>'CAR Mileage'!AE437*CAR!$I$58</f>
        <v>25215.679994115642</v>
      </c>
      <c r="AG416" s="1711"/>
      <c r="AH416" s="116">
        <v>7</v>
      </c>
      <c r="AI416" s="294">
        <f>'CAR Passenger Kilometres'!C416*'CAR Stock'!C466</f>
        <v>0</v>
      </c>
      <c r="AJ416" s="295">
        <f>'CAR Passenger Kilometres'!D416*'CAR Stock'!D466</f>
        <v>0</v>
      </c>
      <c r="AK416" s="295">
        <f>'CAR Passenger Kilometres'!E416*'CAR Stock'!E466</f>
        <v>0</v>
      </c>
      <c r="AL416" s="295">
        <f>'CAR Passenger Kilometres'!F416*'CAR Stock'!F466</f>
        <v>25215.679994115642</v>
      </c>
      <c r="AM416" s="295">
        <f>'CAR Passenger Kilometres'!G416*'CAR Stock'!G466</f>
        <v>1008627.1997646256</v>
      </c>
      <c r="AN416" s="295">
        <f>'CAR Passenger Kilometres'!H416*'CAR Stock'!H466</f>
        <v>10212350.397616835</v>
      </c>
      <c r="AO416" s="295">
        <f>'CAR Passenger Kilometres'!I416*'CAR Stock'!I466</f>
        <v>8648978.2379816659</v>
      </c>
      <c r="AP416" s="295">
        <f>'CAR Passenger Kilometres'!J416*'CAR Stock'!J466</f>
        <v>11246193.277375577</v>
      </c>
      <c r="AQ416" s="295">
        <f>'CAR Passenger Kilometres'!K416*'CAR Stock'!K466</f>
        <v>0</v>
      </c>
      <c r="AR416" s="295">
        <f>'CAR Passenger Kilometres'!L416*'CAR Stock'!L466</f>
        <v>0</v>
      </c>
      <c r="AS416" s="295">
        <f>'CAR Passenger Kilometres'!M416*'CAR Stock'!M466</f>
        <v>0</v>
      </c>
      <c r="AT416" s="295">
        <f>'CAR Passenger Kilometres'!N416*'CAR Stock'!N466</f>
        <v>0</v>
      </c>
      <c r="AU416" s="295">
        <f>'CAR Passenger Kilometres'!O416*'CAR Stock'!O466</f>
        <v>0</v>
      </c>
      <c r="AV416" s="295">
        <f>'CAR Passenger Kilometres'!P416*'CAR Stock'!P466</f>
        <v>0</v>
      </c>
      <c r="AW416" s="295">
        <f>'CAR Passenger Kilometres'!Q416*'CAR Stock'!Q466</f>
        <v>0</v>
      </c>
      <c r="AX416" s="295">
        <f>'CAR Passenger Kilometres'!R416*'CAR Stock'!R466</f>
        <v>0</v>
      </c>
      <c r="AY416" s="295">
        <f>'CAR Passenger Kilometres'!S416*'CAR Stock'!S466</f>
        <v>0</v>
      </c>
      <c r="AZ416" s="295">
        <f>'CAR Passenger Kilometres'!T416*'CAR Stock'!T466</f>
        <v>0</v>
      </c>
      <c r="BA416" s="295">
        <f>'CAR Passenger Kilometres'!U416*'CAR Stock'!U466</f>
        <v>0</v>
      </c>
      <c r="BB416" s="295">
        <f>'CAR Passenger Kilometres'!V416*'CAR Stock'!V466</f>
        <v>0</v>
      </c>
      <c r="BC416" s="295">
        <f>'CAR Passenger Kilometres'!W416*'CAR Stock'!W466</f>
        <v>0</v>
      </c>
      <c r="BD416" s="295">
        <f>'CAR Passenger Kilometres'!X416*'CAR Stock'!X466</f>
        <v>0</v>
      </c>
      <c r="BE416" s="295">
        <f>'CAR Passenger Kilometres'!Y416*'CAR Stock'!Y466</f>
        <v>0</v>
      </c>
      <c r="BF416" s="295">
        <f>'CAR Passenger Kilometres'!Z416*'CAR Stock'!Z466</f>
        <v>0</v>
      </c>
      <c r="BG416" s="295">
        <f>'CAR Passenger Kilometres'!AA416*'CAR Stock'!AA466</f>
        <v>0</v>
      </c>
      <c r="BH416" s="295">
        <f>'CAR Passenger Kilometres'!AB416*'CAR Stock'!AB466</f>
        <v>0</v>
      </c>
      <c r="BI416" s="295">
        <f>'CAR Passenger Kilometres'!AC416*'CAR Stock'!AC466</f>
        <v>0</v>
      </c>
      <c r="BJ416" s="295">
        <f>'CAR Passenger Kilometres'!AD416*'CAR Stock'!AD466</f>
        <v>0</v>
      </c>
      <c r="BK416" s="296">
        <f>'CAR Passenger Kilometres'!AE416*'CAR Stock'!AE466</f>
        <v>0</v>
      </c>
    </row>
    <row r="417" spans="1:63">
      <c r="A417" s="1711"/>
      <c r="B417" s="116">
        <v>8</v>
      </c>
      <c r="C417" s="294">
        <f>'CAR Mileage'!C438*CAR!$I$58</f>
        <v>24711.366394233326</v>
      </c>
      <c r="D417" s="295">
        <f>'CAR Mileage'!D438*CAR!$I$58</f>
        <v>24711.366394233326</v>
      </c>
      <c r="E417" s="295">
        <f>'CAR Mileage'!E438*CAR!$I$58</f>
        <v>24711.366394233326</v>
      </c>
      <c r="F417" s="295">
        <f>'CAR Mileage'!F438*CAR!$I$58</f>
        <v>24711.366394233326</v>
      </c>
      <c r="G417" s="295">
        <f>'CAR Mileage'!G438*CAR!$I$58</f>
        <v>24711.366394233326</v>
      </c>
      <c r="H417" s="295">
        <f>'CAR Mileage'!H438*CAR!$I$58</f>
        <v>24711.366394233326</v>
      </c>
      <c r="I417" s="295">
        <f>'CAR Mileage'!I438*CAR!$I$58</f>
        <v>24711.366394233326</v>
      </c>
      <c r="J417" s="295">
        <f>'CAR Mileage'!J438*CAR!$I$58</f>
        <v>24711.366394233326</v>
      </c>
      <c r="K417" s="295">
        <f>'CAR Mileage'!K438*CAR!$I$58</f>
        <v>24711.366394233326</v>
      </c>
      <c r="L417" s="295">
        <f>'CAR Mileage'!L438*CAR!$I$58</f>
        <v>24711.366394233326</v>
      </c>
      <c r="M417" s="295">
        <f>'CAR Mileage'!M438*CAR!$I$58</f>
        <v>24711.366394233326</v>
      </c>
      <c r="N417" s="295">
        <f>'CAR Mileage'!N438*CAR!$I$58</f>
        <v>24711.366394233326</v>
      </c>
      <c r="O417" s="295">
        <f>'CAR Mileage'!O438*CAR!$I$58</f>
        <v>24711.366394233326</v>
      </c>
      <c r="P417" s="295">
        <f>'CAR Mileage'!P438*CAR!$I$58</f>
        <v>24711.366394233326</v>
      </c>
      <c r="Q417" s="295">
        <f>'CAR Mileage'!Q438*CAR!$I$58</f>
        <v>24711.366394233326</v>
      </c>
      <c r="R417" s="295">
        <f>'CAR Mileage'!R438*CAR!$I$58</f>
        <v>24711.366394233326</v>
      </c>
      <c r="S417" s="295">
        <f>'CAR Mileage'!S438*CAR!$I$58</f>
        <v>24711.366394233326</v>
      </c>
      <c r="T417" s="295">
        <f>'CAR Mileage'!T438*CAR!$I$58</f>
        <v>24711.366394233326</v>
      </c>
      <c r="U417" s="295">
        <f>'CAR Mileage'!U438*CAR!$I$58</f>
        <v>24711.366394233326</v>
      </c>
      <c r="V417" s="295">
        <f>'CAR Mileage'!V438*CAR!$I$58</f>
        <v>24711.366394233326</v>
      </c>
      <c r="W417" s="295">
        <f>'CAR Mileage'!W438*CAR!$I$58</f>
        <v>24711.366394233326</v>
      </c>
      <c r="X417" s="295">
        <f>'CAR Mileage'!X438*CAR!$I$58</f>
        <v>24711.366394233326</v>
      </c>
      <c r="Y417" s="295">
        <f>'CAR Mileage'!Y438*CAR!$I$58</f>
        <v>24711.366394233326</v>
      </c>
      <c r="Z417" s="295">
        <f>'CAR Mileage'!Z438*CAR!$I$58</f>
        <v>24711.366394233326</v>
      </c>
      <c r="AA417" s="295">
        <f>'CAR Mileage'!AA438*CAR!$I$58</f>
        <v>24711.366394233326</v>
      </c>
      <c r="AB417" s="295">
        <f>'CAR Mileage'!AB438*CAR!$I$58</f>
        <v>24711.366394233326</v>
      </c>
      <c r="AC417" s="295">
        <f>'CAR Mileage'!AC438*CAR!$I$58</f>
        <v>24711.366394233326</v>
      </c>
      <c r="AD417" s="295">
        <f>'CAR Mileage'!AD438*CAR!$I$58</f>
        <v>24711.366394233326</v>
      </c>
      <c r="AE417" s="296">
        <f>'CAR Mileage'!AE438*CAR!$I$58</f>
        <v>24711.366394233326</v>
      </c>
      <c r="AG417" s="1711"/>
      <c r="AH417" s="116">
        <v>8</v>
      </c>
      <c r="AI417" s="294">
        <f>'CAR Passenger Kilometres'!C417*'CAR Stock'!C467</f>
        <v>0</v>
      </c>
      <c r="AJ417" s="295">
        <f>'CAR Passenger Kilometres'!D417*'CAR Stock'!D467</f>
        <v>0</v>
      </c>
      <c r="AK417" s="295">
        <f>'CAR Passenger Kilometres'!E417*'CAR Stock'!E467</f>
        <v>0</v>
      </c>
      <c r="AL417" s="295">
        <f>'CAR Passenger Kilometres'!F417*'CAR Stock'!F467</f>
        <v>0</v>
      </c>
      <c r="AM417" s="295">
        <f>'CAR Passenger Kilometres'!G417*'CAR Stock'!G467</f>
        <v>24587.812814468467</v>
      </c>
      <c r="AN417" s="295">
        <f>'CAR Passenger Kilometres'!H417*'CAR Stock'!H467</f>
        <v>983512.51257873874</v>
      </c>
      <c r="AO417" s="295">
        <f>'CAR Passenger Kilometres'!I417*'CAR Stock'!I467</f>
        <v>9958064.1898597293</v>
      </c>
      <c r="AP417" s="295">
        <f>'CAR Passenger Kilometres'!J417*'CAR Stock'!J467</f>
        <v>8433619.7953626849</v>
      </c>
      <c r="AQ417" s="295">
        <f>'CAR Passenger Kilometres'!K417*'CAR Stock'!K467</f>
        <v>10966164.515252937</v>
      </c>
      <c r="AR417" s="295">
        <f>'CAR Passenger Kilometres'!L417*'CAR Stock'!L467</f>
        <v>0</v>
      </c>
      <c r="AS417" s="295">
        <f>'CAR Passenger Kilometres'!M417*'CAR Stock'!M467</f>
        <v>0</v>
      </c>
      <c r="AT417" s="295">
        <f>'CAR Passenger Kilometres'!N417*'CAR Stock'!N467</f>
        <v>0</v>
      </c>
      <c r="AU417" s="295">
        <f>'CAR Passenger Kilometres'!O417*'CAR Stock'!O467</f>
        <v>0</v>
      </c>
      <c r="AV417" s="295">
        <f>'CAR Passenger Kilometres'!P417*'CAR Stock'!P467</f>
        <v>0</v>
      </c>
      <c r="AW417" s="295">
        <f>'CAR Passenger Kilometres'!Q417*'CAR Stock'!Q467</f>
        <v>0</v>
      </c>
      <c r="AX417" s="295">
        <f>'CAR Passenger Kilometres'!R417*'CAR Stock'!R467</f>
        <v>0</v>
      </c>
      <c r="AY417" s="295">
        <f>'CAR Passenger Kilometres'!S417*'CAR Stock'!S467</f>
        <v>0</v>
      </c>
      <c r="AZ417" s="295">
        <f>'CAR Passenger Kilometres'!T417*'CAR Stock'!T467</f>
        <v>0</v>
      </c>
      <c r="BA417" s="295">
        <f>'CAR Passenger Kilometres'!U417*'CAR Stock'!U467</f>
        <v>0</v>
      </c>
      <c r="BB417" s="295">
        <f>'CAR Passenger Kilometres'!V417*'CAR Stock'!V467</f>
        <v>0</v>
      </c>
      <c r="BC417" s="295">
        <f>'CAR Passenger Kilometres'!W417*'CAR Stock'!W467</f>
        <v>0</v>
      </c>
      <c r="BD417" s="295">
        <f>'CAR Passenger Kilometres'!X417*'CAR Stock'!X467</f>
        <v>0</v>
      </c>
      <c r="BE417" s="295">
        <f>'CAR Passenger Kilometres'!Y417*'CAR Stock'!Y467</f>
        <v>0</v>
      </c>
      <c r="BF417" s="295">
        <f>'CAR Passenger Kilometres'!Z417*'CAR Stock'!Z467</f>
        <v>0</v>
      </c>
      <c r="BG417" s="295">
        <f>'CAR Passenger Kilometres'!AA417*'CAR Stock'!AA467</f>
        <v>0</v>
      </c>
      <c r="BH417" s="295">
        <f>'CAR Passenger Kilometres'!AB417*'CAR Stock'!AB467</f>
        <v>0</v>
      </c>
      <c r="BI417" s="295">
        <f>'CAR Passenger Kilometres'!AC417*'CAR Stock'!AC467</f>
        <v>0</v>
      </c>
      <c r="BJ417" s="295">
        <f>'CAR Passenger Kilometres'!AD417*'CAR Stock'!AD467</f>
        <v>0</v>
      </c>
      <c r="BK417" s="296">
        <f>'CAR Passenger Kilometres'!AE417*'CAR Stock'!AE467</f>
        <v>0</v>
      </c>
    </row>
    <row r="418" spans="1:63">
      <c r="A418" s="1711"/>
      <c r="B418" s="116">
        <v>9</v>
      </c>
      <c r="C418" s="294">
        <f>'CAR Mileage'!C439*CAR!$I$58</f>
        <v>24217.13906634866</v>
      </c>
      <c r="D418" s="295">
        <f>'CAR Mileage'!D439*CAR!$I$58</f>
        <v>24217.13906634866</v>
      </c>
      <c r="E418" s="295">
        <f>'CAR Mileage'!E439*CAR!$I$58</f>
        <v>24217.13906634866</v>
      </c>
      <c r="F418" s="295">
        <f>'CAR Mileage'!F439*CAR!$I$58</f>
        <v>24217.13906634866</v>
      </c>
      <c r="G418" s="295">
        <f>'CAR Mileage'!G439*CAR!$I$58</f>
        <v>24217.13906634866</v>
      </c>
      <c r="H418" s="295">
        <f>'CAR Mileage'!H439*CAR!$I$58</f>
        <v>24217.13906634866</v>
      </c>
      <c r="I418" s="295">
        <f>'CAR Mileage'!I439*CAR!$I$58</f>
        <v>24217.13906634866</v>
      </c>
      <c r="J418" s="295">
        <f>'CAR Mileage'!J439*CAR!$I$58</f>
        <v>24217.13906634866</v>
      </c>
      <c r="K418" s="295">
        <f>'CAR Mileage'!K439*CAR!$I$58</f>
        <v>24217.13906634866</v>
      </c>
      <c r="L418" s="295">
        <f>'CAR Mileage'!L439*CAR!$I$58</f>
        <v>24217.13906634866</v>
      </c>
      <c r="M418" s="295">
        <f>'CAR Mileage'!M439*CAR!$I$58</f>
        <v>24217.13906634866</v>
      </c>
      <c r="N418" s="295">
        <f>'CAR Mileage'!N439*CAR!$I$58</f>
        <v>24217.13906634866</v>
      </c>
      <c r="O418" s="295">
        <f>'CAR Mileage'!O439*CAR!$I$58</f>
        <v>24217.13906634866</v>
      </c>
      <c r="P418" s="295">
        <f>'CAR Mileage'!P439*CAR!$I$58</f>
        <v>24217.13906634866</v>
      </c>
      <c r="Q418" s="295">
        <f>'CAR Mileage'!Q439*CAR!$I$58</f>
        <v>24217.13906634866</v>
      </c>
      <c r="R418" s="295">
        <f>'CAR Mileage'!R439*CAR!$I$58</f>
        <v>24217.13906634866</v>
      </c>
      <c r="S418" s="295">
        <f>'CAR Mileage'!S439*CAR!$I$58</f>
        <v>24217.13906634866</v>
      </c>
      <c r="T418" s="295">
        <f>'CAR Mileage'!T439*CAR!$I$58</f>
        <v>24217.13906634866</v>
      </c>
      <c r="U418" s="295">
        <f>'CAR Mileage'!U439*CAR!$I$58</f>
        <v>24217.13906634866</v>
      </c>
      <c r="V418" s="295">
        <f>'CAR Mileage'!V439*CAR!$I$58</f>
        <v>24217.13906634866</v>
      </c>
      <c r="W418" s="295">
        <f>'CAR Mileage'!W439*CAR!$I$58</f>
        <v>24217.13906634866</v>
      </c>
      <c r="X418" s="295">
        <f>'CAR Mileage'!X439*CAR!$I$58</f>
        <v>24217.13906634866</v>
      </c>
      <c r="Y418" s="295">
        <f>'CAR Mileage'!Y439*CAR!$I$58</f>
        <v>24217.13906634866</v>
      </c>
      <c r="Z418" s="295">
        <f>'CAR Mileage'!Z439*CAR!$I$58</f>
        <v>24217.13906634866</v>
      </c>
      <c r="AA418" s="295">
        <f>'CAR Mileage'!AA439*CAR!$I$58</f>
        <v>24217.13906634866</v>
      </c>
      <c r="AB418" s="295">
        <f>'CAR Mileage'!AB439*CAR!$I$58</f>
        <v>24217.13906634866</v>
      </c>
      <c r="AC418" s="295">
        <f>'CAR Mileage'!AC439*CAR!$I$58</f>
        <v>24217.13906634866</v>
      </c>
      <c r="AD418" s="295">
        <f>'CAR Mileage'!AD439*CAR!$I$58</f>
        <v>24217.13906634866</v>
      </c>
      <c r="AE418" s="296">
        <f>'CAR Mileage'!AE439*CAR!$I$58</f>
        <v>24217.13906634866</v>
      </c>
      <c r="AG418" s="1711"/>
      <c r="AH418" s="116">
        <v>9</v>
      </c>
      <c r="AI418" s="294">
        <f>'CAR Passenger Kilometres'!C418*'CAR Stock'!C468</f>
        <v>0</v>
      </c>
      <c r="AJ418" s="295">
        <f>'CAR Passenger Kilometres'!D418*'CAR Stock'!D468</f>
        <v>0</v>
      </c>
      <c r="AK418" s="295">
        <f>'CAR Passenger Kilometres'!E418*'CAR Stock'!E468</f>
        <v>0</v>
      </c>
      <c r="AL418" s="295">
        <f>'CAR Passenger Kilometres'!F418*'CAR Stock'!F468</f>
        <v>0</v>
      </c>
      <c r="AM418" s="295">
        <f>'CAR Passenger Kilometres'!G418*'CAR Stock'!G468</f>
        <v>0</v>
      </c>
      <c r="AN418" s="295">
        <f>'CAR Passenger Kilometres'!H418*'CAR Stock'!H468</f>
        <v>22774.862286232601</v>
      </c>
      <c r="AO418" s="295">
        <f>'CAR Passenger Kilometres'!I418*'CAR Stock'!I468</f>
        <v>910994.49144930404</v>
      </c>
      <c r="AP418" s="295">
        <f>'CAR Passenger Kilometres'!J418*'CAR Stock'!J468</f>
        <v>9223819.2259242032</v>
      </c>
      <c r="AQ418" s="295">
        <f>'CAR Passenger Kilometres'!K418*'CAR Stock'!K468</f>
        <v>7811777.7641777815</v>
      </c>
      <c r="AR418" s="295">
        <f>'CAR Passenger Kilometres'!L418*'CAR Stock'!L468</f>
        <v>10157588.579659741</v>
      </c>
      <c r="AS418" s="295">
        <f>'CAR Passenger Kilometres'!M418*'CAR Stock'!M468</f>
        <v>0</v>
      </c>
      <c r="AT418" s="295">
        <f>'CAR Passenger Kilometres'!N418*'CAR Stock'!N468</f>
        <v>0</v>
      </c>
      <c r="AU418" s="295">
        <f>'CAR Passenger Kilometres'!O418*'CAR Stock'!O468</f>
        <v>0</v>
      </c>
      <c r="AV418" s="295">
        <f>'CAR Passenger Kilometres'!P418*'CAR Stock'!P468</f>
        <v>0</v>
      </c>
      <c r="AW418" s="295">
        <f>'CAR Passenger Kilometres'!Q418*'CAR Stock'!Q468</f>
        <v>0</v>
      </c>
      <c r="AX418" s="295">
        <f>'CAR Passenger Kilometres'!R418*'CAR Stock'!R468</f>
        <v>0</v>
      </c>
      <c r="AY418" s="295">
        <f>'CAR Passenger Kilometres'!S418*'CAR Stock'!S468</f>
        <v>0</v>
      </c>
      <c r="AZ418" s="295">
        <f>'CAR Passenger Kilometres'!T418*'CAR Stock'!T468</f>
        <v>0</v>
      </c>
      <c r="BA418" s="295">
        <f>'CAR Passenger Kilometres'!U418*'CAR Stock'!U468</f>
        <v>0</v>
      </c>
      <c r="BB418" s="295">
        <f>'CAR Passenger Kilometres'!V418*'CAR Stock'!V468</f>
        <v>0</v>
      </c>
      <c r="BC418" s="295">
        <f>'CAR Passenger Kilometres'!W418*'CAR Stock'!W468</f>
        <v>0</v>
      </c>
      <c r="BD418" s="295">
        <f>'CAR Passenger Kilometres'!X418*'CAR Stock'!X468</f>
        <v>0</v>
      </c>
      <c r="BE418" s="295">
        <f>'CAR Passenger Kilometres'!Y418*'CAR Stock'!Y468</f>
        <v>0</v>
      </c>
      <c r="BF418" s="295">
        <f>'CAR Passenger Kilometres'!Z418*'CAR Stock'!Z468</f>
        <v>0</v>
      </c>
      <c r="BG418" s="295">
        <f>'CAR Passenger Kilometres'!AA418*'CAR Stock'!AA468</f>
        <v>0</v>
      </c>
      <c r="BH418" s="295">
        <f>'CAR Passenger Kilometres'!AB418*'CAR Stock'!AB468</f>
        <v>0</v>
      </c>
      <c r="BI418" s="295">
        <f>'CAR Passenger Kilometres'!AC418*'CAR Stock'!AC468</f>
        <v>0</v>
      </c>
      <c r="BJ418" s="295">
        <f>'CAR Passenger Kilometres'!AD418*'CAR Stock'!AD468</f>
        <v>0</v>
      </c>
      <c r="BK418" s="296">
        <f>'CAR Passenger Kilometres'!AE418*'CAR Stock'!AE468</f>
        <v>0</v>
      </c>
    </row>
    <row r="419" spans="1:63">
      <c r="A419" s="1711"/>
      <c r="B419" s="116">
        <v>10</v>
      </c>
      <c r="C419" s="294">
        <f>'CAR Mileage'!C440*CAR!$I$58</f>
        <v>23732.796285021686</v>
      </c>
      <c r="D419" s="295">
        <f>'CAR Mileage'!D440*CAR!$I$58</f>
        <v>23732.796285021686</v>
      </c>
      <c r="E419" s="295">
        <f>'CAR Mileage'!E440*CAR!$I$58</f>
        <v>23732.796285021686</v>
      </c>
      <c r="F419" s="295">
        <f>'CAR Mileage'!F440*CAR!$I$58</f>
        <v>23732.796285021686</v>
      </c>
      <c r="G419" s="295">
        <f>'CAR Mileage'!G440*CAR!$I$58</f>
        <v>23732.796285021686</v>
      </c>
      <c r="H419" s="295">
        <f>'CAR Mileage'!H440*CAR!$I$58</f>
        <v>23732.796285021686</v>
      </c>
      <c r="I419" s="295">
        <f>'CAR Mileage'!I440*CAR!$I$58</f>
        <v>23732.796285021686</v>
      </c>
      <c r="J419" s="295">
        <f>'CAR Mileage'!J440*CAR!$I$58</f>
        <v>23732.796285021686</v>
      </c>
      <c r="K419" s="295">
        <f>'CAR Mileage'!K440*CAR!$I$58</f>
        <v>23732.796285021686</v>
      </c>
      <c r="L419" s="295">
        <f>'CAR Mileage'!L440*CAR!$I$58</f>
        <v>23732.796285021686</v>
      </c>
      <c r="M419" s="295">
        <f>'CAR Mileage'!M440*CAR!$I$58</f>
        <v>23732.796285021686</v>
      </c>
      <c r="N419" s="295">
        <f>'CAR Mileage'!N440*CAR!$I$58</f>
        <v>23732.796285021686</v>
      </c>
      <c r="O419" s="295">
        <f>'CAR Mileage'!O440*CAR!$I$58</f>
        <v>23732.796285021686</v>
      </c>
      <c r="P419" s="295">
        <f>'CAR Mileage'!P440*CAR!$I$58</f>
        <v>23732.796285021686</v>
      </c>
      <c r="Q419" s="295">
        <f>'CAR Mileage'!Q440*CAR!$I$58</f>
        <v>23732.796285021686</v>
      </c>
      <c r="R419" s="295">
        <f>'CAR Mileage'!R440*CAR!$I$58</f>
        <v>23732.796285021686</v>
      </c>
      <c r="S419" s="295">
        <f>'CAR Mileage'!S440*CAR!$I$58</f>
        <v>23732.796285021686</v>
      </c>
      <c r="T419" s="295">
        <f>'CAR Mileage'!T440*CAR!$I$58</f>
        <v>23732.796285021686</v>
      </c>
      <c r="U419" s="295">
        <f>'CAR Mileage'!U440*CAR!$I$58</f>
        <v>23732.796285021686</v>
      </c>
      <c r="V419" s="295">
        <f>'CAR Mileage'!V440*CAR!$I$58</f>
        <v>23732.796285021686</v>
      </c>
      <c r="W419" s="295">
        <f>'CAR Mileage'!W440*CAR!$I$58</f>
        <v>23732.796285021686</v>
      </c>
      <c r="X419" s="295">
        <f>'CAR Mileage'!X440*CAR!$I$58</f>
        <v>23732.796285021686</v>
      </c>
      <c r="Y419" s="295">
        <f>'CAR Mileage'!Y440*CAR!$I$58</f>
        <v>23732.796285021686</v>
      </c>
      <c r="Z419" s="295">
        <f>'CAR Mileage'!Z440*CAR!$I$58</f>
        <v>23732.796285021686</v>
      </c>
      <c r="AA419" s="295">
        <f>'CAR Mileage'!AA440*CAR!$I$58</f>
        <v>23732.796285021686</v>
      </c>
      <c r="AB419" s="295">
        <f>'CAR Mileage'!AB440*CAR!$I$58</f>
        <v>23732.796285021686</v>
      </c>
      <c r="AC419" s="295">
        <f>'CAR Mileage'!AC440*CAR!$I$58</f>
        <v>23732.796285021686</v>
      </c>
      <c r="AD419" s="295">
        <f>'CAR Mileage'!AD440*CAR!$I$58</f>
        <v>23732.796285021686</v>
      </c>
      <c r="AE419" s="296">
        <f>'CAR Mileage'!AE440*CAR!$I$58</f>
        <v>23732.796285021686</v>
      </c>
      <c r="AG419" s="1711"/>
      <c r="AH419" s="116">
        <v>10</v>
      </c>
      <c r="AI419" s="294">
        <f>'CAR Passenger Kilometres'!C419*'CAR Stock'!C469</f>
        <v>0</v>
      </c>
      <c r="AJ419" s="295">
        <f>'CAR Passenger Kilometres'!D419*'CAR Stock'!D469</f>
        <v>0</v>
      </c>
      <c r="AK419" s="295">
        <f>'CAR Passenger Kilometres'!E419*'CAR Stock'!E469</f>
        <v>0</v>
      </c>
      <c r="AL419" s="295">
        <f>'CAR Passenger Kilometres'!F419*'CAR Stock'!F469</f>
        <v>0</v>
      </c>
      <c r="AM419" s="295">
        <f>'CAR Passenger Kilometres'!G419*'CAR Stock'!G469</f>
        <v>0</v>
      </c>
      <c r="AN419" s="295">
        <f>'CAR Passenger Kilometres'!H419*'CAR Stock'!H469</f>
        <v>0</v>
      </c>
      <c r="AO419" s="295">
        <f>'CAR Passenger Kilometres'!I419*'CAR Stock'!I469</f>
        <v>19100.390921448503</v>
      </c>
      <c r="AP419" s="295">
        <f>'CAR Passenger Kilometres'!J419*'CAR Stock'!J469</f>
        <v>764015.63685794</v>
      </c>
      <c r="AQ419" s="295">
        <f>'CAR Passenger Kilometres'!K419*'CAR Stock'!K469</f>
        <v>7735658.3231866425</v>
      </c>
      <c r="AR419" s="295">
        <f>'CAR Passenger Kilometres'!L419*'CAR Stock'!L469</f>
        <v>6551434.0860568359</v>
      </c>
      <c r="AS419" s="295">
        <f>'CAR Passenger Kilometres'!M419*'CAR Stock'!M469</f>
        <v>8518774.3509660326</v>
      </c>
      <c r="AT419" s="295">
        <f>'CAR Passenger Kilometres'!N419*'CAR Stock'!N469</f>
        <v>0</v>
      </c>
      <c r="AU419" s="295">
        <f>'CAR Passenger Kilometres'!O419*'CAR Stock'!O469</f>
        <v>0</v>
      </c>
      <c r="AV419" s="295">
        <f>'CAR Passenger Kilometres'!P419*'CAR Stock'!P469</f>
        <v>0</v>
      </c>
      <c r="AW419" s="295">
        <f>'CAR Passenger Kilometres'!Q419*'CAR Stock'!Q469</f>
        <v>0</v>
      </c>
      <c r="AX419" s="295">
        <f>'CAR Passenger Kilometres'!R419*'CAR Stock'!R469</f>
        <v>0</v>
      </c>
      <c r="AY419" s="295">
        <f>'CAR Passenger Kilometres'!S419*'CAR Stock'!S469</f>
        <v>0</v>
      </c>
      <c r="AZ419" s="295">
        <f>'CAR Passenger Kilometres'!T419*'CAR Stock'!T469</f>
        <v>0</v>
      </c>
      <c r="BA419" s="295">
        <f>'CAR Passenger Kilometres'!U419*'CAR Stock'!U469</f>
        <v>0</v>
      </c>
      <c r="BB419" s="295">
        <f>'CAR Passenger Kilometres'!V419*'CAR Stock'!V469</f>
        <v>0</v>
      </c>
      <c r="BC419" s="295">
        <f>'CAR Passenger Kilometres'!W419*'CAR Stock'!W469</f>
        <v>0</v>
      </c>
      <c r="BD419" s="295">
        <f>'CAR Passenger Kilometres'!X419*'CAR Stock'!X469</f>
        <v>0</v>
      </c>
      <c r="BE419" s="295">
        <f>'CAR Passenger Kilometres'!Y419*'CAR Stock'!Y469</f>
        <v>0</v>
      </c>
      <c r="BF419" s="295">
        <f>'CAR Passenger Kilometres'!Z419*'CAR Stock'!Z469</f>
        <v>0</v>
      </c>
      <c r="BG419" s="295">
        <f>'CAR Passenger Kilometres'!AA419*'CAR Stock'!AA469</f>
        <v>0</v>
      </c>
      <c r="BH419" s="295">
        <f>'CAR Passenger Kilometres'!AB419*'CAR Stock'!AB469</f>
        <v>0</v>
      </c>
      <c r="BI419" s="295">
        <f>'CAR Passenger Kilometres'!AC419*'CAR Stock'!AC469</f>
        <v>0</v>
      </c>
      <c r="BJ419" s="295">
        <f>'CAR Passenger Kilometres'!AD419*'CAR Stock'!AD469</f>
        <v>0</v>
      </c>
      <c r="BK419" s="296">
        <f>'CAR Passenger Kilometres'!AE419*'CAR Stock'!AE469</f>
        <v>0</v>
      </c>
    </row>
    <row r="420" spans="1:63">
      <c r="A420" s="1711"/>
      <c r="B420" s="116">
        <v>11</v>
      </c>
      <c r="C420" s="294">
        <f>'CAR Mileage'!C441*CAR!$I$58</f>
        <v>23258.140359321249</v>
      </c>
      <c r="D420" s="295">
        <f>'CAR Mileage'!D441*CAR!$I$58</f>
        <v>23258.140359321249</v>
      </c>
      <c r="E420" s="295">
        <f>'CAR Mileage'!E441*CAR!$I$58</f>
        <v>23258.140359321249</v>
      </c>
      <c r="F420" s="295">
        <f>'CAR Mileage'!F441*CAR!$I$58</f>
        <v>23258.140359321249</v>
      </c>
      <c r="G420" s="295">
        <f>'CAR Mileage'!G441*CAR!$I$58</f>
        <v>23258.140359321249</v>
      </c>
      <c r="H420" s="295">
        <f>'CAR Mileage'!H441*CAR!$I$58</f>
        <v>23258.140359321249</v>
      </c>
      <c r="I420" s="295">
        <f>'CAR Mileage'!I441*CAR!$I$58</f>
        <v>23258.140359321249</v>
      </c>
      <c r="J420" s="295">
        <f>'CAR Mileage'!J441*CAR!$I$58</f>
        <v>23258.140359321249</v>
      </c>
      <c r="K420" s="295">
        <f>'CAR Mileage'!K441*CAR!$I$58</f>
        <v>23258.140359321249</v>
      </c>
      <c r="L420" s="295">
        <f>'CAR Mileage'!L441*CAR!$I$58</f>
        <v>23258.140359321249</v>
      </c>
      <c r="M420" s="295">
        <f>'CAR Mileage'!M441*CAR!$I$58</f>
        <v>23258.140359321249</v>
      </c>
      <c r="N420" s="295">
        <f>'CAR Mileage'!N441*CAR!$I$58</f>
        <v>23258.140359321249</v>
      </c>
      <c r="O420" s="295">
        <f>'CAR Mileage'!O441*CAR!$I$58</f>
        <v>23258.140359321249</v>
      </c>
      <c r="P420" s="295">
        <f>'CAR Mileage'!P441*CAR!$I$58</f>
        <v>23258.140359321249</v>
      </c>
      <c r="Q420" s="295">
        <f>'CAR Mileage'!Q441*CAR!$I$58</f>
        <v>23258.140359321249</v>
      </c>
      <c r="R420" s="295">
        <f>'CAR Mileage'!R441*CAR!$I$58</f>
        <v>23258.140359321249</v>
      </c>
      <c r="S420" s="295">
        <f>'CAR Mileage'!S441*CAR!$I$58</f>
        <v>23258.140359321249</v>
      </c>
      <c r="T420" s="295">
        <f>'CAR Mileage'!T441*CAR!$I$58</f>
        <v>23258.140359321249</v>
      </c>
      <c r="U420" s="295">
        <f>'CAR Mileage'!U441*CAR!$I$58</f>
        <v>23258.140359321249</v>
      </c>
      <c r="V420" s="295">
        <f>'CAR Mileage'!V441*CAR!$I$58</f>
        <v>23258.140359321249</v>
      </c>
      <c r="W420" s="295">
        <f>'CAR Mileage'!W441*CAR!$I$58</f>
        <v>23258.140359321249</v>
      </c>
      <c r="X420" s="295">
        <f>'CAR Mileage'!X441*CAR!$I$58</f>
        <v>23258.140359321249</v>
      </c>
      <c r="Y420" s="295">
        <f>'CAR Mileage'!Y441*CAR!$I$58</f>
        <v>23258.140359321249</v>
      </c>
      <c r="Z420" s="295">
        <f>'CAR Mileage'!Z441*CAR!$I$58</f>
        <v>23258.140359321249</v>
      </c>
      <c r="AA420" s="295">
        <f>'CAR Mileage'!AA441*CAR!$I$58</f>
        <v>23258.140359321249</v>
      </c>
      <c r="AB420" s="295">
        <f>'CAR Mileage'!AB441*CAR!$I$58</f>
        <v>23258.140359321249</v>
      </c>
      <c r="AC420" s="295">
        <f>'CAR Mileage'!AC441*CAR!$I$58</f>
        <v>23258.140359321249</v>
      </c>
      <c r="AD420" s="295">
        <f>'CAR Mileage'!AD441*CAR!$I$58</f>
        <v>23258.140359321249</v>
      </c>
      <c r="AE420" s="296">
        <f>'CAR Mileage'!AE441*CAR!$I$58</f>
        <v>23258.140359321249</v>
      </c>
      <c r="AG420" s="1711"/>
      <c r="AH420" s="116">
        <v>11</v>
      </c>
      <c r="AI420" s="294">
        <f>'CAR Passenger Kilometres'!C420*'CAR Stock'!C470</f>
        <v>0</v>
      </c>
      <c r="AJ420" s="295">
        <f>'CAR Passenger Kilometres'!D420*'CAR Stock'!D470</f>
        <v>0</v>
      </c>
      <c r="AK420" s="295">
        <f>'CAR Passenger Kilometres'!E420*'CAR Stock'!E470</f>
        <v>0</v>
      </c>
      <c r="AL420" s="295">
        <f>'CAR Passenger Kilometres'!F420*'CAR Stock'!F470</f>
        <v>0</v>
      </c>
      <c r="AM420" s="295">
        <f>'CAR Passenger Kilometres'!G420*'CAR Stock'!G470</f>
        <v>0</v>
      </c>
      <c r="AN420" s="295">
        <f>'CAR Passenger Kilometres'!H420*'CAR Stock'!H470</f>
        <v>0</v>
      </c>
      <c r="AO420" s="295">
        <f>'CAR Passenger Kilometres'!I420*'CAR Stock'!I470</f>
        <v>0</v>
      </c>
      <c r="AP420" s="295">
        <f>'CAR Passenger Kilometres'!J420*'CAR Stock'!J470</f>
        <v>13848.96945825721</v>
      </c>
      <c r="AQ420" s="295">
        <f>'CAR Passenger Kilometres'!K420*'CAR Stock'!K470</f>
        <v>553958.77833028836</v>
      </c>
      <c r="AR420" s="295">
        <f>'CAR Passenger Kilometres'!L420*'CAR Stock'!L470</f>
        <v>5608832.6305941697</v>
      </c>
      <c r="AS420" s="295">
        <f>'CAR Passenger Kilometres'!M420*'CAR Stock'!M470</f>
        <v>4750196.5241822228</v>
      </c>
      <c r="AT420" s="295">
        <f>'CAR Passenger Kilometres'!N420*'CAR Stock'!N470</f>
        <v>6176640.3783827163</v>
      </c>
      <c r="AU420" s="295">
        <f>'CAR Passenger Kilometres'!O420*'CAR Stock'!O470</f>
        <v>0</v>
      </c>
      <c r="AV420" s="295">
        <f>'CAR Passenger Kilometres'!P420*'CAR Stock'!P470</f>
        <v>0</v>
      </c>
      <c r="AW420" s="295">
        <f>'CAR Passenger Kilometres'!Q420*'CAR Stock'!Q470</f>
        <v>0</v>
      </c>
      <c r="AX420" s="295">
        <f>'CAR Passenger Kilometres'!R420*'CAR Stock'!R470</f>
        <v>0</v>
      </c>
      <c r="AY420" s="295">
        <f>'CAR Passenger Kilometres'!S420*'CAR Stock'!S470</f>
        <v>0</v>
      </c>
      <c r="AZ420" s="295">
        <f>'CAR Passenger Kilometres'!T420*'CAR Stock'!T470</f>
        <v>0</v>
      </c>
      <c r="BA420" s="295">
        <f>'CAR Passenger Kilometres'!U420*'CAR Stock'!U470</f>
        <v>0</v>
      </c>
      <c r="BB420" s="295">
        <f>'CAR Passenger Kilometres'!V420*'CAR Stock'!V470</f>
        <v>0</v>
      </c>
      <c r="BC420" s="295">
        <f>'CAR Passenger Kilometres'!W420*'CAR Stock'!W470</f>
        <v>0</v>
      </c>
      <c r="BD420" s="295">
        <f>'CAR Passenger Kilometres'!X420*'CAR Stock'!X470</f>
        <v>0</v>
      </c>
      <c r="BE420" s="295">
        <f>'CAR Passenger Kilometres'!Y420*'CAR Stock'!Y470</f>
        <v>0</v>
      </c>
      <c r="BF420" s="295">
        <f>'CAR Passenger Kilometres'!Z420*'CAR Stock'!Z470</f>
        <v>0</v>
      </c>
      <c r="BG420" s="295">
        <f>'CAR Passenger Kilometres'!AA420*'CAR Stock'!AA470</f>
        <v>0</v>
      </c>
      <c r="BH420" s="295">
        <f>'CAR Passenger Kilometres'!AB420*'CAR Stock'!AB470</f>
        <v>0</v>
      </c>
      <c r="BI420" s="295">
        <f>'CAR Passenger Kilometres'!AC420*'CAR Stock'!AC470</f>
        <v>0</v>
      </c>
      <c r="BJ420" s="295">
        <f>'CAR Passenger Kilometres'!AD420*'CAR Stock'!AD470</f>
        <v>0</v>
      </c>
      <c r="BK420" s="296">
        <f>'CAR Passenger Kilometres'!AE420*'CAR Stock'!AE470</f>
        <v>0</v>
      </c>
    </row>
    <row r="421" spans="1:63">
      <c r="A421" s="1711"/>
      <c r="B421" s="116">
        <v>12</v>
      </c>
      <c r="C421" s="294">
        <f>'CAR Mileage'!C442*CAR!$I$58</f>
        <v>22792.977552134824</v>
      </c>
      <c r="D421" s="295">
        <f>'CAR Mileage'!D442*CAR!$I$58</f>
        <v>22792.977552134824</v>
      </c>
      <c r="E421" s="295">
        <f>'CAR Mileage'!E442*CAR!$I$58</f>
        <v>22792.977552134824</v>
      </c>
      <c r="F421" s="295">
        <f>'CAR Mileage'!F442*CAR!$I$58</f>
        <v>22792.977552134824</v>
      </c>
      <c r="G421" s="295">
        <f>'CAR Mileage'!G442*CAR!$I$58</f>
        <v>22792.977552134824</v>
      </c>
      <c r="H421" s="295">
        <f>'CAR Mileage'!H442*CAR!$I$58</f>
        <v>22792.977552134824</v>
      </c>
      <c r="I421" s="295">
        <f>'CAR Mileage'!I442*CAR!$I$58</f>
        <v>22792.977552134824</v>
      </c>
      <c r="J421" s="295">
        <f>'CAR Mileage'!J442*CAR!$I$58</f>
        <v>22792.977552134824</v>
      </c>
      <c r="K421" s="295">
        <f>'CAR Mileage'!K442*CAR!$I$58</f>
        <v>22792.977552134824</v>
      </c>
      <c r="L421" s="295">
        <f>'CAR Mileage'!L442*CAR!$I$58</f>
        <v>22792.977552134824</v>
      </c>
      <c r="M421" s="295">
        <f>'CAR Mileage'!M442*CAR!$I$58</f>
        <v>22792.977552134824</v>
      </c>
      <c r="N421" s="295">
        <f>'CAR Mileage'!N442*CAR!$I$58</f>
        <v>22792.977552134824</v>
      </c>
      <c r="O421" s="295">
        <f>'CAR Mileage'!O442*CAR!$I$58</f>
        <v>22792.977552134824</v>
      </c>
      <c r="P421" s="295">
        <f>'CAR Mileage'!P442*CAR!$I$58</f>
        <v>22792.977552134824</v>
      </c>
      <c r="Q421" s="295">
        <f>'CAR Mileage'!Q442*CAR!$I$58</f>
        <v>22792.977552134824</v>
      </c>
      <c r="R421" s="295">
        <f>'CAR Mileage'!R442*CAR!$I$58</f>
        <v>22792.977552134824</v>
      </c>
      <c r="S421" s="295">
        <f>'CAR Mileage'!S442*CAR!$I$58</f>
        <v>22792.977552134824</v>
      </c>
      <c r="T421" s="295">
        <f>'CAR Mileage'!T442*CAR!$I$58</f>
        <v>22792.977552134824</v>
      </c>
      <c r="U421" s="295">
        <f>'CAR Mileage'!U442*CAR!$I$58</f>
        <v>22792.977552134824</v>
      </c>
      <c r="V421" s="295">
        <f>'CAR Mileage'!V442*CAR!$I$58</f>
        <v>22792.977552134824</v>
      </c>
      <c r="W421" s="295">
        <f>'CAR Mileage'!W442*CAR!$I$58</f>
        <v>22792.977552134824</v>
      </c>
      <c r="X421" s="295">
        <f>'CAR Mileage'!X442*CAR!$I$58</f>
        <v>22792.977552134824</v>
      </c>
      <c r="Y421" s="295">
        <f>'CAR Mileage'!Y442*CAR!$I$58</f>
        <v>22792.977552134824</v>
      </c>
      <c r="Z421" s="295">
        <f>'CAR Mileage'!Z442*CAR!$I$58</f>
        <v>22792.977552134824</v>
      </c>
      <c r="AA421" s="295">
        <f>'CAR Mileage'!AA442*CAR!$I$58</f>
        <v>22792.977552134824</v>
      </c>
      <c r="AB421" s="295">
        <f>'CAR Mileage'!AB442*CAR!$I$58</f>
        <v>22792.977552134824</v>
      </c>
      <c r="AC421" s="295">
        <f>'CAR Mileage'!AC442*CAR!$I$58</f>
        <v>22792.977552134824</v>
      </c>
      <c r="AD421" s="295">
        <f>'CAR Mileage'!AD442*CAR!$I$58</f>
        <v>22792.977552134824</v>
      </c>
      <c r="AE421" s="296">
        <f>'CAR Mileage'!AE442*CAR!$I$58</f>
        <v>22792.977552134824</v>
      </c>
      <c r="AG421" s="1711"/>
      <c r="AH421" s="116">
        <v>12</v>
      </c>
      <c r="AI421" s="294">
        <f>'CAR Passenger Kilometres'!C421*'CAR Stock'!C471</f>
        <v>0</v>
      </c>
      <c r="AJ421" s="295">
        <f>'CAR Passenger Kilometres'!D421*'CAR Stock'!D471</f>
        <v>0</v>
      </c>
      <c r="AK421" s="295">
        <f>'CAR Passenger Kilometres'!E421*'CAR Stock'!E471</f>
        <v>0</v>
      </c>
      <c r="AL421" s="295">
        <f>'CAR Passenger Kilometres'!F421*'CAR Stock'!F471</f>
        <v>0</v>
      </c>
      <c r="AM421" s="295">
        <f>'CAR Passenger Kilometres'!G421*'CAR Stock'!G471</f>
        <v>0</v>
      </c>
      <c r="AN421" s="295">
        <f>'CAR Passenger Kilometres'!H421*'CAR Stock'!H471</f>
        <v>0</v>
      </c>
      <c r="AO421" s="295">
        <f>'CAR Passenger Kilometres'!I421*'CAR Stock'!I471</f>
        <v>0</v>
      </c>
      <c r="AP421" s="295">
        <f>'CAR Passenger Kilometres'!J421*'CAR Stock'!J471</f>
        <v>0</v>
      </c>
      <c r="AQ421" s="295">
        <f>'CAR Passenger Kilometres'!K421*'CAR Stock'!K471</f>
        <v>8140.8169235666664</v>
      </c>
      <c r="AR421" s="295">
        <f>'CAR Passenger Kilometres'!L421*'CAR Stock'!L471</f>
        <v>325632.67694266659</v>
      </c>
      <c r="AS421" s="295">
        <f>'CAR Passenger Kilometres'!M421*'CAR Stock'!M471</f>
        <v>3297030.8540444993</v>
      </c>
      <c r="AT421" s="295">
        <f>'CAR Passenger Kilometres'!N421*'CAR Stock'!N471</f>
        <v>2792300.2047833661</v>
      </c>
      <c r="AU421" s="295">
        <f>'CAR Passenger Kilometres'!O421*'CAR Stock'!O471</f>
        <v>3630804.3479107334</v>
      </c>
      <c r="AV421" s="295">
        <f>'CAR Passenger Kilometres'!P421*'CAR Stock'!P471</f>
        <v>0</v>
      </c>
      <c r="AW421" s="295">
        <f>'CAR Passenger Kilometres'!Q421*'CAR Stock'!Q471</f>
        <v>0</v>
      </c>
      <c r="AX421" s="295">
        <f>'CAR Passenger Kilometres'!R421*'CAR Stock'!R471</f>
        <v>0</v>
      </c>
      <c r="AY421" s="295">
        <f>'CAR Passenger Kilometres'!S421*'CAR Stock'!S471</f>
        <v>0</v>
      </c>
      <c r="AZ421" s="295">
        <f>'CAR Passenger Kilometres'!T421*'CAR Stock'!T471</f>
        <v>0</v>
      </c>
      <c r="BA421" s="295">
        <f>'CAR Passenger Kilometres'!U421*'CAR Stock'!U471</f>
        <v>0</v>
      </c>
      <c r="BB421" s="295">
        <f>'CAR Passenger Kilometres'!V421*'CAR Stock'!V471</f>
        <v>0</v>
      </c>
      <c r="BC421" s="295">
        <f>'CAR Passenger Kilometres'!W421*'CAR Stock'!W471</f>
        <v>0</v>
      </c>
      <c r="BD421" s="295">
        <f>'CAR Passenger Kilometres'!X421*'CAR Stock'!X471</f>
        <v>0</v>
      </c>
      <c r="BE421" s="295">
        <f>'CAR Passenger Kilometres'!Y421*'CAR Stock'!Y471</f>
        <v>0</v>
      </c>
      <c r="BF421" s="295">
        <f>'CAR Passenger Kilometres'!Z421*'CAR Stock'!Z471</f>
        <v>0</v>
      </c>
      <c r="BG421" s="295">
        <f>'CAR Passenger Kilometres'!AA421*'CAR Stock'!AA471</f>
        <v>0</v>
      </c>
      <c r="BH421" s="295">
        <f>'CAR Passenger Kilometres'!AB421*'CAR Stock'!AB471</f>
        <v>0</v>
      </c>
      <c r="BI421" s="295">
        <f>'CAR Passenger Kilometres'!AC421*'CAR Stock'!AC471</f>
        <v>0</v>
      </c>
      <c r="BJ421" s="295">
        <f>'CAR Passenger Kilometres'!AD421*'CAR Stock'!AD471</f>
        <v>0</v>
      </c>
      <c r="BK421" s="296">
        <f>'CAR Passenger Kilometres'!AE421*'CAR Stock'!AE471</f>
        <v>0</v>
      </c>
    </row>
    <row r="422" spans="1:63">
      <c r="A422" s="1711"/>
      <c r="B422" s="116">
        <v>13</v>
      </c>
      <c r="C422" s="294">
        <f>'CAR Mileage'!C443*CAR!$I$58</f>
        <v>22337.118001092127</v>
      </c>
      <c r="D422" s="295">
        <f>'CAR Mileage'!D443*CAR!$I$58</f>
        <v>22337.118001092127</v>
      </c>
      <c r="E422" s="295">
        <f>'CAR Mileage'!E443*CAR!$I$58</f>
        <v>22337.118001092127</v>
      </c>
      <c r="F422" s="295">
        <f>'CAR Mileage'!F443*CAR!$I$58</f>
        <v>22337.118001092127</v>
      </c>
      <c r="G422" s="295">
        <f>'CAR Mileage'!G443*CAR!$I$58</f>
        <v>22337.118001092127</v>
      </c>
      <c r="H422" s="295">
        <f>'CAR Mileage'!H443*CAR!$I$58</f>
        <v>22337.118001092127</v>
      </c>
      <c r="I422" s="295">
        <f>'CAR Mileage'!I443*CAR!$I$58</f>
        <v>22337.118001092127</v>
      </c>
      <c r="J422" s="295">
        <f>'CAR Mileage'!J443*CAR!$I$58</f>
        <v>22337.118001092127</v>
      </c>
      <c r="K422" s="295">
        <f>'CAR Mileage'!K443*CAR!$I$58</f>
        <v>22337.118001092127</v>
      </c>
      <c r="L422" s="295">
        <f>'CAR Mileage'!L443*CAR!$I$58</f>
        <v>22337.118001092127</v>
      </c>
      <c r="M422" s="295">
        <f>'CAR Mileage'!M443*CAR!$I$58</f>
        <v>22337.118001092127</v>
      </c>
      <c r="N422" s="295">
        <f>'CAR Mileage'!N443*CAR!$I$58</f>
        <v>22337.118001092127</v>
      </c>
      <c r="O422" s="295">
        <f>'CAR Mileage'!O443*CAR!$I$58</f>
        <v>22337.118001092127</v>
      </c>
      <c r="P422" s="295">
        <f>'CAR Mileage'!P443*CAR!$I$58</f>
        <v>22337.118001092127</v>
      </c>
      <c r="Q422" s="295">
        <f>'CAR Mileage'!Q443*CAR!$I$58</f>
        <v>22337.118001092127</v>
      </c>
      <c r="R422" s="295">
        <f>'CAR Mileage'!R443*CAR!$I$58</f>
        <v>22337.118001092127</v>
      </c>
      <c r="S422" s="295">
        <f>'CAR Mileage'!S443*CAR!$I$58</f>
        <v>22337.118001092127</v>
      </c>
      <c r="T422" s="295">
        <f>'CAR Mileage'!T443*CAR!$I$58</f>
        <v>22337.118001092127</v>
      </c>
      <c r="U422" s="295">
        <f>'CAR Mileage'!U443*CAR!$I$58</f>
        <v>22337.118001092127</v>
      </c>
      <c r="V422" s="295">
        <f>'CAR Mileage'!V443*CAR!$I$58</f>
        <v>22337.118001092127</v>
      </c>
      <c r="W422" s="295">
        <f>'CAR Mileage'!W443*CAR!$I$58</f>
        <v>22337.118001092127</v>
      </c>
      <c r="X422" s="295">
        <f>'CAR Mileage'!X443*CAR!$I$58</f>
        <v>22337.118001092127</v>
      </c>
      <c r="Y422" s="295">
        <f>'CAR Mileage'!Y443*CAR!$I$58</f>
        <v>22337.118001092127</v>
      </c>
      <c r="Z422" s="295">
        <f>'CAR Mileage'!Z443*CAR!$I$58</f>
        <v>22337.118001092127</v>
      </c>
      <c r="AA422" s="295">
        <f>'CAR Mileage'!AA443*CAR!$I$58</f>
        <v>22337.118001092127</v>
      </c>
      <c r="AB422" s="295">
        <f>'CAR Mileage'!AB443*CAR!$I$58</f>
        <v>22337.118001092127</v>
      </c>
      <c r="AC422" s="295">
        <f>'CAR Mileage'!AC443*CAR!$I$58</f>
        <v>22337.118001092127</v>
      </c>
      <c r="AD422" s="295">
        <f>'CAR Mileage'!AD443*CAR!$I$58</f>
        <v>22337.118001092127</v>
      </c>
      <c r="AE422" s="296">
        <f>'CAR Mileage'!AE443*CAR!$I$58</f>
        <v>22337.118001092127</v>
      </c>
      <c r="AG422" s="1711"/>
      <c r="AH422" s="116">
        <v>13</v>
      </c>
      <c r="AI422" s="294">
        <f>'CAR Passenger Kilometres'!C422*'CAR Stock'!C472</f>
        <v>0</v>
      </c>
      <c r="AJ422" s="295">
        <f>'CAR Passenger Kilometres'!D422*'CAR Stock'!D472</f>
        <v>0</v>
      </c>
      <c r="AK422" s="295">
        <f>'CAR Passenger Kilometres'!E422*'CAR Stock'!E472</f>
        <v>0</v>
      </c>
      <c r="AL422" s="295">
        <f>'CAR Passenger Kilometres'!F422*'CAR Stock'!F472</f>
        <v>0</v>
      </c>
      <c r="AM422" s="295">
        <f>'CAR Passenger Kilometres'!G422*'CAR Stock'!G472</f>
        <v>0</v>
      </c>
      <c r="AN422" s="295">
        <f>'CAR Passenger Kilometres'!H422*'CAR Stock'!H472</f>
        <v>0</v>
      </c>
      <c r="AO422" s="295">
        <f>'CAR Passenger Kilometres'!I422*'CAR Stock'!I472</f>
        <v>0</v>
      </c>
      <c r="AP422" s="295">
        <f>'CAR Passenger Kilometres'!J422*'CAR Stock'!J472</f>
        <v>0</v>
      </c>
      <c r="AQ422" s="295">
        <f>'CAR Passenger Kilometres'!K422*'CAR Stock'!K472</f>
        <v>0</v>
      </c>
      <c r="AR422" s="295">
        <f>'CAR Passenger Kilometres'!L422*'CAR Stock'!L472</f>
        <v>3780.8531460309705</v>
      </c>
      <c r="AS422" s="295">
        <f>'CAR Passenger Kilometres'!M422*'CAR Stock'!M472</f>
        <v>151234.1258412388</v>
      </c>
      <c r="AT422" s="295">
        <f>'CAR Passenger Kilometres'!N422*'CAR Stock'!N472</f>
        <v>1531245.5241425429</v>
      </c>
      <c r="AU422" s="295">
        <f>'CAR Passenger Kilometres'!O422*'CAR Stock'!O472</f>
        <v>1296832.6290886228</v>
      </c>
      <c r="AV422" s="295">
        <f>'CAR Passenger Kilometres'!P422*'CAR Stock'!P472</f>
        <v>1686260.5031298131</v>
      </c>
      <c r="AW422" s="295">
        <f>'CAR Passenger Kilometres'!Q422*'CAR Stock'!Q472</f>
        <v>0</v>
      </c>
      <c r="AX422" s="295">
        <f>'CAR Passenger Kilometres'!R422*'CAR Stock'!R472</f>
        <v>0</v>
      </c>
      <c r="AY422" s="295">
        <f>'CAR Passenger Kilometres'!S422*'CAR Stock'!S472</f>
        <v>0</v>
      </c>
      <c r="AZ422" s="295">
        <f>'CAR Passenger Kilometres'!T422*'CAR Stock'!T472</f>
        <v>0</v>
      </c>
      <c r="BA422" s="295">
        <f>'CAR Passenger Kilometres'!U422*'CAR Stock'!U472</f>
        <v>0</v>
      </c>
      <c r="BB422" s="295">
        <f>'CAR Passenger Kilometres'!V422*'CAR Stock'!V472</f>
        <v>0</v>
      </c>
      <c r="BC422" s="295">
        <f>'CAR Passenger Kilometres'!W422*'CAR Stock'!W472</f>
        <v>0</v>
      </c>
      <c r="BD422" s="295">
        <f>'CAR Passenger Kilometres'!X422*'CAR Stock'!X472</f>
        <v>0</v>
      </c>
      <c r="BE422" s="295">
        <f>'CAR Passenger Kilometres'!Y422*'CAR Stock'!Y472</f>
        <v>0</v>
      </c>
      <c r="BF422" s="295">
        <f>'CAR Passenger Kilometres'!Z422*'CAR Stock'!Z472</f>
        <v>0</v>
      </c>
      <c r="BG422" s="295">
        <f>'CAR Passenger Kilometres'!AA422*'CAR Stock'!AA472</f>
        <v>0</v>
      </c>
      <c r="BH422" s="295">
        <f>'CAR Passenger Kilometres'!AB422*'CAR Stock'!AB472</f>
        <v>0</v>
      </c>
      <c r="BI422" s="295">
        <f>'CAR Passenger Kilometres'!AC422*'CAR Stock'!AC472</f>
        <v>0</v>
      </c>
      <c r="BJ422" s="295">
        <f>'CAR Passenger Kilometres'!AD422*'CAR Stock'!AD472</f>
        <v>0</v>
      </c>
      <c r="BK422" s="296">
        <f>'CAR Passenger Kilometres'!AE422*'CAR Stock'!AE472</f>
        <v>0</v>
      </c>
    </row>
    <row r="423" spans="1:63">
      <c r="A423" s="1711"/>
      <c r="B423" s="116">
        <v>14</v>
      </c>
      <c r="C423" s="294">
        <f>'CAR Mileage'!C444*CAR!$I$58</f>
        <v>21890.375641070284</v>
      </c>
      <c r="D423" s="295">
        <f>'CAR Mileage'!D444*CAR!$I$58</f>
        <v>21890.375641070284</v>
      </c>
      <c r="E423" s="295">
        <f>'CAR Mileage'!E444*CAR!$I$58</f>
        <v>21890.375641070284</v>
      </c>
      <c r="F423" s="295">
        <f>'CAR Mileage'!F444*CAR!$I$58</f>
        <v>21890.375641070284</v>
      </c>
      <c r="G423" s="295">
        <f>'CAR Mileage'!G444*CAR!$I$58</f>
        <v>21890.375641070284</v>
      </c>
      <c r="H423" s="295">
        <f>'CAR Mileage'!H444*CAR!$I$58</f>
        <v>21890.375641070284</v>
      </c>
      <c r="I423" s="295">
        <f>'CAR Mileage'!I444*CAR!$I$58</f>
        <v>21890.375641070284</v>
      </c>
      <c r="J423" s="295">
        <f>'CAR Mileage'!J444*CAR!$I$58</f>
        <v>21890.375641070284</v>
      </c>
      <c r="K423" s="295">
        <f>'CAR Mileage'!K444*CAR!$I$58</f>
        <v>21890.375641070284</v>
      </c>
      <c r="L423" s="295">
        <f>'CAR Mileage'!L444*CAR!$I$58</f>
        <v>21890.375641070284</v>
      </c>
      <c r="M423" s="295">
        <f>'CAR Mileage'!M444*CAR!$I$58</f>
        <v>21890.375641070284</v>
      </c>
      <c r="N423" s="295">
        <f>'CAR Mileage'!N444*CAR!$I$58</f>
        <v>21890.375641070284</v>
      </c>
      <c r="O423" s="295">
        <f>'CAR Mileage'!O444*CAR!$I$58</f>
        <v>21890.375641070284</v>
      </c>
      <c r="P423" s="295">
        <f>'CAR Mileage'!P444*CAR!$I$58</f>
        <v>21890.375641070284</v>
      </c>
      <c r="Q423" s="295">
        <f>'CAR Mileage'!Q444*CAR!$I$58</f>
        <v>21890.375641070284</v>
      </c>
      <c r="R423" s="295">
        <f>'CAR Mileage'!R444*CAR!$I$58</f>
        <v>21890.375641070284</v>
      </c>
      <c r="S423" s="295">
        <f>'CAR Mileage'!S444*CAR!$I$58</f>
        <v>21890.375641070284</v>
      </c>
      <c r="T423" s="295">
        <f>'CAR Mileage'!T444*CAR!$I$58</f>
        <v>21890.375641070284</v>
      </c>
      <c r="U423" s="295">
        <f>'CAR Mileage'!U444*CAR!$I$58</f>
        <v>21890.375641070284</v>
      </c>
      <c r="V423" s="295">
        <f>'CAR Mileage'!V444*CAR!$I$58</f>
        <v>21890.375641070284</v>
      </c>
      <c r="W423" s="295">
        <f>'CAR Mileage'!W444*CAR!$I$58</f>
        <v>21890.375641070284</v>
      </c>
      <c r="X423" s="295">
        <f>'CAR Mileage'!X444*CAR!$I$58</f>
        <v>21890.375641070284</v>
      </c>
      <c r="Y423" s="295">
        <f>'CAR Mileage'!Y444*CAR!$I$58</f>
        <v>21890.375641070284</v>
      </c>
      <c r="Z423" s="295">
        <f>'CAR Mileage'!Z444*CAR!$I$58</f>
        <v>21890.375641070284</v>
      </c>
      <c r="AA423" s="295">
        <f>'CAR Mileage'!AA444*CAR!$I$58</f>
        <v>21890.375641070284</v>
      </c>
      <c r="AB423" s="295">
        <f>'CAR Mileage'!AB444*CAR!$I$58</f>
        <v>21890.375641070284</v>
      </c>
      <c r="AC423" s="295">
        <f>'CAR Mileage'!AC444*CAR!$I$58</f>
        <v>21890.375641070284</v>
      </c>
      <c r="AD423" s="295">
        <f>'CAR Mileage'!AD444*CAR!$I$58</f>
        <v>21890.375641070284</v>
      </c>
      <c r="AE423" s="296">
        <f>'CAR Mileage'!AE444*CAR!$I$58</f>
        <v>21890.375641070284</v>
      </c>
      <c r="AG423" s="1711"/>
      <c r="AH423" s="116">
        <v>14</v>
      </c>
      <c r="AI423" s="294">
        <f>'CAR Passenger Kilometres'!C423*'CAR Stock'!C473</f>
        <v>0</v>
      </c>
      <c r="AJ423" s="295">
        <f>'CAR Passenger Kilometres'!D423*'CAR Stock'!D473</f>
        <v>0</v>
      </c>
      <c r="AK423" s="295">
        <f>'CAR Passenger Kilometres'!E423*'CAR Stock'!E473</f>
        <v>0</v>
      </c>
      <c r="AL423" s="295">
        <f>'CAR Passenger Kilometres'!F423*'CAR Stock'!F473</f>
        <v>0</v>
      </c>
      <c r="AM423" s="295">
        <f>'CAR Passenger Kilometres'!G423*'CAR Stock'!G473</f>
        <v>0</v>
      </c>
      <c r="AN423" s="295">
        <f>'CAR Passenger Kilometres'!H423*'CAR Stock'!H473</f>
        <v>0</v>
      </c>
      <c r="AO423" s="295">
        <f>'CAR Passenger Kilometres'!I423*'CAR Stock'!I473</f>
        <v>0</v>
      </c>
      <c r="AP423" s="295">
        <f>'CAR Passenger Kilometres'!J423*'CAR Stock'!J473</f>
        <v>0</v>
      </c>
      <c r="AQ423" s="295">
        <f>'CAR Passenger Kilometres'!K423*'CAR Stock'!K473</f>
        <v>0</v>
      </c>
      <c r="AR423" s="295">
        <f>'CAR Passenger Kilometres'!L423*'CAR Stock'!L473</f>
        <v>0</v>
      </c>
      <c r="AS423" s="295">
        <f>'CAR Passenger Kilometres'!M423*'CAR Stock'!M473</f>
        <v>1332.1355543039549</v>
      </c>
      <c r="AT423" s="295">
        <f>'CAR Passenger Kilometres'!N423*'CAR Stock'!N473</f>
        <v>53285.422172158171</v>
      </c>
      <c r="AU423" s="295">
        <f>'CAR Passenger Kilometres'!O423*'CAR Stock'!O473</f>
        <v>539514.89949310152</v>
      </c>
      <c r="AV423" s="295">
        <f>'CAR Passenger Kilometres'!P423*'CAR Stock'!P473</f>
        <v>456922.49512625643</v>
      </c>
      <c r="AW423" s="295">
        <f>'CAR Passenger Kilometres'!Q423*'CAR Stock'!Q473</f>
        <v>594132.45721956377</v>
      </c>
      <c r="AX423" s="295">
        <f>'CAR Passenger Kilometres'!R423*'CAR Stock'!R473</f>
        <v>0</v>
      </c>
      <c r="AY423" s="295">
        <f>'CAR Passenger Kilometres'!S423*'CAR Stock'!S473</f>
        <v>0</v>
      </c>
      <c r="AZ423" s="295">
        <f>'CAR Passenger Kilometres'!T423*'CAR Stock'!T473</f>
        <v>0</v>
      </c>
      <c r="BA423" s="295">
        <f>'CAR Passenger Kilometres'!U423*'CAR Stock'!U473</f>
        <v>0</v>
      </c>
      <c r="BB423" s="295">
        <f>'CAR Passenger Kilometres'!V423*'CAR Stock'!V473</f>
        <v>0</v>
      </c>
      <c r="BC423" s="295">
        <f>'CAR Passenger Kilometres'!W423*'CAR Stock'!W473</f>
        <v>0</v>
      </c>
      <c r="BD423" s="295">
        <f>'CAR Passenger Kilometres'!X423*'CAR Stock'!X473</f>
        <v>0</v>
      </c>
      <c r="BE423" s="295">
        <f>'CAR Passenger Kilometres'!Y423*'CAR Stock'!Y473</f>
        <v>0</v>
      </c>
      <c r="BF423" s="295">
        <f>'CAR Passenger Kilometres'!Z423*'CAR Stock'!Z473</f>
        <v>0</v>
      </c>
      <c r="BG423" s="295">
        <f>'CAR Passenger Kilometres'!AA423*'CAR Stock'!AA473</f>
        <v>0</v>
      </c>
      <c r="BH423" s="295">
        <f>'CAR Passenger Kilometres'!AB423*'CAR Stock'!AB473</f>
        <v>0</v>
      </c>
      <c r="BI423" s="295">
        <f>'CAR Passenger Kilometres'!AC423*'CAR Stock'!AC473</f>
        <v>0</v>
      </c>
      <c r="BJ423" s="295">
        <f>'CAR Passenger Kilometres'!AD423*'CAR Stock'!AD473</f>
        <v>0</v>
      </c>
      <c r="BK423" s="296">
        <f>'CAR Passenger Kilometres'!AE423*'CAR Stock'!AE473</f>
        <v>0</v>
      </c>
    </row>
    <row r="424" spans="1:63">
      <c r="A424" s="1711"/>
      <c r="B424" s="116">
        <v>15</v>
      </c>
      <c r="C424" s="294">
        <f>'CAR Mileage'!C445*CAR!$I$58</f>
        <v>21452.568128248877</v>
      </c>
      <c r="D424" s="295">
        <f>'CAR Mileage'!D445*CAR!$I$58</f>
        <v>21452.568128248877</v>
      </c>
      <c r="E424" s="295">
        <f>'CAR Mileage'!E445*CAR!$I$58</f>
        <v>21452.568128248877</v>
      </c>
      <c r="F424" s="295">
        <f>'CAR Mileage'!F445*CAR!$I$58</f>
        <v>21452.568128248877</v>
      </c>
      <c r="G424" s="295">
        <f>'CAR Mileage'!G445*CAR!$I$58</f>
        <v>21452.568128248877</v>
      </c>
      <c r="H424" s="295">
        <f>'CAR Mileage'!H445*CAR!$I$58</f>
        <v>21452.568128248877</v>
      </c>
      <c r="I424" s="295">
        <f>'CAR Mileage'!I445*CAR!$I$58</f>
        <v>21452.568128248877</v>
      </c>
      <c r="J424" s="295">
        <f>'CAR Mileage'!J445*CAR!$I$58</f>
        <v>21452.568128248877</v>
      </c>
      <c r="K424" s="295">
        <f>'CAR Mileage'!K445*CAR!$I$58</f>
        <v>21452.568128248877</v>
      </c>
      <c r="L424" s="295">
        <f>'CAR Mileage'!L445*CAR!$I$58</f>
        <v>21452.568128248877</v>
      </c>
      <c r="M424" s="295">
        <f>'CAR Mileage'!M445*CAR!$I$58</f>
        <v>21452.568128248877</v>
      </c>
      <c r="N424" s="295">
        <f>'CAR Mileage'!N445*CAR!$I$58</f>
        <v>21452.568128248877</v>
      </c>
      <c r="O424" s="295">
        <f>'CAR Mileage'!O445*CAR!$I$58</f>
        <v>21452.568128248877</v>
      </c>
      <c r="P424" s="295">
        <f>'CAR Mileage'!P445*CAR!$I$58</f>
        <v>21452.568128248877</v>
      </c>
      <c r="Q424" s="295">
        <f>'CAR Mileage'!Q445*CAR!$I$58</f>
        <v>21452.568128248877</v>
      </c>
      <c r="R424" s="295">
        <f>'CAR Mileage'!R445*CAR!$I$58</f>
        <v>21452.568128248877</v>
      </c>
      <c r="S424" s="295">
        <f>'CAR Mileage'!S445*CAR!$I$58</f>
        <v>21452.568128248877</v>
      </c>
      <c r="T424" s="295">
        <f>'CAR Mileage'!T445*CAR!$I$58</f>
        <v>21452.568128248877</v>
      </c>
      <c r="U424" s="295">
        <f>'CAR Mileage'!U445*CAR!$I$58</f>
        <v>21452.568128248877</v>
      </c>
      <c r="V424" s="295">
        <f>'CAR Mileage'!V445*CAR!$I$58</f>
        <v>21452.568128248877</v>
      </c>
      <c r="W424" s="295">
        <f>'CAR Mileage'!W445*CAR!$I$58</f>
        <v>21452.568128248877</v>
      </c>
      <c r="X424" s="295">
        <f>'CAR Mileage'!X445*CAR!$I$58</f>
        <v>21452.568128248877</v>
      </c>
      <c r="Y424" s="295">
        <f>'CAR Mileage'!Y445*CAR!$I$58</f>
        <v>21452.568128248877</v>
      </c>
      <c r="Z424" s="295">
        <f>'CAR Mileage'!Z445*CAR!$I$58</f>
        <v>21452.568128248877</v>
      </c>
      <c r="AA424" s="295">
        <f>'CAR Mileage'!AA445*CAR!$I$58</f>
        <v>21452.568128248877</v>
      </c>
      <c r="AB424" s="295">
        <f>'CAR Mileage'!AB445*CAR!$I$58</f>
        <v>21452.568128248877</v>
      </c>
      <c r="AC424" s="295">
        <f>'CAR Mileage'!AC445*CAR!$I$58</f>
        <v>21452.568128248877</v>
      </c>
      <c r="AD424" s="295">
        <f>'CAR Mileage'!AD445*CAR!$I$58</f>
        <v>21452.568128248877</v>
      </c>
      <c r="AE424" s="296">
        <f>'CAR Mileage'!AE445*CAR!$I$58</f>
        <v>21452.568128248877</v>
      </c>
      <c r="AG424" s="1711"/>
      <c r="AH424" s="116">
        <v>15</v>
      </c>
      <c r="AI424" s="294">
        <f>'CAR Passenger Kilometres'!C424*'CAR Stock'!C474</f>
        <v>0</v>
      </c>
      <c r="AJ424" s="295">
        <f>'CAR Passenger Kilometres'!D424*'CAR Stock'!D474</f>
        <v>0</v>
      </c>
      <c r="AK424" s="295">
        <f>'CAR Passenger Kilometres'!E424*'CAR Stock'!E474</f>
        <v>0</v>
      </c>
      <c r="AL424" s="295">
        <f>'CAR Passenger Kilometres'!F424*'CAR Stock'!F474</f>
        <v>0</v>
      </c>
      <c r="AM424" s="295">
        <f>'CAR Passenger Kilometres'!G424*'CAR Stock'!G474</f>
        <v>0</v>
      </c>
      <c r="AN424" s="295">
        <f>'CAR Passenger Kilometres'!H424*'CAR Stock'!H474</f>
        <v>0</v>
      </c>
      <c r="AO424" s="295">
        <f>'CAR Passenger Kilometres'!I424*'CAR Stock'!I474</f>
        <v>0</v>
      </c>
      <c r="AP424" s="295">
        <f>'CAR Passenger Kilometres'!J424*'CAR Stock'!J474</f>
        <v>0</v>
      </c>
      <c r="AQ424" s="295">
        <f>'CAR Passenger Kilometres'!K424*'CAR Stock'!K474</f>
        <v>0</v>
      </c>
      <c r="AR424" s="295">
        <f>'CAR Passenger Kilometres'!L424*'CAR Stock'!L474</f>
        <v>0</v>
      </c>
      <c r="AS424" s="295">
        <f>'CAR Passenger Kilometres'!M424*'CAR Stock'!M474</f>
        <v>0</v>
      </c>
      <c r="AT424" s="295">
        <f>'CAR Passenger Kilometres'!N424*'CAR Stock'!N474</f>
        <v>344.83147383487955</v>
      </c>
      <c r="AU424" s="295">
        <f>'CAR Passenger Kilometres'!O424*'CAR Stock'!O474</f>
        <v>13793.25895339518</v>
      </c>
      <c r="AV424" s="295">
        <f>'CAR Passenger Kilometres'!P424*'CAR Stock'!P474</f>
        <v>139656.74690312619</v>
      </c>
      <c r="AW424" s="295">
        <f>'CAR Passenger Kilometres'!Q424*'CAR Stock'!Q474</f>
        <v>118277.19552536368</v>
      </c>
      <c r="AX424" s="295">
        <f>'CAR Passenger Kilometres'!R424*'CAR Stock'!R474</f>
        <v>153794.8373303563</v>
      </c>
      <c r="AY424" s="295">
        <f>'CAR Passenger Kilometres'!S424*'CAR Stock'!S474</f>
        <v>0</v>
      </c>
      <c r="AZ424" s="295">
        <f>'CAR Passenger Kilometres'!T424*'CAR Stock'!T474</f>
        <v>0</v>
      </c>
      <c r="BA424" s="295">
        <f>'CAR Passenger Kilometres'!U424*'CAR Stock'!U474</f>
        <v>0</v>
      </c>
      <c r="BB424" s="295">
        <f>'CAR Passenger Kilometres'!V424*'CAR Stock'!V474</f>
        <v>0</v>
      </c>
      <c r="BC424" s="295">
        <f>'CAR Passenger Kilometres'!W424*'CAR Stock'!W474</f>
        <v>0</v>
      </c>
      <c r="BD424" s="295">
        <f>'CAR Passenger Kilometres'!X424*'CAR Stock'!X474</f>
        <v>0</v>
      </c>
      <c r="BE424" s="295">
        <f>'CAR Passenger Kilometres'!Y424*'CAR Stock'!Y474</f>
        <v>0</v>
      </c>
      <c r="BF424" s="295">
        <f>'CAR Passenger Kilometres'!Z424*'CAR Stock'!Z474</f>
        <v>0</v>
      </c>
      <c r="BG424" s="295">
        <f>'CAR Passenger Kilometres'!AA424*'CAR Stock'!AA474</f>
        <v>0</v>
      </c>
      <c r="BH424" s="295">
        <f>'CAR Passenger Kilometres'!AB424*'CAR Stock'!AB474</f>
        <v>0</v>
      </c>
      <c r="BI424" s="295">
        <f>'CAR Passenger Kilometres'!AC424*'CAR Stock'!AC474</f>
        <v>0</v>
      </c>
      <c r="BJ424" s="295">
        <f>'CAR Passenger Kilometres'!AD424*'CAR Stock'!AD474</f>
        <v>0</v>
      </c>
      <c r="BK424" s="296">
        <f>'CAR Passenger Kilometres'!AE424*'CAR Stock'!AE474</f>
        <v>0</v>
      </c>
    </row>
    <row r="425" spans="1:63">
      <c r="A425" s="1711"/>
      <c r="B425" s="116">
        <v>16</v>
      </c>
      <c r="C425" s="294">
        <f>'CAR Mileage'!C446*CAR!$I$58</f>
        <v>21023.5167656839</v>
      </c>
      <c r="D425" s="295">
        <f>'CAR Mileage'!D446*CAR!$I$58</f>
        <v>21023.5167656839</v>
      </c>
      <c r="E425" s="295">
        <f>'CAR Mileage'!E446*CAR!$I$58</f>
        <v>21023.5167656839</v>
      </c>
      <c r="F425" s="295">
        <f>'CAR Mileage'!F446*CAR!$I$58</f>
        <v>21023.5167656839</v>
      </c>
      <c r="G425" s="295">
        <f>'CAR Mileage'!G446*CAR!$I$58</f>
        <v>21023.5167656839</v>
      </c>
      <c r="H425" s="295">
        <f>'CAR Mileage'!H446*CAR!$I$58</f>
        <v>21023.5167656839</v>
      </c>
      <c r="I425" s="295">
        <f>'CAR Mileage'!I446*CAR!$I$58</f>
        <v>21023.5167656839</v>
      </c>
      <c r="J425" s="295">
        <f>'CAR Mileage'!J446*CAR!$I$58</f>
        <v>21023.5167656839</v>
      </c>
      <c r="K425" s="295">
        <f>'CAR Mileage'!K446*CAR!$I$58</f>
        <v>21023.5167656839</v>
      </c>
      <c r="L425" s="295">
        <f>'CAR Mileage'!L446*CAR!$I$58</f>
        <v>21023.5167656839</v>
      </c>
      <c r="M425" s="295">
        <f>'CAR Mileage'!M446*CAR!$I$58</f>
        <v>21023.5167656839</v>
      </c>
      <c r="N425" s="295">
        <f>'CAR Mileage'!N446*CAR!$I$58</f>
        <v>21023.5167656839</v>
      </c>
      <c r="O425" s="295">
        <f>'CAR Mileage'!O446*CAR!$I$58</f>
        <v>21023.5167656839</v>
      </c>
      <c r="P425" s="295">
        <f>'CAR Mileage'!P446*CAR!$I$58</f>
        <v>21023.5167656839</v>
      </c>
      <c r="Q425" s="295">
        <f>'CAR Mileage'!Q446*CAR!$I$58</f>
        <v>21023.5167656839</v>
      </c>
      <c r="R425" s="295">
        <f>'CAR Mileage'!R446*CAR!$I$58</f>
        <v>21023.5167656839</v>
      </c>
      <c r="S425" s="295">
        <f>'CAR Mileage'!S446*CAR!$I$58</f>
        <v>21023.5167656839</v>
      </c>
      <c r="T425" s="295">
        <f>'CAR Mileage'!T446*CAR!$I$58</f>
        <v>21023.5167656839</v>
      </c>
      <c r="U425" s="295">
        <f>'CAR Mileage'!U446*CAR!$I$58</f>
        <v>21023.5167656839</v>
      </c>
      <c r="V425" s="295">
        <f>'CAR Mileage'!V446*CAR!$I$58</f>
        <v>21023.5167656839</v>
      </c>
      <c r="W425" s="295">
        <f>'CAR Mileage'!W446*CAR!$I$58</f>
        <v>21023.5167656839</v>
      </c>
      <c r="X425" s="295">
        <f>'CAR Mileage'!X446*CAR!$I$58</f>
        <v>21023.5167656839</v>
      </c>
      <c r="Y425" s="295">
        <f>'CAR Mileage'!Y446*CAR!$I$58</f>
        <v>21023.5167656839</v>
      </c>
      <c r="Z425" s="295">
        <f>'CAR Mileage'!Z446*CAR!$I$58</f>
        <v>21023.5167656839</v>
      </c>
      <c r="AA425" s="295">
        <f>'CAR Mileage'!AA446*CAR!$I$58</f>
        <v>21023.5167656839</v>
      </c>
      <c r="AB425" s="295">
        <f>'CAR Mileage'!AB446*CAR!$I$58</f>
        <v>21023.5167656839</v>
      </c>
      <c r="AC425" s="295">
        <f>'CAR Mileage'!AC446*CAR!$I$58</f>
        <v>21023.5167656839</v>
      </c>
      <c r="AD425" s="295">
        <f>'CAR Mileage'!AD446*CAR!$I$58</f>
        <v>21023.5167656839</v>
      </c>
      <c r="AE425" s="296">
        <f>'CAR Mileage'!AE446*CAR!$I$58</f>
        <v>21023.5167656839</v>
      </c>
      <c r="AG425" s="1711"/>
      <c r="AH425" s="116">
        <v>16</v>
      </c>
      <c r="AI425" s="294">
        <f>'CAR Passenger Kilometres'!C425*'CAR Stock'!C475</f>
        <v>0</v>
      </c>
      <c r="AJ425" s="295">
        <f>'CAR Passenger Kilometres'!D425*'CAR Stock'!D475</f>
        <v>0</v>
      </c>
      <c r="AK425" s="295">
        <f>'CAR Passenger Kilometres'!E425*'CAR Stock'!E475</f>
        <v>0</v>
      </c>
      <c r="AL425" s="295">
        <f>'CAR Passenger Kilometres'!F425*'CAR Stock'!F475</f>
        <v>0</v>
      </c>
      <c r="AM425" s="295">
        <f>'CAR Passenger Kilometres'!G425*'CAR Stock'!G475</f>
        <v>0</v>
      </c>
      <c r="AN425" s="295">
        <f>'CAR Passenger Kilometres'!H425*'CAR Stock'!H475</f>
        <v>0</v>
      </c>
      <c r="AO425" s="295">
        <f>'CAR Passenger Kilometres'!I425*'CAR Stock'!I475</f>
        <v>0</v>
      </c>
      <c r="AP425" s="295">
        <f>'CAR Passenger Kilometres'!J425*'CAR Stock'!J475</f>
        <v>0</v>
      </c>
      <c r="AQ425" s="295">
        <f>'CAR Passenger Kilometres'!K425*'CAR Stock'!K475</f>
        <v>0</v>
      </c>
      <c r="AR425" s="295">
        <f>'CAR Passenger Kilometres'!L425*'CAR Stock'!L475</f>
        <v>0</v>
      </c>
      <c r="AS425" s="295">
        <f>'CAR Passenger Kilometres'!M425*'CAR Stock'!M475</f>
        <v>0</v>
      </c>
      <c r="AT425" s="295">
        <f>'CAR Passenger Kilometres'!N425*'CAR Stock'!N475</f>
        <v>0</v>
      </c>
      <c r="AU425" s="295">
        <f>'CAR Passenger Kilometres'!O425*'CAR Stock'!O475</f>
        <v>80.335571306284166</v>
      </c>
      <c r="AV425" s="295">
        <f>'CAR Passenger Kilometres'!P425*'CAR Stock'!P475</f>
        <v>3213.4228522513654</v>
      </c>
      <c r="AW425" s="295">
        <f>'CAR Passenger Kilometres'!Q425*'CAR Stock'!Q475</f>
        <v>32535.906379045075</v>
      </c>
      <c r="AX425" s="295">
        <f>'CAR Passenger Kilometres'!R425*'CAR Stock'!R475</f>
        <v>27555.100958055467</v>
      </c>
      <c r="AY425" s="295">
        <f>'CAR Passenger Kilometres'!S425*'CAR Stock'!S475</f>
        <v>35829.66480260274</v>
      </c>
      <c r="AZ425" s="295">
        <f>'CAR Passenger Kilometres'!T425*'CAR Stock'!T475</f>
        <v>0</v>
      </c>
      <c r="BA425" s="295">
        <f>'CAR Passenger Kilometres'!U425*'CAR Stock'!U475</f>
        <v>0</v>
      </c>
      <c r="BB425" s="295">
        <f>'CAR Passenger Kilometres'!V425*'CAR Stock'!V475</f>
        <v>0</v>
      </c>
      <c r="BC425" s="295">
        <f>'CAR Passenger Kilometres'!W425*'CAR Stock'!W475</f>
        <v>0</v>
      </c>
      <c r="BD425" s="295">
        <f>'CAR Passenger Kilometres'!X425*'CAR Stock'!X475</f>
        <v>0</v>
      </c>
      <c r="BE425" s="295">
        <f>'CAR Passenger Kilometres'!Y425*'CAR Stock'!Y475</f>
        <v>0</v>
      </c>
      <c r="BF425" s="295">
        <f>'CAR Passenger Kilometres'!Z425*'CAR Stock'!Z475</f>
        <v>0</v>
      </c>
      <c r="BG425" s="295">
        <f>'CAR Passenger Kilometres'!AA425*'CAR Stock'!AA475</f>
        <v>0</v>
      </c>
      <c r="BH425" s="295">
        <f>'CAR Passenger Kilometres'!AB425*'CAR Stock'!AB475</f>
        <v>0</v>
      </c>
      <c r="BI425" s="295">
        <f>'CAR Passenger Kilometres'!AC425*'CAR Stock'!AC475</f>
        <v>0</v>
      </c>
      <c r="BJ425" s="295">
        <f>'CAR Passenger Kilometres'!AD425*'CAR Stock'!AD475</f>
        <v>0</v>
      </c>
      <c r="BK425" s="296">
        <f>'CAR Passenger Kilometres'!AE425*'CAR Stock'!AE475</f>
        <v>0</v>
      </c>
    </row>
    <row r="426" spans="1:63">
      <c r="A426" s="1711"/>
      <c r="B426" s="116">
        <v>17</v>
      </c>
      <c r="C426" s="294">
        <f>'CAR Mileage'!C447*CAR!$I$58</f>
        <v>21023.5167656839</v>
      </c>
      <c r="D426" s="295">
        <f>'CAR Mileage'!D447*CAR!$I$58</f>
        <v>21023.5167656839</v>
      </c>
      <c r="E426" s="295">
        <f>'CAR Mileage'!E447*CAR!$I$58</f>
        <v>21023.5167656839</v>
      </c>
      <c r="F426" s="295">
        <f>'CAR Mileage'!F447*CAR!$I$58</f>
        <v>21023.5167656839</v>
      </c>
      <c r="G426" s="295">
        <f>'CAR Mileage'!G447*CAR!$I$58</f>
        <v>21023.5167656839</v>
      </c>
      <c r="H426" s="295">
        <f>'CAR Mileage'!H447*CAR!$I$58</f>
        <v>21023.5167656839</v>
      </c>
      <c r="I426" s="295">
        <f>'CAR Mileage'!I447*CAR!$I$58</f>
        <v>21023.5167656839</v>
      </c>
      <c r="J426" s="295">
        <f>'CAR Mileage'!J447*CAR!$I$58</f>
        <v>21023.5167656839</v>
      </c>
      <c r="K426" s="295">
        <f>'CAR Mileage'!K447*CAR!$I$58</f>
        <v>21023.5167656839</v>
      </c>
      <c r="L426" s="295">
        <f>'CAR Mileage'!L447*CAR!$I$58</f>
        <v>21023.5167656839</v>
      </c>
      <c r="M426" s="295">
        <f>'CAR Mileage'!M447*CAR!$I$58</f>
        <v>21023.5167656839</v>
      </c>
      <c r="N426" s="295">
        <f>'CAR Mileage'!N447*CAR!$I$58</f>
        <v>21023.5167656839</v>
      </c>
      <c r="O426" s="295">
        <f>'CAR Mileage'!O447*CAR!$I$58</f>
        <v>21023.5167656839</v>
      </c>
      <c r="P426" s="295">
        <f>'CAR Mileage'!P447*CAR!$I$58</f>
        <v>21023.5167656839</v>
      </c>
      <c r="Q426" s="295">
        <f>'CAR Mileage'!Q447*CAR!$I$58</f>
        <v>21023.5167656839</v>
      </c>
      <c r="R426" s="295">
        <f>'CAR Mileage'!R447*CAR!$I$58</f>
        <v>21023.5167656839</v>
      </c>
      <c r="S426" s="295">
        <f>'CAR Mileage'!S447*CAR!$I$58</f>
        <v>21023.5167656839</v>
      </c>
      <c r="T426" s="295">
        <f>'CAR Mileage'!T447*CAR!$I$58</f>
        <v>21023.5167656839</v>
      </c>
      <c r="U426" s="295">
        <f>'CAR Mileage'!U447*CAR!$I$58</f>
        <v>21023.5167656839</v>
      </c>
      <c r="V426" s="295">
        <f>'CAR Mileage'!V447*CAR!$I$58</f>
        <v>21023.5167656839</v>
      </c>
      <c r="W426" s="295">
        <f>'CAR Mileage'!W447*CAR!$I$58</f>
        <v>21023.5167656839</v>
      </c>
      <c r="X426" s="295">
        <f>'CAR Mileage'!X447*CAR!$I$58</f>
        <v>21023.5167656839</v>
      </c>
      <c r="Y426" s="295">
        <f>'CAR Mileage'!Y447*CAR!$I$58</f>
        <v>21023.5167656839</v>
      </c>
      <c r="Z426" s="295">
        <f>'CAR Mileage'!Z447*CAR!$I$58</f>
        <v>21023.5167656839</v>
      </c>
      <c r="AA426" s="295">
        <f>'CAR Mileage'!AA447*CAR!$I$58</f>
        <v>21023.5167656839</v>
      </c>
      <c r="AB426" s="295">
        <f>'CAR Mileage'!AB447*CAR!$I$58</f>
        <v>21023.5167656839</v>
      </c>
      <c r="AC426" s="295">
        <f>'CAR Mileage'!AC447*CAR!$I$58</f>
        <v>21023.5167656839</v>
      </c>
      <c r="AD426" s="295">
        <f>'CAR Mileage'!AD447*CAR!$I$58</f>
        <v>21023.5167656839</v>
      </c>
      <c r="AE426" s="296">
        <f>'CAR Mileage'!AE447*CAR!$I$58</f>
        <v>21023.5167656839</v>
      </c>
      <c r="AG426" s="1711"/>
      <c r="AH426" s="116">
        <v>17</v>
      </c>
      <c r="AI426" s="294">
        <f>'CAR Passenger Kilometres'!C426*'CAR Stock'!C476</f>
        <v>0</v>
      </c>
      <c r="AJ426" s="295">
        <f>'CAR Passenger Kilometres'!D426*'CAR Stock'!D476</f>
        <v>0</v>
      </c>
      <c r="AK426" s="295">
        <f>'CAR Passenger Kilometres'!E426*'CAR Stock'!E476</f>
        <v>0</v>
      </c>
      <c r="AL426" s="295">
        <f>'CAR Passenger Kilometres'!F426*'CAR Stock'!F476</f>
        <v>0</v>
      </c>
      <c r="AM426" s="295">
        <f>'CAR Passenger Kilometres'!G426*'CAR Stock'!G476</f>
        <v>0</v>
      </c>
      <c r="AN426" s="295">
        <f>'CAR Passenger Kilometres'!H426*'CAR Stock'!H476</f>
        <v>0</v>
      </c>
      <c r="AO426" s="295">
        <f>'CAR Passenger Kilometres'!I426*'CAR Stock'!I476</f>
        <v>0</v>
      </c>
      <c r="AP426" s="295">
        <f>'CAR Passenger Kilometres'!J426*'CAR Stock'!J476</f>
        <v>0</v>
      </c>
      <c r="AQ426" s="295">
        <f>'CAR Passenger Kilometres'!K426*'CAR Stock'!K476</f>
        <v>0</v>
      </c>
      <c r="AR426" s="295">
        <f>'CAR Passenger Kilometres'!L426*'CAR Stock'!L476</f>
        <v>0</v>
      </c>
      <c r="AS426" s="295">
        <f>'CAR Passenger Kilometres'!M426*'CAR Stock'!M476</f>
        <v>0</v>
      </c>
      <c r="AT426" s="295">
        <f>'CAR Passenger Kilometres'!N426*'CAR Stock'!N476</f>
        <v>0</v>
      </c>
      <c r="AU426" s="295">
        <f>'CAR Passenger Kilometres'!O426*'CAR Stock'!O476</f>
        <v>0</v>
      </c>
      <c r="AV426" s="295">
        <f>'CAR Passenger Kilometres'!P426*'CAR Stock'!P476</f>
        <v>16.975801038713019</v>
      </c>
      <c r="AW426" s="295">
        <f>'CAR Passenger Kilometres'!Q426*'CAR Stock'!Q476</f>
        <v>679.03204154852051</v>
      </c>
      <c r="AX426" s="295">
        <f>'CAR Passenger Kilometres'!R426*'CAR Stock'!R476</f>
        <v>6875.1994206787695</v>
      </c>
      <c r="AY426" s="295">
        <f>'CAR Passenger Kilometres'!S426*'CAR Stock'!S476</f>
        <v>5822.6997562785655</v>
      </c>
      <c r="AZ426" s="295">
        <f>'CAR Passenger Kilometres'!T426*'CAR Stock'!T476</f>
        <v>7571.2072632660065</v>
      </c>
      <c r="BA426" s="295">
        <f>'CAR Passenger Kilometres'!U426*'CAR Stock'!U476</f>
        <v>0</v>
      </c>
      <c r="BB426" s="295">
        <f>'CAR Passenger Kilometres'!V426*'CAR Stock'!V476</f>
        <v>0</v>
      </c>
      <c r="BC426" s="295">
        <f>'CAR Passenger Kilometres'!W426*'CAR Stock'!W476</f>
        <v>0</v>
      </c>
      <c r="BD426" s="295">
        <f>'CAR Passenger Kilometres'!X426*'CAR Stock'!X476</f>
        <v>0</v>
      </c>
      <c r="BE426" s="295">
        <f>'CAR Passenger Kilometres'!Y426*'CAR Stock'!Y476</f>
        <v>0</v>
      </c>
      <c r="BF426" s="295">
        <f>'CAR Passenger Kilometres'!Z426*'CAR Stock'!Z476</f>
        <v>0</v>
      </c>
      <c r="BG426" s="295">
        <f>'CAR Passenger Kilometres'!AA426*'CAR Stock'!AA476</f>
        <v>0</v>
      </c>
      <c r="BH426" s="295">
        <f>'CAR Passenger Kilometres'!AB426*'CAR Stock'!AB476</f>
        <v>0</v>
      </c>
      <c r="BI426" s="295">
        <f>'CAR Passenger Kilometres'!AC426*'CAR Stock'!AC476</f>
        <v>0</v>
      </c>
      <c r="BJ426" s="295">
        <f>'CAR Passenger Kilometres'!AD426*'CAR Stock'!AD476</f>
        <v>0</v>
      </c>
      <c r="BK426" s="296">
        <f>'CAR Passenger Kilometres'!AE426*'CAR Stock'!AE476</f>
        <v>0</v>
      </c>
    </row>
    <row r="427" spans="1:63">
      <c r="A427" s="1711"/>
      <c r="B427" s="116">
        <v>18</v>
      </c>
      <c r="C427" s="294">
        <f>'CAR Mileage'!C448*CAR!$I$58</f>
        <v>21023.5167656839</v>
      </c>
      <c r="D427" s="295">
        <f>'CAR Mileage'!D448*CAR!$I$58</f>
        <v>21023.5167656839</v>
      </c>
      <c r="E427" s="295">
        <f>'CAR Mileage'!E448*CAR!$I$58</f>
        <v>21023.5167656839</v>
      </c>
      <c r="F427" s="295">
        <f>'CAR Mileage'!F448*CAR!$I$58</f>
        <v>21023.5167656839</v>
      </c>
      <c r="G427" s="295">
        <f>'CAR Mileage'!G448*CAR!$I$58</f>
        <v>21023.5167656839</v>
      </c>
      <c r="H427" s="295">
        <f>'CAR Mileage'!H448*CAR!$I$58</f>
        <v>21023.5167656839</v>
      </c>
      <c r="I427" s="295">
        <f>'CAR Mileage'!I448*CAR!$I$58</f>
        <v>21023.5167656839</v>
      </c>
      <c r="J427" s="295">
        <f>'CAR Mileage'!J448*CAR!$I$58</f>
        <v>21023.5167656839</v>
      </c>
      <c r="K427" s="295">
        <f>'CAR Mileage'!K448*CAR!$I$58</f>
        <v>21023.5167656839</v>
      </c>
      <c r="L427" s="295">
        <f>'CAR Mileage'!L448*CAR!$I$58</f>
        <v>21023.5167656839</v>
      </c>
      <c r="M427" s="295">
        <f>'CAR Mileage'!M448*CAR!$I$58</f>
        <v>21023.5167656839</v>
      </c>
      <c r="N427" s="295">
        <f>'CAR Mileage'!N448*CAR!$I$58</f>
        <v>21023.5167656839</v>
      </c>
      <c r="O427" s="295">
        <f>'CAR Mileage'!O448*CAR!$I$58</f>
        <v>21023.5167656839</v>
      </c>
      <c r="P427" s="295">
        <f>'CAR Mileage'!P448*CAR!$I$58</f>
        <v>21023.5167656839</v>
      </c>
      <c r="Q427" s="295">
        <f>'CAR Mileage'!Q448*CAR!$I$58</f>
        <v>21023.5167656839</v>
      </c>
      <c r="R427" s="295">
        <f>'CAR Mileage'!R448*CAR!$I$58</f>
        <v>21023.5167656839</v>
      </c>
      <c r="S427" s="295">
        <f>'CAR Mileage'!S448*CAR!$I$58</f>
        <v>21023.5167656839</v>
      </c>
      <c r="T427" s="295">
        <f>'CAR Mileage'!T448*CAR!$I$58</f>
        <v>21023.5167656839</v>
      </c>
      <c r="U427" s="295">
        <f>'CAR Mileage'!U448*CAR!$I$58</f>
        <v>21023.5167656839</v>
      </c>
      <c r="V427" s="295">
        <f>'CAR Mileage'!V448*CAR!$I$58</f>
        <v>21023.5167656839</v>
      </c>
      <c r="W427" s="295">
        <f>'CAR Mileage'!W448*CAR!$I$58</f>
        <v>21023.5167656839</v>
      </c>
      <c r="X427" s="295">
        <f>'CAR Mileage'!X448*CAR!$I$58</f>
        <v>21023.5167656839</v>
      </c>
      <c r="Y427" s="295">
        <f>'CAR Mileage'!Y448*CAR!$I$58</f>
        <v>21023.5167656839</v>
      </c>
      <c r="Z427" s="295">
        <f>'CAR Mileage'!Z448*CAR!$I$58</f>
        <v>21023.5167656839</v>
      </c>
      <c r="AA427" s="295">
        <f>'CAR Mileage'!AA448*CAR!$I$58</f>
        <v>21023.5167656839</v>
      </c>
      <c r="AB427" s="295">
        <f>'CAR Mileage'!AB448*CAR!$I$58</f>
        <v>21023.5167656839</v>
      </c>
      <c r="AC427" s="295">
        <f>'CAR Mileage'!AC448*CAR!$I$58</f>
        <v>21023.5167656839</v>
      </c>
      <c r="AD427" s="295">
        <f>'CAR Mileage'!AD448*CAR!$I$58</f>
        <v>21023.5167656839</v>
      </c>
      <c r="AE427" s="296">
        <f>'CAR Mileage'!AE448*CAR!$I$58</f>
        <v>21023.5167656839</v>
      </c>
      <c r="AG427" s="1711"/>
      <c r="AH427" s="116">
        <v>18</v>
      </c>
      <c r="AI427" s="294">
        <f>'CAR Passenger Kilometres'!C427*'CAR Stock'!C477</f>
        <v>0</v>
      </c>
      <c r="AJ427" s="295">
        <f>'CAR Passenger Kilometres'!D427*'CAR Stock'!D477</f>
        <v>0</v>
      </c>
      <c r="AK427" s="295">
        <f>'CAR Passenger Kilometres'!E427*'CAR Stock'!E477</f>
        <v>0</v>
      </c>
      <c r="AL427" s="295">
        <f>'CAR Passenger Kilometres'!F427*'CAR Stock'!F477</f>
        <v>0</v>
      </c>
      <c r="AM427" s="295">
        <f>'CAR Passenger Kilometres'!G427*'CAR Stock'!G477</f>
        <v>0</v>
      </c>
      <c r="AN427" s="295">
        <f>'CAR Passenger Kilometres'!H427*'CAR Stock'!H477</f>
        <v>0</v>
      </c>
      <c r="AO427" s="295">
        <f>'CAR Passenger Kilometres'!I427*'CAR Stock'!I477</f>
        <v>0</v>
      </c>
      <c r="AP427" s="295">
        <f>'CAR Passenger Kilometres'!J427*'CAR Stock'!J477</f>
        <v>0</v>
      </c>
      <c r="AQ427" s="295">
        <f>'CAR Passenger Kilometres'!K427*'CAR Stock'!K477</f>
        <v>0</v>
      </c>
      <c r="AR427" s="295">
        <f>'CAR Passenger Kilometres'!L427*'CAR Stock'!L477</f>
        <v>0</v>
      </c>
      <c r="AS427" s="295">
        <f>'CAR Passenger Kilometres'!M427*'CAR Stock'!M477</f>
        <v>0</v>
      </c>
      <c r="AT427" s="295">
        <f>'CAR Passenger Kilometres'!N427*'CAR Stock'!N477</f>
        <v>0</v>
      </c>
      <c r="AU427" s="295">
        <f>'CAR Passenger Kilometres'!O427*'CAR Stock'!O477</f>
        <v>0</v>
      </c>
      <c r="AV427" s="295">
        <f>'CAR Passenger Kilometres'!P427*'CAR Stock'!P477</f>
        <v>0</v>
      </c>
      <c r="AW427" s="295">
        <f>'CAR Passenger Kilometres'!Q427*'CAR Stock'!Q477</f>
        <v>3.1387788646123584</v>
      </c>
      <c r="AX427" s="295">
        <f>'CAR Passenger Kilometres'!R427*'CAR Stock'!R477</f>
        <v>125.55115458449428</v>
      </c>
      <c r="AY427" s="295">
        <f>'CAR Passenger Kilometres'!S427*'CAR Stock'!S477</f>
        <v>1271.2054401680045</v>
      </c>
      <c r="AZ427" s="295">
        <f>'CAR Passenger Kilometres'!T427*'CAR Stock'!T477</f>
        <v>1076.6011505620388</v>
      </c>
      <c r="BA427" s="295">
        <f>'CAR Passenger Kilometres'!U427*'CAR Stock'!U477</f>
        <v>1399.8953736171118</v>
      </c>
      <c r="BB427" s="295">
        <f>'CAR Passenger Kilometres'!V427*'CAR Stock'!V477</f>
        <v>0</v>
      </c>
      <c r="BC427" s="295">
        <f>'CAR Passenger Kilometres'!W427*'CAR Stock'!W477</f>
        <v>0</v>
      </c>
      <c r="BD427" s="295">
        <f>'CAR Passenger Kilometres'!X427*'CAR Stock'!X477</f>
        <v>0</v>
      </c>
      <c r="BE427" s="295">
        <f>'CAR Passenger Kilometres'!Y427*'CAR Stock'!Y477</f>
        <v>0</v>
      </c>
      <c r="BF427" s="295">
        <f>'CAR Passenger Kilometres'!Z427*'CAR Stock'!Z477</f>
        <v>0</v>
      </c>
      <c r="BG427" s="295">
        <f>'CAR Passenger Kilometres'!AA427*'CAR Stock'!AA477</f>
        <v>0</v>
      </c>
      <c r="BH427" s="295">
        <f>'CAR Passenger Kilometres'!AB427*'CAR Stock'!AB477</f>
        <v>0</v>
      </c>
      <c r="BI427" s="295">
        <f>'CAR Passenger Kilometres'!AC427*'CAR Stock'!AC477</f>
        <v>0</v>
      </c>
      <c r="BJ427" s="295">
        <f>'CAR Passenger Kilometres'!AD427*'CAR Stock'!AD477</f>
        <v>0</v>
      </c>
      <c r="BK427" s="296">
        <f>'CAR Passenger Kilometres'!AE427*'CAR Stock'!AE477</f>
        <v>0</v>
      </c>
    </row>
    <row r="428" spans="1:63">
      <c r="A428" s="1711"/>
      <c r="B428" s="116">
        <v>19</v>
      </c>
      <c r="C428" s="294">
        <f>'CAR Mileage'!C449*CAR!$I$58</f>
        <v>21023.5167656839</v>
      </c>
      <c r="D428" s="295">
        <f>'CAR Mileage'!D449*CAR!$I$58</f>
        <v>21023.5167656839</v>
      </c>
      <c r="E428" s="295">
        <f>'CAR Mileage'!E449*CAR!$I$58</f>
        <v>21023.5167656839</v>
      </c>
      <c r="F428" s="295">
        <f>'CAR Mileage'!F449*CAR!$I$58</f>
        <v>21023.5167656839</v>
      </c>
      <c r="G428" s="295">
        <f>'CAR Mileage'!G449*CAR!$I$58</f>
        <v>21023.5167656839</v>
      </c>
      <c r="H428" s="295">
        <f>'CAR Mileage'!H449*CAR!$I$58</f>
        <v>21023.5167656839</v>
      </c>
      <c r="I428" s="295">
        <f>'CAR Mileage'!I449*CAR!$I$58</f>
        <v>21023.5167656839</v>
      </c>
      <c r="J428" s="295">
        <f>'CAR Mileage'!J449*CAR!$I$58</f>
        <v>21023.5167656839</v>
      </c>
      <c r="K428" s="295">
        <f>'CAR Mileage'!K449*CAR!$I$58</f>
        <v>21023.5167656839</v>
      </c>
      <c r="L428" s="295">
        <f>'CAR Mileage'!L449*CAR!$I$58</f>
        <v>21023.5167656839</v>
      </c>
      <c r="M428" s="295">
        <f>'CAR Mileage'!M449*CAR!$I$58</f>
        <v>21023.5167656839</v>
      </c>
      <c r="N428" s="295">
        <f>'CAR Mileage'!N449*CAR!$I$58</f>
        <v>21023.5167656839</v>
      </c>
      <c r="O428" s="295">
        <f>'CAR Mileage'!O449*CAR!$I$58</f>
        <v>21023.5167656839</v>
      </c>
      <c r="P428" s="295">
        <f>'CAR Mileage'!P449*CAR!$I$58</f>
        <v>21023.5167656839</v>
      </c>
      <c r="Q428" s="295">
        <f>'CAR Mileage'!Q449*CAR!$I$58</f>
        <v>21023.5167656839</v>
      </c>
      <c r="R428" s="295">
        <f>'CAR Mileage'!R449*CAR!$I$58</f>
        <v>21023.5167656839</v>
      </c>
      <c r="S428" s="295">
        <f>'CAR Mileage'!S449*CAR!$I$58</f>
        <v>21023.5167656839</v>
      </c>
      <c r="T428" s="295">
        <f>'CAR Mileage'!T449*CAR!$I$58</f>
        <v>21023.5167656839</v>
      </c>
      <c r="U428" s="295">
        <f>'CAR Mileage'!U449*CAR!$I$58</f>
        <v>21023.5167656839</v>
      </c>
      <c r="V428" s="295">
        <f>'CAR Mileage'!V449*CAR!$I$58</f>
        <v>21023.5167656839</v>
      </c>
      <c r="W428" s="295">
        <f>'CAR Mileage'!W449*CAR!$I$58</f>
        <v>21023.5167656839</v>
      </c>
      <c r="X428" s="295">
        <f>'CAR Mileage'!X449*CAR!$I$58</f>
        <v>21023.5167656839</v>
      </c>
      <c r="Y428" s="295">
        <f>'CAR Mileage'!Y449*CAR!$I$58</f>
        <v>21023.5167656839</v>
      </c>
      <c r="Z428" s="295">
        <f>'CAR Mileage'!Z449*CAR!$I$58</f>
        <v>21023.5167656839</v>
      </c>
      <c r="AA428" s="295">
        <f>'CAR Mileage'!AA449*CAR!$I$58</f>
        <v>21023.5167656839</v>
      </c>
      <c r="AB428" s="295">
        <f>'CAR Mileage'!AB449*CAR!$I$58</f>
        <v>21023.5167656839</v>
      </c>
      <c r="AC428" s="295">
        <f>'CAR Mileage'!AC449*CAR!$I$58</f>
        <v>21023.5167656839</v>
      </c>
      <c r="AD428" s="295">
        <f>'CAR Mileage'!AD449*CAR!$I$58</f>
        <v>21023.5167656839</v>
      </c>
      <c r="AE428" s="296">
        <f>'CAR Mileage'!AE449*CAR!$I$58</f>
        <v>21023.5167656839</v>
      </c>
      <c r="AG428" s="1711"/>
      <c r="AH428" s="116">
        <v>19</v>
      </c>
      <c r="AI428" s="294">
        <f>'CAR Passenger Kilometres'!C428*'CAR Stock'!C478</f>
        <v>0</v>
      </c>
      <c r="AJ428" s="295">
        <f>'CAR Passenger Kilometres'!D428*'CAR Stock'!D478</f>
        <v>0</v>
      </c>
      <c r="AK428" s="295">
        <f>'CAR Passenger Kilometres'!E428*'CAR Stock'!E478</f>
        <v>0</v>
      </c>
      <c r="AL428" s="295">
        <f>'CAR Passenger Kilometres'!F428*'CAR Stock'!F478</f>
        <v>0</v>
      </c>
      <c r="AM428" s="295">
        <f>'CAR Passenger Kilometres'!G428*'CAR Stock'!G478</f>
        <v>0</v>
      </c>
      <c r="AN428" s="295">
        <f>'CAR Passenger Kilometres'!H428*'CAR Stock'!H478</f>
        <v>0</v>
      </c>
      <c r="AO428" s="295">
        <f>'CAR Passenger Kilometres'!I428*'CAR Stock'!I478</f>
        <v>0</v>
      </c>
      <c r="AP428" s="295">
        <f>'CAR Passenger Kilometres'!J428*'CAR Stock'!J478</f>
        <v>0</v>
      </c>
      <c r="AQ428" s="295">
        <f>'CAR Passenger Kilometres'!K428*'CAR Stock'!K478</f>
        <v>0</v>
      </c>
      <c r="AR428" s="295">
        <f>'CAR Passenger Kilometres'!L428*'CAR Stock'!L478</f>
        <v>0</v>
      </c>
      <c r="AS428" s="295">
        <f>'CAR Passenger Kilometres'!M428*'CAR Stock'!M478</f>
        <v>0</v>
      </c>
      <c r="AT428" s="295">
        <f>'CAR Passenger Kilometres'!N428*'CAR Stock'!N478</f>
        <v>0</v>
      </c>
      <c r="AU428" s="295">
        <f>'CAR Passenger Kilometres'!O428*'CAR Stock'!O478</f>
        <v>0</v>
      </c>
      <c r="AV428" s="295">
        <f>'CAR Passenger Kilometres'!P428*'CAR Stock'!P478</f>
        <v>0</v>
      </c>
      <c r="AW428" s="295">
        <f>'CAR Passenger Kilometres'!Q428*'CAR Stock'!Q478</f>
        <v>0</v>
      </c>
      <c r="AX428" s="295">
        <f>'CAR Passenger Kilometres'!R428*'CAR Stock'!R478</f>
        <v>0.49744420165101483</v>
      </c>
      <c r="AY428" s="295">
        <f>'CAR Passenger Kilometres'!S428*'CAR Stock'!S478</f>
        <v>19.897768066040587</v>
      </c>
      <c r="AZ428" s="295">
        <f>'CAR Passenger Kilometres'!T428*'CAR Stock'!T478</f>
        <v>201.4649016686609</v>
      </c>
      <c r="BA428" s="295">
        <f>'CAR Passenger Kilometres'!U428*'CAR Stock'!U478</f>
        <v>170.62336116629808</v>
      </c>
      <c r="BB428" s="295">
        <f>'CAR Passenger Kilometres'!V428*'CAR Stock'!V478</f>
        <v>221.86011393635263</v>
      </c>
      <c r="BC428" s="295">
        <f>'CAR Passenger Kilometres'!W428*'CAR Stock'!W478</f>
        <v>0</v>
      </c>
      <c r="BD428" s="295">
        <f>'CAR Passenger Kilometres'!X428*'CAR Stock'!X478</f>
        <v>0</v>
      </c>
      <c r="BE428" s="295">
        <f>'CAR Passenger Kilometres'!Y428*'CAR Stock'!Y478</f>
        <v>0</v>
      </c>
      <c r="BF428" s="295">
        <f>'CAR Passenger Kilometres'!Z428*'CAR Stock'!Z478</f>
        <v>0</v>
      </c>
      <c r="BG428" s="295">
        <f>'CAR Passenger Kilometres'!AA428*'CAR Stock'!AA478</f>
        <v>0</v>
      </c>
      <c r="BH428" s="295">
        <f>'CAR Passenger Kilometres'!AB428*'CAR Stock'!AB478</f>
        <v>0</v>
      </c>
      <c r="BI428" s="295">
        <f>'CAR Passenger Kilometres'!AC428*'CAR Stock'!AC478</f>
        <v>0</v>
      </c>
      <c r="BJ428" s="295">
        <f>'CAR Passenger Kilometres'!AD428*'CAR Stock'!AD478</f>
        <v>0</v>
      </c>
      <c r="BK428" s="296">
        <f>'CAR Passenger Kilometres'!AE428*'CAR Stock'!AE478</f>
        <v>0</v>
      </c>
    </row>
    <row r="429" spans="1:63">
      <c r="A429" s="1711"/>
      <c r="B429" s="116">
        <v>20</v>
      </c>
      <c r="C429" s="294">
        <f>'CAR Mileage'!C450*CAR!$I$58</f>
        <v>21023.5167656839</v>
      </c>
      <c r="D429" s="295">
        <f>'CAR Mileage'!D450*CAR!$I$58</f>
        <v>21023.5167656839</v>
      </c>
      <c r="E429" s="295">
        <f>'CAR Mileage'!E450*CAR!$I$58</f>
        <v>21023.5167656839</v>
      </c>
      <c r="F429" s="295">
        <f>'CAR Mileage'!F450*CAR!$I$58</f>
        <v>21023.5167656839</v>
      </c>
      <c r="G429" s="295">
        <f>'CAR Mileage'!G450*CAR!$I$58</f>
        <v>21023.5167656839</v>
      </c>
      <c r="H429" s="295">
        <f>'CAR Mileage'!H450*CAR!$I$58</f>
        <v>21023.5167656839</v>
      </c>
      <c r="I429" s="295">
        <f>'CAR Mileage'!I450*CAR!$I$58</f>
        <v>21023.5167656839</v>
      </c>
      <c r="J429" s="295">
        <f>'CAR Mileage'!J450*CAR!$I$58</f>
        <v>21023.5167656839</v>
      </c>
      <c r="K429" s="295">
        <f>'CAR Mileage'!K450*CAR!$I$58</f>
        <v>21023.5167656839</v>
      </c>
      <c r="L429" s="295">
        <f>'CAR Mileage'!L450*CAR!$I$58</f>
        <v>21023.5167656839</v>
      </c>
      <c r="M429" s="295">
        <f>'CAR Mileage'!M450*CAR!$I$58</f>
        <v>21023.5167656839</v>
      </c>
      <c r="N429" s="295">
        <f>'CAR Mileage'!N450*CAR!$I$58</f>
        <v>21023.5167656839</v>
      </c>
      <c r="O429" s="295">
        <f>'CAR Mileage'!O450*CAR!$I$58</f>
        <v>21023.5167656839</v>
      </c>
      <c r="P429" s="295">
        <f>'CAR Mileage'!P450*CAR!$I$58</f>
        <v>21023.5167656839</v>
      </c>
      <c r="Q429" s="295">
        <f>'CAR Mileage'!Q450*CAR!$I$58</f>
        <v>21023.5167656839</v>
      </c>
      <c r="R429" s="295">
        <f>'CAR Mileage'!R450*CAR!$I$58</f>
        <v>21023.5167656839</v>
      </c>
      <c r="S429" s="295">
        <f>'CAR Mileage'!S450*CAR!$I$58</f>
        <v>21023.5167656839</v>
      </c>
      <c r="T429" s="295">
        <f>'CAR Mileage'!T450*CAR!$I$58</f>
        <v>21023.5167656839</v>
      </c>
      <c r="U429" s="295">
        <f>'CAR Mileage'!U450*CAR!$I$58</f>
        <v>21023.5167656839</v>
      </c>
      <c r="V429" s="295">
        <f>'CAR Mileage'!V450*CAR!$I$58</f>
        <v>21023.5167656839</v>
      </c>
      <c r="W429" s="295">
        <f>'CAR Mileage'!W450*CAR!$I$58</f>
        <v>21023.5167656839</v>
      </c>
      <c r="X429" s="295">
        <f>'CAR Mileage'!X450*CAR!$I$58</f>
        <v>21023.5167656839</v>
      </c>
      <c r="Y429" s="295">
        <f>'CAR Mileage'!Y450*CAR!$I$58</f>
        <v>21023.5167656839</v>
      </c>
      <c r="Z429" s="295">
        <f>'CAR Mileage'!Z450*CAR!$I$58</f>
        <v>21023.5167656839</v>
      </c>
      <c r="AA429" s="295">
        <f>'CAR Mileage'!AA450*CAR!$I$58</f>
        <v>21023.5167656839</v>
      </c>
      <c r="AB429" s="295">
        <f>'CAR Mileage'!AB450*CAR!$I$58</f>
        <v>21023.5167656839</v>
      </c>
      <c r="AC429" s="295">
        <f>'CAR Mileage'!AC450*CAR!$I$58</f>
        <v>21023.5167656839</v>
      </c>
      <c r="AD429" s="295">
        <f>'CAR Mileage'!AD450*CAR!$I$58</f>
        <v>21023.5167656839</v>
      </c>
      <c r="AE429" s="296">
        <f>'CAR Mileage'!AE450*CAR!$I$58</f>
        <v>21023.5167656839</v>
      </c>
      <c r="AG429" s="1711"/>
      <c r="AH429" s="116">
        <v>20</v>
      </c>
      <c r="AI429" s="294">
        <f>'CAR Passenger Kilometres'!C429*'CAR Stock'!C479</f>
        <v>0</v>
      </c>
      <c r="AJ429" s="295">
        <f>'CAR Passenger Kilometres'!D429*'CAR Stock'!D479</f>
        <v>0</v>
      </c>
      <c r="AK429" s="295">
        <f>'CAR Passenger Kilometres'!E429*'CAR Stock'!E479</f>
        <v>0</v>
      </c>
      <c r="AL429" s="295">
        <f>'CAR Passenger Kilometres'!F429*'CAR Stock'!F479</f>
        <v>0</v>
      </c>
      <c r="AM429" s="295">
        <f>'CAR Passenger Kilometres'!G429*'CAR Stock'!G479</f>
        <v>0</v>
      </c>
      <c r="AN429" s="295">
        <f>'CAR Passenger Kilometres'!H429*'CAR Stock'!H479</f>
        <v>0</v>
      </c>
      <c r="AO429" s="295">
        <f>'CAR Passenger Kilometres'!I429*'CAR Stock'!I479</f>
        <v>0</v>
      </c>
      <c r="AP429" s="295">
        <f>'CAR Passenger Kilometres'!J429*'CAR Stock'!J479</f>
        <v>0</v>
      </c>
      <c r="AQ429" s="295">
        <f>'CAR Passenger Kilometres'!K429*'CAR Stock'!K479</f>
        <v>0</v>
      </c>
      <c r="AR429" s="295">
        <f>'CAR Passenger Kilometres'!L429*'CAR Stock'!L479</f>
        <v>0</v>
      </c>
      <c r="AS429" s="295">
        <f>'CAR Passenger Kilometres'!M429*'CAR Stock'!M479</f>
        <v>0</v>
      </c>
      <c r="AT429" s="295">
        <f>'CAR Passenger Kilometres'!N429*'CAR Stock'!N479</f>
        <v>0</v>
      </c>
      <c r="AU429" s="295">
        <f>'CAR Passenger Kilometres'!O429*'CAR Stock'!O479</f>
        <v>0</v>
      </c>
      <c r="AV429" s="295">
        <f>'CAR Passenger Kilometres'!P429*'CAR Stock'!P479</f>
        <v>0</v>
      </c>
      <c r="AW429" s="295">
        <f>'CAR Passenger Kilometres'!Q429*'CAR Stock'!Q479</f>
        <v>0</v>
      </c>
      <c r="AX429" s="295">
        <f>'CAR Passenger Kilometres'!R429*'CAR Stock'!R479</f>
        <v>0</v>
      </c>
      <c r="AY429" s="295">
        <f>'CAR Passenger Kilometres'!S429*'CAR Stock'!S479</f>
        <v>6.5697187884662653E-2</v>
      </c>
      <c r="AZ429" s="295">
        <f>'CAR Passenger Kilometres'!T429*'CAR Stock'!T479</f>
        <v>2.6278875153865053</v>
      </c>
      <c r="BA429" s="295">
        <f>'CAR Passenger Kilometres'!U429*'CAR Stock'!U479</f>
        <v>26.607361093288365</v>
      </c>
      <c r="BB429" s="295">
        <f>'CAR Passenger Kilometres'!V429*'CAR Stock'!V479</f>
        <v>22.53413544443929</v>
      </c>
      <c r="BC429" s="295">
        <f>'CAR Passenger Kilometres'!W429*'CAR Stock'!W479</f>
        <v>29.300945796559549</v>
      </c>
      <c r="BD429" s="295">
        <f>'CAR Passenger Kilometres'!X429*'CAR Stock'!X479</f>
        <v>0</v>
      </c>
      <c r="BE429" s="295">
        <f>'CAR Passenger Kilometres'!Y429*'CAR Stock'!Y479</f>
        <v>0</v>
      </c>
      <c r="BF429" s="295">
        <f>'CAR Passenger Kilometres'!Z429*'CAR Stock'!Z479</f>
        <v>0</v>
      </c>
      <c r="BG429" s="295">
        <f>'CAR Passenger Kilometres'!AA429*'CAR Stock'!AA479</f>
        <v>0</v>
      </c>
      <c r="BH429" s="295">
        <f>'CAR Passenger Kilometres'!AB429*'CAR Stock'!AB479</f>
        <v>0</v>
      </c>
      <c r="BI429" s="295">
        <f>'CAR Passenger Kilometres'!AC429*'CAR Stock'!AC479</f>
        <v>0</v>
      </c>
      <c r="BJ429" s="295">
        <f>'CAR Passenger Kilometres'!AD429*'CAR Stock'!AD479</f>
        <v>0</v>
      </c>
      <c r="BK429" s="296">
        <f>'CAR Passenger Kilometres'!AE429*'CAR Stock'!AE479</f>
        <v>0</v>
      </c>
    </row>
    <row r="430" spans="1:63">
      <c r="A430" s="1711"/>
      <c r="B430" s="116">
        <v>21</v>
      </c>
      <c r="C430" s="294">
        <f>'CAR Mileage'!C451*CAR!$I$58</f>
        <v>21023.5167656839</v>
      </c>
      <c r="D430" s="295">
        <f>'CAR Mileage'!D451*CAR!$I$58</f>
        <v>21023.5167656839</v>
      </c>
      <c r="E430" s="295">
        <f>'CAR Mileage'!E451*CAR!$I$58</f>
        <v>21023.5167656839</v>
      </c>
      <c r="F430" s="295">
        <f>'CAR Mileage'!F451*CAR!$I$58</f>
        <v>21023.5167656839</v>
      </c>
      <c r="G430" s="295">
        <f>'CAR Mileage'!G451*CAR!$I$58</f>
        <v>21023.5167656839</v>
      </c>
      <c r="H430" s="295">
        <f>'CAR Mileage'!H451*CAR!$I$58</f>
        <v>21023.5167656839</v>
      </c>
      <c r="I430" s="295">
        <f>'CAR Mileage'!I451*CAR!$I$58</f>
        <v>21023.5167656839</v>
      </c>
      <c r="J430" s="295">
        <f>'CAR Mileage'!J451*CAR!$I$58</f>
        <v>21023.5167656839</v>
      </c>
      <c r="K430" s="295">
        <f>'CAR Mileage'!K451*CAR!$I$58</f>
        <v>21023.5167656839</v>
      </c>
      <c r="L430" s="295">
        <f>'CAR Mileage'!L451*CAR!$I$58</f>
        <v>21023.5167656839</v>
      </c>
      <c r="M430" s="295">
        <f>'CAR Mileage'!M451*CAR!$I$58</f>
        <v>21023.5167656839</v>
      </c>
      <c r="N430" s="295">
        <f>'CAR Mileage'!N451*CAR!$I$58</f>
        <v>21023.5167656839</v>
      </c>
      <c r="O430" s="295">
        <f>'CAR Mileage'!O451*CAR!$I$58</f>
        <v>21023.5167656839</v>
      </c>
      <c r="P430" s="295">
        <f>'CAR Mileage'!P451*CAR!$I$58</f>
        <v>21023.5167656839</v>
      </c>
      <c r="Q430" s="295">
        <f>'CAR Mileage'!Q451*CAR!$I$58</f>
        <v>21023.5167656839</v>
      </c>
      <c r="R430" s="295">
        <f>'CAR Mileage'!R451*CAR!$I$58</f>
        <v>21023.5167656839</v>
      </c>
      <c r="S430" s="295">
        <f>'CAR Mileage'!S451*CAR!$I$58</f>
        <v>21023.5167656839</v>
      </c>
      <c r="T430" s="295">
        <f>'CAR Mileage'!T451*CAR!$I$58</f>
        <v>21023.5167656839</v>
      </c>
      <c r="U430" s="295">
        <f>'CAR Mileage'!U451*CAR!$I$58</f>
        <v>21023.5167656839</v>
      </c>
      <c r="V430" s="295">
        <f>'CAR Mileage'!V451*CAR!$I$58</f>
        <v>21023.5167656839</v>
      </c>
      <c r="W430" s="295">
        <f>'CAR Mileage'!W451*CAR!$I$58</f>
        <v>21023.5167656839</v>
      </c>
      <c r="X430" s="295">
        <f>'CAR Mileage'!X451*CAR!$I$58</f>
        <v>21023.5167656839</v>
      </c>
      <c r="Y430" s="295">
        <f>'CAR Mileage'!Y451*CAR!$I$58</f>
        <v>21023.5167656839</v>
      </c>
      <c r="Z430" s="295">
        <f>'CAR Mileage'!Z451*CAR!$I$58</f>
        <v>21023.5167656839</v>
      </c>
      <c r="AA430" s="295">
        <f>'CAR Mileage'!AA451*CAR!$I$58</f>
        <v>21023.5167656839</v>
      </c>
      <c r="AB430" s="295">
        <f>'CAR Mileage'!AB451*CAR!$I$58</f>
        <v>21023.5167656839</v>
      </c>
      <c r="AC430" s="295">
        <f>'CAR Mileage'!AC451*CAR!$I$58</f>
        <v>21023.5167656839</v>
      </c>
      <c r="AD430" s="295">
        <f>'CAR Mileage'!AD451*CAR!$I$58</f>
        <v>21023.5167656839</v>
      </c>
      <c r="AE430" s="296">
        <f>'CAR Mileage'!AE451*CAR!$I$58</f>
        <v>21023.5167656839</v>
      </c>
      <c r="AG430" s="1711"/>
      <c r="AH430" s="116">
        <v>21</v>
      </c>
      <c r="AI430" s="294">
        <f>'CAR Passenger Kilometres'!C430*'CAR Stock'!C480</f>
        <v>0</v>
      </c>
      <c r="AJ430" s="295">
        <f>'CAR Passenger Kilometres'!D430*'CAR Stock'!D480</f>
        <v>0</v>
      </c>
      <c r="AK430" s="295">
        <f>'CAR Passenger Kilometres'!E430*'CAR Stock'!E480</f>
        <v>0</v>
      </c>
      <c r="AL430" s="295">
        <f>'CAR Passenger Kilometres'!F430*'CAR Stock'!F480</f>
        <v>0</v>
      </c>
      <c r="AM430" s="295">
        <f>'CAR Passenger Kilometres'!G430*'CAR Stock'!G480</f>
        <v>0</v>
      </c>
      <c r="AN430" s="295">
        <f>'CAR Passenger Kilometres'!H430*'CAR Stock'!H480</f>
        <v>0</v>
      </c>
      <c r="AO430" s="295">
        <f>'CAR Passenger Kilometres'!I430*'CAR Stock'!I480</f>
        <v>0</v>
      </c>
      <c r="AP430" s="295">
        <f>'CAR Passenger Kilometres'!J430*'CAR Stock'!J480</f>
        <v>0</v>
      </c>
      <c r="AQ430" s="295">
        <f>'CAR Passenger Kilometres'!K430*'CAR Stock'!K480</f>
        <v>0</v>
      </c>
      <c r="AR430" s="295">
        <f>'CAR Passenger Kilometres'!L430*'CAR Stock'!L480</f>
        <v>0</v>
      </c>
      <c r="AS430" s="295">
        <f>'CAR Passenger Kilometres'!M430*'CAR Stock'!M480</f>
        <v>0</v>
      </c>
      <c r="AT430" s="295">
        <f>'CAR Passenger Kilometres'!N430*'CAR Stock'!N480</f>
        <v>0</v>
      </c>
      <c r="AU430" s="295">
        <f>'CAR Passenger Kilometres'!O430*'CAR Stock'!O480</f>
        <v>0</v>
      </c>
      <c r="AV430" s="295">
        <f>'CAR Passenger Kilometres'!P430*'CAR Stock'!P480</f>
        <v>0</v>
      </c>
      <c r="AW430" s="295">
        <f>'CAR Passenger Kilometres'!Q430*'CAR Stock'!Q480</f>
        <v>0</v>
      </c>
      <c r="AX430" s="295">
        <f>'CAR Passenger Kilometres'!R430*'CAR Stock'!R480</f>
        <v>0</v>
      </c>
      <c r="AY430" s="295">
        <f>'CAR Passenger Kilometres'!S430*'CAR Stock'!S480</f>
        <v>0</v>
      </c>
      <c r="AZ430" s="295">
        <f>'CAR Passenger Kilometres'!T430*'CAR Stock'!T480</f>
        <v>6.9412737856868884E-3</v>
      </c>
      <c r="BA430" s="295">
        <f>'CAR Passenger Kilometres'!U430*'CAR Stock'!U480</f>
        <v>0.27765095142747548</v>
      </c>
      <c r="BB430" s="295">
        <f>'CAR Passenger Kilometres'!V430*'CAR Stock'!V480</f>
        <v>2.8112158832031886</v>
      </c>
      <c r="BC430" s="295">
        <f>'CAR Passenger Kilometres'!W430*'CAR Stock'!W480</f>
        <v>2.3808569084906028</v>
      </c>
      <c r="BD430" s="295">
        <f>'CAR Passenger Kilometres'!X430*'CAR Stock'!X480</f>
        <v>3.0958081084163531</v>
      </c>
      <c r="BE430" s="295">
        <f>'CAR Passenger Kilometres'!Y430*'CAR Stock'!Y480</f>
        <v>0</v>
      </c>
      <c r="BF430" s="295">
        <f>'CAR Passenger Kilometres'!Z430*'CAR Stock'!Z480</f>
        <v>0</v>
      </c>
      <c r="BG430" s="295">
        <f>'CAR Passenger Kilometres'!AA430*'CAR Stock'!AA480</f>
        <v>0</v>
      </c>
      <c r="BH430" s="295">
        <f>'CAR Passenger Kilometres'!AB430*'CAR Stock'!AB480</f>
        <v>0</v>
      </c>
      <c r="BI430" s="295">
        <f>'CAR Passenger Kilometres'!AC430*'CAR Stock'!AC480</f>
        <v>0</v>
      </c>
      <c r="BJ430" s="295">
        <f>'CAR Passenger Kilometres'!AD430*'CAR Stock'!AD480</f>
        <v>0</v>
      </c>
      <c r="BK430" s="296">
        <f>'CAR Passenger Kilometres'!AE430*'CAR Stock'!AE480</f>
        <v>0</v>
      </c>
    </row>
    <row r="431" spans="1:63">
      <c r="A431" s="1711"/>
      <c r="B431" s="116">
        <v>22</v>
      </c>
      <c r="C431" s="294">
        <f>'CAR Mileage'!C452*CAR!$I$58</f>
        <v>21023.5167656839</v>
      </c>
      <c r="D431" s="295">
        <f>'CAR Mileage'!D452*CAR!$I$58</f>
        <v>21023.5167656839</v>
      </c>
      <c r="E431" s="295">
        <f>'CAR Mileage'!E452*CAR!$I$58</f>
        <v>21023.5167656839</v>
      </c>
      <c r="F431" s="295">
        <f>'CAR Mileage'!F452*CAR!$I$58</f>
        <v>21023.5167656839</v>
      </c>
      <c r="G431" s="295">
        <f>'CAR Mileage'!G452*CAR!$I$58</f>
        <v>21023.5167656839</v>
      </c>
      <c r="H431" s="295">
        <f>'CAR Mileage'!H452*CAR!$I$58</f>
        <v>21023.5167656839</v>
      </c>
      <c r="I431" s="295">
        <f>'CAR Mileage'!I452*CAR!$I$58</f>
        <v>21023.5167656839</v>
      </c>
      <c r="J431" s="295">
        <f>'CAR Mileage'!J452*CAR!$I$58</f>
        <v>21023.5167656839</v>
      </c>
      <c r="K431" s="295">
        <f>'CAR Mileage'!K452*CAR!$I$58</f>
        <v>21023.5167656839</v>
      </c>
      <c r="L431" s="295">
        <f>'CAR Mileage'!L452*CAR!$I$58</f>
        <v>21023.5167656839</v>
      </c>
      <c r="M431" s="295">
        <f>'CAR Mileage'!M452*CAR!$I$58</f>
        <v>21023.5167656839</v>
      </c>
      <c r="N431" s="295">
        <f>'CAR Mileage'!N452*CAR!$I$58</f>
        <v>21023.5167656839</v>
      </c>
      <c r="O431" s="295">
        <f>'CAR Mileage'!O452*CAR!$I$58</f>
        <v>21023.5167656839</v>
      </c>
      <c r="P431" s="295">
        <f>'CAR Mileage'!P452*CAR!$I$58</f>
        <v>21023.5167656839</v>
      </c>
      <c r="Q431" s="295">
        <f>'CAR Mileage'!Q452*CAR!$I$58</f>
        <v>21023.5167656839</v>
      </c>
      <c r="R431" s="295">
        <f>'CAR Mileage'!R452*CAR!$I$58</f>
        <v>21023.5167656839</v>
      </c>
      <c r="S431" s="295">
        <f>'CAR Mileage'!S452*CAR!$I$58</f>
        <v>21023.5167656839</v>
      </c>
      <c r="T431" s="295">
        <f>'CAR Mileage'!T452*CAR!$I$58</f>
        <v>21023.5167656839</v>
      </c>
      <c r="U431" s="295">
        <f>'CAR Mileage'!U452*CAR!$I$58</f>
        <v>21023.5167656839</v>
      </c>
      <c r="V431" s="295">
        <f>'CAR Mileage'!V452*CAR!$I$58</f>
        <v>21023.5167656839</v>
      </c>
      <c r="W431" s="295">
        <f>'CAR Mileage'!W452*CAR!$I$58</f>
        <v>21023.5167656839</v>
      </c>
      <c r="X431" s="295">
        <f>'CAR Mileage'!X452*CAR!$I$58</f>
        <v>21023.5167656839</v>
      </c>
      <c r="Y431" s="295">
        <f>'CAR Mileage'!Y452*CAR!$I$58</f>
        <v>21023.5167656839</v>
      </c>
      <c r="Z431" s="295">
        <f>'CAR Mileage'!Z452*CAR!$I$58</f>
        <v>21023.5167656839</v>
      </c>
      <c r="AA431" s="295">
        <f>'CAR Mileage'!AA452*CAR!$I$58</f>
        <v>21023.5167656839</v>
      </c>
      <c r="AB431" s="295">
        <f>'CAR Mileage'!AB452*CAR!$I$58</f>
        <v>21023.5167656839</v>
      </c>
      <c r="AC431" s="295">
        <f>'CAR Mileage'!AC452*CAR!$I$58</f>
        <v>21023.5167656839</v>
      </c>
      <c r="AD431" s="295">
        <f>'CAR Mileage'!AD452*CAR!$I$58</f>
        <v>21023.5167656839</v>
      </c>
      <c r="AE431" s="296">
        <f>'CAR Mileage'!AE452*CAR!$I$58</f>
        <v>21023.5167656839</v>
      </c>
      <c r="AG431" s="1711"/>
      <c r="AH431" s="116">
        <v>22</v>
      </c>
      <c r="AI431" s="294">
        <f>'CAR Passenger Kilometres'!C431*'CAR Stock'!C481</f>
        <v>0</v>
      </c>
      <c r="AJ431" s="295">
        <f>'CAR Passenger Kilometres'!D431*'CAR Stock'!D481</f>
        <v>0</v>
      </c>
      <c r="AK431" s="295">
        <f>'CAR Passenger Kilometres'!E431*'CAR Stock'!E481</f>
        <v>0</v>
      </c>
      <c r="AL431" s="295">
        <f>'CAR Passenger Kilometres'!F431*'CAR Stock'!F481</f>
        <v>0</v>
      </c>
      <c r="AM431" s="295">
        <f>'CAR Passenger Kilometres'!G431*'CAR Stock'!G481</f>
        <v>0</v>
      </c>
      <c r="AN431" s="295">
        <f>'CAR Passenger Kilometres'!H431*'CAR Stock'!H481</f>
        <v>0</v>
      </c>
      <c r="AO431" s="295">
        <f>'CAR Passenger Kilometres'!I431*'CAR Stock'!I481</f>
        <v>0</v>
      </c>
      <c r="AP431" s="295">
        <f>'CAR Passenger Kilometres'!J431*'CAR Stock'!J481</f>
        <v>0</v>
      </c>
      <c r="AQ431" s="295">
        <f>'CAR Passenger Kilometres'!K431*'CAR Stock'!K481</f>
        <v>0</v>
      </c>
      <c r="AR431" s="295">
        <f>'CAR Passenger Kilometres'!L431*'CAR Stock'!L481</f>
        <v>0</v>
      </c>
      <c r="AS431" s="295">
        <f>'CAR Passenger Kilometres'!M431*'CAR Stock'!M481</f>
        <v>0</v>
      </c>
      <c r="AT431" s="295">
        <f>'CAR Passenger Kilometres'!N431*'CAR Stock'!N481</f>
        <v>0</v>
      </c>
      <c r="AU431" s="295">
        <f>'CAR Passenger Kilometres'!O431*'CAR Stock'!O481</f>
        <v>0</v>
      </c>
      <c r="AV431" s="295">
        <f>'CAR Passenger Kilometres'!P431*'CAR Stock'!P481</f>
        <v>0</v>
      </c>
      <c r="AW431" s="295">
        <f>'CAR Passenger Kilometres'!Q431*'CAR Stock'!Q481</f>
        <v>0</v>
      </c>
      <c r="AX431" s="295">
        <f>'CAR Passenger Kilometres'!R431*'CAR Stock'!R481</f>
        <v>0</v>
      </c>
      <c r="AY431" s="295">
        <f>'CAR Passenger Kilometres'!S431*'CAR Stock'!S481</f>
        <v>0</v>
      </c>
      <c r="AZ431" s="295">
        <f>'CAR Passenger Kilometres'!T431*'CAR Stock'!T481</f>
        <v>0</v>
      </c>
      <c r="BA431" s="295">
        <f>'CAR Passenger Kilometres'!U431*'CAR Stock'!U481</f>
        <v>5.5003817498761021E-4</v>
      </c>
      <c r="BB431" s="295">
        <f>'CAR Passenger Kilometres'!V431*'CAR Stock'!V481</f>
        <v>2.2001526999504403E-2</v>
      </c>
      <c r="BC431" s="295">
        <f>'CAR Passenger Kilometres'!W431*'CAR Stock'!W481</f>
        <v>0.22276546086998208</v>
      </c>
      <c r="BD431" s="295">
        <f>'CAR Passenger Kilometres'!X431*'CAR Stock'!X481</f>
        <v>0.18866309402075032</v>
      </c>
      <c r="BE431" s="295">
        <f>'CAR Passenger Kilometres'!Y431*'CAR Stock'!Y481</f>
        <v>0.24531702604447425</v>
      </c>
      <c r="BF431" s="295">
        <f>'CAR Passenger Kilometres'!Z431*'CAR Stock'!Z481</f>
        <v>0</v>
      </c>
      <c r="BG431" s="295">
        <f>'CAR Passenger Kilometres'!AA431*'CAR Stock'!AA481</f>
        <v>0</v>
      </c>
      <c r="BH431" s="295">
        <f>'CAR Passenger Kilometres'!AB431*'CAR Stock'!AB481</f>
        <v>0</v>
      </c>
      <c r="BI431" s="295">
        <f>'CAR Passenger Kilometres'!AC431*'CAR Stock'!AC481</f>
        <v>0</v>
      </c>
      <c r="BJ431" s="295">
        <f>'CAR Passenger Kilometres'!AD431*'CAR Stock'!AD481</f>
        <v>0</v>
      </c>
      <c r="BK431" s="296">
        <f>'CAR Passenger Kilometres'!AE431*'CAR Stock'!AE481</f>
        <v>0</v>
      </c>
    </row>
    <row r="432" spans="1:63">
      <c r="A432" s="1711"/>
      <c r="B432" s="116">
        <v>23</v>
      </c>
      <c r="C432" s="294">
        <f>'CAR Mileage'!C453*CAR!$I$58</f>
        <v>21023.5167656839</v>
      </c>
      <c r="D432" s="295">
        <f>'CAR Mileage'!D453*CAR!$I$58</f>
        <v>21023.5167656839</v>
      </c>
      <c r="E432" s="295">
        <f>'CAR Mileage'!E453*CAR!$I$58</f>
        <v>21023.5167656839</v>
      </c>
      <c r="F432" s="295">
        <f>'CAR Mileage'!F453*CAR!$I$58</f>
        <v>21023.5167656839</v>
      </c>
      <c r="G432" s="295">
        <f>'CAR Mileage'!G453*CAR!$I$58</f>
        <v>21023.5167656839</v>
      </c>
      <c r="H432" s="295">
        <f>'CAR Mileage'!H453*CAR!$I$58</f>
        <v>21023.5167656839</v>
      </c>
      <c r="I432" s="295">
        <f>'CAR Mileage'!I453*CAR!$I$58</f>
        <v>21023.5167656839</v>
      </c>
      <c r="J432" s="295">
        <f>'CAR Mileage'!J453*CAR!$I$58</f>
        <v>21023.5167656839</v>
      </c>
      <c r="K432" s="295">
        <f>'CAR Mileage'!K453*CAR!$I$58</f>
        <v>21023.5167656839</v>
      </c>
      <c r="L432" s="295">
        <f>'CAR Mileage'!L453*CAR!$I$58</f>
        <v>21023.5167656839</v>
      </c>
      <c r="M432" s="295">
        <f>'CAR Mileage'!M453*CAR!$I$58</f>
        <v>21023.5167656839</v>
      </c>
      <c r="N432" s="295">
        <f>'CAR Mileage'!N453*CAR!$I$58</f>
        <v>21023.5167656839</v>
      </c>
      <c r="O432" s="295">
        <f>'CAR Mileage'!O453*CAR!$I$58</f>
        <v>21023.5167656839</v>
      </c>
      <c r="P432" s="295">
        <f>'CAR Mileage'!P453*CAR!$I$58</f>
        <v>21023.5167656839</v>
      </c>
      <c r="Q432" s="295">
        <f>'CAR Mileage'!Q453*CAR!$I$58</f>
        <v>21023.5167656839</v>
      </c>
      <c r="R432" s="295">
        <f>'CAR Mileage'!R453*CAR!$I$58</f>
        <v>21023.5167656839</v>
      </c>
      <c r="S432" s="295">
        <f>'CAR Mileage'!S453*CAR!$I$58</f>
        <v>21023.5167656839</v>
      </c>
      <c r="T432" s="295">
        <f>'CAR Mileage'!T453*CAR!$I$58</f>
        <v>21023.5167656839</v>
      </c>
      <c r="U432" s="295">
        <f>'CAR Mileage'!U453*CAR!$I$58</f>
        <v>21023.5167656839</v>
      </c>
      <c r="V432" s="295">
        <f>'CAR Mileage'!V453*CAR!$I$58</f>
        <v>21023.5167656839</v>
      </c>
      <c r="W432" s="295">
        <f>'CAR Mileage'!W453*CAR!$I$58</f>
        <v>21023.5167656839</v>
      </c>
      <c r="X432" s="295">
        <f>'CAR Mileage'!X453*CAR!$I$58</f>
        <v>21023.5167656839</v>
      </c>
      <c r="Y432" s="295">
        <f>'CAR Mileage'!Y453*CAR!$I$58</f>
        <v>21023.5167656839</v>
      </c>
      <c r="Z432" s="295">
        <f>'CAR Mileage'!Z453*CAR!$I$58</f>
        <v>21023.5167656839</v>
      </c>
      <c r="AA432" s="295">
        <f>'CAR Mileage'!AA453*CAR!$I$58</f>
        <v>21023.5167656839</v>
      </c>
      <c r="AB432" s="295">
        <f>'CAR Mileage'!AB453*CAR!$I$58</f>
        <v>21023.5167656839</v>
      </c>
      <c r="AC432" s="295">
        <f>'CAR Mileage'!AC453*CAR!$I$58</f>
        <v>21023.5167656839</v>
      </c>
      <c r="AD432" s="295">
        <f>'CAR Mileage'!AD453*CAR!$I$58</f>
        <v>21023.5167656839</v>
      </c>
      <c r="AE432" s="296">
        <f>'CAR Mileage'!AE453*CAR!$I$58</f>
        <v>21023.5167656839</v>
      </c>
      <c r="AG432" s="1711"/>
      <c r="AH432" s="116">
        <v>23</v>
      </c>
      <c r="AI432" s="294">
        <f>'CAR Passenger Kilometres'!C432*'CAR Stock'!C482</f>
        <v>0</v>
      </c>
      <c r="AJ432" s="295">
        <f>'CAR Passenger Kilometres'!D432*'CAR Stock'!D482</f>
        <v>0</v>
      </c>
      <c r="AK432" s="295">
        <f>'CAR Passenger Kilometres'!E432*'CAR Stock'!E482</f>
        <v>0</v>
      </c>
      <c r="AL432" s="295">
        <f>'CAR Passenger Kilometres'!F432*'CAR Stock'!F482</f>
        <v>0</v>
      </c>
      <c r="AM432" s="295">
        <f>'CAR Passenger Kilometres'!G432*'CAR Stock'!G482</f>
        <v>0</v>
      </c>
      <c r="AN432" s="295">
        <f>'CAR Passenger Kilometres'!H432*'CAR Stock'!H482</f>
        <v>0</v>
      </c>
      <c r="AO432" s="295">
        <f>'CAR Passenger Kilometres'!I432*'CAR Stock'!I482</f>
        <v>0</v>
      </c>
      <c r="AP432" s="295">
        <f>'CAR Passenger Kilometres'!J432*'CAR Stock'!J482</f>
        <v>0</v>
      </c>
      <c r="AQ432" s="295">
        <f>'CAR Passenger Kilometres'!K432*'CAR Stock'!K482</f>
        <v>0</v>
      </c>
      <c r="AR432" s="295">
        <f>'CAR Passenger Kilometres'!L432*'CAR Stock'!L482</f>
        <v>0</v>
      </c>
      <c r="AS432" s="295">
        <f>'CAR Passenger Kilometres'!M432*'CAR Stock'!M482</f>
        <v>0</v>
      </c>
      <c r="AT432" s="295">
        <f>'CAR Passenger Kilometres'!N432*'CAR Stock'!N482</f>
        <v>0</v>
      </c>
      <c r="AU432" s="295">
        <f>'CAR Passenger Kilometres'!O432*'CAR Stock'!O482</f>
        <v>0</v>
      </c>
      <c r="AV432" s="295">
        <f>'CAR Passenger Kilometres'!P432*'CAR Stock'!P482</f>
        <v>0</v>
      </c>
      <c r="AW432" s="295">
        <f>'CAR Passenger Kilometres'!Q432*'CAR Stock'!Q482</f>
        <v>0</v>
      </c>
      <c r="AX432" s="295">
        <f>'CAR Passenger Kilometres'!R432*'CAR Stock'!R482</f>
        <v>0</v>
      </c>
      <c r="AY432" s="295">
        <f>'CAR Passenger Kilometres'!S432*'CAR Stock'!S482</f>
        <v>0</v>
      </c>
      <c r="AZ432" s="295">
        <f>'CAR Passenger Kilometres'!T432*'CAR Stock'!T482</f>
        <v>0</v>
      </c>
      <c r="BA432" s="295">
        <f>'CAR Passenger Kilometres'!U432*'CAR Stock'!U482</f>
        <v>0</v>
      </c>
      <c r="BB432" s="295">
        <f>'CAR Passenger Kilometres'!V432*'CAR Stock'!V482</f>
        <v>2.9057298250507594E-5</v>
      </c>
      <c r="BC432" s="295">
        <f>'CAR Passenger Kilometres'!W432*'CAR Stock'!W482</f>
        <v>1.1622919300203034E-3</v>
      </c>
      <c r="BD432" s="295">
        <f>'CAR Passenger Kilometres'!X432*'CAR Stock'!X482</f>
        <v>1.1768205791455572E-2</v>
      </c>
      <c r="BE432" s="295">
        <f>'CAR Passenger Kilometres'!Y432*'CAR Stock'!Y482</f>
        <v>9.9666532999241053E-3</v>
      </c>
      <c r="BF432" s="295">
        <f>'CAR Passenger Kilometres'!Z432*'CAR Stock'!Z482</f>
        <v>1.2959555019726392E-2</v>
      </c>
      <c r="BG432" s="295">
        <f>'CAR Passenger Kilometres'!AA432*'CAR Stock'!AA482</f>
        <v>0</v>
      </c>
      <c r="BH432" s="295">
        <f>'CAR Passenger Kilometres'!AB432*'CAR Stock'!AB482</f>
        <v>0</v>
      </c>
      <c r="BI432" s="295">
        <f>'CAR Passenger Kilometres'!AC432*'CAR Stock'!AC482</f>
        <v>0</v>
      </c>
      <c r="BJ432" s="295">
        <f>'CAR Passenger Kilometres'!AD432*'CAR Stock'!AD482</f>
        <v>0</v>
      </c>
      <c r="BK432" s="296">
        <f>'CAR Passenger Kilometres'!AE432*'CAR Stock'!AE482</f>
        <v>0</v>
      </c>
    </row>
    <row r="433" spans="1:63">
      <c r="A433" s="1711"/>
      <c r="B433" s="116">
        <v>24</v>
      </c>
      <c r="C433" s="294">
        <f>'CAR Mileage'!C454*CAR!$I$58</f>
        <v>21023.5167656839</v>
      </c>
      <c r="D433" s="295">
        <f>'CAR Mileage'!D454*CAR!$I$58</f>
        <v>21023.5167656839</v>
      </c>
      <c r="E433" s="295">
        <f>'CAR Mileage'!E454*CAR!$I$58</f>
        <v>21023.5167656839</v>
      </c>
      <c r="F433" s="295">
        <f>'CAR Mileage'!F454*CAR!$I$58</f>
        <v>21023.5167656839</v>
      </c>
      <c r="G433" s="295">
        <f>'CAR Mileage'!G454*CAR!$I$58</f>
        <v>21023.5167656839</v>
      </c>
      <c r="H433" s="295">
        <f>'CAR Mileage'!H454*CAR!$I$58</f>
        <v>21023.5167656839</v>
      </c>
      <c r="I433" s="295">
        <f>'CAR Mileage'!I454*CAR!$I$58</f>
        <v>21023.5167656839</v>
      </c>
      <c r="J433" s="295">
        <f>'CAR Mileage'!J454*CAR!$I$58</f>
        <v>21023.5167656839</v>
      </c>
      <c r="K433" s="295">
        <f>'CAR Mileage'!K454*CAR!$I$58</f>
        <v>21023.5167656839</v>
      </c>
      <c r="L433" s="295">
        <f>'CAR Mileage'!L454*CAR!$I$58</f>
        <v>21023.5167656839</v>
      </c>
      <c r="M433" s="295">
        <f>'CAR Mileage'!M454*CAR!$I$58</f>
        <v>21023.5167656839</v>
      </c>
      <c r="N433" s="295">
        <f>'CAR Mileage'!N454*CAR!$I$58</f>
        <v>21023.5167656839</v>
      </c>
      <c r="O433" s="295">
        <f>'CAR Mileage'!O454*CAR!$I$58</f>
        <v>21023.5167656839</v>
      </c>
      <c r="P433" s="295">
        <f>'CAR Mileage'!P454*CAR!$I$58</f>
        <v>21023.5167656839</v>
      </c>
      <c r="Q433" s="295">
        <f>'CAR Mileage'!Q454*CAR!$I$58</f>
        <v>21023.5167656839</v>
      </c>
      <c r="R433" s="295">
        <f>'CAR Mileage'!R454*CAR!$I$58</f>
        <v>21023.5167656839</v>
      </c>
      <c r="S433" s="295">
        <f>'CAR Mileage'!S454*CAR!$I$58</f>
        <v>21023.5167656839</v>
      </c>
      <c r="T433" s="295">
        <f>'CAR Mileage'!T454*CAR!$I$58</f>
        <v>21023.5167656839</v>
      </c>
      <c r="U433" s="295">
        <f>'CAR Mileage'!U454*CAR!$I$58</f>
        <v>21023.5167656839</v>
      </c>
      <c r="V433" s="295">
        <f>'CAR Mileage'!V454*CAR!$I$58</f>
        <v>21023.5167656839</v>
      </c>
      <c r="W433" s="295">
        <f>'CAR Mileage'!W454*CAR!$I$58</f>
        <v>21023.5167656839</v>
      </c>
      <c r="X433" s="295">
        <f>'CAR Mileage'!X454*CAR!$I$58</f>
        <v>21023.5167656839</v>
      </c>
      <c r="Y433" s="295">
        <f>'CAR Mileage'!Y454*CAR!$I$58</f>
        <v>21023.5167656839</v>
      </c>
      <c r="Z433" s="295">
        <f>'CAR Mileage'!Z454*CAR!$I$58</f>
        <v>21023.5167656839</v>
      </c>
      <c r="AA433" s="295">
        <f>'CAR Mileage'!AA454*CAR!$I$58</f>
        <v>21023.5167656839</v>
      </c>
      <c r="AB433" s="295">
        <f>'CAR Mileage'!AB454*CAR!$I$58</f>
        <v>21023.5167656839</v>
      </c>
      <c r="AC433" s="295">
        <f>'CAR Mileage'!AC454*CAR!$I$58</f>
        <v>21023.5167656839</v>
      </c>
      <c r="AD433" s="295">
        <f>'CAR Mileage'!AD454*CAR!$I$58</f>
        <v>21023.5167656839</v>
      </c>
      <c r="AE433" s="296">
        <f>'CAR Mileage'!AE454*CAR!$I$58</f>
        <v>21023.5167656839</v>
      </c>
      <c r="AG433" s="1711"/>
      <c r="AH433" s="116">
        <v>24</v>
      </c>
      <c r="AI433" s="294">
        <f>'CAR Passenger Kilometres'!C433*'CAR Stock'!C483</f>
        <v>0</v>
      </c>
      <c r="AJ433" s="295">
        <f>'CAR Passenger Kilometres'!D433*'CAR Stock'!D483</f>
        <v>0</v>
      </c>
      <c r="AK433" s="295">
        <f>'CAR Passenger Kilometres'!E433*'CAR Stock'!E483</f>
        <v>0</v>
      </c>
      <c r="AL433" s="295">
        <f>'CAR Passenger Kilometres'!F433*'CAR Stock'!F483</f>
        <v>0</v>
      </c>
      <c r="AM433" s="295">
        <f>'CAR Passenger Kilometres'!G433*'CAR Stock'!G483</f>
        <v>0</v>
      </c>
      <c r="AN433" s="295">
        <f>'CAR Passenger Kilometres'!H433*'CAR Stock'!H483</f>
        <v>0</v>
      </c>
      <c r="AO433" s="295">
        <f>'CAR Passenger Kilometres'!I433*'CAR Stock'!I483</f>
        <v>0</v>
      </c>
      <c r="AP433" s="295">
        <f>'CAR Passenger Kilometres'!J433*'CAR Stock'!J483</f>
        <v>0</v>
      </c>
      <c r="AQ433" s="295">
        <f>'CAR Passenger Kilometres'!K433*'CAR Stock'!K483</f>
        <v>0</v>
      </c>
      <c r="AR433" s="295">
        <f>'CAR Passenger Kilometres'!L433*'CAR Stock'!L483</f>
        <v>0</v>
      </c>
      <c r="AS433" s="295">
        <f>'CAR Passenger Kilometres'!M433*'CAR Stock'!M483</f>
        <v>0</v>
      </c>
      <c r="AT433" s="295">
        <f>'CAR Passenger Kilometres'!N433*'CAR Stock'!N483</f>
        <v>0</v>
      </c>
      <c r="AU433" s="295">
        <f>'CAR Passenger Kilometres'!O433*'CAR Stock'!O483</f>
        <v>0</v>
      </c>
      <c r="AV433" s="295">
        <f>'CAR Passenger Kilometres'!P433*'CAR Stock'!P483</f>
        <v>0</v>
      </c>
      <c r="AW433" s="295">
        <f>'CAR Passenger Kilometres'!Q433*'CAR Stock'!Q483</f>
        <v>0</v>
      </c>
      <c r="AX433" s="295">
        <f>'CAR Passenger Kilometres'!R433*'CAR Stock'!R483</f>
        <v>0</v>
      </c>
      <c r="AY433" s="295">
        <f>'CAR Passenger Kilometres'!S433*'CAR Stock'!S483</f>
        <v>0</v>
      </c>
      <c r="AZ433" s="295">
        <f>'CAR Passenger Kilometres'!T433*'CAR Stock'!T483</f>
        <v>0</v>
      </c>
      <c r="BA433" s="295">
        <f>'CAR Passenger Kilometres'!U433*'CAR Stock'!U483</f>
        <v>0</v>
      </c>
      <c r="BB433" s="295">
        <f>'CAR Passenger Kilometres'!V433*'CAR Stock'!V483</f>
        <v>0</v>
      </c>
      <c r="BC433" s="295">
        <f>'CAR Passenger Kilometres'!W433*'CAR Stock'!W483</f>
        <v>7.6751634705897389E-7</v>
      </c>
      <c r="BD433" s="295">
        <f>'CAR Passenger Kilometres'!X433*'CAR Stock'!X483</f>
        <v>3.0700653882358951E-5</v>
      </c>
      <c r="BE433" s="295">
        <f>'CAR Passenger Kilometres'!Y433*'CAR Stock'!Y483</f>
        <v>3.1084412055888433E-4</v>
      </c>
      <c r="BF433" s="295">
        <f>'CAR Passenger Kilometres'!Z433*'CAR Stock'!Z483</f>
        <v>2.6325810704122803E-4</v>
      </c>
      <c r="BG433" s="295">
        <f>'CAR Passenger Kilometres'!AA433*'CAR Stock'!AA483</f>
        <v>3.4231229078830245E-4</v>
      </c>
      <c r="BH433" s="295">
        <f>'CAR Passenger Kilometres'!AB433*'CAR Stock'!AB483</f>
        <v>0</v>
      </c>
      <c r="BI433" s="295">
        <f>'CAR Passenger Kilometres'!AC433*'CAR Stock'!AC483</f>
        <v>0</v>
      </c>
      <c r="BJ433" s="295">
        <f>'CAR Passenger Kilometres'!AD433*'CAR Stock'!AD483</f>
        <v>0</v>
      </c>
      <c r="BK433" s="296">
        <f>'CAR Passenger Kilometres'!AE433*'CAR Stock'!AE483</f>
        <v>0</v>
      </c>
    </row>
    <row r="434" spans="1:63" ht="15.75" thickBot="1">
      <c r="A434" s="1711"/>
      <c r="B434" s="116">
        <v>25</v>
      </c>
      <c r="C434" s="297">
        <f>'CAR Mileage'!C455*CAR!$I$58</f>
        <v>21023.5167656839</v>
      </c>
      <c r="D434" s="298">
        <f>'CAR Mileage'!D455*CAR!$I$58</f>
        <v>21023.5167656839</v>
      </c>
      <c r="E434" s="298">
        <f>'CAR Mileage'!E455*CAR!$I$58</f>
        <v>21023.5167656839</v>
      </c>
      <c r="F434" s="298">
        <f>'CAR Mileage'!F455*CAR!$I$58</f>
        <v>21023.5167656839</v>
      </c>
      <c r="G434" s="298">
        <f>'CAR Mileage'!G455*CAR!$I$58</f>
        <v>21023.5167656839</v>
      </c>
      <c r="H434" s="298">
        <f>'CAR Mileage'!H455*CAR!$I$58</f>
        <v>21023.5167656839</v>
      </c>
      <c r="I434" s="298">
        <f>'CAR Mileage'!I455*CAR!$I$58</f>
        <v>21023.5167656839</v>
      </c>
      <c r="J434" s="298">
        <f>'CAR Mileage'!J455*CAR!$I$58</f>
        <v>21023.5167656839</v>
      </c>
      <c r="K434" s="298">
        <f>'CAR Mileage'!K455*CAR!$I$58</f>
        <v>21023.5167656839</v>
      </c>
      <c r="L434" s="298">
        <f>'CAR Mileage'!L455*CAR!$I$58</f>
        <v>21023.5167656839</v>
      </c>
      <c r="M434" s="298">
        <f>'CAR Mileage'!M455*CAR!$I$58</f>
        <v>21023.5167656839</v>
      </c>
      <c r="N434" s="298">
        <f>'CAR Mileage'!N455*CAR!$I$58</f>
        <v>21023.5167656839</v>
      </c>
      <c r="O434" s="298">
        <f>'CAR Mileage'!O455*CAR!$I$58</f>
        <v>21023.5167656839</v>
      </c>
      <c r="P434" s="298">
        <f>'CAR Mileage'!P455*CAR!$I$58</f>
        <v>21023.5167656839</v>
      </c>
      <c r="Q434" s="298">
        <f>'CAR Mileage'!Q455*CAR!$I$58</f>
        <v>21023.5167656839</v>
      </c>
      <c r="R434" s="298">
        <f>'CAR Mileage'!R455*CAR!$I$58</f>
        <v>21023.5167656839</v>
      </c>
      <c r="S434" s="298">
        <f>'CAR Mileage'!S455*CAR!$I$58</f>
        <v>21023.5167656839</v>
      </c>
      <c r="T434" s="298">
        <f>'CAR Mileage'!T455*CAR!$I$58</f>
        <v>21023.5167656839</v>
      </c>
      <c r="U434" s="298">
        <f>'CAR Mileage'!U455*CAR!$I$58</f>
        <v>21023.5167656839</v>
      </c>
      <c r="V434" s="298">
        <f>'CAR Mileage'!V455*CAR!$I$58</f>
        <v>21023.5167656839</v>
      </c>
      <c r="W434" s="298">
        <f>'CAR Mileage'!W455*CAR!$I$58</f>
        <v>21023.5167656839</v>
      </c>
      <c r="X434" s="298">
        <f>'CAR Mileage'!X455*CAR!$I$58</f>
        <v>21023.5167656839</v>
      </c>
      <c r="Y434" s="298">
        <f>'CAR Mileage'!Y455*CAR!$I$58</f>
        <v>21023.5167656839</v>
      </c>
      <c r="Z434" s="298">
        <f>'CAR Mileage'!Z455*CAR!$I$58</f>
        <v>21023.5167656839</v>
      </c>
      <c r="AA434" s="298">
        <f>'CAR Mileage'!AA455*CAR!$I$58</f>
        <v>21023.5167656839</v>
      </c>
      <c r="AB434" s="298">
        <f>'CAR Mileage'!AB455*CAR!$I$58</f>
        <v>21023.5167656839</v>
      </c>
      <c r="AC434" s="298">
        <f>'CAR Mileage'!AC455*CAR!$I$58</f>
        <v>21023.5167656839</v>
      </c>
      <c r="AD434" s="298">
        <f>'CAR Mileage'!AD455*CAR!$I$58</f>
        <v>21023.5167656839</v>
      </c>
      <c r="AE434" s="299">
        <f>'CAR Mileage'!AE455*CAR!$I$58</f>
        <v>21023.5167656839</v>
      </c>
      <c r="AG434" s="1711"/>
      <c r="AH434" s="116">
        <v>25</v>
      </c>
      <c r="AI434" s="297">
        <f>'CAR Passenger Kilometres'!C434*'CAR Stock'!C484</f>
        <v>0</v>
      </c>
      <c r="AJ434" s="298">
        <f>'CAR Passenger Kilometres'!D434*'CAR Stock'!D484</f>
        <v>0</v>
      </c>
      <c r="AK434" s="298">
        <f>'CAR Passenger Kilometres'!E434*'CAR Stock'!E484</f>
        <v>0</v>
      </c>
      <c r="AL434" s="298">
        <f>'CAR Passenger Kilometres'!F434*'CAR Stock'!F484</f>
        <v>0</v>
      </c>
      <c r="AM434" s="298">
        <f>'CAR Passenger Kilometres'!G434*'CAR Stock'!G484</f>
        <v>0</v>
      </c>
      <c r="AN434" s="298">
        <f>'CAR Passenger Kilometres'!H434*'CAR Stock'!H484</f>
        <v>0</v>
      </c>
      <c r="AO434" s="298">
        <f>'CAR Passenger Kilometres'!I434*'CAR Stock'!I484</f>
        <v>0</v>
      </c>
      <c r="AP434" s="298">
        <f>'CAR Passenger Kilometres'!J434*'CAR Stock'!J484</f>
        <v>0</v>
      </c>
      <c r="AQ434" s="298">
        <f>'CAR Passenger Kilometres'!K434*'CAR Stock'!K484</f>
        <v>0</v>
      </c>
      <c r="AR434" s="298">
        <f>'CAR Passenger Kilometres'!L434*'CAR Stock'!L484</f>
        <v>0</v>
      </c>
      <c r="AS434" s="298">
        <f>'CAR Passenger Kilometres'!M434*'CAR Stock'!M484</f>
        <v>0</v>
      </c>
      <c r="AT434" s="298">
        <f>'CAR Passenger Kilometres'!N434*'CAR Stock'!N484</f>
        <v>0</v>
      </c>
      <c r="AU434" s="298">
        <f>'CAR Passenger Kilometres'!O434*'CAR Stock'!O484</f>
        <v>0</v>
      </c>
      <c r="AV434" s="298">
        <f>'CAR Passenger Kilometres'!P434*'CAR Stock'!P484</f>
        <v>0</v>
      </c>
      <c r="AW434" s="298">
        <f>'CAR Passenger Kilometres'!Q434*'CAR Stock'!Q484</f>
        <v>0</v>
      </c>
      <c r="AX434" s="298">
        <f>'CAR Passenger Kilometres'!R434*'CAR Stock'!R484</f>
        <v>0</v>
      </c>
      <c r="AY434" s="298">
        <f>'CAR Passenger Kilometres'!S434*'CAR Stock'!S484</f>
        <v>0</v>
      </c>
      <c r="AZ434" s="298">
        <f>'CAR Passenger Kilometres'!T434*'CAR Stock'!T484</f>
        <v>0</v>
      </c>
      <c r="BA434" s="298">
        <f>'CAR Passenger Kilometres'!U434*'CAR Stock'!U484</f>
        <v>0</v>
      </c>
      <c r="BB434" s="298">
        <f>'CAR Passenger Kilometres'!V434*'CAR Stock'!V484</f>
        <v>0</v>
      </c>
      <c r="BC434" s="298">
        <f>'CAR Passenger Kilometres'!W434*'CAR Stock'!W484</f>
        <v>0</v>
      </c>
      <c r="BD434" s="298">
        <f>'CAR Passenger Kilometres'!X434*'CAR Stock'!X484</f>
        <v>0</v>
      </c>
      <c r="BE434" s="298">
        <f>'CAR Passenger Kilometres'!Y434*'CAR Stock'!Y484</f>
        <v>0</v>
      </c>
      <c r="BF434" s="298">
        <f>'CAR Passenger Kilometres'!Z434*'CAR Stock'!Z484</f>
        <v>0</v>
      </c>
      <c r="BG434" s="298">
        <f>'CAR Passenger Kilometres'!AA434*'CAR Stock'!AA484</f>
        <v>0</v>
      </c>
      <c r="BH434" s="298">
        <f>'CAR Passenger Kilometres'!AB434*'CAR Stock'!AB484</f>
        <v>0</v>
      </c>
      <c r="BI434" s="298">
        <f>'CAR Passenger Kilometres'!AC434*'CAR Stock'!AC484</f>
        <v>0</v>
      </c>
      <c r="BJ434" s="298">
        <f>'CAR Passenger Kilometres'!AD434*'CAR Stock'!AD484</f>
        <v>0</v>
      </c>
      <c r="BK434" s="299">
        <f>'CAR Passenger Kilometres'!AE434*'CAR Stock'!AE484</f>
        <v>0</v>
      </c>
    </row>
    <row r="435" spans="1:63" ht="16.5" thickTop="1" thickBot="1">
      <c r="A435" s="1712"/>
      <c r="B435" s="300" t="s">
        <v>39</v>
      </c>
      <c r="C435" s="301">
        <f>'CAR Mileage'!C456*CAR!$I$58</f>
        <v>28450.430504965429</v>
      </c>
      <c r="D435" s="301">
        <f>'CAR Mileage'!D456*CAR!$I$58</f>
        <v>27881.421894866126</v>
      </c>
      <c r="E435" s="301">
        <f>'CAR Mileage'!E456*CAR!$I$58</f>
        <v>27323.793456968804</v>
      </c>
      <c r="F435" s="301">
        <f>'CAR Mileage'!F456*CAR!$I$58</f>
        <v>26777.317587829424</v>
      </c>
      <c r="G435" s="301">
        <f>'CAR Mileage'!G456*CAR!$I$58</f>
        <v>26241.777431905852</v>
      </c>
      <c r="H435" s="301">
        <f>'CAR Mileage'!H456*CAR!$I$58</f>
        <v>25717.171027211778</v>
      </c>
      <c r="I435" s="301">
        <f>'CAR Mileage'!I456*CAR!$I$58</f>
        <v>25205.546715073346</v>
      </c>
      <c r="J435" s="301">
        <f>'CAR Mileage'!J456*CAR!$I$58</f>
        <v>24714.959225237002</v>
      </c>
      <c r="K435" s="301">
        <f>'CAR Mileage'!K456*CAR!$I$58</f>
        <v>24251.267103041799</v>
      </c>
      <c r="L435" s="301">
        <f>'CAR Mileage'!L456*CAR!$I$58</f>
        <v>23811.676385952705</v>
      </c>
      <c r="M435" s="301">
        <f>'CAR Mileage'!M456*CAR!$I$58</f>
        <v>23393.54644163535</v>
      </c>
      <c r="N435" s="301">
        <f>'CAR Mileage'!N456*CAR!$I$58</f>
        <v>22989.162657333083</v>
      </c>
      <c r="O435" s="301">
        <f>'CAR Mileage'!O456*CAR!$I$58</f>
        <v>22588.645059914292</v>
      </c>
      <c r="P435" s="301">
        <f>'CAR Mileage'!P456*CAR!$I$58</f>
        <v>22188.758442867715</v>
      </c>
      <c r="Q435" s="301">
        <f>'CAR Mileage'!Q456*CAR!$I$58</f>
        <v>21779.859370913666</v>
      </c>
      <c r="R435" s="301">
        <f>'CAR Mileage'!R456*CAR!$I$58</f>
        <v>21372.544242445299</v>
      </c>
      <c r="S435" s="301">
        <f>'CAR Mileage'!S456*CAR!$I$58</f>
        <v>21023.516765683904</v>
      </c>
      <c r="T435" s="301">
        <f>'CAR Mileage'!T456*CAR!$I$58</f>
        <v>21023.5167656839</v>
      </c>
      <c r="U435" s="301">
        <f>'CAR Mileage'!U456*CAR!$I$58</f>
        <v>21023.5167656839</v>
      </c>
      <c r="V435" s="301">
        <f>'CAR Mileage'!V456*CAR!$I$58</f>
        <v>21023.5167656839</v>
      </c>
      <c r="W435" s="301">
        <f>'CAR Mileage'!W456*CAR!$I$58</f>
        <v>21023.5167656839</v>
      </c>
      <c r="X435" s="301">
        <f>'CAR Mileage'!X456*CAR!$I$58</f>
        <v>21023.5167656839</v>
      </c>
      <c r="Y435" s="301">
        <f>'CAR Mileage'!Y456*CAR!$I$58</f>
        <v>21023.5167656839</v>
      </c>
      <c r="Z435" s="301">
        <f>'CAR Mileage'!Z456*CAR!$I$58</f>
        <v>21023.516765683897</v>
      </c>
      <c r="AA435" s="301">
        <f>'CAR Mileage'!AA456*CAR!$I$58</f>
        <v>21023.5167656839</v>
      </c>
      <c r="AB435" s="301">
        <f>'CAR Mileage'!AB456*CAR!$I$58</f>
        <v>0</v>
      </c>
      <c r="AC435" s="301">
        <f>'CAR Mileage'!AC456*CAR!$I$58</f>
        <v>0</v>
      </c>
      <c r="AD435" s="301">
        <f>'CAR Mileage'!AD456*CAR!$I$58</f>
        <v>0</v>
      </c>
      <c r="AE435" s="302">
        <f>'CAR Mileage'!AE456*CAR!$I$58</f>
        <v>0</v>
      </c>
      <c r="AG435" s="1712"/>
      <c r="AH435" s="300" t="s">
        <v>39</v>
      </c>
      <c r="AI435" s="301">
        <f t="shared" ref="AI435:BK435" si="17">SUM(AI409:AI434)</f>
        <v>35136281.673632316</v>
      </c>
      <c r="AJ435" s="301">
        <f t="shared" si="17"/>
        <v>34433556.040159658</v>
      </c>
      <c r="AK435" s="301">
        <f t="shared" si="17"/>
        <v>33744884.919356465</v>
      </c>
      <c r="AL435" s="301">
        <f t="shared" si="17"/>
        <v>33069987.220969345</v>
      </c>
      <c r="AM435" s="301">
        <f t="shared" si="17"/>
        <v>32408463.922970191</v>
      </c>
      <c r="AN435" s="301">
        <f t="shared" si="17"/>
        <v>31754031.307048243</v>
      </c>
      <c r="AO435" s="301">
        <f t="shared" si="17"/>
        <v>31012844.736105591</v>
      </c>
      <c r="AP435" s="301">
        <f t="shared" si="17"/>
        <v>29681496.904978659</v>
      </c>
      <c r="AQ435" s="301">
        <f t="shared" si="17"/>
        <v>27075700.197871216</v>
      </c>
      <c r="AR435" s="301">
        <f t="shared" si="17"/>
        <v>22647268.826399442</v>
      </c>
      <c r="AS435" s="301">
        <f t="shared" si="17"/>
        <v>16718567.990588298</v>
      </c>
      <c r="AT435" s="301">
        <f t="shared" si="17"/>
        <v>10553816.360954618</v>
      </c>
      <c r="AU435" s="301">
        <f t="shared" si="17"/>
        <v>5481025.4710171586</v>
      </c>
      <c r="AV435" s="301">
        <f t="shared" si="17"/>
        <v>2286070.1438124855</v>
      </c>
      <c r="AW435" s="301">
        <f t="shared" si="17"/>
        <v>745627.7299443857</v>
      </c>
      <c r="AX435" s="301">
        <f t="shared" si="17"/>
        <v>188351.18630787669</v>
      </c>
      <c r="AY435" s="301">
        <f t="shared" si="17"/>
        <v>42943.53346430324</v>
      </c>
      <c r="AZ435" s="301">
        <f t="shared" si="17"/>
        <v>8851.9081442858769</v>
      </c>
      <c r="BA435" s="301">
        <f t="shared" si="17"/>
        <v>1597.4042968663005</v>
      </c>
      <c r="BB435" s="301">
        <f t="shared" si="17"/>
        <v>247.22749584829288</v>
      </c>
      <c r="BC435" s="301">
        <f t="shared" si="17"/>
        <v>31.905731225366502</v>
      </c>
      <c r="BD435" s="301">
        <f t="shared" si="17"/>
        <v>3.2962701088824411</v>
      </c>
      <c r="BE435" s="301">
        <f t="shared" si="17"/>
        <v>0.2555945234649572</v>
      </c>
      <c r="BF435" s="301">
        <f t="shared" si="17"/>
        <v>1.3222813126767621E-2</v>
      </c>
      <c r="BG435" s="301">
        <f t="shared" si="17"/>
        <v>3.4231229078830245E-4</v>
      </c>
      <c r="BH435" s="301">
        <f t="shared" si="17"/>
        <v>0</v>
      </c>
      <c r="BI435" s="301">
        <f t="shared" si="17"/>
        <v>0</v>
      </c>
      <c r="BJ435" s="301">
        <f t="shared" si="17"/>
        <v>0</v>
      </c>
      <c r="BK435" s="302">
        <f t="shared" si="17"/>
        <v>0</v>
      </c>
    </row>
    <row r="436" spans="1:63" ht="15.75" thickBot="1">
      <c r="AI436">
        <f>AI320</f>
        <v>0</v>
      </c>
    </row>
    <row r="437" spans="1:63" ht="15.75" thickBot="1">
      <c r="A437" s="1710" t="s">
        <v>56</v>
      </c>
      <c r="B437" s="169" t="s">
        <v>10</v>
      </c>
      <c r="C437" s="288">
        <f t="shared" ref="C437" si="18">C321</f>
        <v>2012</v>
      </c>
      <c r="D437" s="289">
        <v>2013</v>
      </c>
      <c r="E437" s="289">
        <v>2014</v>
      </c>
      <c r="F437" s="289">
        <v>2015</v>
      </c>
      <c r="G437" s="288">
        <v>2016</v>
      </c>
      <c r="H437" s="289">
        <v>2017</v>
      </c>
      <c r="I437" s="289">
        <v>2018</v>
      </c>
      <c r="J437" s="289">
        <v>2019</v>
      </c>
      <c r="K437" s="288">
        <v>2020</v>
      </c>
      <c r="L437" s="289">
        <v>2021</v>
      </c>
      <c r="M437" s="289">
        <v>2022</v>
      </c>
      <c r="N437" s="289">
        <v>2023</v>
      </c>
      <c r="O437" s="288">
        <v>2024</v>
      </c>
      <c r="P437" s="289">
        <v>2025</v>
      </c>
      <c r="Q437" s="289">
        <v>2026</v>
      </c>
      <c r="R437" s="289">
        <v>2027</v>
      </c>
      <c r="S437" s="288">
        <v>2028</v>
      </c>
      <c r="T437" s="289">
        <v>2029</v>
      </c>
      <c r="U437" s="289">
        <v>2030</v>
      </c>
      <c r="V437" s="289">
        <v>2031</v>
      </c>
      <c r="W437" s="288">
        <v>2032</v>
      </c>
      <c r="X437" s="289">
        <v>2033</v>
      </c>
      <c r="Y437" s="289">
        <v>2034</v>
      </c>
      <c r="Z437" s="289">
        <v>2035</v>
      </c>
      <c r="AA437" s="288">
        <v>2036</v>
      </c>
      <c r="AB437" s="289">
        <v>2037</v>
      </c>
      <c r="AC437" s="289">
        <v>2038</v>
      </c>
      <c r="AD437" s="289">
        <v>2039</v>
      </c>
      <c r="AE437" s="290">
        <v>2040</v>
      </c>
      <c r="AG437" s="1710" t="s">
        <v>56</v>
      </c>
      <c r="AH437" s="169" t="s">
        <v>10</v>
      </c>
      <c r="AI437" s="288">
        <f>AI321</f>
        <v>2012</v>
      </c>
      <c r="AJ437" s="289">
        <v>2013</v>
      </c>
      <c r="AK437" s="289">
        <v>2014</v>
      </c>
      <c r="AL437" s="289">
        <v>2015</v>
      </c>
      <c r="AM437" s="288">
        <v>2016</v>
      </c>
      <c r="AN437" s="289">
        <v>2017</v>
      </c>
      <c r="AO437" s="289">
        <v>2018</v>
      </c>
      <c r="AP437" s="289">
        <v>2019</v>
      </c>
      <c r="AQ437" s="288">
        <v>2020</v>
      </c>
      <c r="AR437" s="289">
        <v>2021</v>
      </c>
      <c r="AS437" s="289">
        <v>2022</v>
      </c>
      <c r="AT437" s="289">
        <v>2023</v>
      </c>
      <c r="AU437" s="288">
        <v>2024</v>
      </c>
      <c r="AV437" s="289">
        <v>2025</v>
      </c>
      <c r="AW437" s="289">
        <v>2026</v>
      </c>
      <c r="AX437" s="289">
        <v>2027</v>
      </c>
      <c r="AY437" s="288">
        <v>2028</v>
      </c>
      <c r="AZ437" s="289">
        <v>2029</v>
      </c>
      <c r="BA437" s="289">
        <v>2030</v>
      </c>
      <c r="BB437" s="289">
        <v>2031</v>
      </c>
      <c r="BC437" s="288">
        <v>2032</v>
      </c>
      <c r="BD437" s="289">
        <v>2033</v>
      </c>
      <c r="BE437" s="289">
        <v>2034</v>
      </c>
      <c r="BF437" s="289">
        <v>2035</v>
      </c>
      <c r="BG437" s="288">
        <v>2036</v>
      </c>
      <c r="BH437" s="289">
        <v>2037</v>
      </c>
      <c r="BI437" s="289">
        <v>2038</v>
      </c>
      <c r="BJ437" s="289">
        <v>2039</v>
      </c>
      <c r="BK437" s="290">
        <v>2040</v>
      </c>
    </row>
    <row r="438" spans="1:63">
      <c r="A438" s="1711" t="s">
        <v>41</v>
      </c>
      <c r="B438" s="116">
        <v>0</v>
      </c>
      <c r="C438" s="291">
        <f>'CAR Mileage'!C459*CAR!$I$58</f>
        <v>27815.051798879802</v>
      </c>
      <c r="D438" s="292">
        <f>'CAR Mileage'!D459*CAR!$I$58</f>
        <v>27815.051798879802</v>
      </c>
      <c r="E438" s="292">
        <f>'CAR Mileage'!E459*CAR!$I$58</f>
        <v>27815.051798879802</v>
      </c>
      <c r="F438" s="292">
        <f>'CAR Mileage'!F459*CAR!$I$58</f>
        <v>27815.051798879802</v>
      </c>
      <c r="G438" s="292">
        <f>'CAR Mileage'!G459*CAR!$I$58</f>
        <v>27815.051798879802</v>
      </c>
      <c r="H438" s="292">
        <f>'CAR Mileage'!H459*CAR!$I$58</f>
        <v>27815.051798879802</v>
      </c>
      <c r="I438" s="292">
        <f>'CAR Mileage'!I459*CAR!$I$58</f>
        <v>27815.051798879802</v>
      </c>
      <c r="J438" s="292">
        <f>'CAR Mileage'!J459*CAR!$I$58</f>
        <v>27815.051798879802</v>
      </c>
      <c r="K438" s="292">
        <f>'CAR Mileage'!K459*CAR!$I$58</f>
        <v>27815.051798879802</v>
      </c>
      <c r="L438" s="292">
        <f>'CAR Mileage'!L459*CAR!$I$58</f>
        <v>27815.051798879802</v>
      </c>
      <c r="M438" s="292">
        <f>'CAR Mileage'!M459*CAR!$I$58</f>
        <v>27815.051798879802</v>
      </c>
      <c r="N438" s="292">
        <f>'CAR Mileage'!N459*CAR!$I$58</f>
        <v>27815.051798879802</v>
      </c>
      <c r="O438" s="292">
        <f>'CAR Mileage'!O459*CAR!$I$58</f>
        <v>27815.051798879802</v>
      </c>
      <c r="P438" s="292">
        <f>'CAR Mileage'!P459*CAR!$I$58</f>
        <v>27815.051798879802</v>
      </c>
      <c r="Q438" s="292">
        <f>'CAR Mileage'!Q459*CAR!$I$58</f>
        <v>27815.051798879802</v>
      </c>
      <c r="R438" s="292">
        <f>'CAR Mileage'!R459*CAR!$I$58</f>
        <v>27815.051798879802</v>
      </c>
      <c r="S438" s="292">
        <f>'CAR Mileage'!S459*CAR!$I$58</f>
        <v>27815.051798879802</v>
      </c>
      <c r="T438" s="292">
        <f>'CAR Mileage'!T459*CAR!$I$58</f>
        <v>27815.051798879802</v>
      </c>
      <c r="U438" s="292">
        <f>'CAR Mileage'!U459*CAR!$I$58</f>
        <v>27815.051798879802</v>
      </c>
      <c r="V438" s="292">
        <f>'CAR Mileage'!V459*CAR!$I$58</f>
        <v>27815.051798879802</v>
      </c>
      <c r="W438" s="292">
        <f>'CAR Mileage'!W459*CAR!$I$58</f>
        <v>27815.051798879802</v>
      </c>
      <c r="X438" s="292">
        <f>'CAR Mileage'!X459*CAR!$I$58</f>
        <v>27815.051798879802</v>
      </c>
      <c r="Y438" s="292">
        <f>'CAR Mileage'!Y459*CAR!$I$58</f>
        <v>27815.051798879802</v>
      </c>
      <c r="Z438" s="292">
        <f>'CAR Mileage'!Z459*CAR!$I$58</f>
        <v>27815.051798879802</v>
      </c>
      <c r="AA438" s="292">
        <f>'CAR Mileage'!AA459*CAR!$I$58</f>
        <v>27815.051798879802</v>
      </c>
      <c r="AB438" s="292">
        <f>'CAR Mileage'!AB459*CAR!$I$58</f>
        <v>27815.051798879802</v>
      </c>
      <c r="AC438" s="292">
        <f>'CAR Mileage'!AC459*CAR!$I$58</f>
        <v>27815.051798879802</v>
      </c>
      <c r="AD438" s="292">
        <f>'CAR Mileage'!AD459*CAR!$I$58</f>
        <v>27815.051798879802</v>
      </c>
      <c r="AE438" s="293">
        <f>'CAR Mileage'!AE459*CAR!$I$58</f>
        <v>27815.051798879802</v>
      </c>
      <c r="AG438" s="1711" t="s">
        <v>41</v>
      </c>
      <c r="AH438" s="116">
        <v>0</v>
      </c>
      <c r="AI438" s="291">
        <f>'CAR Passenger Kilometres'!C438*'CAR Stock'!C488</f>
        <v>2642429.9208935811</v>
      </c>
      <c r="AJ438" s="292">
        <f>'CAR Passenger Kilometres'!D438*'CAR Stock'!D488</f>
        <v>0</v>
      </c>
      <c r="AK438" s="292">
        <f>'CAR Passenger Kilometres'!E438*'CAR Stock'!E488</f>
        <v>0</v>
      </c>
      <c r="AL438" s="292">
        <f>'CAR Passenger Kilometres'!F438*'CAR Stock'!F488</f>
        <v>0</v>
      </c>
      <c r="AM438" s="292">
        <f>'CAR Passenger Kilometres'!G438*'CAR Stock'!G488</f>
        <v>0</v>
      </c>
      <c r="AN438" s="292">
        <f>'CAR Passenger Kilometres'!H438*'CAR Stock'!H488</f>
        <v>0</v>
      </c>
      <c r="AO438" s="292">
        <f>'CAR Passenger Kilometres'!I438*'CAR Stock'!I488</f>
        <v>0</v>
      </c>
      <c r="AP438" s="292">
        <f>'CAR Passenger Kilometres'!J438*'CAR Stock'!J488</f>
        <v>0</v>
      </c>
      <c r="AQ438" s="292">
        <f>'CAR Passenger Kilometres'!K438*'CAR Stock'!K488</f>
        <v>0</v>
      </c>
      <c r="AR438" s="292">
        <f>'CAR Passenger Kilometres'!L438*'CAR Stock'!L488</f>
        <v>0</v>
      </c>
      <c r="AS438" s="292">
        <f>'CAR Passenger Kilometres'!M438*'CAR Stock'!M488</f>
        <v>0</v>
      </c>
      <c r="AT438" s="292">
        <f>'CAR Passenger Kilometres'!N438*'CAR Stock'!N488</f>
        <v>0</v>
      </c>
      <c r="AU438" s="292">
        <f>'CAR Passenger Kilometres'!O438*'CAR Stock'!O488</f>
        <v>0</v>
      </c>
      <c r="AV438" s="292">
        <f>'CAR Passenger Kilometres'!P438*'CAR Stock'!P488</f>
        <v>0</v>
      </c>
      <c r="AW438" s="292">
        <f>'CAR Passenger Kilometres'!Q438*'CAR Stock'!Q488</f>
        <v>0</v>
      </c>
      <c r="AX438" s="292">
        <f>'CAR Passenger Kilometres'!R438*'CAR Stock'!R488</f>
        <v>0</v>
      </c>
      <c r="AY438" s="292">
        <f>'CAR Passenger Kilometres'!S438*'CAR Stock'!S488</f>
        <v>0</v>
      </c>
      <c r="AZ438" s="292">
        <f>'CAR Passenger Kilometres'!T438*'CAR Stock'!T488</f>
        <v>0</v>
      </c>
      <c r="BA438" s="292">
        <f>'CAR Passenger Kilometres'!U438*'CAR Stock'!U488</f>
        <v>0</v>
      </c>
      <c r="BB438" s="292">
        <f>'CAR Passenger Kilometres'!V438*'CAR Stock'!V488</f>
        <v>0</v>
      </c>
      <c r="BC438" s="292">
        <f>'CAR Passenger Kilometres'!W438*'CAR Stock'!W488</f>
        <v>0</v>
      </c>
      <c r="BD438" s="292">
        <f>'CAR Passenger Kilometres'!X438*'CAR Stock'!X488</f>
        <v>0</v>
      </c>
      <c r="BE438" s="292">
        <f>'CAR Passenger Kilometres'!Y438*'CAR Stock'!Y488</f>
        <v>0</v>
      </c>
      <c r="BF438" s="292">
        <f>'CAR Passenger Kilometres'!Z438*'CAR Stock'!Z488</f>
        <v>0</v>
      </c>
      <c r="BG438" s="292">
        <f>'CAR Passenger Kilometres'!AA438*'CAR Stock'!AA488</f>
        <v>0</v>
      </c>
      <c r="BH438" s="292">
        <f>'CAR Passenger Kilometres'!AB438*'CAR Stock'!AB488</f>
        <v>0</v>
      </c>
      <c r="BI438" s="292">
        <f>'CAR Passenger Kilometres'!AC438*'CAR Stock'!AC488</f>
        <v>0</v>
      </c>
      <c r="BJ438" s="292">
        <f>'CAR Passenger Kilometres'!AD438*'CAR Stock'!AD488</f>
        <v>0</v>
      </c>
      <c r="BK438" s="293">
        <f>'CAR Passenger Kilometres'!AE438*'CAR Stock'!AE488</f>
        <v>0</v>
      </c>
    </row>
    <row r="439" spans="1:63">
      <c r="A439" s="1711"/>
      <c r="B439" s="116">
        <v>1</v>
      </c>
      <c r="C439" s="294">
        <f>'CAR Mileage'!C460*CAR!$I$58</f>
        <v>27258.750762902207</v>
      </c>
      <c r="D439" s="295">
        <f>'CAR Mileage'!D460*CAR!$I$58</f>
        <v>27258.750762902207</v>
      </c>
      <c r="E439" s="295">
        <f>'CAR Mileage'!E460*CAR!$I$58</f>
        <v>27258.750762902207</v>
      </c>
      <c r="F439" s="295">
        <f>'CAR Mileage'!F460*CAR!$I$58</f>
        <v>27258.750762902207</v>
      </c>
      <c r="G439" s="295">
        <f>'CAR Mileage'!G460*CAR!$I$58</f>
        <v>27258.750762902207</v>
      </c>
      <c r="H439" s="295">
        <f>'CAR Mileage'!H460*CAR!$I$58</f>
        <v>27258.750762902207</v>
      </c>
      <c r="I439" s="295">
        <f>'CAR Mileage'!I460*CAR!$I$58</f>
        <v>27258.750762902207</v>
      </c>
      <c r="J439" s="295">
        <f>'CAR Mileage'!J460*CAR!$I$58</f>
        <v>27258.750762902207</v>
      </c>
      <c r="K439" s="295">
        <f>'CAR Mileage'!K460*CAR!$I$58</f>
        <v>27258.750762902207</v>
      </c>
      <c r="L439" s="295">
        <f>'CAR Mileage'!L460*CAR!$I$58</f>
        <v>27258.750762902207</v>
      </c>
      <c r="M439" s="295">
        <f>'CAR Mileage'!M460*CAR!$I$58</f>
        <v>27258.750762902207</v>
      </c>
      <c r="N439" s="295">
        <f>'CAR Mileage'!N460*CAR!$I$58</f>
        <v>27258.750762902207</v>
      </c>
      <c r="O439" s="295">
        <f>'CAR Mileage'!O460*CAR!$I$58</f>
        <v>27258.750762902207</v>
      </c>
      <c r="P439" s="295">
        <f>'CAR Mileage'!P460*CAR!$I$58</f>
        <v>27258.750762902207</v>
      </c>
      <c r="Q439" s="295">
        <f>'CAR Mileage'!Q460*CAR!$I$58</f>
        <v>27258.750762902207</v>
      </c>
      <c r="R439" s="295">
        <f>'CAR Mileage'!R460*CAR!$I$58</f>
        <v>27258.750762902207</v>
      </c>
      <c r="S439" s="295">
        <f>'CAR Mileage'!S460*CAR!$I$58</f>
        <v>27258.750762902207</v>
      </c>
      <c r="T439" s="295">
        <f>'CAR Mileage'!T460*CAR!$I$58</f>
        <v>27258.750762902207</v>
      </c>
      <c r="U439" s="295">
        <f>'CAR Mileage'!U460*CAR!$I$58</f>
        <v>27258.750762902207</v>
      </c>
      <c r="V439" s="295">
        <f>'CAR Mileage'!V460*CAR!$I$58</f>
        <v>27258.750762902207</v>
      </c>
      <c r="W439" s="295">
        <f>'CAR Mileage'!W460*CAR!$I$58</f>
        <v>27258.750762902207</v>
      </c>
      <c r="X439" s="295">
        <f>'CAR Mileage'!X460*CAR!$I$58</f>
        <v>27258.750762902207</v>
      </c>
      <c r="Y439" s="295">
        <f>'CAR Mileage'!Y460*CAR!$I$58</f>
        <v>27258.750762902207</v>
      </c>
      <c r="Z439" s="295">
        <f>'CAR Mileage'!Z460*CAR!$I$58</f>
        <v>27258.750762902207</v>
      </c>
      <c r="AA439" s="295">
        <f>'CAR Mileage'!AA460*CAR!$I$58</f>
        <v>27258.750762902207</v>
      </c>
      <c r="AB439" s="295">
        <f>'CAR Mileage'!AB460*CAR!$I$58</f>
        <v>27258.750762902207</v>
      </c>
      <c r="AC439" s="295">
        <f>'CAR Mileage'!AC460*CAR!$I$58</f>
        <v>27258.750762902207</v>
      </c>
      <c r="AD439" s="295">
        <f>'CAR Mileage'!AD460*CAR!$I$58</f>
        <v>27258.750762902207</v>
      </c>
      <c r="AE439" s="296">
        <f>'CAR Mileage'!AE460*CAR!$I$58</f>
        <v>27258.750762902207</v>
      </c>
      <c r="AG439" s="1711"/>
      <c r="AH439" s="116">
        <v>1</v>
      </c>
      <c r="AI439" s="294">
        <f>'CAR Passenger Kilometres'!C439*'CAR Stock'!C489</f>
        <v>3707190.1037547002</v>
      </c>
      <c r="AJ439" s="295">
        <f>'CAR Passenger Kilometres'!D439*'CAR Stock'!D489</f>
        <v>2589581.3224757095</v>
      </c>
      <c r="AK439" s="295">
        <f>'CAR Passenger Kilometres'!E439*'CAR Stock'!E489</f>
        <v>0</v>
      </c>
      <c r="AL439" s="295">
        <f>'CAR Passenger Kilometres'!F439*'CAR Stock'!F489</f>
        <v>0</v>
      </c>
      <c r="AM439" s="295">
        <f>'CAR Passenger Kilometres'!G439*'CAR Stock'!G489</f>
        <v>0</v>
      </c>
      <c r="AN439" s="295">
        <f>'CAR Passenger Kilometres'!H439*'CAR Stock'!H489</f>
        <v>0</v>
      </c>
      <c r="AO439" s="295">
        <f>'CAR Passenger Kilometres'!I439*'CAR Stock'!I489</f>
        <v>0</v>
      </c>
      <c r="AP439" s="295">
        <f>'CAR Passenger Kilometres'!J439*'CAR Stock'!J489</f>
        <v>0</v>
      </c>
      <c r="AQ439" s="295">
        <f>'CAR Passenger Kilometres'!K439*'CAR Stock'!K489</f>
        <v>0</v>
      </c>
      <c r="AR439" s="295">
        <f>'CAR Passenger Kilometres'!L439*'CAR Stock'!L489</f>
        <v>0</v>
      </c>
      <c r="AS439" s="295">
        <f>'CAR Passenger Kilometres'!M439*'CAR Stock'!M489</f>
        <v>0</v>
      </c>
      <c r="AT439" s="295">
        <f>'CAR Passenger Kilometres'!N439*'CAR Stock'!N489</f>
        <v>0</v>
      </c>
      <c r="AU439" s="295">
        <f>'CAR Passenger Kilometres'!O439*'CAR Stock'!O489</f>
        <v>0</v>
      </c>
      <c r="AV439" s="295">
        <f>'CAR Passenger Kilometres'!P439*'CAR Stock'!P489</f>
        <v>0</v>
      </c>
      <c r="AW439" s="295">
        <f>'CAR Passenger Kilometres'!Q439*'CAR Stock'!Q489</f>
        <v>0</v>
      </c>
      <c r="AX439" s="295">
        <f>'CAR Passenger Kilometres'!R439*'CAR Stock'!R489</f>
        <v>0</v>
      </c>
      <c r="AY439" s="295">
        <f>'CAR Passenger Kilometres'!S439*'CAR Stock'!S489</f>
        <v>0</v>
      </c>
      <c r="AZ439" s="295">
        <f>'CAR Passenger Kilometres'!T439*'CAR Stock'!T489</f>
        <v>0</v>
      </c>
      <c r="BA439" s="295">
        <f>'CAR Passenger Kilometres'!U439*'CAR Stock'!U489</f>
        <v>0</v>
      </c>
      <c r="BB439" s="295">
        <f>'CAR Passenger Kilometres'!V439*'CAR Stock'!V489</f>
        <v>0</v>
      </c>
      <c r="BC439" s="295">
        <f>'CAR Passenger Kilometres'!W439*'CAR Stock'!W489</f>
        <v>0</v>
      </c>
      <c r="BD439" s="295">
        <f>'CAR Passenger Kilometres'!X439*'CAR Stock'!X489</f>
        <v>0</v>
      </c>
      <c r="BE439" s="295">
        <f>'CAR Passenger Kilometres'!Y439*'CAR Stock'!Y489</f>
        <v>0</v>
      </c>
      <c r="BF439" s="295">
        <f>'CAR Passenger Kilometres'!Z439*'CAR Stock'!Z489</f>
        <v>0</v>
      </c>
      <c r="BG439" s="295">
        <f>'CAR Passenger Kilometres'!AA439*'CAR Stock'!AA489</f>
        <v>0</v>
      </c>
      <c r="BH439" s="295">
        <f>'CAR Passenger Kilometres'!AB439*'CAR Stock'!AB489</f>
        <v>0</v>
      </c>
      <c r="BI439" s="295">
        <f>'CAR Passenger Kilometres'!AC439*'CAR Stock'!AC489</f>
        <v>0</v>
      </c>
      <c r="BJ439" s="295">
        <f>'CAR Passenger Kilometres'!AD439*'CAR Stock'!AD489</f>
        <v>0</v>
      </c>
      <c r="BK439" s="296">
        <f>'CAR Passenger Kilometres'!AE439*'CAR Stock'!AE489</f>
        <v>0</v>
      </c>
    </row>
    <row r="440" spans="1:63">
      <c r="A440" s="1711"/>
      <c r="B440" s="116">
        <v>2</v>
      </c>
      <c r="C440" s="294">
        <f>'CAR Mileage'!C461*CAR!$I$58</f>
        <v>26713.575747644161</v>
      </c>
      <c r="D440" s="295">
        <f>'CAR Mileage'!D461*CAR!$I$58</f>
        <v>26713.575747644161</v>
      </c>
      <c r="E440" s="295">
        <f>'CAR Mileage'!E461*CAR!$I$58</f>
        <v>26713.575747644161</v>
      </c>
      <c r="F440" s="295">
        <f>'CAR Mileage'!F461*CAR!$I$58</f>
        <v>26713.575747644161</v>
      </c>
      <c r="G440" s="295">
        <f>'CAR Mileage'!G461*CAR!$I$58</f>
        <v>26713.575747644161</v>
      </c>
      <c r="H440" s="295">
        <f>'CAR Mileage'!H461*CAR!$I$58</f>
        <v>26713.575747644161</v>
      </c>
      <c r="I440" s="295">
        <f>'CAR Mileage'!I461*CAR!$I$58</f>
        <v>26713.575747644161</v>
      </c>
      <c r="J440" s="295">
        <f>'CAR Mileage'!J461*CAR!$I$58</f>
        <v>26713.575747644161</v>
      </c>
      <c r="K440" s="295">
        <f>'CAR Mileage'!K461*CAR!$I$58</f>
        <v>26713.575747644161</v>
      </c>
      <c r="L440" s="295">
        <f>'CAR Mileage'!L461*CAR!$I$58</f>
        <v>26713.575747644161</v>
      </c>
      <c r="M440" s="295">
        <f>'CAR Mileage'!M461*CAR!$I$58</f>
        <v>26713.575747644161</v>
      </c>
      <c r="N440" s="295">
        <f>'CAR Mileage'!N461*CAR!$I$58</f>
        <v>26713.575747644161</v>
      </c>
      <c r="O440" s="295">
        <f>'CAR Mileage'!O461*CAR!$I$58</f>
        <v>26713.575747644161</v>
      </c>
      <c r="P440" s="295">
        <f>'CAR Mileage'!P461*CAR!$I$58</f>
        <v>26713.575747644161</v>
      </c>
      <c r="Q440" s="295">
        <f>'CAR Mileage'!Q461*CAR!$I$58</f>
        <v>26713.575747644161</v>
      </c>
      <c r="R440" s="295">
        <f>'CAR Mileage'!R461*CAR!$I$58</f>
        <v>26713.575747644161</v>
      </c>
      <c r="S440" s="295">
        <f>'CAR Mileage'!S461*CAR!$I$58</f>
        <v>26713.575747644161</v>
      </c>
      <c r="T440" s="295">
        <f>'CAR Mileage'!T461*CAR!$I$58</f>
        <v>26713.575747644161</v>
      </c>
      <c r="U440" s="295">
        <f>'CAR Mileage'!U461*CAR!$I$58</f>
        <v>26713.575747644161</v>
      </c>
      <c r="V440" s="295">
        <f>'CAR Mileage'!V461*CAR!$I$58</f>
        <v>26713.575747644161</v>
      </c>
      <c r="W440" s="295">
        <f>'CAR Mileage'!W461*CAR!$I$58</f>
        <v>26713.575747644161</v>
      </c>
      <c r="X440" s="295">
        <f>'CAR Mileage'!X461*CAR!$I$58</f>
        <v>26713.575747644161</v>
      </c>
      <c r="Y440" s="295">
        <f>'CAR Mileage'!Y461*CAR!$I$58</f>
        <v>26713.575747644161</v>
      </c>
      <c r="Z440" s="295">
        <f>'CAR Mileage'!Z461*CAR!$I$58</f>
        <v>26713.575747644161</v>
      </c>
      <c r="AA440" s="295">
        <f>'CAR Mileage'!AA461*CAR!$I$58</f>
        <v>26713.575747644161</v>
      </c>
      <c r="AB440" s="295">
        <f>'CAR Mileage'!AB461*CAR!$I$58</f>
        <v>26713.575747644161</v>
      </c>
      <c r="AC440" s="295">
        <f>'CAR Mileage'!AC461*CAR!$I$58</f>
        <v>26713.575747644161</v>
      </c>
      <c r="AD440" s="295">
        <f>'CAR Mileage'!AD461*CAR!$I$58</f>
        <v>26713.575747644161</v>
      </c>
      <c r="AE440" s="296">
        <f>'CAR Mileage'!AE461*CAR!$I$58</f>
        <v>26713.575747644161</v>
      </c>
      <c r="AG440" s="1711"/>
      <c r="AH440" s="116">
        <v>2</v>
      </c>
      <c r="AI440" s="294">
        <f>'CAR Passenger Kilometres'!C440*'CAR Stock'!C490</f>
        <v>4835157.2103235936</v>
      </c>
      <c r="AJ440" s="295">
        <f>'CAR Passenger Kilometres'!D440*'CAR Stock'!D490</f>
        <v>3633046.3016796061</v>
      </c>
      <c r="AK440" s="295">
        <f>'CAR Passenger Kilometres'!E440*'CAR Stock'!E490</f>
        <v>2537789.6960261953</v>
      </c>
      <c r="AL440" s="295">
        <f>'CAR Passenger Kilometres'!F440*'CAR Stock'!F490</f>
        <v>0</v>
      </c>
      <c r="AM440" s="295">
        <f>'CAR Passenger Kilometres'!G440*'CAR Stock'!G490</f>
        <v>0</v>
      </c>
      <c r="AN440" s="295">
        <f>'CAR Passenger Kilometres'!H440*'CAR Stock'!H490</f>
        <v>0</v>
      </c>
      <c r="AO440" s="295">
        <f>'CAR Passenger Kilometres'!I440*'CAR Stock'!I490</f>
        <v>0</v>
      </c>
      <c r="AP440" s="295">
        <f>'CAR Passenger Kilometres'!J440*'CAR Stock'!J490</f>
        <v>0</v>
      </c>
      <c r="AQ440" s="295">
        <f>'CAR Passenger Kilometres'!K440*'CAR Stock'!K490</f>
        <v>0</v>
      </c>
      <c r="AR440" s="295">
        <f>'CAR Passenger Kilometres'!L440*'CAR Stock'!L490</f>
        <v>0</v>
      </c>
      <c r="AS440" s="295">
        <f>'CAR Passenger Kilometres'!M440*'CAR Stock'!M490</f>
        <v>0</v>
      </c>
      <c r="AT440" s="295">
        <f>'CAR Passenger Kilometres'!N440*'CAR Stock'!N490</f>
        <v>0</v>
      </c>
      <c r="AU440" s="295">
        <f>'CAR Passenger Kilometres'!O440*'CAR Stock'!O490</f>
        <v>0</v>
      </c>
      <c r="AV440" s="295">
        <f>'CAR Passenger Kilometres'!P440*'CAR Stock'!P490</f>
        <v>0</v>
      </c>
      <c r="AW440" s="295">
        <f>'CAR Passenger Kilometres'!Q440*'CAR Stock'!Q490</f>
        <v>0</v>
      </c>
      <c r="AX440" s="295">
        <f>'CAR Passenger Kilometres'!R440*'CAR Stock'!R490</f>
        <v>0</v>
      </c>
      <c r="AY440" s="295">
        <f>'CAR Passenger Kilometres'!S440*'CAR Stock'!S490</f>
        <v>0</v>
      </c>
      <c r="AZ440" s="295">
        <f>'CAR Passenger Kilometres'!T440*'CAR Stock'!T490</f>
        <v>0</v>
      </c>
      <c r="BA440" s="295">
        <f>'CAR Passenger Kilometres'!U440*'CAR Stock'!U490</f>
        <v>0</v>
      </c>
      <c r="BB440" s="295">
        <f>'CAR Passenger Kilometres'!V440*'CAR Stock'!V490</f>
        <v>0</v>
      </c>
      <c r="BC440" s="295">
        <f>'CAR Passenger Kilometres'!W440*'CAR Stock'!W490</f>
        <v>0</v>
      </c>
      <c r="BD440" s="295">
        <f>'CAR Passenger Kilometres'!X440*'CAR Stock'!X490</f>
        <v>0</v>
      </c>
      <c r="BE440" s="295">
        <f>'CAR Passenger Kilometres'!Y440*'CAR Stock'!Y490</f>
        <v>0</v>
      </c>
      <c r="BF440" s="295">
        <f>'CAR Passenger Kilometres'!Z440*'CAR Stock'!Z490</f>
        <v>0</v>
      </c>
      <c r="BG440" s="295">
        <f>'CAR Passenger Kilometres'!AA440*'CAR Stock'!AA490</f>
        <v>0</v>
      </c>
      <c r="BH440" s="295">
        <f>'CAR Passenger Kilometres'!AB440*'CAR Stock'!AB490</f>
        <v>0</v>
      </c>
      <c r="BI440" s="295">
        <f>'CAR Passenger Kilometres'!AC440*'CAR Stock'!AC490</f>
        <v>0</v>
      </c>
      <c r="BJ440" s="295">
        <f>'CAR Passenger Kilometres'!AD440*'CAR Stock'!AD490</f>
        <v>0</v>
      </c>
      <c r="BK440" s="296">
        <f>'CAR Passenger Kilometres'!AE440*'CAR Stock'!AE490</f>
        <v>0</v>
      </c>
    </row>
    <row r="441" spans="1:63">
      <c r="A441" s="1711"/>
      <c r="B441" s="116">
        <v>3</v>
      </c>
      <c r="C441" s="294">
        <f>'CAR Mileage'!C462*CAR!$I$58</f>
        <v>26179.304232691276</v>
      </c>
      <c r="D441" s="295">
        <f>'CAR Mileage'!D462*CAR!$I$58</f>
        <v>26179.304232691276</v>
      </c>
      <c r="E441" s="295">
        <f>'CAR Mileage'!E462*CAR!$I$58</f>
        <v>26179.304232691276</v>
      </c>
      <c r="F441" s="295">
        <f>'CAR Mileage'!F462*CAR!$I$58</f>
        <v>26179.304232691276</v>
      </c>
      <c r="G441" s="295">
        <f>'CAR Mileage'!G462*CAR!$I$58</f>
        <v>26179.304232691276</v>
      </c>
      <c r="H441" s="295">
        <f>'CAR Mileage'!H462*CAR!$I$58</f>
        <v>26179.304232691276</v>
      </c>
      <c r="I441" s="295">
        <f>'CAR Mileage'!I462*CAR!$I$58</f>
        <v>26179.304232691276</v>
      </c>
      <c r="J441" s="295">
        <f>'CAR Mileage'!J462*CAR!$I$58</f>
        <v>26179.304232691276</v>
      </c>
      <c r="K441" s="295">
        <f>'CAR Mileage'!K462*CAR!$I$58</f>
        <v>26179.304232691276</v>
      </c>
      <c r="L441" s="295">
        <f>'CAR Mileage'!L462*CAR!$I$58</f>
        <v>26179.304232691276</v>
      </c>
      <c r="M441" s="295">
        <f>'CAR Mileage'!M462*CAR!$I$58</f>
        <v>26179.304232691276</v>
      </c>
      <c r="N441" s="295">
        <f>'CAR Mileage'!N462*CAR!$I$58</f>
        <v>26179.304232691276</v>
      </c>
      <c r="O441" s="295">
        <f>'CAR Mileage'!O462*CAR!$I$58</f>
        <v>26179.304232691276</v>
      </c>
      <c r="P441" s="295">
        <f>'CAR Mileage'!P462*CAR!$I$58</f>
        <v>26179.304232691276</v>
      </c>
      <c r="Q441" s="295">
        <f>'CAR Mileage'!Q462*CAR!$I$58</f>
        <v>26179.304232691276</v>
      </c>
      <c r="R441" s="295">
        <f>'CAR Mileage'!R462*CAR!$I$58</f>
        <v>26179.304232691276</v>
      </c>
      <c r="S441" s="295">
        <f>'CAR Mileage'!S462*CAR!$I$58</f>
        <v>26179.304232691276</v>
      </c>
      <c r="T441" s="295">
        <f>'CAR Mileage'!T462*CAR!$I$58</f>
        <v>26179.304232691276</v>
      </c>
      <c r="U441" s="295">
        <f>'CAR Mileage'!U462*CAR!$I$58</f>
        <v>26179.304232691276</v>
      </c>
      <c r="V441" s="295">
        <f>'CAR Mileage'!V462*CAR!$I$58</f>
        <v>26179.304232691276</v>
      </c>
      <c r="W441" s="295">
        <f>'CAR Mileage'!W462*CAR!$I$58</f>
        <v>26179.304232691276</v>
      </c>
      <c r="X441" s="295">
        <f>'CAR Mileage'!X462*CAR!$I$58</f>
        <v>26179.304232691276</v>
      </c>
      <c r="Y441" s="295">
        <f>'CAR Mileage'!Y462*CAR!$I$58</f>
        <v>26179.304232691276</v>
      </c>
      <c r="Z441" s="295">
        <f>'CAR Mileage'!Z462*CAR!$I$58</f>
        <v>26179.304232691276</v>
      </c>
      <c r="AA441" s="295">
        <f>'CAR Mileage'!AA462*CAR!$I$58</f>
        <v>26179.304232691276</v>
      </c>
      <c r="AB441" s="295">
        <f>'CAR Mileage'!AB462*CAR!$I$58</f>
        <v>26179.304232691276</v>
      </c>
      <c r="AC441" s="295">
        <f>'CAR Mileage'!AC462*CAR!$I$58</f>
        <v>26179.304232691276</v>
      </c>
      <c r="AD441" s="295">
        <f>'CAR Mileage'!AD462*CAR!$I$58</f>
        <v>26179.304232691276</v>
      </c>
      <c r="AE441" s="296">
        <f>'CAR Mileage'!AE462*CAR!$I$58</f>
        <v>26179.304232691276</v>
      </c>
      <c r="AG441" s="1711"/>
      <c r="AH441" s="116">
        <v>3</v>
      </c>
      <c r="AI441" s="294">
        <f>'CAR Passenger Kilometres'!C441*'CAR Stock'!C491</f>
        <v>1151889.3862384162</v>
      </c>
      <c r="AJ441" s="295">
        <f>'CAR Passenger Kilometres'!D441*'CAR Stock'!D491</f>
        <v>4738454.0661171209</v>
      </c>
      <c r="AK441" s="295">
        <f>'CAR Passenger Kilometres'!E441*'CAR Stock'!E491</f>
        <v>3560385.3756460138</v>
      </c>
      <c r="AL441" s="295">
        <f>'CAR Passenger Kilometres'!F441*'CAR Stock'!F491</f>
        <v>2487033.9021056714</v>
      </c>
      <c r="AM441" s="295">
        <f>'CAR Passenger Kilometres'!G441*'CAR Stock'!G491</f>
        <v>0</v>
      </c>
      <c r="AN441" s="295">
        <f>'CAR Passenger Kilometres'!H441*'CAR Stock'!H491</f>
        <v>0</v>
      </c>
      <c r="AO441" s="295">
        <f>'CAR Passenger Kilometres'!I441*'CAR Stock'!I491</f>
        <v>0</v>
      </c>
      <c r="AP441" s="295">
        <f>'CAR Passenger Kilometres'!J441*'CAR Stock'!J491</f>
        <v>0</v>
      </c>
      <c r="AQ441" s="295">
        <f>'CAR Passenger Kilometres'!K441*'CAR Stock'!K491</f>
        <v>0</v>
      </c>
      <c r="AR441" s="295">
        <f>'CAR Passenger Kilometres'!L441*'CAR Stock'!L491</f>
        <v>0</v>
      </c>
      <c r="AS441" s="295">
        <f>'CAR Passenger Kilometres'!M441*'CAR Stock'!M491</f>
        <v>0</v>
      </c>
      <c r="AT441" s="295">
        <f>'CAR Passenger Kilometres'!N441*'CAR Stock'!N491</f>
        <v>0</v>
      </c>
      <c r="AU441" s="295">
        <f>'CAR Passenger Kilometres'!O441*'CAR Stock'!O491</f>
        <v>0</v>
      </c>
      <c r="AV441" s="295">
        <f>'CAR Passenger Kilometres'!P441*'CAR Stock'!P491</f>
        <v>0</v>
      </c>
      <c r="AW441" s="295">
        <f>'CAR Passenger Kilometres'!Q441*'CAR Stock'!Q491</f>
        <v>0</v>
      </c>
      <c r="AX441" s="295">
        <f>'CAR Passenger Kilometres'!R441*'CAR Stock'!R491</f>
        <v>0</v>
      </c>
      <c r="AY441" s="295">
        <f>'CAR Passenger Kilometres'!S441*'CAR Stock'!S491</f>
        <v>0</v>
      </c>
      <c r="AZ441" s="295">
        <f>'CAR Passenger Kilometres'!T441*'CAR Stock'!T491</f>
        <v>0</v>
      </c>
      <c r="BA441" s="295">
        <f>'CAR Passenger Kilometres'!U441*'CAR Stock'!U491</f>
        <v>0</v>
      </c>
      <c r="BB441" s="295">
        <f>'CAR Passenger Kilometres'!V441*'CAR Stock'!V491</f>
        <v>0</v>
      </c>
      <c r="BC441" s="295">
        <f>'CAR Passenger Kilometres'!W441*'CAR Stock'!W491</f>
        <v>0</v>
      </c>
      <c r="BD441" s="295">
        <f>'CAR Passenger Kilometres'!X441*'CAR Stock'!X491</f>
        <v>0</v>
      </c>
      <c r="BE441" s="295">
        <f>'CAR Passenger Kilometres'!Y441*'CAR Stock'!Y491</f>
        <v>0</v>
      </c>
      <c r="BF441" s="295">
        <f>'CAR Passenger Kilometres'!Z441*'CAR Stock'!Z491</f>
        <v>0</v>
      </c>
      <c r="BG441" s="295">
        <f>'CAR Passenger Kilometres'!AA441*'CAR Stock'!AA491</f>
        <v>0</v>
      </c>
      <c r="BH441" s="295">
        <f>'CAR Passenger Kilometres'!AB441*'CAR Stock'!AB491</f>
        <v>0</v>
      </c>
      <c r="BI441" s="295">
        <f>'CAR Passenger Kilometres'!AC441*'CAR Stock'!AC491</f>
        <v>0</v>
      </c>
      <c r="BJ441" s="295">
        <f>'CAR Passenger Kilometres'!AD441*'CAR Stock'!AD491</f>
        <v>0</v>
      </c>
      <c r="BK441" s="296">
        <f>'CAR Passenger Kilometres'!AE441*'CAR Stock'!AE491</f>
        <v>0</v>
      </c>
    </row>
    <row r="442" spans="1:63">
      <c r="A442" s="1711"/>
      <c r="B442" s="116">
        <v>4</v>
      </c>
      <c r="C442" s="294">
        <f>'CAR Mileage'!C463*CAR!$I$58</f>
        <v>25655.718148037453</v>
      </c>
      <c r="D442" s="295">
        <f>'CAR Mileage'!D463*CAR!$I$58</f>
        <v>25655.718148037453</v>
      </c>
      <c r="E442" s="295">
        <f>'CAR Mileage'!E463*CAR!$I$58</f>
        <v>25655.718148037453</v>
      </c>
      <c r="F442" s="295">
        <f>'CAR Mileage'!F463*CAR!$I$58</f>
        <v>25655.718148037453</v>
      </c>
      <c r="G442" s="295">
        <f>'CAR Mileage'!G463*CAR!$I$58</f>
        <v>25655.718148037453</v>
      </c>
      <c r="H442" s="295">
        <f>'CAR Mileage'!H463*CAR!$I$58</f>
        <v>25655.718148037453</v>
      </c>
      <c r="I442" s="295">
        <f>'CAR Mileage'!I463*CAR!$I$58</f>
        <v>25655.718148037453</v>
      </c>
      <c r="J442" s="295">
        <f>'CAR Mileage'!J463*CAR!$I$58</f>
        <v>25655.718148037453</v>
      </c>
      <c r="K442" s="295">
        <f>'CAR Mileage'!K463*CAR!$I$58</f>
        <v>25655.718148037453</v>
      </c>
      <c r="L442" s="295">
        <f>'CAR Mileage'!L463*CAR!$I$58</f>
        <v>25655.718148037453</v>
      </c>
      <c r="M442" s="295">
        <f>'CAR Mileage'!M463*CAR!$I$58</f>
        <v>25655.718148037453</v>
      </c>
      <c r="N442" s="295">
        <f>'CAR Mileage'!N463*CAR!$I$58</f>
        <v>25655.718148037453</v>
      </c>
      <c r="O442" s="295">
        <f>'CAR Mileage'!O463*CAR!$I$58</f>
        <v>25655.718148037453</v>
      </c>
      <c r="P442" s="295">
        <f>'CAR Mileage'!P463*CAR!$I$58</f>
        <v>25655.718148037453</v>
      </c>
      <c r="Q442" s="295">
        <f>'CAR Mileage'!Q463*CAR!$I$58</f>
        <v>25655.718148037453</v>
      </c>
      <c r="R442" s="295">
        <f>'CAR Mileage'!R463*CAR!$I$58</f>
        <v>25655.718148037453</v>
      </c>
      <c r="S442" s="295">
        <f>'CAR Mileage'!S463*CAR!$I$58</f>
        <v>25655.718148037453</v>
      </c>
      <c r="T442" s="295">
        <f>'CAR Mileage'!T463*CAR!$I$58</f>
        <v>25655.718148037453</v>
      </c>
      <c r="U442" s="295">
        <f>'CAR Mileage'!U463*CAR!$I$58</f>
        <v>25655.718148037453</v>
      </c>
      <c r="V442" s="295">
        <f>'CAR Mileage'!V463*CAR!$I$58</f>
        <v>25655.718148037453</v>
      </c>
      <c r="W442" s="295">
        <f>'CAR Mileage'!W463*CAR!$I$58</f>
        <v>25655.718148037453</v>
      </c>
      <c r="X442" s="295">
        <f>'CAR Mileage'!X463*CAR!$I$58</f>
        <v>25655.718148037453</v>
      </c>
      <c r="Y442" s="295">
        <f>'CAR Mileage'!Y463*CAR!$I$58</f>
        <v>25655.718148037453</v>
      </c>
      <c r="Z442" s="295">
        <f>'CAR Mileage'!Z463*CAR!$I$58</f>
        <v>25655.718148037453</v>
      </c>
      <c r="AA442" s="295">
        <f>'CAR Mileage'!AA463*CAR!$I$58</f>
        <v>25655.718148037453</v>
      </c>
      <c r="AB442" s="295">
        <f>'CAR Mileage'!AB463*CAR!$I$58</f>
        <v>25655.718148037453</v>
      </c>
      <c r="AC442" s="295">
        <f>'CAR Mileage'!AC463*CAR!$I$58</f>
        <v>25655.718148037453</v>
      </c>
      <c r="AD442" s="295">
        <f>'CAR Mileage'!AD463*CAR!$I$58</f>
        <v>25655.718148037453</v>
      </c>
      <c r="AE442" s="296">
        <f>'CAR Mileage'!AE463*CAR!$I$58</f>
        <v>25655.718148037453</v>
      </c>
      <c r="AG442" s="1711"/>
      <c r="AH442" s="116">
        <v>4</v>
      </c>
      <c r="AI442" s="294">
        <f>'CAR Passenger Kilometres'!C442*'CAR Stock'!C492</f>
        <v>9313025.6877375953</v>
      </c>
      <c r="AJ442" s="295">
        <f>'CAR Passenger Kilometres'!D442*'CAR Stock'!D492</f>
        <v>1128851.5985136479</v>
      </c>
      <c r="AK442" s="295">
        <f>'CAR Passenger Kilometres'!E442*'CAR Stock'!E492</f>
        <v>4643684.9847947787</v>
      </c>
      <c r="AL442" s="295">
        <f>'CAR Passenger Kilometres'!F442*'CAR Stock'!F492</f>
        <v>3489177.6681330935</v>
      </c>
      <c r="AM442" s="295">
        <f>'CAR Passenger Kilometres'!G442*'CAR Stock'!G492</f>
        <v>2437293.224063558</v>
      </c>
      <c r="AN442" s="295">
        <f>'CAR Passenger Kilometres'!H442*'CAR Stock'!H492</f>
        <v>0</v>
      </c>
      <c r="AO442" s="295">
        <f>'CAR Passenger Kilometres'!I442*'CAR Stock'!I492</f>
        <v>0</v>
      </c>
      <c r="AP442" s="295">
        <f>'CAR Passenger Kilometres'!J442*'CAR Stock'!J492</f>
        <v>0</v>
      </c>
      <c r="AQ442" s="295">
        <f>'CAR Passenger Kilometres'!K442*'CAR Stock'!K492</f>
        <v>0</v>
      </c>
      <c r="AR442" s="295">
        <f>'CAR Passenger Kilometres'!L442*'CAR Stock'!L492</f>
        <v>0</v>
      </c>
      <c r="AS442" s="295">
        <f>'CAR Passenger Kilometres'!M442*'CAR Stock'!M492</f>
        <v>0</v>
      </c>
      <c r="AT442" s="295">
        <f>'CAR Passenger Kilometres'!N442*'CAR Stock'!N492</f>
        <v>0</v>
      </c>
      <c r="AU442" s="295">
        <f>'CAR Passenger Kilometres'!O442*'CAR Stock'!O492</f>
        <v>0</v>
      </c>
      <c r="AV442" s="295">
        <f>'CAR Passenger Kilometres'!P442*'CAR Stock'!P492</f>
        <v>0</v>
      </c>
      <c r="AW442" s="295">
        <f>'CAR Passenger Kilometres'!Q442*'CAR Stock'!Q492</f>
        <v>0</v>
      </c>
      <c r="AX442" s="295">
        <f>'CAR Passenger Kilometres'!R442*'CAR Stock'!R492</f>
        <v>0</v>
      </c>
      <c r="AY442" s="295">
        <f>'CAR Passenger Kilometres'!S442*'CAR Stock'!S492</f>
        <v>0</v>
      </c>
      <c r="AZ442" s="295">
        <f>'CAR Passenger Kilometres'!T442*'CAR Stock'!T492</f>
        <v>0</v>
      </c>
      <c r="BA442" s="295">
        <f>'CAR Passenger Kilometres'!U442*'CAR Stock'!U492</f>
        <v>0</v>
      </c>
      <c r="BB442" s="295">
        <f>'CAR Passenger Kilometres'!V442*'CAR Stock'!V492</f>
        <v>0</v>
      </c>
      <c r="BC442" s="295">
        <f>'CAR Passenger Kilometres'!W442*'CAR Stock'!W492</f>
        <v>0</v>
      </c>
      <c r="BD442" s="295">
        <f>'CAR Passenger Kilometres'!X442*'CAR Stock'!X492</f>
        <v>0</v>
      </c>
      <c r="BE442" s="295">
        <f>'CAR Passenger Kilometres'!Y442*'CAR Stock'!Y492</f>
        <v>0</v>
      </c>
      <c r="BF442" s="295">
        <f>'CAR Passenger Kilometres'!Z442*'CAR Stock'!Z492</f>
        <v>0</v>
      </c>
      <c r="BG442" s="295">
        <f>'CAR Passenger Kilometres'!AA442*'CAR Stock'!AA492</f>
        <v>0</v>
      </c>
      <c r="BH442" s="295">
        <f>'CAR Passenger Kilometres'!AB442*'CAR Stock'!AB492</f>
        <v>0</v>
      </c>
      <c r="BI442" s="295">
        <f>'CAR Passenger Kilometres'!AC442*'CAR Stock'!AC492</f>
        <v>0</v>
      </c>
      <c r="BJ442" s="295">
        <f>'CAR Passenger Kilometres'!AD442*'CAR Stock'!AD492</f>
        <v>0</v>
      </c>
      <c r="BK442" s="296">
        <f>'CAR Passenger Kilometres'!AE442*'CAR Stock'!AE492</f>
        <v>0</v>
      </c>
    </row>
    <row r="443" spans="1:63">
      <c r="A443" s="1711"/>
      <c r="B443" s="116">
        <v>5</v>
      </c>
      <c r="C443" s="294">
        <f>'CAR Mileage'!C464*CAR!$I$58</f>
        <v>25142.603785076702</v>
      </c>
      <c r="D443" s="295">
        <f>'CAR Mileage'!D464*CAR!$I$58</f>
        <v>25142.603785076702</v>
      </c>
      <c r="E443" s="295">
        <f>'CAR Mileage'!E464*CAR!$I$58</f>
        <v>25142.603785076702</v>
      </c>
      <c r="F443" s="295">
        <f>'CAR Mileage'!F464*CAR!$I$58</f>
        <v>25142.603785076702</v>
      </c>
      <c r="G443" s="295">
        <f>'CAR Mileage'!G464*CAR!$I$58</f>
        <v>25142.603785076702</v>
      </c>
      <c r="H443" s="295">
        <f>'CAR Mileage'!H464*CAR!$I$58</f>
        <v>25142.603785076702</v>
      </c>
      <c r="I443" s="295">
        <f>'CAR Mileage'!I464*CAR!$I$58</f>
        <v>25142.603785076702</v>
      </c>
      <c r="J443" s="295">
        <f>'CAR Mileage'!J464*CAR!$I$58</f>
        <v>25142.603785076702</v>
      </c>
      <c r="K443" s="295">
        <f>'CAR Mileage'!K464*CAR!$I$58</f>
        <v>25142.603785076702</v>
      </c>
      <c r="L443" s="295">
        <f>'CAR Mileage'!L464*CAR!$I$58</f>
        <v>25142.603785076702</v>
      </c>
      <c r="M443" s="295">
        <f>'CAR Mileage'!M464*CAR!$I$58</f>
        <v>25142.603785076702</v>
      </c>
      <c r="N443" s="295">
        <f>'CAR Mileage'!N464*CAR!$I$58</f>
        <v>25142.603785076702</v>
      </c>
      <c r="O443" s="295">
        <f>'CAR Mileage'!O464*CAR!$I$58</f>
        <v>25142.603785076702</v>
      </c>
      <c r="P443" s="295">
        <f>'CAR Mileage'!P464*CAR!$I$58</f>
        <v>25142.603785076702</v>
      </c>
      <c r="Q443" s="295">
        <f>'CAR Mileage'!Q464*CAR!$I$58</f>
        <v>25142.603785076702</v>
      </c>
      <c r="R443" s="295">
        <f>'CAR Mileage'!R464*CAR!$I$58</f>
        <v>25142.603785076702</v>
      </c>
      <c r="S443" s="295">
        <f>'CAR Mileage'!S464*CAR!$I$58</f>
        <v>25142.603785076702</v>
      </c>
      <c r="T443" s="295">
        <f>'CAR Mileage'!T464*CAR!$I$58</f>
        <v>25142.603785076702</v>
      </c>
      <c r="U443" s="295">
        <f>'CAR Mileage'!U464*CAR!$I$58</f>
        <v>25142.603785076702</v>
      </c>
      <c r="V443" s="295">
        <f>'CAR Mileage'!V464*CAR!$I$58</f>
        <v>25142.603785076702</v>
      </c>
      <c r="W443" s="295">
        <f>'CAR Mileage'!W464*CAR!$I$58</f>
        <v>25142.603785076702</v>
      </c>
      <c r="X443" s="295">
        <f>'CAR Mileage'!X464*CAR!$I$58</f>
        <v>25142.603785076702</v>
      </c>
      <c r="Y443" s="295">
        <f>'CAR Mileage'!Y464*CAR!$I$58</f>
        <v>25142.603785076702</v>
      </c>
      <c r="Z443" s="295">
        <f>'CAR Mileage'!Z464*CAR!$I$58</f>
        <v>25142.603785076702</v>
      </c>
      <c r="AA443" s="295">
        <f>'CAR Mileage'!AA464*CAR!$I$58</f>
        <v>25142.603785076702</v>
      </c>
      <c r="AB443" s="295">
        <f>'CAR Mileage'!AB464*CAR!$I$58</f>
        <v>25142.603785076702</v>
      </c>
      <c r="AC443" s="295">
        <f>'CAR Mileage'!AC464*CAR!$I$58</f>
        <v>25142.603785076702</v>
      </c>
      <c r="AD443" s="295">
        <f>'CAR Mileage'!AD464*CAR!$I$58</f>
        <v>25142.603785076702</v>
      </c>
      <c r="AE443" s="296">
        <f>'CAR Mileage'!AE464*CAR!$I$58</f>
        <v>25142.603785076702</v>
      </c>
      <c r="AG443" s="1711"/>
      <c r="AH443" s="116">
        <v>5</v>
      </c>
      <c r="AI443" s="294">
        <f>'CAR Passenger Kilometres'!C443*'CAR Stock'!C493</f>
        <v>10635321.401087444</v>
      </c>
      <c r="AJ443" s="295">
        <f>'CAR Passenger Kilometres'!D443*'CAR Stock'!D493</f>
        <v>9126765.1739828438</v>
      </c>
      <c r="AK443" s="295">
        <f>'CAR Passenger Kilometres'!E443*'CAR Stock'!E493</f>
        <v>1106274.5665433749</v>
      </c>
      <c r="AL443" s="295">
        <f>'CAR Passenger Kilometres'!F443*'CAR Stock'!F493</f>
        <v>4550811.2850988833</v>
      </c>
      <c r="AM443" s="295">
        <f>'CAR Passenger Kilometres'!G443*'CAR Stock'!G493</f>
        <v>3419394.1147704315</v>
      </c>
      <c r="AN443" s="295">
        <f>'CAR Passenger Kilometres'!H443*'CAR Stock'!H493</f>
        <v>2388547.3595822868</v>
      </c>
      <c r="AO443" s="295">
        <f>'CAR Passenger Kilometres'!I443*'CAR Stock'!I493</f>
        <v>0</v>
      </c>
      <c r="AP443" s="295">
        <f>'CAR Passenger Kilometres'!J443*'CAR Stock'!J493</f>
        <v>0</v>
      </c>
      <c r="AQ443" s="295">
        <f>'CAR Passenger Kilometres'!K443*'CAR Stock'!K493</f>
        <v>0</v>
      </c>
      <c r="AR443" s="295">
        <f>'CAR Passenger Kilometres'!L443*'CAR Stock'!L493</f>
        <v>0</v>
      </c>
      <c r="AS443" s="295">
        <f>'CAR Passenger Kilometres'!M443*'CAR Stock'!M493</f>
        <v>0</v>
      </c>
      <c r="AT443" s="295">
        <f>'CAR Passenger Kilometres'!N443*'CAR Stock'!N493</f>
        <v>0</v>
      </c>
      <c r="AU443" s="295">
        <f>'CAR Passenger Kilometres'!O443*'CAR Stock'!O493</f>
        <v>0</v>
      </c>
      <c r="AV443" s="295">
        <f>'CAR Passenger Kilometres'!P443*'CAR Stock'!P493</f>
        <v>0</v>
      </c>
      <c r="AW443" s="295">
        <f>'CAR Passenger Kilometres'!Q443*'CAR Stock'!Q493</f>
        <v>0</v>
      </c>
      <c r="AX443" s="295">
        <f>'CAR Passenger Kilometres'!R443*'CAR Stock'!R493</f>
        <v>0</v>
      </c>
      <c r="AY443" s="295">
        <f>'CAR Passenger Kilometres'!S443*'CAR Stock'!S493</f>
        <v>0</v>
      </c>
      <c r="AZ443" s="295">
        <f>'CAR Passenger Kilometres'!T443*'CAR Stock'!T493</f>
        <v>0</v>
      </c>
      <c r="BA443" s="295">
        <f>'CAR Passenger Kilometres'!U443*'CAR Stock'!U493</f>
        <v>0</v>
      </c>
      <c r="BB443" s="295">
        <f>'CAR Passenger Kilometres'!V443*'CAR Stock'!V493</f>
        <v>0</v>
      </c>
      <c r="BC443" s="295">
        <f>'CAR Passenger Kilometres'!W443*'CAR Stock'!W493</f>
        <v>0</v>
      </c>
      <c r="BD443" s="295">
        <f>'CAR Passenger Kilometres'!X443*'CAR Stock'!X493</f>
        <v>0</v>
      </c>
      <c r="BE443" s="295">
        <f>'CAR Passenger Kilometres'!Y443*'CAR Stock'!Y493</f>
        <v>0</v>
      </c>
      <c r="BF443" s="295">
        <f>'CAR Passenger Kilometres'!Z443*'CAR Stock'!Z493</f>
        <v>0</v>
      </c>
      <c r="BG443" s="295">
        <f>'CAR Passenger Kilometres'!AA443*'CAR Stock'!AA493</f>
        <v>0</v>
      </c>
      <c r="BH443" s="295">
        <f>'CAR Passenger Kilometres'!AB443*'CAR Stock'!AB493</f>
        <v>0</v>
      </c>
      <c r="BI443" s="295">
        <f>'CAR Passenger Kilometres'!AC443*'CAR Stock'!AC493</f>
        <v>0</v>
      </c>
      <c r="BJ443" s="295">
        <f>'CAR Passenger Kilometres'!AD443*'CAR Stock'!AD493</f>
        <v>0</v>
      </c>
      <c r="BK443" s="296">
        <f>'CAR Passenger Kilometres'!AE443*'CAR Stock'!AE493</f>
        <v>0</v>
      </c>
    </row>
    <row r="444" spans="1:63">
      <c r="A444" s="1711"/>
      <c r="B444" s="116">
        <v>6</v>
      </c>
      <c r="C444" s="294">
        <f>'CAR Mileage'!C465*CAR!$I$58</f>
        <v>24639.75170937517</v>
      </c>
      <c r="D444" s="295">
        <f>'CAR Mileage'!D465*CAR!$I$58</f>
        <v>24639.75170937517</v>
      </c>
      <c r="E444" s="295">
        <f>'CAR Mileage'!E465*CAR!$I$58</f>
        <v>24639.75170937517</v>
      </c>
      <c r="F444" s="295">
        <f>'CAR Mileage'!F465*CAR!$I$58</f>
        <v>24639.75170937517</v>
      </c>
      <c r="G444" s="295">
        <f>'CAR Mileage'!G465*CAR!$I$58</f>
        <v>24639.75170937517</v>
      </c>
      <c r="H444" s="295">
        <f>'CAR Mileage'!H465*CAR!$I$58</f>
        <v>24639.75170937517</v>
      </c>
      <c r="I444" s="295">
        <f>'CAR Mileage'!I465*CAR!$I$58</f>
        <v>24639.75170937517</v>
      </c>
      <c r="J444" s="295">
        <f>'CAR Mileage'!J465*CAR!$I$58</f>
        <v>24639.75170937517</v>
      </c>
      <c r="K444" s="295">
        <f>'CAR Mileage'!K465*CAR!$I$58</f>
        <v>24639.75170937517</v>
      </c>
      <c r="L444" s="295">
        <f>'CAR Mileage'!L465*CAR!$I$58</f>
        <v>24639.75170937517</v>
      </c>
      <c r="M444" s="295">
        <f>'CAR Mileage'!M465*CAR!$I$58</f>
        <v>24639.75170937517</v>
      </c>
      <c r="N444" s="295">
        <f>'CAR Mileage'!N465*CAR!$I$58</f>
        <v>24639.75170937517</v>
      </c>
      <c r="O444" s="295">
        <f>'CAR Mileage'!O465*CAR!$I$58</f>
        <v>24639.75170937517</v>
      </c>
      <c r="P444" s="295">
        <f>'CAR Mileage'!P465*CAR!$I$58</f>
        <v>24639.75170937517</v>
      </c>
      <c r="Q444" s="295">
        <f>'CAR Mileage'!Q465*CAR!$I$58</f>
        <v>24639.75170937517</v>
      </c>
      <c r="R444" s="295">
        <f>'CAR Mileage'!R465*CAR!$I$58</f>
        <v>24639.75170937517</v>
      </c>
      <c r="S444" s="295">
        <f>'CAR Mileage'!S465*CAR!$I$58</f>
        <v>24639.75170937517</v>
      </c>
      <c r="T444" s="295">
        <f>'CAR Mileage'!T465*CAR!$I$58</f>
        <v>24639.75170937517</v>
      </c>
      <c r="U444" s="295">
        <f>'CAR Mileage'!U465*CAR!$I$58</f>
        <v>24639.75170937517</v>
      </c>
      <c r="V444" s="295">
        <f>'CAR Mileage'!V465*CAR!$I$58</f>
        <v>24639.75170937517</v>
      </c>
      <c r="W444" s="295">
        <f>'CAR Mileage'!W465*CAR!$I$58</f>
        <v>24639.75170937517</v>
      </c>
      <c r="X444" s="295">
        <f>'CAR Mileage'!X465*CAR!$I$58</f>
        <v>24639.75170937517</v>
      </c>
      <c r="Y444" s="295">
        <f>'CAR Mileage'!Y465*CAR!$I$58</f>
        <v>24639.75170937517</v>
      </c>
      <c r="Z444" s="295">
        <f>'CAR Mileage'!Z465*CAR!$I$58</f>
        <v>24639.75170937517</v>
      </c>
      <c r="AA444" s="295">
        <f>'CAR Mileage'!AA465*CAR!$I$58</f>
        <v>24639.75170937517</v>
      </c>
      <c r="AB444" s="295">
        <f>'CAR Mileage'!AB465*CAR!$I$58</f>
        <v>24639.75170937517</v>
      </c>
      <c r="AC444" s="295">
        <f>'CAR Mileage'!AC465*CAR!$I$58</f>
        <v>24639.75170937517</v>
      </c>
      <c r="AD444" s="295">
        <f>'CAR Mileage'!AD465*CAR!$I$58</f>
        <v>24639.75170937517</v>
      </c>
      <c r="AE444" s="296">
        <f>'CAR Mileage'!AE465*CAR!$I$58</f>
        <v>24639.75170937517</v>
      </c>
      <c r="AG444" s="1711"/>
      <c r="AH444" s="116">
        <v>6</v>
      </c>
      <c r="AI444" s="294">
        <f>'CAR Passenger Kilometres'!C444*'CAR Stock'!C494</f>
        <v>6381695.6927281693</v>
      </c>
      <c r="AJ444" s="295">
        <f>'CAR Passenger Kilometres'!D444*'CAR Stock'!D494</f>
        <v>10422614.973065697</v>
      </c>
      <c r="AK444" s="295">
        <f>'CAR Passenger Kilometres'!E444*'CAR Stock'!E494</f>
        <v>8944229.8705031872</v>
      </c>
      <c r="AL444" s="295">
        <f>'CAR Passenger Kilometres'!F444*'CAR Stock'!F494</f>
        <v>1084149.0752125075</v>
      </c>
      <c r="AM444" s="295">
        <f>'CAR Passenger Kilometres'!G444*'CAR Stock'!G494</f>
        <v>4459795.0593969058</v>
      </c>
      <c r="AN444" s="295">
        <f>'CAR Passenger Kilometres'!H444*'CAR Stock'!H494</f>
        <v>3351006.2324750233</v>
      </c>
      <c r="AO444" s="295">
        <f>'CAR Passenger Kilometres'!I444*'CAR Stock'!I494</f>
        <v>2340776.4123906414</v>
      </c>
      <c r="AP444" s="295">
        <f>'CAR Passenger Kilometres'!J444*'CAR Stock'!J494</f>
        <v>0</v>
      </c>
      <c r="AQ444" s="295">
        <f>'CAR Passenger Kilometres'!K444*'CAR Stock'!K494</f>
        <v>0</v>
      </c>
      <c r="AR444" s="295">
        <f>'CAR Passenger Kilometres'!L444*'CAR Stock'!L494</f>
        <v>0</v>
      </c>
      <c r="AS444" s="295">
        <f>'CAR Passenger Kilometres'!M444*'CAR Stock'!M494</f>
        <v>0</v>
      </c>
      <c r="AT444" s="295">
        <f>'CAR Passenger Kilometres'!N444*'CAR Stock'!N494</f>
        <v>0</v>
      </c>
      <c r="AU444" s="295">
        <f>'CAR Passenger Kilometres'!O444*'CAR Stock'!O494</f>
        <v>0</v>
      </c>
      <c r="AV444" s="295">
        <f>'CAR Passenger Kilometres'!P444*'CAR Stock'!P494</f>
        <v>0</v>
      </c>
      <c r="AW444" s="295">
        <f>'CAR Passenger Kilometres'!Q444*'CAR Stock'!Q494</f>
        <v>0</v>
      </c>
      <c r="AX444" s="295">
        <f>'CAR Passenger Kilometres'!R444*'CAR Stock'!R494</f>
        <v>0</v>
      </c>
      <c r="AY444" s="295">
        <f>'CAR Passenger Kilometres'!S444*'CAR Stock'!S494</f>
        <v>0</v>
      </c>
      <c r="AZ444" s="295">
        <f>'CAR Passenger Kilometres'!T444*'CAR Stock'!T494</f>
        <v>0</v>
      </c>
      <c r="BA444" s="295">
        <f>'CAR Passenger Kilometres'!U444*'CAR Stock'!U494</f>
        <v>0</v>
      </c>
      <c r="BB444" s="295">
        <f>'CAR Passenger Kilometres'!V444*'CAR Stock'!V494</f>
        <v>0</v>
      </c>
      <c r="BC444" s="295">
        <f>'CAR Passenger Kilometres'!W444*'CAR Stock'!W494</f>
        <v>0</v>
      </c>
      <c r="BD444" s="295">
        <f>'CAR Passenger Kilometres'!X444*'CAR Stock'!X494</f>
        <v>0</v>
      </c>
      <c r="BE444" s="295">
        <f>'CAR Passenger Kilometres'!Y444*'CAR Stock'!Y494</f>
        <v>0</v>
      </c>
      <c r="BF444" s="295">
        <f>'CAR Passenger Kilometres'!Z444*'CAR Stock'!Z494</f>
        <v>0</v>
      </c>
      <c r="BG444" s="295">
        <f>'CAR Passenger Kilometres'!AA444*'CAR Stock'!AA494</f>
        <v>0</v>
      </c>
      <c r="BH444" s="295">
        <f>'CAR Passenger Kilometres'!AB444*'CAR Stock'!AB494</f>
        <v>0</v>
      </c>
      <c r="BI444" s="295">
        <f>'CAR Passenger Kilometres'!AC444*'CAR Stock'!AC494</f>
        <v>0</v>
      </c>
      <c r="BJ444" s="295">
        <f>'CAR Passenger Kilometres'!AD444*'CAR Stock'!AD494</f>
        <v>0</v>
      </c>
      <c r="BK444" s="296">
        <f>'CAR Passenger Kilometres'!AE444*'CAR Stock'!AE494</f>
        <v>0</v>
      </c>
    </row>
    <row r="445" spans="1:63">
      <c r="A445" s="1711"/>
      <c r="B445" s="116">
        <v>7</v>
      </c>
      <c r="C445" s="294">
        <f>'CAR Mileage'!C466*CAR!$I$58</f>
        <v>24146.956675187666</v>
      </c>
      <c r="D445" s="295">
        <f>'CAR Mileage'!D466*CAR!$I$58</f>
        <v>24146.956675187666</v>
      </c>
      <c r="E445" s="295">
        <f>'CAR Mileage'!E466*CAR!$I$58</f>
        <v>24146.956675187666</v>
      </c>
      <c r="F445" s="295">
        <f>'CAR Mileage'!F466*CAR!$I$58</f>
        <v>24146.956675187666</v>
      </c>
      <c r="G445" s="295">
        <f>'CAR Mileage'!G466*CAR!$I$58</f>
        <v>24146.956675187666</v>
      </c>
      <c r="H445" s="295">
        <f>'CAR Mileage'!H466*CAR!$I$58</f>
        <v>24146.956675187666</v>
      </c>
      <c r="I445" s="295">
        <f>'CAR Mileage'!I466*CAR!$I$58</f>
        <v>24146.956675187666</v>
      </c>
      <c r="J445" s="295">
        <f>'CAR Mileage'!J466*CAR!$I$58</f>
        <v>24146.956675187666</v>
      </c>
      <c r="K445" s="295">
        <f>'CAR Mileage'!K466*CAR!$I$58</f>
        <v>24146.956675187666</v>
      </c>
      <c r="L445" s="295">
        <f>'CAR Mileage'!L466*CAR!$I$58</f>
        <v>24146.956675187666</v>
      </c>
      <c r="M445" s="295">
        <f>'CAR Mileage'!M466*CAR!$I$58</f>
        <v>24146.956675187666</v>
      </c>
      <c r="N445" s="295">
        <f>'CAR Mileage'!N466*CAR!$I$58</f>
        <v>24146.956675187666</v>
      </c>
      <c r="O445" s="295">
        <f>'CAR Mileage'!O466*CAR!$I$58</f>
        <v>24146.956675187666</v>
      </c>
      <c r="P445" s="295">
        <f>'CAR Mileage'!P466*CAR!$I$58</f>
        <v>24146.956675187666</v>
      </c>
      <c r="Q445" s="295">
        <f>'CAR Mileage'!Q466*CAR!$I$58</f>
        <v>24146.956675187666</v>
      </c>
      <c r="R445" s="295">
        <f>'CAR Mileage'!R466*CAR!$I$58</f>
        <v>24146.956675187666</v>
      </c>
      <c r="S445" s="295">
        <f>'CAR Mileage'!S466*CAR!$I$58</f>
        <v>24146.956675187666</v>
      </c>
      <c r="T445" s="295">
        <f>'CAR Mileage'!T466*CAR!$I$58</f>
        <v>24146.956675187666</v>
      </c>
      <c r="U445" s="295">
        <f>'CAR Mileage'!U466*CAR!$I$58</f>
        <v>24146.956675187666</v>
      </c>
      <c r="V445" s="295">
        <f>'CAR Mileage'!V466*CAR!$I$58</f>
        <v>24146.956675187666</v>
      </c>
      <c r="W445" s="295">
        <f>'CAR Mileage'!W466*CAR!$I$58</f>
        <v>24146.956675187666</v>
      </c>
      <c r="X445" s="295">
        <f>'CAR Mileage'!X466*CAR!$I$58</f>
        <v>24146.956675187666</v>
      </c>
      <c r="Y445" s="295">
        <f>'CAR Mileage'!Y466*CAR!$I$58</f>
        <v>24146.956675187666</v>
      </c>
      <c r="Z445" s="295">
        <f>'CAR Mileage'!Z466*CAR!$I$58</f>
        <v>24146.956675187666</v>
      </c>
      <c r="AA445" s="295">
        <f>'CAR Mileage'!AA466*CAR!$I$58</f>
        <v>24146.956675187666</v>
      </c>
      <c r="AB445" s="295">
        <f>'CAR Mileage'!AB466*CAR!$I$58</f>
        <v>24146.956675187666</v>
      </c>
      <c r="AC445" s="295">
        <f>'CAR Mileage'!AC466*CAR!$I$58</f>
        <v>24146.956675187666</v>
      </c>
      <c r="AD445" s="295">
        <f>'CAR Mileage'!AD466*CAR!$I$58</f>
        <v>24146.956675187666</v>
      </c>
      <c r="AE445" s="296">
        <f>'CAR Mileage'!AE466*CAR!$I$58</f>
        <v>24146.956675187666</v>
      </c>
      <c r="AG445" s="1711"/>
      <c r="AH445" s="116">
        <v>7</v>
      </c>
      <c r="AI445" s="294">
        <f>'CAR Passenger Kilometres'!C445*'CAR Stock'!C495</f>
        <v>1014172.1803578819</v>
      </c>
      <c r="AJ445" s="295">
        <f>'CAR Passenger Kilometres'!D445*'CAR Stock'!D495</f>
        <v>6254061.7788736057</v>
      </c>
      <c r="AK445" s="295">
        <f>'CAR Passenger Kilometres'!E445*'CAR Stock'!E495</f>
        <v>10214162.673604382</v>
      </c>
      <c r="AL445" s="295">
        <f>'CAR Passenger Kilometres'!F445*'CAR Stock'!F495</f>
        <v>8765345.273093123</v>
      </c>
      <c r="AM445" s="295">
        <f>'CAR Passenger Kilometres'!G445*'CAR Stock'!G495</f>
        <v>1062466.0937082574</v>
      </c>
      <c r="AN445" s="295">
        <f>'CAR Passenger Kilometres'!H445*'CAR Stock'!H495</f>
        <v>4370599.1582089672</v>
      </c>
      <c r="AO445" s="295">
        <f>'CAR Passenger Kilometres'!I445*'CAR Stock'!I495</f>
        <v>3283986.1078255228</v>
      </c>
      <c r="AP445" s="295">
        <f>'CAR Passenger Kilometres'!J445*'CAR Stock'!J495</f>
        <v>2293960.8841428282</v>
      </c>
      <c r="AQ445" s="295">
        <f>'CAR Passenger Kilometres'!K445*'CAR Stock'!K495</f>
        <v>0</v>
      </c>
      <c r="AR445" s="295">
        <f>'CAR Passenger Kilometres'!L445*'CAR Stock'!L495</f>
        <v>0</v>
      </c>
      <c r="AS445" s="295">
        <f>'CAR Passenger Kilometres'!M445*'CAR Stock'!M495</f>
        <v>0</v>
      </c>
      <c r="AT445" s="295">
        <f>'CAR Passenger Kilometres'!N445*'CAR Stock'!N495</f>
        <v>0</v>
      </c>
      <c r="AU445" s="295">
        <f>'CAR Passenger Kilometres'!O445*'CAR Stock'!O495</f>
        <v>0</v>
      </c>
      <c r="AV445" s="295">
        <f>'CAR Passenger Kilometres'!P445*'CAR Stock'!P495</f>
        <v>0</v>
      </c>
      <c r="AW445" s="295">
        <f>'CAR Passenger Kilometres'!Q445*'CAR Stock'!Q495</f>
        <v>0</v>
      </c>
      <c r="AX445" s="295">
        <f>'CAR Passenger Kilometres'!R445*'CAR Stock'!R495</f>
        <v>0</v>
      </c>
      <c r="AY445" s="295">
        <f>'CAR Passenger Kilometres'!S445*'CAR Stock'!S495</f>
        <v>0</v>
      </c>
      <c r="AZ445" s="295">
        <f>'CAR Passenger Kilometres'!T445*'CAR Stock'!T495</f>
        <v>0</v>
      </c>
      <c r="BA445" s="295">
        <f>'CAR Passenger Kilometres'!U445*'CAR Stock'!U495</f>
        <v>0</v>
      </c>
      <c r="BB445" s="295">
        <f>'CAR Passenger Kilometres'!V445*'CAR Stock'!V495</f>
        <v>0</v>
      </c>
      <c r="BC445" s="295">
        <f>'CAR Passenger Kilometres'!W445*'CAR Stock'!W495</f>
        <v>0</v>
      </c>
      <c r="BD445" s="295">
        <f>'CAR Passenger Kilometres'!X445*'CAR Stock'!X495</f>
        <v>0</v>
      </c>
      <c r="BE445" s="295">
        <f>'CAR Passenger Kilometres'!Y445*'CAR Stock'!Y495</f>
        <v>0</v>
      </c>
      <c r="BF445" s="295">
        <f>'CAR Passenger Kilometres'!Z445*'CAR Stock'!Z495</f>
        <v>0</v>
      </c>
      <c r="BG445" s="295">
        <f>'CAR Passenger Kilometres'!AA445*'CAR Stock'!AA495</f>
        <v>0</v>
      </c>
      <c r="BH445" s="295">
        <f>'CAR Passenger Kilometres'!AB445*'CAR Stock'!AB495</f>
        <v>0</v>
      </c>
      <c r="BI445" s="295">
        <f>'CAR Passenger Kilometres'!AC445*'CAR Stock'!AC495</f>
        <v>0</v>
      </c>
      <c r="BJ445" s="295">
        <f>'CAR Passenger Kilometres'!AD445*'CAR Stock'!AD495</f>
        <v>0</v>
      </c>
      <c r="BK445" s="296">
        <f>'CAR Passenger Kilometres'!AE445*'CAR Stock'!AE495</f>
        <v>0</v>
      </c>
    </row>
    <row r="446" spans="1:63">
      <c r="A446" s="1711"/>
      <c r="B446" s="116">
        <v>8</v>
      </c>
      <c r="C446" s="294">
        <f>'CAR Mileage'!C467*CAR!$I$58</f>
        <v>23664.017541683912</v>
      </c>
      <c r="D446" s="295">
        <f>'CAR Mileage'!D467*CAR!$I$58</f>
        <v>23664.017541683912</v>
      </c>
      <c r="E446" s="295">
        <f>'CAR Mileage'!E467*CAR!$I$58</f>
        <v>23664.017541683912</v>
      </c>
      <c r="F446" s="295">
        <f>'CAR Mileage'!F467*CAR!$I$58</f>
        <v>23664.017541683912</v>
      </c>
      <c r="G446" s="295">
        <f>'CAR Mileage'!G467*CAR!$I$58</f>
        <v>23664.017541683912</v>
      </c>
      <c r="H446" s="295">
        <f>'CAR Mileage'!H467*CAR!$I$58</f>
        <v>23664.017541683912</v>
      </c>
      <c r="I446" s="295">
        <f>'CAR Mileage'!I467*CAR!$I$58</f>
        <v>23664.017541683912</v>
      </c>
      <c r="J446" s="295">
        <f>'CAR Mileage'!J467*CAR!$I$58</f>
        <v>23664.017541683912</v>
      </c>
      <c r="K446" s="295">
        <f>'CAR Mileage'!K467*CAR!$I$58</f>
        <v>23664.017541683912</v>
      </c>
      <c r="L446" s="295">
        <f>'CAR Mileage'!L467*CAR!$I$58</f>
        <v>23664.017541683912</v>
      </c>
      <c r="M446" s="295">
        <f>'CAR Mileage'!M467*CAR!$I$58</f>
        <v>23664.017541683912</v>
      </c>
      <c r="N446" s="295">
        <f>'CAR Mileage'!N467*CAR!$I$58</f>
        <v>23664.017541683912</v>
      </c>
      <c r="O446" s="295">
        <f>'CAR Mileage'!O467*CAR!$I$58</f>
        <v>23664.017541683912</v>
      </c>
      <c r="P446" s="295">
        <f>'CAR Mileage'!P467*CAR!$I$58</f>
        <v>23664.017541683912</v>
      </c>
      <c r="Q446" s="295">
        <f>'CAR Mileage'!Q467*CAR!$I$58</f>
        <v>23664.017541683912</v>
      </c>
      <c r="R446" s="295">
        <f>'CAR Mileage'!R467*CAR!$I$58</f>
        <v>23664.017541683912</v>
      </c>
      <c r="S446" s="295">
        <f>'CAR Mileage'!S467*CAR!$I$58</f>
        <v>23664.017541683912</v>
      </c>
      <c r="T446" s="295">
        <f>'CAR Mileage'!T467*CAR!$I$58</f>
        <v>23664.017541683912</v>
      </c>
      <c r="U446" s="295">
        <f>'CAR Mileage'!U467*CAR!$I$58</f>
        <v>23664.017541683912</v>
      </c>
      <c r="V446" s="295">
        <f>'CAR Mileage'!V467*CAR!$I$58</f>
        <v>23664.017541683912</v>
      </c>
      <c r="W446" s="295">
        <f>'CAR Mileage'!W467*CAR!$I$58</f>
        <v>23664.017541683912</v>
      </c>
      <c r="X446" s="295">
        <f>'CAR Mileage'!X467*CAR!$I$58</f>
        <v>23664.017541683912</v>
      </c>
      <c r="Y446" s="295">
        <f>'CAR Mileage'!Y467*CAR!$I$58</f>
        <v>23664.017541683912</v>
      </c>
      <c r="Z446" s="295">
        <f>'CAR Mileage'!Z467*CAR!$I$58</f>
        <v>23664.017541683912</v>
      </c>
      <c r="AA446" s="295">
        <f>'CAR Mileage'!AA467*CAR!$I$58</f>
        <v>23664.017541683912</v>
      </c>
      <c r="AB446" s="295">
        <f>'CAR Mileage'!AB467*CAR!$I$58</f>
        <v>23664.017541683912</v>
      </c>
      <c r="AC446" s="295">
        <f>'CAR Mileage'!AC467*CAR!$I$58</f>
        <v>23664.017541683912</v>
      </c>
      <c r="AD446" s="295">
        <f>'CAR Mileage'!AD467*CAR!$I$58</f>
        <v>23664.017541683912</v>
      </c>
      <c r="AE446" s="296">
        <f>'CAR Mileage'!AE467*CAR!$I$58</f>
        <v>23664.017541683912</v>
      </c>
      <c r="AG446" s="1711"/>
      <c r="AH446" s="116">
        <v>8</v>
      </c>
      <c r="AI446" s="294">
        <f>'CAR Passenger Kilometres'!C446*'CAR Stock'!C496</f>
        <v>0</v>
      </c>
      <c r="AJ446" s="295">
        <f>'CAR Passenger Kilometres'!D446*'CAR Stock'!D496</f>
        <v>993888.73675072426</v>
      </c>
      <c r="AK446" s="295">
        <f>'CAR Passenger Kilometres'!E446*'CAR Stock'!E496</f>
        <v>6128980.5432961332</v>
      </c>
      <c r="AL446" s="295">
        <f>'CAR Passenger Kilometres'!F446*'CAR Stock'!F496</f>
        <v>10009879.420132294</v>
      </c>
      <c r="AM446" s="295">
        <f>'CAR Passenger Kilometres'!G446*'CAR Stock'!G496</f>
        <v>8590038.3676312603</v>
      </c>
      <c r="AN446" s="295">
        <f>'CAR Passenger Kilometres'!H446*'CAR Stock'!H496</f>
        <v>1041216.7718340921</v>
      </c>
      <c r="AO446" s="295">
        <f>'CAR Passenger Kilometres'!I446*'CAR Stock'!I496</f>
        <v>4283187.175044788</v>
      </c>
      <c r="AP446" s="295">
        <f>'CAR Passenger Kilometres'!J446*'CAR Stock'!J496</f>
        <v>3218306.3856690121</v>
      </c>
      <c r="AQ446" s="295">
        <f>'CAR Passenger Kilometres'!K446*'CAR Stock'!K496</f>
        <v>2248081.6664599716</v>
      </c>
      <c r="AR446" s="295">
        <f>'CAR Passenger Kilometres'!L446*'CAR Stock'!L496</f>
        <v>0</v>
      </c>
      <c r="AS446" s="295">
        <f>'CAR Passenger Kilometres'!M446*'CAR Stock'!M496</f>
        <v>0</v>
      </c>
      <c r="AT446" s="295">
        <f>'CAR Passenger Kilometres'!N446*'CAR Stock'!N496</f>
        <v>0</v>
      </c>
      <c r="AU446" s="295">
        <f>'CAR Passenger Kilometres'!O446*'CAR Stock'!O496</f>
        <v>0</v>
      </c>
      <c r="AV446" s="295">
        <f>'CAR Passenger Kilometres'!P446*'CAR Stock'!P496</f>
        <v>0</v>
      </c>
      <c r="AW446" s="295">
        <f>'CAR Passenger Kilometres'!Q446*'CAR Stock'!Q496</f>
        <v>0</v>
      </c>
      <c r="AX446" s="295">
        <f>'CAR Passenger Kilometres'!R446*'CAR Stock'!R496</f>
        <v>0</v>
      </c>
      <c r="AY446" s="295">
        <f>'CAR Passenger Kilometres'!S446*'CAR Stock'!S496</f>
        <v>0</v>
      </c>
      <c r="AZ446" s="295">
        <f>'CAR Passenger Kilometres'!T446*'CAR Stock'!T496</f>
        <v>0</v>
      </c>
      <c r="BA446" s="295">
        <f>'CAR Passenger Kilometres'!U446*'CAR Stock'!U496</f>
        <v>0</v>
      </c>
      <c r="BB446" s="295">
        <f>'CAR Passenger Kilometres'!V446*'CAR Stock'!V496</f>
        <v>0</v>
      </c>
      <c r="BC446" s="295">
        <f>'CAR Passenger Kilometres'!W446*'CAR Stock'!W496</f>
        <v>0</v>
      </c>
      <c r="BD446" s="295">
        <f>'CAR Passenger Kilometres'!X446*'CAR Stock'!X496</f>
        <v>0</v>
      </c>
      <c r="BE446" s="295">
        <f>'CAR Passenger Kilometres'!Y446*'CAR Stock'!Y496</f>
        <v>0</v>
      </c>
      <c r="BF446" s="295">
        <f>'CAR Passenger Kilometres'!Z446*'CAR Stock'!Z496</f>
        <v>0</v>
      </c>
      <c r="BG446" s="295">
        <f>'CAR Passenger Kilometres'!AA446*'CAR Stock'!AA496</f>
        <v>0</v>
      </c>
      <c r="BH446" s="295">
        <f>'CAR Passenger Kilometres'!AB446*'CAR Stock'!AB496</f>
        <v>0</v>
      </c>
      <c r="BI446" s="295">
        <f>'CAR Passenger Kilometres'!AC446*'CAR Stock'!AC496</f>
        <v>0</v>
      </c>
      <c r="BJ446" s="295">
        <f>'CAR Passenger Kilometres'!AD446*'CAR Stock'!AD496</f>
        <v>0</v>
      </c>
      <c r="BK446" s="296">
        <f>'CAR Passenger Kilometres'!AE446*'CAR Stock'!AE496</f>
        <v>0</v>
      </c>
    </row>
    <row r="447" spans="1:63">
      <c r="A447" s="1711"/>
      <c r="B447" s="116">
        <v>9</v>
      </c>
      <c r="C447" s="294">
        <f>'CAR Mileage'!C468*CAR!$I$58</f>
        <v>23190.737190850235</v>
      </c>
      <c r="D447" s="295">
        <f>'CAR Mileage'!D468*CAR!$I$58</f>
        <v>23190.737190850235</v>
      </c>
      <c r="E447" s="295">
        <f>'CAR Mileage'!E468*CAR!$I$58</f>
        <v>23190.737190850235</v>
      </c>
      <c r="F447" s="295">
        <f>'CAR Mileage'!F468*CAR!$I$58</f>
        <v>23190.737190850235</v>
      </c>
      <c r="G447" s="295">
        <f>'CAR Mileage'!G468*CAR!$I$58</f>
        <v>23190.737190850235</v>
      </c>
      <c r="H447" s="295">
        <f>'CAR Mileage'!H468*CAR!$I$58</f>
        <v>23190.737190850235</v>
      </c>
      <c r="I447" s="295">
        <f>'CAR Mileage'!I468*CAR!$I$58</f>
        <v>23190.737190850235</v>
      </c>
      <c r="J447" s="295">
        <f>'CAR Mileage'!J468*CAR!$I$58</f>
        <v>23190.737190850235</v>
      </c>
      <c r="K447" s="295">
        <f>'CAR Mileage'!K468*CAR!$I$58</f>
        <v>23190.737190850235</v>
      </c>
      <c r="L447" s="295">
        <f>'CAR Mileage'!L468*CAR!$I$58</f>
        <v>23190.737190850235</v>
      </c>
      <c r="M447" s="295">
        <f>'CAR Mileage'!M468*CAR!$I$58</f>
        <v>23190.737190850235</v>
      </c>
      <c r="N447" s="295">
        <f>'CAR Mileage'!N468*CAR!$I$58</f>
        <v>23190.737190850235</v>
      </c>
      <c r="O447" s="295">
        <f>'CAR Mileage'!O468*CAR!$I$58</f>
        <v>23190.737190850235</v>
      </c>
      <c r="P447" s="295">
        <f>'CAR Mileage'!P468*CAR!$I$58</f>
        <v>23190.737190850235</v>
      </c>
      <c r="Q447" s="295">
        <f>'CAR Mileage'!Q468*CAR!$I$58</f>
        <v>23190.737190850235</v>
      </c>
      <c r="R447" s="295">
        <f>'CAR Mileage'!R468*CAR!$I$58</f>
        <v>23190.737190850235</v>
      </c>
      <c r="S447" s="295">
        <f>'CAR Mileage'!S468*CAR!$I$58</f>
        <v>23190.737190850235</v>
      </c>
      <c r="T447" s="295">
        <f>'CAR Mileage'!T468*CAR!$I$58</f>
        <v>23190.737190850235</v>
      </c>
      <c r="U447" s="295">
        <f>'CAR Mileage'!U468*CAR!$I$58</f>
        <v>23190.737190850235</v>
      </c>
      <c r="V447" s="295">
        <f>'CAR Mileage'!V468*CAR!$I$58</f>
        <v>23190.737190850235</v>
      </c>
      <c r="W447" s="295">
        <f>'CAR Mileage'!W468*CAR!$I$58</f>
        <v>23190.737190850235</v>
      </c>
      <c r="X447" s="295">
        <f>'CAR Mileage'!X468*CAR!$I$58</f>
        <v>23190.737190850235</v>
      </c>
      <c r="Y447" s="295">
        <f>'CAR Mileage'!Y468*CAR!$I$58</f>
        <v>23190.737190850235</v>
      </c>
      <c r="Z447" s="295">
        <f>'CAR Mileage'!Z468*CAR!$I$58</f>
        <v>23190.737190850235</v>
      </c>
      <c r="AA447" s="295">
        <f>'CAR Mileage'!AA468*CAR!$I$58</f>
        <v>23190.737190850235</v>
      </c>
      <c r="AB447" s="295">
        <f>'CAR Mileage'!AB468*CAR!$I$58</f>
        <v>23190.737190850235</v>
      </c>
      <c r="AC447" s="295">
        <f>'CAR Mileage'!AC468*CAR!$I$58</f>
        <v>23190.737190850235</v>
      </c>
      <c r="AD447" s="295">
        <f>'CAR Mileage'!AD468*CAR!$I$58</f>
        <v>23190.737190850235</v>
      </c>
      <c r="AE447" s="296">
        <f>'CAR Mileage'!AE468*CAR!$I$58</f>
        <v>23190.737190850235</v>
      </c>
      <c r="AG447" s="1711"/>
      <c r="AH447" s="116">
        <v>9</v>
      </c>
      <c r="AI447" s="294">
        <f>'CAR Passenger Kilometres'!C447*'CAR Stock'!C497</f>
        <v>92762.948763400942</v>
      </c>
      <c r="AJ447" s="295">
        <f>'CAR Passenger Kilometres'!D447*'CAR Stock'!D497</f>
        <v>0</v>
      </c>
      <c r="AK447" s="295">
        <f>'CAR Passenger Kilometres'!E447*'CAR Stock'!E497</f>
        <v>947683.23686835752</v>
      </c>
      <c r="AL447" s="295">
        <f>'CAR Passenger Kilometres'!F447*'CAR Stock'!F497</f>
        <v>5844046.6273548715</v>
      </c>
      <c r="AM447" s="295">
        <f>'CAR Passenger Kilometres'!G447*'CAR Stock'!G497</f>
        <v>9544524.0284598861</v>
      </c>
      <c r="AN447" s="295">
        <f>'CAR Passenger Kilometres'!H447*'CAR Stock'!H497</f>
        <v>8190690.8329336625</v>
      </c>
      <c r="AO447" s="295">
        <f>'CAR Passenger Kilometres'!I447*'CAR Stock'!I497</f>
        <v>992811.01005256514</v>
      </c>
      <c r="AP447" s="295">
        <f>'CAR Passenger Kilometres'!J447*'CAR Stock'!J497</f>
        <v>4084063.4731707792</v>
      </c>
      <c r="AQ447" s="295">
        <f>'CAR Passenger Kilometres'!K447*'CAR Stock'!K497</f>
        <v>3068688.5765261101</v>
      </c>
      <c r="AR447" s="295">
        <f>'CAR Passenger Kilometres'!L447*'CAR Stock'!L497</f>
        <v>2143569.2262498564</v>
      </c>
      <c r="AS447" s="295">
        <f>'CAR Passenger Kilometres'!M447*'CAR Stock'!M497</f>
        <v>0</v>
      </c>
      <c r="AT447" s="295">
        <f>'CAR Passenger Kilometres'!N447*'CAR Stock'!N497</f>
        <v>0</v>
      </c>
      <c r="AU447" s="295">
        <f>'CAR Passenger Kilometres'!O447*'CAR Stock'!O497</f>
        <v>0</v>
      </c>
      <c r="AV447" s="295">
        <f>'CAR Passenger Kilometres'!P447*'CAR Stock'!P497</f>
        <v>0</v>
      </c>
      <c r="AW447" s="295">
        <f>'CAR Passenger Kilometres'!Q447*'CAR Stock'!Q497</f>
        <v>0</v>
      </c>
      <c r="AX447" s="295">
        <f>'CAR Passenger Kilometres'!R447*'CAR Stock'!R497</f>
        <v>0</v>
      </c>
      <c r="AY447" s="295">
        <f>'CAR Passenger Kilometres'!S447*'CAR Stock'!S497</f>
        <v>0</v>
      </c>
      <c r="AZ447" s="295">
        <f>'CAR Passenger Kilometres'!T447*'CAR Stock'!T497</f>
        <v>0</v>
      </c>
      <c r="BA447" s="295">
        <f>'CAR Passenger Kilometres'!U447*'CAR Stock'!U497</f>
        <v>0</v>
      </c>
      <c r="BB447" s="295">
        <f>'CAR Passenger Kilometres'!V447*'CAR Stock'!V497</f>
        <v>0</v>
      </c>
      <c r="BC447" s="295">
        <f>'CAR Passenger Kilometres'!W447*'CAR Stock'!W497</f>
        <v>0</v>
      </c>
      <c r="BD447" s="295">
        <f>'CAR Passenger Kilometres'!X447*'CAR Stock'!X497</f>
        <v>0</v>
      </c>
      <c r="BE447" s="295">
        <f>'CAR Passenger Kilometres'!Y447*'CAR Stock'!Y497</f>
        <v>0</v>
      </c>
      <c r="BF447" s="295">
        <f>'CAR Passenger Kilometres'!Z447*'CAR Stock'!Z497</f>
        <v>0</v>
      </c>
      <c r="BG447" s="295">
        <f>'CAR Passenger Kilometres'!AA447*'CAR Stock'!AA497</f>
        <v>0</v>
      </c>
      <c r="BH447" s="295">
        <f>'CAR Passenger Kilometres'!AB447*'CAR Stock'!AB497</f>
        <v>0</v>
      </c>
      <c r="BI447" s="295">
        <f>'CAR Passenger Kilometres'!AC447*'CAR Stock'!AC497</f>
        <v>0</v>
      </c>
      <c r="BJ447" s="295">
        <f>'CAR Passenger Kilometres'!AD447*'CAR Stock'!AD497</f>
        <v>0</v>
      </c>
      <c r="BK447" s="296">
        <f>'CAR Passenger Kilometres'!AE447*'CAR Stock'!AE497</f>
        <v>0</v>
      </c>
    </row>
    <row r="448" spans="1:63">
      <c r="A448" s="1711"/>
      <c r="B448" s="116">
        <v>10</v>
      </c>
      <c r="C448" s="294">
        <f>'CAR Mileage'!C469*CAR!$I$58</f>
        <v>22726.922447033226</v>
      </c>
      <c r="D448" s="295">
        <f>'CAR Mileage'!D469*CAR!$I$58</f>
        <v>22726.922447033226</v>
      </c>
      <c r="E448" s="295">
        <f>'CAR Mileage'!E469*CAR!$I$58</f>
        <v>22726.922447033226</v>
      </c>
      <c r="F448" s="295">
        <f>'CAR Mileage'!F469*CAR!$I$58</f>
        <v>22726.922447033226</v>
      </c>
      <c r="G448" s="295">
        <f>'CAR Mileage'!G469*CAR!$I$58</f>
        <v>22726.922447033226</v>
      </c>
      <c r="H448" s="295">
        <f>'CAR Mileage'!H469*CAR!$I$58</f>
        <v>22726.922447033226</v>
      </c>
      <c r="I448" s="295">
        <f>'CAR Mileage'!I469*CAR!$I$58</f>
        <v>22726.922447033226</v>
      </c>
      <c r="J448" s="295">
        <f>'CAR Mileage'!J469*CAR!$I$58</f>
        <v>22726.922447033226</v>
      </c>
      <c r="K448" s="295">
        <f>'CAR Mileage'!K469*CAR!$I$58</f>
        <v>22726.922447033226</v>
      </c>
      <c r="L448" s="295">
        <f>'CAR Mileage'!L469*CAR!$I$58</f>
        <v>22726.922447033226</v>
      </c>
      <c r="M448" s="295">
        <f>'CAR Mileage'!M469*CAR!$I$58</f>
        <v>22726.922447033226</v>
      </c>
      <c r="N448" s="295">
        <f>'CAR Mileage'!N469*CAR!$I$58</f>
        <v>22726.922447033226</v>
      </c>
      <c r="O448" s="295">
        <f>'CAR Mileage'!O469*CAR!$I$58</f>
        <v>22726.922447033226</v>
      </c>
      <c r="P448" s="295">
        <f>'CAR Mileage'!P469*CAR!$I$58</f>
        <v>22726.922447033226</v>
      </c>
      <c r="Q448" s="295">
        <f>'CAR Mileage'!Q469*CAR!$I$58</f>
        <v>22726.922447033226</v>
      </c>
      <c r="R448" s="295">
        <f>'CAR Mileage'!R469*CAR!$I$58</f>
        <v>22726.922447033226</v>
      </c>
      <c r="S448" s="295">
        <f>'CAR Mileage'!S469*CAR!$I$58</f>
        <v>22726.922447033226</v>
      </c>
      <c r="T448" s="295">
        <f>'CAR Mileage'!T469*CAR!$I$58</f>
        <v>22726.922447033226</v>
      </c>
      <c r="U448" s="295">
        <f>'CAR Mileage'!U469*CAR!$I$58</f>
        <v>22726.922447033226</v>
      </c>
      <c r="V448" s="295">
        <f>'CAR Mileage'!V469*CAR!$I$58</f>
        <v>22726.922447033226</v>
      </c>
      <c r="W448" s="295">
        <f>'CAR Mileage'!W469*CAR!$I$58</f>
        <v>22726.922447033226</v>
      </c>
      <c r="X448" s="295">
        <f>'CAR Mileage'!X469*CAR!$I$58</f>
        <v>22726.922447033226</v>
      </c>
      <c r="Y448" s="295">
        <f>'CAR Mileage'!Y469*CAR!$I$58</f>
        <v>22726.922447033226</v>
      </c>
      <c r="Z448" s="295">
        <f>'CAR Mileage'!Z469*CAR!$I$58</f>
        <v>22726.922447033226</v>
      </c>
      <c r="AA448" s="295">
        <f>'CAR Mileage'!AA469*CAR!$I$58</f>
        <v>22726.922447033226</v>
      </c>
      <c r="AB448" s="295">
        <f>'CAR Mileage'!AB469*CAR!$I$58</f>
        <v>22726.922447033226</v>
      </c>
      <c r="AC448" s="295">
        <f>'CAR Mileage'!AC469*CAR!$I$58</f>
        <v>22726.922447033226</v>
      </c>
      <c r="AD448" s="295">
        <f>'CAR Mileage'!AD469*CAR!$I$58</f>
        <v>22726.922447033226</v>
      </c>
      <c r="AE448" s="296">
        <f>'CAR Mileage'!AE469*CAR!$I$58</f>
        <v>22726.922447033226</v>
      </c>
      <c r="AG448" s="1711"/>
      <c r="AH448" s="116">
        <v>10</v>
      </c>
      <c r="AI448" s="294">
        <f>'CAR Passenger Kilometres'!C448*'CAR Stock'!C498</f>
        <v>386357.68159956485</v>
      </c>
      <c r="AJ448" s="295">
        <f>'CAR Passenger Kilometres'!D448*'CAR Stock'!D498</f>
        <v>80212.695529774472</v>
      </c>
      <c r="AK448" s="295">
        <f>'CAR Passenger Kilometres'!E448*'CAR Stock'!E498</f>
        <v>0</v>
      </c>
      <c r="AL448" s="295">
        <f>'CAR Passenger Kilometres'!F448*'CAR Stock'!F498</f>
        <v>819467.55629209196</v>
      </c>
      <c r="AM448" s="295">
        <f>'CAR Passenger Kilometres'!G448*'CAR Stock'!G498</f>
        <v>5053383.2638012338</v>
      </c>
      <c r="AN448" s="295">
        <f>'CAR Passenger Kilometres'!H448*'CAR Stock'!H498</f>
        <v>8253208.9597989265</v>
      </c>
      <c r="AO448" s="295">
        <f>'CAR Passenger Kilometres'!I448*'CAR Stock'!I498</f>
        <v>7082541.0222387956</v>
      </c>
      <c r="AP448" s="295">
        <f>'CAR Passenger Kilometres'!J448*'CAR Stock'!J498</f>
        <v>858489.82087742968</v>
      </c>
      <c r="AQ448" s="295">
        <f>'CAR Passenger Kilometres'!K448*'CAR Stock'!K498</f>
        <v>3531514.9449730632</v>
      </c>
      <c r="AR448" s="295">
        <f>'CAR Passenger Kilometres'!L448*'CAR Stock'!L498</f>
        <v>2653513.9918029644</v>
      </c>
      <c r="AS448" s="295">
        <f>'CAR Passenger Kilometres'!M448*'CAR Stock'!M498</f>
        <v>1853557.5678035412</v>
      </c>
      <c r="AT448" s="295">
        <f>'CAR Passenger Kilometres'!N448*'CAR Stock'!N498</f>
        <v>0</v>
      </c>
      <c r="AU448" s="295">
        <f>'CAR Passenger Kilometres'!O448*'CAR Stock'!O498</f>
        <v>0</v>
      </c>
      <c r="AV448" s="295">
        <f>'CAR Passenger Kilometres'!P448*'CAR Stock'!P498</f>
        <v>0</v>
      </c>
      <c r="AW448" s="295">
        <f>'CAR Passenger Kilometres'!Q448*'CAR Stock'!Q498</f>
        <v>0</v>
      </c>
      <c r="AX448" s="295">
        <f>'CAR Passenger Kilometres'!R448*'CAR Stock'!R498</f>
        <v>0</v>
      </c>
      <c r="AY448" s="295">
        <f>'CAR Passenger Kilometres'!S448*'CAR Stock'!S498</f>
        <v>0</v>
      </c>
      <c r="AZ448" s="295">
        <f>'CAR Passenger Kilometres'!T448*'CAR Stock'!T498</f>
        <v>0</v>
      </c>
      <c r="BA448" s="295">
        <f>'CAR Passenger Kilometres'!U448*'CAR Stock'!U498</f>
        <v>0</v>
      </c>
      <c r="BB448" s="295">
        <f>'CAR Passenger Kilometres'!V448*'CAR Stock'!V498</f>
        <v>0</v>
      </c>
      <c r="BC448" s="295">
        <f>'CAR Passenger Kilometres'!W448*'CAR Stock'!W498</f>
        <v>0</v>
      </c>
      <c r="BD448" s="295">
        <f>'CAR Passenger Kilometres'!X448*'CAR Stock'!X498</f>
        <v>0</v>
      </c>
      <c r="BE448" s="295">
        <f>'CAR Passenger Kilometres'!Y448*'CAR Stock'!Y498</f>
        <v>0</v>
      </c>
      <c r="BF448" s="295">
        <f>'CAR Passenger Kilometres'!Z448*'CAR Stock'!Z498</f>
        <v>0</v>
      </c>
      <c r="BG448" s="295">
        <f>'CAR Passenger Kilometres'!AA448*'CAR Stock'!AA498</f>
        <v>0</v>
      </c>
      <c r="BH448" s="295">
        <f>'CAR Passenger Kilometres'!AB448*'CAR Stock'!AB498</f>
        <v>0</v>
      </c>
      <c r="BI448" s="295">
        <f>'CAR Passenger Kilometres'!AC448*'CAR Stock'!AC498</f>
        <v>0</v>
      </c>
      <c r="BJ448" s="295">
        <f>'CAR Passenger Kilometres'!AD448*'CAR Stock'!AD498</f>
        <v>0</v>
      </c>
      <c r="BK448" s="296">
        <f>'CAR Passenger Kilometres'!AE448*'CAR Stock'!AE498</f>
        <v>0</v>
      </c>
    </row>
    <row r="449" spans="1:63">
      <c r="A449" s="1711"/>
      <c r="B449" s="116">
        <v>11</v>
      </c>
      <c r="C449" s="294">
        <f>'CAR Mileage'!C470*CAR!$I$58</f>
        <v>22272.383998092562</v>
      </c>
      <c r="D449" s="295">
        <f>'CAR Mileage'!D470*CAR!$I$58</f>
        <v>22272.383998092562</v>
      </c>
      <c r="E449" s="295">
        <f>'CAR Mileage'!E470*CAR!$I$58</f>
        <v>22272.383998092562</v>
      </c>
      <c r="F449" s="295">
        <f>'CAR Mileage'!F470*CAR!$I$58</f>
        <v>22272.383998092562</v>
      </c>
      <c r="G449" s="295">
        <f>'CAR Mileage'!G470*CAR!$I$58</f>
        <v>22272.383998092562</v>
      </c>
      <c r="H449" s="295">
        <f>'CAR Mileage'!H470*CAR!$I$58</f>
        <v>22272.383998092562</v>
      </c>
      <c r="I449" s="295">
        <f>'CAR Mileage'!I470*CAR!$I$58</f>
        <v>22272.383998092562</v>
      </c>
      <c r="J449" s="295">
        <f>'CAR Mileage'!J470*CAR!$I$58</f>
        <v>22272.383998092562</v>
      </c>
      <c r="K449" s="295">
        <f>'CAR Mileage'!K470*CAR!$I$58</f>
        <v>22272.383998092562</v>
      </c>
      <c r="L449" s="295">
        <f>'CAR Mileage'!L470*CAR!$I$58</f>
        <v>22272.383998092562</v>
      </c>
      <c r="M449" s="295">
        <f>'CAR Mileage'!M470*CAR!$I$58</f>
        <v>22272.383998092562</v>
      </c>
      <c r="N449" s="295">
        <f>'CAR Mileage'!N470*CAR!$I$58</f>
        <v>22272.383998092562</v>
      </c>
      <c r="O449" s="295">
        <f>'CAR Mileage'!O470*CAR!$I$58</f>
        <v>22272.383998092562</v>
      </c>
      <c r="P449" s="295">
        <f>'CAR Mileage'!P470*CAR!$I$58</f>
        <v>22272.383998092562</v>
      </c>
      <c r="Q449" s="295">
        <f>'CAR Mileage'!Q470*CAR!$I$58</f>
        <v>22272.383998092562</v>
      </c>
      <c r="R449" s="295">
        <f>'CAR Mileage'!R470*CAR!$I$58</f>
        <v>22272.383998092562</v>
      </c>
      <c r="S449" s="295">
        <f>'CAR Mileage'!S470*CAR!$I$58</f>
        <v>22272.383998092562</v>
      </c>
      <c r="T449" s="295">
        <f>'CAR Mileage'!T470*CAR!$I$58</f>
        <v>22272.383998092562</v>
      </c>
      <c r="U449" s="295">
        <f>'CAR Mileage'!U470*CAR!$I$58</f>
        <v>22272.383998092562</v>
      </c>
      <c r="V449" s="295">
        <f>'CAR Mileage'!V470*CAR!$I$58</f>
        <v>22272.383998092562</v>
      </c>
      <c r="W449" s="295">
        <f>'CAR Mileage'!W470*CAR!$I$58</f>
        <v>22272.383998092562</v>
      </c>
      <c r="X449" s="295">
        <f>'CAR Mileage'!X470*CAR!$I$58</f>
        <v>22272.383998092562</v>
      </c>
      <c r="Y449" s="295">
        <f>'CAR Mileage'!Y470*CAR!$I$58</f>
        <v>22272.383998092562</v>
      </c>
      <c r="Z449" s="295">
        <f>'CAR Mileage'!Z470*CAR!$I$58</f>
        <v>22272.383998092562</v>
      </c>
      <c r="AA449" s="295">
        <f>'CAR Mileage'!AA470*CAR!$I$58</f>
        <v>22272.383998092562</v>
      </c>
      <c r="AB449" s="295">
        <f>'CAR Mileage'!AB470*CAR!$I$58</f>
        <v>22272.383998092562</v>
      </c>
      <c r="AC449" s="295">
        <f>'CAR Mileage'!AC470*CAR!$I$58</f>
        <v>22272.383998092562</v>
      </c>
      <c r="AD449" s="295">
        <f>'CAR Mileage'!AD470*CAR!$I$58</f>
        <v>22272.383998092562</v>
      </c>
      <c r="AE449" s="296">
        <f>'CAR Mileage'!AE470*CAR!$I$58</f>
        <v>22272.383998092562</v>
      </c>
      <c r="AG449" s="1711"/>
      <c r="AH449" s="116">
        <v>11</v>
      </c>
      <c r="AI449" s="294">
        <f>'CAR Passenger Kilometres'!C449*'CAR Stock'!C499</f>
        <v>44544.767996185125</v>
      </c>
      <c r="AJ449" s="295">
        <f>'CAR Passenger Kilometres'!D449*'CAR Stock'!D499</f>
        <v>290228.83117860963</v>
      </c>
      <c r="AK449" s="295">
        <f>'CAR Passenger Kilometres'!E449*'CAR Stock'!E499</f>
        <v>60255.141745623172</v>
      </c>
      <c r="AL449" s="295">
        <f>'CAR Passenger Kilometres'!F449*'CAR Stock'!F499</f>
        <v>0</v>
      </c>
      <c r="AM449" s="295">
        <f>'CAR Passenger Kilometres'!G449*'CAR Stock'!G499</f>
        <v>615577.53961766488</v>
      </c>
      <c r="AN449" s="295">
        <f>'CAR Passenger Kilometres'!H449*'CAR Stock'!H499</f>
        <v>3796061.4943089336</v>
      </c>
      <c r="AO449" s="295">
        <f>'CAR Passenger Kilometres'!I449*'CAR Stock'!I499</f>
        <v>6199745.220435055</v>
      </c>
      <c r="AP449" s="295">
        <f>'CAR Passenger Kilometres'!J449*'CAR Stock'!J499</f>
        <v>5320348.7352669612</v>
      </c>
      <c r="AQ449" s="295">
        <f>'CAR Passenger Kilometres'!K449*'CAR Stock'!K499</f>
        <v>644890.75578993466</v>
      </c>
      <c r="AR449" s="295">
        <f>'CAR Passenger Kilometres'!L449*'CAR Stock'!L499</f>
        <v>2652846.0635904134</v>
      </c>
      <c r="AS449" s="295">
        <f>'CAR Passenger Kilometres'!M449*'CAR Stock'!M499</f>
        <v>1993298.6997143435</v>
      </c>
      <c r="AT449" s="295">
        <f>'CAR Passenger Kilometres'!N449*'CAR Stock'!N499</f>
        <v>1392377.7681828134</v>
      </c>
      <c r="AU449" s="295">
        <f>'CAR Passenger Kilometres'!O449*'CAR Stock'!O499</f>
        <v>0</v>
      </c>
      <c r="AV449" s="295">
        <f>'CAR Passenger Kilometres'!P449*'CAR Stock'!P499</f>
        <v>0</v>
      </c>
      <c r="AW449" s="295">
        <f>'CAR Passenger Kilometres'!Q449*'CAR Stock'!Q499</f>
        <v>0</v>
      </c>
      <c r="AX449" s="295">
        <f>'CAR Passenger Kilometres'!R449*'CAR Stock'!R499</f>
        <v>0</v>
      </c>
      <c r="AY449" s="295">
        <f>'CAR Passenger Kilometres'!S449*'CAR Stock'!S499</f>
        <v>0</v>
      </c>
      <c r="AZ449" s="295">
        <f>'CAR Passenger Kilometres'!T449*'CAR Stock'!T499</f>
        <v>0</v>
      </c>
      <c r="BA449" s="295">
        <f>'CAR Passenger Kilometres'!U449*'CAR Stock'!U499</f>
        <v>0</v>
      </c>
      <c r="BB449" s="295">
        <f>'CAR Passenger Kilometres'!V449*'CAR Stock'!V499</f>
        <v>0</v>
      </c>
      <c r="BC449" s="295">
        <f>'CAR Passenger Kilometres'!W449*'CAR Stock'!W499</f>
        <v>0</v>
      </c>
      <c r="BD449" s="295">
        <f>'CAR Passenger Kilometres'!X449*'CAR Stock'!X499</f>
        <v>0</v>
      </c>
      <c r="BE449" s="295">
        <f>'CAR Passenger Kilometres'!Y449*'CAR Stock'!Y499</f>
        <v>0</v>
      </c>
      <c r="BF449" s="295">
        <f>'CAR Passenger Kilometres'!Z449*'CAR Stock'!Z499</f>
        <v>0</v>
      </c>
      <c r="BG449" s="295">
        <f>'CAR Passenger Kilometres'!AA449*'CAR Stock'!AA499</f>
        <v>0</v>
      </c>
      <c r="BH449" s="295">
        <f>'CAR Passenger Kilometres'!AB449*'CAR Stock'!AB499</f>
        <v>0</v>
      </c>
      <c r="BI449" s="295">
        <f>'CAR Passenger Kilometres'!AC449*'CAR Stock'!AC499</f>
        <v>0</v>
      </c>
      <c r="BJ449" s="295">
        <f>'CAR Passenger Kilometres'!AD449*'CAR Stock'!AD499</f>
        <v>0</v>
      </c>
      <c r="BK449" s="296">
        <f>'CAR Passenger Kilometres'!AE449*'CAR Stock'!AE499</f>
        <v>0</v>
      </c>
    </row>
    <row r="450" spans="1:63">
      <c r="A450" s="1711"/>
      <c r="B450" s="116">
        <v>12</v>
      </c>
      <c r="C450" s="294">
        <f>'CAR Mileage'!C471*CAR!$I$58</f>
        <v>21826.936318130713</v>
      </c>
      <c r="D450" s="295">
        <f>'CAR Mileage'!D471*CAR!$I$58</f>
        <v>21826.936318130713</v>
      </c>
      <c r="E450" s="295">
        <f>'CAR Mileage'!E471*CAR!$I$58</f>
        <v>21826.936318130713</v>
      </c>
      <c r="F450" s="295">
        <f>'CAR Mileage'!F471*CAR!$I$58</f>
        <v>21826.936318130713</v>
      </c>
      <c r="G450" s="295">
        <f>'CAR Mileage'!G471*CAR!$I$58</f>
        <v>21826.936318130713</v>
      </c>
      <c r="H450" s="295">
        <f>'CAR Mileage'!H471*CAR!$I$58</f>
        <v>21826.936318130713</v>
      </c>
      <c r="I450" s="295">
        <f>'CAR Mileage'!I471*CAR!$I$58</f>
        <v>21826.936318130713</v>
      </c>
      <c r="J450" s="295">
        <f>'CAR Mileage'!J471*CAR!$I$58</f>
        <v>21826.936318130713</v>
      </c>
      <c r="K450" s="295">
        <f>'CAR Mileage'!K471*CAR!$I$58</f>
        <v>21826.936318130713</v>
      </c>
      <c r="L450" s="295">
        <f>'CAR Mileage'!L471*CAR!$I$58</f>
        <v>21826.936318130713</v>
      </c>
      <c r="M450" s="295">
        <f>'CAR Mileage'!M471*CAR!$I$58</f>
        <v>21826.936318130713</v>
      </c>
      <c r="N450" s="295">
        <f>'CAR Mileage'!N471*CAR!$I$58</f>
        <v>21826.936318130713</v>
      </c>
      <c r="O450" s="295">
        <f>'CAR Mileage'!O471*CAR!$I$58</f>
        <v>21826.936318130713</v>
      </c>
      <c r="P450" s="295">
        <f>'CAR Mileage'!P471*CAR!$I$58</f>
        <v>21826.936318130713</v>
      </c>
      <c r="Q450" s="295">
        <f>'CAR Mileage'!Q471*CAR!$I$58</f>
        <v>21826.936318130713</v>
      </c>
      <c r="R450" s="295">
        <f>'CAR Mileage'!R471*CAR!$I$58</f>
        <v>21826.936318130713</v>
      </c>
      <c r="S450" s="295">
        <f>'CAR Mileage'!S471*CAR!$I$58</f>
        <v>21826.936318130713</v>
      </c>
      <c r="T450" s="295">
        <f>'CAR Mileage'!T471*CAR!$I$58</f>
        <v>21826.936318130713</v>
      </c>
      <c r="U450" s="295">
        <f>'CAR Mileage'!U471*CAR!$I$58</f>
        <v>21826.936318130713</v>
      </c>
      <c r="V450" s="295">
        <f>'CAR Mileage'!V471*CAR!$I$58</f>
        <v>21826.936318130713</v>
      </c>
      <c r="W450" s="295">
        <f>'CAR Mileage'!W471*CAR!$I$58</f>
        <v>21826.936318130713</v>
      </c>
      <c r="X450" s="295">
        <f>'CAR Mileage'!X471*CAR!$I$58</f>
        <v>21826.936318130713</v>
      </c>
      <c r="Y450" s="295">
        <f>'CAR Mileage'!Y471*CAR!$I$58</f>
        <v>21826.936318130713</v>
      </c>
      <c r="Z450" s="295">
        <f>'CAR Mileage'!Z471*CAR!$I$58</f>
        <v>21826.936318130713</v>
      </c>
      <c r="AA450" s="295">
        <f>'CAR Mileage'!AA471*CAR!$I$58</f>
        <v>21826.936318130713</v>
      </c>
      <c r="AB450" s="295">
        <f>'CAR Mileage'!AB471*CAR!$I$58</f>
        <v>21826.936318130713</v>
      </c>
      <c r="AC450" s="295">
        <f>'CAR Mileage'!AC471*CAR!$I$58</f>
        <v>21826.936318130713</v>
      </c>
      <c r="AD450" s="295">
        <f>'CAR Mileage'!AD471*CAR!$I$58</f>
        <v>21826.936318130713</v>
      </c>
      <c r="AE450" s="296">
        <f>'CAR Mileage'!AE471*CAR!$I$58</f>
        <v>21826.936318130713</v>
      </c>
      <c r="AG450" s="1711"/>
      <c r="AH450" s="116">
        <v>12</v>
      </c>
      <c r="AI450" s="294">
        <f>'CAR Passenger Kilometres'!C450*'CAR Stock'!C500</f>
        <v>0</v>
      </c>
      <c r="AJ450" s="295">
        <f>'CAR Passenger Kilometres'!D450*'CAR Stock'!D500</f>
        <v>27758.596427695134</v>
      </c>
      <c r="AK450" s="295">
        <f>'CAR Passenger Kilometres'!E450*'CAR Stock'!E500</f>
        <v>180859.51187485459</v>
      </c>
      <c r="AL450" s="295">
        <f>'CAR Passenger Kilometres'!F450*'CAR Stock'!F500</f>
        <v>37548.700726279749</v>
      </c>
      <c r="AM450" s="295">
        <f>'CAR Passenger Kilometres'!G450*'CAR Stock'!G500</f>
        <v>0</v>
      </c>
      <c r="AN450" s="295">
        <f>'CAR Passenger Kilometres'!H450*'CAR Stock'!H500</f>
        <v>383604.38859314914</v>
      </c>
      <c r="AO450" s="295">
        <f>'CAR Passenger Kilometres'!I450*'CAR Stock'!I500</f>
        <v>2365560.3963244199</v>
      </c>
      <c r="AP450" s="295">
        <f>'CAR Passenger Kilometres'!J450*'CAR Stock'!J500</f>
        <v>3863444.1994024315</v>
      </c>
      <c r="AQ450" s="295">
        <f>'CAR Passenger Kilometres'!K450*'CAR Stock'!K500</f>
        <v>3315437.9299836466</v>
      </c>
      <c r="AR450" s="295">
        <f>'CAR Passenger Kilometres'!L450*'CAR Stock'!L500</f>
        <v>401871.26424044202</v>
      </c>
      <c r="AS450" s="295">
        <f>'CAR Passenger Kilometres'!M450*'CAR Stock'!M500</f>
        <v>1653152.2460800002</v>
      </c>
      <c r="AT450" s="295">
        <f>'CAR Passenger Kilometres'!N450*'CAR Stock'!N500</f>
        <v>1242147.5440159116</v>
      </c>
      <c r="AU450" s="295">
        <f>'CAR Passenger Kilometres'!O450*'CAR Stock'!O500</f>
        <v>867676.59324640874</v>
      </c>
      <c r="AV450" s="295">
        <f>'CAR Passenger Kilometres'!P450*'CAR Stock'!P500</f>
        <v>0</v>
      </c>
      <c r="AW450" s="295">
        <f>'CAR Passenger Kilometres'!Q450*'CAR Stock'!Q500</f>
        <v>0</v>
      </c>
      <c r="AX450" s="295">
        <f>'CAR Passenger Kilometres'!R450*'CAR Stock'!R500</f>
        <v>0</v>
      </c>
      <c r="AY450" s="295">
        <f>'CAR Passenger Kilometres'!S450*'CAR Stock'!S500</f>
        <v>0</v>
      </c>
      <c r="AZ450" s="295">
        <f>'CAR Passenger Kilometres'!T450*'CAR Stock'!T500</f>
        <v>0</v>
      </c>
      <c r="BA450" s="295">
        <f>'CAR Passenger Kilometres'!U450*'CAR Stock'!U500</f>
        <v>0</v>
      </c>
      <c r="BB450" s="295">
        <f>'CAR Passenger Kilometres'!V450*'CAR Stock'!V500</f>
        <v>0</v>
      </c>
      <c r="BC450" s="295">
        <f>'CAR Passenger Kilometres'!W450*'CAR Stock'!W500</f>
        <v>0</v>
      </c>
      <c r="BD450" s="295">
        <f>'CAR Passenger Kilometres'!X450*'CAR Stock'!X500</f>
        <v>0</v>
      </c>
      <c r="BE450" s="295">
        <f>'CAR Passenger Kilometres'!Y450*'CAR Stock'!Y500</f>
        <v>0</v>
      </c>
      <c r="BF450" s="295">
        <f>'CAR Passenger Kilometres'!Z450*'CAR Stock'!Z500</f>
        <v>0</v>
      </c>
      <c r="BG450" s="295">
        <f>'CAR Passenger Kilometres'!AA450*'CAR Stock'!AA500</f>
        <v>0</v>
      </c>
      <c r="BH450" s="295">
        <f>'CAR Passenger Kilometres'!AB450*'CAR Stock'!AB500</f>
        <v>0</v>
      </c>
      <c r="BI450" s="295">
        <f>'CAR Passenger Kilometres'!AC450*'CAR Stock'!AC500</f>
        <v>0</v>
      </c>
      <c r="BJ450" s="295">
        <f>'CAR Passenger Kilometres'!AD450*'CAR Stock'!AD500</f>
        <v>0</v>
      </c>
      <c r="BK450" s="296">
        <f>'CAR Passenger Kilometres'!AE450*'CAR Stock'!AE500</f>
        <v>0</v>
      </c>
    </row>
    <row r="451" spans="1:63">
      <c r="A451" s="1711"/>
      <c r="B451" s="116">
        <v>13</v>
      </c>
      <c r="C451" s="294">
        <f>'CAR Mileage'!C472*CAR!$I$58</f>
        <v>21390.397591768098</v>
      </c>
      <c r="D451" s="295">
        <f>'CAR Mileage'!D472*CAR!$I$58</f>
        <v>21390.397591768098</v>
      </c>
      <c r="E451" s="295">
        <f>'CAR Mileage'!E472*CAR!$I$58</f>
        <v>21390.397591768098</v>
      </c>
      <c r="F451" s="295">
        <f>'CAR Mileage'!F472*CAR!$I$58</f>
        <v>21390.397591768098</v>
      </c>
      <c r="G451" s="295">
        <f>'CAR Mileage'!G472*CAR!$I$58</f>
        <v>21390.397591768098</v>
      </c>
      <c r="H451" s="295">
        <f>'CAR Mileage'!H472*CAR!$I$58</f>
        <v>21390.397591768098</v>
      </c>
      <c r="I451" s="295">
        <f>'CAR Mileage'!I472*CAR!$I$58</f>
        <v>21390.397591768098</v>
      </c>
      <c r="J451" s="295">
        <f>'CAR Mileage'!J472*CAR!$I$58</f>
        <v>21390.397591768098</v>
      </c>
      <c r="K451" s="295">
        <f>'CAR Mileage'!K472*CAR!$I$58</f>
        <v>21390.397591768098</v>
      </c>
      <c r="L451" s="295">
        <f>'CAR Mileage'!L472*CAR!$I$58</f>
        <v>21390.397591768098</v>
      </c>
      <c r="M451" s="295">
        <f>'CAR Mileage'!M472*CAR!$I$58</f>
        <v>21390.397591768098</v>
      </c>
      <c r="N451" s="295">
        <f>'CAR Mileage'!N472*CAR!$I$58</f>
        <v>21390.397591768098</v>
      </c>
      <c r="O451" s="295">
        <f>'CAR Mileage'!O472*CAR!$I$58</f>
        <v>21390.397591768098</v>
      </c>
      <c r="P451" s="295">
        <f>'CAR Mileage'!P472*CAR!$I$58</f>
        <v>21390.397591768098</v>
      </c>
      <c r="Q451" s="295">
        <f>'CAR Mileage'!Q472*CAR!$I$58</f>
        <v>21390.397591768098</v>
      </c>
      <c r="R451" s="295">
        <f>'CAR Mileage'!R472*CAR!$I$58</f>
        <v>21390.397591768098</v>
      </c>
      <c r="S451" s="295">
        <f>'CAR Mileage'!S472*CAR!$I$58</f>
        <v>21390.397591768098</v>
      </c>
      <c r="T451" s="295">
        <f>'CAR Mileage'!T472*CAR!$I$58</f>
        <v>21390.397591768098</v>
      </c>
      <c r="U451" s="295">
        <f>'CAR Mileage'!U472*CAR!$I$58</f>
        <v>21390.397591768098</v>
      </c>
      <c r="V451" s="295">
        <f>'CAR Mileage'!V472*CAR!$I$58</f>
        <v>21390.397591768098</v>
      </c>
      <c r="W451" s="295">
        <f>'CAR Mileage'!W472*CAR!$I$58</f>
        <v>21390.397591768098</v>
      </c>
      <c r="X451" s="295">
        <f>'CAR Mileage'!X472*CAR!$I$58</f>
        <v>21390.397591768098</v>
      </c>
      <c r="Y451" s="295">
        <f>'CAR Mileage'!Y472*CAR!$I$58</f>
        <v>21390.397591768098</v>
      </c>
      <c r="Z451" s="295">
        <f>'CAR Mileage'!Z472*CAR!$I$58</f>
        <v>21390.397591768098</v>
      </c>
      <c r="AA451" s="295">
        <f>'CAR Mileage'!AA472*CAR!$I$58</f>
        <v>21390.397591768098</v>
      </c>
      <c r="AB451" s="295">
        <f>'CAR Mileage'!AB472*CAR!$I$58</f>
        <v>21390.397591768098</v>
      </c>
      <c r="AC451" s="295">
        <f>'CAR Mileage'!AC472*CAR!$I$58</f>
        <v>21390.397591768098</v>
      </c>
      <c r="AD451" s="295">
        <f>'CAR Mileage'!AD472*CAR!$I$58</f>
        <v>21390.397591768098</v>
      </c>
      <c r="AE451" s="296">
        <f>'CAR Mileage'!AE472*CAR!$I$58</f>
        <v>21390.397591768098</v>
      </c>
      <c r="AG451" s="1711"/>
      <c r="AH451" s="116">
        <v>13</v>
      </c>
      <c r="AI451" s="294">
        <f>'CAR Passenger Kilometres'!C451*'CAR Stock'!C501</f>
        <v>0</v>
      </c>
      <c r="AJ451" s="295">
        <f>'CAR Passenger Kilometres'!D451*'CAR Stock'!D501</f>
        <v>0</v>
      </c>
      <c r="AK451" s="295">
        <f>'CAR Passenger Kilometres'!E451*'CAR Stock'!E501</f>
        <v>13955.043151517484</v>
      </c>
      <c r="AL451" s="295">
        <f>'CAR Passenger Kilometres'!F451*'CAR Stock'!F501</f>
        <v>90923.267649723566</v>
      </c>
      <c r="AM451" s="295">
        <f>'CAR Passenger Kilometres'!G451*'CAR Stock'!G501</f>
        <v>18876.809578017928</v>
      </c>
      <c r="AN451" s="295">
        <f>'CAR Passenger Kilometres'!H451*'CAR Stock'!H501</f>
        <v>0</v>
      </c>
      <c r="AO451" s="295">
        <f>'CAR Passenger Kilometres'!I451*'CAR Stock'!I501</f>
        <v>192848.93636004956</v>
      </c>
      <c r="AP451" s="295">
        <f>'CAR Passenger Kilometres'!J451*'CAR Stock'!J501</f>
        <v>1189235.1075536388</v>
      </c>
      <c r="AQ451" s="295">
        <f>'CAR Passenger Kilometres'!K451*'CAR Stock'!K501</f>
        <v>1942264.2876262136</v>
      </c>
      <c r="AR451" s="295">
        <f>'CAR Passenger Kilometres'!L451*'CAR Stock'!L501</f>
        <v>1666765.807111857</v>
      </c>
      <c r="AS451" s="295">
        <f>'CAR Passenger Kilometres'!M451*'CAR Stock'!M501</f>
        <v>202032.21904386146</v>
      </c>
      <c r="AT451" s="295">
        <f>'CAR Passenger Kilometres'!N451*'CAR Stock'!N501</f>
        <v>831087.08288497559</v>
      </c>
      <c r="AU451" s="295">
        <f>'CAR Passenger Kilometres'!O451*'CAR Stock'!O501</f>
        <v>624463.22249920818</v>
      </c>
      <c r="AV451" s="295">
        <f>'CAR Passenger Kilometres'!P451*'CAR Stock'!P501</f>
        <v>436205.9274810644</v>
      </c>
      <c r="AW451" s="295">
        <f>'CAR Passenger Kilometres'!Q451*'CAR Stock'!Q501</f>
        <v>0</v>
      </c>
      <c r="AX451" s="295">
        <f>'CAR Passenger Kilometres'!R451*'CAR Stock'!R501</f>
        <v>0</v>
      </c>
      <c r="AY451" s="295">
        <f>'CAR Passenger Kilometres'!S451*'CAR Stock'!S501</f>
        <v>0</v>
      </c>
      <c r="AZ451" s="295">
        <f>'CAR Passenger Kilometres'!T451*'CAR Stock'!T501</f>
        <v>0</v>
      </c>
      <c r="BA451" s="295">
        <f>'CAR Passenger Kilometres'!U451*'CAR Stock'!U501</f>
        <v>0</v>
      </c>
      <c r="BB451" s="295">
        <f>'CAR Passenger Kilometres'!V451*'CAR Stock'!V501</f>
        <v>0</v>
      </c>
      <c r="BC451" s="295">
        <f>'CAR Passenger Kilometres'!W451*'CAR Stock'!W501</f>
        <v>0</v>
      </c>
      <c r="BD451" s="295">
        <f>'CAR Passenger Kilometres'!X451*'CAR Stock'!X501</f>
        <v>0</v>
      </c>
      <c r="BE451" s="295">
        <f>'CAR Passenger Kilometres'!Y451*'CAR Stock'!Y501</f>
        <v>0</v>
      </c>
      <c r="BF451" s="295">
        <f>'CAR Passenger Kilometres'!Z451*'CAR Stock'!Z501</f>
        <v>0</v>
      </c>
      <c r="BG451" s="295">
        <f>'CAR Passenger Kilometres'!AA451*'CAR Stock'!AA501</f>
        <v>0</v>
      </c>
      <c r="BH451" s="295">
        <f>'CAR Passenger Kilometres'!AB451*'CAR Stock'!AB501</f>
        <v>0</v>
      </c>
      <c r="BI451" s="295">
        <f>'CAR Passenger Kilometres'!AC451*'CAR Stock'!AC501</f>
        <v>0</v>
      </c>
      <c r="BJ451" s="295">
        <f>'CAR Passenger Kilometres'!AD451*'CAR Stock'!AD501</f>
        <v>0</v>
      </c>
      <c r="BK451" s="296">
        <f>'CAR Passenger Kilometres'!AE451*'CAR Stock'!AE501</f>
        <v>0</v>
      </c>
    </row>
    <row r="452" spans="1:63">
      <c r="A452" s="1711"/>
      <c r="B452" s="116">
        <v>14</v>
      </c>
      <c r="C452" s="294">
        <f>'CAR Mileage'!C473*CAR!$I$58</f>
        <v>20962.589639932736</v>
      </c>
      <c r="D452" s="295">
        <f>'CAR Mileage'!D473*CAR!$I$58</f>
        <v>20962.589639932736</v>
      </c>
      <c r="E452" s="295">
        <f>'CAR Mileage'!E473*CAR!$I$58</f>
        <v>20962.589639932736</v>
      </c>
      <c r="F452" s="295">
        <f>'CAR Mileage'!F473*CAR!$I$58</f>
        <v>20962.589639932736</v>
      </c>
      <c r="G452" s="295">
        <f>'CAR Mileage'!G473*CAR!$I$58</f>
        <v>20962.589639932736</v>
      </c>
      <c r="H452" s="295">
        <f>'CAR Mileage'!H473*CAR!$I$58</f>
        <v>20962.589639932736</v>
      </c>
      <c r="I452" s="295">
        <f>'CAR Mileage'!I473*CAR!$I$58</f>
        <v>20962.589639932736</v>
      </c>
      <c r="J452" s="295">
        <f>'CAR Mileage'!J473*CAR!$I$58</f>
        <v>20962.589639932736</v>
      </c>
      <c r="K452" s="295">
        <f>'CAR Mileage'!K473*CAR!$I$58</f>
        <v>20962.589639932736</v>
      </c>
      <c r="L452" s="295">
        <f>'CAR Mileage'!L473*CAR!$I$58</f>
        <v>20962.589639932736</v>
      </c>
      <c r="M452" s="295">
        <f>'CAR Mileage'!M473*CAR!$I$58</f>
        <v>20962.589639932736</v>
      </c>
      <c r="N452" s="295">
        <f>'CAR Mileage'!N473*CAR!$I$58</f>
        <v>20962.589639932736</v>
      </c>
      <c r="O452" s="295">
        <f>'CAR Mileage'!O473*CAR!$I$58</f>
        <v>20962.589639932736</v>
      </c>
      <c r="P452" s="295">
        <f>'CAR Mileage'!P473*CAR!$I$58</f>
        <v>20962.589639932736</v>
      </c>
      <c r="Q452" s="295">
        <f>'CAR Mileage'!Q473*CAR!$I$58</f>
        <v>20962.589639932736</v>
      </c>
      <c r="R452" s="295">
        <f>'CAR Mileage'!R473*CAR!$I$58</f>
        <v>20962.589639932736</v>
      </c>
      <c r="S452" s="295">
        <f>'CAR Mileage'!S473*CAR!$I$58</f>
        <v>20962.589639932736</v>
      </c>
      <c r="T452" s="295">
        <f>'CAR Mileage'!T473*CAR!$I$58</f>
        <v>20962.589639932736</v>
      </c>
      <c r="U452" s="295">
        <f>'CAR Mileage'!U473*CAR!$I$58</f>
        <v>20962.589639932736</v>
      </c>
      <c r="V452" s="295">
        <f>'CAR Mileage'!V473*CAR!$I$58</f>
        <v>20962.589639932736</v>
      </c>
      <c r="W452" s="295">
        <f>'CAR Mileage'!W473*CAR!$I$58</f>
        <v>20962.589639932736</v>
      </c>
      <c r="X452" s="295">
        <f>'CAR Mileage'!X473*CAR!$I$58</f>
        <v>20962.589639932736</v>
      </c>
      <c r="Y452" s="295">
        <f>'CAR Mileage'!Y473*CAR!$I$58</f>
        <v>20962.589639932736</v>
      </c>
      <c r="Z452" s="295">
        <f>'CAR Mileage'!Z473*CAR!$I$58</f>
        <v>20962.589639932736</v>
      </c>
      <c r="AA452" s="295">
        <f>'CAR Mileage'!AA473*CAR!$I$58</f>
        <v>20962.589639932736</v>
      </c>
      <c r="AB452" s="295">
        <f>'CAR Mileage'!AB473*CAR!$I$58</f>
        <v>20962.589639932736</v>
      </c>
      <c r="AC452" s="295">
        <f>'CAR Mileage'!AC473*CAR!$I$58</f>
        <v>20962.589639932736</v>
      </c>
      <c r="AD452" s="295">
        <f>'CAR Mileage'!AD473*CAR!$I$58</f>
        <v>20962.589639932736</v>
      </c>
      <c r="AE452" s="296">
        <f>'CAR Mileage'!AE473*CAR!$I$58</f>
        <v>20962.589639932736</v>
      </c>
      <c r="AG452" s="1711"/>
      <c r="AH452" s="116">
        <v>14</v>
      </c>
      <c r="AI452" s="294">
        <f>'CAR Passenger Kilometres'!C452*'CAR Stock'!C502</f>
        <v>0</v>
      </c>
      <c r="AJ452" s="295">
        <f>'CAR Passenger Kilometres'!D452*'CAR Stock'!D502</f>
        <v>0</v>
      </c>
      <c r="AK452" s="295">
        <f>'CAR Passenger Kilometres'!E452*'CAR Stock'!E502</f>
        <v>0</v>
      </c>
      <c r="AL452" s="295">
        <f>'CAR Passenger Kilometres'!F452*'CAR Stock'!F502</f>
        <v>5515.1097755676356</v>
      </c>
      <c r="AM452" s="295">
        <f>'CAR Passenger Kilometres'!G452*'CAR Stock'!G502</f>
        <v>35933.375253448408</v>
      </c>
      <c r="AN452" s="295">
        <f>'CAR Passenger Kilometres'!H452*'CAR Stock'!H502</f>
        <v>7460.2189262263</v>
      </c>
      <c r="AO452" s="295">
        <f>'CAR Passenger Kilometres'!I452*'CAR Stock'!I502</f>
        <v>0</v>
      </c>
      <c r="AP452" s="295">
        <f>'CAR Passenger Kilometres'!J452*'CAR Stock'!J502</f>
        <v>76214.959895088192</v>
      </c>
      <c r="AQ452" s="295">
        <f>'CAR Passenger Kilometres'!K452*'CAR Stock'!K502</f>
        <v>469992.25268637715</v>
      </c>
      <c r="AR452" s="295">
        <f>'CAR Passenger Kilometres'!L452*'CAR Stock'!L502</f>
        <v>767593.52465767402</v>
      </c>
      <c r="AS452" s="295">
        <f>'CAR Passenger Kilometres'!M452*'CAR Stock'!M502</f>
        <v>658715.01052183367</v>
      </c>
      <c r="AT452" s="295">
        <f>'CAR Passenger Kilometres'!N452*'CAR Stock'!N502</f>
        <v>79844.243699616214</v>
      </c>
      <c r="AU452" s="295">
        <f>'CAR Passenger Kilometres'!O452*'CAR Stock'!O502</f>
        <v>328450.18430978485</v>
      </c>
      <c r="AV452" s="295">
        <f>'CAR Passenger Kilometres'!P452*'CAR Stock'!P502</f>
        <v>246791.29870790464</v>
      </c>
      <c r="AW452" s="295">
        <f>'CAR Passenger Kilometres'!Q452*'CAR Stock'!Q502</f>
        <v>172390.98071508043</v>
      </c>
      <c r="AX452" s="295">
        <f>'CAR Passenger Kilometres'!R452*'CAR Stock'!R502</f>
        <v>0</v>
      </c>
      <c r="AY452" s="295">
        <f>'CAR Passenger Kilometres'!S452*'CAR Stock'!S502</f>
        <v>0</v>
      </c>
      <c r="AZ452" s="295">
        <f>'CAR Passenger Kilometres'!T452*'CAR Stock'!T502</f>
        <v>0</v>
      </c>
      <c r="BA452" s="295">
        <f>'CAR Passenger Kilometres'!U452*'CAR Stock'!U502</f>
        <v>0</v>
      </c>
      <c r="BB452" s="295">
        <f>'CAR Passenger Kilometres'!V452*'CAR Stock'!V502</f>
        <v>0</v>
      </c>
      <c r="BC452" s="295">
        <f>'CAR Passenger Kilometres'!W452*'CAR Stock'!W502</f>
        <v>0</v>
      </c>
      <c r="BD452" s="295">
        <f>'CAR Passenger Kilometres'!X452*'CAR Stock'!X502</f>
        <v>0</v>
      </c>
      <c r="BE452" s="295">
        <f>'CAR Passenger Kilometres'!Y452*'CAR Stock'!Y502</f>
        <v>0</v>
      </c>
      <c r="BF452" s="295">
        <f>'CAR Passenger Kilometres'!Z452*'CAR Stock'!Z502</f>
        <v>0</v>
      </c>
      <c r="BG452" s="295">
        <f>'CAR Passenger Kilometres'!AA452*'CAR Stock'!AA502</f>
        <v>0</v>
      </c>
      <c r="BH452" s="295">
        <f>'CAR Passenger Kilometres'!AB452*'CAR Stock'!AB502</f>
        <v>0</v>
      </c>
      <c r="BI452" s="295">
        <f>'CAR Passenger Kilometres'!AC452*'CAR Stock'!AC502</f>
        <v>0</v>
      </c>
      <c r="BJ452" s="295">
        <f>'CAR Passenger Kilometres'!AD452*'CAR Stock'!AD502</f>
        <v>0</v>
      </c>
      <c r="BK452" s="296">
        <f>'CAR Passenger Kilometres'!AE452*'CAR Stock'!AE502</f>
        <v>0</v>
      </c>
    </row>
    <row r="453" spans="1:63">
      <c r="A453" s="1711"/>
      <c r="B453" s="116">
        <v>15</v>
      </c>
      <c r="C453" s="294">
        <f>'CAR Mileage'!C474*CAR!$I$58</f>
        <v>20543.337847134077</v>
      </c>
      <c r="D453" s="295">
        <f>'CAR Mileage'!D474*CAR!$I$58</f>
        <v>20543.337847134077</v>
      </c>
      <c r="E453" s="295">
        <f>'CAR Mileage'!E474*CAR!$I$58</f>
        <v>20543.337847134077</v>
      </c>
      <c r="F453" s="295">
        <f>'CAR Mileage'!F474*CAR!$I$58</f>
        <v>20543.337847134077</v>
      </c>
      <c r="G453" s="295">
        <f>'CAR Mileage'!G474*CAR!$I$58</f>
        <v>20543.337847134077</v>
      </c>
      <c r="H453" s="295">
        <f>'CAR Mileage'!H474*CAR!$I$58</f>
        <v>20543.337847134077</v>
      </c>
      <c r="I453" s="295">
        <f>'CAR Mileage'!I474*CAR!$I$58</f>
        <v>20543.337847134077</v>
      </c>
      <c r="J453" s="295">
        <f>'CAR Mileage'!J474*CAR!$I$58</f>
        <v>20543.337847134077</v>
      </c>
      <c r="K453" s="295">
        <f>'CAR Mileage'!K474*CAR!$I$58</f>
        <v>20543.337847134077</v>
      </c>
      <c r="L453" s="295">
        <f>'CAR Mileage'!L474*CAR!$I$58</f>
        <v>20543.337847134077</v>
      </c>
      <c r="M453" s="295">
        <f>'CAR Mileage'!M474*CAR!$I$58</f>
        <v>20543.337847134077</v>
      </c>
      <c r="N453" s="295">
        <f>'CAR Mileage'!N474*CAR!$I$58</f>
        <v>20543.337847134077</v>
      </c>
      <c r="O453" s="295">
        <f>'CAR Mileage'!O474*CAR!$I$58</f>
        <v>20543.337847134077</v>
      </c>
      <c r="P453" s="295">
        <f>'CAR Mileage'!P474*CAR!$I$58</f>
        <v>20543.337847134077</v>
      </c>
      <c r="Q453" s="295">
        <f>'CAR Mileage'!Q474*CAR!$I$58</f>
        <v>20543.337847134077</v>
      </c>
      <c r="R453" s="295">
        <f>'CAR Mileage'!R474*CAR!$I$58</f>
        <v>20543.337847134077</v>
      </c>
      <c r="S453" s="295">
        <f>'CAR Mileage'!S474*CAR!$I$58</f>
        <v>20543.337847134077</v>
      </c>
      <c r="T453" s="295">
        <f>'CAR Mileage'!T474*CAR!$I$58</f>
        <v>20543.337847134077</v>
      </c>
      <c r="U453" s="295">
        <f>'CAR Mileage'!U474*CAR!$I$58</f>
        <v>20543.337847134077</v>
      </c>
      <c r="V453" s="295">
        <f>'CAR Mileage'!V474*CAR!$I$58</f>
        <v>20543.337847134077</v>
      </c>
      <c r="W453" s="295">
        <f>'CAR Mileage'!W474*CAR!$I$58</f>
        <v>20543.337847134077</v>
      </c>
      <c r="X453" s="295">
        <f>'CAR Mileage'!X474*CAR!$I$58</f>
        <v>20543.337847134077</v>
      </c>
      <c r="Y453" s="295">
        <f>'CAR Mileage'!Y474*CAR!$I$58</f>
        <v>20543.337847134077</v>
      </c>
      <c r="Z453" s="295">
        <f>'CAR Mileage'!Z474*CAR!$I$58</f>
        <v>20543.337847134077</v>
      </c>
      <c r="AA453" s="295">
        <f>'CAR Mileage'!AA474*CAR!$I$58</f>
        <v>20543.337847134077</v>
      </c>
      <c r="AB453" s="295">
        <f>'CAR Mileage'!AB474*CAR!$I$58</f>
        <v>20543.337847134077</v>
      </c>
      <c r="AC453" s="295">
        <f>'CAR Mileage'!AC474*CAR!$I$58</f>
        <v>20543.337847134077</v>
      </c>
      <c r="AD453" s="295">
        <f>'CAR Mileage'!AD474*CAR!$I$58</f>
        <v>20543.337847134077</v>
      </c>
      <c r="AE453" s="296">
        <f>'CAR Mileage'!AE474*CAR!$I$58</f>
        <v>20543.337847134077</v>
      </c>
      <c r="AG453" s="1711"/>
      <c r="AH453" s="116">
        <v>15</v>
      </c>
      <c r="AI453" s="294">
        <f>'CAR Passenger Kilometres'!C453*'CAR Stock'!C503</f>
        <v>0</v>
      </c>
      <c r="AJ453" s="295">
        <f>'CAR Passenger Kilometres'!D453*'CAR Stock'!D503</f>
        <v>0</v>
      </c>
      <c r="AK453" s="295">
        <f>'CAR Passenger Kilometres'!E453*'CAR Stock'!E503</f>
        <v>0</v>
      </c>
      <c r="AL453" s="295">
        <f>'CAR Passenger Kilometres'!F453*'CAR Stock'!F503</f>
        <v>0</v>
      </c>
      <c r="AM453" s="295">
        <f>'CAR Passenger Kilometres'!G453*'CAR Stock'!G503</f>
        <v>1651.7833940325083</v>
      </c>
      <c r="AN453" s="295">
        <f>'CAR Passenger Kilometres'!H453*'CAR Stock'!H503</f>
        <v>10762.098117815942</v>
      </c>
      <c r="AO453" s="295">
        <f>'CAR Passenger Kilometres'!I453*'CAR Stock'!I503</f>
        <v>2234.3464118843108</v>
      </c>
      <c r="AP453" s="295">
        <f>'CAR Passenger Kilometres'!J453*'CAR Stock'!J503</f>
        <v>0</v>
      </c>
      <c r="AQ453" s="295">
        <f>'CAR Passenger Kilometres'!K453*'CAR Stock'!K503</f>
        <v>22826.491267547459</v>
      </c>
      <c r="AR453" s="295">
        <f>'CAR Passenger Kilometres'!L453*'CAR Stock'!L503</f>
        <v>140763.36281654268</v>
      </c>
      <c r="AS453" s="295">
        <f>'CAR Passenger Kilometres'!M453*'CAR Stock'!M503</f>
        <v>229895.37633744231</v>
      </c>
      <c r="AT453" s="295">
        <f>'CAR Passenger Kilometres'!N453*'CAR Stock'!N503</f>
        <v>197286.10309808879</v>
      </c>
      <c r="AU453" s="295">
        <f>'CAR Passenger Kilometres'!O453*'CAR Stock'!O503</f>
        <v>23913.46704219258</v>
      </c>
      <c r="AV453" s="295">
        <f>'CAR Passenger Kilometres'!P453*'CAR Stock'!P503</f>
        <v>98371.307605383117</v>
      </c>
      <c r="AW453" s="295">
        <f>'CAR Passenger Kilometres'!Q453*'CAR Stock'!Q503</f>
        <v>73914.35267586798</v>
      </c>
      <c r="AX453" s="295">
        <f>'CAR Passenger Kilometres'!R453*'CAR Stock'!R503</f>
        <v>51631.349295643064</v>
      </c>
      <c r="AY453" s="295">
        <f>'CAR Passenger Kilometres'!S453*'CAR Stock'!S503</f>
        <v>0</v>
      </c>
      <c r="AZ453" s="295">
        <f>'CAR Passenger Kilometres'!T453*'CAR Stock'!T503</f>
        <v>0</v>
      </c>
      <c r="BA453" s="295">
        <f>'CAR Passenger Kilometres'!U453*'CAR Stock'!U503</f>
        <v>0</v>
      </c>
      <c r="BB453" s="295">
        <f>'CAR Passenger Kilometres'!V453*'CAR Stock'!V503</f>
        <v>0</v>
      </c>
      <c r="BC453" s="295">
        <f>'CAR Passenger Kilometres'!W453*'CAR Stock'!W503</f>
        <v>0</v>
      </c>
      <c r="BD453" s="295">
        <f>'CAR Passenger Kilometres'!X453*'CAR Stock'!X503</f>
        <v>0</v>
      </c>
      <c r="BE453" s="295">
        <f>'CAR Passenger Kilometres'!Y453*'CAR Stock'!Y503</f>
        <v>0</v>
      </c>
      <c r="BF453" s="295">
        <f>'CAR Passenger Kilometres'!Z453*'CAR Stock'!Z503</f>
        <v>0</v>
      </c>
      <c r="BG453" s="295">
        <f>'CAR Passenger Kilometres'!AA453*'CAR Stock'!AA503</f>
        <v>0</v>
      </c>
      <c r="BH453" s="295">
        <f>'CAR Passenger Kilometres'!AB453*'CAR Stock'!AB503</f>
        <v>0</v>
      </c>
      <c r="BI453" s="295">
        <f>'CAR Passenger Kilometres'!AC453*'CAR Stock'!AC503</f>
        <v>0</v>
      </c>
      <c r="BJ453" s="295">
        <f>'CAR Passenger Kilometres'!AD453*'CAR Stock'!AD503</f>
        <v>0</v>
      </c>
      <c r="BK453" s="296">
        <f>'CAR Passenger Kilometres'!AE453*'CAR Stock'!AE503</f>
        <v>0</v>
      </c>
    </row>
    <row r="454" spans="1:63">
      <c r="A454" s="1711"/>
      <c r="B454" s="116">
        <v>16</v>
      </c>
      <c r="C454" s="294">
        <f>'CAR Mileage'!C475*CAR!$I$58</f>
        <v>20132.471090191397</v>
      </c>
      <c r="D454" s="295">
        <f>'CAR Mileage'!D475*CAR!$I$58</f>
        <v>20132.471090191397</v>
      </c>
      <c r="E454" s="295">
        <f>'CAR Mileage'!E475*CAR!$I$58</f>
        <v>20132.471090191397</v>
      </c>
      <c r="F454" s="295">
        <f>'CAR Mileage'!F475*CAR!$I$58</f>
        <v>20132.471090191397</v>
      </c>
      <c r="G454" s="295">
        <f>'CAR Mileage'!G475*CAR!$I$58</f>
        <v>20132.471090191397</v>
      </c>
      <c r="H454" s="295">
        <f>'CAR Mileage'!H475*CAR!$I$58</f>
        <v>20132.471090191397</v>
      </c>
      <c r="I454" s="295">
        <f>'CAR Mileage'!I475*CAR!$I$58</f>
        <v>20132.471090191397</v>
      </c>
      <c r="J454" s="295">
        <f>'CAR Mileage'!J475*CAR!$I$58</f>
        <v>20132.471090191397</v>
      </c>
      <c r="K454" s="295">
        <f>'CAR Mileage'!K475*CAR!$I$58</f>
        <v>20132.471090191397</v>
      </c>
      <c r="L454" s="295">
        <f>'CAR Mileage'!L475*CAR!$I$58</f>
        <v>20132.471090191397</v>
      </c>
      <c r="M454" s="295">
        <f>'CAR Mileage'!M475*CAR!$I$58</f>
        <v>20132.471090191397</v>
      </c>
      <c r="N454" s="295">
        <f>'CAR Mileage'!N475*CAR!$I$58</f>
        <v>20132.471090191397</v>
      </c>
      <c r="O454" s="295">
        <f>'CAR Mileage'!O475*CAR!$I$58</f>
        <v>20132.471090191397</v>
      </c>
      <c r="P454" s="295">
        <f>'CAR Mileage'!P475*CAR!$I$58</f>
        <v>20132.471090191397</v>
      </c>
      <c r="Q454" s="295">
        <f>'CAR Mileage'!Q475*CAR!$I$58</f>
        <v>20132.471090191397</v>
      </c>
      <c r="R454" s="295">
        <f>'CAR Mileage'!R475*CAR!$I$58</f>
        <v>20132.471090191397</v>
      </c>
      <c r="S454" s="295">
        <f>'CAR Mileage'!S475*CAR!$I$58</f>
        <v>20132.471090191397</v>
      </c>
      <c r="T454" s="295">
        <f>'CAR Mileage'!T475*CAR!$I$58</f>
        <v>20132.471090191397</v>
      </c>
      <c r="U454" s="295">
        <f>'CAR Mileage'!U475*CAR!$I$58</f>
        <v>20132.471090191397</v>
      </c>
      <c r="V454" s="295">
        <f>'CAR Mileage'!V475*CAR!$I$58</f>
        <v>20132.471090191397</v>
      </c>
      <c r="W454" s="295">
        <f>'CAR Mileage'!W475*CAR!$I$58</f>
        <v>20132.471090191397</v>
      </c>
      <c r="X454" s="295">
        <f>'CAR Mileage'!X475*CAR!$I$58</f>
        <v>20132.471090191397</v>
      </c>
      <c r="Y454" s="295">
        <f>'CAR Mileage'!Y475*CAR!$I$58</f>
        <v>20132.471090191397</v>
      </c>
      <c r="Z454" s="295">
        <f>'CAR Mileage'!Z475*CAR!$I$58</f>
        <v>20132.471090191397</v>
      </c>
      <c r="AA454" s="295">
        <f>'CAR Mileage'!AA475*CAR!$I$58</f>
        <v>20132.471090191397</v>
      </c>
      <c r="AB454" s="295">
        <f>'CAR Mileage'!AB475*CAR!$I$58</f>
        <v>20132.471090191397</v>
      </c>
      <c r="AC454" s="295">
        <f>'CAR Mileage'!AC475*CAR!$I$58</f>
        <v>20132.471090191397</v>
      </c>
      <c r="AD454" s="295">
        <f>'CAR Mileage'!AD475*CAR!$I$58</f>
        <v>20132.471090191397</v>
      </c>
      <c r="AE454" s="296">
        <f>'CAR Mileage'!AE475*CAR!$I$58</f>
        <v>20132.471090191397</v>
      </c>
      <c r="AG454" s="1711"/>
      <c r="AH454" s="116">
        <v>16</v>
      </c>
      <c r="AI454" s="294">
        <f>'CAR Passenger Kilometres'!C454*'CAR Stock'!C504</f>
        <v>0</v>
      </c>
      <c r="AJ454" s="295">
        <f>'CAR Passenger Kilometres'!D454*'CAR Stock'!D504</f>
        <v>0</v>
      </c>
      <c r="AK454" s="295">
        <f>'CAR Passenger Kilometres'!E454*'CAR Stock'!E504</f>
        <v>0</v>
      </c>
      <c r="AL454" s="295">
        <f>'CAR Passenger Kilometres'!F454*'CAR Stock'!F504</f>
        <v>0</v>
      </c>
      <c r="AM454" s="295">
        <f>'CAR Passenger Kilometres'!G454*'CAR Stock'!G504</f>
        <v>0</v>
      </c>
      <c r="AN454" s="295">
        <f>'CAR Passenger Kilometres'!H454*'CAR Stock'!H504</f>
        <v>445.24037465213712</v>
      </c>
      <c r="AO454" s="295">
        <f>'CAR Passenger Kilometres'!I454*'CAR Stock'!I504</f>
        <v>2900.9376261625771</v>
      </c>
      <c r="AP454" s="295">
        <f>'CAR Passenger Kilometres'!J454*'CAR Stock'!J504</f>
        <v>602.27099819750947</v>
      </c>
      <c r="AQ454" s="295">
        <f>'CAR Passenger Kilometres'!K454*'CAR Stock'!K504</f>
        <v>0</v>
      </c>
      <c r="AR454" s="295">
        <f>'CAR Passenger Kilometres'!L454*'CAR Stock'!L504</f>
        <v>6152.9105817833079</v>
      </c>
      <c r="AS454" s="295">
        <f>'CAR Passenger Kilometres'!M454*'CAR Stock'!M504</f>
        <v>37942.948587663734</v>
      </c>
      <c r="AT454" s="295">
        <f>'CAR Passenger Kilometres'!N454*'CAR Stock'!N504</f>
        <v>61968.599430817609</v>
      </c>
      <c r="AU454" s="295">
        <f>'CAR Passenger Kilometres'!O454*'CAR Stock'!O504</f>
        <v>53178.727171127168</v>
      </c>
      <c r="AV454" s="295">
        <f>'CAR Passenger Kilometres'!P454*'CAR Stock'!P504</f>
        <v>6445.9063237729906</v>
      </c>
      <c r="AW454" s="295">
        <f>'CAR Passenger Kilometres'!Q454*'CAR Stock'!Q504</f>
        <v>26516.114650066167</v>
      </c>
      <c r="AX454" s="295">
        <f>'CAR Passenger Kilometres'!R454*'CAR Stock'!R504</f>
        <v>19923.710455298333</v>
      </c>
      <c r="AY454" s="295">
        <f>'CAR Passenger Kilometres'!S454*'CAR Stock'!S504</f>
        <v>13917.297744509862</v>
      </c>
      <c r="AZ454" s="295">
        <f>'CAR Passenger Kilometres'!T454*'CAR Stock'!T504</f>
        <v>0</v>
      </c>
      <c r="BA454" s="295">
        <f>'CAR Passenger Kilometres'!U454*'CAR Stock'!U504</f>
        <v>0</v>
      </c>
      <c r="BB454" s="295">
        <f>'CAR Passenger Kilometres'!V454*'CAR Stock'!V504</f>
        <v>0</v>
      </c>
      <c r="BC454" s="295">
        <f>'CAR Passenger Kilometres'!W454*'CAR Stock'!W504</f>
        <v>0</v>
      </c>
      <c r="BD454" s="295">
        <f>'CAR Passenger Kilometres'!X454*'CAR Stock'!X504</f>
        <v>0</v>
      </c>
      <c r="BE454" s="295">
        <f>'CAR Passenger Kilometres'!Y454*'CAR Stock'!Y504</f>
        <v>0</v>
      </c>
      <c r="BF454" s="295">
        <f>'CAR Passenger Kilometres'!Z454*'CAR Stock'!Z504</f>
        <v>0</v>
      </c>
      <c r="BG454" s="295">
        <f>'CAR Passenger Kilometres'!AA454*'CAR Stock'!AA504</f>
        <v>0</v>
      </c>
      <c r="BH454" s="295">
        <f>'CAR Passenger Kilometres'!AB454*'CAR Stock'!AB504</f>
        <v>0</v>
      </c>
      <c r="BI454" s="295">
        <f>'CAR Passenger Kilometres'!AC454*'CAR Stock'!AC504</f>
        <v>0</v>
      </c>
      <c r="BJ454" s="295">
        <f>'CAR Passenger Kilometres'!AD454*'CAR Stock'!AD504</f>
        <v>0</v>
      </c>
      <c r="BK454" s="296">
        <f>'CAR Passenger Kilometres'!AE454*'CAR Stock'!AE504</f>
        <v>0</v>
      </c>
    </row>
    <row r="455" spans="1:63">
      <c r="A455" s="1711"/>
      <c r="B455" s="116">
        <v>17</v>
      </c>
      <c r="C455" s="294">
        <f>'CAR Mileage'!C476*CAR!$I$58</f>
        <v>20132.471090191397</v>
      </c>
      <c r="D455" s="295">
        <f>'CAR Mileage'!D476*CAR!$I$58</f>
        <v>20132.471090191397</v>
      </c>
      <c r="E455" s="295">
        <f>'CAR Mileage'!E476*CAR!$I$58</f>
        <v>20132.471090191397</v>
      </c>
      <c r="F455" s="295">
        <f>'CAR Mileage'!F476*CAR!$I$58</f>
        <v>20132.471090191397</v>
      </c>
      <c r="G455" s="295">
        <f>'CAR Mileage'!G476*CAR!$I$58</f>
        <v>20132.471090191397</v>
      </c>
      <c r="H455" s="295">
        <f>'CAR Mileage'!H476*CAR!$I$58</f>
        <v>20132.471090191397</v>
      </c>
      <c r="I455" s="295">
        <f>'CAR Mileage'!I476*CAR!$I$58</f>
        <v>20132.471090191397</v>
      </c>
      <c r="J455" s="295">
        <f>'CAR Mileage'!J476*CAR!$I$58</f>
        <v>20132.471090191397</v>
      </c>
      <c r="K455" s="295">
        <f>'CAR Mileage'!K476*CAR!$I$58</f>
        <v>20132.471090191397</v>
      </c>
      <c r="L455" s="295">
        <f>'CAR Mileage'!L476*CAR!$I$58</f>
        <v>20132.471090191397</v>
      </c>
      <c r="M455" s="295">
        <f>'CAR Mileage'!M476*CAR!$I$58</f>
        <v>20132.471090191397</v>
      </c>
      <c r="N455" s="295">
        <f>'CAR Mileage'!N476*CAR!$I$58</f>
        <v>20132.471090191397</v>
      </c>
      <c r="O455" s="295">
        <f>'CAR Mileage'!O476*CAR!$I$58</f>
        <v>20132.471090191397</v>
      </c>
      <c r="P455" s="295">
        <f>'CAR Mileage'!P476*CAR!$I$58</f>
        <v>20132.471090191397</v>
      </c>
      <c r="Q455" s="295">
        <f>'CAR Mileage'!Q476*CAR!$I$58</f>
        <v>20132.471090191397</v>
      </c>
      <c r="R455" s="295">
        <f>'CAR Mileage'!R476*CAR!$I$58</f>
        <v>20132.471090191397</v>
      </c>
      <c r="S455" s="295">
        <f>'CAR Mileage'!S476*CAR!$I$58</f>
        <v>20132.471090191397</v>
      </c>
      <c r="T455" s="295">
        <f>'CAR Mileage'!T476*CAR!$I$58</f>
        <v>20132.471090191397</v>
      </c>
      <c r="U455" s="295">
        <f>'CAR Mileage'!U476*CAR!$I$58</f>
        <v>20132.471090191397</v>
      </c>
      <c r="V455" s="295">
        <f>'CAR Mileage'!V476*CAR!$I$58</f>
        <v>20132.471090191397</v>
      </c>
      <c r="W455" s="295">
        <f>'CAR Mileage'!W476*CAR!$I$58</f>
        <v>20132.471090191397</v>
      </c>
      <c r="X455" s="295">
        <f>'CAR Mileage'!X476*CAR!$I$58</f>
        <v>20132.471090191397</v>
      </c>
      <c r="Y455" s="295">
        <f>'CAR Mileage'!Y476*CAR!$I$58</f>
        <v>20132.471090191397</v>
      </c>
      <c r="Z455" s="295">
        <f>'CAR Mileage'!Z476*CAR!$I$58</f>
        <v>20132.471090191397</v>
      </c>
      <c r="AA455" s="295">
        <f>'CAR Mileage'!AA476*CAR!$I$58</f>
        <v>20132.471090191397</v>
      </c>
      <c r="AB455" s="295">
        <f>'CAR Mileage'!AB476*CAR!$I$58</f>
        <v>20132.471090191397</v>
      </c>
      <c r="AC455" s="295">
        <f>'CAR Mileage'!AC476*CAR!$I$58</f>
        <v>20132.471090191397</v>
      </c>
      <c r="AD455" s="295">
        <f>'CAR Mileage'!AD476*CAR!$I$58</f>
        <v>20132.471090191397</v>
      </c>
      <c r="AE455" s="296">
        <f>'CAR Mileage'!AE476*CAR!$I$58</f>
        <v>20132.471090191397</v>
      </c>
      <c r="AG455" s="1711"/>
      <c r="AH455" s="116">
        <v>17</v>
      </c>
      <c r="AI455" s="294">
        <f>'CAR Passenger Kilometres'!C455*'CAR Stock'!C505</f>
        <v>0</v>
      </c>
      <c r="AJ455" s="295">
        <f>'CAR Passenger Kilometres'!D455*'CAR Stock'!D505</f>
        <v>0</v>
      </c>
      <c r="AK455" s="295">
        <f>'CAR Passenger Kilometres'!E455*'CAR Stock'!E505</f>
        <v>0</v>
      </c>
      <c r="AL455" s="295">
        <f>'CAR Passenger Kilometres'!F455*'CAR Stock'!F505</f>
        <v>0</v>
      </c>
      <c r="AM455" s="295">
        <f>'CAR Passenger Kilometres'!G455*'CAR Stock'!G505</f>
        <v>0</v>
      </c>
      <c r="AN455" s="295">
        <f>'CAR Passenger Kilometres'!H455*'CAR Stock'!H505</f>
        <v>0</v>
      </c>
      <c r="AO455" s="295">
        <f>'CAR Passenger Kilometres'!I455*'CAR Stock'!I505</f>
        <v>108.85725662715332</v>
      </c>
      <c r="AP455" s="295">
        <f>'CAR Passenger Kilometres'!J455*'CAR Stock'!J505</f>
        <v>709.25309025999138</v>
      </c>
      <c r="AQ455" s="295">
        <f>'CAR Passenger Kilometres'!K455*'CAR Stock'!K505</f>
        <v>147.24982805321918</v>
      </c>
      <c r="AR455" s="295">
        <f>'CAR Passenger Kilometres'!L455*'CAR Stock'!L505</f>
        <v>0</v>
      </c>
      <c r="AS455" s="295">
        <f>'CAR Passenger Kilometres'!M455*'CAR Stock'!M505</f>
        <v>1504.3311530954795</v>
      </c>
      <c r="AT455" s="295">
        <f>'CAR Passenger Kilometres'!N455*'CAR Stock'!N505</f>
        <v>9276.7087774221236</v>
      </c>
      <c r="AU455" s="295">
        <f>'CAR Passenger Kilometres'!O455*'CAR Stock'!O505</f>
        <v>15150.763756175904</v>
      </c>
      <c r="AV455" s="295">
        <f>'CAR Passenger Kilometres'!P455*'CAR Stock'!P505</f>
        <v>13001.71925175379</v>
      </c>
      <c r="AW455" s="295">
        <f>'CAR Passenger Kilometres'!Q455*'CAR Stock'!Q505</f>
        <v>1575.9659699095503</v>
      </c>
      <c r="AX455" s="295">
        <f>'CAR Passenger Kilometres'!R455*'CAR Stock'!R505</f>
        <v>6482.9509216733777</v>
      </c>
      <c r="AY455" s="295">
        <f>'CAR Passenger Kilometres'!S455*'CAR Stock'!S505</f>
        <v>4871.1675433567916</v>
      </c>
      <c r="AZ455" s="295">
        <f>'CAR Passenger Kilometres'!T455*'CAR Stock'!T505</f>
        <v>3402.6537986683466</v>
      </c>
      <c r="BA455" s="295">
        <f>'CAR Passenger Kilometres'!U455*'CAR Stock'!U505</f>
        <v>0</v>
      </c>
      <c r="BB455" s="295">
        <f>'CAR Passenger Kilometres'!V455*'CAR Stock'!V505</f>
        <v>0</v>
      </c>
      <c r="BC455" s="295">
        <f>'CAR Passenger Kilometres'!W455*'CAR Stock'!W505</f>
        <v>0</v>
      </c>
      <c r="BD455" s="295">
        <f>'CAR Passenger Kilometres'!X455*'CAR Stock'!X505</f>
        <v>0</v>
      </c>
      <c r="BE455" s="295">
        <f>'CAR Passenger Kilometres'!Y455*'CAR Stock'!Y505</f>
        <v>0</v>
      </c>
      <c r="BF455" s="295">
        <f>'CAR Passenger Kilometres'!Z455*'CAR Stock'!Z505</f>
        <v>0</v>
      </c>
      <c r="BG455" s="295">
        <f>'CAR Passenger Kilometres'!AA455*'CAR Stock'!AA505</f>
        <v>0</v>
      </c>
      <c r="BH455" s="295">
        <f>'CAR Passenger Kilometres'!AB455*'CAR Stock'!AB505</f>
        <v>0</v>
      </c>
      <c r="BI455" s="295">
        <f>'CAR Passenger Kilometres'!AC455*'CAR Stock'!AC505</f>
        <v>0</v>
      </c>
      <c r="BJ455" s="295">
        <f>'CAR Passenger Kilometres'!AD455*'CAR Stock'!AD505</f>
        <v>0</v>
      </c>
      <c r="BK455" s="296">
        <f>'CAR Passenger Kilometres'!AE455*'CAR Stock'!AE505</f>
        <v>0</v>
      </c>
    </row>
    <row r="456" spans="1:63">
      <c r="A456" s="1711"/>
      <c r="B456" s="116">
        <v>18</v>
      </c>
      <c r="C456" s="294">
        <f>'CAR Mileage'!C477*CAR!$I$58</f>
        <v>20132.471090191397</v>
      </c>
      <c r="D456" s="295">
        <f>'CAR Mileage'!D477*CAR!$I$58</f>
        <v>20132.471090191397</v>
      </c>
      <c r="E456" s="295">
        <f>'CAR Mileage'!E477*CAR!$I$58</f>
        <v>20132.471090191397</v>
      </c>
      <c r="F456" s="295">
        <f>'CAR Mileage'!F477*CAR!$I$58</f>
        <v>20132.471090191397</v>
      </c>
      <c r="G456" s="295">
        <f>'CAR Mileage'!G477*CAR!$I$58</f>
        <v>20132.471090191397</v>
      </c>
      <c r="H456" s="295">
        <f>'CAR Mileage'!H477*CAR!$I$58</f>
        <v>20132.471090191397</v>
      </c>
      <c r="I456" s="295">
        <f>'CAR Mileage'!I477*CAR!$I$58</f>
        <v>20132.471090191397</v>
      </c>
      <c r="J456" s="295">
        <f>'CAR Mileage'!J477*CAR!$I$58</f>
        <v>20132.471090191397</v>
      </c>
      <c r="K456" s="295">
        <f>'CAR Mileage'!K477*CAR!$I$58</f>
        <v>20132.471090191397</v>
      </c>
      <c r="L456" s="295">
        <f>'CAR Mileage'!L477*CAR!$I$58</f>
        <v>20132.471090191397</v>
      </c>
      <c r="M456" s="295">
        <f>'CAR Mileage'!M477*CAR!$I$58</f>
        <v>20132.471090191397</v>
      </c>
      <c r="N456" s="295">
        <f>'CAR Mileage'!N477*CAR!$I$58</f>
        <v>20132.471090191397</v>
      </c>
      <c r="O456" s="295">
        <f>'CAR Mileage'!O477*CAR!$I$58</f>
        <v>20132.471090191397</v>
      </c>
      <c r="P456" s="295">
        <f>'CAR Mileage'!P477*CAR!$I$58</f>
        <v>20132.471090191397</v>
      </c>
      <c r="Q456" s="295">
        <f>'CAR Mileage'!Q477*CAR!$I$58</f>
        <v>20132.471090191397</v>
      </c>
      <c r="R456" s="295">
        <f>'CAR Mileage'!R477*CAR!$I$58</f>
        <v>20132.471090191397</v>
      </c>
      <c r="S456" s="295">
        <f>'CAR Mileage'!S477*CAR!$I$58</f>
        <v>20132.471090191397</v>
      </c>
      <c r="T456" s="295">
        <f>'CAR Mileage'!T477*CAR!$I$58</f>
        <v>20132.471090191397</v>
      </c>
      <c r="U456" s="295">
        <f>'CAR Mileage'!U477*CAR!$I$58</f>
        <v>20132.471090191397</v>
      </c>
      <c r="V456" s="295">
        <f>'CAR Mileage'!V477*CAR!$I$58</f>
        <v>20132.471090191397</v>
      </c>
      <c r="W456" s="295">
        <f>'CAR Mileage'!W477*CAR!$I$58</f>
        <v>20132.471090191397</v>
      </c>
      <c r="X456" s="295">
        <f>'CAR Mileage'!X477*CAR!$I$58</f>
        <v>20132.471090191397</v>
      </c>
      <c r="Y456" s="295">
        <f>'CAR Mileage'!Y477*CAR!$I$58</f>
        <v>20132.471090191397</v>
      </c>
      <c r="Z456" s="295">
        <f>'CAR Mileage'!Z477*CAR!$I$58</f>
        <v>20132.471090191397</v>
      </c>
      <c r="AA456" s="295">
        <f>'CAR Mileage'!AA477*CAR!$I$58</f>
        <v>20132.471090191397</v>
      </c>
      <c r="AB456" s="295">
        <f>'CAR Mileage'!AB477*CAR!$I$58</f>
        <v>20132.471090191397</v>
      </c>
      <c r="AC456" s="295">
        <f>'CAR Mileage'!AC477*CAR!$I$58</f>
        <v>20132.471090191397</v>
      </c>
      <c r="AD456" s="295">
        <f>'CAR Mileage'!AD477*CAR!$I$58</f>
        <v>20132.471090191397</v>
      </c>
      <c r="AE456" s="296">
        <f>'CAR Mileage'!AE477*CAR!$I$58</f>
        <v>20132.471090191397</v>
      </c>
      <c r="AG456" s="1711"/>
      <c r="AH456" s="116">
        <v>18</v>
      </c>
      <c r="AI456" s="294">
        <f>'CAR Passenger Kilometres'!C456*'CAR Stock'!C506</f>
        <v>0</v>
      </c>
      <c r="AJ456" s="295">
        <f>'CAR Passenger Kilometres'!D456*'CAR Stock'!D506</f>
        <v>0</v>
      </c>
      <c r="AK456" s="295">
        <f>'CAR Passenger Kilometres'!E456*'CAR Stock'!E506</f>
        <v>0</v>
      </c>
      <c r="AL456" s="295">
        <f>'CAR Passenger Kilometres'!F456*'CAR Stock'!F506</f>
        <v>0</v>
      </c>
      <c r="AM456" s="295">
        <f>'CAR Passenger Kilometres'!G456*'CAR Stock'!G506</f>
        <v>0</v>
      </c>
      <c r="AN456" s="295">
        <f>'CAR Passenger Kilometres'!H456*'CAR Stock'!H506</f>
        <v>0</v>
      </c>
      <c r="AO456" s="295">
        <f>'CAR Passenger Kilometres'!I456*'CAR Stock'!I506</f>
        <v>0</v>
      </c>
      <c r="AP456" s="295">
        <f>'CAR Passenger Kilometres'!J456*'CAR Stock'!J506</f>
        <v>23.287790417574179</v>
      </c>
      <c r="AQ456" s="295">
        <f>'CAR Passenger Kilometres'!K456*'CAR Stock'!K506</f>
        <v>151.7302367407955</v>
      </c>
      <c r="AR456" s="295">
        <f>'CAR Passenger Kilometres'!L456*'CAR Stock'!L506</f>
        <v>31.50109823612663</v>
      </c>
      <c r="AS456" s="295">
        <f>'CAR Passenger Kilometres'!M456*'CAR Stock'!M506</f>
        <v>0</v>
      </c>
      <c r="AT456" s="295">
        <f>'CAR Passenger Kilometres'!N456*'CAR Stock'!N506</f>
        <v>321.82097636269771</v>
      </c>
      <c r="AU456" s="295">
        <f>'CAR Passenger Kilometres'!O456*'CAR Stock'!O506</f>
        <v>1984.5626875699693</v>
      </c>
      <c r="AV456" s="295">
        <f>'CAR Passenger Kilometres'!P456*'CAR Stock'!P506</f>
        <v>3241.1969762243129</v>
      </c>
      <c r="AW456" s="295">
        <f>'CAR Passenger Kilometres'!Q456*'CAR Stock'!Q506</f>
        <v>2781.4527242776021</v>
      </c>
      <c r="AX456" s="295">
        <f>'CAR Passenger Kilometres'!R456*'CAR Stock'!R506</f>
        <v>337.14578476092152</v>
      </c>
      <c r="AY456" s="295">
        <f>'CAR Passenger Kilometres'!S456*'CAR Stock'!S506</f>
        <v>1386.8951600392452</v>
      </c>
      <c r="AZ456" s="295">
        <f>'CAR Passenger Kilometres'!T456*'CAR Stock'!T506</f>
        <v>1042.0869710792119</v>
      </c>
      <c r="BA456" s="295">
        <f>'CAR Passenger Kilometres'!U456*'CAR Stock'!U506</f>
        <v>727.92839891562585</v>
      </c>
      <c r="BB456" s="295">
        <f>'CAR Passenger Kilometres'!V456*'CAR Stock'!V506</f>
        <v>0</v>
      </c>
      <c r="BC456" s="295">
        <f>'CAR Passenger Kilometres'!W456*'CAR Stock'!W506</f>
        <v>0</v>
      </c>
      <c r="BD456" s="295">
        <f>'CAR Passenger Kilometres'!X456*'CAR Stock'!X506</f>
        <v>0</v>
      </c>
      <c r="BE456" s="295">
        <f>'CAR Passenger Kilometres'!Y456*'CAR Stock'!Y506</f>
        <v>0</v>
      </c>
      <c r="BF456" s="295">
        <f>'CAR Passenger Kilometres'!Z456*'CAR Stock'!Z506</f>
        <v>0</v>
      </c>
      <c r="BG456" s="295">
        <f>'CAR Passenger Kilometres'!AA456*'CAR Stock'!AA506</f>
        <v>0</v>
      </c>
      <c r="BH456" s="295">
        <f>'CAR Passenger Kilometres'!AB456*'CAR Stock'!AB506</f>
        <v>0</v>
      </c>
      <c r="BI456" s="295">
        <f>'CAR Passenger Kilometres'!AC456*'CAR Stock'!AC506</f>
        <v>0</v>
      </c>
      <c r="BJ456" s="295">
        <f>'CAR Passenger Kilometres'!AD456*'CAR Stock'!AD506</f>
        <v>0</v>
      </c>
      <c r="BK456" s="296">
        <f>'CAR Passenger Kilometres'!AE456*'CAR Stock'!AE506</f>
        <v>0</v>
      </c>
    </row>
    <row r="457" spans="1:63">
      <c r="A457" s="1711"/>
      <c r="B457" s="116">
        <v>19</v>
      </c>
      <c r="C457" s="294">
        <f>'CAR Mileage'!C478*CAR!$I$58</f>
        <v>20132.471090191397</v>
      </c>
      <c r="D457" s="295">
        <f>'CAR Mileage'!D478*CAR!$I$58</f>
        <v>20132.471090191397</v>
      </c>
      <c r="E457" s="295">
        <f>'CAR Mileage'!E478*CAR!$I$58</f>
        <v>20132.471090191397</v>
      </c>
      <c r="F457" s="295">
        <f>'CAR Mileage'!F478*CAR!$I$58</f>
        <v>20132.471090191397</v>
      </c>
      <c r="G457" s="295">
        <f>'CAR Mileage'!G478*CAR!$I$58</f>
        <v>20132.471090191397</v>
      </c>
      <c r="H457" s="295">
        <f>'CAR Mileage'!H478*CAR!$I$58</f>
        <v>20132.471090191397</v>
      </c>
      <c r="I457" s="295">
        <f>'CAR Mileage'!I478*CAR!$I$58</f>
        <v>20132.471090191397</v>
      </c>
      <c r="J457" s="295">
        <f>'CAR Mileage'!J478*CAR!$I$58</f>
        <v>20132.471090191397</v>
      </c>
      <c r="K457" s="295">
        <f>'CAR Mileage'!K478*CAR!$I$58</f>
        <v>20132.471090191397</v>
      </c>
      <c r="L457" s="295">
        <f>'CAR Mileage'!L478*CAR!$I$58</f>
        <v>20132.471090191397</v>
      </c>
      <c r="M457" s="295">
        <f>'CAR Mileage'!M478*CAR!$I$58</f>
        <v>20132.471090191397</v>
      </c>
      <c r="N457" s="295">
        <f>'CAR Mileage'!N478*CAR!$I$58</f>
        <v>20132.471090191397</v>
      </c>
      <c r="O457" s="295">
        <f>'CAR Mileage'!O478*CAR!$I$58</f>
        <v>20132.471090191397</v>
      </c>
      <c r="P457" s="295">
        <f>'CAR Mileage'!P478*CAR!$I$58</f>
        <v>20132.471090191397</v>
      </c>
      <c r="Q457" s="295">
        <f>'CAR Mileage'!Q478*CAR!$I$58</f>
        <v>20132.471090191397</v>
      </c>
      <c r="R457" s="295">
        <f>'CAR Mileage'!R478*CAR!$I$58</f>
        <v>20132.471090191397</v>
      </c>
      <c r="S457" s="295">
        <f>'CAR Mileage'!S478*CAR!$I$58</f>
        <v>20132.471090191397</v>
      </c>
      <c r="T457" s="295">
        <f>'CAR Mileage'!T478*CAR!$I$58</f>
        <v>20132.471090191397</v>
      </c>
      <c r="U457" s="295">
        <f>'CAR Mileage'!U478*CAR!$I$58</f>
        <v>20132.471090191397</v>
      </c>
      <c r="V457" s="295">
        <f>'CAR Mileage'!V478*CAR!$I$58</f>
        <v>20132.471090191397</v>
      </c>
      <c r="W457" s="295">
        <f>'CAR Mileage'!W478*CAR!$I$58</f>
        <v>20132.471090191397</v>
      </c>
      <c r="X457" s="295">
        <f>'CAR Mileage'!X478*CAR!$I$58</f>
        <v>20132.471090191397</v>
      </c>
      <c r="Y457" s="295">
        <f>'CAR Mileage'!Y478*CAR!$I$58</f>
        <v>20132.471090191397</v>
      </c>
      <c r="Z457" s="295">
        <f>'CAR Mileage'!Z478*CAR!$I$58</f>
        <v>20132.471090191397</v>
      </c>
      <c r="AA457" s="295">
        <f>'CAR Mileage'!AA478*CAR!$I$58</f>
        <v>20132.471090191397</v>
      </c>
      <c r="AB457" s="295">
        <f>'CAR Mileage'!AB478*CAR!$I$58</f>
        <v>20132.471090191397</v>
      </c>
      <c r="AC457" s="295">
        <f>'CAR Mileage'!AC478*CAR!$I$58</f>
        <v>20132.471090191397</v>
      </c>
      <c r="AD457" s="295">
        <f>'CAR Mileage'!AD478*CAR!$I$58</f>
        <v>20132.471090191397</v>
      </c>
      <c r="AE457" s="296">
        <f>'CAR Mileage'!AE478*CAR!$I$58</f>
        <v>20132.471090191397</v>
      </c>
      <c r="AG457" s="1711"/>
      <c r="AH457" s="116">
        <v>19</v>
      </c>
      <c r="AI457" s="294">
        <f>'CAR Passenger Kilometres'!C457*'CAR Stock'!C507</f>
        <v>0</v>
      </c>
      <c r="AJ457" s="295">
        <f>'CAR Passenger Kilometres'!D457*'CAR Stock'!D507</f>
        <v>0</v>
      </c>
      <c r="AK457" s="295">
        <f>'CAR Passenger Kilometres'!E457*'CAR Stock'!E507</f>
        <v>0</v>
      </c>
      <c r="AL457" s="295">
        <f>'CAR Passenger Kilometres'!F457*'CAR Stock'!F507</f>
        <v>0</v>
      </c>
      <c r="AM457" s="295">
        <f>'CAR Passenger Kilometres'!G457*'CAR Stock'!G507</f>
        <v>0</v>
      </c>
      <c r="AN457" s="295">
        <f>'CAR Passenger Kilometres'!H457*'CAR Stock'!H507</f>
        <v>0</v>
      </c>
      <c r="AO457" s="295">
        <f>'CAR Passenger Kilometres'!I457*'CAR Stock'!I507</f>
        <v>0</v>
      </c>
      <c r="AP457" s="295">
        <f>'CAR Passenger Kilometres'!J457*'CAR Stock'!J507</f>
        <v>0</v>
      </c>
      <c r="AQ457" s="295">
        <f>'CAR Passenger Kilometres'!K457*'CAR Stock'!K507</f>
        <v>4.2702410687920755</v>
      </c>
      <c r="AR457" s="295">
        <f>'CAR Passenger Kilometres'!L457*'CAR Stock'!L507</f>
        <v>27.822505986619127</v>
      </c>
      <c r="AS457" s="295">
        <f>'CAR Passenger Kilometres'!M457*'CAR Stock'!M507</f>
        <v>5.7763008421120023</v>
      </c>
      <c r="AT457" s="295">
        <f>'CAR Passenger Kilometres'!N457*'CAR Stock'!N507</f>
        <v>0</v>
      </c>
      <c r="AU457" s="295">
        <f>'CAR Passenger Kilometres'!O457*'CAR Stock'!O507</f>
        <v>59.011745014059919</v>
      </c>
      <c r="AV457" s="295">
        <f>'CAR Passenger Kilometres'!P457*'CAR Stock'!P507</f>
        <v>363.90576092003624</v>
      </c>
      <c r="AW457" s="295">
        <f>'CAR Passenger Kilometres'!Q457*'CAR Stock'!Q507</f>
        <v>594.33257478446069</v>
      </c>
      <c r="AX457" s="295">
        <f>'CAR Passenger Kilometres'!R457*'CAR Stock'!R507</f>
        <v>510.03008190723233</v>
      </c>
      <c r="AY457" s="295">
        <f>'CAR Passenger Kilometres'!S457*'CAR Stock'!S507</f>
        <v>61.821828109967555</v>
      </c>
      <c r="AZ457" s="295">
        <f>'CAR Passenger Kilometres'!T457*'CAR Stock'!T507</f>
        <v>254.31252017963922</v>
      </c>
      <c r="BA457" s="295">
        <f>'CAR Passenger Kilometres'!U457*'CAR Stock'!U507</f>
        <v>191.08565052171787</v>
      </c>
      <c r="BB457" s="295">
        <f>'CAR Passenger Kilometres'!V457*'CAR Stock'!V507</f>
        <v>133.47894705561174</v>
      </c>
      <c r="BC457" s="295">
        <f>'CAR Passenger Kilometres'!W457*'CAR Stock'!W507</f>
        <v>0</v>
      </c>
      <c r="BD457" s="295">
        <f>'CAR Passenger Kilometres'!X457*'CAR Stock'!X507</f>
        <v>0</v>
      </c>
      <c r="BE457" s="295">
        <f>'CAR Passenger Kilometres'!Y457*'CAR Stock'!Y507</f>
        <v>0</v>
      </c>
      <c r="BF457" s="295">
        <f>'CAR Passenger Kilometres'!Z457*'CAR Stock'!Z507</f>
        <v>0</v>
      </c>
      <c r="BG457" s="295">
        <f>'CAR Passenger Kilometres'!AA457*'CAR Stock'!AA507</f>
        <v>0</v>
      </c>
      <c r="BH457" s="295">
        <f>'CAR Passenger Kilometres'!AB457*'CAR Stock'!AB507</f>
        <v>0</v>
      </c>
      <c r="BI457" s="295">
        <f>'CAR Passenger Kilometres'!AC457*'CAR Stock'!AC507</f>
        <v>0</v>
      </c>
      <c r="BJ457" s="295">
        <f>'CAR Passenger Kilometres'!AD457*'CAR Stock'!AD507</f>
        <v>0</v>
      </c>
      <c r="BK457" s="296">
        <f>'CAR Passenger Kilometres'!AE457*'CAR Stock'!AE507</f>
        <v>0</v>
      </c>
    </row>
    <row r="458" spans="1:63">
      <c r="A458" s="1711"/>
      <c r="B458" s="116">
        <v>20</v>
      </c>
      <c r="C458" s="294">
        <f>'CAR Mileage'!C479*CAR!$I$58</f>
        <v>20132.471090191397</v>
      </c>
      <c r="D458" s="295">
        <f>'CAR Mileage'!D479*CAR!$I$58</f>
        <v>20132.471090191397</v>
      </c>
      <c r="E458" s="295">
        <f>'CAR Mileage'!E479*CAR!$I$58</f>
        <v>20132.471090191397</v>
      </c>
      <c r="F458" s="295">
        <f>'CAR Mileage'!F479*CAR!$I$58</f>
        <v>20132.471090191397</v>
      </c>
      <c r="G458" s="295">
        <f>'CAR Mileage'!G479*CAR!$I$58</f>
        <v>20132.471090191397</v>
      </c>
      <c r="H458" s="295">
        <f>'CAR Mileage'!H479*CAR!$I$58</f>
        <v>20132.471090191397</v>
      </c>
      <c r="I458" s="295">
        <f>'CAR Mileage'!I479*CAR!$I$58</f>
        <v>20132.471090191397</v>
      </c>
      <c r="J458" s="295">
        <f>'CAR Mileage'!J479*CAR!$I$58</f>
        <v>20132.471090191397</v>
      </c>
      <c r="K458" s="295">
        <f>'CAR Mileage'!K479*CAR!$I$58</f>
        <v>20132.471090191397</v>
      </c>
      <c r="L458" s="295">
        <f>'CAR Mileage'!L479*CAR!$I$58</f>
        <v>20132.471090191397</v>
      </c>
      <c r="M458" s="295">
        <f>'CAR Mileage'!M479*CAR!$I$58</f>
        <v>20132.471090191397</v>
      </c>
      <c r="N458" s="295">
        <f>'CAR Mileage'!N479*CAR!$I$58</f>
        <v>20132.471090191397</v>
      </c>
      <c r="O458" s="295">
        <f>'CAR Mileage'!O479*CAR!$I$58</f>
        <v>20132.471090191397</v>
      </c>
      <c r="P458" s="295">
        <f>'CAR Mileage'!P479*CAR!$I$58</f>
        <v>20132.471090191397</v>
      </c>
      <c r="Q458" s="295">
        <f>'CAR Mileage'!Q479*CAR!$I$58</f>
        <v>20132.471090191397</v>
      </c>
      <c r="R458" s="295">
        <f>'CAR Mileage'!R479*CAR!$I$58</f>
        <v>20132.471090191397</v>
      </c>
      <c r="S458" s="295">
        <f>'CAR Mileage'!S479*CAR!$I$58</f>
        <v>20132.471090191397</v>
      </c>
      <c r="T458" s="295">
        <f>'CAR Mileage'!T479*CAR!$I$58</f>
        <v>20132.471090191397</v>
      </c>
      <c r="U458" s="295">
        <f>'CAR Mileage'!U479*CAR!$I$58</f>
        <v>20132.471090191397</v>
      </c>
      <c r="V458" s="295">
        <f>'CAR Mileage'!V479*CAR!$I$58</f>
        <v>20132.471090191397</v>
      </c>
      <c r="W458" s="295">
        <f>'CAR Mileage'!W479*CAR!$I$58</f>
        <v>20132.471090191397</v>
      </c>
      <c r="X458" s="295">
        <f>'CAR Mileage'!X479*CAR!$I$58</f>
        <v>20132.471090191397</v>
      </c>
      <c r="Y458" s="295">
        <f>'CAR Mileage'!Y479*CAR!$I$58</f>
        <v>20132.471090191397</v>
      </c>
      <c r="Z458" s="295">
        <f>'CAR Mileage'!Z479*CAR!$I$58</f>
        <v>20132.471090191397</v>
      </c>
      <c r="AA458" s="295">
        <f>'CAR Mileage'!AA479*CAR!$I$58</f>
        <v>20132.471090191397</v>
      </c>
      <c r="AB458" s="295">
        <f>'CAR Mileage'!AB479*CAR!$I$58</f>
        <v>20132.471090191397</v>
      </c>
      <c r="AC458" s="295">
        <f>'CAR Mileage'!AC479*CAR!$I$58</f>
        <v>20132.471090191397</v>
      </c>
      <c r="AD458" s="295">
        <f>'CAR Mileage'!AD479*CAR!$I$58</f>
        <v>20132.471090191397</v>
      </c>
      <c r="AE458" s="296">
        <f>'CAR Mileage'!AE479*CAR!$I$58</f>
        <v>20132.471090191397</v>
      </c>
      <c r="AG458" s="1711"/>
      <c r="AH458" s="116">
        <v>20</v>
      </c>
      <c r="AI458" s="294">
        <f>'CAR Passenger Kilometres'!C458*'CAR Stock'!C508</f>
        <v>0</v>
      </c>
      <c r="AJ458" s="295">
        <f>'CAR Passenger Kilometres'!D458*'CAR Stock'!D508</f>
        <v>0</v>
      </c>
      <c r="AK458" s="295">
        <f>'CAR Passenger Kilometres'!E458*'CAR Stock'!E508</f>
        <v>0</v>
      </c>
      <c r="AL458" s="295">
        <f>'CAR Passenger Kilometres'!F458*'CAR Stock'!F508</f>
        <v>0</v>
      </c>
      <c r="AM458" s="295">
        <f>'CAR Passenger Kilometres'!G458*'CAR Stock'!G508</f>
        <v>0</v>
      </c>
      <c r="AN458" s="295">
        <f>'CAR Passenger Kilometres'!H458*'CAR Stock'!H508</f>
        <v>0</v>
      </c>
      <c r="AO458" s="295">
        <f>'CAR Passenger Kilometres'!I458*'CAR Stock'!I508</f>
        <v>0</v>
      </c>
      <c r="AP458" s="295">
        <f>'CAR Passenger Kilometres'!J458*'CAR Stock'!J508</f>
        <v>0</v>
      </c>
      <c r="AQ458" s="295">
        <f>'CAR Passenger Kilometres'!K458*'CAR Stock'!K508</f>
        <v>0</v>
      </c>
      <c r="AR458" s="295">
        <f>'CAR Passenger Kilometres'!L458*'CAR Stock'!L508</f>
        <v>0.65252214639183626</v>
      </c>
      <c r="AS458" s="295">
        <f>'CAR Passenger Kilometres'!M458*'CAR Stock'!M508</f>
        <v>4.2514698893858656</v>
      </c>
      <c r="AT458" s="295">
        <f>'CAR Passenger Kilometres'!N458*'CAR Stock'!N508</f>
        <v>0.88265841740079554</v>
      </c>
      <c r="AU458" s="295">
        <f>'CAR Passenger Kilometres'!O458*'CAR Stock'!O508</f>
        <v>0</v>
      </c>
      <c r="AV458" s="295">
        <f>'CAR Passenger Kilometres'!P458*'CAR Stock'!P508</f>
        <v>9.0173996967797567</v>
      </c>
      <c r="AW458" s="295">
        <f>'CAR Passenger Kilometres'!Q458*'CAR Stock'!Q508</f>
        <v>55.607298130141835</v>
      </c>
      <c r="AX458" s="295">
        <f>'CAR Passenger Kilometres'!R458*'CAR Stock'!R508</f>
        <v>90.818096946138965</v>
      </c>
      <c r="AY458" s="295">
        <f>'CAR Passenger Kilometres'!S458*'CAR Stock'!S508</f>
        <v>77.936097379310766</v>
      </c>
      <c r="AZ458" s="295">
        <f>'CAR Passenger Kilometres'!T458*'CAR Stock'!T508</f>
        <v>9.4467996823406981</v>
      </c>
      <c r="BA458" s="295">
        <f>'CAR Passenger Kilometres'!U458*'CAR Stock'!U508</f>
        <v>38.860698693265142</v>
      </c>
      <c r="BB458" s="295">
        <f>'CAR Passenger Kilometres'!V458*'CAR Stock'!V508</f>
        <v>29.199199018143975</v>
      </c>
      <c r="BC458" s="295">
        <f>'CAR Passenger Kilometres'!W458*'CAR Stock'!W508</f>
        <v>20.396499314144688</v>
      </c>
      <c r="BD458" s="295">
        <f>'CAR Passenger Kilometres'!X458*'CAR Stock'!X508</f>
        <v>0</v>
      </c>
      <c r="BE458" s="295">
        <f>'CAR Passenger Kilometres'!Y458*'CAR Stock'!Y508</f>
        <v>0</v>
      </c>
      <c r="BF458" s="295">
        <f>'CAR Passenger Kilometres'!Z458*'CAR Stock'!Z508</f>
        <v>0</v>
      </c>
      <c r="BG458" s="295">
        <f>'CAR Passenger Kilometres'!AA458*'CAR Stock'!AA508</f>
        <v>0</v>
      </c>
      <c r="BH458" s="295">
        <f>'CAR Passenger Kilometres'!AB458*'CAR Stock'!AB508</f>
        <v>0</v>
      </c>
      <c r="BI458" s="295">
        <f>'CAR Passenger Kilometres'!AC458*'CAR Stock'!AC508</f>
        <v>0</v>
      </c>
      <c r="BJ458" s="295">
        <f>'CAR Passenger Kilometres'!AD458*'CAR Stock'!AD508</f>
        <v>0</v>
      </c>
      <c r="BK458" s="296">
        <f>'CAR Passenger Kilometres'!AE458*'CAR Stock'!AE508</f>
        <v>0</v>
      </c>
    </row>
    <row r="459" spans="1:63">
      <c r="A459" s="1711"/>
      <c r="B459" s="116">
        <v>21</v>
      </c>
      <c r="C459" s="294">
        <f>'CAR Mileage'!C480*CAR!$I$58</f>
        <v>20132.471090191397</v>
      </c>
      <c r="D459" s="295">
        <f>'CAR Mileage'!D480*CAR!$I$58</f>
        <v>20132.471090191397</v>
      </c>
      <c r="E459" s="295">
        <f>'CAR Mileage'!E480*CAR!$I$58</f>
        <v>20132.471090191397</v>
      </c>
      <c r="F459" s="295">
        <f>'CAR Mileage'!F480*CAR!$I$58</f>
        <v>20132.471090191397</v>
      </c>
      <c r="G459" s="295">
        <f>'CAR Mileage'!G480*CAR!$I$58</f>
        <v>20132.471090191397</v>
      </c>
      <c r="H459" s="295">
        <f>'CAR Mileage'!H480*CAR!$I$58</f>
        <v>20132.471090191397</v>
      </c>
      <c r="I459" s="295">
        <f>'CAR Mileage'!I480*CAR!$I$58</f>
        <v>20132.471090191397</v>
      </c>
      <c r="J459" s="295">
        <f>'CAR Mileage'!J480*CAR!$I$58</f>
        <v>20132.471090191397</v>
      </c>
      <c r="K459" s="295">
        <f>'CAR Mileage'!K480*CAR!$I$58</f>
        <v>20132.471090191397</v>
      </c>
      <c r="L459" s="295">
        <f>'CAR Mileage'!L480*CAR!$I$58</f>
        <v>20132.471090191397</v>
      </c>
      <c r="M459" s="295">
        <f>'CAR Mileage'!M480*CAR!$I$58</f>
        <v>20132.471090191397</v>
      </c>
      <c r="N459" s="295">
        <f>'CAR Mileage'!N480*CAR!$I$58</f>
        <v>20132.471090191397</v>
      </c>
      <c r="O459" s="295">
        <f>'CAR Mileage'!O480*CAR!$I$58</f>
        <v>20132.471090191397</v>
      </c>
      <c r="P459" s="295">
        <f>'CAR Mileage'!P480*CAR!$I$58</f>
        <v>20132.471090191397</v>
      </c>
      <c r="Q459" s="295">
        <f>'CAR Mileage'!Q480*CAR!$I$58</f>
        <v>20132.471090191397</v>
      </c>
      <c r="R459" s="295">
        <f>'CAR Mileage'!R480*CAR!$I$58</f>
        <v>20132.471090191397</v>
      </c>
      <c r="S459" s="295">
        <f>'CAR Mileage'!S480*CAR!$I$58</f>
        <v>20132.471090191397</v>
      </c>
      <c r="T459" s="295">
        <f>'CAR Mileage'!T480*CAR!$I$58</f>
        <v>20132.471090191397</v>
      </c>
      <c r="U459" s="295">
        <f>'CAR Mileage'!U480*CAR!$I$58</f>
        <v>20132.471090191397</v>
      </c>
      <c r="V459" s="295">
        <f>'CAR Mileage'!V480*CAR!$I$58</f>
        <v>20132.471090191397</v>
      </c>
      <c r="W459" s="295">
        <f>'CAR Mileage'!W480*CAR!$I$58</f>
        <v>20132.471090191397</v>
      </c>
      <c r="X459" s="295">
        <f>'CAR Mileage'!X480*CAR!$I$58</f>
        <v>20132.471090191397</v>
      </c>
      <c r="Y459" s="295">
        <f>'CAR Mileage'!Y480*CAR!$I$58</f>
        <v>20132.471090191397</v>
      </c>
      <c r="Z459" s="295">
        <f>'CAR Mileage'!Z480*CAR!$I$58</f>
        <v>20132.471090191397</v>
      </c>
      <c r="AA459" s="295">
        <f>'CAR Mileage'!AA480*CAR!$I$58</f>
        <v>20132.471090191397</v>
      </c>
      <c r="AB459" s="295">
        <f>'CAR Mileage'!AB480*CAR!$I$58</f>
        <v>20132.471090191397</v>
      </c>
      <c r="AC459" s="295">
        <f>'CAR Mileage'!AC480*CAR!$I$58</f>
        <v>20132.471090191397</v>
      </c>
      <c r="AD459" s="295">
        <f>'CAR Mileage'!AD480*CAR!$I$58</f>
        <v>20132.471090191397</v>
      </c>
      <c r="AE459" s="296">
        <f>'CAR Mileage'!AE480*CAR!$I$58</f>
        <v>20132.471090191397</v>
      </c>
      <c r="AG459" s="1711"/>
      <c r="AH459" s="116">
        <v>21</v>
      </c>
      <c r="AI459" s="294">
        <f>'CAR Passenger Kilometres'!C459*'CAR Stock'!C509</f>
        <v>0</v>
      </c>
      <c r="AJ459" s="295">
        <f>'CAR Passenger Kilometres'!D459*'CAR Stock'!D509</f>
        <v>0</v>
      </c>
      <c r="AK459" s="295">
        <f>'CAR Passenger Kilometres'!E459*'CAR Stock'!E509</f>
        <v>0</v>
      </c>
      <c r="AL459" s="295">
        <f>'CAR Passenger Kilometres'!F459*'CAR Stock'!F509</f>
        <v>0</v>
      </c>
      <c r="AM459" s="295">
        <f>'CAR Passenger Kilometres'!G459*'CAR Stock'!G509</f>
        <v>0</v>
      </c>
      <c r="AN459" s="295">
        <f>'CAR Passenger Kilometres'!H459*'CAR Stock'!H509</f>
        <v>0</v>
      </c>
      <c r="AO459" s="295">
        <f>'CAR Passenger Kilometres'!I459*'CAR Stock'!I509</f>
        <v>0</v>
      </c>
      <c r="AP459" s="295">
        <f>'CAR Passenger Kilometres'!J459*'CAR Stock'!J509</f>
        <v>0</v>
      </c>
      <c r="AQ459" s="295">
        <f>'CAR Passenger Kilometres'!K459*'CAR Stock'!K509</f>
        <v>0</v>
      </c>
      <c r="AR459" s="295">
        <f>'CAR Passenger Kilometres'!L459*'CAR Stock'!L509</f>
        <v>0</v>
      </c>
      <c r="AS459" s="295">
        <f>'CAR Passenger Kilometres'!M459*'CAR Stock'!M509</f>
        <v>7.976789032236084E-2</v>
      </c>
      <c r="AT459" s="295">
        <f>'CAR Passenger Kilometres'!N459*'CAR Stock'!N509</f>
        <v>0.51972302506604118</v>
      </c>
      <c r="AU459" s="295">
        <f>'CAR Passenger Kilometres'!O459*'CAR Stock'!O509</f>
        <v>0.10790101182106963</v>
      </c>
      <c r="AV459" s="295">
        <f>'CAR Passenger Kilometres'!P459*'CAR Stock'!P509</f>
        <v>0</v>
      </c>
      <c r="AW459" s="295">
        <f>'CAR Passenger Kilometres'!Q459*'CAR Stock'!Q509</f>
        <v>1.1023364555257289</v>
      </c>
      <c r="AX459" s="295">
        <f>'CAR Passenger Kilometres'!R459*'CAR Stock'!R509</f>
        <v>6.7977414757419945</v>
      </c>
      <c r="AY459" s="295">
        <f>'CAR Passenger Kilometres'!S459*'CAR Stock'!S509</f>
        <v>11.102102873509127</v>
      </c>
      <c r="AZ459" s="295">
        <f>'CAR Passenger Kilometres'!T459*'CAR Stock'!T509</f>
        <v>9.5273365084723718</v>
      </c>
      <c r="BA459" s="295">
        <f>'CAR Passenger Kilometres'!U459*'CAR Stock'!U509</f>
        <v>1.1548286676936208</v>
      </c>
      <c r="BB459" s="295">
        <f>'CAR Passenger Kilometres'!V459*'CAR Stock'!V509</f>
        <v>4.7505452011942131</v>
      </c>
      <c r="BC459" s="295">
        <f>'CAR Passenger Kilometres'!W459*'CAR Stock'!W509</f>
        <v>3.5694704274166456</v>
      </c>
      <c r="BD459" s="295">
        <f>'CAR Passenger Kilometres'!X459*'CAR Stock'!X509</f>
        <v>2.4933800779748632</v>
      </c>
      <c r="BE459" s="295">
        <f>'CAR Passenger Kilometres'!Y459*'CAR Stock'!Y509</f>
        <v>0</v>
      </c>
      <c r="BF459" s="295">
        <f>'CAR Passenger Kilometres'!Z459*'CAR Stock'!Z509</f>
        <v>0</v>
      </c>
      <c r="BG459" s="295">
        <f>'CAR Passenger Kilometres'!AA459*'CAR Stock'!AA509</f>
        <v>0</v>
      </c>
      <c r="BH459" s="295">
        <f>'CAR Passenger Kilometres'!AB459*'CAR Stock'!AB509</f>
        <v>0</v>
      </c>
      <c r="BI459" s="295">
        <f>'CAR Passenger Kilometres'!AC459*'CAR Stock'!AC509</f>
        <v>0</v>
      </c>
      <c r="BJ459" s="295">
        <f>'CAR Passenger Kilometres'!AD459*'CAR Stock'!AD509</f>
        <v>0</v>
      </c>
      <c r="BK459" s="296">
        <f>'CAR Passenger Kilometres'!AE459*'CAR Stock'!AE509</f>
        <v>0</v>
      </c>
    </row>
    <row r="460" spans="1:63">
      <c r="A460" s="1711"/>
      <c r="B460" s="116">
        <v>22</v>
      </c>
      <c r="C460" s="294">
        <f>'CAR Mileage'!C481*CAR!$I$58</f>
        <v>20132.471090191397</v>
      </c>
      <c r="D460" s="295">
        <f>'CAR Mileage'!D481*CAR!$I$58</f>
        <v>20132.471090191397</v>
      </c>
      <c r="E460" s="295">
        <f>'CAR Mileage'!E481*CAR!$I$58</f>
        <v>20132.471090191397</v>
      </c>
      <c r="F460" s="295">
        <f>'CAR Mileage'!F481*CAR!$I$58</f>
        <v>20132.471090191397</v>
      </c>
      <c r="G460" s="295">
        <f>'CAR Mileage'!G481*CAR!$I$58</f>
        <v>20132.471090191397</v>
      </c>
      <c r="H460" s="295">
        <f>'CAR Mileage'!H481*CAR!$I$58</f>
        <v>20132.471090191397</v>
      </c>
      <c r="I460" s="295">
        <f>'CAR Mileage'!I481*CAR!$I$58</f>
        <v>20132.471090191397</v>
      </c>
      <c r="J460" s="295">
        <f>'CAR Mileage'!J481*CAR!$I$58</f>
        <v>20132.471090191397</v>
      </c>
      <c r="K460" s="295">
        <f>'CAR Mileage'!K481*CAR!$I$58</f>
        <v>20132.471090191397</v>
      </c>
      <c r="L460" s="295">
        <f>'CAR Mileage'!L481*CAR!$I$58</f>
        <v>20132.471090191397</v>
      </c>
      <c r="M460" s="295">
        <f>'CAR Mileage'!M481*CAR!$I$58</f>
        <v>20132.471090191397</v>
      </c>
      <c r="N460" s="295">
        <f>'CAR Mileage'!N481*CAR!$I$58</f>
        <v>20132.471090191397</v>
      </c>
      <c r="O460" s="295">
        <f>'CAR Mileage'!O481*CAR!$I$58</f>
        <v>20132.471090191397</v>
      </c>
      <c r="P460" s="295">
        <f>'CAR Mileage'!P481*CAR!$I$58</f>
        <v>20132.471090191397</v>
      </c>
      <c r="Q460" s="295">
        <f>'CAR Mileage'!Q481*CAR!$I$58</f>
        <v>20132.471090191397</v>
      </c>
      <c r="R460" s="295">
        <f>'CAR Mileage'!R481*CAR!$I$58</f>
        <v>20132.471090191397</v>
      </c>
      <c r="S460" s="295">
        <f>'CAR Mileage'!S481*CAR!$I$58</f>
        <v>20132.471090191397</v>
      </c>
      <c r="T460" s="295">
        <f>'CAR Mileage'!T481*CAR!$I$58</f>
        <v>20132.471090191397</v>
      </c>
      <c r="U460" s="295">
        <f>'CAR Mileage'!U481*CAR!$I$58</f>
        <v>20132.471090191397</v>
      </c>
      <c r="V460" s="295">
        <f>'CAR Mileage'!V481*CAR!$I$58</f>
        <v>20132.471090191397</v>
      </c>
      <c r="W460" s="295">
        <f>'CAR Mileage'!W481*CAR!$I$58</f>
        <v>20132.471090191397</v>
      </c>
      <c r="X460" s="295">
        <f>'CAR Mileage'!X481*CAR!$I$58</f>
        <v>20132.471090191397</v>
      </c>
      <c r="Y460" s="295">
        <f>'CAR Mileage'!Y481*CAR!$I$58</f>
        <v>20132.471090191397</v>
      </c>
      <c r="Z460" s="295">
        <f>'CAR Mileage'!Z481*CAR!$I$58</f>
        <v>20132.471090191397</v>
      </c>
      <c r="AA460" s="295">
        <f>'CAR Mileage'!AA481*CAR!$I$58</f>
        <v>20132.471090191397</v>
      </c>
      <c r="AB460" s="295">
        <f>'CAR Mileage'!AB481*CAR!$I$58</f>
        <v>20132.471090191397</v>
      </c>
      <c r="AC460" s="295">
        <f>'CAR Mileage'!AC481*CAR!$I$58</f>
        <v>20132.471090191397</v>
      </c>
      <c r="AD460" s="295">
        <f>'CAR Mileage'!AD481*CAR!$I$58</f>
        <v>20132.471090191397</v>
      </c>
      <c r="AE460" s="296">
        <f>'CAR Mileage'!AE481*CAR!$I$58</f>
        <v>20132.471090191397</v>
      </c>
      <c r="AG460" s="1711"/>
      <c r="AH460" s="116">
        <v>22</v>
      </c>
      <c r="AI460" s="294">
        <f>'CAR Passenger Kilometres'!C460*'CAR Stock'!C510</f>
        <v>0</v>
      </c>
      <c r="AJ460" s="295">
        <f>'CAR Passenger Kilometres'!D460*'CAR Stock'!D510</f>
        <v>0</v>
      </c>
      <c r="AK460" s="295">
        <f>'CAR Passenger Kilometres'!E460*'CAR Stock'!E510</f>
        <v>0</v>
      </c>
      <c r="AL460" s="295">
        <f>'CAR Passenger Kilometres'!F460*'CAR Stock'!F510</f>
        <v>0</v>
      </c>
      <c r="AM460" s="295">
        <f>'CAR Passenger Kilometres'!G460*'CAR Stock'!G510</f>
        <v>0</v>
      </c>
      <c r="AN460" s="295">
        <f>'CAR Passenger Kilometres'!H460*'CAR Stock'!H510</f>
        <v>0</v>
      </c>
      <c r="AO460" s="295">
        <f>'CAR Passenger Kilometres'!I460*'CAR Stock'!I510</f>
        <v>0</v>
      </c>
      <c r="AP460" s="295">
        <f>'CAR Passenger Kilometres'!J460*'CAR Stock'!J510</f>
        <v>0</v>
      </c>
      <c r="AQ460" s="295">
        <f>'CAR Passenger Kilometres'!K460*'CAR Stock'!K510</f>
        <v>0</v>
      </c>
      <c r="AR460" s="295">
        <f>'CAR Passenger Kilometres'!L460*'CAR Stock'!L510</f>
        <v>0</v>
      </c>
      <c r="AS460" s="295">
        <f>'CAR Passenger Kilometres'!M460*'CAR Stock'!M510</f>
        <v>0</v>
      </c>
      <c r="AT460" s="295">
        <f>'CAR Passenger Kilometres'!N460*'CAR Stock'!N510</f>
        <v>7.3134487024666709E-3</v>
      </c>
      <c r="AU460" s="295">
        <f>'CAR Passenger Kilometres'!O460*'CAR Stock'!O510</f>
        <v>4.7650347376001621E-2</v>
      </c>
      <c r="AV460" s="295">
        <f>'CAR Passenger Kilometres'!P460*'CAR Stock'!P510</f>
        <v>9.8928091454918571E-3</v>
      </c>
      <c r="AW460" s="295">
        <f>'CAR Passenger Kilometres'!Q460*'CAR Stock'!Q510</f>
        <v>0</v>
      </c>
      <c r="AX460" s="295">
        <f>'CAR Passenger Kilometres'!R460*'CAR Stock'!R510</f>
        <v>0.10106674612762591</v>
      </c>
      <c r="AY460" s="295">
        <f>'CAR Passenger Kilometres'!S460*'CAR Stock'!S510</f>
        <v>0.62324493445369311</v>
      </c>
      <c r="AZ460" s="295">
        <f>'CAR Passenger Kilometres'!T460*'CAR Stock'!T510</f>
        <v>1.0178865145710896</v>
      </c>
      <c r="BA460" s="295">
        <f>'CAR Passenger Kilometres'!U460*'CAR Stock'!U510</f>
        <v>0.87350544867448121</v>
      </c>
      <c r="BB460" s="295">
        <f>'CAR Passenger Kilometres'!V460*'CAR Stock'!V510</f>
        <v>0.10587944832417955</v>
      </c>
      <c r="BC460" s="295">
        <f>'CAR Passenger Kilometres'!W460*'CAR Stock'!W510</f>
        <v>0.4355495487881022</v>
      </c>
      <c r="BD460" s="295">
        <f>'CAR Passenger Kilometres'!X460*'CAR Stock'!X510</f>
        <v>0.32726374936564584</v>
      </c>
      <c r="BE460" s="295">
        <f>'CAR Passenger Kilometres'!Y460*'CAR Stock'!Y510</f>
        <v>0.22860335433629672</v>
      </c>
      <c r="BF460" s="295">
        <f>'CAR Passenger Kilometres'!Z460*'CAR Stock'!Z510</f>
        <v>0</v>
      </c>
      <c r="BG460" s="295">
        <f>'CAR Passenger Kilometres'!AA460*'CAR Stock'!AA510</f>
        <v>0</v>
      </c>
      <c r="BH460" s="295">
        <f>'CAR Passenger Kilometres'!AB460*'CAR Stock'!AB510</f>
        <v>0</v>
      </c>
      <c r="BI460" s="295">
        <f>'CAR Passenger Kilometres'!AC460*'CAR Stock'!AC510</f>
        <v>0</v>
      </c>
      <c r="BJ460" s="295">
        <f>'CAR Passenger Kilometres'!AD460*'CAR Stock'!AD510</f>
        <v>0</v>
      </c>
      <c r="BK460" s="296">
        <f>'CAR Passenger Kilometres'!AE460*'CAR Stock'!AE510</f>
        <v>0</v>
      </c>
    </row>
    <row r="461" spans="1:63">
      <c r="A461" s="1711"/>
      <c r="B461" s="116">
        <v>23</v>
      </c>
      <c r="C461" s="294">
        <f>'CAR Mileage'!C482*CAR!$I$58</f>
        <v>20132.471090191397</v>
      </c>
      <c r="D461" s="295">
        <f>'CAR Mileage'!D482*CAR!$I$58</f>
        <v>20132.471090191397</v>
      </c>
      <c r="E461" s="295">
        <f>'CAR Mileage'!E482*CAR!$I$58</f>
        <v>20132.471090191397</v>
      </c>
      <c r="F461" s="295">
        <f>'CAR Mileage'!F482*CAR!$I$58</f>
        <v>20132.471090191397</v>
      </c>
      <c r="G461" s="295">
        <f>'CAR Mileage'!G482*CAR!$I$58</f>
        <v>20132.471090191397</v>
      </c>
      <c r="H461" s="295">
        <f>'CAR Mileage'!H482*CAR!$I$58</f>
        <v>20132.471090191397</v>
      </c>
      <c r="I461" s="295">
        <f>'CAR Mileage'!I482*CAR!$I$58</f>
        <v>20132.471090191397</v>
      </c>
      <c r="J461" s="295">
        <f>'CAR Mileage'!J482*CAR!$I$58</f>
        <v>20132.471090191397</v>
      </c>
      <c r="K461" s="295">
        <f>'CAR Mileage'!K482*CAR!$I$58</f>
        <v>20132.471090191397</v>
      </c>
      <c r="L461" s="295">
        <f>'CAR Mileage'!L482*CAR!$I$58</f>
        <v>20132.471090191397</v>
      </c>
      <c r="M461" s="295">
        <f>'CAR Mileage'!M482*CAR!$I$58</f>
        <v>20132.471090191397</v>
      </c>
      <c r="N461" s="295">
        <f>'CAR Mileage'!N482*CAR!$I$58</f>
        <v>20132.471090191397</v>
      </c>
      <c r="O461" s="295">
        <f>'CAR Mileage'!O482*CAR!$I$58</f>
        <v>20132.471090191397</v>
      </c>
      <c r="P461" s="295">
        <f>'CAR Mileage'!P482*CAR!$I$58</f>
        <v>20132.471090191397</v>
      </c>
      <c r="Q461" s="295">
        <f>'CAR Mileage'!Q482*CAR!$I$58</f>
        <v>20132.471090191397</v>
      </c>
      <c r="R461" s="295">
        <f>'CAR Mileage'!R482*CAR!$I$58</f>
        <v>20132.471090191397</v>
      </c>
      <c r="S461" s="295">
        <f>'CAR Mileage'!S482*CAR!$I$58</f>
        <v>20132.471090191397</v>
      </c>
      <c r="T461" s="295">
        <f>'CAR Mileage'!T482*CAR!$I$58</f>
        <v>20132.471090191397</v>
      </c>
      <c r="U461" s="295">
        <f>'CAR Mileage'!U482*CAR!$I$58</f>
        <v>20132.471090191397</v>
      </c>
      <c r="V461" s="295">
        <f>'CAR Mileage'!V482*CAR!$I$58</f>
        <v>20132.471090191397</v>
      </c>
      <c r="W461" s="295">
        <f>'CAR Mileage'!W482*CAR!$I$58</f>
        <v>20132.471090191397</v>
      </c>
      <c r="X461" s="295">
        <f>'CAR Mileage'!X482*CAR!$I$58</f>
        <v>20132.471090191397</v>
      </c>
      <c r="Y461" s="295">
        <f>'CAR Mileage'!Y482*CAR!$I$58</f>
        <v>20132.471090191397</v>
      </c>
      <c r="Z461" s="295">
        <f>'CAR Mileage'!Z482*CAR!$I$58</f>
        <v>20132.471090191397</v>
      </c>
      <c r="AA461" s="295">
        <f>'CAR Mileage'!AA482*CAR!$I$58</f>
        <v>20132.471090191397</v>
      </c>
      <c r="AB461" s="295">
        <f>'CAR Mileage'!AB482*CAR!$I$58</f>
        <v>20132.471090191397</v>
      </c>
      <c r="AC461" s="295">
        <f>'CAR Mileage'!AC482*CAR!$I$58</f>
        <v>20132.471090191397</v>
      </c>
      <c r="AD461" s="295">
        <f>'CAR Mileage'!AD482*CAR!$I$58</f>
        <v>20132.471090191397</v>
      </c>
      <c r="AE461" s="296">
        <f>'CAR Mileage'!AE482*CAR!$I$58</f>
        <v>20132.471090191397</v>
      </c>
      <c r="AG461" s="1711"/>
      <c r="AH461" s="116">
        <v>23</v>
      </c>
      <c r="AI461" s="294">
        <f>'CAR Passenger Kilometres'!C461*'CAR Stock'!C511</f>
        <v>0</v>
      </c>
      <c r="AJ461" s="295">
        <f>'CAR Passenger Kilometres'!D461*'CAR Stock'!D511</f>
        <v>0</v>
      </c>
      <c r="AK461" s="295">
        <f>'CAR Passenger Kilometres'!E461*'CAR Stock'!E511</f>
        <v>0</v>
      </c>
      <c r="AL461" s="295">
        <f>'CAR Passenger Kilometres'!F461*'CAR Stock'!F511</f>
        <v>0</v>
      </c>
      <c r="AM461" s="295">
        <f>'CAR Passenger Kilometres'!G461*'CAR Stock'!G511</f>
        <v>0</v>
      </c>
      <c r="AN461" s="295">
        <f>'CAR Passenger Kilometres'!H461*'CAR Stock'!H511</f>
        <v>0</v>
      </c>
      <c r="AO461" s="295">
        <f>'CAR Passenger Kilometres'!I461*'CAR Stock'!I511</f>
        <v>0</v>
      </c>
      <c r="AP461" s="295">
        <f>'CAR Passenger Kilometres'!J461*'CAR Stock'!J511</f>
        <v>0</v>
      </c>
      <c r="AQ461" s="295">
        <f>'CAR Passenger Kilometres'!K461*'CAR Stock'!K511</f>
        <v>0</v>
      </c>
      <c r="AR461" s="295">
        <f>'CAR Passenger Kilometres'!L461*'CAR Stock'!L511</f>
        <v>0</v>
      </c>
      <c r="AS461" s="295">
        <f>'CAR Passenger Kilometres'!M461*'CAR Stock'!M511</f>
        <v>0</v>
      </c>
      <c r="AT461" s="295">
        <f>'CAR Passenger Kilometres'!N461*'CAR Stock'!N511</f>
        <v>0</v>
      </c>
      <c r="AU461" s="295">
        <f>'CAR Passenger Kilometres'!O461*'CAR Stock'!O511</f>
        <v>4.4701806459934159E-4</v>
      </c>
      <c r="AV461" s="295">
        <f>'CAR Passenger Kilometres'!P461*'CAR Stock'!P511</f>
        <v>2.9125200610653538E-3</v>
      </c>
      <c r="AW461" s="295">
        <f>'CAR Passenger Kilometres'!Q461*'CAR Stock'!Q511</f>
        <v>6.0467565680427898E-4</v>
      </c>
      <c r="AX461" s="295">
        <f>'CAR Passenger Kilometres'!R461*'CAR Stock'!R511</f>
        <v>0</v>
      </c>
      <c r="AY461" s="295">
        <f>'CAR Passenger Kilometres'!S461*'CAR Stock'!S511</f>
        <v>6.1774770135581223E-3</v>
      </c>
      <c r="AZ461" s="295">
        <f>'CAR Passenger Kilometres'!T461*'CAR Stock'!T511</f>
        <v>3.8094441583608418E-2</v>
      </c>
      <c r="BA461" s="295">
        <f>'CAR Passenger Kilometres'!U461*'CAR Stock'!U511</f>
        <v>6.2216018493692515E-2</v>
      </c>
      <c r="BB461" s="295">
        <f>'CAR Passenger Kilometres'!V461*'CAR Stock'!V511</f>
        <v>5.3391051331466641E-2</v>
      </c>
      <c r="BC461" s="295">
        <f>'CAR Passenger Kilometres'!W461*'CAR Stock'!W511</f>
        <v>6.4716425856323201E-3</v>
      </c>
      <c r="BD461" s="295">
        <f>'CAR Passenger Kilometres'!X461*'CAR Stock'!X511</f>
        <v>2.6621984272714765E-2</v>
      </c>
      <c r="BE461" s="295">
        <f>'CAR Passenger Kilometres'!Y461*'CAR Stock'!Y511</f>
        <v>2.0003258901045349E-2</v>
      </c>
      <c r="BF461" s="295">
        <f>'CAR Passenger Kilometres'!Z461*'CAR Stock'!Z511</f>
        <v>1.3972864673524325E-2</v>
      </c>
      <c r="BG461" s="295">
        <f>'CAR Passenger Kilometres'!AA461*'CAR Stock'!AA511</f>
        <v>0</v>
      </c>
      <c r="BH461" s="295">
        <f>'CAR Passenger Kilometres'!AB461*'CAR Stock'!AB511</f>
        <v>0</v>
      </c>
      <c r="BI461" s="295">
        <f>'CAR Passenger Kilometres'!AC461*'CAR Stock'!AC511</f>
        <v>0</v>
      </c>
      <c r="BJ461" s="295">
        <f>'CAR Passenger Kilometres'!AD461*'CAR Stock'!AD511</f>
        <v>0</v>
      </c>
      <c r="BK461" s="296">
        <f>'CAR Passenger Kilometres'!AE461*'CAR Stock'!AE511</f>
        <v>0</v>
      </c>
    </row>
    <row r="462" spans="1:63">
      <c r="A462" s="1711"/>
      <c r="B462" s="116">
        <v>24</v>
      </c>
      <c r="C462" s="294">
        <f>'CAR Mileage'!C483*CAR!$I$58</f>
        <v>20132.471090191397</v>
      </c>
      <c r="D462" s="295">
        <f>'CAR Mileage'!D483*CAR!$I$58</f>
        <v>20132.471090191397</v>
      </c>
      <c r="E462" s="295">
        <f>'CAR Mileage'!E483*CAR!$I$58</f>
        <v>20132.471090191397</v>
      </c>
      <c r="F462" s="295">
        <f>'CAR Mileage'!F483*CAR!$I$58</f>
        <v>20132.471090191397</v>
      </c>
      <c r="G462" s="295">
        <f>'CAR Mileage'!G483*CAR!$I$58</f>
        <v>20132.471090191397</v>
      </c>
      <c r="H462" s="295">
        <f>'CAR Mileage'!H483*CAR!$I$58</f>
        <v>20132.471090191397</v>
      </c>
      <c r="I462" s="295">
        <f>'CAR Mileage'!I483*CAR!$I$58</f>
        <v>20132.471090191397</v>
      </c>
      <c r="J462" s="295">
        <f>'CAR Mileage'!J483*CAR!$I$58</f>
        <v>20132.471090191397</v>
      </c>
      <c r="K462" s="295">
        <f>'CAR Mileage'!K483*CAR!$I$58</f>
        <v>20132.471090191397</v>
      </c>
      <c r="L462" s="295">
        <f>'CAR Mileage'!L483*CAR!$I$58</f>
        <v>20132.471090191397</v>
      </c>
      <c r="M462" s="295">
        <f>'CAR Mileage'!M483*CAR!$I$58</f>
        <v>20132.471090191397</v>
      </c>
      <c r="N462" s="295">
        <f>'CAR Mileage'!N483*CAR!$I$58</f>
        <v>20132.471090191397</v>
      </c>
      <c r="O462" s="295">
        <f>'CAR Mileage'!O483*CAR!$I$58</f>
        <v>20132.471090191397</v>
      </c>
      <c r="P462" s="295">
        <f>'CAR Mileage'!P483*CAR!$I$58</f>
        <v>20132.471090191397</v>
      </c>
      <c r="Q462" s="295">
        <f>'CAR Mileage'!Q483*CAR!$I$58</f>
        <v>20132.471090191397</v>
      </c>
      <c r="R462" s="295">
        <f>'CAR Mileage'!R483*CAR!$I$58</f>
        <v>20132.471090191397</v>
      </c>
      <c r="S462" s="295">
        <f>'CAR Mileage'!S483*CAR!$I$58</f>
        <v>20132.471090191397</v>
      </c>
      <c r="T462" s="295">
        <f>'CAR Mileage'!T483*CAR!$I$58</f>
        <v>20132.471090191397</v>
      </c>
      <c r="U462" s="295">
        <f>'CAR Mileage'!U483*CAR!$I$58</f>
        <v>20132.471090191397</v>
      </c>
      <c r="V462" s="295">
        <f>'CAR Mileage'!V483*CAR!$I$58</f>
        <v>20132.471090191397</v>
      </c>
      <c r="W462" s="295">
        <f>'CAR Mileage'!W483*CAR!$I$58</f>
        <v>20132.471090191397</v>
      </c>
      <c r="X462" s="295">
        <f>'CAR Mileage'!X483*CAR!$I$58</f>
        <v>20132.471090191397</v>
      </c>
      <c r="Y462" s="295">
        <f>'CAR Mileage'!Y483*CAR!$I$58</f>
        <v>20132.471090191397</v>
      </c>
      <c r="Z462" s="295">
        <f>'CAR Mileage'!Z483*CAR!$I$58</f>
        <v>20132.471090191397</v>
      </c>
      <c r="AA462" s="295">
        <f>'CAR Mileage'!AA483*CAR!$I$58</f>
        <v>20132.471090191397</v>
      </c>
      <c r="AB462" s="295">
        <f>'CAR Mileage'!AB483*CAR!$I$58</f>
        <v>20132.471090191397</v>
      </c>
      <c r="AC462" s="295">
        <f>'CAR Mileage'!AC483*CAR!$I$58</f>
        <v>20132.471090191397</v>
      </c>
      <c r="AD462" s="295">
        <f>'CAR Mileage'!AD483*CAR!$I$58</f>
        <v>20132.471090191397</v>
      </c>
      <c r="AE462" s="296">
        <f>'CAR Mileage'!AE483*CAR!$I$58</f>
        <v>20132.471090191397</v>
      </c>
      <c r="AG462" s="1711"/>
      <c r="AH462" s="116">
        <v>24</v>
      </c>
      <c r="AI462" s="294">
        <f>'CAR Passenger Kilometres'!C462*'CAR Stock'!C512</f>
        <v>0</v>
      </c>
      <c r="AJ462" s="295">
        <f>'CAR Passenger Kilometres'!D462*'CAR Stock'!D512</f>
        <v>0</v>
      </c>
      <c r="AK462" s="295">
        <f>'CAR Passenger Kilometres'!E462*'CAR Stock'!E512</f>
        <v>0</v>
      </c>
      <c r="AL462" s="295">
        <f>'CAR Passenger Kilometres'!F462*'CAR Stock'!F512</f>
        <v>0</v>
      </c>
      <c r="AM462" s="295">
        <f>'CAR Passenger Kilometres'!G462*'CAR Stock'!G512</f>
        <v>0</v>
      </c>
      <c r="AN462" s="295">
        <f>'CAR Passenger Kilometres'!H462*'CAR Stock'!H512</f>
        <v>0</v>
      </c>
      <c r="AO462" s="295">
        <f>'CAR Passenger Kilometres'!I462*'CAR Stock'!I512</f>
        <v>0</v>
      </c>
      <c r="AP462" s="295">
        <f>'CAR Passenger Kilometres'!J462*'CAR Stock'!J512</f>
        <v>0</v>
      </c>
      <c r="AQ462" s="295">
        <f>'CAR Passenger Kilometres'!K462*'CAR Stock'!K512</f>
        <v>0</v>
      </c>
      <c r="AR462" s="295">
        <f>'CAR Passenger Kilometres'!L462*'CAR Stock'!L512</f>
        <v>0</v>
      </c>
      <c r="AS462" s="295">
        <f>'CAR Passenger Kilometres'!M462*'CAR Stock'!M512</f>
        <v>0</v>
      </c>
      <c r="AT462" s="295">
        <f>'CAR Passenger Kilometres'!N462*'CAR Stock'!N512</f>
        <v>0</v>
      </c>
      <c r="AU462" s="295">
        <f>'CAR Passenger Kilometres'!O462*'CAR Stock'!O512</f>
        <v>0</v>
      </c>
      <c r="AV462" s="295">
        <f>'CAR Passenger Kilometres'!P462*'CAR Stock'!P512</f>
        <v>1.3661485723605644E-5</v>
      </c>
      <c r="AW462" s="295">
        <f>'CAR Passenger Kilometres'!Q462*'CAR Stock'!Q512</f>
        <v>8.9010611393573576E-5</v>
      </c>
      <c r="AX462" s="295">
        <f>'CAR Passenger Kilometres'!R462*'CAR Stock'!R512</f>
        <v>1.8479718174807046E-5</v>
      </c>
      <c r="AY462" s="295">
        <f>'CAR Passenger Kilometres'!S462*'CAR Stock'!S512</f>
        <v>0</v>
      </c>
      <c r="AZ462" s="295">
        <f>'CAR Passenger Kilometres'!T462*'CAR Stock'!T512</f>
        <v>1.8879217801693872E-4</v>
      </c>
      <c r="BA462" s="295">
        <f>'CAR Passenger Kilometres'!U462*'CAR Stock'!U512</f>
        <v>1.1642184311044556E-3</v>
      </c>
      <c r="BB462" s="295">
        <f>'CAR Passenger Kilometres'!V462*'CAR Stock'!V512</f>
        <v>1.9014069357420255E-3</v>
      </c>
      <c r="BC462" s="295">
        <f>'CAR Passenger Kilometres'!W462*'CAR Stock'!W512</f>
        <v>1.6317038242892564E-3</v>
      </c>
      <c r="BD462" s="295">
        <f>'CAR Passenger Kilometres'!X462*'CAR Stock'!X512</f>
        <v>1.9778228173203112E-4</v>
      </c>
      <c r="BE462" s="295">
        <f>'CAR Passenger Kilometres'!Y462*'CAR Stock'!Y512</f>
        <v>8.1360438621585509E-4</v>
      </c>
      <c r="BF462" s="295">
        <f>'CAR Passenger Kilometres'!Z462*'CAR Stock'!Z512</f>
        <v>6.1132705262627784E-4</v>
      </c>
      <c r="BG462" s="295">
        <f>'CAR Passenger Kilometres'!AA462*'CAR Stock'!AA512</f>
        <v>4.2702992646688525E-4</v>
      </c>
      <c r="BH462" s="295">
        <f>'CAR Passenger Kilometres'!AB462*'CAR Stock'!AB512</f>
        <v>0</v>
      </c>
      <c r="BI462" s="295">
        <f>'CAR Passenger Kilometres'!AC462*'CAR Stock'!AC512</f>
        <v>0</v>
      </c>
      <c r="BJ462" s="295">
        <f>'CAR Passenger Kilometres'!AD462*'CAR Stock'!AD512</f>
        <v>0</v>
      </c>
      <c r="BK462" s="296">
        <f>'CAR Passenger Kilometres'!AE462*'CAR Stock'!AE512</f>
        <v>0</v>
      </c>
    </row>
    <row r="463" spans="1:63" ht="15.75" thickBot="1">
      <c r="A463" s="1711"/>
      <c r="B463" s="116">
        <v>25</v>
      </c>
      <c r="C463" s="297">
        <f>'CAR Mileage'!C484*CAR!$I$58</f>
        <v>20132.471090191397</v>
      </c>
      <c r="D463" s="298">
        <f>'CAR Mileage'!D484*CAR!$I$58</f>
        <v>20132.471090191397</v>
      </c>
      <c r="E463" s="298">
        <f>'CAR Mileage'!E484*CAR!$I$58</f>
        <v>20132.471090191397</v>
      </c>
      <c r="F463" s="298">
        <f>'CAR Mileage'!F484*CAR!$I$58</f>
        <v>20132.471090191397</v>
      </c>
      <c r="G463" s="298">
        <f>'CAR Mileage'!G484*CAR!$I$58</f>
        <v>20132.471090191397</v>
      </c>
      <c r="H463" s="298">
        <f>'CAR Mileage'!H484*CAR!$I$58</f>
        <v>20132.471090191397</v>
      </c>
      <c r="I463" s="298">
        <f>'CAR Mileage'!I484*CAR!$I$58</f>
        <v>20132.471090191397</v>
      </c>
      <c r="J463" s="298">
        <f>'CAR Mileage'!J484*CAR!$I$58</f>
        <v>20132.471090191397</v>
      </c>
      <c r="K463" s="298">
        <f>'CAR Mileage'!K484*CAR!$I$58</f>
        <v>20132.471090191397</v>
      </c>
      <c r="L463" s="298">
        <f>'CAR Mileage'!L484*CAR!$I$58</f>
        <v>20132.471090191397</v>
      </c>
      <c r="M463" s="298">
        <f>'CAR Mileage'!M484*CAR!$I$58</f>
        <v>20132.471090191397</v>
      </c>
      <c r="N463" s="298">
        <f>'CAR Mileage'!N484*CAR!$I$58</f>
        <v>20132.471090191397</v>
      </c>
      <c r="O463" s="298">
        <f>'CAR Mileage'!O484*CAR!$I$58</f>
        <v>20132.471090191397</v>
      </c>
      <c r="P463" s="298">
        <f>'CAR Mileage'!P484*CAR!$I$58</f>
        <v>20132.471090191397</v>
      </c>
      <c r="Q463" s="298">
        <f>'CAR Mileage'!Q484*CAR!$I$58</f>
        <v>20132.471090191397</v>
      </c>
      <c r="R463" s="298">
        <f>'CAR Mileage'!R484*CAR!$I$58</f>
        <v>20132.471090191397</v>
      </c>
      <c r="S463" s="298">
        <f>'CAR Mileage'!S484*CAR!$I$58</f>
        <v>20132.471090191397</v>
      </c>
      <c r="T463" s="298">
        <f>'CAR Mileage'!T484*CAR!$I$58</f>
        <v>20132.471090191397</v>
      </c>
      <c r="U463" s="298">
        <f>'CAR Mileage'!U484*CAR!$I$58</f>
        <v>20132.471090191397</v>
      </c>
      <c r="V463" s="298">
        <f>'CAR Mileage'!V484*CAR!$I$58</f>
        <v>20132.471090191397</v>
      </c>
      <c r="W463" s="298">
        <f>'CAR Mileage'!W484*CAR!$I$58</f>
        <v>20132.471090191397</v>
      </c>
      <c r="X463" s="298">
        <f>'CAR Mileage'!X484*CAR!$I$58</f>
        <v>20132.471090191397</v>
      </c>
      <c r="Y463" s="298">
        <f>'CAR Mileage'!Y484*CAR!$I$58</f>
        <v>20132.471090191397</v>
      </c>
      <c r="Z463" s="298">
        <f>'CAR Mileage'!Z484*CAR!$I$58</f>
        <v>20132.471090191397</v>
      </c>
      <c r="AA463" s="298">
        <f>'CAR Mileage'!AA484*CAR!$I$58</f>
        <v>20132.471090191397</v>
      </c>
      <c r="AB463" s="298">
        <f>'CAR Mileage'!AB484*CAR!$I$58</f>
        <v>20132.471090191397</v>
      </c>
      <c r="AC463" s="298">
        <f>'CAR Mileage'!AC484*CAR!$I$58</f>
        <v>20132.471090191397</v>
      </c>
      <c r="AD463" s="298">
        <f>'CAR Mileage'!AD484*CAR!$I$58</f>
        <v>20132.471090191397</v>
      </c>
      <c r="AE463" s="299">
        <f>'CAR Mileage'!AE484*CAR!$I$58</f>
        <v>20132.471090191397</v>
      </c>
      <c r="AG463" s="1711"/>
      <c r="AH463" s="116">
        <v>25</v>
      </c>
      <c r="AI463" s="297">
        <f>'CAR Passenger Kilometres'!C463*'CAR Stock'!C513</f>
        <v>0</v>
      </c>
      <c r="AJ463" s="298">
        <f>'CAR Passenger Kilometres'!D463*'CAR Stock'!D513</f>
        <v>0</v>
      </c>
      <c r="AK463" s="298">
        <f>'CAR Passenger Kilometres'!E463*'CAR Stock'!E513</f>
        <v>0</v>
      </c>
      <c r="AL463" s="298">
        <f>'CAR Passenger Kilometres'!F463*'CAR Stock'!F513</f>
        <v>0</v>
      </c>
      <c r="AM463" s="298">
        <f>'CAR Passenger Kilometres'!G463*'CAR Stock'!G513</f>
        <v>0</v>
      </c>
      <c r="AN463" s="298">
        <f>'CAR Passenger Kilometres'!H463*'CAR Stock'!H513</f>
        <v>0</v>
      </c>
      <c r="AO463" s="298">
        <f>'CAR Passenger Kilometres'!I463*'CAR Stock'!I513</f>
        <v>0</v>
      </c>
      <c r="AP463" s="298">
        <f>'CAR Passenger Kilometres'!J463*'CAR Stock'!J513</f>
        <v>0</v>
      </c>
      <c r="AQ463" s="298">
        <f>'CAR Passenger Kilometres'!K463*'CAR Stock'!K513</f>
        <v>0</v>
      </c>
      <c r="AR463" s="298">
        <f>'CAR Passenger Kilometres'!L463*'CAR Stock'!L513</f>
        <v>0</v>
      </c>
      <c r="AS463" s="298">
        <f>'CAR Passenger Kilometres'!M463*'CAR Stock'!M513</f>
        <v>0</v>
      </c>
      <c r="AT463" s="298">
        <f>'CAR Passenger Kilometres'!N463*'CAR Stock'!N513</f>
        <v>0</v>
      </c>
      <c r="AU463" s="298">
        <f>'CAR Passenger Kilometres'!O463*'CAR Stock'!O513</f>
        <v>0</v>
      </c>
      <c r="AV463" s="298">
        <f>'CAR Passenger Kilometres'!P463*'CAR Stock'!P513</f>
        <v>0</v>
      </c>
      <c r="AW463" s="298">
        <f>'CAR Passenger Kilometres'!Q463*'CAR Stock'!Q513</f>
        <v>0</v>
      </c>
      <c r="AX463" s="298">
        <f>'CAR Passenger Kilometres'!R463*'CAR Stock'!R513</f>
        <v>0</v>
      </c>
      <c r="AY463" s="298">
        <f>'CAR Passenger Kilometres'!S463*'CAR Stock'!S513</f>
        <v>0</v>
      </c>
      <c r="AZ463" s="298">
        <f>'CAR Passenger Kilometres'!T463*'CAR Stock'!T513</f>
        <v>0</v>
      </c>
      <c r="BA463" s="298">
        <f>'CAR Passenger Kilometres'!U463*'CAR Stock'!U513</f>
        <v>0</v>
      </c>
      <c r="BB463" s="298">
        <f>'CAR Passenger Kilometres'!V463*'CAR Stock'!V513</f>
        <v>0</v>
      </c>
      <c r="BC463" s="298">
        <f>'CAR Passenger Kilometres'!W463*'CAR Stock'!W513</f>
        <v>0</v>
      </c>
      <c r="BD463" s="298">
        <f>'CAR Passenger Kilometres'!X463*'CAR Stock'!X513</f>
        <v>0</v>
      </c>
      <c r="BE463" s="298">
        <f>'CAR Passenger Kilometres'!Y463*'CAR Stock'!Y513</f>
        <v>0</v>
      </c>
      <c r="BF463" s="298">
        <f>'CAR Passenger Kilometres'!Z463*'CAR Stock'!Z513</f>
        <v>0</v>
      </c>
      <c r="BG463" s="298">
        <f>'CAR Passenger Kilometres'!AA463*'CAR Stock'!AA513</f>
        <v>0</v>
      </c>
      <c r="BH463" s="298">
        <f>'CAR Passenger Kilometres'!AB463*'CAR Stock'!AB513</f>
        <v>0</v>
      </c>
      <c r="BI463" s="298">
        <f>'CAR Passenger Kilometres'!AC463*'CAR Stock'!AC513</f>
        <v>0</v>
      </c>
      <c r="BJ463" s="298">
        <f>'CAR Passenger Kilometres'!AD463*'CAR Stock'!AD513</f>
        <v>0</v>
      </c>
      <c r="BK463" s="299">
        <f>'CAR Passenger Kilometres'!AE463*'CAR Stock'!AE513</f>
        <v>0</v>
      </c>
    </row>
    <row r="464" spans="1:63" ht="16.5" thickTop="1" thickBot="1">
      <c r="A464" s="1712"/>
      <c r="B464" s="300" t="s">
        <v>39</v>
      </c>
      <c r="C464" s="301">
        <f>'CAR Mileage'!C485*CAR!$I$58</f>
        <v>25673.401648455005</v>
      </c>
      <c r="D464" s="301">
        <f>'CAR Mileage'!D485*CAR!$I$58</f>
        <v>25169.565139741178</v>
      </c>
      <c r="E464" s="301">
        <f>'CAR Mileage'!E485*CAR!$I$58</f>
        <v>24678.499570927954</v>
      </c>
      <c r="F464" s="301">
        <f>'CAR Mileage'!F485*CAR!$I$58</f>
        <v>24203.691698997649</v>
      </c>
      <c r="G464" s="301">
        <f>'CAR Mileage'!G485*CAR!$I$58</f>
        <v>23758.172721743304</v>
      </c>
      <c r="H464" s="301">
        <f>'CAR Mileage'!H485*CAR!$I$58</f>
        <v>23356.189707560094</v>
      </c>
      <c r="I464" s="301">
        <f>'CAR Mileage'!I485*CAR!$I$58</f>
        <v>23008.716956615219</v>
      </c>
      <c r="J464" s="301">
        <f>'CAR Mileage'!J485*CAR!$I$58</f>
        <v>22721.767521186197</v>
      </c>
      <c r="K464" s="301">
        <f>'CAR Mileage'!K485*CAR!$I$58</f>
        <v>22486.702155888641</v>
      </c>
      <c r="L464" s="301">
        <f>'CAR Mileage'!L485*CAR!$I$58</f>
        <v>22273.578975231412</v>
      </c>
      <c r="M464" s="301">
        <f>'CAR Mileage'!M485*CAR!$I$58</f>
        <v>22040.683156539959</v>
      </c>
      <c r="N464" s="301">
        <f>'CAR Mileage'!N485*CAR!$I$58</f>
        <v>21765.558606561819</v>
      </c>
      <c r="O464" s="301">
        <f>'CAR Mileage'!O485*CAR!$I$58</f>
        <v>21449.399612093221</v>
      </c>
      <c r="P464" s="301">
        <f>'CAR Mileage'!P485*CAR!$I$58</f>
        <v>21113.920658144394</v>
      </c>
      <c r="Q464" s="301">
        <f>'CAR Mileage'!Q485*CAR!$I$58</f>
        <v>20752.820236241005</v>
      </c>
      <c r="R464" s="301">
        <f>'CAR Mileage'!R485*CAR!$I$58</f>
        <v>20399.171015841708</v>
      </c>
      <c r="S464" s="301">
        <f>'CAR Mileage'!S485*CAR!$I$58</f>
        <v>20132.471090191404</v>
      </c>
      <c r="T464" s="301">
        <f>'CAR Mileage'!T485*CAR!$I$58</f>
        <v>20132.4710901914</v>
      </c>
      <c r="U464" s="301">
        <f>'CAR Mileage'!U485*CAR!$I$58</f>
        <v>20132.471090191397</v>
      </c>
      <c r="V464" s="301">
        <f>'CAR Mileage'!V485*CAR!$I$58</f>
        <v>20132.4710901914</v>
      </c>
      <c r="W464" s="301">
        <f>'CAR Mileage'!W485*CAR!$I$58</f>
        <v>20132.471090191397</v>
      </c>
      <c r="X464" s="301">
        <f>'CAR Mileage'!X485*CAR!$I$58</f>
        <v>20132.471090191397</v>
      </c>
      <c r="Y464" s="301">
        <f>'CAR Mileage'!Y485*CAR!$I$58</f>
        <v>20132.471090191397</v>
      </c>
      <c r="Z464" s="301">
        <f>'CAR Mileage'!Z485*CAR!$I$58</f>
        <v>20132.471090191393</v>
      </c>
      <c r="AA464" s="301">
        <f>'CAR Mileage'!AA485*CAR!$I$58</f>
        <v>20132.471090191397</v>
      </c>
      <c r="AB464" s="301">
        <f>'CAR Mileage'!AB485*CAR!$I$58</f>
        <v>0</v>
      </c>
      <c r="AC464" s="301">
        <f>'CAR Mileage'!AC485*CAR!$I$58</f>
        <v>0</v>
      </c>
      <c r="AD464" s="301">
        <f>'CAR Mileage'!AD485*CAR!$I$58</f>
        <v>0</v>
      </c>
      <c r="AE464" s="302">
        <f>'CAR Mileage'!AE485*CAR!$I$58</f>
        <v>0</v>
      </c>
      <c r="AG464" s="1712"/>
      <c r="AH464" s="300" t="s">
        <v>39</v>
      </c>
      <c r="AI464" s="301">
        <f t="shared" ref="AI464:BK464" si="19">SUM(AI438:AI463)</f>
        <v>40204546.981480531</v>
      </c>
      <c r="AJ464" s="301">
        <f t="shared" si="19"/>
        <v>39285464.074595034</v>
      </c>
      <c r="AK464" s="301">
        <f t="shared" si="19"/>
        <v>38338260.64405442</v>
      </c>
      <c r="AL464" s="301">
        <f t="shared" si="19"/>
        <v>37183897.88557411</v>
      </c>
      <c r="AM464" s="301">
        <f t="shared" si="19"/>
        <v>35238933.659674689</v>
      </c>
      <c r="AN464" s="301">
        <f t="shared" si="19"/>
        <v>31793602.755153731</v>
      </c>
      <c r="AO464" s="301">
        <f t="shared" si="19"/>
        <v>26746700.421966515</v>
      </c>
      <c r="AP464" s="301">
        <f t="shared" si="19"/>
        <v>20905398.377857044</v>
      </c>
      <c r="AQ464" s="301">
        <f t="shared" si="19"/>
        <v>15244000.155618725</v>
      </c>
      <c r="AR464" s="301">
        <f t="shared" si="19"/>
        <v>10433136.127177902</v>
      </c>
      <c r="AS464" s="301">
        <f t="shared" si="19"/>
        <v>6630108.5067804037</v>
      </c>
      <c r="AT464" s="301">
        <f t="shared" si="19"/>
        <v>3814311.2807608992</v>
      </c>
      <c r="AU464" s="301">
        <f t="shared" si="19"/>
        <v>1914876.6884558587</v>
      </c>
      <c r="AV464" s="301">
        <f t="shared" si="19"/>
        <v>804430.29232571064</v>
      </c>
      <c r="AW464" s="301">
        <f t="shared" si="19"/>
        <v>277829.90963825828</v>
      </c>
      <c r="AX464" s="301">
        <f t="shared" si="19"/>
        <v>78982.903462930655</v>
      </c>
      <c r="AY464" s="301">
        <f t="shared" si="19"/>
        <v>20326.849898680157</v>
      </c>
      <c r="AZ464" s="301">
        <f t="shared" si="19"/>
        <v>4719.0835958663429</v>
      </c>
      <c r="BA464" s="301">
        <f t="shared" si="19"/>
        <v>959.96646248390175</v>
      </c>
      <c r="BB464" s="301">
        <f t="shared" si="19"/>
        <v>167.58986318154129</v>
      </c>
      <c r="BC464" s="301">
        <f t="shared" si="19"/>
        <v>24.409622636759362</v>
      </c>
      <c r="BD464" s="301">
        <f t="shared" si="19"/>
        <v>2.8474635938949557</v>
      </c>
      <c r="BE464" s="301">
        <f t="shared" si="19"/>
        <v>0.24942021762355793</v>
      </c>
      <c r="BF464" s="301">
        <f t="shared" si="19"/>
        <v>1.4584191726150603E-2</v>
      </c>
      <c r="BG464" s="301">
        <f t="shared" si="19"/>
        <v>4.2702992646688525E-4</v>
      </c>
      <c r="BH464" s="301">
        <f t="shared" si="19"/>
        <v>0</v>
      </c>
      <c r="BI464" s="301">
        <f t="shared" si="19"/>
        <v>0</v>
      </c>
      <c r="BJ464" s="301">
        <f t="shared" si="19"/>
        <v>0</v>
      </c>
      <c r="BK464" s="302">
        <f t="shared" si="19"/>
        <v>0</v>
      </c>
    </row>
  </sheetData>
  <mergeCells count="32">
    <mergeCell ref="AG350:AG377"/>
    <mergeCell ref="AG379:AG406"/>
    <mergeCell ref="AG408:AG435"/>
    <mergeCell ref="AG437:AG464"/>
    <mergeCell ref="AG176:AG203"/>
    <mergeCell ref="AG205:AG232"/>
    <mergeCell ref="AG234:AG261"/>
    <mergeCell ref="AG263:AG290"/>
    <mergeCell ref="AG292:AG319"/>
    <mergeCell ref="AG321:AG348"/>
    <mergeCell ref="AG147:AG174"/>
    <mergeCell ref="AG2:AG29"/>
    <mergeCell ref="AG31:AG58"/>
    <mergeCell ref="AG60:AG87"/>
    <mergeCell ref="AG89:AG116"/>
    <mergeCell ref="AG118:AG145"/>
    <mergeCell ref="A147:A174"/>
    <mergeCell ref="A2:A29"/>
    <mergeCell ref="A31:A58"/>
    <mergeCell ref="A60:A87"/>
    <mergeCell ref="A89:A116"/>
    <mergeCell ref="A118:A145"/>
    <mergeCell ref="A350:A377"/>
    <mergeCell ref="A379:A406"/>
    <mergeCell ref="A408:A435"/>
    <mergeCell ref="A437:A464"/>
    <mergeCell ref="A176:A203"/>
    <mergeCell ref="A205:A232"/>
    <mergeCell ref="A234:A261"/>
    <mergeCell ref="A263:A290"/>
    <mergeCell ref="A292:A319"/>
    <mergeCell ref="A321:A348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2">
    <tabColor theme="4"/>
  </sheetPr>
  <dimension ref="A1:DW151"/>
  <sheetViews>
    <sheetView workbookViewId="0">
      <selection sqref="A1:AC1"/>
    </sheetView>
  </sheetViews>
  <sheetFormatPr defaultRowHeight="15"/>
  <cols>
    <col min="1" max="1" width="42" bestFit="1" customWidth="1"/>
    <col min="14" max="14" width="9.140625" customWidth="1"/>
    <col min="30" max="30" width="18" bestFit="1" customWidth="1"/>
    <col min="31" max="31" width="23.7109375" bestFit="1" customWidth="1"/>
    <col min="62" max="62" width="19.140625" bestFit="1" customWidth="1"/>
    <col min="63" max="63" width="23.7109375" bestFit="1" customWidth="1"/>
    <col min="94" max="94" width="19.140625" bestFit="1" customWidth="1"/>
    <col min="95" max="95" width="23.7109375" bestFit="1" customWidth="1"/>
    <col min="126" max="126" width="19.140625" bestFit="1" customWidth="1"/>
    <col min="127" max="127" width="23.7109375" bestFit="1" customWidth="1"/>
    <col min="129" max="129" width="12" bestFit="1" customWidth="1"/>
  </cols>
  <sheetData>
    <row r="1" spans="1:127" ht="26.25">
      <c r="A1" s="1743" t="s">
        <v>14</v>
      </c>
      <c r="B1" s="1744"/>
      <c r="C1" s="1744"/>
      <c r="D1" s="1744"/>
      <c r="E1" s="1744"/>
      <c r="F1" s="1744"/>
      <c r="G1" s="1744"/>
      <c r="H1" s="1744"/>
      <c r="I1" s="1744"/>
      <c r="J1" s="1744"/>
      <c r="K1" s="1744"/>
      <c r="L1" s="1744"/>
      <c r="M1" s="1744"/>
      <c r="N1" s="1744"/>
      <c r="O1" s="1744"/>
      <c r="P1" s="1744"/>
      <c r="Q1" s="1744"/>
      <c r="R1" s="1744"/>
      <c r="S1" s="1744"/>
      <c r="T1" s="1744"/>
      <c r="U1" s="1744"/>
      <c r="V1" s="1744"/>
      <c r="W1" s="1744"/>
      <c r="X1" s="1744"/>
      <c r="Y1" s="1744"/>
      <c r="Z1" s="1744"/>
      <c r="AA1" s="1744"/>
      <c r="AB1" s="1744"/>
      <c r="AC1" s="1745"/>
      <c r="AD1" s="9"/>
      <c r="AE1" s="9"/>
      <c r="AF1" s="8"/>
      <c r="AG1" s="1743" t="s">
        <v>15</v>
      </c>
      <c r="AH1" s="1744"/>
      <c r="AI1" s="1744"/>
      <c r="AJ1" s="1744"/>
      <c r="AK1" s="1744"/>
      <c r="AL1" s="1744"/>
      <c r="AM1" s="1744"/>
      <c r="AN1" s="1744"/>
      <c r="AO1" s="1744"/>
      <c r="AP1" s="1744"/>
      <c r="AQ1" s="1744"/>
      <c r="AR1" s="1744"/>
      <c r="AS1" s="1744"/>
      <c r="AT1" s="1744"/>
      <c r="AU1" s="1744"/>
      <c r="AV1" s="1744"/>
      <c r="AW1" s="1744"/>
      <c r="AX1" s="1744"/>
      <c r="AY1" s="1744"/>
      <c r="AZ1" s="1744"/>
      <c r="BA1" s="1744"/>
      <c r="BB1" s="1744"/>
      <c r="BC1" s="1744"/>
      <c r="BD1" s="1744"/>
      <c r="BE1" s="1744"/>
      <c r="BF1" s="1744"/>
      <c r="BG1" s="1744"/>
      <c r="BH1" s="1744"/>
      <c r="BI1" s="1745"/>
      <c r="BJ1" s="9"/>
      <c r="BK1" s="9"/>
      <c r="BL1" s="8"/>
      <c r="BM1" s="1743" t="s">
        <v>16</v>
      </c>
      <c r="BN1" s="1744"/>
      <c r="BO1" s="1744"/>
      <c r="BP1" s="1744"/>
      <c r="BQ1" s="1744"/>
      <c r="BR1" s="1744"/>
      <c r="BS1" s="1744"/>
      <c r="BT1" s="1744"/>
      <c r="BU1" s="1744"/>
      <c r="BV1" s="1744"/>
      <c r="BW1" s="1744"/>
      <c r="BX1" s="1744"/>
      <c r="BY1" s="1744"/>
      <c r="BZ1" s="1744"/>
      <c r="CA1" s="1744"/>
      <c r="CB1" s="1744"/>
      <c r="CC1" s="1744"/>
      <c r="CD1" s="1744"/>
      <c r="CE1" s="1744"/>
      <c r="CF1" s="1744"/>
      <c r="CG1" s="1744"/>
      <c r="CH1" s="1744"/>
      <c r="CI1" s="1744"/>
      <c r="CJ1" s="1744"/>
      <c r="CK1" s="1744"/>
      <c r="CL1" s="1744"/>
      <c r="CM1" s="1744"/>
      <c r="CN1" s="1744"/>
      <c r="CO1" s="1745"/>
      <c r="CP1" s="9"/>
      <c r="CQ1" s="9"/>
      <c r="CR1" s="8"/>
      <c r="CS1" s="1743" t="s">
        <v>17</v>
      </c>
      <c r="CT1" s="1744"/>
      <c r="CU1" s="1744"/>
      <c r="CV1" s="1744"/>
      <c r="CW1" s="1744"/>
      <c r="CX1" s="1744"/>
      <c r="CY1" s="1744"/>
      <c r="CZ1" s="1744"/>
      <c r="DA1" s="1744"/>
      <c r="DB1" s="1744"/>
      <c r="DC1" s="1744"/>
      <c r="DD1" s="1744"/>
      <c r="DE1" s="1744"/>
      <c r="DF1" s="1744"/>
      <c r="DG1" s="1744"/>
      <c r="DH1" s="1744"/>
      <c r="DI1" s="1744"/>
      <c r="DJ1" s="1744"/>
      <c r="DK1" s="1744"/>
      <c r="DL1" s="1744"/>
      <c r="DM1" s="1744"/>
      <c r="DN1" s="1744"/>
      <c r="DO1" s="1744"/>
      <c r="DP1" s="1744"/>
      <c r="DQ1" s="1744"/>
      <c r="DR1" s="1744"/>
      <c r="DS1" s="1744"/>
      <c r="DT1" s="1744"/>
      <c r="DU1" s="1745"/>
      <c r="DV1" s="9"/>
      <c r="DW1" s="9"/>
    </row>
    <row r="2" spans="1:127" ht="15.75" thickBot="1">
      <c r="A2" s="23" t="s">
        <v>10</v>
      </c>
      <c r="B2" s="24">
        <v>2013</v>
      </c>
      <c r="C2" s="24">
        <v>2012</v>
      </c>
      <c r="D2" s="24">
        <v>2011</v>
      </c>
      <c r="E2" s="24">
        <v>2010</v>
      </c>
      <c r="F2" s="24">
        <v>2009</v>
      </c>
      <c r="G2" s="24">
        <v>2008</v>
      </c>
      <c r="H2" s="24">
        <v>2007</v>
      </c>
      <c r="I2" s="24">
        <v>2006</v>
      </c>
      <c r="J2" s="24">
        <v>2005</v>
      </c>
      <c r="K2" s="24">
        <v>2004</v>
      </c>
      <c r="L2" s="24">
        <v>2003</v>
      </c>
      <c r="M2" s="24">
        <v>2002</v>
      </c>
      <c r="N2" s="24">
        <v>2001</v>
      </c>
      <c r="O2" s="24">
        <v>2000</v>
      </c>
      <c r="P2" s="24">
        <v>1999</v>
      </c>
      <c r="Q2" s="24">
        <v>1998</v>
      </c>
      <c r="R2" s="24">
        <v>1997</v>
      </c>
      <c r="S2" s="24">
        <v>1996</v>
      </c>
      <c r="T2" s="24">
        <v>1995</v>
      </c>
      <c r="U2" s="24">
        <v>1994</v>
      </c>
      <c r="V2" s="24">
        <v>1993</v>
      </c>
      <c r="W2" s="24">
        <v>1992</v>
      </c>
      <c r="X2" s="24">
        <v>1991</v>
      </c>
      <c r="Y2" s="24">
        <v>1990</v>
      </c>
      <c r="Z2" s="24">
        <v>1989</v>
      </c>
      <c r="AA2" s="24">
        <v>1988</v>
      </c>
      <c r="AB2" s="24">
        <v>1987</v>
      </c>
      <c r="AC2" s="25">
        <v>1986</v>
      </c>
      <c r="AD2" s="4"/>
      <c r="AE2" s="4"/>
      <c r="AG2" s="23" t="s">
        <v>10</v>
      </c>
      <c r="AH2" s="24">
        <v>2013</v>
      </c>
      <c r="AI2" s="24">
        <v>2012</v>
      </c>
      <c r="AJ2" s="24">
        <v>2011</v>
      </c>
      <c r="AK2" s="24">
        <v>2010</v>
      </c>
      <c r="AL2" s="24">
        <v>2009</v>
      </c>
      <c r="AM2" s="24">
        <v>2008</v>
      </c>
      <c r="AN2" s="24">
        <v>2007</v>
      </c>
      <c r="AO2" s="24">
        <v>2006</v>
      </c>
      <c r="AP2" s="24">
        <v>2005</v>
      </c>
      <c r="AQ2" s="24">
        <v>2004</v>
      </c>
      <c r="AR2" s="24">
        <v>2003</v>
      </c>
      <c r="AS2" s="24">
        <v>2002</v>
      </c>
      <c r="AT2" s="24">
        <v>2001</v>
      </c>
      <c r="AU2" s="24">
        <v>2000</v>
      </c>
      <c r="AV2" s="24">
        <v>1999</v>
      </c>
      <c r="AW2" s="24">
        <v>1998</v>
      </c>
      <c r="AX2" s="24">
        <v>1997</v>
      </c>
      <c r="AY2" s="24">
        <v>1996</v>
      </c>
      <c r="AZ2" s="24">
        <v>1995</v>
      </c>
      <c r="BA2" s="24">
        <v>1994</v>
      </c>
      <c r="BB2" s="24">
        <v>1993</v>
      </c>
      <c r="BC2" s="24">
        <v>1992</v>
      </c>
      <c r="BD2" s="24">
        <v>1991</v>
      </c>
      <c r="BE2" s="24">
        <v>1990</v>
      </c>
      <c r="BF2" s="24">
        <v>1989</v>
      </c>
      <c r="BG2" s="24">
        <v>1988</v>
      </c>
      <c r="BH2" s="24">
        <v>1987</v>
      </c>
      <c r="BI2" s="25">
        <v>1986</v>
      </c>
      <c r="BJ2" s="4"/>
      <c r="BK2" s="4"/>
      <c r="BM2" s="23" t="s">
        <v>10</v>
      </c>
      <c r="BN2" s="24">
        <v>2013</v>
      </c>
      <c r="BO2" s="24">
        <v>2012</v>
      </c>
      <c r="BP2" s="24">
        <v>2011</v>
      </c>
      <c r="BQ2" s="24">
        <v>2010</v>
      </c>
      <c r="BR2" s="24">
        <v>2009</v>
      </c>
      <c r="BS2" s="24">
        <v>2008</v>
      </c>
      <c r="BT2" s="24">
        <v>2007</v>
      </c>
      <c r="BU2" s="24">
        <v>2006</v>
      </c>
      <c r="BV2" s="24">
        <v>2005</v>
      </c>
      <c r="BW2" s="24">
        <v>2004</v>
      </c>
      <c r="BX2" s="24">
        <v>2003</v>
      </c>
      <c r="BY2" s="24">
        <v>2002</v>
      </c>
      <c r="BZ2" s="24">
        <v>2001</v>
      </c>
      <c r="CA2" s="24">
        <v>2000</v>
      </c>
      <c r="CB2" s="24">
        <v>1999</v>
      </c>
      <c r="CC2" s="24">
        <v>1998</v>
      </c>
      <c r="CD2" s="24">
        <v>1997</v>
      </c>
      <c r="CE2" s="24">
        <v>1996</v>
      </c>
      <c r="CF2" s="24">
        <v>1995</v>
      </c>
      <c r="CG2" s="24">
        <v>1994</v>
      </c>
      <c r="CH2" s="24">
        <v>1993</v>
      </c>
      <c r="CI2" s="24">
        <v>1992</v>
      </c>
      <c r="CJ2" s="24">
        <v>1991</v>
      </c>
      <c r="CK2" s="24">
        <v>1990</v>
      </c>
      <c r="CL2" s="24">
        <v>1989</v>
      </c>
      <c r="CM2" s="24">
        <v>1988</v>
      </c>
      <c r="CN2" s="24">
        <v>1987</v>
      </c>
      <c r="CO2" s="25">
        <v>1986</v>
      </c>
      <c r="CP2" s="4"/>
      <c r="CQ2" s="4"/>
      <c r="CS2" s="23" t="s">
        <v>10</v>
      </c>
      <c r="CT2" s="24">
        <v>2013</v>
      </c>
      <c r="CU2" s="24">
        <v>2012</v>
      </c>
      <c r="CV2" s="24">
        <v>2011</v>
      </c>
      <c r="CW2" s="24">
        <v>2010</v>
      </c>
      <c r="CX2" s="24">
        <v>2009</v>
      </c>
      <c r="CY2" s="24">
        <v>2008</v>
      </c>
      <c r="CZ2" s="24">
        <v>2007</v>
      </c>
      <c r="DA2" s="24">
        <v>2006</v>
      </c>
      <c r="DB2" s="24">
        <v>2005</v>
      </c>
      <c r="DC2" s="24">
        <v>2004</v>
      </c>
      <c r="DD2" s="24">
        <v>2003</v>
      </c>
      <c r="DE2" s="24">
        <v>2002</v>
      </c>
      <c r="DF2" s="24">
        <v>2001</v>
      </c>
      <c r="DG2" s="24">
        <v>2000</v>
      </c>
      <c r="DH2" s="24">
        <v>1999</v>
      </c>
      <c r="DI2" s="24">
        <v>1998</v>
      </c>
      <c r="DJ2" s="24">
        <v>1997</v>
      </c>
      <c r="DK2" s="24">
        <v>1996</v>
      </c>
      <c r="DL2" s="24">
        <v>1995</v>
      </c>
      <c r="DM2" s="24">
        <v>1994</v>
      </c>
      <c r="DN2" s="24">
        <v>1993</v>
      </c>
      <c r="DO2" s="24">
        <v>1992</v>
      </c>
      <c r="DP2" s="24">
        <v>1991</v>
      </c>
      <c r="DQ2" s="24">
        <v>1990</v>
      </c>
      <c r="DR2" s="24">
        <v>1989</v>
      </c>
      <c r="DS2" s="24">
        <v>1988</v>
      </c>
      <c r="DT2" s="24">
        <v>1987</v>
      </c>
      <c r="DU2" s="25">
        <v>1986</v>
      </c>
      <c r="DV2" s="4"/>
      <c r="DW2" s="4"/>
    </row>
    <row r="3" spans="1:127" ht="15.75" thickTop="1">
      <c r="A3" s="26">
        <v>0</v>
      </c>
      <c r="B3" s="27">
        <v>4073</v>
      </c>
      <c r="C3" s="28">
        <v>3237</v>
      </c>
      <c r="D3" s="28">
        <v>3494</v>
      </c>
      <c r="E3" s="28">
        <v>3536</v>
      </c>
      <c r="F3" s="28">
        <v>2086</v>
      </c>
      <c r="G3" s="28">
        <v>4214.6594813048696</v>
      </c>
      <c r="H3" s="28">
        <v>6658</v>
      </c>
      <c r="I3" s="28">
        <v>9496</v>
      </c>
      <c r="J3" s="28">
        <v>8645</v>
      </c>
      <c r="K3" s="28">
        <v>8845</v>
      </c>
      <c r="L3" s="28">
        <v>9507</v>
      </c>
      <c r="M3" s="28">
        <v>9859</v>
      </c>
      <c r="N3" s="28">
        <v>17748</v>
      </c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  <c r="AC3" s="29"/>
      <c r="AD3" s="6"/>
      <c r="AE3" s="6"/>
      <c r="AG3" s="26">
        <v>0</v>
      </c>
      <c r="AH3" s="27">
        <v>12342</v>
      </c>
      <c r="AI3" s="28">
        <v>12238</v>
      </c>
      <c r="AJ3" s="28">
        <v>16603</v>
      </c>
      <c r="AK3" s="28">
        <v>19852</v>
      </c>
      <c r="AL3" s="28">
        <v>13786</v>
      </c>
      <c r="AM3" s="28">
        <v>45393.9853078573</v>
      </c>
      <c r="AN3" s="28">
        <v>65131</v>
      </c>
      <c r="AO3" s="28">
        <v>62540</v>
      </c>
      <c r="AP3" s="28">
        <v>62669</v>
      </c>
      <c r="AQ3" s="28">
        <v>58834</v>
      </c>
      <c r="AR3" s="28">
        <v>57684</v>
      </c>
      <c r="AS3" s="28">
        <v>63603</v>
      </c>
      <c r="AT3" s="28">
        <v>66417</v>
      </c>
      <c r="AU3" s="28"/>
      <c r="AV3" s="28"/>
      <c r="AW3" s="28"/>
      <c r="AX3" s="28"/>
      <c r="AY3" s="28"/>
      <c r="AZ3" s="28"/>
      <c r="BA3" s="28"/>
      <c r="BB3" s="28"/>
      <c r="BC3" s="28"/>
      <c r="BD3" s="28"/>
      <c r="BE3" s="28"/>
      <c r="BF3" s="28"/>
      <c r="BG3" s="28"/>
      <c r="BH3" s="28"/>
      <c r="BI3" s="29"/>
      <c r="BJ3" s="6"/>
      <c r="BK3" s="6"/>
      <c r="BM3" s="26">
        <v>0</v>
      </c>
      <c r="BN3" s="27">
        <v>1193</v>
      </c>
      <c r="BO3" s="28">
        <v>1402</v>
      </c>
      <c r="BP3" s="28">
        <v>2016</v>
      </c>
      <c r="BQ3" s="28">
        <v>2091</v>
      </c>
      <c r="BR3" s="28">
        <v>4491</v>
      </c>
      <c r="BS3" s="28">
        <v>23928.404838261733</v>
      </c>
      <c r="BT3" s="28">
        <v>39029</v>
      </c>
      <c r="BU3" s="28">
        <v>37829</v>
      </c>
      <c r="BV3" s="28">
        <v>39649</v>
      </c>
      <c r="BW3" s="28">
        <v>36043</v>
      </c>
      <c r="BX3" s="28">
        <v>30460</v>
      </c>
      <c r="BY3" s="28">
        <v>28761</v>
      </c>
      <c r="BZ3" s="28">
        <v>30917</v>
      </c>
      <c r="CA3" s="28"/>
      <c r="CB3" s="28"/>
      <c r="CC3" s="28"/>
      <c r="CD3" s="28"/>
      <c r="CE3" s="28"/>
      <c r="CF3" s="28"/>
      <c r="CG3" s="28"/>
      <c r="CH3" s="28"/>
      <c r="CI3" s="28"/>
      <c r="CJ3" s="28"/>
      <c r="CK3" s="28"/>
      <c r="CL3" s="28"/>
      <c r="CM3" s="28"/>
      <c r="CN3" s="28"/>
      <c r="CO3" s="29"/>
      <c r="CP3" s="6"/>
      <c r="CQ3" s="6"/>
      <c r="CS3" s="26">
        <v>0</v>
      </c>
      <c r="CT3" s="27">
        <v>121</v>
      </c>
      <c r="CU3" s="28">
        <v>98</v>
      </c>
      <c r="CV3" s="28">
        <v>175</v>
      </c>
      <c r="CW3" s="28">
        <v>367</v>
      </c>
      <c r="CX3" s="28">
        <v>704</v>
      </c>
      <c r="CY3" s="28">
        <v>4005.4148460174765</v>
      </c>
      <c r="CZ3" s="28">
        <v>9341</v>
      </c>
      <c r="DA3" s="28">
        <v>10252</v>
      </c>
      <c r="DB3" s="28">
        <v>9401</v>
      </c>
      <c r="DC3" s="28">
        <v>9210</v>
      </c>
      <c r="DD3" s="28">
        <v>9117</v>
      </c>
      <c r="DE3" s="28">
        <v>12823</v>
      </c>
      <c r="DF3" s="28">
        <v>12647</v>
      </c>
      <c r="DG3" s="28"/>
      <c r="DH3" s="28"/>
      <c r="DI3" s="28"/>
      <c r="DJ3" s="28"/>
      <c r="DK3" s="28"/>
      <c r="DL3" s="28"/>
      <c r="DM3" s="28"/>
      <c r="DN3" s="28"/>
      <c r="DO3" s="28"/>
      <c r="DP3" s="28"/>
      <c r="DQ3" s="28"/>
      <c r="DR3" s="28"/>
      <c r="DS3" s="28"/>
      <c r="DT3" s="28"/>
      <c r="DU3" s="29"/>
      <c r="DV3" s="6"/>
      <c r="DW3" s="6"/>
    </row>
    <row r="4" spans="1:127">
      <c r="A4" s="30">
        <v>1</v>
      </c>
      <c r="B4" s="31"/>
      <c r="C4" s="32">
        <v>3312</v>
      </c>
      <c r="D4" s="32">
        <v>3525</v>
      </c>
      <c r="E4" s="32">
        <v>3614</v>
      </c>
      <c r="F4" s="32">
        <v>2172</v>
      </c>
      <c r="G4" s="32">
        <v>5031</v>
      </c>
      <c r="H4" s="32">
        <v>6118.5938964308516</v>
      </c>
      <c r="I4" s="32">
        <v>9740</v>
      </c>
      <c r="J4" s="32">
        <v>8879</v>
      </c>
      <c r="K4" s="32">
        <v>9273</v>
      </c>
      <c r="L4" s="32">
        <v>9851</v>
      </c>
      <c r="M4" s="32">
        <v>10386</v>
      </c>
      <c r="N4" s="32">
        <v>18300</v>
      </c>
      <c r="O4" s="32">
        <v>32997</v>
      </c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3"/>
      <c r="AD4" s="6"/>
      <c r="AE4" s="6"/>
      <c r="AG4" s="30">
        <v>1</v>
      </c>
      <c r="AH4" s="31"/>
      <c r="AI4" s="32">
        <v>12751</v>
      </c>
      <c r="AJ4" s="32">
        <v>17115</v>
      </c>
      <c r="AK4" s="32">
        <v>20533</v>
      </c>
      <c r="AL4" s="32">
        <v>14219</v>
      </c>
      <c r="AM4" s="32">
        <v>50942</v>
      </c>
      <c r="AN4" s="32">
        <v>59894.70540932432</v>
      </c>
      <c r="AO4" s="32">
        <v>64640</v>
      </c>
      <c r="AP4" s="32">
        <v>64952</v>
      </c>
      <c r="AQ4" s="32">
        <v>60380</v>
      </c>
      <c r="AR4" s="32">
        <v>59474</v>
      </c>
      <c r="AS4" s="32">
        <v>64778</v>
      </c>
      <c r="AT4" s="32">
        <v>67641</v>
      </c>
      <c r="AU4" s="32">
        <v>108907</v>
      </c>
      <c r="AV4" s="32"/>
      <c r="AW4" s="32"/>
      <c r="AX4" s="32"/>
      <c r="AY4" s="32"/>
      <c r="AZ4" s="32"/>
      <c r="BA4" s="32"/>
      <c r="BB4" s="32"/>
      <c r="BC4" s="32"/>
      <c r="BD4" s="32"/>
      <c r="BE4" s="32"/>
      <c r="BF4" s="32"/>
      <c r="BG4" s="32"/>
      <c r="BH4" s="32"/>
      <c r="BI4" s="33"/>
      <c r="BJ4" s="6"/>
      <c r="BK4" s="6"/>
      <c r="BM4" s="30">
        <v>1</v>
      </c>
      <c r="BN4" s="31"/>
      <c r="BO4" s="32">
        <v>1446</v>
      </c>
      <c r="BP4" s="32">
        <v>2051</v>
      </c>
      <c r="BQ4" s="32">
        <v>2219</v>
      </c>
      <c r="BR4" s="32">
        <v>4557</v>
      </c>
      <c r="BS4" s="32">
        <v>26871</v>
      </c>
      <c r="BT4" s="32">
        <v>35295.050441226966</v>
      </c>
      <c r="BU4" s="32">
        <v>38634</v>
      </c>
      <c r="BV4" s="32">
        <v>40682</v>
      </c>
      <c r="BW4" s="32">
        <v>36595</v>
      </c>
      <c r="BX4" s="32">
        <v>30958</v>
      </c>
      <c r="BY4" s="32">
        <v>29388</v>
      </c>
      <c r="BZ4" s="32">
        <v>31274</v>
      </c>
      <c r="CA4" s="32">
        <v>36381</v>
      </c>
      <c r="CB4" s="32"/>
      <c r="CC4" s="32"/>
      <c r="CD4" s="32"/>
      <c r="CE4" s="32"/>
      <c r="CF4" s="32"/>
      <c r="CG4" s="32"/>
      <c r="CH4" s="32"/>
      <c r="CI4" s="32"/>
      <c r="CJ4" s="32"/>
      <c r="CK4" s="32"/>
      <c r="CL4" s="32"/>
      <c r="CM4" s="32"/>
      <c r="CN4" s="32"/>
      <c r="CO4" s="33"/>
      <c r="CP4" s="6"/>
      <c r="CQ4" s="6"/>
      <c r="CS4" s="30">
        <v>1</v>
      </c>
      <c r="CT4" s="31"/>
      <c r="CU4" s="32">
        <v>107</v>
      </c>
      <c r="CV4" s="32">
        <v>193</v>
      </c>
      <c r="CW4" s="32">
        <v>398</v>
      </c>
      <c r="CX4" s="32">
        <v>743</v>
      </c>
      <c r="CY4" s="32">
        <v>4829</v>
      </c>
      <c r="CZ4" s="32">
        <v>7606.5145581259694</v>
      </c>
      <c r="DA4" s="32">
        <v>10410</v>
      </c>
      <c r="DB4" s="32">
        <v>9672</v>
      </c>
      <c r="DC4" s="32">
        <v>9440</v>
      </c>
      <c r="DD4" s="32">
        <v>9237</v>
      </c>
      <c r="DE4" s="32">
        <v>13083</v>
      </c>
      <c r="DF4" s="32">
        <v>12836</v>
      </c>
      <c r="DG4" s="32">
        <v>12732</v>
      </c>
      <c r="DH4" s="32"/>
      <c r="DI4" s="32"/>
      <c r="DJ4" s="32"/>
      <c r="DK4" s="32"/>
      <c r="DL4" s="32"/>
      <c r="DM4" s="32"/>
      <c r="DN4" s="32"/>
      <c r="DO4" s="32"/>
      <c r="DP4" s="32"/>
      <c r="DQ4" s="32"/>
      <c r="DR4" s="32"/>
      <c r="DS4" s="32"/>
      <c r="DT4" s="32"/>
      <c r="DU4" s="33"/>
      <c r="DV4" s="6"/>
      <c r="DW4" s="6"/>
    </row>
    <row r="5" spans="1:127">
      <c r="A5" s="30">
        <v>2</v>
      </c>
      <c r="B5" s="31"/>
      <c r="C5" s="32"/>
      <c r="D5" s="32">
        <v>3388</v>
      </c>
      <c r="E5" s="32">
        <v>3630</v>
      </c>
      <c r="F5" s="32">
        <v>2256</v>
      </c>
      <c r="G5" s="32">
        <v>5027</v>
      </c>
      <c r="H5" s="32">
        <v>6913</v>
      </c>
      <c r="I5" s="32">
        <v>8813.8677986524381</v>
      </c>
      <c r="J5" s="32">
        <v>8926</v>
      </c>
      <c r="K5" s="32">
        <v>9385</v>
      </c>
      <c r="L5" s="32">
        <v>10063</v>
      </c>
      <c r="M5" s="32">
        <v>10510</v>
      </c>
      <c r="N5" s="32">
        <v>18343</v>
      </c>
      <c r="O5" s="32">
        <v>33027</v>
      </c>
      <c r="P5" s="32">
        <v>23277</v>
      </c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3"/>
      <c r="AD5" s="6"/>
      <c r="AE5" s="6"/>
      <c r="AG5" s="30">
        <v>2</v>
      </c>
      <c r="AH5" s="31"/>
      <c r="AI5" s="32"/>
      <c r="AJ5" s="32">
        <v>17140</v>
      </c>
      <c r="AK5" s="32">
        <v>20771</v>
      </c>
      <c r="AL5" s="32">
        <v>14674</v>
      </c>
      <c r="AM5" s="32">
        <v>51097</v>
      </c>
      <c r="AN5" s="32">
        <v>67291</v>
      </c>
      <c r="AO5" s="32">
        <v>58725.130003298866</v>
      </c>
      <c r="AP5" s="32">
        <v>65567</v>
      </c>
      <c r="AQ5" s="32">
        <v>60697</v>
      </c>
      <c r="AR5" s="32">
        <v>59547</v>
      </c>
      <c r="AS5" s="32">
        <v>64849</v>
      </c>
      <c r="AT5" s="32">
        <v>67804</v>
      </c>
      <c r="AU5" s="32">
        <v>108455</v>
      </c>
      <c r="AV5" s="32">
        <v>79416</v>
      </c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2"/>
      <c r="BH5" s="32"/>
      <c r="BI5" s="33"/>
      <c r="BJ5" s="6"/>
      <c r="BK5" s="6"/>
      <c r="BM5" s="30">
        <v>2</v>
      </c>
      <c r="BN5" s="31"/>
      <c r="BO5" s="32"/>
      <c r="BP5" s="32">
        <v>2152</v>
      </c>
      <c r="BQ5" s="32">
        <v>2415</v>
      </c>
      <c r="BR5" s="32">
        <v>4746</v>
      </c>
      <c r="BS5" s="32">
        <v>27341</v>
      </c>
      <c r="BT5" s="32">
        <v>39903</v>
      </c>
      <c r="BU5" s="32">
        <v>35178.823512040268</v>
      </c>
      <c r="BV5" s="32">
        <v>41540</v>
      </c>
      <c r="BW5" s="32">
        <v>37294</v>
      </c>
      <c r="BX5" s="32">
        <v>31188</v>
      </c>
      <c r="BY5" s="32">
        <v>29478</v>
      </c>
      <c r="BZ5" s="32">
        <v>31604</v>
      </c>
      <c r="CA5" s="32">
        <v>36668</v>
      </c>
      <c r="CB5" s="32">
        <v>29151</v>
      </c>
      <c r="CC5" s="32"/>
      <c r="CD5" s="32"/>
      <c r="CE5" s="32"/>
      <c r="CF5" s="32"/>
      <c r="CG5" s="32"/>
      <c r="CH5" s="32"/>
      <c r="CI5" s="32"/>
      <c r="CJ5" s="32"/>
      <c r="CK5" s="32"/>
      <c r="CL5" s="32"/>
      <c r="CM5" s="32"/>
      <c r="CN5" s="32"/>
      <c r="CO5" s="33"/>
      <c r="CP5" s="6"/>
      <c r="CQ5" s="6"/>
      <c r="CS5" s="30">
        <v>2</v>
      </c>
      <c r="CT5" s="31"/>
      <c r="CU5" s="32"/>
      <c r="CV5" s="32">
        <v>225</v>
      </c>
      <c r="CW5" s="32">
        <v>445</v>
      </c>
      <c r="CX5" s="32">
        <v>753</v>
      </c>
      <c r="CY5" s="32">
        <v>4891</v>
      </c>
      <c r="CZ5" s="32">
        <v>9165</v>
      </c>
      <c r="DA5" s="32">
        <v>8845.8640712334636</v>
      </c>
      <c r="DB5" s="32">
        <v>9917</v>
      </c>
      <c r="DC5" s="32">
        <v>9643</v>
      </c>
      <c r="DD5" s="32">
        <v>9405</v>
      </c>
      <c r="DE5" s="32">
        <v>13147</v>
      </c>
      <c r="DF5" s="32">
        <v>12992</v>
      </c>
      <c r="DG5" s="32">
        <v>12828</v>
      </c>
      <c r="DH5" s="32">
        <v>9949</v>
      </c>
      <c r="DI5" s="32"/>
      <c r="DJ5" s="32"/>
      <c r="DK5" s="32"/>
      <c r="DL5" s="32"/>
      <c r="DM5" s="32"/>
      <c r="DN5" s="32"/>
      <c r="DO5" s="32"/>
      <c r="DP5" s="32"/>
      <c r="DQ5" s="32"/>
      <c r="DR5" s="32"/>
      <c r="DS5" s="32"/>
      <c r="DT5" s="32"/>
      <c r="DU5" s="33"/>
      <c r="DV5" s="6"/>
      <c r="DW5" s="6"/>
    </row>
    <row r="6" spans="1:127">
      <c r="A6" s="30">
        <v>3</v>
      </c>
      <c r="B6" s="31"/>
      <c r="C6" s="32"/>
      <c r="D6" s="32"/>
      <c r="E6" s="32">
        <v>3649</v>
      </c>
      <c r="F6" s="32">
        <v>2278</v>
      </c>
      <c r="G6" s="32">
        <v>5114</v>
      </c>
      <c r="H6" s="32">
        <v>6837</v>
      </c>
      <c r="I6" s="32">
        <v>9835</v>
      </c>
      <c r="J6" s="32">
        <v>8136.7961702052089</v>
      </c>
      <c r="K6" s="32">
        <v>9458</v>
      </c>
      <c r="L6" s="32">
        <v>10098</v>
      </c>
      <c r="M6" s="32">
        <v>10648</v>
      </c>
      <c r="N6" s="32">
        <v>18405</v>
      </c>
      <c r="O6" s="32">
        <v>32937</v>
      </c>
      <c r="P6" s="32">
        <v>23228</v>
      </c>
      <c r="Q6" s="32">
        <v>14954</v>
      </c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3"/>
      <c r="AD6" s="6"/>
      <c r="AE6" s="6"/>
      <c r="AG6" s="30">
        <v>3</v>
      </c>
      <c r="AH6" s="31"/>
      <c r="AI6" s="32"/>
      <c r="AJ6" s="32"/>
      <c r="AK6" s="32">
        <v>21277</v>
      </c>
      <c r="AL6" s="32">
        <v>15130</v>
      </c>
      <c r="AM6" s="32">
        <v>51212</v>
      </c>
      <c r="AN6" s="32">
        <v>66586</v>
      </c>
      <c r="AO6" s="32">
        <v>65515</v>
      </c>
      <c r="AP6" s="32">
        <v>60008.944691303535</v>
      </c>
      <c r="AQ6" s="32">
        <v>61322</v>
      </c>
      <c r="AR6" s="32">
        <v>60402</v>
      </c>
      <c r="AS6" s="32">
        <v>64586</v>
      </c>
      <c r="AT6" s="32">
        <v>67385</v>
      </c>
      <c r="AU6" s="32">
        <v>107012</v>
      </c>
      <c r="AV6" s="32">
        <v>77949</v>
      </c>
      <c r="AW6" s="32">
        <v>62072</v>
      </c>
      <c r="AX6" s="32"/>
      <c r="AY6" s="32"/>
      <c r="AZ6" s="32"/>
      <c r="BA6" s="32"/>
      <c r="BB6" s="32"/>
      <c r="BC6" s="32"/>
      <c r="BD6" s="32"/>
      <c r="BE6" s="32"/>
      <c r="BF6" s="32"/>
      <c r="BG6" s="32"/>
      <c r="BH6" s="32"/>
      <c r="BI6" s="33"/>
      <c r="BJ6" s="6"/>
      <c r="BK6" s="6"/>
      <c r="BM6" s="30">
        <v>3</v>
      </c>
      <c r="BN6" s="31"/>
      <c r="BO6" s="32"/>
      <c r="BP6" s="32"/>
      <c r="BQ6" s="32">
        <v>2459</v>
      </c>
      <c r="BR6" s="32">
        <v>4890</v>
      </c>
      <c r="BS6" s="32">
        <v>26971</v>
      </c>
      <c r="BT6" s="32">
        <v>39141</v>
      </c>
      <c r="BU6" s="32">
        <v>39256</v>
      </c>
      <c r="BV6" s="32">
        <v>38131.975104967918</v>
      </c>
      <c r="BW6" s="32">
        <v>37964</v>
      </c>
      <c r="BX6" s="32">
        <v>31743</v>
      </c>
      <c r="BY6" s="32">
        <v>29518</v>
      </c>
      <c r="BZ6" s="32">
        <v>31330</v>
      </c>
      <c r="CA6" s="32">
        <v>36195</v>
      </c>
      <c r="CB6" s="32">
        <v>28411</v>
      </c>
      <c r="CC6" s="32">
        <v>27756</v>
      </c>
      <c r="CD6" s="32"/>
      <c r="CE6" s="32"/>
      <c r="CF6" s="32"/>
      <c r="CG6" s="32"/>
      <c r="CH6" s="32"/>
      <c r="CI6" s="32"/>
      <c r="CJ6" s="32"/>
      <c r="CK6" s="32"/>
      <c r="CL6" s="32"/>
      <c r="CM6" s="32"/>
      <c r="CN6" s="32"/>
      <c r="CO6" s="33"/>
      <c r="CP6" s="6"/>
      <c r="CQ6" s="6"/>
      <c r="CS6" s="30">
        <v>3</v>
      </c>
      <c r="CT6" s="31"/>
      <c r="CU6" s="32"/>
      <c r="CV6" s="32"/>
      <c r="CW6" s="32">
        <v>470</v>
      </c>
      <c r="CX6" s="32">
        <v>783</v>
      </c>
      <c r="CY6" s="32">
        <v>4884</v>
      </c>
      <c r="CZ6" s="32">
        <v>8979</v>
      </c>
      <c r="DA6" s="32">
        <v>10488</v>
      </c>
      <c r="DB6" s="32">
        <v>8546.723841397772</v>
      </c>
      <c r="DC6" s="32">
        <v>10019</v>
      </c>
      <c r="DD6" s="32">
        <v>9716</v>
      </c>
      <c r="DE6" s="32">
        <v>13080</v>
      </c>
      <c r="DF6" s="32">
        <v>12913</v>
      </c>
      <c r="DG6" s="32">
        <v>12741</v>
      </c>
      <c r="DH6" s="32">
        <v>9836</v>
      </c>
      <c r="DI6" s="32">
        <v>10205</v>
      </c>
      <c r="DJ6" s="32"/>
      <c r="DK6" s="32"/>
      <c r="DL6" s="32"/>
      <c r="DM6" s="32"/>
      <c r="DN6" s="32"/>
      <c r="DO6" s="32"/>
      <c r="DP6" s="32"/>
      <c r="DQ6" s="32"/>
      <c r="DR6" s="32"/>
      <c r="DS6" s="32"/>
      <c r="DT6" s="32"/>
      <c r="DU6" s="33"/>
      <c r="DV6" s="6"/>
      <c r="DW6" s="6"/>
    </row>
    <row r="7" spans="1:127">
      <c r="A7" s="30">
        <v>4</v>
      </c>
      <c r="B7" s="31"/>
      <c r="C7" s="32"/>
      <c r="D7" s="32"/>
      <c r="E7" s="32"/>
      <c r="F7" s="32">
        <v>2288</v>
      </c>
      <c r="G7" s="32">
        <v>5139</v>
      </c>
      <c r="H7" s="32">
        <v>6927</v>
      </c>
      <c r="I7" s="32">
        <v>9801</v>
      </c>
      <c r="J7" s="32">
        <v>8982</v>
      </c>
      <c r="K7" s="32">
        <v>8631.5413752606</v>
      </c>
      <c r="L7" s="32">
        <v>10184</v>
      </c>
      <c r="M7" s="32">
        <v>10760</v>
      </c>
      <c r="N7" s="32">
        <v>18434</v>
      </c>
      <c r="O7" s="32">
        <v>32970</v>
      </c>
      <c r="P7" s="32">
        <v>23235</v>
      </c>
      <c r="Q7" s="32">
        <v>15074</v>
      </c>
      <c r="R7" s="32">
        <v>15082</v>
      </c>
      <c r="S7" s="32"/>
      <c r="T7" s="32"/>
      <c r="U7" s="32"/>
      <c r="V7" s="32"/>
      <c r="W7" s="32"/>
      <c r="X7" s="32"/>
      <c r="Y7" s="32"/>
      <c r="Z7" s="32"/>
      <c r="AA7" s="32"/>
      <c r="AB7" s="32"/>
      <c r="AC7" s="33"/>
      <c r="AD7" s="6"/>
      <c r="AE7" s="6"/>
      <c r="AG7" s="30">
        <v>4</v>
      </c>
      <c r="AH7" s="31"/>
      <c r="AI7" s="32"/>
      <c r="AJ7" s="32"/>
      <c r="AK7" s="32"/>
      <c r="AL7" s="32">
        <v>15472</v>
      </c>
      <c r="AM7" s="32">
        <v>51682</v>
      </c>
      <c r="AN7" s="32">
        <v>66734</v>
      </c>
      <c r="AO7" s="32">
        <v>65096</v>
      </c>
      <c r="AP7" s="32">
        <v>65853</v>
      </c>
      <c r="AQ7" s="32">
        <v>56656.82206520615</v>
      </c>
      <c r="AR7" s="32">
        <v>60836</v>
      </c>
      <c r="AS7" s="32">
        <v>65017</v>
      </c>
      <c r="AT7" s="32">
        <v>67193</v>
      </c>
      <c r="AU7" s="32">
        <v>107029</v>
      </c>
      <c r="AV7" s="32">
        <v>78097</v>
      </c>
      <c r="AW7" s="32">
        <v>61874</v>
      </c>
      <c r="AX7" s="32">
        <v>67189</v>
      </c>
      <c r="AY7" s="32"/>
      <c r="AZ7" s="32"/>
      <c r="BA7" s="32"/>
      <c r="BB7" s="32"/>
      <c r="BC7" s="32"/>
      <c r="BD7" s="32"/>
      <c r="BE7" s="32"/>
      <c r="BF7" s="32"/>
      <c r="BG7" s="32"/>
      <c r="BH7" s="32"/>
      <c r="BI7" s="33"/>
      <c r="BJ7" s="6"/>
      <c r="BK7" s="6"/>
      <c r="BM7" s="30">
        <v>4</v>
      </c>
      <c r="BN7" s="31"/>
      <c r="BO7" s="32"/>
      <c r="BP7" s="32"/>
      <c r="BQ7" s="32"/>
      <c r="BR7" s="32">
        <v>4951</v>
      </c>
      <c r="BS7" s="32">
        <v>27217</v>
      </c>
      <c r="BT7" s="32">
        <v>38940</v>
      </c>
      <c r="BU7" s="32">
        <v>38679</v>
      </c>
      <c r="BV7" s="32">
        <v>41549</v>
      </c>
      <c r="BW7" s="32">
        <v>35561.816557688777</v>
      </c>
      <c r="BX7" s="32">
        <v>32446</v>
      </c>
      <c r="BY7" s="32">
        <v>30063</v>
      </c>
      <c r="BZ7" s="32">
        <v>31323</v>
      </c>
      <c r="CA7" s="32">
        <v>36334</v>
      </c>
      <c r="CB7" s="32">
        <v>28483</v>
      </c>
      <c r="CC7" s="32">
        <v>27484</v>
      </c>
      <c r="CD7" s="32">
        <v>21245</v>
      </c>
      <c r="CE7" s="32"/>
      <c r="CF7" s="32"/>
      <c r="CG7" s="32"/>
      <c r="CH7" s="32"/>
      <c r="CI7" s="32"/>
      <c r="CJ7" s="32"/>
      <c r="CK7" s="32"/>
      <c r="CL7" s="32"/>
      <c r="CM7" s="32"/>
      <c r="CN7" s="32"/>
      <c r="CO7" s="33"/>
      <c r="CP7" s="6"/>
      <c r="CQ7" s="6"/>
      <c r="CS7" s="30">
        <v>4</v>
      </c>
      <c r="CT7" s="31"/>
      <c r="CU7" s="32"/>
      <c r="CV7" s="32"/>
      <c r="CW7" s="32"/>
      <c r="CX7" s="32">
        <v>819</v>
      </c>
      <c r="CY7" s="32">
        <v>4918</v>
      </c>
      <c r="CZ7" s="32">
        <v>8865</v>
      </c>
      <c r="DA7" s="32">
        <v>10145</v>
      </c>
      <c r="DB7" s="32">
        <v>9832</v>
      </c>
      <c r="DC7" s="32">
        <v>8893.0651655306083</v>
      </c>
      <c r="DD7" s="32">
        <v>10261</v>
      </c>
      <c r="DE7" s="32">
        <v>13564</v>
      </c>
      <c r="DF7" s="32">
        <v>13063</v>
      </c>
      <c r="DG7" s="32">
        <v>12783</v>
      </c>
      <c r="DH7" s="32">
        <v>9770</v>
      </c>
      <c r="DI7" s="32">
        <v>10181</v>
      </c>
      <c r="DJ7" s="32">
        <v>7879</v>
      </c>
      <c r="DK7" s="32"/>
      <c r="DL7" s="32"/>
      <c r="DM7" s="32"/>
      <c r="DN7" s="32"/>
      <c r="DO7" s="32"/>
      <c r="DP7" s="32"/>
      <c r="DQ7" s="32"/>
      <c r="DR7" s="32"/>
      <c r="DS7" s="32"/>
      <c r="DT7" s="32"/>
      <c r="DU7" s="33"/>
      <c r="DV7" s="6"/>
      <c r="DW7" s="6"/>
    </row>
    <row r="8" spans="1:127">
      <c r="A8" s="30">
        <v>5</v>
      </c>
      <c r="B8" s="31"/>
      <c r="C8" s="32"/>
      <c r="D8" s="32"/>
      <c r="E8" s="32"/>
      <c r="F8" s="32"/>
      <c r="G8" s="32">
        <v>5192</v>
      </c>
      <c r="H8" s="32">
        <v>6920</v>
      </c>
      <c r="I8" s="32">
        <v>9802</v>
      </c>
      <c r="J8" s="32">
        <v>8939</v>
      </c>
      <c r="K8" s="32">
        <v>9571</v>
      </c>
      <c r="L8" s="32">
        <v>9453.0502489408427</v>
      </c>
      <c r="M8" s="32">
        <v>10833</v>
      </c>
      <c r="N8" s="32">
        <v>18462</v>
      </c>
      <c r="O8" s="32">
        <v>32777</v>
      </c>
      <c r="P8" s="32">
        <v>23394</v>
      </c>
      <c r="Q8" s="32">
        <v>15160</v>
      </c>
      <c r="R8" s="32">
        <v>15150</v>
      </c>
      <c r="S8" s="32">
        <v>10858</v>
      </c>
      <c r="T8" s="32"/>
      <c r="U8" s="32"/>
      <c r="V8" s="32"/>
      <c r="W8" s="32"/>
      <c r="X8" s="32"/>
      <c r="Y8" s="32"/>
      <c r="Z8" s="32"/>
      <c r="AA8" s="32"/>
      <c r="AB8" s="32"/>
      <c r="AC8" s="33"/>
      <c r="AD8" s="6"/>
      <c r="AE8" s="6"/>
      <c r="AG8" s="30">
        <v>5</v>
      </c>
      <c r="AH8" s="31"/>
      <c r="AI8" s="32"/>
      <c r="AJ8" s="32"/>
      <c r="AK8" s="32"/>
      <c r="AL8" s="32"/>
      <c r="AM8" s="32">
        <v>51891</v>
      </c>
      <c r="AN8" s="32">
        <v>67082</v>
      </c>
      <c r="AO8" s="32">
        <v>64970</v>
      </c>
      <c r="AP8" s="32">
        <v>64954</v>
      </c>
      <c r="AQ8" s="32">
        <v>61584</v>
      </c>
      <c r="AR8" s="32">
        <v>56869.109630832929</v>
      </c>
      <c r="AS8" s="32">
        <v>64831</v>
      </c>
      <c r="AT8" s="32">
        <v>67023</v>
      </c>
      <c r="AU8" s="32">
        <v>105481</v>
      </c>
      <c r="AV8" s="32">
        <v>78364</v>
      </c>
      <c r="AW8" s="32">
        <v>62134</v>
      </c>
      <c r="AX8" s="32">
        <v>67109</v>
      </c>
      <c r="AY8" s="32">
        <v>57487</v>
      </c>
      <c r="AZ8" s="32"/>
      <c r="BA8" s="32"/>
      <c r="BB8" s="32"/>
      <c r="BC8" s="32"/>
      <c r="BD8" s="32"/>
      <c r="BE8" s="32"/>
      <c r="BF8" s="32"/>
      <c r="BG8" s="32"/>
      <c r="BH8" s="32"/>
      <c r="BI8" s="33"/>
      <c r="BJ8" s="6"/>
      <c r="BK8" s="6"/>
      <c r="BM8" s="30">
        <v>5</v>
      </c>
      <c r="BN8" s="31"/>
      <c r="BO8" s="32"/>
      <c r="BP8" s="32"/>
      <c r="BQ8" s="32"/>
      <c r="BR8" s="32"/>
      <c r="BS8" s="32">
        <v>27315</v>
      </c>
      <c r="BT8" s="32">
        <v>38958</v>
      </c>
      <c r="BU8" s="32">
        <v>38366</v>
      </c>
      <c r="BV8" s="32">
        <v>40732</v>
      </c>
      <c r="BW8" s="32">
        <v>38486</v>
      </c>
      <c r="BX8" s="32">
        <v>31011.431907189428</v>
      </c>
      <c r="BY8" s="32">
        <v>30790</v>
      </c>
      <c r="BZ8" s="32">
        <v>31970</v>
      </c>
      <c r="CA8" s="32">
        <v>35988</v>
      </c>
      <c r="CB8" s="32">
        <v>28730</v>
      </c>
      <c r="CC8" s="32">
        <v>27493</v>
      </c>
      <c r="CD8" s="32">
        <v>21021</v>
      </c>
      <c r="CE8" s="32">
        <v>16667</v>
      </c>
      <c r="CF8" s="32"/>
      <c r="CG8" s="32"/>
      <c r="CH8" s="32"/>
      <c r="CI8" s="32"/>
      <c r="CJ8" s="32"/>
      <c r="CK8" s="32"/>
      <c r="CL8" s="32"/>
      <c r="CM8" s="32"/>
      <c r="CN8" s="32"/>
      <c r="CO8" s="33"/>
      <c r="CP8" s="6"/>
      <c r="CQ8" s="6"/>
      <c r="CS8" s="30">
        <v>5</v>
      </c>
      <c r="CT8" s="31"/>
      <c r="CU8" s="32"/>
      <c r="CV8" s="32"/>
      <c r="CW8" s="32"/>
      <c r="CX8" s="32"/>
      <c r="CY8" s="32">
        <v>4852</v>
      </c>
      <c r="CZ8" s="32">
        <v>8765</v>
      </c>
      <c r="DA8" s="32">
        <v>9997</v>
      </c>
      <c r="DB8" s="32">
        <v>9524</v>
      </c>
      <c r="DC8" s="32">
        <v>10185</v>
      </c>
      <c r="DD8" s="32">
        <v>9385.6251872363609</v>
      </c>
      <c r="DE8" s="32">
        <v>14239</v>
      </c>
      <c r="DF8" s="32">
        <v>13441</v>
      </c>
      <c r="DG8" s="32">
        <v>12743</v>
      </c>
      <c r="DH8" s="32">
        <v>9851</v>
      </c>
      <c r="DI8" s="32">
        <v>10149</v>
      </c>
      <c r="DJ8" s="32">
        <v>7838</v>
      </c>
      <c r="DK8" s="32">
        <v>6525</v>
      </c>
      <c r="DL8" s="32"/>
      <c r="DM8" s="32"/>
      <c r="DN8" s="32"/>
      <c r="DO8" s="32"/>
      <c r="DP8" s="32"/>
      <c r="DQ8" s="32"/>
      <c r="DR8" s="32"/>
      <c r="DS8" s="32"/>
      <c r="DT8" s="32"/>
      <c r="DU8" s="33"/>
      <c r="DV8" s="6"/>
      <c r="DW8" s="6"/>
    </row>
    <row r="9" spans="1:127">
      <c r="A9" s="30">
        <v>6</v>
      </c>
      <c r="B9" s="31"/>
      <c r="C9" s="32"/>
      <c r="D9" s="32"/>
      <c r="E9" s="32"/>
      <c r="F9" s="32"/>
      <c r="G9" s="32"/>
      <c r="H9" s="32">
        <v>6926</v>
      </c>
      <c r="I9" s="32">
        <v>9782</v>
      </c>
      <c r="J9" s="32">
        <v>8937</v>
      </c>
      <c r="K9" s="32">
        <v>9457</v>
      </c>
      <c r="L9" s="32">
        <v>10234</v>
      </c>
      <c r="M9" s="32">
        <v>10077.334589036316</v>
      </c>
      <c r="N9" s="32">
        <v>18307</v>
      </c>
      <c r="O9" s="32">
        <v>32476</v>
      </c>
      <c r="P9" s="32">
        <v>22987</v>
      </c>
      <c r="Q9" s="32">
        <v>15175</v>
      </c>
      <c r="R9" s="32">
        <v>15177</v>
      </c>
      <c r="S9" s="32">
        <v>11046</v>
      </c>
      <c r="T9" s="32">
        <v>7331</v>
      </c>
      <c r="U9" s="32"/>
      <c r="V9" s="32"/>
      <c r="W9" s="32"/>
      <c r="X9" s="32"/>
      <c r="Y9" s="32"/>
      <c r="Z9" s="32"/>
      <c r="AA9" s="32"/>
      <c r="AB9" s="32"/>
      <c r="AC9" s="33"/>
      <c r="AD9" s="6"/>
      <c r="AE9" s="6"/>
      <c r="AG9" s="30">
        <v>6</v>
      </c>
      <c r="AH9" s="31"/>
      <c r="AI9" s="32"/>
      <c r="AJ9" s="32"/>
      <c r="AK9" s="32"/>
      <c r="AL9" s="32"/>
      <c r="AM9" s="32"/>
      <c r="AN9" s="32">
        <v>67054</v>
      </c>
      <c r="AO9" s="32">
        <v>64790</v>
      </c>
      <c r="AP9" s="32">
        <v>64734</v>
      </c>
      <c r="AQ9" s="32">
        <v>60390</v>
      </c>
      <c r="AR9" s="32">
        <v>60723</v>
      </c>
      <c r="AS9" s="32">
        <v>61049.816436214925</v>
      </c>
      <c r="AT9" s="32">
        <v>66187</v>
      </c>
      <c r="AU9" s="32">
        <v>104103</v>
      </c>
      <c r="AV9" s="32">
        <v>76949</v>
      </c>
      <c r="AW9" s="32">
        <v>61953</v>
      </c>
      <c r="AX9" s="32">
        <v>66704</v>
      </c>
      <c r="AY9" s="32">
        <v>58718</v>
      </c>
      <c r="AZ9" s="32">
        <v>43262</v>
      </c>
      <c r="BA9" s="32"/>
      <c r="BB9" s="32"/>
      <c r="BC9" s="32"/>
      <c r="BD9" s="32"/>
      <c r="BE9" s="32"/>
      <c r="BF9" s="32"/>
      <c r="BG9" s="32"/>
      <c r="BH9" s="32"/>
      <c r="BI9" s="33"/>
      <c r="BJ9" s="6"/>
      <c r="BK9" s="6"/>
      <c r="BM9" s="30">
        <v>6</v>
      </c>
      <c r="BN9" s="31"/>
      <c r="BO9" s="32"/>
      <c r="BP9" s="32"/>
      <c r="BQ9" s="32"/>
      <c r="BR9" s="32"/>
      <c r="BS9" s="32"/>
      <c r="BT9" s="32">
        <v>38855</v>
      </c>
      <c r="BU9" s="32">
        <v>37930</v>
      </c>
      <c r="BV9" s="32">
        <v>40249</v>
      </c>
      <c r="BW9" s="32">
        <v>37340</v>
      </c>
      <c r="BX9" s="32">
        <v>32617</v>
      </c>
      <c r="BY9" s="32">
        <v>29738.510883978168</v>
      </c>
      <c r="BZ9" s="32">
        <v>32368</v>
      </c>
      <c r="CA9" s="32">
        <v>36304</v>
      </c>
      <c r="CB9" s="32">
        <v>28365</v>
      </c>
      <c r="CC9" s="32">
        <v>27347</v>
      </c>
      <c r="CD9" s="32">
        <v>20844</v>
      </c>
      <c r="CE9" s="32">
        <v>16854</v>
      </c>
      <c r="CF9" s="32">
        <v>13484</v>
      </c>
      <c r="CG9" s="32"/>
      <c r="CH9" s="32"/>
      <c r="CI9" s="32"/>
      <c r="CJ9" s="32"/>
      <c r="CK9" s="32"/>
      <c r="CL9" s="32"/>
      <c r="CM9" s="32"/>
      <c r="CN9" s="32"/>
      <c r="CO9" s="33"/>
      <c r="CP9" s="6"/>
      <c r="CQ9" s="6"/>
      <c r="CS9" s="30">
        <v>6</v>
      </c>
      <c r="CT9" s="31"/>
      <c r="CU9" s="32"/>
      <c r="CV9" s="32"/>
      <c r="CW9" s="32"/>
      <c r="CX9" s="32"/>
      <c r="CY9" s="32"/>
      <c r="CZ9" s="32">
        <v>8692</v>
      </c>
      <c r="DA9" s="32">
        <v>9805</v>
      </c>
      <c r="DB9" s="32">
        <v>9309</v>
      </c>
      <c r="DC9" s="32">
        <v>9740</v>
      </c>
      <c r="DD9" s="32">
        <v>10436</v>
      </c>
      <c r="DE9" s="32">
        <v>13047.752673944913</v>
      </c>
      <c r="DF9" s="32">
        <v>13973</v>
      </c>
      <c r="DG9" s="32">
        <v>12951</v>
      </c>
      <c r="DH9" s="32">
        <v>9742</v>
      </c>
      <c r="DI9" s="32">
        <v>10022</v>
      </c>
      <c r="DJ9" s="32">
        <v>7795</v>
      </c>
      <c r="DK9" s="32">
        <v>6671</v>
      </c>
      <c r="DL9" s="32">
        <v>7369</v>
      </c>
      <c r="DM9" s="32"/>
      <c r="DN9" s="32"/>
      <c r="DO9" s="32"/>
      <c r="DP9" s="32"/>
      <c r="DQ9" s="32"/>
      <c r="DR9" s="32"/>
      <c r="DS9" s="32"/>
      <c r="DT9" s="32"/>
      <c r="DU9" s="33"/>
      <c r="DV9" s="6"/>
      <c r="DW9" s="6"/>
    </row>
    <row r="10" spans="1:127">
      <c r="A10" s="30">
        <v>7</v>
      </c>
      <c r="B10" s="31"/>
      <c r="C10" s="32"/>
      <c r="D10" s="32"/>
      <c r="E10" s="32"/>
      <c r="F10" s="32"/>
      <c r="G10" s="32"/>
      <c r="H10" s="32"/>
      <c r="I10" s="32">
        <v>9824</v>
      </c>
      <c r="J10" s="32">
        <v>8896</v>
      </c>
      <c r="K10" s="32">
        <v>9487</v>
      </c>
      <c r="L10" s="32">
        <v>10149</v>
      </c>
      <c r="M10" s="32">
        <v>10789</v>
      </c>
      <c r="N10" s="32">
        <v>17195.456106944497</v>
      </c>
      <c r="O10" s="32">
        <v>32014</v>
      </c>
      <c r="P10" s="32">
        <v>22765</v>
      </c>
      <c r="Q10" s="32">
        <v>14924</v>
      </c>
      <c r="R10" s="32">
        <v>15127</v>
      </c>
      <c r="S10" s="32">
        <v>10882</v>
      </c>
      <c r="T10" s="32">
        <v>7436</v>
      </c>
      <c r="U10" s="32">
        <v>6554</v>
      </c>
      <c r="V10" s="32"/>
      <c r="W10" s="32"/>
      <c r="X10" s="32"/>
      <c r="Y10" s="32"/>
      <c r="Z10" s="32"/>
      <c r="AA10" s="32"/>
      <c r="AB10" s="32"/>
      <c r="AC10" s="33"/>
      <c r="AD10" s="6"/>
      <c r="AE10" s="6"/>
      <c r="AG10" s="30">
        <v>7</v>
      </c>
      <c r="AH10" s="31"/>
      <c r="AI10" s="32"/>
      <c r="AJ10" s="32"/>
      <c r="AK10" s="32"/>
      <c r="AL10" s="32"/>
      <c r="AM10" s="32"/>
      <c r="AN10" s="32"/>
      <c r="AO10" s="32">
        <v>64734</v>
      </c>
      <c r="AP10" s="32">
        <v>64302</v>
      </c>
      <c r="AQ10" s="32">
        <v>59873</v>
      </c>
      <c r="AR10" s="32">
        <v>59220</v>
      </c>
      <c r="AS10" s="32">
        <v>63449</v>
      </c>
      <c r="AT10" s="32">
        <v>62535.024563980332</v>
      </c>
      <c r="AU10" s="32">
        <v>101055</v>
      </c>
      <c r="AV10" s="32">
        <v>75459</v>
      </c>
      <c r="AW10" s="32">
        <v>60264</v>
      </c>
      <c r="AX10" s="32">
        <v>65663</v>
      </c>
      <c r="AY10" s="32">
        <v>57149</v>
      </c>
      <c r="AZ10" s="32">
        <v>43677</v>
      </c>
      <c r="BA10" s="32">
        <v>39198</v>
      </c>
      <c r="BB10" s="32"/>
      <c r="BC10" s="32"/>
      <c r="BD10" s="32"/>
      <c r="BE10" s="32"/>
      <c r="BF10" s="32"/>
      <c r="BG10" s="32"/>
      <c r="BH10" s="32"/>
      <c r="BI10" s="33"/>
      <c r="BJ10" s="6"/>
      <c r="BK10" s="6"/>
      <c r="BM10" s="30">
        <v>7</v>
      </c>
      <c r="BN10" s="31"/>
      <c r="BO10" s="32"/>
      <c r="BP10" s="32"/>
      <c r="BQ10" s="32"/>
      <c r="BR10" s="32"/>
      <c r="BS10" s="32"/>
      <c r="BT10" s="32"/>
      <c r="BU10" s="32">
        <v>37751</v>
      </c>
      <c r="BV10" s="32">
        <v>39561</v>
      </c>
      <c r="BW10" s="32">
        <v>36561</v>
      </c>
      <c r="BX10" s="32">
        <v>31360</v>
      </c>
      <c r="BY10" s="32">
        <v>30198</v>
      </c>
      <c r="BZ10" s="32">
        <v>31496.161633940275</v>
      </c>
      <c r="CA10" s="32">
        <v>36408</v>
      </c>
      <c r="CB10" s="32">
        <v>28471</v>
      </c>
      <c r="CC10" s="32">
        <v>26860</v>
      </c>
      <c r="CD10" s="32">
        <v>20224</v>
      </c>
      <c r="CE10" s="32">
        <v>16189</v>
      </c>
      <c r="CF10" s="32">
        <v>13491</v>
      </c>
      <c r="CG10" s="32">
        <v>14036</v>
      </c>
      <c r="CH10" s="32"/>
      <c r="CI10" s="32"/>
      <c r="CJ10" s="32"/>
      <c r="CK10" s="32"/>
      <c r="CL10" s="32"/>
      <c r="CM10" s="32"/>
      <c r="CN10" s="32"/>
      <c r="CO10" s="33"/>
      <c r="CP10" s="6"/>
      <c r="CQ10" s="6"/>
      <c r="CS10" s="30">
        <v>7</v>
      </c>
      <c r="CT10" s="31"/>
      <c r="CU10" s="32"/>
      <c r="CV10" s="32"/>
      <c r="CW10" s="32"/>
      <c r="CX10" s="32"/>
      <c r="CY10" s="32"/>
      <c r="CZ10" s="32"/>
      <c r="DA10" s="32">
        <v>9564</v>
      </c>
      <c r="DB10" s="32">
        <v>9031</v>
      </c>
      <c r="DC10" s="32">
        <v>9521</v>
      </c>
      <c r="DD10" s="32">
        <v>10060</v>
      </c>
      <c r="DE10" s="32">
        <v>13995</v>
      </c>
      <c r="DF10" s="32">
        <v>13150.418532960286</v>
      </c>
      <c r="DG10" s="32">
        <v>13307</v>
      </c>
      <c r="DH10" s="32">
        <v>10027</v>
      </c>
      <c r="DI10" s="32">
        <v>9897</v>
      </c>
      <c r="DJ10" s="32">
        <v>7716</v>
      </c>
      <c r="DK10" s="32">
        <v>6487</v>
      </c>
      <c r="DL10" s="32">
        <v>7349</v>
      </c>
      <c r="DM10" s="32">
        <v>6670</v>
      </c>
      <c r="DN10" s="32"/>
      <c r="DO10" s="32"/>
      <c r="DP10" s="32"/>
      <c r="DQ10" s="32"/>
      <c r="DR10" s="32"/>
      <c r="DS10" s="32"/>
      <c r="DT10" s="32"/>
      <c r="DU10" s="33"/>
      <c r="DV10" s="6"/>
      <c r="DW10" s="6"/>
    </row>
    <row r="11" spans="1:127">
      <c r="A11" s="30">
        <v>8</v>
      </c>
      <c r="B11" s="31"/>
      <c r="C11" s="32"/>
      <c r="D11" s="32"/>
      <c r="E11" s="32"/>
      <c r="F11" s="32"/>
      <c r="G11" s="32"/>
      <c r="H11" s="32"/>
      <c r="I11" s="32"/>
      <c r="J11" s="32">
        <v>8918</v>
      </c>
      <c r="K11" s="32">
        <v>9434</v>
      </c>
      <c r="L11" s="32">
        <v>10086</v>
      </c>
      <c r="M11" s="32">
        <v>10630</v>
      </c>
      <c r="N11" s="32">
        <v>17919</v>
      </c>
      <c r="O11" s="32">
        <v>29798.239158463588</v>
      </c>
      <c r="P11" s="32">
        <v>21878</v>
      </c>
      <c r="Q11" s="32">
        <v>14538</v>
      </c>
      <c r="R11" s="32">
        <v>14659</v>
      </c>
      <c r="S11" s="32">
        <v>10749</v>
      </c>
      <c r="T11" s="32">
        <v>7136</v>
      </c>
      <c r="U11" s="32">
        <v>6508</v>
      </c>
      <c r="V11" s="32">
        <v>6938</v>
      </c>
      <c r="W11" s="32"/>
      <c r="X11" s="32"/>
      <c r="Y11" s="32"/>
      <c r="Z11" s="32"/>
      <c r="AA11" s="32"/>
      <c r="AB11" s="32"/>
      <c r="AC11" s="33"/>
      <c r="AD11" s="6"/>
      <c r="AE11" s="6"/>
      <c r="AG11" s="30">
        <v>8</v>
      </c>
      <c r="AH11" s="31"/>
      <c r="AI11" s="32"/>
      <c r="AJ11" s="32"/>
      <c r="AK11" s="32"/>
      <c r="AL11" s="32"/>
      <c r="AM11" s="32"/>
      <c r="AN11" s="32"/>
      <c r="AO11" s="32"/>
      <c r="AP11" s="32">
        <v>64116</v>
      </c>
      <c r="AQ11" s="32">
        <v>59069</v>
      </c>
      <c r="AR11" s="32">
        <v>58409</v>
      </c>
      <c r="AS11" s="32">
        <v>60871</v>
      </c>
      <c r="AT11" s="32">
        <v>61855</v>
      </c>
      <c r="AU11" s="32">
        <v>95412.356095753217</v>
      </c>
      <c r="AV11" s="32">
        <v>71784</v>
      </c>
      <c r="AW11" s="32">
        <v>58108</v>
      </c>
      <c r="AX11" s="32">
        <v>62862</v>
      </c>
      <c r="AY11" s="32">
        <v>55330</v>
      </c>
      <c r="AZ11" s="32">
        <v>41468</v>
      </c>
      <c r="BA11" s="32">
        <v>38649</v>
      </c>
      <c r="BB11" s="32">
        <v>31495</v>
      </c>
      <c r="BC11" s="32"/>
      <c r="BD11" s="32"/>
      <c r="BE11" s="32"/>
      <c r="BF11" s="32"/>
      <c r="BG11" s="32"/>
      <c r="BH11" s="32"/>
      <c r="BI11" s="33"/>
      <c r="BJ11" s="6"/>
      <c r="BK11" s="6"/>
      <c r="BM11" s="30">
        <v>8</v>
      </c>
      <c r="BN11" s="31"/>
      <c r="BO11" s="32"/>
      <c r="BP11" s="32"/>
      <c r="BQ11" s="32"/>
      <c r="BR11" s="32"/>
      <c r="BS11" s="32"/>
      <c r="BT11" s="32"/>
      <c r="BU11" s="32"/>
      <c r="BV11" s="32">
        <v>39141</v>
      </c>
      <c r="BW11" s="32">
        <v>35574</v>
      </c>
      <c r="BX11" s="32">
        <v>30375</v>
      </c>
      <c r="BY11" s="32">
        <v>28444</v>
      </c>
      <c r="BZ11" s="32">
        <v>30520</v>
      </c>
      <c r="CA11" s="32">
        <v>35185.993129968127</v>
      </c>
      <c r="CB11" s="32">
        <v>27931</v>
      </c>
      <c r="CC11" s="32">
        <v>26297</v>
      </c>
      <c r="CD11" s="32">
        <v>19467</v>
      </c>
      <c r="CE11" s="32">
        <v>15555</v>
      </c>
      <c r="CF11" s="32">
        <v>12452</v>
      </c>
      <c r="CG11" s="32">
        <v>13595</v>
      </c>
      <c r="CH11" s="32">
        <v>11586</v>
      </c>
      <c r="CI11" s="32"/>
      <c r="CJ11" s="32"/>
      <c r="CK11" s="32"/>
      <c r="CL11" s="32"/>
      <c r="CM11" s="32"/>
      <c r="CN11" s="32"/>
      <c r="CO11" s="33"/>
      <c r="CP11" s="6"/>
      <c r="CQ11" s="6"/>
      <c r="CS11" s="30">
        <v>8</v>
      </c>
      <c r="CT11" s="31"/>
      <c r="CU11" s="32"/>
      <c r="CV11" s="32"/>
      <c r="CW11" s="32"/>
      <c r="CX11" s="32"/>
      <c r="CY11" s="32"/>
      <c r="CZ11" s="32"/>
      <c r="DA11" s="32"/>
      <c r="DB11" s="32">
        <v>8705</v>
      </c>
      <c r="DC11" s="32">
        <v>9043</v>
      </c>
      <c r="DD11" s="32">
        <v>9557</v>
      </c>
      <c r="DE11" s="32">
        <v>13057</v>
      </c>
      <c r="DF11" s="32">
        <v>13435</v>
      </c>
      <c r="DG11" s="32">
        <v>12639.827312775835</v>
      </c>
      <c r="DH11" s="32">
        <v>10083</v>
      </c>
      <c r="DI11" s="32">
        <v>9869</v>
      </c>
      <c r="DJ11" s="32">
        <v>7527</v>
      </c>
      <c r="DK11" s="32">
        <v>6337</v>
      </c>
      <c r="DL11" s="32">
        <v>6878</v>
      </c>
      <c r="DM11" s="32">
        <v>6523</v>
      </c>
      <c r="DN11" s="32">
        <v>5472</v>
      </c>
      <c r="DO11" s="32"/>
      <c r="DP11" s="32"/>
      <c r="DQ11" s="32"/>
      <c r="DR11" s="32"/>
      <c r="DS11" s="32"/>
      <c r="DT11" s="32"/>
      <c r="DU11" s="33"/>
      <c r="DV11" s="6"/>
      <c r="DW11" s="6"/>
    </row>
    <row r="12" spans="1:127">
      <c r="A12" s="30">
        <v>9</v>
      </c>
      <c r="B12" s="31"/>
      <c r="C12" s="32"/>
      <c r="D12" s="32"/>
      <c r="E12" s="32"/>
      <c r="F12" s="32"/>
      <c r="G12" s="32"/>
      <c r="H12" s="32"/>
      <c r="I12" s="32"/>
      <c r="J12" s="32"/>
      <c r="K12" s="32">
        <v>9472</v>
      </c>
      <c r="L12" s="32">
        <v>10027</v>
      </c>
      <c r="M12" s="32">
        <v>10530</v>
      </c>
      <c r="N12" s="32">
        <v>17327</v>
      </c>
      <c r="O12" s="32">
        <v>29826</v>
      </c>
      <c r="P12" s="32">
        <v>20604.190660108881</v>
      </c>
      <c r="Q12" s="32">
        <v>13668</v>
      </c>
      <c r="R12" s="32">
        <v>13932</v>
      </c>
      <c r="S12" s="32">
        <v>10116</v>
      </c>
      <c r="T12" s="32">
        <v>6985</v>
      </c>
      <c r="U12" s="32">
        <v>6032</v>
      </c>
      <c r="V12" s="32">
        <v>6746</v>
      </c>
      <c r="W12" s="32">
        <v>10801</v>
      </c>
      <c r="X12" s="32"/>
      <c r="Y12" s="32"/>
      <c r="Z12" s="32"/>
      <c r="AA12" s="32"/>
      <c r="AB12" s="32"/>
      <c r="AC12" s="33"/>
      <c r="AD12" s="6"/>
      <c r="AE12" s="6"/>
      <c r="AG12" s="30">
        <v>9</v>
      </c>
      <c r="AH12" s="31"/>
      <c r="AI12" s="32"/>
      <c r="AJ12" s="32"/>
      <c r="AK12" s="32"/>
      <c r="AL12" s="32"/>
      <c r="AM12" s="32"/>
      <c r="AN12" s="32"/>
      <c r="AO12" s="32"/>
      <c r="AP12" s="32"/>
      <c r="AQ12" s="32">
        <v>58823</v>
      </c>
      <c r="AR12" s="32">
        <v>57198</v>
      </c>
      <c r="AS12" s="32">
        <v>59092</v>
      </c>
      <c r="AT12" s="32">
        <v>58228</v>
      </c>
      <c r="AU12" s="32">
        <v>89594</v>
      </c>
      <c r="AV12" s="32">
        <v>68489.630831561881</v>
      </c>
      <c r="AW12" s="32">
        <v>54508</v>
      </c>
      <c r="AX12" s="32">
        <v>58485</v>
      </c>
      <c r="AY12" s="32">
        <v>50462</v>
      </c>
      <c r="AZ12" s="32">
        <v>39225</v>
      </c>
      <c r="BA12" s="32">
        <v>35121</v>
      </c>
      <c r="BB12" s="32">
        <v>29846</v>
      </c>
      <c r="BC12" s="32">
        <v>28037</v>
      </c>
      <c r="BD12" s="32"/>
      <c r="BE12" s="32"/>
      <c r="BF12" s="32"/>
      <c r="BG12" s="32"/>
      <c r="BH12" s="32"/>
      <c r="BI12" s="33"/>
      <c r="BJ12" s="6"/>
      <c r="BK12" s="6"/>
      <c r="BM12" s="30">
        <v>9</v>
      </c>
      <c r="BN12" s="31"/>
      <c r="BO12" s="32"/>
      <c r="BP12" s="32"/>
      <c r="BQ12" s="32"/>
      <c r="BR12" s="32"/>
      <c r="BS12" s="32"/>
      <c r="BT12" s="32"/>
      <c r="BU12" s="32"/>
      <c r="BV12" s="32"/>
      <c r="BW12" s="32">
        <v>34917</v>
      </c>
      <c r="BX12" s="32">
        <v>29202</v>
      </c>
      <c r="BY12" s="32">
        <v>27197</v>
      </c>
      <c r="BZ12" s="32">
        <v>28279</v>
      </c>
      <c r="CA12" s="32">
        <v>32933</v>
      </c>
      <c r="CB12" s="32">
        <v>27726.774654197128</v>
      </c>
      <c r="CC12" s="32">
        <v>25156</v>
      </c>
      <c r="CD12" s="32">
        <v>18279</v>
      </c>
      <c r="CE12" s="32">
        <v>14095</v>
      </c>
      <c r="CF12" s="32">
        <v>11689</v>
      </c>
      <c r="CG12" s="32">
        <v>11974</v>
      </c>
      <c r="CH12" s="32">
        <v>10935</v>
      </c>
      <c r="CI12" s="32">
        <v>10707</v>
      </c>
      <c r="CJ12" s="32"/>
      <c r="CK12" s="32"/>
      <c r="CL12" s="32"/>
      <c r="CM12" s="32"/>
      <c r="CN12" s="32"/>
      <c r="CO12" s="33"/>
      <c r="CP12" s="6"/>
      <c r="CQ12" s="6"/>
      <c r="CS12" s="30">
        <v>9</v>
      </c>
      <c r="CT12" s="31"/>
      <c r="CU12" s="32"/>
      <c r="CV12" s="32"/>
      <c r="CW12" s="32"/>
      <c r="CX12" s="32"/>
      <c r="CY12" s="32"/>
      <c r="CZ12" s="32"/>
      <c r="DA12" s="32"/>
      <c r="DB12" s="32"/>
      <c r="DC12" s="32">
        <v>8710</v>
      </c>
      <c r="DD12" s="32">
        <v>8904</v>
      </c>
      <c r="DE12" s="32">
        <v>12219</v>
      </c>
      <c r="DF12" s="32">
        <v>12286</v>
      </c>
      <c r="DG12" s="32">
        <v>11974</v>
      </c>
      <c r="DH12" s="32">
        <v>10024.429772329144</v>
      </c>
      <c r="DI12" s="32">
        <v>9889</v>
      </c>
      <c r="DJ12" s="32">
        <v>7325</v>
      </c>
      <c r="DK12" s="32">
        <v>6020</v>
      </c>
      <c r="DL12" s="32">
        <v>6533</v>
      </c>
      <c r="DM12" s="32">
        <v>5802</v>
      </c>
      <c r="DN12" s="32">
        <v>5110</v>
      </c>
      <c r="DO12" s="32">
        <v>5353</v>
      </c>
      <c r="DP12" s="32"/>
      <c r="DQ12" s="32"/>
      <c r="DR12" s="32"/>
      <c r="DS12" s="32"/>
      <c r="DT12" s="32"/>
      <c r="DU12" s="33"/>
      <c r="DV12" s="6"/>
      <c r="DW12" s="6"/>
    </row>
    <row r="13" spans="1:127">
      <c r="A13" s="30">
        <v>10</v>
      </c>
      <c r="B13" s="31"/>
      <c r="C13" s="32"/>
      <c r="D13" s="32"/>
      <c r="E13" s="32"/>
      <c r="F13" s="32"/>
      <c r="G13" s="32"/>
      <c r="H13" s="32"/>
      <c r="I13" s="32"/>
      <c r="J13" s="32"/>
      <c r="K13" s="32"/>
      <c r="L13" s="32">
        <v>9893</v>
      </c>
      <c r="M13" s="32">
        <v>10279</v>
      </c>
      <c r="N13" s="32">
        <v>16517</v>
      </c>
      <c r="O13" s="32">
        <v>27519</v>
      </c>
      <c r="P13" s="32">
        <v>19037</v>
      </c>
      <c r="Q13" s="32">
        <v>12988.993182893533</v>
      </c>
      <c r="R13" s="32">
        <v>12817</v>
      </c>
      <c r="S13" s="32">
        <v>9486</v>
      </c>
      <c r="T13" s="32">
        <v>6347</v>
      </c>
      <c r="U13" s="32">
        <v>5642</v>
      </c>
      <c r="V13" s="32">
        <v>5924</v>
      </c>
      <c r="W13" s="32">
        <v>10068</v>
      </c>
      <c r="X13" s="32">
        <v>11350</v>
      </c>
      <c r="Y13" s="32"/>
      <c r="Z13" s="32"/>
      <c r="AA13" s="32"/>
      <c r="AB13" s="32"/>
      <c r="AC13" s="33"/>
      <c r="AD13" s="6"/>
      <c r="AE13" s="6"/>
      <c r="AG13" s="30">
        <v>10</v>
      </c>
      <c r="AH13" s="31"/>
      <c r="AI13" s="32"/>
      <c r="AJ13" s="32"/>
      <c r="AK13" s="32"/>
      <c r="AL13" s="32"/>
      <c r="AM13" s="32"/>
      <c r="AN13" s="32"/>
      <c r="AO13" s="32"/>
      <c r="AP13" s="32"/>
      <c r="AQ13" s="32"/>
      <c r="AR13" s="32">
        <v>55743</v>
      </c>
      <c r="AS13" s="32">
        <v>55988</v>
      </c>
      <c r="AT13" s="32">
        <v>53356</v>
      </c>
      <c r="AU13" s="32">
        <v>78461</v>
      </c>
      <c r="AV13" s="32">
        <v>59029</v>
      </c>
      <c r="AW13" s="32">
        <v>52165.782509807163</v>
      </c>
      <c r="AX13" s="32">
        <v>53400</v>
      </c>
      <c r="AY13" s="32">
        <v>46010</v>
      </c>
      <c r="AZ13" s="32">
        <v>33880</v>
      </c>
      <c r="BA13" s="32">
        <v>31933</v>
      </c>
      <c r="BB13" s="32">
        <v>25559</v>
      </c>
      <c r="BC13" s="32">
        <v>25524</v>
      </c>
      <c r="BD13" s="32">
        <v>24648</v>
      </c>
      <c r="BE13" s="32"/>
      <c r="BF13" s="32"/>
      <c r="BG13" s="32"/>
      <c r="BH13" s="32"/>
      <c r="BI13" s="33"/>
      <c r="BJ13" s="6"/>
      <c r="BK13" s="6"/>
      <c r="BM13" s="30">
        <v>10</v>
      </c>
      <c r="BN13" s="31"/>
      <c r="BO13" s="32"/>
      <c r="BP13" s="32"/>
      <c r="BQ13" s="32"/>
      <c r="BR13" s="32"/>
      <c r="BS13" s="32"/>
      <c r="BT13" s="32"/>
      <c r="BU13" s="32"/>
      <c r="BV13" s="32"/>
      <c r="BW13" s="32"/>
      <c r="BX13" s="32">
        <v>27592</v>
      </c>
      <c r="BY13" s="32">
        <v>24643</v>
      </c>
      <c r="BZ13" s="32">
        <v>25421</v>
      </c>
      <c r="CA13" s="32">
        <v>28750</v>
      </c>
      <c r="CB13" s="32">
        <v>23509</v>
      </c>
      <c r="CC13" s="32">
        <v>25103.844573076985</v>
      </c>
      <c r="CD13" s="32">
        <v>16821</v>
      </c>
      <c r="CE13" s="32">
        <v>13132</v>
      </c>
      <c r="CF13" s="32">
        <v>10026</v>
      </c>
      <c r="CG13" s="32">
        <v>10644</v>
      </c>
      <c r="CH13" s="32">
        <v>8949</v>
      </c>
      <c r="CI13" s="32">
        <v>9539</v>
      </c>
      <c r="CJ13" s="32">
        <v>9933</v>
      </c>
      <c r="CK13" s="32"/>
      <c r="CL13" s="32"/>
      <c r="CM13" s="32"/>
      <c r="CN13" s="32"/>
      <c r="CO13" s="33"/>
      <c r="CP13" s="6"/>
      <c r="CQ13" s="6"/>
      <c r="CS13" s="30">
        <v>10</v>
      </c>
      <c r="CT13" s="31"/>
      <c r="CU13" s="32"/>
      <c r="CV13" s="32"/>
      <c r="CW13" s="32"/>
      <c r="CX13" s="32"/>
      <c r="CY13" s="32"/>
      <c r="CZ13" s="32"/>
      <c r="DA13" s="32"/>
      <c r="DB13" s="32"/>
      <c r="DC13" s="32"/>
      <c r="DD13" s="32">
        <v>8202</v>
      </c>
      <c r="DE13" s="32">
        <v>10899</v>
      </c>
      <c r="DF13" s="32">
        <v>10931</v>
      </c>
      <c r="DG13" s="32">
        <v>10411</v>
      </c>
      <c r="DH13" s="32">
        <v>8547</v>
      </c>
      <c r="DI13" s="32">
        <v>9702.0811930501386</v>
      </c>
      <c r="DJ13" s="32">
        <v>6940</v>
      </c>
      <c r="DK13" s="32">
        <v>5802</v>
      </c>
      <c r="DL13" s="32">
        <v>5879</v>
      </c>
      <c r="DM13" s="32">
        <v>5339</v>
      </c>
      <c r="DN13" s="32">
        <v>4311</v>
      </c>
      <c r="DO13" s="32">
        <v>4850</v>
      </c>
      <c r="DP13" s="32">
        <v>4232</v>
      </c>
      <c r="DQ13" s="32"/>
      <c r="DR13" s="32"/>
      <c r="DS13" s="32"/>
      <c r="DT13" s="32"/>
      <c r="DU13" s="33"/>
      <c r="DV13" s="6"/>
      <c r="DW13" s="6"/>
    </row>
    <row r="14" spans="1:127">
      <c r="A14" s="30">
        <v>11</v>
      </c>
      <c r="B14" s="31"/>
      <c r="C14" s="32"/>
      <c r="D14" s="32"/>
      <c r="E14" s="32"/>
      <c r="F14" s="32"/>
      <c r="G14" s="32"/>
      <c r="H14" s="32"/>
      <c r="I14" s="32"/>
      <c r="J14" s="32"/>
      <c r="K14" s="32"/>
      <c r="L14" s="32"/>
      <c r="M14" s="32">
        <v>10125</v>
      </c>
      <c r="N14" s="32">
        <v>15935</v>
      </c>
      <c r="O14" s="32">
        <v>25929</v>
      </c>
      <c r="P14" s="32">
        <v>17131</v>
      </c>
      <c r="Q14" s="32">
        <v>10619</v>
      </c>
      <c r="R14" s="32">
        <v>12076.778889720825</v>
      </c>
      <c r="S14" s="32">
        <v>8211</v>
      </c>
      <c r="T14" s="32">
        <v>5736</v>
      </c>
      <c r="U14" s="32">
        <v>4792</v>
      </c>
      <c r="V14" s="32">
        <v>5300</v>
      </c>
      <c r="W14" s="32">
        <v>8302</v>
      </c>
      <c r="X14" s="32">
        <v>9006</v>
      </c>
      <c r="Y14" s="32">
        <v>11979</v>
      </c>
      <c r="Z14" s="32"/>
      <c r="AA14" s="32"/>
      <c r="AB14" s="32"/>
      <c r="AC14" s="33"/>
      <c r="AD14" s="6"/>
      <c r="AE14" s="6"/>
      <c r="AG14" s="30">
        <v>11</v>
      </c>
      <c r="AH14" s="31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>
        <v>53994</v>
      </c>
      <c r="AT14" s="32">
        <v>49255</v>
      </c>
      <c r="AU14" s="32">
        <v>70906</v>
      </c>
      <c r="AV14" s="32">
        <v>51028</v>
      </c>
      <c r="AW14" s="32">
        <v>41505</v>
      </c>
      <c r="AX14" s="32">
        <v>50559.334703754103</v>
      </c>
      <c r="AY14" s="32">
        <v>37840</v>
      </c>
      <c r="AZ14" s="32">
        <v>29605</v>
      </c>
      <c r="BA14" s="32">
        <v>25752</v>
      </c>
      <c r="BB14" s="32">
        <v>21991</v>
      </c>
      <c r="BC14" s="32">
        <v>19656</v>
      </c>
      <c r="BD14" s="32">
        <v>18860</v>
      </c>
      <c r="BE14" s="32">
        <v>24015</v>
      </c>
      <c r="BF14" s="32"/>
      <c r="BG14" s="32"/>
      <c r="BH14" s="32"/>
      <c r="BI14" s="33"/>
      <c r="BJ14" s="6"/>
      <c r="BK14" s="6"/>
      <c r="BM14" s="30">
        <v>11</v>
      </c>
      <c r="BN14" s="31"/>
      <c r="BO14" s="32"/>
      <c r="BP14" s="32"/>
      <c r="BQ14" s="32"/>
      <c r="BR14" s="32"/>
      <c r="BS14" s="32"/>
      <c r="BT14" s="32"/>
      <c r="BU14" s="32"/>
      <c r="BV14" s="32"/>
      <c r="BW14" s="32"/>
      <c r="BX14" s="32"/>
      <c r="BY14" s="32">
        <v>22805</v>
      </c>
      <c r="BZ14" s="32">
        <v>22458</v>
      </c>
      <c r="CA14" s="32">
        <v>25529</v>
      </c>
      <c r="CB14" s="32">
        <v>20070</v>
      </c>
      <c r="CC14" s="32">
        <v>18693</v>
      </c>
      <c r="CD14" s="32">
        <v>16826.394447386607</v>
      </c>
      <c r="CE14" s="32">
        <v>11019</v>
      </c>
      <c r="CF14" s="32">
        <v>8781</v>
      </c>
      <c r="CG14" s="32">
        <v>8565</v>
      </c>
      <c r="CH14" s="32">
        <v>7608</v>
      </c>
      <c r="CI14" s="32">
        <v>7414</v>
      </c>
      <c r="CJ14" s="32">
        <v>7556</v>
      </c>
      <c r="CK14" s="32">
        <v>9220</v>
      </c>
      <c r="CL14" s="32"/>
      <c r="CM14" s="32"/>
      <c r="CN14" s="32"/>
      <c r="CO14" s="33"/>
      <c r="CP14" s="6"/>
      <c r="CQ14" s="6"/>
      <c r="CS14" s="30">
        <v>11</v>
      </c>
      <c r="CT14" s="31"/>
      <c r="CU14" s="32"/>
      <c r="CV14" s="32"/>
      <c r="CW14" s="32"/>
      <c r="CX14" s="32"/>
      <c r="CY14" s="32"/>
      <c r="CZ14" s="32"/>
      <c r="DA14" s="32"/>
      <c r="DB14" s="32"/>
      <c r="DC14" s="32"/>
      <c r="DD14" s="32"/>
      <c r="DE14" s="32">
        <v>9622</v>
      </c>
      <c r="DF14" s="32">
        <v>9357</v>
      </c>
      <c r="DG14" s="32">
        <v>9118</v>
      </c>
      <c r="DH14" s="32">
        <v>7112</v>
      </c>
      <c r="DI14" s="32">
        <v>7569</v>
      </c>
      <c r="DJ14" s="32">
        <v>6989.9013189137468</v>
      </c>
      <c r="DK14" s="32">
        <v>5259</v>
      </c>
      <c r="DL14" s="32">
        <v>5344</v>
      </c>
      <c r="DM14" s="32">
        <v>4533</v>
      </c>
      <c r="DN14" s="32">
        <v>3834</v>
      </c>
      <c r="DO14" s="32">
        <v>3845</v>
      </c>
      <c r="DP14" s="32">
        <v>3390</v>
      </c>
      <c r="DQ14" s="32">
        <v>4132</v>
      </c>
      <c r="DR14" s="32"/>
      <c r="DS14" s="32"/>
      <c r="DT14" s="32"/>
      <c r="DU14" s="33"/>
      <c r="DV14" s="6"/>
      <c r="DW14" s="6"/>
    </row>
    <row r="15" spans="1:127">
      <c r="A15" s="30">
        <v>12</v>
      </c>
      <c r="B15" s="31"/>
      <c r="C15" s="32"/>
      <c r="D15" s="32"/>
      <c r="E15" s="32"/>
      <c r="F15" s="32"/>
      <c r="G15" s="32"/>
      <c r="H15" s="32"/>
      <c r="I15" s="32"/>
      <c r="J15" s="32"/>
      <c r="K15" s="32"/>
      <c r="L15" s="32"/>
      <c r="M15" s="32"/>
      <c r="N15" s="32">
        <v>15358</v>
      </c>
      <c r="O15" s="32">
        <v>24004</v>
      </c>
      <c r="P15" s="32">
        <v>14986</v>
      </c>
      <c r="Q15" s="32">
        <v>8618</v>
      </c>
      <c r="R15" s="32">
        <v>9370</v>
      </c>
      <c r="S15" s="32">
        <v>7788.17691108289</v>
      </c>
      <c r="T15" s="32">
        <v>4666</v>
      </c>
      <c r="U15" s="32">
        <v>4144</v>
      </c>
      <c r="V15" s="32">
        <v>4286</v>
      </c>
      <c r="W15" s="32">
        <v>7139</v>
      </c>
      <c r="X15" s="32">
        <v>7449</v>
      </c>
      <c r="Y15" s="32">
        <v>8720</v>
      </c>
      <c r="Z15" s="32">
        <v>8999</v>
      </c>
      <c r="AA15" s="32"/>
      <c r="AB15" s="32"/>
      <c r="AC15" s="33"/>
      <c r="AD15" s="6"/>
      <c r="AE15" s="6"/>
      <c r="AG15" s="30">
        <v>12</v>
      </c>
      <c r="AH15" s="31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2">
        <v>45334</v>
      </c>
      <c r="AU15" s="32">
        <v>60733</v>
      </c>
      <c r="AV15" s="32">
        <v>42282</v>
      </c>
      <c r="AW15" s="32">
        <v>32460</v>
      </c>
      <c r="AX15" s="32">
        <v>36402</v>
      </c>
      <c r="AY15" s="32">
        <v>36324.269545531242</v>
      </c>
      <c r="AZ15" s="32">
        <v>22482</v>
      </c>
      <c r="BA15" s="32">
        <v>21287</v>
      </c>
      <c r="BB15" s="32">
        <v>16617</v>
      </c>
      <c r="BC15" s="32">
        <v>16251</v>
      </c>
      <c r="BD15" s="32">
        <v>15125</v>
      </c>
      <c r="BE15" s="32">
        <v>16393</v>
      </c>
      <c r="BF15" s="32">
        <v>15535</v>
      </c>
      <c r="BG15" s="32"/>
      <c r="BH15" s="32"/>
      <c r="BI15" s="33"/>
      <c r="BJ15" s="6"/>
      <c r="BK15" s="6"/>
      <c r="BM15" s="30">
        <v>12</v>
      </c>
      <c r="BN15" s="31"/>
      <c r="BO15" s="32"/>
      <c r="BP15" s="32"/>
      <c r="BQ15" s="32"/>
      <c r="BR15" s="32"/>
      <c r="BS15" s="32"/>
      <c r="BT15" s="32"/>
      <c r="BU15" s="32"/>
      <c r="BV15" s="32"/>
      <c r="BW15" s="32"/>
      <c r="BX15" s="32"/>
      <c r="BY15" s="32"/>
      <c r="BZ15" s="32">
        <v>19418</v>
      </c>
      <c r="CA15" s="32">
        <v>20851</v>
      </c>
      <c r="CB15" s="32">
        <v>16225</v>
      </c>
      <c r="CC15" s="32">
        <v>14106</v>
      </c>
      <c r="CD15" s="32">
        <v>11075</v>
      </c>
      <c r="CE15" s="32">
        <v>11165.718919183741</v>
      </c>
      <c r="CF15" s="32">
        <v>6888</v>
      </c>
      <c r="CG15" s="32">
        <v>7109</v>
      </c>
      <c r="CH15" s="32">
        <v>5759</v>
      </c>
      <c r="CI15" s="32">
        <v>6172</v>
      </c>
      <c r="CJ15" s="32">
        <v>6118</v>
      </c>
      <c r="CK15" s="32">
        <v>6495</v>
      </c>
      <c r="CL15" s="32">
        <v>5799</v>
      </c>
      <c r="CM15" s="32"/>
      <c r="CN15" s="32"/>
      <c r="CO15" s="33"/>
      <c r="CP15" s="6"/>
      <c r="CQ15" s="6"/>
      <c r="CS15" s="30">
        <v>12</v>
      </c>
      <c r="CT15" s="31"/>
      <c r="CU15" s="32"/>
      <c r="CV15" s="32"/>
      <c r="CW15" s="32"/>
      <c r="CX15" s="32"/>
      <c r="CY15" s="32"/>
      <c r="CZ15" s="32"/>
      <c r="DA15" s="32"/>
      <c r="DB15" s="32"/>
      <c r="DC15" s="32"/>
      <c r="DD15" s="32"/>
      <c r="DE15" s="32"/>
      <c r="DF15" s="32">
        <v>7841</v>
      </c>
      <c r="DG15" s="32">
        <v>7165</v>
      </c>
      <c r="DH15" s="32">
        <v>5661</v>
      </c>
      <c r="DI15" s="32">
        <v>5811</v>
      </c>
      <c r="DJ15" s="32">
        <v>4925</v>
      </c>
      <c r="DK15" s="32">
        <v>5475.1663868893966</v>
      </c>
      <c r="DL15" s="32">
        <v>4734</v>
      </c>
      <c r="DM15" s="32">
        <v>4050</v>
      </c>
      <c r="DN15" s="32">
        <v>3166</v>
      </c>
      <c r="DO15" s="32">
        <v>3258</v>
      </c>
      <c r="DP15" s="32">
        <v>2692</v>
      </c>
      <c r="DQ15" s="32">
        <v>3136</v>
      </c>
      <c r="DR15" s="32">
        <v>2954</v>
      </c>
      <c r="DS15" s="32"/>
      <c r="DT15" s="32"/>
      <c r="DU15" s="33"/>
      <c r="DV15" s="6"/>
      <c r="DW15" s="6"/>
    </row>
    <row r="16" spans="1:127">
      <c r="A16" s="30">
        <v>13</v>
      </c>
      <c r="B16" s="31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2"/>
      <c r="N16" s="32"/>
      <c r="O16" s="32">
        <v>22740</v>
      </c>
      <c r="P16" s="32">
        <v>13634</v>
      </c>
      <c r="Q16" s="32">
        <v>7544</v>
      </c>
      <c r="R16" s="32">
        <v>7195</v>
      </c>
      <c r="S16" s="32">
        <v>5354</v>
      </c>
      <c r="T16" s="32">
        <v>4439.7761690335192</v>
      </c>
      <c r="U16" s="32">
        <v>3047</v>
      </c>
      <c r="V16" s="32">
        <v>3532</v>
      </c>
      <c r="W16" s="32">
        <v>5338</v>
      </c>
      <c r="X16" s="32">
        <v>5254</v>
      </c>
      <c r="Y16" s="32">
        <v>6884</v>
      </c>
      <c r="Z16" s="32">
        <v>5698</v>
      </c>
      <c r="AA16" s="32">
        <v>6564</v>
      </c>
      <c r="AB16" s="32"/>
      <c r="AC16" s="33"/>
      <c r="AD16" s="6"/>
      <c r="AE16" s="6"/>
      <c r="AG16" s="30">
        <v>13</v>
      </c>
      <c r="AH16" s="31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>
        <v>54049</v>
      </c>
      <c r="AV16" s="32">
        <v>36180</v>
      </c>
      <c r="AW16" s="32">
        <v>27757</v>
      </c>
      <c r="AX16" s="32">
        <v>26658</v>
      </c>
      <c r="AY16" s="32">
        <v>22045</v>
      </c>
      <c r="AZ16" s="32">
        <v>21526.182505721015</v>
      </c>
      <c r="BA16" s="32">
        <v>15056</v>
      </c>
      <c r="BB16" s="32">
        <v>13323</v>
      </c>
      <c r="BC16" s="32">
        <v>10929</v>
      </c>
      <c r="BD16" s="32">
        <v>10125</v>
      </c>
      <c r="BE16" s="32">
        <v>12485</v>
      </c>
      <c r="BF16" s="32">
        <v>9269</v>
      </c>
      <c r="BG16" s="32">
        <v>7853</v>
      </c>
      <c r="BH16" s="32"/>
      <c r="BI16" s="33"/>
      <c r="BJ16" s="6"/>
      <c r="BK16" s="6"/>
      <c r="BM16" s="30">
        <v>13</v>
      </c>
      <c r="BN16" s="31"/>
      <c r="BO16" s="32"/>
      <c r="BP16" s="32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>
        <v>18032</v>
      </c>
      <c r="CB16" s="32">
        <v>13263</v>
      </c>
      <c r="CC16" s="32">
        <v>11300</v>
      </c>
      <c r="CD16" s="32">
        <v>7633</v>
      </c>
      <c r="CE16" s="32">
        <v>6422</v>
      </c>
      <c r="CF16" s="32">
        <v>7065.0355808808818</v>
      </c>
      <c r="CG16" s="32">
        <v>5304</v>
      </c>
      <c r="CH16" s="32">
        <v>4787</v>
      </c>
      <c r="CI16" s="32">
        <v>4474</v>
      </c>
      <c r="CJ16" s="32">
        <v>4320</v>
      </c>
      <c r="CK16" s="32">
        <v>4997</v>
      </c>
      <c r="CL16" s="32">
        <v>3716</v>
      </c>
      <c r="CM16" s="32">
        <v>3303</v>
      </c>
      <c r="CN16" s="32"/>
      <c r="CO16" s="33"/>
      <c r="CP16" s="6"/>
      <c r="CQ16" s="6"/>
      <c r="CS16" s="30">
        <v>13</v>
      </c>
      <c r="CT16" s="31"/>
      <c r="CU16" s="32"/>
      <c r="CV16" s="32"/>
      <c r="CW16" s="32"/>
      <c r="CX16" s="32"/>
      <c r="CY16" s="32"/>
      <c r="CZ16" s="32"/>
      <c r="DA16" s="32"/>
      <c r="DB16" s="32"/>
      <c r="DC16" s="32"/>
      <c r="DD16" s="32"/>
      <c r="DE16" s="32"/>
      <c r="DF16" s="32"/>
      <c r="DG16" s="32">
        <v>5806</v>
      </c>
      <c r="DH16" s="32">
        <v>4474</v>
      </c>
      <c r="DI16" s="32">
        <v>4684</v>
      </c>
      <c r="DJ16" s="32">
        <v>3536</v>
      </c>
      <c r="DK16" s="32">
        <v>3384</v>
      </c>
      <c r="DL16" s="32">
        <v>4920.8641378087232</v>
      </c>
      <c r="DM16" s="32">
        <v>3351</v>
      </c>
      <c r="DN16" s="32">
        <v>2646</v>
      </c>
      <c r="DO16" s="32">
        <v>2620</v>
      </c>
      <c r="DP16" s="32">
        <v>2042</v>
      </c>
      <c r="DQ16" s="32">
        <v>2522</v>
      </c>
      <c r="DR16" s="32">
        <v>2147</v>
      </c>
      <c r="DS16" s="32">
        <v>1593</v>
      </c>
      <c r="DT16" s="32"/>
      <c r="DU16" s="33"/>
      <c r="DV16" s="6"/>
      <c r="DW16" s="6"/>
    </row>
    <row r="17" spans="1:127">
      <c r="A17" s="30">
        <v>14</v>
      </c>
      <c r="B17" s="31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2"/>
      <c r="N17" s="32"/>
      <c r="O17" s="32"/>
      <c r="P17" s="32">
        <v>12323</v>
      </c>
      <c r="Q17" s="32">
        <v>5985</v>
      </c>
      <c r="R17" s="32">
        <v>6146</v>
      </c>
      <c r="S17" s="32">
        <v>4288</v>
      </c>
      <c r="T17" s="32">
        <v>2573</v>
      </c>
      <c r="U17" s="32">
        <v>2880.9457004844398</v>
      </c>
      <c r="V17" s="32">
        <v>2460</v>
      </c>
      <c r="W17" s="32">
        <v>4188</v>
      </c>
      <c r="X17" s="32">
        <v>4196</v>
      </c>
      <c r="Y17" s="32">
        <v>4588</v>
      </c>
      <c r="Z17" s="32">
        <v>4220</v>
      </c>
      <c r="AA17" s="32">
        <v>3845</v>
      </c>
      <c r="AB17" s="32">
        <v>3882</v>
      </c>
      <c r="AC17" s="33"/>
      <c r="AD17" s="6"/>
      <c r="AE17" s="6"/>
      <c r="AG17" s="30">
        <v>14</v>
      </c>
      <c r="AH17" s="31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>
        <v>30339</v>
      </c>
      <c r="AW17" s="32">
        <v>21667</v>
      </c>
      <c r="AX17" s="32">
        <v>21885</v>
      </c>
      <c r="AY17" s="32">
        <v>17187</v>
      </c>
      <c r="AZ17" s="32">
        <v>11669</v>
      </c>
      <c r="BA17" s="32">
        <v>14436.245089565688</v>
      </c>
      <c r="BB17" s="32">
        <v>8969</v>
      </c>
      <c r="BC17" s="32">
        <v>8162</v>
      </c>
      <c r="BD17" s="32">
        <v>7713</v>
      </c>
      <c r="BE17" s="32">
        <v>7632</v>
      </c>
      <c r="BF17" s="32">
        <v>6649</v>
      </c>
      <c r="BG17" s="32">
        <v>4383</v>
      </c>
      <c r="BH17" s="32">
        <v>4103</v>
      </c>
      <c r="BI17" s="33"/>
      <c r="BJ17" s="6"/>
      <c r="BK17" s="6"/>
      <c r="BM17" s="30">
        <v>14</v>
      </c>
      <c r="BN17" s="31"/>
      <c r="BO17" s="32"/>
      <c r="BP17" s="32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>
        <v>10623</v>
      </c>
      <c r="CC17" s="32">
        <v>7919</v>
      </c>
      <c r="CD17" s="32">
        <v>5835</v>
      </c>
      <c r="CE17" s="32">
        <v>4802</v>
      </c>
      <c r="CF17" s="32">
        <v>3664</v>
      </c>
      <c r="CG17" s="32">
        <v>5415.0404736525807</v>
      </c>
      <c r="CH17" s="32">
        <v>3434</v>
      </c>
      <c r="CI17" s="32">
        <v>3591</v>
      </c>
      <c r="CJ17" s="32">
        <v>3414</v>
      </c>
      <c r="CK17" s="32">
        <v>3345</v>
      </c>
      <c r="CL17" s="32">
        <v>2799</v>
      </c>
      <c r="CM17" s="32">
        <v>1959</v>
      </c>
      <c r="CN17" s="32">
        <v>1660</v>
      </c>
      <c r="CO17" s="33"/>
      <c r="CP17" s="6"/>
      <c r="CQ17" s="6"/>
      <c r="CS17" s="30">
        <v>14</v>
      </c>
      <c r="CT17" s="31"/>
      <c r="CU17" s="32"/>
      <c r="CV17" s="32"/>
      <c r="CW17" s="32"/>
      <c r="CX17" s="32"/>
      <c r="CY17" s="32"/>
      <c r="CZ17" s="32"/>
      <c r="DA17" s="32"/>
      <c r="DB17" s="32"/>
      <c r="DC17" s="32"/>
      <c r="DD17" s="32"/>
      <c r="DE17" s="32"/>
      <c r="DF17" s="32"/>
      <c r="DG17" s="32"/>
      <c r="DH17" s="32">
        <v>3408</v>
      </c>
      <c r="DI17" s="32">
        <v>3337</v>
      </c>
      <c r="DJ17" s="32">
        <v>2742</v>
      </c>
      <c r="DK17" s="32">
        <v>2518</v>
      </c>
      <c r="DL17" s="32">
        <v>2811</v>
      </c>
      <c r="DM17" s="32">
        <v>3575.3370623922797</v>
      </c>
      <c r="DN17" s="32">
        <v>2141</v>
      </c>
      <c r="DO17" s="32">
        <v>2236</v>
      </c>
      <c r="DP17" s="32">
        <v>1732</v>
      </c>
      <c r="DQ17" s="32">
        <v>1912</v>
      </c>
      <c r="DR17" s="32">
        <v>1581</v>
      </c>
      <c r="DS17" s="32">
        <v>1090</v>
      </c>
      <c r="DT17" s="32">
        <v>966</v>
      </c>
      <c r="DU17" s="33"/>
      <c r="DV17" s="6"/>
      <c r="DW17" s="6"/>
    </row>
    <row r="18" spans="1:127" ht="15.75" thickBot="1">
      <c r="A18" s="34">
        <v>15</v>
      </c>
      <c r="B18" s="35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>
        <v>5116</v>
      </c>
      <c r="R18" s="36">
        <v>4631</v>
      </c>
      <c r="S18" s="36">
        <v>3119</v>
      </c>
      <c r="T18" s="36">
        <v>1924</v>
      </c>
      <c r="U18" s="36">
        <v>1408</v>
      </c>
      <c r="V18" s="36">
        <v>2299.6758143739307</v>
      </c>
      <c r="W18" s="36">
        <v>2742</v>
      </c>
      <c r="X18" s="36">
        <v>2699</v>
      </c>
      <c r="Y18" s="36">
        <v>3447</v>
      </c>
      <c r="Z18" s="36">
        <v>2487</v>
      </c>
      <c r="AA18" s="36">
        <v>2735</v>
      </c>
      <c r="AB18" s="36">
        <v>2220</v>
      </c>
      <c r="AC18" s="37">
        <v>2787</v>
      </c>
      <c r="AD18" s="6"/>
      <c r="AE18" s="6"/>
      <c r="AG18" s="34">
        <v>15</v>
      </c>
      <c r="AH18" s="35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>
        <v>17967</v>
      </c>
      <c r="AX18" s="36">
        <v>15928</v>
      </c>
      <c r="AY18" s="36">
        <v>11904</v>
      </c>
      <c r="AZ18" s="36">
        <v>8769</v>
      </c>
      <c r="BA18" s="36">
        <v>7083</v>
      </c>
      <c r="BB18" s="36">
        <v>8568.0428836633855</v>
      </c>
      <c r="BC18" s="36">
        <v>5145</v>
      </c>
      <c r="BD18" s="36">
        <v>4879</v>
      </c>
      <c r="BE18" s="36">
        <v>5646</v>
      </c>
      <c r="BF18" s="36">
        <v>3628</v>
      </c>
      <c r="BG18" s="36">
        <v>3076</v>
      </c>
      <c r="BH18" s="36">
        <v>2227</v>
      </c>
      <c r="BI18" s="37">
        <v>2675</v>
      </c>
      <c r="BJ18" s="6"/>
      <c r="BK18" s="6"/>
      <c r="BM18" s="34">
        <v>15</v>
      </c>
      <c r="BN18" s="35"/>
      <c r="BO18" s="36"/>
      <c r="BP18" s="36"/>
      <c r="BQ18" s="36"/>
      <c r="BR18" s="36"/>
      <c r="BS18" s="36"/>
      <c r="BT18" s="36"/>
      <c r="BU18" s="36"/>
      <c r="BV18" s="36"/>
      <c r="BW18" s="36"/>
      <c r="BX18" s="36"/>
      <c r="BY18" s="36"/>
      <c r="BZ18" s="36"/>
      <c r="CA18" s="36"/>
      <c r="CB18" s="36"/>
      <c r="CC18" s="36">
        <v>6208</v>
      </c>
      <c r="CD18" s="36">
        <v>3828</v>
      </c>
      <c r="CE18" s="36">
        <v>3192</v>
      </c>
      <c r="CF18" s="36">
        <v>2724</v>
      </c>
      <c r="CG18" s="36">
        <v>2654</v>
      </c>
      <c r="CH18" s="36">
        <v>3581.6080968674105</v>
      </c>
      <c r="CI18" s="36">
        <v>2564</v>
      </c>
      <c r="CJ18" s="36">
        <v>2428</v>
      </c>
      <c r="CK18" s="36">
        <v>2675</v>
      </c>
      <c r="CL18" s="36">
        <v>1817</v>
      </c>
      <c r="CM18" s="36">
        <v>1423</v>
      </c>
      <c r="CN18" s="36">
        <v>943</v>
      </c>
      <c r="CO18" s="37">
        <v>1040</v>
      </c>
      <c r="CP18" s="6"/>
      <c r="CQ18" s="6"/>
      <c r="CS18" s="34">
        <v>15</v>
      </c>
      <c r="CT18" s="35"/>
      <c r="CU18" s="36"/>
      <c r="CV18" s="36"/>
      <c r="CW18" s="36"/>
      <c r="CX18" s="36"/>
      <c r="CY18" s="36"/>
      <c r="CZ18" s="36"/>
      <c r="DA18" s="36"/>
      <c r="DB18" s="36"/>
      <c r="DC18" s="36"/>
      <c r="DD18" s="36"/>
      <c r="DE18" s="36"/>
      <c r="DF18" s="36"/>
      <c r="DG18" s="36"/>
      <c r="DH18" s="36"/>
      <c r="DI18" s="36">
        <v>2564</v>
      </c>
      <c r="DJ18" s="36">
        <v>1840</v>
      </c>
      <c r="DK18" s="36">
        <v>1683</v>
      </c>
      <c r="DL18" s="36">
        <v>2017</v>
      </c>
      <c r="DM18" s="36">
        <v>1829</v>
      </c>
      <c r="DN18" s="36">
        <v>2283.1132646082938</v>
      </c>
      <c r="DO18" s="36">
        <v>1754</v>
      </c>
      <c r="DP18" s="36">
        <v>1367</v>
      </c>
      <c r="DQ18" s="36">
        <v>1519</v>
      </c>
      <c r="DR18" s="36">
        <v>1196</v>
      </c>
      <c r="DS18" s="36">
        <v>811</v>
      </c>
      <c r="DT18" s="36">
        <v>702</v>
      </c>
      <c r="DU18" s="37">
        <v>611</v>
      </c>
      <c r="DV18" s="6"/>
      <c r="DW18" s="6"/>
    </row>
    <row r="19" spans="1:127" ht="15.75" thickBot="1"/>
    <row r="20" spans="1:127" ht="26.25">
      <c r="A20" s="1725" t="s">
        <v>22</v>
      </c>
      <c r="B20" s="1726"/>
      <c r="C20" s="1726"/>
      <c r="D20" s="1726"/>
      <c r="E20" s="1726"/>
      <c r="F20" s="1726"/>
      <c r="G20" s="1726"/>
      <c r="H20" s="1726"/>
      <c r="I20" s="1726"/>
      <c r="J20" s="1726"/>
      <c r="K20" s="1726"/>
      <c r="L20" s="1726"/>
      <c r="M20" s="1726"/>
      <c r="N20" s="1726"/>
      <c r="O20" s="1726"/>
      <c r="P20" s="1726"/>
      <c r="Q20" s="1726"/>
      <c r="R20" s="1726"/>
      <c r="S20" s="1726"/>
      <c r="T20" s="1726"/>
      <c r="U20" s="1726"/>
      <c r="V20" s="1726"/>
      <c r="W20" s="1726"/>
      <c r="X20" s="1726"/>
      <c r="Y20" s="1726"/>
      <c r="Z20" s="1726"/>
      <c r="AA20" s="1726"/>
      <c r="AB20" s="1726"/>
      <c r="AC20" s="1726"/>
      <c r="AD20" s="1726"/>
      <c r="AE20" s="1727"/>
      <c r="AG20" s="1725" t="s">
        <v>12</v>
      </c>
      <c r="AH20" s="1726"/>
      <c r="AI20" s="1726"/>
      <c r="AJ20" s="1726"/>
      <c r="AK20" s="1726"/>
      <c r="AL20" s="1726"/>
      <c r="AM20" s="1726"/>
      <c r="AN20" s="1726"/>
      <c r="AO20" s="1726"/>
      <c r="AP20" s="1726"/>
      <c r="AQ20" s="1726"/>
      <c r="AR20" s="1726"/>
      <c r="AS20" s="1726"/>
      <c r="AT20" s="1726"/>
      <c r="AU20" s="1726"/>
      <c r="AV20" s="1726"/>
      <c r="AW20" s="1726"/>
      <c r="AX20" s="1726"/>
      <c r="AY20" s="1726"/>
      <c r="AZ20" s="1726"/>
      <c r="BA20" s="1726"/>
      <c r="BB20" s="1726"/>
      <c r="BC20" s="1726"/>
      <c r="BD20" s="1726"/>
      <c r="BE20" s="1726"/>
      <c r="BF20" s="1726"/>
      <c r="BG20" s="1726"/>
      <c r="BH20" s="1726"/>
      <c r="BI20" s="1726"/>
      <c r="BJ20" s="1726"/>
      <c r="BK20" s="1727"/>
      <c r="BM20" s="1725" t="s">
        <v>13</v>
      </c>
      <c r="BN20" s="1726"/>
      <c r="BO20" s="1726"/>
      <c r="BP20" s="1726"/>
      <c r="BQ20" s="1726"/>
      <c r="BR20" s="1726"/>
      <c r="BS20" s="1726"/>
      <c r="BT20" s="1726"/>
      <c r="BU20" s="1726"/>
      <c r="BV20" s="1726"/>
      <c r="BW20" s="1726"/>
      <c r="BX20" s="1726"/>
      <c r="BY20" s="1726"/>
      <c r="BZ20" s="1726"/>
      <c r="CA20" s="1726"/>
      <c r="CB20" s="1726"/>
      <c r="CC20" s="1726"/>
      <c r="CD20" s="1726"/>
      <c r="CE20" s="1726"/>
      <c r="CF20" s="1726"/>
      <c r="CG20" s="1726"/>
      <c r="CH20" s="1726"/>
      <c r="CI20" s="1726"/>
      <c r="CJ20" s="1726"/>
      <c r="CK20" s="1726"/>
      <c r="CL20" s="1726"/>
      <c r="CM20" s="1726"/>
      <c r="CN20" s="1726"/>
      <c r="CO20" s="1726"/>
      <c r="CP20" s="1726"/>
      <c r="CQ20" s="1727"/>
      <c r="CS20" s="1725" t="s">
        <v>23</v>
      </c>
      <c r="CT20" s="1726"/>
      <c r="CU20" s="1726"/>
      <c r="CV20" s="1726"/>
      <c r="CW20" s="1726"/>
      <c r="CX20" s="1726"/>
      <c r="CY20" s="1726"/>
      <c r="CZ20" s="1726"/>
      <c r="DA20" s="1726"/>
      <c r="DB20" s="1726"/>
      <c r="DC20" s="1726"/>
      <c r="DD20" s="1726"/>
      <c r="DE20" s="1726"/>
      <c r="DF20" s="1726"/>
      <c r="DG20" s="1726"/>
      <c r="DH20" s="1726"/>
      <c r="DI20" s="1726"/>
      <c r="DJ20" s="1726"/>
      <c r="DK20" s="1726"/>
      <c r="DL20" s="1726"/>
      <c r="DM20" s="1726"/>
      <c r="DN20" s="1726"/>
      <c r="DO20" s="1726"/>
      <c r="DP20" s="1726"/>
      <c r="DQ20" s="1726"/>
      <c r="DR20" s="1726"/>
      <c r="DS20" s="1726"/>
      <c r="DT20" s="1726"/>
      <c r="DU20" s="1726"/>
      <c r="DV20" s="1726"/>
      <c r="DW20" s="1727"/>
    </row>
    <row r="21" spans="1:127" ht="15.75" thickBot="1">
      <c r="A21" s="23" t="s">
        <v>11</v>
      </c>
      <c r="B21" s="24">
        <v>2013</v>
      </c>
      <c r="C21" s="24">
        <v>2012</v>
      </c>
      <c r="D21" s="24">
        <v>2011</v>
      </c>
      <c r="E21" s="24">
        <v>2010</v>
      </c>
      <c r="F21" s="24">
        <v>2009</v>
      </c>
      <c r="G21" s="24">
        <v>2008</v>
      </c>
      <c r="H21" s="24">
        <v>2007</v>
      </c>
      <c r="I21" s="24">
        <v>2006</v>
      </c>
      <c r="J21" s="24">
        <v>2005</v>
      </c>
      <c r="K21" s="24">
        <v>2004</v>
      </c>
      <c r="L21" s="24">
        <v>2003</v>
      </c>
      <c r="M21" s="24">
        <v>2002</v>
      </c>
      <c r="N21" s="24">
        <v>2001</v>
      </c>
      <c r="O21" s="24">
        <v>2000</v>
      </c>
      <c r="P21" s="24">
        <v>1999</v>
      </c>
      <c r="Q21" s="24">
        <v>1998</v>
      </c>
      <c r="R21" s="24">
        <v>1997</v>
      </c>
      <c r="S21" s="24">
        <v>1996</v>
      </c>
      <c r="T21" s="24">
        <v>1995</v>
      </c>
      <c r="U21" s="24">
        <v>1994</v>
      </c>
      <c r="V21" s="24">
        <v>1993</v>
      </c>
      <c r="W21" s="24">
        <v>1992</v>
      </c>
      <c r="X21" s="24">
        <v>1991</v>
      </c>
      <c r="Y21" s="24">
        <v>1990</v>
      </c>
      <c r="Z21" s="24">
        <v>1989</v>
      </c>
      <c r="AA21" s="24">
        <v>1988</v>
      </c>
      <c r="AB21" s="24">
        <v>1987</v>
      </c>
      <c r="AC21" s="25">
        <v>1986</v>
      </c>
      <c r="AD21" s="39" t="s">
        <v>32</v>
      </c>
      <c r="AE21" s="40" t="s">
        <v>33</v>
      </c>
      <c r="AG21" s="23" t="s">
        <v>11</v>
      </c>
      <c r="AH21" s="24">
        <v>2013</v>
      </c>
      <c r="AI21" s="24">
        <v>2012</v>
      </c>
      <c r="AJ21" s="24">
        <v>2011</v>
      </c>
      <c r="AK21" s="24">
        <v>2010</v>
      </c>
      <c r="AL21" s="24">
        <v>2009</v>
      </c>
      <c r="AM21" s="24">
        <v>2008</v>
      </c>
      <c r="AN21" s="24">
        <v>2007</v>
      </c>
      <c r="AO21" s="24">
        <v>2006</v>
      </c>
      <c r="AP21" s="24">
        <v>2005</v>
      </c>
      <c r="AQ21" s="24">
        <v>2004</v>
      </c>
      <c r="AR21" s="24">
        <v>2003</v>
      </c>
      <c r="AS21" s="24">
        <v>2002</v>
      </c>
      <c r="AT21" s="24">
        <v>2001</v>
      </c>
      <c r="AU21" s="24">
        <v>2000</v>
      </c>
      <c r="AV21" s="24">
        <v>1999</v>
      </c>
      <c r="AW21" s="24">
        <v>1998</v>
      </c>
      <c r="AX21" s="24">
        <v>1997</v>
      </c>
      <c r="AY21" s="24">
        <v>1996</v>
      </c>
      <c r="AZ21" s="24">
        <v>1995</v>
      </c>
      <c r="BA21" s="24">
        <v>1994</v>
      </c>
      <c r="BB21" s="24">
        <v>1993</v>
      </c>
      <c r="BC21" s="24">
        <v>1992</v>
      </c>
      <c r="BD21" s="24">
        <v>1991</v>
      </c>
      <c r="BE21" s="24">
        <v>1990</v>
      </c>
      <c r="BF21" s="24">
        <v>1989</v>
      </c>
      <c r="BG21" s="24">
        <v>1988</v>
      </c>
      <c r="BH21" s="24">
        <v>1987</v>
      </c>
      <c r="BI21" s="25">
        <v>1986</v>
      </c>
      <c r="BJ21" s="39" t="s">
        <v>32</v>
      </c>
      <c r="BK21" s="40" t="s">
        <v>33</v>
      </c>
      <c r="BM21" s="23" t="s">
        <v>11</v>
      </c>
      <c r="BN21" s="24">
        <v>2013</v>
      </c>
      <c r="BO21" s="24">
        <v>2012</v>
      </c>
      <c r="BP21" s="24">
        <v>2011</v>
      </c>
      <c r="BQ21" s="24">
        <v>2010</v>
      </c>
      <c r="BR21" s="24">
        <v>2009</v>
      </c>
      <c r="BS21" s="24">
        <v>2008</v>
      </c>
      <c r="BT21" s="24">
        <v>2007</v>
      </c>
      <c r="BU21" s="24">
        <v>2006</v>
      </c>
      <c r="BV21" s="24">
        <v>2005</v>
      </c>
      <c r="BW21" s="24">
        <v>2004</v>
      </c>
      <c r="BX21" s="24">
        <v>2003</v>
      </c>
      <c r="BY21" s="24">
        <v>2002</v>
      </c>
      <c r="BZ21" s="24">
        <v>2001</v>
      </c>
      <c r="CA21" s="24">
        <v>2000</v>
      </c>
      <c r="CB21" s="24">
        <v>1999</v>
      </c>
      <c r="CC21" s="24">
        <v>1998</v>
      </c>
      <c r="CD21" s="24">
        <v>1997</v>
      </c>
      <c r="CE21" s="24">
        <v>1996</v>
      </c>
      <c r="CF21" s="24">
        <v>1995</v>
      </c>
      <c r="CG21" s="24">
        <v>1994</v>
      </c>
      <c r="CH21" s="24">
        <v>1993</v>
      </c>
      <c r="CI21" s="24">
        <v>1992</v>
      </c>
      <c r="CJ21" s="24">
        <v>1991</v>
      </c>
      <c r="CK21" s="24">
        <v>1990</v>
      </c>
      <c r="CL21" s="24">
        <v>1989</v>
      </c>
      <c r="CM21" s="24">
        <v>1988</v>
      </c>
      <c r="CN21" s="24">
        <v>1987</v>
      </c>
      <c r="CO21" s="25">
        <v>1986</v>
      </c>
      <c r="CP21" s="39" t="s">
        <v>32</v>
      </c>
      <c r="CQ21" s="40" t="s">
        <v>33</v>
      </c>
      <c r="CS21" s="23" t="s">
        <v>11</v>
      </c>
      <c r="CT21" s="24">
        <v>2013</v>
      </c>
      <c r="CU21" s="24">
        <v>2012</v>
      </c>
      <c r="CV21" s="24">
        <v>2011</v>
      </c>
      <c r="CW21" s="24">
        <v>2010</v>
      </c>
      <c r="CX21" s="24">
        <v>2009</v>
      </c>
      <c r="CY21" s="24">
        <v>2008</v>
      </c>
      <c r="CZ21" s="24">
        <v>2007</v>
      </c>
      <c r="DA21" s="24">
        <v>2006</v>
      </c>
      <c r="DB21" s="24">
        <v>2005</v>
      </c>
      <c r="DC21" s="24">
        <v>2004</v>
      </c>
      <c r="DD21" s="24">
        <v>2003</v>
      </c>
      <c r="DE21" s="24">
        <v>2002</v>
      </c>
      <c r="DF21" s="24">
        <v>2001</v>
      </c>
      <c r="DG21" s="24">
        <v>2000</v>
      </c>
      <c r="DH21" s="24">
        <v>1999</v>
      </c>
      <c r="DI21" s="24">
        <v>1998</v>
      </c>
      <c r="DJ21" s="24">
        <v>1997</v>
      </c>
      <c r="DK21" s="24">
        <v>1996</v>
      </c>
      <c r="DL21" s="24">
        <v>1995</v>
      </c>
      <c r="DM21" s="24">
        <v>1994</v>
      </c>
      <c r="DN21" s="24">
        <v>1993</v>
      </c>
      <c r="DO21" s="24">
        <v>1992</v>
      </c>
      <c r="DP21" s="24">
        <v>1991</v>
      </c>
      <c r="DQ21" s="24">
        <v>1990</v>
      </c>
      <c r="DR21" s="24">
        <v>1989</v>
      </c>
      <c r="DS21" s="24">
        <v>1988</v>
      </c>
      <c r="DT21" s="24">
        <v>1987</v>
      </c>
      <c r="DU21" s="25">
        <v>1986</v>
      </c>
      <c r="DV21" s="39" t="s">
        <v>32</v>
      </c>
      <c r="DW21" s="40" t="s">
        <v>33</v>
      </c>
    </row>
    <row r="22" spans="1:127" ht="15.75" thickTop="1">
      <c r="A22" s="41">
        <v>0</v>
      </c>
      <c r="B22" s="27">
        <v>1</v>
      </c>
      <c r="C22" s="28">
        <v>1</v>
      </c>
      <c r="D22" s="28">
        <v>1</v>
      </c>
      <c r="E22" s="28">
        <v>1</v>
      </c>
      <c r="F22" s="42">
        <v>1</v>
      </c>
      <c r="G22" s="42">
        <v>1</v>
      </c>
      <c r="H22" s="42">
        <v>1</v>
      </c>
      <c r="I22" s="42">
        <v>1</v>
      </c>
      <c r="J22" s="42">
        <v>1</v>
      </c>
      <c r="K22" s="42">
        <v>1</v>
      </c>
      <c r="L22" s="42">
        <v>1</v>
      </c>
      <c r="M22" s="42">
        <v>1</v>
      </c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43">
        <f>SUMPRODUCT(B22:M22,B3:M3)/SUM(B3:M3)</f>
        <v>1</v>
      </c>
      <c r="AE22" s="44">
        <f>AD22*100</f>
        <v>100</v>
      </c>
      <c r="AG22" s="41">
        <v>0</v>
      </c>
      <c r="AH22" s="27">
        <v>1</v>
      </c>
      <c r="AI22" s="28">
        <v>1</v>
      </c>
      <c r="AJ22" s="28">
        <v>1</v>
      </c>
      <c r="AK22" s="28">
        <v>1</v>
      </c>
      <c r="AL22" s="42">
        <v>1</v>
      </c>
      <c r="AM22" s="42">
        <v>1</v>
      </c>
      <c r="AN22" s="42">
        <v>1</v>
      </c>
      <c r="AO22" s="42">
        <v>1</v>
      </c>
      <c r="AP22" s="42">
        <v>1</v>
      </c>
      <c r="AQ22" s="42">
        <v>1</v>
      </c>
      <c r="AR22" s="42">
        <v>1</v>
      </c>
      <c r="AS22" s="42">
        <v>1</v>
      </c>
      <c r="AT22" s="28"/>
      <c r="AU22" s="28"/>
      <c r="AV22" s="28"/>
      <c r="AW22" s="28"/>
      <c r="AX22" s="28"/>
      <c r="AY22" s="28"/>
      <c r="AZ22" s="28"/>
      <c r="BA22" s="28"/>
      <c r="BB22" s="28"/>
      <c r="BC22" s="28"/>
      <c r="BD22" s="28"/>
      <c r="BE22" s="28"/>
      <c r="BF22" s="28"/>
      <c r="BG22" s="28"/>
      <c r="BH22" s="28"/>
      <c r="BI22" s="28"/>
      <c r="BJ22" s="43">
        <f>SUMPRODUCT(AH22:AS22,AH3:AS3)/SUM(AH3:AS3)</f>
        <v>1</v>
      </c>
      <c r="BK22" s="44">
        <f>BJ22*100</f>
        <v>100</v>
      </c>
      <c r="BM22" s="41">
        <v>0</v>
      </c>
      <c r="BN22" s="27">
        <v>1</v>
      </c>
      <c r="BO22" s="28">
        <v>1</v>
      </c>
      <c r="BP22" s="28">
        <v>1</v>
      </c>
      <c r="BQ22" s="28">
        <v>1</v>
      </c>
      <c r="BR22" s="42">
        <v>1</v>
      </c>
      <c r="BS22" s="42">
        <v>1</v>
      </c>
      <c r="BT22" s="42">
        <v>1</v>
      </c>
      <c r="BU22" s="42">
        <v>1</v>
      </c>
      <c r="BV22" s="42">
        <v>1</v>
      </c>
      <c r="BW22" s="42">
        <v>1</v>
      </c>
      <c r="BX22" s="42">
        <v>1</v>
      </c>
      <c r="BY22" s="42">
        <v>1</v>
      </c>
      <c r="BZ22" s="28"/>
      <c r="CA22" s="28"/>
      <c r="CB22" s="28"/>
      <c r="CC22" s="28"/>
      <c r="CD22" s="28"/>
      <c r="CE22" s="28"/>
      <c r="CF22" s="28"/>
      <c r="CG22" s="28"/>
      <c r="CH22" s="28"/>
      <c r="CI22" s="28"/>
      <c r="CJ22" s="28"/>
      <c r="CK22" s="28"/>
      <c r="CL22" s="28"/>
      <c r="CM22" s="28"/>
      <c r="CN22" s="28"/>
      <c r="CO22" s="28"/>
      <c r="CP22" s="43">
        <f>SUMPRODUCT(BN22:BY22,BN3:BY3)/SUM(BN3:BY3)</f>
        <v>1</v>
      </c>
      <c r="CQ22" s="44">
        <f>CP22*100</f>
        <v>100</v>
      </c>
      <c r="CS22" s="41">
        <v>0</v>
      </c>
      <c r="CT22" s="27">
        <v>1</v>
      </c>
      <c r="CU22" s="28">
        <v>1</v>
      </c>
      <c r="CV22" s="28">
        <v>1</v>
      </c>
      <c r="CW22" s="28">
        <v>1</v>
      </c>
      <c r="CX22" s="42">
        <v>1</v>
      </c>
      <c r="CY22" s="42">
        <v>1</v>
      </c>
      <c r="CZ22" s="42">
        <v>1</v>
      </c>
      <c r="DA22" s="42">
        <v>1</v>
      </c>
      <c r="DB22" s="42">
        <v>1</v>
      </c>
      <c r="DC22" s="42">
        <v>1</v>
      </c>
      <c r="DD22" s="42">
        <v>1</v>
      </c>
      <c r="DE22" s="42">
        <v>1</v>
      </c>
      <c r="DF22" s="28"/>
      <c r="DG22" s="28"/>
      <c r="DH22" s="28"/>
      <c r="DI22" s="28"/>
      <c r="DJ22" s="28"/>
      <c r="DK22" s="28"/>
      <c r="DL22" s="28"/>
      <c r="DM22" s="28"/>
      <c r="DN22" s="28"/>
      <c r="DO22" s="28"/>
      <c r="DP22" s="28"/>
      <c r="DQ22" s="28"/>
      <c r="DR22" s="28"/>
      <c r="DS22" s="28"/>
      <c r="DT22" s="28"/>
      <c r="DU22" s="28"/>
      <c r="DV22" s="43">
        <f>SUMPRODUCT(CT22:DE22,CT3:DE3)/SUM(CT3:DE3)</f>
        <v>1</v>
      </c>
      <c r="DW22" s="44">
        <f>DV22*100</f>
        <v>100</v>
      </c>
    </row>
    <row r="23" spans="1:127">
      <c r="A23" s="30">
        <v>1</v>
      </c>
      <c r="B23" s="31"/>
      <c r="C23" s="32">
        <f t="shared" ref="C23:N23" si="0">(C4-C3)/C3</f>
        <v>2.3169601482854494E-2</v>
      </c>
      <c r="D23" s="32">
        <f t="shared" si="0"/>
        <v>8.8723526044647959E-3</v>
      </c>
      <c r="E23" s="32">
        <f t="shared" si="0"/>
        <v>2.2058823529411766E-2</v>
      </c>
      <c r="F23" s="32">
        <f t="shared" si="0"/>
        <v>4.1227229146692232E-2</v>
      </c>
      <c r="G23" s="32">
        <f t="shared" si="0"/>
        <v>0.19369074116573451</v>
      </c>
      <c r="H23" s="32">
        <f t="shared" si="0"/>
        <v>-8.1016236643008166E-2</v>
      </c>
      <c r="I23" s="32">
        <f t="shared" si="0"/>
        <v>2.5695029486099412E-2</v>
      </c>
      <c r="J23" s="32">
        <f t="shared" si="0"/>
        <v>2.7067669172932331E-2</v>
      </c>
      <c r="K23" s="32">
        <f t="shared" si="0"/>
        <v>4.8388920293951386E-2</v>
      </c>
      <c r="L23" s="32">
        <f t="shared" si="0"/>
        <v>3.618386452087935E-2</v>
      </c>
      <c r="M23" s="32">
        <f t="shared" si="0"/>
        <v>5.3453697129526322E-2</v>
      </c>
      <c r="N23" s="32">
        <f t="shared" si="0"/>
        <v>3.110209601081812E-2</v>
      </c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43">
        <f>SUMPRODUCT(C23:N23,C4:N4)/SUM(C4:N4)</f>
        <v>3.5211474742309838E-2</v>
      </c>
      <c r="AE23" s="44">
        <f>AE22*(AD23+1)</f>
        <v>103.52114747423099</v>
      </c>
      <c r="AG23" s="30">
        <v>1</v>
      </c>
      <c r="AH23" s="31"/>
      <c r="AI23" s="32">
        <f t="shared" ref="AI23:AT23" si="1">(AI4-AI3)/AI3</f>
        <v>4.1918614152639318E-2</v>
      </c>
      <c r="AJ23" s="32">
        <f t="shared" si="1"/>
        <v>3.083780039751852E-2</v>
      </c>
      <c r="AK23" s="32">
        <f t="shared" si="1"/>
        <v>3.4303848478742696E-2</v>
      </c>
      <c r="AL23" s="32">
        <f t="shared" si="1"/>
        <v>3.1408675467865951E-2</v>
      </c>
      <c r="AM23" s="32">
        <f t="shared" si="1"/>
        <v>0.12221915865101159</v>
      </c>
      <c r="AN23" s="32">
        <f t="shared" si="1"/>
        <v>-8.0396348753676128E-2</v>
      </c>
      <c r="AO23" s="32">
        <f t="shared" si="1"/>
        <v>3.3578509753757597E-2</v>
      </c>
      <c r="AP23" s="32">
        <f t="shared" si="1"/>
        <v>3.6429494646475928E-2</v>
      </c>
      <c r="AQ23" s="32">
        <f t="shared" si="1"/>
        <v>2.6277322636570691E-2</v>
      </c>
      <c r="AR23" s="32">
        <f t="shared" si="1"/>
        <v>3.1031135150128286E-2</v>
      </c>
      <c r="AS23" s="32">
        <f t="shared" si="1"/>
        <v>1.8473971353552505E-2</v>
      </c>
      <c r="AT23" s="32">
        <f t="shared" si="1"/>
        <v>1.8429016667419487E-2</v>
      </c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43">
        <f>SUMPRODUCT(AI23:AT23,AI4:AT4)/SUM(AI4:AT4)</f>
        <v>2.5185086067388715E-2</v>
      </c>
      <c r="BK23" s="44">
        <f>BK22*(BJ23+1)</f>
        <v>102.51850860673888</v>
      </c>
      <c r="BM23" s="30">
        <v>1</v>
      </c>
      <c r="BN23" s="31"/>
      <c r="BO23" s="32">
        <f t="shared" ref="BO23:BZ23" si="2">(BO4-BO3)/BO3</f>
        <v>3.1383737517831668E-2</v>
      </c>
      <c r="BP23" s="32">
        <f t="shared" si="2"/>
        <v>1.7361111111111112E-2</v>
      </c>
      <c r="BQ23" s="32">
        <f t="shared" si="2"/>
        <v>6.121472979435677E-2</v>
      </c>
      <c r="BR23" s="32">
        <f t="shared" si="2"/>
        <v>1.4696058784235137E-2</v>
      </c>
      <c r="BS23" s="32">
        <f t="shared" si="2"/>
        <v>0.1229749823119438</v>
      </c>
      <c r="BT23" s="32">
        <f t="shared" si="2"/>
        <v>-9.5671156288222453E-2</v>
      </c>
      <c r="BU23" s="32">
        <f t="shared" si="2"/>
        <v>2.1279970393084671E-2</v>
      </c>
      <c r="BV23" s="32">
        <f t="shared" si="2"/>
        <v>2.6053620520063558E-2</v>
      </c>
      <c r="BW23" s="32">
        <f t="shared" si="2"/>
        <v>1.5315040368448798E-2</v>
      </c>
      <c r="BX23" s="32">
        <f t="shared" si="2"/>
        <v>1.634931057124097E-2</v>
      </c>
      <c r="BY23" s="32">
        <f t="shared" si="2"/>
        <v>2.1800354646917701E-2</v>
      </c>
      <c r="BZ23" s="32">
        <f t="shared" si="2"/>
        <v>1.1547045314875312E-2</v>
      </c>
      <c r="CA23" s="32"/>
      <c r="CB23" s="32"/>
      <c r="CC23" s="32"/>
      <c r="CD23" s="32"/>
      <c r="CE23" s="32"/>
      <c r="CF23" s="32"/>
      <c r="CG23" s="32"/>
      <c r="CH23" s="32"/>
      <c r="CI23" s="32"/>
      <c r="CJ23" s="32"/>
      <c r="CK23" s="32"/>
      <c r="CL23" s="32"/>
      <c r="CM23" s="32"/>
      <c r="CN23" s="32"/>
      <c r="CO23" s="32"/>
      <c r="CP23" s="43">
        <f>SUMPRODUCT(BO23:BZ23,BO4:BZ4)/SUM(BO4:BZ4)</f>
        <v>1.4865758489050553E-2</v>
      </c>
      <c r="CQ23" s="44">
        <f>CQ22*(CP23+1)</f>
        <v>101.48657584890506</v>
      </c>
      <c r="CS23" s="30">
        <v>1</v>
      </c>
      <c r="CT23" s="31"/>
      <c r="CU23" s="32">
        <f t="shared" ref="CU23:DF23" si="3">(CU4-CU3)/CU3</f>
        <v>9.1836734693877556E-2</v>
      </c>
      <c r="CV23" s="32">
        <f t="shared" si="3"/>
        <v>0.10285714285714286</v>
      </c>
      <c r="CW23" s="32">
        <f t="shared" si="3"/>
        <v>8.4468664850136238E-2</v>
      </c>
      <c r="CX23" s="32">
        <f t="shared" si="3"/>
        <v>5.5397727272727272E-2</v>
      </c>
      <c r="CY23" s="32">
        <f t="shared" si="3"/>
        <v>0.20561794112322765</v>
      </c>
      <c r="CZ23" s="32">
        <f t="shared" si="3"/>
        <v>-0.18568519878749926</v>
      </c>
      <c r="DA23" s="32">
        <f t="shared" si="3"/>
        <v>1.5411626999609832E-2</v>
      </c>
      <c r="DB23" s="32">
        <f t="shared" si="3"/>
        <v>2.8826720561642379E-2</v>
      </c>
      <c r="DC23" s="32">
        <f t="shared" si="3"/>
        <v>2.4972855591748101E-2</v>
      </c>
      <c r="DD23" s="32">
        <f t="shared" si="3"/>
        <v>1.3162224415926292E-2</v>
      </c>
      <c r="DE23" s="32">
        <f t="shared" si="3"/>
        <v>2.0276066443110037E-2</v>
      </c>
      <c r="DF23" s="32">
        <f t="shared" si="3"/>
        <v>1.4944255554676999E-2</v>
      </c>
      <c r="DG23" s="32"/>
      <c r="DH23" s="32"/>
      <c r="DI23" s="32"/>
      <c r="DJ23" s="32"/>
      <c r="DK23" s="32"/>
      <c r="DL23" s="32"/>
      <c r="DM23" s="32"/>
      <c r="DN23" s="32"/>
      <c r="DO23" s="32"/>
      <c r="DP23" s="32"/>
      <c r="DQ23" s="32"/>
      <c r="DR23" s="32"/>
      <c r="DS23" s="32"/>
      <c r="DT23" s="32"/>
      <c r="DU23" s="32"/>
      <c r="DV23" s="43">
        <f>SUMPRODUCT(CU23:DF23,CU4:DF4)/SUM(CU4:DF4)</f>
        <v>1.1948841106652935E-2</v>
      </c>
      <c r="DW23" s="44">
        <f>DW22*(DV23+1)</f>
        <v>101.19488411066528</v>
      </c>
    </row>
    <row r="24" spans="1:127">
      <c r="A24" s="30">
        <v>2</v>
      </c>
      <c r="B24" s="31"/>
      <c r="C24" s="32"/>
      <c r="D24" s="32">
        <f t="shared" ref="D24:O24" si="4">(D5-D4)/D4</f>
        <v>-3.8865248226950352E-2</v>
      </c>
      <c r="E24" s="32">
        <f t="shared" si="4"/>
        <v>4.4272274488101823E-3</v>
      </c>
      <c r="F24" s="32">
        <f t="shared" si="4"/>
        <v>3.8674033149171269E-2</v>
      </c>
      <c r="G24" s="32">
        <f t="shared" si="4"/>
        <v>-7.9507056251242297E-4</v>
      </c>
      <c r="H24" s="32">
        <f t="shared" si="4"/>
        <v>0.12983474912962403</v>
      </c>
      <c r="I24" s="32">
        <f t="shared" si="4"/>
        <v>-9.5085441616792804E-2</v>
      </c>
      <c r="J24" s="32">
        <f t="shared" si="4"/>
        <v>5.2933888951458494E-3</v>
      </c>
      <c r="K24" s="32">
        <f t="shared" si="4"/>
        <v>1.2078076135015638E-2</v>
      </c>
      <c r="L24" s="32">
        <f t="shared" si="4"/>
        <v>2.1520657801238453E-2</v>
      </c>
      <c r="M24" s="32">
        <f t="shared" si="4"/>
        <v>1.1939148854226844E-2</v>
      </c>
      <c r="N24" s="32">
        <f t="shared" si="4"/>
        <v>2.3497267759562844E-3</v>
      </c>
      <c r="O24" s="32">
        <f t="shared" si="4"/>
        <v>9.0917356123283938E-4</v>
      </c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43">
        <f>SUMPRODUCT(D24:O24,D5:O5)/SUM(D5:O5)</f>
        <v>5.0123678212551492E-3</v>
      </c>
      <c r="AE24" s="44">
        <f t="shared" ref="AE24:AE37" si="5">AE23*(AD24+1)</f>
        <v>104.04003354265024</v>
      </c>
      <c r="AG24" s="30">
        <v>2</v>
      </c>
      <c r="AH24" s="31"/>
      <c r="AI24" s="32"/>
      <c r="AJ24" s="32">
        <f t="shared" ref="AJ24:AU24" si="6">(AJ5-AJ4)/AJ4</f>
        <v>1.4607069821793749E-3</v>
      </c>
      <c r="AK24" s="32">
        <f t="shared" si="6"/>
        <v>1.1591097258072371E-2</v>
      </c>
      <c r="AL24" s="32">
        <f t="shared" si="6"/>
        <v>3.1999437372529714E-2</v>
      </c>
      <c r="AM24" s="32">
        <f t="shared" si="6"/>
        <v>3.0426759844529071E-3</v>
      </c>
      <c r="AN24" s="32">
        <f t="shared" si="6"/>
        <v>0.12348828732237549</v>
      </c>
      <c r="AO24" s="32">
        <f t="shared" si="6"/>
        <v>-9.1504795741044781E-2</v>
      </c>
      <c r="AP24" s="32">
        <f t="shared" si="6"/>
        <v>9.4685306072176383E-3</v>
      </c>
      <c r="AQ24" s="32">
        <f t="shared" si="6"/>
        <v>5.2500828088771117E-3</v>
      </c>
      <c r="AR24" s="32">
        <f t="shared" si="6"/>
        <v>1.2274271110064901E-3</v>
      </c>
      <c r="AS24" s="32">
        <f t="shared" si="6"/>
        <v>1.0960511284695421E-3</v>
      </c>
      <c r="AT24" s="32">
        <f t="shared" si="6"/>
        <v>2.4097810499549089E-3</v>
      </c>
      <c r="AU24" s="32">
        <f t="shared" si="6"/>
        <v>-4.1503300981571428E-3</v>
      </c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43">
        <f>SUMPRODUCT(AJ24:AU24,AJ5:AU5)/SUM(AJ5:AU5)</f>
        <v>7.0418045016145568E-3</v>
      </c>
      <c r="BK24" s="44">
        <f t="shared" ref="BK24:BK37" si="7">BK23*(BJ24+1)</f>
        <v>103.24042390214461</v>
      </c>
      <c r="BM24" s="30">
        <v>2</v>
      </c>
      <c r="BN24" s="31"/>
      <c r="BO24" s="32"/>
      <c r="BP24" s="32">
        <f t="shared" ref="BP24:CA24" si="8">(BP5-BP4)/BP4</f>
        <v>4.9244271087274499E-2</v>
      </c>
      <c r="BQ24" s="32">
        <f t="shared" si="8"/>
        <v>8.8328075709779186E-2</v>
      </c>
      <c r="BR24" s="32">
        <f t="shared" si="8"/>
        <v>4.1474654377880185E-2</v>
      </c>
      <c r="BS24" s="32">
        <f t="shared" si="8"/>
        <v>1.7490975400989914E-2</v>
      </c>
      <c r="BT24" s="32">
        <f t="shared" si="8"/>
        <v>0.13055512036868044</v>
      </c>
      <c r="BU24" s="32">
        <f t="shared" si="8"/>
        <v>-8.9433568565505314E-2</v>
      </c>
      <c r="BV24" s="32">
        <f t="shared" si="8"/>
        <v>2.1090408534486998E-2</v>
      </c>
      <c r="BW24" s="32">
        <f t="shared" si="8"/>
        <v>1.9100970077879493E-2</v>
      </c>
      <c r="BX24" s="32">
        <f t="shared" si="8"/>
        <v>7.429420505200594E-3</v>
      </c>
      <c r="BY24" s="32">
        <f t="shared" si="8"/>
        <v>3.0624744793793387E-3</v>
      </c>
      <c r="BZ24" s="32">
        <f t="shared" si="8"/>
        <v>1.0551896143761591E-2</v>
      </c>
      <c r="CA24" s="32">
        <f t="shared" si="8"/>
        <v>7.888733129930459E-3</v>
      </c>
      <c r="CB24" s="32"/>
      <c r="CC24" s="32"/>
      <c r="CD24" s="32"/>
      <c r="CE24" s="32"/>
      <c r="CF24" s="32"/>
      <c r="CG24" s="32"/>
      <c r="CH24" s="32"/>
      <c r="CI24" s="32"/>
      <c r="CJ24" s="32"/>
      <c r="CK24" s="32"/>
      <c r="CL24" s="32"/>
      <c r="CM24" s="32"/>
      <c r="CN24" s="32"/>
      <c r="CO24" s="32"/>
      <c r="CP24" s="43">
        <f>SUMPRODUCT(BP24:CA24,BP5:CA5)/SUM(BP5:CA5)</f>
        <v>1.7498464840376034E-2</v>
      </c>
      <c r="CQ24" s="44">
        <f t="shared" ref="CQ24:CQ37" si="9">CQ23*(CP24+1)</f>
        <v>103.26243512816728</v>
      </c>
      <c r="CS24" s="30">
        <v>2</v>
      </c>
      <c r="CT24" s="31"/>
      <c r="CU24" s="32"/>
      <c r="CV24" s="32">
        <f t="shared" ref="CV24:DG24" si="10">(CV5-CV4)/CV4</f>
        <v>0.16580310880829016</v>
      </c>
      <c r="CW24" s="32">
        <f t="shared" si="10"/>
        <v>0.11809045226130653</v>
      </c>
      <c r="CX24" s="32">
        <f t="shared" si="10"/>
        <v>1.3458950201884253E-2</v>
      </c>
      <c r="CY24" s="32">
        <f t="shared" si="10"/>
        <v>1.2839097121557258E-2</v>
      </c>
      <c r="CZ24" s="32">
        <f t="shared" si="10"/>
        <v>0.20488824808849079</v>
      </c>
      <c r="DA24" s="32">
        <f t="shared" si="10"/>
        <v>-0.15025321121676621</v>
      </c>
      <c r="DB24" s="32">
        <f t="shared" si="10"/>
        <v>2.5330851943755169E-2</v>
      </c>
      <c r="DC24" s="32">
        <f t="shared" si="10"/>
        <v>2.1504237288135594E-2</v>
      </c>
      <c r="DD24" s="32">
        <f t="shared" si="10"/>
        <v>1.8187723286781421E-2</v>
      </c>
      <c r="DE24" s="32">
        <f t="shared" si="10"/>
        <v>4.8918443782007184E-3</v>
      </c>
      <c r="DF24" s="32">
        <f t="shared" si="10"/>
        <v>1.2153318790900591E-2</v>
      </c>
      <c r="DG24" s="32">
        <f t="shared" si="10"/>
        <v>7.540056550424128E-3</v>
      </c>
      <c r="DH24" s="32"/>
      <c r="DI24" s="32"/>
      <c r="DJ24" s="32"/>
      <c r="DK24" s="32"/>
      <c r="DL24" s="32"/>
      <c r="DM24" s="32"/>
      <c r="DN24" s="32"/>
      <c r="DO24" s="32"/>
      <c r="DP24" s="32"/>
      <c r="DQ24" s="32"/>
      <c r="DR24" s="32"/>
      <c r="DS24" s="32"/>
      <c r="DT24" s="32"/>
      <c r="DU24" s="32"/>
      <c r="DV24" s="43">
        <f>SUMPRODUCT(CV24:DG24,CV5:DG5)/SUM(CV5:DG5)</f>
        <v>1.7993541072775347E-2</v>
      </c>
      <c r="DW24" s="44">
        <f t="shared" ref="DW24:DW37" si="11">DW23*(DV24+1)</f>
        <v>103.01573841426529</v>
      </c>
    </row>
    <row r="25" spans="1:127">
      <c r="A25" s="30">
        <v>3</v>
      </c>
      <c r="B25" s="31"/>
      <c r="C25" s="32"/>
      <c r="D25" s="32"/>
      <c r="E25" s="32">
        <f t="shared" ref="E25:P25" si="12">(E6-E5)/E5</f>
        <v>5.2341597796143249E-3</v>
      </c>
      <c r="F25" s="32">
        <f t="shared" si="12"/>
        <v>9.7517730496453903E-3</v>
      </c>
      <c r="G25" s="32">
        <f t="shared" si="12"/>
        <v>1.7306544658842252E-2</v>
      </c>
      <c r="H25" s="32">
        <f t="shared" si="12"/>
        <v>-1.0993779835093302E-2</v>
      </c>
      <c r="I25" s="32">
        <f t="shared" si="12"/>
        <v>0.11585517557952071</v>
      </c>
      <c r="J25" s="32">
        <f t="shared" si="12"/>
        <v>-8.8416292829351456E-2</v>
      </c>
      <c r="K25" s="32">
        <f t="shared" si="12"/>
        <v>7.778369738945125E-3</v>
      </c>
      <c r="L25" s="32">
        <f t="shared" si="12"/>
        <v>3.4780880453145185E-3</v>
      </c>
      <c r="M25" s="32">
        <f t="shared" si="12"/>
        <v>1.313035204567079E-2</v>
      </c>
      <c r="N25" s="32">
        <f t="shared" si="12"/>
        <v>3.3800359810281853E-3</v>
      </c>
      <c r="O25" s="32">
        <f t="shared" si="12"/>
        <v>-2.7250431465164864E-3</v>
      </c>
      <c r="P25" s="32">
        <f t="shared" si="12"/>
        <v>-2.1050822700519828E-3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43">
        <f>SUMPRODUCT(E25:P25,E6:P6)/SUM(E6:P6)</f>
        <v>4.598972642297138E-3</v>
      </c>
      <c r="AE25" s="44">
        <f t="shared" si="5"/>
        <v>104.51851081061655</v>
      </c>
      <c r="AG25" s="30">
        <v>3</v>
      </c>
      <c r="AH25" s="31"/>
      <c r="AI25" s="32"/>
      <c r="AJ25" s="32"/>
      <c r="AK25" s="32">
        <f t="shared" ref="AK25:AV25" si="13">(AK6-AK5)/AK5</f>
        <v>2.436088777622647E-2</v>
      </c>
      <c r="AL25" s="32">
        <f t="shared" si="13"/>
        <v>3.1075371405206487E-2</v>
      </c>
      <c r="AM25" s="32">
        <f t="shared" si="13"/>
        <v>2.250621367203554E-3</v>
      </c>
      <c r="AN25" s="32">
        <f t="shared" si="13"/>
        <v>-1.0476883981513129E-2</v>
      </c>
      <c r="AO25" s="32">
        <f t="shared" si="13"/>
        <v>0.1156211999244568</v>
      </c>
      <c r="AP25" s="32">
        <f t="shared" si="13"/>
        <v>-8.4769095866769326E-2</v>
      </c>
      <c r="AQ25" s="32">
        <f t="shared" si="13"/>
        <v>1.0297049277559023E-2</v>
      </c>
      <c r="AR25" s="32">
        <f t="shared" si="13"/>
        <v>1.4358405965036023E-2</v>
      </c>
      <c r="AS25" s="32">
        <f t="shared" si="13"/>
        <v>-4.0555752594488735E-3</v>
      </c>
      <c r="AT25" s="32">
        <f t="shared" si="13"/>
        <v>-6.1795764261695476E-3</v>
      </c>
      <c r="AU25" s="32">
        <f t="shared" si="13"/>
        <v>-1.3305057397077128E-2</v>
      </c>
      <c r="AV25" s="32">
        <f t="shared" si="13"/>
        <v>-1.8472348141432456E-2</v>
      </c>
      <c r="AW25" s="32"/>
      <c r="AX25" s="32"/>
      <c r="AY25" s="32"/>
      <c r="AZ25" s="32"/>
      <c r="BA25" s="32"/>
      <c r="BB25" s="32"/>
      <c r="BC25" s="32"/>
      <c r="BD25" s="32"/>
      <c r="BE25" s="32"/>
      <c r="BF25" s="32"/>
      <c r="BG25" s="32"/>
      <c r="BH25" s="32"/>
      <c r="BI25" s="32"/>
      <c r="BJ25" s="43">
        <f>SUMPRODUCT(AK25:AV25,AK6:AV6)/SUM(AK6:AV6)</f>
        <v>1.1843608659104225E-3</v>
      </c>
      <c r="BK25" s="44">
        <f t="shared" si="7"/>
        <v>103.36269781999431</v>
      </c>
      <c r="BM25" s="30">
        <v>3</v>
      </c>
      <c r="BN25" s="31"/>
      <c r="BO25" s="32"/>
      <c r="BP25" s="32"/>
      <c r="BQ25" s="32">
        <f t="shared" ref="BQ25:CB25" si="14">(BQ6-BQ5)/BQ5</f>
        <v>1.8219461697722567E-2</v>
      </c>
      <c r="BR25" s="32">
        <f t="shared" si="14"/>
        <v>3.0341340075853349E-2</v>
      </c>
      <c r="BS25" s="32">
        <f t="shared" si="14"/>
        <v>-1.3532789583409531E-2</v>
      </c>
      <c r="BT25" s="32">
        <f t="shared" si="14"/>
        <v>-1.9096308548229458E-2</v>
      </c>
      <c r="BU25" s="32">
        <f t="shared" si="14"/>
        <v>0.11589860265123085</v>
      </c>
      <c r="BV25" s="32">
        <f t="shared" si="14"/>
        <v>-8.2042005176506547E-2</v>
      </c>
      <c r="BW25" s="32">
        <f t="shared" si="14"/>
        <v>1.7965356357591035E-2</v>
      </c>
      <c r="BX25" s="32">
        <f t="shared" si="14"/>
        <v>1.7795305886879571E-2</v>
      </c>
      <c r="BY25" s="32">
        <f t="shared" si="14"/>
        <v>1.356944161747744E-3</v>
      </c>
      <c r="BZ25" s="32">
        <f t="shared" si="14"/>
        <v>-8.6697886343500823E-3</v>
      </c>
      <c r="CA25" s="32">
        <f t="shared" si="14"/>
        <v>-1.289953092614814E-2</v>
      </c>
      <c r="CB25" s="32">
        <f t="shared" si="14"/>
        <v>-2.5385063977222049E-2</v>
      </c>
      <c r="CC25" s="32"/>
      <c r="CD25" s="32"/>
      <c r="CE25" s="32"/>
      <c r="CF25" s="32"/>
      <c r="CG25" s="32"/>
      <c r="CH25" s="32"/>
      <c r="CI25" s="32"/>
      <c r="CJ25" s="32"/>
      <c r="CK25" s="32"/>
      <c r="CL25" s="32"/>
      <c r="CM25" s="32"/>
      <c r="CN25" s="32"/>
      <c r="CO25" s="32"/>
      <c r="CP25" s="43">
        <f>SUMPRODUCT(BQ25:CB25,BQ6:CB6)/SUM(BQ6:CB6)</f>
        <v>9.5156385020452689E-4</v>
      </c>
      <c r="CQ25" s="44">
        <f t="shared" si="9"/>
        <v>103.36069592851933</v>
      </c>
      <c r="CS25" s="30">
        <v>3</v>
      </c>
      <c r="CT25" s="31"/>
      <c r="CU25" s="32"/>
      <c r="CV25" s="32"/>
      <c r="CW25" s="32">
        <f t="shared" ref="CW25:DH25" si="15">(CW6-CW5)/CW5</f>
        <v>5.6179775280898875E-2</v>
      </c>
      <c r="CX25" s="32">
        <f t="shared" si="15"/>
        <v>3.9840637450199202E-2</v>
      </c>
      <c r="CY25" s="32">
        <f t="shared" si="15"/>
        <v>-1.4312001635657329E-3</v>
      </c>
      <c r="CZ25" s="32">
        <f t="shared" si="15"/>
        <v>-2.0294599018003272E-2</v>
      </c>
      <c r="DA25" s="32">
        <f t="shared" si="15"/>
        <v>0.18563883816694887</v>
      </c>
      <c r="DB25" s="32">
        <f t="shared" si="15"/>
        <v>-0.13817446391068144</v>
      </c>
      <c r="DC25" s="32">
        <f t="shared" si="15"/>
        <v>3.89920149331121E-2</v>
      </c>
      <c r="DD25" s="32">
        <f t="shared" si="15"/>
        <v>3.3067517278043593E-2</v>
      </c>
      <c r="DE25" s="32">
        <f t="shared" si="15"/>
        <v>-5.096219669886666E-3</v>
      </c>
      <c r="DF25" s="32">
        <f t="shared" si="15"/>
        <v>-6.0806650246305423E-3</v>
      </c>
      <c r="DG25" s="32">
        <f t="shared" si="15"/>
        <v>-6.7820392890551914E-3</v>
      </c>
      <c r="DH25" s="32">
        <f t="shared" si="15"/>
        <v>-1.1357925419640164E-2</v>
      </c>
      <c r="DI25" s="32"/>
      <c r="DJ25" s="32"/>
      <c r="DK25" s="32"/>
      <c r="DL25" s="32"/>
      <c r="DM25" s="32"/>
      <c r="DN25" s="32"/>
      <c r="DO25" s="32"/>
      <c r="DP25" s="32"/>
      <c r="DQ25" s="32"/>
      <c r="DR25" s="32"/>
      <c r="DS25" s="32"/>
      <c r="DT25" s="32"/>
      <c r="DU25" s="32"/>
      <c r="DV25" s="43">
        <f>SUMPRODUCT(CW25:DH25,CW6:DH6)/SUM(CW6:DH6)</f>
        <v>9.7902385261332565E-3</v>
      </c>
      <c r="DW25" s="44">
        <f t="shared" si="11"/>
        <v>104.02428706528669</v>
      </c>
    </row>
    <row r="26" spans="1:127">
      <c r="A26" s="30">
        <v>4</v>
      </c>
      <c r="B26" s="31"/>
      <c r="C26" s="32"/>
      <c r="D26" s="32"/>
      <c r="E26" s="32"/>
      <c r="F26" s="32">
        <f t="shared" ref="F26:Q26" si="16">(F7-F6)/F6</f>
        <v>4.3898156277436349E-3</v>
      </c>
      <c r="G26" s="32">
        <f t="shared" si="16"/>
        <v>4.8885412592882286E-3</v>
      </c>
      <c r="H26" s="32">
        <f t="shared" si="16"/>
        <v>1.3163668275559455E-2</v>
      </c>
      <c r="I26" s="32">
        <f t="shared" si="16"/>
        <v>-3.4570411794611084E-3</v>
      </c>
      <c r="J26" s="32">
        <f t="shared" si="16"/>
        <v>0.10387427829269012</v>
      </c>
      <c r="K26" s="32">
        <f t="shared" si="16"/>
        <v>-8.7381964975618523E-2</v>
      </c>
      <c r="L26" s="32">
        <f t="shared" si="16"/>
        <v>8.5165379283026338E-3</v>
      </c>
      <c r="M26" s="32">
        <f t="shared" si="16"/>
        <v>1.0518407212622089E-2</v>
      </c>
      <c r="N26" s="32">
        <f t="shared" si="16"/>
        <v>1.5756587883727247E-3</v>
      </c>
      <c r="O26" s="32">
        <f t="shared" si="16"/>
        <v>1.0019127425084252E-3</v>
      </c>
      <c r="P26" s="32">
        <f t="shared" si="16"/>
        <v>3.0136042707077667E-4</v>
      </c>
      <c r="Q26" s="32">
        <f t="shared" si="16"/>
        <v>8.0246088003209839E-3</v>
      </c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43">
        <f>SUMPRODUCT(F26:Q26,F7:Q7)/SUM(F7:Q7)</f>
        <v>4.3377271317360366E-3</v>
      </c>
      <c r="AE26" s="44">
        <f t="shared" si="5"/>
        <v>104.9718835907284</v>
      </c>
      <c r="AG26" s="30">
        <v>4</v>
      </c>
      <c r="AH26" s="31"/>
      <c r="AI26" s="32"/>
      <c r="AJ26" s="32"/>
      <c r="AK26" s="32"/>
      <c r="AL26" s="32">
        <f t="shared" ref="AL26:AW26" si="17">(AL7-AL6)/AL6</f>
        <v>2.2604097818902841E-2</v>
      </c>
      <c r="AM26" s="32">
        <f t="shared" si="17"/>
        <v>9.177536514879325E-3</v>
      </c>
      <c r="AN26" s="32">
        <f t="shared" si="17"/>
        <v>2.2226894542396298E-3</v>
      </c>
      <c r="AO26" s="32">
        <f t="shared" si="17"/>
        <v>-6.3954819506983132E-3</v>
      </c>
      <c r="AP26" s="32">
        <f t="shared" si="17"/>
        <v>9.7386403622981593E-2</v>
      </c>
      <c r="AQ26" s="32">
        <f t="shared" si="17"/>
        <v>-7.6076741378197879E-2</v>
      </c>
      <c r="AR26" s="32">
        <f t="shared" si="17"/>
        <v>7.1851925432932688E-3</v>
      </c>
      <c r="AS26" s="32">
        <f t="shared" si="17"/>
        <v>6.6732728455083145E-3</v>
      </c>
      <c r="AT26" s="32">
        <f t="shared" si="17"/>
        <v>-2.8492988053721155E-3</v>
      </c>
      <c r="AU26" s="32">
        <f t="shared" si="17"/>
        <v>1.5886068852091355E-4</v>
      </c>
      <c r="AV26" s="32">
        <f t="shared" si="17"/>
        <v>1.8986773403122555E-3</v>
      </c>
      <c r="AW26" s="32">
        <f t="shared" si="17"/>
        <v>-3.1898440520685654E-3</v>
      </c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43">
        <f>SUMPRODUCT(AL26:AW26,AL7:AW7)/SUM(AL7:AW7)</f>
        <v>4.3417690901260278E-3</v>
      </c>
      <c r="BK26" s="44">
        <f t="shared" si="7"/>
        <v>103.81147478646119</v>
      </c>
      <c r="BM26" s="30">
        <v>4</v>
      </c>
      <c r="BN26" s="31"/>
      <c r="BO26" s="32"/>
      <c r="BP26" s="32"/>
      <c r="BQ26" s="32"/>
      <c r="BR26" s="32">
        <f t="shared" ref="BR26:CC26" si="18">(BR7-BR6)/BR6</f>
        <v>1.2474437627811861E-2</v>
      </c>
      <c r="BS26" s="32">
        <f t="shared" si="18"/>
        <v>9.1209076415409152E-3</v>
      </c>
      <c r="BT26" s="32">
        <f t="shared" si="18"/>
        <v>-5.1352801410285889E-3</v>
      </c>
      <c r="BU26" s="32">
        <f t="shared" si="18"/>
        <v>-1.4698390055023436E-2</v>
      </c>
      <c r="BV26" s="32">
        <f t="shared" si="18"/>
        <v>8.9610487933705393E-2</v>
      </c>
      <c r="BW26" s="32">
        <f t="shared" si="18"/>
        <v>-6.3275298764914736E-2</v>
      </c>
      <c r="BX26" s="32">
        <f t="shared" si="18"/>
        <v>2.2146615001732664E-2</v>
      </c>
      <c r="BY26" s="32">
        <f t="shared" si="18"/>
        <v>1.8463310522393115E-2</v>
      </c>
      <c r="BZ26" s="32">
        <f t="shared" si="18"/>
        <v>-2.2342802425789977E-4</v>
      </c>
      <c r="CA26" s="32">
        <f t="shared" si="18"/>
        <v>3.8403094350048348E-3</v>
      </c>
      <c r="CB26" s="32">
        <f t="shared" si="18"/>
        <v>2.5342296997641757E-3</v>
      </c>
      <c r="CC26" s="32">
        <f t="shared" si="18"/>
        <v>-9.7996829514339235E-3</v>
      </c>
      <c r="CD26" s="32"/>
      <c r="CE26" s="32"/>
      <c r="CF26" s="32"/>
      <c r="CG26" s="32"/>
      <c r="CH26" s="32"/>
      <c r="CI26" s="32"/>
      <c r="CJ26" s="32"/>
      <c r="CK26" s="32"/>
      <c r="CL26" s="32"/>
      <c r="CM26" s="32"/>
      <c r="CN26" s="32"/>
      <c r="CO26" s="32"/>
      <c r="CP26" s="43">
        <f>SUMPRODUCT(BR26:CC26,BR7:CC7)/SUM(BR7:CC7)</f>
        <v>5.9608328947207629E-3</v>
      </c>
      <c r="CQ26" s="44">
        <f t="shared" si="9"/>
        <v>103.97681176483128</v>
      </c>
      <c r="CS26" s="30">
        <v>4</v>
      </c>
      <c r="CT26" s="31"/>
      <c r="CU26" s="32"/>
      <c r="CV26" s="32"/>
      <c r="CW26" s="32"/>
      <c r="CX26" s="32">
        <f t="shared" ref="CX26:DI26" si="19">(CX7-CX6)/CX6</f>
        <v>4.5977011494252873E-2</v>
      </c>
      <c r="CY26" s="32">
        <f t="shared" si="19"/>
        <v>6.9615069615069618E-3</v>
      </c>
      <c r="CZ26" s="32">
        <f t="shared" si="19"/>
        <v>-1.2696291346475109E-2</v>
      </c>
      <c r="DA26" s="32">
        <f t="shared" si="19"/>
        <v>-3.2704042715484362E-2</v>
      </c>
      <c r="DB26" s="32">
        <f t="shared" si="19"/>
        <v>0.15038231987521755</v>
      </c>
      <c r="DC26" s="32">
        <f t="shared" si="19"/>
        <v>-0.11237996152005107</v>
      </c>
      <c r="DD26" s="32">
        <f t="shared" si="19"/>
        <v>5.6093042404281597E-2</v>
      </c>
      <c r="DE26" s="32">
        <f t="shared" si="19"/>
        <v>3.7003058103975535E-2</v>
      </c>
      <c r="DF26" s="32">
        <f t="shared" si="19"/>
        <v>1.1616200727948578E-2</v>
      </c>
      <c r="DG26" s="32">
        <f t="shared" si="19"/>
        <v>3.2964445490934777E-3</v>
      </c>
      <c r="DH26" s="32">
        <f t="shared" si="19"/>
        <v>-6.7100447336315575E-3</v>
      </c>
      <c r="DI26" s="32">
        <f t="shared" si="19"/>
        <v>-2.3517883390494856E-3</v>
      </c>
      <c r="DJ26" s="32"/>
      <c r="DK26" s="32"/>
      <c r="DL26" s="32"/>
      <c r="DM26" s="32"/>
      <c r="DN26" s="32"/>
      <c r="DO26" s="32"/>
      <c r="DP26" s="32"/>
      <c r="DQ26" s="32"/>
      <c r="DR26" s="32"/>
      <c r="DS26" s="32"/>
      <c r="DT26" s="32"/>
      <c r="DU26" s="32"/>
      <c r="DV26" s="43">
        <f>SUMPRODUCT(CX26:DI26,CX7:DI7)/SUM(CX7:DI7)</f>
        <v>1.1393822906890286E-2</v>
      </c>
      <c r="DW26" s="44">
        <f t="shared" si="11"/>
        <v>105.20952137012409</v>
      </c>
    </row>
    <row r="27" spans="1:127">
      <c r="A27" s="30">
        <v>5</v>
      </c>
      <c r="B27" s="31"/>
      <c r="C27" s="32"/>
      <c r="D27" s="32"/>
      <c r="E27" s="32"/>
      <c r="F27" s="32"/>
      <c r="G27" s="32">
        <f t="shared" ref="G27:R27" si="20">(G8-G7)/G7</f>
        <v>1.0313290523448142E-2</v>
      </c>
      <c r="H27" s="32">
        <f t="shared" si="20"/>
        <v>-1.0105384726432798E-3</v>
      </c>
      <c r="I27" s="32">
        <f t="shared" si="20"/>
        <v>1.0203040506070809E-4</v>
      </c>
      <c r="J27" s="32">
        <f t="shared" si="20"/>
        <v>-4.7873524827432646E-3</v>
      </c>
      <c r="K27" s="32">
        <f t="shared" si="20"/>
        <v>0.10884019248659817</v>
      </c>
      <c r="L27" s="32">
        <f t="shared" si="20"/>
        <v>-7.1774327480278607E-2</v>
      </c>
      <c r="M27" s="32">
        <f t="shared" si="20"/>
        <v>6.7843866171003716E-3</v>
      </c>
      <c r="N27" s="32">
        <f t="shared" si="20"/>
        <v>1.518932407507866E-3</v>
      </c>
      <c r="O27" s="32">
        <f t="shared" si="20"/>
        <v>-5.8538064907491657E-3</v>
      </c>
      <c r="P27" s="32">
        <f t="shared" si="20"/>
        <v>6.8431245965138799E-3</v>
      </c>
      <c r="Q27" s="32">
        <f t="shared" si="20"/>
        <v>5.7051877404802973E-3</v>
      </c>
      <c r="R27" s="32">
        <f t="shared" si="20"/>
        <v>4.5086858506829331E-3</v>
      </c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43">
        <f>SUMPRODUCT(G27:R27,G8:R8)/SUM(G8:R8)</f>
        <v>3.5769680188534377E-3</v>
      </c>
      <c r="AE27" s="44">
        <f t="shared" si="5"/>
        <v>105.34736466121124</v>
      </c>
      <c r="AG27" s="30">
        <v>5</v>
      </c>
      <c r="AH27" s="31"/>
      <c r="AI27" s="32"/>
      <c r="AJ27" s="32"/>
      <c r="AK27" s="32"/>
      <c r="AL27" s="32"/>
      <c r="AM27" s="32">
        <f t="shared" ref="AM27:AX27" si="21">(AM8-AM7)/AM7</f>
        <v>4.043961147014434E-3</v>
      </c>
      <c r="AN27" s="32">
        <f t="shared" si="21"/>
        <v>5.2147331195492551E-3</v>
      </c>
      <c r="AO27" s="32">
        <f t="shared" si="21"/>
        <v>-1.9356028020154849E-3</v>
      </c>
      <c r="AP27" s="32">
        <f t="shared" si="21"/>
        <v>-1.3651617997661458E-2</v>
      </c>
      <c r="AQ27" s="32">
        <f t="shared" si="21"/>
        <v>8.6965307180893014E-2</v>
      </c>
      <c r="AR27" s="32">
        <f t="shared" si="21"/>
        <v>-6.5206298395145496E-2</v>
      </c>
      <c r="AS27" s="32">
        <f t="shared" si="21"/>
        <v>-2.8607902548564222E-3</v>
      </c>
      <c r="AT27" s="32">
        <f t="shared" si="21"/>
        <v>-2.530025449079517E-3</v>
      </c>
      <c r="AU27" s="32">
        <f t="shared" si="21"/>
        <v>-1.4463369740911341E-2</v>
      </c>
      <c r="AV27" s="32">
        <f t="shared" si="21"/>
        <v>3.4188253069900253E-3</v>
      </c>
      <c r="AW27" s="32">
        <f t="shared" si="21"/>
        <v>4.2020881145553865E-3</v>
      </c>
      <c r="AX27" s="32">
        <f t="shared" si="21"/>
        <v>-1.1906710919942253E-3</v>
      </c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43">
        <f>SUMPRODUCT(AM27:AX27,AM8:AX8)/SUM(AM8:AX8)</f>
        <v>-2.9167329788396798E-4</v>
      </c>
      <c r="BK27" s="44">
        <f t="shared" si="7"/>
        <v>103.78119575125203</v>
      </c>
      <c r="BM27" s="30">
        <v>5</v>
      </c>
      <c r="BN27" s="31"/>
      <c r="BO27" s="32"/>
      <c r="BP27" s="32"/>
      <c r="BQ27" s="32"/>
      <c r="BR27" s="32"/>
      <c r="BS27" s="32">
        <f t="shared" ref="BS27:CD27" si="22">(BS8-BS7)/BS7</f>
        <v>3.6006907447551162E-3</v>
      </c>
      <c r="BT27" s="32">
        <f t="shared" si="22"/>
        <v>4.6224961479198769E-4</v>
      </c>
      <c r="BU27" s="32">
        <f t="shared" si="22"/>
        <v>-8.0922464386359531E-3</v>
      </c>
      <c r="BV27" s="32">
        <f t="shared" si="22"/>
        <v>-1.9663529808178294E-2</v>
      </c>
      <c r="BW27" s="32">
        <f t="shared" si="22"/>
        <v>8.2228179698513995E-2</v>
      </c>
      <c r="BX27" s="32">
        <f t="shared" si="22"/>
        <v>-4.4214019996627385E-2</v>
      </c>
      <c r="BY27" s="32">
        <f t="shared" si="22"/>
        <v>2.4182549978378737E-2</v>
      </c>
      <c r="BZ27" s="32">
        <f t="shared" si="22"/>
        <v>2.0655748172269579E-2</v>
      </c>
      <c r="CA27" s="32">
        <f t="shared" si="22"/>
        <v>-9.5227610502559585E-3</v>
      </c>
      <c r="CB27" s="32">
        <f t="shared" si="22"/>
        <v>8.6718393427658597E-3</v>
      </c>
      <c r="CC27" s="32">
        <f t="shared" si="22"/>
        <v>3.2746325134623783E-4</v>
      </c>
      <c r="CD27" s="32">
        <f t="shared" si="22"/>
        <v>-1.0543657331136738E-2</v>
      </c>
      <c r="CE27" s="32"/>
      <c r="CF27" s="32"/>
      <c r="CG27" s="32"/>
      <c r="CH27" s="32"/>
      <c r="CI27" s="32"/>
      <c r="CJ27" s="32"/>
      <c r="CK27" s="32"/>
      <c r="CL27" s="32"/>
      <c r="CM27" s="32"/>
      <c r="CN27" s="32"/>
      <c r="CO27" s="32"/>
      <c r="CP27" s="43">
        <f>SUMPRODUCT(BS27:CD27,BS8:CD8)/SUM(BS8:CD8)</f>
        <v>4.8539048536584452E-3</v>
      </c>
      <c r="CQ27" s="44">
        <f t="shared" si="9"/>
        <v>104.48150531612453</v>
      </c>
      <c r="CS27" s="30">
        <v>5</v>
      </c>
      <c r="CT27" s="31"/>
      <c r="CU27" s="32"/>
      <c r="CV27" s="32"/>
      <c r="CW27" s="32"/>
      <c r="CX27" s="32"/>
      <c r="CY27" s="32">
        <f t="shared" ref="CY27:DJ27" si="23">(CY8-CY7)/CY7</f>
        <v>-1.3420089467263115E-2</v>
      </c>
      <c r="CZ27" s="32">
        <f t="shared" si="23"/>
        <v>-1.1280315848843767E-2</v>
      </c>
      <c r="DA27" s="32">
        <f t="shared" si="23"/>
        <v>-1.4588467225234105E-2</v>
      </c>
      <c r="DB27" s="32">
        <f t="shared" si="23"/>
        <v>-3.1326281529698942E-2</v>
      </c>
      <c r="DC27" s="32">
        <f t="shared" si="23"/>
        <v>0.14527441443664579</v>
      </c>
      <c r="DD27" s="32">
        <f t="shared" si="23"/>
        <v>-8.5310867631189849E-2</v>
      </c>
      <c r="DE27" s="32">
        <f t="shared" si="23"/>
        <v>4.976408139191979E-2</v>
      </c>
      <c r="DF27" s="32">
        <f t="shared" si="23"/>
        <v>2.8936691418510296E-2</v>
      </c>
      <c r="DG27" s="32">
        <f t="shared" si="23"/>
        <v>-3.1291559101932253E-3</v>
      </c>
      <c r="DH27" s="32">
        <f t="shared" si="23"/>
        <v>8.2906857727737971E-3</v>
      </c>
      <c r="DI27" s="32">
        <f t="shared" si="23"/>
        <v>-3.1431097141734602E-3</v>
      </c>
      <c r="DJ27" s="32">
        <f t="shared" si="23"/>
        <v>-5.2037060540677752E-3</v>
      </c>
      <c r="DK27" s="32"/>
      <c r="DL27" s="32"/>
      <c r="DM27" s="32"/>
      <c r="DN27" s="32"/>
      <c r="DO27" s="32"/>
      <c r="DP27" s="32"/>
      <c r="DQ27" s="32"/>
      <c r="DR27" s="32"/>
      <c r="DS27" s="32"/>
      <c r="DT27" s="32"/>
      <c r="DU27" s="32"/>
      <c r="DV27" s="43">
        <f>SUMPRODUCT(CY27:DJ27,CY8:DJ8)/SUM(CY8:DJ8)</f>
        <v>9.4022354304358277E-3</v>
      </c>
      <c r="DW27" s="44">
        <f t="shared" si="11"/>
        <v>106.19872605956945</v>
      </c>
    </row>
    <row r="28" spans="1:127">
      <c r="A28" s="30">
        <v>6</v>
      </c>
      <c r="B28" s="31"/>
      <c r="C28" s="32"/>
      <c r="D28" s="32"/>
      <c r="E28" s="32"/>
      <c r="F28" s="32"/>
      <c r="G28" s="32"/>
      <c r="H28" s="32">
        <f t="shared" ref="H28:S28" si="24">(H9-H8)/H8</f>
        <v>8.6705202312138728E-4</v>
      </c>
      <c r="I28" s="32">
        <f t="shared" si="24"/>
        <v>-2.0403999183840034E-3</v>
      </c>
      <c r="J28" s="32">
        <f t="shared" si="24"/>
        <v>-2.2373867322966775E-4</v>
      </c>
      <c r="K28" s="32">
        <f t="shared" si="24"/>
        <v>-1.1910981088705464E-2</v>
      </c>
      <c r="L28" s="32">
        <f t="shared" si="24"/>
        <v>8.2613519498286603E-2</v>
      </c>
      <c r="M28" s="32">
        <f t="shared" si="24"/>
        <v>-6.97558765774655E-2</v>
      </c>
      <c r="N28" s="32">
        <f t="shared" si="24"/>
        <v>-8.3956234427472638E-3</v>
      </c>
      <c r="O28" s="32">
        <f t="shared" si="24"/>
        <v>-9.1832687555297929E-3</v>
      </c>
      <c r="P28" s="32">
        <f t="shared" si="24"/>
        <v>-1.7397623322219374E-2</v>
      </c>
      <c r="Q28" s="32">
        <f t="shared" si="24"/>
        <v>9.8944591029023754E-4</v>
      </c>
      <c r="R28" s="32">
        <f t="shared" si="24"/>
        <v>1.7821782178217822E-3</v>
      </c>
      <c r="S28" s="32">
        <f t="shared" si="24"/>
        <v>1.7314422545588508E-2</v>
      </c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43">
        <f>SUMPRODUCT(H28:S28,H9:S9)/SUM(H9:S9)</f>
        <v>-3.5444549132035079E-3</v>
      </c>
      <c r="AE28" s="44">
        <f t="shared" si="5"/>
        <v>104.97396567694477</v>
      </c>
      <c r="AG28" s="30">
        <v>6</v>
      </c>
      <c r="AH28" s="31"/>
      <c r="AI28" s="32"/>
      <c r="AJ28" s="32"/>
      <c r="AK28" s="32"/>
      <c r="AL28" s="32"/>
      <c r="AM28" s="32"/>
      <c r="AN28" s="32">
        <f t="shared" ref="AN28:AY28" si="25">(AN9-AN8)/AN8</f>
        <v>-4.173996004889538E-4</v>
      </c>
      <c r="AO28" s="32">
        <f t="shared" si="25"/>
        <v>-2.7705094659073418E-3</v>
      </c>
      <c r="AP28" s="32">
        <f t="shared" si="25"/>
        <v>-3.3870123471995564E-3</v>
      </c>
      <c r="AQ28" s="32">
        <f t="shared" si="25"/>
        <v>-1.9388152766952455E-2</v>
      </c>
      <c r="AR28" s="32">
        <f t="shared" si="25"/>
        <v>6.7767728283152043E-2</v>
      </c>
      <c r="AS28" s="32">
        <f t="shared" si="25"/>
        <v>-5.8323696438202011E-2</v>
      </c>
      <c r="AT28" s="32">
        <f t="shared" si="25"/>
        <v>-1.2473330050878056E-2</v>
      </c>
      <c r="AU28" s="32">
        <f t="shared" si="25"/>
        <v>-1.3063964126240744E-2</v>
      </c>
      <c r="AV28" s="32">
        <f t="shared" si="25"/>
        <v>-1.8056760757490683E-2</v>
      </c>
      <c r="AW28" s="32">
        <f t="shared" si="25"/>
        <v>-2.9130588727588761E-3</v>
      </c>
      <c r="AX28" s="32">
        <f t="shared" si="25"/>
        <v>-6.0349580533162464E-3</v>
      </c>
      <c r="AY28" s="32">
        <f t="shared" si="25"/>
        <v>2.1413536973576636E-2</v>
      </c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43">
        <f>SUMPRODUCT(AN28:AY28,AN9:AY9)/SUM(AN9:AY9)</f>
        <v>-4.8488980363098656E-3</v>
      </c>
      <c r="BK28" s="44">
        <f t="shared" si="7"/>
        <v>103.2779713149679</v>
      </c>
      <c r="BM28" s="30">
        <v>6</v>
      </c>
      <c r="BN28" s="31"/>
      <c r="BO28" s="32"/>
      <c r="BP28" s="32"/>
      <c r="BQ28" s="32"/>
      <c r="BR28" s="32"/>
      <c r="BS28" s="32"/>
      <c r="BT28" s="32">
        <f t="shared" ref="BT28:CE28" si="26">(BT9-BT8)/BT8</f>
        <v>-2.6438728887519893E-3</v>
      </c>
      <c r="BU28" s="32">
        <f t="shared" si="26"/>
        <v>-1.1364228744200594E-2</v>
      </c>
      <c r="BV28" s="32">
        <f t="shared" si="26"/>
        <v>-1.185799862515958E-2</v>
      </c>
      <c r="BW28" s="32">
        <f t="shared" si="26"/>
        <v>-2.9777061788702385E-2</v>
      </c>
      <c r="BX28" s="32">
        <f t="shared" si="26"/>
        <v>5.1773426574293423E-2</v>
      </c>
      <c r="BY28" s="32">
        <f t="shared" si="26"/>
        <v>-3.4150344787977661E-2</v>
      </c>
      <c r="BZ28" s="32">
        <f t="shared" si="26"/>
        <v>1.2449171097904286E-2</v>
      </c>
      <c r="CA28" s="32">
        <f t="shared" si="26"/>
        <v>8.780704679337557E-3</v>
      </c>
      <c r="CB28" s="32">
        <f t="shared" si="26"/>
        <v>-1.270449008005569E-2</v>
      </c>
      <c r="CC28" s="32">
        <f t="shared" si="26"/>
        <v>-5.310442658131161E-3</v>
      </c>
      <c r="CD28" s="32">
        <f t="shared" si="26"/>
        <v>-8.4201512772941346E-3</v>
      </c>
      <c r="CE28" s="32">
        <f t="shared" si="26"/>
        <v>1.1219775604487911E-2</v>
      </c>
      <c r="CF28" s="32"/>
      <c r="CG28" s="32"/>
      <c r="CH28" s="32"/>
      <c r="CI28" s="32"/>
      <c r="CJ28" s="32"/>
      <c r="CK28" s="32"/>
      <c r="CL28" s="32"/>
      <c r="CM28" s="32"/>
      <c r="CN28" s="32"/>
      <c r="CO28" s="32"/>
      <c r="CP28" s="43">
        <f>SUMPRODUCT(BT28:CE28,BT9:CE9)/SUM(BT9:CE9)</f>
        <v>-3.2208025908852427E-3</v>
      </c>
      <c r="CQ28" s="44">
        <f t="shared" si="9"/>
        <v>104.14499101310277</v>
      </c>
      <c r="CS28" s="30">
        <v>6</v>
      </c>
      <c r="CT28" s="31"/>
      <c r="CU28" s="32"/>
      <c r="CV28" s="32"/>
      <c r="CW28" s="32"/>
      <c r="CX28" s="32"/>
      <c r="CY28" s="32"/>
      <c r="CZ28" s="32">
        <f t="shared" ref="CZ28:DK28" si="27">(CZ9-CZ8)/CZ8</f>
        <v>-8.3285795778665142E-3</v>
      </c>
      <c r="DA28" s="32">
        <f t="shared" si="27"/>
        <v>-1.9205761728518556E-2</v>
      </c>
      <c r="DB28" s="32">
        <f t="shared" si="27"/>
        <v>-2.2574548509029818E-2</v>
      </c>
      <c r="DC28" s="32">
        <f t="shared" si="27"/>
        <v>-4.3691703485517916E-2</v>
      </c>
      <c r="DD28" s="32">
        <f t="shared" si="27"/>
        <v>0.11191314289772172</v>
      </c>
      <c r="DE28" s="32">
        <f t="shared" si="27"/>
        <v>-8.3660883914255704E-2</v>
      </c>
      <c r="DF28" s="32">
        <f t="shared" si="27"/>
        <v>3.9580388363961015E-2</v>
      </c>
      <c r="DG28" s="32">
        <f t="shared" si="27"/>
        <v>1.6322686965392765E-2</v>
      </c>
      <c r="DH28" s="32">
        <f t="shared" si="27"/>
        <v>-1.1064866511014111E-2</v>
      </c>
      <c r="DI28" s="32">
        <f t="shared" si="27"/>
        <v>-1.2513548132820967E-2</v>
      </c>
      <c r="DJ28" s="32">
        <f t="shared" si="27"/>
        <v>-5.486093391171217E-3</v>
      </c>
      <c r="DK28" s="32">
        <f t="shared" si="27"/>
        <v>2.2375478927203065E-2</v>
      </c>
      <c r="DL28" s="32"/>
      <c r="DM28" s="32"/>
      <c r="DN28" s="32"/>
      <c r="DO28" s="32"/>
      <c r="DP28" s="32"/>
      <c r="DQ28" s="32"/>
      <c r="DR28" s="32"/>
      <c r="DS28" s="32"/>
      <c r="DT28" s="32"/>
      <c r="DU28" s="32"/>
      <c r="DV28" s="43">
        <f>SUMPRODUCT(CZ28:DK28,CZ9:DK9)/SUM(CZ9:DK9)</f>
        <v>-1.4921724982615715E-3</v>
      </c>
      <c r="DW28" s="44">
        <f t="shared" si="11"/>
        <v>106.04025924119294</v>
      </c>
    </row>
    <row r="29" spans="1:127">
      <c r="A29" s="30">
        <v>7</v>
      </c>
      <c r="B29" s="31"/>
      <c r="C29" s="32"/>
      <c r="D29" s="32"/>
      <c r="E29" s="32"/>
      <c r="F29" s="32"/>
      <c r="G29" s="32"/>
      <c r="H29" s="32"/>
      <c r="I29" s="32">
        <f t="shared" ref="I29:T29" si="28">(I10-I9)/I9</f>
        <v>4.2936004906971989E-3</v>
      </c>
      <c r="J29" s="32">
        <f t="shared" si="28"/>
        <v>-4.5876692402372164E-3</v>
      </c>
      <c r="K29" s="32">
        <f t="shared" si="28"/>
        <v>3.17225335730147E-3</v>
      </c>
      <c r="L29" s="32">
        <f t="shared" si="28"/>
        <v>-8.3056478405315621E-3</v>
      </c>
      <c r="M29" s="32">
        <f t="shared" si="28"/>
        <v>7.062040112649863E-2</v>
      </c>
      <c r="N29" s="32">
        <f t="shared" si="28"/>
        <v>-6.071687841019844E-2</v>
      </c>
      <c r="O29" s="32">
        <f t="shared" si="28"/>
        <v>-1.4225889887917231E-2</v>
      </c>
      <c r="P29" s="32">
        <f t="shared" si="28"/>
        <v>-9.6576325749336573E-3</v>
      </c>
      <c r="Q29" s="32">
        <f t="shared" si="28"/>
        <v>-1.6540362438220758E-2</v>
      </c>
      <c r="R29" s="32">
        <f t="shared" si="28"/>
        <v>-3.2944587204322331E-3</v>
      </c>
      <c r="S29" s="32">
        <f t="shared" si="28"/>
        <v>-1.4847003440159334E-2</v>
      </c>
      <c r="T29" s="32">
        <f t="shared" si="28"/>
        <v>1.4322739053335152E-2</v>
      </c>
      <c r="U29" s="32"/>
      <c r="V29" s="32"/>
      <c r="W29" s="32"/>
      <c r="X29" s="32"/>
      <c r="Y29" s="32"/>
      <c r="Z29" s="32"/>
      <c r="AA29" s="32"/>
      <c r="AB29" s="32"/>
      <c r="AC29" s="32"/>
      <c r="AD29" s="43">
        <f>SUMPRODUCT(I29:T29,I10:T10)/SUM(I10:T10)</f>
        <v>-8.0358855241491386E-3</v>
      </c>
      <c r="AE29" s="44">
        <f t="shared" si="5"/>
        <v>104.13040690574888</v>
      </c>
      <c r="AG29" s="30">
        <v>7</v>
      </c>
      <c r="AH29" s="31"/>
      <c r="AI29" s="32"/>
      <c r="AJ29" s="32"/>
      <c r="AK29" s="32"/>
      <c r="AL29" s="32"/>
      <c r="AM29" s="32"/>
      <c r="AN29" s="32"/>
      <c r="AO29" s="32">
        <f t="shared" ref="AO29:AZ29" si="29">(AO10-AO9)/AO9</f>
        <v>-8.6433091526470134E-4</v>
      </c>
      <c r="AP29" s="32">
        <f t="shared" si="29"/>
        <v>-6.6734637130410604E-3</v>
      </c>
      <c r="AQ29" s="32">
        <f t="shared" si="29"/>
        <v>-8.5610200364298721E-3</v>
      </c>
      <c r="AR29" s="32">
        <f t="shared" si="29"/>
        <v>-2.4751741514747294E-2</v>
      </c>
      <c r="AS29" s="32">
        <f t="shared" si="29"/>
        <v>3.9298784236177851E-2</v>
      </c>
      <c r="AT29" s="32">
        <f t="shared" si="29"/>
        <v>-5.517662737425276E-2</v>
      </c>
      <c r="AU29" s="32">
        <f t="shared" si="29"/>
        <v>-2.9278695138468633E-2</v>
      </c>
      <c r="AV29" s="32">
        <f t="shared" si="29"/>
        <v>-1.9363474509090435E-2</v>
      </c>
      <c r="AW29" s="32">
        <f t="shared" si="29"/>
        <v>-2.7262602295288364E-2</v>
      </c>
      <c r="AX29" s="32">
        <f t="shared" si="29"/>
        <v>-1.5606260494123291E-2</v>
      </c>
      <c r="AY29" s="32">
        <f t="shared" si="29"/>
        <v>-2.672093736162676E-2</v>
      </c>
      <c r="AZ29" s="32">
        <f t="shared" si="29"/>
        <v>9.5927141602329992E-3</v>
      </c>
      <c r="BA29" s="32"/>
      <c r="BB29" s="32"/>
      <c r="BC29" s="32"/>
      <c r="BD29" s="32"/>
      <c r="BE29" s="32"/>
      <c r="BF29" s="32"/>
      <c r="BG29" s="32"/>
      <c r="BH29" s="32"/>
      <c r="BI29" s="32"/>
      <c r="BJ29" s="43">
        <f>SUMPRODUCT(AO29:AZ29,AO10:AZ10)/SUM(AO10:AZ10)</f>
        <v>-1.4942694367096903E-2</v>
      </c>
      <c r="BK29" s="44">
        <f t="shared" si="7"/>
        <v>101.73472015475453</v>
      </c>
      <c r="BM29" s="30">
        <v>7</v>
      </c>
      <c r="BN29" s="31"/>
      <c r="BO29" s="32"/>
      <c r="BP29" s="32"/>
      <c r="BQ29" s="32"/>
      <c r="BR29" s="32"/>
      <c r="BS29" s="32"/>
      <c r="BT29" s="32"/>
      <c r="BU29" s="32">
        <f t="shared" ref="BU29:CF29" si="30">(BU10-BU9)/BU9</f>
        <v>-4.7192196150804113E-3</v>
      </c>
      <c r="BV29" s="32">
        <f t="shared" si="30"/>
        <v>-1.7093592387388508E-2</v>
      </c>
      <c r="BW29" s="32">
        <f t="shared" si="30"/>
        <v>-2.0862346009641135E-2</v>
      </c>
      <c r="BX29" s="32">
        <f t="shared" si="30"/>
        <v>-3.8538185608731644E-2</v>
      </c>
      <c r="BY29" s="32">
        <f t="shared" si="30"/>
        <v>1.5450979298004633E-2</v>
      </c>
      <c r="BZ29" s="32">
        <f t="shared" si="30"/>
        <v>-2.6935194205997427E-2</v>
      </c>
      <c r="CA29" s="32">
        <f t="shared" si="30"/>
        <v>2.8646981048920227E-3</v>
      </c>
      <c r="CB29" s="32">
        <f t="shared" si="30"/>
        <v>3.7369998237264234E-3</v>
      </c>
      <c r="CC29" s="32">
        <f t="shared" si="30"/>
        <v>-1.7808169086188614E-2</v>
      </c>
      <c r="CD29" s="32">
        <f t="shared" si="30"/>
        <v>-2.9744770677413164E-2</v>
      </c>
      <c r="CE29" s="32">
        <f t="shared" si="30"/>
        <v>-3.9456508840631302E-2</v>
      </c>
      <c r="CF29" s="32">
        <f t="shared" si="30"/>
        <v>5.1913378819341436E-4</v>
      </c>
      <c r="CG29" s="32"/>
      <c r="CH29" s="32"/>
      <c r="CI29" s="32"/>
      <c r="CJ29" s="32"/>
      <c r="CK29" s="32"/>
      <c r="CL29" s="32"/>
      <c r="CM29" s="32"/>
      <c r="CN29" s="32"/>
      <c r="CO29" s="32"/>
      <c r="CP29" s="43">
        <f>SUMPRODUCT(BU29:CF29,BU10:CF10)/SUM(BU10:CF10)</f>
        <v>-1.3507801521655047E-2</v>
      </c>
      <c r="CQ29" s="44">
        <f t="shared" si="9"/>
        <v>102.73822114502322</v>
      </c>
      <c r="CS29" s="30">
        <v>7</v>
      </c>
      <c r="CT29" s="31"/>
      <c r="CU29" s="32"/>
      <c r="CV29" s="32"/>
      <c r="CW29" s="32"/>
      <c r="CX29" s="32"/>
      <c r="CY29" s="32"/>
      <c r="CZ29" s="32"/>
      <c r="DA29" s="32">
        <f t="shared" ref="DA29:DL29" si="31">(DA10-DA9)/DA9</f>
        <v>-2.4579296277409485E-2</v>
      </c>
      <c r="DB29" s="32">
        <f t="shared" si="31"/>
        <v>-2.9863572886453971E-2</v>
      </c>
      <c r="DC29" s="32">
        <f t="shared" si="31"/>
        <v>-2.2484599589322384E-2</v>
      </c>
      <c r="DD29" s="32">
        <f t="shared" si="31"/>
        <v>-3.6029129934840934E-2</v>
      </c>
      <c r="DE29" s="32">
        <f t="shared" si="31"/>
        <v>7.2598504104591677E-2</v>
      </c>
      <c r="DF29" s="32">
        <f t="shared" si="31"/>
        <v>-5.8869352826144278E-2</v>
      </c>
      <c r="DG29" s="32">
        <f t="shared" si="31"/>
        <v>2.7488224847502123E-2</v>
      </c>
      <c r="DH29" s="32">
        <f t="shared" si="31"/>
        <v>2.92547731471977E-2</v>
      </c>
      <c r="DI29" s="32">
        <f t="shared" si="31"/>
        <v>-1.2472560367192177E-2</v>
      </c>
      <c r="DJ29" s="32">
        <f t="shared" si="31"/>
        <v>-1.0134701731879411E-2</v>
      </c>
      <c r="DK29" s="32">
        <f t="shared" si="31"/>
        <v>-2.7582071653425272E-2</v>
      </c>
      <c r="DL29" s="32">
        <f t="shared" si="31"/>
        <v>-2.7140724657348349E-3</v>
      </c>
      <c r="DM29" s="32"/>
      <c r="DN29" s="32"/>
      <c r="DO29" s="32"/>
      <c r="DP29" s="32"/>
      <c r="DQ29" s="32"/>
      <c r="DR29" s="32"/>
      <c r="DS29" s="32"/>
      <c r="DT29" s="32"/>
      <c r="DU29" s="32"/>
      <c r="DV29" s="43">
        <f>SUMPRODUCT(DA29:DL29,DA10:DL10)/SUM(DA10:DL10)</f>
        <v>-4.8360526135461969E-3</v>
      </c>
      <c r="DW29" s="44">
        <f t="shared" si="11"/>
        <v>105.52744296834845</v>
      </c>
    </row>
    <row r="30" spans="1:127">
      <c r="A30" s="30">
        <v>8</v>
      </c>
      <c r="B30" s="31"/>
      <c r="C30" s="32"/>
      <c r="D30" s="32"/>
      <c r="E30" s="32"/>
      <c r="F30" s="32"/>
      <c r="G30" s="32"/>
      <c r="H30" s="32"/>
      <c r="I30" s="32"/>
      <c r="J30" s="32">
        <f t="shared" ref="J30:U30" si="32">(J11-J10)/J10</f>
        <v>2.4730215827338128E-3</v>
      </c>
      <c r="K30" s="32">
        <f t="shared" si="32"/>
        <v>-5.5865921787709499E-3</v>
      </c>
      <c r="L30" s="32">
        <f t="shared" si="32"/>
        <v>-6.207508128879693E-3</v>
      </c>
      <c r="M30" s="32">
        <f t="shared" si="32"/>
        <v>-1.4737232366299008E-2</v>
      </c>
      <c r="N30" s="32">
        <f t="shared" si="32"/>
        <v>4.2077621469040004E-2</v>
      </c>
      <c r="O30" s="32">
        <f t="shared" si="32"/>
        <v>-6.9212245940413947E-2</v>
      </c>
      <c r="P30" s="32">
        <f t="shared" si="32"/>
        <v>-3.8963320887327034E-2</v>
      </c>
      <c r="Q30" s="32">
        <f t="shared" si="32"/>
        <v>-2.586437952291611E-2</v>
      </c>
      <c r="R30" s="32">
        <f t="shared" si="32"/>
        <v>-3.0938057777483968E-2</v>
      </c>
      <c r="S30" s="32">
        <f t="shared" si="32"/>
        <v>-1.2222018011394964E-2</v>
      </c>
      <c r="T30" s="32">
        <f t="shared" si="32"/>
        <v>-4.0344271113501882E-2</v>
      </c>
      <c r="U30" s="32">
        <f t="shared" si="32"/>
        <v>-7.0186145865120536E-3</v>
      </c>
      <c r="V30" s="32"/>
      <c r="W30" s="32"/>
      <c r="X30" s="32"/>
      <c r="Y30" s="32"/>
      <c r="Z30" s="32"/>
      <c r="AA30" s="32"/>
      <c r="AB30" s="32"/>
      <c r="AC30" s="32"/>
      <c r="AD30" s="43">
        <f>SUMPRODUCT(J30:U30,J11:U11)/SUM(J11:U11)</f>
        <v>-2.2836244104331532E-2</v>
      </c>
      <c r="AE30" s="44">
        <f t="shared" si="5"/>
        <v>101.75245951496584</v>
      </c>
      <c r="AG30" s="30">
        <v>8</v>
      </c>
      <c r="AH30" s="31"/>
      <c r="AI30" s="32"/>
      <c r="AJ30" s="32"/>
      <c r="AK30" s="32"/>
      <c r="AL30" s="32"/>
      <c r="AM30" s="32"/>
      <c r="AN30" s="32"/>
      <c r="AO30" s="32"/>
      <c r="AP30" s="32">
        <f t="shared" ref="AP30:BA30" si="33">(AP11-AP10)/AP10</f>
        <v>-2.8926005411962301E-3</v>
      </c>
      <c r="AQ30" s="32">
        <f t="shared" si="33"/>
        <v>-1.3428423496400714E-2</v>
      </c>
      <c r="AR30" s="32">
        <f t="shared" si="33"/>
        <v>-1.3694697737250929E-2</v>
      </c>
      <c r="AS30" s="32">
        <f t="shared" si="33"/>
        <v>-4.0631058015098739E-2</v>
      </c>
      <c r="AT30" s="32">
        <f t="shared" si="33"/>
        <v>-1.0874299142308502E-2</v>
      </c>
      <c r="AU30" s="32">
        <f t="shared" si="33"/>
        <v>-5.5837354947768869E-2</v>
      </c>
      <c r="AV30" s="32">
        <f t="shared" si="33"/>
        <v>-4.8701944102095177E-2</v>
      </c>
      <c r="AW30" s="32">
        <f t="shared" si="33"/>
        <v>-3.5775919288464089E-2</v>
      </c>
      <c r="AX30" s="32">
        <f t="shared" si="33"/>
        <v>-4.26572042093721E-2</v>
      </c>
      <c r="AY30" s="32">
        <f t="shared" si="33"/>
        <v>-3.1829078374074789E-2</v>
      </c>
      <c r="AZ30" s="32">
        <f t="shared" si="33"/>
        <v>-5.0575817936213567E-2</v>
      </c>
      <c r="BA30" s="32">
        <f t="shared" si="33"/>
        <v>-1.4005816623297107E-2</v>
      </c>
      <c r="BB30" s="32"/>
      <c r="BC30" s="32"/>
      <c r="BD30" s="32"/>
      <c r="BE30" s="32"/>
      <c r="BF30" s="32"/>
      <c r="BG30" s="32"/>
      <c r="BH30" s="32"/>
      <c r="BI30" s="32"/>
      <c r="BJ30" s="43">
        <f>SUMPRODUCT(AP30:BA30,AP11:BA11)/SUM(AP11:BA11)</f>
        <v>-3.1470067702564122E-2</v>
      </c>
      <c r="BK30" s="44">
        <f t="shared" si="7"/>
        <v>98.533121623782989</v>
      </c>
      <c r="BM30" s="30">
        <v>8</v>
      </c>
      <c r="BN30" s="31"/>
      <c r="BO30" s="32"/>
      <c r="BP30" s="32"/>
      <c r="BQ30" s="32"/>
      <c r="BR30" s="32"/>
      <c r="BS30" s="32"/>
      <c r="BT30" s="32"/>
      <c r="BU30" s="32"/>
      <c r="BV30" s="32">
        <f t="shared" ref="BV30:CG30" si="34">(BV11-BV10)/BV10</f>
        <v>-1.0616516266019565E-2</v>
      </c>
      <c r="BW30" s="32">
        <f t="shared" si="34"/>
        <v>-2.6995979322228605E-2</v>
      </c>
      <c r="BX30" s="32">
        <f t="shared" si="34"/>
        <v>-3.1409438775510203E-2</v>
      </c>
      <c r="BY30" s="32">
        <f t="shared" si="34"/>
        <v>-5.8083316775945429E-2</v>
      </c>
      <c r="BZ30" s="32">
        <f t="shared" si="34"/>
        <v>-3.0993034811212145E-2</v>
      </c>
      <c r="CA30" s="32">
        <f t="shared" si="34"/>
        <v>-3.3564240552402584E-2</v>
      </c>
      <c r="CB30" s="32">
        <f t="shared" si="34"/>
        <v>-1.8966667837448631E-2</v>
      </c>
      <c r="CC30" s="32">
        <f t="shared" si="34"/>
        <v>-2.096053611317945E-2</v>
      </c>
      <c r="CD30" s="32">
        <f t="shared" si="34"/>
        <v>-3.7430775316455694E-2</v>
      </c>
      <c r="CE30" s="32">
        <f t="shared" si="34"/>
        <v>-3.9162394218296377E-2</v>
      </c>
      <c r="CF30" s="32">
        <f t="shared" si="34"/>
        <v>-7.7014305833518648E-2</v>
      </c>
      <c r="CG30" s="32">
        <f t="shared" si="34"/>
        <v>-3.1419207751496155E-2</v>
      </c>
      <c r="CH30" s="32"/>
      <c r="CI30" s="32"/>
      <c r="CJ30" s="32"/>
      <c r="CK30" s="32"/>
      <c r="CL30" s="32"/>
      <c r="CM30" s="32"/>
      <c r="CN30" s="32"/>
      <c r="CO30" s="32"/>
      <c r="CP30" s="43">
        <f>SUMPRODUCT(BV30:CG30,BV11:CG11)/SUM(BV11:CG11)</f>
        <v>-3.1519019388912307E-2</v>
      </c>
      <c r="CQ30" s="44">
        <f t="shared" si="9"/>
        <v>99.500013160770862</v>
      </c>
      <c r="CS30" s="30">
        <v>8</v>
      </c>
      <c r="CT30" s="31"/>
      <c r="CU30" s="32"/>
      <c r="CV30" s="32"/>
      <c r="CW30" s="32"/>
      <c r="CX30" s="32"/>
      <c r="CY30" s="32"/>
      <c r="CZ30" s="32"/>
      <c r="DA30" s="32"/>
      <c r="DB30" s="32">
        <f t="shared" ref="DB30:DM30" si="35">(DB11-DB10)/DB10</f>
        <v>-3.6097885062562285E-2</v>
      </c>
      <c r="DC30" s="32">
        <f t="shared" si="35"/>
        <v>-5.0204810419073626E-2</v>
      </c>
      <c r="DD30" s="32">
        <f t="shared" si="35"/>
        <v>-0.05</v>
      </c>
      <c r="DE30" s="32">
        <f t="shared" si="35"/>
        <v>-6.702393712040014E-2</v>
      </c>
      <c r="DF30" s="32">
        <f t="shared" si="35"/>
        <v>2.1640487435927405E-2</v>
      </c>
      <c r="DG30" s="32">
        <f t="shared" si="35"/>
        <v>-5.0136972061634116E-2</v>
      </c>
      <c r="DH30" s="32">
        <f t="shared" si="35"/>
        <v>5.5849207140720057E-3</v>
      </c>
      <c r="DI30" s="32">
        <f t="shared" si="35"/>
        <v>-2.8291401434778216E-3</v>
      </c>
      <c r="DJ30" s="32">
        <f t="shared" si="35"/>
        <v>-2.4494556765163298E-2</v>
      </c>
      <c r="DK30" s="32">
        <f t="shared" si="35"/>
        <v>-2.3123169415754586E-2</v>
      </c>
      <c r="DL30" s="32">
        <f t="shared" si="35"/>
        <v>-6.4090352428901889E-2</v>
      </c>
      <c r="DM30" s="32">
        <f t="shared" si="35"/>
        <v>-2.2038980509745128E-2</v>
      </c>
      <c r="DN30" s="32"/>
      <c r="DO30" s="32"/>
      <c r="DP30" s="32"/>
      <c r="DQ30" s="32"/>
      <c r="DR30" s="32"/>
      <c r="DS30" s="32"/>
      <c r="DT30" s="32"/>
      <c r="DU30" s="32"/>
      <c r="DV30" s="43">
        <f>SUMPRODUCT(DB30:DM30,DB11:DM11)/SUM(DB11:DM11)</f>
        <v>-2.9486752291557384E-2</v>
      </c>
      <c r="DW30" s="44">
        <f t="shared" si="11"/>
        <v>102.41578139757931</v>
      </c>
    </row>
    <row r="31" spans="1:127">
      <c r="A31" s="30">
        <v>9</v>
      </c>
      <c r="B31" s="31"/>
      <c r="C31" s="32"/>
      <c r="D31" s="32"/>
      <c r="E31" s="32"/>
      <c r="F31" s="32"/>
      <c r="G31" s="32"/>
      <c r="H31" s="32"/>
      <c r="I31" s="32"/>
      <c r="J31" s="32"/>
      <c r="K31" s="32">
        <f t="shared" ref="K31:V31" si="36">(K12-K11)/K11</f>
        <v>4.0279838880644481E-3</v>
      </c>
      <c r="L31" s="32">
        <f t="shared" si="36"/>
        <v>-5.8496926432678965E-3</v>
      </c>
      <c r="M31" s="32">
        <f t="shared" si="36"/>
        <v>-9.4073377234242701E-3</v>
      </c>
      <c r="N31" s="32">
        <f t="shared" si="36"/>
        <v>-3.3037557899436354E-2</v>
      </c>
      <c r="O31" s="32">
        <f t="shared" si="36"/>
        <v>9.3162691220723148E-4</v>
      </c>
      <c r="P31" s="32">
        <f t="shared" si="36"/>
        <v>-5.8223299199703753E-2</v>
      </c>
      <c r="Q31" s="32">
        <f t="shared" si="36"/>
        <v>-5.9843169624432521E-2</v>
      </c>
      <c r="R31" s="32">
        <f t="shared" si="36"/>
        <v>-4.9594106009959754E-2</v>
      </c>
      <c r="S31" s="32">
        <f t="shared" si="36"/>
        <v>-5.8889198995255375E-2</v>
      </c>
      <c r="T31" s="32">
        <f t="shared" si="36"/>
        <v>-2.116031390134529E-2</v>
      </c>
      <c r="U31" s="32">
        <f t="shared" si="36"/>
        <v>-7.3140749846342959E-2</v>
      </c>
      <c r="V31" s="32">
        <f t="shared" si="36"/>
        <v>-2.7673681176131448E-2</v>
      </c>
      <c r="W31" s="32"/>
      <c r="X31" s="32"/>
      <c r="Y31" s="32"/>
      <c r="Z31" s="32"/>
      <c r="AA31" s="32"/>
      <c r="AB31" s="32"/>
      <c r="AC31" s="32"/>
      <c r="AD31" s="43">
        <f>SUMPRODUCT(K31:V31,K12:V12)/SUM(K12:V12)</f>
        <v>-3.055508567694603E-2</v>
      </c>
      <c r="AE31" s="44">
        <f t="shared" si="5"/>
        <v>98.643404396646076</v>
      </c>
      <c r="AG31" s="30">
        <v>9</v>
      </c>
      <c r="AH31" s="31"/>
      <c r="AI31" s="32"/>
      <c r="AJ31" s="32"/>
      <c r="AK31" s="32"/>
      <c r="AL31" s="32"/>
      <c r="AM31" s="32"/>
      <c r="AN31" s="32"/>
      <c r="AO31" s="32"/>
      <c r="AP31" s="32"/>
      <c r="AQ31" s="32">
        <f t="shared" ref="AQ31:BB31" si="37">(AQ12-AQ11)/AQ11</f>
        <v>-4.1646210364150397E-3</v>
      </c>
      <c r="AR31" s="32">
        <f t="shared" si="37"/>
        <v>-2.0733106199387081E-2</v>
      </c>
      <c r="AS31" s="32">
        <f t="shared" si="37"/>
        <v>-2.9225739678993282E-2</v>
      </c>
      <c r="AT31" s="32">
        <f t="shared" si="37"/>
        <v>-5.8637135235631722E-2</v>
      </c>
      <c r="AU31" s="32">
        <f t="shared" si="37"/>
        <v>-6.0981159399460541E-2</v>
      </c>
      <c r="AV31" s="32">
        <f t="shared" si="37"/>
        <v>-4.5892805756688387E-2</v>
      </c>
      <c r="AW31" s="32">
        <f t="shared" si="37"/>
        <v>-6.1953603634611415E-2</v>
      </c>
      <c r="AX31" s="32">
        <f t="shared" si="37"/>
        <v>-6.9628710508733413E-2</v>
      </c>
      <c r="AY31" s="32">
        <f t="shared" si="37"/>
        <v>-8.7981203686969101E-2</v>
      </c>
      <c r="AZ31" s="32">
        <f t="shared" si="37"/>
        <v>-5.4089900646281469E-2</v>
      </c>
      <c r="BA31" s="32">
        <f t="shared" si="37"/>
        <v>-9.1283086237677558E-2</v>
      </c>
      <c r="BB31" s="32">
        <f t="shared" si="37"/>
        <v>-5.2357517066200981E-2</v>
      </c>
      <c r="BC31" s="32"/>
      <c r="BD31" s="32"/>
      <c r="BE31" s="32"/>
      <c r="BF31" s="32"/>
      <c r="BG31" s="32"/>
      <c r="BH31" s="32"/>
      <c r="BI31" s="32"/>
      <c r="BJ31" s="43">
        <f>SUMPRODUCT(AQ31:BB31,AQ12:BB12)/SUM(AQ12:BB12)</f>
        <v>-5.1524182960433471E-2</v>
      </c>
      <c r="BK31" s="44">
        <f t="shared" si="7"/>
        <v>93.456283037576554</v>
      </c>
      <c r="BM31" s="30">
        <v>9</v>
      </c>
      <c r="BN31" s="31"/>
      <c r="BO31" s="32"/>
      <c r="BP31" s="32"/>
      <c r="BQ31" s="32"/>
      <c r="BR31" s="32"/>
      <c r="BS31" s="32"/>
      <c r="BT31" s="32"/>
      <c r="BU31" s="32"/>
      <c r="BV31" s="32"/>
      <c r="BW31" s="32">
        <f t="shared" ref="BW31:CH31" si="38">(BW12-BW11)/BW11</f>
        <v>-1.8468544442570418E-2</v>
      </c>
      <c r="BX31" s="32">
        <f t="shared" si="38"/>
        <v>-3.8617283950617282E-2</v>
      </c>
      <c r="BY31" s="32">
        <f t="shared" si="38"/>
        <v>-4.3840528758261846E-2</v>
      </c>
      <c r="BZ31" s="32">
        <f t="shared" si="38"/>
        <v>-7.3427260812581913E-2</v>
      </c>
      <c r="CA31" s="32">
        <f t="shared" si="38"/>
        <v>-6.4030966005311885E-2</v>
      </c>
      <c r="CB31" s="32">
        <f t="shared" si="38"/>
        <v>-7.3117806667456139E-3</v>
      </c>
      <c r="CC31" s="32">
        <f t="shared" si="38"/>
        <v>-4.3388979731528311E-2</v>
      </c>
      <c r="CD31" s="32">
        <f t="shared" si="38"/>
        <v>-6.1026352288488211E-2</v>
      </c>
      <c r="CE31" s="32">
        <f t="shared" si="38"/>
        <v>-9.3860495017679207E-2</v>
      </c>
      <c r="CF31" s="32">
        <f t="shared" si="38"/>
        <v>-6.127529714102152E-2</v>
      </c>
      <c r="CG31" s="32">
        <f t="shared" si="38"/>
        <v>-0.11923501287237954</v>
      </c>
      <c r="CH31" s="32">
        <f t="shared" si="38"/>
        <v>-5.6188503366131536E-2</v>
      </c>
      <c r="CI31" s="32"/>
      <c r="CJ31" s="32"/>
      <c r="CK31" s="32"/>
      <c r="CL31" s="32"/>
      <c r="CM31" s="32"/>
      <c r="CN31" s="32"/>
      <c r="CO31" s="32"/>
      <c r="CP31" s="43">
        <f>SUMPRODUCT(BW31:CH31,BW12:CH12)/SUM(BW12:CH12)</f>
        <v>-5.0080840092142843E-2</v>
      </c>
      <c r="CQ31" s="44">
        <f t="shared" si="9"/>
        <v>94.51696891250019</v>
      </c>
      <c r="CS31" s="30">
        <v>9</v>
      </c>
      <c r="CT31" s="31"/>
      <c r="CU31" s="32"/>
      <c r="CV31" s="32"/>
      <c r="CW31" s="32"/>
      <c r="CX31" s="32"/>
      <c r="CY31" s="32"/>
      <c r="CZ31" s="32"/>
      <c r="DA31" s="32"/>
      <c r="DB31" s="32"/>
      <c r="DC31" s="32">
        <f t="shared" ref="DC31:DN31" si="39">(DC12-DC11)/DC11</f>
        <v>-3.6824062811014045E-2</v>
      </c>
      <c r="DD31" s="32">
        <f t="shared" si="39"/>
        <v>-6.8326880820341107E-2</v>
      </c>
      <c r="DE31" s="32">
        <f t="shared" si="39"/>
        <v>-6.4180133261851874E-2</v>
      </c>
      <c r="DF31" s="32">
        <f t="shared" si="39"/>
        <v>-8.5522887979158912E-2</v>
      </c>
      <c r="DG31" s="32">
        <f t="shared" si="39"/>
        <v>-5.2676931124117733E-2</v>
      </c>
      <c r="DH31" s="32">
        <f t="shared" si="39"/>
        <v>-5.8088096470153908E-3</v>
      </c>
      <c r="DI31" s="32">
        <f t="shared" si="39"/>
        <v>2.026547775863816E-3</v>
      </c>
      <c r="DJ31" s="32">
        <f t="shared" si="39"/>
        <v>-2.6836721137239273E-2</v>
      </c>
      <c r="DK31" s="32">
        <f t="shared" si="39"/>
        <v>-5.0023670506548837E-2</v>
      </c>
      <c r="DL31" s="32">
        <f t="shared" si="39"/>
        <v>-5.0159930212271012E-2</v>
      </c>
      <c r="DM31" s="32">
        <f t="shared" si="39"/>
        <v>-0.11053196382032807</v>
      </c>
      <c r="DN31" s="32">
        <f t="shared" si="39"/>
        <v>-6.6154970760233925E-2</v>
      </c>
      <c r="DO31" s="32"/>
      <c r="DP31" s="32"/>
      <c r="DQ31" s="32"/>
      <c r="DR31" s="32"/>
      <c r="DS31" s="32"/>
      <c r="DT31" s="32"/>
      <c r="DU31" s="32"/>
      <c r="DV31" s="43">
        <f>SUMPRODUCT(DC31:DN31,DC12:DN12)/SUM(DC12:DN12)</f>
        <v>-4.9980606205237157E-2</v>
      </c>
      <c r="DW31" s="44">
        <f t="shared" si="11"/>
        <v>97.296978558345245</v>
      </c>
    </row>
    <row r="32" spans="1:127">
      <c r="A32" s="30">
        <v>10</v>
      </c>
      <c r="B32" s="31"/>
      <c r="C32" s="32"/>
      <c r="D32" s="32"/>
      <c r="E32" s="32"/>
      <c r="F32" s="32"/>
      <c r="G32" s="32"/>
      <c r="H32" s="32"/>
      <c r="I32" s="32"/>
      <c r="J32" s="32"/>
      <c r="K32" s="32"/>
      <c r="L32" s="32">
        <f t="shared" ref="L32:W32" si="40">(L13-L12)/L12</f>
        <v>-1.3363917422958014E-2</v>
      </c>
      <c r="M32" s="32">
        <f t="shared" si="40"/>
        <v>-2.3836657169990505E-2</v>
      </c>
      <c r="N32" s="32">
        <f t="shared" si="40"/>
        <v>-4.6747850176025854E-2</v>
      </c>
      <c r="O32" s="32">
        <f t="shared" si="40"/>
        <v>-7.7348622007644335E-2</v>
      </c>
      <c r="P32" s="32">
        <f t="shared" si="40"/>
        <v>-7.606174326192143E-2</v>
      </c>
      <c r="Q32" s="32">
        <f t="shared" si="40"/>
        <v>-4.9678578951307194E-2</v>
      </c>
      <c r="R32" s="32">
        <f t="shared" si="40"/>
        <v>-8.0031581969566459E-2</v>
      </c>
      <c r="S32" s="32">
        <f t="shared" si="40"/>
        <v>-6.2277580071174378E-2</v>
      </c>
      <c r="T32" s="32">
        <f t="shared" si="40"/>
        <v>-9.1338582677165353E-2</v>
      </c>
      <c r="U32" s="32">
        <f t="shared" si="40"/>
        <v>-6.4655172413793108E-2</v>
      </c>
      <c r="V32" s="32">
        <f t="shared" si="40"/>
        <v>-0.12184998517640083</v>
      </c>
      <c r="W32" s="32">
        <f t="shared" si="40"/>
        <v>-6.7864086658642714E-2</v>
      </c>
      <c r="X32" s="32"/>
      <c r="Y32" s="32"/>
      <c r="Z32" s="32"/>
      <c r="AA32" s="32"/>
      <c r="AB32" s="32"/>
      <c r="AC32" s="32"/>
      <c r="AD32" s="43">
        <f>SUMPRODUCT(L32:W32,L13:W13)/SUM(L13:W13)</f>
        <v>-6.3728109058874702E-2</v>
      </c>
      <c r="AE32" s="44">
        <f t="shared" si="5"/>
        <v>92.357046763317939</v>
      </c>
      <c r="AG32" s="30">
        <v>10</v>
      </c>
      <c r="AH32" s="31"/>
      <c r="AI32" s="32"/>
      <c r="AJ32" s="32"/>
      <c r="AK32" s="32"/>
      <c r="AL32" s="32"/>
      <c r="AM32" s="32"/>
      <c r="AN32" s="32"/>
      <c r="AO32" s="32"/>
      <c r="AP32" s="32"/>
      <c r="AQ32" s="32"/>
      <c r="AR32" s="32">
        <f t="shared" ref="AR32:BC32" si="41">(AR13-AR12)/AR12</f>
        <v>-2.5437952375957203E-2</v>
      </c>
      <c r="AS32" s="32">
        <f t="shared" si="41"/>
        <v>-5.2528261016719695E-2</v>
      </c>
      <c r="AT32" s="32">
        <f t="shared" si="41"/>
        <v>-8.3671086075427628E-2</v>
      </c>
      <c r="AU32" s="32">
        <f t="shared" si="41"/>
        <v>-0.1242605531620421</v>
      </c>
      <c r="AV32" s="32">
        <f t="shared" si="41"/>
        <v>-0.13813230874070015</v>
      </c>
      <c r="AW32" s="32">
        <f t="shared" si="41"/>
        <v>-4.29701601635143E-2</v>
      </c>
      <c r="AX32" s="32">
        <f t="shared" si="41"/>
        <v>-8.6945370607848169E-2</v>
      </c>
      <c r="AY32" s="32">
        <f t="shared" si="41"/>
        <v>-8.8224802821925408E-2</v>
      </c>
      <c r="AZ32" s="32">
        <f t="shared" si="41"/>
        <v>-0.13626513702995538</v>
      </c>
      <c r="BA32" s="32">
        <f t="shared" si="41"/>
        <v>-9.0771902850146635E-2</v>
      </c>
      <c r="BB32" s="32">
        <f t="shared" si="41"/>
        <v>-0.14363733833679554</v>
      </c>
      <c r="BC32" s="32">
        <f t="shared" si="41"/>
        <v>-8.9631558297963404E-2</v>
      </c>
      <c r="BD32" s="32"/>
      <c r="BE32" s="32"/>
      <c r="BF32" s="32"/>
      <c r="BG32" s="32"/>
      <c r="BH32" s="32"/>
      <c r="BI32" s="32"/>
      <c r="BJ32" s="43">
        <f>SUMPRODUCT(AR32:BC32,AR13:BC13)/SUM(AR13:BC13)</f>
        <v>-8.9562674932757366E-2</v>
      </c>
      <c r="BK32" s="44">
        <f t="shared" si="7"/>
        <v>85.086088339458314</v>
      </c>
      <c r="BM32" s="30">
        <v>10</v>
      </c>
      <c r="BN32" s="31"/>
      <c r="BO32" s="32"/>
      <c r="BP32" s="32"/>
      <c r="BQ32" s="32"/>
      <c r="BR32" s="32"/>
      <c r="BS32" s="32"/>
      <c r="BT32" s="32"/>
      <c r="BU32" s="32"/>
      <c r="BV32" s="32"/>
      <c r="BW32" s="32"/>
      <c r="BX32" s="32">
        <f t="shared" ref="BX32:CI32" si="42">(BX13-BX12)/BX12</f>
        <v>-5.5133210054105881E-2</v>
      </c>
      <c r="BY32" s="32">
        <f t="shared" si="42"/>
        <v>-9.3907416259146226E-2</v>
      </c>
      <c r="BZ32" s="32">
        <f t="shared" si="42"/>
        <v>-0.10106439407334064</v>
      </c>
      <c r="CA32" s="32">
        <f t="shared" si="42"/>
        <v>-0.12701545562202046</v>
      </c>
      <c r="CB32" s="32">
        <f t="shared" si="42"/>
        <v>-0.15211919549967073</v>
      </c>
      <c r="CC32" s="32">
        <f t="shared" si="42"/>
        <v>-2.0732798109005645E-3</v>
      </c>
      <c r="CD32" s="32">
        <f t="shared" si="42"/>
        <v>-7.9763663220088626E-2</v>
      </c>
      <c r="CE32" s="32">
        <f t="shared" si="42"/>
        <v>-6.8322100035473565E-2</v>
      </c>
      <c r="CF32" s="32">
        <f t="shared" si="42"/>
        <v>-0.14227051073658994</v>
      </c>
      <c r="CG32" s="32">
        <f t="shared" si="42"/>
        <v>-0.11107399365291465</v>
      </c>
      <c r="CH32" s="32">
        <f t="shared" si="42"/>
        <v>-0.18161865569272978</v>
      </c>
      <c r="CI32" s="32">
        <f t="shared" si="42"/>
        <v>-0.10908751284206594</v>
      </c>
      <c r="CJ32" s="32"/>
      <c r="CK32" s="32"/>
      <c r="CL32" s="32"/>
      <c r="CM32" s="32"/>
      <c r="CN32" s="32"/>
      <c r="CO32" s="32"/>
      <c r="CP32" s="43">
        <f>SUMPRODUCT(BX32:CI32,BX13:CI13)/SUM(BX13:CI13)</f>
        <v>-9.4578850325086491E-2</v>
      </c>
      <c r="CQ32" s="44">
        <f t="shared" si="9"/>
        <v>85.577662656543978</v>
      </c>
      <c r="CS32" s="30">
        <v>10</v>
      </c>
      <c r="CT32" s="31"/>
      <c r="CU32" s="32"/>
      <c r="CV32" s="32"/>
      <c r="CW32" s="32"/>
      <c r="CX32" s="32"/>
      <c r="CY32" s="32"/>
      <c r="CZ32" s="32"/>
      <c r="DA32" s="32"/>
      <c r="DB32" s="32"/>
      <c r="DC32" s="32"/>
      <c r="DD32" s="32">
        <f t="shared" ref="DD32:DO32" si="43">(DD13-DD12)/DD12</f>
        <v>-7.8840970350404313E-2</v>
      </c>
      <c r="DE32" s="32">
        <f t="shared" si="43"/>
        <v>-0.1080284802356985</v>
      </c>
      <c r="DF32" s="32">
        <f t="shared" si="43"/>
        <v>-0.11028813283412013</v>
      </c>
      <c r="DG32" s="32">
        <f t="shared" si="43"/>
        <v>-0.13053282111241021</v>
      </c>
      <c r="DH32" s="32">
        <f t="shared" si="43"/>
        <v>-0.147382924104806</v>
      </c>
      <c r="DI32" s="32">
        <f t="shared" si="43"/>
        <v>-1.8901689447857355E-2</v>
      </c>
      <c r="DJ32" s="32">
        <f t="shared" si="43"/>
        <v>-5.2559726962457337E-2</v>
      </c>
      <c r="DK32" s="32">
        <f t="shared" si="43"/>
        <v>-3.6212624584717606E-2</v>
      </c>
      <c r="DL32" s="32">
        <f t="shared" si="43"/>
        <v>-0.10010714832389407</v>
      </c>
      <c r="DM32" s="32">
        <f t="shared" si="43"/>
        <v>-7.9800068941744226E-2</v>
      </c>
      <c r="DN32" s="32">
        <f t="shared" si="43"/>
        <v>-0.15636007827788651</v>
      </c>
      <c r="DO32" s="32">
        <f t="shared" si="43"/>
        <v>-9.3966000373622266E-2</v>
      </c>
      <c r="DP32" s="32"/>
      <c r="DQ32" s="32"/>
      <c r="DR32" s="32"/>
      <c r="DS32" s="32"/>
      <c r="DT32" s="32"/>
      <c r="DU32" s="32"/>
      <c r="DV32" s="43">
        <f>SUMPRODUCT(DD32:DO32,DD13:DO13)/SUM(DD13:DO13)</f>
        <v>-9.3133966726062889E-2</v>
      </c>
      <c r="DW32" s="44">
        <f t="shared" si="11"/>
        <v>88.235324994745866</v>
      </c>
    </row>
    <row r="33" spans="1:127">
      <c r="A33" s="30">
        <v>11</v>
      </c>
      <c r="B33" s="31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>
        <f t="shared" ref="M33:X33" si="44">(M14-M13)/M13</f>
        <v>-1.498200214028602E-2</v>
      </c>
      <c r="N33" s="32">
        <f t="shared" si="44"/>
        <v>-3.5236423079251677E-2</v>
      </c>
      <c r="O33" s="32">
        <f t="shared" si="44"/>
        <v>-5.7778262291507683E-2</v>
      </c>
      <c r="P33" s="32">
        <f t="shared" si="44"/>
        <v>-0.1001208173556758</v>
      </c>
      <c r="Q33" s="32">
        <f t="shared" si="44"/>
        <v>-0.18246165422696561</v>
      </c>
      <c r="R33" s="32">
        <f t="shared" si="44"/>
        <v>-5.7753070943214115E-2</v>
      </c>
      <c r="S33" s="32">
        <f t="shared" si="44"/>
        <v>-0.13440860215053763</v>
      </c>
      <c r="T33" s="32">
        <f t="shared" si="44"/>
        <v>-9.6265952418465417E-2</v>
      </c>
      <c r="U33" s="32">
        <f t="shared" si="44"/>
        <v>-0.15065579581708613</v>
      </c>
      <c r="V33" s="32">
        <f t="shared" si="44"/>
        <v>-0.10533423362592843</v>
      </c>
      <c r="W33" s="32">
        <f t="shared" si="44"/>
        <v>-0.17540723083035359</v>
      </c>
      <c r="X33" s="32">
        <f t="shared" si="44"/>
        <v>-0.20651982378854625</v>
      </c>
      <c r="Y33" s="32"/>
      <c r="Z33" s="32"/>
      <c r="AA33" s="32"/>
      <c r="AB33" s="32"/>
      <c r="AC33" s="32"/>
      <c r="AD33" s="43">
        <f>SUMPRODUCT(M33:X33,M14:X14)/SUM(M14:X14)</f>
        <v>-9.6225776076983044E-2</v>
      </c>
      <c r="AE33" s="44">
        <f t="shared" si="5"/>
        <v>83.469918262339462</v>
      </c>
      <c r="AG33" s="30">
        <v>11</v>
      </c>
      <c r="AH33" s="31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>
        <f t="shared" ref="AS33:BD33" si="45">(AS14-AS13)/AS13</f>
        <v>-3.5614774594555976E-2</v>
      </c>
      <c r="AT33" s="32">
        <f t="shared" si="45"/>
        <v>-7.6861084039283309E-2</v>
      </c>
      <c r="AU33" s="32">
        <f t="shared" si="45"/>
        <v>-9.6289876499152452E-2</v>
      </c>
      <c r="AV33" s="32">
        <f t="shared" si="45"/>
        <v>-0.13554354639245117</v>
      </c>
      <c r="AW33" s="32">
        <f t="shared" si="45"/>
        <v>-0.20436351180590334</v>
      </c>
      <c r="AX33" s="32">
        <f t="shared" si="45"/>
        <v>-5.3195979330447521E-2</v>
      </c>
      <c r="AY33" s="32">
        <f t="shared" si="45"/>
        <v>-0.17757009345794392</v>
      </c>
      <c r="AZ33" s="32">
        <f t="shared" si="45"/>
        <v>-0.12618063754427392</v>
      </c>
      <c r="BA33" s="32">
        <f t="shared" si="45"/>
        <v>-0.19356151943130931</v>
      </c>
      <c r="BB33" s="32">
        <f t="shared" si="45"/>
        <v>-0.13959857584412536</v>
      </c>
      <c r="BC33" s="32">
        <f t="shared" si="45"/>
        <v>-0.22990126939351199</v>
      </c>
      <c r="BD33" s="32">
        <f t="shared" si="45"/>
        <v>-0.23482635507951963</v>
      </c>
      <c r="BE33" s="32"/>
      <c r="BF33" s="32"/>
      <c r="BG33" s="32"/>
      <c r="BH33" s="32"/>
      <c r="BI33" s="32"/>
      <c r="BJ33" s="43">
        <f>SUMPRODUCT(AS33:BD33,AS14:BD14)/SUM(AS14:BD14)</f>
        <v>-0.12332821366523256</v>
      </c>
      <c r="BK33" s="44">
        <f t="shared" si="7"/>
        <v>74.592573056790755</v>
      </c>
      <c r="BM33" s="30">
        <v>11</v>
      </c>
      <c r="BN33" s="31"/>
      <c r="BO33" s="32"/>
      <c r="BP33" s="32"/>
      <c r="BQ33" s="32"/>
      <c r="BR33" s="32"/>
      <c r="BS33" s="32"/>
      <c r="BT33" s="32"/>
      <c r="BU33" s="32"/>
      <c r="BV33" s="32"/>
      <c r="BW33" s="32"/>
      <c r="BX33" s="32"/>
      <c r="BY33" s="32">
        <f t="shared" ref="BY33:CJ33" si="46">(BY14-BY13)/BY13</f>
        <v>-7.4585074869131199E-2</v>
      </c>
      <c r="BZ33" s="32">
        <f t="shared" si="46"/>
        <v>-0.1165571771370127</v>
      </c>
      <c r="CA33" s="32">
        <f t="shared" si="46"/>
        <v>-0.11203478260869565</v>
      </c>
      <c r="CB33" s="32">
        <f t="shared" si="46"/>
        <v>-0.1462844017184908</v>
      </c>
      <c r="CC33" s="32">
        <f t="shared" si="46"/>
        <v>-0.25537301883841318</v>
      </c>
      <c r="CD33" s="32">
        <f t="shared" si="46"/>
        <v>3.2069718724254032E-4</v>
      </c>
      <c r="CE33" s="32">
        <f t="shared" si="46"/>
        <v>-0.16090466037161133</v>
      </c>
      <c r="CF33" s="32">
        <f t="shared" si="46"/>
        <v>-0.1241771394374626</v>
      </c>
      <c r="CG33" s="32">
        <f t="shared" si="46"/>
        <v>-0.19532130777903045</v>
      </c>
      <c r="CH33" s="32">
        <f t="shared" si="46"/>
        <v>-0.14984914515588335</v>
      </c>
      <c r="CI33" s="32">
        <f t="shared" si="46"/>
        <v>-0.22276968235664116</v>
      </c>
      <c r="CJ33" s="32">
        <f t="shared" si="46"/>
        <v>-0.23930333232658815</v>
      </c>
      <c r="CK33" s="32"/>
      <c r="CL33" s="32"/>
      <c r="CM33" s="32"/>
      <c r="CN33" s="32"/>
      <c r="CO33" s="32"/>
      <c r="CP33" s="43">
        <f>SUMPRODUCT(BY33:CJ33,BY14:CJ14)/SUM(BY14:CJ14)</f>
        <v>-0.13545280658326894</v>
      </c>
      <c r="CQ33" s="44">
        <f t="shared" si="9"/>
        <v>73.985928068878891</v>
      </c>
      <c r="CS33" s="30">
        <v>11</v>
      </c>
      <c r="CT33" s="31"/>
      <c r="CU33" s="32"/>
      <c r="CV33" s="32"/>
      <c r="CW33" s="32"/>
      <c r="CX33" s="32"/>
      <c r="CY33" s="32"/>
      <c r="CZ33" s="32"/>
      <c r="DA33" s="32"/>
      <c r="DB33" s="32"/>
      <c r="DC33" s="32"/>
      <c r="DD33" s="32"/>
      <c r="DE33" s="32">
        <f t="shared" ref="DE33:DP33" si="47">(DE14-DE13)/DE13</f>
        <v>-0.11716671254243509</v>
      </c>
      <c r="DF33" s="32">
        <f t="shared" si="47"/>
        <v>-0.14399414509194036</v>
      </c>
      <c r="DG33" s="32">
        <f t="shared" si="47"/>
        <v>-0.12419556238593794</v>
      </c>
      <c r="DH33" s="32">
        <f t="shared" si="47"/>
        <v>-0.1678951678951679</v>
      </c>
      <c r="DI33" s="32">
        <f t="shared" si="47"/>
        <v>-0.21985810576169182</v>
      </c>
      <c r="DJ33" s="32">
        <f t="shared" si="47"/>
        <v>7.1903917743150955E-3</v>
      </c>
      <c r="DK33" s="32">
        <f t="shared" si="47"/>
        <v>-9.358841778697001E-2</v>
      </c>
      <c r="DL33" s="32">
        <f t="shared" si="47"/>
        <v>-9.1001871066507908E-2</v>
      </c>
      <c r="DM33" s="32">
        <f t="shared" si="47"/>
        <v>-0.15096460011238061</v>
      </c>
      <c r="DN33" s="32">
        <f t="shared" si="47"/>
        <v>-0.11064718162839249</v>
      </c>
      <c r="DO33" s="32">
        <f t="shared" si="47"/>
        <v>-0.20721649484536084</v>
      </c>
      <c r="DP33" s="32">
        <f t="shared" si="47"/>
        <v>-0.19896030245746693</v>
      </c>
      <c r="DQ33" s="32"/>
      <c r="DR33" s="32"/>
      <c r="DS33" s="32"/>
      <c r="DT33" s="32"/>
      <c r="DU33" s="32"/>
      <c r="DV33" s="43">
        <f>SUMPRODUCT(DE33:DP33,DE14:DP14)/SUM(DE14:DP14)</f>
        <v>-0.13127476717148312</v>
      </c>
      <c r="DW33" s="44">
        <f t="shared" si="11"/>
        <v>76.652253249760463</v>
      </c>
    </row>
    <row r="34" spans="1:127">
      <c r="A34" s="30">
        <v>12</v>
      </c>
      <c r="B34" s="31"/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>
        <f t="shared" ref="N34:Y34" si="48">(N15-N14)/N14</f>
        <v>-3.6209601506118606E-2</v>
      </c>
      <c r="O34" s="32">
        <f t="shared" si="48"/>
        <v>-7.4241197115199192E-2</v>
      </c>
      <c r="P34" s="32">
        <f t="shared" si="48"/>
        <v>-0.12521160469324616</v>
      </c>
      <c r="Q34" s="32">
        <f t="shared" si="48"/>
        <v>-0.18843582258216404</v>
      </c>
      <c r="R34" s="32">
        <f t="shared" si="48"/>
        <v>-0.22413086423439491</v>
      </c>
      <c r="S34" s="32">
        <f t="shared" si="48"/>
        <v>-5.1494713057740837E-2</v>
      </c>
      <c r="T34" s="32">
        <f t="shared" si="48"/>
        <v>-0.18654114365411437</v>
      </c>
      <c r="U34" s="32">
        <f t="shared" si="48"/>
        <v>-0.13522537562604339</v>
      </c>
      <c r="V34" s="32">
        <f t="shared" si="48"/>
        <v>-0.19132075471698112</v>
      </c>
      <c r="W34" s="32">
        <f t="shared" si="48"/>
        <v>-0.14008672609009878</v>
      </c>
      <c r="X34" s="32">
        <f t="shared" si="48"/>
        <v>-0.17288474350433045</v>
      </c>
      <c r="Y34" s="32">
        <f t="shared" si="48"/>
        <v>-0.27205943734869353</v>
      </c>
      <c r="Z34" s="32"/>
      <c r="AA34" s="32"/>
      <c r="AB34" s="32"/>
      <c r="AC34" s="32"/>
      <c r="AD34" s="43">
        <f>SUMPRODUCT(N34:Y34,N15:Y15)/SUM(N15:Y15)</f>
        <v>-0.13087599834695604</v>
      </c>
      <c r="AE34" s="44">
        <f t="shared" si="5"/>
        <v>72.545709377816962</v>
      </c>
      <c r="AG34" s="30">
        <v>12</v>
      </c>
      <c r="AH34" s="31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>
        <f t="shared" ref="AT34:BE34" si="49">(AT15-AT14)/AT14</f>
        <v>-7.9606131357222623E-2</v>
      </c>
      <c r="AU34" s="32">
        <f t="shared" si="49"/>
        <v>-0.14347163850731956</v>
      </c>
      <c r="AV34" s="32">
        <f t="shared" si="49"/>
        <v>-0.17139609626087637</v>
      </c>
      <c r="AW34" s="32">
        <f t="shared" si="49"/>
        <v>-0.21792555113841705</v>
      </c>
      <c r="AX34" s="32">
        <f t="shared" si="49"/>
        <v>-0.28001426020945841</v>
      </c>
      <c r="AY34" s="32">
        <f t="shared" si="49"/>
        <v>-4.005630165086569E-2</v>
      </c>
      <c r="AZ34" s="32">
        <f t="shared" si="49"/>
        <v>-0.240601249788887</v>
      </c>
      <c r="BA34" s="32">
        <f t="shared" si="49"/>
        <v>-0.17338459148803975</v>
      </c>
      <c r="BB34" s="32">
        <f t="shared" si="49"/>
        <v>-0.24437269792187713</v>
      </c>
      <c r="BC34" s="32">
        <f t="shared" si="49"/>
        <v>-0.17322954822954822</v>
      </c>
      <c r="BD34" s="32">
        <f t="shared" si="49"/>
        <v>-0.19803817603393425</v>
      </c>
      <c r="BE34" s="32">
        <f t="shared" si="49"/>
        <v>-0.317384967728503</v>
      </c>
      <c r="BF34" s="32"/>
      <c r="BG34" s="32"/>
      <c r="BH34" s="32"/>
      <c r="BI34" s="32"/>
      <c r="BJ34" s="43">
        <f>SUMPRODUCT(AT34:BE34,AT15:BE15)/SUM(AT15:BE15)</f>
        <v>-0.17270413269385917</v>
      </c>
      <c r="BK34" s="44">
        <f t="shared" si="7"/>
        <v>61.710127421614381</v>
      </c>
      <c r="BM34" s="30">
        <v>12</v>
      </c>
      <c r="BN34" s="31"/>
      <c r="BO34" s="32"/>
      <c r="BP34" s="32"/>
      <c r="BQ34" s="32"/>
      <c r="BR34" s="32"/>
      <c r="BS34" s="32"/>
      <c r="BT34" s="32"/>
      <c r="BU34" s="32"/>
      <c r="BV34" s="32"/>
      <c r="BW34" s="32"/>
      <c r="BX34" s="32"/>
      <c r="BY34" s="32"/>
      <c r="BZ34" s="32">
        <f t="shared" ref="BZ34:CK34" si="50">(BZ15-BZ14)/BZ14</f>
        <v>-0.13536379018612521</v>
      </c>
      <c r="CA34" s="32">
        <f t="shared" si="50"/>
        <v>-0.18324258686200007</v>
      </c>
      <c r="CB34" s="32">
        <f t="shared" si="50"/>
        <v>-0.19157947184853014</v>
      </c>
      <c r="CC34" s="32">
        <f t="shared" si="50"/>
        <v>-0.24538597335901138</v>
      </c>
      <c r="CD34" s="32">
        <f t="shared" si="50"/>
        <v>-0.34180789386402893</v>
      </c>
      <c r="CE34" s="32">
        <f t="shared" si="50"/>
        <v>1.3315084779357526E-2</v>
      </c>
      <c r="CF34" s="32">
        <f t="shared" si="50"/>
        <v>-0.21557909121967886</v>
      </c>
      <c r="CG34" s="32">
        <f t="shared" si="50"/>
        <v>-0.16999416228838296</v>
      </c>
      <c r="CH34" s="32">
        <f t="shared" si="50"/>
        <v>-0.24303364879074657</v>
      </c>
      <c r="CI34" s="32">
        <f t="shared" si="50"/>
        <v>-0.16752090639330997</v>
      </c>
      <c r="CJ34" s="32">
        <f t="shared" si="50"/>
        <v>-0.19031233456855479</v>
      </c>
      <c r="CK34" s="32">
        <f t="shared" si="50"/>
        <v>-0.29555314533622562</v>
      </c>
      <c r="CL34" s="32"/>
      <c r="CM34" s="32"/>
      <c r="CN34" s="32"/>
      <c r="CO34" s="32"/>
      <c r="CP34" s="43">
        <f>SUMPRODUCT(BZ34:CK34,BZ15:CK15)/SUM(BZ15:CK15)</f>
        <v>-0.18927170767777202</v>
      </c>
      <c r="CQ34" s="44">
        <f t="shared" si="9"/>
        <v>59.982485119157381</v>
      </c>
      <c r="CS34" s="30">
        <v>12</v>
      </c>
      <c r="CT34" s="31"/>
      <c r="CU34" s="32"/>
      <c r="CV34" s="32"/>
      <c r="CW34" s="32"/>
      <c r="CX34" s="32"/>
      <c r="CY34" s="32"/>
      <c r="CZ34" s="32"/>
      <c r="DA34" s="32"/>
      <c r="DB34" s="32"/>
      <c r="DC34" s="32"/>
      <c r="DD34" s="32"/>
      <c r="DE34" s="32"/>
      <c r="DF34" s="32">
        <f t="shared" ref="DF34:DQ34" si="51">(DF15-DF14)/DF14</f>
        <v>-0.1620177407288661</v>
      </c>
      <c r="DG34" s="32">
        <f t="shared" si="51"/>
        <v>-0.21419170870805002</v>
      </c>
      <c r="DH34" s="32">
        <f t="shared" si="51"/>
        <v>-0.20402137232845893</v>
      </c>
      <c r="DI34" s="32">
        <f t="shared" si="51"/>
        <v>-0.23226317875544986</v>
      </c>
      <c r="DJ34" s="32">
        <f t="shared" si="51"/>
        <v>-0.29541208447770179</v>
      </c>
      <c r="DK34" s="32">
        <f t="shared" si="51"/>
        <v>4.1104085736717352E-2</v>
      </c>
      <c r="DL34" s="32">
        <f t="shared" si="51"/>
        <v>-0.11414670658682635</v>
      </c>
      <c r="DM34" s="32">
        <f t="shared" si="51"/>
        <v>-0.10655195234943746</v>
      </c>
      <c r="DN34" s="32">
        <f t="shared" si="51"/>
        <v>-0.17423056859676578</v>
      </c>
      <c r="DO34" s="32">
        <f t="shared" si="51"/>
        <v>-0.15266579973992198</v>
      </c>
      <c r="DP34" s="32">
        <f t="shared" si="51"/>
        <v>-0.20589970501474927</v>
      </c>
      <c r="DQ34" s="32">
        <f t="shared" si="51"/>
        <v>-0.24104549854791868</v>
      </c>
      <c r="DR34" s="32"/>
      <c r="DS34" s="32"/>
      <c r="DT34" s="32"/>
      <c r="DU34" s="32"/>
      <c r="DV34" s="43">
        <f>SUMPRODUCT(DF34:DQ34,DF15:DQ15)/SUM(DF15:DQ15)</f>
        <v>-0.17043618518212</v>
      </c>
      <c r="DW34" s="44">
        <f t="shared" si="11"/>
        <v>63.587935620257532</v>
      </c>
    </row>
    <row r="35" spans="1:127">
      <c r="A35" s="30">
        <v>13</v>
      </c>
      <c r="B35" s="31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>
        <f t="shared" ref="O35:Z35" si="52">(O16-O15)/O15</f>
        <v>-5.2657890351608068E-2</v>
      </c>
      <c r="P35" s="32">
        <f t="shared" si="52"/>
        <v>-9.0217536367276127E-2</v>
      </c>
      <c r="Q35" s="32">
        <f t="shared" si="52"/>
        <v>-0.12462288233928986</v>
      </c>
      <c r="R35" s="32">
        <f t="shared" si="52"/>
        <v>-0.23212379935965849</v>
      </c>
      <c r="S35" s="32">
        <f t="shared" si="52"/>
        <v>-0.31254771673444631</v>
      </c>
      <c r="T35" s="32">
        <f t="shared" si="52"/>
        <v>-4.8483461415876727E-2</v>
      </c>
      <c r="U35" s="32">
        <f t="shared" si="52"/>
        <v>-0.26472007722007723</v>
      </c>
      <c r="V35" s="32">
        <f t="shared" si="52"/>
        <v>-0.17592160522631825</v>
      </c>
      <c r="W35" s="32">
        <f t="shared" si="52"/>
        <v>-0.25227622916374842</v>
      </c>
      <c r="X35" s="32">
        <f t="shared" si="52"/>
        <v>-0.2946704255604779</v>
      </c>
      <c r="Y35" s="32">
        <f t="shared" si="52"/>
        <v>-0.21055045871559633</v>
      </c>
      <c r="Z35" s="32">
        <f t="shared" si="52"/>
        <v>-0.36681853539282144</v>
      </c>
      <c r="AA35" s="32"/>
      <c r="AB35" s="32"/>
      <c r="AC35" s="32"/>
      <c r="AD35" s="43">
        <f>SUMPRODUCT(O35:Z35,O16:Z16)/SUM(O16:Z16)</f>
        <v>-0.16312367380196163</v>
      </c>
      <c r="AE35" s="44">
        <f t="shared" si="5"/>
        <v>60.711786745538035</v>
      </c>
      <c r="AG35" s="30">
        <v>13</v>
      </c>
      <c r="AH35" s="31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>
        <f t="shared" ref="AU35:BF35" si="53">(AU16-AU15)/AU15</f>
        <v>-0.1100554887787529</v>
      </c>
      <c r="AV35" s="32">
        <f t="shared" si="53"/>
        <v>-0.14431673052362706</v>
      </c>
      <c r="AW35" s="32">
        <f t="shared" si="53"/>
        <v>-0.1448860135551448</v>
      </c>
      <c r="AX35" s="32">
        <f t="shared" si="53"/>
        <v>-0.26767760013186087</v>
      </c>
      <c r="AY35" s="32">
        <f t="shared" si="53"/>
        <v>-0.3931054835839895</v>
      </c>
      <c r="AZ35" s="32">
        <f t="shared" si="53"/>
        <v>-4.2514789354994427E-2</v>
      </c>
      <c r="BA35" s="32">
        <f t="shared" si="53"/>
        <v>-0.29271386292103163</v>
      </c>
      <c r="BB35" s="32">
        <f t="shared" si="53"/>
        <v>-0.1982307275681531</v>
      </c>
      <c r="BC35" s="32">
        <f t="shared" si="53"/>
        <v>-0.32748753922835516</v>
      </c>
      <c r="BD35" s="32">
        <f t="shared" si="53"/>
        <v>-0.33057851239669422</v>
      </c>
      <c r="BE35" s="32">
        <f t="shared" si="53"/>
        <v>-0.23839443664978954</v>
      </c>
      <c r="BF35" s="32">
        <f t="shared" si="53"/>
        <v>-0.40334728033472805</v>
      </c>
      <c r="BG35" s="32"/>
      <c r="BH35" s="32"/>
      <c r="BI35" s="32"/>
      <c r="BJ35" s="43">
        <f>SUMPRODUCT(AU35:BF35,AU16:BF16)/SUM(AU16:BF16)</f>
        <v>-0.2027648229443014</v>
      </c>
      <c r="BK35" s="44">
        <f t="shared" si="7"/>
        <v>49.197484361100457</v>
      </c>
      <c r="BM35" s="30">
        <v>13</v>
      </c>
      <c r="BN35" s="31"/>
      <c r="BO35" s="32"/>
      <c r="BP35" s="32"/>
      <c r="BQ35" s="32"/>
      <c r="BR35" s="32"/>
      <c r="BS35" s="32"/>
      <c r="BT35" s="32"/>
      <c r="BU35" s="32"/>
      <c r="BV35" s="32"/>
      <c r="BW35" s="32"/>
      <c r="BX35" s="32"/>
      <c r="BY35" s="32"/>
      <c r="BZ35" s="32"/>
      <c r="CA35" s="32">
        <f t="shared" ref="CA35:CL35" si="54">(CA16-CA15)/CA15</f>
        <v>-0.13519735264495708</v>
      </c>
      <c r="CB35" s="32">
        <f t="shared" si="54"/>
        <v>-0.18255778120184901</v>
      </c>
      <c r="CC35" s="32">
        <f t="shared" si="54"/>
        <v>-0.19892244434992201</v>
      </c>
      <c r="CD35" s="32">
        <f t="shared" si="54"/>
        <v>-0.31079006772009027</v>
      </c>
      <c r="CE35" s="32">
        <f t="shared" si="54"/>
        <v>-0.42484670745504721</v>
      </c>
      <c r="CF35" s="32">
        <f t="shared" si="54"/>
        <v>2.5702029744611173E-2</v>
      </c>
      <c r="CG35" s="32">
        <f t="shared" si="54"/>
        <v>-0.25390350260233507</v>
      </c>
      <c r="CH35" s="32">
        <f t="shared" si="54"/>
        <v>-0.16877930196214622</v>
      </c>
      <c r="CI35" s="32">
        <f t="shared" si="54"/>
        <v>-0.27511341542449774</v>
      </c>
      <c r="CJ35" s="32">
        <f t="shared" si="54"/>
        <v>-0.29388689114089572</v>
      </c>
      <c r="CK35" s="32">
        <f t="shared" si="54"/>
        <v>-0.23063895304080062</v>
      </c>
      <c r="CL35" s="32">
        <f t="shared" si="54"/>
        <v>-0.35919986204518023</v>
      </c>
      <c r="CM35" s="32"/>
      <c r="CN35" s="32"/>
      <c r="CO35" s="32"/>
      <c r="CP35" s="43">
        <f>SUMPRODUCT(CA35:CL35,CA16:CL16)/SUM(CA16:CL16)</f>
        <v>-0.20991959608028884</v>
      </c>
      <c r="CQ35" s="44">
        <f t="shared" si="9"/>
        <v>47.390986071051927</v>
      </c>
      <c r="CS35" s="30">
        <v>13</v>
      </c>
      <c r="CT35" s="31"/>
      <c r="CU35" s="32"/>
      <c r="CV35" s="32"/>
      <c r="CW35" s="32"/>
      <c r="CX35" s="32"/>
      <c r="CY35" s="32"/>
      <c r="CZ35" s="32"/>
      <c r="DA35" s="32"/>
      <c r="DB35" s="32"/>
      <c r="DC35" s="32"/>
      <c r="DD35" s="32"/>
      <c r="DE35" s="32"/>
      <c r="DF35" s="32"/>
      <c r="DG35" s="32">
        <f t="shared" ref="DG35:DR35" si="55">(DG16-DG15)/DG15</f>
        <v>-0.18967201674808096</v>
      </c>
      <c r="DH35" s="32">
        <f t="shared" si="55"/>
        <v>-0.20968026850379792</v>
      </c>
      <c r="DI35" s="32">
        <f t="shared" si="55"/>
        <v>-0.19394252280158319</v>
      </c>
      <c r="DJ35" s="32">
        <f t="shared" si="55"/>
        <v>-0.28203045685279188</v>
      </c>
      <c r="DK35" s="32">
        <f t="shared" si="55"/>
        <v>-0.38193659135123559</v>
      </c>
      <c r="DL35" s="32">
        <f t="shared" si="55"/>
        <v>3.94727794272757E-2</v>
      </c>
      <c r="DM35" s="32">
        <f t="shared" si="55"/>
        <v>-0.1725925925925926</v>
      </c>
      <c r="DN35" s="32">
        <f t="shared" si="55"/>
        <v>-0.16424510423246999</v>
      </c>
      <c r="DO35" s="32">
        <f t="shared" si="55"/>
        <v>-0.1958256599140577</v>
      </c>
      <c r="DP35" s="32">
        <f t="shared" si="55"/>
        <v>-0.24145616641901932</v>
      </c>
      <c r="DQ35" s="32">
        <f t="shared" si="55"/>
        <v>-0.19579081632653061</v>
      </c>
      <c r="DR35" s="32">
        <f t="shared" si="55"/>
        <v>-0.27318889641164523</v>
      </c>
      <c r="DS35" s="32"/>
      <c r="DT35" s="32"/>
      <c r="DU35" s="32"/>
      <c r="DV35" s="43">
        <f>SUMPRODUCT(DG35:DR35,DG16:DR16)/SUM(DG16:DR16)</f>
        <v>-0.1932613216207254</v>
      </c>
      <c r="DW35" s="44">
        <f t="shared" si="11"/>
        <v>51.298847143152962</v>
      </c>
    </row>
    <row r="36" spans="1:127">
      <c r="A36" s="30">
        <v>14</v>
      </c>
      <c r="B36" s="31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>
        <f t="shared" ref="P36:AA36" si="56">(P17-P16)/P16</f>
        <v>-9.6156667155640307E-2</v>
      </c>
      <c r="Q36" s="32">
        <f t="shared" si="56"/>
        <v>-0.20665429480381761</v>
      </c>
      <c r="R36" s="32">
        <f t="shared" si="56"/>
        <v>-0.14579569145239749</v>
      </c>
      <c r="S36" s="32">
        <f t="shared" si="56"/>
        <v>-0.19910347403810236</v>
      </c>
      <c r="T36" s="32">
        <f t="shared" si="56"/>
        <v>-0.42046627982146489</v>
      </c>
      <c r="U36" s="32">
        <f t="shared" si="56"/>
        <v>-5.4497636861030575E-2</v>
      </c>
      <c r="V36" s="32">
        <f t="shared" si="56"/>
        <v>-0.30351075877689693</v>
      </c>
      <c r="W36" s="32">
        <f t="shared" si="56"/>
        <v>-0.21543649306856499</v>
      </c>
      <c r="X36" s="32">
        <f t="shared" si="56"/>
        <v>-0.20137038446897601</v>
      </c>
      <c r="Y36" s="32">
        <f t="shared" si="56"/>
        <v>-0.3335270191748983</v>
      </c>
      <c r="Z36" s="32">
        <f t="shared" si="56"/>
        <v>-0.25938925938925939</v>
      </c>
      <c r="AA36" s="32">
        <f t="shared" si="56"/>
        <v>-0.41422912858013405</v>
      </c>
      <c r="AB36" s="32"/>
      <c r="AC36" s="32"/>
      <c r="AD36" s="43">
        <f>SUMPRODUCT(P36:AA36,P17:AA17)/SUM(P17:AA17)</f>
        <v>-0.21010948867815704</v>
      </c>
      <c r="AE36" s="44">
        <f t="shared" si="5"/>
        <v>47.955664275695725</v>
      </c>
      <c r="AG36" s="30">
        <v>14</v>
      </c>
      <c r="AH36" s="31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>
        <f t="shared" ref="AV36:BG36" si="57">(AV17-AV16)/AV16</f>
        <v>-0.16144278606965173</v>
      </c>
      <c r="AW36" s="32">
        <f t="shared" si="57"/>
        <v>-0.21940411427747955</v>
      </c>
      <c r="AX36" s="32">
        <f t="shared" si="57"/>
        <v>-0.179045689849201</v>
      </c>
      <c r="AY36" s="32">
        <f t="shared" si="57"/>
        <v>-0.22036743025629393</v>
      </c>
      <c r="AZ36" s="32">
        <f t="shared" si="57"/>
        <v>-0.45791595900022081</v>
      </c>
      <c r="BA36" s="32">
        <f t="shared" si="57"/>
        <v>-4.1163317643086644E-2</v>
      </c>
      <c r="BB36" s="32">
        <f t="shared" si="57"/>
        <v>-0.32680327253621555</v>
      </c>
      <c r="BC36" s="32">
        <f t="shared" si="57"/>
        <v>-0.25317961387135146</v>
      </c>
      <c r="BD36" s="32">
        <f t="shared" si="57"/>
        <v>-0.23822222222222222</v>
      </c>
      <c r="BE36" s="32">
        <f t="shared" si="57"/>
        <v>-0.38870644773728474</v>
      </c>
      <c r="BF36" s="32">
        <f t="shared" si="57"/>
        <v>-0.28266263890387311</v>
      </c>
      <c r="BG36" s="32">
        <f t="shared" si="57"/>
        <v>-0.44186934929326371</v>
      </c>
      <c r="BH36" s="32"/>
      <c r="BI36" s="32"/>
      <c r="BJ36" s="43">
        <f>SUMPRODUCT(AV36:BG36,AV17:BG17)/SUM(AV17:BG17)</f>
        <v>-0.22971431976226689</v>
      </c>
      <c r="BK36" s="44">
        <f t="shared" si="7"/>
        <v>37.896117707075504</v>
      </c>
      <c r="BM36" s="30">
        <v>14</v>
      </c>
      <c r="BN36" s="31"/>
      <c r="BO36" s="32"/>
      <c r="BP36" s="32"/>
      <c r="BQ36" s="32"/>
      <c r="BR36" s="32"/>
      <c r="BS36" s="32"/>
      <c r="BT36" s="32"/>
      <c r="BU36" s="32"/>
      <c r="BV36" s="32"/>
      <c r="BW36" s="32"/>
      <c r="BX36" s="32"/>
      <c r="BY36" s="32"/>
      <c r="BZ36" s="32"/>
      <c r="CA36" s="32"/>
      <c r="CB36" s="32">
        <f t="shared" ref="CB36:CM36" si="58">(CB17-CB16)/CB16</f>
        <v>-0.19904998869034154</v>
      </c>
      <c r="CC36" s="32">
        <f t="shared" si="58"/>
        <v>-0.29920353982300885</v>
      </c>
      <c r="CD36" s="32">
        <f t="shared" si="58"/>
        <v>-0.23555613782261234</v>
      </c>
      <c r="CE36" s="32">
        <f t="shared" si="58"/>
        <v>-0.25225786359389596</v>
      </c>
      <c r="CF36" s="32">
        <f t="shared" si="58"/>
        <v>-0.48138973143810188</v>
      </c>
      <c r="CG36" s="32">
        <f t="shared" si="58"/>
        <v>2.0935232589098917E-2</v>
      </c>
      <c r="CH36" s="32">
        <f t="shared" si="58"/>
        <v>-0.28264048464591601</v>
      </c>
      <c r="CI36" s="32">
        <f t="shared" si="58"/>
        <v>-0.19736253911488602</v>
      </c>
      <c r="CJ36" s="32">
        <f t="shared" si="58"/>
        <v>-0.20972222222222223</v>
      </c>
      <c r="CK36" s="32">
        <f t="shared" si="58"/>
        <v>-0.33059835901540924</v>
      </c>
      <c r="CL36" s="32">
        <f t="shared" si="58"/>
        <v>-0.24677072120559743</v>
      </c>
      <c r="CM36" s="32">
        <f t="shared" si="58"/>
        <v>-0.40690281562216168</v>
      </c>
      <c r="CN36" s="32"/>
      <c r="CO36" s="32"/>
      <c r="CP36" s="43">
        <f>SUMPRODUCT(CB36:CM36,CB17:CM17)/SUM(CB17:CM17)</f>
        <v>-0.24135816208984792</v>
      </c>
      <c r="CQ36" s="44">
        <f t="shared" si="9"/>
        <v>35.952784773317248</v>
      </c>
      <c r="CS36" s="30">
        <v>14</v>
      </c>
      <c r="CT36" s="31"/>
      <c r="CU36" s="32"/>
      <c r="CV36" s="32"/>
      <c r="CW36" s="32"/>
      <c r="CX36" s="32"/>
      <c r="CY36" s="32"/>
      <c r="CZ36" s="32"/>
      <c r="DA36" s="32"/>
      <c r="DB36" s="32"/>
      <c r="DC36" s="32"/>
      <c r="DD36" s="32"/>
      <c r="DE36" s="32"/>
      <c r="DF36" s="32"/>
      <c r="DG36" s="32"/>
      <c r="DH36" s="32">
        <f t="shared" ref="DH36:DS36" si="59">(DH17-DH16)/DH16</f>
        <v>-0.23826553419758606</v>
      </c>
      <c r="DI36" s="32">
        <f t="shared" si="59"/>
        <v>-0.28757472245943638</v>
      </c>
      <c r="DJ36" s="32">
        <f t="shared" si="59"/>
        <v>-0.2245475113122172</v>
      </c>
      <c r="DK36" s="32">
        <f t="shared" si="59"/>
        <v>-0.25591016548463358</v>
      </c>
      <c r="DL36" s="32">
        <f t="shared" si="59"/>
        <v>-0.42875886810162017</v>
      </c>
      <c r="DM36" s="32">
        <f t="shared" si="59"/>
        <v>6.6946303310140162E-2</v>
      </c>
      <c r="DN36" s="32">
        <f t="shared" si="59"/>
        <v>-0.190854119425548</v>
      </c>
      <c r="DO36" s="32">
        <f t="shared" si="59"/>
        <v>-0.14656488549618321</v>
      </c>
      <c r="DP36" s="32">
        <f t="shared" si="59"/>
        <v>-0.15181194906953965</v>
      </c>
      <c r="DQ36" s="32">
        <f t="shared" si="59"/>
        <v>-0.24187153053132435</v>
      </c>
      <c r="DR36" s="32">
        <f t="shared" si="59"/>
        <v>-0.26362366092221706</v>
      </c>
      <c r="DS36" s="32">
        <f t="shared" si="59"/>
        <v>-0.31575643440050222</v>
      </c>
      <c r="DT36" s="32"/>
      <c r="DU36" s="32"/>
      <c r="DV36" s="43">
        <f>SUMPRODUCT(DH36:DS36,DH17:DS17)/SUM(DH17:DS17)</f>
        <v>-0.21387918328676442</v>
      </c>
      <c r="DW36" s="44">
        <f t="shared" si="11"/>
        <v>40.327091612622844</v>
      </c>
    </row>
    <row r="37" spans="1:127" ht="15.75" thickBot="1">
      <c r="A37" s="34">
        <v>15</v>
      </c>
      <c r="B37" s="35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>
        <f t="shared" ref="Q37:AB37" si="60">(Q18-Q17)/Q17</f>
        <v>-0.14519632414369257</v>
      </c>
      <c r="R37" s="36">
        <f t="shared" si="60"/>
        <v>-0.24650178978197201</v>
      </c>
      <c r="S37" s="36">
        <f t="shared" si="60"/>
        <v>-0.27262126865671643</v>
      </c>
      <c r="T37" s="36">
        <f t="shared" si="60"/>
        <v>-0.25223474543334629</v>
      </c>
      <c r="U37" s="36">
        <f t="shared" si="60"/>
        <v>-0.51127159398969568</v>
      </c>
      <c r="V37" s="36">
        <f t="shared" si="60"/>
        <v>-6.5172433181328968E-2</v>
      </c>
      <c r="W37" s="36">
        <f t="shared" si="60"/>
        <v>-0.3452722063037249</v>
      </c>
      <c r="X37" s="36">
        <f t="shared" si="60"/>
        <v>-0.35676835081029551</v>
      </c>
      <c r="Y37" s="36">
        <f t="shared" si="60"/>
        <v>-0.24869224062772449</v>
      </c>
      <c r="Z37" s="36">
        <f t="shared" si="60"/>
        <v>-0.41066350710900473</v>
      </c>
      <c r="AA37" s="36">
        <f t="shared" si="60"/>
        <v>-0.28868660598179452</v>
      </c>
      <c r="AB37" s="36">
        <f t="shared" si="60"/>
        <v>-0.42812982998454407</v>
      </c>
      <c r="AC37" s="36"/>
      <c r="AD37" s="45">
        <f>SUMPRODUCT(Q37:AB37,Q18:AB18)/SUM(Q18:AB18)</f>
        <v>-0.27615819235184447</v>
      </c>
      <c r="AE37" s="46">
        <f t="shared" si="5"/>
        <v>34.712314716287672</v>
      </c>
      <c r="AG37" s="34">
        <v>15</v>
      </c>
      <c r="AH37" s="35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>
        <f t="shared" ref="AW37:BH37" si="61">(AW18-AW17)/AW17</f>
        <v>-0.17076660359071399</v>
      </c>
      <c r="AX37" s="36">
        <f t="shared" si="61"/>
        <v>-0.2721955677404615</v>
      </c>
      <c r="AY37" s="36">
        <f t="shared" si="61"/>
        <v>-0.30738348751963696</v>
      </c>
      <c r="AZ37" s="36">
        <f t="shared" si="61"/>
        <v>-0.24852172422658325</v>
      </c>
      <c r="BA37" s="36">
        <f t="shared" si="61"/>
        <v>-0.50935995086980812</v>
      </c>
      <c r="BB37" s="36">
        <f t="shared" si="61"/>
        <v>-4.4704773813871612E-2</v>
      </c>
      <c r="BC37" s="36">
        <f t="shared" si="61"/>
        <v>-0.36963979416809606</v>
      </c>
      <c r="BD37" s="36">
        <f t="shared" si="61"/>
        <v>-0.36743160897186566</v>
      </c>
      <c r="BE37" s="36">
        <f t="shared" si="61"/>
        <v>-0.26022012578616355</v>
      </c>
      <c r="BF37" s="36">
        <f t="shared" si="61"/>
        <v>-0.45435403820123327</v>
      </c>
      <c r="BG37" s="36">
        <f t="shared" si="61"/>
        <v>-0.29819758156513804</v>
      </c>
      <c r="BH37" s="36">
        <f t="shared" si="61"/>
        <v>-0.45722641969290762</v>
      </c>
      <c r="BI37" s="36"/>
      <c r="BJ37" s="45">
        <f>SUMPRODUCT(AW37:BH37,AW18:BH18)/SUM(AW18:BH18)</f>
        <v>-0.27399795027926188</v>
      </c>
      <c r="BK37" s="46">
        <f t="shared" si="7"/>
        <v>27.512659131795175</v>
      </c>
      <c r="BM37" s="34">
        <v>15</v>
      </c>
      <c r="BN37" s="35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>
        <f t="shared" ref="CC37:CN37" si="62">(CC18-CC17)/CC17</f>
        <v>-0.21606263417098118</v>
      </c>
      <c r="CD37" s="36">
        <f t="shared" si="62"/>
        <v>-0.34395886889460153</v>
      </c>
      <c r="CE37" s="36">
        <f t="shared" si="62"/>
        <v>-0.33527696793002915</v>
      </c>
      <c r="CF37" s="36">
        <f t="shared" si="62"/>
        <v>-0.25655021834061137</v>
      </c>
      <c r="CG37" s="36">
        <f t="shared" si="62"/>
        <v>-0.5098836263711598</v>
      </c>
      <c r="CH37" s="36">
        <f t="shared" si="62"/>
        <v>4.2984303106409577E-2</v>
      </c>
      <c r="CI37" s="36">
        <f t="shared" si="62"/>
        <v>-0.28599275967697019</v>
      </c>
      <c r="CJ37" s="36">
        <f t="shared" si="62"/>
        <v>-0.28881077914469833</v>
      </c>
      <c r="CK37" s="36">
        <f t="shared" si="62"/>
        <v>-0.20029895366218237</v>
      </c>
      <c r="CL37" s="36">
        <f t="shared" si="62"/>
        <v>-0.35083958556627365</v>
      </c>
      <c r="CM37" s="36">
        <f t="shared" si="62"/>
        <v>-0.27360898417559981</v>
      </c>
      <c r="CN37" s="36">
        <f t="shared" si="62"/>
        <v>-0.4319277108433735</v>
      </c>
      <c r="CO37" s="36"/>
      <c r="CP37" s="45">
        <f>SUMPRODUCT(CC37:CN37,CC18:CN18)/SUM(CC18:CN18)</f>
        <v>-0.26531720741073606</v>
      </c>
      <c r="CQ37" s="46">
        <f t="shared" si="9"/>
        <v>26.413892318621482</v>
      </c>
      <c r="CS37" s="34">
        <v>15</v>
      </c>
      <c r="CT37" s="35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>
        <f t="shared" ref="DI37:DT37" si="63">(DI18-DI17)/DI17</f>
        <v>-0.23164519029068026</v>
      </c>
      <c r="DJ37" s="36">
        <f t="shared" si="63"/>
        <v>-0.32895696571845368</v>
      </c>
      <c r="DK37" s="36">
        <f t="shared" si="63"/>
        <v>-0.33161239078633836</v>
      </c>
      <c r="DL37" s="36">
        <f t="shared" si="63"/>
        <v>-0.2824617573817147</v>
      </c>
      <c r="DM37" s="36">
        <f t="shared" si="63"/>
        <v>-0.48843983991366535</v>
      </c>
      <c r="DN37" s="36">
        <f t="shared" si="63"/>
        <v>6.6377050260763085E-2</v>
      </c>
      <c r="DO37" s="36">
        <f t="shared" si="63"/>
        <v>-0.21556350626118068</v>
      </c>
      <c r="DP37" s="36">
        <f t="shared" si="63"/>
        <v>-0.21073903002309469</v>
      </c>
      <c r="DQ37" s="36">
        <f t="shared" si="63"/>
        <v>-0.20554393305439331</v>
      </c>
      <c r="DR37" s="36">
        <f t="shared" si="63"/>
        <v>-0.24351676154332702</v>
      </c>
      <c r="DS37" s="36">
        <f t="shared" si="63"/>
        <v>-0.25596330275229356</v>
      </c>
      <c r="DT37" s="36">
        <f t="shared" si="63"/>
        <v>-0.27329192546583853</v>
      </c>
      <c r="DU37" s="36"/>
      <c r="DV37" s="45">
        <f>SUMPRODUCT(DI37:DT37,DI18:DT18)/SUM(DI18:DT18)</f>
        <v>-0.24216273515597603</v>
      </c>
      <c r="DW37" s="46">
        <f t="shared" si="11"/>
        <v>30.561372806824473</v>
      </c>
    </row>
    <row r="38" spans="1:127" ht="15.75" thickBot="1">
      <c r="AE38" s="7"/>
      <c r="BK38" s="7"/>
      <c r="CQ38" s="7"/>
      <c r="DW38" s="7"/>
    </row>
    <row r="39" spans="1:127" ht="26.25">
      <c r="A39" s="1737" t="s">
        <v>18</v>
      </c>
      <c r="B39" s="1738"/>
      <c r="C39" s="1738"/>
      <c r="D39" s="1738"/>
      <c r="E39" s="1738"/>
      <c r="F39" s="1738"/>
      <c r="G39" s="1738"/>
      <c r="H39" s="1738"/>
      <c r="I39" s="1738"/>
      <c r="J39" s="1738"/>
      <c r="K39" s="1738"/>
      <c r="L39" s="1738"/>
      <c r="M39" s="1738"/>
      <c r="N39" s="1738"/>
      <c r="O39" s="1738"/>
      <c r="P39" s="1738"/>
      <c r="Q39" s="1738"/>
      <c r="R39" s="1738"/>
      <c r="S39" s="1738"/>
      <c r="T39" s="1738"/>
      <c r="U39" s="1738"/>
      <c r="V39" s="1738"/>
      <c r="W39" s="1738"/>
      <c r="X39" s="1738"/>
      <c r="Y39" s="1738"/>
      <c r="Z39" s="1738"/>
      <c r="AA39" s="1738"/>
      <c r="AB39" s="1738"/>
      <c r="AC39" s="1739"/>
      <c r="AD39" s="9"/>
      <c r="AE39" s="7"/>
      <c r="AG39" s="1737" t="s">
        <v>19</v>
      </c>
      <c r="AH39" s="1738"/>
      <c r="AI39" s="1738"/>
      <c r="AJ39" s="1738"/>
      <c r="AK39" s="1738"/>
      <c r="AL39" s="1738"/>
      <c r="AM39" s="1738"/>
      <c r="AN39" s="1738"/>
      <c r="AO39" s="1738"/>
      <c r="AP39" s="1738"/>
      <c r="AQ39" s="1738"/>
      <c r="AR39" s="1738"/>
      <c r="AS39" s="1738"/>
      <c r="AT39" s="1738"/>
      <c r="AU39" s="1738"/>
      <c r="AV39" s="1738"/>
      <c r="AW39" s="1738"/>
      <c r="AX39" s="1738"/>
      <c r="AY39" s="1738"/>
      <c r="AZ39" s="1738"/>
      <c r="BA39" s="1738"/>
      <c r="BB39" s="1738"/>
      <c r="BC39" s="1738"/>
      <c r="BD39" s="1738"/>
      <c r="BE39" s="1738"/>
      <c r="BF39" s="1738"/>
      <c r="BG39" s="1738"/>
      <c r="BH39" s="1738"/>
      <c r="BI39" s="1739"/>
      <c r="BJ39" s="9"/>
      <c r="BK39" s="7"/>
      <c r="BM39" s="1737" t="s">
        <v>20</v>
      </c>
      <c r="BN39" s="1738"/>
      <c r="BO39" s="1738"/>
      <c r="BP39" s="1738"/>
      <c r="BQ39" s="1738"/>
      <c r="BR39" s="1738"/>
      <c r="BS39" s="1738"/>
      <c r="BT39" s="1738"/>
      <c r="BU39" s="1738"/>
      <c r="BV39" s="1738"/>
      <c r="BW39" s="1738"/>
      <c r="BX39" s="1738"/>
      <c r="BY39" s="1738"/>
      <c r="BZ39" s="1738"/>
      <c r="CA39" s="1738"/>
      <c r="CB39" s="1738"/>
      <c r="CC39" s="1738"/>
      <c r="CD39" s="1738"/>
      <c r="CE39" s="1738"/>
      <c r="CF39" s="1738"/>
      <c r="CG39" s="1738"/>
      <c r="CH39" s="1738"/>
      <c r="CI39" s="1738"/>
      <c r="CJ39" s="1738"/>
      <c r="CK39" s="1738"/>
      <c r="CL39" s="1738"/>
      <c r="CM39" s="1738"/>
      <c r="CN39" s="1738"/>
      <c r="CO39" s="1739"/>
      <c r="CP39" s="9"/>
      <c r="CQ39" s="7"/>
      <c r="CS39" s="1737" t="s">
        <v>21</v>
      </c>
      <c r="CT39" s="1738"/>
      <c r="CU39" s="1738"/>
      <c r="CV39" s="1738"/>
      <c r="CW39" s="1738"/>
      <c r="CX39" s="1738"/>
      <c r="CY39" s="1738"/>
      <c r="CZ39" s="1738"/>
      <c r="DA39" s="1738"/>
      <c r="DB39" s="1738"/>
      <c r="DC39" s="1738"/>
      <c r="DD39" s="1738"/>
      <c r="DE39" s="1738"/>
      <c r="DF39" s="1738"/>
      <c r="DG39" s="1738"/>
      <c r="DH39" s="1738"/>
      <c r="DI39" s="1738"/>
      <c r="DJ39" s="1738"/>
      <c r="DK39" s="1738"/>
      <c r="DL39" s="1738"/>
      <c r="DM39" s="1738"/>
      <c r="DN39" s="1738"/>
      <c r="DO39" s="1738"/>
      <c r="DP39" s="1738"/>
      <c r="DQ39" s="1738"/>
      <c r="DR39" s="1738"/>
      <c r="DS39" s="1738"/>
      <c r="DT39" s="1738"/>
      <c r="DU39" s="1739"/>
      <c r="DV39" s="9"/>
      <c r="DW39" s="7"/>
    </row>
    <row r="40" spans="1:127" ht="15.75" thickBot="1">
      <c r="A40" s="12" t="s">
        <v>10</v>
      </c>
      <c r="B40" s="13">
        <v>2013</v>
      </c>
      <c r="C40" s="13">
        <v>2012</v>
      </c>
      <c r="D40" s="13">
        <v>2011</v>
      </c>
      <c r="E40" s="13">
        <v>2010</v>
      </c>
      <c r="F40" s="13">
        <v>2009</v>
      </c>
      <c r="G40" s="13">
        <v>2008</v>
      </c>
      <c r="H40" s="13">
        <v>2007</v>
      </c>
      <c r="I40" s="13">
        <v>2006</v>
      </c>
      <c r="J40" s="13">
        <v>2005</v>
      </c>
      <c r="K40" s="13">
        <v>2004</v>
      </c>
      <c r="L40" s="13">
        <v>2003</v>
      </c>
      <c r="M40" s="13">
        <v>2002</v>
      </c>
      <c r="N40" s="13">
        <v>2001</v>
      </c>
      <c r="O40" s="13">
        <v>2000</v>
      </c>
      <c r="P40" s="13">
        <v>1999</v>
      </c>
      <c r="Q40" s="13">
        <v>1998</v>
      </c>
      <c r="R40" s="13">
        <v>1997</v>
      </c>
      <c r="S40" s="13">
        <v>1996</v>
      </c>
      <c r="T40" s="13">
        <v>1995</v>
      </c>
      <c r="U40" s="13">
        <v>1994</v>
      </c>
      <c r="V40" s="13">
        <v>1993</v>
      </c>
      <c r="W40" s="13">
        <v>1992</v>
      </c>
      <c r="X40" s="13">
        <v>1991</v>
      </c>
      <c r="Y40" s="13">
        <v>1990</v>
      </c>
      <c r="Z40" s="13">
        <v>1989</v>
      </c>
      <c r="AA40" s="13">
        <v>1988</v>
      </c>
      <c r="AB40" s="13">
        <v>1987</v>
      </c>
      <c r="AC40" s="14">
        <v>1986</v>
      </c>
      <c r="AD40" s="4"/>
      <c r="AE40" s="7"/>
      <c r="AG40" s="12" t="s">
        <v>10</v>
      </c>
      <c r="AH40" s="13">
        <v>2013</v>
      </c>
      <c r="AI40" s="13">
        <v>2012</v>
      </c>
      <c r="AJ40" s="13">
        <v>2011</v>
      </c>
      <c r="AK40" s="13">
        <v>2010</v>
      </c>
      <c r="AL40" s="13">
        <v>2009</v>
      </c>
      <c r="AM40" s="13">
        <v>2008</v>
      </c>
      <c r="AN40" s="13">
        <v>2007</v>
      </c>
      <c r="AO40" s="13">
        <v>2006</v>
      </c>
      <c r="AP40" s="13">
        <v>2005</v>
      </c>
      <c r="AQ40" s="13">
        <v>2004</v>
      </c>
      <c r="AR40" s="13">
        <v>2003</v>
      </c>
      <c r="AS40" s="13">
        <v>2002</v>
      </c>
      <c r="AT40" s="13">
        <v>2001</v>
      </c>
      <c r="AU40" s="13">
        <v>2000</v>
      </c>
      <c r="AV40" s="13">
        <v>1999</v>
      </c>
      <c r="AW40" s="13">
        <v>1998</v>
      </c>
      <c r="AX40" s="13">
        <v>1997</v>
      </c>
      <c r="AY40" s="13">
        <v>1996</v>
      </c>
      <c r="AZ40" s="13">
        <v>1995</v>
      </c>
      <c r="BA40" s="13">
        <v>1994</v>
      </c>
      <c r="BB40" s="13">
        <v>1993</v>
      </c>
      <c r="BC40" s="13">
        <v>1992</v>
      </c>
      <c r="BD40" s="13">
        <v>1991</v>
      </c>
      <c r="BE40" s="13">
        <v>1990</v>
      </c>
      <c r="BF40" s="13">
        <v>1989</v>
      </c>
      <c r="BG40" s="13">
        <v>1988</v>
      </c>
      <c r="BH40" s="13">
        <v>1987</v>
      </c>
      <c r="BI40" s="14">
        <v>1986</v>
      </c>
      <c r="BJ40" s="4"/>
      <c r="BK40" s="7"/>
      <c r="BM40" s="12" t="s">
        <v>10</v>
      </c>
      <c r="BN40" s="13">
        <v>2013</v>
      </c>
      <c r="BO40" s="13">
        <v>2012</v>
      </c>
      <c r="BP40" s="13">
        <v>2011</v>
      </c>
      <c r="BQ40" s="13">
        <v>2010</v>
      </c>
      <c r="BR40" s="13">
        <v>2009</v>
      </c>
      <c r="BS40" s="13">
        <v>2008</v>
      </c>
      <c r="BT40" s="13">
        <v>2007</v>
      </c>
      <c r="BU40" s="13">
        <v>2006</v>
      </c>
      <c r="BV40" s="13">
        <v>2005</v>
      </c>
      <c r="BW40" s="13">
        <v>2004</v>
      </c>
      <c r="BX40" s="13">
        <v>2003</v>
      </c>
      <c r="BY40" s="13">
        <v>2002</v>
      </c>
      <c r="BZ40" s="13">
        <v>2001</v>
      </c>
      <c r="CA40" s="13">
        <v>2000</v>
      </c>
      <c r="CB40" s="13">
        <v>1999</v>
      </c>
      <c r="CC40" s="13">
        <v>1998</v>
      </c>
      <c r="CD40" s="13">
        <v>1997</v>
      </c>
      <c r="CE40" s="13">
        <v>1996</v>
      </c>
      <c r="CF40" s="13">
        <v>1995</v>
      </c>
      <c r="CG40" s="13">
        <v>1994</v>
      </c>
      <c r="CH40" s="13">
        <v>1993</v>
      </c>
      <c r="CI40" s="13">
        <v>1992</v>
      </c>
      <c r="CJ40" s="13">
        <v>1991</v>
      </c>
      <c r="CK40" s="13">
        <v>1990</v>
      </c>
      <c r="CL40" s="13">
        <v>1989</v>
      </c>
      <c r="CM40" s="13">
        <v>1988</v>
      </c>
      <c r="CN40" s="13">
        <v>1987</v>
      </c>
      <c r="CO40" s="14">
        <v>1986</v>
      </c>
      <c r="CP40" s="4"/>
      <c r="CQ40" s="7"/>
      <c r="CS40" s="12" t="s">
        <v>10</v>
      </c>
      <c r="CT40" s="13">
        <v>2013</v>
      </c>
      <c r="CU40" s="13">
        <v>2012</v>
      </c>
      <c r="CV40" s="13">
        <v>2011</v>
      </c>
      <c r="CW40" s="13">
        <v>2010</v>
      </c>
      <c r="CX40" s="13">
        <v>2009</v>
      </c>
      <c r="CY40" s="13">
        <v>2008</v>
      </c>
      <c r="CZ40" s="13">
        <v>2007</v>
      </c>
      <c r="DA40" s="13">
        <v>2006</v>
      </c>
      <c r="DB40" s="13">
        <v>2005</v>
      </c>
      <c r="DC40" s="13">
        <v>2004</v>
      </c>
      <c r="DD40" s="13">
        <v>2003</v>
      </c>
      <c r="DE40" s="13">
        <v>2002</v>
      </c>
      <c r="DF40" s="13">
        <v>2001</v>
      </c>
      <c r="DG40" s="13">
        <v>2000</v>
      </c>
      <c r="DH40" s="13">
        <v>1999</v>
      </c>
      <c r="DI40" s="13">
        <v>1998</v>
      </c>
      <c r="DJ40" s="13">
        <v>1997</v>
      </c>
      <c r="DK40" s="13">
        <v>1996</v>
      </c>
      <c r="DL40" s="13">
        <v>1995</v>
      </c>
      <c r="DM40" s="13">
        <v>1994</v>
      </c>
      <c r="DN40" s="13">
        <v>1993</v>
      </c>
      <c r="DO40" s="13">
        <v>1992</v>
      </c>
      <c r="DP40" s="13">
        <v>1991</v>
      </c>
      <c r="DQ40" s="13">
        <v>1990</v>
      </c>
      <c r="DR40" s="13">
        <v>1989</v>
      </c>
      <c r="DS40" s="13">
        <v>1988</v>
      </c>
      <c r="DT40" s="13">
        <v>1987</v>
      </c>
      <c r="DU40" s="14">
        <v>1986</v>
      </c>
      <c r="DV40" s="4"/>
      <c r="DW40" s="7"/>
    </row>
    <row r="41" spans="1:127" ht="15.75" thickTop="1">
      <c r="A41" s="47">
        <v>0</v>
      </c>
      <c r="B41" s="15">
        <v>7</v>
      </c>
      <c r="C41" s="16">
        <v>2</v>
      </c>
      <c r="D41" s="16">
        <v>7</v>
      </c>
      <c r="E41" s="16">
        <v>13</v>
      </c>
      <c r="F41" s="78">
        <v>8</v>
      </c>
      <c r="G41" s="78">
        <v>5.1136363636363633</v>
      </c>
      <c r="H41" s="78">
        <v>11</v>
      </c>
      <c r="I41" s="78">
        <v>11</v>
      </c>
      <c r="J41" s="78">
        <v>2</v>
      </c>
      <c r="K41" s="78">
        <v>23</v>
      </c>
      <c r="L41" s="78">
        <v>15</v>
      </c>
      <c r="M41" s="78">
        <v>32</v>
      </c>
      <c r="N41" s="16">
        <v>29</v>
      </c>
      <c r="O41" s="16"/>
      <c r="P41" s="16"/>
      <c r="Q41" s="16"/>
      <c r="R41" s="49"/>
      <c r="S41" s="49"/>
      <c r="T41" s="49"/>
      <c r="U41" s="49"/>
      <c r="V41" s="49"/>
      <c r="W41" s="49"/>
      <c r="X41" s="49"/>
      <c r="Y41" s="49"/>
      <c r="Z41" s="49"/>
      <c r="AA41" s="49"/>
      <c r="AB41" s="49"/>
      <c r="AC41" s="50"/>
      <c r="AD41" s="7"/>
      <c r="AE41" s="7"/>
      <c r="AG41" s="47">
        <v>0</v>
      </c>
      <c r="AH41" s="15">
        <v>11137</v>
      </c>
      <c r="AI41" s="16">
        <v>12148</v>
      </c>
      <c r="AJ41" s="16">
        <v>16367</v>
      </c>
      <c r="AK41" s="16">
        <v>14400</v>
      </c>
      <c r="AL41" s="78">
        <v>7850</v>
      </c>
      <c r="AM41" s="78">
        <v>10794.658348556304</v>
      </c>
      <c r="AN41" s="78">
        <v>5840</v>
      </c>
      <c r="AO41" s="78">
        <v>4021</v>
      </c>
      <c r="AP41" s="78">
        <v>3696</v>
      </c>
      <c r="AQ41" s="78">
        <v>2334</v>
      </c>
      <c r="AR41" s="78">
        <v>1904</v>
      </c>
      <c r="AS41" s="78">
        <v>998</v>
      </c>
      <c r="AT41" s="16">
        <v>95</v>
      </c>
      <c r="AU41" s="16"/>
      <c r="AV41" s="16"/>
      <c r="AW41" s="16"/>
      <c r="AX41" s="49"/>
      <c r="AY41" s="49"/>
      <c r="AZ41" s="49"/>
      <c r="BA41" s="49"/>
      <c r="BB41" s="49"/>
      <c r="BC41" s="49"/>
      <c r="BD41" s="49"/>
      <c r="BE41" s="49"/>
      <c r="BF41" s="49"/>
      <c r="BG41" s="49"/>
      <c r="BH41" s="49"/>
      <c r="BI41" s="50"/>
      <c r="BJ41" s="7"/>
      <c r="BK41" s="7"/>
      <c r="BM41" s="47">
        <v>0</v>
      </c>
      <c r="BN41" s="15">
        <v>21658</v>
      </c>
      <c r="BO41" s="16">
        <v>23478</v>
      </c>
      <c r="BP41" s="16">
        <v>23374</v>
      </c>
      <c r="BQ41" s="16">
        <v>20850</v>
      </c>
      <c r="BR41" s="78">
        <v>9467</v>
      </c>
      <c r="BS41" s="78">
        <v>20362.372387768948</v>
      </c>
      <c r="BT41" s="78">
        <v>19140</v>
      </c>
      <c r="BU41" s="78">
        <v>16330</v>
      </c>
      <c r="BV41" s="78">
        <v>13164</v>
      </c>
      <c r="BW41" s="78">
        <v>11369</v>
      </c>
      <c r="BX41" s="78">
        <v>10580</v>
      </c>
      <c r="BY41" s="78">
        <v>10727</v>
      </c>
      <c r="BZ41" s="16">
        <v>8750</v>
      </c>
      <c r="CA41" s="16"/>
      <c r="CB41" s="16"/>
      <c r="CC41" s="16"/>
      <c r="CD41" s="49"/>
      <c r="CE41" s="49"/>
      <c r="CF41" s="49"/>
      <c r="CG41" s="49"/>
      <c r="CH41" s="49"/>
      <c r="CI41" s="49"/>
      <c r="CJ41" s="49"/>
      <c r="CK41" s="49"/>
      <c r="CL41" s="49"/>
      <c r="CM41" s="49"/>
      <c r="CN41" s="49"/>
      <c r="CO41" s="50"/>
      <c r="CP41" s="7"/>
      <c r="CQ41" s="7"/>
      <c r="CS41" s="47">
        <v>0</v>
      </c>
      <c r="CT41" s="15">
        <v>16282</v>
      </c>
      <c r="CU41" s="16">
        <v>19332</v>
      </c>
      <c r="CV41" s="16">
        <v>20995</v>
      </c>
      <c r="CW41" s="16">
        <v>18326</v>
      </c>
      <c r="CX41" s="78">
        <v>13372</v>
      </c>
      <c r="CY41" s="78">
        <v>20896.84225336841</v>
      </c>
      <c r="CZ41" s="78">
        <v>23746</v>
      </c>
      <c r="DA41" s="78">
        <v>21831</v>
      </c>
      <c r="DB41" s="78">
        <v>18272</v>
      </c>
      <c r="DC41" s="78">
        <v>13238</v>
      </c>
      <c r="DD41" s="78">
        <v>10902</v>
      </c>
      <c r="DE41" s="78">
        <v>12171</v>
      </c>
      <c r="DF41" s="16">
        <v>10915</v>
      </c>
      <c r="DG41" s="16"/>
      <c r="DH41" s="16"/>
      <c r="DI41" s="16"/>
      <c r="DJ41" s="49"/>
      <c r="DK41" s="49"/>
      <c r="DL41" s="49"/>
      <c r="DM41" s="49"/>
      <c r="DN41" s="49"/>
      <c r="DO41" s="49"/>
      <c r="DP41" s="49"/>
      <c r="DQ41" s="49"/>
      <c r="DR41" s="49"/>
      <c r="DS41" s="49"/>
      <c r="DT41" s="49"/>
      <c r="DU41" s="50"/>
      <c r="DV41" s="7"/>
      <c r="DW41" s="7"/>
    </row>
    <row r="42" spans="1:127">
      <c r="A42" s="17">
        <v>1</v>
      </c>
      <c r="B42" s="51"/>
      <c r="C42" s="52">
        <v>2</v>
      </c>
      <c r="D42" s="52">
        <v>5</v>
      </c>
      <c r="E42" s="52">
        <v>13</v>
      </c>
      <c r="F42" s="52">
        <v>10</v>
      </c>
      <c r="G42" s="52">
        <v>13</v>
      </c>
      <c r="H42" s="52">
        <v>20.454545454545453</v>
      </c>
      <c r="I42" s="52">
        <v>14</v>
      </c>
      <c r="J42" s="52">
        <v>1</v>
      </c>
      <c r="K42" s="52">
        <v>1</v>
      </c>
      <c r="L42" s="52">
        <v>5</v>
      </c>
      <c r="M42" s="52">
        <v>6</v>
      </c>
      <c r="N42" s="52">
        <v>3</v>
      </c>
      <c r="O42" s="52">
        <v>23</v>
      </c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3"/>
      <c r="AD42" s="7"/>
      <c r="AE42" s="7"/>
      <c r="AG42" s="17">
        <v>1</v>
      </c>
      <c r="AH42" s="51"/>
      <c r="AI42" s="52">
        <v>12250</v>
      </c>
      <c r="AJ42" s="52">
        <v>16634</v>
      </c>
      <c r="AK42" s="52">
        <v>14921</v>
      </c>
      <c r="AL42" s="52">
        <v>8355</v>
      </c>
      <c r="AM42" s="52">
        <v>10401</v>
      </c>
      <c r="AN42" s="52">
        <v>5446.756466922544</v>
      </c>
      <c r="AO42" s="52">
        <v>4088</v>
      </c>
      <c r="AP42" s="52">
        <v>3791</v>
      </c>
      <c r="AQ42" s="52">
        <v>2363</v>
      </c>
      <c r="AR42" s="52">
        <v>1940</v>
      </c>
      <c r="AS42" s="52">
        <v>1002</v>
      </c>
      <c r="AT42" s="52">
        <v>101</v>
      </c>
      <c r="AU42" s="52">
        <v>53</v>
      </c>
      <c r="AV42" s="52"/>
      <c r="AW42" s="52"/>
      <c r="AX42" s="52"/>
      <c r="AY42" s="52"/>
      <c r="AZ42" s="52"/>
      <c r="BA42" s="52"/>
      <c r="BB42" s="52"/>
      <c r="BC42" s="52"/>
      <c r="BD42" s="52"/>
      <c r="BE42" s="52"/>
      <c r="BF42" s="52"/>
      <c r="BG42" s="52"/>
      <c r="BH42" s="52"/>
      <c r="BI42" s="53"/>
      <c r="BJ42" s="7"/>
      <c r="BK42" s="7"/>
      <c r="BM42" s="17">
        <v>1</v>
      </c>
      <c r="BN42" s="51"/>
      <c r="BO42" s="52">
        <v>26230</v>
      </c>
      <c r="BP42" s="52">
        <v>25286</v>
      </c>
      <c r="BQ42" s="52">
        <v>23391</v>
      </c>
      <c r="BR42" s="52">
        <v>11653</v>
      </c>
      <c r="BS42" s="52">
        <v>22581</v>
      </c>
      <c r="BT42" s="52">
        <v>18388.68393908329</v>
      </c>
      <c r="BU42" s="52">
        <v>16745</v>
      </c>
      <c r="BV42" s="52">
        <v>13630</v>
      </c>
      <c r="BW42" s="52">
        <v>11683</v>
      </c>
      <c r="BX42" s="52">
        <v>10624</v>
      </c>
      <c r="BY42" s="52">
        <v>10736</v>
      </c>
      <c r="BZ42" s="52">
        <v>8620</v>
      </c>
      <c r="CA42" s="52">
        <v>10888</v>
      </c>
      <c r="CB42" s="52"/>
      <c r="CC42" s="52"/>
      <c r="CD42" s="52"/>
      <c r="CE42" s="52"/>
      <c r="CF42" s="52"/>
      <c r="CG42" s="52"/>
      <c r="CH42" s="52"/>
      <c r="CI42" s="52"/>
      <c r="CJ42" s="52"/>
      <c r="CK42" s="52"/>
      <c r="CL42" s="52"/>
      <c r="CM42" s="52"/>
      <c r="CN42" s="52"/>
      <c r="CO42" s="53"/>
      <c r="CP42" s="7"/>
      <c r="CQ42" s="7"/>
      <c r="CS42" s="17">
        <v>1</v>
      </c>
      <c r="CT42" s="51"/>
      <c r="CU42" s="52">
        <v>22131</v>
      </c>
      <c r="CV42" s="52">
        <v>22918</v>
      </c>
      <c r="CW42" s="52">
        <v>20764</v>
      </c>
      <c r="CX42" s="52">
        <v>16336</v>
      </c>
      <c r="CY42" s="52">
        <v>23562</v>
      </c>
      <c r="CZ42" s="52">
        <v>23117.470988427467</v>
      </c>
      <c r="DA42" s="52">
        <v>22406</v>
      </c>
      <c r="DB42" s="52">
        <v>19106</v>
      </c>
      <c r="DC42" s="52">
        <v>13507</v>
      </c>
      <c r="DD42" s="52">
        <v>11088</v>
      </c>
      <c r="DE42" s="52">
        <v>12398</v>
      </c>
      <c r="DF42" s="52">
        <v>10797</v>
      </c>
      <c r="DG42" s="52">
        <v>10583</v>
      </c>
      <c r="DH42" s="52"/>
      <c r="DI42" s="52"/>
      <c r="DJ42" s="52"/>
      <c r="DK42" s="52"/>
      <c r="DL42" s="52"/>
      <c r="DM42" s="52"/>
      <c r="DN42" s="52"/>
      <c r="DO42" s="52"/>
      <c r="DP42" s="52"/>
      <c r="DQ42" s="52"/>
      <c r="DR42" s="52"/>
      <c r="DS42" s="52"/>
      <c r="DT42" s="52"/>
      <c r="DU42" s="53"/>
      <c r="DV42" s="7"/>
      <c r="DW42" s="7"/>
    </row>
    <row r="43" spans="1:127">
      <c r="A43" s="17">
        <v>2</v>
      </c>
      <c r="B43" s="51"/>
      <c r="C43" s="52"/>
      <c r="D43" s="52">
        <v>9</v>
      </c>
      <c r="E43" s="52">
        <v>15</v>
      </c>
      <c r="F43" s="52">
        <v>10</v>
      </c>
      <c r="G43" s="52">
        <v>12</v>
      </c>
      <c r="H43" s="52">
        <v>29</v>
      </c>
      <c r="I43" s="52">
        <v>19.815217391304348</v>
      </c>
      <c r="J43" s="52">
        <v>3</v>
      </c>
      <c r="K43" s="52">
        <v>4</v>
      </c>
      <c r="L43" s="52">
        <v>2</v>
      </c>
      <c r="M43" s="52">
        <v>9</v>
      </c>
      <c r="N43" s="52">
        <v>2</v>
      </c>
      <c r="O43" s="52">
        <v>10</v>
      </c>
      <c r="P43" s="52">
        <v>9</v>
      </c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3"/>
      <c r="AD43" s="7"/>
      <c r="AE43" s="7"/>
      <c r="AG43" s="17">
        <v>2</v>
      </c>
      <c r="AH43" s="51"/>
      <c r="AI43" s="52"/>
      <c r="AJ43" s="52">
        <v>17002</v>
      </c>
      <c r="AK43" s="52">
        <v>15356</v>
      </c>
      <c r="AL43" s="52">
        <v>8716</v>
      </c>
      <c r="AM43" s="52">
        <v>11011</v>
      </c>
      <c r="AN43" s="52">
        <v>6246</v>
      </c>
      <c r="AO43" s="52">
        <v>3975.8743826352656</v>
      </c>
      <c r="AP43" s="52">
        <v>3947</v>
      </c>
      <c r="AQ43" s="52">
        <v>2456</v>
      </c>
      <c r="AR43" s="52">
        <v>1981</v>
      </c>
      <c r="AS43" s="52">
        <v>1024</v>
      </c>
      <c r="AT43" s="52">
        <v>103</v>
      </c>
      <c r="AU43" s="52">
        <v>52</v>
      </c>
      <c r="AV43" s="52">
        <v>15</v>
      </c>
      <c r="AW43" s="52"/>
      <c r="AX43" s="52"/>
      <c r="AY43" s="52"/>
      <c r="AZ43" s="52"/>
      <c r="BA43" s="52"/>
      <c r="BB43" s="52"/>
      <c r="BC43" s="52"/>
      <c r="BD43" s="52"/>
      <c r="BE43" s="52"/>
      <c r="BF43" s="52"/>
      <c r="BG43" s="52"/>
      <c r="BH43" s="52"/>
      <c r="BI43" s="53"/>
      <c r="BJ43" s="7"/>
      <c r="BK43" s="7"/>
      <c r="BM43" s="17">
        <v>2</v>
      </c>
      <c r="BN43" s="51"/>
      <c r="BO43" s="52"/>
      <c r="BP43" s="52">
        <v>27118</v>
      </c>
      <c r="BQ43" s="52">
        <v>25027</v>
      </c>
      <c r="BR43" s="52">
        <v>13339</v>
      </c>
      <c r="BS43" s="52">
        <v>24822</v>
      </c>
      <c r="BT43" s="52">
        <v>20564</v>
      </c>
      <c r="BU43" s="52">
        <v>16465.134053308444</v>
      </c>
      <c r="BV43" s="52">
        <v>14395</v>
      </c>
      <c r="BW43" s="52">
        <v>12250</v>
      </c>
      <c r="BX43" s="52">
        <v>10836</v>
      </c>
      <c r="BY43" s="52">
        <v>10844</v>
      </c>
      <c r="BZ43" s="52">
        <v>8650</v>
      </c>
      <c r="CA43" s="52">
        <v>10829</v>
      </c>
      <c r="CB43" s="52">
        <v>9104</v>
      </c>
      <c r="CC43" s="52"/>
      <c r="CD43" s="52"/>
      <c r="CE43" s="52"/>
      <c r="CF43" s="52"/>
      <c r="CG43" s="52"/>
      <c r="CH43" s="52"/>
      <c r="CI43" s="52"/>
      <c r="CJ43" s="52"/>
      <c r="CK43" s="52"/>
      <c r="CL43" s="52"/>
      <c r="CM43" s="52"/>
      <c r="CN43" s="52"/>
      <c r="CO43" s="53"/>
      <c r="CP43" s="7"/>
      <c r="CQ43" s="7"/>
      <c r="CS43" s="17">
        <v>2</v>
      </c>
      <c r="CT43" s="51"/>
      <c r="CU43" s="52"/>
      <c r="CV43" s="52">
        <v>25088</v>
      </c>
      <c r="CW43" s="52">
        <v>22553</v>
      </c>
      <c r="CX43" s="52">
        <v>18181</v>
      </c>
      <c r="CY43" s="52">
        <v>26008</v>
      </c>
      <c r="CZ43" s="52">
        <v>25866</v>
      </c>
      <c r="DA43" s="52">
        <v>22760.263962391073</v>
      </c>
      <c r="DB43" s="52">
        <v>19904</v>
      </c>
      <c r="DC43" s="52">
        <v>14362</v>
      </c>
      <c r="DD43" s="52">
        <v>11434</v>
      </c>
      <c r="DE43" s="52">
        <v>12469</v>
      </c>
      <c r="DF43" s="52">
        <v>10729</v>
      </c>
      <c r="DG43" s="52">
        <v>10477</v>
      </c>
      <c r="DH43" s="52">
        <v>7993</v>
      </c>
      <c r="DI43" s="52"/>
      <c r="DJ43" s="52"/>
      <c r="DK43" s="52"/>
      <c r="DL43" s="52"/>
      <c r="DM43" s="52"/>
      <c r="DN43" s="52"/>
      <c r="DO43" s="52"/>
      <c r="DP43" s="52"/>
      <c r="DQ43" s="52"/>
      <c r="DR43" s="52"/>
      <c r="DS43" s="52"/>
      <c r="DT43" s="52"/>
      <c r="DU43" s="53"/>
      <c r="DV43" s="7"/>
      <c r="DW43" s="7"/>
    </row>
    <row r="44" spans="1:127">
      <c r="A44" s="17">
        <v>3</v>
      </c>
      <c r="B44" s="51"/>
      <c r="C44" s="52"/>
      <c r="D44" s="52"/>
      <c r="E44" s="52">
        <v>18</v>
      </c>
      <c r="F44" s="52">
        <v>16</v>
      </c>
      <c r="G44" s="52">
        <v>13</v>
      </c>
      <c r="H44" s="52">
        <v>23</v>
      </c>
      <c r="I44" s="52">
        <v>23</v>
      </c>
      <c r="J44" s="52">
        <v>3.4090909090909092</v>
      </c>
      <c r="K44" s="52">
        <v>2</v>
      </c>
      <c r="L44" s="52">
        <v>4</v>
      </c>
      <c r="M44" s="52">
        <v>0</v>
      </c>
      <c r="N44" s="52">
        <v>6</v>
      </c>
      <c r="O44" s="52">
        <v>8</v>
      </c>
      <c r="P44" s="52">
        <v>3</v>
      </c>
      <c r="Q44" s="52">
        <v>10</v>
      </c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3"/>
      <c r="AD44" s="7"/>
      <c r="AE44" s="7"/>
      <c r="AG44" s="17">
        <v>3</v>
      </c>
      <c r="AH44" s="51"/>
      <c r="AI44" s="52"/>
      <c r="AJ44" s="52"/>
      <c r="AK44" s="52">
        <v>17200</v>
      </c>
      <c r="AL44" s="52">
        <v>9498</v>
      </c>
      <c r="AM44" s="52">
        <v>12100</v>
      </c>
      <c r="AN44" s="52">
        <v>6496</v>
      </c>
      <c r="AO44" s="52">
        <v>4661</v>
      </c>
      <c r="AP44" s="52">
        <v>4098.4674652869471</v>
      </c>
      <c r="AQ44" s="52">
        <v>2590</v>
      </c>
      <c r="AR44" s="52">
        <v>2072</v>
      </c>
      <c r="AS44" s="52">
        <v>1057</v>
      </c>
      <c r="AT44" s="52">
        <v>108</v>
      </c>
      <c r="AU44" s="52">
        <v>54</v>
      </c>
      <c r="AV44" s="52">
        <v>9</v>
      </c>
      <c r="AW44" s="52">
        <v>77</v>
      </c>
      <c r="AX44" s="52"/>
      <c r="AY44" s="52"/>
      <c r="AZ44" s="52"/>
      <c r="BA44" s="52"/>
      <c r="BB44" s="52"/>
      <c r="BC44" s="52"/>
      <c r="BD44" s="52"/>
      <c r="BE44" s="52"/>
      <c r="BF44" s="52"/>
      <c r="BG44" s="52"/>
      <c r="BH44" s="52"/>
      <c r="BI44" s="53"/>
      <c r="BJ44" s="7"/>
      <c r="BK44" s="7"/>
      <c r="BM44" s="17">
        <v>3</v>
      </c>
      <c r="BN44" s="51"/>
      <c r="BO44" s="52"/>
      <c r="BP44" s="52"/>
      <c r="BQ44" s="52">
        <v>29426</v>
      </c>
      <c r="BR44" s="52">
        <v>15945</v>
      </c>
      <c r="BS44" s="52">
        <v>29689</v>
      </c>
      <c r="BT44" s="52">
        <v>21193</v>
      </c>
      <c r="BU44" s="52">
        <v>18862</v>
      </c>
      <c r="BV44" s="52">
        <v>15618.265751187802</v>
      </c>
      <c r="BW44" s="52">
        <v>13880</v>
      </c>
      <c r="BX44" s="52">
        <v>12501</v>
      </c>
      <c r="BY44" s="52">
        <v>11680</v>
      </c>
      <c r="BZ44" s="52">
        <v>8981</v>
      </c>
      <c r="CA44" s="52">
        <v>10677</v>
      </c>
      <c r="CB44" s="52">
        <v>8948</v>
      </c>
      <c r="CC44" s="52">
        <v>7210</v>
      </c>
      <c r="CD44" s="52"/>
      <c r="CE44" s="52"/>
      <c r="CF44" s="52"/>
      <c r="CG44" s="52"/>
      <c r="CH44" s="52"/>
      <c r="CI44" s="52"/>
      <c r="CJ44" s="52"/>
      <c r="CK44" s="52"/>
      <c r="CL44" s="52"/>
      <c r="CM44" s="52"/>
      <c r="CN44" s="52"/>
      <c r="CO44" s="53"/>
      <c r="CP44" s="7"/>
      <c r="CQ44" s="7"/>
      <c r="CS44" s="17">
        <v>3</v>
      </c>
      <c r="CT44" s="51"/>
      <c r="CU44" s="52"/>
      <c r="CV44" s="52"/>
      <c r="CW44" s="52">
        <v>26313</v>
      </c>
      <c r="CX44" s="52">
        <v>21115</v>
      </c>
      <c r="CY44" s="52">
        <v>29829</v>
      </c>
      <c r="CZ44" s="52">
        <v>26477</v>
      </c>
      <c r="DA44" s="52">
        <v>25856</v>
      </c>
      <c r="DB44" s="52">
        <v>21968.584345487136</v>
      </c>
      <c r="DC44" s="52">
        <v>15565</v>
      </c>
      <c r="DD44" s="52">
        <v>12417</v>
      </c>
      <c r="DE44" s="52">
        <v>12504</v>
      </c>
      <c r="DF44" s="52">
        <v>10706</v>
      </c>
      <c r="DG44" s="52">
        <v>10120</v>
      </c>
      <c r="DH44" s="52">
        <v>7853</v>
      </c>
      <c r="DI44" s="52">
        <v>9253</v>
      </c>
      <c r="DJ44" s="52"/>
      <c r="DK44" s="52"/>
      <c r="DL44" s="52"/>
      <c r="DM44" s="52"/>
      <c r="DN44" s="52"/>
      <c r="DO44" s="52"/>
      <c r="DP44" s="52"/>
      <c r="DQ44" s="52"/>
      <c r="DR44" s="52"/>
      <c r="DS44" s="52"/>
      <c r="DT44" s="52"/>
      <c r="DU44" s="53"/>
      <c r="DV44" s="7"/>
      <c r="DW44" s="7"/>
    </row>
    <row r="45" spans="1:127">
      <c r="A45" s="17">
        <v>4</v>
      </c>
      <c r="B45" s="51"/>
      <c r="C45" s="52"/>
      <c r="D45" s="52"/>
      <c r="E45" s="52"/>
      <c r="F45" s="52">
        <v>16</v>
      </c>
      <c r="G45" s="52">
        <v>15</v>
      </c>
      <c r="H45" s="52">
        <v>24</v>
      </c>
      <c r="I45" s="52">
        <v>13</v>
      </c>
      <c r="J45" s="52">
        <v>3</v>
      </c>
      <c r="K45" s="52">
        <v>3.4090909090909092</v>
      </c>
      <c r="L45" s="52">
        <v>4</v>
      </c>
      <c r="M45" s="52">
        <v>0</v>
      </c>
      <c r="N45" s="52">
        <v>1</v>
      </c>
      <c r="O45" s="52">
        <v>7</v>
      </c>
      <c r="P45" s="52">
        <v>2</v>
      </c>
      <c r="Q45" s="52">
        <v>1</v>
      </c>
      <c r="R45" s="52">
        <v>16</v>
      </c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3"/>
      <c r="AD45" s="7"/>
      <c r="AE45" s="7"/>
      <c r="AG45" s="17">
        <v>4</v>
      </c>
      <c r="AH45" s="51"/>
      <c r="AI45" s="52"/>
      <c r="AJ45" s="52"/>
      <c r="AK45" s="52"/>
      <c r="AL45" s="52">
        <v>10246</v>
      </c>
      <c r="AM45" s="52">
        <v>12884</v>
      </c>
      <c r="AN45" s="52">
        <v>7033</v>
      </c>
      <c r="AO45" s="52">
        <v>5004</v>
      </c>
      <c r="AP45" s="52">
        <v>4674</v>
      </c>
      <c r="AQ45" s="52">
        <v>2660.8505860925252</v>
      </c>
      <c r="AR45" s="52">
        <v>2176</v>
      </c>
      <c r="AS45" s="52">
        <v>1099</v>
      </c>
      <c r="AT45" s="52">
        <v>115</v>
      </c>
      <c r="AU45" s="52">
        <v>54</v>
      </c>
      <c r="AV45" s="52">
        <v>9</v>
      </c>
      <c r="AW45" s="52">
        <v>62</v>
      </c>
      <c r="AX45" s="52">
        <v>42</v>
      </c>
      <c r="AY45" s="52"/>
      <c r="AZ45" s="52"/>
      <c r="BA45" s="52"/>
      <c r="BB45" s="52"/>
      <c r="BC45" s="52"/>
      <c r="BD45" s="52"/>
      <c r="BE45" s="52"/>
      <c r="BF45" s="52"/>
      <c r="BG45" s="52"/>
      <c r="BH45" s="52"/>
      <c r="BI45" s="53"/>
      <c r="BJ45" s="7"/>
      <c r="BK45" s="7"/>
      <c r="BM45" s="17">
        <v>4</v>
      </c>
      <c r="BN45" s="51"/>
      <c r="BO45" s="52"/>
      <c r="BP45" s="52"/>
      <c r="BQ45" s="52"/>
      <c r="BR45" s="52">
        <v>18802</v>
      </c>
      <c r="BS45" s="52">
        <v>33200</v>
      </c>
      <c r="BT45" s="52">
        <v>22142</v>
      </c>
      <c r="BU45" s="52">
        <v>19647</v>
      </c>
      <c r="BV45" s="52">
        <v>17833</v>
      </c>
      <c r="BW45" s="52">
        <v>15447.254094306982</v>
      </c>
      <c r="BX45" s="52">
        <v>14222</v>
      </c>
      <c r="BY45" s="52">
        <v>13417</v>
      </c>
      <c r="BZ45" s="52">
        <v>9396</v>
      </c>
      <c r="CA45" s="52">
        <v>10830</v>
      </c>
      <c r="CB45" s="52">
        <v>8937</v>
      </c>
      <c r="CC45" s="52">
        <v>7289</v>
      </c>
      <c r="CD45" s="52">
        <v>7121</v>
      </c>
      <c r="CE45" s="52"/>
      <c r="CF45" s="52"/>
      <c r="CG45" s="52"/>
      <c r="CH45" s="52"/>
      <c r="CI45" s="52"/>
      <c r="CJ45" s="52"/>
      <c r="CK45" s="52"/>
      <c r="CL45" s="52"/>
      <c r="CM45" s="52"/>
      <c r="CN45" s="52"/>
      <c r="CO45" s="53"/>
      <c r="CP45" s="7"/>
      <c r="CQ45" s="7"/>
      <c r="CS45" s="17">
        <v>4</v>
      </c>
      <c r="CT45" s="51"/>
      <c r="CU45" s="52"/>
      <c r="CV45" s="52"/>
      <c r="CW45" s="52"/>
      <c r="CX45" s="52">
        <v>24228</v>
      </c>
      <c r="CY45" s="52">
        <v>32822</v>
      </c>
      <c r="CZ45" s="52">
        <v>26992</v>
      </c>
      <c r="DA45" s="52">
        <v>26535</v>
      </c>
      <c r="DB45" s="52">
        <v>24441</v>
      </c>
      <c r="DC45" s="52">
        <v>17025.604594154567</v>
      </c>
      <c r="DD45" s="52">
        <v>13265</v>
      </c>
      <c r="DE45" s="52">
        <v>13304</v>
      </c>
      <c r="DF45" s="52">
        <v>10740</v>
      </c>
      <c r="DG45" s="52">
        <v>10152</v>
      </c>
      <c r="DH45" s="52">
        <v>7767</v>
      </c>
      <c r="DI45" s="52">
        <v>9137</v>
      </c>
      <c r="DJ45" s="52">
        <v>7156</v>
      </c>
      <c r="DK45" s="52"/>
      <c r="DL45" s="52"/>
      <c r="DM45" s="52"/>
      <c r="DN45" s="52"/>
      <c r="DO45" s="52"/>
      <c r="DP45" s="52"/>
      <c r="DQ45" s="52"/>
      <c r="DR45" s="52"/>
      <c r="DS45" s="52"/>
      <c r="DT45" s="52"/>
      <c r="DU45" s="53"/>
      <c r="DV45" s="7"/>
      <c r="DW45" s="7"/>
    </row>
    <row r="46" spans="1:127">
      <c r="A46" s="17">
        <v>5</v>
      </c>
      <c r="B46" s="51"/>
      <c r="C46" s="52"/>
      <c r="D46" s="52"/>
      <c r="E46" s="52"/>
      <c r="F46" s="52"/>
      <c r="G46" s="52">
        <v>14</v>
      </c>
      <c r="H46" s="52">
        <v>22</v>
      </c>
      <c r="I46" s="52">
        <v>12</v>
      </c>
      <c r="J46" s="52">
        <v>2</v>
      </c>
      <c r="K46" s="52">
        <v>3</v>
      </c>
      <c r="L46" s="52">
        <v>6.178853754940711</v>
      </c>
      <c r="M46" s="52">
        <v>0</v>
      </c>
      <c r="N46" s="52">
        <v>3</v>
      </c>
      <c r="O46" s="52">
        <v>6</v>
      </c>
      <c r="P46" s="52">
        <v>8</v>
      </c>
      <c r="Q46" s="52">
        <v>3</v>
      </c>
      <c r="R46" s="52">
        <v>4</v>
      </c>
      <c r="S46" s="52">
        <v>19</v>
      </c>
      <c r="T46" s="52"/>
      <c r="U46" s="52"/>
      <c r="V46" s="52"/>
      <c r="W46" s="52"/>
      <c r="X46" s="52"/>
      <c r="Y46" s="52"/>
      <c r="Z46" s="52"/>
      <c r="AA46" s="52"/>
      <c r="AB46" s="52"/>
      <c r="AC46" s="53"/>
      <c r="AD46" s="7"/>
      <c r="AE46" s="7"/>
      <c r="AG46" s="17">
        <v>5</v>
      </c>
      <c r="AH46" s="51"/>
      <c r="AI46" s="52"/>
      <c r="AJ46" s="52"/>
      <c r="AK46" s="52"/>
      <c r="AL46" s="52"/>
      <c r="AM46" s="52">
        <v>13519</v>
      </c>
      <c r="AN46" s="52">
        <v>7324</v>
      </c>
      <c r="AO46" s="52">
        <v>5616</v>
      </c>
      <c r="AP46" s="52">
        <v>4918</v>
      </c>
      <c r="AQ46" s="52">
        <v>3012</v>
      </c>
      <c r="AR46" s="52">
        <v>2192.4392773184418</v>
      </c>
      <c r="AS46" s="52">
        <v>1157</v>
      </c>
      <c r="AT46" s="52">
        <v>126</v>
      </c>
      <c r="AU46" s="52">
        <v>56</v>
      </c>
      <c r="AV46" s="52">
        <v>11</v>
      </c>
      <c r="AW46" s="52">
        <v>57</v>
      </c>
      <c r="AX46" s="52">
        <v>39</v>
      </c>
      <c r="AY46" s="52">
        <v>68</v>
      </c>
      <c r="AZ46" s="52"/>
      <c r="BA46" s="52"/>
      <c r="BB46" s="52"/>
      <c r="BC46" s="52"/>
      <c r="BD46" s="52"/>
      <c r="BE46" s="52"/>
      <c r="BF46" s="52"/>
      <c r="BG46" s="52"/>
      <c r="BH46" s="52"/>
      <c r="BI46" s="53"/>
      <c r="BJ46" s="7"/>
      <c r="BK46" s="7"/>
      <c r="BM46" s="17">
        <v>5</v>
      </c>
      <c r="BN46" s="51"/>
      <c r="BO46" s="52"/>
      <c r="BP46" s="52"/>
      <c r="BQ46" s="52"/>
      <c r="BR46" s="52"/>
      <c r="BS46" s="52">
        <v>35637</v>
      </c>
      <c r="BT46" s="52">
        <v>22456</v>
      </c>
      <c r="BU46" s="52">
        <v>20512</v>
      </c>
      <c r="BV46" s="52">
        <v>18365</v>
      </c>
      <c r="BW46" s="52">
        <v>16847</v>
      </c>
      <c r="BX46" s="52">
        <v>15460.109172876699</v>
      </c>
      <c r="BY46" s="52">
        <v>14416</v>
      </c>
      <c r="BZ46" s="52">
        <v>10075</v>
      </c>
      <c r="CA46" s="52">
        <v>10813</v>
      </c>
      <c r="CB46" s="52">
        <v>9050</v>
      </c>
      <c r="CC46" s="52">
        <v>7290</v>
      </c>
      <c r="CD46" s="52">
        <v>7123</v>
      </c>
      <c r="CE46" s="52">
        <v>7644</v>
      </c>
      <c r="CF46" s="52"/>
      <c r="CG46" s="52"/>
      <c r="CH46" s="52"/>
      <c r="CI46" s="52"/>
      <c r="CJ46" s="52"/>
      <c r="CK46" s="52"/>
      <c r="CL46" s="52"/>
      <c r="CM46" s="52"/>
      <c r="CN46" s="52"/>
      <c r="CO46" s="53"/>
      <c r="CP46" s="7"/>
      <c r="CQ46" s="7"/>
      <c r="CS46" s="17">
        <v>5</v>
      </c>
      <c r="CT46" s="51"/>
      <c r="CU46" s="52"/>
      <c r="CV46" s="52"/>
      <c r="CW46" s="52"/>
      <c r="CX46" s="52"/>
      <c r="CY46" s="52">
        <v>34562</v>
      </c>
      <c r="CZ46" s="52">
        <v>27231</v>
      </c>
      <c r="DA46" s="52">
        <v>27052</v>
      </c>
      <c r="DB46" s="52">
        <v>24705</v>
      </c>
      <c r="DC46" s="52">
        <v>18111</v>
      </c>
      <c r="DD46" s="52">
        <v>13799.857611296775</v>
      </c>
      <c r="DE46" s="52">
        <v>13766</v>
      </c>
      <c r="DF46" s="52">
        <v>11255</v>
      </c>
      <c r="DG46" s="52">
        <v>9980</v>
      </c>
      <c r="DH46" s="52">
        <v>7811</v>
      </c>
      <c r="DI46" s="52">
        <v>9184</v>
      </c>
      <c r="DJ46" s="52">
        <v>7107</v>
      </c>
      <c r="DK46" s="52">
        <v>6732</v>
      </c>
      <c r="DL46" s="52"/>
      <c r="DM46" s="52"/>
      <c r="DN46" s="52"/>
      <c r="DO46" s="52"/>
      <c r="DP46" s="52"/>
      <c r="DQ46" s="52"/>
      <c r="DR46" s="52"/>
      <c r="DS46" s="52"/>
      <c r="DT46" s="52"/>
      <c r="DU46" s="53"/>
      <c r="DV46" s="7"/>
      <c r="DW46" s="7"/>
    </row>
    <row r="47" spans="1:127">
      <c r="A47" s="17">
        <v>6</v>
      </c>
      <c r="B47" s="51"/>
      <c r="C47" s="52"/>
      <c r="D47" s="52"/>
      <c r="E47" s="52"/>
      <c r="F47" s="52"/>
      <c r="G47" s="52"/>
      <c r="H47" s="52">
        <v>23</v>
      </c>
      <c r="I47" s="52">
        <v>10</v>
      </c>
      <c r="J47" s="52">
        <v>3</v>
      </c>
      <c r="K47" s="52">
        <v>2</v>
      </c>
      <c r="L47" s="52">
        <v>5</v>
      </c>
      <c r="M47" s="52">
        <v>1.7045454545454546</v>
      </c>
      <c r="N47" s="52">
        <v>3</v>
      </c>
      <c r="O47" s="52">
        <v>4</v>
      </c>
      <c r="P47" s="52">
        <v>5</v>
      </c>
      <c r="Q47" s="52">
        <v>2</v>
      </c>
      <c r="R47" s="52">
        <v>6</v>
      </c>
      <c r="S47" s="52">
        <v>4</v>
      </c>
      <c r="T47" s="52">
        <v>15</v>
      </c>
      <c r="U47" s="52"/>
      <c r="V47" s="52"/>
      <c r="W47" s="52"/>
      <c r="X47" s="52"/>
      <c r="Y47" s="52"/>
      <c r="Z47" s="52"/>
      <c r="AA47" s="52"/>
      <c r="AB47" s="52"/>
      <c r="AC47" s="53"/>
      <c r="AD47" s="7"/>
      <c r="AE47" s="7"/>
      <c r="AG47" s="17">
        <v>6</v>
      </c>
      <c r="AH47" s="51"/>
      <c r="AI47" s="52"/>
      <c r="AJ47" s="52"/>
      <c r="AK47" s="52"/>
      <c r="AL47" s="52"/>
      <c r="AM47" s="52"/>
      <c r="AN47" s="52">
        <v>7682</v>
      </c>
      <c r="AO47" s="52">
        <v>5886</v>
      </c>
      <c r="AP47" s="52">
        <v>5393</v>
      </c>
      <c r="AQ47" s="52">
        <v>3084</v>
      </c>
      <c r="AR47" s="52">
        <v>2340</v>
      </c>
      <c r="AS47" s="52">
        <v>1204.3481836876301</v>
      </c>
      <c r="AT47" s="52">
        <v>133</v>
      </c>
      <c r="AU47" s="52">
        <v>67</v>
      </c>
      <c r="AV47" s="52">
        <v>10</v>
      </c>
      <c r="AW47" s="52">
        <v>54</v>
      </c>
      <c r="AX47" s="52">
        <v>36</v>
      </c>
      <c r="AY47" s="52">
        <v>72</v>
      </c>
      <c r="AZ47" s="52">
        <v>170</v>
      </c>
      <c r="BA47" s="52"/>
      <c r="BB47" s="52"/>
      <c r="BC47" s="52"/>
      <c r="BD47" s="52"/>
      <c r="BE47" s="52"/>
      <c r="BF47" s="52"/>
      <c r="BG47" s="52"/>
      <c r="BH47" s="52"/>
      <c r="BI47" s="53"/>
      <c r="BJ47" s="7"/>
      <c r="BK47" s="7"/>
      <c r="BM47" s="17">
        <v>6</v>
      </c>
      <c r="BN47" s="51"/>
      <c r="BO47" s="52"/>
      <c r="BP47" s="52"/>
      <c r="BQ47" s="52"/>
      <c r="BR47" s="52"/>
      <c r="BS47" s="52"/>
      <c r="BT47" s="52">
        <v>23016</v>
      </c>
      <c r="BU47" s="52">
        <v>20674</v>
      </c>
      <c r="BV47" s="52">
        <v>19002</v>
      </c>
      <c r="BW47" s="52">
        <v>17118</v>
      </c>
      <c r="BX47" s="52">
        <v>15821</v>
      </c>
      <c r="BY47" s="52">
        <v>15353.814637342806</v>
      </c>
      <c r="BZ47" s="52">
        <v>10590</v>
      </c>
      <c r="CA47" s="52">
        <v>11096</v>
      </c>
      <c r="CB47" s="52">
        <v>8893</v>
      </c>
      <c r="CC47" s="52">
        <v>7200</v>
      </c>
      <c r="CD47" s="52">
        <v>7111</v>
      </c>
      <c r="CE47" s="52">
        <v>7772</v>
      </c>
      <c r="CF47" s="52">
        <v>7307</v>
      </c>
      <c r="CG47" s="52"/>
      <c r="CH47" s="52"/>
      <c r="CI47" s="52"/>
      <c r="CJ47" s="52"/>
      <c r="CK47" s="52"/>
      <c r="CL47" s="52"/>
      <c r="CM47" s="52"/>
      <c r="CN47" s="52"/>
      <c r="CO47" s="53"/>
      <c r="CP47" s="7"/>
      <c r="CQ47" s="7"/>
      <c r="CS47" s="17">
        <v>6</v>
      </c>
      <c r="CT47" s="51"/>
      <c r="CU47" s="52"/>
      <c r="CV47" s="52"/>
      <c r="CW47" s="52"/>
      <c r="CX47" s="52"/>
      <c r="CY47" s="52"/>
      <c r="CZ47" s="52">
        <v>27109</v>
      </c>
      <c r="DA47" s="52">
        <v>26790</v>
      </c>
      <c r="DB47" s="52">
        <v>25175</v>
      </c>
      <c r="DC47" s="52">
        <v>18128</v>
      </c>
      <c r="DD47" s="52">
        <v>13993</v>
      </c>
      <c r="DE47" s="52">
        <v>13935.605156429378</v>
      </c>
      <c r="DF47" s="52">
        <v>11427</v>
      </c>
      <c r="DG47" s="52">
        <v>10216</v>
      </c>
      <c r="DH47" s="52">
        <v>7646</v>
      </c>
      <c r="DI47" s="52">
        <v>9163</v>
      </c>
      <c r="DJ47" s="52">
        <v>7026</v>
      </c>
      <c r="DK47" s="52">
        <v>6922</v>
      </c>
      <c r="DL47" s="52">
        <v>6569</v>
      </c>
      <c r="DM47" s="52"/>
      <c r="DN47" s="52"/>
      <c r="DO47" s="52"/>
      <c r="DP47" s="52"/>
      <c r="DQ47" s="52"/>
      <c r="DR47" s="52"/>
      <c r="DS47" s="52"/>
      <c r="DT47" s="52"/>
      <c r="DU47" s="53"/>
      <c r="DV47" s="7"/>
      <c r="DW47" s="7"/>
    </row>
    <row r="48" spans="1:127">
      <c r="A48" s="17">
        <v>7</v>
      </c>
      <c r="B48" s="51"/>
      <c r="C48" s="52"/>
      <c r="D48" s="52"/>
      <c r="E48" s="52"/>
      <c r="F48" s="52"/>
      <c r="G48" s="52"/>
      <c r="H48" s="52"/>
      <c r="I48" s="52">
        <v>9</v>
      </c>
      <c r="J48" s="52">
        <v>2</v>
      </c>
      <c r="K48" s="52">
        <v>2</v>
      </c>
      <c r="L48" s="52">
        <v>4</v>
      </c>
      <c r="M48" s="52">
        <v>3</v>
      </c>
      <c r="N48" s="52">
        <v>2.7697628458498027</v>
      </c>
      <c r="O48" s="52">
        <v>4</v>
      </c>
      <c r="P48" s="52">
        <v>4</v>
      </c>
      <c r="Q48" s="52">
        <v>2</v>
      </c>
      <c r="R48" s="52">
        <v>7</v>
      </c>
      <c r="S48" s="52">
        <v>1</v>
      </c>
      <c r="T48" s="52">
        <v>4</v>
      </c>
      <c r="U48" s="52">
        <v>91</v>
      </c>
      <c r="V48" s="52"/>
      <c r="W48" s="52"/>
      <c r="X48" s="52"/>
      <c r="Y48" s="52"/>
      <c r="Z48" s="52"/>
      <c r="AA48" s="52"/>
      <c r="AB48" s="52"/>
      <c r="AC48" s="53"/>
      <c r="AD48" s="7"/>
      <c r="AE48" s="7"/>
      <c r="AG48" s="17">
        <v>7</v>
      </c>
      <c r="AH48" s="51"/>
      <c r="AI48" s="52"/>
      <c r="AJ48" s="52"/>
      <c r="AK48" s="52"/>
      <c r="AL48" s="52"/>
      <c r="AM48" s="52"/>
      <c r="AN48" s="52"/>
      <c r="AO48" s="52">
        <v>6306</v>
      </c>
      <c r="AP48" s="52">
        <v>5680</v>
      </c>
      <c r="AQ48" s="52">
        <v>3388</v>
      </c>
      <c r="AR48" s="52">
        <v>2379</v>
      </c>
      <c r="AS48" s="52">
        <v>1271</v>
      </c>
      <c r="AT48" s="52">
        <v>130.42556170802436</v>
      </c>
      <c r="AU48" s="52">
        <v>74</v>
      </c>
      <c r="AV48" s="52">
        <v>14</v>
      </c>
      <c r="AW48" s="52">
        <v>48</v>
      </c>
      <c r="AX48" s="52">
        <v>36</v>
      </c>
      <c r="AY48" s="52">
        <v>64</v>
      </c>
      <c r="AZ48" s="52">
        <v>182</v>
      </c>
      <c r="BA48" s="52">
        <v>331</v>
      </c>
      <c r="BB48" s="52"/>
      <c r="BC48" s="52"/>
      <c r="BD48" s="52"/>
      <c r="BE48" s="52"/>
      <c r="BF48" s="52"/>
      <c r="BG48" s="52"/>
      <c r="BH48" s="52"/>
      <c r="BI48" s="53"/>
      <c r="BJ48" s="7"/>
      <c r="BK48" s="7"/>
      <c r="BM48" s="17">
        <v>7</v>
      </c>
      <c r="BN48" s="51"/>
      <c r="BO48" s="52"/>
      <c r="BP48" s="52"/>
      <c r="BQ48" s="52"/>
      <c r="BR48" s="52"/>
      <c r="BS48" s="52"/>
      <c r="BT48" s="52"/>
      <c r="BU48" s="52">
        <v>21117</v>
      </c>
      <c r="BV48" s="52">
        <v>19079</v>
      </c>
      <c r="BW48" s="52">
        <v>17831</v>
      </c>
      <c r="BX48" s="52">
        <v>16083</v>
      </c>
      <c r="BY48" s="52">
        <v>15618</v>
      </c>
      <c r="BZ48" s="52">
        <v>10980.004614911111</v>
      </c>
      <c r="CA48" s="52">
        <v>11063</v>
      </c>
      <c r="CB48" s="52">
        <v>9034</v>
      </c>
      <c r="CC48" s="52">
        <v>7123</v>
      </c>
      <c r="CD48" s="52">
        <v>6939</v>
      </c>
      <c r="CE48" s="52">
        <v>7449</v>
      </c>
      <c r="CF48" s="52">
        <v>7329</v>
      </c>
      <c r="CG48" s="52">
        <v>7597</v>
      </c>
      <c r="CH48" s="52"/>
      <c r="CI48" s="52"/>
      <c r="CJ48" s="52"/>
      <c r="CK48" s="52"/>
      <c r="CL48" s="52"/>
      <c r="CM48" s="52"/>
      <c r="CN48" s="52"/>
      <c r="CO48" s="53"/>
      <c r="CP48" s="7"/>
      <c r="CQ48" s="7"/>
      <c r="CS48" s="17">
        <v>7</v>
      </c>
      <c r="CT48" s="51"/>
      <c r="CU48" s="52"/>
      <c r="CV48" s="52"/>
      <c r="CW48" s="52"/>
      <c r="CX48" s="52"/>
      <c r="CY48" s="52"/>
      <c r="CZ48" s="52"/>
      <c r="DA48" s="52">
        <v>26729</v>
      </c>
      <c r="DB48" s="52">
        <v>24729</v>
      </c>
      <c r="DC48" s="52">
        <v>18350</v>
      </c>
      <c r="DD48" s="52">
        <v>13800</v>
      </c>
      <c r="DE48" s="52">
        <v>13647</v>
      </c>
      <c r="DF48" s="52">
        <v>11400.179405917077</v>
      </c>
      <c r="DG48" s="52">
        <v>10183</v>
      </c>
      <c r="DH48" s="52">
        <v>7760</v>
      </c>
      <c r="DI48" s="52">
        <v>8868</v>
      </c>
      <c r="DJ48" s="52">
        <v>6970</v>
      </c>
      <c r="DK48" s="52">
        <v>6657</v>
      </c>
      <c r="DL48" s="52">
        <v>6617</v>
      </c>
      <c r="DM48" s="52">
        <v>6720</v>
      </c>
      <c r="DN48" s="52"/>
      <c r="DO48" s="52"/>
      <c r="DP48" s="52"/>
      <c r="DQ48" s="52"/>
      <c r="DR48" s="52"/>
      <c r="DS48" s="52"/>
      <c r="DT48" s="52"/>
      <c r="DU48" s="53"/>
      <c r="DV48" s="7"/>
      <c r="DW48" s="7"/>
    </row>
    <row r="49" spans="1:127">
      <c r="A49" s="17">
        <v>8</v>
      </c>
      <c r="B49" s="51"/>
      <c r="C49" s="52"/>
      <c r="D49" s="52"/>
      <c r="E49" s="52"/>
      <c r="F49" s="52"/>
      <c r="G49" s="52"/>
      <c r="H49" s="52"/>
      <c r="I49" s="52"/>
      <c r="J49" s="52">
        <v>3</v>
      </c>
      <c r="K49" s="52">
        <v>2</v>
      </c>
      <c r="L49" s="52">
        <v>2</v>
      </c>
      <c r="M49" s="52">
        <v>2</v>
      </c>
      <c r="N49" s="52">
        <v>5</v>
      </c>
      <c r="O49" s="52">
        <v>4.2424242424242422</v>
      </c>
      <c r="P49" s="52">
        <v>4</v>
      </c>
      <c r="Q49" s="52">
        <v>3</v>
      </c>
      <c r="R49" s="52">
        <v>1</v>
      </c>
      <c r="S49" s="52">
        <v>2</v>
      </c>
      <c r="T49" s="52">
        <v>2</v>
      </c>
      <c r="U49" s="52">
        <v>72</v>
      </c>
      <c r="V49" s="52">
        <v>189</v>
      </c>
      <c r="W49" s="52"/>
      <c r="X49" s="52"/>
      <c r="Y49" s="52"/>
      <c r="Z49" s="52"/>
      <c r="AA49" s="52"/>
      <c r="AB49" s="52"/>
      <c r="AC49" s="53"/>
      <c r="AD49" s="7"/>
      <c r="AE49" s="7"/>
      <c r="AG49" s="17">
        <v>8</v>
      </c>
      <c r="AH49" s="51"/>
      <c r="AI49" s="52"/>
      <c r="AJ49" s="52"/>
      <c r="AK49" s="52"/>
      <c r="AL49" s="52"/>
      <c r="AM49" s="52"/>
      <c r="AN49" s="52"/>
      <c r="AO49" s="52"/>
      <c r="AP49" s="52">
        <v>5974</v>
      </c>
      <c r="AQ49" s="52">
        <v>3465</v>
      </c>
      <c r="AR49" s="52">
        <v>2551</v>
      </c>
      <c r="AS49" s="52">
        <v>1292</v>
      </c>
      <c r="AT49" s="52">
        <v>146</v>
      </c>
      <c r="AU49" s="52">
        <v>69.209499222430864</v>
      </c>
      <c r="AV49" s="52">
        <v>16</v>
      </c>
      <c r="AW49" s="52">
        <v>53</v>
      </c>
      <c r="AX49" s="52">
        <v>31</v>
      </c>
      <c r="AY49" s="52">
        <v>68</v>
      </c>
      <c r="AZ49" s="52">
        <v>177</v>
      </c>
      <c r="BA49" s="52">
        <v>347</v>
      </c>
      <c r="BB49" s="52">
        <v>274</v>
      </c>
      <c r="BC49" s="52"/>
      <c r="BD49" s="52"/>
      <c r="BE49" s="52"/>
      <c r="BF49" s="52"/>
      <c r="BG49" s="52"/>
      <c r="BH49" s="52"/>
      <c r="BI49" s="53"/>
      <c r="BJ49" s="7"/>
      <c r="BK49" s="7"/>
      <c r="BM49" s="17">
        <v>8</v>
      </c>
      <c r="BN49" s="51"/>
      <c r="BO49" s="52"/>
      <c r="BP49" s="52"/>
      <c r="BQ49" s="52"/>
      <c r="BR49" s="52"/>
      <c r="BS49" s="52"/>
      <c r="BT49" s="52"/>
      <c r="BU49" s="52"/>
      <c r="BV49" s="52">
        <v>19540</v>
      </c>
      <c r="BW49" s="52">
        <v>17797</v>
      </c>
      <c r="BX49" s="52">
        <v>16682</v>
      </c>
      <c r="BY49" s="52">
        <v>15564</v>
      </c>
      <c r="BZ49" s="52">
        <v>10968</v>
      </c>
      <c r="CA49" s="52">
        <v>10820.772799501252</v>
      </c>
      <c r="CB49" s="52">
        <v>8793</v>
      </c>
      <c r="CC49" s="52">
        <v>6983</v>
      </c>
      <c r="CD49" s="52">
        <v>6617</v>
      </c>
      <c r="CE49" s="52">
        <v>7230</v>
      </c>
      <c r="CF49" s="52">
        <v>6821</v>
      </c>
      <c r="CG49" s="52">
        <v>7449</v>
      </c>
      <c r="CH49" s="52">
        <v>5892</v>
      </c>
      <c r="CI49" s="52"/>
      <c r="CJ49" s="52"/>
      <c r="CK49" s="52"/>
      <c r="CL49" s="52"/>
      <c r="CM49" s="52"/>
      <c r="CN49" s="52"/>
      <c r="CO49" s="53"/>
      <c r="CP49" s="7"/>
      <c r="CQ49" s="7"/>
      <c r="CS49" s="17">
        <v>8</v>
      </c>
      <c r="CT49" s="51"/>
      <c r="CU49" s="52"/>
      <c r="CV49" s="52"/>
      <c r="CW49" s="52"/>
      <c r="CX49" s="52"/>
      <c r="CY49" s="52"/>
      <c r="CZ49" s="52"/>
      <c r="DA49" s="52"/>
      <c r="DB49" s="52">
        <v>24714</v>
      </c>
      <c r="DC49" s="52">
        <v>17791</v>
      </c>
      <c r="DD49" s="52">
        <v>13825</v>
      </c>
      <c r="DE49" s="52">
        <v>13054</v>
      </c>
      <c r="DF49" s="52">
        <v>10859</v>
      </c>
      <c r="DG49" s="52">
        <v>9567.8096040384626</v>
      </c>
      <c r="DH49" s="52">
        <v>7424</v>
      </c>
      <c r="DI49" s="52">
        <v>8763</v>
      </c>
      <c r="DJ49" s="52">
        <v>6715</v>
      </c>
      <c r="DK49" s="52">
        <v>6543</v>
      </c>
      <c r="DL49" s="52">
        <v>6167</v>
      </c>
      <c r="DM49" s="52">
        <v>6642</v>
      </c>
      <c r="DN49" s="52">
        <v>5426</v>
      </c>
      <c r="DO49" s="52"/>
      <c r="DP49" s="52"/>
      <c r="DQ49" s="52"/>
      <c r="DR49" s="52"/>
      <c r="DS49" s="52"/>
      <c r="DT49" s="52"/>
      <c r="DU49" s="53"/>
      <c r="DV49" s="7"/>
      <c r="DW49" s="7"/>
    </row>
    <row r="50" spans="1:127">
      <c r="A50" s="17">
        <v>9</v>
      </c>
      <c r="B50" s="51"/>
      <c r="C50" s="52"/>
      <c r="D50" s="52"/>
      <c r="E50" s="52"/>
      <c r="F50" s="52"/>
      <c r="G50" s="52"/>
      <c r="H50" s="52"/>
      <c r="I50" s="52"/>
      <c r="J50" s="52"/>
      <c r="K50" s="52">
        <v>2</v>
      </c>
      <c r="L50" s="52">
        <v>1</v>
      </c>
      <c r="M50" s="52">
        <v>0</v>
      </c>
      <c r="N50" s="52">
        <v>4</v>
      </c>
      <c r="O50" s="52">
        <v>5</v>
      </c>
      <c r="P50" s="52">
        <v>4.4743083003952568</v>
      </c>
      <c r="Q50" s="52">
        <v>3</v>
      </c>
      <c r="R50" s="52">
        <v>3</v>
      </c>
      <c r="S50" s="52">
        <v>1</v>
      </c>
      <c r="T50" s="52">
        <v>6</v>
      </c>
      <c r="U50" s="52">
        <v>59</v>
      </c>
      <c r="V50" s="52">
        <v>156</v>
      </c>
      <c r="W50" s="52">
        <v>175</v>
      </c>
      <c r="X50" s="52"/>
      <c r="Y50" s="52"/>
      <c r="Z50" s="52"/>
      <c r="AA50" s="52"/>
      <c r="AB50" s="52"/>
      <c r="AC50" s="53"/>
      <c r="AD50" s="7"/>
      <c r="AE50" s="7"/>
      <c r="AG50" s="17">
        <v>9</v>
      </c>
      <c r="AH50" s="51"/>
      <c r="AI50" s="52"/>
      <c r="AJ50" s="52"/>
      <c r="AK50" s="52"/>
      <c r="AL50" s="52"/>
      <c r="AM50" s="52"/>
      <c r="AN50" s="52"/>
      <c r="AO50" s="52"/>
      <c r="AP50" s="52"/>
      <c r="AQ50" s="52">
        <v>3655</v>
      </c>
      <c r="AR50" s="52">
        <v>2551</v>
      </c>
      <c r="AS50" s="52">
        <v>1340</v>
      </c>
      <c r="AT50" s="52">
        <v>156</v>
      </c>
      <c r="AU50" s="52">
        <v>70</v>
      </c>
      <c r="AV50" s="52">
        <v>11.64580801944107</v>
      </c>
      <c r="AW50" s="52">
        <v>49</v>
      </c>
      <c r="AX50" s="52">
        <v>30</v>
      </c>
      <c r="AY50" s="52">
        <v>58</v>
      </c>
      <c r="AZ50" s="52">
        <v>173</v>
      </c>
      <c r="BA50" s="52">
        <v>297</v>
      </c>
      <c r="BB50" s="52">
        <v>244</v>
      </c>
      <c r="BC50" s="52">
        <v>177</v>
      </c>
      <c r="BD50" s="52"/>
      <c r="BE50" s="52"/>
      <c r="BF50" s="52"/>
      <c r="BG50" s="52"/>
      <c r="BH50" s="52"/>
      <c r="BI50" s="53"/>
      <c r="BJ50" s="7"/>
      <c r="BK50" s="7"/>
      <c r="BM50" s="17">
        <v>9</v>
      </c>
      <c r="BN50" s="51"/>
      <c r="BO50" s="52"/>
      <c r="BP50" s="52"/>
      <c r="BQ50" s="52"/>
      <c r="BR50" s="52"/>
      <c r="BS50" s="52"/>
      <c r="BT50" s="52"/>
      <c r="BU50" s="52"/>
      <c r="BV50" s="52"/>
      <c r="BW50" s="52">
        <v>18266</v>
      </c>
      <c r="BX50" s="52">
        <v>16470</v>
      </c>
      <c r="BY50" s="52">
        <v>15915</v>
      </c>
      <c r="BZ50" s="52">
        <v>10758</v>
      </c>
      <c r="CA50" s="52">
        <v>10210</v>
      </c>
      <c r="CB50" s="52">
        <v>8366.2057385727821</v>
      </c>
      <c r="CC50" s="52">
        <v>6678</v>
      </c>
      <c r="CD50" s="52">
        <v>6307</v>
      </c>
      <c r="CE50" s="52">
        <v>6383</v>
      </c>
      <c r="CF50" s="52">
        <v>6251</v>
      </c>
      <c r="CG50" s="52">
        <v>6468</v>
      </c>
      <c r="CH50" s="52">
        <v>5473</v>
      </c>
      <c r="CI50" s="52">
        <v>5536</v>
      </c>
      <c r="CJ50" s="52"/>
      <c r="CK50" s="52"/>
      <c r="CL50" s="52"/>
      <c r="CM50" s="52"/>
      <c r="CN50" s="52"/>
      <c r="CO50" s="53"/>
      <c r="CP50" s="7"/>
      <c r="CQ50" s="7"/>
      <c r="CS50" s="17">
        <v>9</v>
      </c>
      <c r="CT50" s="51"/>
      <c r="CU50" s="52"/>
      <c r="CV50" s="52"/>
      <c r="CW50" s="52"/>
      <c r="CX50" s="52"/>
      <c r="CY50" s="52"/>
      <c r="CZ50" s="52"/>
      <c r="DA50" s="52"/>
      <c r="DB50" s="52"/>
      <c r="DC50" s="52">
        <v>17540</v>
      </c>
      <c r="DD50" s="52">
        <v>13085</v>
      </c>
      <c r="DE50" s="52">
        <v>12924</v>
      </c>
      <c r="DF50" s="52">
        <v>10064</v>
      </c>
      <c r="DG50" s="52">
        <v>8686</v>
      </c>
      <c r="DH50" s="52">
        <v>6817.1931571663945</v>
      </c>
      <c r="DI50" s="52">
        <v>8397</v>
      </c>
      <c r="DJ50" s="52">
        <v>6508</v>
      </c>
      <c r="DK50" s="52">
        <v>5985</v>
      </c>
      <c r="DL50" s="52">
        <v>5799</v>
      </c>
      <c r="DM50" s="52">
        <v>5727</v>
      </c>
      <c r="DN50" s="52">
        <v>5048</v>
      </c>
      <c r="DO50" s="52">
        <v>3636</v>
      </c>
      <c r="DP50" s="52"/>
      <c r="DQ50" s="52"/>
      <c r="DR50" s="52"/>
      <c r="DS50" s="52"/>
      <c r="DT50" s="52"/>
      <c r="DU50" s="53"/>
      <c r="DV50" s="7"/>
      <c r="DW50" s="7"/>
    </row>
    <row r="51" spans="1:127">
      <c r="A51" s="17">
        <v>10</v>
      </c>
      <c r="B51" s="51"/>
      <c r="C51" s="52"/>
      <c r="D51" s="52"/>
      <c r="E51" s="52"/>
      <c r="F51" s="52"/>
      <c r="G51" s="52"/>
      <c r="H51" s="52"/>
      <c r="I51" s="52"/>
      <c r="J51" s="52"/>
      <c r="K51" s="52"/>
      <c r="L51" s="52">
        <v>2</v>
      </c>
      <c r="M51" s="52">
        <v>2</v>
      </c>
      <c r="N51" s="52">
        <v>5</v>
      </c>
      <c r="O51" s="52">
        <v>2</v>
      </c>
      <c r="P51" s="52">
        <v>5</v>
      </c>
      <c r="Q51" s="52">
        <v>1.8985507246376812</v>
      </c>
      <c r="R51" s="52">
        <v>3</v>
      </c>
      <c r="S51" s="52">
        <v>1</v>
      </c>
      <c r="T51" s="52">
        <v>1</v>
      </c>
      <c r="U51" s="52">
        <v>55</v>
      </c>
      <c r="V51" s="52">
        <v>124</v>
      </c>
      <c r="W51" s="52">
        <v>141</v>
      </c>
      <c r="X51" s="52">
        <v>137</v>
      </c>
      <c r="Y51" s="52"/>
      <c r="Z51" s="52"/>
      <c r="AA51" s="52"/>
      <c r="AB51" s="52"/>
      <c r="AC51" s="53"/>
      <c r="AD51" s="7"/>
      <c r="AE51" s="7"/>
      <c r="AG51" s="17">
        <v>10</v>
      </c>
      <c r="AH51" s="51"/>
      <c r="AI51" s="52"/>
      <c r="AJ51" s="52"/>
      <c r="AK51" s="52"/>
      <c r="AL51" s="52"/>
      <c r="AM51" s="52"/>
      <c r="AN51" s="52"/>
      <c r="AO51" s="52"/>
      <c r="AP51" s="52"/>
      <c r="AQ51" s="52"/>
      <c r="AR51" s="52">
        <v>2593</v>
      </c>
      <c r="AS51" s="52">
        <v>1325</v>
      </c>
      <c r="AT51" s="52">
        <v>159</v>
      </c>
      <c r="AU51" s="52">
        <v>67</v>
      </c>
      <c r="AV51" s="52">
        <v>14</v>
      </c>
      <c r="AW51" s="52">
        <v>41.876781407289855</v>
      </c>
      <c r="AX51" s="52">
        <v>23</v>
      </c>
      <c r="AY51" s="52">
        <v>60</v>
      </c>
      <c r="AZ51" s="52">
        <v>149</v>
      </c>
      <c r="BA51" s="52">
        <v>260</v>
      </c>
      <c r="BB51" s="52">
        <v>200</v>
      </c>
      <c r="BC51" s="52">
        <v>161</v>
      </c>
      <c r="BD51" s="52">
        <v>202</v>
      </c>
      <c r="BE51" s="52"/>
      <c r="BF51" s="52"/>
      <c r="BG51" s="52"/>
      <c r="BH51" s="52"/>
      <c r="BI51" s="53"/>
      <c r="BJ51" s="7"/>
      <c r="BK51" s="7"/>
      <c r="BM51" s="17">
        <v>10</v>
      </c>
      <c r="BN51" s="51"/>
      <c r="BO51" s="52"/>
      <c r="BP51" s="52"/>
      <c r="BQ51" s="52"/>
      <c r="BR51" s="52"/>
      <c r="BS51" s="52"/>
      <c r="BT51" s="52"/>
      <c r="BU51" s="52"/>
      <c r="BV51" s="52"/>
      <c r="BW51" s="52"/>
      <c r="BX51" s="52">
        <v>16476</v>
      </c>
      <c r="BY51" s="52">
        <v>15171</v>
      </c>
      <c r="BZ51" s="52">
        <v>10631</v>
      </c>
      <c r="CA51" s="52">
        <v>9365</v>
      </c>
      <c r="CB51" s="52">
        <v>7396</v>
      </c>
      <c r="CC51" s="52">
        <v>5937.4189135349243</v>
      </c>
      <c r="CD51" s="52">
        <v>5702</v>
      </c>
      <c r="CE51" s="52">
        <v>5977</v>
      </c>
      <c r="CF51" s="52">
        <v>5163</v>
      </c>
      <c r="CG51" s="52">
        <v>5711</v>
      </c>
      <c r="CH51" s="52">
        <v>4485</v>
      </c>
      <c r="CI51" s="52">
        <v>4922</v>
      </c>
      <c r="CJ51" s="52">
        <v>5112</v>
      </c>
      <c r="CK51" s="52"/>
      <c r="CL51" s="52"/>
      <c r="CM51" s="52"/>
      <c r="CN51" s="52"/>
      <c r="CO51" s="53"/>
      <c r="CP51" s="7"/>
      <c r="CQ51" s="7"/>
      <c r="CS51" s="17">
        <v>10</v>
      </c>
      <c r="CT51" s="51"/>
      <c r="CU51" s="52"/>
      <c r="CV51" s="52"/>
      <c r="CW51" s="52"/>
      <c r="CX51" s="52"/>
      <c r="CY51" s="52"/>
      <c r="CZ51" s="52"/>
      <c r="DA51" s="52"/>
      <c r="DB51" s="52"/>
      <c r="DC51" s="52"/>
      <c r="DD51" s="52">
        <v>12334</v>
      </c>
      <c r="DE51" s="52">
        <v>11641</v>
      </c>
      <c r="DF51" s="52">
        <v>9387</v>
      </c>
      <c r="DG51" s="52">
        <v>7659</v>
      </c>
      <c r="DH51" s="52">
        <v>5883</v>
      </c>
      <c r="DI51" s="52">
        <v>7036.2320633531635</v>
      </c>
      <c r="DJ51" s="52">
        <v>5934</v>
      </c>
      <c r="DK51" s="52">
        <v>5681</v>
      </c>
      <c r="DL51" s="52">
        <v>4943</v>
      </c>
      <c r="DM51" s="52">
        <v>5109</v>
      </c>
      <c r="DN51" s="52">
        <v>4083</v>
      </c>
      <c r="DO51" s="52">
        <v>3310</v>
      </c>
      <c r="DP51" s="52">
        <v>2846</v>
      </c>
      <c r="DQ51" s="52"/>
      <c r="DR51" s="52"/>
      <c r="DS51" s="52"/>
      <c r="DT51" s="52"/>
      <c r="DU51" s="53"/>
      <c r="DV51" s="7"/>
      <c r="DW51" s="7"/>
    </row>
    <row r="52" spans="1:127">
      <c r="A52" s="17">
        <v>11</v>
      </c>
      <c r="B52" s="51"/>
      <c r="C52" s="52"/>
      <c r="D52" s="52"/>
      <c r="E52" s="52"/>
      <c r="F52" s="52"/>
      <c r="G52" s="52"/>
      <c r="H52" s="52"/>
      <c r="I52" s="52"/>
      <c r="J52" s="52"/>
      <c r="K52" s="52"/>
      <c r="L52" s="52"/>
      <c r="M52" s="52">
        <v>3</v>
      </c>
      <c r="N52" s="52">
        <v>5</v>
      </c>
      <c r="O52" s="52">
        <v>3</v>
      </c>
      <c r="P52" s="52">
        <v>3</v>
      </c>
      <c r="Q52" s="52">
        <v>3</v>
      </c>
      <c r="R52" s="52">
        <v>1.0652173913043479</v>
      </c>
      <c r="S52" s="52">
        <v>1</v>
      </c>
      <c r="T52" s="52">
        <v>2</v>
      </c>
      <c r="U52" s="52">
        <v>43</v>
      </c>
      <c r="V52" s="52">
        <v>99</v>
      </c>
      <c r="W52" s="52">
        <v>112</v>
      </c>
      <c r="X52" s="52">
        <v>93</v>
      </c>
      <c r="Y52" s="52">
        <v>114</v>
      </c>
      <c r="Z52" s="52"/>
      <c r="AA52" s="52"/>
      <c r="AB52" s="52"/>
      <c r="AC52" s="53"/>
      <c r="AD52" s="7"/>
      <c r="AE52" s="7"/>
      <c r="AG52" s="17">
        <v>11</v>
      </c>
      <c r="AH52" s="51"/>
      <c r="AI52" s="52"/>
      <c r="AJ52" s="52"/>
      <c r="AK52" s="52"/>
      <c r="AL52" s="52"/>
      <c r="AM52" s="52"/>
      <c r="AN52" s="52"/>
      <c r="AO52" s="52"/>
      <c r="AP52" s="52"/>
      <c r="AQ52" s="52"/>
      <c r="AR52" s="52"/>
      <c r="AS52" s="52">
        <v>1327</v>
      </c>
      <c r="AT52" s="52">
        <v>155</v>
      </c>
      <c r="AU52" s="52">
        <v>72</v>
      </c>
      <c r="AV52" s="52">
        <v>9</v>
      </c>
      <c r="AW52" s="52">
        <v>33</v>
      </c>
      <c r="AX52" s="52">
        <v>18.758345860087509</v>
      </c>
      <c r="AY52" s="52">
        <v>50</v>
      </c>
      <c r="AZ52" s="52">
        <v>121</v>
      </c>
      <c r="BA52" s="52">
        <v>222</v>
      </c>
      <c r="BB52" s="52">
        <v>172</v>
      </c>
      <c r="BC52" s="52">
        <v>114</v>
      </c>
      <c r="BD52" s="52">
        <v>148</v>
      </c>
      <c r="BE52" s="52">
        <v>167</v>
      </c>
      <c r="BF52" s="52"/>
      <c r="BG52" s="52"/>
      <c r="BH52" s="52"/>
      <c r="BI52" s="53"/>
      <c r="BJ52" s="7"/>
      <c r="BK52" s="7"/>
      <c r="BM52" s="17">
        <v>11</v>
      </c>
      <c r="BN52" s="51"/>
      <c r="BO52" s="52"/>
      <c r="BP52" s="52"/>
      <c r="BQ52" s="52"/>
      <c r="BR52" s="52"/>
      <c r="BS52" s="52"/>
      <c r="BT52" s="52"/>
      <c r="BU52" s="52"/>
      <c r="BV52" s="52"/>
      <c r="BW52" s="52"/>
      <c r="BX52" s="52"/>
      <c r="BY52" s="52">
        <v>15041</v>
      </c>
      <c r="BZ52" s="52">
        <v>9913</v>
      </c>
      <c r="CA52" s="52">
        <v>8810</v>
      </c>
      <c r="CB52" s="52">
        <v>6522</v>
      </c>
      <c r="CC52" s="52">
        <v>5034</v>
      </c>
      <c r="CD52" s="52">
        <v>4701.4268965525416</v>
      </c>
      <c r="CE52" s="52">
        <v>4759</v>
      </c>
      <c r="CF52" s="52">
        <v>4509</v>
      </c>
      <c r="CG52" s="52">
        <v>4329</v>
      </c>
      <c r="CH52" s="52">
        <v>3718</v>
      </c>
      <c r="CI52" s="52">
        <v>3594</v>
      </c>
      <c r="CJ52" s="52">
        <v>3752</v>
      </c>
      <c r="CK52" s="52">
        <v>4363</v>
      </c>
      <c r="CL52" s="52"/>
      <c r="CM52" s="52"/>
      <c r="CN52" s="52"/>
      <c r="CO52" s="53"/>
      <c r="CP52" s="7"/>
      <c r="CQ52" s="7"/>
      <c r="CS52" s="17">
        <v>11</v>
      </c>
      <c r="CT52" s="51"/>
      <c r="CU52" s="52"/>
      <c r="CV52" s="52"/>
      <c r="CW52" s="52"/>
      <c r="CX52" s="52"/>
      <c r="CY52" s="52"/>
      <c r="CZ52" s="52"/>
      <c r="DA52" s="52"/>
      <c r="DB52" s="52"/>
      <c r="DC52" s="52"/>
      <c r="DD52" s="52"/>
      <c r="DE52" s="52">
        <v>10392</v>
      </c>
      <c r="DF52" s="52">
        <v>7997</v>
      </c>
      <c r="DG52" s="52">
        <v>6836</v>
      </c>
      <c r="DH52" s="52">
        <v>4998</v>
      </c>
      <c r="DI52" s="52">
        <v>5834</v>
      </c>
      <c r="DJ52" s="52">
        <v>4702.8017951392758</v>
      </c>
      <c r="DK52" s="52">
        <v>4603</v>
      </c>
      <c r="DL52" s="52">
        <v>4399</v>
      </c>
      <c r="DM52" s="52">
        <v>3941</v>
      </c>
      <c r="DN52" s="52">
        <v>3435</v>
      </c>
      <c r="DO52" s="52">
        <v>2560</v>
      </c>
      <c r="DP52" s="52">
        <v>2185</v>
      </c>
      <c r="DQ52" s="52">
        <v>2071</v>
      </c>
      <c r="DR52" s="52"/>
      <c r="DS52" s="52"/>
      <c r="DT52" s="52"/>
      <c r="DU52" s="53"/>
      <c r="DV52" s="7"/>
      <c r="DW52" s="7"/>
    </row>
    <row r="53" spans="1:127">
      <c r="A53" s="17">
        <v>12</v>
      </c>
      <c r="B53" s="51"/>
      <c r="C53" s="52"/>
      <c r="D53" s="52"/>
      <c r="E53" s="52"/>
      <c r="F53" s="52"/>
      <c r="G53" s="52"/>
      <c r="H53" s="52"/>
      <c r="I53" s="52"/>
      <c r="J53" s="52"/>
      <c r="K53" s="52"/>
      <c r="L53" s="52"/>
      <c r="M53" s="52"/>
      <c r="N53" s="52">
        <v>4</v>
      </c>
      <c r="O53" s="52">
        <v>1</v>
      </c>
      <c r="P53" s="52">
        <v>1</v>
      </c>
      <c r="Q53" s="52">
        <v>3</v>
      </c>
      <c r="R53" s="52">
        <v>1</v>
      </c>
      <c r="S53" s="52">
        <v>0</v>
      </c>
      <c r="T53" s="52">
        <v>1</v>
      </c>
      <c r="U53" s="52">
        <v>32</v>
      </c>
      <c r="V53" s="52">
        <v>71</v>
      </c>
      <c r="W53" s="52">
        <v>89</v>
      </c>
      <c r="X53" s="52">
        <v>70</v>
      </c>
      <c r="Y53" s="52">
        <v>67</v>
      </c>
      <c r="Z53" s="52">
        <v>183</v>
      </c>
      <c r="AA53" s="52"/>
      <c r="AB53" s="52"/>
      <c r="AC53" s="53"/>
      <c r="AD53" s="7"/>
      <c r="AG53" s="17">
        <v>12</v>
      </c>
      <c r="AH53" s="51"/>
      <c r="AI53" s="52"/>
      <c r="AJ53" s="52"/>
      <c r="AK53" s="52"/>
      <c r="AL53" s="52"/>
      <c r="AM53" s="52"/>
      <c r="AN53" s="52"/>
      <c r="AO53" s="52"/>
      <c r="AP53" s="52"/>
      <c r="AQ53" s="52"/>
      <c r="AR53" s="52"/>
      <c r="AS53" s="52"/>
      <c r="AT53" s="52">
        <v>155</v>
      </c>
      <c r="AU53" s="52">
        <v>68</v>
      </c>
      <c r="AV53" s="52">
        <v>12</v>
      </c>
      <c r="AW53" s="52">
        <v>25</v>
      </c>
      <c r="AX53" s="52">
        <v>22</v>
      </c>
      <c r="AY53" s="52">
        <v>33.989707971704746</v>
      </c>
      <c r="AZ53" s="52">
        <v>95</v>
      </c>
      <c r="BA53" s="52">
        <v>174</v>
      </c>
      <c r="BB53" s="52">
        <v>119</v>
      </c>
      <c r="BC53" s="52">
        <v>89</v>
      </c>
      <c r="BD53" s="52">
        <v>103</v>
      </c>
      <c r="BE53" s="52">
        <v>115</v>
      </c>
      <c r="BF53" s="52">
        <v>103</v>
      </c>
      <c r="BG53" s="52"/>
      <c r="BH53" s="52"/>
      <c r="BI53" s="53"/>
      <c r="BJ53" s="7"/>
      <c r="BM53" s="17">
        <v>12</v>
      </c>
      <c r="BN53" s="51"/>
      <c r="BO53" s="52"/>
      <c r="BP53" s="52"/>
      <c r="BQ53" s="52"/>
      <c r="BR53" s="52"/>
      <c r="BS53" s="52"/>
      <c r="BT53" s="52"/>
      <c r="BU53" s="52"/>
      <c r="BV53" s="52"/>
      <c r="BW53" s="52"/>
      <c r="BX53" s="52"/>
      <c r="BY53" s="52"/>
      <c r="BZ53" s="52">
        <v>9253</v>
      </c>
      <c r="CA53" s="52">
        <v>7637</v>
      </c>
      <c r="CB53" s="52">
        <v>5720</v>
      </c>
      <c r="CC53" s="52">
        <v>4088</v>
      </c>
      <c r="CD53" s="52">
        <v>3861</v>
      </c>
      <c r="CE53" s="52">
        <v>3710.974645988279</v>
      </c>
      <c r="CF53" s="52">
        <v>3368</v>
      </c>
      <c r="CG53" s="52">
        <v>3566</v>
      </c>
      <c r="CH53" s="52">
        <v>2622</v>
      </c>
      <c r="CI53" s="52">
        <v>2920</v>
      </c>
      <c r="CJ53" s="52">
        <v>2981</v>
      </c>
      <c r="CK53" s="52">
        <v>2960</v>
      </c>
      <c r="CL53" s="52">
        <v>2726</v>
      </c>
      <c r="CM53" s="52"/>
      <c r="CN53" s="52"/>
      <c r="CO53" s="53"/>
      <c r="CP53" s="7"/>
      <c r="CS53" s="17">
        <v>12</v>
      </c>
      <c r="CT53" s="51"/>
      <c r="CU53" s="52"/>
      <c r="CV53" s="52"/>
      <c r="CW53" s="52"/>
      <c r="CX53" s="52"/>
      <c r="CY53" s="52"/>
      <c r="CZ53" s="52"/>
      <c r="DA53" s="52"/>
      <c r="DB53" s="52"/>
      <c r="DC53" s="52"/>
      <c r="DD53" s="52"/>
      <c r="DE53" s="52"/>
      <c r="DF53" s="52">
        <v>6779</v>
      </c>
      <c r="DG53" s="52">
        <v>5448</v>
      </c>
      <c r="DH53" s="52">
        <v>4054</v>
      </c>
      <c r="DI53" s="52">
        <v>4452</v>
      </c>
      <c r="DJ53" s="52">
        <v>3700</v>
      </c>
      <c r="DK53" s="52">
        <v>3572.9565982830177</v>
      </c>
      <c r="DL53" s="52">
        <v>3508</v>
      </c>
      <c r="DM53" s="52">
        <v>3394</v>
      </c>
      <c r="DN53" s="52">
        <v>2546</v>
      </c>
      <c r="DO53" s="52">
        <v>2190</v>
      </c>
      <c r="DP53" s="52">
        <v>1799</v>
      </c>
      <c r="DQ53" s="52">
        <v>1488</v>
      </c>
      <c r="DR53" s="52">
        <v>1541</v>
      </c>
      <c r="DS53" s="52"/>
      <c r="DT53" s="52"/>
      <c r="DU53" s="53"/>
      <c r="DV53" s="7"/>
    </row>
    <row r="54" spans="1:127" ht="26.25">
      <c r="A54" s="17">
        <v>13</v>
      </c>
      <c r="B54" s="51"/>
      <c r="C54" s="52"/>
      <c r="D54" s="52"/>
      <c r="E54" s="52"/>
      <c r="F54" s="52"/>
      <c r="G54" s="52"/>
      <c r="H54" s="52"/>
      <c r="I54" s="52"/>
      <c r="J54" s="52"/>
      <c r="K54" s="52"/>
      <c r="L54" s="52"/>
      <c r="M54" s="52"/>
      <c r="N54" s="52"/>
      <c r="O54" s="52">
        <v>4</v>
      </c>
      <c r="P54" s="52">
        <v>3</v>
      </c>
      <c r="Q54" s="52">
        <v>2</v>
      </c>
      <c r="R54" s="52">
        <v>1</v>
      </c>
      <c r="S54" s="52">
        <v>0</v>
      </c>
      <c r="T54" s="52">
        <v>0</v>
      </c>
      <c r="U54" s="52">
        <v>26</v>
      </c>
      <c r="V54" s="52">
        <v>60</v>
      </c>
      <c r="W54" s="52">
        <v>64</v>
      </c>
      <c r="X54" s="52">
        <v>45</v>
      </c>
      <c r="Y54" s="52">
        <v>43</v>
      </c>
      <c r="Z54" s="52">
        <v>120</v>
      </c>
      <c r="AA54" s="52">
        <v>86</v>
      </c>
      <c r="AB54" s="52"/>
      <c r="AC54" s="53"/>
      <c r="AD54" s="7"/>
      <c r="AE54" s="9"/>
      <c r="AG54" s="17">
        <v>13</v>
      </c>
      <c r="AH54" s="51"/>
      <c r="AI54" s="52"/>
      <c r="AJ54" s="52"/>
      <c r="AK54" s="52"/>
      <c r="AL54" s="52"/>
      <c r="AM54" s="52"/>
      <c r="AN54" s="52"/>
      <c r="AO54" s="52"/>
      <c r="AP54" s="52"/>
      <c r="AQ54" s="52"/>
      <c r="AR54" s="52"/>
      <c r="AS54" s="52"/>
      <c r="AT54" s="52"/>
      <c r="AU54" s="52">
        <v>72</v>
      </c>
      <c r="AV54" s="52">
        <v>10</v>
      </c>
      <c r="AW54" s="52">
        <v>26</v>
      </c>
      <c r="AX54" s="52">
        <v>11</v>
      </c>
      <c r="AY54" s="52">
        <v>29</v>
      </c>
      <c r="AZ54" s="52">
        <v>65.011615214369385</v>
      </c>
      <c r="BA54" s="52">
        <v>117</v>
      </c>
      <c r="BB54" s="52">
        <v>95</v>
      </c>
      <c r="BC54" s="52">
        <v>58</v>
      </c>
      <c r="BD54" s="52">
        <v>61</v>
      </c>
      <c r="BE54" s="52">
        <v>87</v>
      </c>
      <c r="BF54" s="52">
        <v>68</v>
      </c>
      <c r="BG54" s="52">
        <v>51</v>
      </c>
      <c r="BH54" s="52"/>
      <c r="BI54" s="53"/>
      <c r="BJ54" s="7"/>
      <c r="BK54" s="9"/>
      <c r="BM54" s="17">
        <v>13</v>
      </c>
      <c r="BN54" s="51"/>
      <c r="BO54" s="52"/>
      <c r="BP54" s="52"/>
      <c r="BQ54" s="52"/>
      <c r="BR54" s="52"/>
      <c r="BS54" s="52"/>
      <c r="BT54" s="52"/>
      <c r="BU54" s="52"/>
      <c r="BV54" s="52"/>
      <c r="BW54" s="52"/>
      <c r="BX54" s="52"/>
      <c r="BY54" s="52"/>
      <c r="BZ54" s="52"/>
      <c r="CA54" s="52">
        <v>6879</v>
      </c>
      <c r="CB54" s="52">
        <v>4791</v>
      </c>
      <c r="CC54" s="52">
        <v>3556</v>
      </c>
      <c r="CD54" s="52">
        <v>2882</v>
      </c>
      <c r="CE54" s="52">
        <v>2652</v>
      </c>
      <c r="CF54" s="52">
        <v>2437.4009144556039</v>
      </c>
      <c r="CG54" s="52">
        <v>2421</v>
      </c>
      <c r="CH54" s="52">
        <v>2056</v>
      </c>
      <c r="CI54" s="52">
        <v>1931</v>
      </c>
      <c r="CJ54" s="52">
        <v>2104</v>
      </c>
      <c r="CK54" s="52">
        <v>2237</v>
      </c>
      <c r="CL54" s="52">
        <v>1637</v>
      </c>
      <c r="CM54" s="52">
        <v>1413</v>
      </c>
      <c r="CN54" s="52"/>
      <c r="CO54" s="53"/>
      <c r="CP54" s="7"/>
      <c r="CQ54" s="9"/>
      <c r="CS54" s="17">
        <v>13</v>
      </c>
      <c r="CT54" s="51"/>
      <c r="CU54" s="52"/>
      <c r="CV54" s="52"/>
      <c r="CW54" s="52"/>
      <c r="CX54" s="52"/>
      <c r="CY54" s="52"/>
      <c r="CZ54" s="52"/>
      <c r="DA54" s="52"/>
      <c r="DB54" s="52"/>
      <c r="DC54" s="52"/>
      <c r="DD54" s="52"/>
      <c r="DE54" s="52"/>
      <c r="DF54" s="52"/>
      <c r="DG54" s="52">
        <v>4428</v>
      </c>
      <c r="DH54" s="52">
        <v>3173</v>
      </c>
      <c r="DI54" s="52">
        <v>3724</v>
      </c>
      <c r="DJ54" s="52">
        <v>2621</v>
      </c>
      <c r="DK54" s="52">
        <v>2505</v>
      </c>
      <c r="DL54" s="52">
        <v>2593.6589827644202</v>
      </c>
      <c r="DM54" s="52">
        <v>2541</v>
      </c>
      <c r="DN54" s="52">
        <v>2198</v>
      </c>
      <c r="DO54" s="52">
        <v>1654</v>
      </c>
      <c r="DP54" s="52">
        <v>1326</v>
      </c>
      <c r="DQ54" s="52">
        <v>1218</v>
      </c>
      <c r="DR54" s="52">
        <v>1031</v>
      </c>
      <c r="DS54" s="52">
        <v>730</v>
      </c>
      <c r="DT54" s="52"/>
      <c r="DU54" s="53"/>
      <c r="DV54" s="7"/>
      <c r="DW54" s="9"/>
    </row>
    <row r="55" spans="1:127">
      <c r="A55" s="17">
        <v>14</v>
      </c>
      <c r="B55" s="51"/>
      <c r="C55" s="52"/>
      <c r="D55" s="52"/>
      <c r="E55" s="52"/>
      <c r="F55" s="52"/>
      <c r="G55" s="52"/>
      <c r="H55" s="52"/>
      <c r="I55" s="52"/>
      <c r="J55" s="52"/>
      <c r="K55" s="52"/>
      <c r="L55" s="52"/>
      <c r="M55" s="52"/>
      <c r="N55" s="52"/>
      <c r="O55" s="52"/>
      <c r="P55" s="52">
        <v>3</v>
      </c>
      <c r="Q55" s="52">
        <v>2</v>
      </c>
      <c r="R55" s="52">
        <v>1</v>
      </c>
      <c r="S55" s="52">
        <v>0</v>
      </c>
      <c r="T55" s="52">
        <v>0</v>
      </c>
      <c r="U55" s="52">
        <v>14.681159420289855</v>
      </c>
      <c r="V55" s="52">
        <v>36</v>
      </c>
      <c r="W55" s="52">
        <v>48</v>
      </c>
      <c r="X55" s="52">
        <v>31</v>
      </c>
      <c r="Y55" s="52">
        <v>29</v>
      </c>
      <c r="Z55" s="52">
        <v>83</v>
      </c>
      <c r="AA55" s="52">
        <v>53</v>
      </c>
      <c r="AB55" s="52">
        <v>35</v>
      </c>
      <c r="AC55" s="53"/>
      <c r="AD55" s="7"/>
      <c r="AE55" s="4"/>
      <c r="AG55" s="17">
        <v>14</v>
      </c>
      <c r="AH55" s="51"/>
      <c r="AI55" s="52"/>
      <c r="AJ55" s="52"/>
      <c r="AK55" s="52"/>
      <c r="AL55" s="52"/>
      <c r="AM55" s="52"/>
      <c r="AN55" s="52"/>
      <c r="AO55" s="52"/>
      <c r="AP55" s="52"/>
      <c r="AQ55" s="52"/>
      <c r="AR55" s="52"/>
      <c r="AS55" s="52"/>
      <c r="AT55" s="52"/>
      <c r="AU55" s="52"/>
      <c r="AV55" s="52">
        <v>16</v>
      </c>
      <c r="AW55" s="52">
        <v>16</v>
      </c>
      <c r="AX55" s="52">
        <v>11</v>
      </c>
      <c r="AY55" s="52">
        <v>22</v>
      </c>
      <c r="AZ55" s="52">
        <v>42</v>
      </c>
      <c r="BA55" s="52">
        <v>68.802090837074815</v>
      </c>
      <c r="BB55" s="52">
        <v>67</v>
      </c>
      <c r="BC55" s="52">
        <v>47</v>
      </c>
      <c r="BD55" s="52">
        <v>48</v>
      </c>
      <c r="BE55" s="52">
        <v>58</v>
      </c>
      <c r="BF55" s="52">
        <v>45</v>
      </c>
      <c r="BG55" s="52">
        <v>23</v>
      </c>
      <c r="BH55" s="52">
        <v>19</v>
      </c>
      <c r="BI55" s="53"/>
      <c r="BJ55" s="7"/>
      <c r="BK55" s="4"/>
      <c r="BM55" s="17">
        <v>14</v>
      </c>
      <c r="BN55" s="51"/>
      <c r="BO55" s="52"/>
      <c r="BP55" s="52"/>
      <c r="BQ55" s="52"/>
      <c r="BR55" s="52"/>
      <c r="BS55" s="52"/>
      <c r="BT55" s="52"/>
      <c r="BU55" s="52"/>
      <c r="BV55" s="52"/>
      <c r="BW55" s="52"/>
      <c r="BX55" s="52"/>
      <c r="BY55" s="52"/>
      <c r="BZ55" s="52"/>
      <c r="CA55" s="52"/>
      <c r="CB55" s="52">
        <v>4007</v>
      </c>
      <c r="CC55" s="52">
        <v>2700</v>
      </c>
      <c r="CD55" s="52">
        <v>2434</v>
      </c>
      <c r="CE55" s="52">
        <v>2141</v>
      </c>
      <c r="CF55" s="52">
        <v>1644</v>
      </c>
      <c r="CG55" s="52">
        <v>1736.6062297311883</v>
      </c>
      <c r="CH55" s="52">
        <v>1344</v>
      </c>
      <c r="CI55" s="52">
        <v>1511</v>
      </c>
      <c r="CJ55" s="52">
        <v>1623</v>
      </c>
      <c r="CK55" s="52">
        <v>1352</v>
      </c>
      <c r="CL55" s="52">
        <v>1191</v>
      </c>
      <c r="CM55" s="52">
        <v>819</v>
      </c>
      <c r="CN55" s="52">
        <v>827</v>
      </c>
      <c r="CO55" s="53"/>
      <c r="CP55" s="7"/>
      <c r="CQ55" s="4"/>
      <c r="CS55" s="17">
        <v>14</v>
      </c>
      <c r="CT55" s="51"/>
      <c r="CU55" s="52"/>
      <c r="CV55" s="52"/>
      <c r="CW55" s="52"/>
      <c r="CX55" s="52"/>
      <c r="CY55" s="52"/>
      <c r="CZ55" s="52"/>
      <c r="DA55" s="52"/>
      <c r="DB55" s="52"/>
      <c r="DC55" s="52"/>
      <c r="DD55" s="52"/>
      <c r="DE55" s="52"/>
      <c r="DF55" s="52"/>
      <c r="DG55" s="52"/>
      <c r="DH55" s="52">
        <v>2372</v>
      </c>
      <c r="DI55" s="52">
        <v>2640</v>
      </c>
      <c r="DJ55" s="52">
        <v>2134</v>
      </c>
      <c r="DK55" s="52">
        <v>1880</v>
      </c>
      <c r="DL55" s="52">
        <v>1743</v>
      </c>
      <c r="DM55" s="52">
        <v>1825.8635345735775</v>
      </c>
      <c r="DN55" s="52">
        <v>1576</v>
      </c>
      <c r="DO55" s="52">
        <v>1426</v>
      </c>
      <c r="DP55" s="52">
        <v>1010</v>
      </c>
      <c r="DQ55" s="52">
        <v>840</v>
      </c>
      <c r="DR55" s="52">
        <v>763</v>
      </c>
      <c r="DS55" s="52">
        <v>474</v>
      </c>
      <c r="DT55" s="52">
        <v>463</v>
      </c>
      <c r="DU55" s="53"/>
      <c r="DV55" s="7"/>
      <c r="DW55" s="4"/>
    </row>
    <row r="56" spans="1:127" ht="15.75" thickBot="1">
      <c r="A56" s="696">
        <v>15</v>
      </c>
      <c r="B56" s="697"/>
      <c r="C56" s="698"/>
      <c r="D56" s="698"/>
      <c r="E56" s="698"/>
      <c r="F56" s="698"/>
      <c r="G56" s="698"/>
      <c r="H56" s="698"/>
      <c r="I56" s="698"/>
      <c r="J56" s="698"/>
      <c r="K56" s="698"/>
      <c r="L56" s="698"/>
      <c r="M56" s="698"/>
      <c r="N56" s="698"/>
      <c r="O56" s="698"/>
      <c r="P56" s="698"/>
      <c r="Q56" s="698">
        <v>2</v>
      </c>
      <c r="R56" s="698">
        <v>1</v>
      </c>
      <c r="S56" s="698">
        <v>0</v>
      </c>
      <c r="T56" s="698">
        <v>0</v>
      </c>
      <c r="U56" s="698">
        <v>6</v>
      </c>
      <c r="V56" s="698">
        <v>25.139328063241106</v>
      </c>
      <c r="W56" s="698">
        <v>26</v>
      </c>
      <c r="X56" s="698">
        <v>27</v>
      </c>
      <c r="Y56" s="698">
        <v>25</v>
      </c>
      <c r="Z56" s="698">
        <v>53</v>
      </c>
      <c r="AA56" s="698">
        <v>35</v>
      </c>
      <c r="AB56" s="698">
        <v>17</v>
      </c>
      <c r="AC56" s="699">
        <v>12</v>
      </c>
      <c r="AD56" s="7"/>
      <c r="AE56" s="6"/>
      <c r="AG56" s="696">
        <v>15</v>
      </c>
      <c r="AH56" s="697"/>
      <c r="AI56" s="698"/>
      <c r="AJ56" s="698"/>
      <c r="AK56" s="698"/>
      <c r="AL56" s="698"/>
      <c r="AM56" s="698"/>
      <c r="AN56" s="698"/>
      <c r="AO56" s="698"/>
      <c r="AP56" s="698"/>
      <c r="AQ56" s="698"/>
      <c r="AR56" s="698"/>
      <c r="AS56" s="698"/>
      <c r="AT56" s="698"/>
      <c r="AU56" s="698"/>
      <c r="AV56" s="698"/>
      <c r="AW56" s="698">
        <v>13</v>
      </c>
      <c r="AX56" s="698">
        <v>12</v>
      </c>
      <c r="AY56" s="698">
        <v>18</v>
      </c>
      <c r="AZ56" s="698">
        <v>34</v>
      </c>
      <c r="BA56" s="698">
        <v>52</v>
      </c>
      <c r="BB56" s="698">
        <v>45.226898281535895</v>
      </c>
      <c r="BC56" s="698">
        <v>32</v>
      </c>
      <c r="BD56" s="698">
        <v>30</v>
      </c>
      <c r="BE56" s="698">
        <v>38</v>
      </c>
      <c r="BF56" s="698">
        <v>27</v>
      </c>
      <c r="BG56" s="698">
        <v>17</v>
      </c>
      <c r="BH56" s="698">
        <v>12</v>
      </c>
      <c r="BI56" s="699">
        <v>6</v>
      </c>
      <c r="BJ56" s="7"/>
      <c r="BK56" s="6"/>
      <c r="BM56" s="696">
        <v>15</v>
      </c>
      <c r="BN56" s="697"/>
      <c r="BO56" s="698"/>
      <c r="BP56" s="698"/>
      <c r="BQ56" s="698"/>
      <c r="BR56" s="698"/>
      <c r="BS56" s="698"/>
      <c r="BT56" s="698"/>
      <c r="BU56" s="698"/>
      <c r="BV56" s="698"/>
      <c r="BW56" s="698"/>
      <c r="BX56" s="698"/>
      <c r="BY56" s="698"/>
      <c r="BZ56" s="698"/>
      <c r="CA56" s="698"/>
      <c r="CB56" s="698"/>
      <c r="CC56" s="698">
        <v>2203</v>
      </c>
      <c r="CD56" s="698">
        <v>1615</v>
      </c>
      <c r="CE56" s="698">
        <v>1538</v>
      </c>
      <c r="CF56" s="698">
        <v>1269</v>
      </c>
      <c r="CG56" s="698">
        <v>1072</v>
      </c>
      <c r="CH56" s="698">
        <v>924.13697019204255</v>
      </c>
      <c r="CI56" s="698">
        <v>964</v>
      </c>
      <c r="CJ56" s="698">
        <v>1144</v>
      </c>
      <c r="CK56" s="698">
        <v>1015</v>
      </c>
      <c r="CL56" s="698">
        <v>697</v>
      </c>
      <c r="CM56" s="698">
        <v>570</v>
      </c>
      <c r="CN56" s="698">
        <v>453</v>
      </c>
      <c r="CO56" s="699">
        <v>616</v>
      </c>
      <c r="CP56" s="7"/>
      <c r="CQ56" s="6"/>
      <c r="CS56" s="696">
        <v>15</v>
      </c>
      <c r="CT56" s="697"/>
      <c r="CU56" s="698"/>
      <c r="CV56" s="698"/>
      <c r="CW56" s="698"/>
      <c r="CX56" s="698"/>
      <c r="CY56" s="698"/>
      <c r="CZ56" s="698"/>
      <c r="DA56" s="698"/>
      <c r="DB56" s="698"/>
      <c r="DC56" s="698"/>
      <c r="DD56" s="698"/>
      <c r="DE56" s="698"/>
      <c r="DF56" s="698"/>
      <c r="DG56" s="698"/>
      <c r="DH56" s="698"/>
      <c r="DI56" s="698">
        <v>1961</v>
      </c>
      <c r="DJ56" s="698">
        <v>1418</v>
      </c>
      <c r="DK56" s="698">
        <v>1376</v>
      </c>
      <c r="DL56" s="698">
        <v>1252</v>
      </c>
      <c r="DM56" s="698">
        <v>1187</v>
      </c>
      <c r="DN56" s="698">
        <v>1078.0019114999141</v>
      </c>
      <c r="DO56" s="698">
        <v>1077</v>
      </c>
      <c r="DP56" s="698">
        <v>743</v>
      </c>
      <c r="DQ56" s="698">
        <v>660</v>
      </c>
      <c r="DR56" s="698">
        <v>547</v>
      </c>
      <c r="DS56" s="698">
        <v>352</v>
      </c>
      <c r="DT56" s="698">
        <v>291</v>
      </c>
      <c r="DU56" s="699">
        <v>270</v>
      </c>
      <c r="DV56" s="7"/>
      <c r="DW56" s="6"/>
    </row>
    <row r="57" spans="1:127" ht="15.75" thickBot="1">
      <c r="AE57" s="6"/>
      <c r="BK57" s="6"/>
      <c r="CQ57" s="6"/>
      <c r="DW57" s="6"/>
    </row>
    <row r="58" spans="1:127" ht="26.25">
      <c r="A58" s="1728" t="s">
        <v>24</v>
      </c>
      <c r="B58" s="1729"/>
      <c r="C58" s="1729"/>
      <c r="D58" s="1729"/>
      <c r="E58" s="1729"/>
      <c r="F58" s="1729"/>
      <c r="G58" s="1729"/>
      <c r="H58" s="1729"/>
      <c r="I58" s="1729"/>
      <c r="J58" s="1729"/>
      <c r="K58" s="1729"/>
      <c r="L58" s="1729"/>
      <c r="M58" s="1729"/>
      <c r="N58" s="1729"/>
      <c r="O58" s="1729"/>
      <c r="P58" s="1729"/>
      <c r="Q58" s="1729"/>
      <c r="R58" s="1729"/>
      <c r="S58" s="1729"/>
      <c r="T58" s="1729"/>
      <c r="U58" s="1729"/>
      <c r="V58" s="1729"/>
      <c r="W58" s="1729"/>
      <c r="X58" s="1729"/>
      <c r="Y58" s="1729"/>
      <c r="Z58" s="1729"/>
      <c r="AA58" s="1729"/>
      <c r="AB58" s="1729"/>
      <c r="AC58" s="1729"/>
      <c r="AD58" s="1729"/>
      <c r="AE58" s="1730"/>
      <c r="AG58" s="1728" t="s">
        <v>25</v>
      </c>
      <c r="AH58" s="1729"/>
      <c r="AI58" s="1729"/>
      <c r="AJ58" s="1729"/>
      <c r="AK58" s="1729"/>
      <c r="AL58" s="1729"/>
      <c r="AM58" s="1729"/>
      <c r="AN58" s="1729"/>
      <c r="AO58" s="1729"/>
      <c r="AP58" s="1729"/>
      <c r="AQ58" s="1729"/>
      <c r="AR58" s="1729"/>
      <c r="AS58" s="1729"/>
      <c r="AT58" s="1729"/>
      <c r="AU58" s="1729"/>
      <c r="AV58" s="1729"/>
      <c r="AW58" s="1729"/>
      <c r="AX58" s="1729"/>
      <c r="AY58" s="1729"/>
      <c r="AZ58" s="1729"/>
      <c r="BA58" s="1729"/>
      <c r="BB58" s="1729"/>
      <c r="BC58" s="1729"/>
      <c r="BD58" s="1729"/>
      <c r="BE58" s="1729"/>
      <c r="BF58" s="1729"/>
      <c r="BG58" s="1729"/>
      <c r="BH58" s="1729"/>
      <c r="BI58" s="1729"/>
      <c r="BJ58" s="1729"/>
      <c r="BK58" s="1730"/>
      <c r="BM58" s="1728" t="s">
        <v>26</v>
      </c>
      <c r="BN58" s="1729"/>
      <c r="BO58" s="1729"/>
      <c r="BP58" s="1729"/>
      <c r="BQ58" s="1729"/>
      <c r="BR58" s="1729"/>
      <c r="BS58" s="1729"/>
      <c r="BT58" s="1729"/>
      <c r="BU58" s="1729"/>
      <c r="BV58" s="1729"/>
      <c r="BW58" s="1729"/>
      <c r="BX58" s="1729"/>
      <c r="BY58" s="1729"/>
      <c r="BZ58" s="1729"/>
      <c r="CA58" s="1729"/>
      <c r="CB58" s="1729"/>
      <c r="CC58" s="1729"/>
      <c r="CD58" s="1729"/>
      <c r="CE58" s="1729"/>
      <c r="CF58" s="1729"/>
      <c r="CG58" s="1729"/>
      <c r="CH58" s="1729"/>
      <c r="CI58" s="1729"/>
      <c r="CJ58" s="1729"/>
      <c r="CK58" s="1729"/>
      <c r="CL58" s="1729"/>
      <c r="CM58" s="1729"/>
      <c r="CN58" s="1729"/>
      <c r="CO58" s="1729"/>
      <c r="CP58" s="1729"/>
      <c r="CQ58" s="1730"/>
      <c r="CS58" s="1728" t="s">
        <v>27</v>
      </c>
      <c r="CT58" s="1729"/>
      <c r="CU58" s="1729"/>
      <c r="CV58" s="1729"/>
      <c r="CW58" s="1729"/>
      <c r="CX58" s="1729"/>
      <c r="CY58" s="1729"/>
      <c r="CZ58" s="1729"/>
      <c r="DA58" s="1729"/>
      <c r="DB58" s="1729"/>
      <c r="DC58" s="1729"/>
      <c r="DD58" s="1729"/>
      <c r="DE58" s="1729"/>
      <c r="DF58" s="1729"/>
      <c r="DG58" s="1729"/>
      <c r="DH58" s="1729"/>
      <c r="DI58" s="1729"/>
      <c r="DJ58" s="1729"/>
      <c r="DK58" s="1729"/>
      <c r="DL58" s="1729"/>
      <c r="DM58" s="1729"/>
      <c r="DN58" s="1729"/>
      <c r="DO58" s="1729"/>
      <c r="DP58" s="1729"/>
      <c r="DQ58" s="1729"/>
      <c r="DR58" s="1729"/>
      <c r="DS58" s="1729"/>
      <c r="DT58" s="1729"/>
      <c r="DU58" s="1729"/>
      <c r="DV58" s="1729"/>
      <c r="DW58" s="1730"/>
    </row>
    <row r="59" spans="1:127" ht="15.75" thickBot="1">
      <c r="A59" s="12" t="s">
        <v>11</v>
      </c>
      <c r="B59" s="13">
        <v>2013</v>
      </c>
      <c r="C59" s="13">
        <v>2012</v>
      </c>
      <c r="D59" s="13">
        <v>2011</v>
      </c>
      <c r="E59" s="13">
        <v>2010</v>
      </c>
      <c r="F59" s="13">
        <v>2009</v>
      </c>
      <c r="G59" s="13">
        <v>2008</v>
      </c>
      <c r="H59" s="13">
        <v>2007</v>
      </c>
      <c r="I59" s="13">
        <v>2006</v>
      </c>
      <c r="J59" s="13">
        <v>2005</v>
      </c>
      <c r="K59" s="13">
        <v>2004</v>
      </c>
      <c r="L59" s="13">
        <v>2003</v>
      </c>
      <c r="M59" s="13">
        <v>2002</v>
      </c>
      <c r="N59" s="13">
        <v>2001</v>
      </c>
      <c r="O59" s="13">
        <v>2000</v>
      </c>
      <c r="P59" s="13">
        <v>1999</v>
      </c>
      <c r="Q59" s="13">
        <v>1998</v>
      </c>
      <c r="R59" s="13">
        <v>1997</v>
      </c>
      <c r="S59" s="13">
        <v>1996</v>
      </c>
      <c r="T59" s="13">
        <v>1995</v>
      </c>
      <c r="U59" s="13">
        <v>1994</v>
      </c>
      <c r="V59" s="13">
        <v>1993</v>
      </c>
      <c r="W59" s="13">
        <v>1992</v>
      </c>
      <c r="X59" s="13">
        <v>1991</v>
      </c>
      <c r="Y59" s="13">
        <v>1990</v>
      </c>
      <c r="Z59" s="13">
        <v>1989</v>
      </c>
      <c r="AA59" s="13">
        <v>1988</v>
      </c>
      <c r="AB59" s="13">
        <v>1987</v>
      </c>
      <c r="AC59" s="14">
        <v>1986</v>
      </c>
      <c r="AD59" s="76" t="s">
        <v>32</v>
      </c>
      <c r="AE59" s="77" t="s">
        <v>33</v>
      </c>
      <c r="AG59" s="12" t="s">
        <v>11</v>
      </c>
      <c r="AH59" s="13">
        <v>2013</v>
      </c>
      <c r="AI59" s="13">
        <v>2012</v>
      </c>
      <c r="AJ59" s="13">
        <v>2011</v>
      </c>
      <c r="AK59" s="13">
        <v>2010</v>
      </c>
      <c r="AL59" s="13">
        <v>2009</v>
      </c>
      <c r="AM59" s="13">
        <v>2008</v>
      </c>
      <c r="AN59" s="13">
        <v>2007</v>
      </c>
      <c r="AO59" s="13">
        <v>2006</v>
      </c>
      <c r="AP59" s="13">
        <v>2005</v>
      </c>
      <c r="AQ59" s="13">
        <v>2004</v>
      </c>
      <c r="AR59" s="13">
        <v>2003</v>
      </c>
      <c r="AS59" s="13">
        <v>2002</v>
      </c>
      <c r="AT59" s="13">
        <v>2001</v>
      </c>
      <c r="AU59" s="13">
        <v>2000</v>
      </c>
      <c r="AV59" s="13">
        <v>1999</v>
      </c>
      <c r="AW59" s="13">
        <v>1998</v>
      </c>
      <c r="AX59" s="13">
        <v>1997</v>
      </c>
      <c r="AY59" s="13">
        <v>1996</v>
      </c>
      <c r="AZ59" s="13">
        <v>1995</v>
      </c>
      <c r="BA59" s="13">
        <v>1994</v>
      </c>
      <c r="BB59" s="13">
        <v>1993</v>
      </c>
      <c r="BC59" s="13">
        <v>1992</v>
      </c>
      <c r="BD59" s="13">
        <v>1991</v>
      </c>
      <c r="BE59" s="13">
        <v>1990</v>
      </c>
      <c r="BF59" s="13">
        <v>1989</v>
      </c>
      <c r="BG59" s="13">
        <v>1988</v>
      </c>
      <c r="BH59" s="13">
        <v>1987</v>
      </c>
      <c r="BI59" s="14">
        <v>1986</v>
      </c>
      <c r="BJ59" s="76" t="s">
        <v>32</v>
      </c>
      <c r="BK59" s="77" t="s">
        <v>33</v>
      </c>
      <c r="BM59" s="12" t="s">
        <v>11</v>
      </c>
      <c r="BN59" s="13">
        <v>2013</v>
      </c>
      <c r="BO59" s="13">
        <v>2012</v>
      </c>
      <c r="BP59" s="13">
        <v>2011</v>
      </c>
      <c r="BQ59" s="13">
        <v>2010</v>
      </c>
      <c r="BR59" s="13">
        <v>2009</v>
      </c>
      <c r="BS59" s="13">
        <v>2008</v>
      </c>
      <c r="BT59" s="13">
        <v>2007</v>
      </c>
      <c r="BU59" s="13">
        <v>2006</v>
      </c>
      <c r="BV59" s="13">
        <v>2005</v>
      </c>
      <c r="BW59" s="13">
        <v>2004</v>
      </c>
      <c r="BX59" s="13">
        <v>2003</v>
      </c>
      <c r="BY59" s="13">
        <v>2002</v>
      </c>
      <c r="BZ59" s="13">
        <v>2001</v>
      </c>
      <c r="CA59" s="13">
        <v>2000</v>
      </c>
      <c r="CB59" s="13">
        <v>1999</v>
      </c>
      <c r="CC59" s="13">
        <v>1998</v>
      </c>
      <c r="CD59" s="13">
        <v>1997</v>
      </c>
      <c r="CE59" s="13">
        <v>1996</v>
      </c>
      <c r="CF59" s="13">
        <v>1995</v>
      </c>
      <c r="CG59" s="13">
        <v>1994</v>
      </c>
      <c r="CH59" s="13">
        <v>1993</v>
      </c>
      <c r="CI59" s="13">
        <v>1992</v>
      </c>
      <c r="CJ59" s="13">
        <v>1991</v>
      </c>
      <c r="CK59" s="13">
        <v>1990</v>
      </c>
      <c r="CL59" s="13">
        <v>1989</v>
      </c>
      <c r="CM59" s="13">
        <v>1988</v>
      </c>
      <c r="CN59" s="13">
        <v>1987</v>
      </c>
      <c r="CO59" s="14">
        <v>1986</v>
      </c>
      <c r="CP59" s="76" t="s">
        <v>32</v>
      </c>
      <c r="CQ59" s="77" t="s">
        <v>33</v>
      </c>
      <c r="CS59" s="12" t="s">
        <v>11</v>
      </c>
      <c r="CT59" s="13">
        <v>2013</v>
      </c>
      <c r="CU59" s="13">
        <v>2012</v>
      </c>
      <c r="CV59" s="13">
        <v>2011</v>
      </c>
      <c r="CW59" s="13">
        <v>2010</v>
      </c>
      <c r="CX59" s="13">
        <v>2009</v>
      </c>
      <c r="CY59" s="13">
        <v>2008</v>
      </c>
      <c r="CZ59" s="13">
        <v>2007</v>
      </c>
      <c r="DA59" s="13">
        <v>2006</v>
      </c>
      <c r="DB59" s="13">
        <v>2005</v>
      </c>
      <c r="DC59" s="13">
        <v>2004</v>
      </c>
      <c r="DD59" s="13">
        <v>2003</v>
      </c>
      <c r="DE59" s="13">
        <v>2002</v>
      </c>
      <c r="DF59" s="13">
        <v>2001</v>
      </c>
      <c r="DG59" s="13">
        <v>2000</v>
      </c>
      <c r="DH59" s="13">
        <v>1999</v>
      </c>
      <c r="DI59" s="13">
        <v>1998</v>
      </c>
      <c r="DJ59" s="13">
        <v>1997</v>
      </c>
      <c r="DK59" s="13">
        <v>1996</v>
      </c>
      <c r="DL59" s="13">
        <v>1995</v>
      </c>
      <c r="DM59" s="13">
        <v>1994</v>
      </c>
      <c r="DN59" s="13">
        <v>1993</v>
      </c>
      <c r="DO59" s="13">
        <v>1992</v>
      </c>
      <c r="DP59" s="13">
        <v>1991</v>
      </c>
      <c r="DQ59" s="13">
        <v>1990</v>
      </c>
      <c r="DR59" s="13">
        <v>1989</v>
      </c>
      <c r="DS59" s="13">
        <v>1988</v>
      </c>
      <c r="DT59" s="13">
        <v>1987</v>
      </c>
      <c r="DU59" s="14">
        <v>1986</v>
      </c>
      <c r="DV59" s="76" t="s">
        <v>32</v>
      </c>
      <c r="DW59" s="77" t="s">
        <v>33</v>
      </c>
    </row>
    <row r="60" spans="1:127" ht="15.75" thickTop="1">
      <c r="A60" s="47">
        <v>0</v>
      </c>
      <c r="B60" s="15">
        <v>1</v>
      </c>
      <c r="C60" s="16">
        <v>1</v>
      </c>
      <c r="D60" s="16">
        <v>1</v>
      </c>
      <c r="E60" s="16">
        <v>1</v>
      </c>
      <c r="F60" s="78">
        <v>1</v>
      </c>
      <c r="G60" s="78">
        <v>1</v>
      </c>
      <c r="H60" s="78">
        <v>1</v>
      </c>
      <c r="I60" s="78">
        <v>1</v>
      </c>
      <c r="J60" s="78">
        <v>1</v>
      </c>
      <c r="K60" s="78">
        <v>1</v>
      </c>
      <c r="L60" s="78">
        <v>1</v>
      </c>
      <c r="M60" s="78">
        <v>1</v>
      </c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79">
        <f>SUMPRODUCT(B60:M60,B41:M41)/SUM(B41:M41)</f>
        <v>1</v>
      </c>
      <c r="AE60" s="80">
        <f>AD60*100</f>
        <v>100</v>
      </c>
      <c r="AG60" s="47">
        <v>0</v>
      </c>
      <c r="AH60" s="15">
        <v>1</v>
      </c>
      <c r="AI60" s="16">
        <v>1</v>
      </c>
      <c r="AJ60" s="16">
        <v>1</v>
      </c>
      <c r="AK60" s="16">
        <v>1</v>
      </c>
      <c r="AL60" s="78">
        <v>1</v>
      </c>
      <c r="AM60" s="78">
        <v>1</v>
      </c>
      <c r="AN60" s="78">
        <v>1</v>
      </c>
      <c r="AO60" s="78">
        <v>1</v>
      </c>
      <c r="AP60" s="78">
        <v>1</v>
      </c>
      <c r="AQ60" s="78">
        <v>1</v>
      </c>
      <c r="AR60" s="78">
        <v>1</v>
      </c>
      <c r="AS60" s="78">
        <v>1</v>
      </c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79">
        <f>SUMPRODUCT(AH60:AS60,AH41:AS41)/SUM(AH41:AS41)</f>
        <v>1</v>
      </c>
      <c r="BK60" s="80">
        <f>BJ60*100</f>
        <v>100</v>
      </c>
      <c r="BM60" s="47">
        <v>0</v>
      </c>
      <c r="BN60" s="15">
        <v>1</v>
      </c>
      <c r="BO60" s="16">
        <v>1</v>
      </c>
      <c r="BP60" s="16">
        <v>1</v>
      </c>
      <c r="BQ60" s="16">
        <v>1</v>
      </c>
      <c r="BR60" s="78">
        <v>1</v>
      </c>
      <c r="BS60" s="78">
        <v>1</v>
      </c>
      <c r="BT60" s="78">
        <v>1</v>
      </c>
      <c r="BU60" s="78">
        <v>1</v>
      </c>
      <c r="BV60" s="78">
        <v>1</v>
      </c>
      <c r="BW60" s="78">
        <v>1</v>
      </c>
      <c r="BX60" s="78">
        <v>1</v>
      </c>
      <c r="BY60" s="78">
        <v>1</v>
      </c>
      <c r="BZ60" s="16"/>
      <c r="CA60" s="16"/>
      <c r="CB60" s="16"/>
      <c r="CC60" s="16"/>
      <c r="CD60" s="16"/>
      <c r="CE60" s="16"/>
      <c r="CF60" s="16"/>
      <c r="CG60" s="16"/>
      <c r="CH60" s="16"/>
      <c r="CI60" s="16"/>
      <c r="CJ60" s="16"/>
      <c r="CK60" s="16"/>
      <c r="CL60" s="16"/>
      <c r="CM60" s="16"/>
      <c r="CN60" s="16"/>
      <c r="CO60" s="16"/>
      <c r="CP60" s="79">
        <f>SUMPRODUCT(BN60:BY60,BN41:BY41)/SUM(BN41:BY41)</f>
        <v>1</v>
      </c>
      <c r="CQ60" s="80">
        <f>CP60*100</f>
        <v>100</v>
      </c>
      <c r="CS60" s="47">
        <v>0</v>
      </c>
      <c r="CT60" s="15">
        <v>1</v>
      </c>
      <c r="CU60" s="16">
        <v>1</v>
      </c>
      <c r="CV60" s="16">
        <v>1</v>
      </c>
      <c r="CW60" s="16">
        <v>1</v>
      </c>
      <c r="CX60" s="78">
        <v>1</v>
      </c>
      <c r="CY60" s="78">
        <v>1</v>
      </c>
      <c r="CZ60" s="78">
        <v>1</v>
      </c>
      <c r="DA60" s="78">
        <v>1</v>
      </c>
      <c r="DB60" s="78">
        <v>1</v>
      </c>
      <c r="DC60" s="78">
        <v>1</v>
      </c>
      <c r="DD60" s="78">
        <v>1</v>
      </c>
      <c r="DE60" s="78">
        <v>1</v>
      </c>
      <c r="DF60" s="16"/>
      <c r="DG60" s="16"/>
      <c r="DH60" s="16"/>
      <c r="DI60" s="16"/>
      <c r="DJ60" s="16"/>
      <c r="DK60" s="16"/>
      <c r="DL60" s="16"/>
      <c r="DM60" s="16"/>
      <c r="DN60" s="16"/>
      <c r="DO60" s="16"/>
      <c r="DP60" s="16"/>
      <c r="DQ60" s="16"/>
      <c r="DR60" s="16"/>
      <c r="DS60" s="16"/>
      <c r="DT60" s="16"/>
      <c r="DU60" s="16"/>
      <c r="DV60" s="79">
        <f>SUMPRODUCT(CT60:DE60,CT41:DE41)/SUM(CT41:DE41)</f>
        <v>1</v>
      </c>
      <c r="DW60" s="80">
        <f>DV60*100</f>
        <v>100</v>
      </c>
    </row>
    <row r="61" spans="1:127">
      <c r="A61" s="17">
        <v>1</v>
      </c>
      <c r="B61" s="18"/>
      <c r="C61" s="19">
        <f t="shared" ref="C61:N61" si="64">(C42-C41)/C41</f>
        <v>0</v>
      </c>
      <c r="D61" s="19">
        <f t="shared" si="64"/>
        <v>-0.2857142857142857</v>
      </c>
      <c r="E61" s="19">
        <f t="shared" si="64"/>
        <v>0</v>
      </c>
      <c r="F61" s="19">
        <f t="shared" si="64"/>
        <v>0.25</v>
      </c>
      <c r="G61" s="19">
        <f t="shared" si="64"/>
        <v>1.5422222222222224</v>
      </c>
      <c r="H61" s="19">
        <f t="shared" si="64"/>
        <v>0.85950413223140487</v>
      </c>
      <c r="I61" s="19">
        <f t="shared" si="64"/>
        <v>0.27272727272727271</v>
      </c>
      <c r="J61" s="19">
        <f t="shared" si="64"/>
        <v>-0.5</v>
      </c>
      <c r="K61" s="19">
        <f t="shared" si="64"/>
        <v>-0.95652173913043481</v>
      </c>
      <c r="L61" s="19">
        <f t="shared" si="64"/>
        <v>-0.66666666666666663</v>
      </c>
      <c r="M61" s="19">
        <f t="shared" si="64"/>
        <v>-0.8125</v>
      </c>
      <c r="N61" s="19">
        <f t="shared" si="64"/>
        <v>-0.89655172413793105</v>
      </c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79">
        <f>SUMPRODUCT(C61:N61,C42:N42)/SUM(C42:N42)</f>
        <v>0.32277461976839011</v>
      </c>
      <c r="AE61" s="80">
        <f>AE60*(AD61+1)</f>
        <v>132.27746197683899</v>
      </c>
      <c r="AG61" s="17">
        <v>1</v>
      </c>
      <c r="AH61" s="18"/>
      <c r="AI61" s="19">
        <f t="shared" ref="AI61:AT61" si="65">(AI42-AI41)/AI41</f>
        <v>8.3964438590714528E-3</v>
      </c>
      <c r="AJ61" s="19">
        <f t="shared" si="65"/>
        <v>1.6313313374473025E-2</v>
      </c>
      <c r="AK61" s="19">
        <f t="shared" si="65"/>
        <v>3.6180555555555556E-2</v>
      </c>
      <c r="AL61" s="19">
        <f t="shared" si="65"/>
        <v>6.4331210191082802E-2</v>
      </c>
      <c r="AM61" s="19">
        <f t="shared" si="65"/>
        <v>-3.6467884007552007E-2</v>
      </c>
      <c r="AN61" s="19">
        <f t="shared" si="65"/>
        <v>-6.733622141737261E-2</v>
      </c>
      <c r="AO61" s="19">
        <f t="shared" si="65"/>
        <v>1.6662521760756031E-2</v>
      </c>
      <c r="AP61" s="19">
        <f t="shared" si="65"/>
        <v>2.5703463203463204E-2</v>
      </c>
      <c r="AQ61" s="19">
        <f t="shared" si="65"/>
        <v>1.2425021422450729E-2</v>
      </c>
      <c r="AR61" s="19">
        <f t="shared" si="65"/>
        <v>1.8907563025210083E-2</v>
      </c>
      <c r="AS61" s="19">
        <f t="shared" si="65"/>
        <v>4.0080160320641279E-3</v>
      </c>
      <c r="AT61" s="19">
        <f t="shared" si="65"/>
        <v>6.3157894736842107E-2</v>
      </c>
      <c r="AU61" s="19"/>
      <c r="AV61" s="19"/>
      <c r="AW61" s="19"/>
      <c r="AX61" s="19"/>
      <c r="AY61" s="19"/>
      <c r="AZ61" s="19"/>
      <c r="BA61" s="19"/>
      <c r="BB61" s="19"/>
      <c r="BC61" s="19"/>
      <c r="BD61" s="19"/>
      <c r="BE61" s="19"/>
      <c r="BF61" s="19"/>
      <c r="BG61" s="19"/>
      <c r="BH61" s="19"/>
      <c r="BI61" s="19"/>
      <c r="BJ61" s="79">
        <f>SUMPRODUCT(AI61:AT61,AI42:AT42)/SUM(AI42:AT42)</f>
        <v>1.1655123998413432E-2</v>
      </c>
      <c r="BK61" s="80">
        <f>BK60*(BJ61+1)</f>
        <v>101.16551239984135</v>
      </c>
      <c r="BM61" s="17">
        <v>1</v>
      </c>
      <c r="BN61" s="18"/>
      <c r="BO61" s="19">
        <f t="shared" ref="BO61:BZ61" si="66">(BO42-BO41)/BO41</f>
        <v>0.11721611721611722</v>
      </c>
      <c r="BP61" s="19">
        <f t="shared" si="66"/>
        <v>8.1800290921536747E-2</v>
      </c>
      <c r="BQ61" s="19">
        <f t="shared" si="66"/>
        <v>0.1218705035971223</v>
      </c>
      <c r="BR61" s="19">
        <f t="shared" si="66"/>
        <v>0.23090736241681631</v>
      </c>
      <c r="BS61" s="19">
        <f t="shared" si="66"/>
        <v>0.10895722610218608</v>
      </c>
      <c r="BT61" s="19">
        <f t="shared" si="66"/>
        <v>-3.9253712691573135E-2</v>
      </c>
      <c r="BU61" s="19">
        <f t="shared" si="66"/>
        <v>2.5413349663196572E-2</v>
      </c>
      <c r="BV61" s="19">
        <f t="shared" si="66"/>
        <v>3.539957459738681E-2</v>
      </c>
      <c r="BW61" s="19">
        <f t="shared" si="66"/>
        <v>2.7618963849063243E-2</v>
      </c>
      <c r="BX61" s="19">
        <f t="shared" si="66"/>
        <v>4.1587901701323248E-3</v>
      </c>
      <c r="BY61" s="19">
        <f t="shared" si="66"/>
        <v>8.3900438146732547E-4</v>
      </c>
      <c r="BZ61" s="19">
        <f t="shared" si="66"/>
        <v>-1.4857142857142857E-2</v>
      </c>
      <c r="CA61" s="19"/>
      <c r="CB61" s="19"/>
      <c r="CC61" s="19"/>
      <c r="CD61" s="19"/>
      <c r="CE61" s="19"/>
      <c r="CF61" s="19"/>
      <c r="CG61" s="19"/>
      <c r="CH61" s="19"/>
      <c r="CI61" s="19"/>
      <c r="CJ61" s="19"/>
      <c r="CK61" s="19"/>
      <c r="CL61" s="19"/>
      <c r="CM61" s="19"/>
      <c r="CN61" s="19"/>
      <c r="CO61" s="19"/>
      <c r="CP61" s="79">
        <f>SUMPRODUCT(BO61:BZ61,BO42:BZ42)/SUM(BO42:BZ42)</f>
        <v>6.8041043299581119E-2</v>
      </c>
      <c r="CQ61" s="80">
        <f>CQ60*(CP61+1)</f>
        <v>106.80410432995811</v>
      </c>
      <c r="CS61" s="17">
        <v>1</v>
      </c>
      <c r="CT61" s="18"/>
      <c r="CU61" s="19">
        <f t="shared" ref="CU61:DF61" si="67">(CU42-CU41)/CU41</f>
        <v>0.14478584729981378</v>
      </c>
      <c r="CV61" s="19">
        <f t="shared" si="67"/>
        <v>9.1593236484877355E-2</v>
      </c>
      <c r="CW61" s="19">
        <f t="shared" si="67"/>
        <v>0.13303503219469606</v>
      </c>
      <c r="CX61" s="19">
        <f t="shared" si="67"/>
        <v>0.22165719413700269</v>
      </c>
      <c r="CY61" s="19">
        <f t="shared" si="67"/>
        <v>0.12753877903260658</v>
      </c>
      <c r="CZ61" s="19">
        <f t="shared" si="67"/>
        <v>-2.6468837344080388E-2</v>
      </c>
      <c r="DA61" s="19">
        <f t="shared" si="67"/>
        <v>2.6338692684714397E-2</v>
      </c>
      <c r="DB61" s="19">
        <f t="shared" si="67"/>
        <v>4.5643607705779334E-2</v>
      </c>
      <c r="DC61" s="19">
        <f t="shared" si="67"/>
        <v>2.0320290074029308E-2</v>
      </c>
      <c r="DD61" s="19">
        <f t="shared" si="67"/>
        <v>1.7061089708310401E-2</v>
      </c>
      <c r="DE61" s="19">
        <f t="shared" si="67"/>
        <v>1.8650891463314435E-2</v>
      </c>
      <c r="DF61" s="19">
        <f t="shared" si="67"/>
        <v>-1.0810810810810811E-2</v>
      </c>
      <c r="DG61" s="19"/>
      <c r="DH61" s="19"/>
      <c r="DI61" s="19"/>
      <c r="DJ61" s="19"/>
      <c r="DK61" s="19"/>
      <c r="DL61" s="19"/>
      <c r="DM61" s="19"/>
      <c r="DN61" s="19"/>
      <c r="DO61" s="19"/>
      <c r="DP61" s="19"/>
      <c r="DQ61" s="19"/>
      <c r="DR61" s="19"/>
      <c r="DS61" s="19"/>
      <c r="DT61" s="19"/>
      <c r="DU61" s="19"/>
      <c r="DV61" s="79">
        <f>SUMPRODUCT(CU61:DF61,CU42:DF42)/SUM(CU42:DF42)</f>
        <v>7.3901904842819999E-2</v>
      </c>
      <c r="DW61" s="80">
        <f>DW60*(DV61+1)</f>
        <v>107.390190484282</v>
      </c>
    </row>
    <row r="62" spans="1:127">
      <c r="A62" s="17">
        <v>2</v>
      </c>
      <c r="B62" s="18"/>
      <c r="C62" s="19"/>
      <c r="D62" s="19">
        <f t="shared" ref="D62:O62" si="68">(D43-D42)/D42</f>
        <v>0.8</v>
      </c>
      <c r="E62" s="19">
        <f t="shared" si="68"/>
        <v>0.15384615384615385</v>
      </c>
      <c r="F62" s="19">
        <f t="shared" si="68"/>
        <v>0</v>
      </c>
      <c r="G62" s="19">
        <f t="shared" si="68"/>
        <v>-7.6923076923076927E-2</v>
      </c>
      <c r="H62" s="19">
        <f t="shared" si="68"/>
        <v>0.41777777777777786</v>
      </c>
      <c r="I62" s="19">
        <f t="shared" si="68"/>
        <v>0.41537267080745338</v>
      </c>
      <c r="J62" s="19">
        <f t="shared" si="68"/>
        <v>2</v>
      </c>
      <c r="K62" s="19">
        <f t="shared" si="68"/>
        <v>3</v>
      </c>
      <c r="L62" s="19">
        <f t="shared" si="68"/>
        <v>-0.6</v>
      </c>
      <c r="M62" s="19">
        <f t="shared" si="68"/>
        <v>0.5</v>
      </c>
      <c r="N62" s="19">
        <f t="shared" si="68"/>
        <v>-0.33333333333333331</v>
      </c>
      <c r="O62" s="19">
        <f t="shared" si="68"/>
        <v>-0.56521739130434778</v>
      </c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79">
        <f>SUMPRODUCT(D62:O62,D43:O43)/SUM(D43:O43)</f>
        <v>0.35181631734253954</v>
      </c>
      <c r="AE62" s="80">
        <f t="shared" ref="AE62:AE75" si="69">AE61*(AD62+1)</f>
        <v>178.81483151694829</v>
      </c>
      <c r="AG62" s="17">
        <v>2</v>
      </c>
      <c r="AH62" s="18"/>
      <c r="AI62" s="19"/>
      <c r="AJ62" s="19">
        <f t="shared" ref="AJ62:AU62" si="70">(AJ43-AJ42)/AJ42</f>
        <v>2.2123361789106649E-2</v>
      </c>
      <c r="AK62" s="19">
        <f t="shared" si="70"/>
        <v>2.9153541987802425E-2</v>
      </c>
      <c r="AL62" s="19">
        <f t="shared" si="70"/>
        <v>4.3207660083782164E-2</v>
      </c>
      <c r="AM62" s="19">
        <f t="shared" si="70"/>
        <v>5.8648206903182384E-2</v>
      </c>
      <c r="AN62" s="19">
        <f t="shared" si="70"/>
        <v>0.14673751946340174</v>
      </c>
      <c r="AO62" s="19">
        <f t="shared" si="70"/>
        <v>-2.7427988592156154E-2</v>
      </c>
      <c r="AP62" s="19">
        <f t="shared" si="70"/>
        <v>4.1150092323925087E-2</v>
      </c>
      <c r="AQ62" s="19">
        <f t="shared" si="70"/>
        <v>3.9356749894202285E-2</v>
      </c>
      <c r="AR62" s="19">
        <f t="shared" si="70"/>
        <v>2.1134020618556702E-2</v>
      </c>
      <c r="AS62" s="19">
        <f t="shared" si="70"/>
        <v>2.1956087824351298E-2</v>
      </c>
      <c r="AT62" s="19">
        <f t="shared" si="70"/>
        <v>1.9801980198019802E-2</v>
      </c>
      <c r="AU62" s="19">
        <f t="shared" si="70"/>
        <v>-1.8867924528301886E-2</v>
      </c>
      <c r="AV62" s="19"/>
      <c r="AW62" s="19"/>
      <c r="AX62" s="19"/>
      <c r="AY62" s="19"/>
      <c r="AZ62" s="19"/>
      <c r="BA62" s="19"/>
      <c r="BB62" s="19"/>
      <c r="BC62" s="19"/>
      <c r="BD62" s="19"/>
      <c r="BE62" s="19"/>
      <c r="BF62" s="19"/>
      <c r="BG62" s="19"/>
      <c r="BH62" s="19"/>
      <c r="BI62" s="19"/>
      <c r="BJ62" s="79">
        <f>SUMPRODUCT(AJ62:AU62,AJ43:AU43)/SUM(AJ43:AU43)</f>
        <v>4.1438175412848506E-2</v>
      </c>
      <c r="BK62" s="80">
        <f t="shared" ref="BK62:BK75" si="71">BK61*(BJ62+1)</f>
        <v>105.35762664839667</v>
      </c>
      <c r="BM62" s="17">
        <v>2</v>
      </c>
      <c r="BN62" s="18"/>
      <c r="BO62" s="19"/>
      <c r="BP62" s="19">
        <f t="shared" ref="BP62:CA62" si="72">(BP43-BP42)/BP42</f>
        <v>7.2451158743968999E-2</v>
      </c>
      <c r="BQ62" s="19">
        <f t="shared" si="72"/>
        <v>6.9941430464708645E-2</v>
      </c>
      <c r="BR62" s="19">
        <f t="shared" si="72"/>
        <v>0.14468377241911953</v>
      </c>
      <c r="BS62" s="19">
        <f t="shared" si="72"/>
        <v>9.9242726185731364E-2</v>
      </c>
      <c r="BT62" s="19">
        <f t="shared" si="72"/>
        <v>0.11829645167228608</v>
      </c>
      <c r="BU62" s="19">
        <f t="shared" si="72"/>
        <v>-1.6713403803616363E-2</v>
      </c>
      <c r="BV62" s="19">
        <f t="shared" si="72"/>
        <v>5.612619222303742E-2</v>
      </c>
      <c r="BW62" s="19">
        <f t="shared" si="72"/>
        <v>4.8532055122828044E-2</v>
      </c>
      <c r="BX62" s="19">
        <f t="shared" si="72"/>
        <v>1.9954819277108432E-2</v>
      </c>
      <c r="BY62" s="19">
        <f t="shared" si="72"/>
        <v>1.0059612518628911E-2</v>
      </c>
      <c r="BZ62" s="19">
        <f t="shared" si="72"/>
        <v>3.4802784222737818E-3</v>
      </c>
      <c r="CA62" s="19">
        <f t="shared" si="72"/>
        <v>-5.4188096987509184E-3</v>
      </c>
      <c r="CB62" s="19"/>
      <c r="CC62" s="19"/>
      <c r="CD62" s="19"/>
      <c r="CE62" s="19"/>
      <c r="CF62" s="19"/>
      <c r="CG62" s="19"/>
      <c r="CH62" s="19"/>
      <c r="CI62" s="19"/>
      <c r="CJ62" s="19"/>
      <c r="CK62" s="19"/>
      <c r="CL62" s="19"/>
      <c r="CM62" s="19"/>
      <c r="CN62" s="19"/>
      <c r="CO62" s="19"/>
      <c r="CP62" s="79">
        <f>SUMPRODUCT(BP62:CA62,BP43:CA43)/SUM(BP43:CA43)</f>
        <v>6.131599148029223E-2</v>
      </c>
      <c r="CQ62" s="80">
        <f t="shared" ref="CQ62:CQ75" si="73">CQ61*(CP62+1)</f>
        <v>113.35290388111407</v>
      </c>
      <c r="CS62" s="17">
        <v>2</v>
      </c>
      <c r="CT62" s="18"/>
      <c r="CU62" s="19"/>
      <c r="CV62" s="19">
        <f t="shared" ref="CV62:DG62" si="74">(CV43-CV42)/CV42</f>
        <v>9.4685400122174704E-2</v>
      </c>
      <c r="CW62" s="19">
        <f t="shared" si="74"/>
        <v>8.6158736274320941E-2</v>
      </c>
      <c r="CX62" s="19">
        <f t="shared" si="74"/>
        <v>0.1129407443682664</v>
      </c>
      <c r="CY62" s="19">
        <f t="shared" si="74"/>
        <v>0.10381122145828028</v>
      </c>
      <c r="CZ62" s="19">
        <f t="shared" si="74"/>
        <v>0.1188940179896165</v>
      </c>
      <c r="DA62" s="19">
        <f t="shared" si="74"/>
        <v>1.5811120342366897E-2</v>
      </c>
      <c r="DB62" s="19">
        <f t="shared" si="74"/>
        <v>4.1766984193447085E-2</v>
      </c>
      <c r="DC62" s="19">
        <f t="shared" si="74"/>
        <v>6.3300510846227884E-2</v>
      </c>
      <c r="DD62" s="19">
        <f t="shared" si="74"/>
        <v>3.1204906204906204E-2</v>
      </c>
      <c r="DE62" s="19">
        <f t="shared" si="74"/>
        <v>5.7267301177609288E-3</v>
      </c>
      <c r="DF62" s="19">
        <f t="shared" si="74"/>
        <v>-6.2980457534500328E-3</v>
      </c>
      <c r="DG62" s="19">
        <f t="shared" si="74"/>
        <v>-1.0016063498062932E-2</v>
      </c>
      <c r="DH62" s="19"/>
      <c r="DI62" s="19"/>
      <c r="DJ62" s="19"/>
      <c r="DK62" s="19"/>
      <c r="DL62" s="19"/>
      <c r="DM62" s="19"/>
      <c r="DN62" s="19"/>
      <c r="DO62" s="19"/>
      <c r="DP62" s="19"/>
      <c r="DQ62" s="19"/>
      <c r="DR62" s="19"/>
      <c r="DS62" s="19"/>
      <c r="DT62" s="19"/>
      <c r="DU62" s="19"/>
      <c r="DV62" s="79">
        <f>SUMPRODUCT(CV62:DG62,CV43:DG43)/SUM(CV43:DG43)</f>
        <v>6.5974358489006873E-2</v>
      </c>
      <c r="DW62" s="80">
        <f t="shared" ref="DW62:DW75" si="75">DW61*(DV62+1)</f>
        <v>114.47518940949476</v>
      </c>
    </row>
    <row r="63" spans="1:127">
      <c r="A63" s="17">
        <v>3</v>
      </c>
      <c r="B63" s="18"/>
      <c r="C63" s="19"/>
      <c r="D63" s="19"/>
      <c r="E63" s="19">
        <f t="shared" ref="E63:P63" si="76">(E44-E43)/E43</f>
        <v>0.2</v>
      </c>
      <c r="F63" s="19">
        <f t="shared" si="76"/>
        <v>0.6</v>
      </c>
      <c r="G63" s="19">
        <f t="shared" si="76"/>
        <v>8.3333333333333329E-2</v>
      </c>
      <c r="H63" s="19">
        <f t="shared" si="76"/>
        <v>-0.20689655172413793</v>
      </c>
      <c r="I63" s="19">
        <f t="shared" si="76"/>
        <v>0.16072408118486012</v>
      </c>
      <c r="J63" s="19">
        <f t="shared" si="76"/>
        <v>0.13636363636363638</v>
      </c>
      <c r="K63" s="19">
        <f t="shared" si="76"/>
        <v>-0.5</v>
      </c>
      <c r="L63" s="19">
        <f t="shared" si="76"/>
        <v>1</v>
      </c>
      <c r="M63" s="19">
        <f t="shared" si="76"/>
        <v>-1</v>
      </c>
      <c r="N63" s="19">
        <f t="shared" si="76"/>
        <v>2</v>
      </c>
      <c r="O63" s="19">
        <f t="shared" si="76"/>
        <v>-0.2</v>
      </c>
      <c r="P63" s="19">
        <f t="shared" si="76"/>
        <v>-0.66666666666666663</v>
      </c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79">
        <f>SUMPRODUCT(E63:P63,E44:P44)/SUM(E44:P44)</f>
        <v>0.210086538244283</v>
      </c>
      <c r="AE63" s="80">
        <f t="shared" si="69"/>
        <v>216.38142045707866</v>
      </c>
      <c r="AG63" s="17">
        <v>3</v>
      </c>
      <c r="AH63" s="18"/>
      <c r="AI63" s="19"/>
      <c r="AJ63" s="19"/>
      <c r="AK63" s="19">
        <f t="shared" ref="AK63:AV63" si="77">(AK44-AK43)/AK43</f>
        <v>0.12008335504037509</v>
      </c>
      <c r="AL63" s="19">
        <f t="shared" si="77"/>
        <v>8.972005507113355E-2</v>
      </c>
      <c r="AM63" s="19">
        <f t="shared" si="77"/>
        <v>9.8901098901098897E-2</v>
      </c>
      <c r="AN63" s="19">
        <f t="shared" si="77"/>
        <v>4.0025616394492473E-2</v>
      </c>
      <c r="AO63" s="19">
        <f t="shared" si="77"/>
        <v>0.17232074040292578</v>
      </c>
      <c r="AP63" s="19">
        <f t="shared" si="77"/>
        <v>3.8375339571053234E-2</v>
      </c>
      <c r="AQ63" s="19">
        <f t="shared" si="77"/>
        <v>5.4560260586319222E-2</v>
      </c>
      <c r="AR63" s="19">
        <f t="shared" si="77"/>
        <v>4.5936395759717315E-2</v>
      </c>
      <c r="AS63" s="19">
        <f t="shared" si="77"/>
        <v>3.22265625E-2</v>
      </c>
      <c r="AT63" s="19">
        <f t="shared" si="77"/>
        <v>4.8543689320388349E-2</v>
      </c>
      <c r="AU63" s="19">
        <f t="shared" si="77"/>
        <v>3.8461538461538464E-2</v>
      </c>
      <c r="AV63" s="19">
        <f t="shared" si="77"/>
        <v>-0.4</v>
      </c>
      <c r="AW63" s="19"/>
      <c r="AX63" s="19"/>
      <c r="AY63" s="19"/>
      <c r="AZ63" s="19"/>
      <c r="BA63" s="19"/>
      <c r="BB63" s="19"/>
      <c r="BC63" s="19"/>
      <c r="BD63" s="19"/>
      <c r="BE63" s="19"/>
      <c r="BF63" s="19"/>
      <c r="BG63" s="19"/>
      <c r="BH63" s="19"/>
      <c r="BI63" s="19"/>
      <c r="BJ63" s="79">
        <f>SUMPRODUCT(AK63:AV63,AK44:AV44)/SUM(AK44:AV44)</f>
        <v>9.3572263742471032E-2</v>
      </c>
      <c r="BK63" s="80">
        <f t="shared" si="71"/>
        <v>115.21617827642123</v>
      </c>
      <c r="BM63" s="17">
        <v>3</v>
      </c>
      <c r="BN63" s="18"/>
      <c r="BO63" s="19"/>
      <c r="BP63" s="19"/>
      <c r="BQ63" s="19">
        <f t="shared" ref="BQ63:CB63" si="78">(BQ44-BQ43)/BQ43</f>
        <v>0.1757701682183242</v>
      </c>
      <c r="BR63" s="19">
        <f t="shared" si="78"/>
        <v>0.19536696903815878</v>
      </c>
      <c r="BS63" s="19">
        <f t="shared" si="78"/>
        <v>0.19607606155829507</v>
      </c>
      <c r="BT63" s="19">
        <f t="shared" si="78"/>
        <v>3.0587434351293522E-2</v>
      </c>
      <c r="BU63" s="19">
        <f t="shared" si="78"/>
        <v>0.14557220967234935</v>
      </c>
      <c r="BV63" s="19">
        <f t="shared" si="78"/>
        <v>8.4978516928642056E-2</v>
      </c>
      <c r="BW63" s="19">
        <f t="shared" si="78"/>
        <v>0.13306122448979593</v>
      </c>
      <c r="BX63" s="19">
        <f t="shared" si="78"/>
        <v>0.15365448504983389</v>
      </c>
      <c r="BY63" s="19">
        <f t="shared" si="78"/>
        <v>7.7093323496864624E-2</v>
      </c>
      <c r="BZ63" s="19">
        <f t="shared" si="78"/>
        <v>3.8265895953757227E-2</v>
      </c>
      <c r="CA63" s="19">
        <f t="shared" si="78"/>
        <v>-1.4036383784282944E-2</v>
      </c>
      <c r="CB63" s="19">
        <f t="shared" si="78"/>
        <v>-1.7135325131810195E-2</v>
      </c>
      <c r="CC63" s="19"/>
      <c r="CD63" s="19"/>
      <c r="CE63" s="19"/>
      <c r="CF63" s="19"/>
      <c r="CG63" s="19"/>
      <c r="CH63" s="19"/>
      <c r="CI63" s="19"/>
      <c r="CJ63" s="19"/>
      <c r="CK63" s="19"/>
      <c r="CL63" s="19"/>
      <c r="CM63" s="19"/>
      <c r="CN63" s="19"/>
      <c r="CO63" s="19"/>
      <c r="CP63" s="79">
        <f>SUMPRODUCT(BQ63:CB63,BQ44:CB44)/SUM(BQ44:CB44)</f>
        <v>0.11924263705270507</v>
      </c>
      <c r="CQ63" s="80">
        <f t="shared" si="73"/>
        <v>126.86940305747993</v>
      </c>
      <c r="CS63" s="17">
        <v>3</v>
      </c>
      <c r="CT63" s="18"/>
      <c r="CU63" s="19"/>
      <c r="CV63" s="19"/>
      <c r="CW63" s="19">
        <f>(CW44-CW43)/CW43</f>
        <v>0.16671839666563207</v>
      </c>
      <c r="CX63" s="19">
        <f t="shared" ref="CX63:DH63" si="79">(CX44-CX43)/CX43</f>
        <v>0.16137726197678895</v>
      </c>
      <c r="CY63" s="19">
        <f t="shared" si="79"/>
        <v>0.14691633343586588</v>
      </c>
      <c r="CZ63" s="19">
        <f t="shared" si="79"/>
        <v>2.3621742828423414E-2</v>
      </c>
      <c r="DA63" s="19">
        <f t="shared" si="79"/>
        <v>0.13601494441032422</v>
      </c>
      <c r="DB63" s="19">
        <f t="shared" si="79"/>
        <v>0.10372710738982795</v>
      </c>
      <c r="DC63" s="19">
        <f t="shared" si="79"/>
        <v>8.3762707143851825E-2</v>
      </c>
      <c r="DD63" s="19">
        <f t="shared" si="79"/>
        <v>8.5971663459856573E-2</v>
      </c>
      <c r="DE63" s="19">
        <f t="shared" si="79"/>
        <v>2.8069612639345575E-3</v>
      </c>
      <c r="DF63" s="19">
        <f t="shared" si="79"/>
        <v>-2.1437226209339174E-3</v>
      </c>
      <c r="DG63" s="19">
        <f t="shared" si="79"/>
        <v>-3.4074639686933285E-2</v>
      </c>
      <c r="DH63" s="19">
        <f t="shared" si="79"/>
        <v>-1.7515325910171398E-2</v>
      </c>
      <c r="DI63" s="19"/>
      <c r="DJ63" s="19"/>
      <c r="DK63" s="19"/>
      <c r="DL63" s="19"/>
      <c r="DM63" s="19"/>
      <c r="DN63" s="19"/>
      <c r="DO63" s="19"/>
      <c r="DP63" s="19"/>
      <c r="DQ63" s="19"/>
      <c r="DR63" s="19"/>
      <c r="DS63" s="19"/>
      <c r="DT63" s="19"/>
      <c r="DU63" s="19"/>
      <c r="DV63" s="79">
        <f>SUMPRODUCT(CW63:DH63,CW44:DH44)/SUM(CW44:DH44)</f>
        <v>9.2870562279195115E-2</v>
      </c>
      <c r="DW63" s="80">
        <f>DW62*(DV63+1)</f>
        <v>125.10656461697191</v>
      </c>
    </row>
    <row r="64" spans="1:127">
      <c r="A64" s="17">
        <v>4</v>
      </c>
      <c r="B64" s="18"/>
      <c r="C64" s="19"/>
      <c r="D64" s="19"/>
      <c r="E64" s="19"/>
      <c r="F64" s="19">
        <f t="shared" ref="F64:L64" si="80">(F45-F44)/F44</f>
        <v>0</v>
      </c>
      <c r="G64" s="19">
        <f t="shared" si="80"/>
        <v>0.15384615384615385</v>
      </c>
      <c r="H64" s="19">
        <f t="shared" si="80"/>
        <v>4.3478260869565216E-2</v>
      </c>
      <c r="I64" s="19">
        <f t="shared" si="80"/>
        <v>-0.43478260869565216</v>
      </c>
      <c r="J64" s="19">
        <f t="shared" si="80"/>
        <v>-0.12000000000000002</v>
      </c>
      <c r="K64" s="19">
        <f t="shared" si="80"/>
        <v>0.70454545454545459</v>
      </c>
      <c r="L64" s="19">
        <f t="shared" si="80"/>
        <v>0</v>
      </c>
      <c r="M64" s="19"/>
      <c r="N64" s="19">
        <f t="shared" ref="N64:Q72" si="81">(N45-N44)/N44</f>
        <v>-0.83333333333333337</v>
      </c>
      <c r="O64" s="19">
        <f t="shared" si="81"/>
        <v>-0.125</v>
      </c>
      <c r="P64" s="19">
        <f t="shared" si="81"/>
        <v>-0.33333333333333331</v>
      </c>
      <c r="Q64" s="19">
        <f t="shared" si="81"/>
        <v>-0.9</v>
      </c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79">
        <f>SUMPRODUCT(F64:Q64,F45:Q45)/SUM(F45:Q45)</f>
        <v>-3.9527790791909628E-2</v>
      </c>
      <c r="AE64" s="80">
        <f t="shared" si="69"/>
        <v>207.82834093799502</v>
      </c>
      <c r="AG64" s="17">
        <v>4</v>
      </c>
      <c r="AH64" s="18"/>
      <c r="AI64" s="19"/>
      <c r="AJ64" s="19"/>
      <c r="AK64" s="19"/>
      <c r="AL64" s="19">
        <f t="shared" ref="AL64:AW64" si="82">(AL45-AL44)/AL44</f>
        <v>7.8753421773004845E-2</v>
      </c>
      <c r="AM64" s="19">
        <f t="shared" si="82"/>
        <v>6.4793388429752061E-2</v>
      </c>
      <c r="AN64" s="19">
        <f t="shared" si="82"/>
        <v>8.2666256157635468E-2</v>
      </c>
      <c r="AO64" s="19">
        <f t="shared" si="82"/>
        <v>7.3589358506758212E-2</v>
      </c>
      <c r="AP64" s="19">
        <f t="shared" si="82"/>
        <v>0.14042627874630645</v>
      </c>
      <c r="AQ64" s="19">
        <f t="shared" si="82"/>
        <v>2.7355438645762623E-2</v>
      </c>
      <c r="AR64" s="19">
        <f t="shared" si="82"/>
        <v>5.019305019305019E-2</v>
      </c>
      <c r="AS64" s="19">
        <f t="shared" si="82"/>
        <v>3.9735099337748346E-2</v>
      </c>
      <c r="AT64" s="19">
        <f t="shared" si="82"/>
        <v>6.4814814814814811E-2</v>
      </c>
      <c r="AU64" s="19">
        <f t="shared" si="82"/>
        <v>0</v>
      </c>
      <c r="AV64" s="19">
        <f t="shared" si="82"/>
        <v>0</v>
      </c>
      <c r="AW64" s="19">
        <f t="shared" si="82"/>
        <v>-0.19480519480519481</v>
      </c>
      <c r="AX64" s="19"/>
      <c r="AY64" s="19"/>
      <c r="AZ64" s="19"/>
      <c r="BA64" s="19"/>
      <c r="BB64" s="19"/>
      <c r="BC64" s="19"/>
      <c r="BD64" s="19"/>
      <c r="BE64" s="19"/>
      <c r="BF64" s="19"/>
      <c r="BG64" s="19"/>
      <c r="BH64" s="19"/>
      <c r="BI64" s="19"/>
      <c r="BJ64" s="79">
        <f>SUMPRODUCT(AL64:AW64,AL45:AW45)/SUM(AL45:AW45)</f>
        <v>7.5379874028572103E-2</v>
      </c>
      <c r="BK64" s="80">
        <f t="shared" si="71"/>
        <v>123.90115928095136</v>
      </c>
      <c r="BM64" s="17">
        <v>4</v>
      </c>
      <c r="BN64" s="18"/>
      <c r="BO64" s="19"/>
      <c r="BP64" s="19"/>
      <c r="BQ64" s="19"/>
      <c r="BR64" s="19">
        <f t="shared" ref="BR64:CC64" si="83">(BR45-BR44)/BR44</f>
        <v>0.17917842583882096</v>
      </c>
      <c r="BS64" s="19">
        <f t="shared" si="83"/>
        <v>0.11825928795176664</v>
      </c>
      <c r="BT64" s="19">
        <f t="shared" si="83"/>
        <v>4.4778936441277783E-2</v>
      </c>
      <c r="BU64" s="19">
        <f t="shared" si="83"/>
        <v>4.1618068073375036E-2</v>
      </c>
      <c r="BV64" s="19">
        <f t="shared" si="83"/>
        <v>0.14180410834946655</v>
      </c>
      <c r="BW64" s="19">
        <f t="shared" si="83"/>
        <v>0.11291456010857216</v>
      </c>
      <c r="BX64" s="19">
        <f t="shared" si="83"/>
        <v>0.1376689864810815</v>
      </c>
      <c r="BY64" s="19">
        <f t="shared" si="83"/>
        <v>0.14871575342465754</v>
      </c>
      <c r="BZ64" s="19">
        <f t="shared" si="83"/>
        <v>4.6208662732435138E-2</v>
      </c>
      <c r="CA64" s="19">
        <f t="shared" si="83"/>
        <v>1.4329867940432705E-2</v>
      </c>
      <c r="CB64" s="19">
        <f t="shared" si="83"/>
        <v>-1.2293249888243184E-3</v>
      </c>
      <c r="CC64" s="19">
        <f t="shared" si="83"/>
        <v>1.0957004160887657E-2</v>
      </c>
      <c r="CD64" s="19"/>
      <c r="CE64" s="19"/>
      <c r="CF64" s="19"/>
      <c r="CG64" s="19"/>
      <c r="CH64" s="19"/>
      <c r="CI64" s="19"/>
      <c r="CJ64" s="19"/>
      <c r="CK64" s="19"/>
      <c r="CL64" s="19"/>
      <c r="CM64" s="19"/>
      <c r="CN64" s="19"/>
      <c r="CO64" s="19"/>
      <c r="CP64" s="79">
        <f>SUMPRODUCT(BR64:CC64,BR45:CC45)/SUM(BR45:CC45)</f>
        <v>9.4102232406043415E-2</v>
      </c>
      <c r="CQ64" s="80">
        <f t="shared" si="73"/>
        <v>138.80809710921091</v>
      </c>
      <c r="CS64" s="17">
        <v>4</v>
      </c>
      <c r="CT64" s="18"/>
      <c r="CU64" s="19"/>
      <c r="CV64" s="19"/>
      <c r="CW64" s="19"/>
      <c r="CX64" s="19">
        <f t="shared" ref="CX64:DI64" si="84">(CX45-CX44)/CX44</f>
        <v>0.14743073644328678</v>
      </c>
      <c r="CY64" s="19">
        <f t="shared" si="84"/>
        <v>0.10033859666767241</v>
      </c>
      <c r="CZ64" s="19">
        <f t="shared" si="84"/>
        <v>1.9450844128866565E-2</v>
      </c>
      <c r="DA64" s="19">
        <f t="shared" si="84"/>
        <v>2.6260829207920791E-2</v>
      </c>
      <c r="DB64" s="19">
        <f t="shared" si="84"/>
        <v>0.11254323972954391</v>
      </c>
      <c r="DC64" s="19">
        <f t="shared" si="84"/>
        <v>9.3839035923839839E-2</v>
      </c>
      <c r="DD64" s="19">
        <f t="shared" si="84"/>
        <v>6.8293468631714579E-2</v>
      </c>
      <c r="DE64" s="19">
        <f t="shared" si="84"/>
        <v>6.3979526551503518E-2</v>
      </c>
      <c r="DF64" s="19">
        <f t="shared" si="84"/>
        <v>3.1757892770409115E-3</v>
      </c>
      <c r="DG64" s="19">
        <f t="shared" si="84"/>
        <v>3.1620553359683794E-3</v>
      </c>
      <c r="DH64" s="19">
        <f t="shared" si="84"/>
        <v>-1.0951228829746593E-2</v>
      </c>
      <c r="DI64" s="19">
        <f t="shared" si="84"/>
        <v>-1.2536474656868043E-2</v>
      </c>
      <c r="DJ64" s="19"/>
      <c r="DK64" s="19"/>
      <c r="DL64" s="19"/>
      <c r="DM64" s="19"/>
      <c r="DN64" s="19"/>
      <c r="DO64" s="19"/>
      <c r="DP64" s="19"/>
      <c r="DQ64" s="19"/>
      <c r="DR64" s="19"/>
      <c r="DS64" s="19"/>
      <c r="DT64" s="19"/>
      <c r="DU64" s="19"/>
      <c r="DV64" s="79">
        <f>SUMPRODUCT(CX64:DI64,CX45:DI45)/SUM(CX45:DI45)</f>
        <v>6.4965766688673349E-2</v>
      </c>
      <c r="DW64" s="80">
        <f t="shared" si="75"/>
        <v>133.23420850509956</v>
      </c>
    </row>
    <row r="65" spans="1:127">
      <c r="A65" s="17">
        <v>5</v>
      </c>
      <c r="B65" s="18"/>
      <c r="C65" s="19"/>
      <c r="D65" s="19"/>
      <c r="E65" s="19"/>
      <c r="F65" s="19"/>
      <c r="G65" s="19">
        <f t="shared" ref="G65:L65" si="85">(G46-G45)/G45</f>
        <v>-6.6666666666666666E-2</v>
      </c>
      <c r="H65" s="19">
        <f t="shared" si="85"/>
        <v>-8.3333333333333329E-2</v>
      </c>
      <c r="I65" s="19">
        <f t="shared" si="85"/>
        <v>-7.6923076923076927E-2</v>
      </c>
      <c r="J65" s="19">
        <f t="shared" si="85"/>
        <v>-0.33333333333333331</v>
      </c>
      <c r="K65" s="19">
        <f t="shared" si="85"/>
        <v>-0.12000000000000002</v>
      </c>
      <c r="L65" s="19">
        <f t="shared" si="85"/>
        <v>0.54471343873517775</v>
      </c>
      <c r="M65" s="19"/>
      <c r="N65" s="19">
        <f t="shared" si="81"/>
        <v>2</v>
      </c>
      <c r="O65" s="19">
        <f t="shared" si="81"/>
        <v>-0.14285714285714285</v>
      </c>
      <c r="P65" s="19">
        <f t="shared" si="81"/>
        <v>3</v>
      </c>
      <c r="Q65" s="19">
        <f t="shared" si="81"/>
        <v>2</v>
      </c>
      <c r="R65" s="19">
        <f t="shared" ref="R65:R75" si="86">(R46-R45)/R45</f>
        <v>-0.75</v>
      </c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79">
        <f>SUMPRODUCT(G65:R65,G46:R46)/SUM(G46:R46)</f>
        <v>0.37019206412078492</v>
      </c>
      <c r="AE65" s="80">
        <f t="shared" si="69"/>
        <v>284.76474345262966</v>
      </c>
      <c r="AG65" s="17">
        <v>5</v>
      </c>
      <c r="AH65" s="18"/>
      <c r="AI65" s="19"/>
      <c r="AJ65" s="19"/>
      <c r="AK65" s="19"/>
      <c r="AL65" s="19"/>
      <c r="AM65" s="19">
        <f t="shared" ref="AM65:AX65" si="87">(AM46-AM45)/AM45</f>
        <v>4.9285936044706616E-2</v>
      </c>
      <c r="AN65" s="19">
        <f t="shared" si="87"/>
        <v>4.1376368548272431E-2</v>
      </c>
      <c r="AO65" s="19">
        <f t="shared" si="87"/>
        <v>0.1223021582733813</v>
      </c>
      <c r="AP65" s="19">
        <f t="shared" si="87"/>
        <v>5.2203679931536157E-2</v>
      </c>
      <c r="AQ65" s="19">
        <f t="shared" si="87"/>
        <v>0.13196885828269667</v>
      </c>
      <c r="AR65" s="19">
        <f t="shared" si="87"/>
        <v>7.5548149441368485E-3</v>
      </c>
      <c r="AS65" s="19">
        <f t="shared" si="87"/>
        <v>5.2775250227479524E-2</v>
      </c>
      <c r="AT65" s="19">
        <f t="shared" si="87"/>
        <v>9.5652173913043481E-2</v>
      </c>
      <c r="AU65" s="19">
        <f t="shared" si="87"/>
        <v>3.7037037037037035E-2</v>
      </c>
      <c r="AV65" s="19">
        <f t="shared" si="87"/>
        <v>0.22222222222222221</v>
      </c>
      <c r="AW65" s="19">
        <f t="shared" si="87"/>
        <v>-8.0645161290322578E-2</v>
      </c>
      <c r="AX65" s="19">
        <f t="shared" si="87"/>
        <v>-7.1428571428571425E-2</v>
      </c>
      <c r="AY65" s="19"/>
      <c r="AZ65" s="19"/>
      <c r="BA65" s="19"/>
      <c r="BB65" s="19"/>
      <c r="BC65" s="19"/>
      <c r="BD65" s="19"/>
      <c r="BE65" s="19"/>
      <c r="BF65" s="19"/>
      <c r="BG65" s="19"/>
      <c r="BH65" s="19"/>
      <c r="BI65" s="19"/>
      <c r="BJ65" s="79">
        <f>SUMPRODUCT(AM65:AX65,AM46:AX46)/SUM(AM46:AX46)</f>
        <v>6.3039389440607038E-2</v>
      </c>
      <c r="BK65" s="80">
        <f t="shared" si="71"/>
        <v>131.71181271300591</v>
      </c>
      <c r="BM65" s="17">
        <v>5</v>
      </c>
      <c r="BN65" s="18"/>
      <c r="BO65" s="19"/>
      <c r="BP65" s="19"/>
      <c r="BQ65" s="19"/>
      <c r="BR65" s="19"/>
      <c r="BS65" s="19">
        <f t="shared" ref="BS65:CD65" si="88">(BS46-BS45)/BS45</f>
        <v>7.340361445783132E-2</v>
      </c>
      <c r="BT65" s="19">
        <f t="shared" si="88"/>
        <v>1.4181194110739771E-2</v>
      </c>
      <c r="BU65" s="19">
        <f t="shared" si="88"/>
        <v>4.4027077925383011E-2</v>
      </c>
      <c r="BV65" s="19">
        <f t="shared" si="88"/>
        <v>2.9832333314641395E-2</v>
      </c>
      <c r="BW65" s="19">
        <f t="shared" si="88"/>
        <v>9.0614545287300521E-2</v>
      </c>
      <c r="BX65" s="19">
        <f t="shared" si="88"/>
        <v>8.7055911466509539E-2</v>
      </c>
      <c r="BY65" s="19">
        <f t="shared" si="88"/>
        <v>7.4457777446523071E-2</v>
      </c>
      <c r="BZ65" s="19">
        <f t="shared" si="88"/>
        <v>7.2264793529161347E-2</v>
      </c>
      <c r="CA65" s="19">
        <f t="shared" si="88"/>
        <v>-1.5697137580794091E-3</v>
      </c>
      <c r="CB65" s="19">
        <f t="shared" si="88"/>
        <v>1.264406400358062E-2</v>
      </c>
      <c r="CC65" s="19">
        <f t="shared" si="88"/>
        <v>1.3719303059404582E-4</v>
      </c>
      <c r="CD65" s="19">
        <f t="shared" si="88"/>
        <v>2.8085942985535742E-4</v>
      </c>
      <c r="CE65" s="19"/>
      <c r="CF65" s="19"/>
      <c r="CG65" s="19"/>
      <c r="CH65" s="19"/>
      <c r="CI65" s="19"/>
      <c r="CJ65" s="19"/>
      <c r="CK65" s="19"/>
      <c r="CL65" s="19"/>
      <c r="CM65" s="19"/>
      <c r="CN65" s="19"/>
      <c r="CO65" s="19"/>
      <c r="CP65" s="79">
        <f>SUMPRODUCT(BS65:CD65,BS46:CD46)/SUM(BS46:CD46)</f>
        <v>4.8710253062581831E-2</v>
      </c>
      <c r="CQ65" s="80">
        <f t="shared" si="73"/>
        <v>145.56947464653601</v>
      </c>
      <c r="CS65" s="17">
        <v>5</v>
      </c>
      <c r="CT65" s="18"/>
      <c r="CU65" s="19"/>
      <c r="CV65" s="19"/>
      <c r="CW65" s="19"/>
      <c r="CX65" s="19"/>
      <c r="CY65" s="19">
        <f t="shared" ref="CY65:DJ65" si="89">(CY46-CY45)/CY45</f>
        <v>5.3013222838340139E-2</v>
      </c>
      <c r="CZ65" s="19">
        <f t="shared" si="89"/>
        <v>8.8544754001185534E-3</v>
      </c>
      <c r="DA65" s="19">
        <f t="shared" si="89"/>
        <v>1.9483700772564536E-2</v>
      </c>
      <c r="DB65" s="19">
        <f t="shared" si="89"/>
        <v>1.0801522032650055E-2</v>
      </c>
      <c r="DC65" s="19">
        <f t="shared" si="89"/>
        <v>6.3750770191038253E-2</v>
      </c>
      <c r="DD65" s="19">
        <f t="shared" si="89"/>
        <v>4.0320965796967576E-2</v>
      </c>
      <c r="DE65" s="19">
        <f t="shared" si="89"/>
        <v>3.472639807576669E-2</v>
      </c>
      <c r="DF65" s="19">
        <f t="shared" si="89"/>
        <v>4.7951582867783983E-2</v>
      </c>
      <c r="DG65" s="19">
        <f t="shared" si="89"/>
        <v>-1.69424743892829E-2</v>
      </c>
      <c r="DH65" s="19">
        <f t="shared" si="89"/>
        <v>5.6649929187588518E-3</v>
      </c>
      <c r="DI65" s="19">
        <f t="shared" si="89"/>
        <v>5.143920323957535E-3</v>
      </c>
      <c r="DJ65" s="19">
        <f t="shared" si="89"/>
        <v>-6.8474007825600897E-3</v>
      </c>
      <c r="DK65" s="19"/>
      <c r="DL65" s="19"/>
      <c r="DM65" s="19"/>
      <c r="DN65" s="19"/>
      <c r="DO65" s="19"/>
      <c r="DP65" s="19"/>
      <c r="DQ65" s="19"/>
      <c r="DR65" s="19"/>
      <c r="DS65" s="19"/>
      <c r="DT65" s="19"/>
      <c r="DU65" s="19"/>
      <c r="DV65" s="79">
        <f>SUMPRODUCT(CY65:DJ65,CY46:DJ46)/SUM(CY46:DJ46)</f>
        <v>2.6738726309178652E-2</v>
      </c>
      <c r="DW65" s="80">
        <f t="shared" si="75"/>
        <v>136.79672154133746</v>
      </c>
    </row>
    <row r="66" spans="1:127">
      <c r="A66" s="17">
        <v>6</v>
      </c>
      <c r="B66" s="18"/>
      <c r="C66" s="19"/>
      <c r="D66" s="19"/>
      <c r="E66" s="19"/>
      <c r="F66" s="19"/>
      <c r="G66" s="19"/>
      <c r="H66" s="19">
        <f>(H47-H46)/H46</f>
        <v>4.5454545454545456E-2</v>
      </c>
      <c r="I66" s="19">
        <f>(I47-I46)/I46</f>
        <v>-0.16666666666666666</v>
      </c>
      <c r="J66" s="19">
        <f>(J47-J46)/J46</f>
        <v>0.5</v>
      </c>
      <c r="K66" s="19">
        <f>(K47-K46)/K46</f>
        <v>-0.33333333333333331</v>
      </c>
      <c r="L66" s="19">
        <f>(L47-L46)/L46</f>
        <v>-0.19078842155765227</v>
      </c>
      <c r="M66" s="19"/>
      <c r="N66" s="19">
        <f t="shared" si="81"/>
        <v>0</v>
      </c>
      <c r="O66" s="19">
        <f t="shared" si="81"/>
        <v>-0.33333333333333331</v>
      </c>
      <c r="P66" s="19">
        <f t="shared" si="81"/>
        <v>-0.375</v>
      </c>
      <c r="Q66" s="19">
        <f t="shared" si="81"/>
        <v>-0.33333333333333331</v>
      </c>
      <c r="R66" s="19">
        <f t="shared" si="86"/>
        <v>0.5</v>
      </c>
      <c r="S66" s="19">
        <f t="shared" ref="S66:S72" si="90">(S47-S46)/S46</f>
        <v>-0.78947368421052633</v>
      </c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79">
        <f>SUMPRODUCT(H66:S66,H47:S47)/SUM(H47:S47)</f>
        <v>-6.9496357204896733E-2</v>
      </c>
      <c r="AE66" s="80">
        <f t="shared" si="69"/>
        <v>264.9746311222849</v>
      </c>
      <c r="AG66" s="17">
        <v>6</v>
      </c>
      <c r="AH66" s="18"/>
      <c r="AI66" s="19"/>
      <c r="AJ66" s="19"/>
      <c r="AK66" s="19"/>
      <c r="AL66" s="19"/>
      <c r="AM66" s="19"/>
      <c r="AN66" s="19">
        <f t="shared" ref="AN66:AY66" si="91">(AN47-AN46)/AN46</f>
        <v>4.8880393227744401E-2</v>
      </c>
      <c r="AO66" s="19">
        <f t="shared" si="91"/>
        <v>4.807692307692308E-2</v>
      </c>
      <c r="AP66" s="19">
        <f t="shared" si="91"/>
        <v>9.658397722651485E-2</v>
      </c>
      <c r="AQ66" s="19">
        <f t="shared" si="91"/>
        <v>2.3904382470119521E-2</v>
      </c>
      <c r="AR66" s="19">
        <f t="shared" si="91"/>
        <v>6.730436012897871E-2</v>
      </c>
      <c r="AS66" s="19">
        <f t="shared" si="91"/>
        <v>4.0923235685073577E-2</v>
      </c>
      <c r="AT66" s="19">
        <f t="shared" si="91"/>
        <v>5.5555555555555552E-2</v>
      </c>
      <c r="AU66" s="19">
        <f t="shared" si="91"/>
        <v>0.19642857142857142</v>
      </c>
      <c r="AV66" s="19">
        <f t="shared" si="91"/>
        <v>-9.0909090909090912E-2</v>
      </c>
      <c r="AW66" s="19">
        <f t="shared" si="91"/>
        <v>-5.2631578947368418E-2</v>
      </c>
      <c r="AX66" s="19">
        <f t="shared" si="91"/>
        <v>-7.6923076923076927E-2</v>
      </c>
      <c r="AY66" s="19">
        <f t="shared" si="91"/>
        <v>5.8823529411764705E-2</v>
      </c>
      <c r="AZ66" s="19"/>
      <c r="BA66" s="19"/>
      <c r="BB66" s="19"/>
      <c r="BC66" s="19"/>
      <c r="BD66" s="19"/>
      <c r="BE66" s="19"/>
      <c r="BF66" s="19"/>
      <c r="BG66" s="19"/>
      <c r="BH66" s="19"/>
      <c r="BI66" s="19"/>
      <c r="BJ66" s="79">
        <f>SUMPRODUCT(AN66:AY66,AN47:AY47)/SUM(AN47:AY47)</f>
        <v>5.6935446568064478E-2</v>
      </c>
      <c r="BK66" s="80">
        <f t="shared" si="71"/>
        <v>139.21088358811016</v>
      </c>
      <c r="BM66" s="17">
        <v>6</v>
      </c>
      <c r="BN66" s="18"/>
      <c r="BO66" s="19"/>
      <c r="BP66" s="19"/>
      <c r="BQ66" s="19"/>
      <c r="BR66" s="19"/>
      <c r="BS66" s="19"/>
      <c r="BT66" s="19">
        <f t="shared" ref="BT66:CE66" si="92">(BT47-BT46)/BT46</f>
        <v>2.4937655860349128E-2</v>
      </c>
      <c r="BU66" s="19">
        <f t="shared" si="92"/>
        <v>7.8978159126365053E-3</v>
      </c>
      <c r="BV66" s="19">
        <f t="shared" si="92"/>
        <v>3.4685543152736184E-2</v>
      </c>
      <c r="BW66" s="19">
        <f t="shared" si="92"/>
        <v>1.6085950020775213E-2</v>
      </c>
      <c r="BX66" s="19">
        <f t="shared" si="92"/>
        <v>2.3343355670246504E-2</v>
      </c>
      <c r="BY66" s="19">
        <f t="shared" si="92"/>
        <v>6.5053734554856149E-2</v>
      </c>
      <c r="BZ66" s="19">
        <f t="shared" si="92"/>
        <v>5.1116625310173698E-2</v>
      </c>
      <c r="CA66" s="19">
        <f t="shared" si="92"/>
        <v>2.6172200129473782E-2</v>
      </c>
      <c r="CB66" s="19">
        <f t="shared" si="92"/>
        <v>-1.734806629834254E-2</v>
      </c>
      <c r="CC66" s="19">
        <f t="shared" si="92"/>
        <v>-1.2345679012345678E-2</v>
      </c>
      <c r="CD66" s="19">
        <f t="shared" si="92"/>
        <v>-1.6846834199073424E-3</v>
      </c>
      <c r="CE66" s="19">
        <f t="shared" si="92"/>
        <v>1.674515960230246E-2</v>
      </c>
      <c r="CF66" s="19"/>
      <c r="CG66" s="19"/>
      <c r="CH66" s="19"/>
      <c r="CI66" s="19"/>
      <c r="CJ66" s="19"/>
      <c r="CK66" s="19"/>
      <c r="CL66" s="19"/>
      <c r="CM66" s="19"/>
      <c r="CN66" s="19"/>
      <c r="CO66" s="19"/>
      <c r="CP66" s="79">
        <f>SUMPRODUCT(BT66:CE66,BT47:CE47)/SUM(BT47:CE47)</f>
        <v>2.2894224283612971E-2</v>
      </c>
      <c r="CQ66" s="80">
        <f t="shared" si="73"/>
        <v>148.90217484794152</v>
      </c>
      <c r="CS66" s="17">
        <v>6</v>
      </c>
      <c r="CT66" s="18"/>
      <c r="CU66" s="19"/>
      <c r="CV66" s="19"/>
      <c r="CW66" s="19"/>
      <c r="CX66" s="19"/>
      <c r="CY66" s="19"/>
      <c r="CZ66" s="19">
        <f t="shared" ref="CZ66:DK66" si="93">(CZ47-CZ46)/CZ46</f>
        <v>-4.4801880210054721E-3</v>
      </c>
      <c r="DA66" s="19">
        <f t="shared" si="93"/>
        <v>-9.6850510128641144E-3</v>
      </c>
      <c r="DB66" s="19">
        <f t="shared" si="93"/>
        <v>1.9024488969844162E-2</v>
      </c>
      <c r="DC66" s="19">
        <f t="shared" si="93"/>
        <v>9.3865606537463415E-4</v>
      </c>
      <c r="DD66" s="19">
        <f t="shared" si="93"/>
        <v>1.3995969679072328E-2</v>
      </c>
      <c r="DE66" s="19">
        <f t="shared" si="93"/>
        <v>1.2320583788273829E-2</v>
      </c>
      <c r="DF66" s="19">
        <f t="shared" si="93"/>
        <v>1.5282096845846291E-2</v>
      </c>
      <c r="DG66" s="19">
        <f t="shared" si="93"/>
        <v>2.3647294589178358E-2</v>
      </c>
      <c r="DH66" s="19">
        <f t="shared" si="93"/>
        <v>-2.1124055818717194E-2</v>
      </c>
      <c r="DI66" s="19">
        <f t="shared" si="93"/>
        <v>-2.2865853658536584E-3</v>
      </c>
      <c r="DJ66" s="19">
        <f t="shared" si="93"/>
        <v>-1.1397214014352047E-2</v>
      </c>
      <c r="DK66" s="19">
        <f t="shared" si="93"/>
        <v>2.8223410576351752E-2</v>
      </c>
      <c r="DL66" s="19"/>
      <c r="DM66" s="19"/>
      <c r="DN66" s="19"/>
      <c r="DO66" s="19"/>
      <c r="DP66" s="19"/>
      <c r="DQ66" s="19"/>
      <c r="DR66" s="19"/>
      <c r="DS66" s="19"/>
      <c r="DT66" s="19"/>
      <c r="DU66" s="19"/>
      <c r="DV66" s="79">
        <f>SUMPRODUCT(CZ66:DK66,CZ47:DK47)/SUM(CZ47:DK47)</f>
        <v>4.6843208767154611E-3</v>
      </c>
      <c r="DW66" s="80">
        <f t="shared" si="75"/>
        <v>137.43752127991979</v>
      </c>
    </row>
    <row r="67" spans="1:127">
      <c r="A67" s="17">
        <v>7</v>
      </c>
      <c r="B67" s="18"/>
      <c r="C67" s="19"/>
      <c r="D67" s="19"/>
      <c r="E67" s="19"/>
      <c r="F67" s="19"/>
      <c r="G67" s="19"/>
      <c r="H67" s="19"/>
      <c r="I67" s="19">
        <f>(I48-I47)/I47</f>
        <v>-0.1</v>
      </c>
      <c r="J67" s="19">
        <f>(J48-J47)/J47</f>
        <v>-0.33333333333333331</v>
      </c>
      <c r="K67" s="19">
        <f>(K48-K47)/K47</f>
        <v>0</v>
      </c>
      <c r="L67" s="19">
        <f>(L48-L47)/L47</f>
        <v>-0.2</v>
      </c>
      <c r="M67" s="19">
        <f>(M48-M47)/M47</f>
        <v>0.76</v>
      </c>
      <c r="N67" s="19">
        <f t="shared" si="81"/>
        <v>-7.6745718050065762E-2</v>
      </c>
      <c r="O67" s="19">
        <f t="shared" si="81"/>
        <v>0</v>
      </c>
      <c r="P67" s="19">
        <f t="shared" si="81"/>
        <v>-0.2</v>
      </c>
      <c r="Q67" s="19">
        <f t="shared" si="81"/>
        <v>0</v>
      </c>
      <c r="R67" s="19">
        <f t="shared" si="86"/>
        <v>0.16666666666666666</v>
      </c>
      <c r="S67" s="19">
        <f t="shared" si="90"/>
        <v>-0.75</v>
      </c>
      <c r="T67" s="19">
        <f t="shared" ref="T67:T73" si="94">(T48-T47)/T47</f>
        <v>-0.73333333333333328</v>
      </c>
      <c r="U67" s="19"/>
      <c r="V67" s="19"/>
      <c r="W67" s="19"/>
      <c r="X67" s="19"/>
      <c r="Y67" s="19"/>
      <c r="Z67" s="19"/>
      <c r="AA67" s="19"/>
      <c r="AB67" s="19"/>
      <c r="AC67" s="19"/>
      <c r="AD67" s="79">
        <f>SUMPRODUCT(I67:T67,I48:T48)/SUM(I48:T48)</f>
        <v>-8.0766583111388249E-2</v>
      </c>
      <c r="AE67" s="80">
        <f t="shared" si="69"/>
        <v>243.57353555533743</v>
      </c>
      <c r="AG67" s="17">
        <v>7</v>
      </c>
      <c r="AH67" s="18"/>
      <c r="AI67" s="19"/>
      <c r="AJ67" s="19"/>
      <c r="AK67" s="19"/>
      <c r="AL67" s="19"/>
      <c r="AM67" s="19"/>
      <c r="AN67" s="19"/>
      <c r="AO67" s="19">
        <f t="shared" ref="AO67:AZ67" si="95">(AO48-AO47)/AO47</f>
        <v>7.1355759429153925E-2</v>
      </c>
      <c r="AP67" s="19">
        <f t="shared" si="95"/>
        <v>5.3217133320971631E-2</v>
      </c>
      <c r="AQ67" s="19">
        <f t="shared" si="95"/>
        <v>9.8573281452658881E-2</v>
      </c>
      <c r="AR67" s="19">
        <f t="shared" si="95"/>
        <v>1.6666666666666666E-2</v>
      </c>
      <c r="AS67" s="19">
        <f t="shared" si="95"/>
        <v>5.5342646931460189E-2</v>
      </c>
      <c r="AT67" s="19">
        <f t="shared" si="95"/>
        <v>-1.9356678887034878E-2</v>
      </c>
      <c r="AU67" s="19">
        <f t="shared" si="95"/>
        <v>0.1044776119402985</v>
      </c>
      <c r="AV67" s="19">
        <f t="shared" si="95"/>
        <v>0.4</v>
      </c>
      <c r="AW67" s="19">
        <f t="shared" si="95"/>
        <v>-0.1111111111111111</v>
      </c>
      <c r="AX67" s="19">
        <f t="shared" si="95"/>
        <v>0</v>
      </c>
      <c r="AY67" s="19">
        <f t="shared" si="95"/>
        <v>-0.1111111111111111</v>
      </c>
      <c r="AZ67" s="19">
        <f t="shared" si="95"/>
        <v>7.0588235294117646E-2</v>
      </c>
      <c r="BA67" s="19"/>
      <c r="BB67" s="19"/>
      <c r="BC67" s="19"/>
      <c r="BD67" s="19"/>
      <c r="BE67" s="19"/>
      <c r="BF67" s="19"/>
      <c r="BG67" s="19"/>
      <c r="BH67" s="19"/>
      <c r="BI67" s="19"/>
      <c r="BJ67" s="79">
        <f>SUMPRODUCT(AO67:AZ67,AO48:AZ48)/SUM(AO48:AZ48)</f>
        <v>6.1689281493198578E-2</v>
      </c>
      <c r="BK67" s="80">
        <f t="shared" si="71"/>
        <v>147.798702972694</v>
      </c>
      <c r="BM67" s="17">
        <v>7</v>
      </c>
      <c r="BN67" s="18"/>
      <c r="BO67" s="19"/>
      <c r="BP67" s="19"/>
      <c r="BQ67" s="19"/>
      <c r="BR67" s="19"/>
      <c r="BS67" s="19"/>
      <c r="BT67" s="19"/>
      <c r="BU67" s="19">
        <f t="shared" ref="BU67:CF67" si="96">(BU48-BU47)/BU47</f>
        <v>2.1427880429525006E-2</v>
      </c>
      <c r="BV67" s="19">
        <f t="shared" si="96"/>
        <v>4.0522050310493633E-3</v>
      </c>
      <c r="BW67" s="19">
        <f t="shared" si="96"/>
        <v>4.1652062156794019E-2</v>
      </c>
      <c r="BX67" s="19">
        <f t="shared" si="96"/>
        <v>1.65602679982302E-2</v>
      </c>
      <c r="BY67" s="19">
        <f t="shared" si="96"/>
        <v>1.720649681510775E-2</v>
      </c>
      <c r="BZ67" s="19">
        <f t="shared" si="96"/>
        <v>3.6827631247508145E-2</v>
      </c>
      <c r="CA67" s="19">
        <f t="shared" si="96"/>
        <v>-2.9740447007930784E-3</v>
      </c>
      <c r="CB67" s="19">
        <f t="shared" si="96"/>
        <v>1.5855166985269314E-2</v>
      </c>
      <c r="CC67" s="19">
        <f t="shared" si="96"/>
        <v>-1.0694444444444444E-2</v>
      </c>
      <c r="CD67" s="19">
        <f t="shared" si="96"/>
        <v>-2.4187877935592742E-2</v>
      </c>
      <c r="CE67" s="19">
        <f t="shared" si="96"/>
        <v>-4.1559444158517755E-2</v>
      </c>
      <c r="CF67" s="19">
        <f t="shared" si="96"/>
        <v>3.0108115505679484E-3</v>
      </c>
      <c r="CG67" s="19"/>
      <c r="CH67" s="19"/>
      <c r="CI67" s="19"/>
      <c r="CJ67" s="19"/>
      <c r="CK67" s="19"/>
      <c r="CL67" s="19"/>
      <c r="CM67" s="19"/>
      <c r="CN67" s="19"/>
      <c r="CO67" s="19"/>
      <c r="CP67" s="79">
        <f>SUMPRODUCT(BU67:CF67,BU48:CF48)/SUM(BU48:CF48)</f>
        <v>1.1966636386132391E-2</v>
      </c>
      <c r="CQ67" s="80">
        <f t="shared" si="73"/>
        <v>150.68403303145115</v>
      </c>
      <c r="CS67" s="17">
        <v>7</v>
      </c>
      <c r="CT67" s="18"/>
      <c r="CU67" s="19"/>
      <c r="CV67" s="19"/>
      <c r="CW67" s="19"/>
      <c r="CX67" s="19"/>
      <c r="CY67" s="19"/>
      <c r="CZ67" s="19"/>
      <c r="DA67" s="19">
        <f t="shared" ref="DA67:DL67" si="97">(DA48-DA47)/DA47</f>
        <v>-2.2769690182904067E-3</v>
      </c>
      <c r="DB67" s="19">
        <f t="shared" si="97"/>
        <v>-1.7715988083416088E-2</v>
      </c>
      <c r="DC67" s="19">
        <f t="shared" si="97"/>
        <v>1.2246248896734334E-2</v>
      </c>
      <c r="DD67" s="19">
        <f t="shared" si="97"/>
        <v>-1.379261059100979E-2</v>
      </c>
      <c r="DE67" s="19">
        <f t="shared" si="97"/>
        <v>-2.0709911998061003E-2</v>
      </c>
      <c r="DF67" s="19">
        <f t="shared" si="97"/>
        <v>-2.3471247119036475E-3</v>
      </c>
      <c r="DG67" s="19">
        <f t="shared" si="97"/>
        <v>-3.230227094753328E-3</v>
      </c>
      <c r="DH67" s="19">
        <f t="shared" si="97"/>
        <v>1.4909756735547999E-2</v>
      </c>
      <c r="DI67" s="19">
        <f t="shared" si="97"/>
        <v>-3.2194696060242278E-2</v>
      </c>
      <c r="DJ67" s="19">
        <f t="shared" si="97"/>
        <v>-7.970395673213778E-3</v>
      </c>
      <c r="DK67" s="19">
        <f t="shared" si="97"/>
        <v>-3.8283733025137247E-2</v>
      </c>
      <c r="DL67" s="19">
        <f t="shared" si="97"/>
        <v>7.3070482569645304E-3</v>
      </c>
      <c r="DM67" s="19"/>
      <c r="DN67" s="19"/>
      <c r="DO67" s="19"/>
      <c r="DP67" s="19"/>
      <c r="DQ67" s="19"/>
      <c r="DR67" s="19"/>
      <c r="DS67" s="19"/>
      <c r="DT67" s="19"/>
      <c r="DU67" s="19"/>
      <c r="DV67" s="79">
        <f>SUMPRODUCT(DA67:DL67,DA48:DL48)/SUM(DA48:DL48)</f>
        <v>-7.9552854851718431E-3</v>
      </c>
      <c r="DW67" s="80">
        <f t="shared" si="75"/>
        <v>136.34416656176364</v>
      </c>
    </row>
    <row r="68" spans="1:127">
      <c r="A68" s="17">
        <v>8</v>
      </c>
      <c r="B68" s="18"/>
      <c r="C68" s="19"/>
      <c r="D68" s="19"/>
      <c r="E68" s="19"/>
      <c r="F68" s="19"/>
      <c r="G68" s="19"/>
      <c r="H68" s="19"/>
      <c r="I68" s="19"/>
      <c r="J68" s="19">
        <f>(J49-J48)/J48</f>
        <v>0.5</v>
      </c>
      <c r="K68" s="19">
        <f>(K49-K48)/K48</f>
        <v>0</v>
      </c>
      <c r="L68" s="19">
        <f>(L49-L48)/L48</f>
        <v>-0.5</v>
      </c>
      <c r="M68" s="19">
        <f>(M49-M48)/M48</f>
        <v>-0.33333333333333331</v>
      </c>
      <c r="N68" s="19">
        <f t="shared" si="81"/>
        <v>0.80520870495897234</v>
      </c>
      <c r="O68" s="19">
        <f t="shared" si="81"/>
        <v>6.0606060606060552E-2</v>
      </c>
      <c r="P68" s="19">
        <f t="shared" si="81"/>
        <v>0</v>
      </c>
      <c r="Q68" s="19">
        <f t="shared" si="81"/>
        <v>0.5</v>
      </c>
      <c r="R68" s="19">
        <f t="shared" si="86"/>
        <v>-0.8571428571428571</v>
      </c>
      <c r="S68" s="19">
        <f t="shared" si="90"/>
        <v>1</v>
      </c>
      <c r="T68" s="19">
        <f t="shared" si="94"/>
        <v>-0.5</v>
      </c>
      <c r="U68" s="19">
        <f t="shared" ref="U68:U75" si="98">(U49-U48)/U48</f>
        <v>-0.2087912087912088</v>
      </c>
      <c r="V68" s="19"/>
      <c r="W68" s="19"/>
      <c r="X68" s="19"/>
      <c r="Y68" s="19"/>
      <c r="Z68" s="19"/>
      <c r="AA68" s="19"/>
      <c r="AB68" s="19"/>
      <c r="AC68" s="19"/>
      <c r="AD68" s="79">
        <f>SUMPRODUCT(J68:U68,J49:U49)/SUM(J49:U49)</f>
        <v>-9.0702235201703438E-2</v>
      </c>
      <c r="AE68" s="80">
        <f t="shared" si="69"/>
        <v>221.48087144448675</v>
      </c>
      <c r="AG68" s="17">
        <v>8</v>
      </c>
      <c r="AH68" s="18"/>
      <c r="AI68" s="19"/>
      <c r="AJ68" s="19"/>
      <c r="AK68" s="19"/>
      <c r="AL68" s="19"/>
      <c r="AM68" s="19"/>
      <c r="AN68" s="19"/>
      <c r="AO68" s="19"/>
      <c r="AP68" s="19">
        <f t="shared" ref="AP68:BA68" si="99">(AP49-AP48)/AP48</f>
        <v>5.1760563380281691E-2</v>
      </c>
      <c r="AQ68" s="19">
        <f t="shared" si="99"/>
        <v>2.2727272727272728E-2</v>
      </c>
      <c r="AR68" s="19">
        <f t="shared" si="99"/>
        <v>7.2299285414039516E-2</v>
      </c>
      <c r="AS68" s="19">
        <f t="shared" si="99"/>
        <v>1.6522423288749016E-2</v>
      </c>
      <c r="AT68" s="19">
        <f t="shared" si="99"/>
        <v>0.11941246859907087</v>
      </c>
      <c r="AU68" s="19">
        <f t="shared" si="99"/>
        <v>-6.4736496994177509E-2</v>
      </c>
      <c r="AV68" s="19">
        <f t="shared" si="99"/>
        <v>0.14285714285714285</v>
      </c>
      <c r="AW68" s="19">
        <f t="shared" si="99"/>
        <v>0.10416666666666667</v>
      </c>
      <c r="AX68" s="19">
        <f t="shared" si="99"/>
        <v>-0.1388888888888889</v>
      </c>
      <c r="AY68" s="19">
        <f t="shared" si="99"/>
        <v>6.25E-2</v>
      </c>
      <c r="AZ68" s="19">
        <f t="shared" si="99"/>
        <v>-2.7472527472527472E-2</v>
      </c>
      <c r="BA68" s="19">
        <f t="shared" si="99"/>
        <v>4.8338368580060423E-2</v>
      </c>
      <c r="BB68" s="19"/>
      <c r="BC68" s="19"/>
      <c r="BD68" s="19"/>
      <c r="BE68" s="19"/>
      <c r="BF68" s="19"/>
      <c r="BG68" s="19"/>
      <c r="BH68" s="19"/>
      <c r="BI68" s="19"/>
      <c r="BJ68" s="79">
        <f>SUMPRODUCT(AP68:BA68,AP49:BA49)/SUM(AP49:BA49)</f>
        <v>4.4143802522869584E-2</v>
      </c>
      <c r="BK68" s="80">
        <f t="shared" si="71"/>
        <v>154.32309972985686</v>
      </c>
      <c r="BM68" s="17">
        <v>8</v>
      </c>
      <c r="BN68" s="18"/>
      <c r="BO68" s="19"/>
      <c r="BP68" s="19"/>
      <c r="BQ68" s="19"/>
      <c r="BR68" s="19"/>
      <c r="BS68" s="19"/>
      <c r="BT68" s="19"/>
      <c r="BU68" s="19"/>
      <c r="BV68" s="19">
        <f t="shared" ref="BV68:CG68" si="100">(BV49-BV48)/BV48</f>
        <v>2.4162691964987684E-2</v>
      </c>
      <c r="BW68" s="19">
        <f t="shared" si="100"/>
        <v>-1.9067915428186866E-3</v>
      </c>
      <c r="BX68" s="19">
        <f t="shared" si="100"/>
        <v>3.7244295218553755E-2</v>
      </c>
      <c r="BY68" s="19">
        <f t="shared" si="100"/>
        <v>-3.4575489819439107E-3</v>
      </c>
      <c r="BZ68" s="19">
        <f t="shared" si="100"/>
        <v>-1.0933160168993662E-3</v>
      </c>
      <c r="CA68" s="19">
        <f t="shared" si="100"/>
        <v>-2.1895254496858724E-2</v>
      </c>
      <c r="CB68" s="19">
        <f t="shared" si="100"/>
        <v>-2.6676998007527118E-2</v>
      </c>
      <c r="CC68" s="19">
        <f t="shared" si="100"/>
        <v>-1.9654639898918996E-2</v>
      </c>
      <c r="CD68" s="19">
        <f t="shared" si="100"/>
        <v>-4.6404381034731226E-2</v>
      </c>
      <c r="CE68" s="19">
        <f t="shared" si="100"/>
        <v>-2.9399919452275474E-2</v>
      </c>
      <c r="CF68" s="19">
        <f t="shared" si="100"/>
        <v>-6.9313685359530627E-2</v>
      </c>
      <c r="CG68" s="19">
        <f t="shared" si="100"/>
        <v>-1.9481374226668423E-2</v>
      </c>
      <c r="CH68" s="19"/>
      <c r="CI68" s="19"/>
      <c r="CJ68" s="19"/>
      <c r="CK68" s="19"/>
      <c r="CL68" s="19"/>
      <c r="CM68" s="19"/>
      <c r="CN68" s="19"/>
      <c r="CO68" s="19"/>
      <c r="CP68" s="79">
        <f>SUMPRODUCT(BV68:CG68,BV49:CG49)/SUM(BV49:CG49)</f>
        <v>-5.5635993148805719E-3</v>
      </c>
      <c r="CQ68" s="80">
        <f t="shared" si="73"/>
        <v>149.84568744851393</v>
      </c>
      <c r="CS68" s="17">
        <v>8</v>
      </c>
      <c r="CT68" s="18"/>
      <c r="CU68" s="19"/>
      <c r="CV68" s="19"/>
      <c r="CW68" s="19"/>
      <c r="CX68" s="19"/>
      <c r="CY68" s="19"/>
      <c r="CZ68" s="19"/>
      <c r="DA68" s="19"/>
      <c r="DB68" s="19">
        <f t="shared" ref="DB68:DM68" si="101">(DB49-DB48)/DB48</f>
        <v>-6.0657527599175054E-4</v>
      </c>
      <c r="DC68" s="19">
        <f t="shared" si="101"/>
        <v>-3.0463215258855585E-2</v>
      </c>
      <c r="DD68" s="19">
        <f t="shared" si="101"/>
        <v>1.8115942028985507E-3</v>
      </c>
      <c r="DE68" s="19">
        <f t="shared" si="101"/>
        <v>-4.3452773503334069E-2</v>
      </c>
      <c r="DF68" s="19">
        <f t="shared" si="101"/>
        <v>-4.7471130641697327E-2</v>
      </c>
      <c r="DG68" s="19">
        <f t="shared" si="101"/>
        <v>-6.041347303953034E-2</v>
      </c>
      <c r="DH68" s="19">
        <f t="shared" si="101"/>
        <v>-4.3298969072164947E-2</v>
      </c>
      <c r="DI68" s="19">
        <f t="shared" si="101"/>
        <v>-1.1840324763193504E-2</v>
      </c>
      <c r="DJ68" s="19">
        <f t="shared" si="101"/>
        <v>-3.6585365853658534E-2</v>
      </c>
      <c r="DK68" s="19">
        <f t="shared" si="101"/>
        <v>-1.7124831004957188E-2</v>
      </c>
      <c r="DL68" s="19">
        <f t="shared" si="101"/>
        <v>-6.8006649539066044E-2</v>
      </c>
      <c r="DM68" s="19">
        <f t="shared" si="101"/>
        <v>-1.1607142857142858E-2</v>
      </c>
      <c r="DN68" s="19"/>
      <c r="DO68" s="19"/>
      <c r="DP68" s="19"/>
      <c r="DQ68" s="19"/>
      <c r="DR68" s="19"/>
      <c r="DS68" s="19"/>
      <c r="DT68" s="19"/>
      <c r="DU68" s="19"/>
      <c r="DV68" s="79">
        <f>SUMPRODUCT(DB68:DM68,DB49:DM49)/SUM(DB49:DM49)</f>
        <v>-2.6290737622965511E-2</v>
      </c>
      <c r="DW68" s="80">
        <f t="shared" si="75"/>
        <v>132.7595778522664</v>
      </c>
    </row>
    <row r="69" spans="1:127">
      <c r="A69" s="17">
        <v>9</v>
      </c>
      <c r="B69" s="18"/>
      <c r="C69" s="19"/>
      <c r="D69" s="19"/>
      <c r="E69" s="19"/>
      <c r="F69" s="19"/>
      <c r="G69" s="19"/>
      <c r="H69" s="19"/>
      <c r="I69" s="19"/>
      <c r="J69" s="19"/>
      <c r="K69" s="19">
        <f>(K50-K49)/K49</f>
        <v>0</v>
      </c>
      <c r="L69" s="19">
        <f>(L50-L49)/L49</f>
        <v>-0.5</v>
      </c>
      <c r="M69" s="19">
        <f>(M50-M49)/M49</f>
        <v>-1</v>
      </c>
      <c r="N69" s="19">
        <f t="shared" si="81"/>
        <v>-0.2</v>
      </c>
      <c r="O69" s="19">
        <f t="shared" si="81"/>
        <v>0.17857142857142863</v>
      </c>
      <c r="P69" s="19">
        <f t="shared" si="81"/>
        <v>0.11857707509881421</v>
      </c>
      <c r="Q69" s="19">
        <f t="shared" si="81"/>
        <v>0</v>
      </c>
      <c r="R69" s="19">
        <f t="shared" si="86"/>
        <v>2</v>
      </c>
      <c r="S69" s="19">
        <f t="shared" si="90"/>
        <v>-0.5</v>
      </c>
      <c r="T69" s="19">
        <f t="shared" si="94"/>
        <v>2</v>
      </c>
      <c r="U69" s="19">
        <f t="shared" si="98"/>
        <v>-0.18055555555555555</v>
      </c>
      <c r="V69" s="19">
        <f t="shared" ref="V69:V75" si="102">(V50-V49)/V49</f>
        <v>-0.17460317460317459</v>
      </c>
      <c r="W69" s="19"/>
      <c r="X69" s="19"/>
      <c r="Y69" s="19"/>
      <c r="Z69" s="19"/>
      <c r="AA69" s="19"/>
      <c r="AB69" s="19"/>
      <c r="AC69" s="19"/>
      <c r="AD69" s="79">
        <f>SUMPRODUCT(K69:V69,K50:V50)/SUM(K50:V50)</f>
        <v>-8.2902230596604107E-2</v>
      </c>
      <c r="AE69" s="80">
        <f t="shared" si="69"/>
        <v>203.1196131672591</v>
      </c>
      <c r="AG69" s="17">
        <v>9</v>
      </c>
      <c r="AH69" s="18"/>
      <c r="AI69" s="19"/>
      <c r="AJ69" s="19"/>
      <c r="AK69" s="19"/>
      <c r="AL69" s="19"/>
      <c r="AM69" s="19"/>
      <c r="AN69" s="19"/>
      <c r="AO69" s="19"/>
      <c r="AP69" s="19"/>
      <c r="AQ69" s="19">
        <f t="shared" ref="AQ69:BB69" si="103">(AQ50-AQ49)/AQ49</f>
        <v>5.4834054834054832E-2</v>
      </c>
      <c r="AR69" s="19">
        <f t="shared" si="103"/>
        <v>0</v>
      </c>
      <c r="AS69" s="19">
        <f t="shared" si="103"/>
        <v>3.7151702786377708E-2</v>
      </c>
      <c r="AT69" s="19">
        <f t="shared" si="103"/>
        <v>6.8493150684931503E-2</v>
      </c>
      <c r="AU69" s="19">
        <f t="shared" si="103"/>
        <v>1.142185374046073E-2</v>
      </c>
      <c r="AV69" s="19">
        <f t="shared" si="103"/>
        <v>-0.27213699878493314</v>
      </c>
      <c r="AW69" s="19">
        <f t="shared" si="103"/>
        <v>-7.5471698113207544E-2</v>
      </c>
      <c r="AX69" s="19">
        <f t="shared" si="103"/>
        <v>-3.2258064516129031E-2</v>
      </c>
      <c r="AY69" s="19">
        <f t="shared" si="103"/>
        <v>-0.14705882352941177</v>
      </c>
      <c r="AZ69" s="19">
        <f t="shared" si="103"/>
        <v>-2.2598870056497175E-2</v>
      </c>
      <c r="BA69" s="19">
        <f t="shared" si="103"/>
        <v>-0.14409221902017291</v>
      </c>
      <c r="BB69" s="19">
        <f t="shared" si="103"/>
        <v>-0.10948905109489052</v>
      </c>
      <c r="BC69" s="19"/>
      <c r="BD69" s="19"/>
      <c r="BE69" s="19"/>
      <c r="BF69" s="19"/>
      <c r="BG69" s="19"/>
      <c r="BH69" s="19"/>
      <c r="BI69" s="19"/>
      <c r="BJ69" s="79">
        <f>SUMPRODUCT(AQ69:BB69,AQ50:BB50)/SUM(AQ50:BB50)</f>
        <v>1.9908328964084746E-2</v>
      </c>
      <c r="BK69" s="80">
        <f t="shared" si="71"/>
        <v>157.39541476603611</v>
      </c>
      <c r="BM69" s="17">
        <v>9</v>
      </c>
      <c r="BN69" s="18"/>
      <c r="BO69" s="19"/>
      <c r="BP69" s="19"/>
      <c r="BQ69" s="19"/>
      <c r="BR69" s="19"/>
      <c r="BS69" s="19"/>
      <c r="BT69" s="19"/>
      <c r="BU69" s="19"/>
      <c r="BV69" s="19"/>
      <c r="BW69" s="19">
        <f t="shared" ref="BW69:CH69" si="104">(BW50-BW49)/BW49</f>
        <v>2.6352756082485811E-2</v>
      </c>
      <c r="BX69" s="19">
        <f t="shared" si="104"/>
        <v>-1.2708308356312193E-2</v>
      </c>
      <c r="BY69" s="19">
        <f t="shared" si="104"/>
        <v>2.2552043176561294E-2</v>
      </c>
      <c r="BZ69" s="19">
        <f t="shared" si="104"/>
        <v>-1.9146608315098467E-2</v>
      </c>
      <c r="CA69" s="19">
        <f t="shared" si="104"/>
        <v>-5.6444471279297491E-2</v>
      </c>
      <c r="CB69" s="19">
        <f t="shared" si="104"/>
        <v>-4.8537957628479227E-2</v>
      </c>
      <c r="CC69" s="19">
        <f t="shared" si="104"/>
        <v>-4.3677502506086208E-2</v>
      </c>
      <c r="CD69" s="19">
        <f t="shared" si="104"/>
        <v>-4.684902523802327E-2</v>
      </c>
      <c r="CE69" s="19">
        <f t="shared" si="104"/>
        <v>-0.11715076071922545</v>
      </c>
      <c r="CF69" s="19">
        <f t="shared" si="104"/>
        <v>-8.3565459610027856E-2</v>
      </c>
      <c r="CG69" s="19">
        <f t="shared" si="104"/>
        <v>-0.13169552960128877</v>
      </c>
      <c r="CH69" s="19">
        <f t="shared" si="104"/>
        <v>-7.1113374066530885E-2</v>
      </c>
      <c r="CI69" s="19"/>
      <c r="CJ69" s="19"/>
      <c r="CK69" s="19"/>
      <c r="CL69" s="19"/>
      <c r="CM69" s="19"/>
      <c r="CN69" s="19"/>
      <c r="CO69" s="19"/>
      <c r="CP69" s="79">
        <f>SUMPRODUCT(BW69:CH69,BW50:CH50)/SUM(BW50:CH50)</f>
        <v>-3.1100313695472441E-2</v>
      </c>
      <c r="CQ69" s="80">
        <f t="shared" si="73"/>
        <v>145.18543956295144</v>
      </c>
      <c r="CS69" s="17">
        <v>9</v>
      </c>
      <c r="CT69" s="18"/>
      <c r="CU69" s="19"/>
      <c r="CV69" s="19"/>
      <c r="CW69" s="19"/>
      <c r="CX69" s="19"/>
      <c r="CY69" s="19"/>
      <c r="CZ69" s="19"/>
      <c r="DA69" s="19"/>
      <c r="DB69" s="19"/>
      <c r="DC69" s="19">
        <f t="shared" ref="DC69:DN69" si="105">(DC50-DC49)/DC49</f>
        <v>-1.4108256983868249E-2</v>
      </c>
      <c r="DD69" s="19">
        <f t="shared" si="105"/>
        <v>-5.3526220614828209E-2</v>
      </c>
      <c r="DE69" s="19">
        <f t="shared" si="105"/>
        <v>-9.9586333690822731E-3</v>
      </c>
      <c r="DF69" s="19">
        <f t="shared" si="105"/>
        <v>-7.3211161248733767E-2</v>
      </c>
      <c r="DG69" s="19">
        <f t="shared" si="105"/>
        <v>-9.2164209002054229E-2</v>
      </c>
      <c r="DH69" s="19">
        <f t="shared" si="105"/>
        <v>-8.1735835510992116E-2</v>
      </c>
      <c r="DI69" s="19">
        <f t="shared" si="105"/>
        <v>-4.1766518315645325E-2</v>
      </c>
      <c r="DJ69" s="19">
        <f t="shared" si="105"/>
        <v>-3.0826507818317202E-2</v>
      </c>
      <c r="DK69" s="19">
        <f t="shared" si="105"/>
        <v>-8.528198074277854E-2</v>
      </c>
      <c r="DL69" s="19">
        <f t="shared" si="105"/>
        <v>-5.9672450137830388E-2</v>
      </c>
      <c r="DM69" s="19">
        <f t="shared" si="105"/>
        <v>-0.13775971093044265</v>
      </c>
      <c r="DN69" s="19">
        <f t="shared" si="105"/>
        <v>-6.9664577957980089E-2</v>
      </c>
      <c r="DO69" s="19"/>
      <c r="DP69" s="19"/>
      <c r="DQ69" s="19"/>
      <c r="DR69" s="19"/>
      <c r="DS69" s="19"/>
      <c r="DT69" s="19"/>
      <c r="DU69" s="19"/>
      <c r="DV69" s="79">
        <f>SUMPRODUCT(DC69:DN69,DC50:DN50)/SUM(DC50:DN50)</f>
        <v>-5.366383069425739E-2</v>
      </c>
      <c r="DW69" s="80">
        <f t="shared" si="75"/>
        <v>125.6351903433613</v>
      </c>
    </row>
    <row r="70" spans="1:127">
      <c r="A70" s="17">
        <v>10</v>
      </c>
      <c r="B70" s="18"/>
      <c r="C70" s="19"/>
      <c r="D70" s="19"/>
      <c r="E70" s="19"/>
      <c r="F70" s="19"/>
      <c r="G70" s="19"/>
      <c r="H70" s="19"/>
      <c r="I70" s="19"/>
      <c r="J70" s="19"/>
      <c r="K70" s="19"/>
      <c r="L70" s="19">
        <f>(L51-L50)/L50</f>
        <v>1</v>
      </c>
      <c r="M70" s="19"/>
      <c r="N70" s="19">
        <f t="shared" si="81"/>
        <v>0.25</v>
      </c>
      <c r="O70" s="19">
        <f t="shared" si="81"/>
        <v>-0.6</v>
      </c>
      <c r="P70" s="19">
        <f t="shared" si="81"/>
        <v>0.11749116607773853</v>
      </c>
      <c r="Q70" s="19">
        <f t="shared" si="81"/>
        <v>-0.3671497584541063</v>
      </c>
      <c r="R70" s="19">
        <f t="shared" si="86"/>
        <v>0</v>
      </c>
      <c r="S70" s="19">
        <f t="shared" si="90"/>
        <v>0</v>
      </c>
      <c r="T70" s="19">
        <f t="shared" si="94"/>
        <v>-0.83333333333333337</v>
      </c>
      <c r="U70" s="19">
        <f t="shared" si="98"/>
        <v>-6.7796610169491525E-2</v>
      </c>
      <c r="V70" s="19">
        <f t="shared" si="102"/>
        <v>-0.20512820512820512</v>
      </c>
      <c r="W70" s="19">
        <f t="shared" ref="W70:W75" si="106">(W51-W50)/W50</f>
        <v>-0.19428571428571428</v>
      </c>
      <c r="X70" s="19"/>
      <c r="Y70" s="19"/>
      <c r="Z70" s="19"/>
      <c r="AA70" s="19"/>
      <c r="AB70" s="19"/>
      <c r="AC70" s="19"/>
      <c r="AD70" s="79">
        <f>SUMPRODUCT(L70:W70,L51:W51)/SUM(L51:W51)</f>
        <v>-0.1617152552416114</v>
      </c>
      <c r="AE70" s="80">
        <f t="shared" si="69"/>
        <v>170.27207307933841</v>
      </c>
      <c r="AG70" s="17">
        <v>10</v>
      </c>
      <c r="AH70" s="18"/>
      <c r="AI70" s="19"/>
      <c r="AJ70" s="19"/>
      <c r="AK70" s="19"/>
      <c r="AL70" s="19"/>
      <c r="AM70" s="19"/>
      <c r="AN70" s="19"/>
      <c r="AO70" s="19"/>
      <c r="AP70" s="19"/>
      <c r="AQ70" s="19"/>
      <c r="AR70" s="19">
        <f t="shared" ref="AR70:BC70" si="107">(AR51-AR50)/AR50</f>
        <v>1.6464131713053703E-2</v>
      </c>
      <c r="AS70" s="19">
        <f t="shared" si="107"/>
        <v>-1.1194029850746268E-2</v>
      </c>
      <c r="AT70" s="19">
        <f t="shared" si="107"/>
        <v>1.9230769230769232E-2</v>
      </c>
      <c r="AU70" s="19">
        <f t="shared" si="107"/>
        <v>-4.2857142857142858E-2</v>
      </c>
      <c r="AV70" s="19">
        <f t="shared" si="107"/>
        <v>0.20214930356304445</v>
      </c>
      <c r="AW70" s="19">
        <f t="shared" si="107"/>
        <v>-0.14537180801449276</v>
      </c>
      <c r="AX70" s="19">
        <f t="shared" si="107"/>
        <v>-0.23333333333333334</v>
      </c>
      <c r="AY70" s="19">
        <f t="shared" si="107"/>
        <v>3.4482758620689655E-2</v>
      </c>
      <c r="AZ70" s="19">
        <f t="shared" si="107"/>
        <v>-0.13872832369942195</v>
      </c>
      <c r="BA70" s="19">
        <f t="shared" si="107"/>
        <v>-0.12457912457912458</v>
      </c>
      <c r="BB70" s="19">
        <f t="shared" si="107"/>
        <v>-0.18032786885245902</v>
      </c>
      <c r="BC70" s="19">
        <f t="shared" si="107"/>
        <v>-9.03954802259887E-2</v>
      </c>
      <c r="BD70" s="19"/>
      <c r="BE70" s="19"/>
      <c r="BF70" s="19"/>
      <c r="BG70" s="19"/>
      <c r="BH70" s="19"/>
      <c r="BI70" s="19"/>
      <c r="BJ70" s="79">
        <f>SUMPRODUCT(AR70:BC70,AR51:BC51)/SUM(AR51:BC51)</f>
        <v>-1.6265978545462613E-2</v>
      </c>
      <c r="BK70" s="80">
        <f t="shared" si="71"/>
        <v>154.83522432629758</v>
      </c>
      <c r="BM70" s="17">
        <v>10</v>
      </c>
      <c r="BN70" s="18"/>
      <c r="BO70" s="19"/>
      <c r="BP70" s="19"/>
      <c r="BQ70" s="19"/>
      <c r="BR70" s="19"/>
      <c r="BS70" s="19"/>
      <c r="BT70" s="19"/>
      <c r="BU70" s="19"/>
      <c r="BV70" s="19"/>
      <c r="BW70" s="19"/>
      <c r="BX70" s="19">
        <f t="shared" ref="BX70:CI70" si="108">(BX51-BX50)/BX50</f>
        <v>3.6429872495446266E-4</v>
      </c>
      <c r="BY70" s="19">
        <f t="shared" si="108"/>
        <v>-4.6748350612629594E-2</v>
      </c>
      <c r="BZ70" s="19">
        <f t="shared" si="108"/>
        <v>-1.1805168246886039E-2</v>
      </c>
      <c r="CA70" s="19">
        <f t="shared" si="108"/>
        <v>-8.2761998041136139E-2</v>
      </c>
      <c r="CB70" s="19">
        <f t="shared" si="108"/>
        <v>-0.11596723399947043</v>
      </c>
      <c r="CC70" s="19">
        <f t="shared" si="108"/>
        <v>-0.11089863528976875</v>
      </c>
      <c r="CD70" s="19">
        <f t="shared" si="108"/>
        <v>-9.5925162517837323E-2</v>
      </c>
      <c r="CE70" s="19">
        <f t="shared" si="108"/>
        <v>-6.3606454645151189E-2</v>
      </c>
      <c r="CF70" s="19">
        <f t="shared" si="108"/>
        <v>-0.17405215165573509</v>
      </c>
      <c r="CG70" s="19">
        <f t="shared" si="108"/>
        <v>-0.11703772418058132</v>
      </c>
      <c r="CH70" s="19">
        <f t="shared" si="108"/>
        <v>-0.18052256532066507</v>
      </c>
      <c r="CI70" s="19">
        <f t="shared" si="108"/>
        <v>-0.11091040462427745</v>
      </c>
      <c r="CJ70" s="19"/>
      <c r="CK70" s="19"/>
      <c r="CL70" s="19"/>
      <c r="CM70" s="19"/>
      <c r="CN70" s="19"/>
      <c r="CO70" s="19"/>
      <c r="CP70" s="79">
        <f>SUMPRODUCT(BX70:CI70,BX51:CI51)/SUM(BX51:CI51)</f>
        <v>-7.1899176459982381E-2</v>
      </c>
      <c r="CQ70" s="80">
        <f t="shared" si="73"/>
        <v>134.74672602439469</v>
      </c>
      <c r="CS70" s="17">
        <v>10</v>
      </c>
      <c r="CT70" s="18"/>
      <c r="CU70" s="19"/>
      <c r="CV70" s="19"/>
      <c r="CW70" s="19"/>
      <c r="CX70" s="19"/>
      <c r="CY70" s="19"/>
      <c r="CZ70" s="19"/>
      <c r="DA70" s="19"/>
      <c r="DB70" s="19"/>
      <c r="DC70" s="19"/>
      <c r="DD70" s="19">
        <f t="shared" ref="DD70:DO70" si="109">(DD51-DD50)/DD50</f>
        <v>-5.7393962552541075E-2</v>
      </c>
      <c r="DE70" s="19">
        <f t="shared" si="109"/>
        <v>-9.9272670999690504E-2</v>
      </c>
      <c r="DF70" s="19">
        <f t="shared" si="109"/>
        <v>-6.7269475357710648E-2</v>
      </c>
      <c r="DG70" s="19">
        <f t="shared" si="109"/>
        <v>-0.11823624222887405</v>
      </c>
      <c r="DH70" s="19">
        <f t="shared" si="109"/>
        <v>-0.13703486693557282</v>
      </c>
      <c r="DI70" s="19">
        <f t="shared" si="109"/>
        <v>-0.16205405938392717</v>
      </c>
      <c r="DJ70" s="19">
        <f t="shared" si="109"/>
        <v>-8.8199139520590039E-2</v>
      </c>
      <c r="DK70" s="19">
        <f t="shared" si="109"/>
        <v>-5.0793650793650794E-2</v>
      </c>
      <c r="DL70" s="19">
        <f t="shared" si="109"/>
        <v>-0.14761165718227282</v>
      </c>
      <c r="DM70" s="19">
        <f t="shared" si="109"/>
        <v>-0.10790990047145102</v>
      </c>
      <c r="DN70" s="19">
        <f t="shared" si="109"/>
        <v>-0.19116481774960381</v>
      </c>
      <c r="DO70" s="19">
        <f t="shared" si="109"/>
        <v>-8.9658965896589657E-2</v>
      </c>
      <c r="DP70" s="19"/>
      <c r="DQ70" s="19"/>
      <c r="DR70" s="19"/>
      <c r="DS70" s="19"/>
      <c r="DT70" s="19"/>
      <c r="DU70" s="19"/>
      <c r="DV70" s="79">
        <f>SUMPRODUCT(DD70:DO70,DD51:DO51)/SUM(DD51:DO51)</f>
        <v>-0.10261624306041368</v>
      </c>
      <c r="DW70" s="80">
        <f t="shared" si="75"/>
        <v>112.7429791141456</v>
      </c>
    </row>
    <row r="71" spans="1:127">
      <c r="A71" s="17">
        <v>11</v>
      </c>
      <c r="B71" s="18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>
        <f>(M52-M51)/M51</f>
        <v>0.5</v>
      </c>
      <c r="N71" s="19">
        <f t="shared" si="81"/>
        <v>0</v>
      </c>
      <c r="O71" s="19">
        <f t="shared" si="81"/>
        <v>0.5</v>
      </c>
      <c r="P71" s="19">
        <f t="shared" si="81"/>
        <v>-0.4</v>
      </c>
      <c r="Q71" s="19">
        <f t="shared" si="81"/>
        <v>0.58015267175572516</v>
      </c>
      <c r="R71" s="19">
        <f t="shared" si="86"/>
        <v>-0.64492753623188404</v>
      </c>
      <c r="S71" s="19">
        <f t="shared" si="90"/>
        <v>0</v>
      </c>
      <c r="T71" s="19">
        <f t="shared" si="94"/>
        <v>1</v>
      </c>
      <c r="U71" s="19">
        <f t="shared" si="98"/>
        <v>-0.21818181818181817</v>
      </c>
      <c r="V71" s="19">
        <f t="shared" si="102"/>
        <v>-0.20161290322580644</v>
      </c>
      <c r="W71" s="19">
        <f t="shared" si="106"/>
        <v>-0.20567375886524822</v>
      </c>
      <c r="X71" s="19">
        <f>(X52-X51)/X51</f>
        <v>-0.32116788321167883</v>
      </c>
      <c r="Y71" s="19"/>
      <c r="Z71" s="19"/>
      <c r="AA71" s="19"/>
      <c r="AB71" s="19"/>
      <c r="AC71" s="19"/>
      <c r="AD71" s="79">
        <f>SUMPRODUCT(M71:X71,M52:X52)/SUM(M52:X52)</f>
        <v>-0.2102673550457948</v>
      </c>
      <c r="AE71" s="80">
        <f t="shared" si="69"/>
        <v>134.46941463478166</v>
      </c>
      <c r="AG71" s="17">
        <v>11</v>
      </c>
      <c r="AH71" s="18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19">
        <f t="shared" ref="AS71:BD71" si="110">(AS52-AS51)/AS51</f>
        <v>1.5094339622641509E-3</v>
      </c>
      <c r="AT71" s="19">
        <f t="shared" si="110"/>
        <v>-2.5157232704402517E-2</v>
      </c>
      <c r="AU71" s="19">
        <f t="shared" si="110"/>
        <v>7.4626865671641784E-2</v>
      </c>
      <c r="AV71" s="19">
        <f t="shared" si="110"/>
        <v>-0.35714285714285715</v>
      </c>
      <c r="AW71" s="19">
        <f t="shared" si="110"/>
        <v>-0.21197382198395495</v>
      </c>
      <c r="AX71" s="19">
        <f t="shared" si="110"/>
        <v>-0.18441974521358656</v>
      </c>
      <c r="AY71" s="19">
        <f t="shared" si="110"/>
        <v>-0.16666666666666666</v>
      </c>
      <c r="AZ71" s="19">
        <f t="shared" si="110"/>
        <v>-0.18791946308724833</v>
      </c>
      <c r="BA71" s="19">
        <f t="shared" si="110"/>
        <v>-0.14615384615384616</v>
      </c>
      <c r="BB71" s="19">
        <f t="shared" si="110"/>
        <v>-0.14000000000000001</v>
      </c>
      <c r="BC71" s="19">
        <f t="shared" si="110"/>
        <v>-0.29192546583850931</v>
      </c>
      <c r="BD71" s="19">
        <f t="shared" si="110"/>
        <v>-0.26732673267326734</v>
      </c>
      <c r="BE71" s="19"/>
      <c r="BF71" s="19"/>
      <c r="BG71" s="19"/>
      <c r="BH71" s="19"/>
      <c r="BI71" s="19"/>
      <c r="BJ71" s="79">
        <f>SUMPRODUCT(AS71:BD71,AS52:BD52)/SUM(AS52:BD52)</f>
        <v>-6.9881465182818986E-2</v>
      </c>
      <c r="BK71" s="80">
        <f t="shared" si="71"/>
        <v>144.01511198846543</v>
      </c>
      <c r="BM71" s="17">
        <v>11</v>
      </c>
      <c r="BN71" s="18"/>
      <c r="BO71" s="19"/>
      <c r="BP71" s="19"/>
      <c r="BQ71" s="19"/>
      <c r="BR71" s="19"/>
      <c r="BS71" s="19"/>
      <c r="BT71" s="19"/>
      <c r="BU71" s="19"/>
      <c r="BV71" s="19"/>
      <c r="BW71" s="19"/>
      <c r="BX71" s="19"/>
      <c r="BY71" s="19">
        <f t="shared" ref="BY71:CJ71" si="111">(BY52-BY51)/BY51</f>
        <v>-8.5689802913453302E-3</v>
      </c>
      <c r="BZ71" s="19">
        <f t="shared" si="111"/>
        <v>-6.7538331295268553E-2</v>
      </c>
      <c r="CA71" s="19">
        <f t="shared" si="111"/>
        <v>-5.9263214095034704E-2</v>
      </c>
      <c r="CB71" s="19">
        <f t="shared" si="111"/>
        <v>-0.11817198485667929</v>
      </c>
      <c r="CC71" s="19">
        <f t="shared" si="111"/>
        <v>-0.15215684234027904</v>
      </c>
      <c r="CD71" s="19">
        <f t="shared" si="111"/>
        <v>-0.1754775698785441</v>
      </c>
      <c r="CE71" s="19">
        <f t="shared" si="111"/>
        <v>-0.20378116111761754</v>
      </c>
      <c r="CF71" s="19">
        <f t="shared" si="111"/>
        <v>-0.12667054038349795</v>
      </c>
      <c r="CG71" s="19">
        <f t="shared" si="111"/>
        <v>-0.24198914375766065</v>
      </c>
      <c r="CH71" s="19">
        <f t="shared" si="111"/>
        <v>-0.17101449275362318</v>
      </c>
      <c r="CI71" s="19">
        <f t="shared" si="111"/>
        <v>-0.26980902072328322</v>
      </c>
      <c r="CJ71" s="19">
        <f t="shared" si="111"/>
        <v>-0.26604068857589985</v>
      </c>
      <c r="CK71" s="19"/>
      <c r="CL71" s="19"/>
      <c r="CM71" s="19"/>
      <c r="CN71" s="19"/>
      <c r="CO71" s="19"/>
      <c r="CP71" s="79">
        <f>SUMPRODUCT(BY71:CJ71,BY52:CJ52)/SUM(BY52:CJ52)</f>
        <v>-0.1188285675190478</v>
      </c>
      <c r="CQ71" s="80">
        <f t="shared" si="73"/>
        <v>118.73496559303427</v>
      </c>
      <c r="CS71" s="17">
        <v>11</v>
      </c>
      <c r="CT71" s="18"/>
      <c r="CU71" s="19"/>
      <c r="CV71" s="19"/>
      <c r="CW71" s="19"/>
      <c r="CX71" s="19"/>
      <c r="CY71" s="19"/>
      <c r="CZ71" s="19"/>
      <c r="DA71" s="19"/>
      <c r="DB71" s="19"/>
      <c r="DC71" s="19"/>
      <c r="DD71" s="19"/>
      <c r="DE71" s="19">
        <f t="shared" ref="DE71:DP71" si="112">(DE52-DE51)/DE51</f>
        <v>-0.10729318787045787</v>
      </c>
      <c r="DF71" s="19">
        <f t="shared" si="112"/>
        <v>-0.14807712794289976</v>
      </c>
      <c r="DG71" s="19">
        <f t="shared" si="112"/>
        <v>-0.10745528136832484</v>
      </c>
      <c r="DH71" s="19">
        <f t="shared" si="112"/>
        <v>-0.15043345232024477</v>
      </c>
      <c r="DI71" s="19">
        <f t="shared" si="112"/>
        <v>-0.17086304893420923</v>
      </c>
      <c r="DJ71" s="19">
        <f t="shared" si="112"/>
        <v>-0.20748200284137583</v>
      </c>
      <c r="DK71" s="19">
        <f t="shared" si="112"/>
        <v>-0.1897553247667664</v>
      </c>
      <c r="DL71" s="19">
        <f t="shared" si="112"/>
        <v>-0.11005462269876592</v>
      </c>
      <c r="DM71" s="19">
        <f t="shared" si="112"/>
        <v>-0.22861616754746525</v>
      </c>
      <c r="DN71" s="19">
        <f t="shared" si="112"/>
        <v>-0.15870683321087437</v>
      </c>
      <c r="DO71" s="19">
        <f t="shared" si="112"/>
        <v>-0.22658610271903323</v>
      </c>
      <c r="DP71" s="19">
        <f t="shared" si="112"/>
        <v>-0.23225579761068166</v>
      </c>
      <c r="DQ71" s="19"/>
      <c r="DR71" s="19"/>
      <c r="DS71" s="19"/>
      <c r="DT71" s="19"/>
      <c r="DU71" s="19"/>
      <c r="DV71" s="79">
        <f>SUMPRODUCT(DE71:DP71,DE52:DP52)/SUM(DE52:DP52)</f>
        <v>-0.15593029817500154</v>
      </c>
      <c r="DW71" s="80">
        <f t="shared" si="75"/>
        <v>95.162932763738908</v>
      </c>
    </row>
    <row r="72" spans="1:127">
      <c r="A72" s="17">
        <v>12</v>
      </c>
      <c r="B72" s="18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>
        <f t="shared" si="81"/>
        <v>-0.2</v>
      </c>
      <c r="O72" s="19">
        <f t="shared" si="81"/>
        <v>-0.66666666666666663</v>
      </c>
      <c r="P72" s="19">
        <f t="shared" si="81"/>
        <v>-0.66666666666666663</v>
      </c>
      <c r="Q72" s="19">
        <f t="shared" si="81"/>
        <v>0</v>
      </c>
      <c r="R72" s="19">
        <f t="shared" si="86"/>
        <v>-6.1224489795918428E-2</v>
      </c>
      <c r="S72" s="19">
        <f t="shared" si="90"/>
        <v>-1</v>
      </c>
      <c r="T72" s="19">
        <f t="shared" si="94"/>
        <v>-0.5</v>
      </c>
      <c r="U72" s="19">
        <f t="shared" si="98"/>
        <v>-0.2558139534883721</v>
      </c>
      <c r="V72" s="19">
        <f t="shared" si="102"/>
        <v>-0.28282828282828282</v>
      </c>
      <c r="W72" s="19">
        <f t="shared" si="106"/>
        <v>-0.20535714285714285</v>
      </c>
      <c r="X72" s="19">
        <f>(X53-X52)/X52</f>
        <v>-0.24731182795698925</v>
      </c>
      <c r="Y72" s="19">
        <f>(Y53-Y52)/Y52</f>
        <v>-0.41228070175438597</v>
      </c>
      <c r="Z72" s="19"/>
      <c r="AA72" s="19"/>
      <c r="AB72" s="19"/>
      <c r="AC72" s="19"/>
      <c r="AD72" s="79">
        <f>SUMPRODUCT(N72:Y72,N53:Y53)/SUM(N53:Y53)</f>
        <v>-0.27697892089524728</v>
      </c>
      <c r="AE72" s="80">
        <f t="shared" si="69"/>
        <v>97.224221275824249</v>
      </c>
      <c r="AG72" s="17">
        <v>12</v>
      </c>
      <c r="AH72" s="18"/>
      <c r="AI72" s="19"/>
      <c r="AJ72" s="19"/>
      <c r="AK72" s="19"/>
      <c r="AL72" s="19"/>
      <c r="AM72" s="19"/>
      <c r="AN72" s="19"/>
      <c r="AO72" s="19"/>
      <c r="AP72" s="19"/>
      <c r="AQ72" s="19"/>
      <c r="AR72" s="19"/>
      <c r="AS72" s="19"/>
      <c r="AT72" s="19">
        <f t="shared" ref="AT72:BE72" si="113">(AT53-AT52)/AT52</f>
        <v>0</v>
      </c>
      <c r="AU72" s="19">
        <f t="shared" si="113"/>
        <v>-5.5555555555555552E-2</v>
      </c>
      <c r="AV72" s="19">
        <f t="shared" si="113"/>
        <v>0.33333333333333331</v>
      </c>
      <c r="AW72" s="19">
        <f t="shared" si="113"/>
        <v>-0.24242424242424243</v>
      </c>
      <c r="AX72" s="19">
        <f t="shared" si="113"/>
        <v>0.17281130031885275</v>
      </c>
      <c r="AY72" s="19">
        <f t="shared" si="113"/>
        <v>-0.32020584056590506</v>
      </c>
      <c r="AZ72" s="19">
        <f t="shared" si="113"/>
        <v>-0.21487603305785125</v>
      </c>
      <c r="BA72" s="19">
        <f t="shared" si="113"/>
        <v>-0.21621621621621623</v>
      </c>
      <c r="BB72" s="19">
        <f t="shared" si="113"/>
        <v>-0.30813953488372092</v>
      </c>
      <c r="BC72" s="19">
        <f t="shared" si="113"/>
        <v>-0.21929824561403508</v>
      </c>
      <c r="BD72" s="19">
        <f t="shared" si="113"/>
        <v>-0.30405405405405406</v>
      </c>
      <c r="BE72" s="19">
        <f t="shared" si="113"/>
        <v>-0.31137724550898205</v>
      </c>
      <c r="BF72" s="19"/>
      <c r="BG72" s="19"/>
      <c r="BH72" s="19"/>
      <c r="BI72" s="19"/>
      <c r="BJ72" s="79">
        <f>SUMPRODUCT(AT72:BE72,AT53:BE53)/SUM(AT53:BE53)</f>
        <v>-0.19215545003600118</v>
      </c>
      <c r="BK72" s="80">
        <f t="shared" si="71"/>
        <v>116.34182333233674</v>
      </c>
      <c r="BM72" s="17">
        <v>12</v>
      </c>
      <c r="BN72" s="18"/>
      <c r="BO72" s="19"/>
      <c r="BP72" s="19"/>
      <c r="BQ72" s="19"/>
      <c r="BR72" s="19"/>
      <c r="BS72" s="19"/>
      <c r="BT72" s="19"/>
      <c r="BU72" s="19"/>
      <c r="BV72" s="19"/>
      <c r="BW72" s="19"/>
      <c r="BX72" s="19"/>
      <c r="BY72" s="19"/>
      <c r="BZ72" s="19">
        <f t="shared" ref="BZ72:CK72" si="114">(BZ53-BZ52)/BZ52</f>
        <v>-6.6579239382628871E-2</v>
      </c>
      <c r="CA72" s="19">
        <f t="shared" si="114"/>
        <v>-0.13314415437003405</v>
      </c>
      <c r="CB72" s="19">
        <f t="shared" si="114"/>
        <v>-0.12296841459674947</v>
      </c>
      <c r="CC72" s="19">
        <f t="shared" si="114"/>
        <v>-0.18792212951926898</v>
      </c>
      <c r="CD72" s="19">
        <f t="shared" si="114"/>
        <v>-0.17875996267618435</v>
      </c>
      <c r="CE72" s="19">
        <f t="shared" si="114"/>
        <v>-0.22021965833404517</v>
      </c>
      <c r="CF72" s="19">
        <f t="shared" si="114"/>
        <v>-0.25304945664227102</v>
      </c>
      <c r="CG72" s="19">
        <f t="shared" si="114"/>
        <v>-0.17625317625317624</v>
      </c>
      <c r="CH72" s="19">
        <f t="shared" si="114"/>
        <v>-0.29478214093598709</v>
      </c>
      <c r="CI72" s="19">
        <f t="shared" si="114"/>
        <v>-0.18753478018920422</v>
      </c>
      <c r="CJ72" s="19">
        <f t="shared" si="114"/>
        <v>-0.20549040511727079</v>
      </c>
      <c r="CK72" s="19">
        <f t="shared" si="114"/>
        <v>-0.32156772862709143</v>
      </c>
      <c r="CL72" s="19"/>
      <c r="CM72" s="19"/>
      <c r="CN72" s="19"/>
      <c r="CO72" s="19"/>
      <c r="CP72" s="79">
        <f>SUMPRODUCT(BZ72:CK72,BZ53:CK53)/SUM(BZ53:CK53)</f>
        <v>-0.17039550198711526</v>
      </c>
      <c r="CQ72" s="80">
        <f t="shared" si="73"/>
        <v>98.503061527386336</v>
      </c>
      <c r="CS72" s="17">
        <v>12</v>
      </c>
      <c r="CT72" s="18"/>
      <c r="CU72" s="19"/>
      <c r="CV72" s="19"/>
      <c r="CW72" s="19"/>
      <c r="CX72" s="19"/>
      <c r="CY72" s="19"/>
      <c r="CZ72" s="19"/>
      <c r="DA72" s="19"/>
      <c r="DB72" s="19"/>
      <c r="DC72" s="19"/>
      <c r="DD72" s="19"/>
      <c r="DE72" s="19"/>
      <c r="DF72" s="19">
        <f t="shared" ref="DF72:DQ72" si="115">(DF53-DF52)/DF52</f>
        <v>-0.15230711516818807</v>
      </c>
      <c r="DG72" s="19">
        <f t="shared" si="115"/>
        <v>-0.20304271503803395</v>
      </c>
      <c r="DH72" s="19">
        <f t="shared" si="115"/>
        <v>-0.18887555022008803</v>
      </c>
      <c r="DI72" s="19">
        <f t="shared" si="115"/>
        <v>-0.23688721288995543</v>
      </c>
      <c r="DJ72" s="19">
        <f t="shared" si="115"/>
        <v>-0.21323496902968611</v>
      </c>
      <c r="DK72" s="19">
        <f t="shared" si="115"/>
        <v>-0.22377653741407394</v>
      </c>
      <c r="DL72" s="19">
        <f t="shared" si="115"/>
        <v>-0.20254603318936121</v>
      </c>
      <c r="DM72" s="19">
        <f t="shared" si="115"/>
        <v>-0.13879725957878711</v>
      </c>
      <c r="DN72" s="19">
        <f t="shared" si="115"/>
        <v>-0.25880640465793303</v>
      </c>
      <c r="DO72" s="19">
        <f t="shared" si="115"/>
        <v>-0.14453125</v>
      </c>
      <c r="DP72" s="19">
        <f t="shared" si="115"/>
        <v>-0.17665903890160184</v>
      </c>
      <c r="DQ72" s="19">
        <f t="shared" si="115"/>
        <v>-0.2815065185900531</v>
      </c>
      <c r="DR72" s="19"/>
      <c r="DS72" s="19"/>
      <c r="DT72" s="19"/>
      <c r="DU72" s="19"/>
      <c r="DV72" s="79">
        <f>SUMPRODUCT(DF72:DQ72,DF53:DQ53)/SUM(DF53:DQ53)</f>
        <v>-0.1966238152055623</v>
      </c>
      <c r="DW72" s="80">
        <f t="shared" si="75"/>
        <v>76.451633857582166</v>
      </c>
    </row>
    <row r="73" spans="1:127">
      <c r="A73" s="17">
        <v>13</v>
      </c>
      <c r="B73" s="18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>
        <f>(O54-O53)/O53</f>
        <v>3</v>
      </c>
      <c r="P73" s="19">
        <f>(P54-P53)/P53</f>
        <v>2</v>
      </c>
      <c r="Q73" s="19">
        <f>(Q54-Q53)/Q53</f>
        <v>-0.33333333333333331</v>
      </c>
      <c r="R73" s="19">
        <f t="shared" si="86"/>
        <v>0</v>
      </c>
      <c r="S73" s="19"/>
      <c r="T73" s="19">
        <f t="shared" si="94"/>
        <v>-1</v>
      </c>
      <c r="U73" s="19">
        <f t="shared" si="98"/>
        <v>-0.1875</v>
      </c>
      <c r="V73" s="19">
        <f t="shared" si="102"/>
        <v>-0.15492957746478872</v>
      </c>
      <c r="W73" s="19">
        <f t="shared" si="106"/>
        <v>-0.2808988764044944</v>
      </c>
      <c r="X73" s="19">
        <f>(X54-X53)/X53</f>
        <v>-0.35714285714285715</v>
      </c>
      <c r="Y73" s="19">
        <f>(Y54-Y53)/Y53</f>
        <v>-0.35820895522388058</v>
      </c>
      <c r="Z73" s="19">
        <f>(Z54-Z53)/Z53</f>
        <v>-0.34426229508196721</v>
      </c>
      <c r="AA73" s="19"/>
      <c r="AB73" s="19"/>
      <c r="AC73" s="19"/>
      <c r="AD73" s="79">
        <f>SUMPRODUCT(O73:Z73,O54:Z54)/SUM(O54:Z54)</f>
        <v>-0.23804581103351397</v>
      </c>
      <c r="AE73" s="80">
        <f t="shared" si="69"/>
        <v>74.080402670118843</v>
      </c>
      <c r="AG73" s="17">
        <v>13</v>
      </c>
      <c r="AH73" s="18"/>
      <c r="AI73" s="19"/>
      <c r="AJ73" s="19"/>
      <c r="AK73" s="19"/>
      <c r="AL73" s="19"/>
      <c r="AM73" s="19"/>
      <c r="AN73" s="19"/>
      <c r="AO73" s="19"/>
      <c r="AP73" s="19"/>
      <c r="AQ73" s="19"/>
      <c r="AR73" s="19"/>
      <c r="AS73" s="19"/>
      <c r="AT73" s="19"/>
      <c r="AU73" s="19">
        <f t="shared" ref="AU73:BF73" si="116">(AU54-AU53)/AU53</f>
        <v>5.8823529411764705E-2</v>
      </c>
      <c r="AV73" s="19">
        <f t="shared" si="116"/>
        <v>-0.16666666666666666</v>
      </c>
      <c r="AW73" s="19">
        <f t="shared" si="116"/>
        <v>0.04</v>
      </c>
      <c r="AX73" s="19">
        <f t="shared" si="116"/>
        <v>-0.5</v>
      </c>
      <c r="AY73" s="19">
        <f t="shared" si="116"/>
        <v>-0.14680055432834271</v>
      </c>
      <c r="AZ73" s="19">
        <f t="shared" si="116"/>
        <v>-0.31566720826979594</v>
      </c>
      <c r="BA73" s="19">
        <f t="shared" si="116"/>
        <v>-0.32758620689655171</v>
      </c>
      <c r="BB73" s="19">
        <f t="shared" si="116"/>
        <v>-0.20168067226890757</v>
      </c>
      <c r="BC73" s="19">
        <f t="shared" si="116"/>
        <v>-0.34831460674157305</v>
      </c>
      <c r="BD73" s="19">
        <f t="shared" si="116"/>
        <v>-0.40776699029126212</v>
      </c>
      <c r="BE73" s="19">
        <f t="shared" si="116"/>
        <v>-0.24347826086956523</v>
      </c>
      <c r="BF73" s="19">
        <f t="shared" si="116"/>
        <v>-0.33980582524271846</v>
      </c>
      <c r="BG73" s="19"/>
      <c r="BH73" s="19"/>
      <c r="BI73" s="19"/>
      <c r="BJ73" s="79">
        <f>SUMPRODUCT(AU73:BF73,AU54:BF54)/SUM(AU54:BF54)</f>
        <v>-0.24824095681805586</v>
      </c>
      <c r="BK73" s="80">
        <f t="shared" si="71"/>
        <v>87.461017790360245</v>
      </c>
      <c r="BM73" s="17">
        <v>13</v>
      </c>
      <c r="BN73" s="18"/>
      <c r="BO73" s="19"/>
      <c r="BP73" s="19"/>
      <c r="BQ73" s="19"/>
      <c r="BR73" s="19"/>
      <c r="BS73" s="19"/>
      <c r="BT73" s="19"/>
      <c r="BU73" s="19"/>
      <c r="BV73" s="19"/>
      <c r="BW73" s="19"/>
      <c r="BX73" s="19"/>
      <c r="BY73" s="19"/>
      <c r="BZ73" s="19"/>
      <c r="CA73" s="19">
        <f t="shared" ref="CA73:CL73" si="117">(CA54-CA53)/CA53</f>
        <v>-9.9253633625769278E-2</v>
      </c>
      <c r="CB73" s="19">
        <f t="shared" si="117"/>
        <v>-0.16241258741258741</v>
      </c>
      <c r="CC73" s="19">
        <f t="shared" si="117"/>
        <v>-0.13013698630136986</v>
      </c>
      <c r="CD73" s="19">
        <f t="shared" si="117"/>
        <v>-0.25356125356125359</v>
      </c>
      <c r="CE73" s="19">
        <f t="shared" si="117"/>
        <v>-0.28536294289508973</v>
      </c>
      <c r="CF73" s="19">
        <f t="shared" si="117"/>
        <v>-0.27630614178871615</v>
      </c>
      <c r="CG73" s="19">
        <f t="shared" si="117"/>
        <v>-0.32108805384183958</v>
      </c>
      <c r="CH73" s="19">
        <f t="shared" si="117"/>
        <v>-0.21586575133485889</v>
      </c>
      <c r="CI73" s="19">
        <f t="shared" si="117"/>
        <v>-0.33869863013698631</v>
      </c>
      <c r="CJ73" s="19">
        <f t="shared" si="117"/>
        <v>-0.29419657832941964</v>
      </c>
      <c r="CK73" s="19">
        <f t="shared" si="117"/>
        <v>-0.24425675675675676</v>
      </c>
      <c r="CL73" s="19">
        <f t="shared" si="117"/>
        <v>-0.39948642699926634</v>
      </c>
      <c r="CM73" s="19"/>
      <c r="CN73" s="19"/>
      <c r="CO73" s="19"/>
      <c r="CP73" s="79">
        <f>SUMPRODUCT(CA73:CL73,CA54:CL54)/SUM(CA54:CL54)</f>
        <v>-0.21861932080464641</v>
      </c>
      <c r="CQ73" s="80">
        <f t="shared" si="73"/>
        <v>76.968389119090844</v>
      </c>
      <c r="CS73" s="17">
        <v>13</v>
      </c>
      <c r="CT73" s="18"/>
      <c r="CU73" s="19"/>
      <c r="CV73" s="19"/>
      <c r="CW73" s="19"/>
      <c r="CX73" s="19"/>
      <c r="CY73" s="19"/>
      <c r="CZ73" s="19"/>
      <c r="DA73" s="19"/>
      <c r="DB73" s="19"/>
      <c r="DC73" s="19"/>
      <c r="DD73" s="19"/>
      <c r="DE73" s="19"/>
      <c r="DF73" s="19"/>
      <c r="DG73" s="19">
        <f t="shared" ref="DG73:DR73" si="118">(DG54-DG53)/DG53</f>
        <v>-0.18722466960352424</v>
      </c>
      <c r="DH73" s="19">
        <f t="shared" si="118"/>
        <v>-0.21731623088307844</v>
      </c>
      <c r="DI73" s="19">
        <f t="shared" si="118"/>
        <v>-0.16352201257861634</v>
      </c>
      <c r="DJ73" s="19">
        <f t="shared" si="118"/>
        <v>-0.29162162162162164</v>
      </c>
      <c r="DK73" s="19">
        <f t="shared" si="118"/>
        <v>-0.29889996391118312</v>
      </c>
      <c r="DL73" s="19">
        <f t="shared" si="118"/>
        <v>-0.26064453170911622</v>
      </c>
      <c r="DM73" s="19">
        <f t="shared" si="118"/>
        <v>-0.25132586918090749</v>
      </c>
      <c r="DN73" s="19">
        <f t="shared" si="118"/>
        <v>-0.13668499607227022</v>
      </c>
      <c r="DO73" s="19">
        <f t="shared" si="118"/>
        <v>-0.24474885844748859</v>
      </c>
      <c r="DP73" s="19">
        <f t="shared" si="118"/>
        <v>-0.26292384658143414</v>
      </c>
      <c r="DQ73" s="19">
        <f t="shared" si="118"/>
        <v>-0.18145161290322581</v>
      </c>
      <c r="DR73" s="19">
        <f t="shared" si="118"/>
        <v>-0.33095392602206358</v>
      </c>
      <c r="DS73" s="19"/>
      <c r="DT73" s="19"/>
      <c r="DU73" s="19"/>
      <c r="DV73" s="79">
        <f>SUMPRODUCT(DG73:DR73,DG54:DR54)/SUM(DG54:DR54)</f>
        <v>-0.22649991429003932</v>
      </c>
      <c r="DW73" s="80">
        <f t="shared" si="75"/>
        <v>59.135345341506337</v>
      </c>
    </row>
    <row r="74" spans="1:127">
      <c r="A74" s="17">
        <v>14</v>
      </c>
      <c r="B74" s="18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>
        <f>(P55-P54)/P54</f>
        <v>0</v>
      </c>
      <c r="Q74" s="19">
        <f>(Q55-Q54)/Q54</f>
        <v>0</v>
      </c>
      <c r="R74" s="19">
        <f t="shared" si="86"/>
        <v>0</v>
      </c>
      <c r="S74" s="19"/>
      <c r="T74" s="19"/>
      <c r="U74" s="19">
        <f t="shared" si="98"/>
        <v>-0.435340022296544</v>
      </c>
      <c r="V74" s="19">
        <f t="shared" si="102"/>
        <v>-0.4</v>
      </c>
      <c r="W74" s="19">
        <f t="shared" si="106"/>
        <v>-0.25</v>
      </c>
      <c r="X74" s="19">
        <f>(X55-X54)/X54</f>
        <v>-0.31111111111111112</v>
      </c>
      <c r="Y74" s="19">
        <f>(Y55-Y54)/Y54</f>
        <v>-0.32558139534883723</v>
      </c>
      <c r="Z74" s="19">
        <f>(Z55-Z54)/Z54</f>
        <v>-0.30833333333333335</v>
      </c>
      <c r="AA74" s="19">
        <f>(AA55-AA54)/AA54</f>
        <v>-0.38372093023255816</v>
      </c>
      <c r="AB74" s="19"/>
      <c r="AC74" s="19"/>
      <c r="AD74" s="79">
        <f>SUMPRODUCT(P74:AA74,P55:AA55)/SUM(P55:AA55)</f>
        <v>-0.32528302517021995</v>
      </c>
      <c r="AE74" s="80">
        <f t="shared" si="69"/>
        <v>49.983305183754553</v>
      </c>
      <c r="AG74" s="17">
        <v>14</v>
      </c>
      <c r="AH74" s="18"/>
      <c r="AI74" s="19"/>
      <c r="AJ74" s="19"/>
      <c r="AK74" s="19"/>
      <c r="AL74" s="19"/>
      <c r="AM74" s="19"/>
      <c r="AN74" s="19"/>
      <c r="AO74" s="19"/>
      <c r="AP74" s="19"/>
      <c r="AQ74" s="19"/>
      <c r="AR74" s="19"/>
      <c r="AS74" s="19"/>
      <c r="AT74" s="19"/>
      <c r="AU74" s="19"/>
      <c r="AV74" s="19">
        <f t="shared" ref="AV74:BG74" si="119">(AV55-AV54)/AV54</f>
        <v>0.6</v>
      </c>
      <c r="AW74" s="19">
        <f t="shared" si="119"/>
        <v>-0.38461538461538464</v>
      </c>
      <c r="AX74" s="19">
        <f t="shared" si="119"/>
        <v>0</v>
      </c>
      <c r="AY74" s="19">
        <f t="shared" si="119"/>
        <v>-0.2413793103448276</v>
      </c>
      <c r="AZ74" s="19">
        <f t="shared" si="119"/>
        <v>-0.35396159806968114</v>
      </c>
      <c r="BA74" s="19">
        <f t="shared" si="119"/>
        <v>-0.41194794156346315</v>
      </c>
      <c r="BB74" s="19">
        <f t="shared" si="119"/>
        <v>-0.29473684210526313</v>
      </c>
      <c r="BC74" s="19">
        <f t="shared" si="119"/>
        <v>-0.18965517241379309</v>
      </c>
      <c r="BD74" s="19">
        <f t="shared" si="119"/>
        <v>-0.21311475409836064</v>
      </c>
      <c r="BE74" s="19">
        <f t="shared" si="119"/>
        <v>-0.33333333333333331</v>
      </c>
      <c r="BF74" s="19">
        <f t="shared" si="119"/>
        <v>-0.33823529411764708</v>
      </c>
      <c r="BG74" s="19">
        <f t="shared" si="119"/>
        <v>-0.5490196078431373</v>
      </c>
      <c r="BH74" s="19"/>
      <c r="BI74" s="19"/>
      <c r="BJ74" s="79">
        <f>SUMPRODUCT(AV74:BG74,AV55:BG55)/SUM(AV55:BG55)</f>
        <v>-0.28276176985210094</v>
      </c>
      <c r="BK74" s="80">
        <f t="shared" si="71"/>
        <v>62.730385606891893</v>
      </c>
      <c r="BM74" s="17">
        <v>14</v>
      </c>
      <c r="BN74" s="18"/>
      <c r="BO74" s="19"/>
      <c r="BP74" s="19"/>
      <c r="BQ74" s="19"/>
      <c r="BR74" s="19"/>
      <c r="BS74" s="19"/>
      <c r="BT74" s="19"/>
      <c r="BU74" s="19"/>
      <c r="BV74" s="19"/>
      <c r="BW74" s="19"/>
      <c r="BX74" s="19"/>
      <c r="BY74" s="19"/>
      <c r="BZ74" s="19"/>
      <c r="CA74" s="19"/>
      <c r="CB74" s="19">
        <f t="shared" ref="CB74:CM74" si="120">(CB55-CB54)/CB54</f>
        <v>-0.16364015863076603</v>
      </c>
      <c r="CC74" s="19">
        <f t="shared" si="120"/>
        <v>-0.24071991001124859</v>
      </c>
      <c r="CD74" s="19">
        <f t="shared" si="120"/>
        <v>-0.15544760582928521</v>
      </c>
      <c r="CE74" s="19">
        <f t="shared" si="120"/>
        <v>-0.19268476621417799</v>
      </c>
      <c r="CF74" s="19">
        <f t="shared" si="120"/>
        <v>-0.32551104323878161</v>
      </c>
      <c r="CG74" s="19">
        <f t="shared" si="120"/>
        <v>-0.28269052881817919</v>
      </c>
      <c r="CH74" s="19">
        <f t="shared" si="120"/>
        <v>-0.34630350194552528</v>
      </c>
      <c r="CI74" s="19">
        <f t="shared" si="120"/>
        <v>-0.21750388399792853</v>
      </c>
      <c r="CJ74" s="19">
        <f t="shared" si="120"/>
        <v>-0.22861216730038023</v>
      </c>
      <c r="CK74" s="19">
        <f t="shared" si="120"/>
        <v>-0.39561913276709881</v>
      </c>
      <c r="CL74" s="19">
        <f t="shared" si="120"/>
        <v>-0.27244960293219306</v>
      </c>
      <c r="CM74" s="19">
        <f t="shared" si="120"/>
        <v>-0.42038216560509556</v>
      </c>
      <c r="CN74" s="19"/>
      <c r="CO74" s="19"/>
      <c r="CP74" s="79">
        <f>SUMPRODUCT(CB74:CM74,CB55:CM55)/SUM(CB55:CM55)</f>
        <v>-0.2440332921111068</v>
      </c>
      <c r="CQ74" s="80">
        <f t="shared" si="73"/>
        <v>58.185539733870414</v>
      </c>
      <c r="CS74" s="17">
        <v>14</v>
      </c>
      <c r="CT74" s="18"/>
      <c r="CU74" s="19"/>
      <c r="CV74" s="19"/>
      <c r="CW74" s="19"/>
      <c r="CX74" s="19"/>
      <c r="CY74" s="19"/>
      <c r="CZ74" s="19"/>
      <c r="DA74" s="19"/>
      <c r="DB74" s="19"/>
      <c r="DC74" s="19"/>
      <c r="DD74" s="19"/>
      <c r="DE74" s="19"/>
      <c r="DF74" s="19"/>
      <c r="DG74" s="19"/>
      <c r="DH74" s="19">
        <f t="shared" ref="DH74:DS74" si="121">(DH55-DH54)/DH54</f>
        <v>-0.25244248345414433</v>
      </c>
      <c r="DI74" s="19">
        <f t="shared" si="121"/>
        <v>-0.29108485499462944</v>
      </c>
      <c r="DJ74" s="19">
        <f t="shared" si="121"/>
        <v>-0.18580694391453645</v>
      </c>
      <c r="DK74" s="19">
        <f t="shared" si="121"/>
        <v>-0.249500998003992</v>
      </c>
      <c r="DL74" s="19">
        <f t="shared" si="121"/>
        <v>-0.32797641803231803</v>
      </c>
      <c r="DM74" s="19">
        <f t="shared" si="121"/>
        <v>-0.28143898678725798</v>
      </c>
      <c r="DN74" s="19">
        <f t="shared" si="121"/>
        <v>-0.28298453139217472</v>
      </c>
      <c r="DO74" s="19">
        <f t="shared" si="121"/>
        <v>-0.13784764207980654</v>
      </c>
      <c r="DP74" s="19">
        <f t="shared" si="121"/>
        <v>-0.23831070889894421</v>
      </c>
      <c r="DQ74" s="19">
        <f t="shared" si="121"/>
        <v>-0.31034482758620691</v>
      </c>
      <c r="DR74" s="19">
        <f t="shared" si="121"/>
        <v>-0.25994180407371487</v>
      </c>
      <c r="DS74" s="19">
        <f t="shared" si="121"/>
        <v>-0.35068493150684932</v>
      </c>
      <c r="DT74" s="19"/>
      <c r="DU74" s="19"/>
      <c r="DV74" s="79">
        <f>SUMPRODUCT(DH74:DS74,DH55:DS55)/SUM(DH55:DS55)</f>
        <v>-0.25834387184767943</v>
      </c>
      <c r="DW74" s="80">
        <f t="shared" si="75"/>
        <v>43.858091262931957</v>
      </c>
    </row>
    <row r="75" spans="1:127" ht="15.75" thickBot="1">
      <c r="A75" s="20">
        <v>15</v>
      </c>
      <c r="B75" s="21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>
        <f>(Q56-Q55)/Q55</f>
        <v>0</v>
      </c>
      <c r="R75" s="22">
        <f t="shared" si="86"/>
        <v>0</v>
      </c>
      <c r="S75" s="22"/>
      <c r="T75" s="22"/>
      <c r="U75" s="22">
        <f t="shared" si="98"/>
        <v>-0.59131293188548861</v>
      </c>
      <c r="V75" s="22">
        <f t="shared" si="102"/>
        <v>-0.30168533157663596</v>
      </c>
      <c r="W75" s="22">
        <f t="shared" si="106"/>
        <v>-0.45833333333333331</v>
      </c>
      <c r="X75" s="22">
        <f>(X56-X55)/X55</f>
        <v>-0.12903225806451613</v>
      </c>
      <c r="Y75" s="22">
        <f>(Y56-Y55)/Y55</f>
        <v>-0.13793103448275862</v>
      </c>
      <c r="Z75" s="22">
        <f>(Z56-Z55)/Z55</f>
        <v>-0.36144578313253012</v>
      </c>
      <c r="AA75" s="22">
        <f>(AA56-AA55)/AA55</f>
        <v>-0.33962264150943394</v>
      </c>
      <c r="AB75" s="22">
        <f>(AB56-AB55)/AB55</f>
        <v>-0.51428571428571423</v>
      </c>
      <c r="AC75" s="22"/>
      <c r="AD75" s="81">
        <f>SUMPRODUCT(Q75:AB75,Q56:AB56)/SUM(Q56:AB56)</f>
        <v>-0.32130123241219205</v>
      </c>
      <c r="AE75" s="82">
        <f t="shared" si="69"/>
        <v>33.923607628179511</v>
      </c>
      <c r="AG75" s="20">
        <v>15</v>
      </c>
      <c r="AH75" s="21"/>
      <c r="AI75" s="22"/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22"/>
      <c r="AV75" s="22"/>
      <c r="AW75" s="22">
        <f t="shared" ref="AW75:BH75" si="122">(AW56-AW55)/AW55</f>
        <v>-0.1875</v>
      </c>
      <c r="AX75" s="22">
        <f t="shared" si="122"/>
        <v>9.0909090909090912E-2</v>
      </c>
      <c r="AY75" s="22">
        <f t="shared" si="122"/>
        <v>-0.18181818181818182</v>
      </c>
      <c r="AZ75" s="22">
        <f t="shared" si="122"/>
        <v>-0.19047619047619047</v>
      </c>
      <c r="BA75" s="22">
        <f t="shared" si="122"/>
        <v>-0.2442090150554089</v>
      </c>
      <c r="BB75" s="22">
        <f t="shared" si="122"/>
        <v>-0.32497166743976275</v>
      </c>
      <c r="BC75" s="22">
        <f t="shared" si="122"/>
        <v>-0.31914893617021278</v>
      </c>
      <c r="BD75" s="22">
        <f t="shared" si="122"/>
        <v>-0.375</v>
      </c>
      <c r="BE75" s="22">
        <f t="shared" si="122"/>
        <v>-0.34482758620689657</v>
      </c>
      <c r="BF75" s="22">
        <f t="shared" si="122"/>
        <v>-0.4</v>
      </c>
      <c r="BG75" s="22">
        <f t="shared" si="122"/>
        <v>-0.2608695652173913</v>
      </c>
      <c r="BH75" s="22">
        <f t="shared" si="122"/>
        <v>-0.36842105263157893</v>
      </c>
      <c r="BI75" s="22"/>
      <c r="BJ75" s="81">
        <f>SUMPRODUCT(AW75:BH75,AW56:BH56)/SUM(AW56:BH56)</f>
        <v>-0.28075813310370967</v>
      </c>
      <c r="BK75" s="82">
        <f t="shared" si="71"/>
        <v>45.118319655025104</v>
      </c>
      <c r="BM75" s="20">
        <v>15</v>
      </c>
      <c r="BN75" s="21"/>
      <c r="BO75" s="22"/>
      <c r="BP75" s="22"/>
      <c r="BQ75" s="22"/>
      <c r="BR75" s="22"/>
      <c r="BS75" s="22"/>
      <c r="BT75" s="22"/>
      <c r="BU75" s="22"/>
      <c r="BV75" s="22"/>
      <c r="BW75" s="22"/>
      <c r="BX75" s="22"/>
      <c r="BY75" s="22"/>
      <c r="BZ75" s="22"/>
      <c r="CA75" s="22"/>
      <c r="CB75" s="22"/>
      <c r="CC75" s="22">
        <f t="shared" ref="CC75:CN75" si="123">(CC56-CC55)/CC55</f>
        <v>-0.18407407407407408</v>
      </c>
      <c r="CD75" s="22">
        <f t="shared" si="123"/>
        <v>-0.33648315529991785</v>
      </c>
      <c r="CE75" s="22">
        <f t="shared" si="123"/>
        <v>-0.28164409154600656</v>
      </c>
      <c r="CF75" s="22">
        <f t="shared" si="123"/>
        <v>-0.2281021897810219</v>
      </c>
      <c r="CG75" s="22">
        <f t="shared" si="123"/>
        <v>-0.38270404559936627</v>
      </c>
      <c r="CH75" s="22">
        <f t="shared" si="123"/>
        <v>-0.31239808765473026</v>
      </c>
      <c r="CI75" s="22">
        <f t="shared" si="123"/>
        <v>-0.36201191264063531</v>
      </c>
      <c r="CJ75" s="22">
        <f t="shared" si="123"/>
        <v>-0.29513247073321008</v>
      </c>
      <c r="CK75" s="22">
        <f t="shared" si="123"/>
        <v>-0.2492603550295858</v>
      </c>
      <c r="CL75" s="22">
        <f t="shared" si="123"/>
        <v>-0.41477749790092361</v>
      </c>
      <c r="CM75" s="22">
        <f t="shared" si="123"/>
        <v>-0.304029304029304</v>
      </c>
      <c r="CN75" s="22">
        <f t="shared" si="123"/>
        <v>-0.45223700120918986</v>
      </c>
      <c r="CO75" s="22"/>
      <c r="CP75" s="81">
        <f>SUMPRODUCT(CC75:CN75,CC56:CN56)/SUM(CC56:CN56)</f>
        <v>-0.29540648703086181</v>
      </c>
      <c r="CQ75" s="82">
        <f t="shared" si="73"/>
        <v>40.997153845093131</v>
      </c>
      <c r="CS75" s="20">
        <v>15</v>
      </c>
      <c r="CT75" s="21"/>
      <c r="CU75" s="22"/>
      <c r="CV75" s="22"/>
      <c r="CW75" s="22"/>
      <c r="CX75" s="22"/>
      <c r="CY75" s="22"/>
      <c r="CZ75" s="22"/>
      <c r="DA75" s="22"/>
      <c r="DB75" s="22"/>
      <c r="DC75" s="22"/>
      <c r="DD75" s="22"/>
      <c r="DE75" s="22"/>
      <c r="DF75" s="22"/>
      <c r="DG75" s="22"/>
      <c r="DH75" s="22"/>
      <c r="DI75" s="22">
        <f t="shared" ref="DI75:DT75" si="124">(DI56-DI55)/DI55</f>
        <v>-0.2571969696969697</v>
      </c>
      <c r="DJ75" s="22">
        <f t="shared" si="124"/>
        <v>-0.33552014995313967</v>
      </c>
      <c r="DK75" s="22">
        <f t="shared" si="124"/>
        <v>-0.26808510638297872</v>
      </c>
      <c r="DL75" s="22">
        <f t="shared" si="124"/>
        <v>-0.28169822145725759</v>
      </c>
      <c r="DM75" s="22">
        <f t="shared" si="124"/>
        <v>-0.3498966502569324</v>
      </c>
      <c r="DN75" s="22">
        <f t="shared" si="124"/>
        <v>-0.31598863483507988</v>
      </c>
      <c r="DO75" s="22">
        <f t="shared" si="124"/>
        <v>-0.2447405329593268</v>
      </c>
      <c r="DP75" s="22">
        <f t="shared" si="124"/>
        <v>-0.26435643564356437</v>
      </c>
      <c r="DQ75" s="22">
        <f t="shared" si="124"/>
        <v>-0.21428571428571427</v>
      </c>
      <c r="DR75" s="22">
        <f t="shared" si="124"/>
        <v>-0.28309305373525556</v>
      </c>
      <c r="DS75" s="22">
        <f t="shared" si="124"/>
        <v>-0.25738396624472576</v>
      </c>
      <c r="DT75" s="22">
        <f t="shared" si="124"/>
        <v>-0.37149028077753782</v>
      </c>
      <c r="DU75" s="22"/>
      <c r="DV75" s="81">
        <f>SUMPRODUCT(DI75:DT75,DI56:DT56)/SUM(DI56:DT56)</f>
        <v>-0.28576879292879931</v>
      </c>
      <c r="DW75" s="82">
        <f t="shared" si="75"/>
        <v>31.324817462562773</v>
      </c>
    </row>
    <row r="76" spans="1:127" ht="15.75" thickBot="1">
      <c r="AE76" s="7"/>
      <c r="BK76" s="7"/>
      <c r="CQ76" s="7"/>
      <c r="DW76" s="7"/>
    </row>
    <row r="77" spans="1:127" ht="26.25">
      <c r="A77" s="1740" t="s">
        <v>28</v>
      </c>
      <c r="B77" s="1741"/>
      <c r="C77" s="1741"/>
      <c r="D77" s="1741"/>
      <c r="E77" s="1741"/>
      <c r="F77" s="1741"/>
      <c r="G77" s="1741"/>
      <c r="H77" s="1741"/>
      <c r="I77" s="1741"/>
      <c r="J77" s="1741"/>
      <c r="K77" s="1741"/>
      <c r="L77" s="1741"/>
      <c r="M77" s="1741"/>
      <c r="N77" s="1741"/>
      <c r="O77" s="1741"/>
      <c r="P77" s="1741"/>
      <c r="Q77" s="1741"/>
      <c r="R77" s="1741"/>
      <c r="S77" s="1741"/>
      <c r="T77" s="1741"/>
      <c r="U77" s="1741"/>
      <c r="V77" s="1741"/>
      <c r="W77" s="1741"/>
      <c r="X77" s="1741"/>
      <c r="Y77" s="1741"/>
      <c r="Z77" s="1741"/>
      <c r="AA77" s="1741"/>
      <c r="AB77" s="1741"/>
      <c r="AC77" s="1742"/>
      <c r="AD77" s="9"/>
      <c r="AE77" s="7"/>
      <c r="AG77" s="1740" t="s">
        <v>820</v>
      </c>
      <c r="AH77" s="1741"/>
      <c r="AI77" s="1741"/>
      <c r="AJ77" s="1741"/>
      <c r="AK77" s="1741"/>
      <c r="AL77" s="1741"/>
      <c r="AM77" s="1741"/>
      <c r="AN77" s="1741"/>
      <c r="AO77" s="1741"/>
      <c r="AP77" s="1741"/>
      <c r="AQ77" s="1741"/>
      <c r="AR77" s="1741"/>
      <c r="AS77" s="1741"/>
      <c r="AT77" s="1741"/>
      <c r="AU77" s="1741"/>
      <c r="AV77" s="1741"/>
      <c r="AW77" s="1741"/>
      <c r="AX77" s="1741"/>
      <c r="AY77" s="1741"/>
      <c r="AZ77" s="1741"/>
      <c r="BA77" s="1741"/>
      <c r="BB77" s="1741"/>
      <c r="BC77" s="1741"/>
      <c r="BD77" s="1741"/>
      <c r="BE77" s="1741"/>
      <c r="BF77" s="1741"/>
      <c r="BG77" s="1741"/>
      <c r="BH77" s="1741"/>
      <c r="BI77" s="1742"/>
      <c r="BJ77" s="9"/>
      <c r="BK77" s="7"/>
      <c r="BM77" s="1740" t="s">
        <v>824</v>
      </c>
      <c r="BN77" s="1741"/>
      <c r="BO77" s="1741"/>
      <c r="BP77" s="1741"/>
      <c r="BQ77" s="1741"/>
      <c r="BR77" s="1741"/>
      <c r="BS77" s="1741"/>
      <c r="BT77" s="1741"/>
      <c r="BU77" s="1741"/>
      <c r="BV77" s="1741"/>
      <c r="BW77" s="1741"/>
      <c r="BX77" s="1741"/>
      <c r="BY77" s="1741"/>
      <c r="BZ77" s="1741"/>
      <c r="CA77" s="1741"/>
      <c r="CB77" s="1741"/>
      <c r="CC77" s="1741"/>
      <c r="CD77" s="1741"/>
      <c r="CE77" s="1741"/>
      <c r="CF77" s="1741"/>
      <c r="CG77" s="1741"/>
      <c r="CH77" s="1741"/>
      <c r="CI77" s="1741"/>
      <c r="CJ77" s="1741"/>
      <c r="CK77" s="1741"/>
      <c r="CL77" s="1741"/>
      <c r="CM77" s="1741"/>
      <c r="CN77" s="1741"/>
      <c r="CO77" s="1742"/>
      <c r="CP77" s="9"/>
      <c r="CQ77" s="7"/>
      <c r="CS77" s="1740" t="s">
        <v>828</v>
      </c>
      <c r="CT77" s="1741"/>
      <c r="CU77" s="1741"/>
      <c r="CV77" s="1741"/>
      <c r="CW77" s="1741"/>
      <c r="CX77" s="1741"/>
      <c r="CY77" s="1741"/>
      <c r="CZ77" s="1741"/>
      <c r="DA77" s="1741"/>
      <c r="DB77" s="1741"/>
      <c r="DC77" s="1741"/>
      <c r="DD77" s="1741"/>
      <c r="DE77" s="1741"/>
      <c r="DF77" s="1741"/>
      <c r="DG77" s="1741"/>
      <c r="DH77" s="1741"/>
      <c r="DI77" s="1741"/>
      <c r="DJ77" s="1741"/>
      <c r="DK77" s="1741"/>
      <c r="DL77" s="1741"/>
      <c r="DM77" s="1741"/>
      <c r="DN77" s="1741"/>
      <c r="DO77" s="1741"/>
      <c r="DP77" s="1741"/>
      <c r="DQ77" s="1741"/>
      <c r="DR77" s="1741"/>
      <c r="DS77" s="1741"/>
      <c r="DT77" s="1741"/>
      <c r="DU77" s="1742"/>
      <c r="DV77" s="9"/>
      <c r="DW77" s="7"/>
    </row>
    <row r="78" spans="1:127" ht="15.75" thickBot="1">
      <c r="A78" s="83" t="s">
        <v>10</v>
      </c>
      <c r="B78" s="84">
        <v>2013</v>
      </c>
      <c r="C78" s="84">
        <v>2012</v>
      </c>
      <c r="D78" s="84">
        <v>2011</v>
      </c>
      <c r="E78" s="84">
        <v>2010</v>
      </c>
      <c r="F78" s="84">
        <v>2009</v>
      </c>
      <c r="G78" s="84">
        <v>2008</v>
      </c>
      <c r="H78" s="84">
        <v>2007</v>
      </c>
      <c r="I78" s="84">
        <v>2006</v>
      </c>
      <c r="J78" s="84">
        <v>2005</v>
      </c>
      <c r="K78" s="84">
        <v>2004</v>
      </c>
      <c r="L78" s="84">
        <v>2003</v>
      </c>
      <c r="M78" s="84">
        <v>2002</v>
      </c>
      <c r="N78" s="84">
        <v>2001</v>
      </c>
      <c r="O78" s="84">
        <v>2000</v>
      </c>
      <c r="P78" s="84">
        <v>1999</v>
      </c>
      <c r="Q78" s="84">
        <v>1998</v>
      </c>
      <c r="R78" s="84">
        <v>1997</v>
      </c>
      <c r="S78" s="84">
        <v>1996</v>
      </c>
      <c r="T78" s="84">
        <v>1995</v>
      </c>
      <c r="U78" s="84">
        <v>1994</v>
      </c>
      <c r="V78" s="84">
        <v>1993</v>
      </c>
      <c r="W78" s="84">
        <v>1992</v>
      </c>
      <c r="X78" s="84">
        <v>1991</v>
      </c>
      <c r="Y78" s="84">
        <v>1990</v>
      </c>
      <c r="Z78" s="84">
        <v>1989</v>
      </c>
      <c r="AA78" s="84">
        <v>1988</v>
      </c>
      <c r="AB78" s="84">
        <v>1987</v>
      </c>
      <c r="AC78" s="85">
        <v>1986</v>
      </c>
      <c r="AD78" s="4"/>
      <c r="AE78" s="7"/>
      <c r="AG78" s="83" t="s">
        <v>10</v>
      </c>
      <c r="AH78" s="84">
        <v>2013</v>
      </c>
      <c r="AI78" s="84">
        <v>2012</v>
      </c>
      <c r="AJ78" s="84">
        <v>2011</v>
      </c>
      <c r="AK78" s="84">
        <v>2010</v>
      </c>
      <c r="AL78" s="84">
        <v>2009</v>
      </c>
      <c r="AM78" s="84">
        <v>2008</v>
      </c>
      <c r="AN78" s="84">
        <v>2007</v>
      </c>
      <c r="AO78" s="84">
        <v>2006</v>
      </c>
      <c r="AP78" s="84">
        <v>2005</v>
      </c>
      <c r="AQ78" s="84">
        <v>2004</v>
      </c>
      <c r="AR78" s="84">
        <v>2003</v>
      </c>
      <c r="AS78" s="84">
        <v>2002</v>
      </c>
      <c r="AT78" s="84">
        <v>2001</v>
      </c>
      <c r="AU78" s="84">
        <v>2000</v>
      </c>
      <c r="AV78" s="84">
        <v>1999</v>
      </c>
      <c r="AW78" s="84">
        <v>1998</v>
      </c>
      <c r="AX78" s="84">
        <v>1997</v>
      </c>
      <c r="AY78" s="84">
        <v>1996</v>
      </c>
      <c r="AZ78" s="84">
        <v>1995</v>
      </c>
      <c r="BA78" s="84">
        <v>1994</v>
      </c>
      <c r="BB78" s="84">
        <v>1993</v>
      </c>
      <c r="BC78" s="84">
        <v>1992</v>
      </c>
      <c r="BD78" s="84">
        <v>1991</v>
      </c>
      <c r="BE78" s="84">
        <v>1990</v>
      </c>
      <c r="BF78" s="84">
        <v>1989</v>
      </c>
      <c r="BG78" s="84">
        <v>1988</v>
      </c>
      <c r="BH78" s="84">
        <v>1987</v>
      </c>
      <c r="BI78" s="85">
        <v>1986</v>
      </c>
      <c r="BJ78" s="4"/>
      <c r="BK78" s="7"/>
      <c r="BM78" s="83" t="s">
        <v>10</v>
      </c>
      <c r="BN78" s="84">
        <v>2013</v>
      </c>
      <c r="BO78" s="84">
        <v>2012</v>
      </c>
      <c r="BP78" s="84">
        <v>2011</v>
      </c>
      <c r="BQ78" s="84">
        <v>2010</v>
      </c>
      <c r="BR78" s="84">
        <v>2009</v>
      </c>
      <c r="BS78" s="84">
        <v>2008</v>
      </c>
      <c r="BT78" s="84">
        <v>2007</v>
      </c>
      <c r="BU78" s="84">
        <v>2006</v>
      </c>
      <c r="BV78" s="84">
        <v>2005</v>
      </c>
      <c r="BW78" s="84">
        <v>2004</v>
      </c>
      <c r="BX78" s="84">
        <v>2003</v>
      </c>
      <c r="BY78" s="84">
        <v>2002</v>
      </c>
      <c r="BZ78" s="84">
        <v>2001</v>
      </c>
      <c r="CA78" s="84">
        <v>2000</v>
      </c>
      <c r="CB78" s="84">
        <v>1999</v>
      </c>
      <c r="CC78" s="84">
        <v>1998</v>
      </c>
      <c r="CD78" s="84">
        <v>1997</v>
      </c>
      <c r="CE78" s="84">
        <v>1996</v>
      </c>
      <c r="CF78" s="84">
        <v>1995</v>
      </c>
      <c r="CG78" s="84">
        <v>1994</v>
      </c>
      <c r="CH78" s="84">
        <v>1993</v>
      </c>
      <c r="CI78" s="84">
        <v>1992</v>
      </c>
      <c r="CJ78" s="84">
        <v>1991</v>
      </c>
      <c r="CK78" s="84">
        <v>1990</v>
      </c>
      <c r="CL78" s="84">
        <v>1989</v>
      </c>
      <c r="CM78" s="84">
        <v>1988</v>
      </c>
      <c r="CN78" s="84">
        <v>1987</v>
      </c>
      <c r="CO78" s="85">
        <v>1986</v>
      </c>
      <c r="CP78" s="4"/>
      <c r="CQ78" s="7"/>
      <c r="CS78" s="83" t="s">
        <v>10</v>
      </c>
      <c r="CT78" s="84">
        <v>2013</v>
      </c>
      <c r="CU78" s="84">
        <v>2012</v>
      </c>
      <c r="CV78" s="84">
        <v>2011</v>
      </c>
      <c r="CW78" s="84">
        <v>2010</v>
      </c>
      <c r="CX78" s="84">
        <v>2009</v>
      </c>
      <c r="CY78" s="84">
        <v>2008</v>
      </c>
      <c r="CZ78" s="84">
        <v>2007</v>
      </c>
      <c r="DA78" s="84">
        <v>2006</v>
      </c>
      <c r="DB78" s="84">
        <v>2005</v>
      </c>
      <c r="DC78" s="84">
        <v>2004</v>
      </c>
      <c r="DD78" s="84">
        <v>2003</v>
      </c>
      <c r="DE78" s="84">
        <v>2002</v>
      </c>
      <c r="DF78" s="84">
        <v>2001</v>
      </c>
      <c r="DG78" s="84">
        <v>2000</v>
      </c>
      <c r="DH78" s="84">
        <v>1999</v>
      </c>
      <c r="DI78" s="84">
        <v>1998</v>
      </c>
      <c r="DJ78" s="84">
        <v>1997</v>
      </c>
      <c r="DK78" s="84">
        <v>1996</v>
      </c>
      <c r="DL78" s="84">
        <v>1995</v>
      </c>
      <c r="DM78" s="84">
        <v>1994</v>
      </c>
      <c r="DN78" s="84">
        <v>1993</v>
      </c>
      <c r="DO78" s="84">
        <v>1992</v>
      </c>
      <c r="DP78" s="84">
        <v>1991</v>
      </c>
      <c r="DQ78" s="84">
        <v>1990</v>
      </c>
      <c r="DR78" s="84">
        <v>1989</v>
      </c>
      <c r="DS78" s="84">
        <v>1988</v>
      </c>
      <c r="DT78" s="84">
        <v>1987</v>
      </c>
      <c r="DU78" s="85">
        <v>1986</v>
      </c>
      <c r="DV78" s="4"/>
      <c r="DW78" s="7"/>
    </row>
    <row r="79" spans="1:127" ht="15.75" thickTop="1">
      <c r="A79" s="86">
        <v>0</v>
      </c>
      <c r="B79" s="87">
        <v>0</v>
      </c>
      <c r="C79" s="88">
        <v>0</v>
      </c>
      <c r="D79" s="88">
        <v>0</v>
      </c>
      <c r="E79" s="88">
        <v>0</v>
      </c>
      <c r="F79" s="88">
        <v>0</v>
      </c>
      <c r="G79" s="88">
        <v>249</v>
      </c>
      <c r="H79" s="88">
        <v>0</v>
      </c>
      <c r="I79" s="88">
        <v>0</v>
      </c>
      <c r="J79" s="88">
        <v>0</v>
      </c>
      <c r="K79" s="88">
        <v>0</v>
      </c>
      <c r="L79" s="88">
        <v>0</v>
      </c>
      <c r="M79" s="88">
        <v>0</v>
      </c>
      <c r="N79" s="88">
        <v>0</v>
      </c>
      <c r="O79" s="88"/>
      <c r="P79" s="88"/>
      <c r="Q79" s="88"/>
      <c r="R79" s="88"/>
      <c r="S79" s="88"/>
      <c r="T79" s="88"/>
      <c r="U79" s="88"/>
      <c r="V79" s="88"/>
      <c r="W79" s="88"/>
      <c r="X79" s="88"/>
      <c r="Y79" s="88"/>
      <c r="Z79" s="88"/>
      <c r="AA79" s="88"/>
      <c r="AB79" s="88"/>
      <c r="AC79" s="89"/>
      <c r="AD79" s="7"/>
      <c r="AE79" s="7"/>
      <c r="AG79" s="86">
        <v>0</v>
      </c>
      <c r="AH79" s="87">
        <v>2</v>
      </c>
      <c r="AI79" s="88">
        <v>1165</v>
      </c>
      <c r="AJ79" s="88">
        <v>1303</v>
      </c>
      <c r="AK79" s="88">
        <v>2968</v>
      </c>
      <c r="AL79" s="88">
        <v>445</v>
      </c>
      <c r="AM79" s="88">
        <v>15</v>
      </c>
      <c r="AN79" s="88">
        <v>0</v>
      </c>
      <c r="AO79" s="88">
        <v>0</v>
      </c>
      <c r="AP79" s="88">
        <v>0</v>
      </c>
      <c r="AQ79" s="88">
        <v>0</v>
      </c>
      <c r="AR79" s="88">
        <v>0</v>
      </c>
      <c r="AS79" s="88">
        <v>0</v>
      </c>
      <c r="AT79" s="88">
        <v>0</v>
      </c>
      <c r="AU79" s="88"/>
      <c r="AV79" s="88"/>
      <c r="AW79" s="88"/>
      <c r="AX79" s="88"/>
      <c r="AY79" s="88"/>
      <c r="AZ79" s="88"/>
      <c r="BA79" s="88"/>
      <c r="BB79" s="88"/>
      <c r="BC79" s="88"/>
      <c r="BD79" s="88"/>
      <c r="BE79" s="88"/>
      <c r="BF79" s="88"/>
      <c r="BG79" s="88"/>
      <c r="BH79" s="88"/>
      <c r="BI79" s="89"/>
      <c r="BJ79" s="7"/>
      <c r="BK79" s="7"/>
      <c r="BM79" s="86">
        <v>0</v>
      </c>
      <c r="BN79" s="87">
        <v>0</v>
      </c>
      <c r="BO79" s="88">
        <v>0</v>
      </c>
      <c r="BP79" s="88">
        <v>0</v>
      </c>
      <c r="BQ79" s="88">
        <v>28</v>
      </c>
      <c r="BR79" s="88">
        <v>162</v>
      </c>
      <c r="BS79" s="88">
        <v>1395</v>
      </c>
      <c r="BT79" s="88">
        <v>413</v>
      </c>
      <c r="BU79" s="88">
        <v>17</v>
      </c>
      <c r="BV79" s="88">
        <v>0</v>
      </c>
      <c r="BW79" s="88">
        <v>0</v>
      </c>
      <c r="BX79" s="88">
        <v>0</v>
      </c>
      <c r="BY79" s="88">
        <v>17</v>
      </c>
      <c r="BZ79" s="88">
        <v>0</v>
      </c>
      <c r="CA79" s="88"/>
      <c r="CB79" s="88"/>
      <c r="CC79" s="88"/>
      <c r="CD79" s="88"/>
      <c r="CE79" s="88"/>
      <c r="CF79" s="88"/>
      <c r="CG79" s="88"/>
      <c r="CH79" s="88"/>
      <c r="CI79" s="88"/>
      <c r="CJ79" s="88"/>
      <c r="CK79" s="88"/>
      <c r="CL79" s="88"/>
      <c r="CM79" s="88"/>
      <c r="CN79" s="88"/>
      <c r="CO79" s="89"/>
      <c r="CP79" s="7"/>
      <c r="CQ79" s="7"/>
      <c r="CS79" s="86">
        <v>0</v>
      </c>
      <c r="CT79" s="87">
        <v>0</v>
      </c>
      <c r="CU79" s="88">
        <v>0</v>
      </c>
      <c r="CV79" s="88">
        <v>2</v>
      </c>
      <c r="CW79" s="88">
        <v>10</v>
      </c>
      <c r="CX79" s="88">
        <v>56</v>
      </c>
      <c r="CY79" s="88">
        <v>971</v>
      </c>
      <c r="CZ79" s="88">
        <v>396</v>
      </c>
      <c r="DA79" s="88">
        <v>9</v>
      </c>
      <c r="DB79" s="88">
        <v>0</v>
      </c>
      <c r="DC79" s="88">
        <v>0</v>
      </c>
      <c r="DD79" s="88">
        <v>0</v>
      </c>
      <c r="DE79" s="88">
        <v>9</v>
      </c>
      <c r="DF79" s="88">
        <v>0</v>
      </c>
      <c r="DG79" s="88"/>
      <c r="DH79" s="88"/>
      <c r="DI79" s="88"/>
      <c r="DJ79" s="88"/>
      <c r="DK79" s="88"/>
      <c r="DL79" s="88"/>
      <c r="DM79" s="88"/>
      <c r="DN79" s="88"/>
      <c r="DO79" s="88"/>
      <c r="DP79" s="88"/>
      <c r="DQ79" s="88"/>
      <c r="DR79" s="88"/>
      <c r="DS79" s="88"/>
      <c r="DT79" s="88"/>
      <c r="DU79" s="89"/>
      <c r="DV79" s="7"/>
      <c r="DW79" s="7"/>
    </row>
    <row r="80" spans="1:127">
      <c r="A80" s="90">
        <v>1</v>
      </c>
      <c r="B80" s="91"/>
      <c r="C80" s="92">
        <v>0</v>
      </c>
      <c r="D80" s="92">
        <v>0</v>
      </c>
      <c r="E80" s="92">
        <v>0</v>
      </c>
      <c r="F80" s="92">
        <v>0</v>
      </c>
      <c r="G80" s="92">
        <v>0</v>
      </c>
      <c r="H80" s="92">
        <v>0</v>
      </c>
      <c r="I80" s="92">
        <v>0</v>
      </c>
      <c r="J80" s="92">
        <v>0</v>
      </c>
      <c r="K80" s="92">
        <v>0</v>
      </c>
      <c r="L80" s="92">
        <v>0</v>
      </c>
      <c r="M80" s="92">
        <v>0</v>
      </c>
      <c r="N80" s="92">
        <v>0</v>
      </c>
      <c r="O80" s="92">
        <v>0</v>
      </c>
      <c r="P80" s="92"/>
      <c r="Q80" s="92"/>
      <c r="R80" s="92"/>
      <c r="S80" s="92"/>
      <c r="T80" s="92"/>
      <c r="U80" s="92"/>
      <c r="V80" s="92"/>
      <c r="W80" s="92"/>
      <c r="X80" s="92"/>
      <c r="Y80" s="92"/>
      <c r="Z80" s="92"/>
      <c r="AA80" s="92"/>
      <c r="AB80" s="92"/>
      <c r="AC80" s="93"/>
      <c r="AD80" s="7"/>
      <c r="AE80" s="7"/>
      <c r="AG80" s="90">
        <v>1</v>
      </c>
      <c r="AH80" s="91"/>
      <c r="AI80" s="92">
        <v>1135</v>
      </c>
      <c r="AJ80" s="92">
        <v>1283</v>
      </c>
      <c r="AK80" s="92">
        <v>2958</v>
      </c>
      <c r="AL80" s="92">
        <v>450</v>
      </c>
      <c r="AM80" s="92">
        <v>116</v>
      </c>
      <c r="AN80" s="92">
        <v>1</v>
      </c>
      <c r="AO80" s="92">
        <v>0</v>
      </c>
      <c r="AP80" s="92">
        <v>0</v>
      </c>
      <c r="AQ80" s="92">
        <v>0</v>
      </c>
      <c r="AR80" s="92">
        <v>0</v>
      </c>
      <c r="AS80" s="92">
        <v>0</v>
      </c>
      <c r="AT80" s="92">
        <v>0</v>
      </c>
      <c r="AU80" s="92">
        <v>0</v>
      </c>
      <c r="AV80" s="92"/>
      <c r="AW80" s="92"/>
      <c r="AX80" s="92"/>
      <c r="AY80" s="92"/>
      <c r="AZ80" s="92"/>
      <c r="BA80" s="92"/>
      <c r="BB80" s="92"/>
      <c r="BC80" s="92"/>
      <c r="BD80" s="92"/>
      <c r="BE80" s="92"/>
      <c r="BF80" s="92"/>
      <c r="BG80" s="92"/>
      <c r="BH80" s="92"/>
      <c r="BI80" s="93"/>
      <c r="BJ80" s="7"/>
      <c r="BK80" s="7"/>
      <c r="BM80" s="90">
        <v>1</v>
      </c>
      <c r="BN80" s="91"/>
      <c r="BO80" s="92">
        <v>0</v>
      </c>
      <c r="BP80" s="92">
        <v>0</v>
      </c>
      <c r="BQ80" s="92">
        <v>30</v>
      </c>
      <c r="BR80" s="92">
        <v>167</v>
      </c>
      <c r="BS80" s="92">
        <v>1491</v>
      </c>
      <c r="BT80" s="92">
        <v>414</v>
      </c>
      <c r="BU80" s="92">
        <v>18</v>
      </c>
      <c r="BV80" s="92">
        <v>0</v>
      </c>
      <c r="BW80" s="92">
        <v>0</v>
      </c>
      <c r="BX80" s="92">
        <v>0</v>
      </c>
      <c r="BY80" s="92">
        <v>0</v>
      </c>
      <c r="BZ80" s="92">
        <v>0</v>
      </c>
      <c r="CA80" s="92">
        <v>0</v>
      </c>
      <c r="CB80" s="92"/>
      <c r="CC80" s="92"/>
      <c r="CD80" s="92"/>
      <c r="CE80" s="92"/>
      <c r="CF80" s="92"/>
      <c r="CG80" s="92"/>
      <c r="CH80" s="92"/>
      <c r="CI80" s="92"/>
      <c r="CJ80" s="92"/>
      <c r="CK80" s="92"/>
      <c r="CL80" s="92"/>
      <c r="CM80" s="92"/>
      <c r="CN80" s="92"/>
      <c r="CO80" s="93"/>
      <c r="CP80" s="7"/>
      <c r="CQ80" s="7"/>
      <c r="CS80" s="90">
        <v>1</v>
      </c>
      <c r="CT80" s="91"/>
      <c r="CU80" s="92">
        <v>0</v>
      </c>
      <c r="CV80" s="92">
        <v>2</v>
      </c>
      <c r="CW80" s="92">
        <v>10</v>
      </c>
      <c r="CX80" s="92">
        <v>60</v>
      </c>
      <c r="CY80" s="92">
        <v>981</v>
      </c>
      <c r="CZ80" s="92">
        <v>400</v>
      </c>
      <c r="DA80" s="92">
        <v>11</v>
      </c>
      <c r="DB80" s="92">
        <v>0</v>
      </c>
      <c r="DC80" s="92">
        <v>0</v>
      </c>
      <c r="DD80" s="92">
        <v>0</v>
      </c>
      <c r="DE80" s="92">
        <v>0</v>
      </c>
      <c r="DF80" s="92">
        <v>0</v>
      </c>
      <c r="DG80" s="92">
        <v>0</v>
      </c>
      <c r="DH80" s="92"/>
      <c r="DI80" s="92"/>
      <c r="DJ80" s="92"/>
      <c r="DK80" s="92"/>
      <c r="DL80" s="92"/>
      <c r="DM80" s="92"/>
      <c r="DN80" s="92"/>
      <c r="DO80" s="92"/>
      <c r="DP80" s="92"/>
      <c r="DQ80" s="92"/>
      <c r="DR80" s="92"/>
      <c r="DS80" s="92"/>
      <c r="DT80" s="92"/>
      <c r="DU80" s="93"/>
      <c r="DV80" s="7"/>
      <c r="DW80" s="7"/>
    </row>
    <row r="81" spans="1:127">
      <c r="A81" s="90">
        <v>2</v>
      </c>
      <c r="B81" s="91"/>
      <c r="C81" s="92"/>
      <c r="D81" s="92">
        <v>0</v>
      </c>
      <c r="E81" s="92">
        <v>0</v>
      </c>
      <c r="F81" s="92">
        <v>0</v>
      </c>
      <c r="G81" s="92">
        <v>0</v>
      </c>
      <c r="H81" s="92">
        <v>0</v>
      </c>
      <c r="I81" s="92">
        <v>0</v>
      </c>
      <c r="J81" s="92">
        <v>0</v>
      </c>
      <c r="K81" s="92">
        <v>0</v>
      </c>
      <c r="L81" s="92">
        <v>0</v>
      </c>
      <c r="M81" s="92">
        <v>0</v>
      </c>
      <c r="N81" s="92">
        <v>0</v>
      </c>
      <c r="O81" s="92">
        <v>0</v>
      </c>
      <c r="P81" s="92">
        <v>0</v>
      </c>
      <c r="Q81" s="92"/>
      <c r="R81" s="92"/>
      <c r="S81" s="92"/>
      <c r="T81" s="92"/>
      <c r="U81" s="92"/>
      <c r="V81" s="92"/>
      <c r="W81" s="92"/>
      <c r="X81" s="92"/>
      <c r="Y81" s="92"/>
      <c r="Z81" s="92"/>
      <c r="AA81" s="92"/>
      <c r="AB81" s="92"/>
      <c r="AC81" s="93"/>
      <c r="AD81" s="7"/>
      <c r="AE81" s="7"/>
      <c r="AG81" s="90">
        <v>2</v>
      </c>
      <c r="AH81" s="91"/>
      <c r="AI81" s="92"/>
      <c r="AJ81" s="92">
        <v>1277</v>
      </c>
      <c r="AK81" s="92">
        <v>2914</v>
      </c>
      <c r="AL81" s="92">
        <v>428</v>
      </c>
      <c r="AM81" s="92">
        <v>115</v>
      </c>
      <c r="AN81" s="92">
        <v>1</v>
      </c>
      <c r="AO81" s="92">
        <v>0</v>
      </c>
      <c r="AP81" s="92">
        <v>0</v>
      </c>
      <c r="AQ81" s="92">
        <v>0</v>
      </c>
      <c r="AR81" s="92">
        <v>0</v>
      </c>
      <c r="AS81" s="92">
        <v>0</v>
      </c>
      <c r="AT81" s="92">
        <v>0</v>
      </c>
      <c r="AU81" s="92">
        <v>0</v>
      </c>
      <c r="AV81" s="92">
        <v>0</v>
      </c>
      <c r="AW81" s="92"/>
      <c r="AX81" s="92"/>
      <c r="AY81" s="92"/>
      <c r="AZ81" s="92"/>
      <c r="BA81" s="92"/>
      <c r="BB81" s="92"/>
      <c r="BC81" s="92"/>
      <c r="BD81" s="92"/>
      <c r="BE81" s="92"/>
      <c r="BF81" s="92"/>
      <c r="BG81" s="92"/>
      <c r="BH81" s="92"/>
      <c r="BI81" s="93"/>
      <c r="BJ81" s="7"/>
      <c r="BK81" s="7"/>
      <c r="BM81" s="90">
        <v>2</v>
      </c>
      <c r="BN81" s="91"/>
      <c r="BO81" s="92"/>
      <c r="BP81" s="92">
        <v>0</v>
      </c>
      <c r="BQ81" s="92">
        <v>32</v>
      </c>
      <c r="BR81" s="92">
        <v>168</v>
      </c>
      <c r="BS81" s="92">
        <v>1474</v>
      </c>
      <c r="BT81" s="92">
        <v>409</v>
      </c>
      <c r="BU81" s="92">
        <v>19</v>
      </c>
      <c r="BV81" s="92">
        <v>0</v>
      </c>
      <c r="BW81" s="92">
        <v>0</v>
      </c>
      <c r="BX81" s="92">
        <v>0</v>
      </c>
      <c r="BY81" s="92">
        <v>0</v>
      </c>
      <c r="BZ81" s="92">
        <v>0</v>
      </c>
      <c r="CA81" s="92">
        <v>0</v>
      </c>
      <c r="CB81" s="92">
        <v>0</v>
      </c>
      <c r="CC81" s="92"/>
      <c r="CD81" s="92"/>
      <c r="CE81" s="92"/>
      <c r="CF81" s="92"/>
      <c r="CG81" s="92"/>
      <c r="CH81" s="92"/>
      <c r="CI81" s="92"/>
      <c r="CJ81" s="92"/>
      <c r="CK81" s="92"/>
      <c r="CL81" s="92"/>
      <c r="CM81" s="92"/>
      <c r="CN81" s="92"/>
      <c r="CO81" s="93"/>
      <c r="CP81" s="7"/>
      <c r="CQ81" s="7"/>
      <c r="CS81" s="90">
        <v>2</v>
      </c>
      <c r="CT81" s="91"/>
      <c r="CU81" s="92"/>
      <c r="CV81" s="92">
        <v>2</v>
      </c>
      <c r="CW81" s="92">
        <v>9</v>
      </c>
      <c r="CX81" s="92">
        <v>63</v>
      </c>
      <c r="CY81" s="92">
        <v>977</v>
      </c>
      <c r="CZ81" s="92">
        <v>398</v>
      </c>
      <c r="DA81" s="92">
        <v>12</v>
      </c>
      <c r="DB81" s="92">
        <v>0</v>
      </c>
      <c r="DC81" s="92">
        <v>0</v>
      </c>
      <c r="DD81" s="92">
        <v>0</v>
      </c>
      <c r="DE81" s="92">
        <v>0</v>
      </c>
      <c r="DF81" s="92">
        <v>0</v>
      </c>
      <c r="DG81" s="92">
        <v>0</v>
      </c>
      <c r="DH81" s="92">
        <v>0</v>
      </c>
      <c r="DI81" s="92"/>
      <c r="DJ81" s="92"/>
      <c r="DK81" s="92"/>
      <c r="DL81" s="92"/>
      <c r="DM81" s="92"/>
      <c r="DN81" s="92"/>
      <c r="DO81" s="92"/>
      <c r="DP81" s="92"/>
      <c r="DQ81" s="92"/>
      <c r="DR81" s="92"/>
      <c r="DS81" s="92"/>
      <c r="DT81" s="92"/>
      <c r="DU81" s="93"/>
      <c r="DV81" s="7"/>
      <c r="DW81" s="7"/>
    </row>
    <row r="82" spans="1:127">
      <c r="A82" s="90">
        <v>3</v>
      </c>
      <c r="B82" s="91"/>
      <c r="C82" s="92"/>
      <c r="D82" s="92"/>
      <c r="E82" s="92">
        <v>0</v>
      </c>
      <c r="F82" s="92">
        <v>0</v>
      </c>
      <c r="G82" s="92">
        <v>0</v>
      </c>
      <c r="H82" s="92">
        <v>0</v>
      </c>
      <c r="I82" s="92">
        <v>0</v>
      </c>
      <c r="J82" s="92">
        <v>0</v>
      </c>
      <c r="K82" s="92">
        <v>0</v>
      </c>
      <c r="L82" s="92">
        <v>0</v>
      </c>
      <c r="M82" s="92">
        <v>0</v>
      </c>
      <c r="N82" s="92">
        <v>0</v>
      </c>
      <c r="O82" s="92">
        <v>0</v>
      </c>
      <c r="P82" s="92">
        <v>0</v>
      </c>
      <c r="Q82" s="92">
        <v>0</v>
      </c>
      <c r="R82" s="92"/>
      <c r="S82" s="92"/>
      <c r="T82" s="92"/>
      <c r="U82" s="92"/>
      <c r="V82" s="92"/>
      <c r="W82" s="92"/>
      <c r="X82" s="92"/>
      <c r="Y82" s="92"/>
      <c r="Z82" s="92"/>
      <c r="AA82" s="92"/>
      <c r="AB82" s="92"/>
      <c r="AC82" s="93"/>
      <c r="AD82" s="7"/>
      <c r="AE82" s="7"/>
      <c r="AG82" s="90">
        <v>3</v>
      </c>
      <c r="AH82" s="91"/>
      <c r="AI82" s="92"/>
      <c r="AJ82" s="92"/>
      <c r="AK82" s="92">
        <v>2873</v>
      </c>
      <c r="AL82" s="92">
        <v>448</v>
      </c>
      <c r="AM82" s="92">
        <v>100</v>
      </c>
      <c r="AN82" s="92">
        <v>1</v>
      </c>
      <c r="AO82" s="92">
        <v>0</v>
      </c>
      <c r="AP82" s="92">
        <v>0</v>
      </c>
      <c r="AQ82" s="92">
        <v>0</v>
      </c>
      <c r="AR82" s="92">
        <v>0</v>
      </c>
      <c r="AS82" s="92">
        <v>0</v>
      </c>
      <c r="AT82" s="92">
        <v>0</v>
      </c>
      <c r="AU82" s="92">
        <v>0</v>
      </c>
      <c r="AV82" s="92">
        <v>0</v>
      </c>
      <c r="AW82" s="92">
        <v>0</v>
      </c>
      <c r="AX82" s="92"/>
      <c r="AY82" s="92"/>
      <c r="AZ82" s="92"/>
      <c r="BA82" s="92"/>
      <c r="BB82" s="92"/>
      <c r="BC82" s="92"/>
      <c r="BD82" s="92"/>
      <c r="BE82" s="92"/>
      <c r="BF82" s="92"/>
      <c r="BG82" s="92"/>
      <c r="BH82" s="92"/>
      <c r="BI82" s="93"/>
      <c r="BJ82" s="7"/>
      <c r="BK82" s="7"/>
      <c r="BM82" s="90">
        <v>3</v>
      </c>
      <c r="BN82" s="91"/>
      <c r="BO82" s="92"/>
      <c r="BP82" s="92"/>
      <c r="BQ82" s="92">
        <v>32</v>
      </c>
      <c r="BR82" s="92">
        <v>173</v>
      </c>
      <c r="BS82" s="92">
        <v>1437</v>
      </c>
      <c r="BT82" s="92">
        <v>402</v>
      </c>
      <c r="BU82" s="92">
        <v>19</v>
      </c>
      <c r="BV82" s="92">
        <v>0</v>
      </c>
      <c r="BW82" s="92">
        <v>0</v>
      </c>
      <c r="BX82" s="92">
        <v>0</v>
      </c>
      <c r="BY82" s="92">
        <v>0</v>
      </c>
      <c r="BZ82" s="92">
        <v>0</v>
      </c>
      <c r="CA82" s="92">
        <v>0</v>
      </c>
      <c r="CB82" s="92">
        <v>0</v>
      </c>
      <c r="CC82" s="92">
        <v>0</v>
      </c>
      <c r="CD82" s="92"/>
      <c r="CE82" s="92"/>
      <c r="CF82" s="92"/>
      <c r="CG82" s="92"/>
      <c r="CH82" s="92"/>
      <c r="CI82" s="92"/>
      <c r="CJ82" s="92"/>
      <c r="CK82" s="92"/>
      <c r="CL82" s="92"/>
      <c r="CM82" s="92"/>
      <c r="CN82" s="92"/>
      <c r="CO82" s="93"/>
      <c r="CP82" s="7"/>
      <c r="CQ82" s="7"/>
      <c r="CS82" s="90">
        <v>3</v>
      </c>
      <c r="CT82" s="91"/>
      <c r="CU82" s="92"/>
      <c r="CV82" s="92"/>
      <c r="CW82" s="92">
        <v>9</v>
      </c>
      <c r="CX82" s="92">
        <v>60</v>
      </c>
      <c r="CY82" s="92">
        <v>954</v>
      </c>
      <c r="CZ82" s="92">
        <v>383</v>
      </c>
      <c r="DA82" s="92">
        <v>14</v>
      </c>
      <c r="DB82" s="92">
        <v>0</v>
      </c>
      <c r="DC82" s="92">
        <v>0</v>
      </c>
      <c r="DD82" s="92">
        <v>0</v>
      </c>
      <c r="DE82" s="92">
        <v>0</v>
      </c>
      <c r="DF82" s="92">
        <v>0</v>
      </c>
      <c r="DG82" s="92">
        <v>0</v>
      </c>
      <c r="DH82" s="92">
        <v>0</v>
      </c>
      <c r="DI82" s="92">
        <v>0</v>
      </c>
      <c r="DJ82" s="92"/>
      <c r="DK82" s="92"/>
      <c r="DL82" s="92"/>
      <c r="DM82" s="92"/>
      <c r="DN82" s="92"/>
      <c r="DO82" s="92"/>
      <c r="DP82" s="92"/>
      <c r="DQ82" s="92"/>
      <c r="DR82" s="92"/>
      <c r="DS82" s="92"/>
      <c r="DT82" s="92"/>
      <c r="DU82" s="93"/>
      <c r="DV82" s="7"/>
      <c r="DW82" s="7"/>
    </row>
    <row r="83" spans="1:127">
      <c r="A83" s="90">
        <v>4</v>
      </c>
      <c r="B83" s="91"/>
      <c r="C83" s="92"/>
      <c r="D83" s="92"/>
      <c r="E83" s="92"/>
      <c r="F83" s="92">
        <v>0</v>
      </c>
      <c r="G83" s="92">
        <v>0</v>
      </c>
      <c r="H83" s="92">
        <v>0</v>
      </c>
      <c r="I83" s="92">
        <v>0</v>
      </c>
      <c r="J83" s="92">
        <v>0</v>
      </c>
      <c r="K83" s="92">
        <v>0</v>
      </c>
      <c r="L83" s="92">
        <v>0</v>
      </c>
      <c r="M83" s="92">
        <v>0</v>
      </c>
      <c r="N83" s="92">
        <v>0</v>
      </c>
      <c r="O83" s="92">
        <v>0</v>
      </c>
      <c r="P83" s="92">
        <v>0</v>
      </c>
      <c r="Q83" s="92">
        <v>0</v>
      </c>
      <c r="R83" s="92">
        <v>0</v>
      </c>
      <c r="S83" s="92"/>
      <c r="T83" s="92"/>
      <c r="U83" s="92"/>
      <c r="V83" s="92"/>
      <c r="W83" s="92"/>
      <c r="X83" s="92"/>
      <c r="Y83" s="92"/>
      <c r="Z83" s="92"/>
      <c r="AA83" s="92"/>
      <c r="AB83" s="92"/>
      <c r="AC83" s="93"/>
      <c r="AD83" s="7"/>
      <c r="AE83" s="7"/>
      <c r="AG83" s="90">
        <v>4</v>
      </c>
      <c r="AH83" s="91"/>
      <c r="AI83" s="92"/>
      <c r="AJ83" s="92"/>
      <c r="AK83" s="92"/>
      <c r="AL83" s="92">
        <v>441</v>
      </c>
      <c r="AM83" s="92">
        <v>112</v>
      </c>
      <c r="AN83" s="92">
        <v>1</v>
      </c>
      <c r="AO83" s="92">
        <v>0</v>
      </c>
      <c r="AP83" s="92">
        <v>0</v>
      </c>
      <c r="AQ83" s="92">
        <v>0</v>
      </c>
      <c r="AR83" s="92">
        <v>0</v>
      </c>
      <c r="AS83" s="92">
        <v>0</v>
      </c>
      <c r="AT83" s="92">
        <v>0</v>
      </c>
      <c r="AU83" s="92">
        <v>0</v>
      </c>
      <c r="AV83" s="92">
        <v>0</v>
      </c>
      <c r="AW83" s="92">
        <v>0</v>
      </c>
      <c r="AX83" s="92">
        <v>0</v>
      </c>
      <c r="AY83" s="92"/>
      <c r="AZ83" s="92"/>
      <c r="BA83" s="92"/>
      <c r="BB83" s="92"/>
      <c r="BC83" s="92"/>
      <c r="BD83" s="92"/>
      <c r="BE83" s="92"/>
      <c r="BF83" s="92"/>
      <c r="BG83" s="92"/>
      <c r="BH83" s="92"/>
      <c r="BI83" s="93"/>
      <c r="BJ83" s="7"/>
      <c r="BK83" s="7"/>
      <c r="BM83" s="90">
        <v>4</v>
      </c>
      <c r="BN83" s="91"/>
      <c r="BO83" s="92"/>
      <c r="BP83" s="92"/>
      <c r="BQ83" s="92"/>
      <c r="BR83" s="92">
        <v>166</v>
      </c>
      <c r="BS83" s="92">
        <v>1440</v>
      </c>
      <c r="BT83" s="92">
        <v>394</v>
      </c>
      <c r="BU83" s="92">
        <v>18</v>
      </c>
      <c r="BV83" s="92">
        <v>0</v>
      </c>
      <c r="BW83" s="92">
        <v>0</v>
      </c>
      <c r="BX83" s="92">
        <v>0</v>
      </c>
      <c r="BY83" s="92">
        <v>0</v>
      </c>
      <c r="BZ83" s="92">
        <v>0</v>
      </c>
      <c r="CA83" s="92">
        <v>0</v>
      </c>
      <c r="CB83" s="92">
        <v>0</v>
      </c>
      <c r="CC83" s="92">
        <v>0</v>
      </c>
      <c r="CD83" s="92">
        <v>0</v>
      </c>
      <c r="CE83" s="92"/>
      <c r="CF83" s="92"/>
      <c r="CG83" s="92"/>
      <c r="CH83" s="92"/>
      <c r="CI83" s="92"/>
      <c r="CJ83" s="92"/>
      <c r="CK83" s="92"/>
      <c r="CL83" s="92"/>
      <c r="CM83" s="92"/>
      <c r="CN83" s="92"/>
      <c r="CO83" s="93"/>
      <c r="CP83" s="7"/>
      <c r="CQ83" s="7"/>
      <c r="CS83" s="90">
        <v>4</v>
      </c>
      <c r="CT83" s="91"/>
      <c r="CU83" s="92"/>
      <c r="CV83" s="92"/>
      <c r="CW83" s="92"/>
      <c r="CX83" s="92">
        <v>60</v>
      </c>
      <c r="CY83" s="92">
        <v>963</v>
      </c>
      <c r="CZ83" s="92">
        <v>381</v>
      </c>
      <c r="DA83" s="92">
        <v>13</v>
      </c>
      <c r="DB83" s="92">
        <v>0</v>
      </c>
      <c r="DC83" s="92">
        <v>0</v>
      </c>
      <c r="DD83" s="92">
        <v>0</v>
      </c>
      <c r="DE83" s="92">
        <v>0</v>
      </c>
      <c r="DF83" s="92">
        <v>0</v>
      </c>
      <c r="DG83" s="92">
        <v>0</v>
      </c>
      <c r="DH83" s="92">
        <v>0</v>
      </c>
      <c r="DI83" s="92">
        <v>0</v>
      </c>
      <c r="DJ83" s="92">
        <v>0</v>
      </c>
      <c r="DK83" s="92"/>
      <c r="DL83" s="92"/>
      <c r="DM83" s="92"/>
      <c r="DN83" s="92"/>
      <c r="DO83" s="92"/>
      <c r="DP83" s="92"/>
      <c r="DQ83" s="92"/>
      <c r="DR83" s="92"/>
      <c r="DS83" s="92"/>
      <c r="DT83" s="92"/>
      <c r="DU83" s="93"/>
      <c r="DV83" s="7"/>
      <c r="DW83" s="7"/>
    </row>
    <row r="84" spans="1:127">
      <c r="A84" s="90">
        <v>5</v>
      </c>
      <c r="B84" s="91"/>
      <c r="C84" s="92"/>
      <c r="D84" s="92"/>
      <c r="E84" s="92"/>
      <c r="F84" s="92"/>
      <c r="G84" s="92">
        <v>0</v>
      </c>
      <c r="H84" s="92">
        <v>0</v>
      </c>
      <c r="I84" s="92">
        <v>0</v>
      </c>
      <c r="J84" s="92">
        <v>0</v>
      </c>
      <c r="K84" s="92">
        <v>0</v>
      </c>
      <c r="L84" s="92">
        <v>0</v>
      </c>
      <c r="M84" s="92">
        <v>0</v>
      </c>
      <c r="N84" s="92">
        <v>0</v>
      </c>
      <c r="O84" s="92">
        <v>0</v>
      </c>
      <c r="P84" s="92">
        <v>0</v>
      </c>
      <c r="Q84" s="92">
        <v>0</v>
      </c>
      <c r="R84" s="92">
        <v>0</v>
      </c>
      <c r="S84" s="92">
        <v>0</v>
      </c>
      <c r="T84" s="92"/>
      <c r="U84" s="92"/>
      <c r="V84" s="92"/>
      <c r="W84" s="92"/>
      <c r="X84" s="92"/>
      <c r="Y84" s="92"/>
      <c r="Z84" s="92"/>
      <c r="AA84" s="92"/>
      <c r="AB84" s="92"/>
      <c r="AC84" s="93"/>
      <c r="AD84" s="7"/>
      <c r="AE84" s="7"/>
      <c r="AG84" s="90">
        <v>5</v>
      </c>
      <c r="AH84" s="91"/>
      <c r="AI84" s="92"/>
      <c r="AJ84" s="92"/>
      <c r="AK84" s="92"/>
      <c r="AL84" s="92"/>
      <c r="AM84" s="92">
        <v>108</v>
      </c>
      <c r="AN84" s="92">
        <v>0</v>
      </c>
      <c r="AO84" s="92">
        <v>0</v>
      </c>
      <c r="AP84" s="92">
        <v>0</v>
      </c>
      <c r="AQ84" s="92">
        <v>0</v>
      </c>
      <c r="AR84" s="92">
        <v>0</v>
      </c>
      <c r="AS84" s="92">
        <v>0</v>
      </c>
      <c r="AT84" s="92">
        <v>0</v>
      </c>
      <c r="AU84" s="92">
        <v>0</v>
      </c>
      <c r="AV84" s="92">
        <v>0</v>
      </c>
      <c r="AW84" s="92">
        <v>0</v>
      </c>
      <c r="AX84" s="92">
        <v>0</v>
      </c>
      <c r="AY84" s="92">
        <v>0</v>
      </c>
      <c r="AZ84" s="92"/>
      <c r="BA84" s="92"/>
      <c r="BB84" s="92"/>
      <c r="BC84" s="92"/>
      <c r="BD84" s="92"/>
      <c r="BE84" s="92"/>
      <c r="BF84" s="92"/>
      <c r="BG84" s="92"/>
      <c r="BH84" s="92"/>
      <c r="BI84" s="93"/>
      <c r="BJ84" s="7"/>
      <c r="BK84" s="7"/>
      <c r="BM84" s="90">
        <v>5</v>
      </c>
      <c r="BN84" s="91"/>
      <c r="BO84" s="92"/>
      <c r="BP84" s="92"/>
      <c r="BQ84" s="92"/>
      <c r="BR84" s="92"/>
      <c r="BS84" s="92">
        <v>1451</v>
      </c>
      <c r="BT84" s="92">
        <v>385</v>
      </c>
      <c r="BU84" s="92">
        <v>47</v>
      </c>
      <c r="BV84" s="92">
        <v>0</v>
      </c>
      <c r="BW84" s="92">
        <v>0</v>
      </c>
      <c r="BX84" s="92">
        <v>0</v>
      </c>
      <c r="BY84" s="92">
        <v>0</v>
      </c>
      <c r="BZ84" s="92">
        <v>0</v>
      </c>
      <c r="CA84" s="92">
        <v>0</v>
      </c>
      <c r="CB84" s="92">
        <v>0</v>
      </c>
      <c r="CC84" s="92">
        <v>0</v>
      </c>
      <c r="CD84" s="92">
        <v>0</v>
      </c>
      <c r="CE84" s="92">
        <v>0</v>
      </c>
      <c r="CF84" s="92"/>
      <c r="CG84" s="92"/>
      <c r="CH84" s="92"/>
      <c r="CI84" s="92"/>
      <c r="CJ84" s="92"/>
      <c r="CK84" s="92"/>
      <c r="CL84" s="92"/>
      <c r="CM84" s="92"/>
      <c r="CN84" s="92"/>
      <c r="CO84" s="93"/>
      <c r="CP84" s="7"/>
      <c r="CQ84" s="7"/>
      <c r="CS84" s="90">
        <v>5</v>
      </c>
      <c r="CT84" s="91"/>
      <c r="CU84" s="92"/>
      <c r="CV84" s="92"/>
      <c r="CW84" s="92"/>
      <c r="CX84" s="92"/>
      <c r="CY84" s="92">
        <v>955</v>
      </c>
      <c r="CZ84" s="92">
        <v>376</v>
      </c>
      <c r="DA84" s="92">
        <v>13</v>
      </c>
      <c r="DB84" s="92">
        <v>0</v>
      </c>
      <c r="DC84" s="92">
        <v>0</v>
      </c>
      <c r="DD84" s="92">
        <v>0</v>
      </c>
      <c r="DE84" s="92">
        <v>0</v>
      </c>
      <c r="DF84" s="92">
        <v>0</v>
      </c>
      <c r="DG84" s="92">
        <v>0</v>
      </c>
      <c r="DH84" s="92">
        <v>0</v>
      </c>
      <c r="DI84" s="92">
        <v>0</v>
      </c>
      <c r="DJ84" s="92">
        <v>0</v>
      </c>
      <c r="DK84" s="92">
        <v>0</v>
      </c>
      <c r="DL84" s="92"/>
      <c r="DM84" s="92"/>
      <c r="DN84" s="92"/>
      <c r="DO84" s="92"/>
      <c r="DP84" s="92"/>
      <c r="DQ84" s="92"/>
      <c r="DR84" s="92"/>
      <c r="DS84" s="92"/>
      <c r="DT84" s="92"/>
      <c r="DU84" s="93"/>
      <c r="DV84" s="7"/>
      <c r="DW84" s="7"/>
    </row>
    <row r="85" spans="1:127">
      <c r="A85" s="90">
        <v>6</v>
      </c>
      <c r="B85" s="91"/>
      <c r="C85" s="92"/>
      <c r="D85" s="92"/>
      <c r="E85" s="92"/>
      <c r="F85" s="92"/>
      <c r="G85" s="92"/>
      <c r="H85" s="92">
        <v>0</v>
      </c>
      <c r="I85" s="92">
        <v>0</v>
      </c>
      <c r="J85" s="92">
        <v>0</v>
      </c>
      <c r="K85" s="92">
        <v>0</v>
      </c>
      <c r="L85" s="92">
        <v>0</v>
      </c>
      <c r="M85" s="92">
        <v>0</v>
      </c>
      <c r="N85" s="92">
        <v>0</v>
      </c>
      <c r="O85" s="92">
        <v>0</v>
      </c>
      <c r="P85" s="92">
        <v>0</v>
      </c>
      <c r="Q85" s="92">
        <v>0</v>
      </c>
      <c r="R85" s="92">
        <v>0</v>
      </c>
      <c r="S85" s="92">
        <v>0</v>
      </c>
      <c r="T85" s="92">
        <v>0</v>
      </c>
      <c r="U85" s="92"/>
      <c r="V85" s="92"/>
      <c r="W85" s="92"/>
      <c r="X85" s="92"/>
      <c r="Y85" s="92"/>
      <c r="Z85" s="92"/>
      <c r="AA85" s="92"/>
      <c r="AB85" s="92"/>
      <c r="AC85" s="93"/>
      <c r="AD85" s="7"/>
      <c r="AE85" s="7"/>
      <c r="AG85" s="90">
        <v>6</v>
      </c>
      <c r="AH85" s="91"/>
      <c r="AI85" s="92"/>
      <c r="AJ85" s="92"/>
      <c r="AK85" s="92"/>
      <c r="AL85" s="92"/>
      <c r="AM85" s="92"/>
      <c r="AN85" s="92">
        <v>0</v>
      </c>
      <c r="AO85" s="92">
        <v>0</v>
      </c>
      <c r="AP85" s="92">
        <v>0</v>
      </c>
      <c r="AQ85" s="92">
        <v>0</v>
      </c>
      <c r="AR85" s="92">
        <v>0</v>
      </c>
      <c r="AS85" s="92">
        <v>0</v>
      </c>
      <c r="AT85" s="92">
        <v>0</v>
      </c>
      <c r="AU85" s="92">
        <v>0</v>
      </c>
      <c r="AV85" s="92">
        <v>0</v>
      </c>
      <c r="AW85" s="92">
        <v>0</v>
      </c>
      <c r="AX85" s="92">
        <v>0</v>
      </c>
      <c r="AY85" s="92">
        <v>0</v>
      </c>
      <c r="AZ85" s="92">
        <v>0</v>
      </c>
      <c r="BA85" s="92"/>
      <c r="BB85" s="92"/>
      <c r="BC85" s="92"/>
      <c r="BD85" s="92"/>
      <c r="BE85" s="92"/>
      <c r="BF85" s="92"/>
      <c r="BG85" s="92"/>
      <c r="BH85" s="92"/>
      <c r="BI85" s="93"/>
      <c r="BJ85" s="7"/>
      <c r="BK85" s="7"/>
      <c r="BM85" s="90">
        <v>6</v>
      </c>
      <c r="BN85" s="91"/>
      <c r="BO85" s="92"/>
      <c r="BP85" s="92"/>
      <c r="BQ85" s="92"/>
      <c r="BR85" s="92"/>
      <c r="BS85" s="92"/>
      <c r="BT85" s="92">
        <v>387</v>
      </c>
      <c r="BU85" s="92">
        <v>52</v>
      </c>
      <c r="BV85" s="92">
        <v>0</v>
      </c>
      <c r="BW85" s="92">
        <v>0</v>
      </c>
      <c r="BX85" s="92">
        <v>0</v>
      </c>
      <c r="BY85" s="92">
        <v>0</v>
      </c>
      <c r="BZ85" s="92">
        <v>0</v>
      </c>
      <c r="CA85" s="92">
        <v>0</v>
      </c>
      <c r="CB85" s="92">
        <v>0</v>
      </c>
      <c r="CC85" s="92">
        <v>0</v>
      </c>
      <c r="CD85" s="92">
        <v>0</v>
      </c>
      <c r="CE85" s="92">
        <v>0</v>
      </c>
      <c r="CF85" s="92">
        <v>0</v>
      </c>
      <c r="CG85" s="92"/>
      <c r="CH85" s="92"/>
      <c r="CI85" s="92"/>
      <c r="CJ85" s="92"/>
      <c r="CK85" s="92"/>
      <c r="CL85" s="92"/>
      <c r="CM85" s="92"/>
      <c r="CN85" s="92"/>
      <c r="CO85" s="93"/>
      <c r="CP85" s="7"/>
      <c r="CQ85" s="7"/>
      <c r="CS85" s="90">
        <v>6</v>
      </c>
      <c r="CT85" s="91"/>
      <c r="CU85" s="92"/>
      <c r="CV85" s="92"/>
      <c r="CW85" s="92"/>
      <c r="CX85" s="92"/>
      <c r="CY85" s="92"/>
      <c r="CZ85" s="92">
        <v>370</v>
      </c>
      <c r="DA85" s="92">
        <v>13</v>
      </c>
      <c r="DB85" s="92">
        <v>0</v>
      </c>
      <c r="DC85" s="92">
        <v>0</v>
      </c>
      <c r="DD85" s="92">
        <v>0</v>
      </c>
      <c r="DE85" s="92">
        <v>0</v>
      </c>
      <c r="DF85" s="92">
        <v>0</v>
      </c>
      <c r="DG85" s="92">
        <v>0</v>
      </c>
      <c r="DH85" s="92">
        <v>0</v>
      </c>
      <c r="DI85" s="92">
        <v>0</v>
      </c>
      <c r="DJ85" s="92">
        <v>0</v>
      </c>
      <c r="DK85" s="92">
        <v>0</v>
      </c>
      <c r="DL85" s="92">
        <v>0</v>
      </c>
      <c r="DM85" s="92"/>
      <c r="DN85" s="92"/>
      <c r="DO85" s="92"/>
      <c r="DP85" s="92"/>
      <c r="DQ85" s="92"/>
      <c r="DR85" s="92"/>
      <c r="DS85" s="92"/>
      <c r="DT85" s="92"/>
      <c r="DU85" s="93"/>
      <c r="DV85" s="7"/>
      <c r="DW85" s="7"/>
    </row>
    <row r="86" spans="1:127">
      <c r="A86" s="90">
        <v>7</v>
      </c>
      <c r="B86" s="91"/>
      <c r="C86" s="92"/>
      <c r="D86" s="92"/>
      <c r="E86" s="92"/>
      <c r="F86" s="92"/>
      <c r="G86" s="92"/>
      <c r="H86" s="92"/>
      <c r="I86" s="92">
        <v>0</v>
      </c>
      <c r="J86" s="92">
        <v>0</v>
      </c>
      <c r="K86" s="92">
        <v>0</v>
      </c>
      <c r="L86" s="92">
        <v>0</v>
      </c>
      <c r="M86" s="92">
        <v>0</v>
      </c>
      <c r="N86" s="92">
        <v>0</v>
      </c>
      <c r="O86" s="92">
        <v>0</v>
      </c>
      <c r="P86" s="92">
        <v>0</v>
      </c>
      <c r="Q86" s="92">
        <v>0</v>
      </c>
      <c r="R86" s="92">
        <v>0</v>
      </c>
      <c r="S86" s="92">
        <v>0</v>
      </c>
      <c r="T86" s="92">
        <v>0</v>
      </c>
      <c r="U86" s="92">
        <v>0</v>
      </c>
      <c r="V86" s="92"/>
      <c r="W86" s="92"/>
      <c r="X86" s="92"/>
      <c r="Y86" s="92"/>
      <c r="Z86" s="92"/>
      <c r="AA86" s="92"/>
      <c r="AB86" s="92"/>
      <c r="AC86" s="93"/>
      <c r="AD86" s="7"/>
      <c r="AE86" s="7"/>
      <c r="AG86" s="90">
        <v>7</v>
      </c>
      <c r="AH86" s="91"/>
      <c r="AI86" s="92"/>
      <c r="AJ86" s="92"/>
      <c r="AK86" s="92"/>
      <c r="AL86" s="92"/>
      <c r="AM86" s="92"/>
      <c r="AN86" s="92"/>
      <c r="AO86" s="92">
        <v>0</v>
      </c>
      <c r="AP86" s="92">
        <v>0</v>
      </c>
      <c r="AQ86" s="92">
        <v>0</v>
      </c>
      <c r="AR86" s="92">
        <v>0</v>
      </c>
      <c r="AS86" s="92">
        <v>0</v>
      </c>
      <c r="AT86" s="92">
        <v>0</v>
      </c>
      <c r="AU86" s="92">
        <v>0</v>
      </c>
      <c r="AV86" s="92">
        <v>0</v>
      </c>
      <c r="AW86" s="92">
        <v>0</v>
      </c>
      <c r="AX86" s="92">
        <v>0</v>
      </c>
      <c r="AY86" s="92">
        <v>0</v>
      </c>
      <c r="AZ86" s="92">
        <v>0</v>
      </c>
      <c r="BA86" s="92">
        <v>0</v>
      </c>
      <c r="BB86" s="92"/>
      <c r="BC86" s="92"/>
      <c r="BD86" s="92"/>
      <c r="BE86" s="92"/>
      <c r="BF86" s="92"/>
      <c r="BG86" s="92"/>
      <c r="BH86" s="92"/>
      <c r="BI86" s="93"/>
      <c r="BJ86" s="7"/>
      <c r="BK86" s="7"/>
      <c r="BM86" s="90">
        <v>7</v>
      </c>
      <c r="BN86" s="91"/>
      <c r="BO86" s="92"/>
      <c r="BP86" s="92"/>
      <c r="BQ86" s="92"/>
      <c r="BR86" s="92"/>
      <c r="BS86" s="92"/>
      <c r="BT86" s="92"/>
      <c r="BU86" s="92">
        <v>50</v>
      </c>
      <c r="BV86" s="92">
        <v>1</v>
      </c>
      <c r="BW86" s="92">
        <v>0</v>
      </c>
      <c r="BX86" s="92">
        <v>0</v>
      </c>
      <c r="BY86" s="92">
        <v>0</v>
      </c>
      <c r="BZ86" s="92">
        <v>0</v>
      </c>
      <c r="CA86" s="92">
        <v>0</v>
      </c>
      <c r="CB86" s="92">
        <v>0</v>
      </c>
      <c r="CC86" s="92">
        <v>0</v>
      </c>
      <c r="CD86" s="92">
        <v>0</v>
      </c>
      <c r="CE86" s="92">
        <v>0</v>
      </c>
      <c r="CF86" s="92">
        <v>0</v>
      </c>
      <c r="CG86" s="92">
        <v>0</v>
      </c>
      <c r="CH86" s="92"/>
      <c r="CI86" s="92"/>
      <c r="CJ86" s="92"/>
      <c r="CK86" s="92"/>
      <c r="CL86" s="92"/>
      <c r="CM86" s="92"/>
      <c r="CN86" s="92"/>
      <c r="CO86" s="93"/>
      <c r="CP86" s="7"/>
      <c r="CQ86" s="7"/>
      <c r="CS86" s="90">
        <v>7</v>
      </c>
      <c r="CT86" s="91"/>
      <c r="CU86" s="92"/>
      <c r="CV86" s="92"/>
      <c r="CW86" s="92"/>
      <c r="CX86" s="92"/>
      <c r="CY86" s="92"/>
      <c r="CZ86" s="92"/>
      <c r="DA86" s="92">
        <v>14</v>
      </c>
      <c r="DB86" s="92">
        <v>1</v>
      </c>
      <c r="DC86" s="92">
        <v>0</v>
      </c>
      <c r="DD86" s="92">
        <v>0</v>
      </c>
      <c r="DE86" s="92">
        <v>0</v>
      </c>
      <c r="DF86" s="92">
        <v>0</v>
      </c>
      <c r="DG86" s="92">
        <v>0</v>
      </c>
      <c r="DH86" s="92">
        <v>0</v>
      </c>
      <c r="DI86" s="92">
        <v>0</v>
      </c>
      <c r="DJ86" s="92">
        <v>0</v>
      </c>
      <c r="DK86" s="92">
        <v>0</v>
      </c>
      <c r="DL86" s="92">
        <v>0</v>
      </c>
      <c r="DM86" s="92">
        <v>0</v>
      </c>
      <c r="DN86" s="92"/>
      <c r="DO86" s="92"/>
      <c r="DP86" s="92"/>
      <c r="DQ86" s="92"/>
      <c r="DR86" s="92"/>
      <c r="DS86" s="92"/>
      <c r="DT86" s="92"/>
      <c r="DU86" s="93"/>
      <c r="DV86" s="7"/>
      <c r="DW86" s="7"/>
    </row>
    <row r="87" spans="1:127">
      <c r="A87" s="90">
        <v>8</v>
      </c>
      <c r="B87" s="91"/>
      <c r="C87" s="92"/>
      <c r="D87" s="92"/>
      <c r="E87" s="92"/>
      <c r="F87" s="92"/>
      <c r="G87" s="92"/>
      <c r="H87" s="92"/>
      <c r="I87" s="92"/>
      <c r="J87" s="92">
        <v>0</v>
      </c>
      <c r="K87" s="92">
        <v>0</v>
      </c>
      <c r="L87" s="92">
        <v>0</v>
      </c>
      <c r="M87" s="92">
        <v>0</v>
      </c>
      <c r="N87" s="92">
        <v>0</v>
      </c>
      <c r="O87" s="92">
        <v>0</v>
      </c>
      <c r="P87" s="92">
        <v>0</v>
      </c>
      <c r="Q87" s="92">
        <v>0</v>
      </c>
      <c r="R87" s="92">
        <v>0</v>
      </c>
      <c r="S87" s="92">
        <v>0</v>
      </c>
      <c r="T87" s="92">
        <v>0</v>
      </c>
      <c r="U87" s="92">
        <v>0</v>
      </c>
      <c r="V87" s="92">
        <v>0</v>
      </c>
      <c r="W87" s="92"/>
      <c r="X87" s="92"/>
      <c r="Y87" s="92"/>
      <c r="Z87" s="92"/>
      <c r="AA87" s="92"/>
      <c r="AB87" s="92"/>
      <c r="AC87" s="93"/>
      <c r="AD87" s="7"/>
      <c r="AE87" s="7"/>
      <c r="AG87" s="90">
        <v>8</v>
      </c>
      <c r="AH87" s="91"/>
      <c r="AI87" s="92"/>
      <c r="AJ87" s="92"/>
      <c r="AK87" s="92"/>
      <c r="AL87" s="92"/>
      <c r="AM87" s="92"/>
      <c r="AN87" s="92"/>
      <c r="AO87" s="92"/>
      <c r="AP87" s="92">
        <v>0</v>
      </c>
      <c r="AQ87" s="92">
        <v>0</v>
      </c>
      <c r="AR87" s="92">
        <v>1</v>
      </c>
      <c r="AS87" s="92">
        <v>0</v>
      </c>
      <c r="AT87" s="92">
        <v>0</v>
      </c>
      <c r="AU87" s="92">
        <v>0</v>
      </c>
      <c r="AV87" s="92">
        <v>0</v>
      </c>
      <c r="AW87" s="92">
        <v>0</v>
      </c>
      <c r="AX87" s="92">
        <v>0</v>
      </c>
      <c r="AY87" s="92">
        <v>0</v>
      </c>
      <c r="AZ87" s="92">
        <v>0</v>
      </c>
      <c r="BA87" s="92">
        <v>0</v>
      </c>
      <c r="BB87" s="92">
        <v>0</v>
      </c>
      <c r="BC87" s="92"/>
      <c r="BD87" s="92"/>
      <c r="BE87" s="92"/>
      <c r="BF87" s="92"/>
      <c r="BG87" s="92"/>
      <c r="BH87" s="92"/>
      <c r="BI87" s="93"/>
      <c r="BJ87" s="7"/>
      <c r="BK87" s="7"/>
      <c r="BM87" s="90">
        <v>8</v>
      </c>
      <c r="BN87" s="91"/>
      <c r="BO87" s="92"/>
      <c r="BP87" s="92"/>
      <c r="BQ87" s="92"/>
      <c r="BR87" s="92"/>
      <c r="BS87" s="92"/>
      <c r="BT87" s="92"/>
      <c r="BU87" s="92"/>
      <c r="BV87" s="92">
        <v>0</v>
      </c>
      <c r="BW87" s="92">
        <v>0</v>
      </c>
      <c r="BX87" s="92">
        <v>0</v>
      </c>
      <c r="BY87" s="92">
        <v>0</v>
      </c>
      <c r="BZ87" s="92">
        <v>0</v>
      </c>
      <c r="CA87" s="92">
        <v>0</v>
      </c>
      <c r="CB87" s="92">
        <v>0</v>
      </c>
      <c r="CC87" s="92">
        <v>0</v>
      </c>
      <c r="CD87" s="92">
        <v>0</v>
      </c>
      <c r="CE87" s="92">
        <v>0</v>
      </c>
      <c r="CF87" s="92">
        <v>0</v>
      </c>
      <c r="CG87" s="92">
        <v>0</v>
      </c>
      <c r="CH87" s="92">
        <v>0</v>
      </c>
      <c r="CI87" s="92"/>
      <c r="CJ87" s="92"/>
      <c r="CK87" s="92"/>
      <c r="CL87" s="92"/>
      <c r="CM87" s="92"/>
      <c r="CN87" s="92"/>
      <c r="CO87" s="93"/>
      <c r="CP87" s="7"/>
      <c r="CQ87" s="7"/>
      <c r="CS87" s="90">
        <v>8</v>
      </c>
      <c r="CT87" s="91"/>
      <c r="CU87" s="92"/>
      <c r="CV87" s="92"/>
      <c r="CW87" s="92"/>
      <c r="CX87" s="92"/>
      <c r="CY87" s="92"/>
      <c r="CZ87" s="92"/>
      <c r="DA87" s="92"/>
      <c r="DB87" s="92">
        <v>1</v>
      </c>
      <c r="DC87" s="92">
        <v>0</v>
      </c>
      <c r="DD87" s="92">
        <v>0</v>
      </c>
      <c r="DE87" s="92">
        <v>0</v>
      </c>
      <c r="DF87" s="92">
        <v>0</v>
      </c>
      <c r="DG87" s="92">
        <v>0</v>
      </c>
      <c r="DH87" s="92">
        <v>0</v>
      </c>
      <c r="DI87" s="92">
        <v>0</v>
      </c>
      <c r="DJ87" s="92">
        <v>0</v>
      </c>
      <c r="DK87" s="92">
        <v>0</v>
      </c>
      <c r="DL87" s="92">
        <v>0</v>
      </c>
      <c r="DM87" s="92">
        <v>0</v>
      </c>
      <c r="DN87" s="92">
        <v>0</v>
      </c>
      <c r="DO87" s="92"/>
      <c r="DP87" s="92"/>
      <c r="DQ87" s="92"/>
      <c r="DR87" s="92"/>
      <c r="DS87" s="92"/>
      <c r="DT87" s="92"/>
      <c r="DU87" s="93"/>
      <c r="DV87" s="7"/>
      <c r="DW87" s="7"/>
    </row>
    <row r="88" spans="1:127">
      <c r="A88" s="90">
        <v>9</v>
      </c>
      <c r="B88" s="91"/>
      <c r="C88" s="92"/>
      <c r="D88" s="92"/>
      <c r="E88" s="92"/>
      <c r="F88" s="92"/>
      <c r="G88" s="92"/>
      <c r="H88" s="92"/>
      <c r="I88" s="92"/>
      <c r="J88" s="92"/>
      <c r="K88" s="92">
        <v>0</v>
      </c>
      <c r="L88" s="92">
        <v>0</v>
      </c>
      <c r="M88" s="92">
        <v>0</v>
      </c>
      <c r="N88" s="92">
        <v>0</v>
      </c>
      <c r="O88" s="92">
        <v>0</v>
      </c>
      <c r="P88" s="92">
        <v>0</v>
      </c>
      <c r="Q88" s="92">
        <v>0</v>
      </c>
      <c r="R88" s="92">
        <v>0</v>
      </c>
      <c r="S88" s="92">
        <v>0</v>
      </c>
      <c r="T88" s="92">
        <v>0</v>
      </c>
      <c r="U88" s="92">
        <v>0</v>
      </c>
      <c r="V88" s="92">
        <v>0</v>
      </c>
      <c r="W88" s="92">
        <v>0</v>
      </c>
      <c r="X88" s="92"/>
      <c r="Y88" s="92"/>
      <c r="Z88" s="92"/>
      <c r="AA88" s="92"/>
      <c r="AB88" s="92"/>
      <c r="AC88" s="93"/>
      <c r="AD88" s="7"/>
      <c r="AE88" s="7"/>
      <c r="AG88" s="90">
        <v>9</v>
      </c>
      <c r="AH88" s="91"/>
      <c r="AI88" s="92"/>
      <c r="AJ88" s="92"/>
      <c r="AK88" s="92"/>
      <c r="AL88" s="92"/>
      <c r="AM88" s="92"/>
      <c r="AN88" s="92"/>
      <c r="AO88" s="92"/>
      <c r="AP88" s="92"/>
      <c r="AQ88" s="92">
        <v>0</v>
      </c>
      <c r="AR88" s="92">
        <v>1</v>
      </c>
      <c r="AS88" s="92">
        <v>0</v>
      </c>
      <c r="AT88" s="92">
        <v>0</v>
      </c>
      <c r="AU88" s="92">
        <v>0</v>
      </c>
      <c r="AV88" s="92">
        <v>0</v>
      </c>
      <c r="AW88" s="92">
        <v>0</v>
      </c>
      <c r="AX88" s="92">
        <v>0</v>
      </c>
      <c r="AY88" s="92">
        <v>0</v>
      </c>
      <c r="AZ88" s="92">
        <v>0</v>
      </c>
      <c r="BA88" s="92">
        <v>0</v>
      </c>
      <c r="BB88" s="92">
        <v>0</v>
      </c>
      <c r="BC88" s="92">
        <v>0</v>
      </c>
      <c r="BD88" s="92"/>
      <c r="BE88" s="92"/>
      <c r="BF88" s="92"/>
      <c r="BG88" s="92"/>
      <c r="BH88" s="92"/>
      <c r="BI88" s="93"/>
      <c r="BJ88" s="7"/>
      <c r="BK88" s="7"/>
      <c r="BM88" s="90">
        <v>9</v>
      </c>
      <c r="BN88" s="91"/>
      <c r="BO88" s="92"/>
      <c r="BP88" s="92"/>
      <c r="BQ88" s="92"/>
      <c r="BR88" s="92"/>
      <c r="BS88" s="92"/>
      <c r="BT88" s="92"/>
      <c r="BU88" s="92"/>
      <c r="BV88" s="92"/>
      <c r="BW88" s="92">
        <v>0</v>
      </c>
      <c r="BX88" s="92">
        <v>0</v>
      </c>
      <c r="BY88" s="92">
        <v>0</v>
      </c>
      <c r="BZ88" s="92">
        <v>0</v>
      </c>
      <c r="CA88" s="92">
        <v>0</v>
      </c>
      <c r="CB88" s="92">
        <v>0</v>
      </c>
      <c r="CC88" s="92">
        <v>0</v>
      </c>
      <c r="CD88" s="92">
        <v>0</v>
      </c>
      <c r="CE88" s="92">
        <v>0</v>
      </c>
      <c r="CF88" s="92">
        <v>0</v>
      </c>
      <c r="CG88" s="92">
        <v>0</v>
      </c>
      <c r="CH88" s="92">
        <v>0</v>
      </c>
      <c r="CI88" s="92">
        <v>0</v>
      </c>
      <c r="CJ88" s="92"/>
      <c r="CK88" s="92"/>
      <c r="CL88" s="92"/>
      <c r="CM88" s="92"/>
      <c r="CN88" s="92"/>
      <c r="CO88" s="93"/>
      <c r="CP88" s="7"/>
      <c r="CQ88" s="7"/>
      <c r="CS88" s="90">
        <v>9</v>
      </c>
      <c r="CT88" s="91"/>
      <c r="CU88" s="92"/>
      <c r="CV88" s="92"/>
      <c r="CW88" s="92"/>
      <c r="CX88" s="92"/>
      <c r="CY88" s="92"/>
      <c r="CZ88" s="92"/>
      <c r="DA88" s="92"/>
      <c r="DB88" s="92"/>
      <c r="DC88" s="92">
        <v>0</v>
      </c>
      <c r="DD88" s="92">
        <v>0</v>
      </c>
      <c r="DE88" s="92">
        <v>0</v>
      </c>
      <c r="DF88" s="92">
        <v>0</v>
      </c>
      <c r="DG88" s="92">
        <v>0</v>
      </c>
      <c r="DH88" s="92">
        <v>0</v>
      </c>
      <c r="DI88" s="92">
        <v>0</v>
      </c>
      <c r="DJ88" s="92">
        <v>0</v>
      </c>
      <c r="DK88" s="92">
        <v>0</v>
      </c>
      <c r="DL88" s="92">
        <v>0</v>
      </c>
      <c r="DM88" s="92">
        <v>0</v>
      </c>
      <c r="DN88" s="92">
        <v>0</v>
      </c>
      <c r="DO88" s="92">
        <v>0</v>
      </c>
      <c r="DP88" s="92"/>
      <c r="DQ88" s="92"/>
      <c r="DR88" s="92"/>
      <c r="DS88" s="92"/>
      <c r="DT88" s="92"/>
      <c r="DU88" s="93"/>
      <c r="DV88" s="7"/>
      <c r="DW88" s="7"/>
    </row>
    <row r="89" spans="1:127">
      <c r="A89" s="90">
        <v>10</v>
      </c>
      <c r="B89" s="91"/>
      <c r="C89" s="92"/>
      <c r="D89" s="92"/>
      <c r="E89" s="92"/>
      <c r="F89" s="92"/>
      <c r="G89" s="92"/>
      <c r="H89" s="92"/>
      <c r="I89" s="92"/>
      <c r="J89" s="92"/>
      <c r="K89" s="92"/>
      <c r="L89" s="92">
        <v>0</v>
      </c>
      <c r="M89" s="92">
        <v>0</v>
      </c>
      <c r="N89" s="92">
        <v>0</v>
      </c>
      <c r="O89" s="92">
        <v>0</v>
      </c>
      <c r="P89" s="92">
        <v>0</v>
      </c>
      <c r="Q89" s="92">
        <v>0</v>
      </c>
      <c r="R89" s="92">
        <v>0</v>
      </c>
      <c r="S89" s="92">
        <v>0</v>
      </c>
      <c r="T89" s="92">
        <v>0</v>
      </c>
      <c r="U89" s="92">
        <v>0</v>
      </c>
      <c r="V89" s="92">
        <v>0</v>
      </c>
      <c r="W89" s="92">
        <v>0</v>
      </c>
      <c r="X89" s="92">
        <v>0</v>
      </c>
      <c r="Y89" s="92"/>
      <c r="Z89" s="92"/>
      <c r="AA89" s="92"/>
      <c r="AB89" s="92"/>
      <c r="AC89" s="93"/>
      <c r="AD89" s="7"/>
      <c r="AE89" s="7"/>
      <c r="AG89" s="90">
        <v>10</v>
      </c>
      <c r="AH89" s="91"/>
      <c r="AI89" s="92"/>
      <c r="AJ89" s="92"/>
      <c r="AK89" s="92"/>
      <c r="AL89" s="92"/>
      <c r="AM89" s="92"/>
      <c r="AN89" s="92"/>
      <c r="AO89" s="92"/>
      <c r="AP89" s="92"/>
      <c r="AQ89" s="92"/>
      <c r="AR89" s="92">
        <v>1</v>
      </c>
      <c r="AS89" s="92">
        <v>0</v>
      </c>
      <c r="AT89" s="92">
        <v>0</v>
      </c>
      <c r="AU89" s="92">
        <v>0</v>
      </c>
      <c r="AV89" s="92">
        <v>0</v>
      </c>
      <c r="AW89" s="92">
        <v>0</v>
      </c>
      <c r="AX89" s="92">
        <v>0</v>
      </c>
      <c r="AY89" s="92">
        <v>0</v>
      </c>
      <c r="AZ89" s="92">
        <v>0</v>
      </c>
      <c r="BA89" s="92">
        <v>0</v>
      </c>
      <c r="BB89" s="92">
        <v>0</v>
      </c>
      <c r="BC89" s="92">
        <v>0</v>
      </c>
      <c r="BD89" s="92">
        <v>0</v>
      </c>
      <c r="BE89" s="92"/>
      <c r="BF89" s="92"/>
      <c r="BG89" s="92"/>
      <c r="BH89" s="92"/>
      <c r="BI89" s="93"/>
      <c r="BJ89" s="7"/>
      <c r="BK89" s="7"/>
      <c r="BM89" s="90">
        <v>10</v>
      </c>
      <c r="BN89" s="91"/>
      <c r="BO89" s="92"/>
      <c r="BP89" s="92"/>
      <c r="BQ89" s="92"/>
      <c r="BR89" s="92"/>
      <c r="BS89" s="92"/>
      <c r="BT89" s="92"/>
      <c r="BU89" s="92"/>
      <c r="BV89" s="92"/>
      <c r="BW89" s="92"/>
      <c r="BX89" s="92">
        <v>0</v>
      </c>
      <c r="BY89" s="92">
        <v>0</v>
      </c>
      <c r="BZ89" s="92">
        <v>0</v>
      </c>
      <c r="CA89" s="92">
        <v>0</v>
      </c>
      <c r="CB89" s="92">
        <v>0</v>
      </c>
      <c r="CC89" s="92">
        <v>0</v>
      </c>
      <c r="CD89" s="92">
        <v>0</v>
      </c>
      <c r="CE89" s="92">
        <v>0</v>
      </c>
      <c r="CF89" s="92">
        <v>0</v>
      </c>
      <c r="CG89" s="92">
        <v>0</v>
      </c>
      <c r="CH89" s="92">
        <v>0</v>
      </c>
      <c r="CI89" s="92">
        <v>0</v>
      </c>
      <c r="CJ89" s="92">
        <v>0</v>
      </c>
      <c r="CK89" s="92"/>
      <c r="CL89" s="92"/>
      <c r="CM89" s="92"/>
      <c r="CN89" s="92"/>
      <c r="CO89" s="93"/>
      <c r="CP89" s="7"/>
      <c r="CQ89" s="7"/>
      <c r="CS89" s="90">
        <v>10</v>
      </c>
      <c r="CT89" s="91"/>
      <c r="CU89" s="92"/>
      <c r="CV89" s="92"/>
      <c r="CW89" s="92"/>
      <c r="CX89" s="92"/>
      <c r="CY89" s="92"/>
      <c r="CZ89" s="92"/>
      <c r="DA89" s="92"/>
      <c r="DB89" s="92"/>
      <c r="DC89" s="92"/>
      <c r="DD89" s="92">
        <v>0</v>
      </c>
      <c r="DE89" s="92">
        <v>0</v>
      </c>
      <c r="DF89" s="92">
        <v>0</v>
      </c>
      <c r="DG89" s="92">
        <v>0</v>
      </c>
      <c r="DH89" s="92">
        <v>0</v>
      </c>
      <c r="DI89" s="92">
        <v>0</v>
      </c>
      <c r="DJ89" s="92">
        <v>0</v>
      </c>
      <c r="DK89" s="92">
        <v>0</v>
      </c>
      <c r="DL89" s="92">
        <v>0</v>
      </c>
      <c r="DM89" s="92">
        <v>0</v>
      </c>
      <c r="DN89" s="92">
        <v>0</v>
      </c>
      <c r="DO89" s="92">
        <v>0</v>
      </c>
      <c r="DP89" s="92">
        <v>0</v>
      </c>
      <c r="DQ89" s="92"/>
      <c r="DR89" s="92"/>
      <c r="DS89" s="92"/>
      <c r="DT89" s="92"/>
      <c r="DU89" s="93"/>
      <c r="DV89" s="7"/>
      <c r="DW89" s="7"/>
    </row>
    <row r="90" spans="1:127">
      <c r="A90" s="90">
        <v>11</v>
      </c>
      <c r="B90" s="91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>
        <v>0</v>
      </c>
      <c r="N90" s="92">
        <v>0</v>
      </c>
      <c r="O90" s="92">
        <v>0</v>
      </c>
      <c r="P90" s="92">
        <v>0</v>
      </c>
      <c r="Q90" s="92">
        <v>0</v>
      </c>
      <c r="R90" s="92">
        <v>0</v>
      </c>
      <c r="S90" s="92">
        <v>0</v>
      </c>
      <c r="T90" s="92">
        <v>0</v>
      </c>
      <c r="U90" s="92">
        <v>0</v>
      </c>
      <c r="V90" s="92">
        <v>0</v>
      </c>
      <c r="W90" s="92">
        <v>0</v>
      </c>
      <c r="X90" s="92">
        <v>0</v>
      </c>
      <c r="Y90" s="92">
        <v>0</v>
      </c>
      <c r="Z90" s="92"/>
      <c r="AA90" s="92"/>
      <c r="AB90" s="92"/>
      <c r="AC90" s="93"/>
      <c r="AD90" s="7"/>
      <c r="AE90" s="7"/>
      <c r="AG90" s="90">
        <v>11</v>
      </c>
      <c r="AH90" s="91"/>
      <c r="AI90" s="92"/>
      <c r="AJ90" s="92"/>
      <c r="AK90" s="92"/>
      <c r="AL90" s="92"/>
      <c r="AM90" s="92"/>
      <c r="AN90" s="92"/>
      <c r="AO90" s="92"/>
      <c r="AP90" s="92"/>
      <c r="AQ90" s="92"/>
      <c r="AR90" s="92"/>
      <c r="AS90" s="92">
        <v>0</v>
      </c>
      <c r="AT90" s="92">
        <v>0</v>
      </c>
      <c r="AU90" s="92">
        <v>0</v>
      </c>
      <c r="AV90" s="92">
        <v>0</v>
      </c>
      <c r="AW90" s="92">
        <v>0</v>
      </c>
      <c r="AX90" s="92">
        <v>0</v>
      </c>
      <c r="AY90" s="92">
        <v>0</v>
      </c>
      <c r="AZ90" s="92">
        <v>0</v>
      </c>
      <c r="BA90" s="92">
        <v>0</v>
      </c>
      <c r="BB90" s="92">
        <v>0</v>
      </c>
      <c r="BC90" s="92">
        <v>0</v>
      </c>
      <c r="BD90" s="92">
        <v>0</v>
      </c>
      <c r="BE90" s="92">
        <v>0</v>
      </c>
      <c r="BF90" s="92"/>
      <c r="BG90" s="92"/>
      <c r="BH90" s="92"/>
      <c r="BI90" s="93"/>
      <c r="BJ90" s="7"/>
      <c r="BK90" s="7"/>
      <c r="BM90" s="90">
        <v>11</v>
      </c>
      <c r="BN90" s="91"/>
      <c r="BO90" s="92"/>
      <c r="BP90" s="92"/>
      <c r="BQ90" s="92"/>
      <c r="BR90" s="92"/>
      <c r="BS90" s="92"/>
      <c r="BT90" s="92"/>
      <c r="BU90" s="92"/>
      <c r="BV90" s="92"/>
      <c r="BW90" s="92"/>
      <c r="BX90" s="92"/>
      <c r="BY90" s="92">
        <v>0</v>
      </c>
      <c r="BZ90" s="92">
        <v>0</v>
      </c>
      <c r="CA90" s="92">
        <v>0</v>
      </c>
      <c r="CB90" s="92">
        <v>0</v>
      </c>
      <c r="CC90" s="92">
        <v>0</v>
      </c>
      <c r="CD90" s="92">
        <v>0</v>
      </c>
      <c r="CE90" s="92">
        <v>0</v>
      </c>
      <c r="CF90" s="92">
        <v>0</v>
      </c>
      <c r="CG90" s="92">
        <v>0</v>
      </c>
      <c r="CH90" s="92">
        <v>0</v>
      </c>
      <c r="CI90" s="92">
        <v>0</v>
      </c>
      <c r="CJ90" s="92">
        <v>0</v>
      </c>
      <c r="CK90" s="92">
        <v>0</v>
      </c>
      <c r="CL90" s="92"/>
      <c r="CM90" s="92"/>
      <c r="CN90" s="92"/>
      <c r="CO90" s="93"/>
      <c r="CP90" s="7"/>
      <c r="CQ90" s="7"/>
      <c r="CS90" s="90">
        <v>11</v>
      </c>
      <c r="CT90" s="91"/>
      <c r="CU90" s="92"/>
      <c r="CV90" s="92"/>
      <c r="CW90" s="92"/>
      <c r="CX90" s="92"/>
      <c r="CY90" s="92"/>
      <c r="CZ90" s="92"/>
      <c r="DA90" s="92"/>
      <c r="DB90" s="92"/>
      <c r="DC90" s="92"/>
      <c r="DD90" s="92"/>
      <c r="DE90" s="92">
        <v>0</v>
      </c>
      <c r="DF90" s="92">
        <v>0</v>
      </c>
      <c r="DG90" s="92">
        <v>0</v>
      </c>
      <c r="DH90" s="92">
        <v>0</v>
      </c>
      <c r="DI90" s="92">
        <v>0</v>
      </c>
      <c r="DJ90" s="92">
        <v>0</v>
      </c>
      <c r="DK90" s="92">
        <v>0</v>
      </c>
      <c r="DL90" s="92">
        <v>0</v>
      </c>
      <c r="DM90" s="92">
        <v>0</v>
      </c>
      <c r="DN90" s="92">
        <v>0</v>
      </c>
      <c r="DO90" s="92">
        <v>0</v>
      </c>
      <c r="DP90" s="92">
        <v>0</v>
      </c>
      <c r="DQ90" s="92">
        <v>0</v>
      </c>
      <c r="DR90" s="92"/>
      <c r="DS90" s="92"/>
      <c r="DT90" s="92"/>
      <c r="DU90" s="93"/>
      <c r="DV90" s="7"/>
      <c r="DW90" s="7"/>
    </row>
    <row r="91" spans="1:127">
      <c r="A91" s="90">
        <v>12</v>
      </c>
      <c r="B91" s="91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>
        <v>0</v>
      </c>
      <c r="O91" s="92">
        <v>0</v>
      </c>
      <c r="P91" s="92">
        <v>0</v>
      </c>
      <c r="Q91" s="92">
        <v>0</v>
      </c>
      <c r="R91" s="92">
        <v>0</v>
      </c>
      <c r="S91" s="92">
        <v>0</v>
      </c>
      <c r="T91" s="92">
        <v>0</v>
      </c>
      <c r="U91" s="92">
        <v>0</v>
      </c>
      <c r="V91" s="92">
        <v>0</v>
      </c>
      <c r="W91" s="92">
        <v>0</v>
      </c>
      <c r="X91" s="92">
        <v>0</v>
      </c>
      <c r="Y91" s="92">
        <v>0</v>
      </c>
      <c r="Z91" s="92">
        <v>0</v>
      </c>
      <c r="AA91" s="92"/>
      <c r="AB91" s="92"/>
      <c r="AC91" s="93"/>
      <c r="AD91" s="7"/>
      <c r="AG91" s="90">
        <v>12</v>
      </c>
      <c r="AH91" s="91"/>
      <c r="AI91" s="92"/>
      <c r="AJ91" s="92"/>
      <c r="AK91" s="92"/>
      <c r="AL91" s="92"/>
      <c r="AM91" s="92"/>
      <c r="AN91" s="92"/>
      <c r="AO91" s="92"/>
      <c r="AP91" s="92"/>
      <c r="AQ91" s="92"/>
      <c r="AR91" s="92"/>
      <c r="AS91" s="92"/>
      <c r="AT91" s="92">
        <v>0</v>
      </c>
      <c r="AU91" s="92">
        <v>0</v>
      </c>
      <c r="AV91" s="92">
        <v>0</v>
      </c>
      <c r="AW91" s="92">
        <v>0</v>
      </c>
      <c r="AX91" s="92">
        <v>0</v>
      </c>
      <c r="AY91" s="92">
        <v>0</v>
      </c>
      <c r="AZ91" s="92">
        <v>0</v>
      </c>
      <c r="BA91" s="92">
        <v>0</v>
      </c>
      <c r="BB91" s="92">
        <v>0</v>
      </c>
      <c r="BC91" s="92">
        <v>0</v>
      </c>
      <c r="BD91" s="92">
        <v>0</v>
      </c>
      <c r="BE91" s="92">
        <v>0</v>
      </c>
      <c r="BF91" s="92">
        <v>0</v>
      </c>
      <c r="BG91" s="92"/>
      <c r="BH91" s="92"/>
      <c r="BI91" s="93"/>
      <c r="BJ91" s="7"/>
      <c r="BM91" s="90">
        <v>12</v>
      </c>
      <c r="BN91" s="91"/>
      <c r="BO91" s="92"/>
      <c r="BP91" s="92"/>
      <c r="BQ91" s="92"/>
      <c r="BR91" s="92"/>
      <c r="BS91" s="92"/>
      <c r="BT91" s="92"/>
      <c r="BU91" s="92"/>
      <c r="BV91" s="92"/>
      <c r="BW91" s="92"/>
      <c r="BX91" s="92"/>
      <c r="BY91" s="92"/>
      <c r="BZ91" s="92">
        <v>0</v>
      </c>
      <c r="CA91" s="92">
        <v>0</v>
      </c>
      <c r="CB91" s="92">
        <v>0</v>
      </c>
      <c r="CC91" s="92">
        <v>0</v>
      </c>
      <c r="CD91" s="92">
        <v>0</v>
      </c>
      <c r="CE91" s="92">
        <v>0</v>
      </c>
      <c r="CF91" s="92">
        <v>0</v>
      </c>
      <c r="CG91" s="92">
        <v>0</v>
      </c>
      <c r="CH91" s="92">
        <v>0</v>
      </c>
      <c r="CI91" s="92">
        <v>0</v>
      </c>
      <c r="CJ91" s="92">
        <v>0</v>
      </c>
      <c r="CK91" s="92">
        <v>0</v>
      </c>
      <c r="CL91" s="92">
        <v>0</v>
      </c>
      <c r="CM91" s="92"/>
      <c r="CN91" s="92"/>
      <c r="CO91" s="93"/>
      <c r="CP91" s="7"/>
      <c r="CS91" s="90">
        <v>12</v>
      </c>
      <c r="CT91" s="91"/>
      <c r="CU91" s="92"/>
      <c r="CV91" s="92"/>
      <c r="CW91" s="92"/>
      <c r="CX91" s="92"/>
      <c r="CY91" s="92"/>
      <c r="CZ91" s="92"/>
      <c r="DA91" s="92"/>
      <c r="DB91" s="92"/>
      <c r="DC91" s="92"/>
      <c r="DD91" s="92"/>
      <c r="DE91" s="92"/>
      <c r="DF91" s="92">
        <v>0</v>
      </c>
      <c r="DG91" s="92">
        <v>0</v>
      </c>
      <c r="DH91" s="92">
        <v>0</v>
      </c>
      <c r="DI91" s="92">
        <v>0</v>
      </c>
      <c r="DJ91" s="92">
        <v>0</v>
      </c>
      <c r="DK91" s="92">
        <v>0</v>
      </c>
      <c r="DL91" s="92">
        <v>0</v>
      </c>
      <c r="DM91" s="92">
        <v>0</v>
      </c>
      <c r="DN91" s="92">
        <v>0</v>
      </c>
      <c r="DO91" s="92">
        <v>0</v>
      </c>
      <c r="DP91" s="92">
        <v>0</v>
      </c>
      <c r="DQ91" s="92">
        <v>0</v>
      </c>
      <c r="DR91" s="92">
        <v>0</v>
      </c>
      <c r="DS91" s="92"/>
      <c r="DT91" s="92"/>
      <c r="DU91" s="93"/>
      <c r="DV91" s="7"/>
    </row>
    <row r="92" spans="1:127" ht="26.25">
      <c r="A92" s="90">
        <v>13</v>
      </c>
      <c r="B92" s="91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>
        <v>0</v>
      </c>
      <c r="P92" s="92">
        <v>0</v>
      </c>
      <c r="Q92" s="92">
        <v>0</v>
      </c>
      <c r="R92" s="92">
        <v>0</v>
      </c>
      <c r="S92" s="92">
        <v>0</v>
      </c>
      <c r="T92" s="92">
        <v>0</v>
      </c>
      <c r="U92" s="92">
        <v>0</v>
      </c>
      <c r="V92" s="92">
        <v>0</v>
      </c>
      <c r="W92" s="92">
        <v>0</v>
      </c>
      <c r="X92" s="92">
        <v>0</v>
      </c>
      <c r="Y92" s="92">
        <v>0</v>
      </c>
      <c r="Z92" s="92">
        <v>0</v>
      </c>
      <c r="AA92" s="92">
        <v>0</v>
      </c>
      <c r="AB92" s="92"/>
      <c r="AC92" s="93"/>
      <c r="AD92" s="7"/>
      <c r="AE92" s="9"/>
      <c r="AG92" s="90">
        <v>13</v>
      </c>
      <c r="AH92" s="91"/>
      <c r="AI92" s="92"/>
      <c r="AJ92" s="92"/>
      <c r="AK92" s="92"/>
      <c r="AL92" s="92"/>
      <c r="AM92" s="92"/>
      <c r="AN92" s="92"/>
      <c r="AO92" s="92"/>
      <c r="AP92" s="92"/>
      <c r="AQ92" s="92"/>
      <c r="AR92" s="92"/>
      <c r="AS92" s="92"/>
      <c r="AT92" s="92"/>
      <c r="AU92" s="92">
        <v>0</v>
      </c>
      <c r="AV92" s="92">
        <v>0</v>
      </c>
      <c r="AW92" s="92">
        <v>0</v>
      </c>
      <c r="AX92" s="92">
        <v>0</v>
      </c>
      <c r="AY92" s="92">
        <v>0</v>
      </c>
      <c r="AZ92" s="92">
        <v>0</v>
      </c>
      <c r="BA92" s="92">
        <v>0</v>
      </c>
      <c r="BB92" s="92">
        <v>0</v>
      </c>
      <c r="BC92" s="92">
        <v>0</v>
      </c>
      <c r="BD92" s="92">
        <v>0</v>
      </c>
      <c r="BE92" s="92">
        <v>0</v>
      </c>
      <c r="BF92" s="92">
        <v>0</v>
      </c>
      <c r="BG92" s="92">
        <v>0</v>
      </c>
      <c r="BH92" s="92"/>
      <c r="BI92" s="93"/>
      <c r="BJ92" s="7"/>
      <c r="BK92" s="9"/>
      <c r="BM92" s="90">
        <v>13</v>
      </c>
      <c r="BN92" s="91"/>
      <c r="BO92" s="92"/>
      <c r="BP92" s="92"/>
      <c r="BQ92" s="92"/>
      <c r="BR92" s="92"/>
      <c r="BS92" s="92"/>
      <c r="BT92" s="92"/>
      <c r="BU92" s="92"/>
      <c r="BV92" s="92"/>
      <c r="BW92" s="92"/>
      <c r="BX92" s="92"/>
      <c r="BY92" s="92"/>
      <c r="BZ92" s="92"/>
      <c r="CA92" s="92">
        <v>0</v>
      </c>
      <c r="CB92" s="92">
        <v>0</v>
      </c>
      <c r="CC92" s="92">
        <v>0</v>
      </c>
      <c r="CD92" s="92">
        <v>0</v>
      </c>
      <c r="CE92" s="92">
        <v>0</v>
      </c>
      <c r="CF92" s="92">
        <v>0</v>
      </c>
      <c r="CG92" s="92">
        <v>0</v>
      </c>
      <c r="CH92" s="92">
        <v>0</v>
      </c>
      <c r="CI92" s="92">
        <v>0</v>
      </c>
      <c r="CJ92" s="92">
        <v>0</v>
      </c>
      <c r="CK92" s="92">
        <v>0</v>
      </c>
      <c r="CL92" s="92">
        <v>0</v>
      </c>
      <c r="CM92" s="92">
        <v>0</v>
      </c>
      <c r="CN92" s="92"/>
      <c r="CO92" s="93"/>
      <c r="CP92" s="7"/>
      <c r="CQ92" s="9"/>
      <c r="CS92" s="90">
        <v>13</v>
      </c>
      <c r="CT92" s="91"/>
      <c r="CU92" s="92"/>
      <c r="CV92" s="92"/>
      <c r="CW92" s="92"/>
      <c r="CX92" s="92"/>
      <c r="CY92" s="92"/>
      <c r="CZ92" s="92"/>
      <c r="DA92" s="92"/>
      <c r="DB92" s="92"/>
      <c r="DC92" s="92"/>
      <c r="DD92" s="92"/>
      <c r="DE92" s="92"/>
      <c r="DF92" s="92"/>
      <c r="DG92" s="92">
        <v>0</v>
      </c>
      <c r="DH92" s="92">
        <v>0</v>
      </c>
      <c r="DI92" s="92">
        <v>0</v>
      </c>
      <c r="DJ92" s="92">
        <v>0</v>
      </c>
      <c r="DK92" s="92">
        <v>0</v>
      </c>
      <c r="DL92" s="92">
        <v>0</v>
      </c>
      <c r="DM92" s="92">
        <v>0</v>
      </c>
      <c r="DN92" s="92">
        <v>0</v>
      </c>
      <c r="DO92" s="92">
        <v>0</v>
      </c>
      <c r="DP92" s="92">
        <v>0</v>
      </c>
      <c r="DQ92" s="92">
        <v>0</v>
      </c>
      <c r="DR92" s="92">
        <v>0</v>
      </c>
      <c r="DS92" s="92">
        <v>0</v>
      </c>
      <c r="DT92" s="92"/>
      <c r="DU92" s="93"/>
      <c r="DV92" s="7"/>
      <c r="DW92" s="9"/>
    </row>
    <row r="93" spans="1:127">
      <c r="A93" s="90">
        <v>14</v>
      </c>
      <c r="B93" s="91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>
        <v>0</v>
      </c>
      <c r="Q93" s="92">
        <v>0</v>
      </c>
      <c r="R93" s="92">
        <v>0</v>
      </c>
      <c r="S93" s="92">
        <v>0</v>
      </c>
      <c r="T93" s="92">
        <v>0</v>
      </c>
      <c r="U93" s="92">
        <v>0</v>
      </c>
      <c r="V93" s="92">
        <v>0</v>
      </c>
      <c r="W93" s="92">
        <v>0</v>
      </c>
      <c r="X93" s="92">
        <v>0</v>
      </c>
      <c r="Y93" s="92">
        <v>0</v>
      </c>
      <c r="Z93" s="92">
        <v>0</v>
      </c>
      <c r="AA93" s="92">
        <v>0</v>
      </c>
      <c r="AB93" s="92">
        <v>0</v>
      </c>
      <c r="AC93" s="93"/>
      <c r="AD93" s="7"/>
      <c r="AE93" s="4"/>
      <c r="AG93" s="90">
        <v>14</v>
      </c>
      <c r="AH93" s="91"/>
      <c r="AI93" s="92"/>
      <c r="AJ93" s="92"/>
      <c r="AK93" s="92"/>
      <c r="AL93" s="92"/>
      <c r="AM93" s="92"/>
      <c r="AN93" s="92"/>
      <c r="AO93" s="92"/>
      <c r="AP93" s="92"/>
      <c r="AQ93" s="92"/>
      <c r="AR93" s="92"/>
      <c r="AS93" s="92"/>
      <c r="AT93" s="92"/>
      <c r="AU93" s="92"/>
      <c r="AV93" s="92">
        <v>0</v>
      </c>
      <c r="AW93" s="92">
        <v>0</v>
      </c>
      <c r="AX93" s="92">
        <v>0</v>
      </c>
      <c r="AY93" s="92">
        <v>0</v>
      </c>
      <c r="AZ93" s="92">
        <v>0</v>
      </c>
      <c r="BA93" s="92">
        <v>0</v>
      </c>
      <c r="BB93" s="92">
        <v>0</v>
      </c>
      <c r="BC93" s="92">
        <v>0</v>
      </c>
      <c r="BD93" s="92">
        <v>0</v>
      </c>
      <c r="BE93" s="92">
        <v>0</v>
      </c>
      <c r="BF93" s="92">
        <v>0</v>
      </c>
      <c r="BG93" s="92">
        <v>0</v>
      </c>
      <c r="BH93" s="92">
        <v>0</v>
      </c>
      <c r="BI93" s="93"/>
      <c r="BJ93" s="7"/>
      <c r="BK93" s="4"/>
      <c r="BM93" s="90">
        <v>14</v>
      </c>
      <c r="BN93" s="91"/>
      <c r="BO93" s="92"/>
      <c r="BP93" s="92"/>
      <c r="BQ93" s="92"/>
      <c r="BR93" s="92"/>
      <c r="BS93" s="92"/>
      <c r="BT93" s="92"/>
      <c r="BU93" s="92"/>
      <c r="BV93" s="92"/>
      <c r="BW93" s="92"/>
      <c r="BX93" s="92"/>
      <c r="BY93" s="92"/>
      <c r="BZ93" s="92"/>
      <c r="CA93" s="92"/>
      <c r="CB93" s="92">
        <v>0</v>
      </c>
      <c r="CC93" s="92">
        <v>0</v>
      </c>
      <c r="CD93" s="92">
        <v>0</v>
      </c>
      <c r="CE93" s="92">
        <v>0</v>
      </c>
      <c r="CF93" s="92">
        <v>0</v>
      </c>
      <c r="CG93" s="92">
        <v>0</v>
      </c>
      <c r="CH93" s="92">
        <v>0</v>
      </c>
      <c r="CI93" s="92">
        <v>0</v>
      </c>
      <c r="CJ93" s="92">
        <v>0</v>
      </c>
      <c r="CK93" s="92">
        <v>0</v>
      </c>
      <c r="CL93" s="92">
        <v>0</v>
      </c>
      <c r="CM93" s="92">
        <v>0</v>
      </c>
      <c r="CN93" s="92">
        <v>0</v>
      </c>
      <c r="CO93" s="93"/>
      <c r="CP93" s="7"/>
      <c r="CQ93" s="4"/>
      <c r="CS93" s="90">
        <v>14</v>
      </c>
      <c r="CT93" s="91"/>
      <c r="CU93" s="92"/>
      <c r="CV93" s="92"/>
      <c r="CW93" s="92"/>
      <c r="CX93" s="92"/>
      <c r="CY93" s="92"/>
      <c r="CZ93" s="92"/>
      <c r="DA93" s="92"/>
      <c r="DB93" s="92"/>
      <c r="DC93" s="92"/>
      <c r="DD93" s="92"/>
      <c r="DE93" s="92"/>
      <c r="DF93" s="92"/>
      <c r="DG93" s="92"/>
      <c r="DH93" s="92">
        <v>0</v>
      </c>
      <c r="DI93" s="92">
        <v>0</v>
      </c>
      <c r="DJ93" s="92">
        <v>0</v>
      </c>
      <c r="DK93" s="92">
        <v>0</v>
      </c>
      <c r="DL93" s="92">
        <v>0</v>
      </c>
      <c r="DM93" s="92">
        <v>0</v>
      </c>
      <c r="DN93" s="92">
        <v>0</v>
      </c>
      <c r="DO93" s="92">
        <v>0</v>
      </c>
      <c r="DP93" s="92">
        <v>0</v>
      </c>
      <c r="DQ93" s="92">
        <v>0</v>
      </c>
      <c r="DR93" s="92">
        <v>0</v>
      </c>
      <c r="DS93" s="92">
        <v>0</v>
      </c>
      <c r="DT93" s="92">
        <v>0</v>
      </c>
      <c r="DU93" s="93"/>
      <c r="DV93" s="7"/>
      <c r="DW93" s="4"/>
    </row>
    <row r="94" spans="1:127" ht="15.75" thickBot="1">
      <c r="A94" s="692">
        <v>15</v>
      </c>
      <c r="B94" s="693"/>
      <c r="C94" s="694"/>
      <c r="D94" s="694"/>
      <c r="E94" s="694"/>
      <c r="F94" s="694"/>
      <c r="G94" s="694"/>
      <c r="H94" s="694"/>
      <c r="I94" s="694"/>
      <c r="J94" s="694"/>
      <c r="K94" s="694"/>
      <c r="L94" s="694"/>
      <c r="M94" s="694"/>
      <c r="N94" s="694"/>
      <c r="O94" s="694"/>
      <c r="P94" s="694"/>
      <c r="Q94" s="694">
        <v>0</v>
      </c>
      <c r="R94" s="694">
        <v>0</v>
      </c>
      <c r="S94" s="694">
        <v>0</v>
      </c>
      <c r="T94" s="694">
        <v>0</v>
      </c>
      <c r="U94" s="694">
        <v>0</v>
      </c>
      <c r="V94" s="694">
        <v>0</v>
      </c>
      <c r="W94" s="694">
        <v>0</v>
      </c>
      <c r="X94" s="694">
        <v>0</v>
      </c>
      <c r="Y94" s="694">
        <v>0</v>
      </c>
      <c r="Z94" s="694">
        <v>0</v>
      </c>
      <c r="AA94" s="694">
        <v>0</v>
      </c>
      <c r="AB94" s="694">
        <v>0</v>
      </c>
      <c r="AC94" s="695">
        <v>0</v>
      </c>
      <c r="AD94" s="7"/>
      <c r="AE94" s="6"/>
      <c r="AG94" s="692">
        <v>15</v>
      </c>
      <c r="AH94" s="693"/>
      <c r="AI94" s="694"/>
      <c r="AJ94" s="694"/>
      <c r="AK94" s="694"/>
      <c r="AL94" s="694"/>
      <c r="AM94" s="694"/>
      <c r="AN94" s="694"/>
      <c r="AO94" s="694"/>
      <c r="AP94" s="694"/>
      <c r="AQ94" s="694"/>
      <c r="AR94" s="694"/>
      <c r="AS94" s="694"/>
      <c r="AT94" s="694"/>
      <c r="AU94" s="694"/>
      <c r="AV94" s="694"/>
      <c r="AW94" s="694">
        <v>0</v>
      </c>
      <c r="AX94" s="694">
        <v>0</v>
      </c>
      <c r="AY94" s="694">
        <v>0</v>
      </c>
      <c r="AZ94" s="694">
        <v>0</v>
      </c>
      <c r="BA94" s="694">
        <v>0</v>
      </c>
      <c r="BB94" s="694">
        <v>0</v>
      </c>
      <c r="BC94" s="694">
        <v>0</v>
      </c>
      <c r="BD94" s="694">
        <v>0</v>
      </c>
      <c r="BE94" s="694">
        <v>0</v>
      </c>
      <c r="BF94" s="694">
        <v>0</v>
      </c>
      <c r="BG94" s="694">
        <v>0</v>
      </c>
      <c r="BH94" s="694">
        <v>0</v>
      </c>
      <c r="BI94" s="695">
        <v>0</v>
      </c>
      <c r="BJ94" s="7"/>
      <c r="BK94" s="6"/>
      <c r="BM94" s="692">
        <v>15</v>
      </c>
      <c r="BN94" s="693"/>
      <c r="BO94" s="694"/>
      <c r="BP94" s="694"/>
      <c r="BQ94" s="694"/>
      <c r="BR94" s="694"/>
      <c r="BS94" s="694"/>
      <c r="BT94" s="694"/>
      <c r="BU94" s="694"/>
      <c r="BV94" s="694"/>
      <c r="BW94" s="694"/>
      <c r="BX94" s="694"/>
      <c r="BY94" s="694"/>
      <c r="BZ94" s="694"/>
      <c r="CA94" s="694"/>
      <c r="CB94" s="694"/>
      <c r="CC94" s="694">
        <v>0</v>
      </c>
      <c r="CD94" s="694">
        <v>0</v>
      </c>
      <c r="CE94" s="694">
        <v>0</v>
      </c>
      <c r="CF94" s="694">
        <v>0</v>
      </c>
      <c r="CG94" s="694">
        <v>0</v>
      </c>
      <c r="CH94" s="694">
        <v>0</v>
      </c>
      <c r="CI94" s="694">
        <v>0</v>
      </c>
      <c r="CJ94" s="694">
        <v>0</v>
      </c>
      <c r="CK94" s="694">
        <v>0</v>
      </c>
      <c r="CL94" s="694">
        <v>0</v>
      </c>
      <c r="CM94" s="694">
        <v>0</v>
      </c>
      <c r="CN94" s="694">
        <v>0</v>
      </c>
      <c r="CO94" s="695">
        <v>0</v>
      </c>
      <c r="CP94" s="7"/>
      <c r="CQ94" s="6"/>
      <c r="CS94" s="692">
        <v>15</v>
      </c>
      <c r="CT94" s="693"/>
      <c r="CU94" s="694"/>
      <c r="CV94" s="694"/>
      <c r="CW94" s="694"/>
      <c r="CX94" s="694"/>
      <c r="CY94" s="694"/>
      <c r="CZ94" s="694"/>
      <c r="DA94" s="694"/>
      <c r="DB94" s="694"/>
      <c r="DC94" s="694"/>
      <c r="DD94" s="694"/>
      <c r="DE94" s="694"/>
      <c r="DF94" s="694"/>
      <c r="DG94" s="694"/>
      <c r="DH94" s="694"/>
      <c r="DI94" s="694">
        <v>0</v>
      </c>
      <c r="DJ94" s="694">
        <v>0</v>
      </c>
      <c r="DK94" s="694">
        <v>0</v>
      </c>
      <c r="DL94" s="694">
        <v>0</v>
      </c>
      <c r="DM94" s="694">
        <v>0</v>
      </c>
      <c r="DN94" s="694">
        <v>0</v>
      </c>
      <c r="DO94" s="694">
        <v>0</v>
      </c>
      <c r="DP94" s="694">
        <v>0</v>
      </c>
      <c r="DQ94" s="694">
        <v>0</v>
      </c>
      <c r="DR94" s="694">
        <v>0</v>
      </c>
      <c r="DS94" s="694">
        <v>0</v>
      </c>
      <c r="DT94" s="694">
        <v>0</v>
      </c>
      <c r="DU94" s="695">
        <v>0</v>
      </c>
      <c r="DV94" s="7"/>
      <c r="DW94" s="6"/>
    </row>
    <row r="95" spans="1:127" ht="15.75" thickBot="1">
      <c r="AE95" s="6"/>
      <c r="BK95" s="6"/>
      <c r="CQ95" s="6"/>
      <c r="DW95" s="6"/>
    </row>
    <row r="96" spans="1:127" ht="26.25">
      <c r="A96" s="1731" t="s">
        <v>29</v>
      </c>
      <c r="B96" s="1732"/>
      <c r="C96" s="1732"/>
      <c r="D96" s="1732"/>
      <c r="E96" s="1732"/>
      <c r="F96" s="1732"/>
      <c r="G96" s="1732"/>
      <c r="H96" s="1732"/>
      <c r="I96" s="1732"/>
      <c r="J96" s="1732"/>
      <c r="K96" s="1732"/>
      <c r="L96" s="1732"/>
      <c r="M96" s="1732"/>
      <c r="N96" s="1732"/>
      <c r="O96" s="1732"/>
      <c r="P96" s="1732"/>
      <c r="Q96" s="1732"/>
      <c r="R96" s="1732"/>
      <c r="S96" s="1732"/>
      <c r="T96" s="1732"/>
      <c r="U96" s="1732"/>
      <c r="V96" s="1732"/>
      <c r="W96" s="1732"/>
      <c r="X96" s="1732"/>
      <c r="Y96" s="1732"/>
      <c r="Z96" s="1732"/>
      <c r="AA96" s="1732"/>
      <c r="AB96" s="1732"/>
      <c r="AC96" s="1732"/>
      <c r="AD96" s="1732"/>
      <c r="AE96" s="1733"/>
      <c r="AG96" s="1731" t="s">
        <v>821</v>
      </c>
      <c r="AH96" s="1732"/>
      <c r="AI96" s="1732"/>
      <c r="AJ96" s="1732"/>
      <c r="AK96" s="1732"/>
      <c r="AL96" s="1732"/>
      <c r="AM96" s="1732"/>
      <c r="AN96" s="1732"/>
      <c r="AO96" s="1732"/>
      <c r="AP96" s="1732"/>
      <c r="AQ96" s="1732"/>
      <c r="AR96" s="1732"/>
      <c r="AS96" s="1732"/>
      <c r="AT96" s="1732"/>
      <c r="AU96" s="1732"/>
      <c r="AV96" s="1732"/>
      <c r="AW96" s="1732"/>
      <c r="AX96" s="1732"/>
      <c r="AY96" s="1732"/>
      <c r="AZ96" s="1732"/>
      <c r="BA96" s="1732"/>
      <c r="BB96" s="1732"/>
      <c r="BC96" s="1732"/>
      <c r="BD96" s="1732"/>
      <c r="BE96" s="1732"/>
      <c r="BF96" s="1732"/>
      <c r="BG96" s="1732"/>
      <c r="BH96" s="1732"/>
      <c r="BI96" s="1732"/>
      <c r="BJ96" s="1732"/>
      <c r="BK96" s="1733"/>
      <c r="BM96" s="1731" t="s">
        <v>825</v>
      </c>
      <c r="BN96" s="1732"/>
      <c r="BO96" s="1732"/>
      <c r="BP96" s="1732"/>
      <c r="BQ96" s="1732"/>
      <c r="BR96" s="1732"/>
      <c r="BS96" s="1732"/>
      <c r="BT96" s="1732"/>
      <c r="BU96" s="1732"/>
      <c r="BV96" s="1732"/>
      <c r="BW96" s="1732"/>
      <c r="BX96" s="1732"/>
      <c r="BY96" s="1732"/>
      <c r="BZ96" s="1732"/>
      <c r="CA96" s="1732"/>
      <c r="CB96" s="1732"/>
      <c r="CC96" s="1732"/>
      <c r="CD96" s="1732"/>
      <c r="CE96" s="1732"/>
      <c r="CF96" s="1732"/>
      <c r="CG96" s="1732"/>
      <c r="CH96" s="1732"/>
      <c r="CI96" s="1732"/>
      <c r="CJ96" s="1732"/>
      <c r="CK96" s="1732"/>
      <c r="CL96" s="1732"/>
      <c r="CM96" s="1732"/>
      <c r="CN96" s="1732"/>
      <c r="CO96" s="1732"/>
      <c r="CP96" s="1732"/>
      <c r="CQ96" s="1733"/>
      <c r="CS96" s="1731" t="s">
        <v>829</v>
      </c>
      <c r="CT96" s="1732"/>
      <c r="CU96" s="1732"/>
      <c r="CV96" s="1732"/>
      <c r="CW96" s="1732"/>
      <c r="CX96" s="1732"/>
      <c r="CY96" s="1732"/>
      <c r="CZ96" s="1732"/>
      <c r="DA96" s="1732"/>
      <c r="DB96" s="1732"/>
      <c r="DC96" s="1732"/>
      <c r="DD96" s="1732"/>
      <c r="DE96" s="1732"/>
      <c r="DF96" s="1732"/>
      <c r="DG96" s="1732"/>
      <c r="DH96" s="1732"/>
      <c r="DI96" s="1732"/>
      <c r="DJ96" s="1732"/>
      <c r="DK96" s="1732"/>
      <c r="DL96" s="1732"/>
      <c r="DM96" s="1732"/>
      <c r="DN96" s="1732"/>
      <c r="DO96" s="1732"/>
      <c r="DP96" s="1732"/>
      <c r="DQ96" s="1732"/>
      <c r="DR96" s="1732"/>
      <c r="DS96" s="1732"/>
      <c r="DT96" s="1732"/>
      <c r="DU96" s="1732"/>
      <c r="DV96" s="1732"/>
      <c r="DW96" s="1733"/>
    </row>
    <row r="97" spans="1:127" ht="15.75" thickBot="1">
      <c r="A97" s="3" t="s">
        <v>11</v>
      </c>
      <c r="B97" s="4">
        <v>2013</v>
      </c>
      <c r="C97" s="4">
        <v>2012</v>
      </c>
      <c r="D97" s="4">
        <v>2011</v>
      </c>
      <c r="E97" s="4">
        <v>2010</v>
      </c>
      <c r="F97" s="4">
        <v>2009</v>
      </c>
      <c r="G97" s="4">
        <v>2008</v>
      </c>
      <c r="H97" s="4">
        <v>2007</v>
      </c>
      <c r="I97" s="4">
        <v>2006</v>
      </c>
      <c r="J97" s="4">
        <v>2005</v>
      </c>
      <c r="K97" s="4">
        <v>2004</v>
      </c>
      <c r="L97" s="4">
        <v>2003</v>
      </c>
      <c r="M97" s="4">
        <v>2002</v>
      </c>
      <c r="N97" s="4">
        <v>2001</v>
      </c>
      <c r="O97" s="4">
        <v>2000</v>
      </c>
      <c r="P97" s="4">
        <v>1999</v>
      </c>
      <c r="Q97" s="4">
        <v>1998</v>
      </c>
      <c r="R97" s="4">
        <v>1997</v>
      </c>
      <c r="S97" s="4">
        <v>1996</v>
      </c>
      <c r="T97" s="4">
        <v>1995</v>
      </c>
      <c r="U97" s="4">
        <v>1994</v>
      </c>
      <c r="V97" s="4">
        <v>1993</v>
      </c>
      <c r="W97" s="4">
        <v>1992</v>
      </c>
      <c r="X97" s="4">
        <v>1991</v>
      </c>
      <c r="Y97" s="4">
        <v>1990</v>
      </c>
      <c r="Z97" s="4">
        <v>1989</v>
      </c>
      <c r="AA97" s="4">
        <v>1988</v>
      </c>
      <c r="AB97" s="4">
        <v>1987</v>
      </c>
      <c r="AC97" s="5">
        <v>1986</v>
      </c>
      <c r="AD97" s="10" t="s">
        <v>32</v>
      </c>
      <c r="AE97" s="11" t="s">
        <v>33</v>
      </c>
      <c r="AG97" s="3" t="s">
        <v>11</v>
      </c>
      <c r="AH97" s="4">
        <v>2013</v>
      </c>
      <c r="AI97" s="4">
        <v>2012</v>
      </c>
      <c r="AJ97" s="4">
        <v>2011</v>
      </c>
      <c r="AK97" s="4">
        <v>2010</v>
      </c>
      <c r="AL97" s="4">
        <v>2009</v>
      </c>
      <c r="AM97" s="4">
        <v>2008</v>
      </c>
      <c r="AN97" s="4">
        <v>2007</v>
      </c>
      <c r="AO97" s="4">
        <v>2006</v>
      </c>
      <c r="AP97" s="4">
        <v>2005</v>
      </c>
      <c r="AQ97" s="4">
        <v>2004</v>
      </c>
      <c r="AR97" s="4">
        <v>2003</v>
      </c>
      <c r="AS97" s="4">
        <v>2002</v>
      </c>
      <c r="AT97" s="4">
        <v>2001</v>
      </c>
      <c r="AU97" s="4">
        <v>2000</v>
      </c>
      <c r="AV97" s="4">
        <v>1999</v>
      </c>
      <c r="AW97" s="4">
        <v>1998</v>
      </c>
      <c r="AX97" s="4">
        <v>1997</v>
      </c>
      <c r="AY97" s="4">
        <v>1996</v>
      </c>
      <c r="AZ97" s="4">
        <v>1995</v>
      </c>
      <c r="BA97" s="4">
        <v>1994</v>
      </c>
      <c r="BB97" s="4">
        <v>1993</v>
      </c>
      <c r="BC97" s="4">
        <v>1992</v>
      </c>
      <c r="BD97" s="4">
        <v>1991</v>
      </c>
      <c r="BE97" s="4">
        <v>1990</v>
      </c>
      <c r="BF97" s="4">
        <v>1989</v>
      </c>
      <c r="BG97" s="4">
        <v>1988</v>
      </c>
      <c r="BH97" s="4">
        <v>1987</v>
      </c>
      <c r="BI97" s="5">
        <v>1986</v>
      </c>
      <c r="BJ97" s="10" t="s">
        <v>32</v>
      </c>
      <c r="BK97" s="11" t="s">
        <v>33</v>
      </c>
      <c r="BM97" s="3" t="s">
        <v>11</v>
      </c>
      <c r="BN97" s="4">
        <v>2013</v>
      </c>
      <c r="BO97" s="4">
        <v>2012</v>
      </c>
      <c r="BP97" s="4">
        <v>2011</v>
      </c>
      <c r="BQ97" s="4">
        <v>2010</v>
      </c>
      <c r="BR97" s="4">
        <v>2009</v>
      </c>
      <c r="BS97" s="4">
        <v>2008</v>
      </c>
      <c r="BT97" s="4">
        <v>2007</v>
      </c>
      <c r="BU97" s="4">
        <v>2006</v>
      </c>
      <c r="BV97" s="4">
        <v>2005</v>
      </c>
      <c r="BW97" s="4">
        <v>2004</v>
      </c>
      <c r="BX97" s="4">
        <v>2003</v>
      </c>
      <c r="BY97" s="4">
        <v>2002</v>
      </c>
      <c r="BZ97" s="4">
        <v>2001</v>
      </c>
      <c r="CA97" s="4">
        <v>2000</v>
      </c>
      <c r="CB97" s="4">
        <v>1999</v>
      </c>
      <c r="CC97" s="4">
        <v>1998</v>
      </c>
      <c r="CD97" s="4">
        <v>1997</v>
      </c>
      <c r="CE97" s="4">
        <v>1996</v>
      </c>
      <c r="CF97" s="4">
        <v>1995</v>
      </c>
      <c r="CG97" s="4">
        <v>1994</v>
      </c>
      <c r="CH97" s="4">
        <v>1993</v>
      </c>
      <c r="CI97" s="4">
        <v>1992</v>
      </c>
      <c r="CJ97" s="4">
        <v>1991</v>
      </c>
      <c r="CK97" s="4">
        <v>1990</v>
      </c>
      <c r="CL97" s="4">
        <v>1989</v>
      </c>
      <c r="CM97" s="4">
        <v>1988</v>
      </c>
      <c r="CN97" s="4">
        <v>1987</v>
      </c>
      <c r="CO97" s="5">
        <v>1986</v>
      </c>
      <c r="CP97" s="10" t="s">
        <v>32</v>
      </c>
      <c r="CQ97" s="11" t="s">
        <v>33</v>
      </c>
      <c r="CS97" s="3" t="s">
        <v>11</v>
      </c>
      <c r="CT97" s="4">
        <v>2013</v>
      </c>
      <c r="CU97" s="4">
        <v>2012</v>
      </c>
      <c r="CV97" s="4">
        <v>2011</v>
      </c>
      <c r="CW97" s="4">
        <v>2010</v>
      </c>
      <c r="CX97" s="4">
        <v>2009</v>
      </c>
      <c r="CY97" s="4">
        <v>2008</v>
      </c>
      <c r="CZ97" s="4">
        <v>2007</v>
      </c>
      <c r="DA97" s="4">
        <v>2006</v>
      </c>
      <c r="DB97" s="4">
        <v>2005</v>
      </c>
      <c r="DC97" s="4">
        <v>2004</v>
      </c>
      <c r="DD97" s="4">
        <v>2003</v>
      </c>
      <c r="DE97" s="4">
        <v>2002</v>
      </c>
      <c r="DF97" s="4">
        <v>2001</v>
      </c>
      <c r="DG97" s="4">
        <v>2000</v>
      </c>
      <c r="DH97" s="4">
        <v>1999</v>
      </c>
      <c r="DI97" s="4">
        <v>1998</v>
      </c>
      <c r="DJ97" s="4">
        <v>1997</v>
      </c>
      <c r="DK97" s="4">
        <v>1996</v>
      </c>
      <c r="DL97" s="4">
        <v>1995</v>
      </c>
      <c r="DM97" s="4">
        <v>1994</v>
      </c>
      <c r="DN97" s="4">
        <v>1993</v>
      </c>
      <c r="DO97" s="4">
        <v>1992</v>
      </c>
      <c r="DP97" s="4">
        <v>1991</v>
      </c>
      <c r="DQ97" s="4">
        <v>1990</v>
      </c>
      <c r="DR97" s="4">
        <v>1989</v>
      </c>
      <c r="DS97" s="4">
        <v>1988</v>
      </c>
      <c r="DT97" s="4">
        <v>1987</v>
      </c>
      <c r="DU97" s="5">
        <v>1986</v>
      </c>
      <c r="DV97" s="10" t="s">
        <v>32</v>
      </c>
      <c r="DW97" s="11" t="s">
        <v>33</v>
      </c>
    </row>
    <row r="98" spans="1:127" ht="15.75" thickTop="1">
      <c r="A98" s="86">
        <v>0</v>
      </c>
      <c r="B98" s="94">
        <v>1</v>
      </c>
      <c r="C98" s="95">
        <v>1</v>
      </c>
      <c r="D98" s="95">
        <v>1</v>
      </c>
      <c r="E98" s="95">
        <v>1</v>
      </c>
      <c r="F98" s="96">
        <v>1</v>
      </c>
      <c r="G98" s="96">
        <v>1</v>
      </c>
      <c r="H98" s="96">
        <v>1</v>
      </c>
      <c r="I98" s="96">
        <v>1</v>
      </c>
      <c r="J98" s="96">
        <v>1</v>
      </c>
      <c r="K98" s="96">
        <v>1</v>
      </c>
      <c r="L98" s="96">
        <v>1</v>
      </c>
      <c r="M98" s="96">
        <v>1</v>
      </c>
      <c r="N98" s="95"/>
      <c r="O98" s="95"/>
      <c r="P98" s="95"/>
      <c r="Q98" s="95"/>
      <c r="R98" s="95"/>
      <c r="S98" s="95"/>
      <c r="T98" s="95"/>
      <c r="U98" s="95"/>
      <c r="V98" s="95"/>
      <c r="W98" s="95"/>
      <c r="X98" s="95"/>
      <c r="Y98" s="95"/>
      <c r="Z98" s="95"/>
      <c r="AA98" s="95"/>
      <c r="AB98" s="95"/>
      <c r="AC98" s="95"/>
      <c r="AD98" s="97">
        <f>SUMPRODUCT(B98:M98,B79:M79)/SUM(B79:M79)</f>
        <v>1</v>
      </c>
      <c r="AE98" s="98">
        <f>AD98*100</f>
        <v>100</v>
      </c>
      <c r="AG98" s="86">
        <v>0</v>
      </c>
      <c r="AH98" s="94">
        <v>1</v>
      </c>
      <c r="AI98" s="95">
        <v>1</v>
      </c>
      <c r="AJ98" s="95">
        <v>1</v>
      </c>
      <c r="AK98" s="95">
        <v>1</v>
      </c>
      <c r="AL98" s="96">
        <v>1</v>
      </c>
      <c r="AM98" s="96">
        <v>1</v>
      </c>
      <c r="AN98" s="96">
        <v>1</v>
      </c>
      <c r="AO98" s="96">
        <v>1</v>
      </c>
      <c r="AP98" s="96">
        <v>1</v>
      </c>
      <c r="AQ98" s="96">
        <v>1</v>
      </c>
      <c r="AR98" s="96">
        <v>1</v>
      </c>
      <c r="AS98" s="96">
        <v>1</v>
      </c>
      <c r="AT98" s="95"/>
      <c r="AU98" s="95"/>
      <c r="AV98" s="95"/>
      <c r="AW98" s="95"/>
      <c r="AX98" s="95"/>
      <c r="AY98" s="95"/>
      <c r="AZ98" s="95"/>
      <c r="BA98" s="95"/>
      <c r="BB98" s="95"/>
      <c r="BC98" s="95"/>
      <c r="BD98" s="95"/>
      <c r="BE98" s="95"/>
      <c r="BF98" s="95"/>
      <c r="BG98" s="95"/>
      <c r="BH98" s="95"/>
      <c r="BI98" s="95"/>
      <c r="BJ98" s="97">
        <f>SUMPRODUCT(AH98:AS98,AH79:AS79)/SUM(AH79:AS79)</f>
        <v>1</v>
      </c>
      <c r="BK98" s="98">
        <f>BJ98*100</f>
        <v>100</v>
      </c>
      <c r="BM98" s="86">
        <v>0</v>
      </c>
      <c r="BN98" s="94">
        <v>1</v>
      </c>
      <c r="BO98" s="95">
        <v>1</v>
      </c>
      <c r="BP98" s="95">
        <v>1</v>
      </c>
      <c r="BQ98" s="95">
        <v>1</v>
      </c>
      <c r="BR98" s="96">
        <v>1</v>
      </c>
      <c r="BS98" s="96">
        <v>1</v>
      </c>
      <c r="BT98" s="96">
        <v>1</v>
      </c>
      <c r="BU98" s="96">
        <v>1</v>
      </c>
      <c r="BV98" s="96">
        <v>1</v>
      </c>
      <c r="BW98" s="96">
        <v>1</v>
      </c>
      <c r="BX98" s="96">
        <v>1</v>
      </c>
      <c r="BY98" s="96">
        <v>1</v>
      </c>
      <c r="BZ98" s="95"/>
      <c r="CA98" s="95"/>
      <c r="CB98" s="95"/>
      <c r="CC98" s="95"/>
      <c r="CD98" s="95"/>
      <c r="CE98" s="95"/>
      <c r="CF98" s="95"/>
      <c r="CG98" s="95"/>
      <c r="CH98" s="95"/>
      <c r="CI98" s="95"/>
      <c r="CJ98" s="95"/>
      <c r="CK98" s="95"/>
      <c r="CL98" s="95"/>
      <c r="CM98" s="95"/>
      <c r="CN98" s="95"/>
      <c r="CO98" s="95"/>
      <c r="CP98" s="97">
        <f>SUMPRODUCT(BN98:BY98,BN79:BY79)/SUM(BN79:BY79)</f>
        <v>1</v>
      </c>
      <c r="CQ98" s="98">
        <f>CP98*100</f>
        <v>100</v>
      </c>
      <c r="CS98" s="86">
        <v>0</v>
      </c>
      <c r="CT98" s="94">
        <v>1</v>
      </c>
      <c r="CU98" s="95">
        <v>1</v>
      </c>
      <c r="CV98" s="95">
        <v>1</v>
      </c>
      <c r="CW98" s="95">
        <v>1</v>
      </c>
      <c r="CX98" s="96">
        <v>1</v>
      </c>
      <c r="CY98" s="96">
        <v>1</v>
      </c>
      <c r="CZ98" s="96">
        <v>1</v>
      </c>
      <c r="DA98" s="96">
        <v>1</v>
      </c>
      <c r="DB98" s="96">
        <v>1</v>
      </c>
      <c r="DC98" s="96">
        <v>1</v>
      </c>
      <c r="DD98" s="96">
        <v>1</v>
      </c>
      <c r="DE98" s="96">
        <v>1</v>
      </c>
      <c r="DF98" s="95"/>
      <c r="DG98" s="95"/>
      <c r="DH98" s="95"/>
      <c r="DI98" s="95"/>
      <c r="DJ98" s="95"/>
      <c r="DK98" s="95"/>
      <c r="DL98" s="95"/>
      <c r="DM98" s="95"/>
      <c r="DN98" s="95"/>
      <c r="DO98" s="95"/>
      <c r="DP98" s="95"/>
      <c r="DQ98" s="95"/>
      <c r="DR98" s="95"/>
      <c r="DS98" s="95"/>
      <c r="DT98" s="95"/>
      <c r="DU98" s="95"/>
      <c r="DV98" s="97">
        <f>SUMPRODUCT(CT98:DE98,CT79:DE79)/SUM(CT79:DE79)</f>
        <v>1</v>
      </c>
      <c r="DW98" s="98">
        <f>DV98*100</f>
        <v>100</v>
      </c>
    </row>
    <row r="99" spans="1:127">
      <c r="A99" s="90">
        <v>1</v>
      </c>
      <c r="B99" s="99"/>
      <c r="C99" s="100"/>
      <c r="D99" s="100"/>
      <c r="E99" s="100"/>
      <c r="F99" s="100"/>
      <c r="G99" s="100">
        <f>(G80-G79)/G79</f>
        <v>-1</v>
      </c>
      <c r="H99" s="100"/>
      <c r="I99" s="100"/>
      <c r="J99" s="100"/>
      <c r="K99" s="100"/>
      <c r="L99" s="100"/>
      <c r="M99" s="100"/>
      <c r="N99" s="100"/>
      <c r="O99" s="100"/>
      <c r="P99" s="100"/>
      <c r="Q99" s="100"/>
      <c r="R99" s="100"/>
      <c r="S99" s="100"/>
      <c r="T99" s="100"/>
      <c r="U99" s="100"/>
      <c r="V99" s="100"/>
      <c r="W99" s="100"/>
      <c r="X99" s="100"/>
      <c r="Y99" s="100"/>
      <c r="Z99" s="100"/>
      <c r="AA99" s="100"/>
      <c r="AB99" s="100"/>
      <c r="AC99" s="100"/>
      <c r="AD99" s="97" t="e">
        <f>SUMPRODUCT(C99:N99,C80:N80)/SUM(C80:N80)</f>
        <v>#DIV/0!</v>
      </c>
      <c r="AE99" s="98" t="e">
        <f>AE98*(AD99+1)</f>
        <v>#DIV/0!</v>
      </c>
      <c r="AG99" s="90">
        <v>1</v>
      </c>
      <c r="AH99" s="99"/>
      <c r="AI99" s="100">
        <f t="shared" ref="AI99:AT99" si="125">(AI80-AI79)/AI79</f>
        <v>-2.575107296137339E-2</v>
      </c>
      <c r="AJ99" s="100">
        <f t="shared" si="125"/>
        <v>-1.5349194167306216E-2</v>
      </c>
      <c r="AK99" s="100">
        <f t="shared" si="125"/>
        <v>-3.3692722371967657E-3</v>
      </c>
      <c r="AL99" s="100">
        <f t="shared" si="125"/>
        <v>1.1235955056179775E-2</v>
      </c>
      <c r="AM99" s="100">
        <f t="shared" si="125"/>
        <v>6.7333333333333334</v>
      </c>
      <c r="AN99" s="100" t="e">
        <f t="shared" si="125"/>
        <v>#DIV/0!</v>
      </c>
      <c r="AO99" s="100" t="e">
        <f t="shared" si="125"/>
        <v>#DIV/0!</v>
      </c>
      <c r="AP99" s="100" t="e">
        <f t="shared" si="125"/>
        <v>#DIV/0!</v>
      </c>
      <c r="AQ99" s="100" t="e">
        <f t="shared" si="125"/>
        <v>#DIV/0!</v>
      </c>
      <c r="AR99" s="100" t="e">
        <f t="shared" si="125"/>
        <v>#DIV/0!</v>
      </c>
      <c r="AS99" s="100" t="e">
        <f t="shared" si="125"/>
        <v>#DIV/0!</v>
      </c>
      <c r="AT99" s="100" t="e">
        <f t="shared" si="125"/>
        <v>#DIV/0!</v>
      </c>
      <c r="AU99" s="100"/>
      <c r="AV99" s="100"/>
      <c r="AW99" s="100"/>
      <c r="AX99" s="100"/>
      <c r="AY99" s="100"/>
      <c r="AZ99" s="100"/>
      <c r="BA99" s="100"/>
      <c r="BB99" s="100"/>
      <c r="BC99" s="100"/>
      <c r="BD99" s="100"/>
      <c r="BE99" s="100"/>
      <c r="BF99" s="100"/>
      <c r="BG99" s="100"/>
      <c r="BH99" s="100"/>
      <c r="BI99" s="100"/>
      <c r="BJ99" s="97" t="e">
        <f>SUMPRODUCT(AI99:AT99,AI80:AT80)/SUM(AI80:AT80)</f>
        <v>#DIV/0!</v>
      </c>
      <c r="BK99" s="98" t="e">
        <f>BK98*(BJ99+1)</f>
        <v>#DIV/0!</v>
      </c>
      <c r="BM99" s="90">
        <v>1</v>
      </c>
      <c r="BN99" s="99"/>
      <c r="BO99" s="100"/>
      <c r="BP99" s="100"/>
      <c r="BQ99" s="100">
        <f t="shared" ref="BQ99:BU101" si="126">(BQ80-BQ79)/BQ79</f>
        <v>7.1428571428571425E-2</v>
      </c>
      <c r="BR99" s="100">
        <f t="shared" si="126"/>
        <v>3.0864197530864196E-2</v>
      </c>
      <c r="BS99" s="100">
        <f t="shared" si="126"/>
        <v>6.8817204301075269E-2</v>
      </c>
      <c r="BT99" s="100">
        <f t="shared" si="126"/>
        <v>2.4213075060532689E-3</v>
      </c>
      <c r="BU99" s="100">
        <f t="shared" si="126"/>
        <v>5.8823529411764705E-2</v>
      </c>
      <c r="BV99" s="100"/>
      <c r="BW99" s="100"/>
      <c r="BX99" s="100"/>
      <c r="BY99" s="100">
        <f>(BY80-BY79)/BY79</f>
        <v>-1</v>
      </c>
      <c r="BZ99" s="100"/>
      <c r="CA99" s="100"/>
      <c r="CB99" s="100"/>
      <c r="CC99" s="100"/>
      <c r="CD99" s="100"/>
      <c r="CE99" s="100"/>
      <c r="CF99" s="100"/>
      <c r="CG99" s="100"/>
      <c r="CH99" s="100"/>
      <c r="CI99" s="100"/>
      <c r="CJ99" s="100"/>
      <c r="CK99" s="100"/>
      <c r="CL99" s="100"/>
      <c r="CM99" s="100"/>
      <c r="CN99" s="100"/>
      <c r="CO99" s="100"/>
      <c r="CP99" s="97">
        <f>SUMPRODUCT(BO99:BZ99,BO80:BZ80)/SUM(BO80:BZ80)</f>
        <v>5.2813620085062511E-2</v>
      </c>
      <c r="CQ99" s="98">
        <f>CQ98*(CP99+1)</f>
        <v>105.28136200850624</v>
      </c>
      <c r="CS99" s="90">
        <v>1</v>
      </c>
      <c r="CT99" s="99"/>
      <c r="CU99" s="100" t="e">
        <f t="shared" ref="CU99:DA99" si="127">(CU80-CU79)/CU79</f>
        <v>#DIV/0!</v>
      </c>
      <c r="CV99" s="100">
        <f t="shared" si="127"/>
        <v>0</v>
      </c>
      <c r="CW99" s="100">
        <f t="shared" si="127"/>
        <v>0</v>
      </c>
      <c r="CX99" s="100">
        <f t="shared" si="127"/>
        <v>7.1428571428571425E-2</v>
      </c>
      <c r="CY99" s="100">
        <f t="shared" si="127"/>
        <v>1.0298661174047374E-2</v>
      </c>
      <c r="CZ99" s="100">
        <f t="shared" si="127"/>
        <v>1.0101010101010102E-2</v>
      </c>
      <c r="DA99" s="100">
        <f t="shared" si="127"/>
        <v>0.22222222222222221</v>
      </c>
      <c r="DB99" s="100"/>
      <c r="DC99" s="100"/>
      <c r="DD99" s="100"/>
      <c r="DE99" s="100">
        <f>(DE80-DE79)/DE79</f>
        <v>-1</v>
      </c>
      <c r="DF99" s="100"/>
      <c r="DG99" s="100"/>
      <c r="DH99" s="100"/>
      <c r="DI99" s="100"/>
      <c r="DJ99" s="100"/>
      <c r="DK99" s="100"/>
      <c r="DL99" s="100"/>
      <c r="DM99" s="100"/>
      <c r="DN99" s="100"/>
      <c r="DO99" s="100"/>
      <c r="DP99" s="100"/>
      <c r="DQ99" s="100"/>
      <c r="DR99" s="100"/>
      <c r="DS99" s="100"/>
      <c r="DT99" s="100"/>
      <c r="DU99" s="100"/>
      <c r="DV99" s="97" t="e">
        <f>SUMPRODUCT(CU99:DF99,CU80:DF80)/SUM(CU80:DF80)</f>
        <v>#DIV/0!</v>
      </c>
      <c r="DW99" s="98" t="e">
        <f>DW98*(DV99+1)</f>
        <v>#DIV/0!</v>
      </c>
    </row>
    <row r="100" spans="1:127">
      <c r="A100" s="90">
        <v>2</v>
      </c>
      <c r="B100" s="99"/>
      <c r="C100" s="100"/>
      <c r="D100" s="100"/>
      <c r="E100" s="100"/>
      <c r="F100" s="100"/>
      <c r="G100" s="100"/>
      <c r="H100" s="100"/>
      <c r="I100" s="100"/>
      <c r="J100" s="100"/>
      <c r="K100" s="100"/>
      <c r="L100" s="100"/>
      <c r="M100" s="100"/>
      <c r="N100" s="100"/>
      <c r="O100" s="100"/>
      <c r="P100" s="100"/>
      <c r="Q100" s="100"/>
      <c r="R100" s="100"/>
      <c r="S100" s="100"/>
      <c r="T100" s="100"/>
      <c r="U100" s="100"/>
      <c r="V100" s="100"/>
      <c r="W100" s="100"/>
      <c r="X100" s="100"/>
      <c r="Y100" s="100"/>
      <c r="Z100" s="100"/>
      <c r="AA100" s="100"/>
      <c r="AB100" s="100"/>
      <c r="AC100" s="100"/>
      <c r="AD100" s="97" t="e">
        <f>SUMPRODUCT(D100:O100,D81:O81)/SUM(D81:O81)</f>
        <v>#DIV/0!</v>
      </c>
      <c r="AE100" s="98" t="e">
        <f t="shared" ref="AE100:AE113" si="128">AE99*(AD100+1)</f>
        <v>#DIV/0!</v>
      </c>
      <c r="AG100" s="90">
        <v>2</v>
      </c>
      <c r="AH100" s="99"/>
      <c r="AI100" s="100"/>
      <c r="AJ100" s="100">
        <f t="shared" ref="AJ100:AU100" si="129">(AJ81-AJ80)/AJ80</f>
        <v>-4.6765393608729543E-3</v>
      </c>
      <c r="AK100" s="100">
        <f t="shared" si="129"/>
        <v>-1.4874915483434753E-2</v>
      </c>
      <c r="AL100" s="100">
        <f t="shared" si="129"/>
        <v>-4.8888888888888891E-2</v>
      </c>
      <c r="AM100" s="100">
        <f t="shared" si="129"/>
        <v>-8.6206896551724137E-3</v>
      </c>
      <c r="AN100" s="100">
        <f t="shared" si="129"/>
        <v>0</v>
      </c>
      <c r="AO100" s="100" t="e">
        <f t="shared" si="129"/>
        <v>#DIV/0!</v>
      </c>
      <c r="AP100" s="100" t="e">
        <f t="shared" si="129"/>
        <v>#DIV/0!</v>
      </c>
      <c r="AQ100" s="100" t="e">
        <f t="shared" si="129"/>
        <v>#DIV/0!</v>
      </c>
      <c r="AR100" s="100" t="e">
        <f t="shared" si="129"/>
        <v>#DIV/0!</v>
      </c>
      <c r="AS100" s="100" t="e">
        <f t="shared" si="129"/>
        <v>#DIV/0!</v>
      </c>
      <c r="AT100" s="100" t="e">
        <f t="shared" si="129"/>
        <v>#DIV/0!</v>
      </c>
      <c r="AU100" s="100" t="e">
        <f t="shared" si="129"/>
        <v>#DIV/0!</v>
      </c>
      <c r="AV100" s="100"/>
      <c r="AW100" s="100"/>
      <c r="AX100" s="100"/>
      <c r="AY100" s="100"/>
      <c r="AZ100" s="100"/>
      <c r="BA100" s="100"/>
      <c r="BB100" s="100"/>
      <c r="BC100" s="100"/>
      <c r="BD100" s="100"/>
      <c r="BE100" s="100"/>
      <c r="BF100" s="100"/>
      <c r="BG100" s="100"/>
      <c r="BH100" s="100"/>
      <c r="BI100" s="100"/>
      <c r="BJ100" s="97" t="e">
        <f>SUMPRODUCT(AJ100:AU100,AJ81:AU81)/SUM(AJ81:AU81)</f>
        <v>#DIV/0!</v>
      </c>
      <c r="BK100" s="98" t="e">
        <f t="shared" ref="BK100:BK113" si="130">BK99*(BJ100+1)</f>
        <v>#DIV/0!</v>
      </c>
      <c r="BM100" s="90">
        <v>2</v>
      </c>
      <c r="BN100" s="99"/>
      <c r="BO100" s="100"/>
      <c r="BP100" s="100"/>
      <c r="BQ100" s="100">
        <f t="shared" si="126"/>
        <v>6.6666666666666666E-2</v>
      </c>
      <c r="BR100" s="100">
        <f t="shared" si="126"/>
        <v>5.9880239520958087E-3</v>
      </c>
      <c r="BS100" s="100">
        <f t="shared" si="126"/>
        <v>-1.1401743796109993E-2</v>
      </c>
      <c r="BT100" s="100">
        <f t="shared" si="126"/>
        <v>-1.2077294685990338E-2</v>
      </c>
      <c r="BU100" s="100">
        <f t="shared" si="126"/>
        <v>5.5555555555555552E-2</v>
      </c>
      <c r="BV100" s="100"/>
      <c r="BW100" s="100"/>
      <c r="BX100" s="100"/>
      <c r="BY100" s="100"/>
      <c r="BZ100" s="100"/>
      <c r="CA100" s="100"/>
      <c r="CB100" s="100"/>
      <c r="CC100" s="100"/>
      <c r="CD100" s="100"/>
      <c r="CE100" s="100"/>
      <c r="CF100" s="100"/>
      <c r="CG100" s="100"/>
      <c r="CH100" s="100"/>
      <c r="CI100" s="100"/>
      <c r="CJ100" s="100"/>
      <c r="CK100" s="100"/>
      <c r="CL100" s="100"/>
      <c r="CM100" s="100"/>
      <c r="CN100" s="100"/>
      <c r="CO100" s="100"/>
      <c r="CP100" s="97">
        <f>SUMPRODUCT(BP100:CA100,BP81:CA81)/SUM(BP81:CA81)</f>
        <v>-8.349622725592384E-3</v>
      </c>
      <c r="CQ100" s="98">
        <f t="shared" ref="CQ100:CQ113" si="131">CQ99*(CP100+1)</f>
        <v>104.40230235569869</v>
      </c>
      <c r="CS100" s="90">
        <v>2</v>
      </c>
      <c r="CT100" s="99"/>
      <c r="CU100" s="100"/>
      <c r="CV100" s="100">
        <f t="shared" ref="CV100:DA100" si="132">(CV81-CV80)/CV80</f>
        <v>0</v>
      </c>
      <c r="CW100" s="100">
        <f t="shared" si="132"/>
        <v>-0.1</v>
      </c>
      <c r="CX100" s="100">
        <f t="shared" si="132"/>
        <v>0.05</v>
      </c>
      <c r="CY100" s="100">
        <f t="shared" si="132"/>
        <v>-4.0774719673802246E-3</v>
      </c>
      <c r="CZ100" s="100">
        <f t="shared" si="132"/>
        <v>-5.0000000000000001E-3</v>
      </c>
      <c r="DA100" s="100">
        <f t="shared" si="132"/>
        <v>9.0909090909090912E-2</v>
      </c>
      <c r="DB100" s="100"/>
      <c r="DC100" s="100"/>
      <c r="DD100" s="100"/>
      <c r="DE100" s="100"/>
      <c r="DF100" s="100"/>
      <c r="DG100" s="100"/>
      <c r="DH100" s="100"/>
      <c r="DI100" s="100"/>
      <c r="DJ100" s="100"/>
      <c r="DK100" s="100"/>
      <c r="DL100" s="100"/>
      <c r="DM100" s="100"/>
      <c r="DN100" s="100"/>
      <c r="DO100" s="100"/>
      <c r="DP100" s="100"/>
      <c r="DQ100" s="100"/>
      <c r="DR100" s="100"/>
      <c r="DS100" s="100"/>
      <c r="DT100" s="100"/>
      <c r="DU100" s="100"/>
      <c r="DV100" s="97">
        <f>SUMPRODUCT(CV100:DG100,CV81:DG81)/SUM(CV81:DG81)</f>
        <v>-1.8020403978243585E-3</v>
      </c>
      <c r="DW100" s="98" t="e">
        <f t="shared" ref="DW100:DW113" si="133">DW99*(DV100+1)</f>
        <v>#DIV/0!</v>
      </c>
    </row>
    <row r="101" spans="1:127">
      <c r="A101" s="90">
        <v>3</v>
      </c>
      <c r="B101" s="99"/>
      <c r="C101" s="100"/>
      <c r="D101" s="100"/>
      <c r="E101" s="100"/>
      <c r="F101" s="100"/>
      <c r="G101" s="100"/>
      <c r="H101" s="100"/>
      <c r="I101" s="100"/>
      <c r="J101" s="100"/>
      <c r="K101" s="100"/>
      <c r="L101" s="100"/>
      <c r="M101" s="100"/>
      <c r="N101" s="100"/>
      <c r="O101" s="100"/>
      <c r="P101" s="100"/>
      <c r="Q101" s="100"/>
      <c r="R101" s="100"/>
      <c r="S101" s="100"/>
      <c r="T101" s="100"/>
      <c r="U101" s="100"/>
      <c r="V101" s="100"/>
      <c r="W101" s="100"/>
      <c r="X101" s="100"/>
      <c r="Y101" s="100"/>
      <c r="Z101" s="100"/>
      <c r="AA101" s="100"/>
      <c r="AB101" s="100"/>
      <c r="AC101" s="100"/>
      <c r="AD101" s="97" t="e">
        <f>SUMPRODUCT(E101:P101,E82:P82)/SUM(E82:P82)</f>
        <v>#DIV/0!</v>
      </c>
      <c r="AE101" s="98" t="e">
        <f t="shared" si="128"/>
        <v>#DIV/0!</v>
      </c>
      <c r="AG101" s="90">
        <v>3</v>
      </c>
      <c r="AH101" s="99"/>
      <c r="AI101" s="100"/>
      <c r="AJ101" s="100"/>
      <c r="AK101" s="100">
        <f t="shared" ref="AK101:AV101" si="134">(AK82-AK81)/AK81</f>
        <v>-1.4070006863417982E-2</v>
      </c>
      <c r="AL101" s="100">
        <f t="shared" si="134"/>
        <v>4.6728971962616821E-2</v>
      </c>
      <c r="AM101" s="100">
        <f t="shared" si="134"/>
        <v>-0.13043478260869565</v>
      </c>
      <c r="AN101" s="100">
        <f t="shared" si="134"/>
        <v>0</v>
      </c>
      <c r="AO101" s="100" t="e">
        <f t="shared" si="134"/>
        <v>#DIV/0!</v>
      </c>
      <c r="AP101" s="100" t="e">
        <f t="shared" si="134"/>
        <v>#DIV/0!</v>
      </c>
      <c r="AQ101" s="100" t="e">
        <f t="shared" si="134"/>
        <v>#DIV/0!</v>
      </c>
      <c r="AR101" s="100" t="e">
        <f t="shared" si="134"/>
        <v>#DIV/0!</v>
      </c>
      <c r="AS101" s="100" t="e">
        <f t="shared" si="134"/>
        <v>#DIV/0!</v>
      </c>
      <c r="AT101" s="100" t="e">
        <f t="shared" si="134"/>
        <v>#DIV/0!</v>
      </c>
      <c r="AU101" s="100" t="e">
        <f t="shared" si="134"/>
        <v>#DIV/0!</v>
      </c>
      <c r="AV101" s="100" t="e">
        <f t="shared" si="134"/>
        <v>#DIV/0!</v>
      </c>
      <c r="AW101" s="100"/>
      <c r="AX101" s="100"/>
      <c r="AY101" s="100"/>
      <c r="AZ101" s="100"/>
      <c r="BA101" s="100"/>
      <c r="BB101" s="100"/>
      <c r="BC101" s="100"/>
      <c r="BD101" s="100"/>
      <c r="BE101" s="100"/>
      <c r="BF101" s="100"/>
      <c r="BG101" s="100"/>
      <c r="BH101" s="100"/>
      <c r="BI101" s="100"/>
      <c r="BJ101" s="97" t="e">
        <f>SUMPRODUCT(AK101:AV101,AK82:AV82)/SUM(AK82:AV82)</f>
        <v>#DIV/0!</v>
      </c>
      <c r="BK101" s="98" t="e">
        <f t="shared" si="130"/>
        <v>#DIV/0!</v>
      </c>
      <c r="BM101" s="90">
        <v>3</v>
      </c>
      <c r="BN101" s="99"/>
      <c r="BO101" s="100"/>
      <c r="BP101" s="100"/>
      <c r="BQ101" s="100">
        <f t="shared" si="126"/>
        <v>0</v>
      </c>
      <c r="BR101" s="100">
        <f t="shared" si="126"/>
        <v>2.976190476190476E-2</v>
      </c>
      <c r="BS101" s="100">
        <f t="shared" si="126"/>
        <v>-2.5101763907734057E-2</v>
      </c>
      <c r="BT101" s="100">
        <f t="shared" si="126"/>
        <v>-1.7114914425427872E-2</v>
      </c>
      <c r="BU101" s="100">
        <f t="shared" si="126"/>
        <v>0</v>
      </c>
      <c r="BV101" s="100"/>
      <c r="BW101" s="100"/>
      <c r="BX101" s="100"/>
      <c r="BY101" s="100"/>
      <c r="BZ101" s="100"/>
      <c r="CA101" s="100"/>
      <c r="CB101" s="100"/>
      <c r="CC101" s="100"/>
      <c r="CD101" s="100"/>
      <c r="CE101" s="100"/>
      <c r="CF101" s="100"/>
      <c r="CG101" s="100"/>
      <c r="CH101" s="100"/>
      <c r="CI101" s="100"/>
      <c r="CJ101" s="100"/>
      <c r="CK101" s="100"/>
      <c r="CL101" s="100"/>
      <c r="CM101" s="100"/>
      <c r="CN101" s="100"/>
      <c r="CO101" s="100"/>
      <c r="CP101" s="97">
        <f>SUMPRODUCT(BQ101:CB101,BQ82:CB82)/SUM(BQ82:CB82)</f>
        <v>-1.832410121697834E-2</v>
      </c>
      <c r="CQ101" s="98">
        <f t="shared" si="131"/>
        <v>102.48922400004729</v>
      </c>
      <c r="CS101" s="90">
        <v>3</v>
      </c>
      <c r="CT101" s="99"/>
      <c r="CU101" s="100"/>
      <c r="CV101" s="100"/>
      <c r="CW101" s="100">
        <f>(CW82-CW81)/CW81</f>
        <v>0</v>
      </c>
      <c r="CX101" s="100">
        <f>(CX82-CX81)/CX81</f>
        <v>-4.7619047619047616E-2</v>
      </c>
      <c r="CY101" s="100">
        <f>(CY82-CY81)/CY81</f>
        <v>-2.3541453428863868E-2</v>
      </c>
      <c r="CZ101" s="100">
        <f>(CZ82-CZ81)/CZ81</f>
        <v>-3.7688442211055273E-2</v>
      </c>
      <c r="DA101" s="100">
        <f>(DA82-DA81)/DA81</f>
        <v>0.16666666666666666</v>
      </c>
      <c r="DB101" s="100"/>
      <c r="DC101" s="100"/>
      <c r="DD101" s="100"/>
      <c r="DE101" s="100"/>
      <c r="DF101" s="100"/>
      <c r="DG101" s="100"/>
      <c r="DH101" s="100"/>
      <c r="DI101" s="100"/>
      <c r="DJ101" s="100"/>
      <c r="DK101" s="100"/>
      <c r="DL101" s="100"/>
      <c r="DM101" s="100"/>
      <c r="DN101" s="100"/>
      <c r="DO101" s="100"/>
      <c r="DP101" s="100"/>
      <c r="DQ101" s="100"/>
      <c r="DR101" s="100"/>
      <c r="DS101" s="100"/>
      <c r="DT101" s="100"/>
      <c r="DU101" s="100"/>
      <c r="DV101" s="97">
        <f>SUMPRODUCT(CW101:DH101,CW82:DH82)/SUM(CW82:DH82)</f>
        <v>-2.6350020747732267E-2</v>
      </c>
      <c r="DW101" s="98" t="e">
        <f t="shared" si="133"/>
        <v>#DIV/0!</v>
      </c>
    </row>
    <row r="102" spans="1:127">
      <c r="A102" s="90">
        <v>4</v>
      </c>
      <c r="B102" s="99"/>
      <c r="C102" s="100"/>
      <c r="D102" s="100"/>
      <c r="E102" s="100"/>
      <c r="F102" s="100"/>
      <c r="G102" s="100"/>
      <c r="H102" s="100"/>
      <c r="I102" s="100"/>
      <c r="J102" s="100"/>
      <c r="K102" s="100"/>
      <c r="L102" s="100"/>
      <c r="M102" s="100"/>
      <c r="N102" s="100"/>
      <c r="O102" s="100"/>
      <c r="P102" s="100"/>
      <c r="Q102" s="100"/>
      <c r="R102" s="100"/>
      <c r="S102" s="100"/>
      <c r="T102" s="100"/>
      <c r="U102" s="100"/>
      <c r="V102" s="100"/>
      <c r="W102" s="100"/>
      <c r="X102" s="100"/>
      <c r="Y102" s="100"/>
      <c r="Z102" s="100"/>
      <c r="AA102" s="100"/>
      <c r="AB102" s="100"/>
      <c r="AC102" s="100"/>
      <c r="AD102" s="97" t="e">
        <f>SUMPRODUCT(F102:Q102,F83:Q83)/SUM(F83:Q83)</f>
        <v>#DIV/0!</v>
      </c>
      <c r="AE102" s="98" t="e">
        <f t="shared" si="128"/>
        <v>#DIV/0!</v>
      </c>
      <c r="AG102" s="90">
        <v>4</v>
      </c>
      <c r="AH102" s="99"/>
      <c r="AI102" s="100"/>
      <c r="AJ102" s="100"/>
      <c r="AK102" s="100"/>
      <c r="AL102" s="100">
        <f t="shared" ref="AL102:AW102" si="135">(AL83-AL82)/AL82</f>
        <v>-1.5625E-2</v>
      </c>
      <c r="AM102" s="100">
        <f t="shared" si="135"/>
        <v>0.12</v>
      </c>
      <c r="AN102" s="100">
        <f t="shared" si="135"/>
        <v>0</v>
      </c>
      <c r="AO102" s="100" t="e">
        <f t="shared" si="135"/>
        <v>#DIV/0!</v>
      </c>
      <c r="AP102" s="100" t="e">
        <f t="shared" si="135"/>
        <v>#DIV/0!</v>
      </c>
      <c r="AQ102" s="100" t="e">
        <f t="shared" si="135"/>
        <v>#DIV/0!</v>
      </c>
      <c r="AR102" s="100" t="e">
        <f t="shared" si="135"/>
        <v>#DIV/0!</v>
      </c>
      <c r="AS102" s="100" t="e">
        <f t="shared" si="135"/>
        <v>#DIV/0!</v>
      </c>
      <c r="AT102" s="100" t="e">
        <f t="shared" si="135"/>
        <v>#DIV/0!</v>
      </c>
      <c r="AU102" s="100" t="e">
        <f t="shared" si="135"/>
        <v>#DIV/0!</v>
      </c>
      <c r="AV102" s="100" t="e">
        <f t="shared" si="135"/>
        <v>#DIV/0!</v>
      </c>
      <c r="AW102" s="100" t="e">
        <f t="shared" si="135"/>
        <v>#DIV/0!</v>
      </c>
      <c r="AX102" s="100"/>
      <c r="AY102" s="100"/>
      <c r="AZ102" s="100"/>
      <c r="BA102" s="100"/>
      <c r="BB102" s="100"/>
      <c r="BC102" s="100"/>
      <c r="BD102" s="100"/>
      <c r="BE102" s="100"/>
      <c r="BF102" s="100"/>
      <c r="BG102" s="100"/>
      <c r="BH102" s="100"/>
      <c r="BI102" s="100"/>
      <c r="BJ102" s="97" t="e">
        <f>SUMPRODUCT(AL102:AW102,AL83:AW83)/SUM(AL83:AW83)</f>
        <v>#DIV/0!</v>
      </c>
      <c r="BK102" s="98" t="e">
        <f t="shared" si="130"/>
        <v>#DIV/0!</v>
      </c>
      <c r="BM102" s="90">
        <v>4</v>
      </c>
      <c r="BN102" s="99"/>
      <c r="BO102" s="100"/>
      <c r="BP102" s="100"/>
      <c r="BQ102" s="100"/>
      <c r="BR102" s="100">
        <f>(BR83-BR82)/BR82</f>
        <v>-4.046242774566474E-2</v>
      </c>
      <c r="BS102" s="100">
        <f>(BS83-BS82)/BS82</f>
        <v>2.0876826722338203E-3</v>
      </c>
      <c r="BT102" s="100">
        <f>(BT83-BT82)/BT82</f>
        <v>-1.9900497512437811E-2</v>
      </c>
      <c r="BU102" s="100">
        <f>(BU83-BU82)/BU82</f>
        <v>-5.2631578947368418E-2</v>
      </c>
      <c r="BV102" s="100"/>
      <c r="BW102" s="100"/>
      <c r="BX102" s="100"/>
      <c r="BY102" s="100"/>
      <c r="BZ102" s="100"/>
      <c r="CA102" s="100"/>
      <c r="CB102" s="100"/>
      <c r="CC102" s="100"/>
      <c r="CD102" s="100"/>
      <c r="CE102" s="100"/>
      <c r="CF102" s="100"/>
      <c r="CG102" s="100"/>
      <c r="CH102" s="100"/>
      <c r="CI102" s="100"/>
      <c r="CJ102" s="100"/>
      <c r="CK102" s="100"/>
      <c r="CL102" s="100"/>
      <c r="CM102" s="100"/>
      <c r="CN102" s="100"/>
      <c r="CO102" s="100"/>
      <c r="CP102" s="97">
        <f>SUMPRODUCT(BR102:CC102,BR83:CC83)/SUM(BR83:CC83)</f>
        <v>-6.1935898903452804E-3</v>
      </c>
      <c r="CQ102" s="98">
        <f t="shared" si="131"/>
        <v>101.85444777841127</v>
      </c>
      <c r="CS102" s="90">
        <v>4</v>
      </c>
      <c r="CT102" s="99"/>
      <c r="CU102" s="100"/>
      <c r="CV102" s="100"/>
      <c r="CW102" s="100"/>
      <c r="CX102" s="100">
        <f>(CX83-CX82)/CX82</f>
        <v>0</v>
      </c>
      <c r="CY102" s="100">
        <f>(CY83-CY82)/CY82</f>
        <v>9.433962264150943E-3</v>
      </c>
      <c r="CZ102" s="100">
        <f>(CZ83-CZ82)/CZ82</f>
        <v>-5.2219321148825066E-3</v>
      </c>
      <c r="DA102" s="100">
        <f>(DA83-DA82)/DA82</f>
        <v>-7.1428571428571425E-2</v>
      </c>
      <c r="DB102" s="100"/>
      <c r="DC102" s="100"/>
      <c r="DD102" s="100"/>
      <c r="DE102" s="100"/>
      <c r="DF102" s="100"/>
      <c r="DG102" s="100"/>
      <c r="DH102" s="100"/>
      <c r="DI102" s="100"/>
      <c r="DJ102" s="100"/>
      <c r="DK102" s="100"/>
      <c r="DL102" s="100"/>
      <c r="DM102" s="100"/>
      <c r="DN102" s="100"/>
      <c r="DO102" s="100"/>
      <c r="DP102" s="100"/>
      <c r="DQ102" s="100"/>
      <c r="DR102" s="100"/>
      <c r="DS102" s="100"/>
      <c r="DT102" s="100"/>
      <c r="DU102" s="100"/>
      <c r="DV102" s="97">
        <f>SUMPRODUCT(CX102:DI102,CX83:DI83)/SUM(CX83:DI83)</f>
        <v>4.351995833476144E-3</v>
      </c>
      <c r="DW102" s="98" t="e">
        <f t="shared" si="133"/>
        <v>#DIV/0!</v>
      </c>
    </row>
    <row r="103" spans="1:127">
      <c r="A103" s="90">
        <v>5</v>
      </c>
      <c r="B103" s="99"/>
      <c r="C103" s="100"/>
      <c r="D103" s="100"/>
      <c r="E103" s="100"/>
      <c r="F103" s="100"/>
      <c r="G103" s="100"/>
      <c r="H103" s="100"/>
      <c r="I103" s="100"/>
      <c r="J103" s="100"/>
      <c r="K103" s="100"/>
      <c r="L103" s="100"/>
      <c r="M103" s="100"/>
      <c r="N103" s="100"/>
      <c r="O103" s="100"/>
      <c r="P103" s="100"/>
      <c r="Q103" s="100"/>
      <c r="R103" s="100"/>
      <c r="S103" s="100"/>
      <c r="T103" s="100"/>
      <c r="U103" s="100"/>
      <c r="V103" s="100"/>
      <c r="W103" s="100"/>
      <c r="X103" s="100"/>
      <c r="Y103" s="100"/>
      <c r="Z103" s="100"/>
      <c r="AA103" s="100"/>
      <c r="AB103" s="100"/>
      <c r="AC103" s="100"/>
      <c r="AD103" s="97" t="e">
        <f>SUMPRODUCT(G103:R103,G84:R84)/SUM(G84:R84)</f>
        <v>#DIV/0!</v>
      </c>
      <c r="AE103" s="98" t="e">
        <f t="shared" si="128"/>
        <v>#DIV/0!</v>
      </c>
      <c r="AG103" s="90">
        <v>5</v>
      </c>
      <c r="AH103" s="99"/>
      <c r="AI103" s="100"/>
      <c r="AJ103" s="100"/>
      <c r="AK103" s="100"/>
      <c r="AL103" s="100"/>
      <c r="AM103" s="100">
        <f t="shared" ref="AM103:AX103" si="136">(AM84-AM83)/AM83</f>
        <v>-3.5714285714285712E-2</v>
      </c>
      <c r="AN103" s="100">
        <f t="shared" si="136"/>
        <v>-1</v>
      </c>
      <c r="AO103" s="100" t="e">
        <f t="shared" si="136"/>
        <v>#DIV/0!</v>
      </c>
      <c r="AP103" s="100" t="e">
        <f t="shared" si="136"/>
        <v>#DIV/0!</v>
      </c>
      <c r="AQ103" s="100" t="e">
        <f t="shared" si="136"/>
        <v>#DIV/0!</v>
      </c>
      <c r="AR103" s="100" t="e">
        <f t="shared" si="136"/>
        <v>#DIV/0!</v>
      </c>
      <c r="AS103" s="100" t="e">
        <f t="shared" si="136"/>
        <v>#DIV/0!</v>
      </c>
      <c r="AT103" s="100" t="e">
        <f t="shared" si="136"/>
        <v>#DIV/0!</v>
      </c>
      <c r="AU103" s="100" t="e">
        <f t="shared" si="136"/>
        <v>#DIV/0!</v>
      </c>
      <c r="AV103" s="100" t="e">
        <f t="shared" si="136"/>
        <v>#DIV/0!</v>
      </c>
      <c r="AW103" s="100" t="e">
        <f t="shared" si="136"/>
        <v>#DIV/0!</v>
      </c>
      <c r="AX103" s="100" t="e">
        <f t="shared" si="136"/>
        <v>#DIV/0!</v>
      </c>
      <c r="AY103" s="100"/>
      <c r="AZ103" s="100"/>
      <c r="BA103" s="100"/>
      <c r="BB103" s="100"/>
      <c r="BC103" s="100"/>
      <c r="BD103" s="100"/>
      <c r="BE103" s="100"/>
      <c r="BF103" s="100"/>
      <c r="BG103" s="100"/>
      <c r="BH103" s="100"/>
      <c r="BI103" s="100"/>
      <c r="BJ103" s="97" t="e">
        <f>SUMPRODUCT(AM103:AX103,AM84:AX84)/SUM(AM84:AX84)</f>
        <v>#DIV/0!</v>
      </c>
      <c r="BK103" s="98" t="e">
        <f t="shared" si="130"/>
        <v>#DIV/0!</v>
      </c>
      <c r="BM103" s="90">
        <v>5</v>
      </c>
      <c r="BN103" s="99"/>
      <c r="BO103" s="100"/>
      <c r="BP103" s="100"/>
      <c r="BQ103" s="100"/>
      <c r="BR103" s="100"/>
      <c r="BS103" s="100">
        <f>(BS84-BS83)/BS83</f>
        <v>7.6388888888888886E-3</v>
      </c>
      <c r="BT103" s="100">
        <f>(BT84-BT83)/BT83</f>
        <v>-2.2842639593908629E-2</v>
      </c>
      <c r="BU103" s="100">
        <f>(BU84-BU83)/BU83</f>
        <v>1.6111111111111112</v>
      </c>
      <c r="BV103" s="100"/>
      <c r="BW103" s="100"/>
      <c r="BX103" s="100"/>
      <c r="BY103" s="100"/>
      <c r="BZ103" s="100"/>
      <c r="CA103" s="100"/>
      <c r="CB103" s="100"/>
      <c r="CC103" s="100"/>
      <c r="CD103" s="100"/>
      <c r="CE103" s="100"/>
      <c r="CF103" s="100"/>
      <c r="CG103" s="100"/>
      <c r="CH103" s="100"/>
      <c r="CI103" s="100"/>
      <c r="CJ103" s="100"/>
      <c r="CK103" s="100"/>
      <c r="CL103" s="100"/>
      <c r="CM103" s="100"/>
      <c r="CN103" s="100"/>
      <c r="CO103" s="100"/>
      <c r="CP103" s="97">
        <f>SUMPRODUCT(BS103:CD103,BS84:CD84)/SUM(BS84:CD84)</f>
        <v>4.1429545276869456E-2</v>
      </c>
      <c r="CQ103" s="98">
        <f t="shared" si="131"/>
        <v>106.07423123429749</v>
      </c>
      <c r="CS103" s="90">
        <v>5</v>
      </c>
      <c r="CT103" s="99"/>
      <c r="CU103" s="100"/>
      <c r="CV103" s="100"/>
      <c r="CW103" s="100"/>
      <c r="CX103" s="100"/>
      <c r="CY103" s="100">
        <f>(CY84-CY83)/CY83</f>
        <v>-8.3073727933541015E-3</v>
      </c>
      <c r="CZ103" s="100">
        <f>(CZ84-CZ83)/CZ83</f>
        <v>-1.3123359580052493E-2</v>
      </c>
      <c r="DA103" s="100">
        <f>(DA84-DA83)/DA83</f>
        <v>0</v>
      </c>
      <c r="DB103" s="100"/>
      <c r="DC103" s="100"/>
      <c r="DD103" s="100"/>
      <c r="DE103" s="100"/>
      <c r="DF103" s="100"/>
      <c r="DG103" s="100"/>
      <c r="DH103" s="100"/>
      <c r="DI103" s="100"/>
      <c r="DJ103" s="100"/>
      <c r="DK103" s="100"/>
      <c r="DL103" s="100"/>
      <c r="DM103" s="100"/>
      <c r="DN103" s="100"/>
      <c r="DO103" s="100"/>
      <c r="DP103" s="100"/>
      <c r="DQ103" s="100"/>
      <c r="DR103" s="100"/>
      <c r="DS103" s="100"/>
      <c r="DT103" s="100"/>
      <c r="DU103" s="100"/>
      <c r="DV103" s="97">
        <f>SUMPRODUCT(CY103:DJ103,CY84:DJ84)/SUM(CY84:DJ84)</f>
        <v>-9.574348377792339E-3</v>
      </c>
      <c r="DW103" s="98" t="e">
        <f t="shared" si="133"/>
        <v>#DIV/0!</v>
      </c>
    </row>
    <row r="104" spans="1:127">
      <c r="A104" s="90">
        <v>6</v>
      </c>
      <c r="B104" s="99"/>
      <c r="C104" s="100"/>
      <c r="D104" s="100"/>
      <c r="E104" s="100"/>
      <c r="F104" s="100"/>
      <c r="G104" s="100"/>
      <c r="H104" s="100"/>
      <c r="I104" s="100"/>
      <c r="J104" s="100"/>
      <c r="K104" s="100"/>
      <c r="L104" s="100"/>
      <c r="M104" s="100"/>
      <c r="N104" s="100"/>
      <c r="O104" s="100"/>
      <c r="P104" s="100"/>
      <c r="Q104" s="100"/>
      <c r="R104" s="100"/>
      <c r="S104" s="100"/>
      <c r="T104" s="100"/>
      <c r="U104" s="100"/>
      <c r="V104" s="100"/>
      <c r="W104" s="100"/>
      <c r="X104" s="100"/>
      <c r="Y104" s="100"/>
      <c r="Z104" s="100"/>
      <c r="AA104" s="100"/>
      <c r="AB104" s="100"/>
      <c r="AC104" s="100"/>
      <c r="AD104" s="97" t="e">
        <f>SUMPRODUCT(H104:S104,H85:S85)/SUM(H85:S85)</f>
        <v>#DIV/0!</v>
      </c>
      <c r="AE104" s="98" t="e">
        <f t="shared" si="128"/>
        <v>#DIV/0!</v>
      </c>
      <c r="AG104" s="90">
        <v>6</v>
      </c>
      <c r="AH104" s="99"/>
      <c r="AI104" s="100"/>
      <c r="AJ104" s="100"/>
      <c r="AK104" s="100"/>
      <c r="AL104" s="100"/>
      <c r="AM104" s="100"/>
      <c r="AN104" s="100" t="e">
        <f t="shared" ref="AN104:AY104" si="137">(AN85-AN84)/AN84</f>
        <v>#DIV/0!</v>
      </c>
      <c r="AO104" s="100" t="e">
        <f t="shared" si="137"/>
        <v>#DIV/0!</v>
      </c>
      <c r="AP104" s="100" t="e">
        <f t="shared" si="137"/>
        <v>#DIV/0!</v>
      </c>
      <c r="AQ104" s="100" t="e">
        <f t="shared" si="137"/>
        <v>#DIV/0!</v>
      </c>
      <c r="AR104" s="100" t="e">
        <f t="shared" si="137"/>
        <v>#DIV/0!</v>
      </c>
      <c r="AS104" s="100" t="e">
        <f t="shared" si="137"/>
        <v>#DIV/0!</v>
      </c>
      <c r="AT104" s="100" t="e">
        <f t="shared" si="137"/>
        <v>#DIV/0!</v>
      </c>
      <c r="AU104" s="100" t="e">
        <f t="shared" si="137"/>
        <v>#DIV/0!</v>
      </c>
      <c r="AV104" s="100" t="e">
        <f t="shared" si="137"/>
        <v>#DIV/0!</v>
      </c>
      <c r="AW104" s="100" t="e">
        <f t="shared" si="137"/>
        <v>#DIV/0!</v>
      </c>
      <c r="AX104" s="100" t="e">
        <f t="shared" si="137"/>
        <v>#DIV/0!</v>
      </c>
      <c r="AY104" s="100" t="e">
        <f t="shared" si="137"/>
        <v>#DIV/0!</v>
      </c>
      <c r="AZ104" s="100"/>
      <c r="BA104" s="100"/>
      <c r="BB104" s="100"/>
      <c r="BC104" s="100"/>
      <c r="BD104" s="100"/>
      <c r="BE104" s="100"/>
      <c r="BF104" s="100"/>
      <c r="BG104" s="100"/>
      <c r="BH104" s="100"/>
      <c r="BI104" s="100"/>
      <c r="BJ104" s="97" t="e">
        <f>SUMPRODUCT(AN104:AY104,AN85:AY85)/SUM(AN85:AY85)</f>
        <v>#DIV/0!</v>
      </c>
      <c r="BK104" s="98" t="e">
        <f t="shared" si="130"/>
        <v>#DIV/0!</v>
      </c>
      <c r="BM104" s="90">
        <v>6</v>
      </c>
      <c r="BN104" s="99"/>
      <c r="BO104" s="100"/>
      <c r="BP104" s="100"/>
      <c r="BQ104" s="100"/>
      <c r="BR104" s="100"/>
      <c r="BS104" s="100"/>
      <c r="BT104" s="100">
        <f>(BT85-BT84)/BT84</f>
        <v>5.1948051948051948E-3</v>
      </c>
      <c r="BU104" s="100">
        <f>(BU85-BU84)/BU84</f>
        <v>0.10638297872340426</v>
      </c>
      <c r="BV104" s="100"/>
      <c r="BW104" s="100"/>
      <c r="BX104" s="100"/>
      <c r="BY104" s="100"/>
      <c r="BZ104" s="100"/>
      <c r="CA104" s="100"/>
      <c r="CB104" s="100"/>
      <c r="CC104" s="100"/>
      <c r="CD104" s="100"/>
      <c r="CE104" s="100"/>
      <c r="CF104" s="100"/>
      <c r="CG104" s="100"/>
      <c r="CH104" s="100"/>
      <c r="CI104" s="100"/>
      <c r="CJ104" s="100"/>
      <c r="CK104" s="100"/>
      <c r="CL104" s="100"/>
      <c r="CM104" s="100"/>
      <c r="CN104" s="100"/>
      <c r="CO104" s="100"/>
      <c r="CP104" s="97">
        <f>SUMPRODUCT(BT104:CE104,BT85:CE85)/SUM(BT85:CE85)</f>
        <v>1.7180648072908044E-2</v>
      </c>
      <c r="CQ104" s="98">
        <f t="shared" si="131"/>
        <v>107.89665527073821</v>
      </c>
      <c r="CS104" s="90">
        <v>6</v>
      </c>
      <c r="CT104" s="99"/>
      <c r="CU104" s="100"/>
      <c r="CV104" s="100"/>
      <c r="CW104" s="100"/>
      <c r="CX104" s="100"/>
      <c r="CY104" s="100"/>
      <c r="CZ104" s="100">
        <f>(CZ85-CZ84)/CZ84</f>
        <v>-1.5957446808510637E-2</v>
      </c>
      <c r="DA104" s="100">
        <f>(DA85-DA84)/DA84</f>
        <v>0</v>
      </c>
      <c r="DB104" s="100"/>
      <c r="DC104" s="100"/>
      <c r="DD104" s="100"/>
      <c r="DE104" s="100"/>
      <c r="DF104" s="100"/>
      <c r="DG104" s="100"/>
      <c r="DH104" s="100"/>
      <c r="DI104" s="100"/>
      <c r="DJ104" s="100"/>
      <c r="DK104" s="100"/>
      <c r="DL104" s="100"/>
      <c r="DM104" s="100"/>
      <c r="DN104" s="100"/>
      <c r="DO104" s="100"/>
      <c r="DP104" s="100"/>
      <c r="DQ104" s="100"/>
      <c r="DR104" s="100"/>
      <c r="DS104" s="100"/>
      <c r="DT104" s="100"/>
      <c r="DU104" s="100"/>
      <c r="DV104" s="97">
        <f>SUMPRODUCT(CZ104:DK104,CZ85:DK85)/SUM(CZ85:DK85)</f>
        <v>-1.5415810232764846E-2</v>
      </c>
      <c r="DW104" s="98" t="e">
        <f t="shared" si="133"/>
        <v>#DIV/0!</v>
      </c>
    </row>
    <row r="105" spans="1:127">
      <c r="A105" s="90">
        <v>7</v>
      </c>
      <c r="B105" s="99"/>
      <c r="C105" s="100"/>
      <c r="D105" s="100"/>
      <c r="E105" s="100"/>
      <c r="F105" s="100"/>
      <c r="G105" s="100"/>
      <c r="H105" s="100"/>
      <c r="I105" s="100"/>
      <c r="J105" s="100"/>
      <c r="K105" s="100"/>
      <c r="L105" s="100"/>
      <c r="M105" s="100"/>
      <c r="N105" s="100"/>
      <c r="O105" s="100"/>
      <c r="P105" s="100"/>
      <c r="Q105" s="100"/>
      <c r="R105" s="100"/>
      <c r="S105" s="100"/>
      <c r="T105" s="100"/>
      <c r="U105" s="100"/>
      <c r="V105" s="100"/>
      <c r="W105" s="100"/>
      <c r="X105" s="100"/>
      <c r="Y105" s="100"/>
      <c r="Z105" s="100"/>
      <c r="AA105" s="100"/>
      <c r="AB105" s="100"/>
      <c r="AC105" s="100"/>
      <c r="AD105" s="97" t="e">
        <f>SUMPRODUCT(I105:T105,I86:T86)/SUM(I86:T86)</f>
        <v>#DIV/0!</v>
      </c>
      <c r="AE105" s="98" t="e">
        <f t="shared" si="128"/>
        <v>#DIV/0!</v>
      </c>
      <c r="AG105" s="90">
        <v>7</v>
      </c>
      <c r="AH105" s="99"/>
      <c r="AI105" s="100"/>
      <c r="AJ105" s="100"/>
      <c r="AK105" s="100"/>
      <c r="AL105" s="100"/>
      <c r="AM105" s="100"/>
      <c r="AN105" s="100"/>
      <c r="AO105" s="100" t="e">
        <f t="shared" ref="AO105:AZ105" si="138">(AO86-AO85)/AO85</f>
        <v>#DIV/0!</v>
      </c>
      <c r="AP105" s="100" t="e">
        <f t="shared" si="138"/>
        <v>#DIV/0!</v>
      </c>
      <c r="AQ105" s="100" t="e">
        <f t="shared" si="138"/>
        <v>#DIV/0!</v>
      </c>
      <c r="AR105" s="100" t="e">
        <f t="shared" si="138"/>
        <v>#DIV/0!</v>
      </c>
      <c r="AS105" s="100" t="e">
        <f t="shared" si="138"/>
        <v>#DIV/0!</v>
      </c>
      <c r="AT105" s="100" t="e">
        <f t="shared" si="138"/>
        <v>#DIV/0!</v>
      </c>
      <c r="AU105" s="100" t="e">
        <f t="shared" si="138"/>
        <v>#DIV/0!</v>
      </c>
      <c r="AV105" s="100" t="e">
        <f t="shared" si="138"/>
        <v>#DIV/0!</v>
      </c>
      <c r="AW105" s="100" t="e">
        <f t="shared" si="138"/>
        <v>#DIV/0!</v>
      </c>
      <c r="AX105" s="100" t="e">
        <f t="shared" si="138"/>
        <v>#DIV/0!</v>
      </c>
      <c r="AY105" s="100" t="e">
        <f t="shared" si="138"/>
        <v>#DIV/0!</v>
      </c>
      <c r="AZ105" s="100" t="e">
        <f t="shared" si="138"/>
        <v>#DIV/0!</v>
      </c>
      <c r="BA105" s="100"/>
      <c r="BB105" s="100"/>
      <c r="BC105" s="100"/>
      <c r="BD105" s="100"/>
      <c r="BE105" s="100"/>
      <c r="BF105" s="100"/>
      <c r="BG105" s="100"/>
      <c r="BH105" s="100"/>
      <c r="BI105" s="100"/>
      <c r="BJ105" s="97" t="e">
        <f>SUMPRODUCT(AO105:AZ105,AO86:AZ86)/SUM(AO86:AZ86)</f>
        <v>#DIV/0!</v>
      </c>
      <c r="BK105" s="98" t="e">
        <f t="shared" si="130"/>
        <v>#DIV/0!</v>
      </c>
      <c r="BM105" s="90">
        <v>7</v>
      </c>
      <c r="BN105" s="99"/>
      <c r="BO105" s="100"/>
      <c r="BP105" s="100"/>
      <c r="BQ105" s="100"/>
      <c r="BR105" s="100"/>
      <c r="BS105" s="100"/>
      <c r="BT105" s="100"/>
      <c r="BU105" s="100">
        <f>(BU86-BU85)/BU85</f>
        <v>-3.8461538461538464E-2</v>
      </c>
      <c r="BV105" s="100"/>
      <c r="BW105" s="100"/>
      <c r="BX105" s="100"/>
      <c r="BY105" s="100"/>
      <c r="BZ105" s="100"/>
      <c r="CA105" s="100"/>
      <c r="CB105" s="100"/>
      <c r="CC105" s="100"/>
      <c r="CD105" s="100"/>
      <c r="CE105" s="100"/>
      <c r="CF105" s="100"/>
      <c r="CG105" s="100"/>
      <c r="CH105" s="100"/>
      <c r="CI105" s="100"/>
      <c r="CJ105" s="100"/>
      <c r="CK105" s="100"/>
      <c r="CL105" s="100"/>
      <c r="CM105" s="100"/>
      <c r="CN105" s="100"/>
      <c r="CO105" s="100"/>
      <c r="CP105" s="97">
        <f>SUMPRODUCT(BU105:CF105,BU86:CF86)/SUM(BU86:CF86)</f>
        <v>-3.7707390648567117E-2</v>
      </c>
      <c r="CQ105" s="98">
        <f t="shared" si="131"/>
        <v>103.8281539407707</v>
      </c>
      <c r="CS105" s="90">
        <v>7</v>
      </c>
      <c r="CT105" s="99"/>
      <c r="CU105" s="100"/>
      <c r="CV105" s="100"/>
      <c r="CW105" s="100"/>
      <c r="CX105" s="100"/>
      <c r="CY105" s="100"/>
      <c r="CZ105" s="100"/>
      <c r="DA105" s="100">
        <f>(DA86-DA85)/DA85</f>
        <v>7.6923076923076927E-2</v>
      </c>
      <c r="DB105" s="100"/>
      <c r="DC105" s="100"/>
      <c r="DD105" s="100"/>
      <c r="DE105" s="100"/>
      <c r="DF105" s="100"/>
      <c r="DG105" s="100"/>
      <c r="DH105" s="100"/>
      <c r="DI105" s="100"/>
      <c r="DJ105" s="100"/>
      <c r="DK105" s="100"/>
      <c r="DL105" s="100"/>
      <c r="DM105" s="100"/>
      <c r="DN105" s="100"/>
      <c r="DO105" s="100"/>
      <c r="DP105" s="100"/>
      <c r="DQ105" s="100"/>
      <c r="DR105" s="100"/>
      <c r="DS105" s="100"/>
      <c r="DT105" s="100"/>
      <c r="DU105" s="100"/>
      <c r="DV105" s="97">
        <f>SUMPRODUCT(DA105:DL105,DA86:DL86)/SUM(DA86:DL86)</f>
        <v>7.1794871794871803E-2</v>
      </c>
      <c r="DW105" s="98" t="e">
        <f t="shared" si="133"/>
        <v>#DIV/0!</v>
      </c>
    </row>
    <row r="106" spans="1:127">
      <c r="A106" s="90">
        <v>8</v>
      </c>
      <c r="B106" s="99"/>
      <c r="C106" s="100"/>
      <c r="D106" s="100"/>
      <c r="E106" s="100"/>
      <c r="F106" s="100"/>
      <c r="G106" s="100"/>
      <c r="H106" s="100"/>
      <c r="I106" s="100"/>
      <c r="J106" s="100"/>
      <c r="K106" s="100"/>
      <c r="L106" s="100"/>
      <c r="M106" s="100"/>
      <c r="N106" s="100"/>
      <c r="O106" s="100"/>
      <c r="P106" s="100"/>
      <c r="Q106" s="100"/>
      <c r="R106" s="100"/>
      <c r="S106" s="100"/>
      <c r="T106" s="100"/>
      <c r="U106" s="100"/>
      <c r="V106" s="100"/>
      <c r="W106" s="100"/>
      <c r="X106" s="100"/>
      <c r="Y106" s="100"/>
      <c r="Z106" s="100"/>
      <c r="AA106" s="100"/>
      <c r="AB106" s="100"/>
      <c r="AC106" s="100"/>
      <c r="AD106" s="97" t="e">
        <f>SUMPRODUCT(J106:U106,J87:U87)/SUM(J87:U87)</f>
        <v>#DIV/0!</v>
      </c>
      <c r="AE106" s="98" t="e">
        <f t="shared" si="128"/>
        <v>#DIV/0!</v>
      </c>
      <c r="AG106" s="90">
        <v>8</v>
      </c>
      <c r="AH106" s="99"/>
      <c r="AI106" s="100"/>
      <c r="AJ106" s="100"/>
      <c r="AK106" s="100"/>
      <c r="AL106" s="100"/>
      <c r="AM106" s="100"/>
      <c r="AN106" s="100"/>
      <c r="AO106" s="100"/>
      <c r="AP106" s="100" t="e">
        <f t="shared" ref="AP106:BA106" si="139">(AP87-AP86)/AP86</f>
        <v>#DIV/0!</v>
      </c>
      <c r="AQ106" s="100" t="e">
        <f t="shared" si="139"/>
        <v>#DIV/0!</v>
      </c>
      <c r="AR106" s="100" t="e">
        <f t="shared" si="139"/>
        <v>#DIV/0!</v>
      </c>
      <c r="AS106" s="100" t="e">
        <f t="shared" si="139"/>
        <v>#DIV/0!</v>
      </c>
      <c r="AT106" s="100" t="e">
        <f t="shared" si="139"/>
        <v>#DIV/0!</v>
      </c>
      <c r="AU106" s="100" t="e">
        <f t="shared" si="139"/>
        <v>#DIV/0!</v>
      </c>
      <c r="AV106" s="100" t="e">
        <f t="shared" si="139"/>
        <v>#DIV/0!</v>
      </c>
      <c r="AW106" s="100" t="e">
        <f t="shared" si="139"/>
        <v>#DIV/0!</v>
      </c>
      <c r="AX106" s="100" t="e">
        <f t="shared" si="139"/>
        <v>#DIV/0!</v>
      </c>
      <c r="AY106" s="100" t="e">
        <f t="shared" si="139"/>
        <v>#DIV/0!</v>
      </c>
      <c r="AZ106" s="100" t="e">
        <f t="shared" si="139"/>
        <v>#DIV/0!</v>
      </c>
      <c r="BA106" s="100" t="e">
        <f t="shared" si="139"/>
        <v>#DIV/0!</v>
      </c>
      <c r="BB106" s="100"/>
      <c r="BC106" s="100"/>
      <c r="BD106" s="100"/>
      <c r="BE106" s="100"/>
      <c r="BF106" s="100"/>
      <c r="BG106" s="100"/>
      <c r="BH106" s="100"/>
      <c r="BI106" s="100"/>
      <c r="BJ106" s="97" t="e">
        <f>SUMPRODUCT(AP106:BA106,AP87:BA87)/SUM(AP87:BA87)</f>
        <v>#DIV/0!</v>
      </c>
      <c r="BK106" s="98" t="e">
        <f t="shared" si="130"/>
        <v>#DIV/0!</v>
      </c>
      <c r="BM106" s="90">
        <v>8</v>
      </c>
      <c r="BN106" s="99"/>
      <c r="BO106" s="100"/>
      <c r="BP106" s="100"/>
      <c r="BQ106" s="100"/>
      <c r="BR106" s="100"/>
      <c r="BS106" s="100"/>
      <c r="BT106" s="100"/>
      <c r="BU106" s="100"/>
      <c r="BV106" s="100">
        <f>(BV87-BV86)/BV86</f>
        <v>-1</v>
      </c>
      <c r="BW106" s="100"/>
      <c r="BX106" s="100"/>
      <c r="BY106" s="100"/>
      <c r="BZ106" s="100"/>
      <c r="CA106" s="100"/>
      <c r="CB106" s="100"/>
      <c r="CC106" s="100"/>
      <c r="CD106" s="100"/>
      <c r="CE106" s="100"/>
      <c r="CF106" s="100"/>
      <c r="CG106" s="100"/>
      <c r="CH106" s="100"/>
      <c r="CI106" s="100"/>
      <c r="CJ106" s="100"/>
      <c r="CK106" s="100"/>
      <c r="CL106" s="100"/>
      <c r="CM106" s="100"/>
      <c r="CN106" s="100"/>
      <c r="CO106" s="100"/>
      <c r="CP106" s="97" t="e">
        <f>SUMPRODUCT(BV106:CG106,BV87:CG87)/SUM(BV87:CG87)</f>
        <v>#DIV/0!</v>
      </c>
      <c r="CQ106" s="98" t="e">
        <f t="shared" si="131"/>
        <v>#DIV/0!</v>
      </c>
      <c r="CS106" s="90">
        <v>8</v>
      </c>
      <c r="CT106" s="99"/>
      <c r="CU106" s="100"/>
      <c r="CV106" s="100"/>
      <c r="CW106" s="100"/>
      <c r="CX106" s="100"/>
      <c r="CY106" s="100"/>
      <c r="CZ106" s="100"/>
      <c r="DA106" s="100"/>
      <c r="DB106" s="100">
        <f>(DB87-DB86)/DB86</f>
        <v>0</v>
      </c>
      <c r="DC106" s="100"/>
      <c r="DD106" s="100"/>
      <c r="DE106" s="100"/>
      <c r="DF106" s="100"/>
      <c r="DG106" s="100"/>
      <c r="DH106" s="100"/>
      <c r="DI106" s="100"/>
      <c r="DJ106" s="100"/>
      <c r="DK106" s="100"/>
      <c r="DL106" s="100"/>
      <c r="DM106" s="100"/>
      <c r="DN106" s="100"/>
      <c r="DO106" s="100"/>
      <c r="DP106" s="100"/>
      <c r="DQ106" s="100"/>
      <c r="DR106" s="100"/>
      <c r="DS106" s="100"/>
      <c r="DT106" s="100"/>
      <c r="DU106" s="100"/>
      <c r="DV106" s="97">
        <f>SUMPRODUCT(DB106:DM106,DB87:DM87)/SUM(DB87:DM87)</f>
        <v>0</v>
      </c>
      <c r="DW106" s="98" t="e">
        <f t="shared" si="133"/>
        <v>#DIV/0!</v>
      </c>
    </row>
    <row r="107" spans="1:127">
      <c r="A107" s="90">
        <v>9</v>
      </c>
      <c r="B107" s="99"/>
      <c r="C107" s="100"/>
      <c r="D107" s="100"/>
      <c r="E107" s="100"/>
      <c r="F107" s="100"/>
      <c r="G107" s="100"/>
      <c r="H107" s="100"/>
      <c r="I107" s="100"/>
      <c r="J107" s="100"/>
      <c r="K107" s="100"/>
      <c r="L107" s="100"/>
      <c r="M107" s="100"/>
      <c r="N107" s="100"/>
      <c r="O107" s="100"/>
      <c r="P107" s="100"/>
      <c r="Q107" s="100"/>
      <c r="R107" s="100"/>
      <c r="S107" s="100"/>
      <c r="T107" s="100"/>
      <c r="U107" s="100"/>
      <c r="V107" s="100"/>
      <c r="W107" s="100"/>
      <c r="X107" s="100"/>
      <c r="Y107" s="100"/>
      <c r="Z107" s="100"/>
      <c r="AA107" s="100"/>
      <c r="AB107" s="100"/>
      <c r="AC107" s="100"/>
      <c r="AD107" s="97" t="e">
        <f>SUMPRODUCT(K107:V107,K88:V88)/SUM(K88:V88)</f>
        <v>#DIV/0!</v>
      </c>
      <c r="AE107" s="98" t="e">
        <f t="shared" si="128"/>
        <v>#DIV/0!</v>
      </c>
      <c r="AG107" s="90">
        <v>9</v>
      </c>
      <c r="AH107" s="99"/>
      <c r="AI107" s="100"/>
      <c r="AJ107" s="100"/>
      <c r="AK107" s="100"/>
      <c r="AL107" s="100"/>
      <c r="AM107" s="100"/>
      <c r="AN107" s="100"/>
      <c r="AO107" s="100"/>
      <c r="AP107" s="100"/>
      <c r="AQ107" s="100" t="e">
        <f t="shared" ref="AQ107:BB107" si="140">(AQ88-AQ87)/AQ87</f>
        <v>#DIV/0!</v>
      </c>
      <c r="AR107" s="100">
        <f t="shared" si="140"/>
        <v>0</v>
      </c>
      <c r="AS107" s="100" t="e">
        <f t="shared" si="140"/>
        <v>#DIV/0!</v>
      </c>
      <c r="AT107" s="100" t="e">
        <f t="shared" si="140"/>
        <v>#DIV/0!</v>
      </c>
      <c r="AU107" s="100" t="e">
        <f t="shared" si="140"/>
        <v>#DIV/0!</v>
      </c>
      <c r="AV107" s="100" t="e">
        <f t="shared" si="140"/>
        <v>#DIV/0!</v>
      </c>
      <c r="AW107" s="100" t="e">
        <f t="shared" si="140"/>
        <v>#DIV/0!</v>
      </c>
      <c r="AX107" s="100" t="e">
        <f t="shared" si="140"/>
        <v>#DIV/0!</v>
      </c>
      <c r="AY107" s="100" t="e">
        <f t="shared" si="140"/>
        <v>#DIV/0!</v>
      </c>
      <c r="AZ107" s="100" t="e">
        <f t="shared" si="140"/>
        <v>#DIV/0!</v>
      </c>
      <c r="BA107" s="100" t="e">
        <f t="shared" si="140"/>
        <v>#DIV/0!</v>
      </c>
      <c r="BB107" s="100" t="e">
        <f t="shared" si="140"/>
        <v>#DIV/0!</v>
      </c>
      <c r="BC107" s="100"/>
      <c r="BD107" s="100"/>
      <c r="BE107" s="100"/>
      <c r="BF107" s="100"/>
      <c r="BG107" s="100"/>
      <c r="BH107" s="100"/>
      <c r="BI107" s="100"/>
      <c r="BJ107" s="97" t="e">
        <f>SUMPRODUCT(AQ107:BB107,AQ88:BB88)/SUM(AQ88:BB88)</f>
        <v>#DIV/0!</v>
      </c>
      <c r="BK107" s="98" t="e">
        <f t="shared" si="130"/>
        <v>#DIV/0!</v>
      </c>
      <c r="BM107" s="90">
        <v>9</v>
      </c>
      <c r="BN107" s="99"/>
      <c r="BO107" s="100"/>
      <c r="BP107" s="100"/>
      <c r="BQ107" s="100"/>
      <c r="BR107" s="100"/>
      <c r="BS107" s="100"/>
      <c r="BT107" s="100"/>
      <c r="BU107" s="100"/>
      <c r="BV107" s="100"/>
      <c r="BW107" s="100"/>
      <c r="BX107" s="100"/>
      <c r="BY107" s="100"/>
      <c r="BZ107" s="100"/>
      <c r="CA107" s="100"/>
      <c r="CB107" s="100"/>
      <c r="CC107" s="100"/>
      <c r="CD107" s="100"/>
      <c r="CE107" s="100"/>
      <c r="CF107" s="100"/>
      <c r="CG107" s="100"/>
      <c r="CH107" s="100"/>
      <c r="CI107" s="100"/>
      <c r="CJ107" s="100"/>
      <c r="CK107" s="100"/>
      <c r="CL107" s="100"/>
      <c r="CM107" s="100"/>
      <c r="CN107" s="100"/>
      <c r="CO107" s="100"/>
      <c r="CP107" s="97" t="e">
        <f>SUMPRODUCT(BW107:CH107,BW88:CH88)/SUM(BW88:CH88)</f>
        <v>#DIV/0!</v>
      </c>
      <c r="CQ107" s="98" t="e">
        <f t="shared" si="131"/>
        <v>#DIV/0!</v>
      </c>
      <c r="CS107" s="90">
        <v>9</v>
      </c>
      <c r="CT107" s="99"/>
      <c r="CU107" s="100"/>
      <c r="CV107" s="100"/>
      <c r="CW107" s="100"/>
      <c r="CX107" s="100"/>
      <c r="CY107" s="100"/>
      <c r="CZ107" s="100"/>
      <c r="DA107" s="100"/>
      <c r="DB107" s="100"/>
      <c r="DC107" s="100"/>
      <c r="DD107" s="100"/>
      <c r="DE107" s="100"/>
      <c r="DF107" s="100"/>
      <c r="DG107" s="100"/>
      <c r="DH107" s="100"/>
      <c r="DI107" s="100"/>
      <c r="DJ107" s="100"/>
      <c r="DK107" s="100"/>
      <c r="DL107" s="100"/>
      <c r="DM107" s="100"/>
      <c r="DN107" s="100"/>
      <c r="DO107" s="100"/>
      <c r="DP107" s="100"/>
      <c r="DQ107" s="100"/>
      <c r="DR107" s="100"/>
      <c r="DS107" s="100"/>
      <c r="DT107" s="100"/>
      <c r="DU107" s="100"/>
      <c r="DV107" s="97" t="e">
        <f>SUMPRODUCT(DC107:DN107,DC88:DN88)/SUM(DC88:DN88)</f>
        <v>#DIV/0!</v>
      </c>
      <c r="DW107" s="98" t="e">
        <f t="shared" si="133"/>
        <v>#DIV/0!</v>
      </c>
    </row>
    <row r="108" spans="1:127">
      <c r="A108" s="90">
        <v>10</v>
      </c>
      <c r="B108" s="99"/>
      <c r="C108" s="100"/>
      <c r="D108" s="100"/>
      <c r="E108" s="100"/>
      <c r="F108" s="100"/>
      <c r="G108" s="100"/>
      <c r="H108" s="100"/>
      <c r="I108" s="100"/>
      <c r="J108" s="100"/>
      <c r="K108" s="100"/>
      <c r="L108" s="100"/>
      <c r="M108" s="100"/>
      <c r="N108" s="100"/>
      <c r="O108" s="100"/>
      <c r="P108" s="100"/>
      <c r="Q108" s="100"/>
      <c r="R108" s="100"/>
      <c r="S108" s="100"/>
      <c r="T108" s="100"/>
      <c r="U108" s="100"/>
      <c r="V108" s="100"/>
      <c r="W108" s="100"/>
      <c r="X108" s="100"/>
      <c r="Y108" s="100"/>
      <c r="Z108" s="100"/>
      <c r="AA108" s="100"/>
      <c r="AB108" s="100"/>
      <c r="AC108" s="100"/>
      <c r="AD108" s="97" t="e">
        <f>SUMPRODUCT(L108:W108,L89:W89)/SUM(L89:W89)</f>
        <v>#DIV/0!</v>
      </c>
      <c r="AE108" s="98" t="e">
        <f t="shared" si="128"/>
        <v>#DIV/0!</v>
      </c>
      <c r="AG108" s="90">
        <v>10</v>
      </c>
      <c r="AH108" s="99"/>
      <c r="AI108" s="100"/>
      <c r="AJ108" s="100"/>
      <c r="AK108" s="100"/>
      <c r="AL108" s="100"/>
      <c r="AM108" s="100"/>
      <c r="AN108" s="100"/>
      <c r="AO108" s="100"/>
      <c r="AP108" s="100"/>
      <c r="AQ108" s="100"/>
      <c r="AR108" s="100">
        <f t="shared" ref="AR108:BC108" si="141">(AR89-AR88)/AR88</f>
        <v>0</v>
      </c>
      <c r="AS108" s="100" t="e">
        <f t="shared" si="141"/>
        <v>#DIV/0!</v>
      </c>
      <c r="AT108" s="100" t="e">
        <f t="shared" si="141"/>
        <v>#DIV/0!</v>
      </c>
      <c r="AU108" s="100" t="e">
        <f t="shared" si="141"/>
        <v>#DIV/0!</v>
      </c>
      <c r="AV108" s="100" t="e">
        <f t="shared" si="141"/>
        <v>#DIV/0!</v>
      </c>
      <c r="AW108" s="100" t="e">
        <f t="shared" si="141"/>
        <v>#DIV/0!</v>
      </c>
      <c r="AX108" s="100" t="e">
        <f t="shared" si="141"/>
        <v>#DIV/0!</v>
      </c>
      <c r="AY108" s="100" t="e">
        <f t="shared" si="141"/>
        <v>#DIV/0!</v>
      </c>
      <c r="AZ108" s="100" t="e">
        <f t="shared" si="141"/>
        <v>#DIV/0!</v>
      </c>
      <c r="BA108" s="100" t="e">
        <f t="shared" si="141"/>
        <v>#DIV/0!</v>
      </c>
      <c r="BB108" s="100" t="e">
        <f t="shared" si="141"/>
        <v>#DIV/0!</v>
      </c>
      <c r="BC108" s="100" t="e">
        <f t="shared" si="141"/>
        <v>#DIV/0!</v>
      </c>
      <c r="BD108" s="100"/>
      <c r="BE108" s="100"/>
      <c r="BF108" s="100"/>
      <c r="BG108" s="100"/>
      <c r="BH108" s="100"/>
      <c r="BI108" s="100"/>
      <c r="BJ108" s="97" t="e">
        <f>SUMPRODUCT(AR108:BC108,AR89:BC89)/SUM(AR89:BC89)</f>
        <v>#DIV/0!</v>
      </c>
      <c r="BK108" s="98" t="e">
        <f t="shared" si="130"/>
        <v>#DIV/0!</v>
      </c>
      <c r="BM108" s="90">
        <v>10</v>
      </c>
      <c r="BN108" s="99"/>
      <c r="BO108" s="100"/>
      <c r="BP108" s="100"/>
      <c r="BQ108" s="100"/>
      <c r="BR108" s="100"/>
      <c r="BS108" s="100"/>
      <c r="BT108" s="100"/>
      <c r="BU108" s="100"/>
      <c r="BV108" s="100"/>
      <c r="BW108" s="100"/>
      <c r="BX108" s="100"/>
      <c r="BY108" s="100"/>
      <c r="BZ108" s="100"/>
      <c r="CA108" s="100"/>
      <c r="CB108" s="100"/>
      <c r="CC108" s="100"/>
      <c r="CD108" s="100"/>
      <c r="CE108" s="100"/>
      <c r="CF108" s="100"/>
      <c r="CG108" s="100"/>
      <c r="CH108" s="100"/>
      <c r="CI108" s="100"/>
      <c r="CJ108" s="100"/>
      <c r="CK108" s="100"/>
      <c r="CL108" s="100"/>
      <c r="CM108" s="100"/>
      <c r="CN108" s="100"/>
      <c r="CO108" s="100"/>
      <c r="CP108" s="97" t="e">
        <f>SUMPRODUCT(BX108:CI108,BX89:CI89)/SUM(BX89:CI89)</f>
        <v>#DIV/0!</v>
      </c>
      <c r="CQ108" s="98" t="e">
        <f t="shared" si="131"/>
        <v>#DIV/0!</v>
      </c>
      <c r="CS108" s="90">
        <v>10</v>
      </c>
      <c r="CT108" s="99"/>
      <c r="CU108" s="100"/>
      <c r="CV108" s="100"/>
      <c r="CW108" s="100"/>
      <c r="CX108" s="100"/>
      <c r="CY108" s="100"/>
      <c r="CZ108" s="100"/>
      <c r="DA108" s="100"/>
      <c r="DB108" s="100"/>
      <c r="DC108" s="100"/>
      <c r="DD108" s="100"/>
      <c r="DE108" s="100"/>
      <c r="DF108" s="100"/>
      <c r="DG108" s="100"/>
      <c r="DH108" s="100"/>
      <c r="DI108" s="100"/>
      <c r="DJ108" s="100"/>
      <c r="DK108" s="100"/>
      <c r="DL108" s="100"/>
      <c r="DM108" s="100"/>
      <c r="DN108" s="100"/>
      <c r="DO108" s="100"/>
      <c r="DP108" s="100"/>
      <c r="DQ108" s="100"/>
      <c r="DR108" s="100"/>
      <c r="DS108" s="100"/>
      <c r="DT108" s="100"/>
      <c r="DU108" s="100"/>
      <c r="DV108" s="97" t="e">
        <f>SUMPRODUCT(DD108:DO108,DD89:DO89)/SUM(DD89:DO89)</f>
        <v>#DIV/0!</v>
      </c>
      <c r="DW108" s="98" t="e">
        <f t="shared" si="133"/>
        <v>#DIV/0!</v>
      </c>
    </row>
    <row r="109" spans="1:127">
      <c r="A109" s="90">
        <v>11</v>
      </c>
      <c r="B109" s="99"/>
      <c r="C109" s="100"/>
      <c r="D109" s="100"/>
      <c r="E109" s="100"/>
      <c r="F109" s="100"/>
      <c r="G109" s="100"/>
      <c r="H109" s="100"/>
      <c r="I109" s="100"/>
      <c r="J109" s="100"/>
      <c r="K109" s="100"/>
      <c r="L109" s="100"/>
      <c r="M109" s="100"/>
      <c r="N109" s="100"/>
      <c r="O109" s="100"/>
      <c r="P109" s="100"/>
      <c r="Q109" s="100"/>
      <c r="R109" s="100"/>
      <c r="S109" s="100"/>
      <c r="T109" s="100"/>
      <c r="U109" s="100"/>
      <c r="V109" s="100"/>
      <c r="W109" s="100"/>
      <c r="X109" s="100"/>
      <c r="Y109" s="100"/>
      <c r="Z109" s="100"/>
      <c r="AA109" s="100"/>
      <c r="AB109" s="100"/>
      <c r="AC109" s="100"/>
      <c r="AD109" s="97" t="e">
        <f>SUMPRODUCT(M109:X109,M90:X90)/SUM(M90:X90)</f>
        <v>#DIV/0!</v>
      </c>
      <c r="AE109" s="98" t="e">
        <f t="shared" si="128"/>
        <v>#DIV/0!</v>
      </c>
      <c r="AG109" s="90">
        <v>11</v>
      </c>
      <c r="AH109" s="99"/>
      <c r="AI109" s="100"/>
      <c r="AJ109" s="100"/>
      <c r="AK109" s="100"/>
      <c r="AL109" s="100"/>
      <c r="AM109" s="100"/>
      <c r="AN109" s="100"/>
      <c r="AO109" s="100"/>
      <c r="AP109" s="100"/>
      <c r="AQ109" s="100"/>
      <c r="AR109" s="100"/>
      <c r="AS109" s="100" t="e">
        <f t="shared" ref="AS109:BD109" si="142">(AS90-AS89)/AS89</f>
        <v>#DIV/0!</v>
      </c>
      <c r="AT109" s="100" t="e">
        <f t="shared" si="142"/>
        <v>#DIV/0!</v>
      </c>
      <c r="AU109" s="100" t="e">
        <f t="shared" si="142"/>
        <v>#DIV/0!</v>
      </c>
      <c r="AV109" s="100" t="e">
        <f t="shared" si="142"/>
        <v>#DIV/0!</v>
      </c>
      <c r="AW109" s="100" t="e">
        <f t="shared" si="142"/>
        <v>#DIV/0!</v>
      </c>
      <c r="AX109" s="100" t="e">
        <f t="shared" si="142"/>
        <v>#DIV/0!</v>
      </c>
      <c r="AY109" s="100" t="e">
        <f t="shared" si="142"/>
        <v>#DIV/0!</v>
      </c>
      <c r="AZ109" s="100" t="e">
        <f t="shared" si="142"/>
        <v>#DIV/0!</v>
      </c>
      <c r="BA109" s="100" t="e">
        <f t="shared" si="142"/>
        <v>#DIV/0!</v>
      </c>
      <c r="BB109" s="100" t="e">
        <f t="shared" si="142"/>
        <v>#DIV/0!</v>
      </c>
      <c r="BC109" s="100" t="e">
        <f t="shared" si="142"/>
        <v>#DIV/0!</v>
      </c>
      <c r="BD109" s="100" t="e">
        <f t="shared" si="142"/>
        <v>#DIV/0!</v>
      </c>
      <c r="BE109" s="100"/>
      <c r="BF109" s="100"/>
      <c r="BG109" s="100"/>
      <c r="BH109" s="100"/>
      <c r="BI109" s="100"/>
      <c r="BJ109" s="97" t="e">
        <f>SUMPRODUCT(AS109:BD109,AS90:BD90)/SUM(AS90:BD90)</f>
        <v>#DIV/0!</v>
      </c>
      <c r="BK109" s="98" t="e">
        <f t="shared" si="130"/>
        <v>#DIV/0!</v>
      </c>
      <c r="BM109" s="90">
        <v>11</v>
      </c>
      <c r="BN109" s="99"/>
      <c r="BO109" s="100"/>
      <c r="BP109" s="100"/>
      <c r="BQ109" s="100"/>
      <c r="BR109" s="100"/>
      <c r="BS109" s="100"/>
      <c r="BT109" s="100"/>
      <c r="BU109" s="100"/>
      <c r="BV109" s="100"/>
      <c r="BW109" s="100"/>
      <c r="BX109" s="100"/>
      <c r="BY109" s="100"/>
      <c r="BZ109" s="100"/>
      <c r="CA109" s="100"/>
      <c r="CB109" s="100"/>
      <c r="CC109" s="100"/>
      <c r="CD109" s="100"/>
      <c r="CE109" s="100"/>
      <c r="CF109" s="100"/>
      <c r="CG109" s="100"/>
      <c r="CH109" s="100"/>
      <c r="CI109" s="100"/>
      <c r="CJ109" s="100"/>
      <c r="CK109" s="100"/>
      <c r="CL109" s="100"/>
      <c r="CM109" s="100"/>
      <c r="CN109" s="100"/>
      <c r="CO109" s="100"/>
      <c r="CP109" s="97" t="e">
        <f>SUMPRODUCT(BY109:CJ109,BY90:CJ90)/SUM(BY90:CJ90)</f>
        <v>#DIV/0!</v>
      </c>
      <c r="CQ109" s="98" t="e">
        <f t="shared" si="131"/>
        <v>#DIV/0!</v>
      </c>
      <c r="CS109" s="90">
        <v>11</v>
      </c>
      <c r="CT109" s="99"/>
      <c r="CU109" s="100"/>
      <c r="CV109" s="100"/>
      <c r="CW109" s="100"/>
      <c r="CX109" s="100"/>
      <c r="CY109" s="100"/>
      <c r="CZ109" s="100"/>
      <c r="DA109" s="100"/>
      <c r="DB109" s="100"/>
      <c r="DC109" s="100"/>
      <c r="DD109" s="100"/>
      <c r="DE109" s="100"/>
      <c r="DF109" s="100"/>
      <c r="DG109" s="100"/>
      <c r="DH109" s="100"/>
      <c r="DI109" s="100"/>
      <c r="DJ109" s="100"/>
      <c r="DK109" s="100"/>
      <c r="DL109" s="100"/>
      <c r="DM109" s="100"/>
      <c r="DN109" s="100"/>
      <c r="DO109" s="100"/>
      <c r="DP109" s="100"/>
      <c r="DQ109" s="100"/>
      <c r="DR109" s="100"/>
      <c r="DS109" s="100"/>
      <c r="DT109" s="100"/>
      <c r="DU109" s="100"/>
      <c r="DV109" s="97" t="e">
        <f>SUMPRODUCT(DE109:DP109,DE90:DP90)/SUM(DE90:DP90)</f>
        <v>#DIV/0!</v>
      </c>
      <c r="DW109" s="98" t="e">
        <f t="shared" si="133"/>
        <v>#DIV/0!</v>
      </c>
    </row>
    <row r="110" spans="1:127">
      <c r="A110" s="90">
        <v>12</v>
      </c>
      <c r="B110" s="99"/>
      <c r="C110" s="100"/>
      <c r="D110" s="100"/>
      <c r="E110" s="100"/>
      <c r="F110" s="100"/>
      <c r="G110" s="100"/>
      <c r="H110" s="100"/>
      <c r="I110" s="100"/>
      <c r="J110" s="100"/>
      <c r="K110" s="100"/>
      <c r="L110" s="100"/>
      <c r="M110" s="100"/>
      <c r="N110" s="100"/>
      <c r="O110" s="100"/>
      <c r="P110" s="100"/>
      <c r="Q110" s="100"/>
      <c r="R110" s="100"/>
      <c r="S110" s="100"/>
      <c r="T110" s="100"/>
      <c r="U110" s="100"/>
      <c r="V110" s="100"/>
      <c r="W110" s="100"/>
      <c r="X110" s="100"/>
      <c r="Y110" s="100"/>
      <c r="Z110" s="100"/>
      <c r="AA110" s="100"/>
      <c r="AB110" s="100"/>
      <c r="AC110" s="100"/>
      <c r="AD110" s="97" t="e">
        <f>SUMPRODUCT(N110:Y110,N91:Y91)/SUM(N91:Y91)</f>
        <v>#DIV/0!</v>
      </c>
      <c r="AE110" s="98" t="e">
        <f t="shared" si="128"/>
        <v>#DIV/0!</v>
      </c>
      <c r="AG110" s="90">
        <v>12</v>
      </c>
      <c r="AH110" s="99"/>
      <c r="AI110" s="100"/>
      <c r="AJ110" s="100"/>
      <c r="AK110" s="100"/>
      <c r="AL110" s="100"/>
      <c r="AM110" s="100"/>
      <c r="AN110" s="100"/>
      <c r="AO110" s="100"/>
      <c r="AP110" s="100"/>
      <c r="AQ110" s="100"/>
      <c r="AR110" s="100"/>
      <c r="AS110" s="100"/>
      <c r="AT110" s="100" t="e">
        <f t="shared" ref="AT110:BE110" si="143">(AT91-AT90)/AT90</f>
        <v>#DIV/0!</v>
      </c>
      <c r="AU110" s="100" t="e">
        <f t="shared" si="143"/>
        <v>#DIV/0!</v>
      </c>
      <c r="AV110" s="100" t="e">
        <f t="shared" si="143"/>
        <v>#DIV/0!</v>
      </c>
      <c r="AW110" s="100" t="e">
        <f t="shared" si="143"/>
        <v>#DIV/0!</v>
      </c>
      <c r="AX110" s="100" t="e">
        <f t="shared" si="143"/>
        <v>#DIV/0!</v>
      </c>
      <c r="AY110" s="100" t="e">
        <f t="shared" si="143"/>
        <v>#DIV/0!</v>
      </c>
      <c r="AZ110" s="100" t="e">
        <f t="shared" si="143"/>
        <v>#DIV/0!</v>
      </c>
      <c r="BA110" s="100" t="e">
        <f t="shared" si="143"/>
        <v>#DIV/0!</v>
      </c>
      <c r="BB110" s="100" t="e">
        <f t="shared" si="143"/>
        <v>#DIV/0!</v>
      </c>
      <c r="BC110" s="100" t="e">
        <f t="shared" si="143"/>
        <v>#DIV/0!</v>
      </c>
      <c r="BD110" s="100" t="e">
        <f t="shared" si="143"/>
        <v>#DIV/0!</v>
      </c>
      <c r="BE110" s="100" t="e">
        <f t="shared" si="143"/>
        <v>#DIV/0!</v>
      </c>
      <c r="BF110" s="100"/>
      <c r="BG110" s="100"/>
      <c r="BH110" s="100"/>
      <c r="BI110" s="100"/>
      <c r="BJ110" s="97" t="e">
        <f>SUMPRODUCT(AT110:BE110,AT91:BE91)/SUM(AT91:BE91)</f>
        <v>#DIV/0!</v>
      </c>
      <c r="BK110" s="98" t="e">
        <f t="shared" si="130"/>
        <v>#DIV/0!</v>
      </c>
      <c r="BM110" s="90">
        <v>12</v>
      </c>
      <c r="BN110" s="99"/>
      <c r="BO110" s="100"/>
      <c r="BP110" s="100"/>
      <c r="BQ110" s="100"/>
      <c r="BR110" s="100"/>
      <c r="BS110" s="100"/>
      <c r="BT110" s="100"/>
      <c r="BU110" s="100"/>
      <c r="BV110" s="100"/>
      <c r="BW110" s="100"/>
      <c r="BX110" s="100"/>
      <c r="BY110" s="100"/>
      <c r="BZ110" s="100"/>
      <c r="CA110" s="100"/>
      <c r="CB110" s="100"/>
      <c r="CC110" s="100"/>
      <c r="CD110" s="100"/>
      <c r="CE110" s="100"/>
      <c r="CF110" s="100"/>
      <c r="CG110" s="100"/>
      <c r="CH110" s="100"/>
      <c r="CI110" s="100"/>
      <c r="CJ110" s="100"/>
      <c r="CK110" s="100"/>
      <c r="CL110" s="100"/>
      <c r="CM110" s="100"/>
      <c r="CN110" s="100"/>
      <c r="CO110" s="100"/>
      <c r="CP110" s="97" t="e">
        <f>SUMPRODUCT(BZ110:CK110,BZ91:CK91)/SUM(BZ91:CK91)</f>
        <v>#DIV/0!</v>
      </c>
      <c r="CQ110" s="98" t="e">
        <f t="shared" si="131"/>
        <v>#DIV/0!</v>
      </c>
      <c r="CS110" s="90">
        <v>12</v>
      </c>
      <c r="CT110" s="99"/>
      <c r="CU110" s="100"/>
      <c r="CV110" s="100"/>
      <c r="CW110" s="100"/>
      <c r="CX110" s="100"/>
      <c r="CY110" s="100"/>
      <c r="CZ110" s="100"/>
      <c r="DA110" s="100"/>
      <c r="DB110" s="100"/>
      <c r="DC110" s="100"/>
      <c r="DD110" s="100"/>
      <c r="DE110" s="100"/>
      <c r="DF110" s="100"/>
      <c r="DG110" s="100"/>
      <c r="DH110" s="100"/>
      <c r="DI110" s="100"/>
      <c r="DJ110" s="100"/>
      <c r="DK110" s="100"/>
      <c r="DL110" s="100"/>
      <c r="DM110" s="100"/>
      <c r="DN110" s="100"/>
      <c r="DO110" s="100"/>
      <c r="DP110" s="100"/>
      <c r="DQ110" s="100"/>
      <c r="DR110" s="100"/>
      <c r="DS110" s="100"/>
      <c r="DT110" s="100"/>
      <c r="DU110" s="100"/>
      <c r="DV110" s="97" t="e">
        <f>SUMPRODUCT(DF110:DQ110,DF91:DQ91)/SUM(DF91:DQ91)</f>
        <v>#DIV/0!</v>
      </c>
      <c r="DW110" s="98" t="e">
        <f t="shared" si="133"/>
        <v>#DIV/0!</v>
      </c>
    </row>
    <row r="111" spans="1:127">
      <c r="A111" s="90">
        <v>13</v>
      </c>
      <c r="B111" s="99"/>
      <c r="C111" s="100"/>
      <c r="D111" s="100"/>
      <c r="E111" s="100"/>
      <c r="F111" s="100"/>
      <c r="G111" s="100"/>
      <c r="H111" s="100"/>
      <c r="I111" s="100"/>
      <c r="J111" s="100"/>
      <c r="K111" s="100"/>
      <c r="L111" s="100"/>
      <c r="M111" s="100"/>
      <c r="N111" s="100"/>
      <c r="O111" s="100"/>
      <c r="P111" s="100"/>
      <c r="Q111" s="100"/>
      <c r="R111" s="100"/>
      <c r="S111" s="100"/>
      <c r="T111" s="100"/>
      <c r="U111" s="100"/>
      <c r="V111" s="100"/>
      <c r="W111" s="100"/>
      <c r="X111" s="100"/>
      <c r="Y111" s="100"/>
      <c r="Z111" s="100"/>
      <c r="AA111" s="100"/>
      <c r="AB111" s="100"/>
      <c r="AC111" s="100"/>
      <c r="AD111" s="97" t="e">
        <f>SUMPRODUCT(O111:Z111,O92:Z92)/SUM(O92:Z92)</f>
        <v>#DIV/0!</v>
      </c>
      <c r="AE111" s="98" t="e">
        <f t="shared" si="128"/>
        <v>#DIV/0!</v>
      </c>
      <c r="AG111" s="90">
        <v>13</v>
      </c>
      <c r="AH111" s="99"/>
      <c r="AI111" s="100"/>
      <c r="AJ111" s="100"/>
      <c r="AK111" s="100"/>
      <c r="AL111" s="100"/>
      <c r="AM111" s="100"/>
      <c r="AN111" s="100"/>
      <c r="AO111" s="100"/>
      <c r="AP111" s="100"/>
      <c r="AQ111" s="100"/>
      <c r="AR111" s="100"/>
      <c r="AS111" s="100"/>
      <c r="AT111" s="100"/>
      <c r="AU111" s="100" t="e">
        <f t="shared" ref="AU111:BF111" si="144">(AU92-AU91)/AU91</f>
        <v>#DIV/0!</v>
      </c>
      <c r="AV111" s="100" t="e">
        <f t="shared" si="144"/>
        <v>#DIV/0!</v>
      </c>
      <c r="AW111" s="100" t="e">
        <f t="shared" si="144"/>
        <v>#DIV/0!</v>
      </c>
      <c r="AX111" s="100" t="e">
        <f t="shared" si="144"/>
        <v>#DIV/0!</v>
      </c>
      <c r="AY111" s="100" t="e">
        <f t="shared" si="144"/>
        <v>#DIV/0!</v>
      </c>
      <c r="AZ111" s="100" t="e">
        <f t="shared" si="144"/>
        <v>#DIV/0!</v>
      </c>
      <c r="BA111" s="100" t="e">
        <f t="shared" si="144"/>
        <v>#DIV/0!</v>
      </c>
      <c r="BB111" s="100" t="e">
        <f t="shared" si="144"/>
        <v>#DIV/0!</v>
      </c>
      <c r="BC111" s="100" t="e">
        <f t="shared" si="144"/>
        <v>#DIV/0!</v>
      </c>
      <c r="BD111" s="100" t="e">
        <f t="shared" si="144"/>
        <v>#DIV/0!</v>
      </c>
      <c r="BE111" s="100" t="e">
        <f t="shared" si="144"/>
        <v>#DIV/0!</v>
      </c>
      <c r="BF111" s="100" t="e">
        <f t="shared" si="144"/>
        <v>#DIV/0!</v>
      </c>
      <c r="BG111" s="100"/>
      <c r="BH111" s="100"/>
      <c r="BI111" s="100"/>
      <c r="BJ111" s="97" t="e">
        <f>SUMPRODUCT(AU111:BF111,AU92:BF92)/SUM(AU92:BF92)</f>
        <v>#DIV/0!</v>
      </c>
      <c r="BK111" s="98" t="e">
        <f t="shared" si="130"/>
        <v>#DIV/0!</v>
      </c>
      <c r="BM111" s="90">
        <v>13</v>
      </c>
      <c r="BN111" s="99"/>
      <c r="BO111" s="100"/>
      <c r="BP111" s="100"/>
      <c r="BQ111" s="100"/>
      <c r="BR111" s="100"/>
      <c r="BS111" s="100"/>
      <c r="BT111" s="100"/>
      <c r="BU111" s="100"/>
      <c r="BV111" s="100"/>
      <c r="BW111" s="100"/>
      <c r="BX111" s="100"/>
      <c r="BY111" s="100"/>
      <c r="BZ111" s="100"/>
      <c r="CA111" s="100"/>
      <c r="CB111" s="100"/>
      <c r="CC111" s="100"/>
      <c r="CD111" s="100"/>
      <c r="CE111" s="100"/>
      <c r="CF111" s="100"/>
      <c r="CG111" s="100"/>
      <c r="CH111" s="100"/>
      <c r="CI111" s="100"/>
      <c r="CJ111" s="100"/>
      <c r="CK111" s="100"/>
      <c r="CL111" s="100"/>
      <c r="CM111" s="100"/>
      <c r="CN111" s="100"/>
      <c r="CO111" s="100"/>
      <c r="CP111" s="97" t="e">
        <f>SUMPRODUCT(CA111:CL111,CA92:CL92)/SUM(CA92:CL92)</f>
        <v>#DIV/0!</v>
      </c>
      <c r="CQ111" s="98" t="e">
        <f t="shared" si="131"/>
        <v>#DIV/0!</v>
      </c>
      <c r="CS111" s="90">
        <v>13</v>
      </c>
      <c r="CT111" s="99"/>
      <c r="CU111" s="100"/>
      <c r="CV111" s="100"/>
      <c r="CW111" s="100"/>
      <c r="CX111" s="100"/>
      <c r="CY111" s="100"/>
      <c r="CZ111" s="100"/>
      <c r="DA111" s="100"/>
      <c r="DB111" s="100"/>
      <c r="DC111" s="100"/>
      <c r="DD111" s="100"/>
      <c r="DE111" s="100"/>
      <c r="DF111" s="100"/>
      <c r="DG111" s="100"/>
      <c r="DH111" s="100"/>
      <c r="DI111" s="100"/>
      <c r="DJ111" s="100"/>
      <c r="DK111" s="100"/>
      <c r="DL111" s="100"/>
      <c r="DM111" s="100"/>
      <c r="DN111" s="100"/>
      <c r="DO111" s="100"/>
      <c r="DP111" s="100"/>
      <c r="DQ111" s="100"/>
      <c r="DR111" s="100"/>
      <c r="DS111" s="100"/>
      <c r="DT111" s="100"/>
      <c r="DU111" s="100"/>
      <c r="DV111" s="97" t="e">
        <f>SUMPRODUCT(DG111:DR111,DG92:DR92)/SUM(DG92:DR92)</f>
        <v>#DIV/0!</v>
      </c>
      <c r="DW111" s="98" t="e">
        <f t="shared" si="133"/>
        <v>#DIV/0!</v>
      </c>
    </row>
    <row r="112" spans="1:127">
      <c r="A112" s="90">
        <v>14</v>
      </c>
      <c r="B112" s="99"/>
      <c r="C112" s="100"/>
      <c r="D112" s="100"/>
      <c r="E112" s="100"/>
      <c r="F112" s="100"/>
      <c r="G112" s="100"/>
      <c r="H112" s="100"/>
      <c r="I112" s="100"/>
      <c r="J112" s="100"/>
      <c r="K112" s="100"/>
      <c r="L112" s="100"/>
      <c r="M112" s="100"/>
      <c r="N112" s="100"/>
      <c r="O112" s="100"/>
      <c r="P112" s="100"/>
      <c r="Q112" s="100"/>
      <c r="R112" s="100"/>
      <c r="S112" s="100"/>
      <c r="T112" s="100"/>
      <c r="U112" s="100"/>
      <c r="V112" s="100"/>
      <c r="W112" s="100"/>
      <c r="X112" s="100"/>
      <c r="Y112" s="100"/>
      <c r="Z112" s="100"/>
      <c r="AA112" s="100"/>
      <c r="AB112" s="100"/>
      <c r="AC112" s="100"/>
      <c r="AD112" s="97" t="e">
        <f>SUMPRODUCT(P112:AA112,P93:AA93)/SUM(P93:AA93)</f>
        <v>#DIV/0!</v>
      </c>
      <c r="AE112" s="98" t="e">
        <f t="shared" si="128"/>
        <v>#DIV/0!</v>
      </c>
      <c r="AG112" s="90">
        <v>14</v>
      </c>
      <c r="AH112" s="99"/>
      <c r="AI112" s="100"/>
      <c r="AJ112" s="100"/>
      <c r="AK112" s="100"/>
      <c r="AL112" s="100"/>
      <c r="AM112" s="100"/>
      <c r="AN112" s="100"/>
      <c r="AO112" s="100"/>
      <c r="AP112" s="100"/>
      <c r="AQ112" s="100"/>
      <c r="AR112" s="100"/>
      <c r="AS112" s="100"/>
      <c r="AT112" s="100"/>
      <c r="AU112" s="100"/>
      <c r="AV112" s="100" t="e">
        <f t="shared" ref="AV112:BG112" si="145">(AV93-AV92)/AV92</f>
        <v>#DIV/0!</v>
      </c>
      <c r="AW112" s="100" t="e">
        <f t="shared" si="145"/>
        <v>#DIV/0!</v>
      </c>
      <c r="AX112" s="100" t="e">
        <f t="shared" si="145"/>
        <v>#DIV/0!</v>
      </c>
      <c r="AY112" s="100" t="e">
        <f t="shared" si="145"/>
        <v>#DIV/0!</v>
      </c>
      <c r="AZ112" s="100" t="e">
        <f t="shared" si="145"/>
        <v>#DIV/0!</v>
      </c>
      <c r="BA112" s="100" t="e">
        <f t="shared" si="145"/>
        <v>#DIV/0!</v>
      </c>
      <c r="BB112" s="100" t="e">
        <f t="shared" si="145"/>
        <v>#DIV/0!</v>
      </c>
      <c r="BC112" s="100" t="e">
        <f t="shared" si="145"/>
        <v>#DIV/0!</v>
      </c>
      <c r="BD112" s="100" t="e">
        <f t="shared" si="145"/>
        <v>#DIV/0!</v>
      </c>
      <c r="BE112" s="100" t="e">
        <f t="shared" si="145"/>
        <v>#DIV/0!</v>
      </c>
      <c r="BF112" s="100" t="e">
        <f t="shared" si="145"/>
        <v>#DIV/0!</v>
      </c>
      <c r="BG112" s="100" t="e">
        <f t="shared" si="145"/>
        <v>#DIV/0!</v>
      </c>
      <c r="BH112" s="100"/>
      <c r="BI112" s="100"/>
      <c r="BJ112" s="97" t="e">
        <f>SUMPRODUCT(AV112:BG112,AV93:BG93)/SUM(AV93:BG93)</f>
        <v>#DIV/0!</v>
      </c>
      <c r="BK112" s="98" t="e">
        <f t="shared" si="130"/>
        <v>#DIV/0!</v>
      </c>
      <c r="BM112" s="90">
        <v>14</v>
      </c>
      <c r="BN112" s="99"/>
      <c r="BO112" s="100"/>
      <c r="BP112" s="100"/>
      <c r="BQ112" s="100"/>
      <c r="BR112" s="100"/>
      <c r="BS112" s="100"/>
      <c r="BT112" s="100"/>
      <c r="BU112" s="100"/>
      <c r="BV112" s="100"/>
      <c r="BW112" s="100"/>
      <c r="BX112" s="100"/>
      <c r="BY112" s="100"/>
      <c r="BZ112" s="100"/>
      <c r="CA112" s="100"/>
      <c r="CB112" s="100"/>
      <c r="CC112" s="100"/>
      <c r="CD112" s="100"/>
      <c r="CE112" s="100"/>
      <c r="CF112" s="100"/>
      <c r="CG112" s="100"/>
      <c r="CH112" s="100"/>
      <c r="CI112" s="100"/>
      <c r="CJ112" s="100"/>
      <c r="CK112" s="100"/>
      <c r="CL112" s="100"/>
      <c r="CM112" s="100"/>
      <c r="CN112" s="100"/>
      <c r="CO112" s="100"/>
      <c r="CP112" s="97" t="e">
        <f>SUMPRODUCT(CB112:CM112,CB93:CM93)/SUM(CB93:CM93)</f>
        <v>#DIV/0!</v>
      </c>
      <c r="CQ112" s="98" t="e">
        <f t="shared" si="131"/>
        <v>#DIV/0!</v>
      </c>
      <c r="CS112" s="90">
        <v>14</v>
      </c>
      <c r="CT112" s="99"/>
      <c r="CU112" s="100"/>
      <c r="CV112" s="100"/>
      <c r="CW112" s="100"/>
      <c r="CX112" s="100"/>
      <c r="CY112" s="100"/>
      <c r="CZ112" s="100"/>
      <c r="DA112" s="100"/>
      <c r="DB112" s="100"/>
      <c r="DC112" s="100"/>
      <c r="DD112" s="100"/>
      <c r="DE112" s="100"/>
      <c r="DF112" s="100"/>
      <c r="DG112" s="100"/>
      <c r="DH112" s="100"/>
      <c r="DI112" s="100"/>
      <c r="DJ112" s="100"/>
      <c r="DK112" s="100"/>
      <c r="DL112" s="100"/>
      <c r="DM112" s="100"/>
      <c r="DN112" s="100"/>
      <c r="DO112" s="100"/>
      <c r="DP112" s="100"/>
      <c r="DQ112" s="100"/>
      <c r="DR112" s="100"/>
      <c r="DS112" s="100"/>
      <c r="DT112" s="100"/>
      <c r="DU112" s="100"/>
      <c r="DV112" s="97" t="e">
        <f>SUMPRODUCT(DH112:DS112,DH93:DS93)/SUM(DH93:DS93)</f>
        <v>#DIV/0!</v>
      </c>
      <c r="DW112" s="98" t="e">
        <f t="shared" si="133"/>
        <v>#DIV/0!</v>
      </c>
    </row>
    <row r="113" spans="1:127" ht="15.75" thickBot="1">
      <c r="A113" s="101">
        <v>15</v>
      </c>
      <c r="B113" s="102"/>
      <c r="C113" s="103"/>
      <c r="D113" s="103"/>
      <c r="E113" s="103"/>
      <c r="F113" s="103"/>
      <c r="G113" s="103"/>
      <c r="H113" s="103"/>
      <c r="I113" s="103"/>
      <c r="J113" s="103"/>
      <c r="K113" s="103"/>
      <c r="L113" s="103"/>
      <c r="M113" s="103"/>
      <c r="N113" s="103"/>
      <c r="O113" s="103"/>
      <c r="P113" s="103"/>
      <c r="Q113" s="103"/>
      <c r="R113" s="103"/>
      <c r="S113" s="103"/>
      <c r="T113" s="103"/>
      <c r="U113" s="103"/>
      <c r="V113" s="103"/>
      <c r="W113" s="103"/>
      <c r="X113" s="103"/>
      <c r="Y113" s="103"/>
      <c r="Z113" s="103"/>
      <c r="AA113" s="103"/>
      <c r="AB113" s="103"/>
      <c r="AC113" s="103"/>
      <c r="AD113" s="104" t="e">
        <f>SUMPRODUCT(Q113:AB113,Q94:AB94)/SUM(Q94:AB94)</f>
        <v>#DIV/0!</v>
      </c>
      <c r="AE113" s="105" t="e">
        <f t="shared" si="128"/>
        <v>#DIV/0!</v>
      </c>
      <c r="AG113" s="101">
        <v>15</v>
      </c>
      <c r="AH113" s="102"/>
      <c r="AI113" s="103"/>
      <c r="AJ113" s="103"/>
      <c r="AK113" s="103"/>
      <c r="AL113" s="103"/>
      <c r="AM113" s="103"/>
      <c r="AN113" s="103"/>
      <c r="AO113" s="103"/>
      <c r="AP113" s="103"/>
      <c r="AQ113" s="103"/>
      <c r="AR113" s="103"/>
      <c r="AS113" s="103"/>
      <c r="AT113" s="103"/>
      <c r="AU113" s="103"/>
      <c r="AV113" s="103"/>
      <c r="AW113" s="103" t="e">
        <f t="shared" ref="AW113:BH113" si="146">(AW94-AW93)/AW93</f>
        <v>#DIV/0!</v>
      </c>
      <c r="AX113" s="103" t="e">
        <f t="shared" si="146"/>
        <v>#DIV/0!</v>
      </c>
      <c r="AY113" s="103" t="e">
        <f t="shared" si="146"/>
        <v>#DIV/0!</v>
      </c>
      <c r="AZ113" s="103" t="e">
        <f t="shared" si="146"/>
        <v>#DIV/0!</v>
      </c>
      <c r="BA113" s="103" t="e">
        <f t="shared" si="146"/>
        <v>#DIV/0!</v>
      </c>
      <c r="BB113" s="103" t="e">
        <f t="shared" si="146"/>
        <v>#DIV/0!</v>
      </c>
      <c r="BC113" s="103" t="e">
        <f t="shared" si="146"/>
        <v>#DIV/0!</v>
      </c>
      <c r="BD113" s="103" t="e">
        <f t="shared" si="146"/>
        <v>#DIV/0!</v>
      </c>
      <c r="BE113" s="103" t="e">
        <f t="shared" si="146"/>
        <v>#DIV/0!</v>
      </c>
      <c r="BF113" s="103" t="e">
        <f t="shared" si="146"/>
        <v>#DIV/0!</v>
      </c>
      <c r="BG113" s="103" t="e">
        <f t="shared" si="146"/>
        <v>#DIV/0!</v>
      </c>
      <c r="BH113" s="103" t="e">
        <f t="shared" si="146"/>
        <v>#DIV/0!</v>
      </c>
      <c r="BI113" s="103"/>
      <c r="BJ113" s="104" t="e">
        <f>SUMPRODUCT(AW113:BH113,AW94:BH94)/SUM(AW94:BH94)</f>
        <v>#DIV/0!</v>
      </c>
      <c r="BK113" s="105" t="e">
        <f t="shared" si="130"/>
        <v>#DIV/0!</v>
      </c>
      <c r="BM113" s="101">
        <v>15</v>
      </c>
      <c r="BN113" s="102"/>
      <c r="BO113" s="103"/>
      <c r="BP113" s="103"/>
      <c r="BQ113" s="103"/>
      <c r="BR113" s="103"/>
      <c r="BS113" s="103"/>
      <c r="BT113" s="103"/>
      <c r="BU113" s="103"/>
      <c r="BV113" s="103"/>
      <c r="BW113" s="103"/>
      <c r="BX113" s="103"/>
      <c r="BY113" s="103"/>
      <c r="BZ113" s="103"/>
      <c r="CA113" s="103"/>
      <c r="CB113" s="103"/>
      <c r="CC113" s="103"/>
      <c r="CD113" s="103"/>
      <c r="CE113" s="103"/>
      <c r="CF113" s="103"/>
      <c r="CG113" s="103"/>
      <c r="CH113" s="103"/>
      <c r="CI113" s="103"/>
      <c r="CJ113" s="103"/>
      <c r="CK113" s="103"/>
      <c r="CL113" s="103"/>
      <c r="CM113" s="103"/>
      <c r="CN113" s="103"/>
      <c r="CO113" s="103"/>
      <c r="CP113" s="104" t="e">
        <f>SUMPRODUCT(CC113:CN113,CC94:CN94)/SUM(CC94:CN94)</f>
        <v>#DIV/0!</v>
      </c>
      <c r="CQ113" s="105" t="e">
        <f t="shared" si="131"/>
        <v>#DIV/0!</v>
      </c>
      <c r="CS113" s="101">
        <v>15</v>
      </c>
      <c r="CT113" s="102"/>
      <c r="CU113" s="103"/>
      <c r="CV113" s="103"/>
      <c r="CW113" s="103"/>
      <c r="CX113" s="103"/>
      <c r="CY113" s="103"/>
      <c r="CZ113" s="103"/>
      <c r="DA113" s="103"/>
      <c r="DB113" s="103"/>
      <c r="DC113" s="103"/>
      <c r="DD113" s="103"/>
      <c r="DE113" s="103"/>
      <c r="DF113" s="103"/>
      <c r="DG113" s="103"/>
      <c r="DH113" s="103"/>
      <c r="DI113" s="103"/>
      <c r="DJ113" s="103"/>
      <c r="DK113" s="103"/>
      <c r="DL113" s="103"/>
      <c r="DM113" s="103"/>
      <c r="DN113" s="103"/>
      <c r="DO113" s="103"/>
      <c r="DP113" s="103"/>
      <c r="DQ113" s="103"/>
      <c r="DR113" s="103"/>
      <c r="DS113" s="103"/>
      <c r="DT113" s="103"/>
      <c r="DU113" s="103"/>
      <c r="DV113" s="104" t="e">
        <f>SUMPRODUCT(DI113:DT113,DI94:DT94)/SUM(DI94:DT94)</f>
        <v>#DIV/0!</v>
      </c>
      <c r="DW113" s="105" t="e">
        <f t="shared" si="133"/>
        <v>#DIV/0!</v>
      </c>
    </row>
    <row r="114" spans="1:127" ht="15.75" thickBot="1">
      <c r="AE114" s="7"/>
      <c r="BK114" s="7"/>
      <c r="CQ114" s="7"/>
      <c r="DW114" s="7"/>
    </row>
    <row r="115" spans="1:127" ht="26.25">
      <c r="A115" s="1734" t="s">
        <v>30</v>
      </c>
      <c r="B115" s="1735"/>
      <c r="C115" s="1735"/>
      <c r="D115" s="1735"/>
      <c r="E115" s="1735"/>
      <c r="F115" s="1735"/>
      <c r="G115" s="1735"/>
      <c r="H115" s="1735"/>
      <c r="I115" s="1735"/>
      <c r="J115" s="1735"/>
      <c r="K115" s="1735"/>
      <c r="L115" s="1735"/>
      <c r="M115" s="1735"/>
      <c r="N115" s="1735"/>
      <c r="O115" s="1735"/>
      <c r="P115" s="1735"/>
      <c r="Q115" s="1735"/>
      <c r="R115" s="1735"/>
      <c r="S115" s="1735"/>
      <c r="T115" s="1735"/>
      <c r="U115" s="1735"/>
      <c r="V115" s="1735"/>
      <c r="W115" s="1735"/>
      <c r="X115" s="1735"/>
      <c r="Y115" s="1735"/>
      <c r="Z115" s="1735"/>
      <c r="AA115" s="1735"/>
      <c r="AB115" s="1735"/>
      <c r="AC115" s="1736"/>
      <c r="AD115" s="9"/>
      <c r="AE115" s="7"/>
      <c r="AG115" s="1734" t="s">
        <v>822</v>
      </c>
      <c r="AH115" s="1735"/>
      <c r="AI115" s="1735"/>
      <c r="AJ115" s="1735"/>
      <c r="AK115" s="1735"/>
      <c r="AL115" s="1735"/>
      <c r="AM115" s="1735"/>
      <c r="AN115" s="1735"/>
      <c r="AO115" s="1735"/>
      <c r="AP115" s="1735"/>
      <c r="AQ115" s="1735"/>
      <c r="AR115" s="1735"/>
      <c r="AS115" s="1735"/>
      <c r="AT115" s="1735"/>
      <c r="AU115" s="1735"/>
      <c r="AV115" s="1735"/>
      <c r="AW115" s="1735"/>
      <c r="AX115" s="1735"/>
      <c r="AY115" s="1735"/>
      <c r="AZ115" s="1735"/>
      <c r="BA115" s="1735"/>
      <c r="BB115" s="1735"/>
      <c r="BC115" s="1735"/>
      <c r="BD115" s="1735"/>
      <c r="BE115" s="1735"/>
      <c r="BF115" s="1735"/>
      <c r="BG115" s="1735"/>
      <c r="BH115" s="1735"/>
      <c r="BI115" s="1736"/>
      <c r="BJ115" s="9"/>
      <c r="BK115" s="7"/>
      <c r="BM115" s="1734" t="s">
        <v>826</v>
      </c>
      <c r="BN115" s="1735"/>
      <c r="BO115" s="1735"/>
      <c r="BP115" s="1735"/>
      <c r="BQ115" s="1735"/>
      <c r="BR115" s="1735"/>
      <c r="BS115" s="1735"/>
      <c r="BT115" s="1735"/>
      <c r="BU115" s="1735"/>
      <c r="BV115" s="1735"/>
      <c r="BW115" s="1735"/>
      <c r="BX115" s="1735"/>
      <c r="BY115" s="1735"/>
      <c r="BZ115" s="1735"/>
      <c r="CA115" s="1735"/>
      <c r="CB115" s="1735"/>
      <c r="CC115" s="1735"/>
      <c r="CD115" s="1735"/>
      <c r="CE115" s="1735"/>
      <c r="CF115" s="1735"/>
      <c r="CG115" s="1735"/>
      <c r="CH115" s="1735"/>
      <c r="CI115" s="1735"/>
      <c r="CJ115" s="1735"/>
      <c r="CK115" s="1735"/>
      <c r="CL115" s="1735"/>
      <c r="CM115" s="1735"/>
      <c r="CN115" s="1735"/>
      <c r="CO115" s="1736"/>
      <c r="CP115" s="9"/>
      <c r="CQ115" s="7"/>
      <c r="CS115" s="1734" t="s">
        <v>830</v>
      </c>
      <c r="CT115" s="1735"/>
      <c r="CU115" s="1735"/>
      <c r="CV115" s="1735"/>
      <c r="CW115" s="1735"/>
      <c r="CX115" s="1735"/>
      <c r="CY115" s="1735"/>
      <c r="CZ115" s="1735"/>
      <c r="DA115" s="1735"/>
      <c r="DB115" s="1735"/>
      <c r="DC115" s="1735"/>
      <c r="DD115" s="1735"/>
      <c r="DE115" s="1735"/>
      <c r="DF115" s="1735"/>
      <c r="DG115" s="1735"/>
      <c r="DH115" s="1735"/>
      <c r="DI115" s="1735"/>
      <c r="DJ115" s="1735"/>
      <c r="DK115" s="1735"/>
      <c r="DL115" s="1735"/>
      <c r="DM115" s="1735"/>
      <c r="DN115" s="1735"/>
      <c r="DO115" s="1735"/>
      <c r="DP115" s="1735"/>
      <c r="DQ115" s="1735"/>
      <c r="DR115" s="1735"/>
      <c r="DS115" s="1735"/>
      <c r="DT115" s="1735"/>
      <c r="DU115" s="1736"/>
      <c r="DV115" s="9"/>
      <c r="DW115" s="7"/>
    </row>
    <row r="116" spans="1:127" ht="15.75" thickBot="1">
      <c r="A116" s="57" t="s">
        <v>10</v>
      </c>
      <c r="B116" s="58">
        <v>2013</v>
      </c>
      <c r="C116" s="58">
        <v>2012</v>
      </c>
      <c r="D116" s="58">
        <v>2011</v>
      </c>
      <c r="E116" s="58">
        <v>2010</v>
      </c>
      <c r="F116" s="58">
        <v>2009</v>
      </c>
      <c r="G116" s="58">
        <v>2008</v>
      </c>
      <c r="H116" s="58">
        <v>2007</v>
      </c>
      <c r="I116" s="58">
        <v>2006</v>
      </c>
      <c r="J116" s="58">
        <v>2005</v>
      </c>
      <c r="K116" s="58">
        <v>2004</v>
      </c>
      <c r="L116" s="58">
        <v>2003</v>
      </c>
      <c r="M116" s="58">
        <v>2002</v>
      </c>
      <c r="N116" s="58">
        <v>2001</v>
      </c>
      <c r="O116" s="58">
        <v>2000</v>
      </c>
      <c r="P116" s="58">
        <v>1999</v>
      </c>
      <c r="Q116" s="58">
        <v>1998</v>
      </c>
      <c r="R116" s="58">
        <v>1997</v>
      </c>
      <c r="S116" s="58">
        <v>1996</v>
      </c>
      <c r="T116" s="58">
        <v>1995</v>
      </c>
      <c r="U116" s="58">
        <v>1994</v>
      </c>
      <c r="V116" s="58">
        <v>1993</v>
      </c>
      <c r="W116" s="58">
        <v>1992</v>
      </c>
      <c r="X116" s="58">
        <v>1991</v>
      </c>
      <c r="Y116" s="58">
        <v>1990</v>
      </c>
      <c r="Z116" s="58">
        <v>1989</v>
      </c>
      <c r="AA116" s="58">
        <v>1988</v>
      </c>
      <c r="AB116" s="58">
        <v>1987</v>
      </c>
      <c r="AC116" s="59">
        <v>1986</v>
      </c>
      <c r="AD116" s="4"/>
      <c r="AE116" s="7"/>
      <c r="AG116" s="57" t="s">
        <v>10</v>
      </c>
      <c r="AH116" s="58">
        <v>2013</v>
      </c>
      <c r="AI116" s="58">
        <v>2012</v>
      </c>
      <c r="AJ116" s="58">
        <v>2011</v>
      </c>
      <c r="AK116" s="58">
        <v>2010</v>
      </c>
      <c r="AL116" s="58">
        <v>2009</v>
      </c>
      <c r="AM116" s="58">
        <v>2008</v>
      </c>
      <c r="AN116" s="58">
        <v>2007</v>
      </c>
      <c r="AO116" s="58">
        <v>2006</v>
      </c>
      <c r="AP116" s="58">
        <v>2005</v>
      </c>
      <c r="AQ116" s="58">
        <v>2004</v>
      </c>
      <c r="AR116" s="58">
        <v>2003</v>
      </c>
      <c r="AS116" s="58">
        <v>2002</v>
      </c>
      <c r="AT116" s="58">
        <v>2001</v>
      </c>
      <c r="AU116" s="58">
        <v>2000</v>
      </c>
      <c r="AV116" s="58">
        <v>1999</v>
      </c>
      <c r="AW116" s="58">
        <v>1998</v>
      </c>
      <c r="AX116" s="58">
        <v>1997</v>
      </c>
      <c r="AY116" s="58">
        <v>1996</v>
      </c>
      <c r="AZ116" s="58">
        <v>1995</v>
      </c>
      <c r="BA116" s="58">
        <v>1994</v>
      </c>
      <c r="BB116" s="58">
        <v>1993</v>
      </c>
      <c r="BC116" s="58">
        <v>1992</v>
      </c>
      <c r="BD116" s="58">
        <v>1991</v>
      </c>
      <c r="BE116" s="58">
        <v>1990</v>
      </c>
      <c r="BF116" s="58">
        <v>1989</v>
      </c>
      <c r="BG116" s="58">
        <v>1988</v>
      </c>
      <c r="BH116" s="58">
        <v>1987</v>
      </c>
      <c r="BI116" s="59">
        <v>1986</v>
      </c>
      <c r="BJ116" s="4"/>
      <c r="BK116" s="7"/>
      <c r="BM116" s="57" t="s">
        <v>10</v>
      </c>
      <c r="BN116" s="58">
        <v>2013</v>
      </c>
      <c r="BO116" s="58">
        <v>2012</v>
      </c>
      <c r="BP116" s="58">
        <v>2011</v>
      </c>
      <c r="BQ116" s="58">
        <v>2010</v>
      </c>
      <c r="BR116" s="58">
        <v>2009</v>
      </c>
      <c r="BS116" s="58">
        <v>2008</v>
      </c>
      <c r="BT116" s="58">
        <v>2007</v>
      </c>
      <c r="BU116" s="58">
        <v>2006</v>
      </c>
      <c r="BV116" s="58">
        <v>2005</v>
      </c>
      <c r="BW116" s="58">
        <v>2004</v>
      </c>
      <c r="BX116" s="58">
        <v>2003</v>
      </c>
      <c r="BY116" s="58">
        <v>2002</v>
      </c>
      <c r="BZ116" s="58">
        <v>2001</v>
      </c>
      <c r="CA116" s="58">
        <v>2000</v>
      </c>
      <c r="CB116" s="58">
        <v>1999</v>
      </c>
      <c r="CC116" s="58">
        <v>1998</v>
      </c>
      <c r="CD116" s="58">
        <v>1997</v>
      </c>
      <c r="CE116" s="58">
        <v>1996</v>
      </c>
      <c r="CF116" s="58">
        <v>1995</v>
      </c>
      <c r="CG116" s="58">
        <v>1994</v>
      </c>
      <c r="CH116" s="58">
        <v>1993</v>
      </c>
      <c r="CI116" s="58">
        <v>1992</v>
      </c>
      <c r="CJ116" s="58">
        <v>1991</v>
      </c>
      <c r="CK116" s="58">
        <v>1990</v>
      </c>
      <c r="CL116" s="58">
        <v>1989</v>
      </c>
      <c r="CM116" s="58">
        <v>1988</v>
      </c>
      <c r="CN116" s="58">
        <v>1987</v>
      </c>
      <c r="CO116" s="59">
        <v>1986</v>
      </c>
      <c r="CP116" s="4"/>
      <c r="CQ116" s="7"/>
      <c r="CS116" s="57" t="s">
        <v>10</v>
      </c>
      <c r="CT116" s="58">
        <v>2013</v>
      </c>
      <c r="CU116" s="58">
        <v>2012</v>
      </c>
      <c r="CV116" s="58">
        <v>2011</v>
      </c>
      <c r="CW116" s="58">
        <v>2010</v>
      </c>
      <c r="CX116" s="58">
        <v>2009</v>
      </c>
      <c r="CY116" s="58">
        <v>2008</v>
      </c>
      <c r="CZ116" s="58">
        <v>2007</v>
      </c>
      <c r="DA116" s="58">
        <v>2006</v>
      </c>
      <c r="DB116" s="58">
        <v>2005</v>
      </c>
      <c r="DC116" s="58">
        <v>2004</v>
      </c>
      <c r="DD116" s="58">
        <v>2003</v>
      </c>
      <c r="DE116" s="58">
        <v>2002</v>
      </c>
      <c r="DF116" s="58">
        <v>2001</v>
      </c>
      <c r="DG116" s="58">
        <v>2000</v>
      </c>
      <c r="DH116" s="58">
        <v>1999</v>
      </c>
      <c r="DI116" s="58">
        <v>1998</v>
      </c>
      <c r="DJ116" s="58">
        <v>1997</v>
      </c>
      <c r="DK116" s="58">
        <v>1996</v>
      </c>
      <c r="DL116" s="58">
        <v>1995</v>
      </c>
      <c r="DM116" s="58">
        <v>1994</v>
      </c>
      <c r="DN116" s="58">
        <v>1993</v>
      </c>
      <c r="DO116" s="58">
        <v>1992</v>
      </c>
      <c r="DP116" s="58">
        <v>1991</v>
      </c>
      <c r="DQ116" s="58">
        <v>1990</v>
      </c>
      <c r="DR116" s="58">
        <v>1989</v>
      </c>
      <c r="DS116" s="58">
        <v>1988</v>
      </c>
      <c r="DT116" s="58">
        <v>1987</v>
      </c>
      <c r="DU116" s="59">
        <v>1986</v>
      </c>
      <c r="DV116" s="4"/>
      <c r="DW116" s="7"/>
    </row>
    <row r="117" spans="1:127" ht="15.75" thickTop="1">
      <c r="A117" s="62">
        <v>0</v>
      </c>
      <c r="B117" s="106">
        <v>0</v>
      </c>
      <c r="C117" s="107">
        <v>0</v>
      </c>
      <c r="D117" s="107">
        <v>0</v>
      </c>
      <c r="E117" s="107">
        <v>0</v>
      </c>
      <c r="F117" s="107">
        <v>0</v>
      </c>
      <c r="G117" s="107">
        <v>860</v>
      </c>
      <c r="H117" s="107">
        <v>0</v>
      </c>
      <c r="I117" s="107">
        <v>0</v>
      </c>
      <c r="J117" s="107">
        <v>0</v>
      </c>
      <c r="K117" s="107">
        <v>7</v>
      </c>
      <c r="L117" s="107">
        <v>18</v>
      </c>
      <c r="M117" s="107">
        <v>0</v>
      </c>
      <c r="N117" s="107">
        <v>0</v>
      </c>
      <c r="O117" s="107"/>
      <c r="P117" s="107"/>
      <c r="Q117" s="107"/>
      <c r="R117" s="107"/>
      <c r="S117" s="107"/>
      <c r="T117" s="107"/>
      <c r="U117" s="107"/>
      <c r="V117" s="107"/>
      <c r="W117" s="107"/>
      <c r="X117" s="107"/>
      <c r="Y117" s="107"/>
      <c r="Z117" s="107"/>
      <c r="AA117" s="107"/>
      <c r="AB117" s="107"/>
      <c r="AC117" s="108"/>
      <c r="AD117" s="7"/>
      <c r="AE117" s="7"/>
      <c r="AG117" s="62">
        <v>0</v>
      </c>
      <c r="AH117" s="106">
        <v>138</v>
      </c>
      <c r="AI117" s="107">
        <v>49</v>
      </c>
      <c r="AJ117" s="107">
        <v>79</v>
      </c>
      <c r="AK117" s="107">
        <v>199</v>
      </c>
      <c r="AL117" s="107">
        <v>247</v>
      </c>
      <c r="AM117" s="107">
        <v>148</v>
      </c>
      <c r="AN117" s="107">
        <v>567</v>
      </c>
      <c r="AO117" s="107">
        <v>291</v>
      </c>
      <c r="AP117" s="107">
        <v>259</v>
      </c>
      <c r="AQ117" s="107">
        <v>224</v>
      </c>
      <c r="AR117" s="107">
        <v>8</v>
      </c>
      <c r="AS117" s="107">
        <v>0</v>
      </c>
      <c r="AT117" s="107">
        <v>0</v>
      </c>
      <c r="AU117" s="107"/>
      <c r="AV117" s="107"/>
      <c r="AW117" s="107"/>
      <c r="AX117" s="107"/>
      <c r="AY117" s="107"/>
      <c r="AZ117" s="107"/>
      <c r="BA117" s="107"/>
      <c r="BB117" s="107"/>
      <c r="BC117" s="107"/>
      <c r="BD117" s="107"/>
      <c r="BE117" s="107"/>
      <c r="BF117" s="107"/>
      <c r="BG117" s="107"/>
      <c r="BH117" s="107"/>
      <c r="BI117" s="108"/>
      <c r="BJ117" s="7"/>
      <c r="BK117" s="7"/>
      <c r="BM117" s="62">
        <v>0</v>
      </c>
      <c r="BN117" s="106">
        <v>246</v>
      </c>
      <c r="BO117" s="107">
        <v>446</v>
      </c>
      <c r="BP117" s="107">
        <v>331</v>
      </c>
      <c r="BQ117" s="107">
        <v>358</v>
      </c>
      <c r="BR117" s="107">
        <v>14</v>
      </c>
      <c r="BS117" s="107">
        <v>0</v>
      </c>
      <c r="BT117" s="107">
        <v>0</v>
      </c>
      <c r="BU117" s="107">
        <v>40</v>
      </c>
      <c r="BV117" s="107">
        <v>0</v>
      </c>
      <c r="BW117" s="107">
        <v>0</v>
      </c>
      <c r="BX117" s="107">
        <v>0</v>
      </c>
      <c r="BY117" s="107">
        <v>0</v>
      </c>
      <c r="BZ117" s="107">
        <v>0</v>
      </c>
      <c r="CA117" s="107"/>
      <c r="CB117" s="107"/>
      <c r="CC117" s="107"/>
      <c r="CD117" s="107"/>
      <c r="CE117" s="107"/>
      <c r="CF117" s="107"/>
      <c r="CG117" s="107"/>
      <c r="CH117" s="107"/>
      <c r="CI117" s="107"/>
      <c r="CJ117" s="107"/>
      <c r="CK117" s="107"/>
      <c r="CL117" s="107"/>
      <c r="CM117" s="107"/>
      <c r="CN117" s="107"/>
      <c r="CO117" s="108"/>
      <c r="CP117" s="7"/>
      <c r="CQ117" s="7"/>
      <c r="CS117" s="62">
        <v>0</v>
      </c>
      <c r="CT117" s="106">
        <v>166</v>
      </c>
      <c r="CU117" s="107">
        <v>95</v>
      </c>
      <c r="CV117" s="107">
        <v>133</v>
      </c>
      <c r="CW117" s="107">
        <v>176</v>
      </c>
      <c r="CX117" s="107">
        <v>34</v>
      </c>
      <c r="CY117" s="107">
        <v>154</v>
      </c>
      <c r="CZ117" s="107">
        <v>432</v>
      </c>
      <c r="DA117" s="107">
        <v>274</v>
      </c>
      <c r="DB117" s="107">
        <v>40</v>
      </c>
      <c r="DC117" s="107">
        <v>0</v>
      </c>
      <c r="DD117" s="107">
        <v>0</v>
      </c>
      <c r="DE117" s="107">
        <v>0</v>
      </c>
      <c r="DF117" s="107">
        <v>0</v>
      </c>
      <c r="DG117" s="107"/>
      <c r="DH117" s="107"/>
      <c r="DI117" s="107"/>
      <c r="DJ117" s="107"/>
      <c r="DK117" s="107"/>
      <c r="DL117" s="107"/>
      <c r="DM117" s="107"/>
      <c r="DN117" s="107"/>
      <c r="DO117" s="107"/>
      <c r="DP117" s="107"/>
      <c r="DQ117" s="107"/>
      <c r="DR117" s="107"/>
      <c r="DS117" s="107"/>
      <c r="DT117" s="107"/>
      <c r="DU117" s="108"/>
      <c r="DV117" s="7"/>
      <c r="DW117" s="7"/>
    </row>
    <row r="118" spans="1:127">
      <c r="A118" s="68">
        <v>1</v>
      </c>
      <c r="B118" s="109"/>
      <c r="C118" s="110">
        <v>0</v>
      </c>
      <c r="D118" s="110">
        <v>0</v>
      </c>
      <c r="E118" s="110">
        <v>0</v>
      </c>
      <c r="F118" s="110">
        <v>0</v>
      </c>
      <c r="G118" s="110">
        <v>0</v>
      </c>
      <c r="H118" s="110">
        <v>0</v>
      </c>
      <c r="I118" s="110">
        <v>0</v>
      </c>
      <c r="J118" s="110">
        <v>0</v>
      </c>
      <c r="K118" s="110">
        <v>0</v>
      </c>
      <c r="L118" s="110">
        <v>1</v>
      </c>
      <c r="M118" s="110">
        <v>1</v>
      </c>
      <c r="N118" s="110">
        <v>0</v>
      </c>
      <c r="O118" s="110">
        <v>0</v>
      </c>
      <c r="P118" s="110"/>
      <c r="Q118" s="110"/>
      <c r="R118" s="110"/>
      <c r="S118" s="110"/>
      <c r="T118" s="110"/>
      <c r="U118" s="110"/>
      <c r="V118" s="110"/>
      <c r="W118" s="110"/>
      <c r="X118" s="110"/>
      <c r="Y118" s="110"/>
      <c r="Z118" s="110"/>
      <c r="AA118" s="110"/>
      <c r="AB118" s="110"/>
      <c r="AC118" s="111"/>
      <c r="AD118" s="7"/>
      <c r="AE118" s="7"/>
      <c r="AG118" s="68">
        <v>1</v>
      </c>
      <c r="AH118" s="109"/>
      <c r="AI118" s="110">
        <v>57</v>
      </c>
      <c r="AJ118" s="110">
        <v>84</v>
      </c>
      <c r="AK118" s="110">
        <v>212</v>
      </c>
      <c r="AL118" s="110">
        <v>363</v>
      </c>
      <c r="AM118" s="110">
        <v>904</v>
      </c>
      <c r="AN118" s="110">
        <v>571</v>
      </c>
      <c r="AO118" s="110">
        <v>296</v>
      </c>
      <c r="AP118" s="110">
        <v>261</v>
      </c>
      <c r="AQ118" s="110">
        <v>223</v>
      </c>
      <c r="AR118" s="110">
        <v>8</v>
      </c>
      <c r="AS118" s="110">
        <v>2</v>
      </c>
      <c r="AT118" s="110">
        <v>0</v>
      </c>
      <c r="AU118" s="110">
        <v>0</v>
      </c>
      <c r="AV118" s="110"/>
      <c r="AW118" s="110"/>
      <c r="AX118" s="110"/>
      <c r="AY118" s="110"/>
      <c r="AZ118" s="110"/>
      <c r="BA118" s="110"/>
      <c r="BB118" s="110"/>
      <c r="BC118" s="110"/>
      <c r="BD118" s="110"/>
      <c r="BE118" s="110"/>
      <c r="BF118" s="110"/>
      <c r="BG118" s="110"/>
      <c r="BH118" s="110"/>
      <c r="BI118" s="111"/>
      <c r="BJ118" s="7"/>
      <c r="BK118" s="7"/>
      <c r="BM118" s="68">
        <v>1</v>
      </c>
      <c r="BN118" s="109"/>
      <c r="BO118" s="110">
        <v>498</v>
      </c>
      <c r="BP118" s="110">
        <v>343</v>
      </c>
      <c r="BQ118" s="110">
        <v>359</v>
      </c>
      <c r="BR118" s="110">
        <v>25</v>
      </c>
      <c r="BS118" s="110">
        <v>0</v>
      </c>
      <c r="BT118" s="110">
        <v>0</v>
      </c>
      <c r="BU118" s="110">
        <v>40</v>
      </c>
      <c r="BV118" s="110">
        <v>0</v>
      </c>
      <c r="BW118" s="110">
        <v>0</v>
      </c>
      <c r="BX118" s="110">
        <v>0</v>
      </c>
      <c r="BY118" s="110">
        <v>0</v>
      </c>
      <c r="BZ118" s="110">
        <v>0</v>
      </c>
      <c r="CA118" s="110">
        <v>0</v>
      </c>
      <c r="CB118" s="110"/>
      <c r="CC118" s="110"/>
      <c r="CD118" s="110"/>
      <c r="CE118" s="110"/>
      <c r="CF118" s="110"/>
      <c r="CG118" s="110"/>
      <c r="CH118" s="110"/>
      <c r="CI118" s="110"/>
      <c r="CJ118" s="110"/>
      <c r="CK118" s="110"/>
      <c r="CL118" s="110"/>
      <c r="CM118" s="110"/>
      <c r="CN118" s="110"/>
      <c r="CO118" s="111"/>
      <c r="CP118" s="7"/>
      <c r="CQ118" s="7"/>
      <c r="CS118" s="68">
        <v>1</v>
      </c>
      <c r="CT118" s="109"/>
      <c r="CU118" s="110">
        <v>105</v>
      </c>
      <c r="CV118" s="110">
        <v>136</v>
      </c>
      <c r="CW118" s="110">
        <v>181</v>
      </c>
      <c r="CX118" s="110">
        <v>37</v>
      </c>
      <c r="CY118" s="110">
        <v>375</v>
      </c>
      <c r="CZ118" s="110">
        <v>440</v>
      </c>
      <c r="DA118" s="110">
        <v>274</v>
      </c>
      <c r="DB118" s="110">
        <v>43</v>
      </c>
      <c r="DC118" s="110">
        <v>0</v>
      </c>
      <c r="DD118" s="110">
        <v>0</v>
      </c>
      <c r="DE118" s="110">
        <v>0</v>
      </c>
      <c r="DF118" s="110">
        <v>0</v>
      </c>
      <c r="DG118" s="110">
        <v>0</v>
      </c>
      <c r="DH118" s="110"/>
      <c r="DI118" s="110"/>
      <c r="DJ118" s="110"/>
      <c r="DK118" s="110"/>
      <c r="DL118" s="110"/>
      <c r="DM118" s="110"/>
      <c r="DN118" s="110"/>
      <c r="DO118" s="110"/>
      <c r="DP118" s="110"/>
      <c r="DQ118" s="110"/>
      <c r="DR118" s="110"/>
      <c r="DS118" s="110"/>
      <c r="DT118" s="110"/>
      <c r="DU118" s="111"/>
      <c r="DV118" s="7"/>
      <c r="DW118" s="7"/>
    </row>
    <row r="119" spans="1:127">
      <c r="A119" s="68">
        <v>2</v>
      </c>
      <c r="B119" s="109"/>
      <c r="C119" s="110"/>
      <c r="D119" s="110">
        <v>0</v>
      </c>
      <c r="E119" s="110">
        <v>0</v>
      </c>
      <c r="F119" s="110">
        <v>0</v>
      </c>
      <c r="G119" s="110">
        <v>0</v>
      </c>
      <c r="H119" s="110">
        <v>0</v>
      </c>
      <c r="I119" s="110">
        <v>0</v>
      </c>
      <c r="J119" s="110">
        <v>0</v>
      </c>
      <c r="K119" s="110">
        <v>0</v>
      </c>
      <c r="L119" s="110">
        <v>0</v>
      </c>
      <c r="M119" s="110">
        <v>0</v>
      </c>
      <c r="N119" s="110">
        <v>0</v>
      </c>
      <c r="O119" s="110">
        <v>0</v>
      </c>
      <c r="P119" s="110">
        <v>0</v>
      </c>
      <c r="Q119" s="110"/>
      <c r="R119" s="110"/>
      <c r="S119" s="110"/>
      <c r="T119" s="110"/>
      <c r="U119" s="110"/>
      <c r="V119" s="110"/>
      <c r="W119" s="110"/>
      <c r="X119" s="110"/>
      <c r="Y119" s="110"/>
      <c r="Z119" s="110"/>
      <c r="AA119" s="110"/>
      <c r="AB119" s="110"/>
      <c r="AC119" s="111"/>
      <c r="AD119" s="7"/>
      <c r="AE119" s="7"/>
      <c r="AG119" s="68">
        <v>2</v>
      </c>
      <c r="AH119" s="109"/>
      <c r="AI119" s="110"/>
      <c r="AJ119" s="110">
        <v>109</v>
      </c>
      <c r="AK119" s="110">
        <v>223</v>
      </c>
      <c r="AL119" s="110">
        <v>392</v>
      </c>
      <c r="AM119" s="110">
        <v>1064</v>
      </c>
      <c r="AN119" s="110">
        <v>628</v>
      </c>
      <c r="AO119" s="110">
        <v>304</v>
      </c>
      <c r="AP119" s="110">
        <v>265</v>
      </c>
      <c r="AQ119" s="110">
        <v>228</v>
      </c>
      <c r="AR119" s="110">
        <v>8</v>
      </c>
      <c r="AS119" s="110">
        <v>1</v>
      </c>
      <c r="AT119" s="110">
        <v>0</v>
      </c>
      <c r="AU119" s="110">
        <v>0</v>
      </c>
      <c r="AV119" s="110">
        <v>0</v>
      </c>
      <c r="AW119" s="110"/>
      <c r="AX119" s="110"/>
      <c r="AY119" s="110"/>
      <c r="AZ119" s="110"/>
      <c r="BA119" s="110"/>
      <c r="BB119" s="110"/>
      <c r="BC119" s="110"/>
      <c r="BD119" s="110"/>
      <c r="BE119" s="110"/>
      <c r="BF119" s="110"/>
      <c r="BG119" s="110"/>
      <c r="BH119" s="110"/>
      <c r="BI119" s="111"/>
      <c r="BJ119" s="7"/>
      <c r="BK119" s="7"/>
      <c r="BM119" s="68">
        <v>2</v>
      </c>
      <c r="BN119" s="109"/>
      <c r="BO119" s="110"/>
      <c r="BP119" s="110">
        <v>377</v>
      </c>
      <c r="BQ119" s="110">
        <v>405</v>
      </c>
      <c r="BR119" s="110">
        <v>26</v>
      </c>
      <c r="BS119" s="110">
        <v>1</v>
      </c>
      <c r="BT119" s="110">
        <v>0</v>
      </c>
      <c r="BU119" s="110">
        <v>37</v>
      </c>
      <c r="BV119" s="110">
        <v>0</v>
      </c>
      <c r="BW119" s="110">
        <v>0</v>
      </c>
      <c r="BX119" s="110">
        <v>0</v>
      </c>
      <c r="BY119" s="110">
        <v>0</v>
      </c>
      <c r="BZ119" s="110">
        <v>0</v>
      </c>
      <c r="CA119" s="110">
        <v>0</v>
      </c>
      <c r="CB119" s="110">
        <v>0</v>
      </c>
      <c r="CC119" s="110"/>
      <c r="CD119" s="110"/>
      <c r="CE119" s="110"/>
      <c r="CF119" s="110"/>
      <c r="CG119" s="110"/>
      <c r="CH119" s="110"/>
      <c r="CI119" s="110"/>
      <c r="CJ119" s="110"/>
      <c r="CK119" s="110"/>
      <c r="CL119" s="110"/>
      <c r="CM119" s="110"/>
      <c r="CN119" s="110"/>
      <c r="CO119" s="111"/>
      <c r="CP119" s="7"/>
      <c r="CQ119" s="7"/>
      <c r="CS119" s="68">
        <v>2</v>
      </c>
      <c r="CT119" s="109"/>
      <c r="CU119" s="110"/>
      <c r="CV119" s="110">
        <v>137</v>
      </c>
      <c r="CW119" s="110">
        <v>181</v>
      </c>
      <c r="CX119" s="110">
        <v>41</v>
      </c>
      <c r="CY119" s="110">
        <v>370</v>
      </c>
      <c r="CZ119" s="110">
        <v>440</v>
      </c>
      <c r="DA119" s="110">
        <v>279</v>
      </c>
      <c r="DB119" s="110">
        <v>44</v>
      </c>
      <c r="DC119" s="110">
        <v>0</v>
      </c>
      <c r="DD119" s="110">
        <v>0</v>
      </c>
      <c r="DE119" s="110">
        <v>0</v>
      </c>
      <c r="DF119" s="110">
        <v>0</v>
      </c>
      <c r="DG119" s="110">
        <v>0</v>
      </c>
      <c r="DH119" s="110">
        <v>0</v>
      </c>
      <c r="DI119" s="110"/>
      <c r="DJ119" s="110"/>
      <c r="DK119" s="110"/>
      <c r="DL119" s="110"/>
      <c r="DM119" s="110"/>
      <c r="DN119" s="110"/>
      <c r="DO119" s="110"/>
      <c r="DP119" s="110"/>
      <c r="DQ119" s="110"/>
      <c r="DR119" s="110"/>
      <c r="DS119" s="110"/>
      <c r="DT119" s="110"/>
      <c r="DU119" s="111"/>
      <c r="DV119" s="7"/>
      <c r="DW119" s="7"/>
    </row>
    <row r="120" spans="1:127">
      <c r="A120" s="68">
        <v>3</v>
      </c>
      <c r="B120" s="109"/>
      <c r="C120" s="110"/>
      <c r="D120" s="110"/>
      <c r="E120" s="110">
        <v>0</v>
      </c>
      <c r="F120" s="110">
        <v>0</v>
      </c>
      <c r="G120" s="110">
        <v>0</v>
      </c>
      <c r="H120" s="110">
        <v>0</v>
      </c>
      <c r="I120" s="110">
        <v>0</v>
      </c>
      <c r="J120" s="110">
        <v>0</v>
      </c>
      <c r="K120" s="110">
        <v>0</v>
      </c>
      <c r="L120" s="110">
        <v>1</v>
      </c>
      <c r="M120" s="110">
        <v>0</v>
      </c>
      <c r="N120" s="110">
        <v>2</v>
      </c>
      <c r="O120" s="110">
        <v>2</v>
      </c>
      <c r="P120" s="110">
        <v>0</v>
      </c>
      <c r="Q120" s="110">
        <v>0</v>
      </c>
      <c r="R120" s="110"/>
      <c r="S120" s="110"/>
      <c r="T120" s="110"/>
      <c r="U120" s="110"/>
      <c r="V120" s="110"/>
      <c r="W120" s="110"/>
      <c r="X120" s="110"/>
      <c r="Y120" s="110"/>
      <c r="Z120" s="110"/>
      <c r="AA120" s="110"/>
      <c r="AB120" s="110"/>
      <c r="AC120" s="111"/>
      <c r="AD120" s="7"/>
      <c r="AE120" s="7"/>
      <c r="AG120" s="68">
        <v>3</v>
      </c>
      <c r="AH120" s="109"/>
      <c r="AI120" s="110"/>
      <c r="AJ120" s="110"/>
      <c r="AK120" s="110">
        <v>270</v>
      </c>
      <c r="AL120" s="110">
        <v>420</v>
      </c>
      <c r="AM120" s="110">
        <v>1115</v>
      </c>
      <c r="AN120" s="110">
        <v>682</v>
      </c>
      <c r="AO120" s="110">
        <v>351</v>
      </c>
      <c r="AP120" s="110">
        <v>288</v>
      </c>
      <c r="AQ120" s="110">
        <v>238</v>
      </c>
      <c r="AR120" s="110">
        <v>12</v>
      </c>
      <c r="AS120" s="110">
        <v>2</v>
      </c>
      <c r="AT120" s="110">
        <v>0</v>
      </c>
      <c r="AU120" s="110">
        <v>0</v>
      </c>
      <c r="AV120" s="110">
        <v>0</v>
      </c>
      <c r="AW120" s="110">
        <v>0</v>
      </c>
      <c r="AX120" s="110"/>
      <c r="AY120" s="110"/>
      <c r="AZ120" s="110"/>
      <c r="BA120" s="110"/>
      <c r="BB120" s="110"/>
      <c r="BC120" s="110"/>
      <c r="BD120" s="110"/>
      <c r="BE120" s="110"/>
      <c r="BF120" s="110"/>
      <c r="BG120" s="110"/>
      <c r="BH120" s="110"/>
      <c r="BI120" s="111"/>
      <c r="BJ120" s="7"/>
      <c r="BK120" s="7"/>
      <c r="BM120" s="68">
        <v>3</v>
      </c>
      <c r="BN120" s="109"/>
      <c r="BO120" s="110"/>
      <c r="BP120" s="110"/>
      <c r="BQ120" s="110">
        <v>500</v>
      </c>
      <c r="BR120" s="110">
        <v>40</v>
      </c>
      <c r="BS120" s="110">
        <v>1</v>
      </c>
      <c r="BT120" s="110">
        <v>0</v>
      </c>
      <c r="BU120" s="110">
        <v>40</v>
      </c>
      <c r="BV120" s="110">
        <v>0</v>
      </c>
      <c r="BW120" s="110">
        <v>0</v>
      </c>
      <c r="BX120" s="110">
        <v>0</v>
      </c>
      <c r="BY120" s="110">
        <v>0</v>
      </c>
      <c r="BZ120" s="110">
        <v>0</v>
      </c>
      <c r="CA120" s="110">
        <v>0</v>
      </c>
      <c r="CB120" s="110">
        <v>0</v>
      </c>
      <c r="CC120" s="110">
        <v>0</v>
      </c>
      <c r="CD120" s="110"/>
      <c r="CE120" s="110"/>
      <c r="CF120" s="110"/>
      <c r="CG120" s="110"/>
      <c r="CH120" s="110"/>
      <c r="CI120" s="110"/>
      <c r="CJ120" s="110"/>
      <c r="CK120" s="110"/>
      <c r="CL120" s="110"/>
      <c r="CM120" s="110"/>
      <c r="CN120" s="110"/>
      <c r="CO120" s="111"/>
      <c r="CP120" s="7"/>
      <c r="CQ120" s="7"/>
      <c r="CS120" s="68">
        <v>3</v>
      </c>
      <c r="CT120" s="109"/>
      <c r="CU120" s="110"/>
      <c r="CV120" s="110"/>
      <c r="CW120" s="110">
        <v>181</v>
      </c>
      <c r="CX120" s="110">
        <v>44</v>
      </c>
      <c r="CY120" s="110">
        <v>370</v>
      </c>
      <c r="CZ120" s="110">
        <v>428</v>
      </c>
      <c r="DA120" s="110">
        <v>285</v>
      </c>
      <c r="DB120" s="110">
        <v>47</v>
      </c>
      <c r="DC120" s="110">
        <v>0</v>
      </c>
      <c r="DD120" s="110">
        <v>0</v>
      </c>
      <c r="DE120" s="110">
        <v>0</v>
      </c>
      <c r="DF120" s="110">
        <v>0</v>
      </c>
      <c r="DG120" s="110">
        <v>0</v>
      </c>
      <c r="DH120" s="110">
        <v>0</v>
      </c>
      <c r="DI120" s="110">
        <v>0</v>
      </c>
      <c r="DJ120" s="110"/>
      <c r="DK120" s="110"/>
      <c r="DL120" s="110"/>
      <c r="DM120" s="110"/>
      <c r="DN120" s="110"/>
      <c r="DO120" s="110"/>
      <c r="DP120" s="110"/>
      <c r="DQ120" s="110"/>
      <c r="DR120" s="110"/>
      <c r="DS120" s="110"/>
      <c r="DT120" s="110"/>
      <c r="DU120" s="111"/>
      <c r="DV120" s="7"/>
      <c r="DW120" s="7"/>
    </row>
    <row r="121" spans="1:127">
      <c r="A121" s="68">
        <v>4</v>
      </c>
      <c r="B121" s="109"/>
      <c r="C121" s="110"/>
      <c r="D121" s="110"/>
      <c r="E121" s="110"/>
      <c r="F121" s="110">
        <v>0</v>
      </c>
      <c r="G121" s="110">
        <v>0</v>
      </c>
      <c r="H121" s="110">
        <v>0</v>
      </c>
      <c r="I121" s="110">
        <v>0</v>
      </c>
      <c r="J121" s="110">
        <v>0</v>
      </c>
      <c r="K121" s="110">
        <v>0</v>
      </c>
      <c r="L121" s="110">
        <v>0</v>
      </c>
      <c r="M121" s="110">
        <v>0</v>
      </c>
      <c r="N121" s="110">
        <v>1</v>
      </c>
      <c r="O121" s="110">
        <v>3</v>
      </c>
      <c r="P121" s="110">
        <v>0</v>
      </c>
      <c r="Q121" s="110">
        <v>0</v>
      </c>
      <c r="R121" s="110">
        <v>0</v>
      </c>
      <c r="S121" s="110"/>
      <c r="T121" s="110"/>
      <c r="U121" s="110"/>
      <c r="V121" s="110"/>
      <c r="W121" s="110"/>
      <c r="X121" s="110"/>
      <c r="Y121" s="110"/>
      <c r="Z121" s="110"/>
      <c r="AA121" s="110"/>
      <c r="AB121" s="110"/>
      <c r="AC121" s="111"/>
      <c r="AD121" s="7"/>
      <c r="AE121" s="7"/>
      <c r="AG121" s="68">
        <v>4</v>
      </c>
      <c r="AH121" s="109"/>
      <c r="AI121" s="110"/>
      <c r="AJ121" s="110"/>
      <c r="AK121" s="110"/>
      <c r="AL121" s="110">
        <v>467</v>
      </c>
      <c r="AM121" s="110">
        <v>1171</v>
      </c>
      <c r="AN121" s="110">
        <v>726</v>
      </c>
      <c r="AO121" s="110">
        <v>387</v>
      </c>
      <c r="AP121" s="110">
        <v>313</v>
      </c>
      <c r="AQ121" s="110">
        <v>245</v>
      </c>
      <c r="AR121" s="110">
        <v>18</v>
      </c>
      <c r="AS121" s="110">
        <v>2</v>
      </c>
      <c r="AT121" s="110">
        <v>1</v>
      </c>
      <c r="AU121" s="110">
        <v>0</v>
      </c>
      <c r="AV121" s="110">
        <v>0</v>
      </c>
      <c r="AW121" s="110">
        <v>0</v>
      </c>
      <c r="AX121" s="110">
        <v>0</v>
      </c>
      <c r="AY121" s="110"/>
      <c r="AZ121" s="110"/>
      <c r="BA121" s="110"/>
      <c r="BB121" s="110"/>
      <c r="BC121" s="110"/>
      <c r="BD121" s="110"/>
      <c r="BE121" s="110"/>
      <c r="BF121" s="110"/>
      <c r="BG121" s="110"/>
      <c r="BH121" s="110"/>
      <c r="BI121" s="111"/>
      <c r="BJ121" s="7"/>
      <c r="BK121" s="7"/>
      <c r="BM121" s="68">
        <v>4</v>
      </c>
      <c r="BN121" s="109"/>
      <c r="BO121" s="110"/>
      <c r="BP121" s="110"/>
      <c r="BQ121" s="110"/>
      <c r="BR121" s="110">
        <v>54</v>
      </c>
      <c r="BS121" s="110">
        <v>1</v>
      </c>
      <c r="BT121" s="110">
        <v>0</v>
      </c>
      <c r="BU121" s="110">
        <v>32</v>
      </c>
      <c r="BV121" s="110">
        <v>0</v>
      </c>
      <c r="BW121" s="110">
        <v>0</v>
      </c>
      <c r="BX121" s="110">
        <v>0</v>
      </c>
      <c r="BY121" s="110">
        <v>0</v>
      </c>
      <c r="BZ121" s="110">
        <v>0</v>
      </c>
      <c r="CA121" s="110">
        <v>0</v>
      </c>
      <c r="CB121" s="110">
        <v>0</v>
      </c>
      <c r="CC121" s="110">
        <v>0</v>
      </c>
      <c r="CD121" s="110">
        <v>0</v>
      </c>
      <c r="CE121" s="110"/>
      <c r="CF121" s="110"/>
      <c r="CG121" s="110"/>
      <c r="CH121" s="110"/>
      <c r="CI121" s="110"/>
      <c r="CJ121" s="110"/>
      <c r="CK121" s="110"/>
      <c r="CL121" s="110"/>
      <c r="CM121" s="110"/>
      <c r="CN121" s="110"/>
      <c r="CO121" s="111"/>
      <c r="CP121" s="7"/>
      <c r="CQ121" s="7"/>
      <c r="CS121" s="68">
        <v>4</v>
      </c>
      <c r="CT121" s="109"/>
      <c r="CU121" s="110"/>
      <c r="CV121" s="110"/>
      <c r="CW121" s="110"/>
      <c r="CX121" s="110">
        <v>44</v>
      </c>
      <c r="CY121" s="110">
        <v>363</v>
      </c>
      <c r="CZ121" s="110">
        <v>432</v>
      </c>
      <c r="DA121" s="110">
        <v>278</v>
      </c>
      <c r="DB121" s="110">
        <v>56</v>
      </c>
      <c r="DC121" s="110">
        <v>0</v>
      </c>
      <c r="DD121" s="110">
        <v>0</v>
      </c>
      <c r="DE121" s="110">
        <v>1</v>
      </c>
      <c r="DF121" s="110">
        <v>0</v>
      </c>
      <c r="DG121" s="110">
        <v>0</v>
      </c>
      <c r="DH121" s="110">
        <v>1</v>
      </c>
      <c r="DI121" s="110">
        <v>0</v>
      </c>
      <c r="DJ121" s="110">
        <v>0</v>
      </c>
      <c r="DK121" s="110"/>
      <c r="DL121" s="110"/>
      <c r="DM121" s="110"/>
      <c r="DN121" s="110"/>
      <c r="DO121" s="110"/>
      <c r="DP121" s="110"/>
      <c r="DQ121" s="110"/>
      <c r="DR121" s="110"/>
      <c r="DS121" s="110"/>
      <c r="DT121" s="110"/>
      <c r="DU121" s="111"/>
      <c r="DV121" s="7"/>
      <c r="DW121" s="7"/>
    </row>
    <row r="122" spans="1:127">
      <c r="A122" s="68">
        <v>5</v>
      </c>
      <c r="B122" s="109"/>
      <c r="C122" s="110"/>
      <c r="D122" s="110"/>
      <c r="E122" s="110"/>
      <c r="F122" s="110"/>
      <c r="G122" s="110">
        <v>0</v>
      </c>
      <c r="H122" s="110">
        <v>0</v>
      </c>
      <c r="I122" s="110">
        <v>0</v>
      </c>
      <c r="J122" s="110">
        <v>0</v>
      </c>
      <c r="K122" s="110">
        <v>0</v>
      </c>
      <c r="L122" s="110">
        <v>0</v>
      </c>
      <c r="M122" s="110">
        <v>0</v>
      </c>
      <c r="N122" s="110">
        <v>0</v>
      </c>
      <c r="O122" s="110">
        <v>1</v>
      </c>
      <c r="P122" s="110">
        <v>0</v>
      </c>
      <c r="Q122" s="110">
        <v>0</v>
      </c>
      <c r="R122" s="110">
        <v>0</v>
      </c>
      <c r="S122" s="110">
        <v>0</v>
      </c>
      <c r="T122" s="110"/>
      <c r="U122" s="110"/>
      <c r="V122" s="110"/>
      <c r="W122" s="110"/>
      <c r="X122" s="110"/>
      <c r="Y122" s="110"/>
      <c r="Z122" s="110"/>
      <c r="AA122" s="110"/>
      <c r="AB122" s="110"/>
      <c r="AC122" s="111"/>
      <c r="AD122" s="7"/>
      <c r="AE122" s="7"/>
      <c r="AG122" s="68">
        <v>5</v>
      </c>
      <c r="AH122" s="109"/>
      <c r="AI122" s="110"/>
      <c r="AJ122" s="110"/>
      <c r="AK122" s="110"/>
      <c r="AL122" s="110"/>
      <c r="AM122" s="110">
        <v>1195</v>
      </c>
      <c r="AN122" s="110">
        <v>710</v>
      </c>
      <c r="AO122" s="110">
        <v>388</v>
      </c>
      <c r="AP122" s="110">
        <v>331</v>
      </c>
      <c r="AQ122" s="110">
        <v>262</v>
      </c>
      <c r="AR122" s="110">
        <v>23</v>
      </c>
      <c r="AS122" s="110">
        <v>5</v>
      </c>
      <c r="AT122" s="110">
        <v>3</v>
      </c>
      <c r="AU122" s="110">
        <v>2</v>
      </c>
      <c r="AV122" s="110">
        <v>1</v>
      </c>
      <c r="AW122" s="110">
        <v>0</v>
      </c>
      <c r="AX122" s="110">
        <v>0</v>
      </c>
      <c r="AY122" s="110">
        <v>0</v>
      </c>
      <c r="AZ122" s="110"/>
      <c r="BA122" s="110"/>
      <c r="BB122" s="110"/>
      <c r="BC122" s="110"/>
      <c r="BD122" s="110"/>
      <c r="BE122" s="110"/>
      <c r="BF122" s="110"/>
      <c r="BG122" s="110"/>
      <c r="BH122" s="110"/>
      <c r="BI122" s="111"/>
      <c r="BJ122" s="7"/>
      <c r="BK122" s="7"/>
      <c r="BM122" s="68">
        <v>5</v>
      </c>
      <c r="BN122" s="109"/>
      <c r="BO122" s="110"/>
      <c r="BP122" s="110"/>
      <c r="BQ122" s="110"/>
      <c r="BR122" s="110"/>
      <c r="BS122" s="110">
        <v>1</v>
      </c>
      <c r="BT122" s="110">
        <v>0</v>
      </c>
      <c r="BU122" s="110">
        <v>0</v>
      </c>
      <c r="BV122" s="110">
        <v>0</v>
      </c>
      <c r="BW122" s="110">
        <v>0</v>
      </c>
      <c r="BX122" s="110">
        <v>0</v>
      </c>
      <c r="BY122" s="110">
        <v>0</v>
      </c>
      <c r="BZ122" s="110">
        <v>0</v>
      </c>
      <c r="CA122" s="110">
        <v>0</v>
      </c>
      <c r="CB122" s="110">
        <v>0</v>
      </c>
      <c r="CC122" s="110">
        <v>0</v>
      </c>
      <c r="CD122" s="110">
        <v>0</v>
      </c>
      <c r="CE122" s="110">
        <v>0</v>
      </c>
      <c r="CF122" s="110"/>
      <c r="CG122" s="110"/>
      <c r="CH122" s="110"/>
      <c r="CI122" s="110"/>
      <c r="CJ122" s="110"/>
      <c r="CK122" s="110"/>
      <c r="CL122" s="110"/>
      <c r="CM122" s="110"/>
      <c r="CN122" s="110"/>
      <c r="CO122" s="111"/>
      <c r="CP122" s="7"/>
      <c r="CQ122" s="7"/>
      <c r="CS122" s="68">
        <v>5</v>
      </c>
      <c r="CT122" s="109"/>
      <c r="CU122" s="110"/>
      <c r="CV122" s="110"/>
      <c r="CW122" s="110"/>
      <c r="CX122" s="110"/>
      <c r="CY122" s="110">
        <v>361</v>
      </c>
      <c r="CZ122" s="110">
        <v>423</v>
      </c>
      <c r="DA122" s="110">
        <v>271</v>
      </c>
      <c r="DB122" s="110">
        <v>54</v>
      </c>
      <c r="DC122" s="110">
        <v>0</v>
      </c>
      <c r="DD122" s="110">
        <v>1</v>
      </c>
      <c r="DE122" s="110">
        <v>6</v>
      </c>
      <c r="DF122" s="110">
        <v>0</v>
      </c>
      <c r="DG122" s="110">
        <v>0</v>
      </c>
      <c r="DH122" s="110">
        <v>1</v>
      </c>
      <c r="DI122" s="110">
        <v>0</v>
      </c>
      <c r="DJ122" s="110">
        <v>0</v>
      </c>
      <c r="DK122" s="110">
        <v>0</v>
      </c>
      <c r="DL122" s="110"/>
      <c r="DM122" s="110"/>
      <c r="DN122" s="110"/>
      <c r="DO122" s="110"/>
      <c r="DP122" s="110"/>
      <c r="DQ122" s="110"/>
      <c r="DR122" s="110"/>
      <c r="DS122" s="110"/>
      <c r="DT122" s="110"/>
      <c r="DU122" s="111"/>
      <c r="DV122" s="7"/>
      <c r="DW122" s="7"/>
    </row>
    <row r="123" spans="1:127">
      <c r="A123" s="68">
        <v>6</v>
      </c>
      <c r="B123" s="109"/>
      <c r="C123" s="110"/>
      <c r="D123" s="110"/>
      <c r="E123" s="110"/>
      <c r="F123" s="110"/>
      <c r="G123" s="110"/>
      <c r="H123" s="110">
        <v>0</v>
      </c>
      <c r="I123" s="110">
        <v>0</v>
      </c>
      <c r="J123" s="110">
        <v>0</v>
      </c>
      <c r="K123" s="110">
        <v>0</v>
      </c>
      <c r="L123" s="110">
        <v>0</v>
      </c>
      <c r="M123" s="110">
        <v>0</v>
      </c>
      <c r="N123" s="110">
        <v>2</v>
      </c>
      <c r="O123" s="110">
        <v>1</v>
      </c>
      <c r="P123" s="110">
        <v>0</v>
      </c>
      <c r="Q123" s="110">
        <v>0</v>
      </c>
      <c r="R123" s="110">
        <v>0</v>
      </c>
      <c r="S123" s="110">
        <v>0</v>
      </c>
      <c r="T123" s="110">
        <v>0</v>
      </c>
      <c r="U123" s="110"/>
      <c r="V123" s="110"/>
      <c r="W123" s="110"/>
      <c r="X123" s="110"/>
      <c r="Y123" s="110"/>
      <c r="Z123" s="110"/>
      <c r="AA123" s="110"/>
      <c r="AB123" s="110"/>
      <c r="AC123" s="111"/>
      <c r="AD123" s="7"/>
      <c r="AE123" s="7"/>
      <c r="AG123" s="68">
        <v>6</v>
      </c>
      <c r="AH123" s="109"/>
      <c r="AI123" s="110"/>
      <c r="AJ123" s="110"/>
      <c r="AK123" s="110"/>
      <c r="AL123" s="110"/>
      <c r="AM123" s="110"/>
      <c r="AN123" s="110">
        <v>728</v>
      </c>
      <c r="AO123" s="110">
        <v>393</v>
      </c>
      <c r="AP123" s="110">
        <v>334</v>
      </c>
      <c r="AQ123" s="110">
        <v>264</v>
      </c>
      <c r="AR123" s="110">
        <v>29</v>
      </c>
      <c r="AS123" s="110">
        <v>8</v>
      </c>
      <c r="AT123" s="110">
        <v>6</v>
      </c>
      <c r="AU123" s="110">
        <v>3</v>
      </c>
      <c r="AV123" s="110">
        <v>2</v>
      </c>
      <c r="AW123" s="110">
        <v>1</v>
      </c>
      <c r="AX123" s="110">
        <v>0</v>
      </c>
      <c r="AY123" s="110">
        <v>0</v>
      </c>
      <c r="AZ123" s="110">
        <v>0</v>
      </c>
      <c r="BA123" s="110"/>
      <c r="BB123" s="110"/>
      <c r="BC123" s="110"/>
      <c r="BD123" s="110"/>
      <c r="BE123" s="110"/>
      <c r="BF123" s="110"/>
      <c r="BG123" s="110"/>
      <c r="BH123" s="110"/>
      <c r="BI123" s="111"/>
      <c r="BJ123" s="7"/>
      <c r="BK123" s="7"/>
      <c r="BM123" s="68">
        <v>6</v>
      </c>
      <c r="BN123" s="109"/>
      <c r="BO123" s="110"/>
      <c r="BP123" s="110"/>
      <c r="BQ123" s="110"/>
      <c r="BR123" s="110"/>
      <c r="BS123" s="110"/>
      <c r="BT123" s="110">
        <v>0</v>
      </c>
      <c r="BU123" s="110">
        <v>0</v>
      </c>
      <c r="BV123" s="110">
        <v>0</v>
      </c>
      <c r="BW123" s="110">
        <v>0</v>
      </c>
      <c r="BX123" s="110">
        <v>0</v>
      </c>
      <c r="BY123" s="110">
        <v>0</v>
      </c>
      <c r="BZ123" s="110">
        <v>0</v>
      </c>
      <c r="CA123" s="110">
        <v>0</v>
      </c>
      <c r="CB123" s="110">
        <v>0</v>
      </c>
      <c r="CC123" s="110">
        <v>0</v>
      </c>
      <c r="CD123" s="110">
        <v>0</v>
      </c>
      <c r="CE123" s="110">
        <v>0</v>
      </c>
      <c r="CF123" s="110">
        <v>0</v>
      </c>
      <c r="CG123" s="110"/>
      <c r="CH123" s="110"/>
      <c r="CI123" s="110"/>
      <c r="CJ123" s="110"/>
      <c r="CK123" s="110"/>
      <c r="CL123" s="110"/>
      <c r="CM123" s="110"/>
      <c r="CN123" s="110"/>
      <c r="CO123" s="111"/>
      <c r="CP123" s="7"/>
      <c r="CQ123" s="7"/>
      <c r="CS123" s="68">
        <v>6</v>
      </c>
      <c r="CT123" s="109"/>
      <c r="CU123" s="110"/>
      <c r="CV123" s="110"/>
      <c r="CW123" s="110"/>
      <c r="CX123" s="110"/>
      <c r="CY123" s="110"/>
      <c r="CZ123" s="110">
        <v>398</v>
      </c>
      <c r="DA123" s="110">
        <v>259</v>
      </c>
      <c r="DB123" s="110">
        <v>52</v>
      </c>
      <c r="DC123" s="110">
        <v>0</v>
      </c>
      <c r="DD123" s="110">
        <v>3</v>
      </c>
      <c r="DE123" s="110">
        <v>13</v>
      </c>
      <c r="DF123" s="110">
        <v>0</v>
      </c>
      <c r="DG123" s="110">
        <v>0</v>
      </c>
      <c r="DH123" s="110">
        <v>1</v>
      </c>
      <c r="DI123" s="110">
        <v>0</v>
      </c>
      <c r="DJ123" s="110">
        <v>0</v>
      </c>
      <c r="DK123" s="110">
        <v>0</v>
      </c>
      <c r="DL123" s="110">
        <v>0</v>
      </c>
      <c r="DM123" s="110"/>
      <c r="DN123" s="110"/>
      <c r="DO123" s="110"/>
      <c r="DP123" s="110"/>
      <c r="DQ123" s="110"/>
      <c r="DR123" s="110"/>
      <c r="DS123" s="110"/>
      <c r="DT123" s="110"/>
      <c r="DU123" s="111"/>
      <c r="DV123" s="7"/>
      <c r="DW123" s="7"/>
    </row>
    <row r="124" spans="1:127">
      <c r="A124" s="68">
        <v>7</v>
      </c>
      <c r="B124" s="109"/>
      <c r="C124" s="110"/>
      <c r="D124" s="110"/>
      <c r="E124" s="110"/>
      <c r="F124" s="110"/>
      <c r="G124" s="110"/>
      <c r="H124" s="110"/>
      <c r="I124" s="110">
        <v>0</v>
      </c>
      <c r="J124" s="110">
        <v>0</v>
      </c>
      <c r="K124" s="110">
        <v>0</v>
      </c>
      <c r="L124" s="110">
        <v>0</v>
      </c>
      <c r="M124" s="110">
        <v>0</v>
      </c>
      <c r="N124" s="110">
        <v>1</v>
      </c>
      <c r="O124" s="110">
        <v>1</v>
      </c>
      <c r="P124" s="110">
        <v>0</v>
      </c>
      <c r="Q124" s="110">
        <v>0</v>
      </c>
      <c r="R124" s="110">
        <v>1</v>
      </c>
      <c r="S124" s="110">
        <v>0</v>
      </c>
      <c r="T124" s="110">
        <v>0</v>
      </c>
      <c r="U124" s="110">
        <v>0</v>
      </c>
      <c r="V124" s="110"/>
      <c r="W124" s="110"/>
      <c r="X124" s="110"/>
      <c r="Y124" s="110"/>
      <c r="Z124" s="110"/>
      <c r="AA124" s="110"/>
      <c r="AB124" s="110"/>
      <c r="AC124" s="111"/>
      <c r="AD124" s="7"/>
      <c r="AE124" s="7"/>
      <c r="AG124" s="68">
        <v>7</v>
      </c>
      <c r="AH124" s="109"/>
      <c r="AI124" s="110"/>
      <c r="AJ124" s="110"/>
      <c r="AK124" s="110"/>
      <c r="AL124" s="110"/>
      <c r="AM124" s="110"/>
      <c r="AN124" s="110"/>
      <c r="AO124" s="110">
        <v>403</v>
      </c>
      <c r="AP124" s="110">
        <v>337</v>
      </c>
      <c r="AQ124" s="110">
        <v>265</v>
      </c>
      <c r="AR124" s="110">
        <v>26</v>
      </c>
      <c r="AS124" s="110">
        <v>12</v>
      </c>
      <c r="AT124" s="110">
        <v>9</v>
      </c>
      <c r="AU124" s="110">
        <v>9</v>
      </c>
      <c r="AV124" s="110">
        <v>5</v>
      </c>
      <c r="AW124" s="110">
        <v>2</v>
      </c>
      <c r="AX124" s="110">
        <v>0</v>
      </c>
      <c r="AY124" s="110">
        <v>0</v>
      </c>
      <c r="AZ124" s="110">
        <v>0</v>
      </c>
      <c r="BA124" s="110">
        <v>0</v>
      </c>
      <c r="BB124" s="110"/>
      <c r="BC124" s="110"/>
      <c r="BD124" s="110"/>
      <c r="BE124" s="110"/>
      <c r="BF124" s="110"/>
      <c r="BG124" s="110"/>
      <c r="BH124" s="110"/>
      <c r="BI124" s="111"/>
      <c r="BJ124" s="7"/>
      <c r="BK124" s="7"/>
      <c r="BM124" s="68">
        <v>7</v>
      </c>
      <c r="BN124" s="109"/>
      <c r="BO124" s="110"/>
      <c r="BP124" s="110"/>
      <c r="BQ124" s="110"/>
      <c r="BR124" s="110"/>
      <c r="BS124" s="110"/>
      <c r="BT124" s="110"/>
      <c r="BU124" s="110">
        <v>0</v>
      </c>
      <c r="BV124" s="110">
        <v>0</v>
      </c>
      <c r="BW124" s="110">
        <v>0</v>
      </c>
      <c r="BX124" s="110">
        <v>0</v>
      </c>
      <c r="BY124" s="110">
        <v>0</v>
      </c>
      <c r="BZ124" s="110">
        <v>0</v>
      </c>
      <c r="CA124" s="110">
        <v>0</v>
      </c>
      <c r="CB124" s="110">
        <v>0</v>
      </c>
      <c r="CC124" s="110">
        <v>0</v>
      </c>
      <c r="CD124" s="110">
        <v>0</v>
      </c>
      <c r="CE124" s="110">
        <v>0</v>
      </c>
      <c r="CF124" s="110">
        <v>0</v>
      </c>
      <c r="CG124" s="110">
        <v>0</v>
      </c>
      <c r="CH124" s="110"/>
      <c r="CI124" s="110"/>
      <c r="CJ124" s="110"/>
      <c r="CK124" s="110"/>
      <c r="CL124" s="110"/>
      <c r="CM124" s="110"/>
      <c r="CN124" s="110"/>
      <c r="CO124" s="111"/>
      <c r="CP124" s="7"/>
      <c r="CQ124" s="7"/>
      <c r="CS124" s="68">
        <v>7</v>
      </c>
      <c r="CT124" s="109"/>
      <c r="CU124" s="110"/>
      <c r="CV124" s="110"/>
      <c r="CW124" s="110"/>
      <c r="CX124" s="110"/>
      <c r="CY124" s="110"/>
      <c r="CZ124" s="110"/>
      <c r="DA124" s="110">
        <v>238</v>
      </c>
      <c r="DB124" s="110">
        <v>42</v>
      </c>
      <c r="DC124" s="110">
        <v>0</v>
      </c>
      <c r="DD124" s="110">
        <v>5</v>
      </c>
      <c r="DE124" s="110">
        <v>17</v>
      </c>
      <c r="DF124" s="110">
        <v>2</v>
      </c>
      <c r="DG124" s="110">
        <v>0</v>
      </c>
      <c r="DH124" s="110">
        <v>1</v>
      </c>
      <c r="DI124" s="110">
        <v>0</v>
      </c>
      <c r="DJ124" s="110">
        <v>0</v>
      </c>
      <c r="DK124" s="110">
        <v>0</v>
      </c>
      <c r="DL124" s="110">
        <v>0</v>
      </c>
      <c r="DM124" s="110">
        <v>0</v>
      </c>
      <c r="DN124" s="110"/>
      <c r="DO124" s="110"/>
      <c r="DP124" s="110"/>
      <c r="DQ124" s="110"/>
      <c r="DR124" s="110"/>
      <c r="DS124" s="110"/>
      <c r="DT124" s="110"/>
      <c r="DU124" s="111"/>
      <c r="DV124" s="7"/>
      <c r="DW124" s="7"/>
    </row>
    <row r="125" spans="1:127">
      <c r="A125" s="68">
        <v>8</v>
      </c>
      <c r="B125" s="109"/>
      <c r="C125" s="110"/>
      <c r="D125" s="110"/>
      <c r="E125" s="110"/>
      <c r="F125" s="110"/>
      <c r="G125" s="110"/>
      <c r="H125" s="110"/>
      <c r="I125" s="110"/>
      <c r="J125" s="110">
        <v>0</v>
      </c>
      <c r="K125" s="110">
        <v>0</v>
      </c>
      <c r="L125" s="110">
        <v>0</v>
      </c>
      <c r="M125" s="110">
        <v>0</v>
      </c>
      <c r="N125" s="110">
        <v>1</v>
      </c>
      <c r="O125" s="110">
        <v>1</v>
      </c>
      <c r="P125" s="110">
        <v>0</v>
      </c>
      <c r="Q125" s="110">
        <v>0</v>
      </c>
      <c r="R125" s="110">
        <v>0</v>
      </c>
      <c r="S125" s="110">
        <v>1</v>
      </c>
      <c r="T125" s="110">
        <v>0</v>
      </c>
      <c r="U125" s="110">
        <v>0</v>
      </c>
      <c r="V125" s="110">
        <v>0</v>
      </c>
      <c r="W125" s="110"/>
      <c r="X125" s="110"/>
      <c r="Y125" s="110"/>
      <c r="Z125" s="110"/>
      <c r="AA125" s="110"/>
      <c r="AB125" s="110"/>
      <c r="AC125" s="111"/>
      <c r="AD125" s="7"/>
      <c r="AE125" s="7"/>
      <c r="AG125" s="68">
        <v>8</v>
      </c>
      <c r="AH125" s="109"/>
      <c r="AI125" s="110"/>
      <c r="AJ125" s="110"/>
      <c r="AK125" s="110"/>
      <c r="AL125" s="110"/>
      <c r="AM125" s="110"/>
      <c r="AN125" s="110"/>
      <c r="AO125" s="110"/>
      <c r="AP125" s="110">
        <v>346</v>
      </c>
      <c r="AQ125" s="110">
        <v>264</v>
      </c>
      <c r="AR125" s="110">
        <v>29</v>
      </c>
      <c r="AS125" s="110">
        <v>18</v>
      </c>
      <c r="AT125" s="110">
        <v>11</v>
      </c>
      <c r="AU125" s="110">
        <v>14</v>
      </c>
      <c r="AV125" s="110">
        <v>4</v>
      </c>
      <c r="AW125" s="110">
        <v>5</v>
      </c>
      <c r="AX125" s="110">
        <v>0</v>
      </c>
      <c r="AY125" s="110">
        <v>0</v>
      </c>
      <c r="AZ125" s="110">
        <v>0</v>
      </c>
      <c r="BA125" s="110">
        <v>0</v>
      </c>
      <c r="BB125" s="110">
        <v>0</v>
      </c>
      <c r="BC125" s="110"/>
      <c r="BD125" s="110"/>
      <c r="BE125" s="110"/>
      <c r="BF125" s="110"/>
      <c r="BG125" s="110"/>
      <c r="BH125" s="110"/>
      <c r="BI125" s="111"/>
      <c r="BJ125" s="7"/>
      <c r="BK125" s="7"/>
      <c r="BM125" s="68">
        <v>8</v>
      </c>
      <c r="BN125" s="109"/>
      <c r="BO125" s="110"/>
      <c r="BP125" s="110"/>
      <c r="BQ125" s="110"/>
      <c r="BR125" s="110"/>
      <c r="BS125" s="110"/>
      <c r="BT125" s="110"/>
      <c r="BU125" s="110"/>
      <c r="BV125" s="110">
        <v>0</v>
      </c>
      <c r="BW125" s="110">
        <v>0</v>
      </c>
      <c r="BX125" s="110">
        <v>0</v>
      </c>
      <c r="BY125" s="110">
        <v>0</v>
      </c>
      <c r="BZ125" s="110">
        <v>0</v>
      </c>
      <c r="CA125" s="110">
        <v>0</v>
      </c>
      <c r="CB125" s="110">
        <v>0</v>
      </c>
      <c r="CC125" s="110">
        <v>0</v>
      </c>
      <c r="CD125" s="110">
        <v>0</v>
      </c>
      <c r="CE125" s="110">
        <v>0</v>
      </c>
      <c r="CF125" s="110">
        <v>0</v>
      </c>
      <c r="CG125" s="110">
        <v>0</v>
      </c>
      <c r="CH125" s="110">
        <v>0</v>
      </c>
      <c r="CI125" s="110"/>
      <c r="CJ125" s="110"/>
      <c r="CK125" s="110"/>
      <c r="CL125" s="110"/>
      <c r="CM125" s="110"/>
      <c r="CN125" s="110"/>
      <c r="CO125" s="111"/>
      <c r="CP125" s="7"/>
      <c r="CQ125" s="7"/>
      <c r="CS125" s="68">
        <v>8</v>
      </c>
      <c r="CT125" s="109"/>
      <c r="CU125" s="110"/>
      <c r="CV125" s="110"/>
      <c r="CW125" s="110"/>
      <c r="CX125" s="110"/>
      <c r="CY125" s="110"/>
      <c r="CZ125" s="110"/>
      <c r="DA125" s="110"/>
      <c r="DB125" s="110">
        <v>46</v>
      </c>
      <c r="DC125" s="110">
        <v>0</v>
      </c>
      <c r="DD125" s="110">
        <v>8</v>
      </c>
      <c r="DE125" s="110">
        <v>23</v>
      </c>
      <c r="DF125" s="110">
        <v>3</v>
      </c>
      <c r="DG125" s="110">
        <v>0</v>
      </c>
      <c r="DH125" s="110">
        <v>1</v>
      </c>
      <c r="DI125" s="110">
        <v>0</v>
      </c>
      <c r="DJ125" s="110">
        <v>0</v>
      </c>
      <c r="DK125" s="110">
        <v>0</v>
      </c>
      <c r="DL125" s="110">
        <v>0</v>
      </c>
      <c r="DM125" s="110">
        <v>0</v>
      </c>
      <c r="DN125" s="110">
        <v>0</v>
      </c>
      <c r="DO125" s="110"/>
      <c r="DP125" s="110"/>
      <c r="DQ125" s="110"/>
      <c r="DR125" s="110"/>
      <c r="DS125" s="110"/>
      <c r="DT125" s="110"/>
      <c r="DU125" s="111"/>
      <c r="DV125" s="7"/>
      <c r="DW125" s="7"/>
    </row>
    <row r="126" spans="1:127">
      <c r="A126" s="68">
        <v>9</v>
      </c>
      <c r="B126" s="109"/>
      <c r="C126" s="110"/>
      <c r="D126" s="110"/>
      <c r="E126" s="110"/>
      <c r="F126" s="110"/>
      <c r="G126" s="110"/>
      <c r="H126" s="110"/>
      <c r="I126" s="110"/>
      <c r="J126" s="110"/>
      <c r="K126" s="110">
        <v>0</v>
      </c>
      <c r="L126" s="110">
        <v>0</v>
      </c>
      <c r="M126" s="110">
        <v>0</v>
      </c>
      <c r="N126" s="110">
        <v>1</v>
      </c>
      <c r="O126" s="110">
        <v>1</v>
      </c>
      <c r="P126" s="110">
        <v>0</v>
      </c>
      <c r="Q126" s="110">
        <v>0</v>
      </c>
      <c r="R126" s="110">
        <v>0</v>
      </c>
      <c r="S126" s="110">
        <v>0</v>
      </c>
      <c r="T126" s="110">
        <v>0</v>
      </c>
      <c r="U126" s="110">
        <v>0</v>
      </c>
      <c r="V126" s="110">
        <v>0</v>
      </c>
      <c r="W126" s="110">
        <v>0</v>
      </c>
      <c r="X126" s="110"/>
      <c r="Y126" s="110"/>
      <c r="Z126" s="110"/>
      <c r="AA126" s="110"/>
      <c r="AB126" s="110"/>
      <c r="AC126" s="111"/>
      <c r="AD126" s="7"/>
      <c r="AE126" s="7"/>
      <c r="AG126" s="68">
        <v>9</v>
      </c>
      <c r="AH126" s="109"/>
      <c r="AI126" s="110"/>
      <c r="AJ126" s="110"/>
      <c r="AK126" s="110"/>
      <c r="AL126" s="110"/>
      <c r="AM126" s="110"/>
      <c r="AN126" s="110"/>
      <c r="AO126" s="110"/>
      <c r="AP126" s="110"/>
      <c r="AQ126" s="110">
        <v>256</v>
      </c>
      <c r="AR126" s="110">
        <v>33</v>
      </c>
      <c r="AS126" s="110">
        <v>21</v>
      </c>
      <c r="AT126" s="110">
        <v>13</v>
      </c>
      <c r="AU126" s="110">
        <v>13</v>
      </c>
      <c r="AV126" s="110">
        <v>6</v>
      </c>
      <c r="AW126" s="110">
        <v>10</v>
      </c>
      <c r="AX126" s="110">
        <v>0</v>
      </c>
      <c r="AY126" s="110">
        <v>0</v>
      </c>
      <c r="AZ126" s="110">
        <v>0</v>
      </c>
      <c r="BA126" s="110">
        <v>0</v>
      </c>
      <c r="BB126" s="110">
        <v>0</v>
      </c>
      <c r="BC126" s="110">
        <v>0</v>
      </c>
      <c r="BD126" s="110"/>
      <c r="BE126" s="110"/>
      <c r="BF126" s="110"/>
      <c r="BG126" s="110"/>
      <c r="BH126" s="110"/>
      <c r="BI126" s="111"/>
      <c r="BJ126" s="7"/>
      <c r="BK126" s="7"/>
      <c r="BM126" s="68">
        <v>9</v>
      </c>
      <c r="BN126" s="109"/>
      <c r="BO126" s="110"/>
      <c r="BP126" s="110"/>
      <c r="BQ126" s="110"/>
      <c r="BR126" s="110"/>
      <c r="BS126" s="110"/>
      <c r="BT126" s="110"/>
      <c r="BU126" s="110"/>
      <c r="BV126" s="110"/>
      <c r="BW126" s="110">
        <v>0</v>
      </c>
      <c r="BX126" s="110">
        <v>0</v>
      </c>
      <c r="BY126" s="110">
        <v>0</v>
      </c>
      <c r="BZ126" s="110">
        <v>0</v>
      </c>
      <c r="CA126" s="110">
        <v>0</v>
      </c>
      <c r="CB126" s="110">
        <v>0</v>
      </c>
      <c r="CC126" s="110">
        <v>0</v>
      </c>
      <c r="CD126" s="110">
        <v>0</v>
      </c>
      <c r="CE126" s="110">
        <v>0</v>
      </c>
      <c r="CF126" s="110">
        <v>0</v>
      </c>
      <c r="CG126" s="110">
        <v>0</v>
      </c>
      <c r="CH126" s="110">
        <v>0</v>
      </c>
      <c r="CI126" s="110">
        <v>0</v>
      </c>
      <c r="CJ126" s="110"/>
      <c r="CK126" s="110"/>
      <c r="CL126" s="110"/>
      <c r="CM126" s="110"/>
      <c r="CN126" s="110"/>
      <c r="CO126" s="111"/>
      <c r="CP126" s="7"/>
      <c r="CQ126" s="7"/>
      <c r="CS126" s="68">
        <v>9</v>
      </c>
      <c r="CT126" s="109"/>
      <c r="CU126" s="110"/>
      <c r="CV126" s="110"/>
      <c r="CW126" s="110"/>
      <c r="CX126" s="110"/>
      <c r="CY126" s="110"/>
      <c r="CZ126" s="110"/>
      <c r="DA126" s="110"/>
      <c r="DB126" s="110"/>
      <c r="DC126" s="110">
        <v>0</v>
      </c>
      <c r="DD126" s="110">
        <v>4</v>
      </c>
      <c r="DE126" s="110">
        <v>20</v>
      </c>
      <c r="DF126" s="110">
        <v>2</v>
      </c>
      <c r="DG126" s="110">
        <v>0</v>
      </c>
      <c r="DH126" s="110">
        <v>0</v>
      </c>
      <c r="DI126" s="110">
        <v>0</v>
      </c>
      <c r="DJ126" s="110">
        <v>0</v>
      </c>
      <c r="DK126" s="110">
        <v>0</v>
      </c>
      <c r="DL126" s="110">
        <v>0</v>
      </c>
      <c r="DM126" s="110">
        <v>0</v>
      </c>
      <c r="DN126" s="110">
        <v>0</v>
      </c>
      <c r="DO126" s="110">
        <v>0</v>
      </c>
      <c r="DP126" s="110"/>
      <c r="DQ126" s="110"/>
      <c r="DR126" s="110"/>
      <c r="DS126" s="110"/>
      <c r="DT126" s="110"/>
      <c r="DU126" s="111"/>
      <c r="DV126" s="7"/>
      <c r="DW126" s="7"/>
    </row>
    <row r="127" spans="1:127">
      <c r="A127" s="68">
        <v>10</v>
      </c>
      <c r="B127" s="109"/>
      <c r="C127" s="110"/>
      <c r="D127" s="110"/>
      <c r="E127" s="110"/>
      <c r="F127" s="110"/>
      <c r="G127" s="110"/>
      <c r="H127" s="110"/>
      <c r="I127" s="110"/>
      <c r="J127" s="110"/>
      <c r="K127" s="110"/>
      <c r="L127" s="110">
        <v>0</v>
      </c>
      <c r="M127" s="110">
        <v>0</v>
      </c>
      <c r="N127" s="110">
        <v>1</v>
      </c>
      <c r="O127" s="110">
        <v>1</v>
      </c>
      <c r="P127" s="110">
        <v>0</v>
      </c>
      <c r="Q127" s="110">
        <v>0</v>
      </c>
      <c r="R127" s="110">
        <v>0</v>
      </c>
      <c r="S127" s="110">
        <v>0</v>
      </c>
      <c r="T127" s="110">
        <v>0</v>
      </c>
      <c r="U127" s="110">
        <v>0</v>
      </c>
      <c r="V127" s="110">
        <v>0</v>
      </c>
      <c r="W127" s="110">
        <v>0</v>
      </c>
      <c r="X127" s="110">
        <v>0</v>
      </c>
      <c r="Y127" s="110"/>
      <c r="Z127" s="110"/>
      <c r="AA127" s="110"/>
      <c r="AB127" s="110"/>
      <c r="AC127" s="111"/>
      <c r="AD127" s="7"/>
      <c r="AE127" s="7"/>
      <c r="AG127" s="68">
        <v>10</v>
      </c>
      <c r="AH127" s="109"/>
      <c r="AI127" s="110"/>
      <c r="AJ127" s="110"/>
      <c r="AK127" s="110"/>
      <c r="AL127" s="110"/>
      <c r="AM127" s="110"/>
      <c r="AN127" s="110"/>
      <c r="AO127" s="110"/>
      <c r="AP127" s="110"/>
      <c r="AQ127" s="110"/>
      <c r="AR127" s="110">
        <v>33</v>
      </c>
      <c r="AS127" s="110">
        <v>16</v>
      </c>
      <c r="AT127" s="110">
        <v>8</v>
      </c>
      <c r="AU127" s="110">
        <v>12</v>
      </c>
      <c r="AV127" s="110">
        <v>6</v>
      </c>
      <c r="AW127" s="110">
        <v>11</v>
      </c>
      <c r="AX127" s="110">
        <v>0</v>
      </c>
      <c r="AY127" s="110">
        <v>0</v>
      </c>
      <c r="AZ127" s="110">
        <v>0</v>
      </c>
      <c r="BA127" s="110">
        <v>0</v>
      </c>
      <c r="BB127" s="110">
        <v>0</v>
      </c>
      <c r="BC127" s="110">
        <v>0</v>
      </c>
      <c r="BD127" s="110">
        <v>0</v>
      </c>
      <c r="BE127" s="110"/>
      <c r="BF127" s="110"/>
      <c r="BG127" s="110"/>
      <c r="BH127" s="110"/>
      <c r="BI127" s="111"/>
      <c r="BJ127" s="7"/>
      <c r="BK127" s="7"/>
      <c r="BM127" s="68">
        <v>10</v>
      </c>
      <c r="BN127" s="109"/>
      <c r="BO127" s="110"/>
      <c r="BP127" s="110"/>
      <c r="BQ127" s="110"/>
      <c r="BR127" s="110"/>
      <c r="BS127" s="110"/>
      <c r="BT127" s="110"/>
      <c r="BU127" s="110"/>
      <c r="BV127" s="110"/>
      <c r="BW127" s="110"/>
      <c r="BX127" s="110">
        <v>0</v>
      </c>
      <c r="BY127" s="110">
        <v>0</v>
      </c>
      <c r="BZ127" s="110">
        <v>0</v>
      </c>
      <c r="CA127" s="110">
        <v>0</v>
      </c>
      <c r="CB127" s="110">
        <v>0</v>
      </c>
      <c r="CC127" s="110">
        <v>0</v>
      </c>
      <c r="CD127" s="110">
        <v>0</v>
      </c>
      <c r="CE127" s="110">
        <v>0</v>
      </c>
      <c r="CF127" s="110">
        <v>0</v>
      </c>
      <c r="CG127" s="110">
        <v>0</v>
      </c>
      <c r="CH127" s="110">
        <v>0</v>
      </c>
      <c r="CI127" s="110">
        <v>0</v>
      </c>
      <c r="CJ127" s="110">
        <v>0</v>
      </c>
      <c r="CK127" s="110"/>
      <c r="CL127" s="110"/>
      <c r="CM127" s="110"/>
      <c r="CN127" s="110"/>
      <c r="CO127" s="111"/>
      <c r="CP127" s="7"/>
      <c r="CQ127" s="7"/>
      <c r="CS127" s="68">
        <v>10</v>
      </c>
      <c r="CT127" s="109"/>
      <c r="CU127" s="110"/>
      <c r="CV127" s="110"/>
      <c r="CW127" s="110"/>
      <c r="CX127" s="110"/>
      <c r="CY127" s="110"/>
      <c r="CZ127" s="110"/>
      <c r="DA127" s="110"/>
      <c r="DB127" s="110"/>
      <c r="DC127" s="110"/>
      <c r="DD127" s="110">
        <v>5</v>
      </c>
      <c r="DE127" s="110">
        <v>17</v>
      </c>
      <c r="DF127" s="110">
        <v>1</v>
      </c>
      <c r="DG127" s="110">
        <v>0</v>
      </c>
      <c r="DH127" s="110">
        <v>0</v>
      </c>
      <c r="DI127" s="110">
        <v>0</v>
      </c>
      <c r="DJ127" s="110">
        <v>0</v>
      </c>
      <c r="DK127" s="110">
        <v>0</v>
      </c>
      <c r="DL127" s="110">
        <v>0</v>
      </c>
      <c r="DM127" s="110">
        <v>0</v>
      </c>
      <c r="DN127" s="110">
        <v>0</v>
      </c>
      <c r="DO127" s="110">
        <v>0</v>
      </c>
      <c r="DP127" s="110">
        <v>0</v>
      </c>
      <c r="DQ127" s="110"/>
      <c r="DR127" s="110"/>
      <c r="DS127" s="110"/>
      <c r="DT127" s="110"/>
      <c r="DU127" s="111"/>
      <c r="DV127" s="7"/>
      <c r="DW127" s="7"/>
    </row>
    <row r="128" spans="1:127">
      <c r="A128" s="68">
        <v>11</v>
      </c>
      <c r="B128" s="109"/>
      <c r="C128" s="110"/>
      <c r="D128" s="110"/>
      <c r="E128" s="110"/>
      <c r="F128" s="110"/>
      <c r="G128" s="110"/>
      <c r="H128" s="110"/>
      <c r="I128" s="110"/>
      <c r="J128" s="110"/>
      <c r="K128" s="110"/>
      <c r="L128" s="110"/>
      <c r="M128" s="110">
        <v>0</v>
      </c>
      <c r="N128" s="110">
        <v>1</v>
      </c>
      <c r="O128" s="110">
        <v>2</v>
      </c>
      <c r="P128" s="110">
        <v>0</v>
      </c>
      <c r="Q128" s="110">
        <v>0</v>
      </c>
      <c r="R128" s="110">
        <v>0</v>
      </c>
      <c r="S128" s="110">
        <v>0</v>
      </c>
      <c r="T128" s="110">
        <v>0</v>
      </c>
      <c r="U128" s="110">
        <v>0</v>
      </c>
      <c r="V128" s="110">
        <v>0</v>
      </c>
      <c r="W128" s="110">
        <v>0</v>
      </c>
      <c r="X128" s="110">
        <v>0</v>
      </c>
      <c r="Y128" s="110">
        <v>0</v>
      </c>
      <c r="Z128" s="110"/>
      <c r="AA128" s="110"/>
      <c r="AB128" s="110"/>
      <c r="AC128" s="111"/>
      <c r="AD128" s="7"/>
      <c r="AE128" s="7"/>
      <c r="AG128" s="68">
        <v>11</v>
      </c>
      <c r="AH128" s="109"/>
      <c r="AI128" s="110"/>
      <c r="AJ128" s="110"/>
      <c r="AK128" s="110"/>
      <c r="AL128" s="110"/>
      <c r="AM128" s="110"/>
      <c r="AN128" s="110"/>
      <c r="AO128" s="110"/>
      <c r="AP128" s="110"/>
      <c r="AQ128" s="110"/>
      <c r="AR128" s="110"/>
      <c r="AS128" s="110">
        <v>14</v>
      </c>
      <c r="AT128" s="110">
        <v>10</v>
      </c>
      <c r="AU128" s="110">
        <v>10</v>
      </c>
      <c r="AV128" s="110">
        <v>4</v>
      </c>
      <c r="AW128" s="110">
        <v>11</v>
      </c>
      <c r="AX128" s="110">
        <v>0</v>
      </c>
      <c r="AY128" s="110">
        <v>1</v>
      </c>
      <c r="AZ128" s="110">
        <v>0</v>
      </c>
      <c r="BA128" s="110">
        <v>0</v>
      </c>
      <c r="BB128" s="110">
        <v>0</v>
      </c>
      <c r="BC128" s="110">
        <v>0</v>
      </c>
      <c r="BD128" s="110">
        <v>0</v>
      </c>
      <c r="BE128" s="110">
        <v>0</v>
      </c>
      <c r="BF128" s="110"/>
      <c r="BG128" s="110"/>
      <c r="BH128" s="110"/>
      <c r="BI128" s="111"/>
      <c r="BJ128" s="7"/>
      <c r="BK128" s="7"/>
      <c r="BM128" s="68">
        <v>11</v>
      </c>
      <c r="BN128" s="109"/>
      <c r="BO128" s="110"/>
      <c r="BP128" s="110"/>
      <c r="BQ128" s="110"/>
      <c r="BR128" s="110"/>
      <c r="BS128" s="110"/>
      <c r="BT128" s="110"/>
      <c r="BU128" s="110"/>
      <c r="BV128" s="110"/>
      <c r="BW128" s="110"/>
      <c r="BX128" s="110"/>
      <c r="BY128" s="110">
        <v>0</v>
      </c>
      <c r="BZ128" s="110">
        <v>0</v>
      </c>
      <c r="CA128" s="110">
        <v>0</v>
      </c>
      <c r="CB128" s="110">
        <v>0</v>
      </c>
      <c r="CC128" s="110">
        <v>0</v>
      </c>
      <c r="CD128" s="110">
        <v>0</v>
      </c>
      <c r="CE128" s="110">
        <v>0</v>
      </c>
      <c r="CF128" s="110">
        <v>0</v>
      </c>
      <c r="CG128" s="110">
        <v>0</v>
      </c>
      <c r="CH128" s="110">
        <v>0</v>
      </c>
      <c r="CI128" s="110">
        <v>0</v>
      </c>
      <c r="CJ128" s="110">
        <v>0</v>
      </c>
      <c r="CK128" s="110">
        <v>0</v>
      </c>
      <c r="CL128" s="110"/>
      <c r="CM128" s="110"/>
      <c r="CN128" s="110"/>
      <c r="CO128" s="111"/>
      <c r="CP128" s="7"/>
      <c r="CQ128" s="7"/>
      <c r="CS128" s="68">
        <v>11</v>
      </c>
      <c r="CT128" s="109"/>
      <c r="CU128" s="110"/>
      <c r="CV128" s="110"/>
      <c r="CW128" s="110"/>
      <c r="CX128" s="110"/>
      <c r="CY128" s="110"/>
      <c r="CZ128" s="110"/>
      <c r="DA128" s="110"/>
      <c r="DB128" s="110"/>
      <c r="DC128" s="110"/>
      <c r="DD128" s="110"/>
      <c r="DE128" s="110">
        <v>8</v>
      </c>
      <c r="DF128" s="110">
        <v>2</v>
      </c>
      <c r="DG128" s="110">
        <v>0</v>
      </c>
      <c r="DH128" s="110">
        <v>0</v>
      </c>
      <c r="DI128" s="110">
        <v>0</v>
      </c>
      <c r="DJ128" s="110">
        <v>0</v>
      </c>
      <c r="DK128" s="110">
        <v>0</v>
      </c>
      <c r="DL128" s="110">
        <v>0</v>
      </c>
      <c r="DM128" s="110">
        <v>0</v>
      </c>
      <c r="DN128" s="110">
        <v>0</v>
      </c>
      <c r="DO128" s="110">
        <v>0</v>
      </c>
      <c r="DP128" s="110">
        <v>0</v>
      </c>
      <c r="DQ128" s="110">
        <v>0</v>
      </c>
      <c r="DR128" s="110"/>
      <c r="DS128" s="110"/>
      <c r="DT128" s="110"/>
      <c r="DU128" s="111"/>
      <c r="DV128" s="7"/>
      <c r="DW128" s="7"/>
    </row>
    <row r="129" spans="1:127">
      <c r="A129" s="68">
        <v>12</v>
      </c>
      <c r="B129" s="109"/>
      <c r="C129" s="110"/>
      <c r="D129" s="110"/>
      <c r="E129" s="110"/>
      <c r="F129" s="110"/>
      <c r="G129" s="110"/>
      <c r="H129" s="110"/>
      <c r="I129" s="110"/>
      <c r="J129" s="110"/>
      <c r="K129" s="110"/>
      <c r="L129" s="110"/>
      <c r="M129" s="110"/>
      <c r="N129" s="110">
        <v>1</v>
      </c>
      <c r="O129" s="110">
        <v>2</v>
      </c>
      <c r="P129" s="110">
        <v>0</v>
      </c>
      <c r="Q129" s="110">
        <v>0</v>
      </c>
      <c r="R129" s="110">
        <v>0</v>
      </c>
      <c r="S129" s="110">
        <v>0</v>
      </c>
      <c r="T129" s="110">
        <v>0</v>
      </c>
      <c r="U129" s="110">
        <v>0</v>
      </c>
      <c r="V129" s="110">
        <v>0</v>
      </c>
      <c r="W129" s="110">
        <v>0</v>
      </c>
      <c r="X129" s="110">
        <v>0</v>
      </c>
      <c r="Y129" s="110">
        <v>0</v>
      </c>
      <c r="Z129" s="110">
        <v>0</v>
      </c>
      <c r="AA129" s="110"/>
      <c r="AB129" s="110"/>
      <c r="AC129" s="111"/>
      <c r="AD129" s="7"/>
      <c r="AG129" s="68">
        <v>12</v>
      </c>
      <c r="AH129" s="109"/>
      <c r="AI129" s="110"/>
      <c r="AJ129" s="110"/>
      <c r="AK129" s="110"/>
      <c r="AL129" s="110"/>
      <c r="AM129" s="110"/>
      <c r="AN129" s="110"/>
      <c r="AO129" s="110"/>
      <c r="AP129" s="110"/>
      <c r="AQ129" s="110"/>
      <c r="AR129" s="110"/>
      <c r="AS129" s="110"/>
      <c r="AT129" s="110">
        <v>9</v>
      </c>
      <c r="AU129" s="110">
        <v>10</v>
      </c>
      <c r="AV129" s="110">
        <v>4</v>
      </c>
      <c r="AW129" s="110">
        <v>9</v>
      </c>
      <c r="AX129" s="110">
        <v>0</v>
      </c>
      <c r="AY129" s="110">
        <v>0</v>
      </c>
      <c r="AZ129" s="110">
        <v>0</v>
      </c>
      <c r="BA129" s="110">
        <v>0</v>
      </c>
      <c r="BB129" s="110">
        <v>0</v>
      </c>
      <c r="BC129" s="110">
        <v>0</v>
      </c>
      <c r="BD129" s="110">
        <v>0</v>
      </c>
      <c r="BE129" s="110">
        <v>0</v>
      </c>
      <c r="BF129" s="110">
        <v>0</v>
      </c>
      <c r="BG129" s="110"/>
      <c r="BH129" s="110"/>
      <c r="BI129" s="111"/>
      <c r="BJ129" s="7"/>
      <c r="BM129" s="68">
        <v>12</v>
      </c>
      <c r="BN129" s="109"/>
      <c r="BO129" s="110"/>
      <c r="BP129" s="110"/>
      <c r="BQ129" s="110"/>
      <c r="BR129" s="110"/>
      <c r="BS129" s="110"/>
      <c r="BT129" s="110"/>
      <c r="BU129" s="110"/>
      <c r="BV129" s="110"/>
      <c r="BW129" s="110"/>
      <c r="BX129" s="110"/>
      <c r="BY129" s="110"/>
      <c r="BZ129" s="110">
        <v>0</v>
      </c>
      <c r="CA129" s="110">
        <v>0</v>
      </c>
      <c r="CB129" s="110">
        <v>0</v>
      </c>
      <c r="CC129" s="110">
        <v>0</v>
      </c>
      <c r="CD129" s="110">
        <v>0</v>
      </c>
      <c r="CE129" s="110">
        <v>0</v>
      </c>
      <c r="CF129" s="110">
        <v>0</v>
      </c>
      <c r="CG129" s="110">
        <v>0</v>
      </c>
      <c r="CH129" s="110">
        <v>0</v>
      </c>
      <c r="CI129" s="110">
        <v>0</v>
      </c>
      <c r="CJ129" s="110">
        <v>0</v>
      </c>
      <c r="CK129" s="110">
        <v>0</v>
      </c>
      <c r="CL129" s="110">
        <v>0</v>
      </c>
      <c r="CM129" s="110"/>
      <c r="CN129" s="110"/>
      <c r="CO129" s="111"/>
      <c r="CP129" s="7"/>
      <c r="CS129" s="68">
        <v>12</v>
      </c>
      <c r="CT129" s="109"/>
      <c r="CU129" s="110"/>
      <c r="CV129" s="110"/>
      <c r="CW129" s="110"/>
      <c r="CX129" s="110"/>
      <c r="CY129" s="110"/>
      <c r="CZ129" s="110"/>
      <c r="DA129" s="110"/>
      <c r="DB129" s="110"/>
      <c r="DC129" s="110"/>
      <c r="DD129" s="110"/>
      <c r="DE129" s="110"/>
      <c r="DF129" s="110">
        <v>0</v>
      </c>
      <c r="DG129" s="110">
        <v>0</v>
      </c>
      <c r="DH129" s="110">
        <v>0</v>
      </c>
      <c r="DI129" s="110">
        <v>0</v>
      </c>
      <c r="DJ129" s="110">
        <v>0</v>
      </c>
      <c r="DK129" s="110">
        <v>0</v>
      </c>
      <c r="DL129" s="110">
        <v>0</v>
      </c>
      <c r="DM129" s="110">
        <v>0</v>
      </c>
      <c r="DN129" s="110">
        <v>0</v>
      </c>
      <c r="DO129" s="110">
        <v>0</v>
      </c>
      <c r="DP129" s="110">
        <v>0</v>
      </c>
      <c r="DQ129" s="110">
        <v>0</v>
      </c>
      <c r="DR129" s="110">
        <v>0</v>
      </c>
      <c r="DS129" s="110"/>
      <c r="DT129" s="110"/>
      <c r="DU129" s="111"/>
      <c r="DV129" s="7"/>
    </row>
    <row r="130" spans="1:127" ht="26.25">
      <c r="A130" s="68">
        <v>13</v>
      </c>
      <c r="B130" s="109"/>
      <c r="C130" s="110"/>
      <c r="D130" s="110"/>
      <c r="E130" s="110"/>
      <c r="F130" s="110"/>
      <c r="G130" s="110"/>
      <c r="H130" s="110"/>
      <c r="I130" s="110"/>
      <c r="J130" s="110"/>
      <c r="K130" s="110"/>
      <c r="L130" s="110"/>
      <c r="M130" s="110"/>
      <c r="N130" s="110"/>
      <c r="O130" s="110">
        <v>2</v>
      </c>
      <c r="P130" s="110">
        <v>0</v>
      </c>
      <c r="Q130" s="110">
        <v>0</v>
      </c>
      <c r="R130" s="110">
        <v>0</v>
      </c>
      <c r="S130" s="110">
        <v>0</v>
      </c>
      <c r="T130" s="110">
        <v>0</v>
      </c>
      <c r="U130" s="110">
        <v>0</v>
      </c>
      <c r="V130" s="110">
        <v>0</v>
      </c>
      <c r="W130" s="110">
        <v>0</v>
      </c>
      <c r="X130" s="110">
        <v>0</v>
      </c>
      <c r="Y130" s="110">
        <v>0</v>
      </c>
      <c r="Z130" s="110">
        <v>0</v>
      </c>
      <c r="AA130" s="110">
        <v>0</v>
      </c>
      <c r="AB130" s="110"/>
      <c r="AC130" s="111"/>
      <c r="AD130" s="7"/>
      <c r="AE130" s="9"/>
      <c r="AG130" s="68">
        <v>13</v>
      </c>
      <c r="AH130" s="109"/>
      <c r="AI130" s="110"/>
      <c r="AJ130" s="110"/>
      <c r="AK130" s="110"/>
      <c r="AL130" s="110"/>
      <c r="AM130" s="110"/>
      <c r="AN130" s="110"/>
      <c r="AO130" s="110"/>
      <c r="AP130" s="110"/>
      <c r="AQ130" s="110"/>
      <c r="AR130" s="110"/>
      <c r="AS130" s="110"/>
      <c r="AT130" s="110"/>
      <c r="AU130" s="110">
        <v>8</v>
      </c>
      <c r="AV130" s="110">
        <v>3</v>
      </c>
      <c r="AW130" s="110">
        <v>8</v>
      </c>
      <c r="AX130" s="110">
        <v>0</v>
      </c>
      <c r="AY130" s="110">
        <v>1</v>
      </c>
      <c r="AZ130" s="110">
        <v>0</v>
      </c>
      <c r="BA130" s="110">
        <v>0</v>
      </c>
      <c r="BB130" s="110">
        <v>0</v>
      </c>
      <c r="BC130" s="110">
        <v>0</v>
      </c>
      <c r="BD130" s="110">
        <v>0</v>
      </c>
      <c r="BE130" s="110">
        <v>0</v>
      </c>
      <c r="BF130" s="110">
        <v>0</v>
      </c>
      <c r="BG130" s="110">
        <v>0</v>
      </c>
      <c r="BH130" s="110"/>
      <c r="BI130" s="111"/>
      <c r="BJ130" s="7"/>
      <c r="BK130" s="9"/>
      <c r="BM130" s="68">
        <v>13</v>
      </c>
      <c r="BN130" s="109"/>
      <c r="BO130" s="110"/>
      <c r="BP130" s="110"/>
      <c r="BQ130" s="110"/>
      <c r="BR130" s="110"/>
      <c r="BS130" s="110"/>
      <c r="BT130" s="110"/>
      <c r="BU130" s="110"/>
      <c r="BV130" s="110"/>
      <c r="BW130" s="110"/>
      <c r="BX130" s="110"/>
      <c r="BY130" s="110"/>
      <c r="BZ130" s="110"/>
      <c r="CA130" s="110">
        <v>0</v>
      </c>
      <c r="CB130" s="110">
        <v>0</v>
      </c>
      <c r="CC130" s="110">
        <v>0</v>
      </c>
      <c r="CD130" s="110">
        <v>0</v>
      </c>
      <c r="CE130" s="110">
        <v>0</v>
      </c>
      <c r="CF130" s="110">
        <v>0</v>
      </c>
      <c r="CG130" s="110">
        <v>0</v>
      </c>
      <c r="CH130" s="110">
        <v>0</v>
      </c>
      <c r="CI130" s="110">
        <v>0</v>
      </c>
      <c r="CJ130" s="110">
        <v>0</v>
      </c>
      <c r="CK130" s="110">
        <v>0</v>
      </c>
      <c r="CL130" s="110">
        <v>0</v>
      </c>
      <c r="CM130" s="110">
        <v>0</v>
      </c>
      <c r="CN130" s="110"/>
      <c r="CO130" s="111"/>
      <c r="CP130" s="7"/>
      <c r="CQ130" s="9"/>
      <c r="CS130" s="68">
        <v>13</v>
      </c>
      <c r="CT130" s="109"/>
      <c r="CU130" s="110"/>
      <c r="CV130" s="110"/>
      <c r="CW130" s="110"/>
      <c r="CX130" s="110"/>
      <c r="CY130" s="110"/>
      <c r="CZ130" s="110"/>
      <c r="DA130" s="110"/>
      <c r="DB130" s="110"/>
      <c r="DC130" s="110"/>
      <c r="DD130" s="110"/>
      <c r="DE130" s="110"/>
      <c r="DF130" s="110"/>
      <c r="DG130" s="110">
        <v>0</v>
      </c>
      <c r="DH130" s="110">
        <v>0</v>
      </c>
      <c r="DI130" s="110">
        <v>0</v>
      </c>
      <c r="DJ130" s="110">
        <v>0</v>
      </c>
      <c r="DK130" s="110">
        <v>0</v>
      </c>
      <c r="DL130" s="110">
        <v>0</v>
      </c>
      <c r="DM130" s="110">
        <v>0</v>
      </c>
      <c r="DN130" s="110">
        <v>0</v>
      </c>
      <c r="DO130" s="110">
        <v>0</v>
      </c>
      <c r="DP130" s="110">
        <v>0</v>
      </c>
      <c r="DQ130" s="110">
        <v>0</v>
      </c>
      <c r="DR130" s="110">
        <v>0</v>
      </c>
      <c r="DS130" s="110">
        <v>0</v>
      </c>
      <c r="DT130" s="110"/>
      <c r="DU130" s="111"/>
      <c r="DV130" s="7"/>
      <c r="DW130" s="9"/>
    </row>
    <row r="131" spans="1:127">
      <c r="A131" s="68">
        <v>14</v>
      </c>
      <c r="B131" s="109"/>
      <c r="C131" s="110"/>
      <c r="D131" s="110"/>
      <c r="E131" s="110"/>
      <c r="F131" s="110"/>
      <c r="G131" s="110"/>
      <c r="H131" s="110"/>
      <c r="I131" s="110"/>
      <c r="J131" s="110"/>
      <c r="K131" s="110"/>
      <c r="L131" s="110"/>
      <c r="M131" s="110"/>
      <c r="N131" s="110"/>
      <c r="O131" s="110"/>
      <c r="P131" s="110">
        <v>0</v>
      </c>
      <c r="Q131" s="110">
        <v>0</v>
      </c>
      <c r="R131" s="110">
        <v>0</v>
      </c>
      <c r="S131" s="110">
        <v>0</v>
      </c>
      <c r="T131" s="110">
        <v>0</v>
      </c>
      <c r="U131" s="110">
        <v>0</v>
      </c>
      <c r="V131" s="110">
        <v>0</v>
      </c>
      <c r="W131" s="110">
        <v>0</v>
      </c>
      <c r="X131" s="110">
        <v>0</v>
      </c>
      <c r="Y131" s="110">
        <v>1</v>
      </c>
      <c r="Z131" s="110">
        <v>0</v>
      </c>
      <c r="AA131" s="110">
        <v>0</v>
      </c>
      <c r="AB131" s="110">
        <v>0</v>
      </c>
      <c r="AC131" s="111"/>
      <c r="AD131" s="7"/>
      <c r="AE131" s="4"/>
      <c r="AG131" s="68">
        <v>14</v>
      </c>
      <c r="AH131" s="109"/>
      <c r="AI131" s="110"/>
      <c r="AJ131" s="110"/>
      <c r="AK131" s="110"/>
      <c r="AL131" s="110"/>
      <c r="AM131" s="110"/>
      <c r="AN131" s="110"/>
      <c r="AO131" s="110"/>
      <c r="AP131" s="110"/>
      <c r="AQ131" s="110"/>
      <c r="AR131" s="110"/>
      <c r="AS131" s="110"/>
      <c r="AT131" s="110"/>
      <c r="AU131" s="110"/>
      <c r="AV131" s="110">
        <v>2</v>
      </c>
      <c r="AW131" s="110">
        <v>7</v>
      </c>
      <c r="AX131" s="110">
        <v>0</v>
      </c>
      <c r="AY131" s="110">
        <v>0</v>
      </c>
      <c r="AZ131" s="110">
        <v>0</v>
      </c>
      <c r="BA131" s="110">
        <v>0</v>
      </c>
      <c r="BB131" s="110">
        <v>0</v>
      </c>
      <c r="BC131" s="110">
        <v>0</v>
      </c>
      <c r="BD131" s="110">
        <v>0</v>
      </c>
      <c r="BE131" s="110">
        <v>0</v>
      </c>
      <c r="BF131" s="110">
        <v>0</v>
      </c>
      <c r="BG131" s="110">
        <v>0</v>
      </c>
      <c r="BH131" s="110">
        <v>0</v>
      </c>
      <c r="BI131" s="111"/>
      <c r="BJ131" s="7"/>
      <c r="BK131" s="4"/>
      <c r="BM131" s="68">
        <v>14</v>
      </c>
      <c r="BN131" s="109"/>
      <c r="BO131" s="110"/>
      <c r="BP131" s="110"/>
      <c r="BQ131" s="110"/>
      <c r="BR131" s="110"/>
      <c r="BS131" s="110"/>
      <c r="BT131" s="110"/>
      <c r="BU131" s="110"/>
      <c r="BV131" s="110"/>
      <c r="BW131" s="110"/>
      <c r="BX131" s="110"/>
      <c r="BY131" s="110"/>
      <c r="BZ131" s="110"/>
      <c r="CA131" s="110"/>
      <c r="CB131" s="110">
        <v>0</v>
      </c>
      <c r="CC131" s="110">
        <v>0</v>
      </c>
      <c r="CD131" s="110">
        <v>0</v>
      </c>
      <c r="CE131" s="110">
        <v>0</v>
      </c>
      <c r="CF131" s="110">
        <v>0</v>
      </c>
      <c r="CG131" s="110">
        <v>0</v>
      </c>
      <c r="CH131" s="110">
        <v>0</v>
      </c>
      <c r="CI131" s="110">
        <v>0</v>
      </c>
      <c r="CJ131" s="110">
        <v>0</v>
      </c>
      <c r="CK131" s="110">
        <v>0</v>
      </c>
      <c r="CL131" s="110">
        <v>0</v>
      </c>
      <c r="CM131" s="110">
        <v>0</v>
      </c>
      <c r="CN131" s="110">
        <v>0</v>
      </c>
      <c r="CO131" s="111"/>
      <c r="CP131" s="7"/>
      <c r="CQ131" s="4"/>
      <c r="CS131" s="68">
        <v>14</v>
      </c>
      <c r="CT131" s="109"/>
      <c r="CU131" s="110"/>
      <c r="CV131" s="110"/>
      <c r="CW131" s="110"/>
      <c r="CX131" s="110"/>
      <c r="CY131" s="110"/>
      <c r="CZ131" s="110"/>
      <c r="DA131" s="110"/>
      <c r="DB131" s="110"/>
      <c r="DC131" s="110"/>
      <c r="DD131" s="110"/>
      <c r="DE131" s="110"/>
      <c r="DF131" s="110"/>
      <c r="DG131" s="110"/>
      <c r="DH131" s="110">
        <v>0</v>
      </c>
      <c r="DI131" s="110">
        <v>0</v>
      </c>
      <c r="DJ131" s="110">
        <v>0</v>
      </c>
      <c r="DK131" s="110">
        <v>0</v>
      </c>
      <c r="DL131" s="110">
        <v>0</v>
      </c>
      <c r="DM131" s="110">
        <v>0</v>
      </c>
      <c r="DN131" s="110">
        <v>0</v>
      </c>
      <c r="DO131" s="110">
        <v>0</v>
      </c>
      <c r="DP131" s="110">
        <v>0</v>
      </c>
      <c r="DQ131" s="110">
        <v>0</v>
      </c>
      <c r="DR131" s="110">
        <v>0</v>
      </c>
      <c r="DS131" s="110">
        <v>0</v>
      </c>
      <c r="DT131" s="110">
        <v>0</v>
      </c>
      <c r="DU131" s="111"/>
      <c r="DV131" s="7"/>
      <c r="DW131" s="4"/>
    </row>
    <row r="132" spans="1:127" ht="15.75" thickBot="1">
      <c r="A132" s="691">
        <v>15</v>
      </c>
      <c r="B132" s="112"/>
      <c r="C132" s="113"/>
      <c r="D132" s="113"/>
      <c r="E132" s="113"/>
      <c r="F132" s="113"/>
      <c r="G132" s="113"/>
      <c r="H132" s="113"/>
      <c r="I132" s="113"/>
      <c r="J132" s="113"/>
      <c r="K132" s="113"/>
      <c r="L132" s="113"/>
      <c r="M132" s="113"/>
      <c r="N132" s="113"/>
      <c r="O132" s="113"/>
      <c r="P132" s="113"/>
      <c r="Q132" s="113">
        <v>0</v>
      </c>
      <c r="R132" s="113">
        <v>0</v>
      </c>
      <c r="S132" s="113">
        <v>0</v>
      </c>
      <c r="T132" s="113">
        <v>0</v>
      </c>
      <c r="U132" s="113">
        <v>0</v>
      </c>
      <c r="V132" s="113">
        <v>0</v>
      </c>
      <c r="W132" s="113">
        <v>0</v>
      </c>
      <c r="X132" s="113">
        <v>0</v>
      </c>
      <c r="Y132" s="113">
        <v>0</v>
      </c>
      <c r="Z132" s="113">
        <v>1</v>
      </c>
      <c r="AA132" s="113">
        <v>0</v>
      </c>
      <c r="AB132" s="113">
        <v>0</v>
      </c>
      <c r="AC132" s="114">
        <v>0</v>
      </c>
      <c r="AD132" s="7"/>
      <c r="AE132" s="6"/>
      <c r="AG132" s="691">
        <v>15</v>
      </c>
      <c r="AH132" s="112"/>
      <c r="AI132" s="113"/>
      <c r="AJ132" s="113"/>
      <c r="AK132" s="113"/>
      <c r="AL132" s="113"/>
      <c r="AM132" s="113"/>
      <c r="AN132" s="113"/>
      <c r="AO132" s="113"/>
      <c r="AP132" s="113"/>
      <c r="AQ132" s="113"/>
      <c r="AR132" s="113"/>
      <c r="AS132" s="113"/>
      <c r="AT132" s="113"/>
      <c r="AU132" s="113"/>
      <c r="AV132" s="113"/>
      <c r="AW132" s="113">
        <v>4</v>
      </c>
      <c r="AX132" s="113">
        <v>0</v>
      </c>
      <c r="AY132" s="113">
        <v>0</v>
      </c>
      <c r="AZ132" s="113">
        <v>0</v>
      </c>
      <c r="BA132" s="113">
        <v>0</v>
      </c>
      <c r="BB132" s="113">
        <v>0</v>
      </c>
      <c r="BC132" s="113">
        <v>0</v>
      </c>
      <c r="BD132" s="113">
        <v>0</v>
      </c>
      <c r="BE132" s="113">
        <v>0</v>
      </c>
      <c r="BF132" s="113">
        <v>0</v>
      </c>
      <c r="BG132" s="113">
        <v>0</v>
      </c>
      <c r="BH132" s="113">
        <v>0</v>
      </c>
      <c r="BI132" s="114">
        <v>0</v>
      </c>
      <c r="BJ132" s="7"/>
      <c r="BK132" s="6"/>
      <c r="BM132" s="691">
        <v>15</v>
      </c>
      <c r="BN132" s="112"/>
      <c r="BO132" s="113"/>
      <c r="BP132" s="113"/>
      <c r="BQ132" s="113"/>
      <c r="BR132" s="113"/>
      <c r="BS132" s="113"/>
      <c r="BT132" s="113"/>
      <c r="BU132" s="113"/>
      <c r="BV132" s="113"/>
      <c r="BW132" s="113"/>
      <c r="BX132" s="113"/>
      <c r="BY132" s="113"/>
      <c r="BZ132" s="113"/>
      <c r="CA132" s="113"/>
      <c r="CB132" s="113"/>
      <c r="CC132" s="113">
        <v>0</v>
      </c>
      <c r="CD132" s="113">
        <v>0</v>
      </c>
      <c r="CE132" s="113">
        <v>0</v>
      </c>
      <c r="CF132" s="113">
        <v>0</v>
      </c>
      <c r="CG132" s="113">
        <v>0</v>
      </c>
      <c r="CH132" s="113">
        <v>0</v>
      </c>
      <c r="CI132" s="113">
        <v>0</v>
      </c>
      <c r="CJ132" s="113">
        <v>0</v>
      </c>
      <c r="CK132" s="113">
        <v>0</v>
      </c>
      <c r="CL132" s="113">
        <v>0</v>
      </c>
      <c r="CM132" s="113">
        <v>0</v>
      </c>
      <c r="CN132" s="113">
        <v>0</v>
      </c>
      <c r="CO132" s="114">
        <v>0</v>
      </c>
      <c r="CP132" s="7"/>
      <c r="CQ132" s="6"/>
      <c r="CS132" s="691">
        <v>15</v>
      </c>
      <c r="CT132" s="112"/>
      <c r="CU132" s="113"/>
      <c r="CV132" s="113"/>
      <c r="CW132" s="113"/>
      <c r="CX132" s="113"/>
      <c r="CY132" s="113"/>
      <c r="CZ132" s="113"/>
      <c r="DA132" s="113"/>
      <c r="DB132" s="113"/>
      <c r="DC132" s="113"/>
      <c r="DD132" s="113"/>
      <c r="DE132" s="113"/>
      <c r="DF132" s="113"/>
      <c r="DG132" s="113"/>
      <c r="DH132" s="113"/>
      <c r="DI132" s="113">
        <v>0</v>
      </c>
      <c r="DJ132" s="113">
        <v>0</v>
      </c>
      <c r="DK132" s="113">
        <v>0</v>
      </c>
      <c r="DL132" s="113">
        <v>0</v>
      </c>
      <c r="DM132" s="113">
        <v>0</v>
      </c>
      <c r="DN132" s="113">
        <v>0</v>
      </c>
      <c r="DO132" s="113">
        <v>0</v>
      </c>
      <c r="DP132" s="113">
        <v>0</v>
      </c>
      <c r="DQ132" s="113">
        <v>0</v>
      </c>
      <c r="DR132" s="113">
        <v>0</v>
      </c>
      <c r="DS132" s="113">
        <v>0</v>
      </c>
      <c r="DT132" s="113">
        <v>0</v>
      </c>
      <c r="DU132" s="114">
        <v>0</v>
      </c>
      <c r="DV132" s="7"/>
      <c r="DW132" s="6"/>
    </row>
    <row r="133" spans="1:127" ht="15.75" thickBot="1">
      <c r="AE133" s="6"/>
      <c r="BK133" s="6"/>
      <c r="CQ133" s="6"/>
      <c r="DW133" s="6"/>
    </row>
    <row r="134" spans="1:127" ht="26.25">
      <c r="A134" s="1722" t="s">
        <v>31</v>
      </c>
      <c r="B134" s="1723"/>
      <c r="C134" s="1723"/>
      <c r="D134" s="1723"/>
      <c r="E134" s="1723"/>
      <c r="F134" s="1723"/>
      <c r="G134" s="1723"/>
      <c r="H134" s="1723"/>
      <c r="I134" s="1723"/>
      <c r="J134" s="1723"/>
      <c r="K134" s="1723"/>
      <c r="L134" s="1723"/>
      <c r="M134" s="1723"/>
      <c r="N134" s="1723"/>
      <c r="O134" s="1723"/>
      <c r="P134" s="1723"/>
      <c r="Q134" s="1723"/>
      <c r="R134" s="1723"/>
      <c r="S134" s="1723"/>
      <c r="T134" s="1723"/>
      <c r="U134" s="1723"/>
      <c r="V134" s="1723"/>
      <c r="W134" s="1723"/>
      <c r="X134" s="1723"/>
      <c r="Y134" s="1723"/>
      <c r="Z134" s="1723"/>
      <c r="AA134" s="1723"/>
      <c r="AB134" s="1723"/>
      <c r="AC134" s="1723"/>
      <c r="AD134" s="1723"/>
      <c r="AE134" s="1724"/>
      <c r="AG134" s="1722" t="s">
        <v>823</v>
      </c>
      <c r="AH134" s="1723"/>
      <c r="AI134" s="1723"/>
      <c r="AJ134" s="1723"/>
      <c r="AK134" s="1723"/>
      <c r="AL134" s="1723"/>
      <c r="AM134" s="1723"/>
      <c r="AN134" s="1723"/>
      <c r="AO134" s="1723"/>
      <c r="AP134" s="1723"/>
      <c r="AQ134" s="1723"/>
      <c r="AR134" s="1723"/>
      <c r="AS134" s="1723"/>
      <c r="AT134" s="1723"/>
      <c r="AU134" s="1723"/>
      <c r="AV134" s="1723"/>
      <c r="AW134" s="1723"/>
      <c r="AX134" s="1723"/>
      <c r="AY134" s="1723"/>
      <c r="AZ134" s="1723"/>
      <c r="BA134" s="1723"/>
      <c r="BB134" s="1723"/>
      <c r="BC134" s="1723"/>
      <c r="BD134" s="1723"/>
      <c r="BE134" s="1723"/>
      <c r="BF134" s="1723"/>
      <c r="BG134" s="1723"/>
      <c r="BH134" s="1723"/>
      <c r="BI134" s="1723"/>
      <c r="BJ134" s="1723"/>
      <c r="BK134" s="1724"/>
      <c r="BM134" s="1722" t="s">
        <v>827</v>
      </c>
      <c r="BN134" s="1723"/>
      <c r="BO134" s="1723"/>
      <c r="BP134" s="1723"/>
      <c r="BQ134" s="1723"/>
      <c r="BR134" s="1723"/>
      <c r="BS134" s="1723"/>
      <c r="BT134" s="1723"/>
      <c r="BU134" s="1723"/>
      <c r="BV134" s="1723"/>
      <c r="BW134" s="1723"/>
      <c r="BX134" s="1723"/>
      <c r="BY134" s="1723"/>
      <c r="BZ134" s="1723"/>
      <c r="CA134" s="1723"/>
      <c r="CB134" s="1723"/>
      <c r="CC134" s="1723"/>
      <c r="CD134" s="1723"/>
      <c r="CE134" s="1723"/>
      <c r="CF134" s="1723"/>
      <c r="CG134" s="1723"/>
      <c r="CH134" s="1723"/>
      <c r="CI134" s="1723"/>
      <c r="CJ134" s="1723"/>
      <c r="CK134" s="1723"/>
      <c r="CL134" s="1723"/>
      <c r="CM134" s="1723"/>
      <c r="CN134" s="1723"/>
      <c r="CO134" s="1723"/>
      <c r="CP134" s="1723"/>
      <c r="CQ134" s="1724"/>
      <c r="CS134" s="1722" t="s">
        <v>831</v>
      </c>
      <c r="CT134" s="1723"/>
      <c r="CU134" s="1723"/>
      <c r="CV134" s="1723"/>
      <c r="CW134" s="1723"/>
      <c r="CX134" s="1723"/>
      <c r="CY134" s="1723"/>
      <c r="CZ134" s="1723"/>
      <c r="DA134" s="1723"/>
      <c r="DB134" s="1723"/>
      <c r="DC134" s="1723"/>
      <c r="DD134" s="1723"/>
      <c r="DE134" s="1723"/>
      <c r="DF134" s="1723"/>
      <c r="DG134" s="1723"/>
      <c r="DH134" s="1723"/>
      <c r="DI134" s="1723"/>
      <c r="DJ134" s="1723"/>
      <c r="DK134" s="1723"/>
      <c r="DL134" s="1723"/>
      <c r="DM134" s="1723"/>
      <c r="DN134" s="1723"/>
      <c r="DO134" s="1723"/>
      <c r="DP134" s="1723"/>
      <c r="DQ134" s="1723"/>
      <c r="DR134" s="1723"/>
      <c r="DS134" s="1723"/>
      <c r="DT134" s="1723"/>
      <c r="DU134" s="1723"/>
      <c r="DV134" s="1723"/>
      <c r="DW134" s="1724"/>
    </row>
    <row r="135" spans="1:127" ht="15.75" thickBot="1">
      <c r="A135" s="57" t="s">
        <v>11</v>
      </c>
      <c r="B135" s="58">
        <v>2013</v>
      </c>
      <c r="C135" s="58">
        <v>2012</v>
      </c>
      <c r="D135" s="58">
        <v>2011</v>
      </c>
      <c r="E135" s="58">
        <v>2010</v>
      </c>
      <c r="F135" s="58">
        <v>2009</v>
      </c>
      <c r="G135" s="58">
        <v>2008</v>
      </c>
      <c r="H135" s="58">
        <v>2007</v>
      </c>
      <c r="I135" s="58">
        <v>2006</v>
      </c>
      <c r="J135" s="58">
        <v>2005</v>
      </c>
      <c r="K135" s="58">
        <v>2004</v>
      </c>
      <c r="L135" s="58">
        <v>2003</v>
      </c>
      <c r="M135" s="58">
        <v>2002</v>
      </c>
      <c r="N135" s="58">
        <v>2001</v>
      </c>
      <c r="O135" s="58">
        <v>2000</v>
      </c>
      <c r="P135" s="58">
        <v>1999</v>
      </c>
      <c r="Q135" s="58">
        <v>1998</v>
      </c>
      <c r="R135" s="58">
        <v>1997</v>
      </c>
      <c r="S135" s="58">
        <v>1996</v>
      </c>
      <c r="T135" s="58">
        <v>1995</v>
      </c>
      <c r="U135" s="58">
        <v>1994</v>
      </c>
      <c r="V135" s="58">
        <v>1993</v>
      </c>
      <c r="W135" s="58">
        <v>1992</v>
      </c>
      <c r="X135" s="58">
        <v>1991</v>
      </c>
      <c r="Y135" s="58">
        <v>1990</v>
      </c>
      <c r="Z135" s="58">
        <v>1989</v>
      </c>
      <c r="AA135" s="58">
        <v>1988</v>
      </c>
      <c r="AB135" s="58">
        <v>1987</v>
      </c>
      <c r="AC135" s="59">
        <v>1986</v>
      </c>
      <c r="AD135" s="60" t="s">
        <v>32</v>
      </c>
      <c r="AE135" s="61" t="s">
        <v>33</v>
      </c>
      <c r="AG135" s="57" t="s">
        <v>11</v>
      </c>
      <c r="AH135" s="58">
        <v>2013</v>
      </c>
      <c r="AI135" s="58">
        <v>2012</v>
      </c>
      <c r="AJ135" s="58">
        <v>2011</v>
      </c>
      <c r="AK135" s="58">
        <v>2010</v>
      </c>
      <c r="AL135" s="58">
        <v>2009</v>
      </c>
      <c r="AM135" s="58">
        <v>2008</v>
      </c>
      <c r="AN135" s="58">
        <v>2007</v>
      </c>
      <c r="AO135" s="58">
        <v>2006</v>
      </c>
      <c r="AP135" s="58">
        <v>2005</v>
      </c>
      <c r="AQ135" s="58">
        <v>2004</v>
      </c>
      <c r="AR135" s="58">
        <v>2003</v>
      </c>
      <c r="AS135" s="58">
        <v>2002</v>
      </c>
      <c r="AT135" s="58">
        <v>2001</v>
      </c>
      <c r="AU135" s="58">
        <v>2000</v>
      </c>
      <c r="AV135" s="58">
        <v>1999</v>
      </c>
      <c r="AW135" s="58">
        <v>1998</v>
      </c>
      <c r="AX135" s="58">
        <v>1997</v>
      </c>
      <c r="AY135" s="58">
        <v>1996</v>
      </c>
      <c r="AZ135" s="58">
        <v>1995</v>
      </c>
      <c r="BA135" s="58">
        <v>1994</v>
      </c>
      <c r="BB135" s="58">
        <v>1993</v>
      </c>
      <c r="BC135" s="58">
        <v>1992</v>
      </c>
      <c r="BD135" s="58">
        <v>1991</v>
      </c>
      <c r="BE135" s="58">
        <v>1990</v>
      </c>
      <c r="BF135" s="58">
        <v>1989</v>
      </c>
      <c r="BG135" s="58">
        <v>1988</v>
      </c>
      <c r="BH135" s="58">
        <v>1987</v>
      </c>
      <c r="BI135" s="59">
        <v>1986</v>
      </c>
      <c r="BJ135" s="60" t="s">
        <v>32</v>
      </c>
      <c r="BK135" s="61" t="s">
        <v>33</v>
      </c>
      <c r="BM135" s="57" t="s">
        <v>11</v>
      </c>
      <c r="BN135" s="58">
        <v>2013</v>
      </c>
      <c r="BO135" s="58">
        <v>2012</v>
      </c>
      <c r="BP135" s="58">
        <v>2011</v>
      </c>
      <c r="BQ135" s="58">
        <v>2010</v>
      </c>
      <c r="BR135" s="58">
        <v>2009</v>
      </c>
      <c r="BS135" s="58">
        <v>2008</v>
      </c>
      <c r="BT135" s="58">
        <v>2007</v>
      </c>
      <c r="BU135" s="58">
        <v>2006</v>
      </c>
      <c r="BV135" s="58">
        <v>2005</v>
      </c>
      <c r="BW135" s="58">
        <v>2004</v>
      </c>
      <c r="BX135" s="58">
        <v>2003</v>
      </c>
      <c r="BY135" s="58">
        <v>2002</v>
      </c>
      <c r="BZ135" s="58">
        <v>2001</v>
      </c>
      <c r="CA135" s="58">
        <v>2000</v>
      </c>
      <c r="CB135" s="58">
        <v>1999</v>
      </c>
      <c r="CC135" s="58">
        <v>1998</v>
      </c>
      <c r="CD135" s="58">
        <v>1997</v>
      </c>
      <c r="CE135" s="58">
        <v>1996</v>
      </c>
      <c r="CF135" s="58">
        <v>1995</v>
      </c>
      <c r="CG135" s="58">
        <v>1994</v>
      </c>
      <c r="CH135" s="58">
        <v>1993</v>
      </c>
      <c r="CI135" s="58">
        <v>1992</v>
      </c>
      <c r="CJ135" s="58">
        <v>1991</v>
      </c>
      <c r="CK135" s="58">
        <v>1990</v>
      </c>
      <c r="CL135" s="58">
        <v>1989</v>
      </c>
      <c r="CM135" s="58">
        <v>1988</v>
      </c>
      <c r="CN135" s="58">
        <v>1987</v>
      </c>
      <c r="CO135" s="59">
        <v>1986</v>
      </c>
      <c r="CP135" s="60" t="s">
        <v>32</v>
      </c>
      <c r="CQ135" s="61" t="s">
        <v>33</v>
      </c>
      <c r="CS135" s="57" t="s">
        <v>11</v>
      </c>
      <c r="CT135" s="58">
        <v>2013</v>
      </c>
      <c r="CU135" s="58">
        <v>2012</v>
      </c>
      <c r="CV135" s="58">
        <v>2011</v>
      </c>
      <c r="CW135" s="58">
        <v>2010</v>
      </c>
      <c r="CX135" s="58">
        <v>2009</v>
      </c>
      <c r="CY135" s="58">
        <v>2008</v>
      </c>
      <c r="CZ135" s="58">
        <v>2007</v>
      </c>
      <c r="DA135" s="58">
        <v>2006</v>
      </c>
      <c r="DB135" s="58">
        <v>2005</v>
      </c>
      <c r="DC135" s="58">
        <v>2004</v>
      </c>
      <c r="DD135" s="58">
        <v>2003</v>
      </c>
      <c r="DE135" s="58">
        <v>2002</v>
      </c>
      <c r="DF135" s="58">
        <v>2001</v>
      </c>
      <c r="DG135" s="58">
        <v>2000</v>
      </c>
      <c r="DH135" s="58">
        <v>1999</v>
      </c>
      <c r="DI135" s="58">
        <v>1998</v>
      </c>
      <c r="DJ135" s="58">
        <v>1997</v>
      </c>
      <c r="DK135" s="58">
        <v>1996</v>
      </c>
      <c r="DL135" s="58">
        <v>1995</v>
      </c>
      <c r="DM135" s="58">
        <v>1994</v>
      </c>
      <c r="DN135" s="58">
        <v>1993</v>
      </c>
      <c r="DO135" s="58">
        <v>1992</v>
      </c>
      <c r="DP135" s="58">
        <v>1991</v>
      </c>
      <c r="DQ135" s="58">
        <v>1990</v>
      </c>
      <c r="DR135" s="58">
        <v>1989</v>
      </c>
      <c r="DS135" s="58">
        <v>1988</v>
      </c>
      <c r="DT135" s="58">
        <v>1987</v>
      </c>
      <c r="DU135" s="59">
        <v>1986</v>
      </c>
      <c r="DV135" s="60" t="s">
        <v>32</v>
      </c>
      <c r="DW135" s="61" t="s">
        <v>33</v>
      </c>
    </row>
    <row r="136" spans="1:127" ht="15.75" thickTop="1">
      <c r="A136" s="62">
        <v>0</v>
      </c>
      <c r="B136" s="63">
        <v>1</v>
      </c>
      <c r="C136" s="64">
        <v>1</v>
      </c>
      <c r="D136" s="64">
        <v>1</v>
      </c>
      <c r="E136" s="64">
        <v>1</v>
      </c>
      <c r="F136" s="65">
        <v>1</v>
      </c>
      <c r="G136" s="65">
        <v>1</v>
      </c>
      <c r="H136" s="65">
        <v>1</v>
      </c>
      <c r="I136" s="65">
        <v>1</v>
      </c>
      <c r="J136" s="65">
        <v>1</v>
      </c>
      <c r="K136" s="65">
        <v>1</v>
      </c>
      <c r="L136" s="65">
        <v>1</v>
      </c>
      <c r="M136" s="65">
        <v>1</v>
      </c>
      <c r="N136" s="64"/>
      <c r="O136" s="64"/>
      <c r="P136" s="64"/>
      <c r="Q136" s="64"/>
      <c r="R136" s="64"/>
      <c r="S136" s="64"/>
      <c r="T136" s="64"/>
      <c r="U136" s="64"/>
      <c r="V136" s="64"/>
      <c r="W136" s="64"/>
      <c r="X136" s="64"/>
      <c r="Y136" s="64"/>
      <c r="Z136" s="64"/>
      <c r="AA136" s="64"/>
      <c r="AB136" s="64"/>
      <c r="AC136" s="64"/>
      <c r="AD136" s="66">
        <f>SUMPRODUCT(B136:M136,B117:M117)/SUM(B117:M117)</f>
        <v>1</v>
      </c>
      <c r="AE136" s="67">
        <f>AD136*100</f>
        <v>100</v>
      </c>
      <c r="AG136" s="62">
        <v>0</v>
      </c>
      <c r="AH136" s="63">
        <v>1</v>
      </c>
      <c r="AI136" s="64">
        <v>1</v>
      </c>
      <c r="AJ136" s="64">
        <v>1</v>
      </c>
      <c r="AK136" s="64">
        <v>1</v>
      </c>
      <c r="AL136" s="65">
        <v>1</v>
      </c>
      <c r="AM136" s="65">
        <v>1</v>
      </c>
      <c r="AN136" s="65">
        <v>1</v>
      </c>
      <c r="AO136" s="65">
        <v>1</v>
      </c>
      <c r="AP136" s="65">
        <v>1</v>
      </c>
      <c r="AQ136" s="65">
        <v>1</v>
      </c>
      <c r="AR136" s="65">
        <v>1</v>
      </c>
      <c r="AS136" s="65">
        <v>1</v>
      </c>
      <c r="AT136" s="64"/>
      <c r="AU136" s="64"/>
      <c r="AV136" s="64"/>
      <c r="AW136" s="64"/>
      <c r="AX136" s="64"/>
      <c r="AY136" s="64"/>
      <c r="AZ136" s="64"/>
      <c r="BA136" s="64"/>
      <c r="BB136" s="64"/>
      <c r="BC136" s="64"/>
      <c r="BD136" s="64"/>
      <c r="BE136" s="64"/>
      <c r="BF136" s="64"/>
      <c r="BG136" s="64"/>
      <c r="BH136" s="64"/>
      <c r="BI136" s="64"/>
      <c r="BJ136" s="66">
        <f>SUMPRODUCT(AH136:AS136,AH117:AS117)/SUM(AH117:AS117)</f>
        <v>1</v>
      </c>
      <c r="BK136" s="67">
        <f>BJ136*100</f>
        <v>100</v>
      </c>
      <c r="BM136" s="62">
        <v>0</v>
      </c>
      <c r="BN136" s="63">
        <v>1</v>
      </c>
      <c r="BO136" s="64">
        <v>1</v>
      </c>
      <c r="BP136" s="64">
        <v>1</v>
      </c>
      <c r="BQ136" s="64">
        <v>1</v>
      </c>
      <c r="BR136" s="65">
        <v>1</v>
      </c>
      <c r="BS136" s="65">
        <v>1</v>
      </c>
      <c r="BT136" s="65">
        <v>1</v>
      </c>
      <c r="BU136" s="65">
        <v>1</v>
      </c>
      <c r="BV136" s="65">
        <v>1</v>
      </c>
      <c r="BW136" s="65">
        <v>1</v>
      </c>
      <c r="BX136" s="65">
        <v>1</v>
      </c>
      <c r="BY136" s="65">
        <v>1</v>
      </c>
      <c r="BZ136" s="64"/>
      <c r="CA136" s="64"/>
      <c r="CB136" s="64"/>
      <c r="CC136" s="64"/>
      <c r="CD136" s="64"/>
      <c r="CE136" s="64"/>
      <c r="CF136" s="64"/>
      <c r="CG136" s="64"/>
      <c r="CH136" s="64"/>
      <c r="CI136" s="64"/>
      <c r="CJ136" s="64"/>
      <c r="CK136" s="64"/>
      <c r="CL136" s="64"/>
      <c r="CM136" s="64"/>
      <c r="CN136" s="64"/>
      <c r="CO136" s="64"/>
      <c r="CP136" s="66">
        <f>SUMPRODUCT(BN136:BY136,BN117:BY117)/SUM(BN117:BY117)</f>
        <v>1</v>
      </c>
      <c r="CQ136" s="67">
        <f>CP136*100</f>
        <v>100</v>
      </c>
      <c r="CS136" s="62">
        <v>0</v>
      </c>
      <c r="CT136" s="63">
        <v>1</v>
      </c>
      <c r="CU136" s="64">
        <v>1</v>
      </c>
      <c r="CV136" s="64">
        <v>1</v>
      </c>
      <c r="CW136" s="64">
        <v>1</v>
      </c>
      <c r="CX136" s="65">
        <v>1</v>
      </c>
      <c r="CY136" s="65">
        <v>1</v>
      </c>
      <c r="CZ136" s="65">
        <v>1</v>
      </c>
      <c r="DA136" s="65">
        <v>1</v>
      </c>
      <c r="DB136" s="65">
        <v>1</v>
      </c>
      <c r="DC136" s="65">
        <v>1</v>
      </c>
      <c r="DD136" s="65">
        <v>1</v>
      </c>
      <c r="DE136" s="65">
        <v>1</v>
      </c>
      <c r="DF136" s="64"/>
      <c r="DG136" s="64"/>
      <c r="DH136" s="64"/>
      <c r="DI136" s="64"/>
      <c r="DJ136" s="64"/>
      <c r="DK136" s="64"/>
      <c r="DL136" s="64"/>
      <c r="DM136" s="64"/>
      <c r="DN136" s="64"/>
      <c r="DO136" s="64"/>
      <c r="DP136" s="64"/>
      <c r="DQ136" s="64"/>
      <c r="DR136" s="64"/>
      <c r="DS136" s="64"/>
      <c r="DT136" s="64"/>
      <c r="DU136" s="64"/>
      <c r="DV136" s="66">
        <f>SUMPRODUCT(CT136:DE136,CT117:DE117)/SUM(CT117:DE117)</f>
        <v>1</v>
      </c>
      <c r="DW136" s="67">
        <f>DV136*100</f>
        <v>100</v>
      </c>
    </row>
    <row r="137" spans="1:127">
      <c r="A137" s="68">
        <v>1</v>
      </c>
      <c r="B137" s="69"/>
      <c r="C137" s="70"/>
      <c r="D137" s="70"/>
      <c r="E137" s="70"/>
      <c r="F137" s="70"/>
      <c r="G137" s="70">
        <f>(G118-G117)/G117</f>
        <v>-1</v>
      </c>
      <c r="H137" s="70"/>
      <c r="I137" s="70"/>
      <c r="J137" s="70"/>
      <c r="K137" s="70">
        <f>(K118-K117)/K117</f>
        <v>-1</v>
      </c>
      <c r="L137" s="70">
        <f>(L118-L117)/L117</f>
        <v>-0.94444444444444442</v>
      </c>
      <c r="M137" s="70"/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  <c r="AB137" s="70"/>
      <c r="AC137" s="70"/>
      <c r="AD137" s="66">
        <f>SUMPRODUCT(C137:N137,C118:N118)/SUM(C118:N118)</f>
        <v>-0.47222222222222221</v>
      </c>
      <c r="AE137" s="67">
        <f>AE136*(AD137+1)</f>
        <v>52.777777777777779</v>
      </c>
      <c r="AG137" s="68">
        <v>1</v>
      </c>
      <c r="AH137" s="69"/>
      <c r="AI137" s="70">
        <f t="shared" ref="AI137:AR137" si="147">(AI118-AI117)/AI117</f>
        <v>0.16326530612244897</v>
      </c>
      <c r="AJ137" s="70">
        <f t="shared" si="147"/>
        <v>6.3291139240506333E-2</v>
      </c>
      <c r="AK137" s="70">
        <f t="shared" si="147"/>
        <v>6.5326633165829151E-2</v>
      </c>
      <c r="AL137" s="70">
        <f t="shared" si="147"/>
        <v>0.46963562753036436</v>
      </c>
      <c r="AM137" s="70">
        <f t="shared" si="147"/>
        <v>5.1081081081081079</v>
      </c>
      <c r="AN137" s="70">
        <f t="shared" si="147"/>
        <v>7.0546737213403876E-3</v>
      </c>
      <c r="AO137" s="70">
        <f t="shared" si="147"/>
        <v>1.7182130584192441E-2</v>
      </c>
      <c r="AP137" s="70">
        <f t="shared" si="147"/>
        <v>7.7220077220077222E-3</v>
      </c>
      <c r="AQ137" s="70">
        <f t="shared" si="147"/>
        <v>-4.464285714285714E-3</v>
      </c>
      <c r="AR137" s="70">
        <f t="shared" si="147"/>
        <v>0</v>
      </c>
      <c r="AS137" s="70"/>
      <c r="AT137" s="70"/>
      <c r="AU137" s="70"/>
      <c r="AV137" s="70"/>
      <c r="AW137" s="70"/>
      <c r="AX137" s="70"/>
      <c r="AY137" s="70"/>
      <c r="AZ137" s="70"/>
      <c r="BA137" s="70"/>
      <c r="BB137" s="70"/>
      <c r="BC137" s="70"/>
      <c r="BD137" s="70"/>
      <c r="BE137" s="70"/>
      <c r="BF137" s="70"/>
      <c r="BG137" s="70"/>
      <c r="BH137" s="70"/>
      <c r="BI137" s="70"/>
      <c r="BJ137" s="66">
        <f>SUMPRODUCT(AI137:AT137,AI118:AT118)/SUM(AI118:AT118)</f>
        <v>1.6191926617069954</v>
      </c>
      <c r="BK137" s="67">
        <f>BK136*(BJ137+1)</f>
        <v>261.91926617069953</v>
      </c>
      <c r="BM137" s="68">
        <v>1</v>
      </c>
      <c r="BN137" s="69"/>
      <c r="BO137" s="70">
        <f>(BO118-BO117)/BO117</f>
        <v>0.11659192825112108</v>
      </c>
      <c r="BP137" s="70">
        <f>(BP118-BP117)/BP117</f>
        <v>3.6253776435045321E-2</v>
      </c>
      <c r="BQ137" s="70">
        <f>(BQ118-BQ117)/BQ117</f>
        <v>2.7932960893854749E-3</v>
      </c>
      <c r="BR137" s="70">
        <f>(BR118-BR117)/BR117</f>
        <v>0.7857142857142857</v>
      </c>
      <c r="BS137" s="70"/>
      <c r="BT137" s="70"/>
      <c r="BU137" s="70">
        <f>(BU118-BU117)/BU117</f>
        <v>0</v>
      </c>
      <c r="BV137" s="70"/>
      <c r="BW137" s="70"/>
      <c r="BX137" s="70"/>
      <c r="BY137" s="70"/>
      <c r="BZ137" s="70"/>
      <c r="CA137" s="70"/>
      <c r="CB137" s="70"/>
      <c r="CC137" s="70"/>
      <c r="CD137" s="70"/>
      <c r="CE137" s="70"/>
      <c r="CF137" s="70"/>
      <c r="CG137" s="70"/>
      <c r="CH137" s="70"/>
      <c r="CI137" s="70"/>
      <c r="CJ137" s="70"/>
      <c r="CK137" s="70"/>
      <c r="CL137" s="70"/>
      <c r="CM137" s="70"/>
      <c r="CN137" s="70"/>
      <c r="CO137" s="70"/>
      <c r="CP137" s="66">
        <f>SUMPRODUCT(BO137:BZ137,BO118:BZ118)/SUM(BO118:BZ118)</f>
        <v>7.2050178676067486E-2</v>
      </c>
      <c r="CQ137" s="67">
        <f>CQ136*(CP137+1)</f>
        <v>107.20501786760674</v>
      </c>
      <c r="CS137" s="68">
        <v>1</v>
      </c>
      <c r="CT137" s="69"/>
      <c r="CU137" s="70">
        <f t="shared" ref="CU137:DB137" si="148">(CU118-CU117)/CU117</f>
        <v>0.10526315789473684</v>
      </c>
      <c r="CV137" s="70">
        <f t="shared" si="148"/>
        <v>2.2556390977443608E-2</v>
      </c>
      <c r="CW137" s="70">
        <f t="shared" si="148"/>
        <v>2.8409090909090908E-2</v>
      </c>
      <c r="CX137" s="70">
        <f t="shared" si="148"/>
        <v>8.8235294117647065E-2</v>
      </c>
      <c r="CY137" s="70">
        <f t="shared" si="148"/>
        <v>1.4350649350649352</v>
      </c>
      <c r="CZ137" s="70">
        <f t="shared" si="148"/>
        <v>1.8518518518518517E-2</v>
      </c>
      <c r="DA137" s="70">
        <f t="shared" si="148"/>
        <v>0</v>
      </c>
      <c r="DB137" s="70">
        <f t="shared" si="148"/>
        <v>7.4999999999999997E-2</v>
      </c>
      <c r="DC137" s="70"/>
      <c r="DD137" s="70"/>
      <c r="DE137" s="70"/>
      <c r="DF137" s="70"/>
      <c r="DG137" s="70"/>
      <c r="DH137" s="70"/>
      <c r="DI137" s="70"/>
      <c r="DJ137" s="70"/>
      <c r="DK137" s="70"/>
      <c r="DL137" s="70"/>
      <c r="DM137" s="70"/>
      <c r="DN137" s="70"/>
      <c r="DO137" s="70"/>
      <c r="DP137" s="70"/>
      <c r="DQ137" s="70"/>
      <c r="DR137" s="70"/>
      <c r="DS137" s="70"/>
      <c r="DT137" s="70"/>
      <c r="DU137" s="70"/>
      <c r="DV137" s="66">
        <f>SUMPRODUCT(CU137:DF137,CU118:DF118)/SUM(CU118:DF118)</f>
        <v>0.35955345750237394</v>
      </c>
      <c r="DW137" s="67">
        <f>DW136*(DV137+1)</f>
        <v>135.9553457502374</v>
      </c>
    </row>
    <row r="138" spans="1:127">
      <c r="A138" s="68">
        <v>2</v>
      </c>
      <c r="B138" s="69"/>
      <c r="C138" s="70"/>
      <c r="D138" s="70"/>
      <c r="E138" s="70"/>
      <c r="F138" s="70"/>
      <c r="G138" s="70"/>
      <c r="H138" s="70"/>
      <c r="I138" s="70"/>
      <c r="J138" s="70"/>
      <c r="K138" s="70"/>
      <c r="L138" s="70">
        <f>(L119-L118)/L118</f>
        <v>-1</v>
      </c>
      <c r="M138" s="70">
        <f>(M119-M118)/M118</f>
        <v>-1</v>
      </c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  <c r="AB138" s="70"/>
      <c r="AC138" s="70"/>
      <c r="AD138" s="66" t="e">
        <f>SUMPRODUCT(D138:O138,D119:O119)/SUM(D119:O119)</f>
        <v>#DIV/0!</v>
      </c>
      <c r="AE138" s="67" t="e">
        <f t="shared" ref="AE138:AE151" si="149">AE137*(AD138+1)</f>
        <v>#DIV/0!</v>
      </c>
      <c r="AG138" s="68">
        <v>2</v>
      </c>
      <c r="AH138" s="69"/>
      <c r="AI138" s="70"/>
      <c r="AJ138" s="70">
        <f t="shared" ref="AJ138:AS138" si="150">(AJ119-AJ118)/AJ118</f>
        <v>0.29761904761904762</v>
      </c>
      <c r="AK138" s="70">
        <f t="shared" si="150"/>
        <v>5.1886792452830191E-2</v>
      </c>
      <c r="AL138" s="70">
        <f t="shared" si="150"/>
        <v>7.9889807162534437E-2</v>
      </c>
      <c r="AM138" s="70">
        <f t="shared" si="150"/>
        <v>0.17699115044247787</v>
      </c>
      <c r="AN138" s="70">
        <f t="shared" si="150"/>
        <v>9.982486865148861E-2</v>
      </c>
      <c r="AO138" s="70">
        <f t="shared" si="150"/>
        <v>2.7027027027027029E-2</v>
      </c>
      <c r="AP138" s="70">
        <f t="shared" si="150"/>
        <v>1.532567049808429E-2</v>
      </c>
      <c r="AQ138" s="70">
        <f t="shared" si="150"/>
        <v>2.2421524663677129E-2</v>
      </c>
      <c r="AR138" s="70">
        <f t="shared" si="150"/>
        <v>0</v>
      </c>
      <c r="AS138" s="70">
        <f t="shared" si="150"/>
        <v>-0.5</v>
      </c>
      <c r="AT138" s="70"/>
      <c r="AU138" s="70"/>
      <c r="AV138" s="70"/>
      <c r="AW138" s="70"/>
      <c r="AX138" s="70"/>
      <c r="AY138" s="70"/>
      <c r="AZ138" s="70"/>
      <c r="BA138" s="70"/>
      <c r="BB138" s="70"/>
      <c r="BC138" s="70"/>
      <c r="BD138" s="70"/>
      <c r="BE138" s="70"/>
      <c r="BF138" s="70"/>
      <c r="BG138" s="70"/>
      <c r="BH138" s="70"/>
      <c r="BI138" s="70"/>
      <c r="BJ138" s="66">
        <f>SUMPRODUCT(AJ138:AU138,AJ119:AU119)/SUM(AJ119:AU119)</f>
        <v>0.10652584215413688</v>
      </c>
      <c r="BK138" s="67">
        <f t="shared" ref="BK138:BK151" si="151">BK137*(BJ138+1)</f>
        <v>289.82043657592681</v>
      </c>
      <c r="BM138" s="68">
        <v>2</v>
      </c>
      <c r="BN138" s="69"/>
      <c r="BO138" s="70"/>
      <c r="BP138" s="70">
        <f>(BP119-BP118)/BP118</f>
        <v>9.9125364431486881E-2</v>
      </c>
      <c r="BQ138" s="70">
        <f>(BQ119-BQ118)/BQ118</f>
        <v>0.12813370473537605</v>
      </c>
      <c r="BR138" s="70">
        <f>(BR119-BR118)/BR118</f>
        <v>0.04</v>
      </c>
      <c r="BS138" s="70"/>
      <c r="BT138" s="70"/>
      <c r="BU138" s="70">
        <f>(BU119-BU118)/BU118</f>
        <v>-7.4999999999999997E-2</v>
      </c>
      <c r="BV138" s="70"/>
      <c r="BW138" s="70"/>
      <c r="BX138" s="70"/>
      <c r="BY138" s="70"/>
      <c r="BZ138" s="70"/>
      <c r="CA138" s="70"/>
      <c r="CB138" s="70"/>
      <c r="CC138" s="70"/>
      <c r="CD138" s="70"/>
      <c r="CE138" s="70"/>
      <c r="CF138" s="70"/>
      <c r="CG138" s="70"/>
      <c r="CH138" s="70"/>
      <c r="CI138" s="70"/>
      <c r="CJ138" s="70"/>
      <c r="CK138" s="70"/>
      <c r="CL138" s="70"/>
      <c r="CM138" s="70"/>
      <c r="CN138" s="70"/>
      <c r="CO138" s="70"/>
      <c r="CP138" s="66">
        <f>SUMPRODUCT(BP138:CA138,BP119:CA119)/SUM(BP119:CA119)</f>
        <v>0.1034626628942055</v>
      </c>
      <c r="CQ138" s="67">
        <f t="shared" ref="CQ138:CQ151" si="152">CQ137*(CP138+1)</f>
        <v>118.29673449181021</v>
      </c>
      <c r="CS138" s="68">
        <v>2</v>
      </c>
      <c r="CT138" s="69"/>
      <c r="CU138" s="70"/>
      <c r="CV138" s="70">
        <f t="shared" ref="CV138:DB138" si="153">(CV119-CV118)/CV118</f>
        <v>7.3529411764705881E-3</v>
      </c>
      <c r="CW138" s="70">
        <f t="shared" si="153"/>
        <v>0</v>
      </c>
      <c r="CX138" s="70">
        <f t="shared" si="153"/>
        <v>0.10810810810810811</v>
      </c>
      <c r="CY138" s="70">
        <f t="shared" si="153"/>
        <v>-1.3333333333333334E-2</v>
      </c>
      <c r="CZ138" s="70">
        <f t="shared" si="153"/>
        <v>0</v>
      </c>
      <c r="DA138" s="70">
        <f t="shared" si="153"/>
        <v>1.824817518248175E-2</v>
      </c>
      <c r="DB138" s="70">
        <f t="shared" si="153"/>
        <v>2.3255813953488372E-2</v>
      </c>
      <c r="DC138" s="70"/>
      <c r="DD138" s="70"/>
      <c r="DE138" s="70"/>
      <c r="DF138" s="70"/>
      <c r="DG138" s="70"/>
      <c r="DH138" s="70"/>
      <c r="DI138" s="70"/>
      <c r="DJ138" s="70"/>
      <c r="DK138" s="70"/>
      <c r="DL138" s="70"/>
      <c r="DM138" s="70"/>
      <c r="DN138" s="70"/>
      <c r="DO138" s="70"/>
      <c r="DP138" s="70"/>
      <c r="DQ138" s="70"/>
      <c r="DR138" s="70"/>
      <c r="DS138" s="70"/>
      <c r="DT138" s="70"/>
      <c r="DU138" s="70"/>
      <c r="DV138" s="66">
        <f>SUMPRODUCT(CV138:DG138,CV119:DG119)/SUM(CV119:DG119)</f>
        <v>4.4376331971457544E-3</v>
      </c>
      <c r="DW138" s="67">
        <f t="shared" ref="DW138:DW151" si="154">DW137*(DV138+1)</f>
        <v>136.55866570586809</v>
      </c>
    </row>
    <row r="139" spans="1:127">
      <c r="A139" s="68">
        <v>3</v>
      </c>
      <c r="B139" s="69"/>
      <c r="C139" s="70"/>
      <c r="D139" s="70"/>
      <c r="E139" s="70"/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  <c r="AB139" s="70"/>
      <c r="AC139" s="70"/>
      <c r="AD139" s="66">
        <f>SUMPRODUCT(E139:P139,E120:P120)/SUM(E120:P120)</f>
        <v>0</v>
      </c>
      <c r="AE139" s="67" t="e">
        <f t="shared" si="149"/>
        <v>#DIV/0!</v>
      </c>
      <c r="AG139" s="68">
        <v>3</v>
      </c>
      <c r="AH139" s="69"/>
      <c r="AI139" s="70"/>
      <c r="AJ139" s="70"/>
      <c r="AK139" s="70">
        <f t="shared" ref="AK139:AS139" si="155">(AK120-AK119)/AK119</f>
        <v>0.21076233183856502</v>
      </c>
      <c r="AL139" s="70">
        <f t="shared" si="155"/>
        <v>7.1428571428571425E-2</v>
      </c>
      <c r="AM139" s="70">
        <f t="shared" si="155"/>
        <v>4.7932330827067667E-2</v>
      </c>
      <c r="AN139" s="70">
        <f t="shared" si="155"/>
        <v>8.598726114649681E-2</v>
      </c>
      <c r="AO139" s="70">
        <f t="shared" si="155"/>
        <v>0.15460526315789475</v>
      </c>
      <c r="AP139" s="70">
        <f t="shared" si="155"/>
        <v>8.6792452830188674E-2</v>
      </c>
      <c r="AQ139" s="70">
        <f t="shared" si="155"/>
        <v>4.3859649122807015E-2</v>
      </c>
      <c r="AR139" s="70">
        <f t="shared" si="155"/>
        <v>0.5</v>
      </c>
      <c r="AS139" s="70">
        <f t="shared" si="155"/>
        <v>1</v>
      </c>
      <c r="AT139" s="70"/>
      <c r="AU139" s="70"/>
      <c r="AV139" s="70"/>
      <c r="AW139" s="70"/>
      <c r="AX139" s="70"/>
      <c r="AY139" s="70"/>
      <c r="AZ139" s="70"/>
      <c r="BA139" s="70"/>
      <c r="BB139" s="70"/>
      <c r="BC139" s="70"/>
      <c r="BD139" s="70"/>
      <c r="BE139" s="70"/>
      <c r="BF139" s="70"/>
      <c r="BG139" s="70"/>
      <c r="BH139" s="70"/>
      <c r="BI139" s="70"/>
      <c r="BJ139" s="66">
        <f>SUMPRODUCT(AK139:AV139,AK120:AV120)/SUM(AK120:AV120)</f>
        <v>8.7831545543294046E-2</v>
      </c>
      <c r="BK139" s="67">
        <f t="shared" si="151"/>
        <v>315.27581345042267</v>
      </c>
      <c r="BM139" s="68">
        <v>3</v>
      </c>
      <c r="BN139" s="69"/>
      <c r="BO139" s="70"/>
      <c r="BP139" s="70"/>
      <c r="BQ139" s="70">
        <f>(BQ120-BQ119)/BQ119</f>
        <v>0.23456790123456789</v>
      </c>
      <c r="BR139" s="70">
        <f>(BR120-BR119)/BR119</f>
        <v>0.53846153846153844</v>
      </c>
      <c r="BS139" s="70">
        <f>(BS120-BS119)/BS119</f>
        <v>0</v>
      </c>
      <c r="BT139" s="70"/>
      <c r="BU139" s="70">
        <f>(BU120-BU119)/BU119</f>
        <v>8.1081081081081086E-2</v>
      </c>
      <c r="BV139" s="70"/>
      <c r="BW139" s="70"/>
      <c r="BX139" s="70"/>
      <c r="BY139" s="70"/>
      <c r="BZ139" s="70"/>
      <c r="CA139" s="70"/>
      <c r="CB139" s="70"/>
      <c r="CC139" s="70"/>
      <c r="CD139" s="70"/>
      <c r="CE139" s="70"/>
      <c r="CF139" s="70"/>
      <c r="CG139" s="70"/>
      <c r="CH139" s="70"/>
      <c r="CI139" s="70"/>
      <c r="CJ139" s="70"/>
      <c r="CK139" s="70"/>
      <c r="CL139" s="70"/>
      <c r="CM139" s="70"/>
      <c r="CN139" s="70"/>
      <c r="CO139" s="70"/>
      <c r="CP139" s="66">
        <f>SUMPRODUCT(BQ139:CB139,BQ120:CB120)/SUM(BQ120:CB120)</f>
        <v>0.24451920034249355</v>
      </c>
      <c r="CQ139" s="67">
        <f t="shared" si="152"/>
        <v>147.22255741287594</v>
      </c>
      <c r="CS139" s="68">
        <v>3</v>
      </c>
      <c r="CT139" s="69"/>
      <c r="CU139" s="70"/>
      <c r="CV139" s="70"/>
      <c r="CW139" s="70">
        <f t="shared" ref="CW139:DB139" si="156">(CW120-CW119)/CW119</f>
        <v>0</v>
      </c>
      <c r="CX139" s="70">
        <f t="shared" si="156"/>
        <v>7.3170731707317069E-2</v>
      </c>
      <c r="CY139" s="70">
        <f t="shared" si="156"/>
        <v>0</v>
      </c>
      <c r="CZ139" s="70">
        <f t="shared" si="156"/>
        <v>-2.7272727272727271E-2</v>
      </c>
      <c r="DA139" s="70">
        <f t="shared" si="156"/>
        <v>2.1505376344086023E-2</v>
      </c>
      <c r="DB139" s="70">
        <f t="shared" si="156"/>
        <v>6.8181818181818177E-2</v>
      </c>
      <c r="DC139" s="70"/>
      <c r="DD139" s="70"/>
      <c r="DE139" s="70"/>
      <c r="DF139" s="70"/>
      <c r="DG139" s="70"/>
      <c r="DH139" s="70"/>
      <c r="DI139" s="70"/>
      <c r="DJ139" s="70"/>
      <c r="DK139" s="70"/>
      <c r="DL139" s="70"/>
      <c r="DM139" s="70"/>
      <c r="DN139" s="70"/>
      <c r="DO139" s="70"/>
      <c r="DP139" s="70"/>
      <c r="DQ139" s="70"/>
      <c r="DR139" s="70"/>
      <c r="DS139" s="70"/>
      <c r="DT139" s="70"/>
      <c r="DU139" s="70"/>
      <c r="DV139" s="66">
        <f>SUMPRODUCT(CW139:DH139,CW120:DH120)/SUM(CW120:DH120)</f>
        <v>6.497141217746492E-4</v>
      </c>
      <c r="DW139" s="67">
        <f t="shared" si="154"/>
        <v>136.64738979942791</v>
      </c>
    </row>
    <row r="140" spans="1:127">
      <c r="A140" s="68">
        <v>4</v>
      </c>
      <c r="B140" s="69"/>
      <c r="C140" s="70"/>
      <c r="D140" s="70"/>
      <c r="E140" s="70"/>
      <c r="F140" s="70"/>
      <c r="G140" s="70"/>
      <c r="H140" s="70"/>
      <c r="I140" s="70"/>
      <c r="J140" s="70"/>
      <c r="K140" s="70"/>
      <c r="L140" s="70">
        <f>(L121-L120)/L120</f>
        <v>-1</v>
      </c>
      <c r="M140" s="70"/>
      <c r="N140" s="70">
        <f>(N121-N120)/N120</f>
        <v>-0.5</v>
      </c>
      <c r="O140" s="70">
        <f>(O121-O120)/O120</f>
        <v>0.5</v>
      </c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  <c r="AB140" s="70"/>
      <c r="AC140" s="70"/>
      <c r="AD140" s="66">
        <f>SUMPRODUCT(F140:Q140,F121:Q121)/SUM(F121:Q121)</f>
        <v>0.25</v>
      </c>
      <c r="AE140" s="67" t="e">
        <f t="shared" si="149"/>
        <v>#DIV/0!</v>
      </c>
      <c r="AG140" s="68">
        <v>4</v>
      </c>
      <c r="AH140" s="69"/>
      <c r="AI140" s="70"/>
      <c r="AJ140" s="70"/>
      <c r="AK140" s="70"/>
      <c r="AL140" s="70">
        <f t="shared" ref="AL140:AS140" si="157">(AL121-AL120)/AL120</f>
        <v>0.11190476190476191</v>
      </c>
      <c r="AM140" s="70">
        <f t="shared" si="157"/>
        <v>5.0224215246636769E-2</v>
      </c>
      <c r="AN140" s="70">
        <f t="shared" si="157"/>
        <v>6.4516129032258063E-2</v>
      </c>
      <c r="AO140" s="70">
        <f t="shared" si="157"/>
        <v>0.10256410256410256</v>
      </c>
      <c r="AP140" s="70">
        <f t="shared" si="157"/>
        <v>8.6805555555555552E-2</v>
      </c>
      <c r="AQ140" s="70">
        <f t="shared" si="157"/>
        <v>2.9411764705882353E-2</v>
      </c>
      <c r="AR140" s="70">
        <f t="shared" si="157"/>
        <v>0.5</v>
      </c>
      <c r="AS140" s="70">
        <f t="shared" si="157"/>
        <v>0</v>
      </c>
      <c r="AT140" s="70"/>
      <c r="AU140" s="70"/>
      <c r="AV140" s="70"/>
      <c r="AW140" s="70"/>
      <c r="AX140" s="70"/>
      <c r="AY140" s="70"/>
      <c r="AZ140" s="70"/>
      <c r="BA140" s="70"/>
      <c r="BB140" s="70"/>
      <c r="BC140" s="70"/>
      <c r="BD140" s="70"/>
      <c r="BE140" s="70"/>
      <c r="BF140" s="70"/>
      <c r="BG140" s="70"/>
      <c r="BH140" s="70"/>
      <c r="BI140" s="70"/>
      <c r="BJ140" s="66">
        <f>SUMPRODUCT(AL140:AW140,AL121:AW121)/SUM(AL121:AW121)</f>
        <v>7.2366101644111877E-2</v>
      </c>
      <c r="BK140" s="67">
        <f t="shared" si="151"/>
        <v>338.09109501250606</v>
      </c>
      <c r="BM140" s="68">
        <v>4</v>
      </c>
      <c r="BN140" s="69"/>
      <c r="BO140" s="70"/>
      <c r="BP140" s="70"/>
      <c r="BQ140" s="70"/>
      <c r="BR140" s="70">
        <f>(BR121-BR120)/BR120</f>
        <v>0.35</v>
      </c>
      <c r="BS140" s="70">
        <f>(BS121-BS120)/BS120</f>
        <v>0</v>
      </c>
      <c r="BT140" s="70"/>
      <c r="BU140" s="70">
        <f>(BU121-BU120)/BU120</f>
        <v>-0.2</v>
      </c>
      <c r="BV140" s="70"/>
      <c r="BW140" s="70"/>
      <c r="BX140" s="70"/>
      <c r="BY140" s="70"/>
      <c r="BZ140" s="70"/>
      <c r="CA140" s="70"/>
      <c r="CB140" s="70"/>
      <c r="CC140" s="70"/>
      <c r="CD140" s="70"/>
      <c r="CE140" s="70"/>
      <c r="CF140" s="70"/>
      <c r="CG140" s="70"/>
      <c r="CH140" s="70"/>
      <c r="CI140" s="70"/>
      <c r="CJ140" s="70"/>
      <c r="CK140" s="70"/>
      <c r="CL140" s="70"/>
      <c r="CM140" s="70"/>
      <c r="CN140" s="70"/>
      <c r="CO140" s="70"/>
      <c r="CP140" s="66">
        <f>SUMPRODUCT(BR140:CC140,BR121:CC121)/SUM(BR121:CC121)</f>
        <v>0.14367816091954022</v>
      </c>
      <c r="CQ140" s="67">
        <f t="shared" si="152"/>
        <v>168.37522370782941</v>
      </c>
      <c r="CS140" s="68">
        <v>4</v>
      </c>
      <c r="CT140" s="69"/>
      <c r="CU140" s="70"/>
      <c r="CV140" s="70"/>
      <c r="CW140" s="70"/>
      <c r="CX140" s="70">
        <f>(CX121-CX120)/CX120</f>
        <v>0</v>
      </c>
      <c r="CY140" s="70">
        <f>(CY121-CY120)/CY120</f>
        <v>-1.891891891891892E-2</v>
      </c>
      <c r="CZ140" s="70">
        <f>(CZ121-CZ120)/CZ120</f>
        <v>9.3457943925233638E-3</v>
      </c>
      <c r="DA140" s="70">
        <f>(DA121-DA120)/DA120</f>
        <v>-2.456140350877193E-2</v>
      </c>
      <c r="DB140" s="70">
        <f>(DB121-DB120)/DB120</f>
        <v>0.19148936170212766</v>
      </c>
      <c r="DC140" s="70"/>
      <c r="DD140" s="70"/>
      <c r="DE140" s="70"/>
      <c r="DF140" s="70"/>
      <c r="DG140" s="70"/>
      <c r="DH140" s="70"/>
      <c r="DI140" s="70"/>
      <c r="DJ140" s="70"/>
      <c r="DK140" s="70"/>
      <c r="DL140" s="70"/>
      <c r="DM140" s="70"/>
      <c r="DN140" s="70"/>
      <c r="DO140" s="70"/>
      <c r="DP140" s="70"/>
      <c r="DQ140" s="70"/>
      <c r="DR140" s="70"/>
      <c r="DS140" s="70"/>
      <c r="DT140" s="70"/>
      <c r="DU140" s="70"/>
      <c r="DV140" s="66">
        <f>SUMPRODUCT(CX140:DI140,CX121:DI121)/SUM(CX121:DI121)</f>
        <v>9.065103743685775E-4</v>
      </c>
      <c r="DW140" s="67">
        <f t="shared" si="154"/>
        <v>136.77126207591149</v>
      </c>
    </row>
    <row r="141" spans="1:127">
      <c r="A141" s="68">
        <v>5</v>
      </c>
      <c r="B141" s="69"/>
      <c r="C141" s="70"/>
      <c r="D141" s="70"/>
      <c r="E141" s="70"/>
      <c r="F141" s="70"/>
      <c r="G141" s="70"/>
      <c r="H141" s="70"/>
      <c r="I141" s="70"/>
      <c r="J141" s="70"/>
      <c r="K141" s="70"/>
      <c r="L141" s="70"/>
      <c r="M141" s="70"/>
      <c r="N141" s="70">
        <f>(N122-N121)/N121</f>
        <v>-1</v>
      </c>
      <c r="O141" s="70">
        <f>(O122-O121)/O121</f>
        <v>-0.66666666666666663</v>
      </c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  <c r="AB141" s="70"/>
      <c r="AC141" s="70"/>
      <c r="AD141" s="66">
        <f>SUMPRODUCT(G141:R141,G122:R122)/SUM(G122:R122)</f>
        <v>-0.66666666666666663</v>
      </c>
      <c r="AE141" s="67" t="e">
        <f t="shared" si="149"/>
        <v>#DIV/0!</v>
      </c>
      <c r="AG141" s="68">
        <v>5</v>
      </c>
      <c r="AH141" s="69"/>
      <c r="AI141" s="70"/>
      <c r="AJ141" s="70"/>
      <c r="AK141" s="70"/>
      <c r="AL141" s="70"/>
      <c r="AM141" s="70">
        <f t="shared" ref="AM141:AT141" si="158">(AM122-AM121)/AM121</f>
        <v>2.0495303159692571E-2</v>
      </c>
      <c r="AN141" s="70">
        <f t="shared" si="158"/>
        <v>-2.2038567493112948E-2</v>
      </c>
      <c r="AO141" s="70">
        <f t="shared" si="158"/>
        <v>2.5839793281653748E-3</v>
      </c>
      <c r="AP141" s="70">
        <f t="shared" si="158"/>
        <v>5.7507987220447282E-2</v>
      </c>
      <c r="AQ141" s="70">
        <f t="shared" si="158"/>
        <v>6.9387755102040816E-2</v>
      </c>
      <c r="AR141" s="70">
        <f t="shared" si="158"/>
        <v>0.27777777777777779</v>
      </c>
      <c r="AS141" s="70">
        <f t="shared" si="158"/>
        <v>1.5</v>
      </c>
      <c r="AT141" s="70">
        <f t="shared" si="158"/>
        <v>2</v>
      </c>
      <c r="AU141" s="70"/>
      <c r="AV141" s="70"/>
      <c r="AW141" s="70"/>
      <c r="AX141" s="70"/>
      <c r="AY141" s="70"/>
      <c r="AZ141" s="70"/>
      <c r="BA141" s="70"/>
      <c r="BB141" s="70"/>
      <c r="BC141" s="70"/>
      <c r="BD141" s="70"/>
      <c r="BE141" s="70"/>
      <c r="BF141" s="70"/>
      <c r="BG141" s="70"/>
      <c r="BH141" s="70"/>
      <c r="BI141" s="70"/>
      <c r="BJ141" s="66">
        <f>SUMPRODUCT(AM141:AX141,AM122:AX122)/SUM(AM122:AX122)</f>
        <v>2.2928326311863777E-2</v>
      </c>
      <c r="BK141" s="67">
        <f t="shared" si="151"/>
        <v>345.84295796208818</v>
      </c>
      <c r="BM141" s="68">
        <v>5</v>
      </c>
      <c r="BN141" s="69"/>
      <c r="BO141" s="70"/>
      <c r="BP141" s="70"/>
      <c r="BQ141" s="70"/>
      <c r="BR141" s="70"/>
      <c r="BS141" s="70">
        <f>(BS122-BS121)/BS121</f>
        <v>0</v>
      </c>
      <c r="BT141" s="70"/>
      <c r="BU141" s="70">
        <f>(BU122-BU121)/BU121</f>
        <v>-1</v>
      </c>
      <c r="BV141" s="70"/>
      <c r="BW141" s="70"/>
      <c r="BX141" s="70"/>
      <c r="BY141" s="70"/>
      <c r="BZ141" s="70"/>
      <c r="CA141" s="70"/>
      <c r="CB141" s="70"/>
      <c r="CC141" s="70"/>
      <c r="CD141" s="70"/>
      <c r="CE141" s="70"/>
      <c r="CF141" s="70"/>
      <c r="CG141" s="70"/>
      <c r="CH141" s="70"/>
      <c r="CI141" s="70"/>
      <c r="CJ141" s="70"/>
      <c r="CK141" s="70"/>
      <c r="CL141" s="70"/>
      <c r="CM141" s="70"/>
      <c r="CN141" s="70"/>
      <c r="CO141" s="70"/>
      <c r="CP141" s="66">
        <f>SUMPRODUCT(BS141:CD141,BS122:CD122)/SUM(BS122:CD122)</f>
        <v>0</v>
      </c>
      <c r="CQ141" s="67">
        <f t="shared" si="152"/>
        <v>168.37522370782941</v>
      </c>
      <c r="CS141" s="68">
        <v>5</v>
      </c>
      <c r="CT141" s="69"/>
      <c r="CU141" s="70"/>
      <c r="CV141" s="70"/>
      <c r="CW141" s="70"/>
      <c r="CX141" s="70"/>
      <c r="CY141" s="70">
        <f>(CY122-CY121)/CY121</f>
        <v>-5.5096418732782371E-3</v>
      </c>
      <c r="CZ141" s="70">
        <f>(CZ122-CZ121)/CZ121</f>
        <v>-2.0833333333333332E-2</v>
      </c>
      <c r="DA141" s="70">
        <f>(DA122-DA121)/DA121</f>
        <v>-2.5179856115107913E-2</v>
      </c>
      <c r="DB141" s="70">
        <f>(DB122-DB121)/DB121</f>
        <v>-3.5714285714285712E-2</v>
      </c>
      <c r="DC141" s="70"/>
      <c r="DD141" s="70"/>
      <c r="DE141" s="70">
        <f t="shared" ref="DE141:DE147" si="159">(DE122-DE121)/DE121</f>
        <v>5</v>
      </c>
      <c r="DF141" s="70"/>
      <c r="DG141" s="70"/>
      <c r="DH141" s="70">
        <f>(DH122-DH121)/DH121</f>
        <v>0</v>
      </c>
      <c r="DI141" s="70"/>
      <c r="DJ141" s="70"/>
      <c r="DK141" s="70"/>
      <c r="DL141" s="70"/>
      <c r="DM141" s="70"/>
      <c r="DN141" s="70"/>
      <c r="DO141" s="70"/>
      <c r="DP141" s="70"/>
      <c r="DQ141" s="70"/>
      <c r="DR141" s="70"/>
      <c r="DS141" s="70"/>
      <c r="DT141" s="70"/>
      <c r="DU141" s="70"/>
      <c r="DV141" s="66">
        <f>SUMPRODUCT(CY141:DJ141,CY122:DJ122)/SUM(CY122:DJ122)</f>
        <v>9.3520204547725035E-3</v>
      </c>
      <c r="DW141" s="67">
        <f t="shared" si="154"/>
        <v>138.05034971647046</v>
      </c>
    </row>
    <row r="142" spans="1:127">
      <c r="A142" s="68">
        <v>6</v>
      </c>
      <c r="B142" s="69"/>
      <c r="C142" s="70"/>
      <c r="D142" s="70"/>
      <c r="E142" s="70"/>
      <c r="F142" s="70"/>
      <c r="G142" s="70"/>
      <c r="H142" s="70"/>
      <c r="I142" s="70"/>
      <c r="J142" s="70"/>
      <c r="K142" s="70"/>
      <c r="L142" s="70"/>
      <c r="M142" s="70"/>
      <c r="N142" s="70"/>
      <c r="O142" s="70">
        <f t="shared" ref="O142:O149" si="160">(O123-O122)/O122</f>
        <v>0</v>
      </c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  <c r="AB142" s="70"/>
      <c r="AC142" s="70"/>
      <c r="AD142" s="66">
        <f>SUMPRODUCT(H142:S142,H123:S123)/SUM(H123:S123)</f>
        <v>0</v>
      </c>
      <c r="AE142" s="67" t="e">
        <f t="shared" si="149"/>
        <v>#DIV/0!</v>
      </c>
      <c r="AG142" s="68">
        <v>6</v>
      </c>
      <c r="AH142" s="69"/>
      <c r="AI142" s="70"/>
      <c r="AJ142" s="70"/>
      <c r="AK142" s="70"/>
      <c r="AL142" s="70"/>
      <c r="AM142" s="70"/>
      <c r="AN142" s="70">
        <f t="shared" ref="AN142:AV142" si="161">(AN123-AN122)/AN122</f>
        <v>2.5352112676056339E-2</v>
      </c>
      <c r="AO142" s="70">
        <f t="shared" si="161"/>
        <v>1.2886597938144329E-2</v>
      </c>
      <c r="AP142" s="70">
        <f t="shared" si="161"/>
        <v>9.0634441087613302E-3</v>
      </c>
      <c r="AQ142" s="70">
        <f t="shared" si="161"/>
        <v>7.6335877862595417E-3</v>
      </c>
      <c r="AR142" s="70">
        <f t="shared" si="161"/>
        <v>0.2608695652173913</v>
      </c>
      <c r="AS142" s="70">
        <f t="shared" si="161"/>
        <v>0.6</v>
      </c>
      <c r="AT142" s="70">
        <f t="shared" si="161"/>
        <v>1</v>
      </c>
      <c r="AU142" s="70">
        <f t="shared" si="161"/>
        <v>0.5</v>
      </c>
      <c r="AV142" s="70">
        <f t="shared" si="161"/>
        <v>1</v>
      </c>
      <c r="AW142" s="70"/>
      <c r="AX142" s="70"/>
      <c r="AY142" s="70"/>
      <c r="AZ142" s="70"/>
      <c r="BA142" s="70"/>
      <c r="BB142" s="70"/>
      <c r="BC142" s="70"/>
      <c r="BD142" s="70"/>
      <c r="BE142" s="70"/>
      <c r="BF142" s="70"/>
      <c r="BG142" s="70"/>
      <c r="BH142" s="70"/>
      <c r="BI142" s="70"/>
      <c r="BJ142" s="66">
        <f>SUMPRODUCT(AN142:AY142,AN123:AY123)/SUM(AN123:AY123)</f>
        <v>2.8522876649922448E-2</v>
      </c>
      <c r="BK142" s="67">
        <f t="shared" si="151"/>
        <v>355.70739399228512</v>
      </c>
      <c r="BM142" s="68">
        <v>6</v>
      </c>
      <c r="BN142" s="69"/>
      <c r="BO142" s="70"/>
      <c r="BP142" s="70"/>
      <c r="BQ142" s="70"/>
      <c r="BR142" s="70"/>
      <c r="BS142" s="70"/>
      <c r="BT142" s="70"/>
      <c r="BU142" s="70"/>
      <c r="BV142" s="70"/>
      <c r="BW142" s="70"/>
      <c r="BX142" s="70"/>
      <c r="BY142" s="70"/>
      <c r="BZ142" s="70"/>
      <c r="CA142" s="70"/>
      <c r="CB142" s="70"/>
      <c r="CC142" s="70"/>
      <c r="CD142" s="70"/>
      <c r="CE142" s="70"/>
      <c r="CF142" s="70"/>
      <c r="CG142" s="70"/>
      <c r="CH142" s="70"/>
      <c r="CI142" s="70"/>
      <c r="CJ142" s="70"/>
      <c r="CK142" s="70"/>
      <c r="CL142" s="70"/>
      <c r="CM142" s="70"/>
      <c r="CN142" s="70"/>
      <c r="CO142" s="70"/>
      <c r="CP142" s="66" t="e">
        <f>SUMPRODUCT(BT142:CE142,BT123:CE123)/SUM(BT123:CE123)</f>
        <v>#DIV/0!</v>
      </c>
      <c r="CQ142" s="67" t="e">
        <f t="shared" si="152"/>
        <v>#DIV/0!</v>
      </c>
      <c r="CS142" s="68">
        <v>6</v>
      </c>
      <c r="CT142" s="69"/>
      <c r="CU142" s="70"/>
      <c r="CV142" s="70"/>
      <c r="CW142" s="70"/>
      <c r="CX142" s="70"/>
      <c r="CY142" s="70"/>
      <c r="CZ142" s="70">
        <f>(CZ123-CZ122)/CZ122</f>
        <v>-5.9101654846335699E-2</v>
      </c>
      <c r="DA142" s="70">
        <f>(DA123-DA122)/DA122</f>
        <v>-4.4280442804428041E-2</v>
      </c>
      <c r="DB142" s="70">
        <f>(DB123-DB122)/DB122</f>
        <v>-3.7037037037037035E-2</v>
      </c>
      <c r="DC142" s="70"/>
      <c r="DD142" s="70">
        <f>(DD123-DD122)/DD122</f>
        <v>2</v>
      </c>
      <c r="DE142" s="70">
        <f t="shared" si="159"/>
        <v>1.1666666666666667</v>
      </c>
      <c r="DF142" s="70"/>
      <c r="DG142" s="70"/>
      <c r="DH142" s="70">
        <f>(DH123-DH122)/DH122</f>
        <v>0</v>
      </c>
      <c r="DI142" s="70"/>
      <c r="DJ142" s="70"/>
      <c r="DK142" s="70"/>
      <c r="DL142" s="70"/>
      <c r="DM142" s="70"/>
      <c r="DN142" s="70"/>
      <c r="DO142" s="70"/>
      <c r="DP142" s="70"/>
      <c r="DQ142" s="70"/>
      <c r="DR142" s="70"/>
      <c r="DS142" s="70"/>
      <c r="DT142" s="70"/>
      <c r="DU142" s="70"/>
      <c r="DV142" s="66">
        <f>SUMPRODUCT(CZ142:DK142,CZ123:DK123)/SUM(CZ123:DK123)</f>
        <v>-2.1694700515768221E-2</v>
      </c>
      <c r="DW142" s="67">
        <f t="shared" si="154"/>
        <v>135.05538872327458</v>
      </c>
    </row>
    <row r="143" spans="1:127">
      <c r="A143" s="68">
        <v>7</v>
      </c>
      <c r="B143" s="69"/>
      <c r="C143" s="70"/>
      <c r="D143" s="70"/>
      <c r="E143" s="70"/>
      <c r="F143" s="70"/>
      <c r="G143" s="70"/>
      <c r="H143" s="70"/>
      <c r="I143" s="70"/>
      <c r="J143" s="70"/>
      <c r="K143" s="70"/>
      <c r="L143" s="70"/>
      <c r="M143" s="70"/>
      <c r="N143" s="70">
        <f t="shared" ref="N143:N148" si="162">(N124-N123)/N123</f>
        <v>-0.5</v>
      </c>
      <c r="O143" s="70">
        <f t="shared" si="160"/>
        <v>0</v>
      </c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  <c r="AB143" s="70"/>
      <c r="AC143" s="70"/>
      <c r="AD143" s="66">
        <f>SUMPRODUCT(I143:T143,I124:T124)/SUM(I124:T124)</f>
        <v>-0.16666666666666666</v>
      </c>
      <c r="AE143" s="67" t="e">
        <f t="shared" si="149"/>
        <v>#DIV/0!</v>
      </c>
      <c r="AG143" s="68">
        <v>7</v>
      </c>
      <c r="AH143" s="69"/>
      <c r="AI143" s="70"/>
      <c r="AJ143" s="70"/>
      <c r="AK143" s="70"/>
      <c r="AL143" s="70"/>
      <c r="AM143" s="70"/>
      <c r="AN143" s="70"/>
      <c r="AO143" s="70">
        <f t="shared" ref="AO143:AW143" si="163">(AO124-AO123)/AO123</f>
        <v>2.5445292620865138E-2</v>
      </c>
      <c r="AP143" s="70">
        <f t="shared" si="163"/>
        <v>8.9820359281437123E-3</v>
      </c>
      <c r="AQ143" s="70">
        <f t="shared" si="163"/>
        <v>3.787878787878788E-3</v>
      </c>
      <c r="AR143" s="70">
        <f t="shared" si="163"/>
        <v>-0.10344827586206896</v>
      </c>
      <c r="AS143" s="70">
        <f t="shared" si="163"/>
        <v>0.5</v>
      </c>
      <c r="AT143" s="70">
        <f t="shared" si="163"/>
        <v>0.5</v>
      </c>
      <c r="AU143" s="70">
        <f t="shared" si="163"/>
        <v>2</v>
      </c>
      <c r="AV143" s="70">
        <f t="shared" si="163"/>
        <v>1.5</v>
      </c>
      <c r="AW143" s="70">
        <f t="shared" si="163"/>
        <v>1</v>
      </c>
      <c r="AX143" s="70"/>
      <c r="AY143" s="70"/>
      <c r="AZ143" s="70"/>
      <c r="BA143" s="70"/>
      <c r="BB143" s="70"/>
      <c r="BC143" s="70"/>
      <c r="BD143" s="70"/>
      <c r="BE143" s="70"/>
      <c r="BF143" s="70"/>
      <c r="BG143" s="70"/>
      <c r="BH143" s="70"/>
      <c r="BI143" s="70"/>
      <c r="BJ143" s="66">
        <f>SUMPRODUCT(AO143:AZ143,AO124:AZ124)/SUM(AO124:AZ124)</f>
        <v>4.6437763801841912E-2</v>
      </c>
      <c r="BK143" s="67">
        <f t="shared" si="151"/>
        <v>372.22564993706754</v>
      </c>
      <c r="BM143" s="68">
        <v>7</v>
      </c>
      <c r="BN143" s="69"/>
      <c r="BO143" s="70"/>
      <c r="BP143" s="70"/>
      <c r="BQ143" s="70"/>
      <c r="BR143" s="70"/>
      <c r="BS143" s="70"/>
      <c r="BT143" s="70"/>
      <c r="BU143" s="70"/>
      <c r="BV143" s="70"/>
      <c r="BW143" s="70"/>
      <c r="BX143" s="70"/>
      <c r="BY143" s="70"/>
      <c r="BZ143" s="70"/>
      <c r="CA143" s="70"/>
      <c r="CB143" s="70"/>
      <c r="CC143" s="70"/>
      <c r="CD143" s="70"/>
      <c r="CE143" s="70"/>
      <c r="CF143" s="70"/>
      <c r="CG143" s="70"/>
      <c r="CH143" s="70"/>
      <c r="CI143" s="70"/>
      <c r="CJ143" s="70"/>
      <c r="CK143" s="70"/>
      <c r="CL143" s="70"/>
      <c r="CM143" s="70"/>
      <c r="CN143" s="70"/>
      <c r="CO143" s="70"/>
      <c r="CP143" s="66" t="e">
        <f>SUMPRODUCT(BU143:CF143,BU124:CF124)/SUM(BU124:CF124)</f>
        <v>#DIV/0!</v>
      </c>
      <c r="CQ143" s="67" t="e">
        <f t="shared" si="152"/>
        <v>#DIV/0!</v>
      </c>
      <c r="CS143" s="68">
        <v>7</v>
      </c>
      <c r="CT143" s="69"/>
      <c r="CU143" s="70"/>
      <c r="CV143" s="70"/>
      <c r="CW143" s="70"/>
      <c r="CX143" s="70"/>
      <c r="CY143" s="70"/>
      <c r="CZ143" s="70"/>
      <c r="DA143" s="70">
        <f>(DA124-DA123)/DA123</f>
        <v>-8.1081081081081086E-2</v>
      </c>
      <c r="DB143" s="70">
        <f>(DB124-DB123)/DB123</f>
        <v>-0.19230769230769232</v>
      </c>
      <c r="DC143" s="70"/>
      <c r="DD143" s="70">
        <f>(DD124-DD123)/DD123</f>
        <v>0.66666666666666663</v>
      </c>
      <c r="DE143" s="70">
        <f t="shared" si="159"/>
        <v>0.30769230769230771</v>
      </c>
      <c r="DF143" s="70"/>
      <c r="DG143" s="70"/>
      <c r="DH143" s="70">
        <f>(DH124-DH123)/DH123</f>
        <v>0</v>
      </c>
      <c r="DI143" s="70"/>
      <c r="DJ143" s="70"/>
      <c r="DK143" s="70"/>
      <c r="DL143" s="70"/>
      <c r="DM143" s="70"/>
      <c r="DN143" s="70"/>
      <c r="DO143" s="70"/>
      <c r="DP143" s="70"/>
      <c r="DQ143" s="70"/>
      <c r="DR143" s="70"/>
      <c r="DS143" s="70"/>
      <c r="DT143" s="70"/>
      <c r="DU143" s="70"/>
      <c r="DV143" s="66">
        <f>SUMPRODUCT(DA143:DL143,DA124:DL124)/SUM(DA124:DL124)</f>
        <v>-6.1672517410222338E-2</v>
      </c>
      <c r="DW143" s="67">
        <f t="shared" si="154"/>
        <v>126.72618291089407</v>
      </c>
    </row>
    <row r="144" spans="1:127">
      <c r="A144" s="68">
        <v>8</v>
      </c>
      <c r="B144" s="69"/>
      <c r="C144" s="70"/>
      <c r="D144" s="70"/>
      <c r="E144" s="70"/>
      <c r="F144" s="70"/>
      <c r="G144" s="70"/>
      <c r="H144" s="70"/>
      <c r="I144" s="70"/>
      <c r="J144" s="70"/>
      <c r="K144" s="70"/>
      <c r="L144" s="70"/>
      <c r="M144" s="70"/>
      <c r="N144" s="70">
        <f t="shared" si="162"/>
        <v>0</v>
      </c>
      <c r="O144" s="70">
        <f t="shared" si="160"/>
        <v>0</v>
      </c>
      <c r="P144" s="70"/>
      <c r="Q144" s="70"/>
      <c r="R144" s="70">
        <f>(R125-R124)/R124</f>
        <v>-1</v>
      </c>
      <c r="S144" s="70"/>
      <c r="T144" s="70"/>
      <c r="U144" s="70"/>
      <c r="V144" s="70"/>
      <c r="W144" s="70"/>
      <c r="X144" s="70"/>
      <c r="Y144" s="70"/>
      <c r="Z144" s="70"/>
      <c r="AA144" s="70"/>
      <c r="AB144" s="70"/>
      <c r="AC144" s="70"/>
      <c r="AD144" s="66">
        <f>SUMPRODUCT(J144:U144,J125:U125)/SUM(J125:U125)</f>
        <v>0</v>
      </c>
      <c r="AE144" s="67" t="e">
        <f t="shared" si="149"/>
        <v>#DIV/0!</v>
      </c>
      <c r="AG144" s="68">
        <v>8</v>
      </c>
      <c r="AH144" s="69"/>
      <c r="AI144" s="70"/>
      <c r="AJ144" s="70"/>
      <c r="AK144" s="70"/>
      <c r="AL144" s="70"/>
      <c r="AM144" s="70"/>
      <c r="AN144" s="70"/>
      <c r="AO144" s="70"/>
      <c r="AP144" s="70">
        <f t="shared" ref="AP144:AW144" si="164">(AP125-AP124)/AP124</f>
        <v>2.6706231454005934E-2</v>
      </c>
      <c r="AQ144" s="70">
        <f t="shared" si="164"/>
        <v>-3.7735849056603774E-3</v>
      </c>
      <c r="AR144" s="70">
        <f t="shared" si="164"/>
        <v>0.11538461538461539</v>
      </c>
      <c r="AS144" s="70">
        <f t="shared" si="164"/>
        <v>0.5</v>
      </c>
      <c r="AT144" s="70">
        <f t="shared" si="164"/>
        <v>0.22222222222222221</v>
      </c>
      <c r="AU144" s="70">
        <f t="shared" si="164"/>
        <v>0.55555555555555558</v>
      </c>
      <c r="AV144" s="70">
        <f t="shared" si="164"/>
        <v>-0.2</v>
      </c>
      <c r="AW144" s="70">
        <f t="shared" si="164"/>
        <v>1.5</v>
      </c>
      <c r="AX144" s="70"/>
      <c r="AY144" s="70"/>
      <c r="AZ144" s="70"/>
      <c r="BA144" s="70"/>
      <c r="BB144" s="70"/>
      <c r="BC144" s="70"/>
      <c r="BD144" s="70"/>
      <c r="BE144" s="70"/>
      <c r="BF144" s="70"/>
      <c r="BG144" s="70"/>
      <c r="BH144" s="70"/>
      <c r="BI144" s="70"/>
      <c r="BJ144" s="66">
        <f>SUMPRODUCT(AP144:BA144,AP125:BA125)/SUM(AP125:BA125)</f>
        <v>5.4287273135119808E-2</v>
      </c>
      <c r="BK144" s="67">
        <f t="shared" si="151"/>
        <v>392.43276546309863</v>
      </c>
      <c r="BM144" s="68">
        <v>8</v>
      </c>
      <c r="BN144" s="69"/>
      <c r="BO144" s="70"/>
      <c r="BP144" s="70"/>
      <c r="BQ144" s="70"/>
      <c r="BR144" s="70"/>
      <c r="BS144" s="70"/>
      <c r="BT144" s="70"/>
      <c r="BU144" s="70"/>
      <c r="BV144" s="70"/>
      <c r="BW144" s="70"/>
      <c r="BX144" s="70"/>
      <c r="BY144" s="70"/>
      <c r="BZ144" s="70"/>
      <c r="CA144" s="70"/>
      <c r="CB144" s="70"/>
      <c r="CC144" s="70"/>
      <c r="CD144" s="70"/>
      <c r="CE144" s="70"/>
      <c r="CF144" s="70"/>
      <c r="CG144" s="70"/>
      <c r="CH144" s="70"/>
      <c r="CI144" s="70"/>
      <c r="CJ144" s="70"/>
      <c r="CK144" s="70"/>
      <c r="CL144" s="70"/>
      <c r="CM144" s="70"/>
      <c r="CN144" s="70"/>
      <c r="CO144" s="70"/>
      <c r="CP144" s="66" t="e">
        <f>SUMPRODUCT(BV144:CG144,BV125:CG125)/SUM(BV125:CG125)</f>
        <v>#DIV/0!</v>
      </c>
      <c r="CQ144" s="67" t="e">
        <f t="shared" si="152"/>
        <v>#DIV/0!</v>
      </c>
      <c r="CS144" s="68">
        <v>8</v>
      </c>
      <c r="CT144" s="69"/>
      <c r="CU144" s="70"/>
      <c r="CV144" s="70"/>
      <c r="CW144" s="70"/>
      <c r="CX144" s="70"/>
      <c r="CY144" s="70"/>
      <c r="CZ144" s="70"/>
      <c r="DA144" s="70"/>
      <c r="DB144" s="70">
        <f>(DB125-DB124)/DB124</f>
        <v>9.5238095238095233E-2</v>
      </c>
      <c r="DC144" s="70"/>
      <c r="DD144" s="70">
        <f>(DD125-DD124)/DD124</f>
        <v>0.6</v>
      </c>
      <c r="DE144" s="70">
        <f t="shared" si="159"/>
        <v>0.35294117647058826</v>
      </c>
      <c r="DF144" s="70">
        <f>(DF125-DF124)/DF124</f>
        <v>0.5</v>
      </c>
      <c r="DG144" s="70"/>
      <c r="DH144" s="70">
        <f>(DH125-DH124)/DH124</f>
        <v>0</v>
      </c>
      <c r="DI144" s="70"/>
      <c r="DJ144" s="70"/>
      <c r="DK144" s="70"/>
      <c r="DL144" s="70"/>
      <c r="DM144" s="70"/>
      <c r="DN144" s="70"/>
      <c r="DO144" s="70"/>
      <c r="DP144" s="70"/>
      <c r="DQ144" s="70"/>
      <c r="DR144" s="70"/>
      <c r="DS144" s="70"/>
      <c r="DT144" s="70"/>
      <c r="DU144" s="70"/>
      <c r="DV144" s="66">
        <f>SUMPRODUCT(DB144:DM144,DB125:DM125)/SUM(DB125:DM125)</f>
        <v>0.23208147456513473</v>
      </c>
      <c r="DW144" s="67">
        <f t="shared" si="154"/>
        <v>156.13698230686535</v>
      </c>
    </row>
    <row r="145" spans="1:127">
      <c r="A145" s="68">
        <v>9</v>
      </c>
      <c r="B145" s="69"/>
      <c r="C145" s="70"/>
      <c r="D145" s="70"/>
      <c r="E145" s="70"/>
      <c r="F145" s="70"/>
      <c r="G145" s="70"/>
      <c r="H145" s="70"/>
      <c r="I145" s="70"/>
      <c r="J145" s="70"/>
      <c r="K145" s="70"/>
      <c r="L145" s="70"/>
      <c r="M145" s="70"/>
      <c r="N145" s="70">
        <f t="shared" si="162"/>
        <v>0</v>
      </c>
      <c r="O145" s="70">
        <f t="shared" si="160"/>
        <v>0</v>
      </c>
      <c r="P145" s="70"/>
      <c r="Q145" s="70"/>
      <c r="R145" s="70"/>
      <c r="S145" s="70">
        <f>(S126-S125)/S125</f>
        <v>-1</v>
      </c>
      <c r="T145" s="70"/>
      <c r="U145" s="70"/>
      <c r="V145" s="70"/>
      <c r="W145" s="70"/>
      <c r="X145" s="70"/>
      <c r="Y145" s="70"/>
      <c r="Z145" s="70"/>
      <c r="AA145" s="70"/>
      <c r="AB145" s="70"/>
      <c r="AC145" s="70"/>
      <c r="AD145" s="66">
        <f>SUMPRODUCT(K145:V145,K126:V126)/SUM(K126:V126)</f>
        <v>0</v>
      </c>
      <c r="AE145" s="67" t="e">
        <f t="shared" si="149"/>
        <v>#DIV/0!</v>
      </c>
      <c r="AG145" s="68">
        <v>9</v>
      </c>
      <c r="AH145" s="69"/>
      <c r="AI145" s="70"/>
      <c r="AJ145" s="70"/>
      <c r="AK145" s="70"/>
      <c r="AL145" s="70"/>
      <c r="AM145" s="70"/>
      <c r="AN145" s="70"/>
      <c r="AO145" s="70"/>
      <c r="AP145" s="70"/>
      <c r="AQ145" s="70">
        <f t="shared" ref="AQ145:AW145" si="165">(AQ126-AQ125)/AQ125</f>
        <v>-3.0303030303030304E-2</v>
      </c>
      <c r="AR145" s="70">
        <f t="shared" si="165"/>
        <v>0.13793103448275862</v>
      </c>
      <c r="AS145" s="70">
        <f t="shared" si="165"/>
        <v>0.16666666666666666</v>
      </c>
      <c r="AT145" s="70">
        <f t="shared" si="165"/>
        <v>0.18181818181818182</v>
      </c>
      <c r="AU145" s="70">
        <f t="shared" si="165"/>
        <v>-7.1428571428571425E-2</v>
      </c>
      <c r="AV145" s="70">
        <f t="shared" si="165"/>
        <v>0.5</v>
      </c>
      <c r="AW145" s="70">
        <f t="shared" si="165"/>
        <v>1</v>
      </c>
      <c r="AX145" s="70"/>
      <c r="AY145" s="70"/>
      <c r="AZ145" s="70"/>
      <c r="BA145" s="70"/>
      <c r="BB145" s="70"/>
      <c r="BC145" s="70"/>
      <c r="BD145" s="70"/>
      <c r="BE145" s="70"/>
      <c r="BF145" s="70"/>
      <c r="BG145" s="70"/>
      <c r="BH145" s="70"/>
      <c r="BI145" s="70"/>
      <c r="BJ145" s="66">
        <f>SUMPRODUCT(AQ145:BB145,AQ126:BB126)/SUM(AQ126:BB126)</f>
        <v>4.1844356009716512E-2</v>
      </c>
      <c r="BK145" s="67">
        <f t="shared" si="151"/>
        <v>408.85386181101416</v>
      </c>
      <c r="BM145" s="68">
        <v>9</v>
      </c>
      <c r="BN145" s="69"/>
      <c r="BO145" s="70"/>
      <c r="BP145" s="70"/>
      <c r="BQ145" s="70"/>
      <c r="BR145" s="70"/>
      <c r="BS145" s="70"/>
      <c r="BT145" s="70"/>
      <c r="BU145" s="70"/>
      <c r="BV145" s="70"/>
      <c r="BW145" s="70"/>
      <c r="BX145" s="70"/>
      <c r="BY145" s="70"/>
      <c r="BZ145" s="70"/>
      <c r="CA145" s="70"/>
      <c r="CB145" s="70"/>
      <c r="CC145" s="70"/>
      <c r="CD145" s="70"/>
      <c r="CE145" s="70"/>
      <c r="CF145" s="70"/>
      <c r="CG145" s="70"/>
      <c r="CH145" s="70"/>
      <c r="CI145" s="70"/>
      <c r="CJ145" s="70"/>
      <c r="CK145" s="70"/>
      <c r="CL145" s="70"/>
      <c r="CM145" s="70"/>
      <c r="CN145" s="70"/>
      <c r="CO145" s="70"/>
      <c r="CP145" s="66" t="e">
        <f>SUMPRODUCT(BW145:CH145,BW126:CH126)/SUM(BW126:CH126)</f>
        <v>#DIV/0!</v>
      </c>
      <c r="CQ145" s="67" t="e">
        <f t="shared" si="152"/>
        <v>#DIV/0!</v>
      </c>
      <c r="CS145" s="68">
        <v>9</v>
      </c>
      <c r="CT145" s="69"/>
      <c r="CU145" s="70"/>
      <c r="CV145" s="70"/>
      <c r="CW145" s="70"/>
      <c r="CX145" s="70"/>
      <c r="CY145" s="70"/>
      <c r="CZ145" s="70"/>
      <c r="DA145" s="70"/>
      <c r="DB145" s="70"/>
      <c r="DC145" s="70"/>
      <c r="DD145" s="70">
        <f>(DD126-DD125)/DD125</f>
        <v>-0.5</v>
      </c>
      <c r="DE145" s="70">
        <f t="shared" si="159"/>
        <v>-0.13043478260869565</v>
      </c>
      <c r="DF145" s="70">
        <f>(DF126-DF125)/DF125</f>
        <v>-0.33333333333333331</v>
      </c>
      <c r="DG145" s="70"/>
      <c r="DH145" s="70">
        <f>(DH126-DH125)/DH125</f>
        <v>-1</v>
      </c>
      <c r="DI145" s="70"/>
      <c r="DJ145" s="70"/>
      <c r="DK145" s="70"/>
      <c r="DL145" s="70"/>
      <c r="DM145" s="70"/>
      <c r="DN145" s="70"/>
      <c r="DO145" s="70"/>
      <c r="DP145" s="70"/>
      <c r="DQ145" s="70"/>
      <c r="DR145" s="70"/>
      <c r="DS145" s="70"/>
      <c r="DT145" s="70"/>
      <c r="DU145" s="70"/>
      <c r="DV145" s="66">
        <f>SUMPRODUCT(DC145:DN145,DC126:DN126)/SUM(DC126:DN126)</f>
        <v>-0.20289855072463769</v>
      </c>
      <c r="DW145" s="67">
        <f t="shared" si="154"/>
        <v>124.45701488228397</v>
      </c>
    </row>
    <row r="146" spans="1:127">
      <c r="A146" s="68">
        <v>10</v>
      </c>
      <c r="B146" s="69"/>
      <c r="C146" s="70"/>
      <c r="D146" s="70"/>
      <c r="E146" s="70"/>
      <c r="F146" s="70"/>
      <c r="G146" s="70"/>
      <c r="H146" s="70"/>
      <c r="I146" s="70"/>
      <c r="J146" s="70"/>
      <c r="K146" s="70"/>
      <c r="L146" s="70"/>
      <c r="M146" s="70"/>
      <c r="N146" s="70">
        <f t="shared" si="162"/>
        <v>0</v>
      </c>
      <c r="O146" s="70">
        <f t="shared" si="160"/>
        <v>0</v>
      </c>
      <c r="P146" s="70"/>
      <c r="Q146" s="70"/>
      <c r="R146" s="70"/>
      <c r="S146" s="70"/>
      <c r="T146" s="70"/>
      <c r="U146" s="70"/>
      <c r="V146" s="70"/>
      <c r="W146" s="70"/>
      <c r="X146" s="70"/>
      <c r="Y146" s="70"/>
      <c r="Z146" s="70"/>
      <c r="AA146" s="70"/>
      <c r="AB146" s="70"/>
      <c r="AC146" s="70"/>
      <c r="AD146" s="66">
        <f>SUMPRODUCT(L146:W146,L127:W127)/SUM(L127:W127)</f>
        <v>0</v>
      </c>
      <c r="AE146" s="67" t="e">
        <f t="shared" si="149"/>
        <v>#DIV/0!</v>
      </c>
      <c r="AG146" s="68">
        <v>10</v>
      </c>
      <c r="AH146" s="69"/>
      <c r="AI146" s="70"/>
      <c r="AJ146" s="70"/>
      <c r="AK146" s="70"/>
      <c r="AL146" s="70"/>
      <c r="AM146" s="70"/>
      <c r="AN146" s="70"/>
      <c r="AO146" s="70"/>
      <c r="AP146" s="70"/>
      <c r="AQ146" s="70"/>
      <c r="AR146" s="70">
        <f t="shared" ref="AR146:AW146" si="166">(AR127-AR126)/AR126</f>
        <v>0</v>
      </c>
      <c r="AS146" s="70">
        <f t="shared" si="166"/>
        <v>-0.23809523809523808</v>
      </c>
      <c r="AT146" s="70">
        <f t="shared" si="166"/>
        <v>-0.38461538461538464</v>
      </c>
      <c r="AU146" s="70">
        <f t="shared" si="166"/>
        <v>-7.6923076923076927E-2</v>
      </c>
      <c r="AV146" s="70">
        <f t="shared" si="166"/>
        <v>0</v>
      </c>
      <c r="AW146" s="70">
        <f t="shared" si="166"/>
        <v>0.1</v>
      </c>
      <c r="AX146" s="70"/>
      <c r="AY146" s="70"/>
      <c r="AZ146" s="70"/>
      <c r="BA146" s="70"/>
      <c r="BB146" s="70"/>
      <c r="BC146" s="70"/>
      <c r="BD146" s="70"/>
      <c r="BE146" s="70"/>
      <c r="BF146" s="70"/>
      <c r="BG146" s="70"/>
      <c r="BH146" s="70"/>
      <c r="BI146" s="70"/>
      <c r="BJ146" s="66">
        <f>SUMPRODUCT(AR146:BC146,AR127:BC127)/SUM(AR127:BC127)</f>
        <v>-7.8017718715393147E-2</v>
      </c>
      <c r="BK146" s="67">
        <f t="shared" si="151"/>
        <v>376.95601622454024</v>
      </c>
      <c r="BM146" s="68">
        <v>10</v>
      </c>
      <c r="BN146" s="69"/>
      <c r="BO146" s="70"/>
      <c r="BP146" s="70"/>
      <c r="BQ146" s="70"/>
      <c r="BR146" s="70"/>
      <c r="BS146" s="70"/>
      <c r="BT146" s="70"/>
      <c r="BU146" s="70"/>
      <c r="BV146" s="70"/>
      <c r="BW146" s="70"/>
      <c r="BX146" s="70"/>
      <c r="BY146" s="70"/>
      <c r="BZ146" s="70"/>
      <c r="CA146" s="70"/>
      <c r="CB146" s="70"/>
      <c r="CC146" s="70"/>
      <c r="CD146" s="70"/>
      <c r="CE146" s="70"/>
      <c r="CF146" s="70"/>
      <c r="CG146" s="70"/>
      <c r="CH146" s="70"/>
      <c r="CI146" s="70"/>
      <c r="CJ146" s="70"/>
      <c r="CK146" s="70"/>
      <c r="CL146" s="70"/>
      <c r="CM146" s="70"/>
      <c r="CN146" s="70"/>
      <c r="CO146" s="70"/>
      <c r="CP146" s="66" t="e">
        <f>SUMPRODUCT(BX146:CI146,BX127:CI127)/SUM(BX127:CI127)</f>
        <v>#DIV/0!</v>
      </c>
      <c r="CQ146" s="67" t="e">
        <f t="shared" si="152"/>
        <v>#DIV/0!</v>
      </c>
      <c r="CS146" s="68">
        <v>10</v>
      </c>
      <c r="CT146" s="69"/>
      <c r="CU146" s="70"/>
      <c r="CV146" s="70"/>
      <c r="CW146" s="70"/>
      <c r="CX146" s="70"/>
      <c r="CY146" s="70"/>
      <c r="CZ146" s="70"/>
      <c r="DA146" s="70"/>
      <c r="DB146" s="70"/>
      <c r="DC146" s="70"/>
      <c r="DD146" s="70">
        <f>(DD127-DD126)/DD126</f>
        <v>0.25</v>
      </c>
      <c r="DE146" s="70">
        <f t="shared" si="159"/>
        <v>-0.15</v>
      </c>
      <c r="DF146" s="70">
        <f>(DF127-DF126)/DF126</f>
        <v>-0.5</v>
      </c>
      <c r="DG146" s="70"/>
      <c r="DH146" s="70"/>
      <c r="DI146" s="70"/>
      <c r="DJ146" s="70"/>
      <c r="DK146" s="70"/>
      <c r="DL146" s="70"/>
      <c r="DM146" s="70"/>
      <c r="DN146" s="70"/>
      <c r="DO146" s="70"/>
      <c r="DP146" s="70"/>
      <c r="DQ146" s="70"/>
      <c r="DR146" s="70"/>
      <c r="DS146" s="70"/>
      <c r="DT146" s="70"/>
      <c r="DU146" s="70"/>
      <c r="DV146" s="66">
        <f>SUMPRODUCT(DD146:DO146,DD127:DO127)/SUM(DD127:DO127)</f>
        <v>-7.8260869565217384E-2</v>
      </c>
      <c r="DW146" s="67">
        <f t="shared" si="154"/>
        <v>114.71690067410523</v>
      </c>
    </row>
    <row r="147" spans="1:127">
      <c r="A147" s="68">
        <v>11</v>
      </c>
      <c r="B147" s="69"/>
      <c r="C147" s="70"/>
      <c r="D147" s="70"/>
      <c r="E147" s="70"/>
      <c r="F147" s="70"/>
      <c r="G147" s="70"/>
      <c r="H147" s="70"/>
      <c r="I147" s="70"/>
      <c r="J147" s="70"/>
      <c r="K147" s="70"/>
      <c r="L147" s="70"/>
      <c r="M147" s="70"/>
      <c r="N147" s="70">
        <f t="shared" si="162"/>
        <v>0</v>
      </c>
      <c r="O147" s="70">
        <f t="shared" si="160"/>
        <v>1</v>
      </c>
      <c r="P147" s="70"/>
      <c r="Q147" s="70"/>
      <c r="R147" s="70"/>
      <c r="S147" s="70"/>
      <c r="T147" s="70"/>
      <c r="U147" s="70"/>
      <c r="V147" s="70"/>
      <c r="W147" s="70"/>
      <c r="X147" s="70"/>
      <c r="Y147" s="70"/>
      <c r="Z147" s="70"/>
      <c r="AA147" s="70"/>
      <c r="AB147" s="70"/>
      <c r="AC147" s="70"/>
      <c r="AD147" s="66">
        <f>SUMPRODUCT(M147:X147,M128:X128)/SUM(M128:X128)</f>
        <v>0.66666666666666663</v>
      </c>
      <c r="AE147" s="67" t="e">
        <f t="shared" si="149"/>
        <v>#DIV/0!</v>
      </c>
      <c r="AG147" s="68">
        <v>11</v>
      </c>
      <c r="AH147" s="69"/>
      <c r="AI147" s="70"/>
      <c r="AJ147" s="70"/>
      <c r="AK147" s="70"/>
      <c r="AL147" s="70"/>
      <c r="AM147" s="70"/>
      <c r="AN147" s="70"/>
      <c r="AO147" s="70"/>
      <c r="AP147" s="70"/>
      <c r="AQ147" s="70"/>
      <c r="AR147" s="70"/>
      <c r="AS147" s="70">
        <f>(AS128-AS127)/AS127</f>
        <v>-0.125</v>
      </c>
      <c r="AT147" s="70">
        <f>(AT128-AT127)/AT127</f>
        <v>0.25</v>
      </c>
      <c r="AU147" s="70">
        <f>(AU128-AU127)/AU127</f>
        <v>-0.16666666666666666</v>
      </c>
      <c r="AV147" s="70">
        <f>(AV128-AV127)/AV127</f>
        <v>-0.33333333333333331</v>
      </c>
      <c r="AW147" s="70">
        <f>(AW128-AW127)/AW127</f>
        <v>0</v>
      </c>
      <c r="AX147" s="70"/>
      <c r="AY147" s="70"/>
      <c r="AZ147" s="70"/>
      <c r="BA147" s="70"/>
      <c r="BB147" s="70"/>
      <c r="BC147" s="70"/>
      <c r="BD147" s="70"/>
      <c r="BE147" s="70"/>
      <c r="BF147" s="70"/>
      <c r="BG147" s="70"/>
      <c r="BH147" s="70"/>
      <c r="BI147" s="70"/>
      <c r="BJ147" s="66">
        <f>SUMPRODUCT(AS147:BD147,AS128:BD128)/SUM(AS128:BD128)</f>
        <v>-4.4999999999999998E-2</v>
      </c>
      <c r="BK147" s="67">
        <f t="shared" si="151"/>
        <v>359.99299549443589</v>
      </c>
      <c r="BM147" s="68">
        <v>11</v>
      </c>
      <c r="BN147" s="69"/>
      <c r="BO147" s="70"/>
      <c r="BP147" s="70"/>
      <c r="BQ147" s="70"/>
      <c r="BR147" s="70"/>
      <c r="BS147" s="70"/>
      <c r="BT147" s="70"/>
      <c r="BU147" s="70"/>
      <c r="BV147" s="70"/>
      <c r="BW147" s="70"/>
      <c r="BX147" s="70"/>
      <c r="BY147" s="70"/>
      <c r="BZ147" s="70"/>
      <c r="CA147" s="70"/>
      <c r="CB147" s="70"/>
      <c r="CC147" s="70"/>
      <c r="CD147" s="70"/>
      <c r="CE147" s="70"/>
      <c r="CF147" s="70"/>
      <c r="CG147" s="70"/>
      <c r="CH147" s="70"/>
      <c r="CI147" s="70"/>
      <c r="CJ147" s="70"/>
      <c r="CK147" s="70"/>
      <c r="CL147" s="70"/>
      <c r="CM147" s="70"/>
      <c r="CN147" s="70"/>
      <c r="CO147" s="70"/>
      <c r="CP147" s="66" t="e">
        <f>SUMPRODUCT(BY147:CJ147,BY128:CJ128)/SUM(BY128:CJ128)</f>
        <v>#DIV/0!</v>
      </c>
      <c r="CQ147" s="67" t="e">
        <f t="shared" si="152"/>
        <v>#DIV/0!</v>
      </c>
      <c r="CS147" s="68">
        <v>11</v>
      </c>
      <c r="CT147" s="69"/>
      <c r="CU147" s="70"/>
      <c r="CV147" s="70"/>
      <c r="CW147" s="70"/>
      <c r="CX147" s="70"/>
      <c r="CY147" s="70"/>
      <c r="CZ147" s="70"/>
      <c r="DA147" s="70"/>
      <c r="DB147" s="70"/>
      <c r="DC147" s="70"/>
      <c r="DD147" s="70"/>
      <c r="DE147" s="70">
        <f t="shared" si="159"/>
        <v>-0.52941176470588236</v>
      </c>
      <c r="DF147" s="70">
        <f>(DF128-DF127)/DF127</f>
        <v>1</v>
      </c>
      <c r="DG147" s="70"/>
      <c r="DH147" s="70"/>
      <c r="DI147" s="70"/>
      <c r="DJ147" s="70"/>
      <c r="DK147" s="70"/>
      <c r="DL147" s="70"/>
      <c r="DM147" s="70"/>
      <c r="DN147" s="70"/>
      <c r="DO147" s="70"/>
      <c r="DP147" s="70"/>
      <c r="DQ147" s="70"/>
      <c r="DR147" s="70"/>
      <c r="DS147" s="70"/>
      <c r="DT147" s="70"/>
      <c r="DU147" s="70"/>
      <c r="DV147" s="66">
        <f>SUMPRODUCT(DE147:DP147,DE128:DP128)/SUM(DE128:DP128)</f>
        <v>-0.22352941176470589</v>
      </c>
      <c r="DW147" s="67">
        <f t="shared" si="154"/>
        <v>89.074299346952301</v>
      </c>
    </row>
    <row r="148" spans="1:127">
      <c r="A148" s="68">
        <v>12</v>
      </c>
      <c r="B148" s="69"/>
      <c r="C148" s="70"/>
      <c r="D148" s="70"/>
      <c r="E148" s="70"/>
      <c r="F148" s="70"/>
      <c r="G148" s="70"/>
      <c r="H148" s="70"/>
      <c r="I148" s="70"/>
      <c r="J148" s="70"/>
      <c r="K148" s="70"/>
      <c r="L148" s="70"/>
      <c r="M148" s="70"/>
      <c r="N148" s="70">
        <f t="shared" si="162"/>
        <v>0</v>
      </c>
      <c r="O148" s="70">
        <f t="shared" si="160"/>
        <v>0</v>
      </c>
      <c r="P148" s="70"/>
      <c r="Q148" s="70"/>
      <c r="R148" s="70"/>
      <c r="S148" s="70"/>
      <c r="T148" s="70"/>
      <c r="U148" s="70"/>
      <c r="V148" s="70"/>
      <c r="W148" s="70"/>
      <c r="X148" s="70"/>
      <c r="Y148" s="70"/>
      <c r="Z148" s="70"/>
      <c r="AA148" s="70"/>
      <c r="AB148" s="70"/>
      <c r="AC148" s="70"/>
      <c r="AD148" s="66">
        <f>SUMPRODUCT(N148:Y148,N129:Y129)/SUM(N129:Y129)</f>
        <v>0</v>
      </c>
      <c r="AE148" s="67" t="e">
        <f t="shared" si="149"/>
        <v>#DIV/0!</v>
      </c>
      <c r="AG148" s="68">
        <v>12</v>
      </c>
      <c r="AH148" s="69"/>
      <c r="AI148" s="70"/>
      <c r="AJ148" s="70"/>
      <c r="AK148" s="70"/>
      <c r="AL148" s="70"/>
      <c r="AM148" s="70"/>
      <c r="AN148" s="70"/>
      <c r="AO148" s="70"/>
      <c r="AP148" s="70"/>
      <c r="AQ148" s="70"/>
      <c r="AR148" s="70"/>
      <c r="AS148" s="70"/>
      <c r="AT148" s="70">
        <f>(AT129-AT128)/AT128</f>
        <v>-0.1</v>
      </c>
      <c r="AU148" s="70">
        <f>(AU129-AU128)/AU128</f>
        <v>0</v>
      </c>
      <c r="AV148" s="70">
        <f>(AV129-AV128)/AV128</f>
        <v>0</v>
      </c>
      <c r="AW148" s="70">
        <f>(AW129-AW128)/AW128</f>
        <v>-0.18181818181818182</v>
      </c>
      <c r="AX148" s="70"/>
      <c r="AY148" s="70">
        <f>(AY129-AY128)/AY128</f>
        <v>-1</v>
      </c>
      <c r="AZ148" s="70"/>
      <c r="BA148" s="70"/>
      <c r="BB148" s="70"/>
      <c r="BC148" s="70"/>
      <c r="BD148" s="70"/>
      <c r="BE148" s="70"/>
      <c r="BF148" s="70"/>
      <c r="BG148" s="70"/>
      <c r="BH148" s="70"/>
      <c r="BI148" s="70"/>
      <c r="BJ148" s="66">
        <f>SUMPRODUCT(AT148:BE148,AT129:BE129)/SUM(AT129:BE129)</f>
        <v>-7.9261363636363644E-2</v>
      </c>
      <c r="BK148" s="67">
        <f t="shared" si="151"/>
        <v>331.45945977200762</v>
      </c>
      <c r="BM148" s="68">
        <v>12</v>
      </c>
      <c r="BN148" s="69"/>
      <c r="BO148" s="70"/>
      <c r="BP148" s="70"/>
      <c r="BQ148" s="70"/>
      <c r="BR148" s="70"/>
      <c r="BS148" s="70"/>
      <c r="BT148" s="70"/>
      <c r="BU148" s="70"/>
      <c r="BV148" s="70"/>
      <c r="BW148" s="70"/>
      <c r="BX148" s="70"/>
      <c r="BY148" s="70"/>
      <c r="BZ148" s="70"/>
      <c r="CA148" s="70"/>
      <c r="CB148" s="70"/>
      <c r="CC148" s="70"/>
      <c r="CD148" s="70"/>
      <c r="CE148" s="70"/>
      <c r="CF148" s="70"/>
      <c r="CG148" s="70"/>
      <c r="CH148" s="70"/>
      <c r="CI148" s="70"/>
      <c r="CJ148" s="70"/>
      <c r="CK148" s="70"/>
      <c r="CL148" s="70"/>
      <c r="CM148" s="70"/>
      <c r="CN148" s="70"/>
      <c r="CO148" s="70"/>
      <c r="CP148" s="66" t="e">
        <f>SUMPRODUCT(BZ148:CK148,BZ129:CK129)/SUM(BZ129:CK129)</f>
        <v>#DIV/0!</v>
      </c>
      <c r="CQ148" s="67" t="e">
        <f t="shared" si="152"/>
        <v>#DIV/0!</v>
      </c>
      <c r="CS148" s="68">
        <v>12</v>
      </c>
      <c r="CT148" s="69"/>
      <c r="CU148" s="70"/>
      <c r="CV148" s="70"/>
      <c r="CW148" s="70"/>
      <c r="CX148" s="70"/>
      <c r="CY148" s="70"/>
      <c r="CZ148" s="70"/>
      <c r="DA148" s="70"/>
      <c r="DB148" s="70"/>
      <c r="DC148" s="70"/>
      <c r="DD148" s="70"/>
      <c r="DE148" s="70"/>
      <c r="DF148" s="70">
        <f>(DF129-DF128)/DF128</f>
        <v>-1</v>
      </c>
      <c r="DG148" s="70"/>
      <c r="DH148" s="70"/>
      <c r="DI148" s="70"/>
      <c r="DJ148" s="70"/>
      <c r="DK148" s="70"/>
      <c r="DL148" s="70"/>
      <c r="DM148" s="70"/>
      <c r="DN148" s="70"/>
      <c r="DO148" s="70"/>
      <c r="DP148" s="70"/>
      <c r="DQ148" s="70"/>
      <c r="DR148" s="70"/>
      <c r="DS148" s="70"/>
      <c r="DT148" s="70"/>
      <c r="DU148" s="70"/>
      <c r="DV148" s="66" t="e">
        <f>SUMPRODUCT(DF148:DQ148,DF129:DQ129)/SUM(DF129:DQ129)</f>
        <v>#DIV/0!</v>
      </c>
      <c r="DW148" s="67" t="e">
        <f t="shared" si="154"/>
        <v>#DIV/0!</v>
      </c>
    </row>
    <row r="149" spans="1:127">
      <c r="A149" s="68">
        <v>13</v>
      </c>
      <c r="B149" s="69"/>
      <c r="C149" s="70"/>
      <c r="D149" s="70"/>
      <c r="E149" s="70"/>
      <c r="F149" s="70"/>
      <c r="G149" s="70"/>
      <c r="H149" s="70"/>
      <c r="I149" s="70"/>
      <c r="J149" s="70"/>
      <c r="K149" s="70"/>
      <c r="L149" s="70"/>
      <c r="M149" s="70"/>
      <c r="N149" s="70"/>
      <c r="O149" s="70">
        <f t="shared" si="160"/>
        <v>0</v>
      </c>
      <c r="P149" s="70"/>
      <c r="Q149" s="70"/>
      <c r="R149" s="70"/>
      <c r="S149" s="70"/>
      <c r="T149" s="70"/>
      <c r="U149" s="70"/>
      <c r="V149" s="70"/>
      <c r="W149" s="70"/>
      <c r="X149" s="70"/>
      <c r="Y149" s="70"/>
      <c r="Z149" s="70"/>
      <c r="AA149" s="70"/>
      <c r="AB149" s="70"/>
      <c r="AC149" s="70"/>
      <c r="AD149" s="66">
        <f>SUMPRODUCT(O149:Z149,O130:Z130)/SUM(O130:Z130)</f>
        <v>0</v>
      </c>
      <c r="AE149" s="67" t="e">
        <f t="shared" si="149"/>
        <v>#DIV/0!</v>
      </c>
      <c r="AG149" s="68">
        <v>13</v>
      </c>
      <c r="AH149" s="69"/>
      <c r="AI149" s="70"/>
      <c r="AJ149" s="70"/>
      <c r="AK149" s="70"/>
      <c r="AL149" s="70"/>
      <c r="AM149" s="70"/>
      <c r="AN149" s="70"/>
      <c r="AO149" s="70"/>
      <c r="AP149" s="70"/>
      <c r="AQ149" s="70"/>
      <c r="AR149" s="70"/>
      <c r="AS149" s="70"/>
      <c r="AT149" s="70"/>
      <c r="AU149" s="70">
        <f>(AU130-AU129)/AU129</f>
        <v>-0.2</v>
      </c>
      <c r="AV149" s="70">
        <f>(AV130-AV129)/AV129</f>
        <v>-0.25</v>
      </c>
      <c r="AW149" s="70">
        <f>(AW130-AW129)/AW129</f>
        <v>-0.1111111111111111</v>
      </c>
      <c r="AX149" s="70"/>
      <c r="AY149" s="70"/>
      <c r="AZ149" s="70"/>
      <c r="BA149" s="70"/>
      <c r="BB149" s="70"/>
      <c r="BC149" s="70"/>
      <c r="BD149" s="70"/>
      <c r="BE149" s="70"/>
      <c r="BF149" s="70"/>
      <c r="BG149" s="70"/>
      <c r="BH149" s="70"/>
      <c r="BI149" s="70"/>
      <c r="BJ149" s="66">
        <f>SUMPRODUCT(AU149:BF149,AU130:BF130)/SUM(AU130:BF130)</f>
        <v>-0.16194444444444445</v>
      </c>
      <c r="BK149" s="67">
        <f t="shared" si="151"/>
        <v>277.78144170337418</v>
      </c>
      <c r="BM149" s="68">
        <v>13</v>
      </c>
      <c r="BN149" s="69"/>
      <c r="BO149" s="70"/>
      <c r="BP149" s="70"/>
      <c r="BQ149" s="70"/>
      <c r="BR149" s="70"/>
      <c r="BS149" s="70"/>
      <c r="BT149" s="70"/>
      <c r="BU149" s="70"/>
      <c r="BV149" s="70"/>
      <c r="BW149" s="70"/>
      <c r="BX149" s="70"/>
      <c r="BY149" s="70"/>
      <c r="BZ149" s="70"/>
      <c r="CA149" s="70"/>
      <c r="CB149" s="70"/>
      <c r="CC149" s="70"/>
      <c r="CD149" s="70"/>
      <c r="CE149" s="70"/>
      <c r="CF149" s="70"/>
      <c r="CG149" s="70"/>
      <c r="CH149" s="70"/>
      <c r="CI149" s="70"/>
      <c r="CJ149" s="70"/>
      <c r="CK149" s="70"/>
      <c r="CL149" s="70"/>
      <c r="CM149" s="70"/>
      <c r="CN149" s="70"/>
      <c r="CO149" s="70"/>
      <c r="CP149" s="66" t="e">
        <f>SUMPRODUCT(CA149:CL149,CA130:CL130)/SUM(CA130:CL130)</f>
        <v>#DIV/0!</v>
      </c>
      <c r="CQ149" s="67" t="e">
        <f t="shared" si="152"/>
        <v>#DIV/0!</v>
      </c>
      <c r="CS149" s="68">
        <v>13</v>
      </c>
      <c r="CT149" s="69"/>
      <c r="CU149" s="70"/>
      <c r="CV149" s="70"/>
      <c r="CW149" s="70"/>
      <c r="CX149" s="70"/>
      <c r="CY149" s="70"/>
      <c r="CZ149" s="70"/>
      <c r="DA149" s="70"/>
      <c r="DB149" s="70"/>
      <c r="DC149" s="70"/>
      <c r="DD149" s="70"/>
      <c r="DE149" s="70"/>
      <c r="DF149" s="70"/>
      <c r="DG149" s="70"/>
      <c r="DH149" s="70"/>
      <c r="DI149" s="70"/>
      <c r="DJ149" s="70"/>
      <c r="DK149" s="70"/>
      <c r="DL149" s="70"/>
      <c r="DM149" s="70"/>
      <c r="DN149" s="70"/>
      <c r="DO149" s="70"/>
      <c r="DP149" s="70"/>
      <c r="DQ149" s="70"/>
      <c r="DR149" s="70"/>
      <c r="DS149" s="70"/>
      <c r="DT149" s="70"/>
      <c r="DU149" s="70"/>
      <c r="DV149" s="66" t="e">
        <f>SUMPRODUCT(DG149:DR149,DG130:DR130)/SUM(DG130:DR130)</f>
        <v>#DIV/0!</v>
      </c>
      <c r="DW149" s="67" t="e">
        <f t="shared" si="154"/>
        <v>#DIV/0!</v>
      </c>
    </row>
    <row r="150" spans="1:127">
      <c r="A150" s="68">
        <v>14</v>
      </c>
      <c r="B150" s="69"/>
      <c r="C150" s="70"/>
      <c r="D150" s="70"/>
      <c r="E150" s="70"/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  <c r="AB150" s="70"/>
      <c r="AC150" s="70"/>
      <c r="AD150" s="66">
        <f>SUMPRODUCT(P150:AA150,P131:AA131)/SUM(P131:AA131)</f>
        <v>0</v>
      </c>
      <c r="AE150" s="67" t="e">
        <f t="shared" si="149"/>
        <v>#DIV/0!</v>
      </c>
      <c r="AG150" s="68">
        <v>14</v>
      </c>
      <c r="AH150" s="69"/>
      <c r="AI150" s="70"/>
      <c r="AJ150" s="70"/>
      <c r="AK150" s="70"/>
      <c r="AL150" s="70"/>
      <c r="AM150" s="70"/>
      <c r="AN150" s="70"/>
      <c r="AO150" s="70"/>
      <c r="AP150" s="70"/>
      <c r="AQ150" s="70"/>
      <c r="AR150" s="70"/>
      <c r="AS150" s="70"/>
      <c r="AT150" s="70"/>
      <c r="AU150" s="70"/>
      <c r="AV150" s="70">
        <f>(AV131-AV130)/AV130</f>
        <v>-0.33333333333333331</v>
      </c>
      <c r="AW150" s="70">
        <f>(AW131-AW130)/AW130</f>
        <v>-0.125</v>
      </c>
      <c r="AX150" s="70"/>
      <c r="AY150" s="70">
        <f>(AY131-AY130)/AY130</f>
        <v>-1</v>
      </c>
      <c r="AZ150" s="70"/>
      <c r="BA150" s="70"/>
      <c r="BB150" s="70"/>
      <c r="BC150" s="70"/>
      <c r="BD150" s="70"/>
      <c r="BE150" s="70"/>
      <c r="BF150" s="70"/>
      <c r="BG150" s="70"/>
      <c r="BH150" s="70"/>
      <c r="BI150" s="70"/>
      <c r="BJ150" s="66">
        <f>SUMPRODUCT(AV150:BG150,AV131:BG131)/SUM(AV131:BG131)</f>
        <v>-0.17129629629629628</v>
      </c>
      <c r="BK150" s="67">
        <f t="shared" si="151"/>
        <v>230.19850955974064</v>
      </c>
      <c r="BM150" s="68">
        <v>14</v>
      </c>
      <c r="BN150" s="69"/>
      <c r="BO150" s="70"/>
      <c r="BP150" s="70"/>
      <c r="BQ150" s="70"/>
      <c r="BR150" s="70"/>
      <c r="BS150" s="70"/>
      <c r="BT150" s="70"/>
      <c r="BU150" s="70"/>
      <c r="BV150" s="70"/>
      <c r="BW150" s="70"/>
      <c r="BX150" s="70"/>
      <c r="BY150" s="70"/>
      <c r="BZ150" s="70"/>
      <c r="CA150" s="70"/>
      <c r="CB150" s="70"/>
      <c r="CC150" s="70"/>
      <c r="CD150" s="70"/>
      <c r="CE150" s="70"/>
      <c r="CF150" s="70"/>
      <c r="CG150" s="70"/>
      <c r="CH150" s="70"/>
      <c r="CI150" s="70"/>
      <c r="CJ150" s="70"/>
      <c r="CK150" s="70"/>
      <c r="CL150" s="70"/>
      <c r="CM150" s="70"/>
      <c r="CN150" s="70"/>
      <c r="CO150" s="70"/>
      <c r="CP150" s="66" t="e">
        <f>SUMPRODUCT(CB150:CM150,CB131:CM131)/SUM(CB131:CM131)</f>
        <v>#DIV/0!</v>
      </c>
      <c r="CQ150" s="67" t="e">
        <f t="shared" si="152"/>
        <v>#DIV/0!</v>
      </c>
      <c r="CS150" s="68">
        <v>14</v>
      </c>
      <c r="CT150" s="69"/>
      <c r="CU150" s="70"/>
      <c r="CV150" s="70"/>
      <c r="CW150" s="70"/>
      <c r="CX150" s="70"/>
      <c r="CY150" s="70"/>
      <c r="CZ150" s="70"/>
      <c r="DA150" s="70"/>
      <c r="DB150" s="70"/>
      <c r="DC150" s="70"/>
      <c r="DD150" s="70"/>
      <c r="DE150" s="70"/>
      <c r="DF150" s="70"/>
      <c r="DG150" s="70"/>
      <c r="DH150" s="70"/>
      <c r="DI150" s="70"/>
      <c r="DJ150" s="70"/>
      <c r="DK150" s="70"/>
      <c r="DL150" s="70"/>
      <c r="DM150" s="70"/>
      <c r="DN150" s="70"/>
      <c r="DO150" s="70"/>
      <c r="DP150" s="70"/>
      <c r="DQ150" s="70"/>
      <c r="DR150" s="70"/>
      <c r="DS150" s="70"/>
      <c r="DT150" s="70"/>
      <c r="DU150" s="70"/>
      <c r="DV150" s="66" t="e">
        <f>SUMPRODUCT(DH150:DS150,DH131:DS131)/SUM(DH131:DS131)</f>
        <v>#DIV/0!</v>
      </c>
      <c r="DW150" s="67" t="e">
        <f t="shared" si="154"/>
        <v>#DIV/0!</v>
      </c>
    </row>
    <row r="151" spans="1:127" ht="15.75" thickBot="1">
      <c r="A151" s="71">
        <v>15</v>
      </c>
      <c r="B151" s="72"/>
      <c r="C151" s="73"/>
      <c r="D151" s="73"/>
      <c r="E151" s="73"/>
      <c r="F151" s="73"/>
      <c r="G151" s="73"/>
      <c r="H151" s="73"/>
      <c r="I151" s="73"/>
      <c r="J151" s="73"/>
      <c r="K151" s="73"/>
      <c r="L151" s="73"/>
      <c r="M151" s="73"/>
      <c r="N151" s="73"/>
      <c r="O151" s="73"/>
      <c r="P151" s="73"/>
      <c r="Q151" s="73"/>
      <c r="R151" s="73"/>
      <c r="S151" s="73"/>
      <c r="T151" s="73"/>
      <c r="U151" s="73"/>
      <c r="V151" s="73"/>
      <c r="W151" s="73"/>
      <c r="X151" s="73"/>
      <c r="Y151" s="73">
        <f>(Y132-Y131)/Y131</f>
        <v>-1</v>
      </c>
      <c r="Z151" s="73"/>
      <c r="AA151" s="73"/>
      <c r="AB151" s="73"/>
      <c r="AC151" s="73"/>
      <c r="AD151" s="74">
        <f>SUMPRODUCT(Q151:AB151,Q132:AB132)/SUM(Q132:AB132)</f>
        <v>0</v>
      </c>
      <c r="AE151" s="75" t="e">
        <f t="shared" si="149"/>
        <v>#DIV/0!</v>
      </c>
      <c r="AG151" s="71">
        <v>15</v>
      </c>
      <c r="AH151" s="72"/>
      <c r="AI151" s="73"/>
      <c r="AJ151" s="73"/>
      <c r="AK151" s="73"/>
      <c r="AL151" s="73"/>
      <c r="AM151" s="73"/>
      <c r="AN151" s="73"/>
      <c r="AO151" s="73"/>
      <c r="AP151" s="73"/>
      <c r="AQ151" s="73"/>
      <c r="AR151" s="73"/>
      <c r="AS151" s="73"/>
      <c r="AT151" s="73"/>
      <c r="AU151" s="73"/>
      <c r="AV151" s="73"/>
      <c r="AW151" s="73">
        <f>(AW132-AW131)/AW131</f>
        <v>-0.42857142857142855</v>
      </c>
      <c r="AX151" s="73"/>
      <c r="AY151" s="73"/>
      <c r="AZ151" s="73"/>
      <c r="BA151" s="73"/>
      <c r="BB151" s="73"/>
      <c r="BC151" s="73"/>
      <c r="BD151" s="73"/>
      <c r="BE151" s="73"/>
      <c r="BF151" s="73"/>
      <c r="BG151" s="73"/>
      <c r="BH151" s="73"/>
      <c r="BI151" s="73"/>
      <c r="BJ151" s="74">
        <f>SUMPRODUCT(AW151:BH151,AW132:BH132)/SUM(AW132:BH132)</f>
        <v>-0.42857142857142855</v>
      </c>
      <c r="BK151" s="75">
        <f t="shared" si="151"/>
        <v>131.54200546270894</v>
      </c>
      <c r="BM151" s="71">
        <v>15</v>
      </c>
      <c r="BN151" s="72"/>
      <c r="BO151" s="73"/>
      <c r="BP151" s="73"/>
      <c r="BQ151" s="73"/>
      <c r="BR151" s="73"/>
      <c r="BS151" s="73"/>
      <c r="BT151" s="73"/>
      <c r="BU151" s="73"/>
      <c r="BV151" s="73"/>
      <c r="BW151" s="73"/>
      <c r="BX151" s="73"/>
      <c r="BY151" s="73"/>
      <c r="BZ151" s="73"/>
      <c r="CA151" s="73"/>
      <c r="CB151" s="73"/>
      <c r="CC151" s="73"/>
      <c r="CD151" s="73"/>
      <c r="CE151" s="73"/>
      <c r="CF151" s="73"/>
      <c r="CG151" s="73"/>
      <c r="CH151" s="73"/>
      <c r="CI151" s="73"/>
      <c r="CJ151" s="73"/>
      <c r="CK151" s="73"/>
      <c r="CL151" s="73"/>
      <c r="CM151" s="73"/>
      <c r="CN151" s="73"/>
      <c r="CO151" s="73"/>
      <c r="CP151" s="74" t="e">
        <f>SUMPRODUCT(CC151:CN151,CC132:CN132)/SUM(CC132:CN132)</f>
        <v>#DIV/0!</v>
      </c>
      <c r="CQ151" s="75" t="e">
        <f t="shared" si="152"/>
        <v>#DIV/0!</v>
      </c>
      <c r="CS151" s="71">
        <v>15</v>
      </c>
      <c r="CT151" s="72"/>
      <c r="CU151" s="73"/>
      <c r="CV151" s="73"/>
      <c r="CW151" s="73"/>
      <c r="CX151" s="73"/>
      <c r="CY151" s="73"/>
      <c r="CZ151" s="73"/>
      <c r="DA151" s="73"/>
      <c r="DB151" s="73"/>
      <c r="DC151" s="73"/>
      <c r="DD151" s="73"/>
      <c r="DE151" s="73"/>
      <c r="DF151" s="73"/>
      <c r="DG151" s="73"/>
      <c r="DH151" s="73"/>
      <c r="DI151" s="73"/>
      <c r="DJ151" s="73"/>
      <c r="DK151" s="73"/>
      <c r="DL151" s="73"/>
      <c r="DM151" s="73"/>
      <c r="DN151" s="73"/>
      <c r="DO151" s="73"/>
      <c r="DP151" s="73"/>
      <c r="DQ151" s="73"/>
      <c r="DR151" s="73"/>
      <c r="DS151" s="73"/>
      <c r="DT151" s="73"/>
      <c r="DU151" s="73"/>
      <c r="DV151" s="74" t="e">
        <f>SUMPRODUCT(DI151:DT151,DI132:DT132)/SUM(DI132:DT132)</f>
        <v>#DIV/0!</v>
      </c>
      <c r="DW151" s="75" t="e">
        <f t="shared" si="154"/>
        <v>#DIV/0!</v>
      </c>
    </row>
  </sheetData>
  <mergeCells count="32">
    <mergeCell ref="A1:AC1"/>
    <mergeCell ref="AG1:BI1"/>
    <mergeCell ref="BM1:CO1"/>
    <mergeCell ref="CS1:DU1"/>
    <mergeCell ref="A20:AE20"/>
    <mergeCell ref="A134:AE134"/>
    <mergeCell ref="A39:AC39"/>
    <mergeCell ref="AG39:BI39"/>
    <mergeCell ref="BM39:CO39"/>
    <mergeCell ref="CS39:DU39"/>
    <mergeCell ref="CS58:DW58"/>
    <mergeCell ref="A58:AE58"/>
    <mergeCell ref="A96:AE96"/>
    <mergeCell ref="BM77:CO77"/>
    <mergeCell ref="BM115:CO115"/>
    <mergeCell ref="CS77:DU77"/>
    <mergeCell ref="CS115:DU115"/>
    <mergeCell ref="CS96:DW96"/>
    <mergeCell ref="A77:AC77"/>
    <mergeCell ref="A115:AC115"/>
    <mergeCell ref="AG77:BI77"/>
    <mergeCell ref="CS134:DW134"/>
    <mergeCell ref="AG134:BK134"/>
    <mergeCell ref="BM20:CQ20"/>
    <mergeCell ref="BM58:CQ58"/>
    <mergeCell ref="BM96:CQ96"/>
    <mergeCell ref="BM134:CQ134"/>
    <mergeCell ref="AG115:BI115"/>
    <mergeCell ref="CS20:DW20"/>
    <mergeCell ref="AG20:BK20"/>
    <mergeCell ref="AG58:BK58"/>
    <mergeCell ref="AG96:BK96"/>
  </mergeCells>
  <pageMargins left="0.7" right="0.7" top="0.75" bottom="0.75" header="0.3" footer="0.3"/>
  <pageSetup paperSize="9" orientation="portrait" horizontalDpi="4294967293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4">
    <tabColor theme="4"/>
  </sheetPr>
  <dimension ref="A1:BJ491"/>
  <sheetViews>
    <sheetView workbookViewId="0">
      <selection activeCell="C15" sqref="C15"/>
    </sheetView>
  </sheetViews>
  <sheetFormatPr defaultRowHeight="15"/>
  <cols>
    <col min="1" max="1" width="12.42578125" customWidth="1"/>
    <col min="2" max="2" width="9.140625" customWidth="1"/>
    <col min="3" max="6" width="11.85546875" bestFit="1" customWidth="1"/>
    <col min="7" max="7" width="13.7109375" customWidth="1"/>
    <col min="8" max="12" width="11.85546875" bestFit="1" customWidth="1"/>
    <col min="13" max="13" width="13.85546875" customWidth="1"/>
    <col min="14" max="18" width="11.85546875" bestFit="1" customWidth="1"/>
    <col min="19" max="19" width="13.5703125" customWidth="1"/>
    <col min="20" max="31" width="11.85546875" bestFit="1" customWidth="1"/>
    <col min="33" max="33" width="58.42578125" bestFit="1" customWidth="1"/>
    <col min="34" max="34" width="18.85546875" bestFit="1" customWidth="1"/>
    <col min="35" max="35" width="20.7109375" bestFit="1" customWidth="1"/>
    <col min="36" max="36" width="18.5703125" bestFit="1" customWidth="1"/>
    <col min="37" max="37" width="18.85546875" bestFit="1" customWidth="1"/>
    <col min="38" max="38" width="17.5703125" bestFit="1" customWidth="1"/>
    <col min="39" max="42" width="18" bestFit="1" customWidth="1"/>
    <col min="43" max="44" width="17.5703125" bestFit="1" customWidth="1"/>
    <col min="45" max="45" width="17.85546875" bestFit="1" customWidth="1"/>
    <col min="46" max="46" width="17" bestFit="1" customWidth="1"/>
    <col min="47" max="47" width="15.7109375" bestFit="1" customWidth="1"/>
    <col min="48" max="49" width="15.140625" bestFit="1" customWidth="1"/>
    <col min="50" max="50" width="13.85546875" bestFit="1" customWidth="1"/>
    <col min="51" max="51" width="14.42578125" bestFit="1" customWidth="1"/>
    <col min="52" max="52" width="12.85546875" bestFit="1" customWidth="1"/>
    <col min="53" max="53" width="12.5703125" bestFit="1" customWidth="1"/>
    <col min="54" max="54" width="10.85546875" bestFit="1" customWidth="1"/>
    <col min="55" max="55" width="10.28515625" bestFit="1" customWidth="1"/>
    <col min="56" max="58" width="9.7109375" bestFit="1" customWidth="1"/>
    <col min="59" max="59" width="8.140625" bestFit="1" customWidth="1"/>
    <col min="60" max="60" width="8.42578125" bestFit="1" customWidth="1"/>
    <col min="61" max="62" width="7.42578125" bestFit="1" customWidth="1"/>
  </cols>
  <sheetData>
    <row r="1" spans="1:23" s="650" customFormat="1" ht="15.75" thickBot="1">
      <c r="A1" t="s">
        <v>184</v>
      </c>
      <c r="B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</row>
    <row r="2" spans="1:23" s="650" customFormat="1" ht="60.75" thickBot="1">
      <c r="A2" s="130" t="s">
        <v>57</v>
      </c>
      <c r="B2" s="131" t="s">
        <v>41</v>
      </c>
      <c r="C2" s="131" t="s">
        <v>42</v>
      </c>
      <c r="D2" s="131" t="s">
        <v>43</v>
      </c>
      <c r="E2" s="132" t="s">
        <v>44</v>
      </c>
      <c r="F2"/>
      <c r="G2" s="130" t="s">
        <v>57</v>
      </c>
      <c r="H2" s="131" t="s">
        <v>45</v>
      </c>
      <c r="I2" s="131" t="s">
        <v>46</v>
      </c>
      <c r="J2" s="131" t="s">
        <v>47</v>
      </c>
      <c r="K2" s="132" t="s">
        <v>48</v>
      </c>
      <c r="L2"/>
      <c r="M2" s="130" t="s">
        <v>57</v>
      </c>
      <c r="N2" s="131" t="s">
        <v>49</v>
      </c>
      <c r="O2" s="131" t="s">
        <v>50</v>
      </c>
      <c r="P2" s="131" t="s">
        <v>51</v>
      </c>
      <c r="Q2" s="132" t="s">
        <v>52</v>
      </c>
      <c r="R2"/>
      <c r="S2" s="130" t="s">
        <v>57</v>
      </c>
      <c r="T2" s="131" t="s">
        <v>49</v>
      </c>
      <c r="U2" s="131" t="s">
        <v>50</v>
      </c>
      <c r="V2" s="131" t="s">
        <v>51</v>
      </c>
      <c r="W2" s="132" t="s">
        <v>52</v>
      </c>
    </row>
    <row r="3" spans="1:23" s="650" customFormat="1" ht="15.75" thickTop="1">
      <c r="A3" s="394">
        <v>2013</v>
      </c>
      <c r="B3" s="136">
        <v>1.4770682407722813</v>
      </c>
      <c r="C3" s="137">
        <v>1.7036977621623173</v>
      </c>
      <c r="D3" s="137">
        <v>1.9346472787585058</v>
      </c>
      <c r="E3" s="138">
        <v>2.3179275191833084</v>
      </c>
      <c r="F3"/>
      <c r="G3" s="394">
        <v>2013</v>
      </c>
      <c r="H3" s="136">
        <v>1.6838401967493586</v>
      </c>
      <c r="I3" s="137">
        <v>1.5675206558239929</v>
      </c>
      <c r="J3" s="137">
        <v>1.6003354468297524</v>
      </c>
      <c r="K3" s="138">
        <v>1.8740266313738891</v>
      </c>
      <c r="L3"/>
      <c r="M3" s="394">
        <v>2013</v>
      </c>
      <c r="N3" s="136"/>
      <c r="O3" s="137">
        <v>1.1990412591431558</v>
      </c>
      <c r="P3" s="137">
        <v>1.2883584799999999</v>
      </c>
      <c r="Q3" s="138">
        <v>1.8284747261072263</v>
      </c>
      <c r="R3"/>
      <c r="S3" s="394">
        <v>2013</v>
      </c>
      <c r="T3" s="136"/>
      <c r="U3" s="137">
        <v>1.8986200000000002</v>
      </c>
      <c r="V3" s="137">
        <f>V4</f>
        <v>2.2353607142857146</v>
      </c>
      <c r="W3" s="138">
        <f>W4</f>
        <v>2.4456799999999999</v>
      </c>
    </row>
    <row r="4" spans="1:23" s="650" customFormat="1">
      <c r="A4" s="225">
        <v>2012</v>
      </c>
      <c r="B4" s="139">
        <v>1.5269567629016723</v>
      </c>
      <c r="C4" s="140">
        <v>1.7415895568180586</v>
      </c>
      <c r="D4" s="140">
        <v>1.9435794539464932</v>
      </c>
      <c r="E4" s="141">
        <v>2.4907938416802358</v>
      </c>
      <c r="F4"/>
      <c r="G4" s="225">
        <v>2012</v>
      </c>
      <c r="H4" s="139">
        <v>1.4086339259259262</v>
      </c>
      <c r="I4" s="140">
        <v>1.6058313859183986</v>
      </c>
      <c r="J4" s="140">
        <v>1.644066516716596</v>
      </c>
      <c r="K4" s="141">
        <v>1.9185077839965263</v>
      </c>
      <c r="L4"/>
      <c r="M4" s="225">
        <v>2012</v>
      </c>
      <c r="N4" s="139"/>
      <c r="O4" s="140">
        <v>1.4159200000000001</v>
      </c>
      <c r="P4" s="140">
        <v>1.2945760898876408</v>
      </c>
      <c r="Q4" s="141">
        <v>2.51004</v>
      </c>
      <c r="R4"/>
      <c r="S4" s="225">
        <v>2012</v>
      </c>
      <c r="T4" s="139"/>
      <c r="U4" s="140">
        <v>1.8664399999999999</v>
      </c>
      <c r="V4" s="140">
        <f>V5</f>
        <v>2.2353607142857146</v>
      </c>
      <c r="W4" s="141">
        <f>W5</f>
        <v>2.4456799999999999</v>
      </c>
    </row>
    <row r="5" spans="1:23" s="650" customFormat="1">
      <c r="A5" s="225">
        <v>2011</v>
      </c>
      <c r="B5" s="139">
        <v>1.5720949154751056</v>
      </c>
      <c r="C5" s="140">
        <v>1.7734050223598012</v>
      </c>
      <c r="D5" s="140">
        <v>1.9820165535241967</v>
      </c>
      <c r="E5" s="141">
        <v>2.5587329619456338</v>
      </c>
      <c r="F5"/>
      <c r="G5" s="225">
        <v>2011</v>
      </c>
      <c r="H5" s="139">
        <v>1.1833800000000001</v>
      </c>
      <c r="I5" s="140">
        <v>1.6407638856854565</v>
      </c>
      <c r="J5" s="140">
        <v>1.6570254770649306</v>
      </c>
      <c r="K5" s="141">
        <v>2.0009025245617345</v>
      </c>
      <c r="L5"/>
      <c r="M5" s="225">
        <v>2011</v>
      </c>
      <c r="N5" s="139"/>
      <c r="O5" s="140">
        <v>1.4753292307692309</v>
      </c>
      <c r="P5" s="140">
        <v>1.3004790963855424</v>
      </c>
      <c r="Q5" s="141">
        <v>2.5439226455026445</v>
      </c>
      <c r="R5"/>
      <c r="S5" s="225">
        <v>2011</v>
      </c>
      <c r="T5" s="139"/>
      <c r="U5" s="140">
        <v>1.8842936186186185</v>
      </c>
      <c r="V5" s="140">
        <f>V6</f>
        <v>2.2353607142857146</v>
      </c>
      <c r="W5" s="141">
        <v>2.4456799999999999</v>
      </c>
    </row>
    <row r="6" spans="1:23" s="650" customFormat="1">
      <c r="A6" s="225">
        <v>2010</v>
      </c>
      <c r="B6" s="139">
        <v>1.5820667060548328</v>
      </c>
      <c r="C6" s="140">
        <v>1.8573112159366862</v>
      </c>
      <c r="D6" s="140">
        <v>2.216275640499215</v>
      </c>
      <c r="E6" s="141">
        <v>2.5458956367430554</v>
      </c>
      <c r="F6"/>
      <c r="G6" s="225">
        <v>2010</v>
      </c>
      <c r="H6" s="139">
        <v>1.383803013846</v>
      </c>
      <c r="I6" s="140">
        <v>1.6992985391980244</v>
      </c>
      <c r="J6" s="140">
        <v>1.690898464600417</v>
      </c>
      <c r="K6" s="141">
        <v>2.073960535021139</v>
      </c>
      <c r="L6"/>
      <c r="M6" s="225">
        <v>2010</v>
      </c>
      <c r="N6" s="139"/>
      <c r="O6" s="140">
        <v>1.4654028140703517</v>
      </c>
      <c r="P6" s="140">
        <v>1.2872000000000001</v>
      </c>
      <c r="Q6" s="141">
        <v>2.5778052910052898</v>
      </c>
      <c r="R6"/>
      <c r="S6" s="225">
        <v>2010</v>
      </c>
      <c r="T6" s="139"/>
      <c r="U6" s="140">
        <v>1.8968723769267999</v>
      </c>
      <c r="V6" s="140">
        <v>2.2353607142857146</v>
      </c>
      <c r="W6" s="141">
        <v>2.7674799999999999</v>
      </c>
    </row>
    <row r="7" spans="1:23" s="650" customFormat="1">
      <c r="A7" s="225">
        <v>2009</v>
      </c>
      <c r="B7" s="139">
        <v>1.6643611439023269</v>
      </c>
      <c r="C7" s="140">
        <v>1.965698312211386</v>
      </c>
      <c r="D7" s="140">
        <v>2.2817351315328454</v>
      </c>
      <c r="E7" s="141">
        <v>2.5687601052053757</v>
      </c>
      <c r="F7"/>
      <c r="G7" s="225">
        <v>2009</v>
      </c>
      <c r="H7" s="139">
        <v>1.6918446435100536</v>
      </c>
      <c r="I7" s="140">
        <v>1.749589450180332</v>
      </c>
      <c r="J7" s="140">
        <v>1.8460953652639764</v>
      </c>
      <c r="K7" s="141">
        <v>2.072680494613083</v>
      </c>
      <c r="L7"/>
      <c r="M7" s="225">
        <v>2009</v>
      </c>
      <c r="N7" s="139"/>
      <c r="O7" s="140">
        <v>1.4333779757085019</v>
      </c>
      <c r="P7" s="140">
        <v>1.2872000000000001</v>
      </c>
      <c r="Q7" s="141">
        <v>2.6116879365079351</v>
      </c>
      <c r="R7"/>
      <c r="S7" s="225">
        <v>2009</v>
      </c>
      <c r="T7" s="139"/>
      <c r="U7" s="140">
        <v>1.8804281531531504</v>
      </c>
      <c r="V7" s="140">
        <v>2.1830753086419756</v>
      </c>
      <c r="W7" s="141">
        <v>2.6909137931034479</v>
      </c>
    </row>
    <row r="8" spans="1:23" s="650" customFormat="1">
      <c r="A8" s="225">
        <v>2008</v>
      </c>
      <c r="B8" s="139">
        <v>1.7079378413834014</v>
      </c>
      <c r="C8" s="140">
        <v>2.0476721931041117</v>
      </c>
      <c r="D8" s="140">
        <v>2.3239141178239504</v>
      </c>
      <c r="E8" s="141">
        <v>2.6958644666924654</v>
      </c>
      <c r="F8"/>
      <c r="G8" s="225">
        <v>2008</v>
      </c>
      <c r="H8" s="139">
        <v>1.7224543290734988</v>
      </c>
      <c r="I8" s="140">
        <v>1.7725379900214042</v>
      </c>
      <c r="J8" s="140">
        <v>1.9222233631560794</v>
      </c>
      <c r="K8" s="141">
        <v>2.4650335093102163</v>
      </c>
      <c r="L8"/>
      <c r="M8" s="225">
        <v>2008</v>
      </c>
      <c r="N8" s="139"/>
      <c r="O8" s="140">
        <v>1.428748513513505</v>
      </c>
      <c r="P8" s="140">
        <v>1.609</v>
      </c>
      <c r="Q8" s="141">
        <v>2.6455705820105804</v>
      </c>
      <c r="R8"/>
      <c r="S8" s="225">
        <v>2008</v>
      </c>
      <c r="T8" s="139"/>
      <c r="U8" s="140">
        <v>1.8986199999999958</v>
      </c>
      <c r="V8" s="140">
        <v>2.3612530142665884</v>
      </c>
      <c r="W8" s="141">
        <v>2.7010285883536023</v>
      </c>
    </row>
    <row r="9" spans="1:23" s="650" customFormat="1">
      <c r="A9" s="225">
        <v>2007</v>
      </c>
      <c r="B9" s="139">
        <v>1.7106919448387754</v>
      </c>
      <c r="C9" s="140">
        <v>2.0646932510588898</v>
      </c>
      <c r="D9" s="140">
        <v>2.3645535430668843</v>
      </c>
      <c r="E9" s="141">
        <v>2.829458211779647</v>
      </c>
      <c r="F9"/>
      <c r="G9" s="225">
        <v>2007</v>
      </c>
      <c r="H9" s="139">
        <v>1.7163189760348723</v>
      </c>
      <c r="I9" s="140">
        <v>1.7730065751699176</v>
      </c>
      <c r="J9" s="140">
        <v>1.9712053809241663</v>
      </c>
      <c r="K9" s="141">
        <v>2.6745296442230817</v>
      </c>
      <c r="L9"/>
      <c r="M9" s="225">
        <v>2007</v>
      </c>
      <c r="N9" s="139"/>
      <c r="O9" s="140">
        <v>1.4074067724867656</v>
      </c>
      <c r="P9" s="140">
        <v>1.9308000000000001</v>
      </c>
      <c r="Q9" s="141">
        <v>2.6147575058823493</v>
      </c>
      <c r="R9"/>
      <c r="S9" s="225">
        <v>2007</v>
      </c>
      <c r="T9" s="139"/>
      <c r="U9" s="140">
        <f t="shared" ref="U9:U27" si="0">U8</f>
        <v>1.8986199999999958</v>
      </c>
      <c r="V9" s="140">
        <v>2.3126795249406205</v>
      </c>
      <c r="W9" s="141">
        <v>3.0332659351620972</v>
      </c>
    </row>
    <row r="10" spans="1:23" s="650" customFormat="1">
      <c r="A10" s="225">
        <v>2006</v>
      </c>
      <c r="B10" s="139">
        <v>1.7100105186201047</v>
      </c>
      <c r="C10" s="140">
        <v>2.0628799201388253</v>
      </c>
      <c r="D10" s="140">
        <v>2.3709805498968808</v>
      </c>
      <c r="E10" s="141">
        <v>2.8360032012456582</v>
      </c>
      <c r="F10"/>
      <c r="G10" s="225">
        <v>2006</v>
      </c>
      <c r="H10" s="139">
        <v>1.7503771129220129</v>
      </c>
      <c r="I10" s="140">
        <v>1.726593693730601</v>
      </c>
      <c r="J10" s="140">
        <v>2.0127984101893484</v>
      </c>
      <c r="K10" s="141">
        <v>2.6256730591672648</v>
      </c>
      <c r="L10"/>
      <c r="M10" s="225">
        <v>2006</v>
      </c>
      <c r="N10" s="139"/>
      <c r="O10" s="140">
        <v>1.3877210309278276</v>
      </c>
      <c r="P10" s="140">
        <v>2.2526000000000002</v>
      </c>
      <c r="Q10" s="141">
        <v>2.5943975714285616</v>
      </c>
      <c r="R10"/>
      <c r="S10" s="225">
        <v>2006</v>
      </c>
      <c r="T10" s="139"/>
      <c r="U10" s="140">
        <f t="shared" si="0"/>
        <v>1.8986199999999958</v>
      </c>
      <c r="V10" s="140">
        <v>2.2526000000000002</v>
      </c>
      <c r="W10" s="141">
        <v>3.2537555555555548</v>
      </c>
    </row>
    <row r="11" spans="1:23" s="650" customFormat="1">
      <c r="A11" s="225">
        <v>2005</v>
      </c>
      <c r="B11" s="139">
        <v>1.752519625544906</v>
      </c>
      <c r="C11" s="140">
        <v>2.0910810846273371</v>
      </c>
      <c r="D11" s="140">
        <v>2.4916561080497677</v>
      </c>
      <c r="E11" s="141">
        <v>2.946592965379863</v>
      </c>
      <c r="F11"/>
      <c r="G11" s="225">
        <v>2005</v>
      </c>
      <c r="H11" s="139">
        <v>3.2991199999999998</v>
      </c>
      <c r="I11" s="140">
        <v>1.7781672282229219</v>
      </c>
      <c r="J11" s="140">
        <v>2.0108018397653118</v>
      </c>
      <c r="K11" s="141">
        <v>2.551818579399713</v>
      </c>
      <c r="L11"/>
      <c r="M11" s="225">
        <v>2005</v>
      </c>
      <c r="N11" s="139"/>
      <c r="O11" s="140">
        <v>1.3837399999999931</v>
      </c>
      <c r="P11" s="140"/>
      <c r="Q11" s="141">
        <v>2.6065800000000001</v>
      </c>
      <c r="R11"/>
      <c r="S11" s="225">
        <v>2005</v>
      </c>
      <c r="T11" s="139"/>
      <c r="U11" s="140">
        <f t="shared" si="0"/>
        <v>1.8986199999999958</v>
      </c>
      <c r="V11" s="140">
        <f t="shared" ref="V11:V27" si="1">V10</f>
        <v>2.2526000000000002</v>
      </c>
      <c r="W11" s="141">
        <f t="shared" ref="W11:W27" si="2">W10</f>
        <v>3.2537555555555548</v>
      </c>
    </row>
    <row r="12" spans="1:23" s="650" customFormat="1">
      <c r="A12" s="225">
        <v>2004</v>
      </c>
      <c r="B12" s="139">
        <v>1.7847995726811077</v>
      </c>
      <c r="C12" s="140">
        <v>2.1072268960531519</v>
      </c>
      <c r="D12" s="140">
        <v>2.4509615598821051</v>
      </c>
      <c r="E12" s="141">
        <v>2.9548006434666756</v>
      </c>
      <c r="F12"/>
      <c r="G12" s="225">
        <v>2004</v>
      </c>
      <c r="H12" s="139">
        <v>1.7222544565217401</v>
      </c>
      <c r="I12" s="140">
        <v>1.6473539141005302</v>
      </c>
      <c r="J12" s="140">
        <v>2.0471568855997608</v>
      </c>
      <c r="K12" s="141">
        <v>2.6076741420201923</v>
      </c>
      <c r="L12"/>
      <c r="M12" s="225">
        <v>2004</v>
      </c>
      <c r="N12" s="139"/>
      <c r="O12" s="140">
        <v>1.3837399999999942</v>
      </c>
      <c r="P12" s="140"/>
      <c r="Q12" s="141"/>
      <c r="R12"/>
      <c r="S12" s="225">
        <v>2004</v>
      </c>
      <c r="T12" s="139"/>
      <c r="U12" s="140">
        <f t="shared" si="0"/>
        <v>1.8986199999999958</v>
      </c>
      <c r="V12" s="140">
        <f t="shared" si="1"/>
        <v>2.2526000000000002</v>
      </c>
      <c r="W12" s="141">
        <f t="shared" si="2"/>
        <v>3.2537555555555548</v>
      </c>
    </row>
    <row r="13" spans="1:23" s="650" customFormat="1">
      <c r="A13" s="225">
        <v>2003</v>
      </c>
      <c r="B13" s="139">
        <v>1.8194817243742876</v>
      </c>
      <c r="C13" s="140">
        <v>2.099065072700657</v>
      </c>
      <c r="D13" s="140">
        <v>2.4834415112032722</v>
      </c>
      <c r="E13" s="141">
        <v>2.9521212721515275</v>
      </c>
      <c r="F13"/>
      <c r="G13" s="225">
        <v>2003</v>
      </c>
      <c r="H13" s="139">
        <v>1.7385917241379314</v>
      </c>
      <c r="I13" s="140">
        <v>1.6254313341922688</v>
      </c>
      <c r="J13" s="140">
        <v>2.008395383284086</v>
      </c>
      <c r="K13" s="141">
        <v>2.5884403096603501</v>
      </c>
      <c r="L13"/>
      <c r="M13" s="225">
        <v>2003</v>
      </c>
      <c r="N13" s="139"/>
      <c r="O13" s="140">
        <v>1.38374</v>
      </c>
      <c r="P13" s="140"/>
      <c r="Q13" s="141"/>
      <c r="R13"/>
      <c r="S13" s="225">
        <v>2003</v>
      </c>
      <c r="T13" s="139"/>
      <c r="U13" s="140">
        <f t="shared" si="0"/>
        <v>1.8986199999999958</v>
      </c>
      <c r="V13" s="140">
        <f t="shared" si="1"/>
        <v>2.2526000000000002</v>
      </c>
      <c r="W13" s="141">
        <f t="shared" si="2"/>
        <v>3.2537555555555548</v>
      </c>
    </row>
    <row r="14" spans="1:23" s="650" customFormat="1">
      <c r="A14" s="225">
        <v>2002</v>
      </c>
      <c r="B14" s="139">
        <v>1.8536288668191863</v>
      </c>
      <c r="C14" s="140">
        <v>2.1126041245450029</v>
      </c>
      <c r="D14" s="140">
        <v>2.4156380536902002</v>
      </c>
      <c r="E14" s="141">
        <v>2.9765694670320513</v>
      </c>
      <c r="F14"/>
      <c r="G14" s="225">
        <v>2002</v>
      </c>
      <c r="H14" s="139">
        <v>1.7385917241379314</v>
      </c>
      <c r="I14" s="140">
        <v>1.6115092300428877</v>
      </c>
      <c r="J14" s="140">
        <v>1.9851398250250281</v>
      </c>
      <c r="K14" s="141">
        <v>2.4512486417640007</v>
      </c>
      <c r="L14"/>
      <c r="M14" s="225">
        <v>2002</v>
      </c>
      <c r="N14" s="139"/>
      <c r="O14" s="140">
        <v>1.6411799999999999</v>
      </c>
      <c r="P14" s="140"/>
      <c r="Q14" s="141"/>
      <c r="R14"/>
      <c r="S14" s="225">
        <v>2002</v>
      </c>
      <c r="T14" s="139"/>
      <c r="U14" s="140">
        <f t="shared" si="0"/>
        <v>1.8986199999999958</v>
      </c>
      <c r="V14" s="140">
        <f t="shared" si="1"/>
        <v>2.2526000000000002</v>
      </c>
      <c r="W14" s="141">
        <f t="shared" si="2"/>
        <v>3.2537555555555548</v>
      </c>
    </row>
    <row r="15" spans="1:23" s="650" customFormat="1">
      <c r="A15" s="225">
        <v>2001</v>
      </c>
      <c r="B15" s="139">
        <v>1.860457068136725</v>
      </c>
      <c r="C15" s="140">
        <v>2.1307111343591578</v>
      </c>
      <c r="D15" s="140">
        <v>2.4239552037141037</v>
      </c>
      <c r="E15" s="141">
        <v>3.0550913089638962</v>
      </c>
      <c r="F15"/>
      <c r="G15" s="225">
        <v>2001</v>
      </c>
      <c r="H15" s="139">
        <v>1.7385917241379314</v>
      </c>
      <c r="I15" s="140">
        <v>1.6369361155279756</v>
      </c>
      <c r="J15" s="140">
        <v>2.1314477350905769</v>
      </c>
      <c r="K15" s="141">
        <v>2.5925892822326708</v>
      </c>
      <c r="L15"/>
      <c r="M15" s="225">
        <v>2001</v>
      </c>
      <c r="N15" s="139"/>
      <c r="O15" s="140"/>
      <c r="P15" s="140"/>
      <c r="Q15" s="141"/>
      <c r="R15"/>
      <c r="S15" s="225">
        <v>2001</v>
      </c>
      <c r="T15" s="139"/>
      <c r="U15" s="140">
        <f t="shared" si="0"/>
        <v>1.8986199999999958</v>
      </c>
      <c r="V15" s="140">
        <f t="shared" si="1"/>
        <v>2.2526000000000002</v>
      </c>
      <c r="W15" s="141">
        <f t="shared" si="2"/>
        <v>3.2537555555555548</v>
      </c>
    </row>
    <row r="16" spans="1:23" s="650" customFormat="1">
      <c r="A16" s="225">
        <v>2000</v>
      </c>
      <c r="B16" s="139">
        <v>1.8739923219499361</v>
      </c>
      <c r="C16" s="140">
        <v>2.1592078142221012</v>
      </c>
      <c r="D16" s="140">
        <v>2.4658273826760406</v>
      </c>
      <c r="E16" s="141">
        <v>3.068720829242888</v>
      </c>
      <c r="F16"/>
      <c r="G16" s="225">
        <v>2000</v>
      </c>
      <c r="H16" s="139">
        <v>1.9483933333333334</v>
      </c>
      <c r="I16" s="140">
        <v>1.6163292994555354</v>
      </c>
      <c r="J16" s="140">
        <v>2.0252864515907825</v>
      </c>
      <c r="K16" s="141">
        <v>2.4454350231119402</v>
      </c>
      <c r="L16"/>
      <c r="M16" s="225">
        <v>2000</v>
      </c>
      <c r="N16" s="139"/>
      <c r="O16" s="140"/>
      <c r="P16" s="140"/>
      <c r="Q16" s="141"/>
      <c r="R16"/>
      <c r="S16" s="225">
        <v>2000</v>
      </c>
      <c r="T16" s="139"/>
      <c r="U16" s="140">
        <f t="shared" si="0"/>
        <v>1.8986199999999958</v>
      </c>
      <c r="V16" s="140">
        <f t="shared" si="1"/>
        <v>2.2526000000000002</v>
      </c>
      <c r="W16" s="141">
        <f t="shared" si="2"/>
        <v>3.2537555555555548</v>
      </c>
    </row>
    <row r="17" spans="1:62" s="650" customFormat="1">
      <c r="A17" s="225">
        <v>1999</v>
      </c>
      <c r="B17" s="139">
        <v>1.8930922791124551</v>
      </c>
      <c r="C17" s="140">
        <v>2.1730845907307339</v>
      </c>
      <c r="D17" s="140">
        <v>2.475755584138164</v>
      </c>
      <c r="E17" s="141">
        <v>3.1121549176780903</v>
      </c>
      <c r="F17"/>
      <c r="G17" s="225">
        <v>1999</v>
      </c>
      <c r="H17" s="139">
        <v>1.973497667139982</v>
      </c>
      <c r="I17" s="140">
        <v>1.5963300388746808</v>
      </c>
      <c r="J17" s="140">
        <v>2.0312691514738281</v>
      </c>
      <c r="K17" s="141">
        <v>2.4326220132281939</v>
      </c>
      <c r="L17"/>
      <c r="M17" s="225">
        <v>1999</v>
      </c>
      <c r="N17" s="139"/>
      <c r="O17" s="140"/>
      <c r="P17" s="140"/>
      <c r="Q17" s="141"/>
      <c r="R17"/>
      <c r="S17" s="225">
        <v>1999</v>
      </c>
      <c r="T17" s="139"/>
      <c r="U17" s="140">
        <f t="shared" si="0"/>
        <v>1.8986199999999958</v>
      </c>
      <c r="V17" s="140">
        <f t="shared" si="1"/>
        <v>2.2526000000000002</v>
      </c>
      <c r="W17" s="141">
        <f t="shared" si="2"/>
        <v>3.2537555555555548</v>
      </c>
    </row>
    <row r="18" spans="1:62" s="650" customFormat="1">
      <c r="A18" s="225">
        <v>1998</v>
      </c>
      <c r="B18" s="139">
        <v>1.9140860031626437</v>
      </c>
      <c r="C18" s="140">
        <v>2.1861439096627815</v>
      </c>
      <c r="D18" s="140">
        <v>2.4864415298777733</v>
      </c>
      <c r="E18" s="141">
        <v>3.1516123873782318</v>
      </c>
      <c r="F18"/>
      <c r="G18" s="225">
        <v>1998</v>
      </c>
      <c r="H18" s="139">
        <v>2.0020730772627715</v>
      </c>
      <c r="I18" s="140">
        <v>1.5711549481830747</v>
      </c>
      <c r="J18" s="140">
        <v>2.0347289621459685</v>
      </c>
      <c r="K18" s="141">
        <v>2.4283058426316968</v>
      </c>
      <c r="L18"/>
      <c r="M18" s="225">
        <v>1998</v>
      </c>
      <c r="N18" s="139"/>
      <c r="O18" s="140"/>
      <c r="P18" s="140"/>
      <c r="Q18" s="141"/>
      <c r="R18"/>
      <c r="S18" s="225">
        <v>1998</v>
      </c>
      <c r="T18" s="139"/>
      <c r="U18" s="140">
        <f t="shared" si="0"/>
        <v>1.8986199999999958</v>
      </c>
      <c r="V18" s="140">
        <f t="shared" si="1"/>
        <v>2.2526000000000002</v>
      </c>
      <c r="W18" s="141">
        <f t="shared" si="2"/>
        <v>3.2537555555555548</v>
      </c>
    </row>
    <row r="19" spans="1:62" s="650" customFormat="1">
      <c r="A19" s="225">
        <v>1997</v>
      </c>
      <c r="B19" s="139">
        <v>1.9375199145268298</v>
      </c>
      <c r="C19" s="140">
        <v>2.2012739472753307</v>
      </c>
      <c r="D19" s="140">
        <v>2.4946527034696633</v>
      </c>
      <c r="E19" s="141">
        <v>3.1946434160432102</v>
      </c>
      <c r="F19"/>
      <c r="G19" s="225">
        <v>1997</v>
      </c>
      <c r="H19" s="139">
        <v>2.0300392955228559</v>
      </c>
      <c r="I19" s="140">
        <v>1.5500971052597505</v>
      </c>
      <c r="J19" s="140">
        <v>2.0322111772803506</v>
      </c>
      <c r="K19" s="141">
        <v>2.4234318709882166</v>
      </c>
      <c r="L19"/>
      <c r="M19" s="225">
        <v>1997</v>
      </c>
      <c r="N19" s="139"/>
      <c r="O19" s="140"/>
      <c r="P19" s="140"/>
      <c r="Q19" s="141"/>
      <c r="R19"/>
      <c r="S19" s="225">
        <v>1997</v>
      </c>
      <c r="T19" s="139"/>
      <c r="U19" s="140">
        <f t="shared" si="0"/>
        <v>1.8986199999999958</v>
      </c>
      <c r="V19" s="140">
        <f t="shared" si="1"/>
        <v>2.2526000000000002</v>
      </c>
      <c r="W19" s="141">
        <f t="shared" si="2"/>
        <v>3.2537555555555548</v>
      </c>
    </row>
    <row r="20" spans="1:62" s="650" customFormat="1">
      <c r="A20" s="225">
        <v>1996</v>
      </c>
      <c r="B20" s="139">
        <v>1.9583651067616767</v>
      </c>
      <c r="C20" s="140">
        <v>2.21452421437544</v>
      </c>
      <c r="D20" s="140">
        <v>2.4937981878512785</v>
      </c>
      <c r="E20" s="141">
        <v>3.2300570207538453</v>
      </c>
      <c r="F20"/>
      <c r="G20" s="225">
        <v>1996</v>
      </c>
      <c r="H20" s="139">
        <v>1.8890303283587286</v>
      </c>
      <c r="I20" s="140">
        <v>1.5281083086113878</v>
      </c>
      <c r="J20" s="140">
        <v>2.0297796244503741</v>
      </c>
      <c r="K20" s="141">
        <v>2.4211737016771822</v>
      </c>
      <c r="L20"/>
      <c r="M20" s="225">
        <v>1996</v>
      </c>
      <c r="N20" s="139"/>
      <c r="O20" s="140"/>
      <c r="P20" s="140"/>
      <c r="Q20" s="141"/>
      <c r="R20"/>
      <c r="S20" s="225">
        <v>1996</v>
      </c>
      <c r="T20" s="139"/>
      <c r="U20" s="140">
        <f t="shared" si="0"/>
        <v>1.8986199999999958</v>
      </c>
      <c r="V20" s="140">
        <f t="shared" si="1"/>
        <v>2.2526000000000002</v>
      </c>
      <c r="W20" s="141">
        <f t="shared" si="2"/>
        <v>3.2537555555555548</v>
      </c>
    </row>
    <row r="21" spans="1:62" s="650" customFormat="1">
      <c r="A21" s="225">
        <v>1995</v>
      </c>
      <c r="B21" s="139">
        <v>1.9775903547385738</v>
      </c>
      <c r="C21" s="140">
        <v>2.225972946912798</v>
      </c>
      <c r="D21" s="140">
        <v>2.4948902156410151</v>
      </c>
      <c r="E21" s="141">
        <v>3.2684435945132444</v>
      </c>
      <c r="F21"/>
      <c r="G21" s="225">
        <v>1995</v>
      </c>
      <c r="H21" s="139">
        <v>1.9075609807850609</v>
      </c>
      <c r="I21" s="140">
        <v>1.5106512512196932</v>
      </c>
      <c r="J21" s="140">
        <v>2.0268733318101746</v>
      </c>
      <c r="K21" s="141">
        <v>2.4132790158148478</v>
      </c>
      <c r="L21"/>
      <c r="M21" s="225">
        <v>1995</v>
      </c>
      <c r="N21" s="139"/>
      <c r="O21" s="140"/>
      <c r="P21" s="140"/>
      <c r="Q21" s="141"/>
      <c r="R21"/>
      <c r="S21" s="225">
        <v>1995</v>
      </c>
      <c r="T21" s="139"/>
      <c r="U21" s="140">
        <f t="shared" si="0"/>
        <v>1.8986199999999958</v>
      </c>
      <c r="V21" s="140">
        <f t="shared" si="1"/>
        <v>2.2526000000000002</v>
      </c>
      <c r="W21" s="141">
        <f t="shared" si="2"/>
        <v>3.2537555555555548</v>
      </c>
    </row>
    <row r="22" spans="1:62" s="650" customFormat="1">
      <c r="A22" s="225">
        <v>1994</v>
      </c>
      <c r="B22" s="139">
        <v>1.9954486418124069</v>
      </c>
      <c r="C22" s="140">
        <v>2.2394830370497187</v>
      </c>
      <c r="D22" s="140">
        <v>2.4972421151918751</v>
      </c>
      <c r="E22" s="141">
        <v>3.3089529753675513</v>
      </c>
      <c r="F22"/>
      <c r="G22" s="225">
        <v>1994</v>
      </c>
      <c r="H22" s="139">
        <v>1.9263353426347423</v>
      </c>
      <c r="I22" s="140">
        <v>1.4946009246244631</v>
      </c>
      <c r="J22" s="140">
        <v>2.0292732903783262</v>
      </c>
      <c r="K22" s="141">
        <v>2.4018367243296845</v>
      </c>
      <c r="L22"/>
      <c r="M22" s="225">
        <v>1994</v>
      </c>
      <c r="N22" s="139"/>
      <c r="O22" s="140"/>
      <c r="P22" s="140"/>
      <c r="Q22" s="141"/>
      <c r="R22"/>
      <c r="S22" s="225">
        <v>1994</v>
      </c>
      <c r="T22" s="139"/>
      <c r="U22" s="140">
        <f t="shared" si="0"/>
        <v>1.8986199999999958</v>
      </c>
      <c r="V22" s="140">
        <f t="shared" si="1"/>
        <v>2.2526000000000002</v>
      </c>
      <c r="W22" s="141">
        <f t="shared" si="2"/>
        <v>3.2537555555555548</v>
      </c>
    </row>
    <row r="23" spans="1:62" s="650" customFormat="1">
      <c r="A23" s="225">
        <v>1993</v>
      </c>
      <c r="B23" s="139">
        <v>2.0108989249251201</v>
      </c>
      <c r="C23" s="140">
        <v>2.2530042810566475</v>
      </c>
      <c r="D23" s="140">
        <v>2.5053106573173878</v>
      </c>
      <c r="E23" s="141">
        <v>3.3457588203389226</v>
      </c>
      <c r="F23"/>
      <c r="G23" s="225">
        <v>1993</v>
      </c>
      <c r="H23" s="139">
        <v>1.9471957446899428</v>
      </c>
      <c r="I23" s="140">
        <v>1.4788733052774825</v>
      </c>
      <c r="J23" s="140">
        <v>2.0345764652082159</v>
      </c>
      <c r="K23" s="141">
        <v>2.3984324947754136</v>
      </c>
      <c r="L23"/>
      <c r="M23" s="225">
        <v>1993</v>
      </c>
      <c r="N23" s="139"/>
      <c r="O23" s="140"/>
      <c r="P23" s="140"/>
      <c r="Q23" s="141"/>
      <c r="R23"/>
      <c r="S23" s="225">
        <v>1993</v>
      </c>
      <c r="T23" s="139"/>
      <c r="U23" s="140">
        <f t="shared" si="0"/>
        <v>1.8986199999999958</v>
      </c>
      <c r="V23" s="140">
        <f t="shared" si="1"/>
        <v>2.2526000000000002</v>
      </c>
      <c r="W23" s="141">
        <f t="shared" si="2"/>
        <v>3.2537555555555548</v>
      </c>
    </row>
    <row r="24" spans="1:62" s="650" customFormat="1">
      <c r="A24" s="225">
        <v>1992</v>
      </c>
      <c r="B24" s="139">
        <v>2.0276146867904972</v>
      </c>
      <c r="C24" s="140">
        <v>2.26659240846748</v>
      </c>
      <c r="D24" s="140">
        <v>2.5143501521621969</v>
      </c>
      <c r="E24" s="141">
        <v>3.3780584904732072</v>
      </c>
      <c r="F24"/>
      <c r="G24" s="225">
        <v>1992</v>
      </c>
      <c r="H24" s="139">
        <v>1.9703739691957223</v>
      </c>
      <c r="I24" s="140">
        <v>1.4613107708052053</v>
      </c>
      <c r="J24" s="140">
        <v>2.0238129907768427</v>
      </c>
      <c r="K24" s="141">
        <v>2.3784858910310005</v>
      </c>
      <c r="L24"/>
      <c r="M24" s="225">
        <v>1992</v>
      </c>
      <c r="N24" s="139"/>
      <c r="O24" s="140"/>
      <c r="P24" s="140"/>
      <c r="Q24" s="141"/>
      <c r="R24"/>
      <c r="S24" s="225">
        <v>1992</v>
      </c>
      <c r="T24" s="139"/>
      <c r="U24" s="140">
        <f t="shared" si="0"/>
        <v>1.8986199999999958</v>
      </c>
      <c r="V24" s="140">
        <f t="shared" si="1"/>
        <v>2.2526000000000002</v>
      </c>
      <c r="W24" s="141">
        <f t="shared" si="2"/>
        <v>3.2537555555555548</v>
      </c>
    </row>
    <row r="25" spans="1:62" s="650" customFormat="1">
      <c r="A25" s="225">
        <v>1991</v>
      </c>
      <c r="B25" s="139">
        <v>2.0446838384394481</v>
      </c>
      <c r="C25" s="140">
        <v>2.2785240300503</v>
      </c>
      <c r="D25" s="140">
        <v>2.5197415709939919</v>
      </c>
      <c r="E25" s="141">
        <v>3.4126357501656717</v>
      </c>
      <c r="F25"/>
      <c r="G25" s="225">
        <v>1991</v>
      </c>
      <c r="H25" s="139">
        <v>1.9728162620693208</v>
      </c>
      <c r="I25" s="140">
        <v>1.4440864898440571</v>
      </c>
      <c r="J25" s="140">
        <v>2.0236492729086275</v>
      </c>
      <c r="K25" s="141">
        <v>2.3731906751891119</v>
      </c>
      <c r="L25"/>
      <c r="M25" s="225">
        <v>1991</v>
      </c>
      <c r="N25" s="139"/>
      <c r="O25" s="140"/>
      <c r="P25" s="140"/>
      <c r="Q25" s="141"/>
      <c r="R25"/>
      <c r="S25" s="225">
        <v>1991</v>
      </c>
      <c r="T25" s="139"/>
      <c r="U25" s="140">
        <f t="shared" si="0"/>
        <v>1.8986199999999958</v>
      </c>
      <c r="V25" s="140">
        <f t="shared" si="1"/>
        <v>2.2526000000000002</v>
      </c>
      <c r="W25" s="141">
        <f t="shared" si="2"/>
        <v>3.2537555555555548</v>
      </c>
    </row>
    <row r="26" spans="1:62" s="650" customFormat="1">
      <c r="A26" s="225">
        <v>1990</v>
      </c>
      <c r="B26" s="139">
        <v>2.0615273450313367</v>
      </c>
      <c r="C26" s="140">
        <v>2.290239523308029</v>
      </c>
      <c r="D26" s="140">
        <v>2.524628902866862</v>
      </c>
      <c r="E26" s="141">
        <v>3.446022509330958</v>
      </c>
      <c r="F26"/>
      <c r="G26" s="225">
        <v>1990</v>
      </c>
      <c r="H26" s="139">
        <v>1.9727405503948032</v>
      </c>
      <c r="I26" s="140">
        <v>1.427170539951766</v>
      </c>
      <c r="J26" s="140">
        <v>2.022802619734716</v>
      </c>
      <c r="K26" s="141">
        <v>2.36658719318477</v>
      </c>
      <c r="L26"/>
      <c r="M26" s="225">
        <v>1990</v>
      </c>
      <c r="N26" s="139"/>
      <c r="O26" s="140"/>
      <c r="P26" s="140"/>
      <c r="Q26" s="141"/>
      <c r="R26"/>
      <c r="S26" s="225">
        <v>1990</v>
      </c>
      <c r="T26" s="139"/>
      <c r="U26" s="140">
        <f t="shared" si="0"/>
        <v>1.8986199999999958</v>
      </c>
      <c r="V26" s="140">
        <f t="shared" si="1"/>
        <v>2.2526000000000002</v>
      </c>
      <c r="W26" s="141">
        <f t="shared" si="2"/>
        <v>3.2537555555555548</v>
      </c>
    </row>
    <row r="27" spans="1:62" s="650" customFormat="1" ht="15.75" thickBot="1">
      <c r="A27" s="395" t="s">
        <v>58</v>
      </c>
      <c r="B27" s="142">
        <v>2.0779097163500806</v>
      </c>
      <c r="C27" s="143">
        <v>2.3018057026019463</v>
      </c>
      <c r="D27" s="143">
        <v>2.5288719443100933</v>
      </c>
      <c r="E27" s="144">
        <v>3.4787347451034836</v>
      </c>
      <c r="F27"/>
      <c r="G27" s="395" t="s">
        <v>58</v>
      </c>
      <c r="H27" s="142">
        <v>1.9694813807428062</v>
      </c>
      <c r="I27" s="143">
        <v>1.4111722723705094</v>
      </c>
      <c r="J27" s="143">
        <v>2.0214774705779099</v>
      </c>
      <c r="K27" s="144">
        <v>2.3597295654684443</v>
      </c>
      <c r="L27"/>
      <c r="M27" s="395" t="s">
        <v>58</v>
      </c>
      <c r="N27" s="142"/>
      <c r="O27" s="143"/>
      <c r="P27" s="143"/>
      <c r="Q27" s="144"/>
      <c r="R27"/>
      <c r="S27" s="395" t="s">
        <v>58</v>
      </c>
      <c r="T27" s="142"/>
      <c r="U27" s="143">
        <f t="shared" si="0"/>
        <v>1.8986199999999958</v>
      </c>
      <c r="V27" s="143">
        <f t="shared" si="1"/>
        <v>2.2526000000000002</v>
      </c>
      <c r="W27" s="144">
        <f t="shared" si="2"/>
        <v>3.2537555555555548</v>
      </c>
    </row>
    <row r="28" spans="1:62" s="650" customFormat="1" ht="15.75" thickBot="1"/>
    <row r="29" spans="1:62" ht="15.75" customHeight="1" thickBot="1">
      <c r="A29" s="1710" t="s">
        <v>41</v>
      </c>
      <c r="B29" s="169" t="s">
        <v>10</v>
      </c>
      <c r="C29" s="288">
        <v>2012</v>
      </c>
      <c r="D29" s="289">
        <v>2013</v>
      </c>
      <c r="E29" s="289">
        <v>2014</v>
      </c>
      <c r="F29" s="289">
        <v>2015</v>
      </c>
      <c r="G29" s="288">
        <v>2016</v>
      </c>
      <c r="H29" s="289">
        <v>2017</v>
      </c>
      <c r="I29" s="289">
        <v>2018</v>
      </c>
      <c r="J29" s="289">
        <v>2019</v>
      </c>
      <c r="K29" s="288">
        <v>2020</v>
      </c>
      <c r="L29" s="289">
        <v>2021</v>
      </c>
      <c r="M29" s="289">
        <v>2022</v>
      </c>
      <c r="N29" s="289">
        <v>2023</v>
      </c>
      <c r="O29" s="288">
        <v>2024</v>
      </c>
      <c r="P29" s="289">
        <v>2025</v>
      </c>
      <c r="Q29" s="289">
        <v>2026</v>
      </c>
      <c r="R29" s="289">
        <v>2027</v>
      </c>
      <c r="S29" s="288">
        <v>2028</v>
      </c>
      <c r="T29" s="289">
        <v>2029</v>
      </c>
      <c r="U29" s="289">
        <v>2030</v>
      </c>
      <c r="V29" s="289">
        <v>2031</v>
      </c>
      <c r="W29" s="288">
        <v>2032</v>
      </c>
      <c r="X29" s="289">
        <v>2033</v>
      </c>
      <c r="Y29" s="289">
        <v>2034</v>
      </c>
      <c r="Z29" s="289">
        <v>2035</v>
      </c>
      <c r="AA29" s="288">
        <v>2036</v>
      </c>
      <c r="AB29" s="289">
        <v>2037</v>
      </c>
      <c r="AC29" s="289">
        <v>2038</v>
      </c>
      <c r="AD29" s="289">
        <v>2039</v>
      </c>
      <c r="AE29" s="290">
        <v>2040</v>
      </c>
      <c r="AG29" s="571" t="s">
        <v>90</v>
      </c>
      <c r="AH29" s="288">
        <v>2012</v>
      </c>
      <c r="AI29" s="289">
        <v>2013</v>
      </c>
      <c r="AJ29" s="289">
        <v>2014</v>
      </c>
      <c r="AK29" s="289">
        <v>2015</v>
      </c>
      <c r="AL29" s="288">
        <v>2016</v>
      </c>
      <c r="AM29" s="289">
        <v>2017</v>
      </c>
      <c r="AN29" s="289">
        <v>2018</v>
      </c>
      <c r="AO29" s="289">
        <v>2019</v>
      </c>
      <c r="AP29" s="288">
        <v>2020</v>
      </c>
      <c r="AQ29" s="289">
        <v>2021</v>
      </c>
      <c r="AR29" s="289">
        <v>2022</v>
      </c>
      <c r="AS29" s="289">
        <v>2023</v>
      </c>
      <c r="AT29" s="288">
        <v>2024</v>
      </c>
      <c r="AU29" s="289">
        <v>2025</v>
      </c>
      <c r="AV29" s="289">
        <v>2026</v>
      </c>
      <c r="AW29" s="289">
        <v>2027</v>
      </c>
      <c r="AX29" s="288">
        <v>2028</v>
      </c>
      <c r="AY29" s="289">
        <v>2029</v>
      </c>
      <c r="AZ29" s="289">
        <v>2030</v>
      </c>
      <c r="BA29" s="289">
        <v>2031</v>
      </c>
      <c r="BB29" s="288">
        <v>2032</v>
      </c>
      <c r="BC29" s="289">
        <v>2033</v>
      </c>
      <c r="BD29" s="289">
        <v>2034</v>
      </c>
      <c r="BE29" s="289">
        <v>2035</v>
      </c>
      <c r="BF29" s="288">
        <v>2036</v>
      </c>
      <c r="BG29" s="289">
        <v>2037</v>
      </c>
      <c r="BH29" s="289">
        <v>2038</v>
      </c>
      <c r="BI29" s="289">
        <v>2039</v>
      </c>
      <c r="BJ29" s="290">
        <v>2040</v>
      </c>
    </row>
    <row r="30" spans="1:62">
      <c r="A30" s="1711"/>
      <c r="B30" s="116">
        <v>0</v>
      </c>
      <c r="C30" s="313">
        <f>'CAR SEC'!B4</f>
        <v>1.5269567629016723</v>
      </c>
      <c r="D30" s="314">
        <v>0</v>
      </c>
      <c r="E30" s="314">
        <v>0</v>
      </c>
      <c r="F30" s="314">
        <v>0</v>
      </c>
      <c r="G30" s="314">
        <v>0</v>
      </c>
      <c r="H30" s="314">
        <v>0</v>
      </c>
      <c r="I30" s="314">
        <v>0</v>
      </c>
      <c r="J30" s="314">
        <v>0</v>
      </c>
      <c r="K30" s="314">
        <v>0</v>
      </c>
      <c r="L30" s="314">
        <v>0</v>
      </c>
      <c r="M30" s="314">
        <v>0</v>
      </c>
      <c r="N30" s="314">
        <v>0</v>
      </c>
      <c r="O30" s="314">
        <v>0</v>
      </c>
      <c r="P30" s="314">
        <v>0</v>
      </c>
      <c r="Q30" s="314">
        <v>0</v>
      </c>
      <c r="R30" s="314">
        <v>0</v>
      </c>
      <c r="S30" s="314">
        <v>0</v>
      </c>
      <c r="T30" s="314">
        <v>0</v>
      </c>
      <c r="U30" s="314">
        <v>0</v>
      </c>
      <c r="V30" s="314">
        <v>0</v>
      </c>
      <c r="W30" s="314">
        <v>0</v>
      </c>
      <c r="X30" s="314">
        <v>0</v>
      </c>
      <c r="Y30" s="314">
        <v>0</v>
      </c>
      <c r="Z30" s="314">
        <v>0</v>
      </c>
      <c r="AA30" s="314">
        <v>0</v>
      </c>
      <c r="AB30" s="314">
        <v>0</v>
      </c>
      <c r="AC30" s="314">
        <v>0</v>
      </c>
      <c r="AD30" s="314">
        <v>0</v>
      </c>
      <c r="AE30" s="315">
        <v>0</v>
      </c>
      <c r="AG30" s="577" t="s">
        <v>41</v>
      </c>
      <c r="AH30" s="313">
        <f>C56/CAR!$I$58</f>
        <v>1.2148292662475975</v>
      </c>
      <c r="AI30" s="314">
        <f>D56/CAR!$I$58</f>
        <v>1.1965681694020405</v>
      </c>
      <c r="AJ30" s="314">
        <f>E56/CAR!$I$58</f>
        <v>1.1785030763769333</v>
      </c>
      <c r="AK30" s="314">
        <f>F56/CAR!$I$58</f>
        <v>1.1613233150858486</v>
      </c>
      <c r="AL30" s="314">
        <f>G56/CAR!$I$58</f>
        <v>1.1462278691765173</v>
      </c>
      <c r="AM30" s="314">
        <f>H56/CAR!$I$58</f>
        <v>1.132877932994039</v>
      </c>
      <c r="AN30" s="314">
        <f>I56/CAR!$I$58</f>
        <v>1.1201129171495463</v>
      </c>
      <c r="AO30" s="314">
        <f>J56/CAR!$I$58</f>
        <v>1.1068028495575322</v>
      </c>
      <c r="AP30" s="314">
        <f>K56/CAR!$I$58</f>
        <v>1.0924843232790535</v>
      </c>
      <c r="AQ30" s="314">
        <f>L56/CAR!$I$58</f>
        <v>1.0777833105803936</v>
      </c>
      <c r="AR30" s="314">
        <f>M56/CAR!$I$58</f>
        <v>1.0643932794905271</v>
      </c>
      <c r="AS30" s="314">
        <f>N56/CAR!$I$58</f>
        <v>1.0536158777047606</v>
      </c>
      <c r="AT30" s="314">
        <f>O56/CAR!$I$58</f>
        <v>1.0459076873093083</v>
      </c>
      <c r="AU30" s="314">
        <f>P56/CAR!$I$58</f>
        <v>1.0403473962832992</v>
      </c>
      <c r="AV30" s="314">
        <f>Q56/CAR!$I$58</f>
        <v>1.036310677982867</v>
      </c>
      <c r="AW30" s="314">
        <f>R56/CAR!$I$58</f>
        <v>1.0346051698984196</v>
      </c>
      <c r="AX30" s="314">
        <f>S56/CAR!$I$58</f>
        <v>1.0330631122874172</v>
      </c>
      <c r="AY30" s="314">
        <f>T56/CAR!$I$58</f>
        <v>1.0316502793692934</v>
      </c>
      <c r="AZ30" s="314">
        <f>U56/CAR!$I$58</f>
        <v>1.0303369061540797</v>
      </c>
      <c r="BA30" s="314">
        <f>V56/CAR!$I$58</f>
        <v>1.0290976555134905</v>
      </c>
      <c r="BB30" s="314">
        <f>W56/CAR!$I$58</f>
        <v>1.0279115084480575</v>
      </c>
      <c r="BC30" s="314">
        <f>X56/CAR!$I$58</f>
        <v>1.0267616273232316</v>
      </c>
      <c r="BD30" s="314">
        <f>Y56/CAR!$I$58</f>
        <v>1.0256352298334439</v>
      </c>
      <c r="BE30" s="314">
        <f>Z56/CAR!$I$58</f>
        <v>1.0245235009928095</v>
      </c>
      <c r="BF30" s="314">
        <f>AA56/CAR!$I$58</f>
        <v>1.0234215617881521</v>
      </c>
      <c r="BG30" s="314">
        <f>AB56/CAR!$I$58</f>
        <v>0</v>
      </c>
      <c r="BH30" s="314">
        <f>AC56/CAR!$I$58</f>
        <v>0</v>
      </c>
      <c r="BI30" s="314">
        <f>AD56/CAR!$I$58</f>
        <v>0</v>
      </c>
      <c r="BJ30" s="315">
        <f>AE56/CAR!$I$58</f>
        <v>0</v>
      </c>
    </row>
    <row r="31" spans="1:62">
      <c r="A31" s="1711"/>
      <c r="B31" s="116">
        <v>1</v>
      </c>
      <c r="C31" s="316">
        <f>'CAR SEC'!B5</f>
        <v>1.5720949154751056</v>
      </c>
      <c r="D31" s="317">
        <f>C30</f>
        <v>1.5269567629016723</v>
      </c>
      <c r="E31" s="317">
        <f t="shared" ref="E31:T31" si="3">D30</f>
        <v>0</v>
      </c>
      <c r="F31" s="317">
        <f t="shared" si="3"/>
        <v>0</v>
      </c>
      <c r="G31" s="317">
        <f t="shared" si="3"/>
        <v>0</v>
      </c>
      <c r="H31" s="317">
        <f t="shared" si="3"/>
        <v>0</v>
      </c>
      <c r="I31" s="317">
        <f t="shared" si="3"/>
        <v>0</v>
      </c>
      <c r="J31" s="317">
        <f t="shared" si="3"/>
        <v>0</v>
      </c>
      <c r="K31" s="317">
        <f t="shared" si="3"/>
        <v>0</v>
      </c>
      <c r="L31" s="317">
        <f t="shared" si="3"/>
        <v>0</v>
      </c>
      <c r="M31" s="317">
        <f t="shared" si="3"/>
        <v>0</v>
      </c>
      <c r="N31" s="317">
        <f t="shared" si="3"/>
        <v>0</v>
      </c>
      <c r="O31" s="317">
        <f t="shared" si="3"/>
        <v>0</v>
      </c>
      <c r="P31" s="317">
        <f t="shared" si="3"/>
        <v>0</v>
      </c>
      <c r="Q31" s="317">
        <f t="shared" si="3"/>
        <v>0</v>
      </c>
      <c r="R31" s="317">
        <f t="shared" si="3"/>
        <v>0</v>
      </c>
      <c r="S31" s="317">
        <f t="shared" si="3"/>
        <v>0</v>
      </c>
      <c r="T31" s="317">
        <f t="shared" si="3"/>
        <v>0</v>
      </c>
      <c r="U31" s="317">
        <f t="shared" ref="T31:AE46" si="4">T30</f>
        <v>0</v>
      </c>
      <c r="V31" s="317">
        <f t="shared" si="4"/>
        <v>0</v>
      </c>
      <c r="W31" s="317">
        <f t="shared" si="4"/>
        <v>0</v>
      </c>
      <c r="X31" s="317">
        <f t="shared" si="4"/>
        <v>0</v>
      </c>
      <c r="Y31" s="317">
        <f t="shared" si="4"/>
        <v>0</v>
      </c>
      <c r="Z31" s="317">
        <f t="shared" si="4"/>
        <v>0</v>
      </c>
      <c r="AA31" s="317">
        <f t="shared" si="4"/>
        <v>0</v>
      </c>
      <c r="AB31" s="317">
        <f t="shared" si="4"/>
        <v>0</v>
      </c>
      <c r="AC31" s="317">
        <f t="shared" si="4"/>
        <v>0</v>
      </c>
      <c r="AD31" s="317">
        <f t="shared" si="4"/>
        <v>0</v>
      </c>
      <c r="AE31" s="318">
        <f t="shared" si="4"/>
        <v>0</v>
      </c>
      <c r="AG31" s="578" t="s">
        <v>42</v>
      </c>
      <c r="AH31" s="316">
        <f>C85/CAR!$I$58</f>
        <v>1.3812683617316472</v>
      </c>
      <c r="AI31" s="317">
        <f>D85/CAR!$I$58</f>
        <v>1.3664995529076798</v>
      </c>
      <c r="AJ31" s="317">
        <f>E85/CAR!$I$58</f>
        <v>1.3545277015582111</v>
      </c>
      <c r="AK31" s="317">
        <f>F85/CAR!$I$58</f>
        <v>1.3434254288801128</v>
      </c>
      <c r="AL31" s="317">
        <f>G85/CAR!$I$58</f>
        <v>1.3314728093901314</v>
      </c>
      <c r="AM31" s="317">
        <f>H85/CAR!$I$58</f>
        <v>1.3170842576524313</v>
      </c>
      <c r="AN31" s="317">
        <f>I85/CAR!$I$58</f>
        <v>1.2988162980876341</v>
      </c>
      <c r="AO31" s="317">
        <f>J85/CAR!$I$58</f>
        <v>1.2757057357898818</v>
      </c>
      <c r="AP31" s="317">
        <f>K85/CAR!$I$58</f>
        <v>1.2484109646001258</v>
      </c>
      <c r="AQ31" s="317">
        <f>L85/CAR!$I$58</f>
        <v>1.2201133702970968</v>
      </c>
      <c r="AR31" s="317">
        <f>M85/CAR!$I$58</f>
        <v>1.195462886765005</v>
      </c>
      <c r="AS31" s="317">
        <f>N85/CAR!$I$58</f>
        <v>1.1775937663127813</v>
      </c>
      <c r="AT31" s="317">
        <f>O85/CAR!$I$58</f>
        <v>1.1664369729330304</v>
      </c>
      <c r="AU31" s="317">
        <f>P85/CAR!$I$58</f>
        <v>1.1593247755322968</v>
      </c>
      <c r="AV31" s="317">
        <f>Q85/CAR!$I$58</f>
        <v>1.1548645130721547</v>
      </c>
      <c r="AW31" s="317">
        <f>R85/CAR!$I$58</f>
        <v>1.1528858440390102</v>
      </c>
      <c r="AX31" s="317">
        <f>S85/CAR!$I$58</f>
        <v>1.1511603949471929</v>
      </c>
      <c r="AY31" s="317">
        <f>T85/CAR!$I$58</f>
        <v>1.1496394364085003</v>
      </c>
      <c r="AZ31" s="317">
        <f>U85/CAR!$I$58</f>
        <v>1.14827945553222</v>
      </c>
      <c r="BA31" s="317">
        <f>V85/CAR!$I$58</f>
        <v>1.1470430014322968</v>
      </c>
      <c r="BB31" s="317">
        <f>W85/CAR!$I$58</f>
        <v>1.1458992413995892</v>
      </c>
      <c r="BC31" s="317">
        <f>X85/CAR!$I$58</f>
        <v>1.1448242874668479</v>
      </c>
      <c r="BD31" s="317">
        <f>Y85/CAR!$I$58</f>
        <v>1.1438013460102947</v>
      </c>
      <c r="BE31" s="317">
        <f>Z85/CAR!$I$58</f>
        <v>1.142820730501227</v>
      </c>
      <c r="BF31" s="317">
        <f>AA85/CAR!$I$58</f>
        <v>1.1418797617122947</v>
      </c>
      <c r="BG31" s="317">
        <f>AB85/CAR!$I$58</f>
        <v>0</v>
      </c>
      <c r="BH31" s="317">
        <f>AC85/CAR!$I$58</f>
        <v>0</v>
      </c>
      <c r="BI31" s="317">
        <f>AD85/CAR!$I$58</f>
        <v>0</v>
      </c>
      <c r="BJ31" s="318">
        <f>AE85/CAR!$I$58</f>
        <v>0</v>
      </c>
    </row>
    <row r="32" spans="1:62">
      <c r="A32" s="1711"/>
      <c r="B32" s="116">
        <v>2</v>
      </c>
      <c r="C32" s="316">
        <f>'CAR SEC'!B6</f>
        <v>1.5820667060548328</v>
      </c>
      <c r="D32" s="317">
        <f t="shared" ref="D32:S47" si="5">C31</f>
        <v>1.5720949154751056</v>
      </c>
      <c r="E32" s="317">
        <f t="shared" si="5"/>
        <v>1.5269567629016723</v>
      </c>
      <c r="F32" s="317">
        <f t="shared" si="5"/>
        <v>0</v>
      </c>
      <c r="G32" s="317">
        <f t="shared" si="5"/>
        <v>0</v>
      </c>
      <c r="H32" s="317">
        <f t="shared" si="5"/>
        <v>0</v>
      </c>
      <c r="I32" s="317">
        <f t="shared" si="5"/>
        <v>0</v>
      </c>
      <c r="J32" s="317">
        <f t="shared" si="5"/>
        <v>0</v>
      </c>
      <c r="K32" s="317">
        <f t="shared" si="5"/>
        <v>0</v>
      </c>
      <c r="L32" s="317">
        <f t="shared" si="5"/>
        <v>0</v>
      </c>
      <c r="M32" s="317">
        <f t="shared" si="5"/>
        <v>0</v>
      </c>
      <c r="N32" s="317">
        <f t="shared" si="5"/>
        <v>0</v>
      </c>
      <c r="O32" s="317">
        <f t="shared" si="5"/>
        <v>0</v>
      </c>
      <c r="P32" s="317">
        <f t="shared" si="5"/>
        <v>0</v>
      </c>
      <c r="Q32" s="317">
        <f t="shared" si="5"/>
        <v>0</v>
      </c>
      <c r="R32" s="317">
        <f t="shared" si="5"/>
        <v>0</v>
      </c>
      <c r="S32" s="317">
        <f t="shared" si="5"/>
        <v>0</v>
      </c>
      <c r="T32" s="317">
        <f t="shared" si="4"/>
        <v>0</v>
      </c>
      <c r="U32" s="317">
        <f t="shared" si="4"/>
        <v>0</v>
      </c>
      <c r="V32" s="317">
        <f t="shared" si="4"/>
        <v>0</v>
      </c>
      <c r="W32" s="317">
        <f t="shared" si="4"/>
        <v>0</v>
      </c>
      <c r="X32" s="317">
        <f t="shared" si="4"/>
        <v>0</v>
      </c>
      <c r="Y32" s="317">
        <f t="shared" si="4"/>
        <v>0</v>
      </c>
      <c r="Z32" s="317">
        <f t="shared" si="4"/>
        <v>0</v>
      </c>
      <c r="AA32" s="317">
        <f t="shared" si="4"/>
        <v>0</v>
      </c>
      <c r="AB32" s="317">
        <f t="shared" si="4"/>
        <v>0</v>
      </c>
      <c r="AC32" s="317">
        <f t="shared" si="4"/>
        <v>0</v>
      </c>
      <c r="AD32" s="317">
        <f t="shared" si="4"/>
        <v>0</v>
      </c>
      <c r="AE32" s="318">
        <f t="shared" si="4"/>
        <v>0</v>
      </c>
      <c r="AG32" s="578" t="s">
        <v>43</v>
      </c>
      <c r="AH32" s="316">
        <f>C114/CAR!$I$58</f>
        <v>1.6042316357553279</v>
      </c>
      <c r="AI32" s="317">
        <f>D114/CAR!$I$58</f>
        <v>1.5954330151490432</v>
      </c>
      <c r="AJ32" s="317">
        <f>E114/CAR!$I$58</f>
        <v>1.5866655637403242</v>
      </c>
      <c r="AK32" s="317">
        <f>F114/CAR!$I$58</f>
        <v>1.5767322793966689</v>
      </c>
      <c r="AL32" s="317">
        <f>G114/CAR!$I$58</f>
        <v>1.5653234448151228</v>
      </c>
      <c r="AM32" s="317">
        <f>H114/CAR!$I$58</f>
        <v>1.5527210952355959</v>
      </c>
      <c r="AN32" s="317">
        <f>I114/CAR!$I$58</f>
        <v>1.5383972394662193</v>
      </c>
      <c r="AO32" s="317">
        <f>J114/CAR!$I$58</f>
        <v>1.5206742753617986</v>
      </c>
      <c r="AP32" s="317">
        <f>K114/CAR!$I$58</f>
        <v>1.4965362808213429</v>
      </c>
      <c r="AQ32" s="317">
        <f>L114/CAR!$I$58</f>
        <v>1.4623982966244748</v>
      </c>
      <c r="AR32" s="317">
        <f>M114/CAR!$I$58</f>
        <v>1.4185695949372727</v>
      </c>
      <c r="AS32" s="317">
        <f>N114/CAR!$I$58</f>
        <v>1.3743403755729715</v>
      </c>
      <c r="AT32" s="317">
        <f>O114/CAR!$I$58</f>
        <v>1.342681590009867</v>
      </c>
      <c r="AU32" s="317">
        <f>P114/CAR!$I$58</f>
        <v>1.3244018240607787</v>
      </c>
      <c r="AV32" s="317">
        <f>Q114/CAR!$I$58</f>
        <v>1.3146801612469672</v>
      </c>
      <c r="AW32" s="317">
        <f>R114/CAR!$I$58</f>
        <v>1.3094433347766787</v>
      </c>
      <c r="AX32" s="317">
        <f>S114/CAR!$I$58</f>
        <v>1.3054526901995425</v>
      </c>
      <c r="AY32" s="317">
        <f>T114/CAR!$I$58</f>
        <v>1.3025252072303677</v>
      </c>
      <c r="AZ32" s="317">
        <f>U114/CAR!$I$58</f>
        <v>1.3004608895263641</v>
      </c>
      <c r="BA32" s="317">
        <f>V114/CAR!$I$58</f>
        <v>1.2990616830780821</v>
      </c>
      <c r="BB32" s="317">
        <f>W114/CAR!$I$58</f>
        <v>1.2981457039885087</v>
      </c>
      <c r="BC32" s="317">
        <f>X114/CAR!$I$58</f>
        <v>1.2975567229637062</v>
      </c>
      <c r="BD32" s="317">
        <f>Y114/CAR!$I$58</f>
        <v>1.2971696631774046</v>
      </c>
      <c r="BE32" s="317">
        <f>Z114/CAR!$I$58</f>
        <v>1.2968931927695306</v>
      </c>
      <c r="BF32" s="317">
        <f>AA114/CAR!$I$58</f>
        <v>1.2966704674556178</v>
      </c>
      <c r="BG32" s="317">
        <f>AB114/CAR!$I$58</f>
        <v>0</v>
      </c>
      <c r="BH32" s="317">
        <f>AC114/CAR!$I$58</f>
        <v>0</v>
      </c>
      <c r="BI32" s="317">
        <f>AD114/CAR!$I$58</f>
        <v>0</v>
      </c>
      <c r="BJ32" s="318">
        <f>AE114/CAR!$I$58</f>
        <v>0</v>
      </c>
    </row>
    <row r="33" spans="1:62">
      <c r="A33" s="1711"/>
      <c r="B33" s="116">
        <v>3</v>
      </c>
      <c r="C33" s="316">
        <f>'CAR SEC'!B7</f>
        <v>1.6643611439023269</v>
      </c>
      <c r="D33" s="317">
        <f t="shared" si="5"/>
        <v>1.5820667060548328</v>
      </c>
      <c r="E33" s="317">
        <f t="shared" si="5"/>
        <v>1.5720949154751056</v>
      </c>
      <c r="F33" s="317">
        <f t="shared" si="5"/>
        <v>1.5269567629016723</v>
      </c>
      <c r="G33" s="317">
        <f t="shared" si="5"/>
        <v>0</v>
      </c>
      <c r="H33" s="317">
        <f t="shared" si="5"/>
        <v>0</v>
      </c>
      <c r="I33" s="317">
        <f t="shared" si="5"/>
        <v>0</v>
      </c>
      <c r="J33" s="317">
        <f t="shared" si="5"/>
        <v>0</v>
      </c>
      <c r="K33" s="317">
        <f t="shared" si="5"/>
        <v>0</v>
      </c>
      <c r="L33" s="317">
        <f t="shared" si="5"/>
        <v>0</v>
      </c>
      <c r="M33" s="317">
        <f t="shared" si="5"/>
        <v>0</v>
      </c>
      <c r="N33" s="317">
        <f t="shared" si="5"/>
        <v>0</v>
      </c>
      <c r="O33" s="317">
        <f t="shared" si="5"/>
        <v>0</v>
      </c>
      <c r="P33" s="317">
        <f t="shared" si="5"/>
        <v>0</v>
      </c>
      <c r="Q33" s="317">
        <f t="shared" si="5"/>
        <v>0</v>
      </c>
      <c r="R33" s="317">
        <f t="shared" si="5"/>
        <v>0</v>
      </c>
      <c r="S33" s="317">
        <f t="shared" si="5"/>
        <v>0</v>
      </c>
      <c r="T33" s="317">
        <f t="shared" si="4"/>
        <v>0</v>
      </c>
      <c r="U33" s="317">
        <f t="shared" si="4"/>
        <v>0</v>
      </c>
      <c r="V33" s="317">
        <f t="shared" si="4"/>
        <v>0</v>
      </c>
      <c r="W33" s="317">
        <f t="shared" si="4"/>
        <v>0</v>
      </c>
      <c r="X33" s="317">
        <f t="shared" si="4"/>
        <v>0</v>
      </c>
      <c r="Y33" s="317">
        <f t="shared" si="4"/>
        <v>0</v>
      </c>
      <c r="Z33" s="317">
        <f t="shared" si="4"/>
        <v>0</v>
      </c>
      <c r="AA33" s="317">
        <f t="shared" si="4"/>
        <v>0</v>
      </c>
      <c r="AB33" s="317">
        <f t="shared" si="4"/>
        <v>0</v>
      </c>
      <c r="AC33" s="317">
        <f t="shared" si="4"/>
        <v>0</v>
      </c>
      <c r="AD33" s="317">
        <f t="shared" si="4"/>
        <v>0</v>
      </c>
      <c r="AE33" s="318">
        <f t="shared" si="4"/>
        <v>0</v>
      </c>
      <c r="AG33" s="578" t="s">
        <v>44</v>
      </c>
      <c r="AH33" s="316">
        <f>C143/CAR!$I$58</f>
        <v>1.9535599370670895</v>
      </c>
      <c r="AI33" s="317">
        <f>D143/CAR!$I$58</f>
        <v>1.9254100489057098</v>
      </c>
      <c r="AJ33" s="317">
        <f>E143/CAR!$I$58</f>
        <v>1.9029584387484237</v>
      </c>
      <c r="AK33" s="317">
        <f>F143/CAR!$I$58</f>
        <v>1.8822981261993665</v>
      </c>
      <c r="AL33" s="317">
        <f>G143/CAR!$I$58</f>
        <v>1.8614415506199602</v>
      </c>
      <c r="AM33" s="317">
        <f>H143/CAR!$I$58</f>
        <v>1.840061394709996</v>
      </c>
      <c r="AN33" s="317">
        <f>I143/CAR!$I$58</f>
        <v>1.8184943899186101</v>
      </c>
      <c r="AO33" s="317">
        <f>J143/CAR!$I$58</f>
        <v>1.79684032783974</v>
      </c>
      <c r="AP33" s="317">
        <f>K143/CAR!$I$58</f>
        <v>1.7751968003123217</v>
      </c>
      <c r="AQ33" s="317">
        <f>L143/CAR!$I$58</f>
        <v>1.7530094519483452</v>
      </c>
      <c r="AR33" s="317">
        <f>M143/CAR!$I$58</f>
        <v>1.7304746612418938</v>
      </c>
      <c r="AS33" s="317">
        <f>N143/CAR!$I$58</f>
        <v>1.707448965352768</v>
      </c>
      <c r="AT33" s="317">
        <f>O143/CAR!$I$58</f>
        <v>1.6836348418794131</v>
      </c>
      <c r="AU33" s="317">
        <f>P143/CAR!$I$58</f>
        <v>1.660703670653463</v>
      </c>
      <c r="AV33" s="317">
        <f>Q143/CAR!$I$58</f>
        <v>1.6417895196651191</v>
      </c>
      <c r="AW33" s="317">
        <f>R143/CAR!$I$58</f>
        <v>1.6298024855840574</v>
      </c>
      <c r="AX33" s="317">
        <f>S143/CAR!$I$58</f>
        <v>1.618662817899563</v>
      </c>
      <c r="AY33" s="317">
        <f>T143/CAR!$I$58</f>
        <v>1.6084108735212792</v>
      </c>
      <c r="AZ33" s="317">
        <f>U143/CAR!$I$58</f>
        <v>1.5989921796035538</v>
      </c>
      <c r="BA33" s="317">
        <f>V143/CAR!$I$58</f>
        <v>1.5902875089345072</v>
      </c>
      <c r="BB33" s="317">
        <f>W143/CAR!$I$58</f>
        <v>1.5821532173564468</v>
      </c>
      <c r="BC33" s="317">
        <f>X143/CAR!$I$58</f>
        <v>1.5744603814325859</v>
      </c>
      <c r="BD33" s="317">
        <f>Y143/CAR!$I$58</f>
        <v>1.5671261950182052</v>
      </c>
      <c r="BE33" s="317">
        <f>Z143/CAR!$I$58</f>
        <v>1.5601362083583636</v>
      </c>
      <c r="BF33" s="317">
        <f>AA143/CAR!$I$58</f>
        <v>1.553558725059379</v>
      </c>
      <c r="BG33" s="317">
        <f>AB143/CAR!$I$58</f>
        <v>0</v>
      </c>
      <c r="BH33" s="317">
        <f>AC143/CAR!$I$58</f>
        <v>0</v>
      </c>
      <c r="BI33" s="317">
        <f>AD143/CAR!$I$58</f>
        <v>0</v>
      </c>
      <c r="BJ33" s="318">
        <f>AE143/CAR!$I$58</f>
        <v>0</v>
      </c>
    </row>
    <row r="34" spans="1:62">
      <c r="A34" s="1711"/>
      <c r="B34" s="116">
        <v>4</v>
      </c>
      <c r="C34" s="316">
        <f>'CAR SEC'!B8</f>
        <v>1.7079378413834014</v>
      </c>
      <c r="D34" s="317">
        <f t="shared" si="5"/>
        <v>1.6643611439023269</v>
      </c>
      <c r="E34" s="317">
        <f t="shared" si="5"/>
        <v>1.5820667060548328</v>
      </c>
      <c r="F34" s="317">
        <f t="shared" si="5"/>
        <v>1.5720949154751056</v>
      </c>
      <c r="G34" s="317">
        <f t="shared" si="5"/>
        <v>1.5269567629016723</v>
      </c>
      <c r="H34" s="317">
        <f t="shared" si="5"/>
        <v>0</v>
      </c>
      <c r="I34" s="317">
        <f t="shared" si="5"/>
        <v>0</v>
      </c>
      <c r="J34" s="317">
        <f t="shared" si="5"/>
        <v>0</v>
      </c>
      <c r="K34" s="317">
        <f t="shared" si="5"/>
        <v>0</v>
      </c>
      <c r="L34" s="317">
        <f t="shared" si="5"/>
        <v>0</v>
      </c>
      <c r="M34" s="317">
        <f t="shared" si="5"/>
        <v>0</v>
      </c>
      <c r="N34" s="317">
        <f t="shared" si="5"/>
        <v>0</v>
      </c>
      <c r="O34" s="317">
        <f t="shared" si="5"/>
        <v>0</v>
      </c>
      <c r="P34" s="317">
        <f t="shared" si="5"/>
        <v>0</v>
      </c>
      <c r="Q34" s="317">
        <f t="shared" si="5"/>
        <v>0</v>
      </c>
      <c r="R34" s="317">
        <f t="shared" si="5"/>
        <v>0</v>
      </c>
      <c r="S34" s="317">
        <f t="shared" si="5"/>
        <v>0</v>
      </c>
      <c r="T34" s="317">
        <f t="shared" si="4"/>
        <v>0</v>
      </c>
      <c r="U34" s="317">
        <f t="shared" si="4"/>
        <v>0</v>
      </c>
      <c r="V34" s="317">
        <f t="shared" si="4"/>
        <v>0</v>
      </c>
      <c r="W34" s="317">
        <f t="shared" si="4"/>
        <v>0</v>
      </c>
      <c r="X34" s="317">
        <f t="shared" si="4"/>
        <v>0</v>
      </c>
      <c r="Y34" s="317">
        <f t="shared" si="4"/>
        <v>0</v>
      </c>
      <c r="Z34" s="317">
        <f t="shared" si="4"/>
        <v>0</v>
      </c>
      <c r="AA34" s="317">
        <f t="shared" si="4"/>
        <v>0</v>
      </c>
      <c r="AB34" s="317">
        <f t="shared" si="4"/>
        <v>0</v>
      </c>
      <c r="AC34" s="317">
        <f t="shared" si="4"/>
        <v>0</v>
      </c>
      <c r="AD34" s="317">
        <f t="shared" si="4"/>
        <v>0</v>
      </c>
      <c r="AE34" s="318">
        <f t="shared" si="4"/>
        <v>0</v>
      </c>
      <c r="AG34" s="578" t="s">
        <v>45</v>
      </c>
      <c r="AH34" s="316">
        <f>C172/CAR!$I$58</f>
        <v>1.1458472831745048</v>
      </c>
      <c r="AI34" s="317">
        <f>D172/CAR!$I$58</f>
        <v>1.0965438297407835</v>
      </c>
      <c r="AJ34" s="317">
        <f>E172/CAR!$I$58</f>
        <v>1.0753369611050847</v>
      </c>
      <c r="AK34" s="317">
        <f>F172/CAR!$I$58</f>
        <v>1.0670557057002346</v>
      </c>
      <c r="AL34" s="317">
        <f>G172/CAR!$I$58</f>
        <v>1.0625636857507985</v>
      </c>
      <c r="AM34" s="317">
        <f>H172/CAR!$I$58</f>
        <v>1.0542730819208868</v>
      </c>
      <c r="AN34" s="317">
        <f>I172/CAR!$I$58</f>
        <v>1.0429857108667133</v>
      </c>
      <c r="AO34" s="317">
        <f>J172/CAR!$I$58</f>
        <v>1.0307619067931502</v>
      </c>
      <c r="AP34" s="317">
        <f>K172/CAR!$I$58</f>
        <v>1.0109403484905952</v>
      </c>
      <c r="AQ34" s="317">
        <f>L172/CAR!$I$58</f>
        <v>0.97636372215843548</v>
      </c>
      <c r="AR34" s="317">
        <f>M172/CAR!$I$58</f>
        <v>0.93578134156826565</v>
      </c>
      <c r="AS34" s="317">
        <f>N172/CAR!$I$58</f>
        <v>0.91300984342516156</v>
      </c>
      <c r="AT34" s="317">
        <f>O172/CAR!$I$58</f>
        <v>0.91998853397927605</v>
      </c>
      <c r="AU34" s="317">
        <f>P172/CAR!$I$58</f>
        <v>0.94755599851631733</v>
      </c>
      <c r="AV34" s="317">
        <f>Q172/CAR!$I$58</f>
        <v>0.97029397464545031</v>
      </c>
      <c r="AW34" s="317">
        <f>R172/CAR!$I$58</f>
        <v>0.98108638129877879</v>
      </c>
      <c r="AX34" s="317">
        <f>S172/CAR!$I$58</f>
        <v>0.99380585224348661</v>
      </c>
      <c r="AY34" s="317">
        <f>T172/CAR!$I$58</f>
        <v>1.0083527119538431</v>
      </c>
      <c r="AZ34" s="317">
        <f>U172/CAR!$I$58</f>
        <v>1.0245352581972684</v>
      </c>
      <c r="BA34" s="317">
        <f>V172/CAR!$I$58</f>
        <v>1.0420470439795213</v>
      </c>
      <c r="BB34" s="317">
        <f>W172/CAR!$I$58</f>
        <v>1.0604440475060088</v>
      </c>
      <c r="BC34" s="317">
        <f>X172/CAR!$I$58</f>
        <v>1.0791263495686585</v>
      </c>
      <c r="BD34" s="317">
        <f>Y172/CAR!$I$58</f>
        <v>1.0973316524486951</v>
      </c>
      <c r="BE34" s="317">
        <f>Z172/CAR!$I$58</f>
        <v>1.1141501841991606</v>
      </c>
      <c r="BF34" s="317">
        <f>AA172/CAR!$I$58</f>
        <v>1.128570504304363</v>
      </c>
      <c r="BG34" s="317">
        <f>AB172/CAR!$I$58</f>
        <v>0</v>
      </c>
      <c r="BH34" s="317">
        <f>AC172/CAR!$I$58</f>
        <v>0</v>
      </c>
      <c r="BI34" s="317">
        <f>AD172/CAR!$I$58</f>
        <v>0</v>
      </c>
      <c r="BJ34" s="318">
        <f>AE172/CAR!$I$58</f>
        <v>0</v>
      </c>
    </row>
    <row r="35" spans="1:62">
      <c r="A35" s="1711"/>
      <c r="B35" s="116">
        <v>5</v>
      </c>
      <c r="C35" s="316">
        <f>'CAR SEC'!B9</f>
        <v>1.7106919448387754</v>
      </c>
      <c r="D35" s="317">
        <f t="shared" si="5"/>
        <v>1.7079378413834014</v>
      </c>
      <c r="E35" s="317">
        <f t="shared" si="5"/>
        <v>1.6643611439023269</v>
      </c>
      <c r="F35" s="317">
        <f t="shared" si="5"/>
        <v>1.5820667060548328</v>
      </c>
      <c r="G35" s="317">
        <f t="shared" si="5"/>
        <v>1.5720949154751056</v>
      </c>
      <c r="H35" s="317">
        <f t="shared" si="5"/>
        <v>1.5269567629016723</v>
      </c>
      <c r="I35" s="317">
        <f t="shared" si="5"/>
        <v>0</v>
      </c>
      <c r="J35" s="317">
        <f t="shared" si="5"/>
        <v>0</v>
      </c>
      <c r="K35" s="317">
        <f t="shared" si="5"/>
        <v>0</v>
      </c>
      <c r="L35" s="317">
        <f t="shared" si="5"/>
        <v>0</v>
      </c>
      <c r="M35" s="317">
        <f t="shared" si="5"/>
        <v>0</v>
      </c>
      <c r="N35" s="317">
        <f t="shared" si="5"/>
        <v>0</v>
      </c>
      <c r="O35" s="317">
        <f t="shared" si="5"/>
        <v>0</v>
      </c>
      <c r="P35" s="317">
        <f t="shared" si="5"/>
        <v>0</v>
      </c>
      <c r="Q35" s="317">
        <f t="shared" si="5"/>
        <v>0</v>
      </c>
      <c r="R35" s="317">
        <f t="shared" si="5"/>
        <v>0</v>
      </c>
      <c r="S35" s="317">
        <f t="shared" si="5"/>
        <v>0</v>
      </c>
      <c r="T35" s="317">
        <f t="shared" si="4"/>
        <v>0</v>
      </c>
      <c r="U35" s="317">
        <f t="shared" si="4"/>
        <v>0</v>
      </c>
      <c r="V35" s="317">
        <f t="shared" si="4"/>
        <v>0</v>
      </c>
      <c r="W35" s="317">
        <f t="shared" si="4"/>
        <v>0</v>
      </c>
      <c r="X35" s="317">
        <f t="shared" si="4"/>
        <v>0</v>
      </c>
      <c r="Y35" s="317">
        <f t="shared" si="4"/>
        <v>0</v>
      </c>
      <c r="Z35" s="317">
        <f t="shared" si="4"/>
        <v>0</v>
      </c>
      <c r="AA35" s="317">
        <f t="shared" si="4"/>
        <v>0</v>
      </c>
      <c r="AB35" s="317">
        <f t="shared" si="4"/>
        <v>0</v>
      </c>
      <c r="AC35" s="317">
        <f t="shared" si="4"/>
        <v>0</v>
      </c>
      <c r="AD35" s="317">
        <f t="shared" si="4"/>
        <v>0</v>
      </c>
      <c r="AE35" s="318">
        <f t="shared" si="4"/>
        <v>0</v>
      </c>
      <c r="AG35" s="578" t="s">
        <v>46</v>
      </c>
      <c r="AH35" s="316">
        <f>C201/CAR!$I$58</f>
        <v>1.1225630976881638</v>
      </c>
      <c r="AI35" s="317">
        <f>D201/CAR!$I$58</f>
        <v>1.1226320741284563</v>
      </c>
      <c r="AJ35" s="317">
        <f>E201/CAR!$I$58</f>
        <v>1.1226723428381922</v>
      </c>
      <c r="AK35" s="317">
        <f>F201/CAR!$I$58</f>
        <v>1.1227693533783207</v>
      </c>
      <c r="AL35" s="317">
        <f>G201/CAR!$I$58</f>
        <v>1.123018126810692</v>
      </c>
      <c r="AM35" s="317">
        <f>H201/CAR!$I$58</f>
        <v>1.1230225215932317</v>
      </c>
      <c r="AN35" s="317">
        <f>I201/CAR!$I$58</f>
        <v>1.1221014020481466</v>
      </c>
      <c r="AO35" s="317">
        <f>J201/CAR!$I$58</f>
        <v>1.1199768366460681</v>
      </c>
      <c r="AP35" s="317">
        <f>K201/CAR!$I$58</f>
        <v>1.1162562970189509</v>
      </c>
      <c r="AQ35" s="317">
        <f>L201/CAR!$I$58</f>
        <v>1.1100673281763898</v>
      </c>
      <c r="AR35" s="317">
        <f>M201/CAR!$I$58</f>
        <v>1.1010468482861306</v>
      </c>
      <c r="AS35" s="317">
        <f>N201/CAR!$I$58</f>
        <v>1.0907905079470102</v>
      </c>
      <c r="AT35" s="317">
        <f>O201/CAR!$I$58</f>
        <v>1.0813054651257521</v>
      </c>
      <c r="AU35" s="317">
        <f>P201/CAR!$I$58</f>
        <v>1.0736079581005442</v>
      </c>
      <c r="AV35" s="317">
        <f>Q201/CAR!$I$58</f>
        <v>1.0688035535627436</v>
      </c>
      <c r="AW35" s="317">
        <f>R201/CAR!$I$58</f>
        <v>1.0664852694356466</v>
      </c>
      <c r="AX35" s="317">
        <f>S201/CAR!$I$58</f>
        <v>1.0643235168676346</v>
      </c>
      <c r="AY35" s="317">
        <f>T201/CAR!$I$58</f>
        <v>1.0623004269461582</v>
      </c>
      <c r="AZ35" s="317">
        <f>U201/CAR!$I$58</f>
        <v>1.0603975410404227</v>
      </c>
      <c r="BA35" s="317">
        <f>V201/CAR!$I$58</f>
        <v>1.0585965849504058</v>
      </c>
      <c r="BB35" s="317">
        <f>W201/CAR!$I$58</f>
        <v>1.0568803094090133</v>
      </c>
      <c r="BC35" s="317">
        <f>X201/CAR!$I$58</f>
        <v>1.0552334251075053</v>
      </c>
      <c r="BD35" s="317">
        <f>Y201/CAR!$I$58</f>
        <v>1.0536436610569155</v>
      </c>
      <c r="BE35" s="317">
        <f>Z201/CAR!$I$58</f>
        <v>1.0521029755533258</v>
      </c>
      <c r="BF35" s="317">
        <f>AA201/CAR!$I$58</f>
        <v>1.0506089476103151</v>
      </c>
      <c r="BG35" s="317">
        <f>AB201/CAR!$I$58</f>
        <v>0</v>
      </c>
      <c r="BH35" s="317">
        <f>AC201/CAR!$I$58</f>
        <v>0</v>
      </c>
      <c r="BI35" s="317">
        <f>AD201/CAR!$I$58</f>
        <v>0</v>
      </c>
      <c r="BJ35" s="318">
        <f>AE201/CAR!$I$58</f>
        <v>0</v>
      </c>
    </row>
    <row r="36" spans="1:62">
      <c r="A36" s="1711"/>
      <c r="B36" s="116">
        <v>6</v>
      </c>
      <c r="C36" s="316">
        <f>'CAR SEC'!B10</f>
        <v>1.7100105186201047</v>
      </c>
      <c r="D36" s="317">
        <f t="shared" si="5"/>
        <v>1.7106919448387754</v>
      </c>
      <c r="E36" s="317">
        <f t="shared" si="5"/>
        <v>1.7079378413834014</v>
      </c>
      <c r="F36" s="317">
        <f t="shared" si="5"/>
        <v>1.6643611439023269</v>
      </c>
      <c r="G36" s="317">
        <f t="shared" si="5"/>
        <v>1.5820667060548328</v>
      </c>
      <c r="H36" s="317">
        <f t="shared" si="5"/>
        <v>1.5720949154751056</v>
      </c>
      <c r="I36" s="317">
        <f t="shared" si="5"/>
        <v>1.5269567629016723</v>
      </c>
      <c r="J36" s="317">
        <f t="shared" si="5"/>
        <v>0</v>
      </c>
      <c r="K36" s="317">
        <f t="shared" si="5"/>
        <v>0</v>
      </c>
      <c r="L36" s="317">
        <f t="shared" si="5"/>
        <v>0</v>
      </c>
      <c r="M36" s="317">
        <f t="shared" si="5"/>
        <v>0</v>
      </c>
      <c r="N36" s="317">
        <f t="shared" si="5"/>
        <v>0</v>
      </c>
      <c r="O36" s="317">
        <f t="shared" si="5"/>
        <v>0</v>
      </c>
      <c r="P36" s="317">
        <f t="shared" si="5"/>
        <v>0</v>
      </c>
      <c r="Q36" s="317">
        <f t="shared" si="5"/>
        <v>0</v>
      </c>
      <c r="R36" s="317">
        <f t="shared" si="5"/>
        <v>0</v>
      </c>
      <c r="S36" s="317">
        <f t="shared" si="5"/>
        <v>0</v>
      </c>
      <c r="T36" s="317">
        <f t="shared" si="4"/>
        <v>0</v>
      </c>
      <c r="U36" s="317">
        <f t="shared" si="4"/>
        <v>0</v>
      </c>
      <c r="V36" s="317">
        <f t="shared" si="4"/>
        <v>0</v>
      </c>
      <c r="W36" s="317">
        <f t="shared" si="4"/>
        <v>0</v>
      </c>
      <c r="X36" s="317">
        <f t="shared" si="4"/>
        <v>0</v>
      </c>
      <c r="Y36" s="317">
        <f t="shared" si="4"/>
        <v>0</v>
      </c>
      <c r="Z36" s="317">
        <f t="shared" si="4"/>
        <v>0</v>
      </c>
      <c r="AA36" s="317">
        <f t="shared" si="4"/>
        <v>0</v>
      </c>
      <c r="AB36" s="317">
        <f t="shared" si="4"/>
        <v>0</v>
      </c>
      <c r="AC36" s="317">
        <f t="shared" si="4"/>
        <v>0</v>
      </c>
      <c r="AD36" s="317">
        <f t="shared" si="4"/>
        <v>0</v>
      </c>
      <c r="AE36" s="318">
        <f t="shared" si="4"/>
        <v>0</v>
      </c>
      <c r="AG36" s="578" t="s">
        <v>47</v>
      </c>
      <c r="AH36" s="316">
        <f>C230/CAR!$I$58</f>
        <v>1.2472017814994232</v>
      </c>
      <c r="AI36" s="317">
        <f>D230/CAR!$I$58</f>
        <v>1.2428914209390503</v>
      </c>
      <c r="AJ36" s="317">
        <f>E230/CAR!$I$58</f>
        <v>1.2385272802932408</v>
      </c>
      <c r="AK36" s="317">
        <f>F230/CAR!$I$58</f>
        <v>1.2333108365806449</v>
      </c>
      <c r="AL36" s="317">
        <f>G230/CAR!$I$58</f>
        <v>1.2262952654628807</v>
      </c>
      <c r="AM36" s="317">
        <f>H230/CAR!$I$58</f>
        <v>1.2168927282895059</v>
      </c>
      <c r="AN36" s="317">
        <f>I230/CAR!$I$58</f>
        <v>1.2048654218739701</v>
      </c>
      <c r="AO36" s="317">
        <f>J230/CAR!$I$58</f>
        <v>1.1902171000427788</v>
      </c>
      <c r="AP36" s="317">
        <f>K230/CAR!$I$58</f>
        <v>1.172840735088738</v>
      </c>
      <c r="AQ36" s="317">
        <f>L230/CAR!$I$58</f>
        <v>1.1521954680776476</v>
      </c>
      <c r="AR36" s="317">
        <f>M230/CAR!$I$58</f>
        <v>1.1309943529712729</v>
      </c>
      <c r="AS36" s="317">
        <f>N230/CAR!$I$58</f>
        <v>1.1131493806129038</v>
      </c>
      <c r="AT36" s="317">
        <f>O230/CAR!$I$58</f>
        <v>1.1008564675567736</v>
      </c>
      <c r="AU36" s="317">
        <f>P230/CAR!$I$58</f>
        <v>1.0930112496524669</v>
      </c>
      <c r="AV36" s="317">
        <f>Q230/CAR!$I$58</f>
        <v>1.0878608880035332</v>
      </c>
      <c r="AW36" s="317">
        <f>R230/CAR!$I$58</f>
        <v>1.0856479937325694</v>
      </c>
      <c r="AX36" s="317">
        <f>S230/CAR!$I$58</f>
        <v>1.0837133879734102</v>
      </c>
      <c r="AY36" s="317">
        <f>T230/CAR!$I$58</f>
        <v>1.0819981814955406</v>
      </c>
      <c r="AZ36" s="317">
        <f>U230/CAR!$I$58</f>
        <v>1.0804490966220524</v>
      </c>
      <c r="BA36" s="317">
        <f>V230/CAR!$I$58</f>
        <v>1.0790194448863721</v>
      </c>
      <c r="BB36" s="317">
        <f>W230/CAR!$I$58</f>
        <v>1.0776700272264177</v>
      </c>
      <c r="BC36" s="317">
        <f>X230/CAR!$I$58</f>
        <v>1.0763700069633482</v>
      </c>
      <c r="BD36" s="317">
        <f>Y230/CAR!$I$58</f>
        <v>1.0750978037711867</v>
      </c>
      <c r="BE36" s="317">
        <f>Z230/CAR!$I$58</f>
        <v>1.0738420469023002</v>
      </c>
      <c r="BF36" s="317">
        <f>AA230/CAR!$I$58</f>
        <v>1.0726026055034485</v>
      </c>
      <c r="BG36" s="317">
        <f>AB230/CAR!$I$58</f>
        <v>0</v>
      </c>
      <c r="BH36" s="317">
        <f>AC230/CAR!$I$58</f>
        <v>0</v>
      </c>
      <c r="BI36" s="317">
        <f>AD230/CAR!$I$58</f>
        <v>0</v>
      </c>
      <c r="BJ36" s="318">
        <f>AE230/CAR!$I$58</f>
        <v>0</v>
      </c>
    </row>
    <row r="37" spans="1:62">
      <c r="A37" s="1711"/>
      <c r="B37" s="116">
        <v>7</v>
      </c>
      <c r="C37" s="316">
        <f>'CAR SEC'!B11</f>
        <v>1.752519625544906</v>
      </c>
      <c r="D37" s="317">
        <f t="shared" si="5"/>
        <v>1.7100105186201047</v>
      </c>
      <c r="E37" s="317">
        <f t="shared" si="5"/>
        <v>1.7106919448387754</v>
      </c>
      <c r="F37" s="317">
        <f t="shared" si="5"/>
        <v>1.7079378413834014</v>
      </c>
      <c r="G37" s="317">
        <f t="shared" si="5"/>
        <v>1.6643611439023269</v>
      </c>
      <c r="H37" s="317">
        <f t="shared" si="5"/>
        <v>1.5820667060548328</v>
      </c>
      <c r="I37" s="317">
        <f t="shared" si="5"/>
        <v>1.5720949154751056</v>
      </c>
      <c r="J37" s="317">
        <f t="shared" si="5"/>
        <v>1.5269567629016723</v>
      </c>
      <c r="K37" s="317">
        <f t="shared" si="5"/>
        <v>0</v>
      </c>
      <c r="L37" s="317">
        <f t="shared" si="5"/>
        <v>0</v>
      </c>
      <c r="M37" s="317">
        <f t="shared" si="5"/>
        <v>0</v>
      </c>
      <c r="N37" s="317">
        <f t="shared" si="5"/>
        <v>0</v>
      </c>
      <c r="O37" s="317">
        <f t="shared" si="5"/>
        <v>0</v>
      </c>
      <c r="P37" s="317">
        <f t="shared" si="5"/>
        <v>0</v>
      </c>
      <c r="Q37" s="317">
        <f t="shared" si="5"/>
        <v>0</v>
      </c>
      <c r="R37" s="317">
        <f t="shared" si="5"/>
        <v>0</v>
      </c>
      <c r="S37" s="317">
        <f t="shared" si="5"/>
        <v>0</v>
      </c>
      <c r="T37" s="317">
        <f t="shared" si="4"/>
        <v>0</v>
      </c>
      <c r="U37" s="317">
        <f t="shared" si="4"/>
        <v>0</v>
      </c>
      <c r="V37" s="317">
        <f t="shared" si="4"/>
        <v>0</v>
      </c>
      <c r="W37" s="317">
        <f t="shared" si="4"/>
        <v>0</v>
      </c>
      <c r="X37" s="317">
        <f t="shared" si="4"/>
        <v>0</v>
      </c>
      <c r="Y37" s="317">
        <f t="shared" si="4"/>
        <v>0</v>
      </c>
      <c r="Z37" s="317">
        <f t="shared" si="4"/>
        <v>0</v>
      </c>
      <c r="AA37" s="317">
        <f t="shared" si="4"/>
        <v>0</v>
      </c>
      <c r="AB37" s="317">
        <f t="shared" si="4"/>
        <v>0</v>
      </c>
      <c r="AC37" s="317">
        <f t="shared" si="4"/>
        <v>0</v>
      </c>
      <c r="AD37" s="317">
        <f t="shared" si="4"/>
        <v>0</v>
      </c>
      <c r="AE37" s="318">
        <f t="shared" si="4"/>
        <v>0</v>
      </c>
      <c r="AG37" s="578" t="s">
        <v>48</v>
      </c>
      <c r="AH37" s="316">
        <f>C259/CAR!$I$58</f>
        <v>1.5482175825156592</v>
      </c>
      <c r="AI37" s="317">
        <f>D259/CAR!$I$58</f>
        <v>1.5432322125665014</v>
      </c>
      <c r="AJ37" s="317">
        <f>E259/CAR!$I$58</f>
        <v>1.537285127959491</v>
      </c>
      <c r="AK37" s="317">
        <f>F259/CAR!$I$58</f>
        <v>1.528966209798523</v>
      </c>
      <c r="AL37" s="317">
        <f>G259/CAR!$I$58</f>
        <v>1.516850165957393</v>
      </c>
      <c r="AM37" s="317">
        <f>H259/CAR!$I$58</f>
        <v>1.4976124653317018</v>
      </c>
      <c r="AN37" s="317">
        <f>I259/CAR!$I$58</f>
        <v>1.4675833053618488</v>
      </c>
      <c r="AO37" s="317">
        <f>J259/CAR!$I$58</f>
        <v>1.4281198838048585</v>
      </c>
      <c r="AP37" s="317">
        <f>K259/CAR!$I$58</f>
        <v>1.3873854897969919</v>
      </c>
      <c r="AQ37" s="317">
        <f>L259/CAR!$I$58</f>
        <v>1.3514442769988837</v>
      </c>
      <c r="AR37" s="317">
        <f>M259/CAR!$I$58</f>
        <v>1.3230382198636117</v>
      </c>
      <c r="AS37" s="317">
        <f>N259/CAR!$I$58</f>
        <v>1.3021931988058417</v>
      </c>
      <c r="AT37" s="317">
        <f>O259/CAR!$I$58</f>
        <v>1.2877980133960703</v>
      </c>
      <c r="AU37" s="317">
        <f>P259/CAR!$I$58</f>
        <v>1.2781458852708063</v>
      </c>
      <c r="AV37" s="317">
        <f>Q259/CAR!$I$58</f>
        <v>1.2724797893283482</v>
      </c>
      <c r="AW37" s="317">
        <f>R259/CAR!$I$58</f>
        <v>1.2700748445441816</v>
      </c>
      <c r="AX37" s="317">
        <f>S259/CAR!$I$58</f>
        <v>1.2679001159900369</v>
      </c>
      <c r="AY37" s="317">
        <f>T259/CAR!$I$58</f>
        <v>1.2659235353995355</v>
      </c>
      <c r="AZ37" s="317">
        <f>U259/CAR!$I$58</f>
        <v>1.2641191159067768</v>
      </c>
      <c r="BA37" s="317">
        <f>V259/CAR!$I$58</f>
        <v>1.2624663245642349</v>
      </c>
      <c r="BB37" s="317">
        <f>W259/CAR!$I$58</f>
        <v>1.260949330256264</v>
      </c>
      <c r="BC37" s="317">
        <f>X259/CAR!$I$58</f>
        <v>1.2595561771983639</v>
      </c>
      <c r="BD37" s="317">
        <f>Y259/CAR!$I$58</f>
        <v>1.2582779257498244</v>
      </c>
      <c r="BE37" s="317">
        <f>Z259/CAR!$I$58</f>
        <v>1.257107793439276</v>
      </c>
      <c r="BF37" s="317">
        <f>AA259/CAR!$I$58</f>
        <v>1.2560403205318256</v>
      </c>
      <c r="BG37" s="317">
        <f>AB259/CAR!$I$58</f>
        <v>0</v>
      </c>
      <c r="BH37" s="317">
        <f>AC259/CAR!$I$58</f>
        <v>0</v>
      </c>
      <c r="BI37" s="317">
        <f>AD259/CAR!$I$58</f>
        <v>0</v>
      </c>
      <c r="BJ37" s="318">
        <f>AE259/CAR!$I$58</f>
        <v>0</v>
      </c>
    </row>
    <row r="38" spans="1:62">
      <c r="A38" s="1711"/>
      <c r="B38" s="116">
        <v>8</v>
      </c>
      <c r="C38" s="316">
        <f>'CAR SEC'!B12</f>
        <v>1.7847995726811077</v>
      </c>
      <c r="D38" s="317">
        <f t="shared" si="5"/>
        <v>1.752519625544906</v>
      </c>
      <c r="E38" s="317">
        <f t="shared" si="5"/>
        <v>1.7100105186201047</v>
      </c>
      <c r="F38" s="317">
        <f t="shared" si="5"/>
        <v>1.7106919448387754</v>
      </c>
      <c r="G38" s="317">
        <f t="shared" si="5"/>
        <v>1.7079378413834014</v>
      </c>
      <c r="H38" s="317">
        <f t="shared" si="5"/>
        <v>1.6643611439023269</v>
      </c>
      <c r="I38" s="317">
        <f t="shared" si="5"/>
        <v>1.5820667060548328</v>
      </c>
      <c r="J38" s="317">
        <f t="shared" si="5"/>
        <v>1.5720949154751056</v>
      </c>
      <c r="K38" s="317">
        <f t="shared" si="5"/>
        <v>1.5269567629016723</v>
      </c>
      <c r="L38" s="317">
        <f t="shared" si="5"/>
        <v>0</v>
      </c>
      <c r="M38" s="317">
        <f t="shared" si="5"/>
        <v>0</v>
      </c>
      <c r="N38" s="317">
        <f t="shared" si="5"/>
        <v>0</v>
      </c>
      <c r="O38" s="317">
        <f t="shared" si="5"/>
        <v>0</v>
      </c>
      <c r="P38" s="317">
        <f t="shared" si="5"/>
        <v>0</v>
      </c>
      <c r="Q38" s="317">
        <f t="shared" si="5"/>
        <v>0</v>
      </c>
      <c r="R38" s="317">
        <f t="shared" si="5"/>
        <v>0</v>
      </c>
      <c r="S38" s="317">
        <f t="shared" si="5"/>
        <v>0</v>
      </c>
      <c r="T38" s="317">
        <f t="shared" si="4"/>
        <v>0</v>
      </c>
      <c r="U38" s="317">
        <f t="shared" si="4"/>
        <v>0</v>
      </c>
      <c r="V38" s="317">
        <f t="shared" si="4"/>
        <v>0</v>
      </c>
      <c r="W38" s="317">
        <f t="shared" si="4"/>
        <v>0</v>
      </c>
      <c r="X38" s="317">
        <f t="shared" si="4"/>
        <v>0</v>
      </c>
      <c r="Y38" s="317">
        <f t="shared" si="4"/>
        <v>0</v>
      </c>
      <c r="Z38" s="317">
        <f t="shared" si="4"/>
        <v>0</v>
      </c>
      <c r="AA38" s="317">
        <f t="shared" si="4"/>
        <v>0</v>
      </c>
      <c r="AB38" s="317">
        <f t="shared" si="4"/>
        <v>0</v>
      </c>
      <c r="AC38" s="317">
        <f t="shared" si="4"/>
        <v>0</v>
      </c>
      <c r="AD38" s="317">
        <f t="shared" si="4"/>
        <v>0</v>
      </c>
      <c r="AE38" s="318">
        <f t="shared" si="4"/>
        <v>0</v>
      </c>
      <c r="AG38" s="578" t="s">
        <v>49</v>
      </c>
      <c r="AH38" s="316">
        <f>C288/CAR!$I$58</f>
        <v>0</v>
      </c>
      <c r="AI38" s="317">
        <f>D288/CAR!$I$58</f>
        <v>0</v>
      </c>
      <c r="AJ38" s="317">
        <f>E288/CAR!$I$58</f>
        <v>0</v>
      </c>
      <c r="AK38" s="317">
        <f>F288/CAR!$I$58</f>
        <v>0</v>
      </c>
      <c r="AL38" s="317">
        <f>G288/CAR!$I$58</f>
        <v>0</v>
      </c>
      <c r="AM38" s="317">
        <f>H288/CAR!$I$58</f>
        <v>0</v>
      </c>
      <c r="AN38" s="317">
        <f>I288/CAR!$I$58</f>
        <v>0</v>
      </c>
      <c r="AO38" s="317">
        <f>J288/CAR!$I$58</f>
        <v>0</v>
      </c>
      <c r="AP38" s="317">
        <f>K288/CAR!$I$58</f>
        <v>0</v>
      </c>
      <c r="AQ38" s="317">
        <f>L288/CAR!$I$58</f>
        <v>0</v>
      </c>
      <c r="AR38" s="317">
        <f>M288/CAR!$I$58</f>
        <v>0</v>
      </c>
      <c r="AS38" s="317">
        <f>N288/CAR!$I$58</f>
        <v>0</v>
      </c>
      <c r="AT38" s="317">
        <f>O288/CAR!$I$58</f>
        <v>0</v>
      </c>
      <c r="AU38" s="317">
        <f>P288/CAR!$I$58</f>
        <v>0</v>
      </c>
      <c r="AV38" s="317">
        <f>Q288/CAR!$I$58</f>
        <v>0</v>
      </c>
      <c r="AW38" s="317">
        <f>R288/CAR!$I$58</f>
        <v>0</v>
      </c>
      <c r="AX38" s="317">
        <f>S288/CAR!$I$58</f>
        <v>0</v>
      </c>
      <c r="AY38" s="317">
        <f>T288/CAR!$I$58</f>
        <v>0</v>
      </c>
      <c r="AZ38" s="317">
        <f>U288/CAR!$I$58</f>
        <v>0</v>
      </c>
      <c r="BA38" s="317">
        <f>V288/CAR!$I$58</f>
        <v>0</v>
      </c>
      <c r="BB38" s="317">
        <f>W288/CAR!$I$58</f>
        <v>0</v>
      </c>
      <c r="BC38" s="317">
        <f>X288/CAR!$I$58</f>
        <v>0</v>
      </c>
      <c r="BD38" s="317">
        <f>Y288/CAR!$I$58</f>
        <v>0</v>
      </c>
      <c r="BE38" s="317">
        <f>Z288/CAR!$I$58</f>
        <v>0</v>
      </c>
      <c r="BF38" s="317">
        <f>AA288/CAR!$I$58</f>
        <v>0</v>
      </c>
      <c r="BG38" s="317">
        <f>AB288/CAR!$I$58</f>
        <v>0</v>
      </c>
      <c r="BH38" s="317">
        <f>AC288/CAR!$I$58</f>
        <v>0</v>
      </c>
      <c r="BI38" s="317">
        <f>AD288/CAR!$I$58</f>
        <v>0</v>
      </c>
      <c r="BJ38" s="318">
        <f>AE288/CAR!$I$58</f>
        <v>0</v>
      </c>
    </row>
    <row r="39" spans="1:62">
      <c r="A39" s="1711"/>
      <c r="B39" s="116">
        <v>9</v>
      </c>
      <c r="C39" s="316">
        <f>'CAR SEC'!B13</f>
        <v>1.8194817243742876</v>
      </c>
      <c r="D39" s="317">
        <f t="shared" si="5"/>
        <v>1.7847995726811077</v>
      </c>
      <c r="E39" s="317">
        <f t="shared" si="5"/>
        <v>1.752519625544906</v>
      </c>
      <c r="F39" s="317">
        <f t="shared" si="5"/>
        <v>1.7100105186201047</v>
      </c>
      <c r="G39" s="317">
        <f t="shared" si="5"/>
        <v>1.7106919448387754</v>
      </c>
      <c r="H39" s="317">
        <f t="shared" si="5"/>
        <v>1.7079378413834014</v>
      </c>
      <c r="I39" s="317">
        <f t="shared" si="5"/>
        <v>1.6643611439023269</v>
      </c>
      <c r="J39" s="317">
        <f t="shared" si="5"/>
        <v>1.5820667060548328</v>
      </c>
      <c r="K39" s="317">
        <f t="shared" si="5"/>
        <v>1.5720949154751056</v>
      </c>
      <c r="L39" s="317">
        <f t="shared" si="5"/>
        <v>1.5269567629016723</v>
      </c>
      <c r="M39" s="317">
        <f t="shared" si="5"/>
        <v>0</v>
      </c>
      <c r="N39" s="317">
        <f t="shared" si="5"/>
        <v>0</v>
      </c>
      <c r="O39" s="317">
        <f t="shared" si="5"/>
        <v>0</v>
      </c>
      <c r="P39" s="317">
        <f t="shared" si="5"/>
        <v>0</v>
      </c>
      <c r="Q39" s="317">
        <f t="shared" si="5"/>
        <v>0</v>
      </c>
      <c r="R39" s="317">
        <f t="shared" si="5"/>
        <v>0</v>
      </c>
      <c r="S39" s="317">
        <f t="shared" si="5"/>
        <v>0</v>
      </c>
      <c r="T39" s="317">
        <f t="shared" si="4"/>
        <v>0</v>
      </c>
      <c r="U39" s="317">
        <f t="shared" si="4"/>
        <v>0</v>
      </c>
      <c r="V39" s="317">
        <f t="shared" si="4"/>
        <v>0</v>
      </c>
      <c r="W39" s="317">
        <f t="shared" si="4"/>
        <v>0</v>
      </c>
      <c r="X39" s="317">
        <f t="shared" si="4"/>
        <v>0</v>
      </c>
      <c r="Y39" s="317">
        <f t="shared" si="4"/>
        <v>0</v>
      </c>
      <c r="Z39" s="317">
        <f t="shared" si="4"/>
        <v>0</v>
      </c>
      <c r="AA39" s="317">
        <f t="shared" si="4"/>
        <v>0</v>
      </c>
      <c r="AB39" s="317">
        <f t="shared" si="4"/>
        <v>0</v>
      </c>
      <c r="AC39" s="317">
        <f t="shared" si="4"/>
        <v>0</v>
      </c>
      <c r="AD39" s="317">
        <f t="shared" si="4"/>
        <v>0</v>
      </c>
      <c r="AE39" s="318">
        <f t="shared" si="4"/>
        <v>0</v>
      </c>
      <c r="AG39" s="578" t="s">
        <v>50</v>
      </c>
      <c r="AH39" s="316">
        <f>C317/CAR!$I$58</f>
        <v>0.94272565830030242</v>
      </c>
      <c r="AI39" s="317">
        <f>D317/CAR!$I$58</f>
        <v>0.94272604338610633</v>
      </c>
      <c r="AJ39" s="317">
        <f>E317/CAR!$I$58</f>
        <v>0.94272660161456545</v>
      </c>
      <c r="AK39" s="317">
        <f>F317/CAR!$I$58</f>
        <v>0.94272722918788199</v>
      </c>
      <c r="AL39" s="317">
        <f>G317/CAR!$I$58</f>
        <v>0.9427227554402462</v>
      </c>
      <c r="AM39" s="317">
        <f>H317/CAR!$I$58</f>
        <v>0.94265720048426727</v>
      </c>
      <c r="AN39" s="317">
        <f>I317/CAR!$I$58</f>
        <v>0.94207448364461843</v>
      </c>
      <c r="AO39" s="317">
        <f>J317/CAR!$I$58</f>
        <v>0.93994123684461528</v>
      </c>
      <c r="AP39" s="317">
        <f>K317/CAR!$I$58</f>
        <v>0.93541063416492809</v>
      </c>
      <c r="AQ39" s="317">
        <f>L317/CAR!$I$58</f>
        <v>0.92817167725848415</v>
      </c>
      <c r="AR39" s="317">
        <f>M317/CAR!$I$58</f>
        <v>0.91753925471662323</v>
      </c>
      <c r="AS39" s="317">
        <f>N317/CAR!$I$58</f>
        <v>0.90330205690274912</v>
      </c>
      <c r="AT39" s="317">
        <f>O317/CAR!$I$58</f>
        <v>0.88684344710098428</v>
      </c>
      <c r="AU39" s="317">
        <f>P317/CAR!$I$58</f>
        <v>0.86926639010284101</v>
      </c>
      <c r="AV39" s="317">
        <f>Q317/CAR!$I$58</f>
        <v>0.85546489526577074</v>
      </c>
      <c r="AW39" s="317">
        <f>R317/CAR!$I$58</f>
        <v>0.85008026419442329</v>
      </c>
      <c r="AX39" s="317">
        <f>S317/CAR!$I$58</f>
        <v>0.84461403423889303</v>
      </c>
      <c r="AY39" s="317">
        <f>T317/CAR!$I$58</f>
        <v>0.83910163706196605</v>
      </c>
      <c r="AZ39" s="317">
        <f>U317/CAR!$I$58</f>
        <v>0.8335854085329556</v>
      </c>
      <c r="BA39" s="317">
        <f>V317/CAR!$I$58</f>
        <v>0.82811482077713883</v>
      </c>
      <c r="BB39" s="317">
        <f>W317/CAR!$I$58</f>
        <v>0.82274644345836478</v>
      </c>
      <c r="BC39" s="317">
        <f>X317/CAR!$I$58</f>
        <v>0.81754355493369069</v>
      </c>
      <c r="BD39" s="317">
        <f>Y317/CAR!$I$58</f>
        <v>0.81257532898465146</v>
      </c>
      <c r="BE39" s="317">
        <f>Z317/CAR!$I$58</f>
        <v>0.80791553890998269</v>
      </c>
      <c r="BF39" s="317">
        <f>AA317/CAR!$I$58</f>
        <v>0.80364074995078372</v>
      </c>
      <c r="BG39" s="317">
        <f>AB317/CAR!$I$58</f>
        <v>0</v>
      </c>
      <c r="BH39" s="317">
        <f>AC317/CAR!$I$58</f>
        <v>0</v>
      </c>
      <c r="BI39" s="317">
        <f>AD317/CAR!$I$58</f>
        <v>0</v>
      </c>
      <c r="BJ39" s="318">
        <f>AE317/CAR!$I$58</f>
        <v>0</v>
      </c>
    </row>
    <row r="40" spans="1:62">
      <c r="A40" s="1711"/>
      <c r="B40" s="116">
        <v>10</v>
      </c>
      <c r="C40" s="316">
        <f>'CAR SEC'!B14</f>
        <v>1.8536288668191863</v>
      </c>
      <c r="D40" s="317">
        <f t="shared" si="5"/>
        <v>1.8194817243742876</v>
      </c>
      <c r="E40" s="317">
        <f t="shared" si="5"/>
        <v>1.7847995726811077</v>
      </c>
      <c r="F40" s="317">
        <f t="shared" si="5"/>
        <v>1.752519625544906</v>
      </c>
      <c r="G40" s="317">
        <f t="shared" si="5"/>
        <v>1.7100105186201047</v>
      </c>
      <c r="H40" s="317">
        <f t="shared" si="5"/>
        <v>1.7106919448387754</v>
      </c>
      <c r="I40" s="317">
        <f t="shared" si="5"/>
        <v>1.7079378413834014</v>
      </c>
      <c r="J40" s="317">
        <f t="shared" si="5"/>
        <v>1.6643611439023269</v>
      </c>
      <c r="K40" s="317">
        <f t="shared" si="5"/>
        <v>1.5820667060548328</v>
      </c>
      <c r="L40" s="317">
        <f t="shared" si="5"/>
        <v>1.5720949154751056</v>
      </c>
      <c r="M40" s="317">
        <f t="shared" si="5"/>
        <v>1.5269567629016723</v>
      </c>
      <c r="N40" s="317">
        <f t="shared" si="5"/>
        <v>0</v>
      </c>
      <c r="O40" s="317">
        <f t="shared" si="5"/>
        <v>0</v>
      </c>
      <c r="P40" s="317">
        <f t="shared" si="5"/>
        <v>0</v>
      </c>
      <c r="Q40" s="317">
        <f t="shared" si="5"/>
        <v>0</v>
      </c>
      <c r="R40" s="317">
        <f t="shared" si="5"/>
        <v>0</v>
      </c>
      <c r="S40" s="317">
        <f t="shared" si="5"/>
        <v>0</v>
      </c>
      <c r="T40" s="317">
        <f t="shared" si="4"/>
        <v>0</v>
      </c>
      <c r="U40" s="317">
        <f t="shared" si="4"/>
        <v>0</v>
      </c>
      <c r="V40" s="317">
        <f t="shared" si="4"/>
        <v>0</v>
      </c>
      <c r="W40" s="317">
        <f t="shared" si="4"/>
        <v>0</v>
      </c>
      <c r="X40" s="317">
        <f t="shared" si="4"/>
        <v>0</v>
      </c>
      <c r="Y40" s="317">
        <f t="shared" si="4"/>
        <v>0</v>
      </c>
      <c r="Z40" s="317">
        <f t="shared" si="4"/>
        <v>0</v>
      </c>
      <c r="AA40" s="317">
        <f t="shared" si="4"/>
        <v>0</v>
      </c>
      <c r="AB40" s="317">
        <f t="shared" si="4"/>
        <v>0</v>
      </c>
      <c r="AC40" s="317">
        <f t="shared" si="4"/>
        <v>0</v>
      </c>
      <c r="AD40" s="317">
        <f t="shared" si="4"/>
        <v>0</v>
      </c>
      <c r="AE40" s="318">
        <f t="shared" si="4"/>
        <v>0</v>
      </c>
      <c r="AG40" s="578" t="s">
        <v>51</v>
      </c>
      <c r="AH40" s="316">
        <f>C346/CAR!$I$58</f>
        <v>0.91308344944947795</v>
      </c>
      <c r="AI40" s="317">
        <f>D346/CAR!$I$58</f>
        <v>0.91308564114800728</v>
      </c>
      <c r="AJ40" s="317">
        <f>E346/CAR!$I$58</f>
        <v>0.91306199634790064</v>
      </c>
      <c r="AK40" s="317">
        <f>F346/CAR!$I$58</f>
        <v>0.91244817109449505</v>
      </c>
      <c r="AL40" s="317">
        <f>G346/CAR!$I$58</f>
        <v>0.90969218730253643</v>
      </c>
      <c r="AM40" s="317">
        <f>H346/CAR!$I$58</f>
        <v>0.90492880135072706</v>
      </c>
      <c r="AN40" s="317">
        <f>I346/CAR!$I$58</f>
        <v>0.89869107471365872</v>
      </c>
      <c r="AO40" s="317">
        <f>J346/CAR!$I$58</f>
        <v>0.89142873503169784</v>
      </c>
      <c r="AP40" s="317">
        <f>K346/CAR!$I$58</f>
        <v>0.88470565993138894</v>
      </c>
      <c r="AQ40" s="317">
        <f>L346/CAR!$I$58</f>
        <v>0.87872351423094208</v>
      </c>
      <c r="AR40" s="317">
        <f>M346/CAR!$I$58</f>
        <v>0.87402077711460235</v>
      </c>
      <c r="AS40" s="317">
        <f>N346/CAR!$I$58</f>
        <v>0.87217260432914057</v>
      </c>
      <c r="AT40" s="317">
        <f>O346/CAR!$I$58</f>
        <v>0.87104216402489099</v>
      </c>
      <c r="AU40" s="317">
        <f>P346/CAR!$I$58</f>
        <v>0.87003041023464067</v>
      </c>
      <c r="AV40" s="317">
        <f>Q346/CAR!$I$58</f>
        <v>0.86915053771231454</v>
      </c>
      <c r="AW40" s="317">
        <f>R346/CAR!$I$58</f>
        <v>0.86844134820290664</v>
      </c>
      <c r="AX40" s="317">
        <f>S346/CAR!$I$58</f>
        <v>0.86795208281178349</v>
      </c>
      <c r="AY40" s="317">
        <f>T346/CAR!$I$58</f>
        <v>0.86774222925250633</v>
      </c>
      <c r="AZ40" s="317">
        <f>U346/CAR!$I$58</f>
        <v>0.86787616066475137</v>
      </c>
      <c r="BA40" s="317">
        <f>V346/CAR!$I$58</f>
        <v>0.86840557612468949</v>
      </c>
      <c r="BB40" s="317">
        <f>W346/CAR!$I$58</f>
        <v>0.86932846919608409</v>
      </c>
      <c r="BC40" s="317">
        <f>X346/CAR!$I$58</f>
        <v>0.87051592389262289</v>
      </c>
      <c r="BD40" s="317">
        <f>Y346/CAR!$I$58</f>
        <v>0.87162805144957578</v>
      </c>
      <c r="BE40" s="317">
        <f>Z346/CAR!$I$58</f>
        <v>0</v>
      </c>
      <c r="BF40" s="317">
        <f>AA346/CAR!$I$58</f>
        <v>0</v>
      </c>
      <c r="BG40" s="317">
        <f>AB346/CAR!$I$58</f>
        <v>0</v>
      </c>
      <c r="BH40" s="317">
        <f>AC346/CAR!$I$58</f>
        <v>0</v>
      </c>
      <c r="BI40" s="317">
        <f>AD346/CAR!$I$58</f>
        <v>0</v>
      </c>
      <c r="BJ40" s="318">
        <f>AE346/CAR!$I$58</f>
        <v>0</v>
      </c>
    </row>
    <row r="41" spans="1:62">
      <c r="A41" s="1711"/>
      <c r="B41" s="116">
        <v>11</v>
      </c>
      <c r="C41" s="316">
        <f>'CAR SEC'!B15</f>
        <v>1.860457068136725</v>
      </c>
      <c r="D41" s="317">
        <f t="shared" si="5"/>
        <v>1.8536288668191863</v>
      </c>
      <c r="E41" s="317">
        <f t="shared" si="5"/>
        <v>1.8194817243742876</v>
      </c>
      <c r="F41" s="317">
        <f t="shared" si="5"/>
        <v>1.7847995726811077</v>
      </c>
      <c r="G41" s="317">
        <f t="shared" si="5"/>
        <v>1.752519625544906</v>
      </c>
      <c r="H41" s="317">
        <f t="shared" si="5"/>
        <v>1.7100105186201047</v>
      </c>
      <c r="I41" s="317">
        <f t="shared" si="5"/>
        <v>1.7106919448387754</v>
      </c>
      <c r="J41" s="317">
        <f t="shared" si="5"/>
        <v>1.7079378413834014</v>
      </c>
      <c r="K41" s="317">
        <f t="shared" si="5"/>
        <v>1.6643611439023269</v>
      </c>
      <c r="L41" s="317">
        <f t="shared" si="5"/>
        <v>1.5820667060548328</v>
      </c>
      <c r="M41" s="317">
        <f t="shared" si="5"/>
        <v>1.5720949154751056</v>
      </c>
      <c r="N41" s="317">
        <f t="shared" si="5"/>
        <v>1.5269567629016723</v>
      </c>
      <c r="O41" s="317">
        <f t="shared" si="5"/>
        <v>0</v>
      </c>
      <c r="P41" s="317">
        <f t="shared" si="5"/>
        <v>0</v>
      </c>
      <c r="Q41" s="317">
        <f t="shared" si="5"/>
        <v>0</v>
      </c>
      <c r="R41" s="317">
        <f t="shared" si="5"/>
        <v>0</v>
      </c>
      <c r="S41" s="317">
        <f t="shared" si="5"/>
        <v>0</v>
      </c>
      <c r="T41" s="317">
        <f t="shared" si="4"/>
        <v>0</v>
      </c>
      <c r="U41" s="317">
        <f t="shared" si="4"/>
        <v>0</v>
      </c>
      <c r="V41" s="317">
        <f t="shared" si="4"/>
        <v>0</v>
      </c>
      <c r="W41" s="317">
        <f t="shared" si="4"/>
        <v>0</v>
      </c>
      <c r="X41" s="317">
        <f t="shared" si="4"/>
        <v>0</v>
      </c>
      <c r="Y41" s="317">
        <f t="shared" si="4"/>
        <v>0</v>
      </c>
      <c r="Z41" s="317">
        <f t="shared" si="4"/>
        <v>0</v>
      </c>
      <c r="AA41" s="317">
        <f t="shared" si="4"/>
        <v>0</v>
      </c>
      <c r="AB41" s="317">
        <f t="shared" si="4"/>
        <v>0</v>
      </c>
      <c r="AC41" s="317">
        <f t="shared" si="4"/>
        <v>0</v>
      </c>
      <c r="AD41" s="317">
        <f t="shared" si="4"/>
        <v>0</v>
      </c>
      <c r="AE41" s="318">
        <f t="shared" si="4"/>
        <v>0</v>
      </c>
      <c r="AG41" s="578" t="s">
        <v>52</v>
      </c>
      <c r="AH41" s="316">
        <f>C375/CAR!$I$58</f>
        <v>1.7551149055674731</v>
      </c>
      <c r="AI41" s="317">
        <f>D375/CAR!$I$58</f>
        <v>1.7551149055674731</v>
      </c>
      <c r="AJ41" s="317">
        <f>E375/CAR!$I$58</f>
        <v>1.7551152141423614</v>
      </c>
      <c r="AK41" s="317">
        <f>F375/CAR!$I$58</f>
        <v>1.7551171656943541</v>
      </c>
      <c r="AL41" s="317">
        <f>G375/CAR!$I$58</f>
        <v>1.7549923486329828</v>
      </c>
      <c r="AM41" s="317">
        <f>H375/CAR!$I$58</f>
        <v>1.75450483171005</v>
      </c>
      <c r="AN41" s="317">
        <f>I375/CAR!$I$58</f>
        <v>1.7537167505165652</v>
      </c>
      <c r="AO41" s="317">
        <f>J375/CAR!$I$58</f>
        <v>1.7526363324484853</v>
      </c>
      <c r="AP41" s="317">
        <f>K375/CAR!$I$58</f>
        <v>1.7512992170793165</v>
      </c>
      <c r="AQ41" s="317">
        <f>L375/CAR!$I$58</f>
        <v>1.7496532243560496</v>
      </c>
      <c r="AR41" s="317">
        <f>M375/CAR!$I$58</f>
        <v>1.7475102088219114</v>
      </c>
      <c r="AS41" s="317">
        <f>N375/CAR!$I$58</f>
        <v>1.7449077533281745</v>
      </c>
      <c r="AT41" s="317">
        <f>O375/CAR!$I$58</f>
        <v>1.742288771833743</v>
      </c>
      <c r="AU41" s="317">
        <f>P375/CAR!$I$58</f>
        <v>1.7396263173720337</v>
      </c>
      <c r="AV41" s="317">
        <f>Q375/CAR!$I$58</f>
        <v>1.7368447220848149</v>
      </c>
      <c r="AW41" s="317">
        <f>R375/CAR!$I$58</f>
        <v>1.7332275493449658</v>
      </c>
      <c r="AX41" s="317">
        <f>S375/CAR!$I$58</f>
        <v>1.7284734459980635</v>
      </c>
      <c r="AY41" s="317">
        <f>T375/CAR!$I$58</f>
        <v>1.7222472239132458</v>
      </c>
      <c r="AZ41" s="317">
        <f>U375/CAR!$I$58</f>
        <v>1.714346242464827</v>
      </c>
      <c r="BA41" s="317">
        <f>V375/CAR!$I$58</f>
        <v>1.7051082142153986</v>
      </c>
      <c r="BB41" s="317">
        <f>W375/CAR!$I$58</f>
        <v>1.6959220379730873</v>
      </c>
      <c r="BC41" s="317">
        <f>X375/CAR!$I$58</f>
        <v>1.6889241931188061</v>
      </c>
      <c r="BD41" s="317">
        <f>Y375/CAR!$I$58</f>
        <v>1.6850649954170616</v>
      </c>
      <c r="BE41" s="317">
        <f>Z375/CAR!$I$58</f>
        <v>1.6823194469954692</v>
      </c>
      <c r="BF41" s="317">
        <f>AA375/CAR!$I$58</f>
        <v>0</v>
      </c>
      <c r="BG41" s="317">
        <f>AB375/CAR!$I$58</f>
        <v>0</v>
      </c>
      <c r="BH41" s="317">
        <f>AC375/CAR!$I$58</f>
        <v>0</v>
      </c>
      <c r="BI41" s="317">
        <f>AD375/CAR!$I$58</f>
        <v>0</v>
      </c>
      <c r="BJ41" s="318">
        <f>AE375/CAR!$I$58</f>
        <v>0</v>
      </c>
    </row>
    <row r="42" spans="1:62">
      <c r="A42" s="1711"/>
      <c r="B42" s="116">
        <v>12</v>
      </c>
      <c r="C42" s="316">
        <f>'CAR SEC'!B16</f>
        <v>1.8739923219499361</v>
      </c>
      <c r="D42" s="317">
        <f t="shared" si="5"/>
        <v>1.860457068136725</v>
      </c>
      <c r="E42" s="317">
        <f t="shared" si="5"/>
        <v>1.8536288668191863</v>
      </c>
      <c r="F42" s="317">
        <f t="shared" si="5"/>
        <v>1.8194817243742876</v>
      </c>
      <c r="G42" s="317">
        <f t="shared" si="5"/>
        <v>1.7847995726811077</v>
      </c>
      <c r="H42" s="317">
        <f t="shared" si="5"/>
        <v>1.752519625544906</v>
      </c>
      <c r="I42" s="317">
        <f t="shared" si="5"/>
        <v>1.7100105186201047</v>
      </c>
      <c r="J42" s="317">
        <f t="shared" si="5"/>
        <v>1.7106919448387754</v>
      </c>
      <c r="K42" s="317">
        <f t="shared" si="5"/>
        <v>1.7079378413834014</v>
      </c>
      <c r="L42" s="317">
        <f t="shared" si="5"/>
        <v>1.6643611439023269</v>
      </c>
      <c r="M42" s="317">
        <f t="shared" si="5"/>
        <v>1.5820667060548328</v>
      </c>
      <c r="N42" s="317">
        <f t="shared" si="5"/>
        <v>1.5720949154751056</v>
      </c>
      <c r="O42" s="317">
        <f t="shared" si="5"/>
        <v>1.5269567629016723</v>
      </c>
      <c r="P42" s="317">
        <f t="shared" si="5"/>
        <v>0</v>
      </c>
      <c r="Q42" s="317">
        <f t="shared" si="5"/>
        <v>0</v>
      </c>
      <c r="R42" s="317">
        <f t="shared" si="5"/>
        <v>0</v>
      </c>
      <c r="S42" s="317">
        <f t="shared" si="5"/>
        <v>0</v>
      </c>
      <c r="T42" s="317">
        <f t="shared" si="4"/>
        <v>0</v>
      </c>
      <c r="U42" s="317">
        <f t="shared" si="4"/>
        <v>0</v>
      </c>
      <c r="V42" s="317">
        <f t="shared" si="4"/>
        <v>0</v>
      </c>
      <c r="W42" s="317">
        <f t="shared" si="4"/>
        <v>0</v>
      </c>
      <c r="X42" s="317">
        <f t="shared" si="4"/>
        <v>0</v>
      </c>
      <c r="Y42" s="317">
        <f t="shared" si="4"/>
        <v>0</v>
      </c>
      <c r="Z42" s="317">
        <f t="shared" si="4"/>
        <v>0</v>
      </c>
      <c r="AA42" s="317">
        <f t="shared" si="4"/>
        <v>0</v>
      </c>
      <c r="AB42" s="317">
        <f t="shared" si="4"/>
        <v>0</v>
      </c>
      <c r="AC42" s="317">
        <f t="shared" si="4"/>
        <v>0</v>
      </c>
      <c r="AD42" s="317">
        <f t="shared" si="4"/>
        <v>0</v>
      </c>
      <c r="AE42" s="318">
        <f t="shared" si="4"/>
        <v>0</v>
      </c>
      <c r="AG42" s="578" t="s">
        <v>53</v>
      </c>
      <c r="AH42" s="316">
        <f>C404/CAR!$I$58</f>
        <v>0</v>
      </c>
      <c r="AI42" s="317">
        <f>D404/CAR!$I$58</f>
        <v>0</v>
      </c>
      <c r="AJ42" s="317">
        <f>E404/CAR!$I$58</f>
        <v>0</v>
      </c>
      <c r="AK42" s="317">
        <f>F404/CAR!$I$58</f>
        <v>0</v>
      </c>
      <c r="AL42" s="317">
        <f>G404/CAR!$I$58</f>
        <v>0</v>
      </c>
      <c r="AM42" s="317">
        <f>H404/CAR!$I$58</f>
        <v>0</v>
      </c>
      <c r="AN42" s="317">
        <f>I404/CAR!$I$58</f>
        <v>0</v>
      </c>
      <c r="AO42" s="317">
        <f>J404/CAR!$I$58</f>
        <v>0</v>
      </c>
      <c r="AP42" s="317">
        <f>K404/CAR!$I$58</f>
        <v>0</v>
      </c>
      <c r="AQ42" s="317">
        <f>L404/CAR!$I$58</f>
        <v>0</v>
      </c>
      <c r="AR42" s="317">
        <f>M404/CAR!$I$58</f>
        <v>0</v>
      </c>
      <c r="AS42" s="317">
        <f>N404/CAR!$I$58</f>
        <v>0</v>
      </c>
      <c r="AT42" s="317">
        <f>O404/CAR!$I$58</f>
        <v>0</v>
      </c>
      <c r="AU42" s="317">
        <f>P404/CAR!$I$58</f>
        <v>0</v>
      </c>
      <c r="AV42" s="317">
        <f>Q404/CAR!$I$58</f>
        <v>0</v>
      </c>
      <c r="AW42" s="317">
        <f>R404/CAR!$I$58</f>
        <v>0</v>
      </c>
      <c r="AX42" s="317">
        <f>S404/CAR!$I$58</f>
        <v>0</v>
      </c>
      <c r="AY42" s="317">
        <f>T404/CAR!$I$58</f>
        <v>0</v>
      </c>
      <c r="AZ42" s="317">
        <f>U404/CAR!$I$58</f>
        <v>0</v>
      </c>
      <c r="BA42" s="317">
        <f>V404/CAR!$I$58</f>
        <v>0</v>
      </c>
      <c r="BB42" s="317">
        <f>W404/CAR!$I$58</f>
        <v>0</v>
      </c>
      <c r="BC42" s="317">
        <f>X404/CAR!$I$58</f>
        <v>0</v>
      </c>
      <c r="BD42" s="317">
        <f>Y404/CAR!$I$58</f>
        <v>0</v>
      </c>
      <c r="BE42" s="317">
        <f>Z404/CAR!$I$58</f>
        <v>0</v>
      </c>
      <c r="BF42" s="317">
        <f>AA404/CAR!$I$58</f>
        <v>0</v>
      </c>
      <c r="BG42" s="317">
        <f>AB404/CAR!$I$58</f>
        <v>0</v>
      </c>
      <c r="BH42" s="317">
        <f>AC404/CAR!$I$58</f>
        <v>0</v>
      </c>
      <c r="BI42" s="317">
        <f>AD404/CAR!$I$58</f>
        <v>0</v>
      </c>
      <c r="BJ42" s="318">
        <f>AE404/CAR!$I$58</f>
        <v>0</v>
      </c>
    </row>
    <row r="43" spans="1:62">
      <c r="A43" s="1711"/>
      <c r="B43" s="116">
        <v>13</v>
      </c>
      <c r="C43" s="316">
        <f>'CAR SEC'!B17</f>
        <v>1.8930922791124551</v>
      </c>
      <c r="D43" s="317">
        <f t="shared" si="5"/>
        <v>1.8739923219499361</v>
      </c>
      <c r="E43" s="317">
        <f t="shared" si="5"/>
        <v>1.860457068136725</v>
      </c>
      <c r="F43" s="317">
        <f t="shared" si="5"/>
        <v>1.8536288668191863</v>
      </c>
      <c r="G43" s="317">
        <f t="shared" si="5"/>
        <v>1.8194817243742876</v>
      </c>
      <c r="H43" s="317">
        <f t="shared" si="5"/>
        <v>1.7847995726811077</v>
      </c>
      <c r="I43" s="317">
        <f t="shared" si="5"/>
        <v>1.752519625544906</v>
      </c>
      <c r="J43" s="317">
        <f t="shared" si="5"/>
        <v>1.7100105186201047</v>
      </c>
      <c r="K43" s="317">
        <f t="shared" si="5"/>
        <v>1.7106919448387754</v>
      </c>
      <c r="L43" s="317">
        <f t="shared" si="5"/>
        <v>1.7079378413834014</v>
      </c>
      <c r="M43" s="317">
        <f t="shared" si="5"/>
        <v>1.6643611439023269</v>
      </c>
      <c r="N43" s="317">
        <f t="shared" si="5"/>
        <v>1.5820667060548328</v>
      </c>
      <c r="O43" s="317">
        <f t="shared" si="5"/>
        <v>1.5720949154751056</v>
      </c>
      <c r="P43" s="317">
        <f t="shared" si="5"/>
        <v>1.5269567629016723</v>
      </c>
      <c r="Q43" s="317">
        <f t="shared" si="5"/>
        <v>0</v>
      </c>
      <c r="R43" s="317">
        <f t="shared" si="5"/>
        <v>0</v>
      </c>
      <c r="S43" s="317">
        <f t="shared" si="5"/>
        <v>0</v>
      </c>
      <c r="T43" s="317">
        <f t="shared" si="4"/>
        <v>0</v>
      </c>
      <c r="U43" s="317">
        <f t="shared" si="4"/>
        <v>0</v>
      </c>
      <c r="V43" s="317">
        <f t="shared" si="4"/>
        <v>0</v>
      </c>
      <c r="W43" s="317">
        <f t="shared" si="4"/>
        <v>0</v>
      </c>
      <c r="X43" s="317">
        <f t="shared" si="4"/>
        <v>0</v>
      </c>
      <c r="Y43" s="317">
        <f t="shared" si="4"/>
        <v>0</v>
      </c>
      <c r="Z43" s="317">
        <f t="shared" si="4"/>
        <v>0</v>
      </c>
      <c r="AA43" s="317">
        <f t="shared" si="4"/>
        <v>0</v>
      </c>
      <c r="AB43" s="317">
        <f t="shared" si="4"/>
        <v>0</v>
      </c>
      <c r="AC43" s="317">
        <f t="shared" si="4"/>
        <v>0</v>
      </c>
      <c r="AD43" s="317">
        <f t="shared" si="4"/>
        <v>0</v>
      </c>
      <c r="AE43" s="318">
        <f t="shared" si="4"/>
        <v>0</v>
      </c>
      <c r="AG43" s="578" t="s">
        <v>54</v>
      </c>
      <c r="AH43" s="316">
        <f>C433/CAR!$I$58</f>
        <v>1.2675041804856093</v>
      </c>
      <c r="AI43" s="317">
        <f>D433/CAR!$I$58</f>
        <v>1.2674400530796814</v>
      </c>
      <c r="AJ43" s="317">
        <f>E433/CAR!$I$58</f>
        <v>1.267320739260259</v>
      </c>
      <c r="AK43" s="317">
        <f>F433/CAR!$I$58</f>
        <v>1.2670928832523731</v>
      </c>
      <c r="AL43" s="317">
        <f>G433/CAR!$I$58</f>
        <v>1.266726236817332</v>
      </c>
      <c r="AM43" s="317">
        <f>H433/CAR!$I$58</f>
        <v>1.2662568667695309</v>
      </c>
      <c r="AN43" s="317">
        <f>I433/CAR!$I$58</f>
        <v>1.2657350120706978</v>
      </c>
      <c r="AO43" s="317">
        <f>J433/CAR!$I$58</f>
        <v>1.2651964542956065</v>
      </c>
      <c r="AP43" s="317">
        <f>K433/CAR!$I$58</f>
        <v>1.2647377786555181</v>
      </c>
      <c r="AQ43" s="317">
        <f>L433/CAR!$I$58</f>
        <v>1.2643366678873633</v>
      </c>
      <c r="AR43" s="317">
        <f>M433/CAR!$I$58</f>
        <v>1.2639696334178723</v>
      </c>
      <c r="AS43" s="317">
        <f>N433/CAR!$I$58</f>
        <v>1.2637773363463978</v>
      </c>
      <c r="AT43" s="317">
        <f>O433/CAR!$I$58</f>
        <v>1.2637454120611358</v>
      </c>
      <c r="AU43" s="317">
        <f>P433/CAR!$I$58</f>
        <v>1.2643263584815687</v>
      </c>
      <c r="AV43" s="317">
        <f>Q433/CAR!$I$58</f>
        <v>1.2654055971185967</v>
      </c>
      <c r="AW43" s="317">
        <f>R433/CAR!$I$58</f>
        <v>1.265803513163037</v>
      </c>
      <c r="AX43" s="317">
        <f>S433/CAR!$I$58</f>
        <v>1.2662745834870173</v>
      </c>
      <c r="AY43" s="317">
        <f>T433/CAR!$I$58</f>
        <v>1.2668203918299594</v>
      </c>
      <c r="AZ43" s="317">
        <f>U433/CAR!$I$58</f>
        <v>1.2674410108511187</v>
      </c>
      <c r="BA43" s="317">
        <f>V433/CAR!$I$58</f>
        <v>1.2681349472953893</v>
      </c>
      <c r="BB43" s="317">
        <f>W433/CAR!$I$58</f>
        <v>1.2688990741281485</v>
      </c>
      <c r="BC43" s="317">
        <f>X433/CAR!$I$58</f>
        <v>1.2697284721741471</v>
      </c>
      <c r="BD43" s="317">
        <f>Y433/CAR!$I$58</f>
        <v>1.2706161026081977</v>
      </c>
      <c r="BE43" s="317">
        <f>Z433/CAR!$I$58</f>
        <v>1.271552247131015</v>
      </c>
      <c r="BF43" s="317">
        <f>AA433/CAR!$I$58</f>
        <v>1.2725236842658039</v>
      </c>
      <c r="BG43" s="317">
        <f>AB433/CAR!$I$58</f>
        <v>0</v>
      </c>
      <c r="BH43" s="317">
        <f>AC433/CAR!$I$58</f>
        <v>0</v>
      </c>
      <c r="BI43" s="317">
        <f>AD433/CAR!$I$58</f>
        <v>0</v>
      </c>
      <c r="BJ43" s="318">
        <f>AE433/CAR!$I$58</f>
        <v>0</v>
      </c>
    </row>
    <row r="44" spans="1:62">
      <c r="A44" s="1711"/>
      <c r="B44" s="116">
        <v>14</v>
      </c>
      <c r="C44" s="316">
        <f>'CAR SEC'!B18</f>
        <v>1.9140860031626437</v>
      </c>
      <c r="D44" s="317">
        <f t="shared" si="5"/>
        <v>1.8930922791124551</v>
      </c>
      <c r="E44" s="317">
        <f t="shared" si="5"/>
        <v>1.8739923219499361</v>
      </c>
      <c r="F44" s="317">
        <f t="shared" si="5"/>
        <v>1.860457068136725</v>
      </c>
      <c r="G44" s="317">
        <f t="shared" si="5"/>
        <v>1.8536288668191863</v>
      </c>
      <c r="H44" s="317">
        <f t="shared" si="5"/>
        <v>1.8194817243742876</v>
      </c>
      <c r="I44" s="317">
        <f t="shared" si="5"/>
        <v>1.7847995726811077</v>
      </c>
      <c r="J44" s="317">
        <f t="shared" si="5"/>
        <v>1.752519625544906</v>
      </c>
      <c r="K44" s="317">
        <f t="shared" si="5"/>
        <v>1.7100105186201047</v>
      </c>
      <c r="L44" s="317">
        <f t="shared" si="5"/>
        <v>1.7106919448387754</v>
      </c>
      <c r="M44" s="317">
        <f t="shared" si="5"/>
        <v>1.7079378413834014</v>
      </c>
      <c r="N44" s="317">
        <f t="shared" si="5"/>
        <v>1.6643611439023269</v>
      </c>
      <c r="O44" s="317">
        <f t="shared" si="5"/>
        <v>1.5820667060548328</v>
      </c>
      <c r="P44" s="317">
        <f t="shared" si="5"/>
        <v>1.5720949154751056</v>
      </c>
      <c r="Q44" s="317">
        <f t="shared" si="5"/>
        <v>1.5269567629016723</v>
      </c>
      <c r="R44" s="317">
        <f t="shared" si="5"/>
        <v>0</v>
      </c>
      <c r="S44" s="317">
        <f t="shared" si="5"/>
        <v>0</v>
      </c>
      <c r="T44" s="317">
        <f t="shared" si="4"/>
        <v>0</v>
      </c>
      <c r="U44" s="317">
        <f t="shared" si="4"/>
        <v>0</v>
      </c>
      <c r="V44" s="317">
        <f t="shared" si="4"/>
        <v>0</v>
      </c>
      <c r="W44" s="317">
        <f t="shared" si="4"/>
        <v>0</v>
      </c>
      <c r="X44" s="317">
        <f t="shared" si="4"/>
        <v>0</v>
      </c>
      <c r="Y44" s="317">
        <f t="shared" si="4"/>
        <v>0</v>
      </c>
      <c r="Z44" s="317">
        <f t="shared" si="4"/>
        <v>0</v>
      </c>
      <c r="AA44" s="317">
        <f t="shared" si="4"/>
        <v>0</v>
      </c>
      <c r="AB44" s="317">
        <f t="shared" si="4"/>
        <v>0</v>
      </c>
      <c r="AC44" s="317">
        <f t="shared" si="4"/>
        <v>0</v>
      </c>
      <c r="AD44" s="317">
        <f t="shared" si="4"/>
        <v>0</v>
      </c>
      <c r="AE44" s="318">
        <f t="shared" si="4"/>
        <v>0</v>
      </c>
      <c r="AG44" s="578" t="s">
        <v>55</v>
      </c>
      <c r="AH44" s="316">
        <f>C462/CAR!$I$58</f>
        <v>1.4981910955241255</v>
      </c>
      <c r="AI44" s="317">
        <f>D462/CAR!$I$58</f>
        <v>1.4981910955241255</v>
      </c>
      <c r="AJ44" s="317">
        <f>E462/CAR!$I$58</f>
        <v>1.4981910955241255</v>
      </c>
      <c r="AK44" s="317">
        <f>F462/CAR!$I$58</f>
        <v>1.4981910955241255</v>
      </c>
      <c r="AL44" s="317">
        <f>G462/CAR!$I$58</f>
        <v>1.4981912372828774</v>
      </c>
      <c r="AM44" s="317">
        <f>H462/CAR!$I$58</f>
        <v>1.4981927798384693</v>
      </c>
      <c r="AN44" s="317">
        <f>I462/CAR!$I$58</f>
        <v>1.498196548688896</v>
      </c>
      <c r="AO44" s="317">
        <f>J462/CAR!$I$58</f>
        <v>1.4982020958795395</v>
      </c>
      <c r="AP44" s="317">
        <f>K462/CAR!$I$58</f>
        <v>1.4982082602532703</v>
      </c>
      <c r="AQ44" s="317">
        <f>L462/CAR!$I$58</f>
        <v>1.4982132343218604</v>
      </c>
      <c r="AR44" s="317">
        <f>M462/CAR!$I$58</f>
        <v>1.4982164868704044</v>
      </c>
      <c r="AS44" s="317">
        <f>N462/CAR!$I$58</f>
        <v>1.4982182438679115</v>
      </c>
      <c r="AT44" s="317">
        <f>O462/CAR!$I$58</f>
        <v>1.4982189190089041</v>
      </c>
      <c r="AU44" s="317">
        <f>P462/CAR!$I$58</f>
        <v>1.4982191962338116</v>
      </c>
      <c r="AV44" s="317">
        <f>Q462/CAR!$I$58</f>
        <v>1.4982193180561538</v>
      </c>
      <c r="AW44" s="317">
        <f>R462/CAR!$I$58</f>
        <v>1.4982193767937511</v>
      </c>
      <c r="AX44" s="317">
        <f>S462/CAR!$I$58</f>
        <v>1.498219417270535</v>
      </c>
      <c r="AY44" s="317">
        <f>T462/CAR!$I$58</f>
        <v>1.4982194434023435</v>
      </c>
      <c r="AZ44" s="317">
        <f>U462/CAR!$I$58</f>
        <v>1.4982194588153159</v>
      </c>
      <c r="BA44" s="317">
        <f>V462/CAR!$I$58</f>
        <v>1.4982194667631914</v>
      </c>
      <c r="BB44" s="317">
        <f>W462/CAR!$I$58</f>
        <v>1.4982194700389551</v>
      </c>
      <c r="BC44" s="317">
        <f>X462/CAR!$I$58</f>
        <v>1.4982194708819545</v>
      </c>
      <c r="BD44" s="317">
        <f>Y462/CAR!$I$58</f>
        <v>1.4982194708819545</v>
      </c>
      <c r="BE44" s="317">
        <f>Z462/CAR!$I$58</f>
        <v>1.4982194708819543</v>
      </c>
      <c r="BF44" s="317">
        <f>AA462/CAR!$I$58</f>
        <v>1.4982194708819543</v>
      </c>
      <c r="BG44" s="317">
        <f>AB462/CAR!$I$58</f>
        <v>0</v>
      </c>
      <c r="BH44" s="317">
        <f>AC462/CAR!$I$58</f>
        <v>0</v>
      </c>
      <c r="BI44" s="317">
        <f>AD462/CAR!$I$58</f>
        <v>0</v>
      </c>
      <c r="BJ44" s="318">
        <f>AE462/CAR!$I$58</f>
        <v>0</v>
      </c>
    </row>
    <row r="45" spans="1:62" ht="15.75" thickBot="1">
      <c r="A45" s="1711"/>
      <c r="B45" s="116">
        <v>15</v>
      </c>
      <c r="C45" s="316">
        <f>'CAR SEC'!B19</f>
        <v>1.9375199145268298</v>
      </c>
      <c r="D45" s="317">
        <f t="shared" si="5"/>
        <v>1.9140860031626437</v>
      </c>
      <c r="E45" s="317">
        <f t="shared" si="5"/>
        <v>1.8930922791124551</v>
      </c>
      <c r="F45" s="317">
        <f t="shared" si="5"/>
        <v>1.8739923219499361</v>
      </c>
      <c r="G45" s="317">
        <f t="shared" si="5"/>
        <v>1.860457068136725</v>
      </c>
      <c r="H45" s="317">
        <f t="shared" si="5"/>
        <v>1.8536288668191863</v>
      </c>
      <c r="I45" s="317">
        <f t="shared" si="5"/>
        <v>1.8194817243742876</v>
      </c>
      <c r="J45" s="317">
        <f t="shared" si="5"/>
        <v>1.7847995726811077</v>
      </c>
      <c r="K45" s="317">
        <f t="shared" si="5"/>
        <v>1.752519625544906</v>
      </c>
      <c r="L45" s="317">
        <f t="shared" si="5"/>
        <v>1.7100105186201047</v>
      </c>
      <c r="M45" s="317">
        <f t="shared" si="5"/>
        <v>1.7106919448387754</v>
      </c>
      <c r="N45" s="317">
        <f t="shared" si="5"/>
        <v>1.7079378413834014</v>
      </c>
      <c r="O45" s="317">
        <f t="shared" si="5"/>
        <v>1.6643611439023269</v>
      </c>
      <c r="P45" s="317">
        <f t="shared" si="5"/>
        <v>1.5820667060548328</v>
      </c>
      <c r="Q45" s="317">
        <f t="shared" si="5"/>
        <v>1.5720949154751056</v>
      </c>
      <c r="R45" s="317">
        <f t="shared" si="5"/>
        <v>1.5269567629016723</v>
      </c>
      <c r="S45" s="317">
        <f t="shared" si="5"/>
        <v>0</v>
      </c>
      <c r="T45" s="317">
        <f t="shared" si="4"/>
        <v>0</v>
      </c>
      <c r="U45" s="317">
        <f t="shared" si="4"/>
        <v>0</v>
      </c>
      <c r="V45" s="317">
        <f t="shared" si="4"/>
        <v>0</v>
      </c>
      <c r="W45" s="317">
        <f t="shared" si="4"/>
        <v>0</v>
      </c>
      <c r="X45" s="317">
        <f t="shared" si="4"/>
        <v>0</v>
      </c>
      <c r="Y45" s="317">
        <f t="shared" si="4"/>
        <v>0</v>
      </c>
      <c r="Z45" s="317">
        <f t="shared" si="4"/>
        <v>0</v>
      </c>
      <c r="AA45" s="317">
        <f t="shared" si="4"/>
        <v>0</v>
      </c>
      <c r="AB45" s="317">
        <f t="shared" si="4"/>
        <v>0</v>
      </c>
      <c r="AC45" s="317">
        <f t="shared" si="4"/>
        <v>0</v>
      </c>
      <c r="AD45" s="317">
        <f t="shared" si="4"/>
        <v>0</v>
      </c>
      <c r="AE45" s="318">
        <f t="shared" si="4"/>
        <v>0</v>
      </c>
      <c r="AG45" s="579" t="s">
        <v>56</v>
      </c>
      <c r="AH45" s="321">
        <f>C491/CAR!$I$58</f>
        <v>1.8171856018056751</v>
      </c>
      <c r="AI45" s="322">
        <f>D491/CAR!$I$58</f>
        <v>1.8159817188997065</v>
      </c>
      <c r="AJ45" s="322">
        <f>E491/CAR!$I$58</f>
        <v>1.8142619817506886</v>
      </c>
      <c r="AK45" s="322">
        <f>F491/CAR!$I$58</f>
        <v>1.8108275497955906</v>
      </c>
      <c r="AL45" s="322">
        <f>G491/CAR!$I$58</f>
        <v>1.8034035379954569</v>
      </c>
      <c r="AM45" s="322">
        <f>H491/CAR!$I$58</f>
        <v>1.7911177695687117</v>
      </c>
      <c r="AN45" s="322">
        <f>I491/CAR!$I$58</f>
        <v>1.7732087939272141</v>
      </c>
      <c r="AO45" s="322">
        <f>J491/CAR!$I$58</f>
        <v>1.7496141538317602</v>
      </c>
      <c r="AP45" s="322">
        <f>K491/CAR!$I$58</f>
        <v>1.7220714987566903</v>
      </c>
      <c r="AQ45" s="322">
        <f>L491/CAR!$I$58</f>
        <v>1.6945001296629505</v>
      </c>
      <c r="AR45" s="322">
        <f>M491/CAR!$I$58</f>
        <v>1.6720945781575305</v>
      </c>
      <c r="AS45" s="322">
        <f>N491/CAR!$I$58</f>
        <v>1.6569690907229653</v>
      </c>
      <c r="AT45" s="322">
        <f>O491/CAR!$I$58</f>
        <v>1.6487539233618007</v>
      </c>
      <c r="AU45" s="322">
        <f>P491/CAR!$I$58</f>
        <v>1.6446980392325237</v>
      </c>
      <c r="AV45" s="322">
        <f>Q491/CAR!$I$58</f>
        <v>1.6426012606535465</v>
      </c>
      <c r="AW45" s="322">
        <f>R491/CAR!$I$58</f>
        <v>1.6414257874650193</v>
      </c>
      <c r="AX45" s="322">
        <f>S491/CAR!$I$58</f>
        <v>1.6405749357890713</v>
      </c>
      <c r="AY45" s="322">
        <f>T491/CAR!$I$58</f>
        <v>1.6399867600221343</v>
      </c>
      <c r="AZ45" s="322">
        <f>U491/CAR!$I$58</f>
        <v>1.6396036441965889</v>
      </c>
      <c r="BA45" s="322">
        <f>V491/CAR!$I$58</f>
        <v>1.639373619121129</v>
      </c>
      <c r="BB45" s="322">
        <f>W491/CAR!$I$58</f>
        <v>1.6392512212041457</v>
      </c>
      <c r="BC45" s="322">
        <f>X491/CAR!$I$58</f>
        <v>1.6391980319966648</v>
      </c>
      <c r="BD45" s="322">
        <f>Y491/CAR!$I$58</f>
        <v>1.6391830509186622</v>
      </c>
      <c r="BE45" s="322">
        <f>Z491/CAR!$I$58</f>
        <v>1.6391830509186622</v>
      </c>
      <c r="BF45" s="322">
        <f>AA491/CAR!$I$58</f>
        <v>1.6391830509186622</v>
      </c>
      <c r="BG45" s="322">
        <f>AB491/CAR!$I$58</f>
        <v>0</v>
      </c>
      <c r="BH45" s="322">
        <f>AC491/CAR!$I$58</f>
        <v>0</v>
      </c>
      <c r="BI45" s="322">
        <f>AD491/CAR!$I$58</f>
        <v>0</v>
      </c>
      <c r="BJ45" s="323">
        <f>AE491/CAR!$I$58</f>
        <v>0</v>
      </c>
    </row>
    <row r="46" spans="1:62" ht="15.75" thickBot="1">
      <c r="A46" s="1711"/>
      <c r="B46" s="116">
        <v>16</v>
      </c>
      <c r="C46" s="316">
        <f>'CAR SEC'!B20</f>
        <v>1.9583651067616767</v>
      </c>
      <c r="D46" s="317">
        <f t="shared" si="5"/>
        <v>1.9375199145268298</v>
      </c>
      <c r="E46" s="317">
        <f t="shared" si="5"/>
        <v>1.9140860031626437</v>
      </c>
      <c r="F46" s="317">
        <f t="shared" si="5"/>
        <v>1.8930922791124551</v>
      </c>
      <c r="G46" s="317">
        <f t="shared" si="5"/>
        <v>1.8739923219499361</v>
      </c>
      <c r="H46" s="317">
        <f t="shared" si="5"/>
        <v>1.860457068136725</v>
      </c>
      <c r="I46" s="317">
        <f t="shared" si="5"/>
        <v>1.8536288668191863</v>
      </c>
      <c r="J46" s="317">
        <f t="shared" si="5"/>
        <v>1.8194817243742876</v>
      </c>
      <c r="K46" s="317">
        <f t="shared" si="5"/>
        <v>1.7847995726811077</v>
      </c>
      <c r="L46" s="317">
        <f t="shared" si="5"/>
        <v>1.752519625544906</v>
      </c>
      <c r="M46" s="317">
        <f t="shared" si="5"/>
        <v>1.7100105186201047</v>
      </c>
      <c r="N46" s="317">
        <f t="shared" si="5"/>
        <v>1.7106919448387754</v>
      </c>
      <c r="O46" s="317">
        <f t="shared" si="5"/>
        <v>1.7079378413834014</v>
      </c>
      <c r="P46" s="317">
        <f t="shared" si="5"/>
        <v>1.6643611439023269</v>
      </c>
      <c r="Q46" s="317">
        <f t="shared" si="5"/>
        <v>1.5820667060548328</v>
      </c>
      <c r="R46" s="317">
        <f t="shared" si="5"/>
        <v>1.5720949154751056</v>
      </c>
      <c r="S46" s="317">
        <f t="shared" si="5"/>
        <v>1.5269567629016723</v>
      </c>
      <c r="T46" s="317">
        <f t="shared" si="4"/>
        <v>0</v>
      </c>
      <c r="U46" s="317">
        <f t="shared" si="4"/>
        <v>0</v>
      </c>
      <c r="V46" s="317">
        <f t="shared" si="4"/>
        <v>0</v>
      </c>
      <c r="W46" s="317">
        <f t="shared" si="4"/>
        <v>0</v>
      </c>
      <c r="X46" s="317">
        <f t="shared" si="4"/>
        <v>0</v>
      </c>
      <c r="Y46" s="317">
        <f t="shared" si="4"/>
        <v>0</v>
      </c>
      <c r="Z46" s="317">
        <f t="shared" si="4"/>
        <v>0</v>
      </c>
      <c r="AA46" s="317">
        <f t="shared" si="4"/>
        <v>0</v>
      </c>
      <c r="AB46" s="317">
        <f t="shared" si="4"/>
        <v>0</v>
      </c>
      <c r="AC46" s="317">
        <f t="shared" si="4"/>
        <v>0</v>
      </c>
      <c r="AD46" s="317">
        <f t="shared" si="4"/>
        <v>0</v>
      </c>
      <c r="AE46" s="318">
        <f t="shared" si="4"/>
        <v>0</v>
      </c>
    </row>
    <row r="47" spans="1:62" ht="15.75" thickBot="1">
      <c r="A47" s="1711"/>
      <c r="B47" s="116">
        <v>17</v>
      </c>
      <c r="C47" s="316">
        <f>'CAR SEC'!B21</f>
        <v>1.9775903547385738</v>
      </c>
      <c r="D47" s="317">
        <f t="shared" si="5"/>
        <v>1.9583651067616767</v>
      </c>
      <c r="E47" s="317">
        <f t="shared" si="5"/>
        <v>1.9375199145268298</v>
      </c>
      <c r="F47" s="317">
        <f t="shared" si="5"/>
        <v>1.9140860031626437</v>
      </c>
      <c r="G47" s="317">
        <f t="shared" si="5"/>
        <v>1.8930922791124551</v>
      </c>
      <c r="H47" s="317">
        <f t="shared" si="5"/>
        <v>1.8739923219499361</v>
      </c>
      <c r="I47" s="317">
        <f t="shared" si="5"/>
        <v>1.860457068136725</v>
      </c>
      <c r="J47" s="317">
        <f t="shared" si="5"/>
        <v>1.8536288668191863</v>
      </c>
      <c r="K47" s="317">
        <f t="shared" si="5"/>
        <v>1.8194817243742876</v>
      </c>
      <c r="L47" s="317">
        <f t="shared" si="5"/>
        <v>1.7847995726811077</v>
      </c>
      <c r="M47" s="317">
        <f t="shared" si="5"/>
        <v>1.752519625544906</v>
      </c>
      <c r="N47" s="317">
        <f t="shared" si="5"/>
        <v>1.7100105186201047</v>
      </c>
      <c r="O47" s="317">
        <f t="shared" si="5"/>
        <v>1.7106919448387754</v>
      </c>
      <c r="P47" s="317">
        <f t="shared" si="5"/>
        <v>1.7079378413834014</v>
      </c>
      <c r="Q47" s="317">
        <f t="shared" si="5"/>
        <v>1.6643611439023269</v>
      </c>
      <c r="R47" s="317">
        <f t="shared" si="5"/>
        <v>1.5820667060548328</v>
      </c>
      <c r="S47" s="317">
        <f t="shared" ref="S47:AE55" si="6">R46</f>
        <v>1.5720949154751056</v>
      </c>
      <c r="T47" s="317">
        <f t="shared" si="6"/>
        <v>1.5269567629016723</v>
      </c>
      <c r="U47" s="317">
        <f t="shared" si="6"/>
        <v>0</v>
      </c>
      <c r="V47" s="317">
        <f t="shared" si="6"/>
        <v>0</v>
      </c>
      <c r="W47" s="317">
        <f t="shared" si="6"/>
        <v>0</v>
      </c>
      <c r="X47" s="317">
        <f t="shared" si="6"/>
        <v>0</v>
      </c>
      <c r="Y47" s="317">
        <f t="shared" si="6"/>
        <v>0</v>
      </c>
      <c r="Z47" s="317">
        <f t="shared" si="6"/>
        <v>0</v>
      </c>
      <c r="AA47" s="317">
        <f t="shared" si="6"/>
        <v>0</v>
      </c>
      <c r="AB47" s="317">
        <f t="shared" si="6"/>
        <v>0</v>
      </c>
      <c r="AC47" s="317">
        <f t="shared" si="6"/>
        <v>0</v>
      </c>
      <c r="AD47" s="317">
        <f t="shared" si="6"/>
        <v>0</v>
      </c>
      <c r="AE47" s="318">
        <f t="shared" si="6"/>
        <v>0</v>
      </c>
      <c r="AG47" s="287" t="s">
        <v>89</v>
      </c>
      <c r="AH47" s="288">
        <v>2012</v>
      </c>
      <c r="AI47" s="289">
        <v>2013</v>
      </c>
      <c r="AJ47" s="289">
        <v>2014</v>
      </c>
      <c r="AK47" s="289">
        <v>2015</v>
      </c>
      <c r="AL47" s="288">
        <v>2016</v>
      </c>
      <c r="AM47" s="289">
        <v>2017</v>
      </c>
      <c r="AN47" s="289">
        <v>2018</v>
      </c>
      <c r="AO47" s="289">
        <v>2019</v>
      </c>
      <c r="AP47" s="288">
        <v>2020</v>
      </c>
      <c r="AQ47" s="289">
        <v>2021</v>
      </c>
      <c r="AR47" s="289">
        <v>2022</v>
      </c>
      <c r="AS47" s="289">
        <v>2023</v>
      </c>
      <c r="AT47" s="288">
        <v>2024</v>
      </c>
      <c r="AU47" s="289">
        <v>2025</v>
      </c>
      <c r="AV47" s="289">
        <v>2026</v>
      </c>
      <c r="AW47" s="289">
        <v>2027</v>
      </c>
      <c r="AX47" s="288">
        <v>2028</v>
      </c>
      <c r="AY47" s="289">
        <v>2029</v>
      </c>
      <c r="AZ47" s="289">
        <v>2030</v>
      </c>
      <c r="BA47" s="289">
        <v>2031</v>
      </c>
      <c r="BB47" s="288">
        <v>2032</v>
      </c>
      <c r="BC47" s="289">
        <v>2033</v>
      </c>
      <c r="BD47" s="289">
        <v>2034</v>
      </c>
      <c r="BE47" s="289">
        <v>2035</v>
      </c>
      <c r="BF47" s="288">
        <v>2036</v>
      </c>
      <c r="BG47" s="289">
        <v>2037</v>
      </c>
      <c r="BH47" s="289">
        <v>2038</v>
      </c>
      <c r="BI47" s="289">
        <v>2039</v>
      </c>
      <c r="BJ47" s="290">
        <v>2040</v>
      </c>
    </row>
    <row r="48" spans="1:62">
      <c r="A48" s="1711"/>
      <c r="B48" s="116">
        <v>18</v>
      </c>
      <c r="C48" s="316">
        <f>'CAR SEC'!B22</f>
        <v>1.9954486418124069</v>
      </c>
      <c r="D48" s="317">
        <f t="shared" ref="D48:S55" si="7">C47</f>
        <v>1.9775903547385738</v>
      </c>
      <c r="E48" s="317">
        <f t="shared" si="7"/>
        <v>1.9583651067616767</v>
      </c>
      <c r="F48" s="317">
        <f t="shared" si="7"/>
        <v>1.9375199145268298</v>
      </c>
      <c r="G48" s="317">
        <f t="shared" si="7"/>
        <v>1.9140860031626437</v>
      </c>
      <c r="H48" s="317">
        <f t="shared" si="7"/>
        <v>1.8930922791124551</v>
      </c>
      <c r="I48" s="317">
        <f t="shared" si="7"/>
        <v>1.8739923219499361</v>
      </c>
      <c r="J48" s="317">
        <f t="shared" si="7"/>
        <v>1.860457068136725</v>
      </c>
      <c r="K48" s="317">
        <f t="shared" si="7"/>
        <v>1.8536288668191863</v>
      </c>
      <c r="L48" s="317">
        <f t="shared" si="7"/>
        <v>1.8194817243742876</v>
      </c>
      <c r="M48" s="317">
        <f t="shared" si="7"/>
        <v>1.7847995726811077</v>
      </c>
      <c r="N48" s="317">
        <f t="shared" si="7"/>
        <v>1.752519625544906</v>
      </c>
      <c r="O48" s="317">
        <f t="shared" si="7"/>
        <v>1.7100105186201047</v>
      </c>
      <c r="P48" s="317">
        <f t="shared" si="7"/>
        <v>1.7106919448387754</v>
      </c>
      <c r="Q48" s="317">
        <f t="shared" si="7"/>
        <v>1.7079378413834014</v>
      </c>
      <c r="R48" s="317">
        <f t="shared" si="7"/>
        <v>1.6643611439023269</v>
      </c>
      <c r="S48" s="317">
        <f t="shared" si="7"/>
        <v>1.5820667060548328</v>
      </c>
      <c r="T48" s="317">
        <f t="shared" si="6"/>
        <v>1.5720949154751056</v>
      </c>
      <c r="U48" s="317">
        <f t="shared" si="6"/>
        <v>1.5269567629016723</v>
      </c>
      <c r="V48" s="317">
        <f t="shared" si="6"/>
        <v>0</v>
      </c>
      <c r="W48" s="317">
        <f t="shared" si="6"/>
        <v>0</v>
      </c>
      <c r="X48" s="317">
        <f t="shared" si="6"/>
        <v>0</v>
      </c>
      <c r="Y48" s="317">
        <f t="shared" si="6"/>
        <v>0</v>
      </c>
      <c r="Z48" s="317">
        <f t="shared" si="6"/>
        <v>0</v>
      </c>
      <c r="AA48" s="317">
        <f t="shared" si="6"/>
        <v>0</v>
      </c>
      <c r="AB48" s="317">
        <f t="shared" si="6"/>
        <v>0</v>
      </c>
      <c r="AC48" s="317">
        <f t="shared" si="6"/>
        <v>0</v>
      </c>
      <c r="AD48" s="317">
        <f t="shared" si="6"/>
        <v>0</v>
      </c>
      <c r="AE48" s="318">
        <f t="shared" si="6"/>
        <v>0</v>
      </c>
      <c r="AG48" s="130" t="s">
        <v>41</v>
      </c>
      <c r="AH48" s="291">
        <v>143541.99999999991</v>
      </c>
      <c r="AI48" s="292">
        <v>108347.67019605859</v>
      </c>
      <c r="AJ48" s="292">
        <v>83525.650841679293</v>
      </c>
      <c r="AK48" s="292">
        <v>65893.14130644589</v>
      </c>
      <c r="AL48" s="292">
        <v>52931.907333460607</v>
      </c>
      <c r="AM48" s="292">
        <v>42448.952157088781</v>
      </c>
      <c r="AN48" s="292">
        <v>33402.402162861355</v>
      </c>
      <c r="AO48" s="292">
        <v>25643.628225400145</v>
      </c>
      <c r="AP48" s="292">
        <v>19207.443222285234</v>
      </c>
      <c r="AQ48" s="292">
        <v>14016.156383111278</v>
      </c>
      <c r="AR48" s="292">
        <v>9833.9968683963052</v>
      </c>
      <c r="AS48" s="292">
        <v>6455.5271936159716</v>
      </c>
      <c r="AT48" s="292">
        <v>3813.5588834301948</v>
      </c>
      <c r="AU48" s="292">
        <v>1928.2330725932561</v>
      </c>
      <c r="AV48" s="292">
        <v>798.906546746461</v>
      </c>
      <c r="AW48" s="292">
        <v>263.72610036618403</v>
      </c>
      <c r="AX48" s="292">
        <v>78.522635238307089</v>
      </c>
      <c r="AY48" s="292">
        <v>20.82074642911461</v>
      </c>
      <c r="AZ48" s="292">
        <v>4.8385347919228376</v>
      </c>
      <c r="BA48" s="292">
        <v>0.96518885112261654</v>
      </c>
      <c r="BB48" s="292">
        <v>0.16065647385714021</v>
      </c>
      <c r="BC48" s="292">
        <v>2.1419217548852773E-2</v>
      </c>
      <c r="BD48" s="292">
        <v>2.1442639488994898E-3</v>
      </c>
      <c r="BE48" s="292">
        <v>1.4327308223593385E-4</v>
      </c>
      <c r="BF48" s="292">
        <v>4.7921920428307701E-6</v>
      </c>
      <c r="BG48" s="292">
        <v>0</v>
      </c>
      <c r="BH48" s="292">
        <v>0</v>
      </c>
      <c r="BI48" s="292">
        <v>0</v>
      </c>
      <c r="BJ48" s="293">
        <v>0</v>
      </c>
    </row>
    <row r="49" spans="1:62">
      <c r="A49" s="1711"/>
      <c r="B49" s="116">
        <v>19</v>
      </c>
      <c r="C49" s="316">
        <f>'CAR SEC'!B23</f>
        <v>2.0108989249251201</v>
      </c>
      <c r="D49" s="317">
        <f t="shared" si="7"/>
        <v>1.9954486418124069</v>
      </c>
      <c r="E49" s="317">
        <f t="shared" si="7"/>
        <v>1.9775903547385738</v>
      </c>
      <c r="F49" s="317">
        <f t="shared" si="7"/>
        <v>1.9583651067616767</v>
      </c>
      <c r="G49" s="317">
        <f t="shared" si="7"/>
        <v>1.9375199145268298</v>
      </c>
      <c r="H49" s="317">
        <f t="shared" si="7"/>
        <v>1.9140860031626437</v>
      </c>
      <c r="I49" s="317">
        <f t="shared" si="7"/>
        <v>1.8930922791124551</v>
      </c>
      <c r="J49" s="317">
        <f t="shared" si="7"/>
        <v>1.8739923219499361</v>
      </c>
      <c r="K49" s="317">
        <f t="shared" si="7"/>
        <v>1.860457068136725</v>
      </c>
      <c r="L49" s="317">
        <f t="shared" si="7"/>
        <v>1.8536288668191863</v>
      </c>
      <c r="M49" s="317">
        <f t="shared" si="7"/>
        <v>1.8194817243742876</v>
      </c>
      <c r="N49" s="317">
        <f t="shared" si="7"/>
        <v>1.7847995726811077</v>
      </c>
      <c r="O49" s="317">
        <f t="shared" si="7"/>
        <v>1.752519625544906</v>
      </c>
      <c r="P49" s="317">
        <f t="shared" si="7"/>
        <v>1.7100105186201047</v>
      </c>
      <c r="Q49" s="317">
        <f t="shared" si="7"/>
        <v>1.7106919448387754</v>
      </c>
      <c r="R49" s="317">
        <f t="shared" si="7"/>
        <v>1.7079378413834014</v>
      </c>
      <c r="S49" s="317">
        <f t="shared" si="7"/>
        <v>1.6643611439023269</v>
      </c>
      <c r="T49" s="317">
        <f t="shared" si="6"/>
        <v>1.5820667060548328</v>
      </c>
      <c r="U49" s="317">
        <f t="shared" si="6"/>
        <v>1.5720949154751056</v>
      </c>
      <c r="V49" s="317">
        <f t="shared" si="6"/>
        <v>1.5269567629016723</v>
      </c>
      <c r="W49" s="317">
        <f t="shared" si="6"/>
        <v>0</v>
      </c>
      <c r="X49" s="317">
        <f t="shared" si="6"/>
        <v>0</v>
      </c>
      <c r="Y49" s="317">
        <f t="shared" si="6"/>
        <v>0</v>
      </c>
      <c r="Z49" s="317">
        <f t="shared" si="6"/>
        <v>0</v>
      </c>
      <c r="AA49" s="317">
        <f t="shared" si="6"/>
        <v>0</v>
      </c>
      <c r="AB49" s="317">
        <f t="shared" si="6"/>
        <v>0</v>
      </c>
      <c r="AC49" s="317">
        <f t="shared" si="6"/>
        <v>0</v>
      </c>
      <c r="AD49" s="317">
        <f t="shared" si="6"/>
        <v>0</v>
      </c>
      <c r="AE49" s="318">
        <f t="shared" si="6"/>
        <v>0</v>
      </c>
      <c r="AG49" s="319" t="s">
        <v>42</v>
      </c>
      <c r="AH49" s="294">
        <v>689167</v>
      </c>
      <c r="AI49" s="295">
        <v>545781.34343845805</v>
      </c>
      <c r="AJ49" s="295">
        <v>449244.58179028064</v>
      </c>
      <c r="AK49" s="295">
        <v>373518.42201866349</v>
      </c>
      <c r="AL49" s="295">
        <v>306384.34098177881</v>
      </c>
      <c r="AM49" s="295">
        <v>242988.04880903658</v>
      </c>
      <c r="AN49" s="295">
        <v>183862.03511399377</v>
      </c>
      <c r="AO49" s="295">
        <v>131791.39954124033</v>
      </c>
      <c r="AP49" s="295">
        <v>89379.49915047898</v>
      </c>
      <c r="AQ49" s="295">
        <v>57525.141046134551</v>
      </c>
      <c r="AR49" s="295">
        <v>34859.279417441809</v>
      </c>
      <c r="AS49" s="295">
        <v>19371.567996460893</v>
      </c>
      <c r="AT49" s="295">
        <v>9446.5316732589326</v>
      </c>
      <c r="AU49" s="295">
        <v>3843.4146946534261</v>
      </c>
      <c r="AV49" s="295">
        <v>1262.4407760882214</v>
      </c>
      <c r="AW49" s="295">
        <v>330.67111833551439</v>
      </c>
      <c r="AX49" s="295">
        <v>78.098175885659401</v>
      </c>
      <c r="AY49" s="295">
        <v>16.422768018090448</v>
      </c>
      <c r="AZ49" s="295">
        <v>3.0261077102991436</v>
      </c>
      <c r="BA49" s="295">
        <v>0.47854950531236301</v>
      </c>
      <c r="BB49" s="295">
        <v>6.3136784189580908E-2</v>
      </c>
      <c r="BC49" s="295">
        <v>6.6708675813836682E-3</v>
      </c>
      <c r="BD49" s="295">
        <v>5.291452583638626E-4</v>
      </c>
      <c r="BE49" s="295">
        <v>2.8009305702463868E-5</v>
      </c>
      <c r="BF49" s="295">
        <v>7.4205844107366643E-7</v>
      </c>
      <c r="BG49" s="295">
        <v>0</v>
      </c>
      <c r="BH49" s="295">
        <v>0</v>
      </c>
      <c r="BI49" s="295">
        <v>0</v>
      </c>
      <c r="BJ49" s="296">
        <v>0</v>
      </c>
    </row>
    <row r="50" spans="1:62">
      <c r="A50" s="1711"/>
      <c r="B50" s="116">
        <v>20</v>
      </c>
      <c r="C50" s="316">
        <f>'CAR SEC'!B24</f>
        <v>2.0276146867904972</v>
      </c>
      <c r="D50" s="317">
        <f t="shared" si="7"/>
        <v>2.0108989249251201</v>
      </c>
      <c r="E50" s="317">
        <f t="shared" si="7"/>
        <v>1.9954486418124069</v>
      </c>
      <c r="F50" s="317">
        <f t="shared" si="7"/>
        <v>1.9775903547385738</v>
      </c>
      <c r="G50" s="317">
        <f t="shared" si="7"/>
        <v>1.9583651067616767</v>
      </c>
      <c r="H50" s="317">
        <f t="shared" si="7"/>
        <v>1.9375199145268298</v>
      </c>
      <c r="I50" s="317">
        <f t="shared" si="7"/>
        <v>1.9140860031626437</v>
      </c>
      <c r="J50" s="317">
        <f t="shared" si="7"/>
        <v>1.8930922791124551</v>
      </c>
      <c r="K50" s="317">
        <f t="shared" si="7"/>
        <v>1.8739923219499361</v>
      </c>
      <c r="L50" s="317">
        <f t="shared" si="7"/>
        <v>1.860457068136725</v>
      </c>
      <c r="M50" s="317">
        <f t="shared" si="7"/>
        <v>1.8536288668191863</v>
      </c>
      <c r="N50" s="317">
        <f t="shared" si="7"/>
        <v>1.8194817243742876</v>
      </c>
      <c r="O50" s="317">
        <f t="shared" si="7"/>
        <v>1.7847995726811077</v>
      </c>
      <c r="P50" s="317">
        <f t="shared" si="7"/>
        <v>1.752519625544906</v>
      </c>
      <c r="Q50" s="317">
        <f t="shared" si="7"/>
        <v>1.7100105186201047</v>
      </c>
      <c r="R50" s="317">
        <f t="shared" si="7"/>
        <v>1.7106919448387754</v>
      </c>
      <c r="S50" s="317">
        <f t="shared" si="7"/>
        <v>1.7079378413834014</v>
      </c>
      <c r="T50" s="317">
        <f t="shared" si="6"/>
        <v>1.6643611439023269</v>
      </c>
      <c r="U50" s="317">
        <f t="shared" si="6"/>
        <v>1.5820667060548328</v>
      </c>
      <c r="V50" s="317">
        <f t="shared" si="6"/>
        <v>1.5720949154751056</v>
      </c>
      <c r="W50" s="317">
        <f t="shared" si="6"/>
        <v>1.5269567629016723</v>
      </c>
      <c r="X50" s="317">
        <f t="shared" si="6"/>
        <v>0</v>
      </c>
      <c r="Y50" s="317">
        <f t="shared" si="6"/>
        <v>0</v>
      </c>
      <c r="Z50" s="317">
        <f t="shared" si="6"/>
        <v>0</v>
      </c>
      <c r="AA50" s="317">
        <f t="shared" si="6"/>
        <v>0</v>
      </c>
      <c r="AB50" s="317">
        <f t="shared" si="6"/>
        <v>0</v>
      </c>
      <c r="AC50" s="317">
        <f t="shared" si="6"/>
        <v>0</v>
      </c>
      <c r="AD50" s="317">
        <f t="shared" si="6"/>
        <v>0</v>
      </c>
      <c r="AE50" s="318">
        <f t="shared" si="6"/>
        <v>0</v>
      </c>
      <c r="AG50" s="319" t="s">
        <v>43</v>
      </c>
      <c r="AH50" s="294">
        <v>319006</v>
      </c>
      <c r="AI50" s="295">
        <v>263536.01623464347</v>
      </c>
      <c r="AJ50" s="295">
        <v>222195.48494593173</v>
      </c>
      <c r="AK50" s="295">
        <v>185518.5368331873</v>
      </c>
      <c r="AL50" s="295">
        <v>149370.36965890968</v>
      </c>
      <c r="AM50" s="295">
        <v>113039.06152225079</v>
      </c>
      <c r="AN50" s="295">
        <v>78633.427918107336</v>
      </c>
      <c r="AO50" s="295">
        <v>49323.081002899577</v>
      </c>
      <c r="AP50" s="295">
        <v>27605.763240113934</v>
      </c>
      <c r="AQ50" s="295">
        <v>13926.552465308127</v>
      </c>
      <c r="AR50" s="295">
        <v>6505.4186164915163</v>
      </c>
      <c r="AS50" s="295">
        <v>2897.5533049683818</v>
      </c>
      <c r="AT50" s="295">
        <v>1215.6503245946853</v>
      </c>
      <c r="AU50" s="295">
        <v>448.45216168792763</v>
      </c>
      <c r="AV50" s="295">
        <v>136.58114773176504</v>
      </c>
      <c r="AW50" s="295">
        <v>33.832711234337793</v>
      </c>
      <c r="AX50" s="295">
        <v>7.5886937573506987</v>
      </c>
      <c r="AY50" s="295">
        <v>1.5207625537896916</v>
      </c>
      <c r="AZ50" s="295">
        <v>0.26777437577161795</v>
      </c>
      <c r="BA50" s="295">
        <v>4.0546751945613017E-2</v>
      </c>
      <c r="BB50" s="295">
        <v>5.1292718066187383E-3</v>
      </c>
      <c r="BC50" s="295">
        <v>5.2007096607602319E-4</v>
      </c>
      <c r="BD50" s="295">
        <v>3.9603440342654924E-5</v>
      </c>
      <c r="BE50" s="295">
        <v>2.0126275088331143E-6</v>
      </c>
      <c r="BF50" s="295">
        <v>5.1183535588731789E-8</v>
      </c>
      <c r="BG50" s="295">
        <v>0</v>
      </c>
      <c r="BH50" s="295">
        <v>0</v>
      </c>
      <c r="BI50" s="295">
        <v>0</v>
      </c>
      <c r="BJ50" s="296">
        <v>0</v>
      </c>
    </row>
    <row r="51" spans="1:62">
      <c r="A51" s="1711"/>
      <c r="B51" s="116">
        <v>21</v>
      </c>
      <c r="C51" s="316">
        <f>'CAR SEC'!B25</f>
        <v>2.0446838384394481</v>
      </c>
      <c r="D51" s="317">
        <f t="shared" si="7"/>
        <v>2.0276146867904972</v>
      </c>
      <c r="E51" s="317">
        <f t="shared" si="7"/>
        <v>2.0108989249251201</v>
      </c>
      <c r="F51" s="317">
        <f t="shared" si="7"/>
        <v>1.9954486418124069</v>
      </c>
      <c r="G51" s="317">
        <f t="shared" si="7"/>
        <v>1.9775903547385738</v>
      </c>
      <c r="H51" s="317">
        <f t="shared" si="7"/>
        <v>1.9583651067616767</v>
      </c>
      <c r="I51" s="317">
        <f t="shared" si="7"/>
        <v>1.9375199145268298</v>
      </c>
      <c r="J51" s="317">
        <f t="shared" si="7"/>
        <v>1.9140860031626437</v>
      </c>
      <c r="K51" s="317">
        <f t="shared" si="7"/>
        <v>1.8930922791124551</v>
      </c>
      <c r="L51" s="317">
        <f t="shared" si="7"/>
        <v>1.8739923219499361</v>
      </c>
      <c r="M51" s="317">
        <f t="shared" si="7"/>
        <v>1.860457068136725</v>
      </c>
      <c r="N51" s="317">
        <f t="shared" si="7"/>
        <v>1.8536288668191863</v>
      </c>
      <c r="O51" s="317">
        <f t="shared" si="7"/>
        <v>1.8194817243742876</v>
      </c>
      <c r="P51" s="317">
        <f t="shared" si="7"/>
        <v>1.7847995726811077</v>
      </c>
      <c r="Q51" s="317">
        <f t="shared" si="7"/>
        <v>1.752519625544906</v>
      </c>
      <c r="R51" s="317">
        <f t="shared" si="7"/>
        <v>1.7100105186201047</v>
      </c>
      <c r="S51" s="317">
        <f t="shared" si="7"/>
        <v>1.7106919448387754</v>
      </c>
      <c r="T51" s="317">
        <f t="shared" si="6"/>
        <v>1.7079378413834014</v>
      </c>
      <c r="U51" s="317">
        <f t="shared" si="6"/>
        <v>1.6643611439023269</v>
      </c>
      <c r="V51" s="317">
        <f t="shared" si="6"/>
        <v>1.5820667060548328</v>
      </c>
      <c r="W51" s="317">
        <f t="shared" si="6"/>
        <v>1.5720949154751056</v>
      </c>
      <c r="X51" s="317">
        <f t="shared" si="6"/>
        <v>1.5269567629016723</v>
      </c>
      <c r="Y51" s="317">
        <f t="shared" si="6"/>
        <v>0</v>
      </c>
      <c r="Z51" s="317">
        <f t="shared" si="6"/>
        <v>0</v>
      </c>
      <c r="AA51" s="317">
        <f t="shared" si="6"/>
        <v>0</v>
      </c>
      <c r="AB51" s="317">
        <f t="shared" si="6"/>
        <v>0</v>
      </c>
      <c r="AC51" s="317">
        <f t="shared" si="6"/>
        <v>0</v>
      </c>
      <c r="AD51" s="317">
        <f t="shared" si="6"/>
        <v>0</v>
      </c>
      <c r="AE51" s="318">
        <f t="shared" si="6"/>
        <v>0</v>
      </c>
      <c r="AG51" s="319" t="s">
        <v>44</v>
      </c>
      <c r="AH51" s="294">
        <v>93488.000000000015</v>
      </c>
      <c r="AI51" s="295">
        <v>73007.618939415785</v>
      </c>
      <c r="AJ51" s="295">
        <v>58582.822920848877</v>
      </c>
      <c r="AK51" s="295">
        <v>46965.713956118649</v>
      </c>
      <c r="AL51" s="295">
        <v>36735.462376249685</v>
      </c>
      <c r="AM51" s="295">
        <v>27275.23960918183</v>
      </c>
      <c r="AN51" s="295">
        <v>18680.454514846762</v>
      </c>
      <c r="AO51" s="295">
        <v>11522.038379856074</v>
      </c>
      <c r="AP51" s="295">
        <v>6298.3145045156643</v>
      </c>
      <c r="AQ51" s="295">
        <v>3041.7138445470291</v>
      </c>
      <c r="AR51" s="295">
        <v>1314.6923719848901</v>
      </c>
      <c r="AS51" s="295">
        <v>524.07222800033594</v>
      </c>
      <c r="AT51" s="295">
        <v>197.526160901206</v>
      </c>
      <c r="AU51" s="295">
        <v>68.093275067121539</v>
      </c>
      <c r="AV51" s="295">
        <v>20.821524758327811</v>
      </c>
      <c r="AW51" s="295">
        <v>5.5373908315595788</v>
      </c>
      <c r="AX51" s="295">
        <v>1.3456059799900422</v>
      </c>
      <c r="AY51" s="295">
        <v>0.29474555555295429</v>
      </c>
      <c r="AZ51" s="295">
        <v>5.7188633837623126E-2</v>
      </c>
      <c r="BA51" s="295">
        <v>9.6092333538194217E-3</v>
      </c>
      <c r="BB51" s="295">
        <v>1.3567234925885906E-3</v>
      </c>
      <c r="BC51" s="295">
        <v>1.5425407093211269E-4</v>
      </c>
      <c r="BD51" s="295">
        <v>1.3222901561378288E-5</v>
      </c>
      <c r="BE51" s="295">
        <v>7.5905525812910749E-7</v>
      </c>
      <c r="BF51" s="295">
        <v>2.1880825263131456E-8</v>
      </c>
      <c r="BG51" s="295">
        <v>0</v>
      </c>
      <c r="BH51" s="295">
        <v>0</v>
      </c>
      <c r="BI51" s="295">
        <v>0</v>
      </c>
      <c r="BJ51" s="296">
        <v>0</v>
      </c>
    </row>
    <row r="52" spans="1:62">
      <c r="A52" s="1711"/>
      <c r="B52" s="116">
        <v>22</v>
      </c>
      <c r="C52" s="316">
        <f>'CAR SEC'!B26</f>
        <v>2.0615273450313367</v>
      </c>
      <c r="D52" s="317">
        <f t="shared" si="7"/>
        <v>2.0446838384394481</v>
      </c>
      <c r="E52" s="317">
        <f t="shared" si="7"/>
        <v>2.0276146867904972</v>
      </c>
      <c r="F52" s="317">
        <f t="shared" si="7"/>
        <v>2.0108989249251201</v>
      </c>
      <c r="G52" s="317">
        <f t="shared" si="7"/>
        <v>1.9954486418124069</v>
      </c>
      <c r="H52" s="317">
        <f t="shared" si="7"/>
        <v>1.9775903547385738</v>
      </c>
      <c r="I52" s="317">
        <f t="shared" si="7"/>
        <v>1.9583651067616767</v>
      </c>
      <c r="J52" s="317">
        <f t="shared" si="7"/>
        <v>1.9375199145268298</v>
      </c>
      <c r="K52" s="317">
        <f t="shared" si="7"/>
        <v>1.9140860031626437</v>
      </c>
      <c r="L52" s="317">
        <f t="shared" si="7"/>
        <v>1.8930922791124551</v>
      </c>
      <c r="M52" s="317">
        <f t="shared" si="7"/>
        <v>1.8739923219499361</v>
      </c>
      <c r="N52" s="317">
        <f t="shared" si="7"/>
        <v>1.860457068136725</v>
      </c>
      <c r="O52" s="317">
        <f t="shared" si="7"/>
        <v>1.8536288668191863</v>
      </c>
      <c r="P52" s="317">
        <f t="shared" si="7"/>
        <v>1.8194817243742876</v>
      </c>
      <c r="Q52" s="317">
        <f t="shared" si="7"/>
        <v>1.7847995726811077</v>
      </c>
      <c r="R52" s="317">
        <f t="shared" si="7"/>
        <v>1.752519625544906</v>
      </c>
      <c r="S52" s="317">
        <f t="shared" si="7"/>
        <v>1.7100105186201047</v>
      </c>
      <c r="T52" s="317">
        <f t="shared" si="6"/>
        <v>1.7106919448387754</v>
      </c>
      <c r="U52" s="317">
        <f t="shared" si="6"/>
        <v>1.7079378413834014</v>
      </c>
      <c r="V52" s="317">
        <f t="shared" si="6"/>
        <v>1.6643611439023269</v>
      </c>
      <c r="W52" s="317">
        <f t="shared" si="6"/>
        <v>1.5820667060548328</v>
      </c>
      <c r="X52" s="317">
        <f t="shared" si="6"/>
        <v>1.5720949154751056</v>
      </c>
      <c r="Y52" s="317">
        <f t="shared" si="6"/>
        <v>1.5269567629016723</v>
      </c>
      <c r="Z52" s="317">
        <f t="shared" si="6"/>
        <v>0</v>
      </c>
      <c r="AA52" s="317">
        <f t="shared" si="6"/>
        <v>0</v>
      </c>
      <c r="AB52" s="317">
        <f t="shared" si="6"/>
        <v>0</v>
      </c>
      <c r="AC52" s="317">
        <f t="shared" si="6"/>
        <v>0</v>
      </c>
      <c r="AD52" s="317">
        <f t="shared" si="6"/>
        <v>0</v>
      </c>
      <c r="AE52" s="318">
        <f t="shared" si="6"/>
        <v>0</v>
      </c>
      <c r="AG52" s="319" t="s">
        <v>45</v>
      </c>
      <c r="AH52" s="294">
        <v>138.99999999999997</v>
      </c>
      <c r="AI52" s="295">
        <v>108.89354446941552</v>
      </c>
      <c r="AJ52" s="295">
        <v>98.669418984196568</v>
      </c>
      <c r="AK52" s="295">
        <v>93.943513738228447</v>
      </c>
      <c r="AL52" s="295">
        <v>91.153102839907604</v>
      </c>
      <c r="AM52" s="295">
        <v>89.207165737195368</v>
      </c>
      <c r="AN52" s="295">
        <v>87.136005039553865</v>
      </c>
      <c r="AO52" s="295">
        <v>82.626496648627509</v>
      </c>
      <c r="AP52" s="295">
        <v>72.365270267757978</v>
      </c>
      <c r="AQ52" s="295">
        <v>57.599368828837896</v>
      </c>
      <c r="AR52" s="295">
        <v>41.592863134389503</v>
      </c>
      <c r="AS52" s="295">
        <v>26.184089866282484</v>
      </c>
      <c r="AT52" s="295">
        <v>13.7067955403522</v>
      </c>
      <c r="AU52" s="295">
        <v>5.8786714426567919</v>
      </c>
      <c r="AV52" s="295">
        <v>2.0994843619225874</v>
      </c>
      <c r="AW52" s="295">
        <v>0.63019146736085729</v>
      </c>
      <c r="AX52" s="295">
        <v>0.17054124272500676</v>
      </c>
      <c r="AY52" s="295">
        <v>4.1111483204647074E-2</v>
      </c>
      <c r="AZ52" s="295">
        <v>8.6947770028662896E-3</v>
      </c>
      <c r="BA52" s="295">
        <v>1.581403210352659E-3</v>
      </c>
      <c r="BB52" s="295">
        <v>2.4067300782796273E-4</v>
      </c>
      <c r="BC52" s="295">
        <v>2.9450695778560998E-5</v>
      </c>
      <c r="BD52" s="295">
        <v>2.7194992858583275E-6</v>
      </c>
      <c r="BE52" s="295">
        <v>1.6864263392450811E-7</v>
      </c>
      <c r="BF52" s="295">
        <v>5.2737084980542565E-9</v>
      </c>
      <c r="BG52" s="295">
        <v>0</v>
      </c>
      <c r="BH52" s="295">
        <v>0</v>
      </c>
      <c r="BI52" s="295">
        <v>0</v>
      </c>
      <c r="BJ52" s="296">
        <v>0</v>
      </c>
    </row>
    <row r="53" spans="1:62">
      <c r="A53" s="1711"/>
      <c r="B53" s="116">
        <v>23</v>
      </c>
      <c r="C53" s="316">
        <f>'CAR SEC'!B27</f>
        <v>2.0779097163500806</v>
      </c>
      <c r="D53" s="317">
        <f t="shared" si="7"/>
        <v>2.0615273450313367</v>
      </c>
      <c r="E53" s="317">
        <f t="shared" si="7"/>
        <v>2.0446838384394481</v>
      </c>
      <c r="F53" s="317">
        <f t="shared" si="7"/>
        <v>2.0276146867904972</v>
      </c>
      <c r="G53" s="317">
        <f t="shared" si="7"/>
        <v>2.0108989249251201</v>
      </c>
      <c r="H53" s="317">
        <f t="shared" si="7"/>
        <v>1.9954486418124069</v>
      </c>
      <c r="I53" s="317">
        <f t="shared" si="7"/>
        <v>1.9775903547385738</v>
      </c>
      <c r="J53" s="317">
        <f t="shared" si="7"/>
        <v>1.9583651067616767</v>
      </c>
      <c r="K53" s="317">
        <f t="shared" si="7"/>
        <v>1.9375199145268298</v>
      </c>
      <c r="L53" s="317">
        <f t="shared" si="7"/>
        <v>1.9140860031626437</v>
      </c>
      <c r="M53" s="317">
        <f t="shared" si="7"/>
        <v>1.8930922791124551</v>
      </c>
      <c r="N53" s="317">
        <f t="shared" si="7"/>
        <v>1.8739923219499361</v>
      </c>
      <c r="O53" s="317">
        <f t="shared" si="7"/>
        <v>1.860457068136725</v>
      </c>
      <c r="P53" s="317">
        <f t="shared" si="7"/>
        <v>1.8536288668191863</v>
      </c>
      <c r="Q53" s="317">
        <f t="shared" si="7"/>
        <v>1.8194817243742876</v>
      </c>
      <c r="R53" s="317">
        <f t="shared" si="7"/>
        <v>1.7847995726811077</v>
      </c>
      <c r="S53" s="317">
        <f t="shared" si="7"/>
        <v>1.752519625544906</v>
      </c>
      <c r="T53" s="317">
        <f t="shared" si="6"/>
        <v>1.7100105186201047</v>
      </c>
      <c r="U53" s="317">
        <f t="shared" si="6"/>
        <v>1.7106919448387754</v>
      </c>
      <c r="V53" s="317">
        <f t="shared" si="6"/>
        <v>1.7079378413834014</v>
      </c>
      <c r="W53" s="317">
        <f t="shared" si="6"/>
        <v>1.6643611439023269</v>
      </c>
      <c r="X53" s="317">
        <f t="shared" si="6"/>
        <v>1.5820667060548328</v>
      </c>
      <c r="Y53" s="317">
        <f t="shared" si="6"/>
        <v>1.5720949154751056</v>
      </c>
      <c r="Z53" s="317">
        <f t="shared" si="6"/>
        <v>1.5269567629016723</v>
      </c>
      <c r="AA53" s="317">
        <f t="shared" si="6"/>
        <v>0</v>
      </c>
      <c r="AB53" s="317">
        <f t="shared" si="6"/>
        <v>0</v>
      </c>
      <c r="AC53" s="317">
        <f t="shared" si="6"/>
        <v>0</v>
      </c>
      <c r="AD53" s="317">
        <f t="shared" si="6"/>
        <v>0</v>
      </c>
      <c r="AE53" s="318">
        <f t="shared" si="6"/>
        <v>0</v>
      </c>
      <c r="AG53" s="319" t="s">
        <v>46</v>
      </c>
      <c r="AH53" s="294">
        <v>93095</v>
      </c>
      <c r="AI53" s="295">
        <v>93011.619398625247</v>
      </c>
      <c r="AJ53" s="295">
        <v>92939.592834961179</v>
      </c>
      <c r="AK53" s="295">
        <v>92691.580657104219</v>
      </c>
      <c r="AL53" s="295">
        <v>91879.634658115814</v>
      </c>
      <c r="AM53" s="295">
        <v>90186.490329766544</v>
      </c>
      <c r="AN53" s="295">
        <v>87369.979942810751</v>
      </c>
      <c r="AO53" s="295">
        <v>83272.485676757933</v>
      </c>
      <c r="AP53" s="295">
        <v>78017.563970582807</v>
      </c>
      <c r="AQ53" s="295">
        <v>71109.895555692652</v>
      </c>
      <c r="AR53" s="295">
        <v>62173.078399274389</v>
      </c>
      <c r="AS53" s="295">
        <v>51640.392069935384</v>
      </c>
      <c r="AT53" s="295">
        <v>39121.038416842784</v>
      </c>
      <c r="AU53" s="295">
        <v>25080.974205306105</v>
      </c>
      <c r="AV53" s="295">
        <v>12845.93246113541</v>
      </c>
      <c r="AW53" s="295">
        <v>5391.0292486935641</v>
      </c>
      <c r="AX53" s="295">
        <v>2040.0612545072233</v>
      </c>
      <c r="AY53" s="295">
        <v>687.39218050999966</v>
      </c>
      <c r="AZ53" s="295">
        <v>202.9756893505353</v>
      </c>
      <c r="BA53" s="295">
        <v>51.445067381786892</v>
      </c>
      <c r="BB53" s="295">
        <v>10.879714014029462</v>
      </c>
      <c r="BC53" s="295">
        <v>1.8428841152440594</v>
      </c>
      <c r="BD53" s="295">
        <v>0.23438742931370604</v>
      </c>
      <c r="BE53" s="295">
        <v>1.9896235526131879E-2</v>
      </c>
      <c r="BF53" s="295">
        <v>8.4545299780983487E-4</v>
      </c>
      <c r="BG53" s="295">
        <v>0</v>
      </c>
      <c r="BH53" s="295">
        <v>0</v>
      </c>
      <c r="BI53" s="295">
        <v>0</v>
      </c>
      <c r="BJ53" s="296">
        <v>0</v>
      </c>
    </row>
    <row r="54" spans="1:62">
      <c r="A54" s="1711"/>
      <c r="B54" s="116">
        <v>24</v>
      </c>
      <c r="C54" s="316">
        <f>C53</f>
        <v>2.0779097163500806</v>
      </c>
      <c r="D54" s="317">
        <f t="shared" si="7"/>
        <v>2.0779097163500806</v>
      </c>
      <c r="E54" s="317">
        <f t="shared" si="7"/>
        <v>2.0615273450313367</v>
      </c>
      <c r="F54" s="317">
        <f t="shared" si="7"/>
        <v>2.0446838384394481</v>
      </c>
      <c r="G54" s="317">
        <f t="shared" si="7"/>
        <v>2.0276146867904972</v>
      </c>
      <c r="H54" s="317">
        <f t="shared" si="7"/>
        <v>2.0108989249251201</v>
      </c>
      <c r="I54" s="317">
        <f t="shared" si="7"/>
        <v>1.9954486418124069</v>
      </c>
      <c r="J54" s="317">
        <f t="shared" si="7"/>
        <v>1.9775903547385738</v>
      </c>
      <c r="K54" s="317">
        <f t="shared" si="7"/>
        <v>1.9583651067616767</v>
      </c>
      <c r="L54" s="317">
        <f t="shared" si="7"/>
        <v>1.9375199145268298</v>
      </c>
      <c r="M54" s="317">
        <f t="shared" si="7"/>
        <v>1.9140860031626437</v>
      </c>
      <c r="N54" s="317">
        <f t="shared" si="7"/>
        <v>1.8930922791124551</v>
      </c>
      <c r="O54" s="317">
        <f t="shared" si="7"/>
        <v>1.8739923219499361</v>
      </c>
      <c r="P54" s="317">
        <f t="shared" si="7"/>
        <v>1.860457068136725</v>
      </c>
      <c r="Q54" s="317">
        <f t="shared" si="7"/>
        <v>1.8536288668191863</v>
      </c>
      <c r="R54" s="317">
        <f t="shared" si="7"/>
        <v>1.8194817243742876</v>
      </c>
      <c r="S54" s="317">
        <f t="shared" si="7"/>
        <v>1.7847995726811077</v>
      </c>
      <c r="T54" s="317">
        <f t="shared" si="6"/>
        <v>1.752519625544906</v>
      </c>
      <c r="U54" s="317">
        <f t="shared" si="6"/>
        <v>1.7100105186201047</v>
      </c>
      <c r="V54" s="317">
        <f t="shared" si="6"/>
        <v>1.7106919448387754</v>
      </c>
      <c r="W54" s="317">
        <f t="shared" si="6"/>
        <v>1.7079378413834014</v>
      </c>
      <c r="X54" s="317">
        <f t="shared" si="6"/>
        <v>1.6643611439023269</v>
      </c>
      <c r="Y54" s="317">
        <f t="shared" si="6"/>
        <v>1.5820667060548328</v>
      </c>
      <c r="Z54" s="317">
        <f t="shared" si="6"/>
        <v>1.5720949154751056</v>
      </c>
      <c r="AA54" s="317">
        <f t="shared" si="6"/>
        <v>1.5269567629016723</v>
      </c>
      <c r="AB54" s="317">
        <f t="shared" si="6"/>
        <v>0</v>
      </c>
      <c r="AC54" s="317">
        <f t="shared" si="6"/>
        <v>0</v>
      </c>
      <c r="AD54" s="317">
        <f t="shared" si="6"/>
        <v>0</v>
      </c>
      <c r="AE54" s="318">
        <f t="shared" si="6"/>
        <v>0</v>
      </c>
      <c r="AG54" s="319" t="s">
        <v>47</v>
      </c>
      <c r="AH54" s="294">
        <v>264378</v>
      </c>
      <c r="AI54" s="295">
        <v>255670.86473383152</v>
      </c>
      <c r="AJ54" s="295">
        <v>247294.52996125599</v>
      </c>
      <c r="AK54" s="295">
        <v>237113.67170793598</v>
      </c>
      <c r="AL54" s="295">
        <v>224367.25535801228</v>
      </c>
      <c r="AM54" s="295">
        <v>209246.69845801254</v>
      </c>
      <c r="AN54" s="295">
        <v>192341.56902864232</v>
      </c>
      <c r="AO54" s="295">
        <v>173873.02446925678</v>
      </c>
      <c r="AP54" s="295">
        <v>153696.49403059349</v>
      </c>
      <c r="AQ54" s="295">
        <v>130106.69465961412</v>
      </c>
      <c r="AR54" s="295">
        <v>106152.17656124078</v>
      </c>
      <c r="AS54" s="295">
        <v>82502.776853030897</v>
      </c>
      <c r="AT54" s="295">
        <v>59094.469662789947</v>
      </c>
      <c r="AU54" s="295">
        <v>35451.792050654454</v>
      </c>
      <c r="AV54" s="295">
        <v>17200.138694625435</v>
      </c>
      <c r="AW54" s="295">
        <v>6640.9820945593347</v>
      </c>
      <c r="AX54" s="295">
        <v>2313.7741012087617</v>
      </c>
      <c r="AY54" s="295">
        <v>718.25920822877083</v>
      </c>
      <c r="AZ54" s="295">
        <v>195.50848073890197</v>
      </c>
      <c r="BA54" s="295">
        <v>45.701077006067102</v>
      </c>
      <c r="BB54" s="295">
        <v>8.9177070556577203</v>
      </c>
      <c r="BC54" s="295">
        <v>1.3943113047040383</v>
      </c>
      <c r="BD54" s="295">
        <v>0.1637497401182729</v>
      </c>
      <c r="BE54" s="295">
        <v>1.2839537010029291E-2</v>
      </c>
      <c r="BF54" s="295">
        <v>5.0412519249597805E-4</v>
      </c>
      <c r="BG54" s="295">
        <v>0</v>
      </c>
      <c r="BH54" s="295">
        <v>0</v>
      </c>
      <c r="BI54" s="295">
        <v>0</v>
      </c>
      <c r="BJ54" s="296">
        <v>0</v>
      </c>
    </row>
    <row r="55" spans="1:62" ht="15.75" thickBot="1">
      <c r="A55" s="1711"/>
      <c r="B55" s="116">
        <v>25</v>
      </c>
      <c r="C55" s="324">
        <f>C54</f>
        <v>2.0779097163500806</v>
      </c>
      <c r="D55" s="325">
        <f t="shared" si="7"/>
        <v>2.0779097163500806</v>
      </c>
      <c r="E55" s="325">
        <f t="shared" si="7"/>
        <v>2.0779097163500806</v>
      </c>
      <c r="F55" s="325">
        <f t="shared" si="7"/>
        <v>2.0615273450313367</v>
      </c>
      <c r="G55" s="325">
        <f t="shared" si="7"/>
        <v>2.0446838384394481</v>
      </c>
      <c r="H55" s="325">
        <f t="shared" si="7"/>
        <v>2.0276146867904972</v>
      </c>
      <c r="I55" s="325">
        <f t="shared" si="7"/>
        <v>2.0108989249251201</v>
      </c>
      <c r="J55" s="325">
        <f t="shared" si="7"/>
        <v>1.9954486418124069</v>
      </c>
      <c r="K55" s="325">
        <f t="shared" si="7"/>
        <v>1.9775903547385738</v>
      </c>
      <c r="L55" s="325">
        <f t="shared" si="7"/>
        <v>1.9583651067616767</v>
      </c>
      <c r="M55" s="325">
        <f t="shared" si="7"/>
        <v>1.9375199145268298</v>
      </c>
      <c r="N55" s="325">
        <f t="shared" si="7"/>
        <v>1.9140860031626437</v>
      </c>
      <c r="O55" s="325">
        <f t="shared" si="7"/>
        <v>1.8930922791124551</v>
      </c>
      <c r="P55" s="325">
        <f t="shared" si="7"/>
        <v>1.8739923219499361</v>
      </c>
      <c r="Q55" s="325">
        <f t="shared" si="7"/>
        <v>1.860457068136725</v>
      </c>
      <c r="R55" s="325">
        <f t="shared" si="7"/>
        <v>1.8536288668191863</v>
      </c>
      <c r="S55" s="325">
        <f t="shared" si="7"/>
        <v>1.8194817243742876</v>
      </c>
      <c r="T55" s="325">
        <f t="shared" si="6"/>
        <v>1.7847995726811077</v>
      </c>
      <c r="U55" s="325">
        <f t="shared" si="6"/>
        <v>1.752519625544906</v>
      </c>
      <c r="V55" s="325">
        <f t="shared" si="6"/>
        <v>1.7100105186201047</v>
      </c>
      <c r="W55" s="325">
        <f t="shared" si="6"/>
        <v>1.7106919448387754</v>
      </c>
      <c r="X55" s="325">
        <f t="shared" si="6"/>
        <v>1.7079378413834014</v>
      </c>
      <c r="Y55" s="325">
        <f t="shared" si="6"/>
        <v>1.6643611439023269</v>
      </c>
      <c r="Z55" s="325">
        <f t="shared" si="6"/>
        <v>1.5820667060548328</v>
      </c>
      <c r="AA55" s="325">
        <f t="shared" si="6"/>
        <v>1.5720949154751056</v>
      </c>
      <c r="AB55" s="325">
        <f t="shared" si="6"/>
        <v>1.5269567629016723</v>
      </c>
      <c r="AC55" s="325">
        <f t="shared" si="6"/>
        <v>0</v>
      </c>
      <c r="AD55" s="325">
        <f t="shared" si="6"/>
        <v>0</v>
      </c>
      <c r="AE55" s="326">
        <f t="shared" si="6"/>
        <v>0</v>
      </c>
      <c r="AG55" s="319" t="s">
        <v>48</v>
      </c>
      <c r="AH55" s="294">
        <v>263492.99999999994</v>
      </c>
      <c r="AI55" s="295">
        <v>252050.80905900322</v>
      </c>
      <c r="AJ55" s="295">
        <v>242133.79180956198</v>
      </c>
      <c r="AK55" s="295">
        <v>231203.76992601855</v>
      </c>
      <c r="AL55" s="295">
        <v>217736.28592430183</v>
      </c>
      <c r="AM55" s="295">
        <v>200449.24750597758</v>
      </c>
      <c r="AN55" s="295">
        <v>179151.81119701595</v>
      </c>
      <c r="AO55" s="295">
        <v>154483.41756903962</v>
      </c>
      <c r="AP55" s="295">
        <v>127371.60455343295</v>
      </c>
      <c r="AQ55" s="295">
        <v>100417.40237764928</v>
      </c>
      <c r="AR55" s="295">
        <v>75005.23184989531</v>
      </c>
      <c r="AS55" s="295">
        <v>51289.541286957385</v>
      </c>
      <c r="AT55" s="295">
        <v>30118.325400871214</v>
      </c>
      <c r="AU55" s="295">
        <v>14493.883648050163</v>
      </c>
      <c r="AV55" s="295">
        <v>5501.9362744040109</v>
      </c>
      <c r="AW55" s="295">
        <v>1644.5522340569225</v>
      </c>
      <c r="AX55" s="295">
        <v>443.11604166902976</v>
      </c>
      <c r="AY55" s="295">
        <v>106.28411710057985</v>
      </c>
      <c r="AZ55" s="295">
        <v>22.335960554881396</v>
      </c>
      <c r="BA55" s="295">
        <v>4.0282895321603238</v>
      </c>
      <c r="BB55" s="295">
        <v>0.60609005224497214</v>
      </c>
      <c r="BC55" s="295">
        <v>7.3027525677887978E-2</v>
      </c>
      <c r="BD55" s="295">
        <v>6.6055356638003524E-3</v>
      </c>
      <c r="BE55" s="295">
        <v>3.9867929757018955E-4</v>
      </c>
      <c r="BF55" s="295">
        <v>1.2041393862522361E-5</v>
      </c>
      <c r="BG55" s="295">
        <v>0</v>
      </c>
      <c r="BH55" s="295">
        <v>0</v>
      </c>
      <c r="BI55" s="295">
        <v>0</v>
      </c>
      <c r="BJ55" s="296">
        <v>0</v>
      </c>
    </row>
    <row r="56" spans="1:62" ht="16.5" thickTop="1" thickBot="1">
      <c r="A56" s="1712"/>
      <c r="B56" s="300" t="s">
        <v>39</v>
      </c>
      <c r="C56" s="327">
        <f>SUMPRODUCT('CAR Stock'!C53:C78,C30:C55)/'CAR Stock'!C79</f>
        <v>1.8125392635138049</v>
      </c>
      <c r="D56" s="327">
        <f>SUMPRODUCT('CAR Stock'!D53:D78,D30:D55)/'CAR Stock'!D79</f>
        <v>1.7852934966007004</v>
      </c>
      <c r="E56" s="327">
        <f>SUMPRODUCT('CAR Stock'!E53:E78,E30:E55)/'CAR Stock'!E79</f>
        <v>1.7583401696462255</v>
      </c>
      <c r="F56" s="327">
        <f>SUMPRODUCT('CAR Stock'!F53:F78,F30:F55)/'CAR Stock'!F79</f>
        <v>1.7327077678404403</v>
      </c>
      <c r="G56" s="327">
        <f>SUMPRODUCT('CAR Stock'!G53:G78,G30:G55)/'CAR Stock'!G79</f>
        <v>1.7101851886014452</v>
      </c>
      <c r="H56" s="327">
        <f>SUMPRODUCT('CAR Stock'!H53:H78,H30:H55)/'CAR Stock'!H79</f>
        <v>1.6902669299881286</v>
      </c>
      <c r="I56" s="327">
        <f>SUMPRODUCT('CAR Stock'!I53:I78,I30:I55)/'CAR Stock'!I79</f>
        <v>1.6712213792590243</v>
      </c>
      <c r="J56" s="327">
        <f>SUMPRODUCT('CAR Stock'!J53:J78,J30:J55)/'CAR Stock'!J79</f>
        <v>1.6513626050420791</v>
      </c>
      <c r="K56" s="327">
        <f>SUMPRODUCT('CAR Stock'!K53:K78,K30:K55)/'CAR Stock'!K79</f>
        <v>1.6299991988446296</v>
      </c>
      <c r="L56" s="327">
        <f>SUMPRODUCT('CAR Stock'!L53:L78,L30:L55)/'CAR Stock'!L79</f>
        <v>1.6080651185009436</v>
      </c>
      <c r="M56" s="327">
        <f>SUMPRODUCT('CAR Stock'!M53:M78,M30:M55)/'CAR Stock'!M79</f>
        <v>1.5880870378237966</v>
      </c>
      <c r="N56" s="327">
        <f>SUMPRODUCT('CAR Stock'!N53:N78,N30:N55)/'CAR Stock'!N79</f>
        <v>1.5720070301732532</v>
      </c>
      <c r="O56" s="327">
        <f>SUMPRODUCT('CAR Stock'!O53:O78,O30:O55)/'CAR Stock'!O79</f>
        <v>1.5605063212830628</v>
      </c>
      <c r="P56" s="327">
        <f>SUMPRODUCT('CAR Stock'!P53:P78,P30:P55)/'CAR Stock'!P79</f>
        <v>1.5522103030019629</v>
      </c>
      <c r="Q56" s="327">
        <f>SUMPRODUCT('CAR Stock'!Q53:Q78,Q30:Q55)/'CAR Stock'!Q79</f>
        <v>1.5461874727832952</v>
      </c>
      <c r="R56" s="327">
        <f>SUMPRODUCT('CAR Stock'!R53:R78,R30:R55)/'CAR Stock'!R79</f>
        <v>1.5436428350690181</v>
      </c>
      <c r="S56" s="327">
        <f>SUMPRODUCT('CAR Stock'!S53:S78,S30:S55)/'CAR Stock'!S79</f>
        <v>1.5413420673445333</v>
      </c>
      <c r="T56" s="327">
        <f>SUMPRODUCT('CAR Stock'!T53:T78,T30:T55)/'CAR Stock'!T79</f>
        <v>1.5392341043508577</v>
      </c>
      <c r="U56" s="327">
        <f>SUMPRODUCT('CAR Stock'!U53:U78,U30:U55)/'CAR Stock'!U79</f>
        <v>1.5372745363799811</v>
      </c>
      <c r="V56" s="327">
        <f>SUMPRODUCT('CAR Stock'!V53:V78,V30:V55)/'CAR Stock'!V79</f>
        <v>1.5354255601445463</v>
      </c>
      <c r="W56" s="327">
        <f>SUMPRODUCT('CAR Stock'!W53:W78,W30:W55)/'CAR Stock'!W79</f>
        <v>1.5336558150551478</v>
      </c>
      <c r="X56" s="327">
        <f>SUMPRODUCT('CAR Stock'!X53:X78,X30:X55)/'CAR Stock'!X79</f>
        <v>1.5319401791670217</v>
      </c>
      <c r="Y56" s="327">
        <f>SUMPRODUCT('CAR Stock'!Y53:Y78,Y30:Y55)/'CAR Stock'!Y79</f>
        <v>1.5302595811329704</v>
      </c>
      <c r="Z56" s="327">
        <f>SUMPRODUCT('CAR Stock'!Z53:Z78,Z30:Z55)/'CAR Stock'!Z79</f>
        <v>1.5286008688924804</v>
      </c>
      <c r="AA56" s="327">
        <f>SUMPRODUCT('CAR Stock'!AA53:AA78,AA30:AA55)/'CAR Stock'!AA79</f>
        <v>1.5269567629016723</v>
      </c>
      <c r="AB56" s="327">
        <v>0</v>
      </c>
      <c r="AC56" s="327">
        <v>0</v>
      </c>
      <c r="AD56" s="327">
        <v>0</v>
      </c>
      <c r="AE56" s="327">
        <v>0</v>
      </c>
      <c r="AF56" s="328"/>
      <c r="AG56" s="319" t="s">
        <v>49</v>
      </c>
      <c r="AH56" s="294">
        <v>0</v>
      </c>
      <c r="AI56" s="295">
        <v>0</v>
      </c>
      <c r="AJ56" s="295">
        <v>0</v>
      </c>
      <c r="AK56" s="295">
        <v>0</v>
      </c>
      <c r="AL56" s="295">
        <v>0</v>
      </c>
      <c r="AM56" s="295">
        <v>0</v>
      </c>
      <c r="AN56" s="295">
        <v>0</v>
      </c>
      <c r="AO56" s="295">
        <v>0</v>
      </c>
      <c r="AP56" s="295">
        <v>0</v>
      </c>
      <c r="AQ56" s="295">
        <v>0</v>
      </c>
      <c r="AR56" s="295">
        <v>0</v>
      </c>
      <c r="AS56" s="295">
        <v>0</v>
      </c>
      <c r="AT56" s="295">
        <v>0</v>
      </c>
      <c r="AU56" s="295">
        <v>0</v>
      </c>
      <c r="AV56" s="295">
        <v>0</v>
      </c>
      <c r="AW56" s="295">
        <v>0</v>
      </c>
      <c r="AX56" s="295">
        <v>0</v>
      </c>
      <c r="AY56" s="295">
        <v>0</v>
      </c>
      <c r="AZ56" s="295">
        <v>0</v>
      </c>
      <c r="BA56" s="295">
        <v>0</v>
      </c>
      <c r="BB56" s="295">
        <v>0</v>
      </c>
      <c r="BC56" s="295">
        <v>0</v>
      </c>
      <c r="BD56" s="295">
        <v>0</v>
      </c>
      <c r="BE56" s="295">
        <v>0</v>
      </c>
      <c r="BF56" s="295">
        <v>0</v>
      </c>
      <c r="BG56" s="295">
        <v>0</v>
      </c>
      <c r="BH56" s="295">
        <v>0</v>
      </c>
      <c r="BI56" s="295">
        <v>0</v>
      </c>
      <c r="BJ56" s="296">
        <v>0</v>
      </c>
    </row>
    <row r="57" spans="1:62" ht="15.75" thickBot="1">
      <c r="A57" s="650"/>
      <c r="AG57" s="319" t="s">
        <v>50</v>
      </c>
      <c r="AH57" s="294">
        <v>5923</v>
      </c>
      <c r="AI57" s="295">
        <v>5922.8508608833945</v>
      </c>
      <c r="AJ57" s="295">
        <v>5922.6346790260577</v>
      </c>
      <c r="AK57" s="295">
        <v>5922.3916612356988</v>
      </c>
      <c r="AL57" s="295">
        <v>5920.5497836938184</v>
      </c>
      <c r="AM57" s="295">
        <v>5906.6370461410897</v>
      </c>
      <c r="AN57" s="295">
        <v>5819.5718968573919</v>
      </c>
      <c r="AO57" s="295">
        <v>5529.0276332853455</v>
      </c>
      <c r="AP57" s="295">
        <v>4914.7670646007346</v>
      </c>
      <c r="AQ57" s="295">
        <v>3962.5768768875309</v>
      </c>
      <c r="AR57" s="295">
        <v>2800.6384998021681</v>
      </c>
      <c r="AS57" s="295">
        <v>1692.8585113172719</v>
      </c>
      <c r="AT57" s="295">
        <v>852.56733062989247</v>
      </c>
      <c r="AU57" s="295">
        <v>349.05940305971029</v>
      </c>
      <c r="AV57" s="295">
        <v>115.89417545437416</v>
      </c>
      <c r="AW57" s="295">
        <v>30.458355828868662</v>
      </c>
      <c r="AX57" s="295">
        <v>7.2109726549992086</v>
      </c>
      <c r="AY57" s="295">
        <v>1.5191793999725571</v>
      </c>
      <c r="AZ57" s="295">
        <v>0.28041371454286468</v>
      </c>
      <c r="BA57" s="295">
        <v>4.4432624298646001E-2</v>
      </c>
      <c r="BB57" s="295">
        <v>5.8773322051270576E-3</v>
      </c>
      <c r="BC57" s="295">
        <v>6.2317046300768995E-4</v>
      </c>
      <c r="BD57" s="295">
        <v>4.9665790909609208E-5</v>
      </c>
      <c r="BE57" s="295">
        <v>2.6453579394058348E-6</v>
      </c>
      <c r="BF57" s="295">
        <v>7.0640470979802384E-8</v>
      </c>
      <c r="BG57" s="295">
        <v>0</v>
      </c>
      <c r="BH57" s="295">
        <v>0</v>
      </c>
      <c r="BI57" s="295">
        <v>0</v>
      </c>
      <c r="BJ57" s="296">
        <v>0</v>
      </c>
    </row>
    <row r="58" spans="1:62" ht="15.75" customHeight="1" thickBot="1">
      <c r="A58" s="1710" t="s">
        <v>42</v>
      </c>
      <c r="B58" s="169" t="s">
        <v>10</v>
      </c>
      <c r="C58" s="288">
        <v>2012</v>
      </c>
      <c r="D58" s="289">
        <v>2013</v>
      </c>
      <c r="E58" s="289">
        <v>2014</v>
      </c>
      <c r="F58" s="289">
        <v>2015</v>
      </c>
      <c r="G58" s="288">
        <v>2016</v>
      </c>
      <c r="H58" s="289">
        <v>2017</v>
      </c>
      <c r="I58" s="289">
        <v>2018</v>
      </c>
      <c r="J58" s="289">
        <v>2019</v>
      </c>
      <c r="K58" s="288">
        <v>2020</v>
      </c>
      <c r="L58" s="289">
        <v>2021</v>
      </c>
      <c r="M58" s="289">
        <v>2022</v>
      </c>
      <c r="N58" s="289">
        <v>2023</v>
      </c>
      <c r="O58" s="288">
        <v>2024</v>
      </c>
      <c r="P58" s="289">
        <v>2025</v>
      </c>
      <c r="Q58" s="289">
        <v>2026</v>
      </c>
      <c r="R58" s="289">
        <v>2027</v>
      </c>
      <c r="S58" s="288">
        <v>2028</v>
      </c>
      <c r="T58" s="289">
        <v>2029</v>
      </c>
      <c r="U58" s="289">
        <v>2030</v>
      </c>
      <c r="V58" s="289">
        <v>2031</v>
      </c>
      <c r="W58" s="288">
        <v>2032</v>
      </c>
      <c r="X58" s="289">
        <v>2033</v>
      </c>
      <c r="Y58" s="289">
        <v>2034</v>
      </c>
      <c r="Z58" s="289">
        <v>2035</v>
      </c>
      <c r="AA58" s="288">
        <v>2036</v>
      </c>
      <c r="AB58" s="289">
        <v>2037</v>
      </c>
      <c r="AC58" s="289">
        <v>2038</v>
      </c>
      <c r="AD58" s="289">
        <v>2039</v>
      </c>
      <c r="AE58" s="290">
        <v>2040</v>
      </c>
      <c r="AG58" s="319" t="s">
        <v>51</v>
      </c>
      <c r="AH58" s="294">
        <v>2083</v>
      </c>
      <c r="AI58" s="295">
        <v>2082.9950001316079</v>
      </c>
      <c r="AJ58" s="295">
        <v>2082.680450808672</v>
      </c>
      <c r="AK58" s="295">
        <v>2077.7829468165619</v>
      </c>
      <c r="AL58" s="295">
        <v>2042.3166803113356</v>
      </c>
      <c r="AM58" s="295">
        <v>1899.5465302448183</v>
      </c>
      <c r="AN58" s="295">
        <v>1601.4516738223308</v>
      </c>
      <c r="AO58" s="295">
        <v>1173.1391902576597</v>
      </c>
      <c r="AP58" s="295">
        <v>711.42824320801583</v>
      </c>
      <c r="AQ58" s="295">
        <v>348.85141201636969</v>
      </c>
      <c r="AR58" s="295">
        <v>134.73080902588435</v>
      </c>
      <c r="AS58" s="295">
        <v>40.604376370994949</v>
      </c>
      <c r="AT58" s="295">
        <v>10.549405512659407</v>
      </c>
      <c r="AU58" s="295">
        <v>2.3969103538375571</v>
      </c>
      <c r="AV58" s="295">
        <v>0.48623323838499261</v>
      </c>
      <c r="AW58" s="295">
        <v>8.6960186593946817E-2</v>
      </c>
      <c r="AX58" s="295">
        <v>1.3499346742038289E-2</v>
      </c>
      <c r="AY58" s="295">
        <v>1.7833618928048162E-3</v>
      </c>
      <c r="AZ58" s="295">
        <v>1.9532566152749965E-4</v>
      </c>
      <c r="BA58" s="295">
        <v>1.7095872812100079E-5</v>
      </c>
      <c r="BB58" s="295">
        <v>1.1288957029037862E-6</v>
      </c>
      <c r="BC58" s="295">
        <v>5.0544059012615836E-8</v>
      </c>
      <c r="BD58" s="295">
        <v>1.1682404699282577E-9</v>
      </c>
      <c r="BE58" s="295">
        <v>0</v>
      </c>
      <c r="BF58" s="295">
        <v>0</v>
      </c>
      <c r="BG58" s="295">
        <v>0</v>
      </c>
      <c r="BH58" s="295">
        <v>0</v>
      </c>
      <c r="BI58" s="295">
        <v>0</v>
      </c>
      <c r="BJ58" s="296">
        <v>0</v>
      </c>
    </row>
    <row r="59" spans="1:62">
      <c r="A59" s="1711"/>
      <c r="B59" s="116">
        <v>0</v>
      </c>
      <c r="C59" s="313">
        <f>'CAR SEC'!C3</f>
        <v>1.7036977621623173</v>
      </c>
      <c r="D59" s="314">
        <v>0</v>
      </c>
      <c r="E59" s="314">
        <v>0</v>
      </c>
      <c r="F59" s="314">
        <v>0</v>
      </c>
      <c r="G59" s="314">
        <v>0</v>
      </c>
      <c r="H59" s="314">
        <v>0</v>
      </c>
      <c r="I59" s="314">
        <v>0</v>
      </c>
      <c r="J59" s="314">
        <v>0</v>
      </c>
      <c r="K59" s="314">
        <v>0</v>
      </c>
      <c r="L59" s="314">
        <v>0</v>
      </c>
      <c r="M59" s="314">
        <v>0</v>
      </c>
      <c r="N59" s="314">
        <v>0</v>
      </c>
      <c r="O59" s="314">
        <v>0</v>
      </c>
      <c r="P59" s="314">
        <v>0</v>
      </c>
      <c r="Q59" s="314">
        <v>0</v>
      </c>
      <c r="R59" s="314">
        <v>0</v>
      </c>
      <c r="S59" s="314">
        <v>0</v>
      </c>
      <c r="T59" s="314">
        <v>0</v>
      </c>
      <c r="U59" s="314">
        <v>0</v>
      </c>
      <c r="V59" s="314">
        <v>0</v>
      </c>
      <c r="W59" s="314">
        <v>0</v>
      </c>
      <c r="X59" s="314">
        <v>0</v>
      </c>
      <c r="Y59" s="314">
        <v>0</v>
      </c>
      <c r="Z59" s="314">
        <v>0</v>
      </c>
      <c r="AA59" s="314">
        <v>0</v>
      </c>
      <c r="AB59" s="314">
        <v>0</v>
      </c>
      <c r="AC59" s="314">
        <v>0</v>
      </c>
      <c r="AD59" s="314">
        <v>0</v>
      </c>
      <c r="AE59" s="315">
        <v>0</v>
      </c>
      <c r="AG59" s="319" t="s">
        <v>52</v>
      </c>
      <c r="AH59" s="294">
        <v>1424</v>
      </c>
      <c r="AI59" s="295">
        <v>1424</v>
      </c>
      <c r="AJ59" s="295">
        <v>1423.9729697855835</v>
      </c>
      <c r="AK59" s="295">
        <v>1423.5071102649952</v>
      </c>
      <c r="AL59" s="295">
        <v>1411.6552409946016</v>
      </c>
      <c r="AM59" s="295">
        <v>1339.7403043625548</v>
      </c>
      <c r="AN59" s="295">
        <v>1149.2023967334064</v>
      </c>
      <c r="AO59" s="295">
        <v>856.19413384642462</v>
      </c>
      <c r="AP59" s="295">
        <v>533.98519990565296</v>
      </c>
      <c r="AQ59" s="295">
        <v>272.36297523138597</v>
      </c>
      <c r="AR59" s="295">
        <v>111.36820532480084</v>
      </c>
      <c r="AS59" s="295">
        <v>36.199133134781889</v>
      </c>
      <c r="AT59" s="295">
        <v>10.477162460434251</v>
      </c>
      <c r="AU59" s="295">
        <v>2.7051179094072912</v>
      </c>
      <c r="AV59" s="295">
        <v>0.61804483704822644</v>
      </c>
      <c r="AW59" s="295">
        <v>0.12463559351724955</v>
      </c>
      <c r="AX59" s="295">
        <v>2.1932479330898078E-2</v>
      </c>
      <c r="AY59" s="295">
        <v>3.3296402781056353E-3</v>
      </c>
      <c r="AZ59" s="295">
        <v>4.3163241252917926E-4</v>
      </c>
      <c r="BA59" s="295">
        <v>4.7352700242032846E-5</v>
      </c>
      <c r="BB59" s="295">
        <v>4.3364311197724894E-6</v>
      </c>
      <c r="BC59" s="295">
        <v>3.1819990470327129E-7</v>
      </c>
      <c r="BD59" s="295">
        <v>1.6620962091193074E-8</v>
      </c>
      <c r="BE59" s="295">
        <v>4.4654745434962165E-10</v>
      </c>
      <c r="BF59" s="295">
        <v>0</v>
      </c>
      <c r="BG59" s="295">
        <v>0</v>
      </c>
      <c r="BH59" s="295">
        <v>0</v>
      </c>
      <c r="BI59" s="295">
        <v>0</v>
      </c>
      <c r="BJ59" s="296">
        <v>0</v>
      </c>
    </row>
    <row r="60" spans="1:62">
      <c r="A60" s="1711"/>
      <c r="B60" s="116">
        <v>1</v>
      </c>
      <c r="C60" s="316">
        <f>'CAR SEC'!C4</f>
        <v>1.7415895568180586</v>
      </c>
      <c r="D60" s="317">
        <f>C59</f>
        <v>1.7036977621623173</v>
      </c>
      <c r="E60" s="317">
        <f t="shared" ref="E60:T60" si="8">D59</f>
        <v>0</v>
      </c>
      <c r="F60" s="317">
        <f t="shared" si="8"/>
        <v>0</v>
      </c>
      <c r="G60" s="317">
        <f t="shared" si="8"/>
        <v>0</v>
      </c>
      <c r="H60" s="317">
        <f t="shared" si="8"/>
        <v>0</v>
      </c>
      <c r="I60" s="317">
        <f t="shared" si="8"/>
        <v>0</v>
      </c>
      <c r="J60" s="317">
        <f t="shared" si="8"/>
        <v>0</v>
      </c>
      <c r="K60" s="317">
        <f t="shared" si="8"/>
        <v>0</v>
      </c>
      <c r="L60" s="317">
        <f t="shared" si="8"/>
        <v>0</v>
      </c>
      <c r="M60" s="317">
        <f t="shared" si="8"/>
        <v>0</v>
      </c>
      <c r="N60" s="317">
        <f t="shared" si="8"/>
        <v>0</v>
      </c>
      <c r="O60" s="317">
        <f t="shared" si="8"/>
        <v>0</v>
      </c>
      <c r="P60" s="317">
        <f t="shared" si="8"/>
        <v>0</v>
      </c>
      <c r="Q60" s="317">
        <f t="shared" si="8"/>
        <v>0</v>
      </c>
      <c r="R60" s="317">
        <f t="shared" si="8"/>
        <v>0</v>
      </c>
      <c r="S60" s="317">
        <f t="shared" si="8"/>
        <v>0</v>
      </c>
      <c r="T60" s="317">
        <f t="shared" si="8"/>
        <v>0</v>
      </c>
      <c r="U60" s="317">
        <f t="shared" ref="T60:AE75" si="9">T59</f>
        <v>0</v>
      </c>
      <c r="V60" s="317">
        <f t="shared" si="9"/>
        <v>0</v>
      </c>
      <c r="W60" s="317">
        <f t="shared" si="9"/>
        <v>0</v>
      </c>
      <c r="X60" s="317">
        <f t="shared" si="9"/>
        <v>0</v>
      </c>
      <c r="Y60" s="317">
        <f t="shared" si="9"/>
        <v>0</v>
      </c>
      <c r="Z60" s="317">
        <f t="shared" si="9"/>
        <v>0</v>
      </c>
      <c r="AA60" s="317">
        <f t="shared" si="9"/>
        <v>0</v>
      </c>
      <c r="AB60" s="317">
        <f t="shared" si="9"/>
        <v>0</v>
      </c>
      <c r="AC60" s="317">
        <f t="shared" si="9"/>
        <v>0</v>
      </c>
      <c r="AD60" s="317">
        <f t="shared" si="9"/>
        <v>0</v>
      </c>
      <c r="AE60" s="318">
        <f t="shared" si="9"/>
        <v>0</v>
      </c>
      <c r="AG60" s="319" t="s">
        <v>53</v>
      </c>
      <c r="AH60" s="294">
        <v>3</v>
      </c>
      <c r="AI60" s="295">
        <v>1.9396928286889303</v>
      </c>
      <c r="AJ60" s="295">
        <v>1.0227327762543112</v>
      </c>
      <c r="AK60" s="295">
        <v>0.41334295912581209</v>
      </c>
      <c r="AL60" s="295">
        <v>0.13646457780586368</v>
      </c>
      <c r="AM60" s="295">
        <v>4.0441034536028327E-2</v>
      </c>
      <c r="AN60" s="295">
        <v>1.0621706355796887E-2</v>
      </c>
      <c r="AO60" s="295">
        <v>2.4330202106221518E-3</v>
      </c>
      <c r="AP60" s="295">
        <v>4.7592922898305608E-4</v>
      </c>
      <c r="AQ60" s="295">
        <v>7.7256400772541828E-5</v>
      </c>
      <c r="AR60" s="295">
        <v>9.9846190540761906E-6</v>
      </c>
      <c r="AS60" s="295">
        <v>9.6245905955713754E-7</v>
      </c>
      <c r="AT60" s="295">
        <v>6.1451238674012772E-8</v>
      </c>
      <c r="AU60" s="295">
        <v>1.9468094086099692E-9</v>
      </c>
      <c r="AV60" s="295">
        <v>0</v>
      </c>
      <c r="AW60" s="295">
        <v>0</v>
      </c>
      <c r="AX60" s="295">
        <v>0</v>
      </c>
      <c r="AY60" s="295">
        <v>0</v>
      </c>
      <c r="AZ60" s="295">
        <v>0</v>
      </c>
      <c r="BA60" s="295">
        <v>0</v>
      </c>
      <c r="BB60" s="295">
        <v>0</v>
      </c>
      <c r="BC60" s="295">
        <v>0</v>
      </c>
      <c r="BD60" s="295">
        <v>0</v>
      </c>
      <c r="BE60" s="295">
        <v>0</v>
      </c>
      <c r="BF60" s="295">
        <v>0</v>
      </c>
      <c r="BG60" s="295">
        <v>0</v>
      </c>
      <c r="BH60" s="295">
        <v>0</v>
      </c>
      <c r="BI60" s="295">
        <v>0</v>
      </c>
      <c r="BJ60" s="296">
        <v>0</v>
      </c>
    </row>
    <row r="61" spans="1:62">
      <c r="A61" s="1711"/>
      <c r="B61" s="116">
        <v>2</v>
      </c>
      <c r="C61" s="316">
        <f>'CAR SEC'!C5</f>
        <v>1.7734050223598012</v>
      </c>
      <c r="D61" s="317">
        <f t="shared" ref="D61:S76" si="10">C60</f>
        <v>1.7415895568180586</v>
      </c>
      <c r="E61" s="317">
        <f t="shared" si="10"/>
        <v>1.7036977621623173</v>
      </c>
      <c r="F61" s="317">
        <f t="shared" si="10"/>
        <v>0</v>
      </c>
      <c r="G61" s="317">
        <f t="shared" si="10"/>
        <v>0</v>
      </c>
      <c r="H61" s="317">
        <f t="shared" si="10"/>
        <v>0</v>
      </c>
      <c r="I61" s="317">
        <f t="shared" si="10"/>
        <v>0</v>
      </c>
      <c r="J61" s="317">
        <f t="shared" si="10"/>
        <v>0</v>
      </c>
      <c r="K61" s="317">
        <f t="shared" si="10"/>
        <v>0</v>
      </c>
      <c r="L61" s="317">
        <f t="shared" si="10"/>
        <v>0</v>
      </c>
      <c r="M61" s="317">
        <f t="shared" si="10"/>
        <v>0</v>
      </c>
      <c r="N61" s="317">
        <f t="shared" si="10"/>
        <v>0</v>
      </c>
      <c r="O61" s="317">
        <f t="shared" si="10"/>
        <v>0</v>
      </c>
      <c r="P61" s="317">
        <f t="shared" si="10"/>
        <v>0</v>
      </c>
      <c r="Q61" s="317">
        <f t="shared" si="10"/>
        <v>0</v>
      </c>
      <c r="R61" s="317">
        <f t="shared" si="10"/>
        <v>0</v>
      </c>
      <c r="S61" s="317">
        <f t="shared" si="10"/>
        <v>0</v>
      </c>
      <c r="T61" s="317">
        <f t="shared" si="9"/>
        <v>0</v>
      </c>
      <c r="U61" s="317">
        <f t="shared" si="9"/>
        <v>0</v>
      </c>
      <c r="V61" s="317">
        <f t="shared" si="9"/>
        <v>0</v>
      </c>
      <c r="W61" s="317">
        <f t="shared" si="9"/>
        <v>0</v>
      </c>
      <c r="X61" s="317">
        <f t="shared" si="9"/>
        <v>0</v>
      </c>
      <c r="Y61" s="317">
        <f t="shared" si="9"/>
        <v>0</v>
      </c>
      <c r="Z61" s="317">
        <f t="shared" si="9"/>
        <v>0</v>
      </c>
      <c r="AA61" s="317">
        <f t="shared" si="9"/>
        <v>0</v>
      </c>
      <c r="AB61" s="317">
        <f t="shared" si="9"/>
        <v>0</v>
      </c>
      <c r="AC61" s="317">
        <f t="shared" si="9"/>
        <v>0</v>
      </c>
      <c r="AD61" s="317">
        <f t="shared" si="9"/>
        <v>0</v>
      </c>
      <c r="AE61" s="318">
        <f t="shared" si="9"/>
        <v>0</v>
      </c>
      <c r="AG61" s="319" t="s">
        <v>54</v>
      </c>
      <c r="AH61" s="294">
        <v>3730</v>
      </c>
      <c r="AI61" s="295">
        <v>3682.9479587811679</v>
      </c>
      <c r="AJ61" s="295">
        <v>3598.4906779089897</v>
      </c>
      <c r="AK61" s="295">
        <v>3447.5115280088262</v>
      </c>
      <c r="AL61" s="295">
        <v>3193.3555586795092</v>
      </c>
      <c r="AM61" s="295">
        <v>2806.1293350987785</v>
      </c>
      <c r="AN61" s="295">
        <v>2292.2779158566773</v>
      </c>
      <c r="AO61" s="295">
        <v>1704.1927008532621</v>
      </c>
      <c r="AP61" s="295">
        <v>1128.0702485577574</v>
      </c>
      <c r="AQ61" s="295">
        <v>657.35985833230302</v>
      </c>
      <c r="AR61" s="295">
        <v>336.50568583365299</v>
      </c>
      <c r="AS61" s="295">
        <v>152.12988299361675</v>
      </c>
      <c r="AT61" s="295">
        <v>61.510445526769985</v>
      </c>
      <c r="AU61" s="295">
        <v>21.724921865896796</v>
      </c>
      <c r="AV61" s="295">
        <v>6.5458892524518903</v>
      </c>
      <c r="AW61" s="295">
        <v>1.6385572409074269</v>
      </c>
      <c r="AX61" s="295">
        <v>0.37144401508295855</v>
      </c>
      <c r="AY61" s="295">
        <v>7.5312906363642004E-2</v>
      </c>
      <c r="AZ61" s="295">
        <v>1.3442873384104938E-2</v>
      </c>
      <c r="BA61" s="295">
        <v>2.0687061650907401E-3</v>
      </c>
      <c r="BB61" s="295">
        <v>2.6675456082806125E-4</v>
      </c>
      <c r="BC61" s="295">
        <v>2.765934347418662E-5</v>
      </c>
      <c r="BD61" s="295">
        <v>2.1612363155587761E-6</v>
      </c>
      <c r="BE61" s="295">
        <v>1.1308528797508029E-7</v>
      </c>
      <c r="BF61" s="295">
        <v>2.9711442729702297E-9</v>
      </c>
      <c r="BG61" s="295">
        <v>0</v>
      </c>
      <c r="BH61" s="295">
        <v>0</v>
      </c>
      <c r="BI61" s="295">
        <v>0</v>
      </c>
      <c r="BJ61" s="296">
        <v>0</v>
      </c>
    </row>
    <row r="62" spans="1:62">
      <c r="A62" s="1711"/>
      <c r="B62" s="116">
        <v>3</v>
      </c>
      <c r="C62" s="316">
        <f>'CAR SEC'!C6</f>
        <v>1.8573112159366862</v>
      </c>
      <c r="D62" s="317">
        <f t="shared" si="10"/>
        <v>1.7734050223598012</v>
      </c>
      <c r="E62" s="317">
        <f t="shared" si="10"/>
        <v>1.7415895568180586</v>
      </c>
      <c r="F62" s="317">
        <f t="shared" si="10"/>
        <v>1.7036977621623173</v>
      </c>
      <c r="G62" s="317">
        <f t="shared" si="10"/>
        <v>0</v>
      </c>
      <c r="H62" s="317">
        <f t="shared" si="10"/>
        <v>0</v>
      </c>
      <c r="I62" s="317">
        <f t="shared" si="10"/>
        <v>0</v>
      </c>
      <c r="J62" s="317">
        <f t="shared" si="10"/>
        <v>0</v>
      </c>
      <c r="K62" s="317">
        <f t="shared" si="10"/>
        <v>0</v>
      </c>
      <c r="L62" s="317">
        <f t="shared" si="10"/>
        <v>0</v>
      </c>
      <c r="M62" s="317">
        <f t="shared" si="10"/>
        <v>0</v>
      </c>
      <c r="N62" s="317">
        <f t="shared" si="10"/>
        <v>0</v>
      </c>
      <c r="O62" s="317">
        <f t="shared" si="10"/>
        <v>0</v>
      </c>
      <c r="P62" s="317">
        <f t="shared" si="10"/>
        <v>0</v>
      </c>
      <c r="Q62" s="317">
        <f t="shared" si="10"/>
        <v>0</v>
      </c>
      <c r="R62" s="317">
        <f t="shared" si="10"/>
        <v>0</v>
      </c>
      <c r="S62" s="317">
        <f t="shared" si="10"/>
        <v>0</v>
      </c>
      <c r="T62" s="317">
        <f t="shared" si="9"/>
        <v>0</v>
      </c>
      <c r="U62" s="317">
        <f t="shared" si="9"/>
        <v>0</v>
      </c>
      <c r="V62" s="317">
        <f t="shared" si="9"/>
        <v>0</v>
      </c>
      <c r="W62" s="317">
        <f t="shared" si="9"/>
        <v>0</v>
      </c>
      <c r="X62" s="317">
        <f t="shared" si="9"/>
        <v>0</v>
      </c>
      <c r="Y62" s="317">
        <f t="shared" si="9"/>
        <v>0</v>
      </c>
      <c r="Z62" s="317">
        <f t="shared" si="9"/>
        <v>0</v>
      </c>
      <c r="AA62" s="317">
        <f t="shared" si="9"/>
        <v>0</v>
      </c>
      <c r="AB62" s="317">
        <f t="shared" si="9"/>
        <v>0</v>
      </c>
      <c r="AC62" s="317">
        <f t="shared" si="9"/>
        <v>0</v>
      </c>
      <c r="AD62" s="317">
        <f t="shared" si="9"/>
        <v>0</v>
      </c>
      <c r="AE62" s="318">
        <f t="shared" si="9"/>
        <v>0</v>
      </c>
      <c r="AG62" s="319" t="s">
        <v>55</v>
      </c>
      <c r="AH62" s="294">
        <v>1235</v>
      </c>
      <c r="AI62" s="295">
        <v>1235</v>
      </c>
      <c r="AJ62" s="295">
        <v>1235</v>
      </c>
      <c r="AK62" s="295">
        <v>1235</v>
      </c>
      <c r="AL62" s="295">
        <v>1234.9950001316076</v>
      </c>
      <c r="AM62" s="295">
        <v>1234.7404492293792</v>
      </c>
      <c r="AN62" s="295">
        <v>1230.397621867864</v>
      </c>
      <c r="AO62" s="295">
        <v>1200.9526956722718</v>
      </c>
      <c r="AP62" s="295">
        <v>1116.4653823170811</v>
      </c>
      <c r="AQ62" s="295">
        <v>951.09930352319998</v>
      </c>
      <c r="AR62" s="295">
        <v>714.66581744240943</v>
      </c>
      <c r="AS62" s="295">
        <v>459.07789327803823</v>
      </c>
      <c r="AT62" s="295">
        <v>242.64516337652154</v>
      </c>
      <c r="AU62" s="295">
        <v>103.02830371058067</v>
      </c>
      <c r="AV62" s="295">
        <v>34.234735736638811</v>
      </c>
      <c r="AW62" s="295">
        <v>8.8127638979834817</v>
      </c>
      <c r="AX62" s="295">
        <v>2.0426427197184611</v>
      </c>
      <c r="AY62" s="295">
        <v>0.42104792661209756</v>
      </c>
      <c r="AZ62" s="295">
        <v>7.5981783384295593E-2</v>
      </c>
      <c r="BA62" s="295">
        <v>1.1759568991418001E-2</v>
      </c>
      <c r="BB62" s="295">
        <v>1.5176210327210971E-3</v>
      </c>
      <c r="BC62" s="295">
        <v>1.5678966300551822E-4</v>
      </c>
      <c r="BD62" s="295">
        <v>1.2157553196911233E-5</v>
      </c>
      <c r="BE62" s="295">
        <v>6.2895343696021624E-7</v>
      </c>
      <c r="BF62" s="295">
        <v>1.6282351549625097E-8</v>
      </c>
      <c r="BG62" s="295">
        <v>0</v>
      </c>
      <c r="BH62" s="295">
        <v>0</v>
      </c>
      <c r="BI62" s="295">
        <v>0</v>
      </c>
      <c r="BJ62" s="296">
        <v>0</v>
      </c>
    </row>
    <row r="63" spans="1:62" ht="15.75" thickBot="1">
      <c r="A63" s="1711"/>
      <c r="B63" s="116">
        <v>4</v>
      </c>
      <c r="C63" s="316">
        <f>'CAR SEC'!C7</f>
        <v>1.965698312211386</v>
      </c>
      <c r="D63" s="317">
        <f t="shared" si="10"/>
        <v>1.8573112159366862</v>
      </c>
      <c r="E63" s="317">
        <f t="shared" si="10"/>
        <v>1.7734050223598012</v>
      </c>
      <c r="F63" s="317">
        <f t="shared" si="10"/>
        <v>1.7415895568180586</v>
      </c>
      <c r="G63" s="317">
        <f t="shared" si="10"/>
        <v>1.7036977621623173</v>
      </c>
      <c r="H63" s="317">
        <f t="shared" si="10"/>
        <v>0</v>
      </c>
      <c r="I63" s="317">
        <f t="shared" si="10"/>
        <v>0</v>
      </c>
      <c r="J63" s="317">
        <f t="shared" si="10"/>
        <v>0</v>
      </c>
      <c r="K63" s="317">
        <f t="shared" si="10"/>
        <v>0</v>
      </c>
      <c r="L63" s="317">
        <f t="shared" si="10"/>
        <v>0</v>
      </c>
      <c r="M63" s="317">
        <f t="shared" si="10"/>
        <v>0</v>
      </c>
      <c r="N63" s="317">
        <f t="shared" si="10"/>
        <v>0</v>
      </c>
      <c r="O63" s="317">
        <f t="shared" si="10"/>
        <v>0</v>
      </c>
      <c r="P63" s="317">
        <f t="shared" si="10"/>
        <v>0</v>
      </c>
      <c r="Q63" s="317">
        <f t="shared" si="10"/>
        <v>0</v>
      </c>
      <c r="R63" s="317">
        <f t="shared" si="10"/>
        <v>0</v>
      </c>
      <c r="S63" s="317">
        <f t="shared" si="10"/>
        <v>0</v>
      </c>
      <c r="T63" s="317">
        <f t="shared" si="9"/>
        <v>0</v>
      </c>
      <c r="U63" s="317">
        <f t="shared" si="9"/>
        <v>0</v>
      </c>
      <c r="V63" s="317">
        <f t="shared" si="9"/>
        <v>0</v>
      </c>
      <c r="W63" s="317">
        <f t="shared" si="9"/>
        <v>0</v>
      </c>
      <c r="X63" s="317">
        <f t="shared" si="9"/>
        <v>0</v>
      </c>
      <c r="Y63" s="317">
        <f t="shared" si="9"/>
        <v>0</v>
      </c>
      <c r="Z63" s="317">
        <f t="shared" si="9"/>
        <v>0</v>
      </c>
      <c r="AA63" s="317">
        <f t="shared" si="9"/>
        <v>0</v>
      </c>
      <c r="AB63" s="317">
        <f t="shared" si="9"/>
        <v>0</v>
      </c>
      <c r="AC63" s="317">
        <f t="shared" si="9"/>
        <v>0</v>
      </c>
      <c r="AD63" s="317">
        <f t="shared" si="9"/>
        <v>0</v>
      </c>
      <c r="AE63" s="318">
        <f t="shared" si="9"/>
        <v>0</v>
      </c>
      <c r="AG63" s="320" t="s">
        <v>56</v>
      </c>
      <c r="AH63" s="335">
        <v>1566</v>
      </c>
      <c r="AI63" s="336">
        <v>1560.8320547646545</v>
      </c>
      <c r="AJ63" s="336">
        <v>1553.508572669389</v>
      </c>
      <c r="AK63" s="336">
        <v>1536.2903456216975</v>
      </c>
      <c r="AL63" s="336">
        <v>1483.2341726106017</v>
      </c>
      <c r="AM63" s="336">
        <v>1361.2495511141769</v>
      </c>
      <c r="AN63" s="336">
        <v>1162.4594484081645</v>
      </c>
      <c r="AO63" s="336">
        <v>920.06039399727456</v>
      </c>
      <c r="AP63" s="336">
        <v>677.9117742539562</v>
      </c>
      <c r="AQ63" s="336">
        <v>468.40860818908908</v>
      </c>
      <c r="AR63" s="336">
        <v>300.81229604777945</v>
      </c>
      <c r="AS63" s="336">
        <v>175.24527395363845</v>
      </c>
      <c r="AT63" s="336">
        <v>89.274139280628006</v>
      </c>
      <c r="AU63" s="336">
        <v>38.099522364900672</v>
      </c>
      <c r="AV63" s="336">
        <v>13.387573663510034</v>
      </c>
      <c r="AW63" s="336">
        <v>3.8718682931572879</v>
      </c>
      <c r="AX63" s="336">
        <v>1.0096549900714105</v>
      </c>
      <c r="AY63" s="336">
        <v>0.23440160796582471</v>
      </c>
      <c r="AZ63" s="336">
        <v>4.7682495515992594E-2</v>
      </c>
      <c r="BA63" s="336">
        <v>8.3243563311605397E-3</v>
      </c>
      <c r="BB63" s="336">
        <v>1.2124504005199741E-3</v>
      </c>
      <c r="BC63" s="336">
        <v>1.4143636820033726E-4</v>
      </c>
      <c r="BD63" s="336">
        <v>1.2388951982405987E-5</v>
      </c>
      <c r="BE63" s="336">
        <v>7.2441140786021382E-7</v>
      </c>
      <c r="BF63" s="336">
        <v>2.121100408160703E-8</v>
      </c>
      <c r="BG63" s="336">
        <v>0</v>
      </c>
      <c r="BH63" s="336">
        <v>0</v>
      </c>
      <c r="BI63" s="336">
        <v>0</v>
      </c>
      <c r="BJ63" s="337">
        <v>0</v>
      </c>
    </row>
    <row r="64" spans="1:62" ht="15.75" thickBot="1">
      <c r="A64" s="1711"/>
      <c r="B64" s="116">
        <v>5</v>
      </c>
      <c r="C64" s="316">
        <f>'CAR SEC'!C8</f>
        <v>2.0476721931041117</v>
      </c>
      <c r="D64" s="317">
        <f t="shared" si="10"/>
        <v>1.965698312211386</v>
      </c>
      <c r="E64" s="317">
        <f t="shared" si="10"/>
        <v>1.8573112159366862</v>
      </c>
      <c r="F64" s="317">
        <f t="shared" si="10"/>
        <v>1.7734050223598012</v>
      </c>
      <c r="G64" s="317">
        <f t="shared" si="10"/>
        <v>1.7415895568180586</v>
      </c>
      <c r="H64" s="317">
        <f t="shared" si="10"/>
        <v>1.7036977621623173</v>
      </c>
      <c r="I64" s="317">
        <f t="shared" si="10"/>
        <v>0</v>
      </c>
      <c r="J64" s="317">
        <f t="shared" si="10"/>
        <v>0</v>
      </c>
      <c r="K64" s="317">
        <f t="shared" si="10"/>
        <v>0</v>
      </c>
      <c r="L64" s="317">
        <f t="shared" si="10"/>
        <v>0</v>
      </c>
      <c r="M64" s="317">
        <f t="shared" si="10"/>
        <v>0</v>
      </c>
      <c r="N64" s="317">
        <f t="shared" si="10"/>
        <v>0</v>
      </c>
      <c r="O64" s="317">
        <f t="shared" si="10"/>
        <v>0</v>
      </c>
      <c r="P64" s="317">
        <f t="shared" si="10"/>
        <v>0</v>
      </c>
      <c r="Q64" s="317">
        <f t="shared" si="10"/>
        <v>0</v>
      </c>
      <c r="R64" s="317">
        <f t="shared" si="10"/>
        <v>0</v>
      </c>
      <c r="S64" s="317">
        <f t="shared" si="10"/>
        <v>0</v>
      </c>
      <c r="T64" s="317">
        <f t="shared" si="9"/>
        <v>0</v>
      </c>
      <c r="U64" s="317">
        <f t="shared" si="9"/>
        <v>0</v>
      </c>
      <c r="V64" s="317">
        <f t="shared" si="9"/>
        <v>0</v>
      </c>
      <c r="W64" s="317">
        <f t="shared" si="9"/>
        <v>0</v>
      </c>
      <c r="X64" s="317">
        <f t="shared" si="9"/>
        <v>0</v>
      </c>
      <c r="Y64" s="317">
        <f t="shared" si="9"/>
        <v>0</v>
      </c>
      <c r="Z64" s="317">
        <f t="shared" si="9"/>
        <v>0</v>
      </c>
      <c r="AA64" s="317">
        <f t="shared" si="9"/>
        <v>0</v>
      </c>
      <c r="AB64" s="317">
        <f t="shared" si="9"/>
        <v>0</v>
      </c>
      <c r="AC64" s="317">
        <f t="shared" si="9"/>
        <v>0</v>
      </c>
      <c r="AD64" s="317">
        <f t="shared" si="9"/>
        <v>0</v>
      </c>
      <c r="AE64" s="318">
        <f t="shared" si="9"/>
        <v>0</v>
      </c>
    </row>
    <row r="65" spans="1:62" ht="15.75" thickBot="1">
      <c r="A65" s="1711"/>
      <c r="B65" s="116">
        <v>6</v>
      </c>
      <c r="C65" s="316">
        <f>'CAR SEC'!C9</f>
        <v>2.0646932510588898</v>
      </c>
      <c r="D65" s="317">
        <f t="shared" si="10"/>
        <v>2.0476721931041117</v>
      </c>
      <c r="E65" s="317">
        <f t="shared" si="10"/>
        <v>1.965698312211386</v>
      </c>
      <c r="F65" s="317">
        <f t="shared" si="10"/>
        <v>1.8573112159366862</v>
      </c>
      <c r="G65" s="317">
        <f t="shared" si="10"/>
        <v>1.7734050223598012</v>
      </c>
      <c r="H65" s="317">
        <f t="shared" si="10"/>
        <v>1.7415895568180586</v>
      </c>
      <c r="I65" s="317">
        <f t="shared" si="10"/>
        <v>1.7036977621623173</v>
      </c>
      <c r="J65" s="317">
        <f t="shared" si="10"/>
        <v>0</v>
      </c>
      <c r="K65" s="317">
        <f t="shared" si="10"/>
        <v>0</v>
      </c>
      <c r="L65" s="317">
        <f t="shared" si="10"/>
        <v>0</v>
      </c>
      <c r="M65" s="317">
        <f t="shared" si="10"/>
        <v>0</v>
      </c>
      <c r="N65" s="317">
        <f t="shared" si="10"/>
        <v>0</v>
      </c>
      <c r="O65" s="317">
        <f t="shared" si="10"/>
        <v>0</v>
      </c>
      <c r="P65" s="317">
        <f t="shared" si="10"/>
        <v>0</v>
      </c>
      <c r="Q65" s="317">
        <f t="shared" si="10"/>
        <v>0</v>
      </c>
      <c r="R65" s="317">
        <f t="shared" si="10"/>
        <v>0</v>
      </c>
      <c r="S65" s="317">
        <f t="shared" si="10"/>
        <v>0</v>
      </c>
      <c r="T65" s="317">
        <f t="shared" si="9"/>
        <v>0</v>
      </c>
      <c r="U65" s="317">
        <f t="shared" si="9"/>
        <v>0</v>
      </c>
      <c r="V65" s="317">
        <f t="shared" si="9"/>
        <v>0</v>
      </c>
      <c r="W65" s="317">
        <f t="shared" si="9"/>
        <v>0</v>
      </c>
      <c r="X65" s="317">
        <f t="shared" si="9"/>
        <v>0</v>
      </c>
      <c r="Y65" s="317">
        <f t="shared" si="9"/>
        <v>0</v>
      </c>
      <c r="Z65" s="317">
        <f t="shared" si="9"/>
        <v>0</v>
      </c>
      <c r="AA65" s="317">
        <f t="shared" si="9"/>
        <v>0</v>
      </c>
      <c r="AB65" s="317">
        <f t="shared" si="9"/>
        <v>0</v>
      </c>
      <c r="AC65" s="317">
        <f t="shared" si="9"/>
        <v>0</v>
      </c>
      <c r="AD65" s="317">
        <f t="shared" si="9"/>
        <v>0</v>
      </c>
      <c r="AE65" s="318">
        <f t="shared" si="9"/>
        <v>0</v>
      </c>
      <c r="AG65" s="571" t="s">
        <v>645</v>
      </c>
      <c r="AH65" s="288">
        <v>2012</v>
      </c>
      <c r="AI65" s="289">
        <v>2013</v>
      </c>
      <c r="AJ65" s="289">
        <v>2014</v>
      </c>
      <c r="AK65" s="289">
        <v>2015</v>
      </c>
      <c r="AL65" s="288">
        <v>2016</v>
      </c>
      <c r="AM65" s="289">
        <v>2017</v>
      </c>
      <c r="AN65" s="289">
        <v>2018</v>
      </c>
      <c r="AO65" s="289">
        <v>2019</v>
      </c>
      <c r="AP65" s="288">
        <v>2020</v>
      </c>
      <c r="AQ65" s="289">
        <v>2021</v>
      </c>
      <c r="AR65" s="289">
        <v>2022</v>
      </c>
      <c r="AS65" s="289">
        <v>2023</v>
      </c>
      <c r="AT65" s="288">
        <v>2024</v>
      </c>
      <c r="AU65" s="289">
        <v>2025</v>
      </c>
      <c r="AV65" s="289">
        <v>2026</v>
      </c>
      <c r="AW65" s="289">
        <v>2027</v>
      </c>
      <c r="AX65" s="288">
        <v>2028</v>
      </c>
      <c r="AY65" s="289">
        <v>2029</v>
      </c>
      <c r="AZ65" s="289">
        <v>2030</v>
      </c>
      <c r="BA65" s="289">
        <v>2031</v>
      </c>
      <c r="BB65" s="288">
        <v>2032</v>
      </c>
      <c r="BC65" s="289">
        <v>2033</v>
      </c>
      <c r="BD65" s="289">
        <v>2034</v>
      </c>
      <c r="BE65" s="289">
        <v>2035</v>
      </c>
      <c r="BF65" s="288">
        <v>2036</v>
      </c>
      <c r="BG65" s="289">
        <v>2037</v>
      </c>
      <c r="BH65" s="289">
        <v>2038</v>
      </c>
      <c r="BI65" s="289">
        <v>2039</v>
      </c>
      <c r="BJ65" s="290">
        <v>2040</v>
      </c>
    </row>
    <row r="66" spans="1:62">
      <c r="A66" s="1711"/>
      <c r="B66" s="116">
        <v>7</v>
      </c>
      <c r="C66" s="316">
        <f>'CAR SEC'!C10</f>
        <v>2.0628799201388253</v>
      </c>
      <c r="D66" s="317">
        <f t="shared" si="10"/>
        <v>2.0646932510588898</v>
      </c>
      <c r="E66" s="317">
        <f t="shared" si="10"/>
        <v>2.0476721931041117</v>
      </c>
      <c r="F66" s="317">
        <f t="shared" si="10"/>
        <v>1.965698312211386</v>
      </c>
      <c r="G66" s="317">
        <f t="shared" si="10"/>
        <v>1.8573112159366862</v>
      </c>
      <c r="H66" s="317">
        <f t="shared" si="10"/>
        <v>1.7734050223598012</v>
      </c>
      <c r="I66" s="317">
        <f t="shared" si="10"/>
        <v>1.7415895568180586</v>
      </c>
      <c r="J66" s="317">
        <f t="shared" si="10"/>
        <v>1.7036977621623173</v>
      </c>
      <c r="K66" s="317">
        <f t="shared" si="10"/>
        <v>0</v>
      </c>
      <c r="L66" s="317">
        <f t="shared" si="10"/>
        <v>0</v>
      </c>
      <c r="M66" s="317">
        <f t="shared" si="10"/>
        <v>0</v>
      </c>
      <c r="N66" s="317">
        <f t="shared" si="10"/>
        <v>0</v>
      </c>
      <c r="O66" s="317">
        <f t="shared" si="10"/>
        <v>0</v>
      </c>
      <c r="P66" s="317">
        <f t="shared" si="10"/>
        <v>0</v>
      </c>
      <c r="Q66" s="317">
        <f t="shared" si="10"/>
        <v>0</v>
      </c>
      <c r="R66" s="317">
        <f t="shared" si="10"/>
        <v>0</v>
      </c>
      <c r="S66" s="317">
        <f t="shared" si="10"/>
        <v>0</v>
      </c>
      <c r="T66" s="317">
        <f t="shared" si="9"/>
        <v>0</v>
      </c>
      <c r="U66" s="317">
        <f t="shared" si="9"/>
        <v>0</v>
      </c>
      <c r="V66" s="317">
        <f t="shared" si="9"/>
        <v>0</v>
      </c>
      <c r="W66" s="317">
        <f t="shared" si="9"/>
        <v>0</v>
      </c>
      <c r="X66" s="317">
        <f t="shared" si="9"/>
        <v>0</v>
      </c>
      <c r="Y66" s="317">
        <f t="shared" si="9"/>
        <v>0</v>
      </c>
      <c r="Z66" s="317">
        <f t="shared" si="9"/>
        <v>0</v>
      </c>
      <c r="AA66" s="317">
        <f t="shared" si="9"/>
        <v>0</v>
      </c>
      <c r="AB66" s="317">
        <f t="shared" si="9"/>
        <v>0</v>
      </c>
      <c r="AC66" s="317">
        <f t="shared" si="9"/>
        <v>0</v>
      </c>
      <c r="AD66" s="317">
        <f t="shared" si="9"/>
        <v>0</v>
      </c>
      <c r="AE66" s="318">
        <f t="shared" si="9"/>
        <v>0</v>
      </c>
      <c r="AG66" s="577" t="s">
        <v>41</v>
      </c>
      <c r="AH66" s="291">
        <f>'CAR Mileage'!C50</f>
        <v>11919.858370432377</v>
      </c>
      <c r="AI66" s="292">
        <f>'CAR Mileage'!D50</f>
        <v>11950.783772560646</v>
      </c>
      <c r="AJ66" s="292">
        <f>'CAR Mileage'!E50</f>
        <v>11963.109467589578</v>
      </c>
      <c r="AK66" s="292">
        <f>'CAR Mileage'!F50</f>
        <v>11949.046405304705</v>
      </c>
      <c r="AL66" s="292">
        <f>'CAR Mileage'!G50</f>
        <v>11899.282775338499</v>
      </c>
      <c r="AM66" s="292">
        <f>'CAR Mileage'!H50</f>
        <v>11825.043605899642</v>
      </c>
      <c r="AN66" s="292">
        <f>'CAR Mileage'!I50</f>
        <v>11741.868119075838</v>
      </c>
      <c r="AO66" s="292">
        <f>'CAR Mileage'!J50</f>
        <v>11659.994461482434</v>
      </c>
      <c r="AP66" s="292">
        <f>'CAR Mileage'!K50</f>
        <v>11580.358596465972</v>
      </c>
      <c r="AQ66" s="292">
        <f>'CAR Mileage'!L50</f>
        <v>11493.463782195708</v>
      </c>
      <c r="AR66" s="292">
        <f>'CAR Mileage'!M50</f>
        <v>11384.361088875541</v>
      </c>
      <c r="AS66" s="292">
        <f>'CAR Mileage'!N50</f>
        <v>11249.346065652095</v>
      </c>
      <c r="AT66" s="292">
        <f>'CAR Mileage'!O50</f>
        <v>11091.621183922849</v>
      </c>
      <c r="AU66" s="292">
        <f>'CAR Mileage'!P50</f>
        <v>10921.366407246273</v>
      </c>
      <c r="AV66" s="292">
        <f>'CAR Mileage'!Q50</f>
        <v>10738.965289720176</v>
      </c>
      <c r="AW66" s="292">
        <f>'CAR Mileage'!R50</f>
        <v>10552.793304766128</v>
      </c>
      <c r="AX66" s="292">
        <f>'CAR Mileage'!S50</f>
        <v>10407.443689743324</v>
      </c>
      <c r="AY66" s="292">
        <f>'CAR Mileage'!T50</f>
        <v>10407.443689743326</v>
      </c>
      <c r="AZ66" s="292">
        <f>'CAR Mileage'!U50</f>
        <v>10407.443689743324</v>
      </c>
      <c r="BA66" s="292">
        <f>'CAR Mileage'!V50</f>
        <v>10407.443689743324</v>
      </c>
      <c r="BB66" s="292">
        <f>'CAR Mileage'!W50</f>
        <v>10407.443689743326</v>
      </c>
      <c r="BC66" s="292">
        <f>'CAR Mileage'!X50</f>
        <v>10407.443689743322</v>
      </c>
      <c r="BD66" s="292">
        <f>'CAR Mileage'!Y50</f>
        <v>10407.443689743324</v>
      </c>
      <c r="BE66" s="292">
        <f>'CAR Mileage'!Z50</f>
        <v>10407.443689743324</v>
      </c>
      <c r="BF66" s="292">
        <f>'CAR Mileage'!AA50</f>
        <v>10407.443689743324</v>
      </c>
      <c r="BG66" s="292">
        <f>'CAR Mileage'!AB50</f>
        <v>0</v>
      </c>
      <c r="BH66" s="292">
        <f>'CAR Mileage'!AC50</f>
        <v>0</v>
      </c>
      <c r="BI66" s="292">
        <f>'CAR Mileage'!AD50</f>
        <v>0</v>
      </c>
      <c r="BJ66" s="293">
        <f>'CAR Mileage'!AE50</f>
        <v>0</v>
      </c>
    </row>
    <row r="67" spans="1:62">
      <c r="A67" s="1711"/>
      <c r="B67" s="116">
        <v>8</v>
      </c>
      <c r="C67" s="316">
        <f>'CAR SEC'!C11</f>
        <v>2.0910810846273371</v>
      </c>
      <c r="D67" s="317">
        <f t="shared" si="10"/>
        <v>2.0628799201388253</v>
      </c>
      <c r="E67" s="317">
        <f t="shared" si="10"/>
        <v>2.0646932510588898</v>
      </c>
      <c r="F67" s="317">
        <f t="shared" si="10"/>
        <v>2.0476721931041117</v>
      </c>
      <c r="G67" s="317">
        <f t="shared" si="10"/>
        <v>1.965698312211386</v>
      </c>
      <c r="H67" s="317">
        <f t="shared" si="10"/>
        <v>1.8573112159366862</v>
      </c>
      <c r="I67" s="317">
        <f t="shared" si="10"/>
        <v>1.7734050223598012</v>
      </c>
      <c r="J67" s="317">
        <f t="shared" si="10"/>
        <v>1.7415895568180586</v>
      </c>
      <c r="K67" s="317">
        <f t="shared" si="10"/>
        <v>1.7036977621623173</v>
      </c>
      <c r="L67" s="317">
        <f t="shared" si="10"/>
        <v>0</v>
      </c>
      <c r="M67" s="317">
        <f t="shared" si="10"/>
        <v>0</v>
      </c>
      <c r="N67" s="317">
        <f t="shared" si="10"/>
        <v>0</v>
      </c>
      <c r="O67" s="317">
        <f t="shared" si="10"/>
        <v>0</v>
      </c>
      <c r="P67" s="317">
        <f t="shared" si="10"/>
        <v>0</v>
      </c>
      <c r="Q67" s="317">
        <f t="shared" si="10"/>
        <v>0</v>
      </c>
      <c r="R67" s="317">
        <f t="shared" si="10"/>
        <v>0</v>
      </c>
      <c r="S67" s="317">
        <f t="shared" si="10"/>
        <v>0</v>
      </c>
      <c r="T67" s="317">
        <f t="shared" si="9"/>
        <v>0</v>
      </c>
      <c r="U67" s="317">
        <f t="shared" si="9"/>
        <v>0</v>
      </c>
      <c r="V67" s="317">
        <f t="shared" si="9"/>
        <v>0</v>
      </c>
      <c r="W67" s="317">
        <f t="shared" si="9"/>
        <v>0</v>
      </c>
      <c r="X67" s="317">
        <f t="shared" si="9"/>
        <v>0</v>
      </c>
      <c r="Y67" s="317">
        <f t="shared" si="9"/>
        <v>0</v>
      </c>
      <c r="Z67" s="317">
        <f t="shared" si="9"/>
        <v>0</v>
      </c>
      <c r="AA67" s="317">
        <f t="shared" si="9"/>
        <v>0</v>
      </c>
      <c r="AB67" s="317">
        <f t="shared" si="9"/>
        <v>0</v>
      </c>
      <c r="AC67" s="317">
        <f t="shared" si="9"/>
        <v>0</v>
      </c>
      <c r="AD67" s="317">
        <f t="shared" si="9"/>
        <v>0</v>
      </c>
      <c r="AE67" s="318">
        <f t="shared" si="9"/>
        <v>0</v>
      </c>
      <c r="AG67" s="578" t="s">
        <v>42</v>
      </c>
      <c r="AH67" s="294">
        <f>'CAR Mileage'!C79</f>
        <v>14600.873321885019</v>
      </c>
      <c r="AI67" s="295">
        <f>'CAR Mileage'!D79</f>
        <v>14626.487523785148</v>
      </c>
      <c r="AJ67" s="295">
        <f>'CAR Mileage'!E79</f>
        <v>14569.035892697577</v>
      </c>
      <c r="AK67" s="295">
        <f>'CAR Mileage'!F79</f>
        <v>14462.848190171686</v>
      </c>
      <c r="AL67" s="295">
        <f>'CAR Mileage'!G79</f>
        <v>14331.861347644934</v>
      </c>
      <c r="AM67" s="295">
        <f>'CAR Mileage'!H79</f>
        <v>14193.829495957772</v>
      </c>
      <c r="AN67" s="295">
        <f>'CAR Mileage'!I79</f>
        <v>14060.370250130436</v>
      </c>
      <c r="AO67" s="295">
        <f>'CAR Mileage'!J79</f>
        <v>13938.97852725373</v>
      </c>
      <c r="AP67" s="295">
        <f>'CAR Mileage'!K79</f>
        <v>13829.591199314038</v>
      </c>
      <c r="AQ67" s="295">
        <f>'CAR Mileage'!L79</f>
        <v>13720.787016431364</v>
      </c>
      <c r="AR67" s="295">
        <f>'CAR Mileage'!M79</f>
        <v>13594.626541769516</v>
      </c>
      <c r="AS67" s="295">
        <f>'CAR Mileage'!N79</f>
        <v>13438.513712489639</v>
      </c>
      <c r="AT67" s="295">
        <f>'CAR Mileage'!O79</f>
        <v>13251.911986915595</v>
      </c>
      <c r="AU67" s="295">
        <f>'CAR Mileage'!P79</f>
        <v>13047.751502686473</v>
      </c>
      <c r="AV67" s="295">
        <f>'CAR Mileage'!Q79</f>
        <v>12827.825249791542</v>
      </c>
      <c r="AW67" s="295">
        <f>'CAR Mileage'!R79</f>
        <v>12603.803165873687</v>
      </c>
      <c r="AX67" s="295">
        <f>'CAR Mileage'!S79</f>
        <v>12430.117152516248</v>
      </c>
      <c r="AY67" s="295">
        <f>'CAR Mileage'!T79</f>
        <v>12430.117152516244</v>
      </c>
      <c r="AZ67" s="295">
        <f>'CAR Mileage'!U79</f>
        <v>12430.117152516248</v>
      </c>
      <c r="BA67" s="295">
        <f>'CAR Mileage'!V79</f>
        <v>12430.117152516248</v>
      </c>
      <c r="BB67" s="295">
        <f>'CAR Mileage'!W79</f>
        <v>12430.117152516244</v>
      </c>
      <c r="BC67" s="295">
        <f>'CAR Mileage'!X79</f>
        <v>12430.11715251625</v>
      </c>
      <c r="BD67" s="295">
        <f>'CAR Mileage'!Y79</f>
        <v>12430.117152516244</v>
      </c>
      <c r="BE67" s="295">
        <f>'CAR Mileage'!Z79</f>
        <v>12430.117152516248</v>
      </c>
      <c r="BF67" s="295">
        <f>'CAR Mileage'!AA79</f>
        <v>12430.117152516246</v>
      </c>
      <c r="BG67" s="295">
        <f>'CAR Mileage'!AB79</f>
        <v>0</v>
      </c>
      <c r="BH67" s="295">
        <f>'CAR Mileage'!AC79</f>
        <v>0</v>
      </c>
      <c r="BI67" s="295">
        <f>'CAR Mileage'!AD79</f>
        <v>0</v>
      </c>
      <c r="BJ67" s="296">
        <f>'CAR Mileage'!AE79</f>
        <v>0</v>
      </c>
    </row>
    <row r="68" spans="1:62">
      <c r="A68" s="1711"/>
      <c r="B68" s="116">
        <v>9</v>
      </c>
      <c r="C68" s="316">
        <f>'CAR SEC'!C12</f>
        <v>2.1072268960531519</v>
      </c>
      <c r="D68" s="317">
        <f t="shared" si="10"/>
        <v>2.0910810846273371</v>
      </c>
      <c r="E68" s="317">
        <f t="shared" si="10"/>
        <v>2.0628799201388253</v>
      </c>
      <c r="F68" s="317">
        <f t="shared" si="10"/>
        <v>2.0646932510588898</v>
      </c>
      <c r="G68" s="317">
        <f t="shared" si="10"/>
        <v>2.0476721931041117</v>
      </c>
      <c r="H68" s="317">
        <f t="shared" si="10"/>
        <v>1.965698312211386</v>
      </c>
      <c r="I68" s="317">
        <f t="shared" si="10"/>
        <v>1.8573112159366862</v>
      </c>
      <c r="J68" s="317">
        <f t="shared" si="10"/>
        <v>1.7734050223598012</v>
      </c>
      <c r="K68" s="317">
        <f t="shared" si="10"/>
        <v>1.7415895568180586</v>
      </c>
      <c r="L68" s="317">
        <f t="shared" si="10"/>
        <v>1.7036977621623173</v>
      </c>
      <c r="M68" s="317">
        <f t="shared" si="10"/>
        <v>0</v>
      </c>
      <c r="N68" s="317">
        <f t="shared" si="10"/>
        <v>0</v>
      </c>
      <c r="O68" s="317">
        <f t="shared" si="10"/>
        <v>0</v>
      </c>
      <c r="P68" s="317">
        <f t="shared" si="10"/>
        <v>0</v>
      </c>
      <c r="Q68" s="317">
        <f t="shared" si="10"/>
        <v>0</v>
      </c>
      <c r="R68" s="317">
        <f t="shared" si="10"/>
        <v>0</v>
      </c>
      <c r="S68" s="317">
        <f t="shared" si="10"/>
        <v>0</v>
      </c>
      <c r="T68" s="317">
        <f t="shared" si="9"/>
        <v>0</v>
      </c>
      <c r="U68" s="317">
        <f t="shared" si="9"/>
        <v>0</v>
      </c>
      <c r="V68" s="317">
        <f t="shared" si="9"/>
        <v>0</v>
      </c>
      <c r="W68" s="317">
        <f t="shared" si="9"/>
        <v>0</v>
      </c>
      <c r="X68" s="317">
        <f t="shared" si="9"/>
        <v>0</v>
      </c>
      <c r="Y68" s="317">
        <f t="shared" si="9"/>
        <v>0</v>
      </c>
      <c r="Z68" s="317">
        <f t="shared" si="9"/>
        <v>0</v>
      </c>
      <c r="AA68" s="317">
        <f t="shared" si="9"/>
        <v>0</v>
      </c>
      <c r="AB68" s="317">
        <f t="shared" si="9"/>
        <v>0</v>
      </c>
      <c r="AC68" s="317">
        <f t="shared" si="9"/>
        <v>0</v>
      </c>
      <c r="AD68" s="317">
        <f t="shared" si="9"/>
        <v>0</v>
      </c>
      <c r="AE68" s="318">
        <f t="shared" si="9"/>
        <v>0</v>
      </c>
      <c r="AG68" s="578" t="s">
        <v>43</v>
      </c>
      <c r="AH68" s="294">
        <f>'CAR Mileage'!C108</f>
        <v>16577.035096181775</v>
      </c>
      <c r="AI68" s="295">
        <f>'CAR Mileage'!D108</f>
        <v>16521.030687861032</v>
      </c>
      <c r="AJ68" s="295">
        <f>'CAR Mileage'!E108</f>
        <v>16389.69431867337</v>
      </c>
      <c r="AK68" s="295">
        <f>'CAR Mileage'!F108</f>
        <v>16222.118992158787</v>
      </c>
      <c r="AL68" s="295">
        <f>'CAR Mileage'!G108</f>
        <v>16039.368551314874</v>
      </c>
      <c r="AM68" s="295">
        <f>'CAR Mileage'!H108</f>
        <v>15851.804622767655</v>
      </c>
      <c r="AN68" s="295">
        <f>'CAR Mileage'!I108</f>
        <v>15665.837418789622</v>
      </c>
      <c r="AO68" s="295">
        <f>'CAR Mileage'!J108</f>
        <v>15489.294365060401</v>
      </c>
      <c r="AP68" s="295">
        <f>'CAR Mileage'!K108</f>
        <v>15334.126618785418</v>
      </c>
      <c r="AQ68" s="295">
        <f>'CAR Mileage'!L108</f>
        <v>15214.713952582664</v>
      </c>
      <c r="AR68" s="295">
        <f>'CAR Mileage'!M108</f>
        <v>15131.709782389049</v>
      </c>
      <c r="AS68" s="295">
        <f>'CAR Mileage'!N108</f>
        <v>15049.349499743515</v>
      </c>
      <c r="AT68" s="295">
        <f>'CAR Mileage'!O108</f>
        <v>14919.491284753805</v>
      </c>
      <c r="AU68" s="295">
        <f>'CAR Mileage'!P108</f>
        <v>14743.209253790421</v>
      </c>
      <c r="AV68" s="295">
        <f>'CAR Mileage'!Q108</f>
        <v>14523.067776430102</v>
      </c>
      <c r="AW68" s="295">
        <f>'CAR Mileage'!R108</f>
        <v>14282.267360851523</v>
      </c>
      <c r="AX68" s="295">
        <f>'CAR Mileage'!S108</f>
        <v>14090.720107705578</v>
      </c>
      <c r="AY68" s="295">
        <f>'CAR Mileage'!T108</f>
        <v>14090.72010770558</v>
      </c>
      <c r="AZ68" s="295">
        <f>'CAR Mileage'!U108</f>
        <v>14090.720107705574</v>
      </c>
      <c r="BA68" s="295">
        <f>'CAR Mileage'!V108</f>
        <v>14090.720107705578</v>
      </c>
      <c r="BB68" s="295">
        <f>'CAR Mileage'!W108</f>
        <v>14090.720107705576</v>
      </c>
      <c r="BC68" s="295">
        <f>'CAR Mileage'!X108</f>
        <v>14090.720107705582</v>
      </c>
      <c r="BD68" s="295">
        <f>'CAR Mileage'!Y108</f>
        <v>14090.720107705578</v>
      </c>
      <c r="BE68" s="295">
        <f>'CAR Mileage'!Z108</f>
        <v>14090.720107705578</v>
      </c>
      <c r="BF68" s="295">
        <f>'CAR Mileage'!AA108</f>
        <v>14090.72010770558</v>
      </c>
      <c r="BG68" s="295">
        <f>'CAR Mileage'!AB108</f>
        <v>0</v>
      </c>
      <c r="BH68" s="295">
        <f>'CAR Mileage'!AC108</f>
        <v>0</v>
      </c>
      <c r="BI68" s="295">
        <f>'CAR Mileage'!AD108</f>
        <v>0</v>
      </c>
      <c r="BJ68" s="296">
        <f>'CAR Mileage'!AE108</f>
        <v>0</v>
      </c>
    </row>
    <row r="69" spans="1:62">
      <c r="A69" s="1711"/>
      <c r="B69" s="116">
        <v>10</v>
      </c>
      <c r="C69" s="316">
        <f>'CAR SEC'!C13</f>
        <v>2.099065072700657</v>
      </c>
      <c r="D69" s="317">
        <f t="shared" si="10"/>
        <v>2.1072268960531519</v>
      </c>
      <c r="E69" s="317">
        <f t="shared" si="10"/>
        <v>2.0910810846273371</v>
      </c>
      <c r="F69" s="317">
        <f t="shared" si="10"/>
        <v>2.0628799201388253</v>
      </c>
      <c r="G69" s="317">
        <f t="shared" si="10"/>
        <v>2.0646932510588898</v>
      </c>
      <c r="H69" s="317">
        <f t="shared" si="10"/>
        <v>2.0476721931041117</v>
      </c>
      <c r="I69" s="317">
        <f t="shared" si="10"/>
        <v>1.965698312211386</v>
      </c>
      <c r="J69" s="317">
        <f t="shared" si="10"/>
        <v>1.8573112159366862</v>
      </c>
      <c r="K69" s="317">
        <f t="shared" si="10"/>
        <v>1.7734050223598012</v>
      </c>
      <c r="L69" s="317">
        <f t="shared" si="10"/>
        <v>1.7415895568180586</v>
      </c>
      <c r="M69" s="317">
        <f t="shared" si="10"/>
        <v>1.7036977621623173</v>
      </c>
      <c r="N69" s="317">
        <f t="shared" si="10"/>
        <v>0</v>
      </c>
      <c r="O69" s="317">
        <f t="shared" si="10"/>
        <v>0</v>
      </c>
      <c r="P69" s="317">
        <f t="shared" si="10"/>
        <v>0</v>
      </c>
      <c r="Q69" s="317">
        <f t="shared" si="10"/>
        <v>0</v>
      </c>
      <c r="R69" s="317">
        <f t="shared" si="10"/>
        <v>0</v>
      </c>
      <c r="S69" s="317">
        <f t="shared" si="10"/>
        <v>0</v>
      </c>
      <c r="T69" s="317">
        <f t="shared" si="9"/>
        <v>0</v>
      </c>
      <c r="U69" s="317">
        <f t="shared" si="9"/>
        <v>0</v>
      </c>
      <c r="V69" s="317">
        <f t="shared" si="9"/>
        <v>0</v>
      </c>
      <c r="W69" s="317">
        <f t="shared" si="9"/>
        <v>0</v>
      </c>
      <c r="X69" s="317">
        <f t="shared" si="9"/>
        <v>0</v>
      </c>
      <c r="Y69" s="317">
        <f t="shared" si="9"/>
        <v>0</v>
      </c>
      <c r="Z69" s="317">
        <f t="shared" si="9"/>
        <v>0</v>
      </c>
      <c r="AA69" s="317">
        <f t="shared" si="9"/>
        <v>0</v>
      </c>
      <c r="AB69" s="317">
        <f t="shared" si="9"/>
        <v>0</v>
      </c>
      <c r="AC69" s="317">
        <f t="shared" si="9"/>
        <v>0</v>
      </c>
      <c r="AD69" s="317">
        <f t="shared" si="9"/>
        <v>0</v>
      </c>
      <c r="AE69" s="318">
        <f t="shared" si="9"/>
        <v>0</v>
      </c>
      <c r="AG69" s="578" t="s">
        <v>44</v>
      </c>
      <c r="AH69" s="294">
        <f>'CAR Mileage'!C137</f>
        <v>15573.149136360043</v>
      </c>
      <c r="AI69" s="295">
        <f>'CAR Mileage'!D137</f>
        <v>15569.895463736655</v>
      </c>
      <c r="AJ69" s="295">
        <f>'CAR Mileage'!E137</f>
        <v>15488.479277490504</v>
      </c>
      <c r="AK69" s="295">
        <f>'CAR Mileage'!F137</f>
        <v>15366.751651521041</v>
      </c>
      <c r="AL69" s="295">
        <f>'CAR Mileage'!G137</f>
        <v>15219.716472824488</v>
      </c>
      <c r="AM69" s="295">
        <f>'CAR Mileage'!H137</f>
        <v>15054.326421802683</v>
      </c>
      <c r="AN69" s="295">
        <f>'CAR Mileage'!I137</f>
        <v>14876.82216040793</v>
      </c>
      <c r="AO69" s="295">
        <f>'CAR Mileage'!J137</f>
        <v>14696.364771548187</v>
      </c>
      <c r="AP69" s="295">
        <f>'CAR Mileage'!K137</f>
        <v>14522.626170045482</v>
      </c>
      <c r="AQ69" s="295">
        <f>'CAR Mileage'!L137</f>
        <v>14367.791057604534</v>
      </c>
      <c r="AR69" s="295">
        <f>'CAR Mileage'!M137</f>
        <v>14240.727816935323</v>
      </c>
      <c r="AS69" s="295">
        <f>'CAR Mileage'!N137</f>
        <v>14139.013400010912</v>
      </c>
      <c r="AT69" s="295">
        <f>'CAR Mileage'!O137</f>
        <v>14043.50491148419</v>
      </c>
      <c r="AU69" s="295">
        <f>'CAR Mileage'!P137</f>
        <v>13938.098306554419</v>
      </c>
      <c r="AV69" s="295">
        <f>'CAR Mileage'!Q137</f>
        <v>13787.725910507783</v>
      </c>
      <c r="AW69" s="295">
        <f>'CAR Mileage'!R137</f>
        <v>13622.443455299794</v>
      </c>
      <c r="AX69" s="295">
        <f>'CAR Mileage'!S137</f>
        <v>13493.509119816041</v>
      </c>
      <c r="AY69" s="295">
        <f>'CAR Mileage'!T137</f>
        <v>13493.509119816044</v>
      </c>
      <c r="AZ69" s="295">
        <f>'CAR Mileage'!U137</f>
        <v>13493.509119816043</v>
      </c>
      <c r="BA69" s="295">
        <f>'CAR Mileage'!V137</f>
        <v>13493.509119816046</v>
      </c>
      <c r="BB69" s="295">
        <f>'CAR Mileage'!W137</f>
        <v>13493.509119816043</v>
      </c>
      <c r="BC69" s="295">
        <f>'CAR Mileage'!X137</f>
        <v>13493.509119816041</v>
      </c>
      <c r="BD69" s="295">
        <f>'CAR Mileage'!Y137</f>
        <v>13493.509119816046</v>
      </c>
      <c r="BE69" s="295">
        <f>'CAR Mileage'!Z137</f>
        <v>13493.509119816044</v>
      </c>
      <c r="BF69" s="295">
        <f>'CAR Mileage'!AA137</f>
        <v>13493.509119816044</v>
      </c>
      <c r="BG69" s="295">
        <f>'CAR Mileage'!AB137</f>
        <v>0</v>
      </c>
      <c r="BH69" s="295">
        <f>'CAR Mileage'!AC137</f>
        <v>0</v>
      </c>
      <c r="BI69" s="295">
        <f>'CAR Mileage'!AD137</f>
        <v>0</v>
      </c>
      <c r="BJ69" s="296">
        <f>'CAR Mileage'!AE137</f>
        <v>0</v>
      </c>
    </row>
    <row r="70" spans="1:62">
      <c r="A70" s="1711"/>
      <c r="B70" s="116">
        <v>11</v>
      </c>
      <c r="C70" s="316">
        <f>'CAR SEC'!C14</f>
        <v>2.1126041245450029</v>
      </c>
      <c r="D70" s="317">
        <f t="shared" si="10"/>
        <v>2.099065072700657</v>
      </c>
      <c r="E70" s="317">
        <f t="shared" si="10"/>
        <v>2.1072268960531519</v>
      </c>
      <c r="F70" s="317">
        <f t="shared" si="10"/>
        <v>2.0910810846273371</v>
      </c>
      <c r="G70" s="317">
        <f t="shared" si="10"/>
        <v>2.0628799201388253</v>
      </c>
      <c r="H70" s="317">
        <f t="shared" si="10"/>
        <v>2.0646932510588898</v>
      </c>
      <c r="I70" s="317">
        <f t="shared" si="10"/>
        <v>2.0476721931041117</v>
      </c>
      <c r="J70" s="317">
        <f t="shared" si="10"/>
        <v>1.965698312211386</v>
      </c>
      <c r="K70" s="317">
        <f t="shared" si="10"/>
        <v>1.8573112159366862</v>
      </c>
      <c r="L70" s="317">
        <f t="shared" si="10"/>
        <v>1.7734050223598012</v>
      </c>
      <c r="M70" s="317">
        <f t="shared" si="10"/>
        <v>1.7415895568180586</v>
      </c>
      <c r="N70" s="317">
        <f t="shared" si="10"/>
        <v>1.7036977621623173</v>
      </c>
      <c r="O70" s="317">
        <f t="shared" si="10"/>
        <v>0</v>
      </c>
      <c r="P70" s="317">
        <f t="shared" si="10"/>
        <v>0</v>
      </c>
      <c r="Q70" s="317">
        <f t="shared" si="10"/>
        <v>0</v>
      </c>
      <c r="R70" s="317">
        <f t="shared" si="10"/>
        <v>0</v>
      </c>
      <c r="S70" s="317">
        <f t="shared" si="10"/>
        <v>0</v>
      </c>
      <c r="T70" s="317">
        <f t="shared" si="9"/>
        <v>0</v>
      </c>
      <c r="U70" s="317">
        <f t="shared" si="9"/>
        <v>0</v>
      </c>
      <c r="V70" s="317">
        <f t="shared" si="9"/>
        <v>0</v>
      </c>
      <c r="W70" s="317">
        <f t="shared" si="9"/>
        <v>0</v>
      </c>
      <c r="X70" s="317">
        <f t="shared" si="9"/>
        <v>0</v>
      </c>
      <c r="Y70" s="317">
        <f t="shared" si="9"/>
        <v>0</v>
      </c>
      <c r="Z70" s="317">
        <f t="shared" si="9"/>
        <v>0</v>
      </c>
      <c r="AA70" s="317">
        <f t="shared" si="9"/>
        <v>0</v>
      </c>
      <c r="AB70" s="317">
        <f t="shared" si="9"/>
        <v>0</v>
      </c>
      <c r="AC70" s="317">
        <f t="shared" si="9"/>
        <v>0</v>
      </c>
      <c r="AD70" s="317">
        <f t="shared" si="9"/>
        <v>0</v>
      </c>
      <c r="AE70" s="318">
        <f t="shared" si="9"/>
        <v>0</v>
      </c>
      <c r="AG70" s="578" t="s">
        <v>45</v>
      </c>
      <c r="AH70" s="294">
        <f>'CAR Mileage'!C166</f>
        <v>12055.403221248462</v>
      </c>
      <c r="AI70" s="295">
        <f>'CAR Mileage'!D166</f>
        <v>12329.508134934818</v>
      </c>
      <c r="AJ70" s="295">
        <f>'CAR Mileage'!E166</f>
        <v>12289.994530109416</v>
      </c>
      <c r="AK70" s="295">
        <f>'CAR Mileage'!F166</f>
        <v>12132.248820388068</v>
      </c>
      <c r="AL70" s="295">
        <f>'CAR Mileage'!G166</f>
        <v>11936.002214693366</v>
      </c>
      <c r="AM70" s="295">
        <f>'CAR Mileage'!H166</f>
        <v>11724.54216401773</v>
      </c>
      <c r="AN70" s="295">
        <f>'CAR Mileage'!I166</f>
        <v>11512.060106966872</v>
      </c>
      <c r="AO70" s="295">
        <f>'CAR Mileage'!J166</f>
        <v>11313.564032705202</v>
      </c>
      <c r="AP70" s="295">
        <f>'CAR Mileage'!K166</f>
        <v>11145.087771140126</v>
      </c>
      <c r="AQ70" s="295">
        <f>'CAR Mileage'!L166</f>
        <v>11006.816336318365</v>
      </c>
      <c r="AR70" s="295">
        <f>'CAR Mileage'!M166</f>
        <v>10882.756462158761</v>
      </c>
      <c r="AS70" s="295">
        <f>'CAR Mileage'!N166</f>
        <v>10756.470814162063</v>
      </c>
      <c r="AT70" s="295">
        <f>'CAR Mileage'!O166</f>
        <v>10629.491381956319</v>
      </c>
      <c r="AU70" s="295">
        <f>'CAR Mileage'!P166</f>
        <v>10495.396640048455</v>
      </c>
      <c r="AV70" s="295">
        <f>'CAR Mileage'!Q166</f>
        <v>10351.111266020489</v>
      </c>
      <c r="AW70" s="295">
        <f>'CAR Mileage'!R166</f>
        <v>10227.655512598763</v>
      </c>
      <c r="AX70" s="295">
        <f>'CAR Mileage'!S166</f>
        <v>10147.391544784952</v>
      </c>
      <c r="AY70" s="295">
        <f>'CAR Mileage'!T166</f>
        <v>10147.391544784952</v>
      </c>
      <c r="AZ70" s="295">
        <f>'CAR Mileage'!U166</f>
        <v>10147.391544784954</v>
      </c>
      <c r="BA70" s="295">
        <f>'CAR Mileage'!V166</f>
        <v>10147.391544784954</v>
      </c>
      <c r="BB70" s="295">
        <f>'CAR Mileage'!W166</f>
        <v>10147.391544784954</v>
      </c>
      <c r="BC70" s="295">
        <f>'CAR Mileage'!X166</f>
        <v>10147.391544784956</v>
      </c>
      <c r="BD70" s="295">
        <f>'CAR Mileage'!Y166</f>
        <v>10147.391544784956</v>
      </c>
      <c r="BE70" s="295">
        <f>'CAR Mileage'!Z166</f>
        <v>10147.391544784954</v>
      </c>
      <c r="BF70" s="295">
        <f>'CAR Mileage'!AA166</f>
        <v>10147.391544784954</v>
      </c>
      <c r="BG70" s="295">
        <f>'CAR Mileage'!AB166</f>
        <v>0</v>
      </c>
      <c r="BH70" s="295">
        <f>'CAR Mileage'!AC166</f>
        <v>0</v>
      </c>
      <c r="BI70" s="295">
        <f>'CAR Mileage'!AD166</f>
        <v>0</v>
      </c>
      <c r="BJ70" s="296">
        <f>'CAR Mileage'!AE166</f>
        <v>0</v>
      </c>
    </row>
    <row r="71" spans="1:62">
      <c r="A71" s="1711"/>
      <c r="B71" s="116">
        <v>12</v>
      </c>
      <c r="C71" s="316">
        <f>'CAR SEC'!C15</f>
        <v>2.1307111343591578</v>
      </c>
      <c r="D71" s="317">
        <f t="shared" si="10"/>
        <v>2.1126041245450029</v>
      </c>
      <c r="E71" s="317">
        <f t="shared" si="10"/>
        <v>2.099065072700657</v>
      </c>
      <c r="F71" s="317">
        <f t="shared" si="10"/>
        <v>2.1072268960531519</v>
      </c>
      <c r="G71" s="317">
        <f t="shared" si="10"/>
        <v>2.0910810846273371</v>
      </c>
      <c r="H71" s="317">
        <f t="shared" si="10"/>
        <v>2.0628799201388253</v>
      </c>
      <c r="I71" s="317">
        <f t="shared" si="10"/>
        <v>2.0646932510588898</v>
      </c>
      <c r="J71" s="317">
        <f t="shared" si="10"/>
        <v>2.0476721931041117</v>
      </c>
      <c r="K71" s="317">
        <f t="shared" si="10"/>
        <v>1.965698312211386</v>
      </c>
      <c r="L71" s="317">
        <f t="shared" si="10"/>
        <v>1.8573112159366862</v>
      </c>
      <c r="M71" s="317">
        <f t="shared" si="10"/>
        <v>1.7734050223598012</v>
      </c>
      <c r="N71" s="317">
        <f t="shared" si="10"/>
        <v>1.7415895568180586</v>
      </c>
      <c r="O71" s="317">
        <f t="shared" si="10"/>
        <v>1.7036977621623173</v>
      </c>
      <c r="P71" s="317">
        <f t="shared" si="10"/>
        <v>0</v>
      </c>
      <c r="Q71" s="317">
        <f t="shared" si="10"/>
        <v>0</v>
      </c>
      <c r="R71" s="317">
        <f t="shared" si="10"/>
        <v>0</v>
      </c>
      <c r="S71" s="317">
        <f t="shared" si="10"/>
        <v>0</v>
      </c>
      <c r="T71" s="317">
        <f t="shared" si="9"/>
        <v>0</v>
      </c>
      <c r="U71" s="317">
        <f t="shared" si="9"/>
        <v>0</v>
      </c>
      <c r="V71" s="317">
        <f t="shared" si="9"/>
        <v>0</v>
      </c>
      <c r="W71" s="317">
        <f t="shared" si="9"/>
        <v>0</v>
      </c>
      <c r="X71" s="317">
        <f t="shared" si="9"/>
        <v>0</v>
      </c>
      <c r="Y71" s="317">
        <f t="shared" si="9"/>
        <v>0</v>
      </c>
      <c r="Z71" s="317">
        <f t="shared" si="9"/>
        <v>0</v>
      </c>
      <c r="AA71" s="317">
        <f t="shared" si="9"/>
        <v>0</v>
      </c>
      <c r="AB71" s="317">
        <f t="shared" si="9"/>
        <v>0</v>
      </c>
      <c r="AC71" s="317">
        <f t="shared" si="9"/>
        <v>0</v>
      </c>
      <c r="AD71" s="317">
        <f t="shared" si="9"/>
        <v>0</v>
      </c>
      <c r="AE71" s="318">
        <f t="shared" si="9"/>
        <v>0</v>
      </c>
      <c r="AG71" s="578" t="s">
        <v>46</v>
      </c>
      <c r="AH71" s="294">
        <f>'CAR Mileage'!C195</f>
        <v>21735.113566341472</v>
      </c>
      <c r="AI71" s="295">
        <f>'CAR Mileage'!D195</f>
        <v>21304.594916392492</v>
      </c>
      <c r="AJ71" s="295">
        <f>'CAR Mileage'!E195</f>
        <v>20881.389527524669</v>
      </c>
      <c r="AK71" s="295">
        <f>'CAR Mileage'!F195</f>
        <v>20471.294809316867</v>
      </c>
      <c r="AL71" s="295">
        <f>'CAR Mileage'!G195</f>
        <v>20083.686886276759</v>
      </c>
      <c r="AM71" s="295">
        <f>'CAR Mileage'!H195</f>
        <v>19723.315528050141</v>
      </c>
      <c r="AN71" s="295">
        <f>'CAR Mileage'!I195</f>
        <v>19390.131225273461</v>
      </c>
      <c r="AO71" s="295">
        <f>'CAR Mileage'!J195</f>
        <v>19082.587186829576</v>
      </c>
      <c r="AP71" s="295">
        <f>'CAR Mileage'!K195</f>
        <v>18793.835005256551</v>
      </c>
      <c r="AQ71" s="295">
        <f>'CAR Mileage'!L195</f>
        <v>18522.283441001458</v>
      </c>
      <c r="AR71" s="295">
        <f>'CAR Mileage'!M195</f>
        <v>18271.993942945464</v>
      </c>
      <c r="AS71" s="295">
        <f>'CAR Mileage'!N195</f>
        <v>18032.684007527892</v>
      </c>
      <c r="AT71" s="295">
        <f>'CAR Mileage'!O195</f>
        <v>17792.385525059766</v>
      </c>
      <c r="AU71" s="295">
        <f>'CAR Mileage'!P195</f>
        <v>17541.950942351352</v>
      </c>
      <c r="AV71" s="295">
        <f>'CAR Mileage'!Q195</f>
        <v>17262.667666018624</v>
      </c>
      <c r="AW71" s="295">
        <f>'CAR Mileage'!R195</f>
        <v>16984.717376678771</v>
      </c>
      <c r="AX71" s="295">
        <f>'CAR Mileage'!S195</f>
        <v>16793.545148395388</v>
      </c>
      <c r="AY71" s="295">
        <f>'CAR Mileage'!T195</f>
        <v>16793.545148395391</v>
      </c>
      <c r="AZ71" s="295">
        <f>'CAR Mileage'!U195</f>
        <v>16793.545148395388</v>
      </c>
      <c r="BA71" s="295">
        <f>'CAR Mileage'!V195</f>
        <v>16793.545148395388</v>
      </c>
      <c r="BB71" s="295">
        <f>'CAR Mileage'!W195</f>
        <v>16793.545148395391</v>
      </c>
      <c r="BC71" s="295">
        <f>'CAR Mileage'!X195</f>
        <v>16793.545148395388</v>
      </c>
      <c r="BD71" s="295">
        <f>'CAR Mileage'!Y195</f>
        <v>16793.545148395388</v>
      </c>
      <c r="BE71" s="295">
        <f>'CAR Mileage'!Z195</f>
        <v>16793.545148395391</v>
      </c>
      <c r="BF71" s="295">
        <f>'CAR Mileage'!AA195</f>
        <v>16793.545148395388</v>
      </c>
      <c r="BG71" s="295">
        <f>'CAR Mileage'!AB195</f>
        <v>0</v>
      </c>
      <c r="BH71" s="295">
        <f>'CAR Mileage'!AC195</f>
        <v>0</v>
      </c>
      <c r="BI71" s="295">
        <f>'CAR Mileage'!AD195</f>
        <v>0</v>
      </c>
      <c r="BJ71" s="296">
        <f>'CAR Mileage'!AE195</f>
        <v>0</v>
      </c>
    </row>
    <row r="72" spans="1:62">
      <c r="A72" s="1711"/>
      <c r="B72" s="116">
        <v>13</v>
      </c>
      <c r="C72" s="316">
        <f>'CAR SEC'!C16</f>
        <v>2.1592078142221012</v>
      </c>
      <c r="D72" s="317">
        <f t="shared" si="10"/>
        <v>2.1307111343591578</v>
      </c>
      <c r="E72" s="317">
        <f t="shared" si="10"/>
        <v>2.1126041245450029</v>
      </c>
      <c r="F72" s="317">
        <f t="shared" si="10"/>
        <v>2.099065072700657</v>
      </c>
      <c r="G72" s="317">
        <f t="shared" si="10"/>
        <v>2.1072268960531519</v>
      </c>
      <c r="H72" s="317">
        <f t="shared" si="10"/>
        <v>2.0910810846273371</v>
      </c>
      <c r="I72" s="317">
        <f t="shared" si="10"/>
        <v>2.0628799201388253</v>
      </c>
      <c r="J72" s="317">
        <f t="shared" si="10"/>
        <v>2.0646932510588898</v>
      </c>
      <c r="K72" s="317">
        <f t="shared" si="10"/>
        <v>2.0476721931041117</v>
      </c>
      <c r="L72" s="317">
        <f t="shared" si="10"/>
        <v>1.965698312211386</v>
      </c>
      <c r="M72" s="317">
        <f t="shared" si="10"/>
        <v>1.8573112159366862</v>
      </c>
      <c r="N72" s="317">
        <f t="shared" si="10"/>
        <v>1.7734050223598012</v>
      </c>
      <c r="O72" s="317">
        <f t="shared" si="10"/>
        <v>1.7415895568180586</v>
      </c>
      <c r="P72" s="317">
        <f t="shared" si="10"/>
        <v>1.7036977621623173</v>
      </c>
      <c r="Q72" s="317">
        <f t="shared" si="10"/>
        <v>0</v>
      </c>
      <c r="R72" s="317">
        <f t="shared" si="10"/>
        <v>0</v>
      </c>
      <c r="S72" s="317">
        <f t="shared" si="10"/>
        <v>0</v>
      </c>
      <c r="T72" s="317">
        <f t="shared" si="9"/>
        <v>0</v>
      </c>
      <c r="U72" s="317">
        <f t="shared" si="9"/>
        <v>0</v>
      </c>
      <c r="V72" s="317">
        <f t="shared" si="9"/>
        <v>0</v>
      </c>
      <c r="W72" s="317">
        <f t="shared" si="9"/>
        <v>0</v>
      </c>
      <c r="X72" s="317">
        <f t="shared" si="9"/>
        <v>0</v>
      </c>
      <c r="Y72" s="317">
        <f t="shared" si="9"/>
        <v>0</v>
      </c>
      <c r="Z72" s="317">
        <f t="shared" si="9"/>
        <v>0</v>
      </c>
      <c r="AA72" s="317">
        <f t="shared" si="9"/>
        <v>0</v>
      </c>
      <c r="AB72" s="317">
        <f t="shared" si="9"/>
        <v>0</v>
      </c>
      <c r="AC72" s="317">
        <f t="shared" si="9"/>
        <v>0</v>
      </c>
      <c r="AD72" s="317">
        <f t="shared" si="9"/>
        <v>0</v>
      </c>
      <c r="AE72" s="318">
        <f t="shared" si="9"/>
        <v>0</v>
      </c>
      <c r="AG72" s="578" t="s">
        <v>47</v>
      </c>
      <c r="AH72" s="294">
        <f>'CAR Mileage'!C224</f>
        <v>23932.524688240166</v>
      </c>
      <c r="AI72" s="295">
        <f>'CAR Mileage'!D224</f>
        <v>23582.701740625358</v>
      </c>
      <c r="AJ72" s="295">
        <f>'CAR Mileage'!E224</f>
        <v>23220.123530748402</v>
      </c>
      <c r="AK72" s="295">
        <f>'CAR Mileage'!F224</f>
        <v>22873.114379120896</v>
      </c>
      <c r="AL72" s="295">
        <f>'CAR Mileage'!G224</f>
        <v>22551.147284335893</v>
      </c>
      <c r="AM72" s="295">
        <f>'CAR Mileage'!H224</f>
        <v>22252.209100218468</v>
      </c>
      <c r="AN72" s="295">
        <f>'CAR Mileage'!I224</f>
        <v>21968.873227693231</v>
      </c>
      <c r="AO72" s="295">
        <f>'CAR Mileage'!J224</f>
        <v>21697.076001165453</v>
      </c>
      <c r="AP72" s="295">
        <f>'CAR Mileage'!K224</f>
        <v>21434.906988515064</v>
      </c>
      <c r="AQ72" s="295">
        <f>'CAR Mileage'!L224</f>
        <v>21190.85749093624</v>
      </c>
      <c r="AR72" s="295">
        <f>'CAR Mileage'!M224</f>
        <v>20960.903571241219</v>
      </c>
      <c r="AS72" s="295">
        <f>'CAR Mileage'!N224</f>
        <v>20730.935295047024</v>
      </c>
      <c r="AT72" s="295">
        <f>'CAR Mileage'!O224</f>
        <v>20477.917793300279</v>
      </c>
      <c r="AU72" s="295">
        <f>'CAR Mileage'!P224</f>
        <v>20189.50206914706</v>
      </c>
      <c r="AV72" s="295">
        <f>'CAR Mileage'!Q224</f>
        <v>19867.518885377467</v>
      </c>
      <c r="AW72" s="295">
        <f>'CAR Mileage'!R224</f>
        <v>19535.719046030263</v>
      </c>
      <c r="AX72" s="295">
        <f>'CAR Mileage'!S224</f>
        <v>19284.088862728917</v>
      </c>
      <c r="AY72" s="295">
        <f>'CAR Mileage'!T224</f>
        <v>19284.088862728917</v>
      </c>
      <c r="AZ72" s="295">
        <f>'CAR Mileage'!U224</f>
        <v>19284.088862728921</v>
      </c>
      <c r="BA72" s="295">
        <f>'CAR Mileage'!V224</f>
        <v>19284.088862728924</v>
      </c>
      <c r="BB72" s="295">
        <f>'CAR Mileage'!W224</f>
        <v>19284.088862728913</v>
      </c>
      <c r="BC72" s="295">
        <f>'CAR Mileage'!X224</f>
        <v>19284.088862728921</v>
      </c>
      <c r="BD72" s="295">
        <f>'CAR Mileage'!Y224</f>
        <v>19284.088862728917</v>
      </c>
      <c r="BE72" s="295">
        <f>'CAR Mileage'!Z224</f>
        <v>19284.088862728921</v>
      </c>
      <c r="BF72" s="295">
        <f>'CAR Mileage'!AA224</f>
        <v>19284.088862728921</v>
      </c>
      <c r="BG72" s="295">
        <f>'CAR Mileage'!AB224</f>
        <v>0</v>
      </c>
      <c r="BH72" s="295">
        <f>'CAR Mileage'!AC224</f>
        <v>0</v>
      </c>
      <c r="BI72" s="295">
        <f>'CAR Mileage'!AD224</f>
        <v>0</v>
      </c>
      <c r="BJ72" s="296">
        <f>'CAR Mileage'!AE224</f>
        <v>0</v>
      </c>
    </row>
    <row r="73" spans="1:62">
      <c r="A73" s="1711"/>
      <c r="B73" s="116">
        <v>14</v>
      </c>
      <c r="C73" s="316">
        <f>'CAR SEC'!C17</f>
        <v>2.1730845907307339</v>
      </c>
      <c r="D73" s="317">
        <f t="shared" si="10"/>
        <v>2.1592078142221012</v>
      </c>
      <c r="E73" s="317">
        <f t="shared" si="10"/>
        <v>2.1307111343591578</v>
      </c>
      <c r="F73" s="317">
        <f t="shared" si="10"/>
        <v>2.1126041245450029</v>
      </c>
      <c r="G73" s="317">
        <f t="shared" si="10"/>
        <v>2.099065072700657</v>
      </c>
      <c r="H73" s="317">
        <f t="shared" si="10"/>
        <v>2.1072268960531519</v>
      </c>
      <c r="I73" s="317">
        <f t="shared" si="10"/>
        <v>2.0910810846273371</v>
      </c>
      <c r="J73" s="317">
        <f t="shared" si="10"/>
        <v>2.0628799201388253</v>
      </c>
      <c r="K73" s="317">
        <f t="shared" si="10"/>
        <v>2.0646932510588898</v>
      </c>
      <c r="L73" s="317">
        <f t="shared" si="10"/>
        <v>2.0476721931041117</v>
      </c>
      <c r="M73" s="317">
        <f t="shared" si="10"/>
        <v>1.965698312211386</v>
      </c>
      <c r="N73" s="317">
        <f t="shared" si="10"/>
        <v>1.8573112159366862</v>
      </c>
      <c r="O73" s="317">
        <f t="shared" si="10"/>
        <v>1.7734050223598012</v>
      </c>
      <c r="P73" s="317">
        <f t="shared" si="10"/>
        <v>1.7415895568180586</v>
      </c>
      <c r="Q73" s="317">
        <f t="shared" si="10"/>
        <v>1.7036977621623173</v>
      </c>
      <c r="R73" s="317">
        <f t="shared" si="10"/>
        <v>0</v>
      </c>
      <c r="S73" s="317">
        <f t="shared" si="10"/>
        <v>0</v>
      </c>
      <c r="T73" s="317">
        <f t="shared" si="9"/>
        <v>0</v>
      </c>
      <c r="U73" s="317">
        <f t="shared" si="9"/>
        <v>0</v>
      </c>
      <c r="V73" s="317">
        <f t="shared" si="9"/>
        <v>0</v>
      </c>
      <c r="W73" s="317">
        <f t="shared" si="9"/>
        <v>0</v>
      </c>
      <c r="X73" s="317">
        <f t="shared" si="9"/>
        <v>0</v>
      </c>
      <c r="Y73" s="317">
        <f t="shared" si="9"/>
        <v>0</v>
      </c>
      <c r="Z73" s="317">
        <f t="shared" si="9"/>
        <v>0</v>
      </c>
      <c r="AA73" s="317">
        <f t="shared" si="9"/>
        <v>0</v>
      </c>
      <c r="AB73" s="317">
        <f t="shared" si="9"/>
        <v>0</v>
      </c>
      <c r="AC73" s="317">
        <f t="shared" si="9"/>
        <v>0</v>
      </c>
      <c r="AD73" s="317">
        <f t="shared" si="9"/>
        <v>0</v>
      </c>
      <c r="AE73" s="318">
        <f t="shared" si="9"/>
        <v>0</v>
      </c>
      <c r="AG73" s="578" t="s">
        <v>48</v>
      </c>
      <c r="AH73" s="294">
        <f>'CAR Mileage'!C253</f>
        <v>24183.218282696154</v>
      </c>
      <c r="AI73" s="295">
        <f>'CAR Mileage'!D253</f>
        <v>23860.824208234986</v>
      </c>
      <c r="AJ73" s="295">
        <f>'CAR Mileage'!E253</f>
        <v>23503.384589125664</v>
      </c>
      <c r="AK73" s="295">
        <f>'CAR Mileage'!F253</f>
        <v>23148.281227510499</v>
      </c>
      <c r="AL73" s="295">
        <f>'CAR Mileage'!G253</f>
        <v>22810.622065383512</v>
      </c>
      <c r="AM73" s="295">
        <f>'CAR Mileage'!H253</f>
        <v>22499.15503229251</v>
      </c>
      <c r="AN73" s="295">
        <f>'CAR Mileage'!I253</f>
        <v>22215.968124202634</v>
      </c>
      <c r="AO73" s="295">
        <f>'CAR Mileage'!J253</f>
        <v>21957.929150277669</v>
      </c>
      <c r="AP73" s="295">
        <f>'CAR Mileage'!K253</f>
        <v>21721.4836111818</v>
      </c>
      <c r="AQ73" s="295">
        <f>'CAR Mileage'!L253</f>
        <v>21498.379784588378</v>
      </c>
      <c r="AR73" s="295">
        <f>'CAR Mileage'!M253</f>
        <v>21274.275398724571</v>
      </c>
      <c r="AS73" s="295">
        <f>'CAR Mileage'!N253</f>
        <v>21028.040619526688</v>
      </c>
      <c r="AT73" s="295">
        <f>'CAR Mileage'!O253</f>
        <v>20739.221574466559</v>
      </c>
      <c r="AU73" s="295">
        <f>'CAR Mileage'!P253</f>
        <v>20420.355494021078</v>
      </c>
      <c r="AV73" s="295">
        <f>'CAR Mileage'!Q253</f>
        <v>20076.67209603317</v>
      </c>
      <c r="AW73" s="295">
        <f>'CAR Mileage'!R253</f>
        <v>19723.079929804877</v>
      </c>
      <c r="AX73" s="295">
        <f>'CAR Mileage'!S253</f>
        <v>19447.318974948426</v>
      </c>
      <c r="AY73" s="295">
        <f>'CAR Mileage'!T253</f>
        <v>19447.318974948419</v>
      </c>
      <c r="AZ73" s="295">
        <f>'CAR Mileage'!U253</f>
        <v>19447.318974948426</v>
      </c>
      <c r="BA73" s="295">
        <f>'CAR Mileage'!V253</f>
        <v>19447.318974948423</v>
      </c>
      <c r="BB73" s="295">
        <f>'CAR Mileage'!W253</f>
        <v>19447.318974948423</v>
      </c>
      <c r="BC73" s="295">
        <f>'CAR Mileage'!X253</f>
        <v>19447.318974948423</v>
      </c>
      <c r="BD73" s="295">
        <f>'CAR Mileage'!Y253</f>
        <v>19447.318974948423</v>
      </c>
      <c r="BE73" s="295">
        <f>'CAR Mileage'!Z253</f>
        <v>19447.318974948423</v>
      </c>
      <c r="BF73" s="295">
        <f>'CAR Mileage'!AA253</f>
        <v>19447.318974948423</v>
      </c>
      <c r="BG73" s="295">
        <f>'CAR Mileage'!AB253</f>
        <v>0</v>
      </c>
      <c r="BH73" s="295">
        <f>'CAR Mileage'!AC253</f>
        <v>0</v>
      </c>
      <c r="BI73" s="295">
        <f>'CAR Mileage'!AD253</f>
        <v>0</v>
      </c>
      <c r="BJ73" s="296">
        <f>'CAR Mileage'!AE253</f>
        <v>0</v>
      </c>
    </row>
    <row r="74" spans="1:62">
      <c r="A74" s="1711"/>
      <c r="B74" s="116">
        <v>15</v>
      </c>
      <c r="C74" s="316">
        <f>'CAR SEC'!C18</f>
        <v>2.1861439096627815</v>
      </c>
      <c r="D74" s="317">
        <f t="shared" si="10"/>
        <v>2.1730845907307339</v>
      </c>
      <c r="E74" s="317">
        <f t="shared" si="10"/>
        <v>2.1592078142221012</v>
      </c>
      <c r="F74" s="317">
        <f t="shared" si="10"/>
        <v>2.1307111343591578</v>
      </c>
      <c r="G74" s="317">
        <f t="shared" si="10"/>
        <v>2.1126041245450029</v>
      </c>
      <c r="H74" s="317">
        <f t="shared" si="10"/>
        <v>2.099065072700657</v>
      </c>
      <c r="I74" s="317">
        <f t="shared" si="10"/>
        <v>2.1072268960531519</v>
      </c>
      <c r="J74" s="317">
        <f t="shared" si="10"/>
        <v>2.0910810846273371</v>
      </c>
      <c r="K74" s="317">
        <f t="shared" si="10"/>
        <v>2.0628799201388253</v>
      </c>
      <c r="L74" s="317">
        <f t="shared" si="10"/>
        <v>2.0646932510588898</v>
      </c>
      <c r="M74" s="317">
        <f t="shared" si="10"/>
        <v>2.0476721931041117</v>
      </c>
      <c r="N74" s="317">
        <f t="shared" si="10"/>
        <v>1.965698312211386</v>
      </c>
      <c r="O74" s="317">
        <f t="shared" si="10"/>
        <v>1.8573112159366862</v>
      </c>
      <c r="P74" s="317">
        <f t="shared" si="10"/>
        <v>1.7734050223598012</v>
      </c>
      <c r="Q74" s="317">
        <f t="shared" si="10"/>
        <v>1.7415895568180586</v>
      </c>
      <c r="R74" s="317">
        <f t="shared" si="10"/>
        <v>1.7036977621623173</v>
      </c>
      <c r="S74" s="317">
        <f t="shared" si="10"/>
        <v>0</v>
      </c>
      <c r="T74" s="317">
        <f t="shared" si="9"/>
        <v>0</v>
      </c>
      <c r="U74" s="317">
        <f t="shared" si="9"/>
        <v>0</v>
      </c>
      <c r="V74" s="317">
        <f t="shared" si="9"/>
        <v>0</v>
      </c>
      <c r="W74" s="317">
        <f t="shared" si="9"/>
        <v>0</v>
      </c>
      <c r="X74" s="317">
        <f t="shared" si="9"/>
        <v>0</v>
      </c>
      <c r="Y74" s="317">
        <f t="shared" si="9"/>
        <v>0</v>
      </c>
      <c r="Z74" s="317">
        <f t="shared" si="9"/>
        <v>0</v>
      </c>
      <c r="AA74" s="317">
        <f t="shared" si="9"/>
        <v>0</v>
      </c>
      <c r="AB74" s="317">
        <f t="shared" si="9"/>
        <v>0</v>
      </c>
      <c r="AC74" s="317">
        <f t="shared" si="9"/>
        <v>0</v>
      </c>
      <c r="AD74" s="317">
        <f t="shared" si="9"/>
        <v>0</v>
      </c>
      <c r="AE74" s="318">
        <f t="shared" si="9"/>
        <v>0</v>
      </c>
      <c r="AG74" s="578" t="s">
        <v>49</v>
      </c>
      <c r="AH74" s="294">
        <f>'CAR Mileage'!C282</f>
        <v>0</v>
      </c>
      <c r="AI74" s="295">
        <f>'CAR Mileage'!D282</f>
        <v>0</v>
      </c>
      <c r="AJ74" s="295">
        <f>'CAR Mileage'!E282</f>
        <v>0</v>
      </c>
      <c r="AK74" s="295">
        <f>'CAR Mileage'!F282</f>
        <v>0</v>
      </c>
      <c r="AL74" s="295">
        <f>'CAR Mileage'!G282</f>
        <v>0</v>
      </c>
      <c r="AM74" s="295">
        <f>'CAR Mileage'!H282</f>
        <v>0</v>
      </c>
      <c r="AN74" s="295">
        <f>'CAR Mileage'!I282</f>
        <v>0</v>
      </c>
      <c r="AO74" s="295">
        <f>'CAR Mileage'!J282</f>
        <v>0</v>
      </c>
      <c r="AP74" s="295">
        <f>'CAR Mileage'!K282</f>
        <v>0</v>
      </c>
      <c r="AQ74" s="295">
        <f>'CAR Mileage'!L282</f>
        <v>0</v>
      </c>
      <c r="AR74" s="295">
        <f>'CAR Mileage'!M282</f>
        <v>0</v>
      </c>
      <c r="AS74" s="295">
        <f>'CAR Mileage'!N282</f>
        <v>0</v>
      </c>
      <c r="AT74" s="295">
        <f>'CAR Mileage'!O282</f>
        <v>0</v>
      </c>
      <c r="AU74" s="295">
        <f>'CAR Mileage'!P282</f>
        <v>0</v>
      </c>
      <c r="AV74" s="295">
        <f>'CAR Mileage'!Q282</f>
        <v>0</v>
      </c>
      <c r="AW74" s="295">
        <f>'CAR Mileage'!R282</f>
        <v>0</v>
      </c>
      <c r="AX74" s="295">
        <f>'CAR Mileage'!S282</f>
        <v>0</v>
      </c>
      <c r="AY74" s="295">
        <f>'CAR Mileage'!T282</f>
        <v>0</v>
      </c>
      <c r="AZ74" s="295">
        <f>'CAR Mileage'!U282</f>
        <v>0</v>
      </c>
      <c r="BA74" s="295">
        <f>'CAR Mileage'!V282</f>
        <v>0</v>
      </c>
      <c r="BB74" s="295">
        <f>'CAR Mileage'!W282</f>
        <v>0</v>
      </c>
      <c r="BC74" s="295">
        <f>'CAR Mileage'!X282</f>
        <v>0</v>
      </c>
      <c r="BD74" s="295">
        <f>'CAR Mileage'!Y282</f>
        <v>0</v>
      </c>
      <c r="BE74" s="295">
        <f>'CAR Mileage'!Z282</f>
        <v>0</v>
      </c>
      <c r="BF74" s="295">
        <f>'CAR Mileage'!AA282</f>
        <v>0</v>
      </c>
      <c r="BG74" s="295">
        <f>'CAR Mileage'!AB282</f>
        <v>0</v>
      </c>
      <c r="BH74" s="295">
        <f>'CAR Mileage'!AC282</f>
        <v>0</v>
      </c>
      <c r="BI74" s="295">
        <f>'CAR Mileage'!AD282</f>
        <v>0</v>
      </c>
      <c r="BJ74" s="296">
        <f>'CAR Mileage'!AE282</f>
        <v>0</v>
      </c>
    </row>
    <row r="75" spans="1:62">
      <c r="A75" s="1711"/>
      <c r="B75" s="116">
        <v>16</v>
      </c>
      <c r="C75" s="316">
        <f>'CAR SEC'!C19</f>
        <v>2.2012739472753307</v>
      </c>
      <c r="D75" s="317">
        <f t="shared" si="10"/>
        <v>2.1861439096627815</v>
      </c>
      <c r="E75" s="317">
        <f t="shared" si="10"/>
        <v>2.1730845907307339</v>
      </c>
      <c r="F75" s="317">
        <f t="shared" si="10"/>
        <v>2.1592078142221012</v>
      </c>
      <c r="G75" s="317">
        <f t="shared" si="10"/>
        <v>2.1307111343591578</v>
      </c>
      <c r="H75" s="317">
        <f t="shared" si="10"/>
        <v>2.1126041245450029</v>
      </c>
      <c r="I75" s="317">
        <f t="shared" si="10"/>
        <v>2.099065072700657</v>
      </c>
      <c r="J75" s="317">
        <f t="shared" si="10"/>
        <v>2.1072268960531519</v>
      </c>
      <c r="K75" s="317">
        <f t="shared" si="10"/>
        <v>2.0910810846273371</v>
      </c>
      <c r="L75" s="317">
        <f t="shared" si="10"/>
        <v>2.0628799201388253</v>
      </c>
      <c r="M75" s="317">
        <f t="shared" si="10"/>
        <v>2.0646932510588898</v>
      </c>
      <c r="N75" s="317">
        <f t="shared" si="10"/>
        <v>2.0476721931041117</v>
      </c>
      <c r="O75" s="317">
        <f t="shared" si="10"/>
        <v>1.965698312211386</v>
      </c>
      <c r="P75" s="317">
        <f t="shared" si="10"/>
        <v>1.8573112159366862</v>
      </c>
      <c r="Q75" s="317">
        <f t="shared" si="10"/>
        <v>1.7734050223598012</v>
      </c>
      <c r="R75" s="317">
        <f t="shared" si="10"/>
        <v>1.7415895568180586</v>
      </c>
      <c r="S75" s="317">
        <f t="shared" si="10"/>
        <v>1.7036977621623173</v>
      </c>
      <c r="T75" s="317">
        <f t="shared" si="9"/>
        <v>0</v>
      </c>
      <c r="U75" s="317">
        <f t="shared" si="9"/>
        <v>0</v>
      </c>
      <c r="V75" s="317">
        <f t="shared" si="9"/>
        <v>0</v>
      </c>
      <c r="W75" s="317">
        <f t="shared" si="9"/>
        <v>0</v>
      </c>
      <c r="X75" s="317">
        <f t="shared" si="9"/>
        <v>0</v>
      </c>
      <c r="Y75" s="317">
        <f t="shared" si="9"/>
        <v>0</v>
      </c>
      <c r="Z75" s="317">
        <f t="shared" si="9"/>
        <v>0</v>
      </c>
      <c r="AA75" s="317">
        <f t="shared" si="9"/>
        <v>0</v>
      </c>
      <c r="AB75" s="317">
        <f t="shared" si="9"/>
        <v>0</v>
      </c>
      <c r="AC75" s="317">
        <f t="shared" si="9"/>
        <v>0</v>
      </c>
      <c r="AD75" s="317">
        <f t="shared" si="9"/>
        <v>0</v>
      </c>
      <c r="AE75" s="318">
        <f t="shared" si="9"/>
        <v>0</v>
      </c>
      <c r="AG75" s="578" t="s">
        <v>50</v>
      </c>
      <c r="AH75" s="294">
        <f>'CAR Mileage'!C311</f>
        <v>16662.406327474131</v>
      </c>
      <c r="AI75" s="295">
        <f>'CAR Mileage'!D311</f>
        <v>16329.216044697507</v>
      </c>
      <c r="AJ75" s="295">
        <f>'CAR Mileage'!E311</f>
        <v>16002.713898319149</v>
      </c>
      <c r="AK75" s="295">
        <f>'CAR Mileage'!F311</f>
        <v>15682.750155189869</v>
      </c>
      <c r="AL75" s="295">
        <f>'CAR Mileage'!G311</f>
        <v>15369.378311181403</v>
      </c>
      <c r="AM75" s="295">
        <f>'CAR Mileage'!H311</f>
        <v>15063.445131586672</v>
      </c>
      <c r="AN75" s="295">
        <f>'CAR Mileage'!I311</f>
        <v>14767.441801892739</v>
      </c>
      <c r="AO75" s="295">
        <f>'CAR Mileage'!J311</f>
        <v>14484.656120540907</v>
      </c>
      <c r="AP75" s="295">
        <f>'CAR Mileage'!K311</f>
        <v>14216.429742573497</v>
      </c>
      <c r="AQ75" s="295">
        <f>'CAR Mileage'!L311</f>
        <v>13962.09002784835</v>
      </c>
      <c r="AR75" s="295">
        <f>'CAR Mileage'!M311</f>
        <v>13721.964133897733</v>
      </c>
      <c r="AS75" s="295">
        <f>'CAR Mileage'!N311</f>
        <v>13494.137380426169</v>
      </c>
      <c r="AT75" s="295">
        <f>'CAR Mileage'!O311</f>
        <v>13273.355782567631</v>
      </c>
      <c r="AU75" s="295">
        <f>'CAR Mileage'!P311</f>
        <v>13055.911382262226</v>
      </c>
      <c r="AV75" s="295">
        <f>'CAR Mileage'!Q311</f>
        <v>12828.505570659358</v>
      </c>
      <c r="AW75" s="295">
        <f>'CAR Mileage'!R311</f>
        <v>12609.619499581206</v>
      </c>
      <c r="AX75" s="295">
        <f>'CAR Mileage'!S311</f>
        <v>12430.117152516248</v>
      </c>
      <c r="AY75" s="295">
        <f>'CAR Mileage'!T311</f>
        <v>12430.11715251625</v>
      </c>
      <c r="AZ75" s="295">
        <f>'CAR Mileage'!U311</f>
        <v>12430.117152516244</v>
      </c>
      <c r="BA75" s="295">
        <f>'CAR Mileage'!V311</f>
        <v>12430.117152516248</v>
      </c>
      <c r="BB75" s="295">
        <f>'CAR Mileage'!W311</f>
        <v>12430.117152516248</v>
      </c>
      <c r="BC75" s="295">
        <f>'CAR Mileage'!X311</f>
        <v>12430.117152516246</v>
      </c>
      <c r="BD75" s="295">
        <f>'CAR Mileage'!Y311</f>
        <v>12430.117152516244</v>
      </c>
      <c r="BE75" s="295">
        <f>'CAR Mileage'!Z311</f>
        <v>12430.117152516246</v>
      </c>
      <c r="BF75" s="295">
        <f>'CAR Mileage'!AA311</f>
        <v>12430.117152516246</v>
      </c>
      <c r="BG75" s="295">
        <f>'CAR Mileage'!AB311</f>
        <v>0</v>
      </c>
      <c r="BH75" s="295">
        <f>'CAR Mileage'!AC311</f>
        <v>0</v>
      </c>
      <c r="BI75" s="295">
        <f>'CAR Mileage'!AD311</f>
        <v>0</v>
      </c>
      <c r="BJ75" s="296">
        <f>'CAR Mileage'!AE311</f>
        <v>0</v>
      </c>
    </row>
    <row r="76" spans="1:62">
      <c r="A76" s="1711"/>
      <c r="B76" s="116">
        <v>17</v>
      </c>
      <c r="C76" s="316">
        <f>'CAR SEC'!C20</f>
        <v>2.21452421437544</v>
      </c>
      <c r="D76" s="317">
        <f t="shared" si="10"/>
        <v>2.2012739472753307</v>
      </c>
      <c r="E76" s="317">
        <f t="shared" si="10"/>
        <v>2.1861439096627815</v>
      </c>
      <c r="F76" s="317">
        <f t="shared" si="10"/>
        <v>2.1730845907307339</v>
      </c>
      <c r="G76" s="317">
        <f t="shared" si="10"/>
        <v>2.1592078142221012</v>
      </c>
      <c r="H76" s="317">
        <f t="shared" si="10"/>
        <v>2.1307111343591578</v>
      </c>
      <c r="I76" s="317">
        <f t="shared" si="10"/>
        <v>2.1126041245450029</v>
      </c>
      <c r="J76" s="317">
        <f t="shared" si="10"/>
        <v>2.099065072700657</v>
      </c>
      <c r="K76" s="317">
        <f t="shared" si="10"/>
        <v>2.1072268960531519</v>
      </c>
      <c r="L76" s="317">
        <f t="shared" si="10"/>
        <v>2.0910810846273371</v>
      </c>
      <c r="M76" s="317">
        <f t="shared" si="10"/>
        <v>2.0628799201388253</v>
      </c>
      <c r="N76" s="317">
        <f t="shared" si="10"/>
        <v>2.0646932510588898</v>
      </c>
      <c r="O76" s="317">
        <f t="shared" si="10"/>
        <v>2.0476721931041117</v>
      </c>
      <c r="P76" s="317">
        <f t="shared" si="10"/>
        <v>1.965698312211386</v>
      </c>
      <c r="Q76" s="317">
        <f t="shared" si="10"/>
        <v>1.8573112159366862</v>
      </c>
      <c r="R76" s="317">
        <f t="shared" si="10"/>
        <v>1.7734050223598012</v>
      </c>
      <c r="S76" s="317">
        <f t="shared" ref="S76:AE84" si="11">R75</f>
        <v>1.7415895568180586</v>
      </c>
      <c r="T76" s="317">
        <f t="shared" si="11"/>
        <v>1.7036977621623173</v>
      </c>
      <c r="U76" s="317">
        <f t="shared" si="11"/>
        <v>0</v>
      </c>
      <c r="V76" s="317">
        <f t="shared" si="11"/>
        <v>0</v>
      </c>
      <c r="W76" s="317">
        <f t="shared" si="11"/>
        <v>0</v>
      </c>
      <c r="X76" s="317">
        <f t="shared" si="11"/>
        <v>0</v>
      </c>
      <c r="Y76" s="317">
        <f t="shared" si="11"/>
        <v>0</v>
      </c>
      <c r="Z76" s="317">
        <f t="shared" si="11"/>
        <v>0</v>
      </c>
      <c r="AA76" s="317">
        <f t="shared" si="11"/>
        <v>0</v>
      </c>
      <c r="AB76" s="317">
        <f t="shared" si="11"/>
        <v>0</v>
      </c>
      <c r="AC76" s="317">
        <f t="shared" si="11"/>
        <v>0</v>
      </c>
      <c r="AD76" s="317">
        <f t="shared" si="11"/>
        <v>0</v>
      </c>
      <c r="AE76" s="318">
        <f t="shared" si="11"/>
        <v>0</v>
      </c>
      <c r="AG76" s="578" t="s">
        <v>51</v>
      </c>
      <c r="AH76" s="294">
        <f>'CAR Mileage'!C340</f>
        <v>17913.615677046884</v>
      </c>
      <c r="AI76" s="295">
        <f>'CAR Mileage'!D340</f>
        <v>17555.345746774103</v>
      </c>
      <c r="AJ76" s="295">
        <f>'CAR Mileage'!E340</f>
        <v>17204.34443895995</v>
      </c>
      <c r="AK76" s="295">
        <f>'CAR Mileage'!F340</f>
        <v>16861.4545948499</v>
      </c>
      <c r="AL76" s="295">
        <f>'CAR Mileage'!G340</f>
        <v>16529.333273145814</v>
      </c>
      <c r="AM76" s="295">
        <f>'CAR Mileage'!H340</f>
        <v>16208.884075061416</v>
      </c>
      <c r="AN76" s="295">
        <f>'CAR Mileage'!I340</f>
        <v>15899.652426169094</v>
      </c>
      <c r="AO76" s="295">
        <f>'CAR Mileage'!J340</f>
        <v>15601.468343991281</v>
      </c>
      <c r="AP76" s="295">
        <f>'CAR Mileage'!K340</f>
        <v>15313.924368583212</v>
      </c>
      <c r="AQ76" s="295">
        <f>'CAR Mileage'!L340</f>
        <v>15037.437283821651</v>
      </c>
      <c r="AR76" s="295">
        <f>'CAR Mileage'!M340</f>
        <v>14773.777064698648</v>
      </c>
      <c r="AS76" s="295">
        <f>'CAR Mileage'!N340</f>
        <v>14522.734181033944</v>
      </c>
      <c r="AT76" s="295">
        <f>'CAR Mileage'!O340</f>
        <v>14273.77152787926</v>
      </c>
      <c r="AU76" s="295">
        <f>'CAR Mileage'!P340</f>
        <v>14152.431153132498</v>
      </c>
      <c r="AV76" s="295">
        <f>'CAR Mileage'!Q340</f>
        <v>14090.720107705582</v>
      </c>
      <c r="AW76" s="295">
        <f>'CAR Mileage'!R340</f>
        <v>14090.72010770558</v>
      </c>
      <c r="AX76" s="295">
        <f>'CAR Mileage'!S340</f>
        <v>14090.720107705578</v>
      </c>
      <c r="AY76" s="295">
        <f>'CAR Mileage'!T340</f>
        <v>14090.72010770558</v>
      </c>
      <c r="AZ76" s="295">
        <f>'CAR Mileage'!U340</f>
        <v>14090.720107705582</v>
      </c>
      <c r="BA76" s="295">
        <f>'CAR Mileage'!V340</f>
        <v>14090.720107705583</v>
      </c>
      <c r="BB76" s="295">
        <f>'CAR Mileage'!W340</f>
        <v>14090.720107705582</v>
      </c>
      <c r="BC76" s="295">
        <f>'CAR Mileage'!X340</f>
        <v>14090.72010770558</v>
      </c>
      <c r="BD76" s="295">
        <f>'CAR Mileage'!Y340</f>
        <v>14090.72010770558</v>
      </c>
      <c r="BE76" s="295">
        <f>'CAR Mileage'!Z340</f>
        <v>0</v>
      </c>
      <c r="BF76" s="295">
        <f>'CAR Mileage'!AA340</f>
        <v>0</v>
      </c>
      <c r="BG76" s="295">
        <f>'CAR Mileage'!AB340</f>
        <v>0</v>
      </c>
      <c r="BH76" s="295">
        <f>'CAR Mileage'!AC340</f>
        <v>0</v>
      </c>
      <c r="BI76" s="295">
        <f>'CAR Mileage'!AD340</f>
        <v>0</v>
      </c>
      <c r="BJ76" s="296">
        <f>'CAR Mileage'!AE340</f>
        <v>0</v>
      </c>
    </row>
    <row r="77" spans="1:62">
      <c r="A77" s="1711"/>
      <c r="B77" s="116">
        <v>18</v>
      </c>
      <c r="C77" s="316">
        <f>'CAR SEC'!C21</f>
        <v>2.225972946912798</v>
      </c>
      <c r="D77" s="317">
        <f t="shared" ref="D77:S84" si="12">C76</f>
        <v>2.21452421437544</v>
      </c>
      <c r="E77" s="317">
        <f t="shared" si="12"/>
        <v>2.2012739472753307</v>
      </c>
      <c r="F77" s="317">
        <f t="shared" si="12"/>
        <v>2.1861439096627815</v>
      </c>
      <c r="G77" s="317">
        <f t="shared" si="12"/>
        <v>2.1730845907307339</v>
      </c>
      <c r="H77" s="317">
        <f t="shared" si="12"/>
        <v>2.1592078142221012</v>
      </c>
      <c r="I77" s="317">
        <f t="shared" si="12"/>
        <v>2.1307111343591578</v>
      </c>
      <c r="J77" s="317">
        <f t="shared" si="12"/>
        <v>2.1126041245450029</v>
      </c>
      <c r="K77" s="317">
        <f t="shared" si="12"/>
        <v>2.099065072700657</v>
      </c>
      <c r="L77" s="317">
        <f t="shared" si="12"/>
        <v>2.1072268960531519</v>
      </c>
      <c r="M77" s="317">
        <f t="shared" si="12"/>
        <v>2.0910810846273371</v>
      </c>
      <c r="N77" s="317">
        <f t="shared" si="12"/>
        <v>2.0628799201388253</v>
      </c>
      <c r="O77" s="317">
        <f t="shared" si="12"/>
        <v>2.0646932510588898</v>
      </c>
      <c r="P77" s="317">
        <f t="shared" si="12"/>
        <v>2.0476721931041117</v>
      </c>
      <c r="Q77" s="317">
        <f t="shared" si="12"/>
        <v>1.965698312211386</v>
      </c>
      <c r="R77" s="317">
        <f t="shared" si="12"/>
        <v>1.8573112159366862</v>
      </c>
      <c r="S77" s="317">
        <f t="shared" si="12"/>
        <v>1.7734050223598012</v>
      </c>
      <c r="T77" s="317">
        <f t="shared" si="11"/>
        <v>1.7415895568180586</v>
      </c>
      <c r="U77" s="317">
        <f t="shared" si="11"/>
        <v>1.7036977621623173</v>
      </c>
      <c r="V77" s="317">
        <f t="shared" si="11"/>
        <v>0</v>
      </c>
      <c r="W77" s="317">
        <f t="shared" si="11"/>
        <v>0</v>
      </c>
      <c r="X77" s="317">
        <f t="shared" si="11"/>
        <v>0</v>
      </c>
      <c r="Y77" s="317">
        <f t="shared" si="11"/>
        <v>0</v>
      </c>
      <c r="Z77" s="317">
        <f t="shared" si="11"/>
        <v>0</v>
      </c>
      <c r="AA77" s="317">
        <f t="shared" si="11"/>
        <v>0</v>
      </c>
      <c r="AB77" s="317">
        <f t="shared" si="11"/>
        <v>0</v>
      </c>
      <c r="AC77" s="317">
        <f t="shared" si="11"/>
        <v>0</v>
      </c>
      <c r="AD77" s="317">
        <f t="shared" si="11"/>
        <v>0</v>
      </c>
      <c r="AE77" s="318">
        <f t="shared" si="11"/>
        <v>0</v>
      </c>
      <c r="AG77" s="578" t="s">
        <v>52</v>
      </c>
      <c r="AH77" s="294">
        <f>'CAR Mileage'!C369</f>
        <v>17118.431436709459</v>
      </c>
      <c r="AI77" s="295">
        <f>'CAR Mileage'!D369</f>
        <v>16776.062807975271</v>
      </c>
      <c r="AJ77" s="295">
        <f>'CAR Mileage'!E369</f>
        <v>16440.558584060454</v>
      </c>
      <c r="AK77" s="295">
        <f>'CAR Mileage'!F369</f>
        <v>16111.958450731605</v>
      </c>
      <c r="AL77" s="295">
        <f>'CAR Mileage'!G369</f>
        <v>15792.203495595511</v>
      </c>
      <c r="AM77" s="295">
        <f>'CAR Mileage'!H369</f>
        <v>15484.115065437325</v>
      </c>
      <c r="AN77" s="295">
        <f>'CAR Mileage'!I369</f>
        <v>15186.155398345938</v>
      </c>
      <c r="AO77" s="295">
        <f>'CAR Mileage'!J369</f>
        <v>14897.679433739268</v>
      </c>
      <c r="AP77" s="295">
        <f>'CAR Mileage'!K369</f>
        <v>14617.848116212672</v>
      </c>
      <c r="AQ77" s="295">
        <f>'CAR Mileage'!L369</f>
        <v>14347.083944833003</v>
      </c>
      <c r="AR77" s="295">
        <f>'CAR Mileage'!M369</f>
        <v>14087.429311126547</v>
      </c>
      <c r="AS77" s="295">
        <f>'CAR Mileage'!N369</f>
        <v>13838.401704288006</v>
      </c>
      <c r="AT77" s="295">
        <f>'CAR Mileage'!O369</f>
        <v>13611.150418680865</v>
      </c>
      <c r="AU77" s="295">
        <f>'CAR Mileage'!P369</f>
        <v>13553.356355479918</v>
      </c>
      <c r="AV77" s="295">
        <f>'CAR Mileage'!Q369</f>
        <v>13517.084445482385</v>
      </c>
      <c r="AW77" s="295">
        <f>'CAR Mileage'!R369</f>
        <v>13493.509119816048</v>
      </c>
      <c r="AX77" s="295">
        <f>'CAR Mileage'!S369</f>
        <v>13493.509119816044</v>
      </c>
      <c r="AY77" s="295">
        <f>'CAR Mileage'!T369</f>
        <v>13493.509119816046</v>
      </c>
      <c r="AZ77" s="295">
        <f>'CAR Mileage'!U369</f>
        <v>13493.509119816044</v>
      </c>
      <c r="BA77" s="295">
        <f>'CAR Mileage'!V369</f>
        <v>13493.509119816044</v>
      </c>
      <c r="BB77" s="295">
        <f>'CAR Mileage'!W369</f>
        <v>13493.509119816044</v>
      </c>
      <c r="BC77" s="295">
        <f>'CAR Mileage'!X369</f>
        <v>13493.509119816046</v>
      </c>
      <c r="BD77" s="295">
        <f>'CAR Mileage'!Y369</f>
        <v>13493.509119816044</v>
      </c>
      <c r="BE77" s="295">
        <f>'CAR Mileage'!Z369</f>
        <v>13493.509119816044</v>
      </c>
      <c r="BF77" s="295">
        <f>'CAR Mileage'!AA369</f>
        <v>0</v>
      </c>
      <c r="BG77" s="295">
        <f>'CAR Mileage'!AB369</f>
        <v>0</v>
      </c>
      <c r="BH77" s="295">
        <f>'CAR Mileage'!AC369</f>
        <v>0</v>
      </c>
      <c r="BI77" s="295">
        <f>'CAR Mileage'!AD369</f>
        <v>0</v>
      </c>
      <c r="BJ77" s="296">
        <f>'CAR Mileage'!AE369</f>
        <v>0</v>
      </c>
    </row>
    <row r="78" spans="1:62">
      <c r="A78" s="1711"/>
      <c r="B78" s="116">
        <v>19</v>
      </c>
      <c r="C78" s="316">
        <f>'CAR SEC'!C22</f>
        <v>2.2394830370497187</v>
      </c>
      <c r="D78" s="317">
        <f t="shared" si="12"/>
        <v>2.225972946912798</v>
      </c>
      <c r="E78" s="317">
        <f t="shared" si="12"/>
        <v>2.21452421437544</v>
      </c>
      <c r="F78" s="317">
        <f t="shared" si="12"/>
        <v>2.2012739472753307</v>
      </c>
      <c r="G78" s="317">
        <f t="shared" si="12"/>
        <v>2.1861439096627815</v>
      </c>
      <c r="H78" s="317">
        <f t="shared" si="12"/>
        <v>2.1730845907307339</v>
      </c>
      <c r="I78" s="317">
        <f t="shared" si="12"/>
        <v>2.1592078142221012</v>
      </c>
      <c r="J78" s="317">
        <f t="shared" si="12"/>
        <v>2.1307111343591578</v>
      </c>
      <c r="K78" s="317">
        <f t="shared" si="12"/>
        <v>2.1126041245450029</v>
      </c>
      <c r="L78" s="317">
        <f t="shared" si="12"/>
        <v>2.099065072700657</v>
      </c>
      <c r="M78" s="317">
        <f t="shared" si="12"/>
        <v>2.1072268960531519</v>
      </c>
      <c r="N78" s="317">
        <f t="shared" si="12"/>
        <v>2.0910810846273371</v>
      </c>
      <c r="O78" s="317">
        <f t="shared" si="12"/>
        <v>2.0628799201388253</v>
      </c>
      <c r="P78" s="317">
        <f t="shared" si="12"/>
        <v>2.0646932510588898</v>
      </c>
      <c r="Q78" s="317">
        <f t="shared" si="12"/>
        <v>2.0476721931041117</v>
      </c>
      <c r="R78" s="317">
        <f t="shared" si="12"/>
        <v>1.965698312211386</v>
      </c>
      <c r="S78" s="317">
        <f t="shared" si="12"/>
        <v>1.8573112159366862</v>
      </c>
      <c r="T78" s="317">
        <f t="shared" si="11"/>
        <v>1.7734050223598012</v>
      </c>
      <c r="U78" s="317">
        <f t="shared" si="11"/>
        <v>1.7415895568180586</v>
      </c>
      <c r="V78" s="317">
        <f t="shared" si="11"/>
        <v>1.7036977621623173</v>
      </c>
      <c r="W78" s="317">
        <f t="shared" si="11"/>
        <v>0</v>
      </c>
      <c r="X78" s="317">
        <f t="shared" si="11"/>
        <v>0</v>
      </c>
      <c r="Y78" s="317">
        <f t="shared" si="11"/>
        <v>0</v>
      </c>
      <c r="Z78" s="317">
        <f t="shared" si="11"/>
        <v>0</v>
      </c>
      <c r="AA78" s="317">
        <f t="shared" si="11"/>
        <v>0</v>
      </c>
      <c r="AB78" s="317">
        <f t="shared" si="11"/>
        <v>0</v>
      </c>
      <c r="AC78" s="317">
        <f t="shared" si="11"/>
        <v>0</v>
      </c>
      <c r="AD78" s="317">
        <f t="shared" si="11"/>
        <v>0</v>
      </c>
      <c r="AE78" s="318">
        <f t="shared" si="11"/>
        <v>0</v>
      </c>
      <c r="AG78" s="578" t="s">
        <v>53</v>
      </c>
      <c r="AH78" s="294">
        <f>'CAR Mileage'!C398</f>
        <v>11360.152139692511</v>
      </c>
      <c r="AI78" s="295">
        <f>'CAR Mileage'!D398</f>
        <v>11142.127650935754</v>
      </c>
      <c r="AJ78" s="295">
        <f>'CAR Mileage'!E398</f>
        <v>10931.811724340681</v>
      </c>
      <c r="AK78" s="295">
        <f>'CAR Mileage'!F398</f>
        <v>10730.588534164172</v>
      </c>
      <c r="AL78" s="295">
        <f>'CAR Mileage'!G398</f>
        <v>10521.556995249346</v>
      </c>
      <c r="AM78" s="295">
        <f>'CAR Mileage'!H398</f>
        <v>10407.443689743324</v>
      </c>
      <c r="AN78" s="295">
        <f>'CAR Mileage'!I398</f>
        <v>10407.443689743326</v>
      </c>
      <c r="AO78" s="295">
        <f>'CAR Mileage'!J398</f>
        <v>10407.443689743324</v>
      </c>
      <c r="AP78" s="295">
        <f>'CAR Mileage'!K398</f>
        <v>10407.443689743324</v>
      </c>
      <c r="AQ78" s="295">
        <f>'CAR Mileage'!L398</f>
        <v>10407.443689743324</v>
      </c>
      <c r="AR78" s="295">
        <f>'CAR Mileage'!M398</f>
        <v>10407.443689743324</v>
      </c>
      <c r="AS78" s="295">
        <f>'CAR Mileage'!N398</f>
        <v>10407.443689743324</v>
      </c>
      <c r="AT78" s="295">
        <f>'CAR Mileage'!O398</f>
        <v>10407.443689743324</v>
      </c>
      <c r="AU78" s="295">
        <f>'CAR Mileage'!P398</f>
        <v>10407.443689743324</v>
      </c>
      <c r="AV78" s="295">
        <f>'CAR Mileage'!Q398</f>
        <v>0</v>
      </c>
      <c r="AW78" s="295">
        <f>'CAR Mileage'!R398</f>
        <v>0</v>
      </c>
      <c r="AX78" s="295">
        <f>'CAR Mileage'!S398</f>
        <v>0</v>
      </c>
      <c r="AY78" s="295">
        <f>'CAR Mileage'!T398</f>
        <v>0</v>
      </c>
      <c r="AZ78" s="295">
        <f>'CAR Mileage'!U398</f>
        <v>0</v>
      </c>
      <c r="BA78" s="295">
        <f>'CAR Mileage'!V398</f>
        <v>0</v>
      </c>
      <c r="BB78" s="295">
        <f>'CAR Mileage'!W398</f>
        <v>0</v>
      </c>
      <c r="BC78" s="295">
        <f>'CAR Mileage'!X398</f>
        <v>0</v>
      </c>
      <c r="BD78" s="295">
        <f>'CAR Mileage'!Y398</f>
        <v>0</v>
      </c>
      <c r="BE78" s="295">
        <f>'CAR Mileage'!Z398</f>
        <v>0</v>
      </c>
      <c r="BF78" s="295">
        <f>'CAR Mileage'!AA398</f>
        <v>0</v>
      </c>
      <c r="BG78" s="295">
        <f>'CAR Mileage'!AB398</f>
        <v>0</v>
      </c>
      <c r="BH78" s="295">
        <f>'CAR Mileage'!AC398</f>
        <v>0</v>
      </c>
      <c r="BI78" s="295">
        <f>'CAR Mileage'!AD398</f>
        <v>0</v>
      </c>
      <c r="BJ78" s="296">
        <f>'CAR Mileage'!AE398</f>
        <v>0</v>
      </c>
    </row>
    <row r="79" spans="1:62">
      <c r="A79" s="1711"/>
      <c r="B79" s="116">
        <v>20</v>
      </c>
      <c r="C79" s="316">
        <f>'CAR SEC'!C23</f>
        <v>2.2530042810566475</v>
      </c>
      <c r="D79" s="317">
        <f t="shared" si="12"/>
        <v>2.2394830370497187</v>
      </c>
      <c r="E79" s="317">
        <f t="shared" si="12"/>
        <v>2.225972946912798</v>
      </c>
      <c r="F79" s="317">
        <f t="shared" si="12"/>
        <v>2.21452421437544</v>
      </c>
      <c r="G79" s="317">
        <f t="shared" si="12"/>
        <v>2.2012739472753307</v>
      </c>
      <c r="H79" s="317">
        <f t="shared" si="12"/>
        <v>2.1861439096627815</v>
      </c>
      <c r="I79" s="317">
        <f t="shared" si="12"/>
        <v>2.1730845907307339</v>
      </c>
      <c r="J79" s="317">
        <f t="shared" si="12"/>
        <v>2.1592078142221012</v>
      </c>
      <c r="K79" s="317">
        <f t="shared" si="12"/>
        <v>2.1307111343591578</v>
      </c>
      <c r="L79" s="317">
        <f t="shared" si="12"/>
        <v>2.1126041245450029</v>
      </c>
      <c r="M79" s="317">
        <f t="shared" si="12"/>
        <v>2.099065072700657</v>
      </c>
      <c r="N79" s="317">
        <f t="shared" si="12"/>
        <v>2.1072268960531519</v>
      </c>
      <c r="O79" s="317">
        <f t="shared" si="12"/>
        <v>2.0910810846273371</v>
      </c>
      <c r="P79" s="317">
        <f t="shared" si="12"/>
        <v>2.0628799201388253</v>
      </c>
      <c r="Q79" s="317">
        <f t="shared" si="12"/>
        <v>2.0646932510588898</v>
      </c>
      <c r="R79" s="317">
        <f t="shared" si="12"/>
        <v>2.0476721931041117</v>
      </c>
      <c r="S79" s="317">
        <f t="shared" si="12"/>
        <v>1.965698312211386</v>
      </c>
      <c r="T79" s="317">
        <f t="shared" si="11"/>
        <v>1.8573112159366862</v>
      </c>
      <c r="U79" s="317">
        <f t="shared" si="11"/>
        <v>1.7734050223598012</v>
      </c>
      <c r="V79" s="317">
        <f t="shared" si="11"/>
        <v>1.7415895568180586</v>
      </c>
      <c r="W79" s="317">
        <f t="shared" si="11"/>
        <v>1.7036977621623173</v>
      </c>
      <c r="X79" s="317">
        <f t="shared" si="11"/>
        <v>0</v>
      </c>
      <c r="Y79" s="317">
        <f t="shared" si="11"/>
        <v>0</v>
      </c>
      <c r="Z79" s="317">
        <f t="shared" si="11"/>
        <v>0</v>
      </c>
      <c r="AA79" s="317">
        <f t="shared" si="11"/>
        <v>0</v>
      </c>
      <c r="AB79" s="317">
        <f t="shared" si="11"/>
        <v>0</v>
      </c>
      <c r="AC79" s="317">
        <f t="shared" si="11"/>
        <v>0</v>
      </c>
      <c r="AD79" s="317">
        <f t="shared" si="11"/>
        <v>0</v>
      </c>
      <c r="AE79" s="318">
        <f t="shared" si="11"/>
        <v>0</v>
      </c>
      <c r="AG79" s="578" t="s">
        <v>54</v>
      </c>
      <c r="AH79" s="294">
        <f>'CAR Mileage'!C427</f>
        <v>15617.20393521697</v>
      </c>
      <c r="AI79" s="295">
        <f>'CAR Mileage'!D427</f>
        <v>15323.436196055312</v>
      </c>
      <c r="AJ79" s="295">
        <f>'CAR Mileage'!E427</f>
        <v>15041.289018642721</v>
      </c>
      <c r="AK79" s="295">
        <f>'CAR Mileage'!F427</f>
        <v>14775.608707146146</v>
      </c>
      <c r="AL79" s="295">
        <f>'CAR Mileage'!G427</f>
        <v>14527.970757188654</v>
      </c>
      <c r="AM79" s="295">
        <f>'CAR Mileage'!H427</f>
        <v>14296.214797753366</v>
      </c>
      <c r="AN79" s="295">
        <f>'CAR Mileage'!I427</f>
        <v>14077.403701859874</v>
      </c>
      <c r="AO79" s="295">
        <f>'CAR Mileage'!J427</f>
        <v>13871.243951369084</v>
      </c>
      <c r="AP79" s="295">
        <f>'CAR Mileage'!K427</f>
        <v>13680.345500478998</v>
      </c>
      <c r="AQ79" s="295">
        <f>'CAR Mileage'!L427</f>
        <v>13508.65351387983</v>
      </c>
      <c r="AR79" s="295">
        <f>'CAR Mileage'!M427</f>
        <v>13357.511677171244</v>
      </c>
      <c r="AS79" s="295">
        <f>'CAR Mileage'!N427</f>
        <v>13220.451237885</v>
      </c>
      <c r="AT79" s="295">
        <f>'CAR Mileage'!O427</f>
        <v>13075.879315203192</v>
      </c>
      <c r="AU79" s="295">
        <f>'CAR Mileage'!P427</f>
        <v>12922.367514175579</v>
      </c>
      <c r="AV79" s="295">
        <f>'CAR Mileage'!Q427</f>
        <v>12748.319168078788</v>
      </c>
      <c r="AW79" s="295">
        <f>'CAR Mileage'!R427</f>
        <v>12570.458332805565</v>
      </c>
      <c r="AX79" s="295">
        <f>'CAR Mileage'!S427</f>
        <v>12430.117152516248</v>
      </c>
      <c r="AY79" s="295">
        <f>'CAR Mileage'!T427</f>
        <v>12430.117152516248</v>
      </c>
      <c r="AZ79" s="295">
        <f>'CAR Mileage'!U427</f>
        <v>12430.11715251625</v>
      </c>
      <c r="BA79" s="295">
        <f>'CAR Mileage'!V427</f>
        <v>12430.117152516243</v>
      </c>
      <c r="BB79" s="295">
        <f>'CAR Mileage'!W427</f>
        <v>12430.117152516243</v>
      </c>
      <c r="BC79" s="295">
        <f>'CAR Mileage'!X427</f>
        <v>12430.117152516248</v>
      </c>
      <c r="BD79" s="295">
        <f>'CAR Mileage'!Y427</f>
        <v>12430.117152516248</v>
      </c>
      <c r="BE79" s="295">
        <f>'CAR Mileage'!Z427</f>
        <v>12430.117152516246</v>
      </c>
      <c r="BF79" s="295">
        <f>'CAR Mileage'!AA427</f>
        <v>12430.117152516246</v>
      </c>
      <c r="BG79" s="295">
        <f>'CAR Mileage'!AB427</f>
        <v>0</v>
      </c>
      <c r="BH79" s="295">
        <f>'CAR Mileage'!AC427</f>
        <v>0</v>
      </c>
      <c r="BI79" s="295">
        <f>'CAR Mileage'!AD427</f>
        <v>0</v>
      </c>
      <c r="BJ79" s="296">
        <f>'CAR Mileage'!AE427</f>
        <v>0</v>
      </c>
    </row>
    <row r="80" spans="1:62">
      <c r="A80" s="1711"/>
      <c r="B80" s="116">
        <v>21</v>
      </c>
      <c r="C80" s="316">
        <f>'CAR SEC'!C24</f>
        <v>2.26659240846748</v>
      </c>
      <c r="D80" s="317">
        <f t="shared" si="12"/>
        <v>2.2530042810566475</v>
      </c>
      <c r="E80" s="317">
        <f t="shared" si="12"/>
        <v>2.2394830370497187</v>
      </c>
      <c r="F80" s="317">
        <f t="shared" si="12"/>
        <v>2.225972946912798</v>
      </c>
      <c r="G80" s="317">
        <f t="shared" si="12"/>
        <v>2.21452421437544</v>
      </c>
      <c r="H80" s="317">
        <f t="shared" si="12"/>
        <v>2.2012739472753307</v>
      </c>
      <c r="I80" s="317">
        <f t="shared" si="12"/>
        <v>2.1861439096627815</v>
      </c>
      <c r="J80" s="317">
        <f t="shared" si="12"/>
        <v>2.1730845907307339</v>
      </c>
      <c r="K80" s="317">
        <f t="shared" si="12"/>
        <v>2.1592078142221012</v>
      </c>
      <c r="L80" s="317">
        <f t="shared" si="12"/>
        <v>2.1307111343591578</v>
      </c>
      <c r="M80" s="317">
        <f t="shared" si="12"/>
        <v>2.1126041245450029</v>
      </c>
      <c r="N80" s="317">
        <f t="shared" si="12"/>
        <v>2.099065072700657</v>
      </c>
      <c r="O80" s="317">
        <f t="shared" si="12"/>
        <v>2.1072268960531519</v>
      </c>
      <c r="P80" s="317">
        <f t="shared" si="12"/>
        <v>2.0910810846273371</v>
      </c>
      <c r="Q80" s="317">
        <f t="shared" si="12"/>
        <v>2.0628799201388253</v>
      </c>
      <c r="R80" s="317">
        <f t="shared" si="12"/>
        <v>2.0646932510588898</v>
      </c>
      <c r="S80" s="317">
        <f t="shared" si="12"/>
        <v>2.0476721931041117</v>
      </c>
      <c r="T80" s="317">
        <f t="shared" si="11"/>
        <v>1.965698312211386</v>
      </c>
      <c r="U80" s="317">
        <f t="shared" si="11"/>
        <v>1.8573112159366862</v>
      </c>
      <c r="V80" s="317">
        <f t="shared" si="11"/>
        <v>1.7734050223598012</v>
      </c>
      <c r="W80" s="317">
        <f t="shared" si="11"/>
        <v>1.7415895568180586</v>
      </c>
      <c r="X80" s="317">
        <f t="shared" si="11"/>
        <v>1.7036977621623173</v>
      </c>
      <c r="Y80" s="317">
        <f t="shared" si="11"/>
        <v>0</v>
      </c>
      <c r="Z80" s="317">
        <f t="shared" si="11"/>
        <v>0</v>
      </c>
      <c r="AA80" s="317">
        <f t="shared" si="11"/>
        <v>0</v>
      </c>
      <c r="AB80" s="317">
        <f t="shared" si="11"/>
        <v>0</v>
      </c>
      <c r="AC80" s="317">
        <f t="shared" si="11"/>
        <v>0</v>
      </c>
      <c r="AD80" s="317">
        <f t="shared" si="11"/>
        <v>0</v>
      </c>
      <c r="AE80" s="318">
        <f t="shared" si="11"/>
        <v>0</v>
      </c>
      <c r="AG80" s="578" t="s">
        <v>55</v>
      </c>
      <c r="AH80" s="294">
        <f>'CAR Mileage'!C456</f>
        <v>19068.505885920731</v>
      </c>
      <c r="AI80" s="295">
        <f>'CAR Mileage'!D456</f>
        <v>18687.135768202319</v>
      </c>
      <c r="AJ80" s="295">
        <f>'CAR Mileage'!E456</f>
        <v>18313.393052838273</v>
      </c>
      <c r="AK80" s="295">
        <f>'CAR Mileage'!F456</f>
        <v>17947.125191781506</v>
      </c>
      <c r="AL80" s="295">
        <f>'CAR Mileage'!G456</f>
        <v>17588.186840616898</v>
      </c>
      <c r="AM80" s="295">
        <f>'CAR Mileage'!H456</f>
        <v>17236.576684350377</v>
      </c>
      <c r="AN80" s="295">
        <f>'CAR Mileage'!I456</f>
        <v>16893.667595305516</v>
      </c>
      <c r="AO80" s="295">
        <f>'CAR Mileage'!J456</f>
        <v>16564.858144219328</v>
      </c>
      <c r="AP80" s="295">
        <f>'CAR Mileage'!K456</f>
        <v>16254.074939733509</v>
      </c>
      <c r="AQ80" s="295">
        <f>'CAR Mileage'!L456</f>
        <v>15959.445367265473</v>
      </c>
      <c r="AR80" s="295">
        <f>'CAR Mileage'!M456</f>
        <v>15679.19957966997</v>
      </c>
      <c r="AS80" s="295">
        <f>'CAR Mileage'!N456</f>
        <v>15408.166964898362</v>
      </c>
      <c r="AT80" s="295">
        <f>'CAR Mileage'!O456</f>
        <v>15139.725608186303</v>
      </c>
      <c r="AU80" s="295">
        <f>'CAR Mileage'!P456</f>
        <v>14871.707157304769</v>
      </c>
      <c r="AV80" s="295">
        <f>'CAR Mileage'!Q456</f>
        <v>14597.64823369929</v>
      </c>
      <c r="AW80" s="295">
        <f>'CAR Mileage'!R456</f>
        <v>14324.650926215032</v>
      </c>
      <c r="AX80" s="295">
        <f>'CAR Mileage'!S456</f>
        <v>14090.720107705583</v>
      </c>
      <c r="AY80" s="295">
        <f>'CAR Mileage'!T456</f>
        <v>14090.72010770558</v>
      </c>
      <c r="AZ80" s="295">
        <f>'CAR Mileage'!U456</f>
        <v>14090.72010770558</v>
      </c>
      <c r="BA80" s="295">
        <f>'CAR Mileage'!V456</f>
        <v>14090.72010770558</v>
      </c>
      <c r="BB80" s="295">
        <f>'CAR Mileage'!W456</f>
        <v>14090.72010770558</v>
      </c>
      <c r="BC80" s="295">
        <f>'CAR Mileage'!X456</f>
        <v>14090.72010770558</v>
      </c>
      <c r="BD80" s="295">
        <f>'CAR Mileage'!Y456</f>
        <v>14090.720107705582</v>
      </c>
      <c r="BE80" s="295">
        <f>'CAR Mileage'!Z456</f>
        <v>14090.720107705578</v>
      </c>
      <c r="BF80" s="295">
        <f>'CAR Mileage'!AA456</f>
        <v>14090.72010770558</v>
      </c>
      <c r="BG80" s="295">
        <f>'CAR Mileage'!AB456</f>
        <v>0</v>
      </c>
      <c r="BH80" s="295">
        <f>'CAR Mileage'!AC456</f>
        <v>0</v>
      </c>
      <c r="BI80" s="295">
        <f>'CAR Mileage'!AD456</f>
        <v>0</v>
      </c>
      <c r="BJ80" s="296">
        <f>'CAR Mileage'!AE456</f>
        <v>0</v>
      </c>
    </row>
    <row r="81" spans="1:62" ht="15.75" thickBot="1">
      <c r="A81" s="1711"/>
      <c r="B81" s="116">
        <v>22</v>
      </c>
      <c r="C81" s="316">
        <f>'CAR SEC'!C25</f>
        <v>2.2785240300503</v>
      </c>
      <c r="D81" s="317">
        <f t="shared" si="12"/>
        <v>2.26659240846748</v>
      </c>
      <c r="E81" s="317">
        <f t="shared" si="12"/>
        <v>2.2530042810566475</v>
      </c>
      <c r="F81" s="317">
        <f t="shared" si="12"/>
        <v>2.2394830370497187</v>
      </c>
      <c r="G81" s="317">
        <f t="shared" si="12"/>
        <v>2.225972946912798</v>
      </c>
      <c r="H81" s="317">
        <f t="shared" si="12"/>
        <v>2.21452421437544</v>
      </c>
      <c r="I81" s="317">
        <f t="shared" si="12"/>
        <v>2.2012739472753307</v>
      </c>
      <c r="J81" s="317">
        <f t="shared" si="12"/>
        <v>2.1861439096627815</v>
      </c>
      <c r="K81" s="317">
        <f t="shared" si="12"/>
        <v>2.1730845907307339</v>
      </c>
      <c r="L81" s="317">
        <f t="shared" si="12"/>
        <v>2.1592078142221012</v>
      </c>
      <c r="M81" s="317">
        <f t="shared" si="12"/>
        <v>2.1307111343591578</v>
      </c>
      <c r="N81" s="317">
        <f t="shared" si="12"/>
        <v>2.1126041245450029</v>
      </c>
      <c r="O81" s="317">
        <f t="shared" si="12"/>
        <v>2.099065072700657</v>
      </c>
      <c r="P81" s="317">
        <f t="shared" si="12"/>
        <v>2.1072268960531519</v>
      </c>
      <c r="Q81" s="317">
        <f t="shared" si="12"/>
        <v>2.0910810846273371</v>
      </c>
      <c r="R81" s="317">
        <f t="shared" si="12"/>
        <v>2.0628799201388253</v>
      </c>
      <c r="S81" s="317">
        <f t="shared" si="12"/>
        <v>2.0646932510588898</v>
      </c>
      <c r="T81" s="317">
        <f t="shared" si="11"/>
        <v>2.0476721931041117</v>
      </c>
      <c r="U81" s="317">
        <f t="shared" si="11"/>
        <v>1.965698312211386</v>
      </c>
      <c r="V81" s="317">
        <f t="shared" si="11"/>
        <v>1.8573112159366862</v>
      </c>
      <c r="W81" s="317">
        <f t="shared" si="11"/>
        <v>1.7734050223598012</v>
      </c>
      <c r="X81" s="317">
        <f t="shared" si="11"/>
        <v>1.7415895568180586</v>
      </c>
      <c r="Y81" s="317">
        <f t="shared" si="11"/>
        <v>1.7036977621623173</v>
      </c>
      <c r="Z81" s="317">
        <f t="shared" si="11"/>
        <v>0</v>
      </c>
      <c r="AA81" s="317">
        <f t="shared" si="11"/>
        <v>0</v>
      </c>
      <c r="AB81" s="317">
        <f t="shared" si="11"/>
        <v>0</v>
      </c>
      <c r="AC81" s="317">
        <f t="shared" si="11"/>
        <v>0</v>
      </c>
      <c r="AD81" s="317">
        <f t="shared" si="11"/>
        <v>0</v>
      </c>
      <c r="AE81" s="318">
        <f t="shared" si="11"/>
        <v>0</v>
      </c>
      <c r="AG81" s="579" t="s">
        <v>56</v>
      </c>
      <c r="AH81" s="335">
        <f>'CAR Mileage'!C485</f>
        <v>17207.240866170017</v>
      </c>
      <c r="AI81" s="336">
        <f>'CAR Mileage'!D485</f>
        <v>16869.55144420241</v>
      </c>
      <c r="AJ81" s="336">
        <f>'CAR Mileage'!E485</f>
        <v>16540.42156732221</v>
      </c>
      <c r="AK81" s="336">
        <f>'CAR Mileage'!F485</f>
        <v>16222.188185967776</v>
      </c>
      <c r="AL81" s="336">
        <f>'CAR Mileage'!G485</f>
        <v>15923.585279464087</v>
      </c>
      <c r="AM81" s="336">
        <f>'CAR Mileage'!H485</f>
        <v>15654.161747519469</v>
      </c>
      <c r="AN81" s="336">
        <f>'CAR Mileage'!I485</f>
        <v>15421.272962394301</v>
      </c>
      <c r="AO81" s="336">
        <f>'CAR Mileage'!J485</f>
        <v>15228.94908885977</v>
      </c>
      <c r="AP81" s="336">
        <f>'CAR Mileage'!K485</f>
        <v>15071.399792691114</v>
      </c>
      <c r="AQ81" s="336">
        <f>'CAR Mileage'!L485</f>
        <v>14928.556941013378</v>
      </c>
      <c r="AR81" s="336">
        <f>'CAR Mileage'!M485</f>
        <v>14772.461753323714</v>
      </c>
      <c r="AS81" s="336">
        <f>'CAR Mileage'!N485</f>
        <v>14588.063345021816</v>
      </c>
      <c r="AT81" s="336">
        <f>'CAR Mileage'!O485</f>
        <v>14376.162170244896</v>
      </c>
      <c r="AU81" s="336">
        <f>'CAR Mileage'!P485</f>
        <v>14151.312060969423</v>
      </c>
      <c r="AV81" s="336">
        <f>'CAR Mileage'!Q485</f>
        <v>13909.289518664784</v>
      </c>
      <c r="AW81" s="336">
        <f>'CAR Mileage'!R485</f>
        <v>13672.261040675379</v>
      </c>
      <c r="AX81" s="336">
        <f>'CAR Mileage'!S485</f>
        <v>13493.509119816048</v>
      </c>
      <c r="AY81" s="336">
        <f>'CAR Mileage'!T485</f>
        <v>13493.509119816046</v>
      </c>
      <c r="AZ81" s="336">
        <f>'CAR Mileage'!U485</f>
        <v>13493.509119816044</v>
      </c>
      <c r="BA81" s="336">
        <f>'CAR Mileage'!V485</f>
        <v>13493.509119816046</v>
      </c>
      <c r="BB81" s="336">
        <f>'CAR Mileage'!W485</f>
        <v>13493.509119816044</v>
      </c>
      <c r="BC81" s="336">
        <f>'CAR Mileage'!X485</f>
        <v>13493.509119816044</v>
      </c>
      <c r="BD81" s="336">
        <f>'CAR Mileage'!Y485</f>
        <v>13493.509119816044</v>
      </c>
      <c r="BE81" s="336">
        <f>'CAR Mileage'!Z485</f>
        <v>13493.509119816043</v>
      </c>
      <c r="BF81" s="336">
        <f>'CAR Mileage'!AA485</f>
        <v>13493.509119816044</v>
      </c>
      <c r="BG81" s="336">
        <f>'CAR Mileage'!AB485</f>
        <v>0</v>
      </c>
      <c r="BH81" s="336">
        <f>'CAR Mileage'!AC485</f>
        <v>0</v>
      </c>
      <c r="BI81" s="336">
        <f>'CAR Mileage'!AD485</f>
        <v>0</v>
      </c>
      <c r="BJ81" s="337">
        <f>'CAR Mileage'!AE485</f>
        <v>0</v>
      </c>
    </row>
    <row r="82" spans="1:62" ht="15.75" thickBot="1">
      <c r="A82" s="1711"/>
      <c r="B82" s="116">
        <v>23</v>
      </c>
      <c r="C82" s="316">
        <f>'CAR SEC'!C26</f>
        <v>2.290239523308029</v>
      </c>
      <c r="D82" s="317">
        <f t="shared" si="12"/>
        <v>2.2785240300503</v>
      </c>
      <c r="E82" s="317">
        <f t="shared" si="12"/>
        <v>2.26659240846748</v>
      </c>
      <c r="F82" s="317">
        <f t="shared" si="12"/>
        <v>2.2530042810566475</v>
      </c>
      <c r="G82" s="317">
        <f t="shared" si="12"/>
        <v>2.2394830370497187</v>
      </c>
      <c r="H82" s="317">
        <f t="shared" si="12"/>
        <v>2.225972946912798</v>
      </c>
      <c r="I82" s="317">
        <f t="shared" si="12"/>
        <v>2.21452421437544</v>
      </c>
      <c r="J82" s="317">
        <f t="shared" si="12"/>
        <v>2.2012739472753307</v>
      </c>
      <c r="K82" s="317">
        <f t="shared" si="12"/>
        <v>2.1861439096627815</v>
      </c>
      <c r="L82" s="317">
        <f t="shared" si="12"/>
        <v>2.1730845907307339</v>
      </c>
      <c r="M82" s="317">
        <f t="shared" si="12"/>
        <v>2.1592078142221012</v>
      </c>
      <c r="N82" s="317">
        <f t="shared" si="12"/>
        <v>2.1307111343591578</v>
      </c>
      <c r="O82" s="317">
        <f t="shared" si="12"/>
        <v>2.1126041245450029</v>
      </c>
      <c r="P82" s="317">
        <f t="shared" si="12"/>
        <v>2.099065072700657</v>
      </c>
      <c r="Q82" s="317">
        <f t="shared" si="12"/>
        <v>2.1072268960531519</v>
      </c>
      <c r="R82" s="317">
        <f t="shared" si="12"/>
        <v>2.0910810846273371</v>
      </c>
      <c r="S82" s="317">
        <f t="shared" si="12"/>
        <v>2.0628799201388253</v>
      </c>
      <c r="T82" s="317">
        <f t="shared" si="11"/>
        <v>2.0646932510588898</v>
      </c>
      <c r="U82" s="317">
        <f t="shared" si="11"/>
        <v>2.0476721931041117</v>
      </c>
      <c r="V82" s="317">
        <f t="shared" si="11"/>
        <v>1.965698312211386</v>
      </c>
      <c r="W82" s="317">
        <f t="shared" si="11"/>
        <v>1.8573112159366862</v>
      </c>
      <c r="X82" s="317">
        <f t="shared" si="11"/>
        <v>1.7734050223598012</v>
      </c>
      <c r="Y82" s="317">
        <f t="shared" si="11"/>
        <v>1.7415895568180586</v>
      </c>
      <c r="Z82" s="317">
        <f t="shared" si="11"/>
        <v>1.7036977621623173</v>
      </c>
      <c r="AA82" s="317">
        <f t="shared" si="11"/>
        <v>0</v>
      </c>
      <c r="AB82" s="317">
        <f t="shared" si="11"/>
        <v>0</v>
      </c>
      <c r="AC82" s="317">
        <f t="shared" si="11"/>
        <v>0</v>
      </c>
      <c r="AD82" s="317">
        <f t="shared" si="11"/>
        <v>0</v>
      </c>
      <c r="AE82" s="318">
        <f t="shared" si="11"/>
        <v>0</v>
      </c>
    </row>
    <row r="83" spans="1:62" ht="15.75" thickBot="1">
      <c r="A83" s="1711"/>
      <c r="B83" s="116">
        <v>24</v>
      </c>
      <c r="C83" s="316">
        <f>C82</f>
        <v>2.290239523308029</v>
      </c>
      <c r="D83" s="317">
        <f t="shared" si="12"/>
        <v>2.290239523308029</v>
      </c>
      <c r="E83" s="317">
        <f t="shared" si="12"/>
        <v>2.2785240300503</v>
      </c>
      <c r="F83" s="317">
        <f t="shared" si="12"/>
        <v>2.26659240846748</v>
      </c>
      <c r="G83" s="317">
        <f t="shared" si="12"/>
        <v>2.2530042810566475</v>
      </c>
      <c r="H83" s="317">
        <f t="shared" si="12"/>
        <v>2.2394830370497187</v>
      </c>
      <c r="I83" s="317">
        <f t="shared" si="12"/>
        <v>2.225972946912798</v>
      </c>
      <c r="J83" s="317">
        <f t="shared" si="12"/>
        <v>2.21452421437544</v>
      </c>
      <c r="K83" s="317">
        <f t="shared" si="12"/>
        <v>2.2012739472753307</v>
      </c>
      <c r="L83" s="317">
        <f t="shared" si="12"/>
        <v>2.1861439096627815</v>
      </c>
      <c r="M83" s="317">
        <f t="shared" si="12"/>
        <v>2.1730845907307339</v>
      </c>
      <c r="N83" s="317">
        <f t="shared" si="12"/>
        <v>2.1592078142221012</v>
      </c>
      <c r="O83" s="317">
        <f t="shared" si="12"/>
        <v>2.1307111343591578</v>
      </c>
      <c r="P83" s="317">
        <f t="shared" si="12"/>
        <v>2.1126041245450029</v>
      </c>
      <c r="Q83" s="317">
        <f t="shared" si="12"/>
        <v>2.099065072700657</v>
      </c>
      <c r="R83" s="317">
        <f t="shared" si="12"/>
        <v>2.1072268960531519</v>
      </c>
      <c r="S83" s="317">
        <f t="shared" si="12"/>
        <v>2.0910810846273371</v>
      </c>
      <c r="T83" s="317">
        <f t="shared" si="11"/>
        <v>2.0628799201388253</v>
      </c>
      <c r="U83" s="317">
        <f t="shared" si="11"/>
        <v>2.0646932510588898</v>
      </c>
      <c r="V83" s="317">
        <f t="shared" si="11"/>
        <v>2.0476721931041117</v>
      </c>
      <c r="W83" s="317">
        <f t="shared" si="11"/>
        <v>1.965698312211386</v>
      </c>
      <c r="X83" s="317">
        <f t="shared" si="11"/>
        <v>1.8573112159366862</v>
      </c>
      <c r="Y83" s="317">
        <f t="shared" si="11"/>
        <v>1.7734050223598012</v>
      </c>
      <c r="Z83" s="317">
        <f t="shared" si="11"/>
        <v>1.7415895568180586</v>
      </c>
      <c r="AA83" s="317">
        <f t="shared" si="11"/>
        <v>1.7036977621623173</v>
      </c>
      <c r="AB83" s="317">
        <f t="shared" si="11"/>
        <v>0</v>
      </c>
      <c r="AC83" s="317">
        <f t="shared" si="11"/>
        <v>0</v>
      </c>
      <c r="AD83" s="317">
        <f t="shared" si="11"/>
        <v>0</v>
      </c>
      <c r="AE83" s="318">
        <f t="shared" si="11"/>
        <v>0</v>
      </c>
      <c r="AG83" s="571" t="s">
        <v>646</v>
      </c>
      <c r="AH83" s="288">
        <v>2012</v>
      </c>
      <c r="AI83" s="289">
        <v>2013</v>
      </c>
      <c r="AJ83" s="289">
        <v>2014</v>
      </c>
      <c r="AK83" s="289">
        <v>2015</v>
      </c>
      <c r="AL83" s="288">
        <v>2016</v>
      </c>
      <c r="AM83" s="289">
        <v>2017</v>
      </c>
      <c r="AN83" s="289">
        <v>2018</v>
      </c>
      <c r="AO83" s="289">
        <v>2019</v>
      </c>
      <c r="AP83" s="288">
        <v>2020</v>
      </c>
      <c r="AQ83" s="289">
        <v>2021</v>
      </c>
      <c r="AR83" s="289">
        <v>2022</v>
      </c>
      <c r="AS83" s="289">
        <v>2023</v>
      </c>
      <c r="AT83" s="288">
        <v>2024</v>
      </c>
      <c r="AU83" s="289">
        <v>2025</v>
      </c>
      <c r="AV83" s="289">
        <v>2026</v>
      </c>
      <c r="AW83" s="289">
        <v>2027</v>
      </c>
      <c r="AX83" s="288">
        <v>2028</v>
      </c>
      <c r="AY83" s="289">
        <v>2029</v>
      </c>
      <c r="AZ83" s="289">
        <v>2030</v>
      </c>
      <c r="BA83" s="289">
        <v>2031</v>
      </c>
      <c r="BB83" s="288">
        <v>2032</v>
      </c>
      <c r="BC83" s="289">
        <v>2033</v>
      </c>
      <c r="BD83" s="289">
        <v>2034</v>
      </c>
      <c r="BE83" s="289">
        <v>2035</v>
      </c>
      <c r="BF83" s="288">
        <v>2036</v>
      </c>
      <c r="BG83" s="289">
        <v>2037</v>
      </c>
      <c r="BH83" s="289">
        <v>2038</v>
      </c>
      <c r="BI83" s="289">
        <v>2039</v>
      </c>
      <c r="BJ83" s="290">
        <v>2040</v>
      </c>
    </row>
    <row r="84" spans="1:62" ht="15.75" thickBot="1">
      <c r="A84" s="1711"/>
      <c r="B84" s="116">
        <v>25</v>
      </c>
      <c r="C84" s="324">
        <f>C83</f>
        <v>2.290239523308029</v>
      </c>
      <c r="D84" s="325">
        <f t="shared" si="12"/>
        <v>2.290239523308029</v>
      </c>
      <c r="E84" s="325">
        <f t="shared" si="12"/>
        <v>2.290239523308029</v>
      </c>
      <c r="F84" s="325">
        <f t="shared" si="12"/>
        <v>2.2785240300503</v>
      </c>
      <c r="G84" s="325">
        <f t="shared" si="12"/>
        <v>2.26659240846748</v>
      </c>
      <c r="H84" s="325">
        <f t="shared" si="12"/>
        <v>2.2530042810566475</v>
      </c>
      <c r="I84" s="325">
        <f t="shared" si="12"/>
        <v>2.2394830370497187</v>
      </c>
      <c r="J84" s="325">
        <f t="shared" si="12"/>
        <v>2.225972946912798</v>
      </c>
      <c r="K84" s="325">
        <f t="shared" si="12"/>
        <v>2.21452421437544</v>
      </c>
      <c r="L84" s="325">
        <f t="shared" si="12"/>
        <v>2.2012739472753307</v>
      </c>
      <c r="M84" s="325">
        <f t="shared" si="12"/>
        <v>2.1861439096627815</v>
      </c>
      <c r="N84" s="325">
        <f t="shared" si="12"/>
        <v>2.1730845907307339</v>
      </c>
      <c r="O84" s="325">
        <f t="shared" si="12"/>
        <v>2.1592078142221012</v>
      </c>
      <c r="P84" s="325">
        <f t="shared" si="12"/>
        <v>2.1307111343591578</v>
      </c>
      <c r="Q84" s="325">
        <f t="shared" si="12"/>
        <v>2.1126041245450029</v>
      </c>
      <c r="R84" s="325">
        <f t="shared" si="12"/>
        <v>2.099065072700657</v>
      </c>
      <c r="S84" s="325">
        <f t="shared" si="12"/>
        <v>2.1072268960531519</v>
      </c>
      <c r="T84" s="325">
        <f t="shared" si="11"/>
        <v>2.0910810846273371</v>
      </c>
      <c r="U84" s="325">
        <f t="shared" si="11"/>
        <v>2.0628799201388253</v>
      </c>
      <c r="V84" s="325">
        <f t="shared" si="11"/>
        <v>2.0646932510588898</v>
      </c>
      <c r="W84" s="325">
        <f t="shared" si="11"/>
        <v>2.0476721931041117</v>
      </c>
      <c r="X84" s="325">
        <f t="shared" si="11"/>
        <v>1.965698312211386</v>
      </c>
      <c r="Y84" s="325">
        <f t="shared" si="11"/>
        <v>1.8573112159366862</v>
      </c>
      <c r="Z84" s="325">
        <f t="shared" si="11"/>
        <v>1.7734050223598012</v>
      </c>
      <c r="AA84" s="325">
        <f t="shared" si="11"/>
        <v>1.7415895568180586</v>
      </c>
      <c r="AB84" s="325">
        <f t="shared" si="11"/>
        <v>1.7036977621623173</v>
      </c>
      <c r="AC84" s="325">
        <f t="shared" si="11"/>
        <v>0</v>
      </c>
      <c r="AD84" s="325">
        <f t="shared" si="11"/>
        <v>0</v>
      </c>
      <c r="AE84" s="326">
        <f t="shared" si="11"/>
        <v>0</v>
      </c>
      <c r="AG84" s="577" t="s">
        <v>41</v>
      </c>
      <c r="AH84" s="291">
        <f>AH66*AH48</f>
        <v>1711000310.2086034</v>
      </c>
      <c r="AI84" s="292">
        <f t="shared" ref="AI84:BJ93" si="13">AI66*AI48</f>
        <v>1294839578.7738097</v>
      </c>
      <c r="AJ84" s="292">
        <f t="shared" si="13"/>
        <v>999226504.37067497</v>
      </c>
      <c r="AK84" s="292">
        <f t="shared" si="13"/>
        <v>787360203.26202226</v>
      </c>
      <c r="AL84" s="292">
        <f t="shared" si="13"/>
        <v>629851733.19886136</v>
      </c>
      <c r="AM84" s="292">
        <f t="shared" si="13"/>
        <v>501960710.28232253</v>
      </c>
      <c r="AN84" s="292">
        <f t="shared" si="13"/>
        <v>392206601.05665159</v>
      </c>
      <c r="AO84" s="292">
        <f t="shared" si="13"/>
        <v>299004563.08048034</v>
      </c>
      <c r="AP84" s="292">
        <f t="shared" si="13"/>
        <v>222429080.23532289</v>
      </c>
      <c r="AQ84" s="292">
        <f t="shared" si="13"/>
        <v>161094185.75488067</v>
      </c>
      <c r="AR84" s="292">
        <f t="shared" si="13"/>
        <v>111953771.29669482</v>
      </c>
      <c r="AS84" s="292">
        <f t="shared" si="13"/>
        <v>72620459.437213942</v>
      </c>
      <c r="AT84" s="292">
        <f t="shared" si="13"/>
        <v>42298550.497591518</v>
      </c>
      <c r="AU84" s="292">
        <f t="shared" si="13"/>
        <v>21058939.904361252</v>
      </c>
      <c r="AV84" s="292">
        <f t="shared" si="13"/>
        <v>8579429.6752404533</v>
      </c>
      <c r="AW84" s="292">
        <f t="shared" si="13"/>
        <v>2783047.0262363469</v>
      </c>
      <c r="AX84" s="292">
        <f t="shared" si="13"/>
        <v>817219.90461293596</v>
      </c>
      <c r="AY84" s="292">
        <f t="shared" si="13"/>
        <v>216690.74603943474</v>
      </c>
      <c r="AZ84" s="292">
        <f t="shared" si="13"/>
        <v>50356.778387800863</v>
      </c>
      <c r="BA84" s="292">
        <f t="shared" si="13"/>
        <v>10045.148618026684</v>
      </c>
      <c r="BB84" s="292">
        <f t="shared" si="13"/>
        <v>1672.0232050609075</v>
      </c>
      <c r="BC84" s="292">
        <f t="shared" si="13"/>
        <v>222.91930051804724</v>
      </c>
      <c r="BD84" s="292">
        <f t="shared" si="13"/>
        <v>22.316306304118097</v>
      </c>
      <c r="BE84" s="292">
        <f t="shared" si="13"/>
        <v>1.4911065356264461</v>
      </c>
      <c r="BF84" s="292">
        <f t="shared" si="13"/>
        <v>4.9874468836197269E-2</v>
      </c>
      <c r="BG84" s="292">
        <f t="shared" si="13"/>
        <v>0</v>
      </c>
      <c r="BH84" s="292">
        <f t="shared" si="13"/>
        <v>0</v>
      </c>
      <c r="BI84" s="292">
        <f t="shared" si="13"/>
        <v>0</v>
      </c>
      <c r="BJ84" s="293">
        <f t="shared" si="13"/>
        <v>0</v>
      </c>
    </row>
    <row r="85" spans="1:62" ht="16.5" thickTop="1" thickBot="1">
      <c r="A85" s="1712"/>
      <c r="B85" s="300" t="s">
        <v>39</v>
      </c>
      <c r="C85" s="327">
        <f>SUMPRODUCT('CAR Stock'!C82:C107,C59:C84)/'CAR Stock'!C108</f>
        <v>2.0608683118255846</v>
      </c>
      <c r="D85" s="327">
        <f>SUMPRODUCT('CAR Stock'!D82:D107,D59:D84)/'CAR Stock'!D108</f>
        <v>2.0388330788817361</v>
      </c>
      <c r="E85" s="327">
        <f>SUMPRODUCT('CAR Stock'!E82:E107,E59:E84)/'CAR Stock'!E108</f>
        <v>2.0209709387187087</v>
      </c>
      <c r="F85" s="327">
        <f>SUMPRODUCT('CAR Stock'!F82:F107,F59:F84)/'CAR Stock'!F108</f>
        <v>2.0044062199533736</v>
      </c>
      <c r="G85" s="327">
        <f>SUMPRODUCT('CAR Stock'!G82:G107,G59:G84)/'CAR Stock'!G108</f>
        <v>1.9865727739463064</v>
      </c>
      <c r="H85" s="327">
        <f>SUMPRODUCT('CAR Stock'!H82:H107,H59:H84)/'CAR Stock'!H108</f>
        <v>1.965104888956807</v>
      </c>
      <c r="I85" s="327">
        <f>SUMPRODUCT('CAR Stock'!I82:I107,I59:I84)/'CAR Stock'!I108</f>
        <v>1.9378488827875178</v>
      </c>
      <c r="J85" s="327">
        <f>SUMPRODUCT('CAR Stock'!J82:J107,J59:J84)/'CAR Stock'!J108</f>
        <v>1.9033676575401666</v>
      </c>
      <c r="K85" s="327">
        <f>SUMPRODUCT('CAR Stock'!K82:K107,K59:K84)/'CAR Stock'!K108</f>
        <v>1.8626435444120137</v>
      </c>
      <c r="L85" s="327">
        <f>SUMPRODUCT('CAR Stock'!L82:L107,L59:L84)/'CAR Stock'!L108</f>
        <v>1.8204232076434963</v>
      </c>
      <c r="M85" s="327">
        <f>SUMPRODUCT('CAR Stock'!M82:M107,M59:M84)/'CAR Stock'!M108</f>
        <v>1.7836444021702582</v>
      </c>
      <c r="N85" s="327">
        <f>SUMPRODUCT('CAR Stock'!N82:N107,N59:N84)/'CAR Stock'!N108</f>
        <v>1.7569834685526844</v>
      </c>
      <c r="O85" s="327">
        <f>SUMPRODUCT('CAR Stock'!O82:O107,O59:O84)/'CAR Stock'!O108</f>
        <v>1.740337404272251</v>
      </c>
      <c r="P85" s="327">
        <f>SUMPRODUCT('CAR Stock'!P82:P107,P59:P84)/'CAR Stock'!P108</f>
        <v>1.7297259237977074</v>
      </c>
      <c r="Q85" s="327">
        <f>SUMPRODUCT('CAR Stock'!Q82:Q107,Q59:Q84)/'CAR Stock'!Q108</f>
        <v>1.7230711608123246</v>
      </c>
      <c r="R85" s="327">
        <f>SUMPRODUCT('CAR Stock'!R82:R107,R59:R84)/'CAR Stock'!R108</f>
        <v>1.7201189638150038</v>
      </c>
      <c r="S85" s="327">
        <f>SUMPRODUCT('CAR Stock'!S82:S107,S59:S84)/'CAR Stock'!S108</f>
        <v>1.7175445738879542</v>
      </c>
      <c r="T85" s="327">
        <f>SUMPRODUCT('CAR Stock'!T82:T107,T59:T84)/'CAR Stock'!T108</f>
        <v>1.7152752862224765</v>
      </c>
      <c r="U85" s="327">
        <f>SUMPRODUCT('CAR Stock'!U82:U107,U59:U84)/'CAR Stock'!U108</f>
        <v>1.7132461790842366</v>
      </c>
      <c r="V85" s="327">
        <f>SUMPRODUCT('CAR Stock'!V82:V107,V59:V84)/'CAR Stock'!V108</f>
        <v>1.7114013753196993</v>
      </c>
      <c r="W85" s="327">
        <f>SUMPRODUCT('CAR Stock'!W82:W107,W59:W84)/'CAR Stock'!W108</f>
        <v>1.7096948721715461</v>
      </c>
      <c r="X85" s="327">
        <f>SUMPRODUCT('CAR Stock'!X82:X107,X59:X84)/'CAR Stock'!X108</f>
        <v>1.7080910285173834</v>
      </c>
      <c r="Y85" s="327">
        <f>SUMPRODUCT('CAR Stock'!Y82:Y107,Y59:Y84)/'CAR Stock'!Y108</f>
        <v>1.7065647880770245</v>
      </c>
      <c r="Z85" s="327">
        <f>SUMPRODUCT('CAR Stock'!Z82:Z107,Z59:Z84)/'CAR Stock'!Z108</f>
        <v>1.7051016984380287</v>
      </c>
      <c r="AA85" s="327">
        <f>SUMPRODUCT('CAR Stock'!AA82:AA107,AA59:AA84)/'CAR Stock'!AA108</f>
        <v>1.7036977621623173</v>
      </c>
      <c r="AB85" s="327">
        <v>0</v>
      </c>
      <c r="AC85" s="327">
        <v>0</v>
      </c>
      <c r="AD85" s="327">
        <v>0</v>
      </c>
      <c r="AE85" s="327">
        <v>0</v>
      </c>
      <c r="AG85" s="578" t="s">
        <v>42</v>
      </c>
      <c r="AH85" s="294">
        <f t="shared" ref="AH85:AW99" si="14">AH67*AH49</f>
        <v>10062440064.623533</v>
      </c>
      <c r="AI85" s="295">
        <f t="shared" si="14"/>
        <v>7982864010.5173035</v>
      </c>
      <c r="AJ85" s="295">
        <f t="shared" si="14"/>
        <v>6545060436.7025108</v>
      </c>
      <c r="AK85" s="295">
        <f t="shared" si="14"/>
        <v>5402140233.8884115</v>
      </c>
      <c r="AL85" s="295">
        <f t="shared" si="14"/>
        <v>4391057894.0404215</v>
      </c>
      <c r="AM85" s="295">
        <f t="shared" si="14"/>
        <v>3448930934.3509302</v>
      </c>
      <c r="AN85" s="295">
        <f t="shared" si="14"/>
        <v>2585168288.6452355</v>
      </c>
      <c r="AO85" s="295">
        <f t="shared" si="14"/>
        <v>1837037488.2820661</v>
      </c>
      <c r="AP85" s="295">
        <f t="shared" si="14"/>
        <v>1236081934.8505607</v>
      </c>
      <c r="AQ85" s="295">
        <f t="shared" si="14"/>
        <v>789290208.38418591</v>
      </c>
      <c r="AR85" s="295">
        <f t="shared" si="14"/>
        <v>473898885.19531417</v>
      </c>
      <c r="AS85" s="295">
        <f t="shared" si="14"/>
        <v>260325082.15286517</v>
      </c>
      <c r="AT85" s="295">
        <f t="shared" si="14"/>
        <v>125184606.31563789</v>
      </c>
      <c r="AU85" s="295">
        <f t="shared" si="14"/>
        <v>50147919.857611515</v>
      </c>
      <c r="AV85" s="295">
        <f t="shared" si="14"/>
        <v>16194369.663870916</v>
      </c>
      <c r="AW85" s="295">
        <f t="shared" si="14"/>
        <v>4167713.6881401488</v>
      </c>
      <c r="AX85" s="295">
        <f t="shared" si="13"/>
        <v>970769.47565656574</v>
      </c>
      <c r="AY85" s="295">
        <f t="shared" si="13"/>
        <v>204136.9304334613</v>
      </c>
      <c r="AZ85" s="295">
        <f t="shared" si="13"/>
        <v>37614.873355151052</v>
      </c>
      <c r="BA85" s="295">
        <f t="shared" si="13"/>
        <v>5948.4264143113687</v>
      </c>
      <c r="BB85" s="295">
        <f t="shared" si="13"/>
        <v>784.7976241096261</v>
      </c>
      <c r="BC85" s="295">
        <f t="shared" si="13"/>
        <v>82.919665545521724</v>
      </c>
      <c r="BD85" s="295">
        <f t="shared" si="13"/>
        <v>6.5773375521612882</v>
      </c>
      <c r="BE85" s="295">
        <f t="shared" si="13"/>
        <v>0.34815895124226726</v>
      </c>
      <c r="BF85" s="295">
        <f t="shared" si="13"/>
        <v>9.2238733565592479E-3</v>
      </c>
      <c r="BG85" s="295">
        <f t="shared" si="13"/>
        <v>0</v>
      </c>
      <c r="BH85" s="295">
        <f t="shared" si="13"/>
        <v>0</v>
      </c>
      <c r="BI85" s="295">
        <f t="shared" si="13"/>
        <v>0</v>
      </c>
      <c r="BJ85" s="296">
        <f t="shared" si="13"/>
        <v>0</v>
      </c>
    </row>
    <row r="86" spans="1:62" ht="15.75" thickBot="1">
      <c r="A86" s="650"/>
      <c r="AG86" s="578" t="s">
        <v>43</v>
      </c>
      <c r="AH86" s="294">
        <f t="shared" si="14"/>
        <v>5288173657.8925629</v>
      </c>
      <c r="AI86" s="295">
        <f t="shared" si="13"/>
        <v>4353886611.5691881</v>
      </c>
      <c r="AJ86" s="295">
        <f t="shared" si="13"/>
        <v>3641716077.2532115</v>
      </c>
      <c r="AK86" s="295">
        <f t="shared" si="13"/>
        <v>3009503779.7591572</v>
      </c>
      <c r="AL86" s="295">
        <f t="shared" si="13"/>
        <v>2395806409.6053934</v>
      </c>
      <c r="AM86" s="295">
        <f t="shared" si="13"/>
        <v>1791873117.9917324</v>
      </c>
      <c r="AN86" s="295">
        <f t="shared" si="13"/>
        <v>1231858497.4471824</v>
      </c>
      <c r="AO86" s="295">
        <f t="shared" si="13"/>
        <v>763979720.64563012</v>
      </c>
      <c r="AP86" s="295">
        <f t="shared" si="13"/>
        <v>423310268.93211907</v>
      </c>
      <c r="AQ86" s="295">
        <f t="shared" si="13"/>
        <v>211888512.10529804</v>
      </c>
      <c r="AR86" s="295">
        <f t="shared" si="13"/>
        <v>98438106.517700508</v>
      </c>
      <c r="AS86" s="295">
        <f t="shared" si="13"/>
        <v>43606292.380606085</v>
      </c>
      <c r="AT86" s="295">
        <f t="shared" si="13"/>
        <v>18136884.423098542</v>
      </c>
      <c r="AU86" s="295">
        <f t="shared" si="13"/>
        <v>6611624.060079773</v>
      </c>
      <c r="AV86" s="295">
        <f t="shared" si="13"/>
        <v>1983577.2654910362</v>
      </c>
      <c r="AW86" s="295">
        <f t="shared" si="13"/>
        <v>483207.82739129732</v>
      </c>
      <c r="AX86" s="295">
        <f t="shared" si="13"/>
        <v>106930.15971792128</v>
      </c>
      <c r="AY86" s="295">
        <f t="shared" si="13"/>
        <v>21428.639495730094</v>
      </c>
      <c r="AZ86" s="295">
        <f t="shared" si="13"/>
        <v>3773.1337810134455</v>
      </c>
      <c r="BA86" s="295">
        <f t="shared" si="13"/>
        <v>571.33293294219959</v>
      </c>
      <c r="BB86" s="295">
        <f t="shared" si="13"/>
        <v>72.275133383409965</v>
      </c>
      <c r="BC86" s="295">
        <f t="shared" si="13"/>
        <v>7.3281744191212876</v>
      </c>
      <c r="BD86" s="295">
        <f t="shared" si="13"/>
        <v>0.55804099317056599</v>
      </c>
      <c r="BE86" s="295">
        <f t="shared" si="13"/>
        <v>2.8359370908036152E-2</v>
      </c>
      <c r="BF86" s="295">
        <f t="shared" si="13"/>
        <v>7.2121287410360714E-4</v>
      </c>
      <c r="BG86" s="295">
        <f t="shared" si="13"/>
        <v>0</v>
      </c>
      <c r="BH86" s="295">
        <f t="shared" si="13"/>
        <v>0</v>
      </c>
      <c r="BI86" s="295">
        <f t="shared" si="13"/>
        <v>0</v>
      </c>
      <c r="BJ86" s="296">
        <f t="shared" si="13"/>
        <v>0</v>
      </c>
    </row>
    <row r="87" spans="1:62" ht="15.75" customHeight="1" thickBot="1">
      <c r="A87" s="1710" t="s">
        <v>43</v>
      </c>
      <c r="B87" s="169" t="s">
        <v>10</v>
      </c>
      <c r="C87" s="288">
        <v>2012</v>
      </c>
      <c r="D87" s="289">
        <v>2013</v>
      </c>
      <c r="E87" s="289">
        <v>2014</v>
      </c>
      <c r="F87" s="289">
        <v>2015</v>
      </c>
      <c r="G87" s="288">
        <v>2016</v>
      </c>
      <c r="H87" s="289">
        <v>2017</v>
      </c>
      <c r="I87" s="289">
        <v>2018</v>
      </c>
      <c r="J87" s="289">
        <v>2019</v>
      </c>
      <c r="K87" s="288">
        <v>2020</v>
      </c>
      <c r="L87" s="289">
        <v>2021</v>
      </c>
      <c r="M87" s="289">
        <v>2022</v>
      </c>
      <c r="N87" s="289">
        <v>2023</v>
      </c>
      <c r="O87" s="288">
        <v>2024</v>
      </c>
      <c r="P87" s="289">
        <v>2025</v>
      </c>
      <c r="Q87" s="289">
        <v>2026</v>
      </c>
      <c r="R87" s="289">
        <v>2027</v>
      </c>
      <c r="S87" s="288">
        <v>2028</v>
      </c>
      <c r="T87" s="289">
        <v>2029</v>
      </c>
      <c r="U87" s="289">
        <v>2030</v>
      </c>
      <c r="V87" s="289">
        <v>2031</v>
      </c>
      <c r="W87" s="288">
        <v>2032</v>
      </c>
      <c r="X87" s="289">
        <v>2033</v>
      </c>
      <c r="Y87" s="289">
        <v>2034</v>
      </c>
      <c r="Z87" s="289">
        <v>2035</v>
      </c>
      <c r="AA87" s="288">
        <v>2036</v>
      </c>
      <c r="AB87" s="289">
        <v>2037</v>
      </c>
      <c r="AC87" s="289">
        <v>2038</v>
      </c>
      <c r="AD87" s="289">
        <v>2039</v>
      </c>
      <c r="AE87" s="290">
        <v>2040</v>
      </c>
      <c r="AG87" s="578" t="s">
        <v>44</v>
      </c>
      <c r="AH87" s="294">
        <f t="shared" si="14"/>
        <v>1455902566.4600279</v>
      </c>
      <c r="AI87" s="295">
        <f t="shared" si="13"/>
        <v>1136720994.9430242</v>
      </c>
      <c r="AJ87" s="295">
        <f t="shared" si="13"/>
        <v>907358838.82646358</v>
      </c>
      <c r="AK87" s="295">
        <f t="shared" si="13"/>
        <v>721710462.50005102</v>
      </c>
      <c r="AL87" s="295">
        <f t="shared" si="13"/>
        <v>559103321.86463153</v>
      </c>
      <c r="AM87" s="295">
        <f t="shared" si="13"/>
        <v>410610360.30950511</v>
      </c>
      <c r="AN87" s="295">
        <f t="shared" si="13"/>
        <v>277905799.69296467</v>
      </c>
      <c r="AO87" s="295">
        <f t="shared" si="13"/>
        <v>169332078.94214296</v>
      </c>
      <c r="AP87" s="295">
        <f t="shared" si="13"/>
        <v>91468067.050456226</v>
      </c>
      <c r="AQ87" s="295">
        <f t="shared" si="13"/>
        <v>43702708.975474715</v>
      </c>
      <c r="AR87" s="295">
        <f t="shared" si="13"/>
        <v>18722176.232437905</v>
      </c>
      <c r="AS87" s="295">
        <f t="shared" si="13"/>
        <v>7409864.2542703236</v>
      </c>
      <c r="AT87" s="295">
        <f t="shared" si="13"/>
        <v>2773959.6107627028</v>
      </c>
      <c r="AU87" s="295">
        <f t="shared" si="13"/>
        <v>949090.76190079097</v>
      </c>
      <c r="AV87" s="295">
        <f t="shared" si="13"/>
        <v>287081.47640667565</v>
      </c>
      <c r="AW87" s="295">
        <f t="shared" si="13"/>
        <v>75432.793492815865</v>
      </c>
      <c r="AX87" s="295">
        <f t="shared" si="13"/>
        <v>18156.946562674635</v>
      </c>
      <c r="AY87" s="295">
        <f t="shared" si="13"/>
        <v>3977.1518418790351</v>
      </c>
      <c r="AZ87" s="295">
        <f t="shared" si="13"/>
        <v>771.67535223778793</v>
      </c>
      <c r="BA87" s="295">
        <f t="shared" si="13"/>
        <v>129.6622778942029</v>
      </c>
      <c r="BB87" s="295">
        <f t="shared" si="13"/>
        <v>18.30696082031282</v>
      </c>
      <c r="BC87" s="295">
        <f t="shared" si="13"/>
        <v>2.081428712891213</v>
      </c>
      <c r="BD87" s="295">
        <f t="shared" si="13"/>
        <v>0.17842334280888777</v>
      </c>
      <c r="BE87" s="295">
        <f t="shared" si="13"/>
        <v>1.0242319048009433E-2</v>
      </c>
      <c r="BF87" s="295">
        <f t="shared" si="13"/>
        <v>2.952491152371656E-4</v>
      </c>
      <c r="BG87" s="295">
        <f t="shared" si="13"/>
        <v>0</v>
      </c>
      <c r="BH87" s="295">
        <f t="shared" si="13"/>
        <v>0</v>
      </c>
      <c r="BI87" s="295">
        <f t="shared" si="13"/>
        <v>0</v>
      </c>
      <c r="BJ87" s="296">
        <f t="shared" si="13"/>
        <v>0</v>
      </c>
    </row>
    <row r="88" spans="1:62">
      <c r="A88" s="1711"/>
      <c r="B88" s="116">
        <v>0</v>
      </c>
      <c r="C88" s="313">
        <f>'CAR SEC'!D3</f>
        <v>1.9346472787585058</v>
      </c>
      <c r="D88" s="314">
        <v>0</v>
      </c>
      <c r="E88" s="314">
        <v>0</v>
      </c>
      <c r="F88" s="314">
        <v>0</v>
      </c>
      <c r="G88" s="314">
        <v>0</v>
      </c>
      <c r="H88" s="314">
        <v>0</v>
      </c>
      <c r="I88" s="314">
        <v>0</v>
      </c>
      <c r="J88" s="314">
        <v>0</v>
      </c>
      <c r="K88" s="314">
        <v>0</v>
      </c>
      <c r="L88" s="314">
        <v>0</v>
      </c>
      <c r="M88" s="314">
        <v>0</v>
      </c>
      <c r="N88" s="314">
        <v>0</v>
      </c>
      <c r="O88" s="314">
        <v>0</v>
      </c>
      <c r="P88" s="314">
        <v>0</v>
      </c>
      <c r="Q88" s="314">
        <v>0</v>
      </c>
      <c r="R88" s="314">
        <v>0</v>
      </c>
      <c r="S88" s="314">
        <v>0</v>
      </c>
      <c r="T88" s="314">
        <v>0</v>
      </c>
      <c r="U88" s="314">
        <v>0</v>
      </c>
      <c r="V88" s="314">
        <v>0</v>
      </c>
      <c r="W88" s="314">
        <v>0</v>
      </c>
      <c r="X88" s="314">
        <v>0</v>
      </c>
      <c r="Y88" s="314">
        <v>0</v>
      </c>
      <c r="Z88" s="314">
        <v>0</v>
      </c>
      <c r="AA88" s="314">
        <v>0</v>
      </c>
      <c r="AB88" s="314">
        <v>0</v>
      </c>
      <c r="AC88" s="314">
        <v>0</v>
      </c>
      <c r="AD88" s="314">
        <v>0</v>
      </c>
      <c r="AE88" s="315">
        <v>0</v>
      </c>
      <c r="AG88" s="578" t="s">
        <v>45</v>
      </c>
      <c r="AH88" s="294">
        <f t="shared" si="14"/>
        <v>1675701.0477535359</v>
      </c>
      <c r="AI88" s="295">
        <f t="shared" si="13"/>
        <v>1342603.8423775451</v>
      </c>
      <c r="AJ88" s="295">
        <f t="shared" si="13"/>
        <v>1212646.61960485</v>
      </c>
      <c r="AK88" s="295">
        <f t="shared" si="13"/>
        <v>1139746.0837337323</v>
      </c>
      <c r="AL88" s="295">
        <f t="shared" si="13"/>
        <v>1088003.6373733093</v>
      </c>
      <c r="AM88" s="295">
        <f t="shared" si="13"/>
        <v>1045913.1760182648</v>
      </c>
      <c r="AN88" s="295">
        <f t="shared" si="13"/>
        <v>1003114.9274963123</v>
      </c>
      <c r="AO88" s="295">
        <f t="shared" si="13"/>
        <v>934800.16063234909</v>
      </c>
      <c r="AP88" s="295">
        <f t="shared" si="13"/>
        <v>806517.28871643962</v>
      </c>
      <c r="AQ88" s="295">
        <f t="shared" si="13"/>
        <v>633985.67378687975</v>
      </c>
      <c r="AR88" s="295">
        <f t="shared" si="13"/>
        <v>452645.00005546224</v>
      </c>
      <c r="AS88" s="295">
        <f t="shared" si="13"/>
        <v>281648.39844206418</v>
      </c>
      <c r="AT88" s="295">
        <f t="shared" si="13"/>
        <v>145696.26507041103</v>
      </c>
      <c r="AU88" s="295">
        <f t="shared" si="13"/>
        <v>61698.988507208895</v>
      </c>
      <c r="AV88" s="295">
        <f t="shared" si="13"/>
        <v>21731.996231530731</v>
      </c>
      <c r="AW88" s="295">
        <f t="shared" si="13"/>
        <v>6445.3812351459756</v>
      </c>
      <c r="AX88" s="295">
        <f t="shared" si="13"/>
        <v>1730.5487644648517</v>
      </c>
      <c r="AY88" s="295">
        <f t="shared" si="13"/>
        <v>417.17431706440431</v>
      </c>
      <c r="AZ88" s="295">
        <f t="shared" si="13"/>
        <v>88.22930664267605</v>
      </c>
      <c r="BA88" s="295">
        <f t="shared" si="13"/>
        <v>16.047117565628355</v>
      </c>
      <c r="BB88" s="295">
        <f t="shared" si="13"/>
        <v>2.4422032446914321</v>
      </c>
      <c r="BC88" s="295">
        <f t="shared" si="13"/>
        <v>0.29884774133140385</v>
      </c>
      <c r="BD88" s="295">
        <f t="shared" si="13"/>
        <v>2.7595824059367519E-2</v>
      </c>
      <c r="BE88" s="295">
        <f t="shared" si="13"/>
        <v>1.7112828375758179E-3</v>
      </c>
      <c r="BF88" s="295">
        <f t="shared" si="13"/>
        <v>5.3514385022816319E-5</v>
      </c>
      <c r="BG88" s="295">
        <f t="shared" si="13"/>
        <v>0</v>
      </c>
      <c r="BH88" s="295">
        <f t="shared" si="13"/>
        <v>0</v>
      </c>
      <c r="BI88" s="295">
        <f t="shared" si="13"/>
        <v>0</v>
      </c>
      <c r="BJ88" s="296">
        <f t="shared" si="13"/>
        <v>0</v>
      </c>
    </row>
    <row r="89" spans="1:62">
      <c r="A89" s="1711"/>
      <c r="B89" s="116">
        <v>1</v>
      </c>
      <c r="C89" s="316">
        <f>'CAR SEC'!D4</f>
        <v>1.9435794539464932</v>
      </c>
      <c r="D89" s="317">
        <f>C88</f>
        <v>1.9346472787585058</v>
      </c>
      <c r="E89" s="317">
        <f t="shared" ref="E89:T89" si="15">D88</f>
        <v>0</v>
      </c>
      <c r="F89" s="317">
        <f t="shared" si="15"/>
        <v>0</v>
      </c>
      <c r="G89" s="317">
        <f t="shared" si="15"/>
        <v>0</v>
      </c>
      <c r="H89" s="317">
        <f t="shared" si="15"/>
        <v>0</v>
      </c>
      <c r="I89" s="317">
        <f t="shared" si="15"/>
        <v>0</v>
      </c>
      <c r="J89" s="317">
        <f t="shared" si="15"/>
        <v>0</v>
      </c>
      <c r="K89" s="317">
        <f t="shared" si="15"/>
        <v>0</v>
      </c>
      <c r="L89" s="317">
        <f t="shared" si="15"/>
        <v>0</v>
      </c>
      <c r="M89" s="317">
        <f t="shared" si="15"/>
        <v>0</v>
      </c>
      <c r="N89" s="317">
        <f t="shared" si="15"/>
        <v>0</v>
      </c>
      <c r="O89" s="317">
        <f t="shared" si="15"/>
        <v>0</v>
      </c>
      <c r="P89" s="317">
        <f t="shared" si="15"/>
        <v>0</v>
      </c>
      <c r="Q89" s="317">
        <f t="shared" si="15"/>
        <v>0</v>
      </c>
      <c r="R89" s="317">
        <f t="shared" si="15"/>
        <v>0</v>
      </c>
      <c r="S89" s="317">
        <f t="shared" si="15"/>
        <v>0</v>
      </c>
      <c r="T89" s="317">
        <f t="shared" si="15"/>
        <v>0</v>
      </c>
      <c r="U89" s="317">
        <f t="shared" ref="T89:AE104" si="16">T88</f>
        <v>0</v>
      </c>
      <c r="V89" s="317">
        <f t="shared" si="16"/>
        <v>0</v>
      </c>
      <c r="W89" s="317">
        <f t="shared" si="16"/>
        <v>0</v>
      </c>
      <c r="X89" s="317">
        <f t="shared" si="16"/>
        <v>0</v>
      </c>
      <c r="Y89" s="317">
        <f t="shared" si="16"/>
        <v>0</v>
      </c>
      <c r="Z89" s="317">
        <f t="shared" si="16"/>
        <v>0</v>
      </c>
      <c r="AA89" s="317">
        <f t="shared" si="16"/>
        <v>0</v>
      </c>
      <c r="AB89" s="317">
        <f t="shared" si="16"/>
        <v>0</v>
      </c>
      <c r="AC89" s="317">
        <f t="shared" si="16"/>
        <v>0</v>
      </c>
      <c r="AD89" s="317">
        <f t="shared" si="16"/>
        <v>0</v>
      </c>
      <c r="AE89" s="318">
        <f t="shared" si="16"/>
        <v>0</v>
      </c>
      <c r="AG89" s="578" t="s">
        <v>46</v>
      </c>
      <c r="AH89" s="294">
        <f t="shared" si="14"/>
        <v>2023430397.4585593</v>
      </c>
      <c r="AI89" s="295">
        <f t="shared" si="13"/>
        <v>1981574873.8053849</v>
      </c>
      <c r="AJ89" s="295">
        <f t="shared" si="13"/>
        <v>1940707840.5163651</v>
      </c>
      <c r="AK89" s="295">
        <f t="shared" si="13"/>
        <v>1897516673.9731534</v>
      </c>
      <c r="AL89" s="295">
        <f t="shared" si="13"/>
        <v>1845281813.6991003</v>
      </c>
      <c r="AM89" s="295">
        <f t="shared" si="13"/>
        <v>1778776605.1414285</v>
      </c>
      <c r="AN89" s="295">
        <f t="shared" si="13"/>
        <v>1694115376.2406106</v>
      </c>
      <c r="AO89" s="295">
        <f t="shared" si="13"/>
        <v>1589054468.1907504</v>
      </c>
      <c r="AP89" s="295">
        <f t="shared" si="13"/>
        <v>1466249224.7751815</v>
      </c>
      <c r="AQ89" s="295">
        <f t="shared" si="13"/>
        <v>1317117640.9425492</v>
      </c>
      <c r="AR89" s="295">
        <f t="shared" si="13"/>
        <v>1136026111.9258151</v>
      </c>
      <c r="AS89" s="295">
        <f t="shared" si="13"/>
        <v>931214872.22199404</v>
      </c>
      <c r="AT89" s="295">
        <f t="shared" si="13"/>
        <v>696056597.65314054</v>
      </c>
      <c r="AU89" s="295">
        <f t="shared" si="13"/>
        <v>439969219.09585941</v>
      </c>
      <c r="AV89" s="295">
        <f t="shared" si="13"/>
        <v>221755062.93670127</v>
      </c>
      <c r="AW89" s="295">
        <f t="shared" si="13"/>
        <v>91565108.158469081</v>
      </c>
      <c r="AX89" s="295">
        <f t="shared" si="13"/>
        <v>34259860.783059187</v>
      </c>
      <c r="AY89" s="295">
        <f t="shared" si="13"/>
        <v>11543751.618048634</v>
      </c>
      <c r="AZ89" s="295">
        <f t="shared" si="13"/>
        <v>3408681.4031348913</v>
      </c>
      <c r="BA89" s="295">
        <f t="shared" si="13"/>
        <v>863945.06173828105</v>
      </c>
      <c r="BB89" s="295">
        <f t="shared" si="13"/>
        <v>182708.96849623381</v>
      </c>
      <c r="BC89" s="295">
        <f t="shared" si="13"/>
        <v>30948.5575926118</v>
      </c>
      <c r="BD89" s="295">
        <f t="shared" si="13"/>
        <v>3936.1958763960552</v>
      </c>
      <c r="BE89" s="295">
        <f t="shared" si="13"/>
        <v>334.12832959120402</v>
      </c>
      <c r="BF89" s="295">
        <f t="shared" si="13"/>
        <v>14.198153089565688</v>
      </c>
      <c r="BG89" s="295">
        <f t="shared" si="13"/>
        <v>0</v>
      </c>
      <c r="BH89" s="295">
        <f t="shared" si="13"/>
        <v>0</v>
      </c>
      <c r="BI89" s="295">
        <f t="shared" si="13"/>
        <v>0</v>
      </c>
      <c r="BJ89" s="296">
        <f t="shared" si="13"/>
        <v>0</v>
      </c>
    </row>
    <row r="90" spans="1:62">
      <c r="A90" s="1711"/>
      <c r="B90" s="116">
        <v>2</v>
      </c>
      <c r="C90" s="316">
        <f>'CAR SEC'!D5</f>
        <v>1.9820165535241967</v>
      </c>
      <c r="D90" s="317">
        <f t="shared" ref="D90:S105" si="17">C89</f>
        <v>1.9435794539464932</v>
      </c>
      <c r="E90" s="317">
        <f t="shared" si="17"/>
        <v>1.9346472787585058</v>
      </c>
      <c r="F90" s="317">
        <f t="shared" si="17"/>
        <v>0</v>
      </c>
      <c r="G90" s="317">
        <f t="shared" si="17"/>
        <v>0</v>
      </c>
      <c r="H90" s="317">
        <f t="shared" si="17"/>
        <v>0</v>
      </c>
      <c r="I90" s="317">
        <f t="shared" si="17"/>
        <v>0</v>
      </c>
      <c r="J90" s="317">
        <f t="shared" si="17"/>
        <v>0</v>
      </c>
      <c r="K90" s="317">
        <f t="shared" si="17"/>
        <v>0</v>
      </c>
      <c r="L90" s="317">
        <f t="shared" si="17"/>
        <v>0</v>
      </c>
      <c r="M90" s="317">
        <f t="shared" si="17"/>
        <v>0</v>
      </c>
      <c r="N90" s="317">
        <f t="shared" si="17"/>
        <v>0</v>
      </c>
      <c r="O90" s="317">
        <f t="shared" si="17"/>
        <v>0</v>
      </c>
      <c r="P90" s="317">
        <f t="shared" si="17"/>
        <v>0</v>
      </c>
      <c r="Q90" s="317">
        <f t="shared" si="17"/>
        <v>0</v>
      </c>
      <c r="R90" s="317">
        <f t="shared" si="17"/>
        <v>0</v>
      </c>
      <c r="S90" s="317">
        <f t="shared" si="17"/>
        <v>0</v>
      </c>
      <c r="T90" s="317">
        <f t="shared" si="16"/>
        <v>0</v>
      </c>
      <c r="U90" s="317">
        <f t="shared" si="16"/>
        <v>0</v>
      </c>
      <c r="V90" s="317">
        <f t="shared" si="16"/>
        <v>0</v>
      </c>
      <c r="W90" s="317">
        <f t="shared" si="16"/>
        <v>0</v>
      </c>
      <c r="X90" s="317">
        <f t="shared" si="16"/>
        <v>0</v>
      </c>
      <c r="Y90" s="317">
        <f t="shared" si="16"/>
        <v>0</v>
      </c>
      <c r="Z90" s="317">
        <f t="shared" si="16"/>
        <v>0</v>
      </c>
      <c r="AA90" s="317">
        <f t="shared" si="16"/>
        <v>0</v>
      </c>
      <c r="AB90" s="317">
        <f t="shared" si="16"/>
        <v>0</v>
      </c>
      <c r="AC90" s="317">
        <f t="shared" si="16"/>
        <v>0</v>
      </c>
      <c r="AD90" s="317">
        <f t="shared" si="16"/>
        <v>0</v>
      </c>
      <c r="AE90" s="318">
        <f t="shared" si="16"/>
        <v>0</v>
      </c>
      <c r="AG90" s="578" t="s">
        <v>47</v>
      </c>
      <c r="AH90" s="294">
        <f t="shared" si="14"/>
        <v>6327233012.0275583</v>
      </c>
      <c r="AI90" s="295">
        <f t="shared" si="13"/>
        <v>6029409746.7857189</v>
      </c>
      <c r="AJ90" s="295">
        <f t="shared" si="13"/>
        <v>5742209534.1787262</v>
      </c>
      <c r="AK90" s="295">
        <f t="shared" si="13"/>
        <v>5423528133.8289423</v>
      </c>
      <c r="AL90" s="295">
        <f t="shared" si="13"/>
        <v>5059739021.3607368</v>
      </c>
      <c r="AM90" s="295">
        <f t="shared" si="13"/>
        <v>4656201287.6180563</v>
      </c>
      <c r="AN90" s="295">
        <f t="shared" si="13"/>
        <v>4225527546.4058499</v>
      </c>
      <c r="AO90" s="295">
        <f t="shared" si="13"/>
        <v>3772536226.4619646</v>
      </c>
      <c r="AP90" s="295">
        <f t="shared" si="13"/>
        <v>3294470054.0066323</v>
      </c>
      <c r="AQ90" s="295">
        <f t="shared" si="13"/>
        <v>2757072425.1486378</v>
      </c>
      <c r="AR90" s="295">
        <f t="shared" si="13"/>
        <v>2225045536.7775402</v>
      </c>
      <c r="AS90" s="295">
        <f t="shared" si="13"/>
        <v>1710359728.6018867</v>
      </c>
      <c r="AT90" s="295">
        <f t="shared" si="13"/>
        <v>1210131691.7932899</v>
      </c>
      <c r="AU90" s="295">
        <f t="shared" si="13"/>
        <v>715754028.96165943</v>
      </c>
      <c r="AV90" s="295">
        <f t="shared" si="13"/>
        <v>341724080.34658259</v>
      </c>
      <c r="AW90" s="295">
        <f t="shared" si="13"/>
        <v>129736360.38902874</v>
      </c>
      <c r="AX90" s="295">
        <f t="shared" si="13"/>
        <v>44619025.375990495</v>
      </c>
      <c r="AY90" s="295">
        <f t="shared" si="13"/>
        <v>13850974.39795693</v>
      </c>
      <c r="AZ90" s="295">
        <f t="shared" si="13"/>
        <v>3770202.9159861109</v>
      </c>
      <c r="BA90" s="295">
        <f t="shared" si="13"/>
        <v>881303.63010741549</v>
      </c>
      <c r="BB90" s="295">
        <f t="shared" si="13"/>
        <v>171969.8553130881</v>
      </c>
      <c r="BC90" s="295">
        <f t="shared" si="13"/>
        <v>26888.023102220177</v>
      </c>
      <c r="BD90" s="295">
        <f t="shared" si="13"/>
        <v>3157.7645396895409</v>
      </c>
      <c r="BE90" s="295">
        <f t="shared" si="13"/>
        <v>247.59877265770163</v>
      </c>
      <c r="BF90" s="295">
        <f t="shared" si="13"/>
        <v>9.7215950100327628</v>
      </c>
      <c r="BG90" s="295">
        <f t="shared" si="13"/>
        <v>0</v>
      </c>
      <c r="BH90" s="295">
        <f t="shared" si="13"/>
        <v>0</v>
      </c>
      <c r="BI90" s="295">
        <f t="shared" si="13"/>
        <v>0</v>
      </c>
      <c r="BJ90" s="296">
        <f t="shared" si="13"/>
        <v>0</v>
      </c>
    </row>
    <row r="91" spans="1:62">
      <c r="A91" s="1711"/>
      <c r="B91" s="116">
        <v>3</v>
      </c>
      <c r="C91" s="316">
        <f>'CAR SEC'!D6</f>
        <v>2.216275640499215</v>
      </c>
      <c r="D91" s="317">
        <f t="shared" si="17"/>
        <v>1.9820165535241967</v>
      </c>
      <c r="E91" s="317">
        <f t="shared" si="17"/>
        <v>1.9435794539464932</v>
      </c>
      <c r="F91" s="317">
        <f t="shared" si="17"/>
        <v>1.9346472787585058</v>
      </c>
      <c r="G91" s="317">
        <f t="shared" si="17"/>
        <v>0</v>
      </c>
      <c r="H91" s="317">
        <f t="shared" si="17"/>
        <v>0</v>
      </c>
      <c r="I91" s="317">
        <f t="shared" si="17"/>
        <v>0</v>
      </c>
      <c r="J91" s="317">
        <f t="shared" si="17"/>
        <v>0</v>
      </c>
      <c r="K91" s="317">
        <f t="shared" si="17"/>
        <v>0</v>
      </c>
      <c r="L91" s="317">
        <f t="shared" si="17"/>
        <v>0</v>
      </c>
      <c r="M91" s="317">
        <f t="shared" si="17"/>
        <v>0</v>
      </c>
      <c r="N91" s="317">
        <f t="shared" si="17"/>
        <v>0</v>
      </c>
      <c r="O91" s="317">
        <f t="shared" si="17"/>
        <v>0</v>
      </c>
      <c r="P91" s="317">
        <f t="shared" si="17"/>
        <v>0</v>
      </c>
      <c r="Q91" s="317">
        <f t="shared" si="17"/>
        <v>0</v>
      </c>
      <c r="R91" s="317">
        <f t="shared" si="17"/>
        <v>0</v>
      </c>
      <c r="S91" s="317">
        <f t="shared" si="17"/>
        <v>0</v>
      </c>
      <c r="T91" s="317">
        <f t="shared" si="16"/>
        <v>0</v>
      </c>
      <c r="U91" s="317">
        <f t="shared" si="16"/>
        <v>0</v>
      </c>
      <c r="V91" s="317">
        <f t="shared" si="16"/>
        <v>0</v>
      </c>
      <c r="W91" s="317">
        <f t="shared" si="16"/>
        <v>0</v>
      </c>
      <c r="X91" s="317">
        <f t="shared" si="16"/>
        <v>0</v>
      </c>
      <c r="Y91" s="317">
        <f t="shared" si="16"/>
        <v>0</v>
      </c>
      <c r="Z91" s="317">
        <f t="shared" si="16"/>
        <v>0</v>
      </c>
      <c r="AA91" s="317">
        <f t="shared" si="16"/>
        <v>0</v>
      </c>
      <c r="AB91" s="317">
        <f t="shared" si="16"/>
        <v>0</v>
      </c>
      <c r="AC91" s="317">
        <f t="shared" si="16"/>
        <v>0</v>
      </c>
      <c r="AD91" s="317">
        <f t="shared" si="16"/>
        <v>0</v>
      </c>
      <c r="AE91" s="318">
        <f t="shared" si="16"/>
        <v>0</v>
      </c>
      <c r="AG91" s="578" t="s">
        <v>48</v>
      </c>
      <c r="AH91" s="294">
        <f t="shared" si="14"/>
        <v>6372108734.9624567</v>
      </c>
      <c r="AI91" s="295">
        <f t="shared" si="13"/>
        <v>6014140046.5002785</v>
      </c>
      <c r="AJ91" s="295">
        <f t="shared" si="13"/>
        <v>5690963630.9234209</v>
      </c>
      <c r="AK91" s="295">
        <f t="shared" si="13"/>
        <v>5351969887.1081114</v>
      </c>
      <c r="AL91" s="295">
        <f t="shared" si="13"/>
        <v>4966700128.139533</v>
      </c>
      <c r="AM91" s="295">
        <f t="shared" si="13"/>
        <v>4509938695.7433624</v>
      </c>
      <c r="AN91" s="295">
        <f t="shared" si="13"/>
        <v>3980030926.946075</v>
      </c>
      <c r="AO91" s="295">
        <f t="shared" si="13"/>
        <v>3392135937.8737326</v>
      </c>
      <c r="AP91" s="295">
        <f t="shared" si="13"/>
        <v>2766700220.8373227</v>
      </c>
      <c r="AQ91" s="295">
        <f t="shared" si="13"/>
        <v>2158811453.2965322</v>
      </c>
      <c r="AR91" s="295">
        <f t="shared" si="13"/>
        <v>1595681958.7198603</v>
      </c>
      <c r="AS91" s="295">
        <f t="shared" si="13"/>
        <v>1078518557.539031</v>
      </c>
      <c r="AT91" s="295">
        <f t="shared" si="13"/>
        <v>624630623.94055247</v>
      </c>
      <c r="AU91" s="295">
        <f t="shared" si="13"/>
        <v>295970256.58216339</v>
      </c>
      <c r="AV91" s="295">
        <f t="shared" si="13"/>
        <v>110460570.47447971</v>
      </c>
      <c r="AW91" s="295">
        <f t="shared" si="13"/>
        <v>32435635.16104386</v>
      </c>
      <c r="AX91" s="295">
        <f t="shared" si="13"/>
        <v>8617419.0052541606</v>
      </c>
      <c r="AY91" s="295">
        <f t="shared" si="13"/>
        <v>2066941.1272257462</v>
      </c>
      <c r="AZ91" s="295">
        <f t="shared" si="13"/>
        <v>434374.54952264455</v>
      </c>
      <c r="BA91" s="295">
        <f t="shared" si="13"/>
        <v>78339.431455367565</v>
      </c>
      <c r="BB91" s="295">
        <f t="shared" si="13"/>
        <v>11786.826573551127</v>
      </c>
      <c r="BC91" s="295">
        <f t="shared" si="13"/>
        <v>1420.1895858091241</v>
      </c>
      <c r="BD91" s="295">
        <f t="shared" si="13"/>
        <v>128.45995905432312</v>
      </c>
      <c r="BE91" s="295">
        <f t="shared" si="13"/>
        <v>7.7532434685558558</v>
      </c>
      <c r="BF91" s="295">
        <f t="shared" si="13"/>
        <v>0.23417282734745859</v>
      </c>
      <c r="BG91" s="295">
        <f t="shared" si="13"/>
        <v>0</v>
      </c>
      <c r="BH91" s="295">
        <f t="shared" si="13"/>
        <v>0</v>
      </c>
      <c r="BI91" s="295">
        <f t="shared" si="13"/>
        <v>0</v>
      </c>
      <c r="BJ91" s="296">
        <f t="shared" si="13"/>
        <v>0</v>
      </c>
    </row>
    <row r="92" spans="1:62">
      <c r="A92" s="1711"/>
      <c r="B92" s="116">
        <v>4</v>
      </c>
      <c r="C92" s="316">
        <f>'CAR SEC'!D7</f>
        <v>2.2817351315328454</v>
      </c>
      <c r="D92" s="317">
        <f t="shared" si="17"/>
        <v>2.216275640499215</v>
      </c>
      <c r="E92" s="317">
        <f t="shared" si="17"/>
        <v>1.9820165535241967</v>
      </c>
      <c r="F92" s="317">
        <f t="shared" si="17"/>
        <v>1.9435794539464932</v>
      </c>
      <c r="G92" s="317">
        <f t="shared" si="17"/>
        <v>1.9346472787585058</v>
      </c>
      <c r="H92" s="317">
        <f t="shared" si="17"/>
        <v>0</v>
      </c>
      <c r="I92" s="317">
        <f t="shared" si="17"/>
        <v>0</v>
      </c>
      <c r="J92" s="317">
        <f t="shared" si="17"/>
        <v>0</v>
      </c>
      <c r="K92" s="317">
        <f t="shared" si="17"/>
        <v>0</v>
      </c>
      <c r="L92" s="317">
        <f t="shared" si="17"/>
        <v>0</v>
      </c>
      <c r="M92" s="317">
        <f t="shared" si="17"/>
        <v>0</v>
      </c>
      <c r="N92" s="317">
        <f t="shared" si="17"/>
        <v>0</v>
      </c>
      <c r="O92" s="317">
        <f t="shared" si="17"/>
        <v>0</v>
      </c>
      <c r="P92" s="317">
        <f t="shared" si="17"/>
        <v>0</v>
      </c>
      <c r="Q92" s="317">
        <f t="shared" si="17"/>
        <v>0</v>
      </c>
      <c r="R92" s="317">
        <f t="shared" si="17"/>
        <v>0</v>
      </c>
      <c r="S92" s="317">
        <f t="shared" si="17"/>
        <v>0</v>
      </c>
      <c r="T92" s="317">
        <f t="shared" si="16"/>
        <v>0</v>
      </c>
      <c r="U92" s="317">
        <f t="shared" si="16"/>
        <v>0</v>
      </c>
      <c r="V92" s="317">
        <f t="shared" si="16"/>
        <v>0</v>
      </c>
      <c r="W92" s="317">
        <f t="shared" si="16"/>
        <v>0</v>
      </c>
      <c r="X92" s="317">
        <f t="shared" si="16"/>
        <v>0</v>
      </c>
      <c r="Y92" s="317">
        <f t="shared" si="16"/>
        <v>0</v>
      </c>
      <c r="Z92" s="317">
        <f t="shared" si="16"/>
        <v>0</v>
      </c>
      <c r="AA92" s="317">
        <f t="shared" si="16"/>
        <v>0</v>
      </c>
      <c r="AB92" s="317">
        <f t="shared" si="16"/>
        <v>0</v>
      </c>
      <c r="AC92" s="317">
        <f t="shared" si="16"/>
        <v>0</v>
      </c>
      <c r="AD92" s="317">
        <f t="shared" si="16"/>
        <v>0</v>
      </c>
      <c r="AE92" s="318">
        <f t="shared" si="16"/>
        <v>0</v>
      </c>
      <c r="AG92" s="578" t="s">
        <v>49</v>
      </c>
      <c r="AH92" s="294">
        <f t="shared" si="14"/>
        <v>0</v>
      </c>
      <c r="AI92" s="295">
        <f t="shared" si="13"/>
        <v>0</v>
      </c>
      <c r="AJ92" s="295">
        <f t="shared" si="13"/>
        <v>0</v>
      </c>
      <c r="AK92" s="295">
        <f t="shared" si="13"/>
        <v>0</v>
      </c>
      <c r="AL92" s="295">
        <f t="shared" si="13"/>
        <v>0</v>
      </c>
      <c r="AM92" s="295">
        <f t="shared" si="13"/>
        <v>0</v>
      </c>
      <c r="AN92" s="295">
        <f t="shared" si="13"/>
        <v>0</v>
      </c>
      <c r="AO92" s="295">
        <f t="shared" si="13"/>
        <v>0</v>
      </c>
      <c r="AP92" s="295">
        <f t="shared" si="13"/>
        <v>0</v>
      </c>
      <c r="AQ92" s="295">
        <f t="shared" si="13"/>
        <v>0</v>
      </c>
      <c r="AR92" s="295">
        <f t="shared" si="13"/>
        <v>0</v>
      </c>
      <c r="AS92" s="295">
        <f t="shared" si="13"/>
        <v>0</v>
      </c>
      <c r="AT92" s="295">
        <f t="shared" si="13"/>
        <v>0</v>
      </c>
      <c r="AU92" s="295">
        <f t="shared" si="13"/>
        <v>0</v>
      </c>
      <c r="AV92" s="295">
        <f t="shared" si="13"/>
        <v>0</v>
      </c>
      <c r="AW92" s="295">
        <f t="shared" si="13"/>
        <v>0</v>
      </c>
      <c r="AX92" s="295">
        <f t="shared" si="13"/>
        <v>0</v>
      </c>
      <c r="AY92" s="295">
        <f t="shared" si="13"/>
        <v>0</v>
      </c>
      <c r="AZ92" s="295">
        <f t="shared" si="13"/>
        <v>0</v>
      </c>
      <c r="BA92" s="295">
        <f t="shared" si="13"/>
        <v>0</v>
      </c>
      <c r="BB92" s="295">
        <f t="shared" si="13"/>
        <v>0</v>
      </c>
      <c r="BC92" s="295">
        <f t="shared" si="13"/>
        <v>0</v>
      </c>
      <c r="BD92" s="295">
        <f t="shared" si="13"/>
        <v>0</v>
      </c>
      <c r="BE92" s="295">
        <f t="shared" si="13"/>
        <v>0</v>
      </c>
      <c r="BF92" s="295">
        <f t="shared" si="13"/>
        <v>0</v>
      </c>
      <c r="BG92" s="295">
        <f t="shared" si="13"/>
        <v>0</v>
      </c>
      <c r="BH92" s="295">
        <f t="shared" si="13"/>
        <v>0</v>
      </c>
      <c r="BI92" s="295">
        <f t="shared" si="13"/>
        <v>0</v>
      </c>
      <c r="BJ92" s="296">
        <f t="shared" si="13"/>
        <v>0</v>
      </c>
    </row>
    <row r="93" spans="1:62">
      <c r="A93" s="1711"/>
      <c r="B93" s="116">
        <v>5</v>
      </c>
      <c r="C93" s="316">
        <f>'CAR SEC'!D8</f>
        <v>2.3239141178239504</v>
      </c>
      <c r="D93" s="317">
        <f t="shared" si="17"/>
        <v>2.2817351315328454</v>
      </c>
      <c r="E93" s="317">
        <f t="shared" si="17"/>
        <v>2.216275640499215</v>
      </c>
      <c r="F93" s="317">
        <f t="shared" si="17"/>
        <v>1.9820165535241967</v>
      </c>
      <c r="G93" s="317">
        <f t="shared" si="17"/>
        <v>1.9435794539464932</v>
      </c>
      <c r="H93" s="317">
        <f t="shared" si="17"/>
        <v>1.9346472787585058</v>
      </c>
      <c r="I93" s="317">
        <f t="shared" si="17"/>
        <v>0</v>
      </c>
      <c r="J93" s="317">
        <f t="shared" si="17"/>
        <v>0</v>
      </c>
      <c r="K93" s="317">
        <f t="shared" si="17"/>
        <v>0</v>
      </c>
      <c r="L93" s="317">
        <f t="shared" si="17"/>
        <v>0</v>
      </c>
      <c r="M93" s="317">
        <f t="shared" si="17"/>
        <v>0</v>
      </c>
      <c r="N93" s="317">
        <f t="shared" si="17"/>
        <v>0</v>
      </c>
      <c r="O93" s="317">
        <f t="shared" si="17"/>
        <v>0</v>
      </c>
      <c r="P93" s="317">
        <f t="shared" si="17"/>
        <v>0</v>
      </c>
      <c r="Q93" s="317">
        <f t="shared" si="17"/>
        <v>0</v>
      </c>
      <c r="R93" s="317">
        <f t="shared" si="17"/>
        <v>0</v>
      </c>
      <c r="S93" s="317">
        <f t="shared" si="17"/>
        <v>0</v>
      </c>
      <c r="T93" s="317">
        <f t="shared" si="16"/>
        <v>0</v>
      </c>
      <c r="U93" s="317">
        <f t="shared" si="16"/>
        <v>0</v>
      </c>
      <c r="V93" s="317">
        <f t="shared" si="16"/>
        <v>0</v>
      </c>
      <c r="W93" s="317">
        <f t="shared" si="16"/>
        <v>0</v>
      </c>
      <c r="X93" s="317">
        <f t="shared" si="16"/>
        <v>0</v>
      </c>
      <c r="Y93" s="317">
        <f t="shared" si="16"/>
        <v>0</v>
      </c>
      <c r="Z93" s="317">
        <f t="shared" si="16"/>
        <v>0</v>
      </c>
      <c r="AA93" s="317">
        <f t="shared" si="16"/>
        <v>0</v>
      </c>
      <c r="AB93" s="317">
        <f t="shared" si="16"/>
        <v>0</v>
      </c>
      <c r="AC93" s="317">
        <f t="shared" si="16"/>
        <v>0</v>
      </c>
      <c r="AD93" s="317">
        <f t="shared" si="16"/>
        <v>0</v>
      </c>
      <c r="AE93" s="318">
        <f t="shared" si="16"/>
        <v>0</v>
      </c>
      <c r="AG93" s="578" t="s">
        <v>50</v>
      </c>
      <c r="AH93" s="294">
        <f t="shared" si="14"/>
        <v>98691432.677629277</v>
      </c>
      <c r="AI93" s="295">
        <f t="shared" si="13"/>
        <v>96715511.307887569</v>
      </c>
      <c r="AJ93" s="295">
        <f t="shared" si="13"/>
        <v>94778228.292717263</v>
      </c>
      <c r="AK93" s="295">
        <f t="shared" si="13"/>
        <v>92879388.744339347</v>
      </c>
      <c r="AL93" s="295">
        <f t="shared" si="13"/>
        <v>90995169.435773522</v>
      </c>
      <c r="AM93" s="295">
        <f t="shared" si="13"/>
        <v>88974303.056743473</v>
      </c>
      <c r="AN93" s="295">
        <f t="shared" si="13"/>
        <v>85940189.298772067</v>
      </c>
      <c r="AO93" s="295">
        <f t="shared" si="13"/>
        <v>80086063.94910638</v>
      </c>
      <c r="AP93" s="295">
        <f t="shared" si="13"/>
        <v>69870440.675010517</v>
      </c>
      <c r="AQ93" s="295">
        <f t="shared" si="13"/>
        <v>55325855.097373851</v>
      </c>
      <c r="AR93" s="295">
        <f t="shared" si="13"/>
        <v>38430261.046298504</v>
      </c>
      <c r="AS93" s="295">
        <f t="shared" si="13"/>
        <v>22843665.317338996</v>
      </c>
      <c r="AT93" s="295">
        <f t="shared" si="13"/>
        <v>11316429.508044532</v>
      </c>
      <c r="AU93" s="295">
        <f t="shared" si="13"/>
        <v>4557288.6334929299</v>
      </c>
      <c r="AV93" s="295">
        <f t="shared" si="13"/>
        <v>1486749.075423412</v>
      </c>
      <c r="AW93" s="295">
        <f t="shared" si="13"/>
        <v>384068.27758488513</v>
      </c>
      <c r="AX93" s="295">
        <f t="shared" si="13"/>
        <v>89633.234885231286</v>
      </c>
      <c r="AY93" s="295">
        <f t="shared" si="13"/>
        <v>18883.577917348226</v>
      </c>
      <c r="AZ93" s="295">
        <f t="shared" si="13"/>
        <v>3485.5753229400561</v>
      </c>
      <c r="BA93" s="295">
        <f t="shared" ref="AI93:BJ99" si="18">BA75*BA57</f>
        <v>552.3027254259099</v>
      </c>
      <c r="BB93" s="295">
        <f t="shared" si="18"/>
        <v>73.055927853985978</v>
      </c>
      <c r="BC93" s="295">
        <f t="shared" si="18"/>
        <v>7.7460818611733782</v>
      </c>
      <c r="BD93" s="295">
        <f t="shared" si="18"/>
        <v>0.61735159947881879</v>
      </c>
      <c r="BE93" s="295">
        <f t="shared" si="18"/>
        <v>3.28821090971535E-2</v>
      </c>
      <c r="BF93" s="295">
        <f t="shared" si="18"/>
        <v>8.7806932998786775E-4</v>
      </c>
      <c r="BG93" s="295">
        <f t="shared" si="18"/>
        <v>0</v>
      </c>
      <c r="BH93" s="295">
        <f t="shared" si="18"/>
        <v>0</v>
      </c>
      <c r="BI93" s="295">
        <f t="shared" si="18"/>
        <v>0</v>
      </c>
      <c r="BJ93" s="296">
        <f t="shared" si="18"/>
        <v>0</v>
      </c>
    </row>
    <row r="94" spans="1:62">
      <c r="A94" s="1711"/>
      <c r="B94" s="116">
        <v>6</v>
      </c>
      <c r="C94" s="316">
        <f>'CAR SEC'!D9</f>
        <v>2.3645535430668843</v>
      </c>
      <c r="D94" s="317">
        <f t="shared" si="17"/>
        <v>2.3239141178239504</v>
      </c>
      <c r="E94" s="317">
        <f t="shared" si="17"/>
        <v>2.2817351315328454</v>
      </c>
      <c r="F94" s="317">
        <f t="shared" si="17"/>
        <v>2.216275640499215</v>
      </c>
      <c r="G94" s="317">
        <f t="shared" si="17"/>
        <v>1.9820165535241967</v>
      </c>
      <c r="H94" s="317">
        <f t="shared" si="17"/>
        <v>1.9435794539464932</v>
      </c>
      <c r="I94" s="317">
        <f t="shared" si="17"/>
        <v>1.9346472787585058</v>
      </c>
      <c r="J94" s="317">
        <f t="shared" si="17"/>
        <v>0</v>
      </c>
      <c r="K94" s="317">
        <f t="shared" si="17"/>
        <v>0</v>
      </c>
      <c r="L94" s="317">
        <f t="shared" si="17"/>
        <v>0</v>
      </c>
      <c r="M94" s="317">
        <f t="shared" si="17"/>
        <v>0</v>
      </c>
      <c r="N94" s="317">
        <f t="shared" si="17"/>
        <v>0</v>
      </c>
      <c r="O94" s="317">
        <f t="shared" si="17"/>
        <v>0</v>
      </c>
      <c r="P94" s="317">
        <f t="shared" si="17"/>
        <v>0</v>
      </c>
      <c r="Q94" s="317">
        <f t="shared" si="17"/>
        <v>0</v>
      </c>
      <c r="R94" s="317">
        <f t="shared" si="17"/>
        <v>0</v>
      </c>
      <c r="S94" s="317">
        <f t="shared" si="17"/>
        <v>0</v>
      </c>
      <c r="T94" s="317">
        <f t="shared" si="16"/>
        <v>0</v>
      </c>
      <c r="U94" s="317">
        <f t="shared" si="16"/>
        <v>0</v>
      </c>
      <c r="V94" s="317">
        <f t="shared" si="16"/>
        <v>0</v>
      </c>
      <c r="W94" s="317">
        <f t="shared" si="16"/>
        <v>0</v>
      </c>
      <c r="X94" s="317">
        <f t="shared" si="16"/>
        <v>0</v>
      </c>
      <c r="Y94" s="317">
        <f t="shared" si="16"/>
        <v>0</v>
      </c>
      <c r="Z94" s="317">
        <f t="shared" si="16"/>
        <v>0</v>
      </c>
      <c r="AA94" s="317">
        <f t="shared" si="16"/>
        <v>0</v>
      </c>
      <c r="AB94" s="317">
        <f t="shared" si="16"/>
        <v>0</v>
      </c>
      <c r="AC94" s="317">
        <f t="shared" si="16"/>
        <v>0</v>
      </c>
      <c r="AD94" s="317">
        <f t="shared" si="16"/>
        <v>0</v>
      </c>
      <c r="AE94" s="318">
        <f t="shared" si="16"/>
        <v>0</v>
      </c>
      <c r="AG94" s="578" t="s">
        <v>51</v>
      </c>
      <c r="AH94" s="294">
        <f t="shared" si="14"/>
        <v>37314061.455288664</v>
      </c>
      <c r="AI94" s="295">
        <f t="shared" si="18"/>
        <v>36567697.416112147</v>
      </c>
      <c r="AJ94" s="295">
        <f t="shared" si="18"/>
        <v>35831151.832000777</v>
      </c>
      <c r="AK94" s="295">
        <f t="shared" si="18"/>
        <v>35034442.815700881</v>
      </c>
      <c r="AL94" s="295">
        <f t="shared" si="18"/>
        <v>33758133.058170862</v>
      </c>
      <c r="AM94" s="295">
        <f t="shared" si="18"/>
        <v>30789529.503923405</v>
      </c>
      <c r="AN94" s="295">
        <f t="shared" si="18"/>
        <v>25462524.991081778</v>
      </c>
      <c r="AO94" s="295">
        <f t="shared" si="18"/>
        <v>18302693.939900443</v>
      </c>
      <c r="AP94" s="295">
        <f t="shared" si="18"/>
        <v>10894758.310161578</v>
      </c>
      <c r="AQ94" s="295">
        <f t="shared" si="18"/>
        <v>5245831.229568786</v>
      </c>
      <c r="AR94" s="295">
        <f t="shared" si="18"/>
        <v>1990482.936294904</v>
      </c>
      <c r="AS94" s="295">
        <f t="shared" si="18"/>
        <v>589686.56462261535</v>
      </c>
      <c r="AT94" s="295">
        <f t="shared" si="18"/>
        <v>150579.80404265036</v>
      </c>
      <c r="AU94" s="295">
        <f t="shared" si="18"/>
        <v>33922.108762916483</v>
      </c>
      <c r="AV94" s="295">
        <f t="shared" si="18"/>
        <v>6851.3764691462166</v>
      </c>
      <c r="AW94" s="295">
        <f t="shared" si="18"/>
        <v>1225.3316498091556</v>
      </c>
      <c r="AX94" s="295">
        <f t="shared" si="18"/>
        <v>190.21551657892871</v>
      </c>
      <c r="AY94" s="295">
        <f t="shared" si="18"/>
        <v>25.128853282260707</v>
      </c>
      <c r="AZ94" s="295">
        <f t="shared" si="18"/>
        <v>2.7522792264364337</v>
      </c>
      <c r="BA94" s="295">
        <f t="shared" si="18"/>
        <v>0.24089315879223577</v>
      </c>
      <c r="BB94" s="295">
        <f t="shared" si="18"/>
        <v>1.5906953380408807E-2</v>
      </c>
      <c r="BC94" s="295">
        <f t="shared" si="18"/>
        <v>7.1220218865412335E-4</v>
      </c>
      <c r="BD94" s="295">
        <f t="shared" si="18"/>
        <v>1.6461349480253517E-5</v>
      </c>
      <c r="BE94" s="295">
        <f t="shared" si="18"/>
        <v>0</v>
      </c>
      <c r="BF94" s="295">
        <f t="shared" si="18"/>
        <v>0</v>
      </c>
      <c r="BG94" s="295">
        <f t="shared" si="18"/>
        <v>0</v>
      </c>
      <c r="BH94" s="295">
        <f t="shared" si="18"/>
        <v>0</v>
      </c>
      <c r="BI94" s="295">
        <f t="shared" si="18"/>
        <v>0</v>
      </c>
      <c r="BJ94" s="296">
        <f t="shared" si="18"/>
        <v>0</v>
      </c>
    </row>
    <row r="95" spans="1:62">
      <c r="A95" s="1711"/>
      <c r="B95" s="116">
        <v>7</v>
      </c>
      <c r="C95" s="316">
        <f>'CAR SEC'!D10</f>
        <v>2.3709805498968808</v>
      </c>
      <c r="D95" s="317">
        <f t="shared" si="17"/>
        <v>2.3645535430668843</v>
      </c>
      <c r="E95" s="317">
        <f t="shared" si="17"/>
        <v>2.3239141178239504</v>
      </c>
      <c r="F95" s="317">
        <f t="shared" si="17"/>
        <v>2.2817351315328454</v>
      </c>
      <c r="G95" s="317">
        <f t="shared" si="17"/>
        <v>2.216275640499215</v>
      </c>
      <c r="H95" s="317">
        <f t="shared" si="17"/>
        <v>1.9820165535241967</v>
      </c>
      <c r="I95" s="317">
        <f t="shared" si="17"/>
        <v>1.9435794539464932</v>
      </c>
      <c r="J95" s="317">
        <f t="shared" si="17"/>
        <v>1.9346472787585058</v>
      </c>
      <c r="K95" s="317">
        <f t="shared" si="17"/>
        <v>0</v>
      </c>
      <c r="L95" s="317">
        <f t="shared" si="17"/>
        <v>0</v>
      </c>
      <c r="M95" s="317">
        <f t="shared" si="17"/>
        <v>0</v>
      </c>
      <c r="N95" s="317">
        <f t="shared" si="17"/>
        <v>0</v>
      </c>
      <c r="O95" s="317">
        <f t="shared" si="17"/>
        <v>0</v>
      </c>
      <c r="P95" s="317">
        <f t="shared" si="17"/>
        <v>0</v>
      </c>
      <c r="Q95" s="317">
        <f t="shared" si="17"/>
        <v>0</v>
      </c>
      <c r="R95" s="317">
        <f t="shared" si="17"/>
        <v>0</v>
      </c>
      <c r="S95" s="317">
        <f t="shared" si="17"/>
        <v>0</v>
      </c>
      <c r="T95" s="317">
        <f t="shared" si="16"/>
        <v>0</v>
      </c>
      <c r="U95" s="317">
        <f t="shared" si="16"/>
        <v>0</v>
      </c>
      <c r="V95" s="317">
        <f t="shared" si="16"/>
        <v>0</v>
      </c>
      <c r="W95" s="317">
        <f t="shared" si="16"/>
        <v>0</v>
      </c>
      <c r="X95" s="317">
        <f t="shared" si="16"/>
        <v>0</v>
      </c>
      <c r="Y95" s="317">
        <f t="shared" si="16"/>
        <v>0</v>
      </c>
      <c r="Z95" s="317">
        <f t="shared" si="16"/>
        <v>0</v>
      </c>
      <c r="AA95" s="317">
        <f t="shared" si="16"/>
        <v>0</v>
      </c>
      <c r="AB95" s="317">
        <f t="shared" si="16"/>
        <v>0</v>
      </c>
      <c r="AC95" s="317">
        <f t="shared" si="16"/>
        <v>0</v>
      </c>
      <c r="AD95" s="317">
        <f t="shared" si="16"/>
        <v>0</v>
      </c>
      <c r="AE95" s="318">
        <f t="shared" si="16"/>
        <v>0</v>
      </c>
      <c r="AG95" s="578" t="s">
        <v>52</v>
      </c>
      <c r="AH95" s="294">
        <f t="shared" si="14"/>
        <v>24376646.365874272</v>
      </c>
      <c r="AI95" s="295">
        <f t="shared" si="18"/>
        <v>23889113.438556787</v>
      </c>
      <c r="AJ95" s="295">
        <f t="shared" si="18"/>
        <v>23410911.031878434</v>
      </c>
      <c r="AK95" s="295">
        <f t="shared" si="18"/>
        <v>22935487.414910614</v>
      </c>
      <c r="AL95" s="295">
        <f t="shared" si="18"/>
        <v>22293146.831410673</v>
      </c>
      <c r="AM95" s="295">
        <f t="shared" si="18"/>
        <v>20744693.030553821</v>
      </c>
      <c r="AN95" s="295">
        <f t="shared" si="18"/>
        <v>17451966.18094511</v>
      </c>
      <c r="AO95" s="295">
        <f t="shared" si="18"/>
        <v>12755305.739092086</v>
      </c>
      <c r="AP95" s="295">
        <f t="shared" si="18"/>
        <v>7805714.5485262964</v>
      </c>
      <c r="AQ95" s="295">
        <f t="shared" si="18"/>
        <v>3907614.4691091664</v>
      </c>
      <c r="AR95" s="295">
        <f t="shared" si="18"/>
        <v>1568891.7200201589</v>
      </c>
      <c r="AS95" s="295">
        <f t="shared" si="18"/>
        <v>500938.14566611411</v>
      </c>
      <c r="AT95" s="295">
        <f t="shared" si="18"/>
        <v>142606.23420992709</v>
      </c>
      <c r="AU95" s="295">
        <f t="shared" si="18"/>
        <v>36663.427009787862</v>
      </c>
      <c r="AV95" s="295">
        <f t="shared" si="18"/>
        <v>8354.1642534752773</v>
      </c>
      <c r="AW95" s="295">
        <f t="shared" si="18"/>
        <v>1681.7715177786927</v>
      </c>
      <c r="AX95" s="295">
        <f t="shared" si="18"/>
        <v>295.94610987165009</v>
      </c>
      <c r="AY95" s="295">
        <f t="shared" si="18"/>
        <v>44.928531458325224</v>
      </c>
      <c r="AZ95" s="295">
        <f t="shared" si="18"/>
        <v>5.8242358948706814</v>
      </c>
      <c r="BA95" s="295">
        <f t="shared" si="18"/>
        <v>0.63895409256378566</v>
      </c>
      <c r="BB95" s="295">
        <f t="shared" si="18"/>
        <v>5.8513672862104189E-2</v>
      </c>
      <c r="BC95" s="295">
        <f t="shared" si="18"/>
        <v>4.2936333160381876E-3</v>
      </c>
      <c r="BD95" s="295">
        <f t="shared" si="18"/>
        <v>2.2427510355763051E-4</v>
      </c>
      <c r="BE95" s="295">
        <f t="shared" si="18"/>
        <v>6.0254921476972586E-6</v>
      </c>
      <c r="BF95" s="295">
        <f t="shared" si="18"/>
        <v>0</v>
      </c>
      <c r="BG95" s="295">
        <f t="shared" si="18"/>
        <v>0</v>
      </c>
      <c r="BH95" s="295">
        <f t="shared" si="18"/>
        <v>0</v>
      </c>
      <c r="BI95" s="295">
        <f t="shared" si="18"/>
        <v>0</v>
      </c>
      <c r="BJ95" s="296">
        <f t="shared" si="18"/>
        <v>0</v>
      </c>
    </row>
    <row r="96" spans="1:62">
      <c r="A96" s="1711"/>
      <c r="B96" s="116">
        <v>8</v>
      </c>
      <c r="C96" s="316">
        <f>'CAR SEC'!D11</f>
        <v>2.4916561080497677</v>
      </c>
      <c r="D96" s="317">
        <f t="shared" si="17"/>
        <v>2.3709805498968808</v>
      </c>
      <c r="E96" s="317">
        <f t="shared" si="17"/>
        <v>2.3645535430668843</v>
      </c>
      <c r="F96" s="317">
        <f t="shared" si="17"/>
        <v>2.3239141178239504</v>
      </c>
      <c r="G96" s="317">
        <f t="shared" si="17"/>
        <v>2.2817351315328454</v>
      </c>
      <c r="H96" s="317">
        <f t="shared" si="17"/>
        <v>2.216275640499215</v>
      </c>
      <c r="I96" s="317">
        <f t="shared" si="17"/>
        <v>1.9820165535241967</v>
      </c>
      <c r="J96" s="317">
        <f t="shared" si="17"/>
        <v>1.9435794539464932</v>
      </c>
      <c r="K96" s="317">
        <f t="shared" si="17"/>
        <v>1.9346472787585058</v>
      </c>
      <c r="L96" s="317">
        <f t="shared" si="17"/>
        <v>0</v>
      </c>
      <c r="M96" s="317">
        <f t="shared" si="17"/>
        <v>0</v>
      </c>
      <c r="N96" s="317">
        <f t="shared" si="17"/>
        <v>0</v>
      </c>
      <c r="O96" s="317">
        <f t="shared" si="17"/>
        <v>0</v>
      </c>
      <c r="P96" s="317">
        <f t="shared" si="17"/>
        <v>0</v>
      </c>
      <c r="Q96" s="317">
        <f t="shared" si="17"/>
        <v>0</v>
      </c>
      <c r="R96" s="317">
        <f t="shared" si="17"/>
        <v>0</v>
      </c>
      <c r="S96" s="317">
        <f t="shared" si="17"/>
        <v>0</v>
      </c>
      <c r="T96" s="317">
        <f t="shared" si="16"/>
        <v>0</v>
      </c>
      <c r="U96" s="317">
        <f t="shared" si="16"/>
        <v>0</v>
      </c>
      <c r="V96" s="317">
        <f t="shared" si="16"/>
        <v>0</v>
      </c>
      <c r="W96" s="317">
        <f t="shared" si="16"/>
        <v>0</v>
      </c>
      <c r="X96" s="317">
        <f t="shared" si="16"/>
        <v>0</v>
      </c>
      <c r="Y96" s="317">
        <f t="shared" si="16"/>
        <v>0</v>
      </c>
      <c r="Z96" s="317">
        <f t="shared" si="16"/>
        <v>0</v>
      </c>
      <c r="AA96" s="317">
        <f t="shared" si="16"/>
        <v>0</v>
      </c>
      <c r="AB96" s="317">
        <f t="shared" si="16"/>
        <v>0</v>
      </c>
      <c r="AC96" s="317">
        <f t="shared" si="16"/>
        <v>0</v>
      </c>
      <c r="AD96" s="317">
        <f t="shared" si="16"/>
        <v>0</v>
      </c>
      <c r="AE96" s="318">
        <f t="shared" si="16"/>
        <v>0</v>
      </c>
      <c r="AG96" s="578" t="s">
        <v>53</v>
      </c>
      <c r="AH96" s="294">
        <f t="shared" si="14"/>
        <v>34080.456419077535</v>
      </c>
      <c r="AI96" s="295">
        <f t="shared" si="18"/>
        <v>21612.30510085672</v>
      </c>
      <c r="AJ96" s="295">
        <f t="shared" si="18"/>
        <v>11180.322154324374</v>
      </c>
      <c r="AK96" s="295">
        <f t="shared" si="18"/>
        <v>4435.4132178729287</v>
      </c>
      <c r="AL96" s="295">
        <f t="shared" si="18"/>
        <v>1435.8198332170336</v>
      </c>
      <c r="AM96" s="295">
        <f t="shared" si="18"/>
        <v>420.88778968867985</v>
      </c>
      <c r="AN96" s="295">
        <f t="shared" si="18"/>
        <v>110.54481078694489</v>
      </c>
      <c r="AO96" s="295">
        <f t="shared" si="18"/>
        <v>25.321520838057488</v>
      </c>
      <c r="AP96" s="295">
        <f t="shared" si="18"/>
        <v>4.9532066509441126</v>
      </c>
      <c r="AQ96" s="295">
        <f t="shared" si="18"/>
        <v>0.80404164071247175</v>
      </c>
      <c r="AR96" s="295">
        <f t="shared" si="18"/>
        <v>0.10391436056883621</v>
      </c>
      <c r="AS96" s="295">
        <f t="shared" si="18"/>
        <v>1.0016738466024225E-2</v>
      </c>
      <c r="AT96" s="295">
        <f t="shared" si="18"/>
        <v>6.395503061647651E-4</v>
      </c>
      <c r="AU96" s="295">
        <f t="shared" si="18"/>
        <v>2.0261309294770755E-5</v>
      </c>
      <c r="AV96" s="295">
        <f t="shared" si="18"/>
        <v>0</v>
      </c>
      <c r="AW96" s="295">
        <f t="shared" si="18"/>
        <v>0</v>
      </c>
      <c r="AX96" s="295">
        <f t="shared" si="18"/>
        <v>0</v>
      </c>
      <c r="AY96" s="295">
        <f t="shared" si="18"/>
        <v>0</v>
      </c>
      <c r="AZ96" s="295">
        <f t="shared" si="18"/>
        <v>0</v>
      </c>
      <c r="BA96" s="295">
        <f t="shared" si="18"/>
        <v>0</v>
      </c>
      <c r="BB96" s="295">
        <f t="shared" si="18"/>
        <v>0</v>
      </c>
      <c r="BC96" s="295">
        <f t="shared" si="18"/>
        <v>0</v>
      </c>
      <c r="BD96" s="295">
        <f t="shared" si="18"/>
        <v>0</v>
      </c>
      <c r="BE96" s="295">
        <f t="shared" si="18"/>
        <v>0</v>
      </c>
      <c r="BF96" s="295">
        <f t="shared" si="18"/>
        <v>0</v>
      </c>
      <c r="BG96" s="295">
        <f t="shared" si="18"/>
        <v>0</v>
      </c>
      <c r="BH96" s="295">
        <f t="shared" si="18"/>
        <v>0</v>
      </c>
      <c r="BI96" s="295">
        <f t="shared" si="18"/>
        <v>0</v>
      </c>
      <c r="BJ96" s="296">
        <f t="shared" si="18"/>
        <v>0</v>
      </c>
    </row>
    <row r="97" spans="1:62">
      <c r="A97" s="1711"/>
      <c r="B97" s="116">
        <v>9</v>
      </c>
      <c r="C97" s="316">
        <f>'CAR SEC'!D12</f>
        <v>2.4509615598821051</v>
      </c>
      <c r="D97" s="317">
        <f t="shared" si="17"/>
        <v>2.4916561080497677</v>
      </c>
      <c r="E97" s="317">
        <f t="shared" si="17"/>
        <v>2.3709805498968808</v>
      </c>
      <c r="F97" s="317">
        <f t="shared" si="17"/>
        <v>2.3645535430668843</v>
      </c>
      <c r="G97" s="317">
        <f t="shared" si="17"/>
        <v>2.3239141178239504</v>
      </c>
      <c r="H97" s="317">
        <f t="shared" si="17"/>
        <v>2.2817351315328454</v>
      </c>
      <c r="I97" s="317">
        <f t="shared" si="17"/>
        <v>2.216275640499215</v>
      </c>
      <c r="J97" s="317">
        <f t="shared" si="17"/>
        <v>1.9820165535241967</v>
      </c>
      <c r="K97" s="317">
        <f t="shared" si="17"/>
        <v>1.9435794539464932</v>
      </c>
      <c r="L97" s="317">
        <f t="shared" si="17"/>
        <v>1.9346472787585058</v>
      </c>
      <c r="M97" s="317">
        <f t="shared" si="17"/>
        <v>0</v>
      </c>
      <c r="N97" s="317">
        <f t="shared" si="17"/>
        <v>0</v>
      </c>
      <c r="O97" s="317">
        <f t="shared" si="17"/>
        <v>0</v>
      </c>
      <c r="P97" s="317">
        <f t="shared" si="17"/>
        <v>0</v>
      </c>
      <c r="Q97" s="317">
        <f t="shared" si="17"/>
        <v>0</v>
      </c>
      <c r="R97" s="317">
        <f t="shared" si="17"/>
        <v>0</v>
      </c>
      <c r="S97" s="317">
        <f t="shared" si="17"/>
        <v>0</v>
      </c>
      <c r="T97" s="317">
        <f t="shared" si="16"/>
        <v>0</v>
      </c>
      <c r="U97" s="317">
        <f t="shared" si="16"/>
        <v>0</v>
      </c>
      <c r="V97" s="317">
        <f t="shared" si="16"/>
        <v>0</v>
      </c>
      <c r="W97" s="317">
        <f t="shared" si="16"/>
        <v>0</v>
      </c>
      <c r="X97" s="317">
        <f t="shared" si="16"/>
        <v>0</v>
      </c>
      <c r="Y97" s="317">
        <f t="shared" si="16"/>
        <v>0</v>
      </c>
      <c r="Z97" s="317">
        <f t="shared" si="16"/>
        <v>0</v>
      </c>
      <c r="AA97" s="317">
        <f t="shared" si="16"/>
        <v>0</v>
      </c>
      <c r="AB97" s="317">
        <f t="shared" si="16"/>
        <v>0</v>
      </c>
      <c r="AC97" s="317">
        <f t="shared" si="16"/>
        <v>0</v>
      </c>
      <c r="AD97" s="317">
        <f t="shared" si="16"/>
        <v>0</v>
      </c>
      <c r="AE97" s="318">
        <f t="shared" si="16"/>
        <v>0</v>
      </c>
      <c r="AG97" s="578" t="s">
        <v>54</v>
      </c>
      <c r="AH97" s="294">
        <f t="shared" si="14"/>
        <v>58252170.6783593</v>
      </c>
      <c r="AI97" s="295">
        <f t="shared" si="18"/>
        <v>56435418.059775375</v>
      </c>
      <c r="AJ97" s="295">
        <f t="shared" si="18"/>
        <v>54125938.31732069</v>
      </c>
      <c r="AK97" s="295">
        <f t="shared" si="18"/>
        <v>50939081.351233929</v>
      </c>
      <c r="AL97" s="295">
        <f t="shared" si="18"/>
        <v>46392976.173801742</v>
      </c>
      <c r="AM97" s="295">
        <f t="shared" si="18"/>
        <v>40117027.724848971</v>
      </c>
      <c r="AN97" s="295">
        <f t="shared" si="18"/>
        <v>32269321.618372425</v>
      </c>
      <c r="AO97" s="295">
        <f t="shared" si="18"/>
        <v>23639272.693678156</v>
      </c>
      <c r="AP97" s="295">
        <f t="shared" si="18"/>
        <v>15432390.749081342</v>
      </c>
      <c r="AQ97" s="295">
        <f t="shared" si="18"/>
        <v>8880046.5601442121</v>
      </c>
      <c r="AR97" s="295">
        <f t="shared" si="18"/>
        <v>4494878.6279575378</v>
      </c>
      <c r="AS97" s="295">
        <f t="shared" si="18"/>
        <v>2011225.6999422607</v>
      </c>
      <c r="AT97" s="295">
        <f t="shared" si="18"/>
        <v>804303.16233242431</v>
      </c>
      <c r="AU97" s="295">
        <f t="shared" si="18"/>
        <v>280737.42456786748</v>
      </c>
      <c r="AV97" s="295">
        <f t="shared" si="18"/>
        <v>83449.085429153361</v>
      </c>
      <c r="AW97" s="295">
        <f t="shared" si="18"/>
        <v>20597.41552274366</v>
      </c>
      <c r="AX97" s="295">
        <f t="shared" si="18"/>
        <v>4617.0926230821869</v>
      </c>
      <c r="AY97" s="295">
        <f t="shared" si="18"/>
        <v>936.14824919655655</v>
      </c>
      <c r="AZ97" s="295">
        <f t="shared" si="18"/>
        <v>167.09649103086696</v>
      </c>
      <c r="BA97" s="295">
        <f t="shared" si="18"/>
        <v>25.714259986210507</v>
      </c>
      <c r="BB97" s="295">
        <f t="shared" si="18"/>
        <v>3.3157904420608215</v>
      </c>
      <c r="BC97" s="295">
        <f t="shared" si="18"/>
        <v>0.34380887974582547</v>
      </c>
      <c r="BD97" s="295">
        <f t="shared" si="18"/>
        <v>2.6864420596668159E-2</v>
      </c>
      <c r="BE97" s="295">
        <f t="shared" si="18"/>
        <v>1.4056633777562847E-3</v>
      </c>
      <c r="BF97" s="295">
        <f t="shared" si="18"/>
        <v>3.6931671390047666E-5</v>
      </c>
      <c r="BG97" s="295">
        <f t="shared" si="18"/>
        <v>0</v>
      </c>
      <c r="BH97" s="295">
        <f t="shared" si="18"/>
        <v>0</v>
      </c>
      <c r="BI97" s="295">
        <f t="shared" si="18"/>
        <v>0</v>
      </c>
      <c r="BJ97" s="296">
        <f t="shared" si="18"/>
        <v>0</v>
      </c>
    </row>
    <row r="98" spans="1:62">
      <c r="A98" s="1711"/>
      <c r="B98" s="116">
        <v>10</v>
      </c>
      <c r="C98" s="316">
        <f>'CAR SEC'!D13</f>
        <v>2.4834415112032722</v>
      </c>
      <c r="D98" s="317">
        <f t="shared" si="17"/>
        <v>2.4509615598821051</v>
      </c>
      <c r="E98" s="317">
        <f t="shared" si="17"/>
        <v>2.4916561080497677</v>
      </c>
      <c r="F98" s="317">
        <f t="shared" si="17"/>
        <v>2.3709805498968808</v>
      </c>
      <c r="G98" s="317">
        <f t="shared" si="17"/>
        <v>2.3645535430668843</v>
      </c>
      <c r="H98" s="317">
        <f t="shared" si="17"/>
        <v>2.3239141178239504</v>
      </c>
      <c r="I98" s="317">
        <f t="shared" si="17"/>
        <v>2.2817351315328454</v>
      </c>
      <c r="J98" s="317">
        <f t="shared" si="17"/>
        <v>2.216275640499215</v>
      </c>
      <c r="K98" s="317">
        <f t="shared" si="17"/>
        <v>1.9820165535241967</v>
      </c>
      <c r="L98" s="317">
        <f t="shared" si="17"/>
        <v>1.9435794539464932</v>
      </c>
      <c r="M98" s="317">
        <f t="shared" si="17"/>
        <v>1.9346472787585058</v>
      </c>
      <c r="N98" s="317">
        <f t="shared" si="17"/>
        <v>0</v>
      </c>
      <c r="O98" s="317">
        <f t="shared" si="17"/>
        <v>0</v>
      </c>
      <c r="P98" s="317">
        <f t="shared" si="17"/>
        <v>0</v>
      </c>
      <c r="Q98" s="317">
        <f t="shared" si="17"/>
        <v>0</v>
      </c>
      <c r="R98" s="317">
        <f t="shared" si="17"/>
        <v>0</v>
      </c>
      <c r="S98" s="317">
        <f t="shared" si="17"/>
        <v>0</v>
      </c>
      <c r="T98" s="317">
        <f t="shared" si="16"/>
        <v>0</v>
      </c>
      <c r="U98" s="317">
        <f t="shared" si="16"/>
        <v>0</v>
      </c>
      <c r="V98" s="317">
        <f t="shared" si="16"/>
        <v>0</v>
      </c>
      <c r="W98" s="317">
        <f t="shared" si="16"/>
        <v>0</v>
      </c>
      <c r="X98" s="317">
        <f t="shared" si="16"/>
        <v>0</v>
      </c>
      <c r="Y98" s="317">
        <f t="shared" si="16"/>
        <v>0</v>
      </c>
      <c r="Z98" s="317">
        <f t="shared" si="16"/>
        <v>0</v>
      </c>
      <c r="AA98" s="317">
        <f t="shared" si="16"/>
        <v>0</v>
      </c>
      <c r="AB98" s="317">
        <f t="shared" si="16"/>
        <v>0</v>
      </c>
      <c r="AC98" s="317">
        <f t="shared" si="16"/>
        <v>0</v>
      </c>
      <c r="AD98" s="317">
        <f t="shared" si="16"/>
        <v>0</v>
      </c>
      <c r="AE98" s="318">
        <f t="shared" si="16"/>
        <v>0</v>
      </c>
      <c r="AG98" s="578" t="s">
        <v>55</v>
      </c>
      <c r="AH98" s="294">
        <f t="shared" si="14"/>
        <v>23549604.769112103</v>
      </c>
      <c r="AI98" s="295">
        <f t="shared" si="18"/>
        <v>23078612.673729863</v>
      </c>
      <c r="AJ98" s="295">
        <f t="shared" si="18"/>
        <v>22617040.420255266</v>
      </c>
      <c r="AK98" s="295">
        <f t="shared" si="18"/>
        <v>22164699.611850161</v>
      </c>
      <c r="AL98" s="295">
        <f t="shared" si="18"/>
        <v>21721322.809542406</v>
      </c>
      <c r="AM98" s="295">
        <f t="shared" si="18"/>
        <v>21282698.43841143</v>
      </c>
      <c r="AN98" s="295">
        <f t="shared" si="18"/>
        <v>20785928.433890104</v>
      </c>
      <c r="AO98" s="295">
        <f t="shared" si="18"/>
        <v>19893611.041728988</v>
      </c>
      <c r="AP98" s="295">
        <f t="shared" si="18"/>
        <v>18147111.991800059</v>
      </c>
      <c r="AQ98" s="295">
        <f t="shared" si="18"/>
        <v>15179017.373422751</v>
      </c>
      <c r="AR98" s="295">
        <f t="shared" si="18"/>
        <v>11205387.984447522</v>
      </c>
      <c r="AS98" s="295">
        <f t="shared" si="18"/>
        <v>7073548.829521805</v>
      </c>
      <c r="AT98" s="295">
        <f t="shared" si="18"/>
        <v>3673581.1936740726</v>
      </c>
      <c r="AU98" s="295">
        <f t="shared" si="18"/>
        <v>1532206.761697612</v>
      </c>
      <c r="AV98" s="295">
        <f t="shared" si="18"/>
        <v>499746.62965710752</v>
      </c>
      <c r="AW98" s="295">
        <f t="shared" si="18"/>
        <v>126239.76653376348</v>
      </c>
      <c r="AX98" s="295">
        <f t="shared" si="18"/>
        <v>28782.306843595339</v>
      </c>
      <c r="AY98" s="295">
        <f t="shared" si="18"/>
        <v>5932.8684858208262</v>
      </c>
      <c r="AZ98" s="295">
        <f t="shared" si="18"/>
        <v>1070.6380429524236</v>
      </c>
      <c r="BA98" s="295">
        <f t="shared" si="18"/>
        <v>165.70079524532466</v>
      </c>
      <c r="BB98" s="295">
        <f t="shared" si="18"/>
        <v>21.38437320164007</v>
      </c>
      <c r="BC98" s="295">
        <f t="shared" si="18"/>
        <v>2.2092792571922373</v>
      </c>
      <c r="BD98" s="295">
        <f t="shared" si="18"/>
        <v>0.17130867929221738</v>
      </c>
      <c r="BE98" s="295">
        <f t="shared" si="18"/>
        <v>8.8624068409858519E-3</v>
      </c>
      <c r="BF98" s="295">
        <f t="shared" si="18"/>
        <v>2.2943005838103346E-4</v>
      </c>
      <c r="BG98" s="295">
        <f t="shared" si="18"/>
        <v>0</v>
      </c>
      <c r="BH98" s="295">
        <f t="shared" si="18"/>
        <v>0</v>
      </c>
      <c r="BI98" s="295">
        <f t="shared" si="18"/>
        <v>0</v>
      </c>
      <c r="BJ98" s="296">
        <f t="shared" si="18"/>
        <v>0</v>
      </c>
    </row>
    <row r="99" spans="1:62" ht="15.75" thickBot="1">
      <c r="A99" s="1711"/>
      <c r="B99" s="116">
        <v>11</v>
      </c>
      <c r="C99" s="316">
        <f>'CAR SEC'!D14</f>
        <v>2.4156380536902002</v>
      </c>
      <c r="D99" s="317">
        <f t="shared" si="17"/>
        <v>2.4834415112032722</v>
      </c>
      <c r="E99" s="317">
        <f t="shared" si="17"/>
        <v>2.4509615598821051</v>
      </c>
      <c r="F99" s="317">
        <f t="shared" si="17"/>
        <v>2.4916561080497677</v>
      </c>
      <c r="G99" s="317">
        <f t="shared" si="17"/>
        <v>2.3709805498968808</v>
      </c>
      <c r="H99" s="317">
        <f t="shared" si="17"/>
        <v>2.3645535430668843</v>
      </c>
      <c r="I99" s="317">
        <f t="shared" si="17"/>
        <v>2.3239141178239504</v>
      </c>
      <c r="J99" s="317">
        <f t="shared" si="17"/>
        <v>2.2817351315328454</v>
      </c>
      <c r="K99" s="317">
        <f t="shared" si="17"/>
        <v>2.216275640499215</v>
      </c>
      <c r="L99" s="317">
        <f t="shared" si="17"/>
        <v>1.9820165535241967</v>
      </c>
      <c r="M99" s="317">
        <f t="shared" si="17"/>
        <v>1.9435794539464932</v>
      </c>
      <c r="N99" s="317">
        <f t="shared" si="17"/>
        <v>1.9346472787585058</v>
      </c>
      <c r="O99" s="317">
        <f t="shared" si="17"/>
        <v>0</v>
      </c>
      <c r="P99" s="317">
        <f t="shared" si="17"/>
        <v>0</v>
      </c>
      <c r="Q99" s="317">
        <f t="shared" si="17"/>
        <v>0</v>
      </c>
      <c r="R99" s="317">
        <f t="shared" si="17"/>
        <v>0</v>
      </c>
      <c r="S99" s="317">
        <f t="shared" si="17"/>
        <v>0</v>
      </c>
      <c r="T99" s="317">
        <f t="shared" si="16"/>
        <v>0</v>
      </c>
      <c r="U99" s="317">
        <f t="shared" si="16"/>
        <v>0</v>
      </c>
      <c r="V99" s="317">
        <f t="shared" si="16"/>
        <v>0</v>
      </c>
      <c r="W99" s="317">
        <f t="shared" si="16"/>
        <v>0</v>
      </c>
      <c r="X99" s="317">
        <f t="shared" si="16"/>
        <v>0</v>
      </c>
      <c r="Y99" s="317">
        <f t="shared" si="16"/>
        <v>0</v>
      </c>
      <c r="Z99" s="317">
        <f t="shared" si="16"/>
        <v>0</v>
      </c>
      <c r="AA99" s="317">
        <f t="shared" si="16"/>
        <v>0</v>
      </c>
      <c r="AB99" s="317">
        <f t="shared" si="16"/>
        <v>0</v>
      </c>
      <c r="AC99" s="317">
        <f t="shared" si="16"/>
        <v>0</v>
      </c>
      <c r="AD99" s="317">
        <f t="shared" si="16"/>
        <v>0</v>
      </c>
      <c r="AE99" s="318">
        <f t="shared" si="16"/>
        <v>0</v>
      </c>
      <c r="AG99" s="579" t="s">
        <v>56</v>
      </c>
      <c r="AH99" s="335">
        <f t="shared" si="14"/>
        <v>26946539.196422249</v>
      </c>
      <c r="AI99" s="336">
        <f t="shared" si="18"/>
        <v>26330536.643612493</v>
      </c>
      <c r="AJ99" s="336">
        <f t="shared" si="18"/>
        <v>25695686.700400703</v>
      </c>
      <c r="AK99" s="336">
        <f t="shared" si="18"/>
        <v>24921991.094960652</v>
      </c>
      <c r="AL99" s="336">
        <f t="shared" si="18"/>
        <v>23618405.836980272</v>
      </c>
      <c r="AM99" s="336">
        <f t="shared" si="18"/>
        <v>21309220.651879597</v>
      </c>
      <c r="AN99" s="336">
        <f t="shared" si="18"/>
        <v>17926604.46161662</v>
      </c>
      <c r="AO99" s="336">
        <f t="shared" si="18"/>
        <v>14011552.898860756</v>
      </c>
      <c r="AP99" s="336">
        <f t="shared" si="18"/>
        <v>10217079.37395394</v>
      </c>
      <c r="AQ99" s="336">
        <f t="shared" si="18"/>
        <v>6992664.5790116414</v>
      </c>
      <c r="AR99" s="336">
        <f t="shared" si="18"/>
        <v>4443738.1382953124</v>
      </c>
      <c r="AS99" s="336">
        <f t="shared" si="18"/>
        <v>2556489.1573513793</v>
      </c>
      <c r="AT99" s="336">
        <f t="shared" si="18"/>
        <v>1283419.5039073383</v>
      </c>
      <c r="AU99" s="336">
        <f t="shared" si="18"/>
        <v>539158.23035959317</v>
      </c>
      <c r="AV99" s="336">
        <f t="shared" si="18"/>
        <v>186211.63803821281</v>
      </c>
      <c r="AW99" s="336">
        <f t="shared" si="18"/>
        <v>52937.194019160663</v>
      </c>
      <c r="AX99" s="336">
        <f t="shared" si="18"/>
        <v>13623.788816396358</v>
      </c>
      <c r="AY99" s="336">
        <f t="shared" si="18"/>
        <v>3162.9002347864011</v>
      </c>
      <c r="AZ99" s="336">
        <f t="shared" si="18"/>
        <v>643.40418810063375</v>
      </c>
      <c r="BA99" s="336">
        <f t="shared" si="18"/>
        <v>112.32477807111319</v>
      </c>
      <c r="BB99" s="336">
        <f t="shared" si="18"/>
        <v>16.360210536740887</v>
      </c>
      <c r="BC99" s="336">
        <f t="shared" si="18"/>
        <v>1.9084729241849108</v>
      </c>
      <c r="BD99" s="336">
        <f t="shared" si="18"/>
        <v>0.16717043655955824</v>
      </c>
      <c r="BE99" s="336">
        <f t="shared" si="18"/>
        <v>9.7748519384605742E-3</v>
      </c>
      <c r="BF99" s="336">
        <f t="shared" si="18"/>
        <v>2.8621087701561981E-4</v>
      </c>
      <c r="BG99" s="336">
        <f t="shared" si="18"/>
        <v>0</v>
      </c>
      <c r="BH99" s="336">
        <f t="shared" si="18"/>
        <v>0</v>
      </c>
      <c r="BI99" s="336">
        <f t="shared" si="18"/>
        <v>0</v>
      </c>
      <c r="BJ99" s="337">
        <f t="shared" si="18"/>
        <v>0</v>
      </c>
    </row>
    <row r="100" spans="1:62" ht="15.75" thickBot="1">
      <c r="A100" s="1711"/>
      <c r="B100" s="116">
        <v>12</v>
      </c>
      <c r="C100" s="316">
        <f>'CAR SEC'!D15</f>
        <v>2.4239552037141037</v>
      </c>
      <c r="D100" s="317">
        <f t="shared" si="17"/>
        <v>2.4156380536902002</v>
      </c>
      <c r="E100" s="317">
        <f t="shared" si="17"/>
        <v>2.4834415112032722</v>
      </c>
      <c r="F100" s="317">
        <f t="shared" si="17"/>
        <v>2.4509615598821051</v>
      </c>
      <c r="G100" s="317">
        <f t="shared" si="17"/>
        <v>2.4916561080497677</v>
      </c>
      <c r="H100" s="317">
        <f t="shared" si="17"/>
        <v>2.3709805498968808</v>
      </c>
      <c r="I100" s="317">
        <f t="shared" si="17"/>
        <v>2.3645535430668843</v>
      </c>
      <c r="J100" s="317">
        <f t="shared" si="17"/>
        <v>2.3239141178239504</v>
      </c>
      <c r="K100" s="317">
        <f t="shared" si="17"/>
        <v>2.2817351315328454</v>
      </c>
      <c r="L100" s="317">
        <f t="shared" si="17"/>
        <v>2.216275640499215</v>
      </c>
      <c r="M100" s="317">
        <f t="shared" si="17"/>
        <v>1.9820165535241967</v>
      </c>
      <c r="N100" s="317">
        <f t="shared" si="17"/>
        <v>1.9435794539464932</v>
      </c>
      <c r="O100" s="317">
        <f t="shared" si="17"/>
        <v>1.9346472787585058</v>
      </c>
      <c r="P100" s="317">
        <f t="shared" si="17"/>
        <v>0</v>
      </c>
      <c r="Q100" s="317">
        <f t="shared" si="17"/>
        <v>0</v>
      </c>
      <c r="R100" s="317">
        <f t="shared" si="17"/>
        <v>0</v>
      </c>
      <c r="S100" s="317">
        <f t="shared" si="17"/>
        <v>0</v>
      </c>
      <c r="T100" s="317">
        <f t="shared" si="16"/>
        <v>0</v>
      </c>
      <c r="U100" s="317">
        <f t="shared" si="16"/>
        <v>0</v>
      </c>
      <c r="V100" s="317">
        <f t="shared" si="16"/>
        <v>0</v>
      </c>
      <c r="W100" s="317">
        <f t="shared" si="16"/>
        <v>0</v>
      </c>
      <c r="X100" s="317">
        <f t="shared" si="16"/>
        <v>0</v>
      </c>
      <c r="Y100" s="317">
        <f t="shared" si="16"/>
        <v>0</v>
      </c>
      <c r="Z100" s="317">
        <f t="shared" si="16"/>
        <v>0</v>
      </c>
      <c r="AA100" s="317">
        <f t="shared" si="16"/>
        <v>0</v>
      </c>
      <c r="AB100" s="317">
        <f t="shared" si="16"/>
        <v>0</v>
      </c>
      <c r="AC100" s="317">
        <f t="shared" si="16"/>
        <v>0</v>
      </c>
      <c r="AD100" s="317">
        <f t="shared" si="16"/>
        <v>0</v>
      </c>
      <c r="AE100" s="318">
        <f t="shared" si="16"/>
        <v>0</v>
      </c>
    </row>
    <row r="101" spans="1:62" ht="15.75" thickBot="1">
      <c r="A101" s="1711"/>
      <c r="B101" s="116">
        <v>13</v>
      </c>
      <c r="C101" s="316">
        <f>'CAR SEC'!D16</f>
        <v>2.4658273826760406</v>
      </c>
      <c r="D101" s="317">
        <f t="shared" si="17"/>
        <v>2.4239552037141037</v>
      </c>
      <c r="E101" s="317">
        <f t="shared" si="17"/>
        <v>2.4156380536902002</v>
      </c>
      <c r="F101" s="317">
        <f t="shared" si="17"/>
        <v>2.4834415112032722</v>
      </c>
      <c r="G101" s="317">
        <f t="shared" si="17"/>
        <v>2.4509615598821051</v>
      </c>
      <c r="H101" s="317">
        <f t="shared" si="17"/>
        <v>2.4916561080497677</v>
      </c>
      <c r="I101" s="317">
        <f t="shared" si="17"/>
        <v>2.3709805498968808</v>
      </c>
      <c r="J101" s="317">
        <f t="shared" si="17"/>
        <v>2.3645535430668843</v>
      </c>
      <c r="K101" s="317">
        <f t="shared" si="17"/>
        <v>2.3239141178239504</v>
      </c>
      <c r="L101" s="317">
        <f t="shared" si="17"/>
        <v>2.2817351315328454</v>
      </c>
      <c r="M101" s="317">
        <f t="shared" si="17"/>
        <v>2.216275640499215</v>
      </c>
      <c r="N101" s="317">
        <f t="shared" si="17"/>
        <v>1.9820165535241967</v>
      </c>
      <c r="O101" s="317">
        <f t="shared" si="17"/>
        <v>1.9435794539464932</v>
      </c>
      <c r="P101" s="317">
        <f t="shared" si="17"/>
        <v>1.9346472787585058</v>
      </c>
      <c r="Q101" s="317">
        <f t="shared" si="17"/>
        <v>0</v>
      </c>
      <c r="R101" s="317">
        <f t="shared" si="17"/>
        <v>0</v>
      </c>
      <c r="S101" s="317">
        <f t="shared" si="17"/>
        <v>0</v>
      </c>
      <c r="T101" s="317">
        <f t="shared" si="16"/>
        <v>0</v>
      </c>
      <c r="U101" s="317">
        <f t="shared" si="16"/>
        <v>0</v>
      </c>
      <c r="V101" s="317">
        <f t="shared" si="16"/>
        <v>0</v>
      </c>
      <c r="W101" s="317">
        <f t="shared" si="16"/>
        <v>0</v>
      </c>
      <c r="X101" s="317">
        <f t="shared" si="16"/>
        <v>0</v>
      </c>
      <c r="Y101" s="317">
        <f t="shared" si="16"/>
        <v>0</v>
      </c>
      <c r="Z101" s="317">
        <f t="shared" si="16"/>
        <v>0</v>
      </c>
      <c r="AA101" s="317">
        <f t="shared" si="16"/>
        <v>0</v>
      </c>
      <c r="AB101" s="317">
        <f t="shared" si="16"/>
        <v>0</v>
      </c>
      <c r="AC101" s="317">
        <f t="shared" si="16"/>
        <v>0</v>
      </c>
      <c r="AD101" s="317">
        <f t="shared" si="16"/>
        <v>0</v>
      </c>
      <c r="AE101" s="318">
        <f t="shared" si="16"/>
        <v>0</v>
      </c>
      <c r="AG101" s="571" t="s">
        <v>647</v>
      </c>
      <c r="AH101" s="288">
        <v>2012</v>
      </c>
      <c r="AI101" s="289">
        <v>2013</v>
      </c>
      <c r="AJ101" s="289">
        <v>2014</v>
      </c>
      <c r="AK101" s="289">
        <v>2015</v>
      </c>
      <c r="AL101" s="288">
        <v>2016</v>
      </c>
      <c r="AM101" s="289">
        <v>2017</v>
      </c>
      <c r="AN101" s="289">
        <v>2018</v>
      </c>
      <c r="AO101" s="289">
        <v>2019</v>
      </c>
      <c r="AP101" s="288">
        <v>2020</v>
      </c>
      <c r="AQ101" s="289">
        <v>2021</v>
      </c>
      <c r="AR101" s="289">
        <v>2022</v>
      </c>
      <c r="AS101" s="289">
        <v>2023</v>
      </c>
      <c r="AT101" s="288">
        <v>2024</v>
      </c>
      <c r="AU101" s="289">
        <v>2025</v>
      </c>
      <c r="AV101" s="289">
        <v>2026</v>
      </c>
      <c r="AW101" s="289">
        <v>2027</v>
      </c>
      <c r="AX101" s="288">
        <v>2028</v>
      </c>
      <c r="AY101" s="289">
        <v>2029</v>
      </c>
      <c r="AZ101" s="289">
        <v>2030</v>
      </c>
      <c r="BA101" s="289">
        <v>2031</v>
      </c>
      <c r="BB101" s="288">
        <v>2032</v>
      </c>
      <c r="BC101" s="289">
        <v>2033</v>
      </c>
      <c r="BD101" s="289">
        <v>2034</v>
      </c>
      <c r="BE101" s="289">
        <v>2035</v>
      </c>
      <c r="BF101" s="288">
        <v>2036</v>
      </c>
      <c r="BG101" s="289">
        <v>2037</v>
      </c>
      <c r="BH101" s="289">
        <v>2038</v>
      </c>
      <c r="BI101" s="289">
        <v>2039</v>
      </c>
      <c r="BJ101" s="290">
        <v>2040</v>
      </c>
    </row>
    <row r="102" spans="1:62">
      <c r="A102" s="1711"/>
      <c r="B102" s="116">
        <v>14</v>
      </c>
      <c r="C102" s="316">
        <f>'CAR SEC'!D17</f>
        <v>2.475755584138164</v>
      </c>
      <c r="D102" s="317">
        <f t="shared" si="17"/>
        <v>2.4658273826760406</v>
      </c>
      <c r="E102" s="317">
        <f t="shared" si="17"/>
        <v>2.4239552037141037</v>
      </c>
      <c r="F102" s="317">
        <f t="shared" si="17"/>
        <v>2.4156380536902002</v>
      </c>
      <c r="G102" s="317">
        <f t="shared" si="17"/>
        <v>2.4834415112032722</v>
      </c>
      <c r="H102" s="317">
        <f t="shared" si="17"/>
        <v>2.4509615598821051</v>
      </c>
      <c r="I102" s="317">
        <f t="shared" si="17"/>
        <v>2.4916561080497677</v>
      </c>
      <c r="J102" s="317">
        <f t="shared" si="17"/>
        <v>2.3709805498968808</v>
      </c>
      <c r="K102" s="317">
        <f t="shared" si="17"/>
        <v>2.3645535430668843</v>
      </c>
      <c r="L102" s="317">
        <f t="shared" si="17"/>
        <v>2.3239141178239504</v>
      </c>
      <c r="M102" s="317">
        <f t="shared" si="17"/>
        <v>2.2817351315328454</v>
      </c>
      <c r="N102" s="317">
        <f t="shared" si="17"/>
        <v>2.216275640499215</v>
      </c>
      <c r="O102" s="317">
        <f t="shared" si="17"/>
        <v>1.9820165535241967</v>
      </c>
      <c r="P102" s="317">
        <f t="shared" si="17"/>
        <v>1.9435794539464932</v>
      </c>
      <c r="Q102" s="317">
        <f t="shared" si="17"/>
        <v>1.9346472787585058</v>
      </c>
      <c r="R102" s="317">
        <f t="shared" si="17"/>
        <v>0</v>
      </c>
      <c r="S102" s="317">
        <f t="shared" si="17"/>
        <v>0</v>
      </c>
      <c r="T102" s="317">
        <f t="shared" si="16"/>
        <v>0</v>
      </c>
      <c r="U102" s="317">
        <f t="shared" si="16"/>
        <v>0</v>
      </c>
      <c r="V102" s="317">
        <f t="shared" si="16"/>
        <v>0</v>
      </c>
      <c r="W102" s="317">
        <f t="shared" si="16"/>
        <v>0</v>
      </c>
      <c r="X102" s="317">
        <f t="shared" si="16"/>
        <v>0</v>
      </c>
      <c r="Y102" s="317">
        <f t="shared" si="16"/>
        <v>0</v>
      </c>
      <c r="Z102" s="317">
        <f t="shared" si="16"/>
        <v>0</v>
      </c>
      <c r="AA102" s="317">
        <f t="shared" si="16"/>
        <v>0</v>
      </c>
      <c r="AB102" s="317">
        <f t="shared" si="16"/>
        <v>0</v>
      </c>
      <c r="AC102" s="317">
        <f t="shared" si="16"/>
        <v>0</v>
      </c>
      <c r="AD102" s="317">
        <f t="shared" si="16"/>
        <v>0</v>
      </c>
      <c r="AE102" s="318">
        <f t="shared" si="16"/>
        <v>0</v>
      </c>
      <c r="AG102" s="577" t="s">
        <v>41</v>
      </c>
      <c r="AH102" s="291">
        <f>AH84*AH30</f>
        <v>2078573251.4001293</v>
      </c>
      <c r="AI102" s="292">
        <f t="shared" ref="AI102:BJ111" si="19">AI84*AI30</f>
        <v>1549363824.4426866</v>
      </c>
      <c r="AJ102" s="292">
        <f t="shared" si="19"/>
        <v>1177591509.3982096</v>
      </c>
      <c r="AK102" s="292">
        <f t="shared" si="19"/>
        <v>914379761.41891932</v>
      </c>
      <c r="AL102" s="292">
        <f t="shared" si="19"/>
        <v>721953610.0416671</v>
      </c>
      <c r="AM102" s="292">
        <f t="shared" si="19"/>
        <v>568660211.90885723</v>
      </c>
      <c r="AN102" s="292">
        <f t="shared" si="19"/>
        <v>439315680.03487432</v>
      </c>
      <c r="AO102" s="292">
        <f t="shared" si="19"/>
        <v>330939102.4481805</v>
      </c>
      <c r="AP102" s="292">
        <f t="shared" si="19"/>
        <v>243000283.19846904</v>
      </c>
      <c r="AQ102" s="292">
        <f t="shared" si="19"/>
        <v>173624624.83814818</v>
      </c>
      <c r="AR102" s="292">
        <f t="shared" si="19"/>
        <v>119162841.78182143</v>
      </c>
      <c r="AS102" s="292">
        <f t="shared" si="19"/>
        <v>76514069.109263137</v>
      </c>
      <c r="AT102" s="292">
        <f t="shared" si="19"/>
        <v>44240379.127471939</v>
      </c>
      <c r="AU102" s="292">
        <f t="shared" si="19"/>
        <v>21908613.297988698</v>
      </c>
      <c r="AV102" s="292">
        <f t="shared" si="19"/>
        <v>8890954.5834547635</v>
      </c>
      <c r="AW102" s="292">
        <f t="shared" si="19"/>
        <v>2879354.8414145471</v>
      </c>
      <c r="AX102" s="292">
        <f t="shared" si="19"/>
        <v>844239.73808266583</v>
      </c>
      <c r="AY102" s="292">
        <f t="shared" si="19"/>
        <v>223549.06868832346</v>
      </c>
      <c r="AZ102" s="292">
        <f t="shared" si="19"/>
        <v>51884.447247973367</v>
      </c>
      <c r="BA102" s="292">
        <f t="shared" si="19"/>
        <v>10337.438892095839</v>
      </c>
      <c r="BB102" s="292">
        <f t="shared" si="19"/>
        <v>1718.691894874313</v>
      </c>
      <c r="BC102" s="292">
        <f t="shared" si="19"/>
        <v>228.88498376166669</v>
      </c>
      <c r="BD102" s="292">
        <f t="shared" si="19"/>
        <v>22.888389945257696</v>
      </c>
      <c r="BE102" s="292">
        <f t="shared" si="19"/>
        <v>1.527673688233266</v>
      </c>
      <c r="BF102" s="292">
        <f t="shared" si="19"/>
        <v>5.1042606789695529E-2</v>
      </c>
      <c r="BG102" s="292">
        <f t="shared" si="19"/>
        <v>0</v>
      </c>
      <c r="BH102" s="292">
        <f t="shared" si="19"/>
        <v>0</v>
      </c>
      <c r="BI102" s="292">
        <f t="shared" si="19"/>
        <v>0</v>
      </c>
      <c r="BJ102" s="293">
        <f t="shared" si="19"/>
        <v>0</v>
      </c>
    </row>
    <row r="103" spans="1:62">
      <c r="A103" s="1711"/>
      <c r="B103" s="116">
        <v>15</v>
      </c>
      <c r="C103" s="316">
        <f>'CAR SEC'!D18</f>
        <v>2.4864415298777733</v>
      </c>
      <c r="D103" s="317">
        <f t="shared" si="17"/>
        <v>2.475755584138164</v>
      </c>
      <c r="E103" s="317">
        <f t="shared" si="17"/>
        <v>2.4658273826760406</v>
      </c>
      <c r="F103" s="317">
        <f t="shared" si="17"/>
        <v>2.4239552037141037</v>
      </c>
      <c r="G103" s="317">
        <f t="shared" si="17"/>
        <v>2.4156380536902002</v>
      </c>
      <c r="H103" s="317">
        <f t="shared" si="17"/>
        <v>2.4834415112032722</v>
      </c>
      <c r="I103" s="317">
        <f t="shared" si="17"/>
        <v>2.4509615598821051</v>
      </c>
      <c r="J103" s="317">
        <f t="shared" si="17"/>
        <v>2.4916561080497677</v>
      </c>
      <c r="K103" s="317">
        <f t="shared" si="17"/>
        <v>2.3709805498968808</v>
      </c>
      <c r="L103" s="317">
        <f t="shared" si="17"/>
        <v>2.3645535430668843</v>
      </c>
      <c r="M103" s="317">
        <f t="shared" si="17"/>
        <v>2.3239141178239504</v>
      </c>
      <c r="N103" s="317">
        <f t="shared" si="17"/>
        <v>2.2817351315328454</v>
      </c>
      <c r="O103" s="317">
        <f t="shared" si="17"/>
        <v>2.216275640499215</v>
      </c>
      <c r="P103" s="317">
        <f t="shared" si="17"/>
        <v>1.9820165535241967</v>
      </c>
      <c r="Q103" s="317">
        <f t="shared" si="17"/>
        <v>1.9435794539464932</v>
      </c>
      <c r="R103" s="317">
        <f t="shared" si="17"/>
        <v>1.9346472787585058</v>
      </c>
      <c r="S103" s="317">
        <f t="shared" si="17"/>
        <v>0</v>
      </c>
      <c r="T103" s="317">
        <f t="shared" si="16"/>
        <v>0</v>
      </c>
      <c r="U103" s="317">
        <f t="shared" si="16"/>
        <v>0</v>
      </c>
      <c r="V103" s="317">
        <f t="shared" si="16"/>
        <v>0</v>
      </c>
      <c r="W103" s="317">
        <f t="shared" si="16"/>
        <v>0</v>
      </c>
      <c r="X103" s="317">
        <f t="shared" si="16"/>
        <v>0</v>
      </c>
      <c r="Y103" s="317">
        <f t="shared" si="16"/>
        <v>0</v>
      </c>
      <c r="Z103" s="317">
        <f t="shared" si="16"/>
        <v>0</v>
      </c>
      <c r="AA103" s="317">
        <f t="shared" si="16"/>
        <v>0</v>
      </c>
      <c r="AB103" s="317">
        <f t="shared" si="16"/>
        <v>0</v>
      </c>
      <c r="AC103" s="317">
        <f t="shared" si="16"/>
        <v>0</v>
      </c>
      <c r="AD103" s="317">
        <f t="shared" si="16"/>
        <v>0</v>
      </c>
      <c r="AE103" s="318">
        <f t="shared" si="16"/>
        <v>0</v>
      </c>
      <c r="AG103" s="578" t="s">
        <v>42</v>
      </c>
      <c r="AH103" s="294">
        <f t="shared" ref="AH103:AW117" si="20">AH85*AH31</f>
        <v>13898930103.085438</v>
      </c>
      <c r="AI103" s="295">
        <f t="shared" si="20"/>
        <v>10908580101.294703</v>
      </c>
      <c r="AJ103" s="295">
        <f t="shared" si="20"/>
        <v>8865465669.8862343</v>
      </c>
      <c r="AK103" s="295">
        <f t="shared" si="20"/>
        <v>7257372560.5820522</v>
      </c>
      <c r="AL103" s="295">
        <f t="shared" si="20"/>
        <v>5846574190.372714</v>
      </c>
      <c r="AM103" s="295">
        <f t="shared" si="20"/>
        <v>4542532639.3641014</v>
      </c>
      <c r="AN103" s="295">
        <f t="shared" si="20"/>
        <v>3357658706.5917492</v>
      </c>
      <c r="AO103" s="295">
        <f t="shared" si="20"/>
        <v>2343519260.6624694</v>
      </c>
      <c r="AP103" s="295">
        <f t="shared" si="20"/>
        <v>1543138240.6115782</v>
      </c>
      <c r="AQ103" s="295">
        <f t="shared" si="20"/>
        <v>963023536.29412687</v>
      </c>
      <c r="AR103" s="295">
        <f t="shared" si="20"/>
        <v>566528529.33030796</v>
      </c>
      <c r="AS103" s="295">
        <f t="shared" si="20"/>
        <v>306557193.95807672</v>
      </c>
      <c r="AT103" s="295">
        <f t="shared" si="20"/>
        <v>146019953.24862579</v>
      </c>
      <c r="AU103" s="295">
        <f t="shared" si="20"/>
        <v>58137725.932337083</v>
      </c>
      <c r="AV103" s="295">
        <f t="shared" si="20"/>
        <v>18702302.836376756</v>
      </c>
      <c r="AW103" s="295">
        <f t="shared" si="20"/>
        <v>4804898.1130643915</v>
      </c>
      <c r="AX103" s="295">
        <f t="shared" si="19"/>
        <v>1117511.3729994916</v>
      </c>
      <c r="AY103" s="295">
        <f t="shared" si="19"/>
        <v>234683.86565368567</v>
      </c>
      <c r="AZ103" s="295">
        <f t="shared" si="19"/>
        <v>43192.38629616626</v>
      </c>
      <c r="BA103" s="295">
        <f t="shared" si="19"/>
        <v>6823.1008880708669</v>
      </c>
      <c r="BB103" s="295">
        <f t="shared" si="19"/>
        <v>899.29900211942049</v>
      </c>
      <c r="BC103" s="295">
        <f t="shared" si="19"/>
        <v>94.928447025141253</v>
      </c>
      <c r="BD103" s="295">
        <f t="shared" si="19"/>
        <v>7.5231675453261388</v>
      </c>
      <c r="BE103" s="295">
        <f t="shared" si="19"/>
        <v>0.39788326698922893</v>
      </c>
      <c r="BF103" s="295">
        <f t="shared" si="19"/>
        <v>1.0532554310452257E-2</v>
      </c>
      <c r="BG103" s="295">
        <f t="shared" si="19"/>
        <v>0</v>
      </c>
      <c r="BH103" s="295">
        <f t="shared" si="19"/>
        <v>0</v>
      </c>
      <c r="BI103" s="295">
        <f t="shared" si="19"/>
        <v>0</v>
      </c>
      <c r="BJ103" s="296">
        <f t="shared" si="19"/>
        <v>0</v>
      </c>
    </row>
    <row r="104" spans="1:62">
      <c r="A104" s="1711"/>
      <c r="B104" s="116">
        <v>16</v>
      </c>
      <c r="C104" s="316">
        <f>'CAR SEC'!D19</f>
        <v>2.4946527034696633</v>
      </c>
      <c r="D104" s="317">
        <f t="shared" si="17"/>
        <v>2.4864415298777733</v>
      </c>
      <c r="E104" s="317">
        <f t="shared" si="17"/>
        <v>2.475755584138164</v>
      </c>
      <c r="F104" s="317">
        <f t="shared" si="17"/>
        <v>2.4658273826760406</v>
      </c>
      <c r="G104" s="317">
        <f t="shared" si="17"/>
        <v>2.4239552037141037</v>
      </c>
      <c r="H104" s="317">
        <f t="shared" si="17"/>
        <v>2.4156380536902002</v>
      </c>
      <c r="I104" s="317">
        <f t="shared" si="17"/>
        <v>2.4834415112032722</v>
      </c>
      <c r="J104" s="317">
        <f t="shared" si="17"/>
        <v>2.4509615598821051</v>
      </c>
      <c r="K104" s="317">
        <f t="shared" si="17"/>
        <v>2.4916561080497677</v>
      </c>
      <c r="L104" s="317">
        <f t="shared" si="17"/>
        <v>2.3709805498968808</v>
      </c>
      <c r="M104" s="317">
        <f t="shared" si="17"/>
        <v>2.3645535430668843</v>
      </c>
      <c r="N104" s="317">
        <f t="shared" si="17"/>
        <v>2.3239141178239504</v>
      </c>
      <c r="O104" s="317">
        <f t="shared" si="17"/>
        <v>2.2817351315328454</v>
      </c>
      <c r="P104" s="317">
        <f t="shared" si="17"/>
        <v>2.216275640499215</v>
      </c>
      <c r="Q104" s="317">
        <f t="shared" si="17"/>
        <v>1.9820165535241967</v>
      </c>
      <c r="R104" s="317">
        <f t="shared" si="17"/>
        <v>1.9435794539464932</v>
      </c>
      <c r="S104" s="317">
        <f t="shared" si="17"/>
        <v>1.9346472787585058</v>
      </c>
      <c r="T104" s="317">
        <f t="shared" si="16"/>
        <v>0</v>
      </c>
      <c r="U104" s="317">
        <f t="shared" si="16"/>
        <v>0</v>
      </c>
      <c r="V104" s="317">
        <f t="shared" si="16"/>
        <v>0</v>
      </c>
      <c r="W104" s="317">
        <f t="shared" si="16"/>
        <v>0</v>
      </c>
      <c r="X104" s="317">
        <f t="shared" si="16"/>
        <v>0</v>
      </c>
      <c r="Y104" s="317">
        <f t="shared" si="16"/>
        <v>0</v>
      </c>
      <c r="Z104" s="317">
        <f t="shared" si="16"/>
        <v>0</v>
      </c>
      <c r="AA104" s="317">
        <f t="shared" si="16"/>
        <v>0</v>
      </c>
      <c r="AB104" s="317">
        <f t="shared" si="16"/>
        <v>0</v>
      </c>
      <c r="AC104" s="317">
        <f t="shared" si="16"/>
        <v>0</v>
      </c>
      <c r="AD104" s="317">
        <f t="shared" si="16"/>
        <v>0</v>
      </c>
      <c r="AE104" s="318">
        <f t="shared" si="16"/>
        <v>0</v>
      </c>
      <c r="AG104" s="578" t="s">
        <v>43</v>
      </c>
      <c r="AH104" s="294">
        <f t="shared" si="20"/>
        <v>8483455477.3592215</v>
      </c>
      <c r="AI104" s="295">
        <f t="shared" si="19"/>
        <v>6946334444.3128815</v>
      </c>
      <c r="AJ104" s="295">
        <f t="shared" si="19"/>
        <v>5778185492.6971693</v>
      </c>
      <c r="AK104" s="295">
        <f t="shared" si="19"/>
        <v>4745181754.5125465</v>
      </c>
      <c r="AL104" s="295">
        <f t="shared" si="19"/>
        <v>3750211942.1936655</v>
      </c>
      <c r="AM104" s="295">
        <f t="shared" si="19"/>
        <v>2782279190.2913446</v>
      </c>
      <c r="AN104" s="295">
        <f t="shared" si="19"/>
        <v>1895087711.8857503</v>
      </c>
      <c r="AO104" s="295">
        <f t="shared" si="19"/>
        <v>1161764308.0839028</v>
      </c>
      <c r="AP104" s="295">
        <f t="shared" si="19"/>
        <v>633499175.50115597</v>
      </c>
      <c r="AQ104" s="295">
        <f t="shared" si="19"/>
        <v>309865399.1770823</v>
      </c>
      <c r="AR104" s="295">
        <f t="shared" si="19"/>
        <v>139641304.88920653</v>
      </c>
      <c r="AS104" s="295">
        <f t="shared" si="19"/>
        <v>59929888.247706972</v>
      </c>
      <c r="AT104" s="295">
        <f t="shared" si="19"/>
        <v>24352060.815031137</v>
      </c>
      <c r="AU104" s="295">
        <f t="shared" si="19"/>
        <v>8756446.9651737828</v>
      </c>
      <c r="AV104" s="295">
        <f t="shared" si="19"/>
        <v>2607769.6792415739</v>
      </c>
      <c r="AW104" s="295">
        <f t="shared" si="19"/>
        <v>632733.26888945408</v>
      </c>
      <c r="AX104" s="295">
        <f t="shared" si="19"/>
        <v>139592.26466722708</v>
      </c>
      <c r="AY104" s="295">
        <f t="shared" si="19"/>
        <v>27911.343099840684</v>
      </c>
      <c r="AZ104" s="295">
        <f t="shared" si="19"/>
        <v>4906.8129131587184</v>
      </c>
      <c r="BA104" s="295">
        <f t="shared" si="19"/>
        <v>742.19672146583082</v>
      </c>
      <c r="BB104" s="295">
        <f t="shared" si="19"/>
        <v>93.823653906870092</v>
      </c>
      <c r="BC104" s="295">
        <f t="shared" si="19"/>
        <v>9.508721984581479</v>
      </c>
      <c r="BD104" s="295">
        <f t="shared" si="19"/>
        <v>0.72387384715024738</v>
      </c>
      <c r="BE104" s="295">
        <f t="shared" si="19"/>
        <v>3.6779075081858348E-2</v>
      </c>
      <c r="BF104" s="295">
        <f t="shared" si="19"/>
        <v>9.3517543459893388E-4</v>
      </c>
      <c r="BG104" s="295">
        <f t="shared" si="19"/>
        <v>0</v>
      </c>
      <c r="BH104" s="295">
        <f t="shared" si="19"/>
        <v>0</v>
      </c>
      <c r="BI104" s="295">
        <f t="shared" si="19"/>
        <v>0</v>
      </c>
      <c r="BJ104" s="296">
        <f t="shared" si="19"/>
        <v>0</v>
      </c>
    </row>
    <row r="105" spans="1:62">
      <c r="A105" s="1711"/>
      <c r="B105" s="116">
        <v>17</v>
      </c>
      <c r="C105" s="316">
        <f>'CAR SEC'!D20</f>
        <v>2.4937981878512785</v>
      </c>
      <c r="D105" s="317">
        <f t="shared" si="17"/>
        <v>2.4946527034696633</v>
      </c>
      <c r="E105" s="317">
        <f t="shared" si="17"/>
        <v>2.4864415298777733</v>
      </c>
      <c r="F105" s="317">
        <f t="shared" si="17"/>
        <v>2.475755584138164</v>
      </c>
      <c r="G105" s="317">
        <f t="shared" si="17"/>
        <v>2.4658273826760406</v>
      </c>
      <c r="H105" s="317">
        <f t="shared" si="17"/>
        <v>2.4239552037141037</v>
      </c>
      <c r="I105" s="317">
        <f t="shared" si="17"/>
        <v>2.4156380536902002</v>
      </c>
      <c r="J105" s="317">
        <f t="shared" si="17"/>
        <v>2.4834415112032722</v>
      </c>
      <c r="K105" s="317">
        <f t="shared" si="17"/>
        <v>2.4509615598821051</v>
      </c>
      <c r="L105" s="317">
        <f t="shared" si="17"/>
        <v>2.4916561080497677</v>
      </c>
      <c r="M105" s="317">
        <f t="shared" si="17"/>
        <v>2.3709805498968808</v>
      </c>
      <c r="N105" s="317">
        <f t="shared" si="17"/>
        <v>2.3645535430668843</v>
      </c>
      <c r="O105" s="317">
        <f t="shared" si="17"/>
        <v>2.3239141178239504</v>
      </c>
      <c r="P105" s="317">
        <f t="shared" si="17"/>
        <v>2.2817351315328454</v>
      </c>
      <c r="Q105" s="317">
        <f t="shared" si="17"/>
        <v>2.216275640499215</v>
      </c>
      <c r="R105" s="317">
        <f t="shared" si="17"/>
        <v>1.9820165535241967</v>
      </c>
      <c r="S105" s="317">
        <f t="shared" ref="S105:AE113" si="21">R104</f>
        <v>1.9435794539464932</v>
      </c>
      <c r="T105" s="317">
        <f t="shared" si="21"/>
        <v>1.9346472787585058</v>
      </c>
      <c r="U105" s="317">
        <f t="shared" si="21"/>
        <v>0</v>
      </c>
      <c r="V105" s="317">
        <f t="shared" si="21"/>
        <v>0</v>
      </c>
      <c r="W105" s="317">
        <f t="shared" si="21"/>
        <v>0</v>
      </c>
      <c r="X105" s="317">
        <f t="shared" si="21"/>
        <v>0</v>
      </c>
      <c r="Y105" s="317">
        <f t="shared" si="21"/>
        <v>0</v>
      </c>
      <c r="Z105" s="317">
        <f t="shared" si="21"/>
        <v>0</v>
      </c>
      <c r="AA105" s="317">
        <f t="shared" si="21"/>
        <v>0</v>
      </c>
      <c r="AB105" s="317">
        <f t="shared" si="21"/>
        <v>0</v>
      </c>
      <c r="AC105" s="317">
        <f t="shared" si="21"/>
        <v>0</v>
      </c>
      <c r="AD105" s="317">
        <f t="shared" si="21"/>
        <v>0</v>
      </c>
      <c r="AE105" s="318">
        <f t="shared" si="21"/>
        <v>0</v>
      </c>
      <c r="AG105" s="578" t="s">
        <v>44</v>
      </c>
      <c r="AH105" s="294">
        <f t="shared" si="20"/>
        <v>2844192926.1094661</v>
      </c>
      <c r="AI105" s="295">
        <f t="shared" si="19"/>
        <v>2188654026.4653955</v>
      </c>
      <c r="AJ105" s="295">
        <f t="shared" si="19"/>
        <v>1726666159.3177898</v>
      </c>
      <c r="AK105" s="295">
        <f t="shared" si="19"/>
        <v>1358474251.2223241</v>
      </c>
      <c r="AL105" s="295">
        <f t="shared" si="19"/>
        <v>1040738154.4084704</v>
      </c>
      <c r="AM105" s="295">
        <f t="shared" si="19"/>
        <v>755548272.27348197</v>
      </c>
      <c r="AN105" s="295">
        <f t="shared" si="19"/>
        <v>505370137.66750127</v>
      </c>
      <c r="AO105" s="295">
        <f t="shared" si="19"/>
        <v>304262708.2401849</v>
      </c>
      <c r="AP105" s="295">
        <f t="shared" si="19"/>
        <v>162373819.9587228</v>
      </c>
      <c r="AQ105" s="295">
        <f t="shared" si="19"/>
        <v>76611261.909754962</v>
      </c>
      <c r="AR105" s="295">
        <f t="shared" si="19"/>
        <v>32398251.573539019</v>
      </c>
      <c r="AS105" s="295">
        <f t="shared" si="19"/>
        <v>12651965.054358324</v>
      </c>
      <c r="AT105" s="295">
        <f t="shared" si="19"/>
        <v>4670335.0506463414</v>
      </c>
      <c r="AU105" s="295">
        <f t="shared" si="19"/>
        <v>1576158.5120719355</v>
      </c>
      <c r="AV105" s="295">
        <f t="shared" si="19"/>
        <v>471327.35925446922</v>
      </c>
      <c r="AW105" s="295">
        <f t="shared" si="19"/>
        <v>122940.5543291402</v>
      </c>
      <c r="AX105" s="295">
        <f t="shared" si="19"/>
        <v>29389.97428759071</v>
      </c>
      <c r="AY105" s="295">
        <f t="shared" si="19"/>
        <v>6396.894268123423</v>
      </c>
      <c r="AZ105" s="295">
        <f t="shared" si="19"/>
        <v>1233.9028534210406</v>
      </c>
      <c r="BA105" s="295">
        <f t="shared" si="19"/>
        <v>206.20030091514576</v>
      </c>
      <c r="BB105" s="295">
        <f t="shared" si="19"/>
        <v>28.964416961876346</v>
      </c>
      <c r="BC105" s="295">
        <f t="shared" si="19"/>
        <v>3.2771270452234358</v>
      </c>
      <c r="BD105" s="295">
        <f t="shared" si="19"/>
        <v>0.27961189431852113</v>
      </c>
      <c r="BE105" s="295">
        <f t="shared" si="19"/>
        <v>1.5979412804358082E-2</v>
      </c>
      <c r="BF105" s="295">
        <f t="shared" si="19"/>
        <v>4.5868683904276065E-4</v>
      </c>
      <c r="BG105" s="295">
        <f t="shared" si="19"/>
        <v>0</v>
      </c>
      <c r="BH105" s="295">
        <f t="shared" si="19"/>
        <v>0</v>
      </c>
      <c r="BI105" s="295">
        <f t="shared" si="19"/>
        <v>0</v>
      </c>
      <c r="BJ105" s="296">
        <f t="shared" si="19"/>
        <v>0</v>
      </c>
    </row>
    <row r="106" spans="1:62">
      <c r="A106" s="1711"/>
      <c r="B106" s="116">
        <v>18</v>
      </c>
      <c r="C106" s="316">
        <f>'CAR SEC'!D21</f>
        <v>2.4948902156410151</v>
      </c>
      <c r="D106" s="317">
        <f t="shared" ref="D106:S113" si="22">C105</f>
        <v>2.4937981878512785</v>
      </c>
      <c r="E106" s="317">
        <f t="shared" si="22"/>
        <v>2.4946527034696633</v>
      </c>
      <c r="F106" s="317">
        <f t="shared" si="22"/>
        <v>2.4864415298777733</v>
      </c>
      <c r="G106" s="317">
        <f t="shared" si="22"/>
        <v>2.475755584138164</v>
      </c>
      <c r="H106" s="317">
        <f t="shared" si="22"/>
        <v>2.4658273826760406</v>
      </c>
      <c r="I106" s="317">
        <f t="shared" si="22"/>
        <v>2.4239552037141037</v>
      </c>
      <c r="J106" s="317">
        <f t="shared" si="22"/>
        <v>2.4156380536902002</v>
      </c>
      <c r="K106" s="317">
        <f t="shared" si="22"/>
        <v>2.4834415112032722</v>
      </c>
      <c r="L106" s="317">
        <f t="shared" si="22"/>
        <v>2.4509615598821051</v>
      </c>
      <c r="M106" s="317">
        <f t="shared" si="22"/>
        <v>2.4916561080497677</v>
      </c>
      <c r="N106" s="317">
        <f t="shared" si="22"/>
        <v>2.3709805498968808</v>
      </c>
      <c r="O106" s="317">
        <f t="shared" si="22"/>
        <v>2.3645535430668843</v>
      </c>
      <c r="P106" s="317">
        <f t="shared" si="22"/>
        <v>2.3239141178239504</v>
      </c>
      <c r="Q106" s="317">
        <f t="shared" si="22"/>
        <v>2.2817351315328454</v>
      </c>
      <c r="R106" s="317">
        <f t="shared" si="22"/>
        <v>2.216275640499215</v>
      </c>
      <c r="S106" s="317">
        <f t="shared" si="22"/>
        <v>1.9820165535241967</v>
      </c>
      <c r="T106" s="317">
        <f t="shared" si="21"/>
        <v>1.9435794539464932</v>
      </c>
      <c r="U106" s="317">
        <f t="shared" si="21"/>
        <v>1.9346472787585058</v>
      </c>
      <c r="V106" s="317">
        <f t="shared" si="21"/>
        <v>0</v>
      </c>
      <c r="W106" s="317">
        <f t="shared" si="21"/>
        <v>0</v>
      </c>
      <c r="X106" s="317">
        <f t="shared" si="21"/>
        <v>0</v>
      </c>
      <c r="Y106" s="317">
        <f t="shared" si="21"/>
        <v>0</v>
      </c>
      <c r="Z106" s="317">
        <f t="shared" si="21"/>
        <v>0</v>
      </c>
      <c r="AA106" s="317">
        <f t="shared" si="21"/>
        <v>0</v>
      </c>
      <c r="AB106" s="317">
        <f t="shared" si="21"/>
        <v>0</v>
      </c>
      <c r="AC106" s="317">
        <f t="shared" si="21"/>
        <v>0</v>
      </c>
      <c r="AD106" s="317">
        <f t="shared" si="21"/>
        <v>0</v>
      </c>
      <c r="AE106" s="318">
        <f t="shared" si="21"/>
        <v>0</v>
      </c>
      <c r="AG106" s="578" t="s">
        <v>45</v>
      </c>
      <c r="AH106" s="294">
        <f t="shared" si="20"/>
        <v>1920097.4929810602</v>
      </c>
      <c r="AI106" s="295">
        <f t="shared" si="19"/>
        <v>1472223.9591453644</v>
      </c>
      <c r="AJ106" s="295">
        <f t="shared" si="19"/>
        <v>1304003.730820233</v>
      </c>
      <c r="AK106" s="295">
        <f t="shared" si="19"/>
        <v>1216172.5616975764</v>
      </c>
      <c r="AL106" s="295">
        <f t="shared" si="19"/>
        <v>1156073.1550376588</v>
      </c>
      <c r="AM106" s="295">
        <f t="shared" si="19"/>
        <v>1102678.1075024391</v>
      </c>
      <c r="AN106" s="295">
        <f t="shared" si="19"/>
        <v>1046234.5357357529</v>
      </c>
      <c r="AO106" s="295">
        <f t="shared" si="19"/>
        <v>963556.39604394324</v>
      </c>
      <c r="AP106" s="295">
        <f t="shared" si="19"/>
        <v>815340.86891868745</v>
      </c>
      <c r="AQ106" s="295">
        <f t="shared" si="19"/>
        <v>619000.61225368152</v>
      </c>
      <c r="AR106" s="295">
        <f t="shared" si="19"/>
        <v>423576.7454060681</v>
      </c>
      <c r="AS106" s="295">
        <f t="shared" si="19"/>
        <v>257147.76016253652</v>
      </c>
      <c r="AT106" s="295">
        <f t="shared" si="19"/>
        <v>134038.89330838344</v>
      </c>
      <c r="AU106" s="295">
        <f t="shared" si="19"/>
        <v>58463.246662395111</v>
      </c>
      <c r="AV106" s="295">
        <f t="shared" si="19"/>
        <v>21086.4250004719</v>
      </c>
      <c r="AW106" s="295">
        <f t="shared" si="19"/>
        <v>6323.4757520804187</v>
      </c>
      <c r="AX106" s="295">
        <f t="shared" si="19"/>
        <v>1719.8294897179048</v>
      </c>
      <c r="AY106" s="295">
        <f t="shared" si="19"/>
        <v>420.6588539693845</v>
      </c>
      <c r="AZ106" s="295">
        <f t="shared" si="19"/>
        <v>90.39403546172008</v>
      </c>
      <c r="BA106" s="295">
        <f t="shared" si="19"/>
        <v>16.721851423654879</v>
      </c>
      <c r="BB106" s="295">
        <f t="shared" si="19"/>
        <v>2.5898198936328898</v>
      </c>
      <c r="BC106" s="295">
        <f t="shared" si="19"/>
        <v>0.32249447217979654</v>
      </c>
      <c r="BD106" s="295">
        <f t="shared" si="19"/>
        <v>3.0281771215749216E-2</v>
      </c>
      <c r="BE106" s="295">
        <f t="shared" si="19"/>
        <v>1.9066260887019596E-3</v>
      </c>
      <c r="BF106" s="295">
        <f t="shared" si="19"/>
        <v>6.0394756492737666E-5</v>
      </c>
      <c r="BG106" s="295">
        <f t="shared" si="19"/>
        <v>0</v>
      </c>
      <c r="BH106" s="295">
        <f t="shared" si="19"/>
        <v>0</v>
      </c>
      <c r="BI106" s="295">
        <f t="shared" si="19"/>
        <v>0</v>
      </c>
      <c r="BJ106" s="296">
        <f t="shared" si="19"/>
        <v>0</v>
      </c>
    </row>
    <row r="107" spans="1:62">
      <c r="A107" s="1711"/>
      <c r="B107" s="116">
        <v>19</v>
      </c>
      <c r="C107" s="316">
        <f>'CAR SEC'!D22</f>
        <v>2.4972421151918751</v>
      </c>
      <c r="D107" s="317">
        <f t="shared" si="22"/>
        <v>2.4948902156410151</v>
      </c>
      <c r="E107" s="317">
        <f t="shared" si="22"/>
        <v>2.4937981878512785</v>
      </c>
      <c r="F107" s="317">
        <f t="shared" si="22"/>
        <v>2.4946527034696633</v>
      </c>
      <c r="G107" s="317">
        <f t="shared" si="22"/>
        <v>2.4864415298777733</v>
      </c>
      <c r="H107" s="317">
        <f t="shared" si="22"/>
        <v>2.475755584138164</v>
      </c>
      <c r="I107" s="317">
        <f t="shared" si="22"/>
        <v>2.4658273826760406</v>
      </c>
      <c r="J107" s="317">
        <f t="shared" si="22"/>
        <v>2.4239552037141037</v>
      </c>
      <c r="K107" s="317">
        <f t="shared" si="22"/>
        <v>2.4156380536902002</v>
      </c>
      <c r="L107" s="317">
        <f t="shared" si="22"/>
        <v>2.4834415112032722</v>
      </c>
      <c r="M107" s="317">
        <f t="shared" si="22"/>
        <v>2.4509615598821051</v>
      </c>
      <c r="N107" s="317">
        <f t="shared" si="22"/>
        <v>2.4916561080497677</v>
      </c>
      <c r="O107" s="317">
        <f t="shared" si="22"/>
        <v>2.3709805498968808</v>
      </c>
      <c r="P107" s="317">
        <f t="shared" si="22"/>
        <v>2.3645535430668843</v>
      </c>
      <c r="Q107" s="317">
        <f t="shared" si="22"/>
        <v>2.3239141178239504</v>
      </c>
      <c r="R107" s="317">
        <f t="shared" si="22"/>
        <v>2.2817351315328454</v>
      </c>
      <c r="S107" s="317">
        <f t="shared" si="22"/>
        <v>2.216275640499215</v>
      </c>
      <c r="T107" s="317">
        <f t="shared" si="21"/>
        <v>1.9820165535241967</v>
      </c>
      <c r="U107" s="317">
        <f t="shared" si="21"/>
        <v>1.9435794539464932</v>
      </c>
      <c r="V107" s="317">
        <f t="shared" si="21"/>
        <v>1.9346472787585058</v>
      </c>
      <c r="W107" s="317">
        <f t="shared" si="21"/>
        <v>0</v>
      </c>
      <c r="X107" s="317">
        <f t="shared" si="21"/>
        <v>0</v>
      </c>
      <c r="Y107" s="317">
        <f t="shared" si="21"/>
        <v>0</v>
      </c>
      <c r="Z107" s="317">
        <f t="shared" si="21"/>
        <v>0</v>
      </c>
      <c r="AA107" s="317">
        <f t="shared" si="21"/>
        <v>0</v>
      </c>
      <c r="AB107" s="317">
        <f t="shared" si="21"/>
        <v>0</v>
      </c>
      <c r="AC107" s="317">
        <f t="shared" si="21"/>
        <v>0</v>
      </c>
      <c r="AD107" s="317">
        <f t="shared" si="21"/>
        <v>0</v>
      </c>
      <c r="AE107" s="318">
        <f t="shared" si="21"/>
        <v>0</v>
      </c>
      <c r="AG107" s="578" t="s">
        <v>46</v>
      </c>
      <c r="AH107" s="294">
        <f t="shared" si="20"/>
        <v>2271428294.9274726</v>
      </c>
      <c r="AI107" s="295">
        <f t="shared" si="19"/>
        <v>2224579510.6209731</v>
      </c>
      <c r="AJ107" s="295">
        <f t="shared" si="19"/>
        <v>2178779018.0769563</v>
      </c>
      <c r="AK107" s="295">
        <f t="shared" si="19"/>
        <v>2130473569.0614192</v>
      </c>
      <c r="AL107" s="295">
        <f t="shared" si="19"/>
        <v>2072284925.8581998</v>
      </c>
      <c r="AM107" s="295">
        <f t="shared" si="19"/>
        <v>1997606188.4569752</v>
      </c>
      <c r="AN107" s="295">
        <f t="shared" si="19"/>
        <v>1900969238.9109125</v>
      </c>
      <c r="AO107" s="295">
        <f t="shared" si="19"/>
        <v>1779704196.5425766</v>
      </c>
      <c r="AP107" s="295">
        <f t="shared" si="19"/>
        <v>1636709930.1544516</v>
      </c>
      <c r="AQ107" s="295">
        <f t="shared" si="19"/>
        <v>1462089260.5750852</v>
      </c>
      <c r="AR107" s="295">
        <f t="shared" si="19"/>
        <v>1250817970.1066658</v>
      </c>
      <c r="AS107" s="295">
        <f t="shared" si="19"/>
        <v>1015760343.478839</v>
      </c>
      <c r="AT107" s="295">
        <f t="shared" si="19"/>
        <v>752649803.07917762</v>
      </c>
      <c r="AU107" s="295">
        <f t="shared" si="19"/>
        <v>472354454.94059658</v>
      </c>
      <c r="AV107" s="295">
        <f t="shared" si="19"/>
        <v>237012599.28727618</v>
      </c>
      <c r="AW107" s="295">
        <f t="shared" si="19"/>
        <v>97652839.045289025</v>
      </c>
      <c r="AX107" s="295">
        <f t="shared" si="19"/>
        <v>36463575.51602111</v>
      </c>
      <c r="AY107" s="295">
        <f t="shared" si="19"/>
        <v>12262932.27241347</v>
      </c>
      <c r="AZ107" s="295">
        <f t="shared" si="19"/>
        <v>3614557.3780744565</v>
      </c>
      <c r="BA107" s="295">
        <f t="shared" si="19"/>
        <v>914569.29194091179</v>
      </c>
      <c r="BB107" s="295">
        <f t="shared" si="19"/>
        <v>193101.51115610125</v>
      </c>
      <c r="BC107" s="295">
        <f t="shared" si="19"/>
        <v>32657.952430588637</v>
      </c>
      <c r="BD107" s="295">
        <f t="shared" si="19"/>
        <v>4147.3478338430741</v>
      </c>
      <c r="BE107" s="295">
        <f t="shared" si="19"/>
        <v>351.53740977956812</v>
      </c>
      <c r="BF107" s="295">
        <f t="shared" si="19"/>
        <v>14.916706675438752</v>
      </c>
      <c r="BG107" s="295">
        <f t="shared" si="19"/>
        <v>0</v>
      </c>
      <c r="BH107" s="295">
        <f t="shared" si="19"/>
        <v>0</v>
      </c>
      <c r="BI107" s="295">
        <f t="shared" si="19"/>
        <v>0</v>
      </c>
      <c r="BJ107" s="296">
        <f t="shared" si="19"/>
        <v>0</v>
      </c>
    </row>
    <row r="108" spans="1:62">
      <c r="A108" s="1711"/>
      <c r="B108" s="116">
        <v>20</v>
      </c>
      <c r="C108" s="316">
        <f>'CAR SEC'!D23</f>
        <v>2.5053106573173878</v>
      </c>
      <c r="D108" s="317">
        <f t="shared" si="22"/>
        <v>2.4972421151918751</v>
      </c>
      <c r="E108" s="317">
        <f t="shared" si="22"/>
        <v>2.4948902156410151</v>
      </c>
      <c r="F108" s="317">
        <f t="shared" si="22"/>
        <v>2.4937981878512785</v>
      </c>
      <c r="G108" s="317">
        <f t="shared" si="22"/>
        <v>2.4946527034696633</v>
      </c>
      <c r="H108" s="317">
        <f t="shared" si="22"/>
        <v>2.4864415298777733</v>
      </c>
      <c r="I108" s="317">
        <f t="shared" si="22"/>
        <v>2.475755584138164</v>
      </c>
      <c r="J108" s="317">
        <f t="shared" si="22"/>
        <v>2.4658273826760406</v>
      </c>
      <c r="K108" s="317">
        <f t="shared" si="22"/>
        <v>2.4239552037141037</v>
      </c>
      <c r="L108" s="317">
        <f t="shared" si="22"/>
        <v>2.4156380536902002</v>
      </c>
      <c r="M108" s="317">
        <f t="shared" si="22"/>
        <v>2.4834415112032722</v>
      </c>
      <c r="N108" s="317">
        <f t="shared" si="22"/>
        <v>2.4509615598821051</v>
      </c>
      <c r="O108" s="317">
        <f t="shared" si="22"/>
        <v>2.4916561080497677</v>
      </c>
      <c r="P108" s="317">
        <f t="shared" si="22"/>
        <v>2.3709805498968808</v>
      </c>
      <c r="Q108" s="317">
        <f t="shared" si="22"/>
        <v>2.3645535430668843</v>
      </c>
      <c r="R108" s="317">
        <f t="shared" si="22"/>
        <v>2.3239141178239504</v>
      </c>
      <c r="S108" s="317">
        <f t="shared" si="22"/>
        <v>2.2817351315328454</v>
      </c>
      <c r="T108" s="317">
        <f t="shared" si="21"/>
        <v>2.216275640499215</v>
      </c>
      <c r="U108" s="317">
        <f t="shared" si="21"/>
        <v>1.9820165535241967</v>
      </c>
      <c r="V108" s="317">
        <f t="shared" si="21"/>
        <v>1.9435794539464932</v>
      </c>
      <c r="W108" s="317">
        <f t="shared" si="21"/>
        <v>1.9346472787585058</v>
      </c>
      <c r="X108" s="317">
        <f t="shared" si="21"/>
        <v>0</v>
      </c>
      <c r="Y108" s="317">
        <f t="shared" si="21"/>
        <v>0</v>
      </c>
      <c r="Z108" s="317">
        <f t="shared" si="21"/>
        <v>0</v>
      </c>
      <c r="AA108" s="317">
        <f t="shared" si="21"/>
        <v>0</v>
      </c>
      <c r="AB108" s="317">
        <f t="shared" si="21"/>
        <v>0</v>
      </c>
      <c r="AC108" s="317">
        <f t="shared" si="21"/>
        <v>0</v>
      </c>
      <c r="AD108" s="317">
        <f t="shared" si="21"/>
        <v>0</v>
      </c>
      <c r="AE108" s="318">
        <f t="shared" si="21"/>
        <v>0</v>
      </c>
      <c r="AG108" s="578" t="s">
        <v>47</v>
      </c>
      <c r="AH108" s="294">
        <f t="shared" si="20"/>
        <v>7891336284.5627317</v>
      </c>
      <c r="AI108" s="295">
        <f t="shared" si="19"/>
        <v>7493901647.6062613</v>
      </c>
      <c r="AJ108" s="295">
        <f t="shared" si="19"/>
        <v>7111883157.2402945</v>
      </c>
      <c r="AK108" s="295">
        <f t="shared" si="19"/>
        <v>6688896019.9512367</v>
      </c>
      <c r="AL108" s="295">
        <f t="shared" si="19"/>
        <v>6204734006.3724613</v>
      </c>
      <c r="AM108" s="295">
        <f t="shared" si="19"/>
        <v>5666097488.3546467</v>
      </c>
      <c r="AN108" s="295">
        <f t="shared" si="19"/>
        <v>5091192029.8403664</v>
      </c>
      <c r="AO108" s="295">
        <f t="shared" si="19"/>
        <v>4490137127.2658873</v>
      </c>
      <c r="AP108" s="295">
        <f t="shared" si="19"/>
        <v>3863888679.8689728</v>
      </c>
      <c r="AQ108" s="295">
        <f t="shared" si="19"/>
        <v>3176686353.4181099</v>
      </c>
      <c r="AR108" s="295">
        <f t="shared" si="19"/>
        <v>2516513937.1993327</v>
      </c>
      <c r="AS108" s="295">
        <f t="shared" si="19"/>
        <v>1903885872.5184445</v>
      </c>
      <c r="AT108" s="295">
        <f t="shared" si="19"/>
        <v>1332181299.5060635</v>
      </c>
      <c r="AU108" s="295">
        <f t="shared" si="19"/>
        <v>782327205.63917136</v>
      </c>
      <c r="AV108" s="295">
        <f t="shared" si="19"/>
        <v>371748261.49802405</v>
      </c>
      <c r="AW108" s="295">
        <f t="shared" si="19"/>
        <v>140848019.37051463</v>
      </c>
      <c r="AX108" s="295">
        <f t="shared" si="19"/>
        <v>48354235.158286221</v>
      </c>
      <c r="AY108" s="295">
        <f t="shared" si="19"/>
        <v>14986729.110530689</v>
      </c>
      <c r="AZ108" s="295">
        <f t="shared" si="19"/>
        <v>4073512.3346590209</v>
      </c>
      <c r="BA108" s="295">
        <f t="shared" si="19"/>
        <v>950943.75373484811</v>
      </c>
      <c r="BB108" s="295">
        <f t="shared" si="19"/>
        <v>185326.75865737876</v>
      </c>
      <c r="BC108" s="295">
        <f t="shared" si="19"/>
        <v>28941.461613767398</v>
      </c>
      <c r="BD108" s="295">
        <f t="shared" si="19"/>
        <v>3394.9057214467575</v>
      </c>
      <c r="BE108" s="295">
        <f t="shared" si="19"/>
        <v>265.88197284124362</v>
      </c>
      <c r="BF108" s="295">
        <f t="shared" si="19"/>
        <v>10.427408137410465</v>
      </c>
      <c r="BG108" s="295">
        <f t="shared" si="19"/>
        <v>0</v>
      </c>
      <c r="BH108" s="295">
        <f t="shared" si="19"/>
        <v>0</v>
      </c>
      <c r="BI108" s="295">
        <f t="shared" si="19"/>
        <v>0</v>
      </c>
      <c r="BJ108" s="296">
        <f t="shared" si="19"/>
        <v>0</v>
      </c>
    </row>
    <row r="109" spans="1:62">
      <c r="A109" s="1711"/>
      <c r="B109" s="116">
        <v>21</v>
      </c>
      <c r="C109" s="316">
        <f>'CAR SEC'!D24</f>
        <v>2.5143501521621969</v>
      </c>
      <c r="D109" s="317">
        <f t="shared" si="22"/>
        <v>2.5053106573173878</v>
      </c>
      <c r="E109" s="317">
        <f t="shared" si="22"/>
        <v>2.4972421151918751</v>
      </c>
      <c r="F109" s="317">
        <f t="shared" si="22"/>
        <v>2.4948902156410151</v>
      </c>
      <c r="G109" s="317">
        <f t="shared" si="22"/>
        <v>2.4937981878512785</v>
      </c>
      <c r="H109" s="317">
        <f t="shared" si="22"/>
        <v>2.4946527034696633</v>
      </c>
      <c r="I109" s="317">
        <f t="shared" si="22"/>
        <v>2.4864415298777733</v>
      </c>
      <c r="J109" s="317">
        <f t="shared" si="22"/>
        <v>2.475755584138164</v>
      </c>
      <c r="K109" s="317">
        <f t="shared" si="22"/>
        <v>2.4658273826760406</v>
      </c>
      <c r="L109" s="317">
        <f t="shared" si="22"/>
        <v>2.4239552037141037</v>
      </c>
      <c r="M109" s="317">
        <f t="shared" si="22"/>
        <v>2.4156380536902002</v>
      </c>
      <c r="N109" s="317">
        <f t="shared" si="22"/>
        <v>2.4834415112032722</v>
      </c>
      <c r="O109" s="317">
        <f t="shared" si="22"/>
        <v>2.4509615598821051</v>
      </c>
      <c r="P109" s="317">
        <f t="shared" si="22"/>
        <v>2.4916561080497677</v>
      </c>
      <c r="Q109" s="317">
        <f t="shared" si="22"/>
        <v>2.3709805498968808</v>
      </c>
      <c r="R109" s="317">
        <f t="shared" si="22"/>
        <v>2.3645535430668843</v>
      </c>
      <c r="S109" s="317">
        <f t="shared" si="22"/>
        <v>2.3239141178239504</v>
      </c>
      <c r="T109" s="317">
        <f t="shared" si="21"/>
        <v>2.2817351315328454</v>
      </c>
      <c r="U109" s="317">
        <f t="shared" si="21"/>
        <v>2.216275640499215</v>
      </c>
      <c r="V109" s="317">
        <f t="shared" si="21"/>
        <v>1.9820165535241967</v>
      </c>
      <c r="W109" s="317">
        <f t="shared" si="21"/>
        <v>1.9435794539464932</v>
      </c>
      <c r="X109" s="317">
        <f t="shared" si="21"/>
        <v>1.9346472787585058</v>
      </c>
      <c r="Y109" s="317">
        <f t="shared" si="21"/>
        <v>0</v>
      </c>
      <c r="Z109" s="317">
        <f t="shared" si="21"/>
        <v>0</v>
      </c>
      <c r="AA109" s="317">
        <f t="shared" si="21"/>
        <v>0</v>
      </c>
      <c r="AB109" s="317">
        <f t="shared" si="21"/>
        <v>0</v>
      </c>
      <c r="AC109" s="317">
        <f t="shared" si="21"/>
        <v>0</v>
      </c>
      <c r="AD109" s="317">
        <f t="shared" si="21"/>
        <v>0</v>
      </c>
      <c r="AE109" s="318">
        <f t="shared" si="21"/>
        <v>0</v>
      </c>
      <c r="AG109" s="578" t="s">
        <v>48</v>
      </c>
      <c r="AH109" s="294">
        <f t="shared" si="20"/>
        <v>9865410781.1704903</v>
      </c>
      <c r="AI109" s="295">
        <f t="shared" si="19"/>
        <v>9281214650.6454258</v>
      </c>
      <c r="AJ109" s="295">
        <f t="shared" si="19"/>
        <v>8748633753.5769215</v>
      </c>
      <c r="AK109" s="295">
        <f t="shared" si="19"/>
        <v>8182981113.2475185</v>
      </c>
      <c r="AL109" s="295">
        <f t="shared" si="19"/>
        <v>7533739913.629056</v>
      </c>
      <c r="AM109" s="295">
        <f t="shared" si="19"/>
        <v>6754140408.6270571</v>
      </c>
      <c r="AN109" s="295">
        <f t="shared" si="19"/>
        <v>5841026943.2099037</v>
      </c>
      <c r="AO109" s="295">
        <f t="shared" si="19"/>
        <v>4844376781.4465199</v>
      </c>
      <c r="AP109" s="295">
        <f t="shared" si="19"/>
        <v>3838479741.0078349</v>
      </c>
      <c r="AQ109" s="295">
        <f t="shared" si="19"/>
        <v>2917513383.6772413</v>
      </c>
      <c r="AR109" s="295">
        <f t="shared" si="19"/>
        <v>2111148218.1332052</v>
      </c>
      <c r="AS109" s="295">
        <f t="shared" si="19"/>
        <v>1404439530.413213</v>
      </c>
      <c r="AT109" s="295">
        <f t="shared" si="19"/>
        <v>804398076.61699128</v>
      </c>
      <c r="AU109" s="295">
        <f t="shared" si="19"/>
        <v>378293165.61303693</v>
      </c>
      <c r="AV109" s="295">
        <f t="shared" si="19"/>
        <v>140558843.44645509</v>
      </c>
      <c r="AW109" s="295">
        <f t="shared" si="19"/>
        <v>41195684.284854569</v>
      </c>
      <c r="AX109" s="295">
        <f t="shared" si="19"/>
        <v>10926026.556296499</v>
      </c>
      <c r="AY109" s="295">
        <f t="shared" si="19"/>
        <v>2616589.4192403178</v>
      </c>
      <c r="AZ109" s="295">
        <f t="shared" si="19"/>
        <v>549101.1715149699</v>
      </c>
      <c r="BA109" s="295">
        <f t="shared" si="19"/>
        <v>98900.894097909695</v>
      </c>
      <c r="BB109" s="295">
        <f t="shared" si="19"/>
        <v>14862.591073766029</v>
      </c>
      <c r="BC109" s="295">
        <f t="shared" si="19"/>
        <v>1788.8085655986681</v>
      </c>
      <c r="BD109" s="295">
        <f t="shared" si="19"/>
        <v>161.63833082078108</v>
      </c>
      <c r="BE109" s="295">
        <f t="shared" si="19"/>
        <v>9.7466627887537314</v>
      </c>
      <c r="BF109" s="295">
        <f t="shared" si="19"/>
        <v>0.29413051312134575</v>
      </c>
      <c r="BG109" s="295">
        <f t="shared" si="19"/>
        <v>0</v>
      </c>
      <c r="BH109" s="295">
        <f t="shared" si="19"/>
        <v>0</v>
      </c>
      <c r="BI109" s="295">
        <f t="shared" si="19"/>
        <v>0</v>
      </c>
      <c r="BJ109" s="296">
        <f t="shared" si="19"/>
        <v>0</v>
      </c>
    </row>
    <row r="110" spans="1:62">
      <c r="A110" s="1711"/>
      <c r="B110" s="116">
        <v>22</v>
      </c>
      <c r="C110" s="316">
        <f>'CAR SEC'!D25</f>
        <v>2.5197415709939919</v>
      </c>
      <c r="D110" s="317">
        <f t="shared" si="22"/>
        <v>2.5143501521621969</v>
      </c>
      <c r="E110" s="317">
        <f t="shared" si="22"/>
        <v>2.5053106573173878</v>
      </c>
      <c r="F110" s="317">
        <f t="shared" si="22"/>
        <v>2.4972421151918751</v>
      </c>
      <c r="G110" s="317">
        <f t="shared" si="22"/>
        <v>2.4948902156410151</v>
      </c>
      <c r="H110" s="317">
        <f t="shared" si="22"/>
        <v>2.4937981878512785</v>
      </c>
      <c r="I110" s="317">
        <f t="shared" si="22"/>
        <v>2.4946527034696633</v>
      </c>
      <c r="J110" s="317">
        <f t="shared" si="22"/>
        <v>2.4864415298777733</v>
      </c>
      <c r="K110" s="317">
        <f t="shared" si="22"/>
        <v>2.475755584138164</v>
      </c>
      <c r="L110" s="317">
        <f t="shared" si="22"/>
        <v>2.4658273826760406</v>
      </c>
      <c r="M110" s="317">
        <f t="shared" si="22"/>
        <v>2.4239552037141037</v>
      </c>
      <c r="N110" s="317">
        <f t="shared" si="22"/>
        <v>2.4156380536902002</v>
      </c>
      <c r="O110" s="317">
        <f t="shared" si="22"/>
        <v>2.4834415112032722</v>
      </c>
      <c r="P110" s="317">
        <f t="shared" si="22"/>
        <v>2.4509615598821051</v>
      </c>
      <c r="Q110" s="317">
        <f t="shared" si="22"/>
        <v>2.4916561080497677</v>
      </c>
      <c r="R110" s="317">
        <f t="shared" si="22"/>
        <v>2.3709805498968808</v>
      </c>
      <c r="S110" s="317">
        <f t="shared" si="22"/>
        <v>2.3645535430668843</v>
      </c>
      <c r="T110" s="317">
        <f t="shared" si="21"/>
        <v>2.3239141178239504</v>
      </c>
      <c r="U110" s="317">
        <f t="shared" si="21"/>
        <v>2.2817351315328454</v>
      </c>
      <c r="V110" s="317">
        <f t="shared" si="21"/>
        <v>2.216275640499215</v>
      </c>
      <c r="W110" s="317">
        <f t="shared" si="21"/>
        <v>1.9820165535241967</v>
      </c>
      <c r="X110" s="317">
        <f t="shared" si="21"/>
        <v>1.9435794539464932</v>
      </c>
      <c r="Y110" s="317">
        <f t="shared" si="21"/>
        <v>1.9346472787585058</v>
      </c>
      <c r="Z110" s="317">
        <f t="shared" si="21"/>
        <v>0</v>
      </c>
      <c r="AA110" s="317">
        <f t="shared" si="21"/>
        <v>0</v>
      </c>
      <c r="AB110" s="317">
        <f t="shared" si="21"/>
        <v>0</v>
      </c>
      <c r="AC110" s="317">
        <f t="shared" si="21"/>
        <v>0</v>
      </c>
      <c r="AD110" s="317">
        <f t="shared" si="21"/>
        <v>0</v>
      </c>
      <c r="AE110" s="318">
        <f t="shared" si="21"/>
        <v>0</v>
      </c>
      <c r="AG110" s="578" t="s">
        <v>49</v>
      </c>
      <c r="AH110" s="294">
        <f t="shared" si="20"/>
        <v>0</v>
      </c>
      <c r="AI110" s="295">
        <f t="shared" si="19"/>
        <v>0</v>
      </c>
      <c r="AJ110" s="295">
        <f t="shared" si="19"/>
        <v>0</v>
      </c>
      <c r="AK110" s="295">
        <f t="shared" si="19"/>
        <v>0</v>
      </c>
      <c r="AL110" s="295">
        <f t="shared" si="19"/>
        <v>0</v>
      </c>
      <c r="AM110" s="295">
        <f t="shared" si="19"/>
        <v>0</v>
      </c>
      <c r="AN110" s="295">
        <f t="shared" si="19"/>
        <v>0</v>
      </c>
      <c r="AO110" s="295">
        <f t="shared" si="19"/>
        <v>0</v>
      </c>
      <c r="AP110" s="295">
        <f t="shared" si="19"/>
        <v>0</v>
      </c>
      <c r="AQ110" s="295">
        <f t="shared" si="19"/>
        <v>0</v>
      </c>
      <c r="AR110" s="295">
        <f t="shared" si="19"/>
        <v>0</v>
      </c>
      <c r="AS110" s="295">
        <f t="shared" si="19"/>
        <v>0</v>
      </c>
      <c r="AT110" s="295">
        <f t="shared" si="19"/>
        <v>0</v>
      </c>
      <c r="AU110" s="295">
        <f t="shared" si="19"/>
        <v>0</v>
      </c>
      <c r="AV110" s="295">
        <f t="shared" si="19"/>
        <v>0</v>
      </c>
      <c r="AW110" s="295">
        <f t="shared" si="19"/>
        <v>0</v>
      </c>
      <c r="AX110" s="295">
        <f t="shared" si="19"/>
        <v>0</v>
      </c>
      <c r="AY110" s="295">
        <f t="shared" si="19"/>
        <v>0</v>
      </c>
      <c r="AZ110" s="295">
        <f t="shared" si="19"/>
        <v>0</v>
      </c>
      <c r="BA110" s="295">
        <f t="shared" si="19"/>
        <v>0</v>
      </c>
      <c r="BB110" s="295">
        <f t="shared" si="19"/>
        <v>0</v>
      </c>
      <c r="BC110" s="295">
        <f t="shared" si="19"/>
        <v>0</v>
      </c>
      <c r="BD110" s="295">
        <f t="shared" si="19"/>
        <v>0</v>
      </c>
      <c r="BE110" s="295">
        <f t="shared" si="19"/>
        <v>0</v>
      </c>
      <c r="BF110" s="295">
        <f t="shared" si="19"/>
        <v>0</v>
      </c>
      <c r="BG110" s="295">
        <f t="shared" si="19"/>
        <v>0</v>
      </c>
      <c r="BH110" s="295">
        <f t="shared" si="19"/>
        <v>0</v>
      </c>
      <c r="BI110" s="295">
        <f t="shared" si="19"/>
        <v>0</v>
      </c>
      <c r="BJ110" s="296">
        <f t="shared" si="19"/>
        <v>0</v>
      </c>
    </row>
    <row r="111" spans="1:62">
      <c r="A111" s="1711"/>
      <c r="B111" s="116">
        <v>23</v>
      </c>
      <c r="C111" s="316">
        <f>'CAR SEC'!D26</f>
        <v>2.524628902866862</v>
      </c>
      <c r="D111" s="317">
        <f t="shared" si="22"/>
        <v>2.5197415709939919</v>
      </c>
      <c r="E111" s="317">
        <f t="shared" si="22"/>
        <v>2.5143501521621969</v>
      </c>
      <c r="F111" s="317">
        <f t="shared" si="22"/>
        <v>2.5053106573173878</v>
      </c>
      <c r="G111" s="317">
        <f t="shared" si="22"/>
        <v>2.4972421151918751</v>
      </c>
      <c r="H111" s="317">
        <f t="shared" si="22"/>
        <v>2.4948902156410151</v>
      </c>
      <c r="I111" s="317">
        <f t="shared" si="22"/>
        <v>2.4937981878512785</v>
      </c>
      <c r="J111" s="317">
        <f t="shared" si="22"/>
        <v>2.4946527034696633</v>
      </c>
      <c r="K111" s="317">
        <f t="shared" si="22"/>
        <v>2.4864415298777733</v>
      </c>
      <c r="L111" s="317">
        <f t="shared" si="22"/>
        <v>2.475755584138164</v>
      </c>
      <c r="M111" s="317">
        <f t="shared" si="22"/>
        <v>2.4658273826760406</v>
      </c>
      <c r="N111" s="317">
        <f t="shared" si="22"/>
        <v>2.4239552037141037</v>
      </c>
      <c r="O111" s="317">
        <f t="shared" si="22"/>
        <v>2.4156380536902002</v>
      </c>
      <c r="P111" s="317">
        <f t="shared" si="22"/>
        <v>2.4834415112032722</v>
      </c>
      <c r="Q111" s="317">
        <f t="shared" si="22"/>
        <v>2.4509615598821051</v>
      </c>
      <c r="R111" s="317">
        <f t="shared" si="22"/>
        <v>2.4916561080497677</v>
      </c>
      <c r="S111" s="317">
        <f t="shared" si="22"/>
        <v>2.3709805498968808</v>
      </c>
      <c r="T111" s="317">
        <f t="shared" si="21"/>
        <v>2.3645535430668843</v>
      </c>
      <c r="U111" s="317">
        <f t="shared" si="21"/>
        <v>2.3239141178239504</v>
      </c>
      <c r="V111" s="317">
        <f t="shared" si="21"/>
        <v>2.2817351315328454</v>
      </c>
      <c r="W111" s="317">
        <f t="shared" si="21"/>
        <v>2.216275640499215</v>
      </c>
      <c r="X111" s="317">
        <f t="shared" si="21"/>
        <v>1.9820165535241967</v>
      </c>
      <c r="Y111" s="317">
        <f t="shared" si="21"/>
        <v>1.9435794539464932</v>
      </c>
      <c r="Z111" s="317">
        <f t="shared" si="21"/>
        <v>1.9346472787585058</v>
      </c>
      <c r="AA111" s="317">
        <f t="shared" si="21"/>
        <v>0</v>
      </c>
      <c r="AB111" s="317">
        <f t="shared" si="21"/>
        <v>0</v>
      </c>
      <c r="AC111" s="317">
        <f t="shared" si="21"/>
        <v>0</v>
      </c>
      <c r="AD111" s="317">
        <f t="shared" si="21"/>
        <v>0</v>
      </c>
      <c r="AE111" s="318">
        <f t="shared" si="21"/>
        <v>0</v>
      </c>
      <c r="AG111" s="578" t="s">
        <v>50</v>
      </c>
      <c r="AH111" s="294">
        <f t="shared" si="20"/>
        <v>93038945.839618042</v>
      </c>
      <c r="AI111" s="295">
        <f t="shared" si="19"/>
        <v>91176231.309349075</v>
      </c>
      <c r="AJ111" s="295">
        <f t="shared" si="19"/>
        <v>89349957.065442801</v>
      </c>
      <c r="AK111" s="295">
        <f t="shared" si="19"/>
        <v>87559928.799615189</v>
      </c>
      <c r="AL111" s="295">
        <f t="shared" si="19"/>
        <v>85783216.862244487</v>
      </c>
      <c r="AM111" s="295">
        <f t="shared" si="19"/>
        <v>83872267.434508592</v>
      </c>
      <c r="AN111" s="295">
        <f t="shared" si="19"/>
        <v>80962059.457961455</v>
      </c>
      <c r="AO111" s="295">
        <f t="shared" si="19"/>
        <v>75276194.002340004</v>
      </c>
      <c r="AP111" s="295">
        <f t="shared" si="19"/>
        <v>65357553.221194573</v>
      </c>
      <c r="AQ111" s="295">
        <f t="shared" si="19"/>
        <v>51351891.72148934</v>
      </c>
      <c r="AR111" s="295">
        <f t="shared" si="19"/>
        <v>35261273.078986004</v>
      </c>
      <c r="AS111" s="295">
        <f t="shared" si="19"/>
        <v>20634729.868350305</v>
      </c>
      <c r="AT111" s="295">
        <f t="shared" si="19"/>
        <v>10035901.353789508</v>
      </c>
      <c r="AU111" s="295">
        <f t="shared" si="19"/>
        <v>3961497.8390931082</v>
      </c>
      <c r="AV111" s="295">
        <f t="shared" si="19"/>
        <v>1271861.6420935707</v>
      </c>
      <c r="AW111" s="295">
        <f t="shared" si="19"/>
        <v>326488.86287805624</v>
      </c>
      <c r="AX111" s="295">
        <f t="shared" si="19"/>
        <v>75705.488118297479</v>
      </c>
      <c r="AY111" s="295">
        <f t="shared" si="19"/>
        <v>15845.241144034087</v>
      </c>
      <c r="AZ111" s="295">
        <f t="shared" si="19"/>
        <v>2905.5247295453755</v>
      </c>
      <c r="BA111" s="295">
        <f t="shared" ref="AI111:BJ117" si="23">BA93*BA39</f>
        <v>457.37007248080272</v>
      </c>
      <c r="BB111" s="295">
        <f t="shared" si="23"/>
        <v>60.10650481541785</v>
      </c>
      <c r="BC111" s="295">
        <f t="shared" si="23"/>
        <v>6.3327593015910626</v>
      </c>
      <c r="BD111" s="295">
        <f t="shared" si="23"/>
        <v>0.50164467904570198</v>
      </c>
      <c r="BE111" s="295">
        <f t="shared" si="23"/>
        <v>2.6565966891723615E-2</v>
      </c>
      <c r="BF111" s="295">
        <f t="shared" si="23"/>
        <v>7.0565229486023223E-4</v>
      </c>
      <c r="BG111" s="295">
        <f t="shared" si="23"/>
        <v>0</v>
      </c>
      <c r="BH111" s="295">
        <f t="shared" si="23"/>
        <v>0</v>
      </c>
      <c r="BI111" s="295">
        <f t="shared" si="23"/>
        <v>0</v>
      </c>
      <c r="BJ111" s="296">
        <f t="shared" si="23"/>
        <v>0</v>
      </c>
    </row>
    <row r="112" spans="1:62">
      <c r="A112" s="1711"/>
      <c r="B112" s="116">
        <v>24</v>
      </c>
      <c r="C112" s="316">
        <f>C111</f>
        <v>2.524628902866862</v>
      </c>
      <c r="D112" s="317">
        <f t="shared" si="22"/>
        <v>2.524628902866862</v>
      </c>
      <c r="E112" s="317">
        <f t="shared" si="22"/>
        <v>2.5197415709939919</v>
      </c>
      <c r="F112" s="317">
        <f t="shared" si="22"/>
        <v>2.5143501521621969</v>
      </c>
      <c r="G112" s="317">
        <f t="shared" si="22"/>
        <v>2.5053106573173878</v>
      </c>
      <c r="H112" s="317">
        <f t="shared" si="22"/>
        <v>2.4972421151918751</v>
      </c>
      <c r="I112" s="317">
        <f t="shared" si="22"/>
        <v>2.4948902156410151</v>
      </c>
      <c r="J112" s="317">
        <f t="shared" si="22"/>
        <v>2.4937981878512785</v>
      </c>
      <c r="K112" s="317">
        <f t="shared" si="22"/>
        <v>2.4946527034696633</v>
      </c>
      <c r="L112" s="317">
        <f t="shared" si="22"/>
        <v>2.4864415298777733</v>
      </c>
      <c r="M112" s="317">
        <f t="shared" si="22"/>
        <v>2.475755584138164</v>
      </c>
      <c r="N112" s="317">
        <f t="shared" si="22"/>
        <v>2.4658273826760406</v>
      </c>
      <c r="O112" s="317">
        <f t="shared" si="22"/>
        <v>2.4239552037141037</v>
      </c>
      <c r="P112" s="317">
        <f t="shared" si="22"/>
        <v>2.4156380536902002</v>
      </c>
      <c r="Q112" s="317">
        <f t="shared" si="22"/>
        <v>2.4834415112032722</v>
      </c>
      <c r="R112" s="317">
        <f t="shared" si="22"/>
        <v>2.4509615598821051</v>
      </c>
      <c r="S112" s="317">
        <f t="shared" si="22"/>
        <v>2.4916561080497677</v>
      </c>
      <c r="T112" s="317">
        <f t="shared" si="21"/>
        <v>2.3709805498968808</v>
      </c>
      <c r="U112" s="317">
        <f t="shared" si="21"/>
        <v>2.3645535430668843</v>
      </c>
      <c r="V112" s="317">
        <f t="shared" si="21"/>
        <v>2.3239141178239504</v>
      </c>
      <c r="W112" s="317">
        <f t="shared" si="21"/>
        <v>2.2817351315328454</v>
      </c>
      <c r="X112" s="317">
        <f t="shared" si="21"/>
        <v>2.216275640499215</v>
      </c>
      <c r="Y112" s="317">
        <f t="shared" si="21"/>
        <v>1.9820165535241967</v>
      </c>
      <c r="Z112" s="317">
        <f t="shared" si="21"/>
        <v>1.9435794539464932</v>
      </c>
      <c r="AA112" s="317">
        <f t="shared" si="21"/>
        <v>1.9346472787585058</v>
      </c>
      <c r="AB112" s="317">
        <f t="shared" si="21"/>
        <v>0</v>
      </c>
      <c r="AC112" s="317">
        <f t="shared" si="21"/>
        <v>0</v>
      </c>
      <c r="AD112" s="317">
        <f t="shared" si="21"/>
        <v>0</v>
      </c>
      <c r="AE112" s="318">
        <f t="shared" si="21"/>
        <v>0</v>
      </c>
      <c r="AG112" s="578" t="s">
        <v>51</v>
      </c>
      <c r="AH112" s="294">
        <f t="shared" si="20"/>
        <v>34070851.946564779</v>
      </c>
      <c r="AI112" s="295">
        <f t="shared" si="23"/>
        <v>33389439.440497089</v>
      </c>
      <c r="AJ112" s="295">
        <f t="shared" si="23"/>
        <v>32716063.023171365</v>
      </c>
      <c r="AK112" s="295">
        <f t="shared" si="23"/>
        <v>31967113.27250094</v>
      </c>
      <c r="AL112" s="295">
        <f t="shared" si="23"/>
        <v>30709509.900937516</v>
      </c>
      <c r="AM112" s="295">
        <f t="shared" si="23"/>
        <v>27862332.028138254</v>
      </c>
      <c r="AN112" s="295">
        <f t="shared" si="23"/>
        <v>22882943.949158676</v>
      </c>
      <c r="AO112" s="295">
        <f t="shared" si="23"/>
        <v>16315547.306517774</v>
      </c>
      <c r="AP112" s="295">
        <f t="shared" si="23"/>
        <v>9638654.340584483</v>
      </c>
      <c r="AQ112" s="295">
        <f t="shared" si="23"/>
        <v>4609635.2531091077</v>
      </c>
      <c r="AR112" s="295">
        <f t="shared" si="23"/>
        <v>1739723.4428138274</v>
      </c>
      <c r="AS112" s="295">
        <f t="shared" si="23"/>
        <v>514308.46680481045</v>
      </c>
      <c r="AT112" s="295">
        <f t="shared" si="23"/>
        <v>131161.35837175421</v>
      </c>
      <c r="AU112" s="295">
        <f t="shared" si="23"/>
        <v>29513.266203024326</v>
      </c>
      <c r="AV112" s="295">
        <f t="shared" si="23"/>
        <v>5954.8775422279332</v>
      </c>
      <c r="AW112" s="295">
        <f t="shared" si="23"/>
        <v>1064.128669955955</v>
      </c>
      <c r="AX112" s="295">
        <f t="shared" si="23"/>
        <v>165.0979537978005</v>
      </c>
      <c r="AY112" s="295">
        <f t="shared" si="23"/>
        <v>21.805367165708066</v>
      </c>
      <c r="AZ112" s="295">
        <f t="shared" si="23"/>
        <v>2.388637528117004</v>
      </c>
      <c r="BA112" s="295">
        <f t="shared" si="23"/>
        <v>0.2091929623454678</v>
      </c>
      <c r="BB112" s="295">
        <f t="shared" si="23"/>
        <v>1.3828367431764263E-2</v>
      </c>
      <c r="BC112" s="295">
        <f t="shared" si="23"/>
        <v>6.1998334625459233E-4</v>
      </c>
      <c r="BD112" s="295">
        <f t="shared" si="23"/>
        <v>1.434817397170386E-5</v>
      </c>
      <c r="BE112" s="295">
        <f t="shared" si="23"/>
        <v>0</v>
      </c>
      <c r="BF112" s="295">
        <f t="shared" si="23"/>
        <v>0</v>
      </c>
      <c r="BG112" s="295">
        <f t="shared" si="23"/>
        <v>0</v>
      </c>
      <c r="BH112" s="295">
        <f t="shared" si="23"/>
        <v>0</v>
      </c>
      <c r="BI112" s="295">
        <f t="shared" si="23"/>
        <v>0</v>
      </c>
      <c r="BJ112" s="296">
        <f t="shared" si="23"/>
        <v>0</v>
      </c>
    </row>
    <row r="113" spans="1:62" ht="15.75" thickBot="1">
      <c r="A113" s="1711"/>
      <c r="B113" s="116">
        <v>25</v>
      </c>
      <c r="C113" s="324">
        <f>C112</f>
        <v>2.524628902866862</v>
      </c>
      <c r="D113" s="325">
        <f t="shared" si="22"/>
        <v>2.524628902866862</v>
      </c>
      <c r="E113" s="325">
        <f t="shared" si="22"/>
        <v>2.524628902866862</v>
      </c>
      <c r="F113" s="325">
        <f t="shared" si="22"/>
        <v>2.5197415709939919</v>
      </c>
      <c r="G113" s="325">
        <f t="shared" si="22"/>
        <v>2.5143501521621969</v>
      </c>
      <c r="H113" s="325">
        <f t="shared" si="22"/>
        <v>2.5053106573173878</v>
      </c>
      <c r="I113" s="325">
        <f t="shared" si="22"/>
        <v>2.4972421151918751</v>
      </c>
      <c r="J113" s="325">
        <f t="shared" si="22"/>
        <v>2.4948902156410151</v>
      </c>
      <c r="K113" s="325">
        <f t="shared" si="22"/>
        <v>2.4937981878512785</v>
      </c>
      <c r="L113" s="325">
        <f t="shared" si="22"/>
        <v>2.4946527034696633</v>
      </c>
      <c r="M113" s="325">
        <f t="shared" si="22"/>
        <v>2.4864415298777733</v>
      </c>
      <c r="N113" s="325">
        <f t="shared" si="22"/>
        <v>2.475755584138164</v>
      </c>
      <c r="O113" s="325">
        <f t="shared" si="22"/>
        <v>2.4658273826760406</v>
      </c>
      <c r="P113" s="325">
        <f t="shared" si="22"/>
        <v>2.4239552037141037</v>
      </c>
      <c r="Q113" s="325">
        <f t="shared" si="22"/>
        <v>2.4156380536902002</v>
      </c>
      <c r="R113" s="325">
        <f t="shared" si="22"/>
        <v>2.4834415112032722</v>
      </c>
      <c r="S113" s="325">
        <f t="shared" si="22"/>
        <v>2.4509615598821051</v>
      </c>
      <c r="T113" s="325">
        <f t="shared" si="21"/>
        <v>2.4916561080497677</v>
      </c>
      <c r="U113" s="325">
        <f t="shared" si="21"/>
        <v>2.3709805498968808</v>
      </c>
      <c r="V113" s="325">
        <f t="shared" si="21"/>
        <v>2.3645535430668843</v>
      </c>
      <c r="W113" s="325">
        <f t="shared" si="21"/>
        <v>2.3239141178239504</v>
      </c>
      <c r="X113" s="325">
        <f t="shared" si="21"/>
        <v>2.2817351315328454</v>
      </c>
      <c r="Y113" s="325">
        <f t="shared" si="21"/>
        <v>2.216275640499215</v>
      </c>
      <c r="Z113" s="325">
        <f t="shared" si="21"/>
        <v>1.9820165535241967</v>
      </c>
      <c r="AA113" s="325">
        <f t="shared" si="21"/>
        <v>1.9435794539464932</v>
      </c>
      <c r="AB113" s="325">
        <f t="shared" si="21"/>
        <v>1.9346472787585058</v>
      </c>
      <c r="AC113" s="325">
        <f t="shared" si="21"/>
        <v>0</v>
      </c>
      <c r="AD113" s="325">
        <f t="shared" si="21"/>
        <v>0</v>
      </c>
      <c r="AE113" s="326">
        <f t="shared" si="21"/>
        <v>0</v>
      </c>
      <c r="AG113" s="578" t="s">
        <v>52</v>
      </c>
      <c r="AH113" s="294">
        <f t="shared" si="20"/>
        <v>42783815.384493105</v>
      </c>
      <c r="AI113" s="295">
        <f t="shared" si="23"/>
        <v>41928139.076803245</v>
      </c>
      <c r="AJ113" s="295">
        <f t="shared" si="23"/>
        <v>41088846.128983088</v>
      </c>
      <c r="AK113" s="295">
        <f t="shared" si="23"/>
        <v>40254467.665476441</v>
      </c>
      <c r="AL113" s="295">
        <f t="shared" si="23"/>
        <v>39124302.116077356</v>
      </c>
      <c r="AM113" s="295">
        <f t="shared" si="23"/>
        <v>36396664.154448479</v>
      </c>
      <c r="AN113" s="295">
        <f t="shared" si="23"/>
        <v>30605805.420972049</v>
      </c>
      <c r="AO113" s="295">
        <f t="shared" si="23"/>
        <v>22355412.269821469</v>
      </c>
      <c r="AP113" s="295">
        <f t="shared" si="23"/>
        <v>13670141.777578734</v>
      </c>
      <c r="AQ113" s="295">
        <f t="shared" si="23"/>
        <v>6836970.2554172063</v>
      </c>
      <c r="AR113" s="295">
        <f t="shared" si="23"/>
        <v>2741654.2972713956</v>
      </c>
      <c r="AS113" s="295">
        <f t="shared" si="23"/>
        <v>874090.85431064095</v>
      </c>
      <c r="AT113" s="295">
        <f t="shared" si="23"/>
        <v>248461.24065744897</v>
      </c>
      <c r="AU113" s="295">
        <f t="shared" si="23"/>
        <v>63780.662511275608</v>
      </c>
      <c r="AV113" s="295">
        <f t="shared" si="23"/>
        <v>14509.886091078162</v>
      </c>
      <c r="AW113" s="295">
        <f t="shared" si="23"/>
        <v>2914.892726317727</v>
      </c>
      <c r="AX113" s="295">
        <f t="shared" si="23"/>
        <v>511.53499235957258</v>
      </c>
      <c r="AY113" s="295">
        <f t="shared" si="23"/>
        <v>77.378038578599558</v>
      </c>
      <c r="AZ113" s="295">
        <f t="shared" si="23"/>
        <v>9.9847569216003222</v>
      </c>
      <c r="BA113" s="295">
        <f t="shared" si="23"/>
        <v>1.089485871737057</v>
      </c>
      <c r="BB113" s="295">
        <f t="shared" si="23"/>
        <v>9.9234627329590264E-2</v>
      </c>
      <c r="BC113" s="295">
        <f t="shared" si="23"/>
        <v>7.2516211838378197E-3</v>
      </c>
      <c r="BD113" s="295">
        <f t="shared" si="23"/>
        <v>3.7791812634849968E-4</v>
      </c>
      <c r="BE113" s="295">
        <f t="shared" si="23"/>
        <v>1.0136802617789594E-5</v>
      </c>
      <c r="BF113" s="295">
        <f t="shared" si="23"/>
        <v>0</v>
      </c>
      <c r="BG113" s="295">
        <f t="shared" si="23"/>
        <v>0</v>
      </c>
      <c r="BH113" s="295">
        <f t="shared" si="23"/>
        <v>0</v>
      </c>
      <c r="BI113" s="295">
        <f t="shared" si="23"/>
        <v>0</v>
      </c>
      <c r="BJ113" s="296">
        <f t="shared" si="23"/>
        <v>0</v>
      </c>
    </row>
    <row r="114" spans="1:62" ht="16.5" thickTop="1" thickBot="1">
      <c r="A114" s="1712"/>
      <c r="B114" s="300" t="s">
        <v>39</v>
      </c>
      <c r="C114" s="327">
        <f>SUMPRODUCT('CAR Stock'!C111:C136,C88:C113)/'CAR Stock'!C137</f>
        <v>2.393532085837053</v>
      </c>
      <c r="D114" s="327">
        <f>SUMPRODUCT('CAR Stock'!D111:D136,D88:D113)/'CAR Stock'!D137</f>
        <v>2.3804044425074578</v>
      </c>
      <c r="E114" s="327">
        <f>SUMPRODUCT('CAR Stock'!E111:E136,E88:E113)/'CAR Stock'!E137</f>
        <v>2.3673233039797874</v>
      </c>
      <c r="F114" s="327">
        <f>SUMPRODUCT('CAR Stock'!F111:F136,F88:F113)/'CAR Stock'!F137</f>
        <v>2.3525027292794967</v>
      </c>
      <c r="G114" s="327">
        <f>SUMPRODUCT('CAR Stock'!G111:G136,G88:G113)/'CAR Stock'!G137</f>
        <v>2.3354806166217563</v>
      </c>
      <c r="H114" s="327">
        <f>SUMPRODUCT('CAR Stock'!H111:H136,H88:H113)/'CAR Stock'!H137</f>
        <v>2.3166777658343571</v>
      </c>
      <c r="I114" s="327">
        <f>SUMPRODUCT('CAR Stock'!I111:I136,I88:I113)/'CAR Stock'!I137</f>
        <v>2.2953064079750773</v>
      </c>
      <c r="J114" s="327">
        <f>SUMPRODUCT('CAR Stock'!J111:J136,J88:J113)/'CAR Stock'!J137</f>
        <v>2.2688635413125606</v>
      </c>
      <c r="K114" s="327">
        <f>SUMPRODUCT('CAR Stock'!K111:K136,K88:K113)/'CAR Stock'!K137</f>
        <v>2.2328493753201677</v>
      </c>
      <c r="L114" s="327">
        <f>SUMPRODUCT('CAR Stock'!L111:L136,L88:L113)/'CAR Stock'!L137</f>
        <v>2.1819151095322162</v>
      </c>
      <c r="M114" s="327">
        <f>SUMPRODUCT('CAR Stock'!M111:M136,M88:M113)/'CAR Stock'!M137</f>
        <v>2.1165221815841861</v>
      </c>
      <c r="N114" s="327">
        <f>SUMPRODUCT('CAR Stock'!N111:N136,N88:N113)/'CAR Stock'!N137</f>
        <v>2.0505316766468265</v>
      </c>
      <c r="O114" s="327">
        <f>SUMPRODUCT('CAR Stock'!O111:O136,O88:O113)/'CAR Stock'!O137</f>
        <v>2.0032964037878371</v>
      </c>
      <c r="P114" s="327">
        <f>SUMPRODUCT('CAR Stock'!P111:P136,P88:P113)/'CAR Stock'!P137</f>
        <v>1.9760227823571426</v>
      </c>
      <c r="Q114" s="327">
        <f>SUMPRODUCT('CAR Stock'!Q111:Q136,Q88:Q113)/'CAR Stock'!Q137</f>
        <v>1.9615179494178578</v>
      </c>
      <c r="R114" s="327">
        <f>SUMPRODUCT('CAR Stock'!R111:R136,R88:R113)/'CAR Stock'!R137</f>
        <v>1.9537045439811207</v>
      </c>
      <c r="S114" s="327">
        <f>SUMPRODUCT('CAR Stock'!S111:S136,S88:S113)/'CAR Stock'!S137</f>
        <v>1.9477504562885104</v>
      </c>
      <c r="T114" s="327">
        <f>SUMPRODUCT('CAR Stock'!T111:T136,T88:T113)/'CAR Stock'!T137</f>
        <v>1.9433826179656097</v>
      </c>
      <c r="U114" s="327">
        <f>SUMPRODUCT('CAR Stock'!U111:U136,U88:U113)/'CAR Stock'!U137</f>
        <v>1.9403026321644523</v>
      </c>
      <c r="V114" s="327">
        <f>SUMPRODUCT('CAR Stock'!V111:V136,V88:V113)/'CAR Stock'!V137</f>
        <v>1.9382150000207963</v>
      </c>
      <c r="W114" s="327">
        <f>SUMPRODUCT('CAR Stock'!W111:W136,W88:W113)/'CAR Stock'!W137</f>
        <v>1.9368483486644803</v>
      </c>
      <c r="X114" s="327">
        <f>SUMPRODUCT('CAR Stock'!X111:X136,X88:X113)/'CAR Stock'!X137</f>
        <v>1.9359695821887459</v>
      </c>
      <c r="Y114" s="327">
        <f>SUMPRODUCT('CAR Stock'!Y111:Y136,Y88:Y113)/'CAR Stock'!Y137</f>
        <v>1.9353920845275596</v>
      </c>
      <c r="Z114" s="327">
        <f>SUMPRODUCT('CAR Stock'!Z111:Z136,Z88:Z113)/'CAR Stock'!Z137</f>
        <v>1.93497958749329</v>
      </c>
      <c r="AA114" s="327">
        <f>SUMPRODUCT('CAR Stock'!AA111:AA136,AA88:AA113)/'CAR Stock'!AA137</f>
        <v>1.9346472787585058</v>
      </c>
      <c r="AB114" s="327">
        <v>0</v>
      </c>
      <c r="AC114" s="327">
        <v>0</v>
      </c>
      <c r="AD114" s="327">
        <v>0</v>
      </c>
      <c r="AE114" s="327">
        <v>0</v>
      </c>
      <c r="AG114" s="578" t="s">
        <v>53</v>
      </c>
      <c r="AH114" s="294">
        <f t="shared" si="20"/>
        <v>0</v>
      </c>
      <c r="AI114" s="295">
        <f t="shared" si="23"/>
        <v>0</v>
      </c>
      <c r="AJ114" s="295">
        <f t="shared" si="23"/>
        <v>0</v>
      </c>
      <c r="AK114" s="295">
        <f t="shared" si="23"/>
        <v>0</v>
      </c>
      <c r="AL114" s="295">
        <f t="shared" si="23"/>
        <v>0</v>
      </c>
      <c r="AM114" s="295">
        <f t="shared" si="23"/>
        <v>0</v>
      </c>
      <c r="AN114" s="295">
        <f t="shared" si="23"/>
        <v>0</v>
      </c>
      <c r="AO114" s="295">
        <f t="shared" si="23"/>
        <v>0</v>
      </c>
      <c r="AP114" s="295">
        <f t="shared" si="23"/>
        <v>0</v>
      </c>
      <c r="AQ114" s="295">
        <f t="shared" si="23"/>
        <v>0</v>
      </c>
      <c r="AR114" s="295">
        <f t="shared" si="23"/>
        <v>0</v>
      </c>
      <c r="AS114" s="295">
        <f t="shared" si="23"/>
        <v>0</v>
      </c>
      <c r="AT114" s="295">
        <f t="shared" si="23"/>
        <v>0</v>
      </c>
      <c r="AU114" s="295">
        <f t="shared" si="23"/>
        <v>0</v>
      </c>
      <c r="AV114" s="295">
        <f t="shared" si="23"/>
        <v>0</v>
      </c>
      <c r="AW114" s="295">
        <f t="shared" si="23"/>
        <v>0</v>
      </c>
      <c r="AX114" s="295">
        <f t="shared" si="23"/>
        <v>0</v>
      </c>
      <c r="AY114" s="295">
        <f t="shared" si="23"/>
        <v>0</v>
      </c>
      <c r="AZ114" s="295">
        <f t="shared" si="23"/>
        <v>0</v>
      </c>
      <c r="BA114" s="295">
        <f t="shared" si="23"/>
        <v>0</v>
      </c>
      <c r="BB114" s="295">
        <f t="shared" si="23"/>
        <v>0</v>
      </c>
      <c r="BC114" s="295">
        <f t="shared" si="23"/>
        <v>0</v>
      </c>
      <c r="BD114" s="295">
        <f t="shared" si="23"/>
        <v>0</v>
      </c>
      <c r="BE114" s="295">
        <f t="shared" si="23"/>
        <v>0</v>
      </c>
      <c r="BF114" s="295">
        <f t="shared" si="23"/>
        <v>0</v>
      </c>
      <c r="BG114" s="295">
        <f t="shared" si="23"/>
        <v>0</v>
      </c>
      <c r="BH114" s="295">
        <f t="shared" si="23"/>
        <v>0</v>
      </c>
      <c r="BI114" s="295">
        <f t="shared" si="23"/>
        <v>0</v>
      </c>
      <c r="BJ114" s="296">
        <f t="shared" si="23"/>
        <v>0</v>
      </c>
    </row>
    <row r="115" spans="1:62" ht="15.75" thickBot="1">
      <c r="A115" s="650"/>
      <c r="AG115" s="578" t="s">
        <v>54</v>
      </c>
      <c r="AH115" s="294">
        <f t="shared" si="20"/>
        <v>73834869.857181638</v>
      </c>
      <c r="AI115" s="295">
        <f t="shared" si="23"/>
        <v>71528509.261255711</v>
      </c>
      <c r="AJ115" s="295">
        <f t="shared" si="23"/>
        <v>68594924.161462039</v>
      </c>
      <c r="AK115" s="295">
        <f t="shared" si="23"/>
        <v>64544547.45956219</v>
      </c>
      <c r="AL115" s="295">
        <f t="shared" si="23"/>
        <v>58767200.123396024</v>
      </c>
      <c r="AM115" s="295">
        <f t="shared" si="23"/>
        <v>50798461.830973662</v>
      </c>
      <c r="AN115" s="295">
        <f t="shared" si="23"/>
        <v>40844410.188143849</v>
      </c>
      <c r="AO115" s="295">
        <f t="shared" si="23"/>
        <v>29908323.994168554</v>
      </c>
      <c r="AP115" s="295">
        <f t="shared" si="23"/>
        <v>19517927.595337104</v>
      </c>
      <c r="AQ115" s="295">
        <f t="shared" si="23"/>
        <v>11227368.478537375</v>
      </c>
      <c r="AR115" s="295">
        <f t="shared" si="23"/>
        <v>5681390.091637318</v>
      </c>
      <c r="AS115" s="295">
        <f t="shared" si="23"/>
        <v>2541741.4578644498</v>
      </c>
      <c r="AT115" s="295">
        <f t="shared" si="23"/>
        <v>1016434.4313038641</v>
      </c>
      <c r="AU115" s="295">
        <f t="shared" si="23"/>
        <v>354943.72569338599</v>
      </c>
      <c r="AV115" s="295">
        <f t="shared" si="23"/>
        <v>105596.9397764786</v>
      </c>
      <c r="AW115" s="295">
        <f t="shared" si="23"/>
        <v>26072.280930767796</v>
      </c>
      <c r="AX115" s="295">
        <f t="shared" si="23"/>
        <v>5846.5070382143767</v>
      </c>
      <c r="AY115" s="295">
        <f t="shared" si="23"/>
        <v>1185.9316918581123</v>
      </c>
      <c r="AZ115" s="295">
        <f t="shared" si="23"/>
        <v>211.78494550183692</v>
      </c>
      <c r="BA115" s="295">
        <f t="shared" si="23"/>
        <v>32.609151732352998</v>
      </c>
      <c r="BB115" s="295">
        <f t="shared" si="23"/>
        <v>4.2074034219339405</v>
      </c>
      <c r="BC115" s="295">
        <f t="shared" si="23"/>
        <v>0.43654392359957206</v>
      </c>
      <c r="BD115" s="295">
        <f t="shared" si="23"/>
        <v>3.413436539736589E-2</v>
      </c>
      <c r="BE115" s="295">
        <f t="shared" si="23"/>
        <v>1.7873744266957766E-3</v>
      </c>
      <c r="BF115" s="295">
        <f t="shared" si="23"/>
        <v>4.699642654335744E-5</v>
      </c>
      <c r="BG115" s="295">
        <f t="shared" si="23"/>
        <v>0</v>
      </c>
      <c r="BH115" s="295">
        <f t="shared" si="23"/>
        <v>0</v>
      </c>
      <c r="BI115" s="295">
        <f t="shared" si="23"/>
        <v>0</v>
      </c>
      <c r="BJ115" s="296">
        <f t="shared" si="23"/>
        <v>0</v>
      </c>
    </row>
    <row r="116" spans="1:62" ht="15.75" customHeight="1" thickBot="1">
      <c r="A116" s="1710" t="s">
        <v>44</v>
      </c>
      <c r="B116" s="169" t="s">
        <v>10</v>
      </c>
      <c r="C116" s="288">
        <v>2012</v>
      </c>
      <c r="D116" s="289">
        <v>2013</v>
      </c>
      <c r="E116" s="289">
        <v>2014</v>
      </c>
      <c r="F116" s="289">
        <v>2015</v>
      </c>
      <c r="G116" s="288">
        <v>2016</v>
      </c>
      <c r="H116" s="289">
        <v>2017</v>
      </c>
      <c r="I116" s="289">
        <v>2018</v>
      </c>
      <c r="J116" s="289">
        <v>2019</v>
      </c>
      <c r="K116" s="288">
        <v>2020</v>
      </c>
      <c r="L116" s="289">
        <v>2021</v>
      </c>
      <c r="M116" s="289">
        <v>2022</v>
      </c>
      <c r="N116" s="289">
        <v>2023</v>
      </c>
      <c r="O116" s="288">
        <v>2024</v>
      </c>
      <c r="P116" s="289">
        <v>2025</v>
      </c>
      <c r="Q116" s="289">
        <v>2026</v>
      </c>
      <c r="R116" s="289">
        <v>2027</v>
      </c>
      <c r="S116" s="288">
        <v>2028</v>
      </c>
      <c r="T116" s="289">
        <v>2029</v>
      </c>
      <c r="U116" s="289">
        <v>2030</v>
      </c>
      <c r="V116" s="289">
        <v>2031</v>
      </c>
      <c r="W116" s="288">
        <v>2032</v>
      </c>
      <c r="X116" s="289">
        <v>2033</v>
      </c>
      <c r="Y116" s="289">
        <v>2034</v>
      </c>
      <c r="Z116" s="289">
        <v>2035</v>
      </c>
      <c r="AA116" s="288">
        <v>2036</v>
      </c>
      <c r="AB116" s="289">
        <v>2037</v>
      </c>
      <c r="AC116" s="289">
        <v>2038</v>
      </c>
      <c r="AD116" s="289">
        <v>2039</v>
      </c>
      <c r="AE116" s="290">
        <v>2040</v>
      </c>
      <c r="AG116" s="578" t="s">
        <v>55</v>
      </c>
      <c r="AH116" s="294">
        <f t="shared" si="20"/>
        <v>35281808.168196231</v>
      </c>
      <c r="AI116" s="295">
        <f t="shared" si="23"/>
        <v>34576172.004832312</v>
      </c>
      <c r="AJ116" s="295">
        <f t="shared" si="23"/>
        <v>33884648.564735666</v>
      </c>
      <c r="AK116" s="295">
        <f t="shared" si="23"/>
        <v>33206955.593440954</v>
      </c>
      <c r="AL116" s="295">
        <f t="shared" si="23"/>
        <v>32542695.495449126</v>
      </c>
      <c r="AM116" s="295">
        <f t="shared" si="23"/>
        <v>31885585.135907471</v>
      </c>
      <c r="AN116" s="295">
        <f t="shared" si="23"/>
        <v>31141406.240948543</v>
      </c>
      <c r="AO116" s="295">
        <f t="shared" si="23"/>
        <v>29804649.757330719</v>
      </c>
      <c r="AP116" s="295">
        <f t="shared" si="23"/>
        <v>27188153.085856024</v>
      </c>
      <c r="AQ116" s="295">
        <f t="shared" si="23"/>
        <v>22741404.712863412</v>
      </c>
      <c r="AR116" s="295">
        <f t="shared" si="23"/>
        <v>16788097.020078808</v>
      </c>
      <c r="AS116" s="295">
        <f t="shared" si="23"/>
        <v>10597719.90528008</v>
      </c>
      <c r="AT116" s="295">
        <f t="shared" si="23"/>
        <v>5503828.8448778084</v>
      </c>
      <c r="AU116" s="295">
        <f t="shared" si="23"/>
        <v>2295581.5829746076</v>
      </c>
      <c r="AV116" s="295">
        <f t="shared" si="23"/>
        <v>748730.05468573293</v>
      </c>
      <c r="AW116" s="295">
        <f t="shared" si="23"/>
        <v>189134.86434280375</v>
      </c>
      <c r="AX116" s="295">
        <f t="shared" si="23"/>
        <v>43122.210986913138</v>
      </c>
      <c r="AY116" s="295">
        <f t="shared" si="23"/>
        <v>8888.7389206057833</v>
      </c>
      <c r="AZ116" s="295">
        <f t="shared" si="23"/>
        <v>1604.050749299269</v>
      </c>
      <c r="BA116" s="295">
        <f t="shared" si="23"/>
        <v>248.25615709468707</v>
      </c>
      <c r="BB116" s="295">
        <f t="shared" si="23"/>
        <v>32.038484285276418</v>
      </c>
      <c r="BC116" s="295">
        <f t="shared" si="23"/>
        <v>3.309985199741031</v>
      </c>
      <c r="BD116" s="295">
        <f t="shared" si="23"/>
        <v>0.25665799884667234</v>
      </c>
      <c r="BE116" s="295">
        <f t="shared" si="23"/>
        <v>1.3277830488042435E-2</v>
      </c>
      <c r="BF116" s="295">
        <f t="shared" si="23"/>
        <v>3.4373658067204786E-4</v>
      </c>
      <c r="BG116" s="295">
        <f t="shared" si="23"/>
        <v>0</v>
      </c>
      <c r="BH116" s="295">
        <f t="shared" si="23"/>
        <v>0</v>
      </c>
      <c r="BI116" s="295">
        <f t="shared" si="23"/>
        <v>0</v>
      </c>
      <c r="BJ116" s="296">
        <f t="shared" si="23"/>
        <v>0</v>
      </c>
    </row>
    <row r="117" spans="1:62" ht="15.75" customHeight="1" thickBot="1">
      <c r="A117" s="1711" t="s">
        <v>41</v>
      </c>
      <c r="B117" s="116">
        <v>0</v>
      </c>
      <c r="C117" s="313">
        <f>'CAR SEC'!E3</f>
        <v>2.3179275191833084</v>
      </c>
      <c r="D117" s="314">
        <v>0</v>
      </c>
      <c r="E117" s="314">
        <v>0</v>
      </c>
      <c r="F117" s="314">
        <v>0</v>
      </c>
      <c r="G117" s="314">
        <v>0</v>
      </c>
      <c r="H117" s="314">
        <v>0</v>
      </c>
      <c r="I117" s="314">
        <v>0</v>
      </c>
      <c r="J117" s="314">
        <v>0</v>
      </c>
      <c r="K117" s="314">
        <v>0</v>
      </c>
      <c r="L117" s="314">
        <v>0</v>
      </c>
      <c r="M117" s="314">
        <v>0</v>
      </c>
      <c r="N117" s="314">
        <v>0</v>
      </c>
      <c r="O117" s="314">
        <v>0</v>
      </c>
      <c r="P117" s="314">
        <v>0</v>
      </c>
      <c r="Q117" s="314">
        <v>0</v>
      </c>
      <c r="R117" s="314">
        <v>0</v>
      </c>
      <c r="S117" s="314">
        <v>0</v>
      </c>
      <c r="T117" s="314">
        <v>0</v>
      </c>
      <c r="U117" s="314">
        <v>0</v>
      </c>
      <c r="V117" s="314">
        <v>0</v>
      </c>
      <c r="W117" s="314">
        <v>0</v>
      </c>
      <c r="X117" s="314">
        <v>0</v>
      </c>
      <c r="Y117" s="314">
        <v>0</v>
      </c>
      <c r="Z117" s="314">
        <v>0</v>
      </c>
      <c r="AA117" s="314">
        <v>0</v>
      </c>
      <c r="AB117" s="314">
        <v>0</v>
      </c>
      <c r="AC117" s="314">
        <v>0</v>
      </c>
      <c r="AD117" s="314">
        <v>0</v>
      </c>
      <c r="AE117" s="315">
        <v>0</v>
      </c>
      <c r="AG117" s="579" t="s">
        <v>56</v>
      </c>
      <c r="AH117" s="335">
        <f t="shared" si="20"/>
        <v>48966863.046230778</v>
      </c>
      <c r="AI117" s="336">
        <f t="shared" si="23"/>
        <v>47815773.193619125</v>
      </c>
      <c r="AJ117" s="336">
        <f t="shared" si="23"/>
        <v>46618707.475513794</v>
      </c>
      <c r="AK117" s="336">
        <f t="shared" si="23"/>
        <v>45129428.070515126</v>
      </c>
      <c r="AL117" s="336">
        <f t="shared" si="23"/>
        <v>42593516.648222774</v>
      </c>
      <c r="AM117" s="336">
        <f t="shared" si="23"/>
        <v>38167323.765242115</v>
      </c>
      <c r="AN117" s="336">
        <f t="shared" si="23"/>
        <v>31787612.676593423</v>
      </c>
      <c r="AO117" s="336">
        <f t="shared" si="23"/>
        <v>24514811.26900921</v>
      </c>
      <c r="AP117" s="336">
        <f t="shared" si="23"/>
        <v>17594541.190420929</v>
      </c>
      <c r="AQ117" s="336">
        <f t="shared" si="23"/>
        <v>11849071.035824748</v>
      </c>
      <c r="AR117" s="336">
        <f t="shared" si="23"/>
        <v>7430350.4477954302</v>
      </c>
      <c r="AS117" s="336">
        <f t="shared" si="23"/>
        <v>4236023.5144996345</v>
      </c>
      <c r="AT117" s="336">
        <f t="shared" si="23"/>
        <v>2116042.9423862798</v>
      </c>
      <c r="AU117" s="336">
        <f t="shared" si="23"/>
        <v>886752.48430850019</v>
      </c>
      <c r="AV117" s="336">
        <f t="shared" si="23"/>
        <v>305871.47138993023</v>
      </c>
      <c r="AW117" s="336">
        <f t="shared" si="23"/>
        <v>86892.475379089301</v>
      </c>
      <c r="AX117" s="336">
        <f t="shared" si="23"/>
        <v>22350.846462663321</v>
      </c>
      <c r="AY117" s="336">
        <f t="shared" si="23"/>
        <v>5187.1145083205975</v>
      </c>
      <c r="AZ117" s="336">
        <f t="shared" si="23"/>
        <v>1054.9278515011467</v>
      </c>
      <c r="BA117" s="336">
        <f t="shared" si="23"/>
        <v>184.14227794341846</v>
      </c>
      <c r="BB117" s="336">
        <f t="shared" si="23"/>
        <v>26.818495101509431</v>
      </c>
      <c r="BC117" s="336">
        <f t="shared" si="23"/>
        <v>3.128365061442826</v>
      </c>
      <c r="BD117" s="336">
        <f t="shared" si="23"/>
        <v>0.27402294622310136</v>
      </c>
      <c r="BE117" s="336">
        <f t="shared" si="23"/>
        <v>1.6022771622764005E-2</v>
      </c>
      <c r="BF117" s="336">
        <f t="shared" si="23"/>
        <v>4.6915201859256967E-4</v>
      </c>
      <c r="BG117" s="336">
        <f t="shared" si="23"/>
        <v>0</v>
      </c>
      <c r="BH117" s="336">
        <f t="shared" si="23"/>
        <v>0</v>
      </c>
      <c r="BI117" s="336">
        <f t="shared" si="23"/>
        <v>0</v>
      </c>
      <c r="BJ117" s="337">
        <f t="shared" si="23"/>
        <v>0</v>
      </c>
    </row>
    <row r="118" spans="1:62">
      <c r="A118" s="1711"/>
      <c r="B118" s="116">
        <v>1</v>
      </c>
      <c r="C118" s="316">
        <f>'CAR SEC'!E4</f>
        <v>2.4907938416802358</v>
      </c>
      <c r="D118" s="317">
        <f>C117</f>
        <v>2.3179275191833084</v>
      </c>
      <c r="E118" s="317">
        <f t="shared" ref="E118:T118" si="24">D117</f>
        <v>0</v>
      </c>
      <c r="F118" s="317">
        <f t="shared" si="24"/>
        <v>0</v>
      </c>
      <c r="G118" s="317">
        <f t="shared" si="24"/>
        <v>0</v>
      </c>
      <c r="H118" s="317">
        <f t="shared" si="24"/>
        <v>0</v>
      </c>
      <c r="I118" s="317">
        <f t="shared" si="24"/>
        <v>0</v>
      </c>
      <c r="J118" s="317">
        <f t="shared" si="24"/>
        <v>0</v>
      </c>
      <c r="K118" s="317">
        <f t="shared" si="24"/>
        <v>0</v>
      </c>
      <c r="L118" s="317">
        <f t="shared" si="24"/>
        <v>0</v>
      </c>
      <c r="M118" s="317">
        <f t="shared" si="24"/>
        <v>0</v>
      </c>
      <c r="N118" s="317">
        <f t="shared" si="24"/>
        <v>0</v>
      </c>
      <c r="O118" s="317">
        <f t="shared" si="24"/>
        <v>0</v>
      </c>
      <c r="P118" s="317">
        <f t="shared" si="24"/>
        <v>0</v>
      </c>
      <c r="Q118" s="317">
        <f t="shared" si="24"/>
        <v>0</v>
      </c>
      <c r="R118" s="317">
        <f t="shared" si="24"/>
        <v>0</v>
      </c>
      <c r="S118" s="317">
        <f t="shared" si="24"/>
        <v>0</v>
      </c>
      <c r="T118" s="317">
        <f t="shared" si="24"/>
        <v>0</v>
      </c>
      <c r="U118" s="317">
        <f t="shared" ref="T118:AE133" si="25">T117</f>
        <v>0</v>
      </c>
      <c r="V118" s="317">
        <f t="shared" si="25"/>
        <v>0</v>
      </c>
      <c r="W118" s="317">
        <f t="shared" si="25"/>
        <v>0</v>
      </c>
      <c r="X118" s="317">
        <f t="shared" si="25"/>
        <v>0</v>
      </c>
      <c r="Y118" s="317">
        <f t="shared" si="25"/>
        <v>0</v>
      </c>
      <c r="Z118" s="317">
        <f t="shared" si="25"/>
        <v>0</v>
      </c>
      <c r="AA118" s="317">
        <f t="shared" si="25"/>
        <v>0</v>
      </c>
      <c r="AB118" s="317">
        <f t="shared" si="25"/>
        <v>0</v>
      </c>
      <c r="AC118" s="317">
        <f t="shared" si="25"/>
        <v>0</v>
      </c>
      <c r="AD118" s="317">
        <f t="shared" si="25"/>
        <v>0</v>
      </c>
      <c r="AE118" s="318">
        <f t="shared" si="25"/>
        <v>0</v>
      </c>
    </row>
    <row r="119" spans="1:62">
      <c r="A119" s="1711"/>
      <c r="B119" s="116">
        <v>2</v>
      </c>
      <c r="C119" s="316">
        <f>'CAR SEC'!E5</f>
        <v>2.5587329619456338</v>
      </c>
      <c r="D119" s="317">
        <f t="shared" ref="D119:S134" si="26">C118</f>
        <v>2.4907938416802358</v>
      </c>
      <c r="E119" s="317">
        <f t="shared" si="26"/>
        <v>2.3179275191833084</v>
      </c>
      <c r="F119" s="317">
        <f t="shared" si="26"/>
        <v>0</v>
      </c>
      <c r="G119" s="317">
        <f t="shared" si="26"/>
        <v>0</v>
      </c>
      <c r="H119" s="317">
        <f t="shared" si="26"/>
        <v>0</v>
      </c>
      <c r="I119" s="317">
        <f t="shared" si="26"/>
        <v>0</v>
      </c>
      <c r="J119" s="317">
        <f t="shared" si="26"/>
        <v>0</v>
      </c>
      <c r="K119" s="317">
        <f t="shared" si="26"/>
        <v>0</v>
      </c>
      <c r="L119" s="317">
        <f t="shared" si="26"/>
        <v>0</v>
      </c>
      <c r="M119" s="317">
        <f t="shared" si="26"/>
        <v>0</v>
      </c>
      <c r="N119" s="317">
        <f t="shared" si="26"/>
        <v>0</v>
      </c>
      <c r="O119" s="317">
        <f t="shared" si="26"/>
        <v>0</v>
      </c>
      <c r="P119" s="317">
        <f t="shared" si="26"/>
        <v>0</v>
      </c>
      <c r="Q119" s="317">
        <f t="shared" si="26"/>
        <v>0</v>
      </c>
      <c r="R119" s="317">
        <f t="shared" si="26"/>
        <v>0</v>
      </c>
      <c r="S119" s="317">
        <f t="shared" si="26"/>
        <v>0</v>
      </c>
      <c r="T119" s="317">
        <f t="shared" si="25"/>
        <v>0</v>
      </c>
      <c r="U119" s="317">
        <f t="shared" si="25"/>
        <v>0</v>
      </c>
      <c r="V119" s="317">
        <f t="shared" si="25"/>
        <v>0</v>
      </c>
      <c r="W119" s="317">
        <f t="shared" si="25"/>
        <v>0</v>
      </c>
      <c r="X119" s="317">
        <f t="shared" si="25"/>
        <v>0</v>
      </c>
      <c r="Y119" s="317">
        <f t="shared" si="25"/>
        <v>0</v>
      </c>
      <c r="Z119" s="317">
        <f t="shared" si="25"/>
        <v>0</v>
      </c>
      <c r="AA119" s="317">
        <f t="shared" si="25"/>
        <v>0</v>
      </c>
      <c r="AB119" s="317">
        <f t="shared" si="25"/>
        <v>0</v>
      </c>
      <c r="AC119" s="317">
        <f t="shared" si="25"/>
        <v>0</v>
      </c>
      <c r="AD119" s="317">
        <f t="shared" si="25"/>
        <v>0</v>
      </c>
      <c r="AE119" s="318">
        <f t="shared" si="25"/>
        <v>0</v>
      </c>
      <c r="AH119" s="386">
        <f>SUM(AH102:AH105)</f>
        <v>27305151757.954254</v>
      </c>
      <c r="AI119" s="379">
        <f>AH119*1.2</f>
        <v>32766182109.545105</v>
      </c>
    </row>
    <row r="120" spans="1:62">
      <c r="A120" s="1711"/>
      <c r="B120" s="116">
        <v>3</v>
      </c>
      <c r="C120" s="316">
        <f>'CAR SEC'!E6</f>
        <v>2.5458956367430554</v>
      </c>
      <c r="D120" s="317">
        <f t="shared" si="26"/>
        <v>2.5587329619456338</v>
      </c>
      <c r="E120" s="317">
        <f t="shared" si="26"/>
        <v>2.4907938416802358</v>
      </c>
      <c r="F120" s="317">
        <f t="shared" si="26"/>
        <v>2.3179275191833084</v>
      </c>
      <c r="G120" s="317">
        <f t="shared" si="26"/>
        <v>0</v>
      </c>
      <c r="H120" s="317">
        <f t="shared" si="26"/>
        <v>0</v>
      </c>
      <c r="I120" s="317">
        <f t="shared" si="26"/>
        <v>0</v>
      </c>
      <c r="J120" s="317">
        <f t="shared" si="26"/>
        <v>0</v>
      </c>
      <c r="K120" s="317">
        <f t="shared" si="26"/>
        <v>0</v>
      </c>
      <c r="L120" s="317">
        <f t="shared" si="26"/>
        <v>0</v>
      </c>
      <c r="M120" s="317">
        <f t="shared" si="26"/>
        <v>0</v>
      </c>
      <c r="N120" s="317">
        <f t="shared" si="26"/>
        <v>0</v>
      </c>
      <c r="O120" s="317">
        <f t="shared" si="26"/>
        <v>0</v>
      </c>
      <c r="P120" s="317">
        <f t="shared" si="26"/>
        <v>0</v>
      </c>
      <c r="Q120" s="317">
        <f t="shared" si="26"/>
        <v>0</v>
      </c>
      <c r="R120" s="317">
        <f t="shared" si="26"/>
        <v>0</v>
      </c>
      <c r="S120" s="317">
        <f t="shared" si="26"/>
        <v>0</v>
      </c>
      <c r="T120" s="317">
        <f t="shared" si="25"/>
        <v>0</v>
      </c>
      <c r="U120" s="317">
        <f t="shared" si="25"/>
        <v>0</v>
      </c>
      <c r="V120" s="317">
        <f t="shared" si="25"/>
        <v>0</v>
      </c>
      <c r="W120" s="317">
        <f t="shared" si="25"/>
        <v>0</v>
      </c>
      <c r="X120" s="317">
        <f t="shared" si="25"/>
        <v>0</v>
      </c>
      <c r="Y120" s="317">
        <f t="shared" si="25"/>
        <v>0</v>
      </c>
      <c r="Z120" s="317">
        <f t="shared" si="25"/>
        <v>0</v>
      </c>
      <c r="AA120" s="317">
        <f t="shared" si="25"/>
        <v>0</v>
      </c>
      <c r="AB120" s="317">
        <f t="shared" si="25"/>
        <v>0</v>
      </c>
      <c r="AC120" s="317">
        <f t="shared" si="25"/>
        <v>0</v>
      </c>
      <c r="AD120" s="317">
        <f t="shared" si="25"/>
        <v>0</v>
      </c>
      <c r="AE120" s="318">
        <f t="shared" si="25"/>
        <v>0</v>
      </c>
    </row>
    <row r="121" spans="1:62">
      <c r="A121" s="1711"/>
      <c r="B121" s="116">
        <v>4</v>
      </c>
      <c r="C121" s="316">
        <f>'CAR SEC'!E7</f>
        <v>2.5687601052053757</v>
      </c>
      <c r="D121" s="317">
        <f t="shared" si="26"/>
        <v>2.5458956367430554</v>
      </c>
      <c r="E121" s="317">
        <f t="shared" si="26"/>
        <v>2.5587329619456338</v>
      </c>
      <c r="F121" s="317">
        <f t="shared" si="26"/>
        <v>2.4907938416802358</v>
      </c>
      <c r="G121" s="317">
        <f t="shared" si="26"/>
        <v>2.3179275191833084</v>
      </c>
      <c r="H121" s="317">
        <f t="shared" si="26"/>
        <v>0</v>
      </c>
      <c r="I121" s="317">
        <f t="shared" si="26"/>
        <v>0</v>
      </c>
      <c r="J121" s="317">
        <f t="shared" si="26"/>
        <v>0</v>
      </c>
      <c r="K121" s="317">
        <f t="shared" si="26"/>
        <v>0</v>
      </c>
      <c r="L121" s="317">
        <f t="shared" si="26"/>
        <v>0</v>
      </c>
      <c r="M121" s="317">
        <f t="shared" si="26"/>
        <v>0</v>
      </c>
      <c r="N121" s="317">
        <f t="shared" si="26"/>
        <v>0</v>
      </c>
      <c r="O121" s="317">
        <f t="shared" si="26"/>
        <v>0</v>
      </c>
      <c r="P121" s="317">
        <f t="shared" si="26"/>
        <v>0</v>
      </c>
      <c r="Q121" s="317">
        <f t="shared" si="26"/>
        <v>0</v>
      </c>
      <c r="R121" s="317">
        <f t="shared" si="26"/>
        <v>0</v>
      </c>
      <c r="S121" s="317">
        <f t="shared" si="26"/>
        <v>0</v>
      </c>
      <c r="T121" s="317">
        <f t="shared" si="25"/>
        <v>0</v>
      </c>
      <c r="U121" s="317">
        <f t="shared" si="25"/>
        <v>0</v>
      </c>
      <c r="V121" s="317">
        <f t="shared" si="25"/>
        <v>0</v>
      </c>
      <c r="W121" s="317">
        <f t="shared" si="25"/>
        <v>0</v>
      </c>
      <c r="X121" s="317">
        <f t="shared" si="25"/>
        <v>0</v>
      </c>
      <c r="Y121" s="317">
        <f t="shared" si="25"/>
        <v>0</v>
      </c>
      <c r="Z121" s="317">
        <f t="shared" si="25"/>
        <v>0</v>
      </c>
      <c r="AA121" s="317">
        <f t="shared" si="25"/>
        <v>0</v>
      </c>
      <c r="AB121" s="317">
        <f t="shared" si="25"/>
        <v>0</v>
      </c>
      <c r="AC121" s="317">
        <f t="shared" si="25"/>
        <v>0</v>
      </c>
      <c r="AD121" s="317">
        <f t="shared" si="25"/>
        <v>0</v>
      </c>
      <c r="AE121" s="318">
        <f t="shared" si="25"/>
        <v>0</v>
      </c>
    </row>
    <row r="122" spans="1:62">
      <c r="A122" s="1711"/>
      <c r="B122" s="116">
        <v>5</v>
      </c>
      <c r="C122" s="316">
        <f>'CAR SEC'!E8</f>
        <v>2.6958644666924654</v>
      </c>
      <c r="D122" s="317">
        <f t="shared" si="26"/>
        <v>2.5687601052053757</v>
      </c>
      <c r="E122" s="317">
        <f t="shared" si="26"/>
        <v>2.5458956367430554</v>
      </c>
      <c r="F122" s="317">
        <f t="shared" si="26"/>
        <v>2.5587329619456338</v>
      </c>
      <c r="G122" s="317">
        <f t="shared" si="26"/>
        <v>2.4907938416802358</v>
      </c>
      <c r="H122" s="317">
        <f t="shared" si="26"/>
        <v>2.3179275191833084</v>
      </c>
      <c r="I122" s="317">
        <f t="shared" si="26"/>
        <v>0</v>
      </c>
      <c r="J122" s="317">
        <f t="shared" si="26"/>
        <v>0</v>
      </c>
      <c r="K122" s="317">
        <f t="shared" si="26"/>
        <v>0</v>
      </c>
      <c r="L122" s="317">
        <f t="shared" si="26"/>
        <v>0</v>
      </c>
      <c r="M122" s="317">
        <f t="shared" si="26"/>
        <v>0</v>
      </c>
      <c r="N122" s="317">
        <f t="shared" si="26"/>
        <v>0</v>
      </c>
      <c r="O122" s="317">
        <f t="shared" si="26"/>
        <v>0</v>
      </c>
      <c r="P122" s="317">
        <f t="shared" si="26"/>
        <v>0</v>
      </c>
      <c r="Q122" s="317">
        <f t="shared" si="26"/>
        <v>0</v>
      </c>
      <c r="R122" s="317">
        <f t="shared" si="26"/>
        <v>0</v>
      </c>
      <c r="S122" s="317">
        <f t="shared" si="26"/>
        <v>0</v>
      </c>
      <c r="T122" s="317">
        <f t="shared" si="25"/>
        <v>0</v>
      </c>
      <c r="U122" s="317">
        <f t="shared" si="25"/>
        <v>0</v>
      </c>
      <c r="V122" s="317">
        <f t="shared" si="25"/>
        <v>0</v>
      </c>
      <c r="W122" s="317">
        <f t="shared" si="25"/>
        <v>0</v>
      </c>
      <c r="X122" s="317">
        <f t="shared" si="25"/>
        <v>0</v>
      </c>
      <c r="Y122" s="317">
        <f t="shared" si="25"/>
        <v>0</v>
      </c>
      <c r="Z122" s="317">
        <f t="shared" si="25"/>
        <v>0</v>
      </c>
      <c r="AA122" s="317">
        <f t="shared" si="25"/>
        <v>0</v>
      </c>
      <c r="AB122" s="317">
        <f t="shared" si="25"/>
        <v>0</v>
      </c>
      <c r="AC122" s="317">
        <f t="shared" si="25"/>
        <v>0</v>
      </c>
      <c r="AD122" s="317">
        <f t="shared" si="25"/>
        <v>0</v>
      </c>
      <c r="AE122" s="318">
        <f t="shared" si="25"/>
        <v>0</v>
      </c>
    </row>
    <row r="123" spans="1:62">
      <c r="A123" s="1711"/>
      <c r="B123" s="116">
        <v>6</v>
      </c>
      <c r="C123" s="316">
        <f>'CAR SEC'!E9</f>
        <v>2.829458211779647</v>
      </c>
      <c r="D123" s="317">
        <f t="shared" si="26"/>
        <v>2.6958644666924654</v>
      </c>
      <c r="E123" s="317">
        <f t="shared" si="26"/>
        <v>2.5687601052053757</v>
      </c>
      <c r="F123" s="317">
        <f t="shared" si="26"/>
        <v>2.5458956367430554</v>
      </c>
      <c r="G123" s="317">
        <f t="shared" si="26"/>
        <v>2.5587329619456338</v>
      </c>
      <c r="H123" s="317">
        <f t="shared" si="26"/>
        <v>2.4907938416802358</v>
      </c>
      <c r="I123" s="317">
        <f t="shared" si="26"/>
        <v>2.3179275191833084</v>
      </c>
      <c r="J123" s="317">
        <f t="shared" si="26"/>
        <v>0</v>
      </c>
      <c r="K123" s="317">
        <f t="shared" si="26"/>
        <v>0</v>
      </c>
      <c r="L123" s="317">
        <f t="shared" si="26"/>
        <v>0</v>
      </c>
      <c r="M123" s="317">
        <f t="shared" si="26"/>
        <v>0</v>
      </c>
      <c r="N123" s="317">
        <f t="shared" si="26"/>
        <v>0</v>
      </c>
      <c r="O123" s="317">
        <f t="shared" si="26"/>
        <v>0</v>
      </c>
      <c r="P123" s="317">
        <f t="shared" si="26"/>
        <v>0</v>
      </c>
      <c r="Q123" s="317">
        <f t="shared" si="26"/>
        <v>0</v>
      </c>
      <c r="R123" s="317">
        <f t="shared" si="26"/>
        <v>0</v>
      </c>
      <c r="S123" s="317">
        <f t="shared" si="26"/>
        <v>0</v>
      </c>
      <c r="T123" s="317">
        <f t="shared" si="25"/>
        <v>0</v>
      </c>
      <c r="U123" s="317">
        <f t="shared" si="25"/>
        <v>0</v>
      </c>
      <c r="V123" s="317">
        <f t="shared" si="25"/>
        <v>0</v>
      </c>
      <c r="W123" s="317">
        <f t="shared" si="25"/>
        <v>0</v>
      </c>
      <c r="X123" s="317">
        <f t="shared" si="25"/>
        <v>0</v>
      </c>
      <c r="Y123" s="317">
        <f t="shared" si="25"/>
        <v>0</v>
      </c>
      <c r="Z123" s="317">
        <f t="shared" si="25"/>
        <v>0</v>
      </c>
      <c r="AA123" s="317">
        <f t="shared" si="25"/>
        <v>0</v>
      </c>
      <c r="AB123" s="317">
        <f t="shared" si="25"/>
        <v>0</v>
      </c>
      <c r="AC123" s="317">
        <f t="shared" si="25"/>
        <v>0</v>
      </c>
      <c r="AD123" s="317">
        <f t="shared" si="25"/>
        <v>0</v>
      </c>
      <c r="AE123" s="318">
        <f t="shared" si="25"/>
        <v>0</v>
      </c>
    </row>
    <row r="124" spans="1:62">
      <c r="A124" s="1711"/>
      <c r="B124" s="116">
        <v>7</v>
      </c>
      <c r="C124" s="316">
        <f>'CAR SEC'!E10</f>
        <v>2.8360032012456582</v>
      </c>
      <c r="D124" s="317">
        <f t="shared" si="26"/>
        <v>2.829458211779647</v>
      </c>
      <c r="E124" s="317">
        <f t="shared" si="26"/>
        <v>2.6958644666924654</v>
      </c>
      <c r="F124" s="317">
        <f t="shared" si="26"/>
        <v>2.5687601052053757</v>
      </c>
      <c r="G124" s="317">
        <f t="shared" si="26"/>
        <v>2.5458956367430554</v>
      </c>
      <c r="H124" s="317">
        <f t="shared" si="26"/>
        <v>2.5587329619456338</v>
      </c>
      <c r="I124" s="317">
        <f t="shared" si="26"/>
        <v>2.4907938416802358</v>
      </c>
      <c r="J124" s="317">
        <f t="shared" si="26"/>
        <v>2.3179275191833084</v>
      </c>
      <c r="K124" s="317">
        <f t="shared" si="26"/>
        <v>0</v>
      </c>
      <c r="L124" s="317">
        <f t="shared" si="26"/>
        <v>0</v>
      </c>
      <c r="M124" s="317">
        <f t="shared" si="26"/>
        <v>0</v>
      </c>
      <c r="N124" s="317">
        <f t="shared" si="26"/>
        <v>0</v>
      </c>
      <c r="O124" s="317">
        <f t="shared" si="26"/>
        <v>0</v>
      </c>
      <c r="P124" s="317">
        <f t="shared" si="26"/>
        <v>0</v>
      </c>
      <c r="Q124" s="317">
        <f t="shared" si="26"/>
        <v>0</v>
      </c>
      <c r="R124" s="317">
        <f t="shared" si="26"/>
        <v>0</v>
      </c>
      <c r="S124" s="317">
        <f t="shared" si="26"/>
        <v>0</v>
      </c>
      <c r="T124" s="317">
        <f t="shared" si="25"/>
        <v>0</v>
      </c>
      <c r="U124" s="317">
        <f t="shared" si="25"/>
        <v>0</v>
      </c>
      <c r="V124" s="317">
        <f t="shared" si="25"/>
        <v>0</v>
      </c>
      <c r="W124" s="317">
        <f t="shared" si="25"/>
        <v>0</v>
      </c>
      <c r="X124" s="317">
        <f t="shared" si="25"/>
        <v>0</v>
      </c>
      <c r="Y124" s="317">
        <f t="shared" si="25"/>
        <v>0</v>
      </c>
      <c r="Z124" s="317">
        <f t="shared" si="25"/>
        <v>0</v>
      </c>
      <c r="AA124" s="317">
        <f t="shared" si="25"/>
        <v>0</v>
      </c>
      <c r="AB124" s="317">
        <f t="shared" si="25"/>
        <v>0</v>
      </c>
      <c r="AC124" s="317">
        <f t="shared" si="25"/>
        <v>0</v>
      </c>
      <c r="AD124" s="317">
        <f t="shared" si="25"/>
        <v>0</v>
      </c>
      <c r="AE124" s="318">
        <f t="shared" si="25"/>
        <v>0</v>
      </c>
    </row>
    <row r="125" spans="1:62">
      <c r="A125" s="1711"/>
      <c r="B125" s="116">
        <v>8</v>
      </c>
      <c r="C125" s="316">
        <f>'CAR SEC'!E11</f>
        <v>2.946592965379863</v>
      </c>
      <c r="D125" s="317">
        <f t="shared" si="26"/>
        <v>2.8360032012456582</v>
      </c>
      <c r="E125" s="317">
        <f t="shared" si="26"/>
        <v>2.829458211779647</v>
      </c>
      <c r="F125" s="317">
        <f t="shared" si="26"/>
        <v>2.6958644666924654</v>
      </c>
      <c r="G125" s="317">
        <f t="shared" si="26"/>
        <v>2.5687601052053757</v>
      </c>
      <c r="H125" s="317">
        <f t="shared" si="26"/>
        <v>2.5458956367430554</v>
      </c>
      <c r="I125" s="317">
        <f t="shared" si="26"/>
        <v>2.5587329619456338</v>
      </c>
      <c r="J125" s="317">
        <f t="shared" si="26"/>
        <v>2.4907938416802358</v>
      </c>
      <c r="K125" s="317">
        <f t="shared" si="26"/>
        <v>2.3179275191833084</v>
      </c>
      <c r="L125" s="317">
        <f t="shared" si="26"/>
        <v>0</v>
      </c>
      <c r="M125" s="317">
        <f t="shared" si="26"/>
        <v>0</v>
      </c>
      <c r="N125" s="317">
        <f t="shared" si="26"/>
        <v>0</v>
      </c>
      <c r="O125" s="317">
        <f t="shared" si="26"/>
        <v>0</v>
      </c>
      <c r="P125" s="317">
        <f t="shared" si="26"/>
        <v>0</v>
      </c>
      <c r="Q125" s="317">
        <f t="shared" si="26"/>
        <v>0</v>
      </c>
      <c r="R125" s="317">
        <f t="shared" si="26"/>
        <v>0</v>
      </c>
      <c r="S125" s="317">
        <f t="shared" si="26"/>
        <v>0</v>
      </c>
      <c r="T125" s="317">
        <f t="shared" si="25"/>
        <v>0</v>
      </c>
      <c r="U125" s="317">
        <f t="shared" si="25"/>
        <v>0</v>
      </c>
      <c r="V125" s="317">
        <f t="shared" si="25"/>
        <v>0</v>
      </c>
      <c r="W125" s="317">
        <f t="shared" si="25"/>
        <v>0</v>
      </c>
      <c r="X125" s="317">
        <f t="shared" si="25"/>
        <v>0</v>
      </c>
      <c r="Y125" s="317">
        <f t="shared" si="25"/>
        <v>0</v>
      </c>
      <c r="Z125" s="317">
        <f t="shared" si="25"/>
        <v>0</v>
      </c>
      <c r="AA125" s="317">
        <f t="shared" si="25"/>
        <v>0</v>
      </c>
      <c r="AB125" s="317">
        <f t="shared" si="25"/>
        <v>0</v>
      </c>
      <c r="AC125" s="317">
        <f t="shared" si="25"/>
        <v>0</v>
      </c>
      <c r="AD125" s="317">
        <f t="shared" si="25"/>
        <v>0</v>
      </c>
      <c r="AE125" s="318">
        <f t="shared" si="25"/>
        <v>0</v>
      </c>
    </row>
    <row r="126" spans="1:62">
      <c r="A126" s="1711"/>
      <c r="B126" s="116">
        <v>9</v>
      </c>
      <c r="C126" s="316">
        <f>'CAR SEC'!E12</f>
        <v>2.9548006434666756</v>
      </c>
      <c r="D126" s="317">
        <f t="shared" si="26"/>
        <v>2.946592965379863</v>
      </c>
      <c r="E126" s="317">
        <f t="shared" si="26"/>
        <v>2.8360032012456582</v>
      </c>
      <c r="F126" s="317">
        <f t="shared" si="26"/>
        <v>2.829458211779647</v>
      </c>
      <c r="G126" s="317">
        <f t="shared" si="26"/>
        <v>2.6958644666924654</v>
      </c>
      <c r="H126" s="317">
        <f t="shared" si="26"/>
        <v>2.5687601052053757</v>
      </c>
      <c r="I126" s="317">
        <f t="shared" si="26"/>
        <v>2.5458956367430554</v>
      </c>
      <c r="J126" s="317">
        <f t="shared" si="26"/>
        <v>2.5587329619456338</v>
      </c>
      <c r="K126" s="317">
        <f t="shared" si="26"/>
        <v>2.4907938416802358</v>
      </c>
      <c r="L126" s="317">
        <f t="shared" si="26"/>
        <v>2.3179275191833084</v>
      </c>
      <c r="M126" s="317">
        <f t="shared" si="26"/>
        <v>0</v>
      </c>
      <c r="N126" s="317">
        <f t="shared" si="26"/>
        <v>0</v>
      </c>
      <c r="O126" s="317">
        <f t="shared" si="26"/>
        <v>0</v>
      </c>
      <c r="P126" s="317">
        <f t="shared" si="26"/>
        <v>0</v>
      </c>
      <c r="Q126" s="317">
        <f t="shared" si="26"/>
        <v>0</v>
      </c>
      <c r="R126" s="317">
        <f t="shared" si="26"/>
        <v>0</v>
      </c>
      <c r="S126" s="317">
        <f t="shared" si="26"/>
        <v>0</v>
      </c>
      <c r="T126" s="317">
        <f t="shared" si="25"/>
        <v>0</v>
      </c>
      <c r="U126" s="317">
        <f t="shared" si="25"/>
        <v>0</v>
      </c>
      <c r="V126" s="317">
        <f t="shared" si="25"/>
        <v>0</v>
      </c>
      <c r="W126" s="317">
        <f t="shared" si="25"/>
        <v>0</v>
      </c>
      <c r="X126" s="317">
        <f t="shared" si="25"/>
        <v>0</v>
      </c>
      <c r="Y126" s="317">
        <f t="shared" si="25"/>
        <v>0</v>
      </c>
      <c r="Z126" s="317">
        <f t="shared" si="25"/>
        <v>0</v>
      </c>
      <c r="AA126" s="317">
        <f t="shared" si="25"/>
        <v>0</v>
      </c>
      <c r="AB126" s="317">
        <f t="shared" si="25"/>
        <v>0</v>
      </c>
      <c r="AC126" s="317">
        <f t="shared" si="25"/>
        <v>0</v>
      </c>
      <c r="AD126" s="317">
        <f t="shared" si="25"/>
        <v>0</v>
      </c>
      <c r="AE126" s="318">
        <f t="shared" si="25"/>
        <v>0</v>
      </c>
    </row>
    <row r="127" spans="1:62">
      <c r="A127" s="1711"/>
      <c r="B127" s="116">
        <v>10</v>
      </c>
      <c r="C127" s="316">
        <f>'CAR SEC'!E13</f>
        <v>2.9521212721515275</v>
      </c>
      <c r="D127" s="317">
        <f t="shared" si="26"/>
        <v>2.9548006434666756</v>
      </c>
      <c r="E127" s="317">
        <f t="shared" si="26"/>
        <v>2.946592965379863</v>
      </c>
      <c r="F127" s="317">
        <f t="shared" si="26"/>
        <v>2.8360032012456582</v>
      </c>
      <c r="G127" s="317">
        <f t="shared" si="26"/>
        <v>2.829458211779647</v>
      </c>
      <c r="H127" s="317">
        <f t="shared" si="26"/>
        <v>2.6958644666924654</v>
      </c>
      <c r="I127" s="317">
        <f t="shared" si="26"/>
        <v>2.5687601052053757</v>
      </c>
      <c r="J127" s="317">
        <f t="shared" si="26"/>
        <v>2.5458956367430554</v>
      </c>
      <c r="K127" s="317">
        <f t="shared" si="26"/>
        <v>2.5587329619456338</v>
      </c>
      <c r="L127" s="317">
        <f t="shared" si="26"/>
        <v>2.4907938416802358</v>
      </c>
      <c r="M127" s="317">
        <f t="shared" si="26"/>
        <v>2.3179275191833084</v>
      </c>
      <c r="N127" s="317">
        <f t="shared" si="26"/>
        <v>0</v>
      </c>
      <c r="O127" s="317">
        <f t="shared" si="26"/>
        <v>0</v>
      </c>
      <c r="P127" s="317">
        <f t="shared" si="26"/>
        <v>0</v>
      </c>
      <c r="Q127" s="317">
        <f t="shared" si="26"/>
        <v>0</v>
      </c>
      <c r="R127" s="317">
        <f t="shared" si="26"/>
        <v>0</v>
      </c>
      <c r="S127" s="317">
        <f t="shared" si="26"/>
        <v>0</v>
      </c>
      <c r="T127" s="317">
        <f t="shared" si="25"/>
        <v>0</v>
      </c>
      <c r="U127" s="317">
        <f t="shared" si="25"/>
        <v>0</v>
      </c>
      <c r="V127" s="317">
        <f t="shared" si="25"/>
        <v>0</v>
      </c>
      <c r="W127" s="317">
        <f t="shared" si="25"/>
        <v>0</v>
      </c>
      <c r="X127" s="317">
        <f t="shared" si="25"/>
        <v>0</v>
      </c>
      <c r="Y127" s="317">
        <f t="shared" si="25"/>
        <v>0</v>
      </c>
      <c r="Z127" s="317">
        <f t="shared" si="25"/>
        <v>0</v>
      </c>
      <c r="AA127" s="317">
        <f t="shared" si="25"/>
        <v>0</v>
      </c>
      <c r="AB127" s="317">
        <f t="shared" si="25"/>
        <v>0</v>
      </c>
      <c r="AC127" s="317">
        <f t="shared" si="25"/>
        <v>0</v>
      </c>
      <c r="AD127" s="317">
        <f t="shared" si="25"/>
        <v>0</v>
      </c>
      <c r="AE127" s="318">
        <f t="shared" si="25"/>
        <v>0</v>
      </c>
    </row>
    <row r="128" spans="1:62">
      <c r="A128" s="1711"/>
      <c r="B128" s="116">
        <v>11</v>
      </c>
      <c r="C128" s="316">
        <f>'CAR SEC'!E14</f>
        <v>2.9765694670320513</v>
      </c>
      <c r="D128" s="317">
        <f t="shared" si="26"/>
        <v>2.9521212721515275</v>
      </c>
      <c r="E128" s="317">
        <f t="shared" si="26"/>
        <v>2.9548006434666756</v>
      </c>
      <c r="F128" s="317">
        <f t="shared" si="26"/>
        <v>2.946592965379863</v>
      </c>
      <c r="G128" s="317">
        <f t="shared" si="26"/>
        <v>2.8360032012456582</v>
      </c>
      <c r="H128" s="317">
        <f t="shared" si="26"/>
        <v>2.829458211779647</v>
      </c>
      <c r="I128" s="317">
        <f t="shared" si="26"/>
        <v>2.6958644666924654</v>
      </c>
      <c r="J128" s="317">
        <f t="shared" si="26"/>
        <v>2.5687601052053757</v>
      </c>
      <c r="K128" s="317">
        <f t="shared" si="26"/>
        <v>2.5458956367430554</v>
      </c>
      <c r="L128" s="317">
        <f t="shared" si="26"/>
        <v>2.5587329619456338</v>
      </c>
      <c r="M128" s="317">
        <f t="shared" si="26"/>
        <v>2.4907938416802358</v>
      </c>
      <c r="N128" s="317">
        <f t="shared" si="26"/>
        <v>2.3179275191833084</v>
      </c>
      <c r="O128" s="317">
        <f t="shared" si="26"/>
        <v>0</v>
      </c>
      <c r="P128" s="317">
        <f t="shared" si="26"/>
        <v>0</v>
      </c>
      <c r="Q128" s="317">
        <f t="shared" si="26"/>
        <v>0</v>
      </c>
      <c r="R128" s="317">
        <f t="shared" si="26"/>
        <v>0</v>
      </c>
      <c r="S128" s="317">
        <f t="shared" si="26"/>
        <v>0</v>
      </c>
      <c r="T128" s="317">
        <f t="shared" si="25"/>
        <v>0</v>
      </c>
      <c r="U128" s="317">
        <f t="shared" si="25"/>
        <v>0</v>
      </c>
      <c r="V128" s="317">
        <f t="shared" si="25"/>
        <v>0</v>
      </c>
      <c r="W128" s="317">
        <f t="shared" si="25"/>
        <v>0</v>
      </c>
      <c r="X128" s="317">
        <f t="shared" si="25"/>
        <v>0</v>
      </c>
      <c r="Y128" s="317">
        <f t="shared" si="25"/>
        <v>0</v>
      </c>
      <c r="Z128" s="317">
        <f t="shared" si="25"/>
        <v>0</v>
      </c>
      <c r="AA128" s="317">
        <f t="shared" si="25"/>
        <v>0</v>
      </c>
      <c r="AB128" s="317">
        <f t="shared" si="25"/>
        <v>0</v>
      </c>
      <c r="AC128" s="317">
        <f t="shared" si="25"/>
        <v>0</v>
      </c>
      <c r="AD128" s="317">
        <f t="shared" si="25"/>
        <v>0</v>
      </c>
      <c r="AE128" s="318">
        <f t="shared" si="25"/>
        <v>0</v>
      </c>
    </row>
    <row r="129" spans="1:31">
      <c r="A129" s="1711"/>
      <c r="B129" s="116">
        <v>12</v>
      </c>
      <c r="C129" s="316">
        <f>'CAR SEC'!E15</f>
        <v>3.0550913089638962</v>
      </c>
      <c r="D129" s="317">
        <f t="shared" si="26"/>
        <v>2.9765694670320513</v>
      </c>
      <c r="E129" s="317">
        <f t="shared" si="26"/>
        <v>2.9521212721515275</v>
      </c>
      <c r="F129" s="317">
        <f t="shared" si="26"/>
        <v>2.9548006434666756</v>
      </c>
      <c r="G129" s="317">
        <f t="shared" si="26"/>
        <v>2.946592965379863</v>
      </c>
      <c r="H129" s="317">
        <f t="shared" si="26"/>
        <v>2.8360032012456582</v>
      </c>
      <c r="I129" s="317">
        <f t="shared" si="26"/>
        <v>2.829458211779647</v>
      </c>
      <c r="J129" s="317">
        <f t="shared" si="26"/>
        <v>2.6958644666924654</v>
      </c>
      <c r="K129" s="317">
        <f t="shared" si="26"/>
        <v>2.5687601052053757</v>
      </c>
      <c r="L129" s="317">
        <f t="shared" si="26"/>
        <v>2.5458956367430554</v>
      </c>
      <c r="M129" s="317">
        <f t="shared" si="26"/>
        <v>2.5587329619456338</v>
      </c>
      <c r="N129" s="317">
        <f t="shared" si="26"/>
        <v>2.4907938416802358</v>
      </c>
      <c r="O129" s="317">
        <f t="shared" si="26"/>
        <v>2.3179275191833084</v>
      </c>
      <c r="P129" s="317">
        <f t="shared" si="26"/>
        <v>0</v>
      </c>
      <c r="Q129" s="317">
        <f t="shared" si="26"/>
        <v>0</v>
      </c>
      <c r="R129" s="317">
        <f t="shared" si="26"/>
        <v>0</v>
      </c>
      <c r="S129" s="317">
        <f t="shared" si="26"/>
        <v>0</v>
      </c>
      <c r="T129" s="317">
        <f t="shared" si="25"/>
        <v>0</v>
      </c>
      <c r="U129" s="317">
        <f t="shared" si="25"/>
        <v>0</v>
      </c>
      <c r="V129" s="317">
        <f t="shared" si="25"/>
        <v>0</v>
      </c>
      <c r="W129" s="317">
        <f t="shared" si="25"/>
        <v>0</v>
      </c>
      <c r="X129" s="317">
        <f t="shared" si="25"/>
        <v>0</v>
      </c>
      <c r="Y129" s="317">
        <f t="shared" si="25"/>
        <v>0</v>
      </c>
      <c r="Z129" s="317">
        <f t="shared" si="25"/>
        <v>0</v>
      </c>
      <c r="AA129" s="317">
        <f t="shared" si="25"/>
        <v>0</v>
      </c>
      <c r="AB129" s="317">
        <f t="shared" si="25"/>
        <v>0</v>
      </c>
      <c r="AC129" s="317">
        <f t="shared" si="25"/>
        <v>0</v>
      </c>
      <c r="AD129" s="317">
        <f t="shared" si="25"/>
        <v>0</v>
      </c>
      <c r="AE129" s="318">
        <f t="shared" si="25"/>
        <v>0</v>
      </c>
    </row>
    <row r="130" spans="1:31">
      <c r="A130" s="1711"/>
      <c r="B130" s="116">
        <v>13</v>
      </c>
      <c r="C130" s="316">
        <f>'CAR SEC'!E16</f>
        <v>3.068720829242888</v>
      </c>
      <c r="D130" s="317">
        <f t="shared" si="26"/>
        <v>3.0550913089638962</v>
      </c>
      <c r="E130" s="317">
        <f t="shared" si="26"/>
        <v>2.9765694670320513</v>
      </c>
      <c r="F130" s="317">
        <f t="shared" si="26"/>
        <v>2.9521212721515275</v>
      </c>
      <c r="G130" s="317">
        <f t="shared" si="26"/>
        <v>2.9548006434666756</v>
      </c>
      <c r="H130" s="317">
        <f t="shared" si="26"/>
        <v>2.946592965379863</v>
      </c>
      <c r="I130" s="317">
        <f t="shared" si="26"/>
        <v>2.8360032012456582</v>
      </c>
      <c r="J130" s="317">
        <f t="shared" si="26"/>
        <v>2.829458211779647</v>
      </c>
      <c r="K130" s="317">
        <f t="shared" si="26"/>
        <v>2.6958644666924654</v>
      </c>
      <c r="L130" s="317">
        <f t="shared" si="26"/>
        <v>2.5687601052053757</v>
      </c>
      <c r="M130" s="317">
        <f t="shared" si="26"/>
        <v>2.5458956367430554</v>
      </c>
      <c r="N130" s="317">
        <f t="shared" si="26"/>
        <v>2.5587329619456338</v>
      </c>
      <c r="O130" s="317">
        <f t="shared" si="26"/>
        <v>2.4907938416802358</v>
      </c>
      <c r="P130" s="317">
        <f t="shared" si="26"/>
        <v>2.3179275191833084</v>
      </c>
      <c r="Q130" s="317">
        <f t="shared" si="26"/>
        <v>0</v>
      </c>
      <c r="R130" s="317">
        <f t="shared" si="26"/>
        <v>0</v>
      </c>
      <c r="S130" s="317">
        <f t="shared" si="26"/>
        <v>0</v>
      </c>
      <c r="T130" s="317">
        <f t="shared" si="25"/>
        <v>0</v>
      </c>
      <c r="U130" s="317">
        <f t="shared" si="25"/>
        <v>0</v>
      </c>
      <c r="V130" s="317">
        <f t="shared" si="25"/>
        <v>0</v>
      </c>
      <c r="W130" s="317">
        <f t="shared" si="25"/>
        <v>0</v>
      </c>
      <c r="X130" s="317">
        <f t="shared" si="25"/>
        <v>0</v>
      </c>
      <c r="Y130" s="317">
        <f t="shared" si="25"/>
        <v>0</v>
      </c>
      <c r="Z130" s="317">
        <f t="shared" si="25"/>
        <v>0</v>
      </c>
      <c r="AA130" s="317">
        <f t="shared" si="25"/>
        <v>0</v>
      </c>
      <c r="AB130" s="317">
        <f t="shared" si="25"/>
        <v>0</v>
      </c>
      <c r="AC130" s="317">
        <f t="shared" si="25"/>
        <v>0</v>
      </c>
      <c r="AD130" s="317">
        <f t="shared" si="25"/>
        <v>0</v>
      </c>
      <c r="AE130" s="318">
        <f t="shared" si="25"/>
        <v>0</v>
      </c>
    </row>
    <row r="131" spans="1:31">
      <c r="A131" s="1711"/>
      <c r="B131" s="116">
        <v>14</v>
      </c>
      <c r="C131" s="316">
        <f>'CAR SEC'!E17</f>
        <v>3.1121549176780903</v>
      </c>
      <c r="D131" s="317">
        <f t="shared" si="26"/>
        <v>3.068720829242888</v>
      </c>
      <c r="E131" s="317">
        <f t="shared" si="26"/>
        <v>3.0550913089638962</v>
      </c>
      <c r="F131" s="317">
        <f t="shared" si="26"/>
        <v>2.9765694670320513</v>
      </c>
      <c r="G131" s="317">
        <f t="shared" si="26"/>
        <v>2.9521212721515275</v>
      </c>
      <c r="H131" s="317">
        <f t="shared" si="26"/>
        <v>2.9548006434666756</v>
      </c>
      <c r="I131" s="317">
        <f t="shared" si="26"/>
        <v>2.946592965379863</v>
      </c>
      <c r="J131" s="317">
        <f t="shared" si="26"/>
        <v>2.8360032012456582</v>
      </c>
      <c r="K131" s="317">
        <f t="shared" si="26"/>
        <v>2.829458211779647</v>
      </c>
      <c r="L131" s="317">
        <f t="shared" si="26"/>
        <v>2.6958644666924654</v>
      </c>
      <c r="M131" s="317">
        <f t="shared" si="26"/>
        <v>2.5687601052053757</v>
      </c>
      <c r="N131" s="317">
        <f t="shared" si="26"/>
        <v>2.5458956367430554</v>
      </c>
      <c r="O131" s="317">
        <f t="shared" si="26"/>
        <v>2.5587329619456338</v>
      </c>
      <c r="P131" s="317">
        <f t="shared" si="26"/>
        <v>2.4907938416802358</v>
      </c>
      <c r="Q131" s="317">
        <f t="shared" si="26"/>
        <v>2.3179275191833084</v>
      </c>
      <c r="R131" s="317">
        <f t="shared" si="26"/>
        <v>0</v>
      </c>
      <c r="S131" s="317">
        <f t="shared" si="26"/>
        <v>0</v>
      </c>
      <c r="T131" s="317">
        <f t="shared" si="25"/>
        <v>0</v>
      </c>
      <c r="U131" s="317">
        <f t="shared" si="25"/>
        <v>0</v>
      </c>
      <c r="V131" s="317">
        <f t="shared" si="25"/>
        <v>0</v>
      </c>
      <c r="W131" s="317">
        <f t="shared" si="25"/>
        <v>0</v>
      </c>
      <c r="X131" s="317">
        <f t="shared" si="25"/>
        <v>0</v>
      </c>
      <c r="Y131" s="317">
        <f t="shared" si="25"/>
        <v>0</v>
      </c>
      <c r="Z131" s="317">
        <f t="shared" si="25"/>
        <v>0</v>
      </c>
      <c r="AA131" s="317">
        <f t="shared" si="25"/>
        <v>0</v>
      </c>
      <c r="AB131" s="317">
        <f t="shared" si="25"/>
        <v>0</v>
      </c>
      <c r="AC131" s="317">
        <f t="shared" si="25"/>
        <v>0</v>
      </c>
      <c r="AD131" s="317">
        <f t="shared" si="25"/>
        <v>0</v>
      </c>
      <c r="AE131" s="318">
        <f t="shared" si="25"/>
        <v>0</v>
      </c>
    </row>
    <row r="132" spans="1:31">
      <c r="A132" s="1711"/>
      <c r="B132" s="116">
        <v>15</v>
      </c>
      <c r="C132" s="316">
        <f>'CAR SEC'!E18</f>
        <v>3.1516123873782318</v>
      </c>
      <c r="D132" s="317">
        <f t="shared" si="26"/>
        <v>3.1121549176780903</v>
      </c>
      <c r="E132" s="317">
        <f t="shared" si="26"/>
        <v>3.068720829242888</v>
      </c>
      <c r="F132" s="317">
        <f t="shared" si="26"/>
        <v>3.0550913089638962</v>
      </c>
      <c r="G132" s="317">
        <f t="shared" si="26"/>
        <v>2.9765694670320513</v>
      </c>
      <c r="H132" s="317">
        <f t="shared" si="26"/>
        <v>2.9521212721515275</v>
      </c>
      <c r="I132" s="317">
        <f t="shared" si="26"/>
        <v>2.9548006434666756</v>
      </c>
      <c r="J132" s="317">
        <f t="shared" si="26"/>
        <v>2.946592965379863</v>
      </c>
      <c r="K132" s="317">
        <f t="shared" si="26"/>
        <v>2.8360032012456582</v>
      </c>
      <c r="L132" s="317">
        <f t="shared" si="26"/>
        <v>2.829458211779647</v>
      </c>
      <c r="M132" s="317">
        <f t="shared" si="26"/>
        <v>2.6958644666924654</v>
      </c>
      <c r="N132" s="317">
        <f t="shared" si="26"/>
        <v>2.5687601052053757</v>
      </c>
      <c r="O132" s="317">
        <f t="shared" si="26"/>
        <v>2.5458956367430554</v>
      </c>
      <c r="P132" s="317">
        <f t="shared" si="26"/>
        <v>2.5587329619456338</v>
      </c>
      <c r="Q132" s="317">
        <f t="shared" si="26"/>
        <v>2.4907938416802358</v>
      </c>
      <c r="R132" s="317">
        <f t="shared" si="26"/>
        <v>2.3179275191833084</v>
      </c>
      <c r="S132" s="317">
        <f t="shared" si="26"/>
        <v>0</v>
      </c>
      <c r="T132" s="317">
        <f t="shared" si="25"/>
        <v>0</v>
      </c>
      <c r="U132" s="317">
        <f t="shared" si="25"/>
        <v>0</v>
      </c>
      <c r="V132" s="317">
        <f t="shared" si="25"/>
        <v>0</v>
      </c>
      <c r="W132" s="317">
        <f t="shared" si="25"/>
        <v>0</v>
      </c>
      <c r="X132" s="317">
        <f t="shared" si="25"/>
        <v>0</v>
      </c>
      <c r="Y132" s="317">
        <f t="shared" si="25"/>
        <v>0</v>
      </c>
      <c r="Z132" s="317">
        <f t="shared" si="25"/>
        <v>0</v>
      </c>
      <c r="AA132" s="317">
        <f t="shared" si="25"/>
        <v>0</v>
      </c>
      <c r="AB132" s="317">
        <f t="shared" si="25"/>
        <v>0</v>
      </c>
      <c r="AC132" s="317">
        <f t="shared" si="25"/>
        <v>0</v>
      </c>
      <c r="AD132" s="317">
        <f t="shared" si="25"/>
        <v>0</v>
      </c>
      <c r="AE132" s="318">
        <f t="shared" si="25"/>
        <v>0</v>
      </c>
    </row>
    <row r="133" spans="1:31">
      <c r="A133" s="1711"/>
      <c r="B133" s="116">
        <v>16</v>
      </c>
      <c r="C133" s="316">
        <f>'CAR SEC'!E19</f>
        <v>3.1946434160432102</v>
      </c>
      <c r="D133" s="317">
        <f t="shared" si="26"/>
        <v>3.1516123873782318</v>
      </c>
      <c r="E133" s="317">
        <f t="shared" si="26"/>
        <v>3.1121549176780903</v>
      </c>
      <c r="F133" s="317">
        <f t="shared" si="26"/>
        <v>3.068720829242888</v>
      </c>
      <c r="G133" s="317">
        <f t="shared" si="26"/>
        <v>3.0550913089638962</v>
      </c>
      <c r="H133" s="317">
        <f t="shared" si="26"/>
        <v>2.9765694670320513</v>
      </c>
      <c r="I133" s="317">
        <f t="shared" si="26"/>
        <v>2.9521212721515275</v>
      </c>
      <c r="J133" s="317">
        <f t="shared" si="26"/>
        <v>2.9548006434666756</v>
      </c>
      <c r="K133" s="317">
        <f t="shared" si="26"/>
        <v>2.946592965379863</v>
      </c>
      <c r="L133" s="317">
        <f t="shared" si="26"/>
        <v>2.8360032012456582</v>
      </c>
      <c r="M133" s="317">
        <f t="shared" si="26"/>
        <v>2.829458211779647</v>
      </c>
      <c r="N133" s="317">
        <f t="shared" si="26"/>
        <v>2.6958644666924654</v>
      </c>
      <c r="O133" s="317">
        <f t="shared" si="26"/>
        <v>2.5687601052053757</v>
      </c>
      <c r="P133" s="317">
        <f t="shared" si="26"/>
        <v>2.5458956367430554</v>
      </c>
      <c r="Q133" s="317">
        <f t="shared" si="26"/>
        <v>2.5587329619456338</v>
      </c>
      <c r="R133" s="317">
        <f t="shared" si="26"/>
        <v>2.4907938416802358</v>
      </c>
      <c r="S133" s="317">
        <f t="shared" si="26"/>
        <v>2.3179275191833084</v>
      </c>
      <c r="T133" s="317">
        <f t="shared" si="25"/>
        <v>0</v>
      </c>
      <c r="U133" s="317">
        <f t="shared" si="25"/>
        <v>0</v>
      </c>
      <c r="V133" s="317">
        <f t="shared" si="25"/>
        <v>0</v>
      </c>
      <c r="W133" s="317">
        <f t="shared" si="25"/>
        <v>0</v>
      </c>
      <c r="X133" s="317">
        <f t="shared" si="25"/>
        <v>0</v>
      </c>
      <c r="Y133" s="317">
        <f t="shared" si="25"/>
        <v>0</v>
      </c>
      <c r="Z133" s="317">
        <f t="shared" si="25"/>
        <v>0</v>
      </c>
      <c r="AA133" s="317">
        <f t="shared" si="25"/>
        <v>0</v>
      </c>
      <c r="AB133" s="317">
        <f t="shared" si="25"/>
        <v>0</v>
      </c>
      <c r="AC133" s="317">
        <f t="shared" si="25"/>
        <v>0</v>
      </c>
      <c r="AD133" s="317">
        <f t="shared" si="25"/>
        <v>0</v>
      </c>
      <c r="AE133" s="318">
        <f t="shared" si="25"/>
        <v>0</v>
      </c>
    </row>
    <row r="134" spans="1:31">
      <c r="A134" s="1711"/>
      <c r="B134" s="116">
        <v>17</v>
      </c>
      <c r="C134" s="316">
        <f>'CAR SEC'!E20</f>
        <v>3.2300570207538453</v>
      </c>
      <c r="D134" s="317">
        <f t="shared" si="26"/>
        <v>3.1946434160432102</v>
      </c>
      <c r="E134" s="317">
        <f t="shared" si="26"/>
        <v>3.1516123873782318</v>
      </c>
      <c r="F134" s="317">
        <f t="shared" si="26"/>
        <v>3.1121549176780903</v>
      </c>
      <c r="G134" s="317">
        <f t="shared" si="26"/>
        <v>3.068720829242888</v>
      </c>
      <c r="H134" s="317">
        <f t="shared" si="26"/>
        <v>3.0550913089638962</v>
      </c>
      <c r="I134" s="317">
        <f t="shared" si="26"/>
        <v>2.9765694670320513</v>
      </c>
      <c r="J134" s="317">
        <f t="shared" si="26"/>
        <v>2.9521212721515275</v>
      </c>
      <c r="K134" s="317">
        <f t="shared" si="26"/>
        <v>2.9548006434666756</v>
      </c>
      <c r="L134" s="317">
        <f t="shared" si="26"/>
        <v>2.946592965379863</v>
      </c>
      <c r="M134" s="317">
        <f t="shared" si="26"/>
        <v>2.8360032012456582</v>
      </c>
      <c r="N134" s="317">
        <f t="shared" si="26"/>
        <v>2.829458211779647</v>
      </c>
      <c r="O134" s="317">
        <f t="shared" si="26"/>
        <v>2.6958644666924654</v>
      </c>
      <c r="P134" s="317">
        <f t="shared" si="26"/>
        <v>2.5687601052053757</v>
      </c>
      <c r="Q134" s="317">
        <f t="shared" si="26"/>
        <v>2.5458956367430554</v>
      </c>
      <c r="R134" s="317">
        <f t="shared" si="26"/>
        <v>2.5587329619456338</v>
      </c>
      <c r="S134" s="317">
        <f t="shared" ref="S134:AE142" si="27">R133</f>
        <v>2.4907938416802358</v>
      </c>
      <c r="T134" s="317">
        <f t="shared" si="27"/>
        <v>2.3179275191833084</v>
      </c>
      <c r="U134" s="317">
        <f t="shared" si="27"/>
        <v>0</v>
      </c>
      <c r="V134" s="317">
        <f t="shared" si="27"/>
        <v>0</v>
      </c>
      <c r="W134" s="317">
        <f t="shared" si="27"/>
        <v>0</v>
      </c>
      <c r="X134" s="317">
        <f t="shared" si="27"/>
        <v>0</v>
      </c>
      <c r="Y134" s="317">
        <f t="shared" si="27"/>
        <v>0</v>
      </c>
      <c r="Z134" s="317">
        <f t="shared" si="27"/>
        <v>0</v>
      </c>
      <c r="AA134" s="317">
        <f t="shared" si="27"/>
        <v>0</v>
      </c>
      <c r="AB134" s="317">
        <f t="shared" si="27"/>
        <v>0</v>
      </c>
      <c r="AC134" s="317">
        <f t="shared" si="27"/>
        <v>0</v>
      </c>
      <c r="AD134" s="317">
        <f t="shared" si="27"/>
        <v>0</v>
      </c>
      <c r="AE134" s="318">
        <f t="shared" si="27"/>
        <v>0</v>
      </c>
    </row>
    <row r="135" spans="1:31">
      <c r="A135" s="1711"/>
      <c r="B135" s="116">
        <v>18</v>
      </c>
      <c r="C135" s="316">
        <f>'CAR SEC'!E21</f>
        <v>3.2684435945132444</v>
      </c>
      <c r="D135" s="317">
        <f t="shared" ref="D135:S142" si="28">C134</f>
        <v>3.2300570207538453</v>
      </c>
      <c r="E135" s="317">
        <f t="shared" si="28"/>
        <v>3.1946434160432102</v>
      </c>
      <c r="F135" s="317">
        <f t="shared" si="28"/>
        <v>3.1516123873782318</v>
      </c>
      <c r="G135" s="317">
        <f t="shared" si="28"/>
        <v>3.1121549176780903</v>
      </c>
      <c r="H135" s="317">
        <f t="shared" si="28"/>
        <v>3.068720829242888</v>
      </c>
      <c r="I135" s="317">
        <f t="shared" si="28"/>
        <v>3.0550913089638962</v>
      </c>
      <c r="J135" s="317">
        <f t="shared" si="28"/>
        <v>2.9765694670320513</v>
      </c>
      <c r="K135" s="317">
        <f t="shared" si="28"/>
        <v>2.9521212721515275</v>
      </c>
      <c r="L135" s="317">
        <f t="shared" si="28"/>
        <v>2.9548006434666756</v>
      </c>
      <c r="M135" s="317">
        <f t="shared" si="28"/>
        <v>2.946592965379863</v>
      </c>
      <c r="N135" s="317">
        <f t="shared" si="28"/>
        <v>2.8360032012456582</v>
      </c>
      <c r="O135" s="317">
        <f t="shared" si="28"/>
        <v>2.829458211779647</v>
      </c>
      <c r="P135" s="317">
        <f t="shared" si="28"/>
        <v>2.6958644666924654</v>
      </c>
      <c r="Q135" s="317">
        <f t="shared" si="28"/>
        <v>2.5687601052053757</v>
      </c>
      <c r="R135" s="317">
        <f t="shared" si="28"/>
        <v>2.5458956367430554</v>
      </c>
      <c r="S135" s="317">
        <f t="shared" si="28"/>
        <v>2.5587329619456338</v>
      </c>
      <c r="T135" s="317">
        <f t="shared" si="27"/>
        <v>2.4907938416802358</v>
      </c>
      <c r="U135" s="317">
        <f t="shared" si="27"/>
        <v>2.3179275191833084</v>
      </c>
      <c r="V135" s="317">
        <f t="shared" si="27"/>
        <v>0</v>
      </c>
      <c r="W135" s="317">
        <f t="shared" si="27"/>
        <v>0</v>
      </c>
      <c r="X135" s="317">
        <f t="shared" si="27"/>
        <v>0</v>
      </c>
      <c r="Y135" s="317">
        <f t="shared" si="27"/>
        <v>0</v>
      </c>
      <c r="Z135" s="317">
        <f t="shared" si="27"/>
        <v>0</v>
      </c>
      <c r="AA135" s="317">
        <f t="shared" si="27"/>
        <v>0</v>
      </c>
      <c r="AB135" s="317">
        <f t="shared" si="27"/>
        <v>0</v>
      </c>
      <c r="AC135" s="317">
        <f t="shared" si="27"/>
        <v>0</v>
      </c>
      <c r="AD135" s="317">
        <f t="shared" si="27"/>
        <v>0</v>
      </c>
      <c r="AE135" s="318">
        <f t="shared" si="27"/>
        <v>0</v>
      </c>
    </row>
    <row r="136" spans="1:31">
      <c r="A136" s="1711"/>
      <c r="B136" s="116">
        <v>19</v>
      </c>
      <c r="C136" s="316">
        <f>'CAR SEC'!E22</f>
        <v>3.3089529753675513</v>
      </c>
      <c r="D136" s="317">
        <f t="shared" si="28"/>
        <v>3.2684435945132444</v>
      </c>
      <c r="E136" s="317">
        <f t="shared" si="28"/>
        <v>3.2300570207538453</v>
      </c>
      <c r="F136" s="317">
        <f t="shared" si="28"/>
        <v>3.1946434160432102</v>
      </c>
      <c r="G136" s="317">
        <f t="shared" si="28"/>
        <v>3.1516123873782318</v>
      </c>
      <c r="H136" s="317">
        <f t="shared" si="28"/>
        <v>3.1121549176780903</v>
      </c>
      <c r="I136" s="317">
        <f t="shared" si="28"/>
        <v>3.068720829242888</v>
      </c>
      <c r="J136" s="317">
        <f t="shared" si="28"/>
        <v>3.0550913089638962</v>
      </c>
      <c r="K136" s="317">
        <f t="shared" si="28"/>
        <v>2.9765694670320513</v>
      </c>
      <c r="L136" s="317">
        <f t="shared" si="28"/>
        <v>2.9521212721515275</v>
      </c>
      <c r="M136" s="317">
        <f t="shared" si="28"/>
        <v>2.9548006434666756</v>
      </c>
      <c r="N136" s="317">
        <f t="shared" si="28"/>
        <v>2.946592965379863</v>
      </c>
      <c r="O136" s="317">
        <f t="shared" si="28"/>
        <v>2.8360032012456582</v>
      </c>
      <c r="P136" s="317">
        <f t="shared" si="28"/>
        <v>2.829458211779647</v>
      </c>
      <c r="Q136" s="317">
        <f t="shared" si="28"/>
        <v>2.6958644666924654</v>
      </c>
      <c r="R136" s="317">
        <f t="shared" si="28"/>
        <v>2.5687601052053757</v>
      </c>
      <c r="S136" s="317">
        <f t="shared" si="28"/>
        <v>2.5458956367430554</v>
      </c>
      <c r="T136" s="317">
        <f t="shared" si="27"/>
        <v>2.5587329619456338</v>
      </c>
      <c r="U136" s="317">
        <f t="shared" si="27"/>
        <v>2.4907938416802358</v>
      </c>
      <c r="V136" s="317">
        <f t="shared" si="27"/>
        <v>2.3179275191833084</v>
      </c>
      <c r="W136" s="317">
        <f t="shared" si="27"/>
        <v>0</v>
      </c>
      <c r="X136" s="317">
        <f t="shared" si="27"/>
        <v>0</v>
      </c>
      <c r="Y136" s="317">
        <f t="shared" si="27"/>
        <v>0</v>
      </c>
      <c r="Z136" s="317">
        <f t="shared" si="27"/>
        <v>0</v>
      </c>
      <c r="AA136" s="317">
        <f t="shared" si="27"/>
        <v>0</v>
      </c>
      <c r="AB136" s="317">
        <f t="shared" si="27"/>
        <v>0</v>
      </c>
      <c r="AC136" s="317">
        <f t="shared" si="27"/>
        <v>0</v>
      </c>
      <c r="AD136" s="317">
        <f t="shared" si="27"/>
        <v>0</v>
      </c>
      <c r="AE136" s="318">
        <f t="shared" si="27"/>
        <v>0</v>
      </c>
    </row>
    <row r="137" spans="1:31">
      <c r="A137" s="1711"/>
      <c r="B137" s="116">
        <v>20</v>
      </c>
      <c r="C137" s="316">
        <f>'CAR SEC'!E23</f>
        <v>3.3457588203389226</v>
      </c>
      <c r="D137" s="317">
        <f t="shared" si="28"/>
        <v>3.3089529753675513</v>
      </c>
      <c r="E137" s="317">
        <f t="shared" si="28"/>
        <v>3.2684435945132444</v>
      </c>
      <c r="F137" s="317">
        <f t="shared" si="28"/>
        <v>3.2300570207538453</v>
      </c>
      <c r="G137" s="317">
        <f t="shared" si="28"/>
        <v>3.1946434160432102</v>
      </c>
      <c r="H137" s="317">
        <f t="shared" si="28"/>
        <v>3.1516123873782318</v>
      </c>
      <c r="I137" s="317">
        <f t="shared" si="28"/>
        <v>3.1121549176780903</v>
      </c>
      <c r="J137" s="317">
        <f t="shared" si="28"/>
        <v>3.068720829242888</v>
      </c>
      <c r="K137" s="317">
        <f t="shared" si="28"/>
        <v>3.0550913089638962</v>
      </c>
      <c r="L137" s="317">
        <f t="shared" si="28"/>
        <v>2.9765694670320513</v>
      </c>
      <c r="M137" s="317">
        <f t="shared" si="28"/>
        <v>2.9521212721515275</v>
      </c>
      <c r="N137" s="317">
        <f t="shared" si="28"/>
        <v>2.9548006434666756</v>
      </c>
      <c r="O137" s="317">
        <f t="shared" si="28"/>
        <v>2.946592965379863</v>
      </c>
      <c r="P137" s="317">
        <f t="shared" si="28"/>
        <v>2.8360032012456582</v>
      </c>
      <c r="Q137" s="317">
        <f t="shared" si="28"/>
        <v>2.829458211779647</v>
      </c>
      <c r="R137" s="317">
        <f t="shared" si="28"/>
        <v>2.6958644666924654</v>
      </c>
      <c r="S137" s="317">
        <f t="shared" si="28"/>
        <v>2.5687601052053757</v>
      </c>
      <c r="T137" s="317">
        <f t="shared" si="27"/>
        <v>2.5458956367430554</v>
      </c>
      <c r="U137" s="317">
        <f t="shared" si="27"/>
        <v>2.5587329619456338</v>
      </c>
      <c r="V137" s="317">
        <f t="shared" si="27"/>
        <v>2.4907938416802358</v>
      </c>
      <c r="W137" s="317">
        <f t="shared" si="27"/>
        <v>2.3179275191833084</v>
      </c>
      <c r="X137" s="317">
        <f t="shared" si="27"/>
        <v>0</v>
      </c>
      <c r="Y137" s="317">
        <f t="shared" si="27"/>
        <v>0</v>
      </c>
      <c r="Z137" s="317">
        <f t="shared" si="27"/>
        <v>0</v>
      </c>
      <c r="AA137" s="317">
        <f t="shared" si="27"/>
        <v>0</v>
      </c>
      <c r="AB137" s="317">
        <f t="shared" si="27"/>
        <v>0</v>
      </c>
      <c r="AC137" s="317">
        <f t="shared" si="27"/>
        <v>0</v>
      </c>
      <c r="AD137" s="317">
        <f t="shared" si="27"/>
        <v>0</v>
      </c>
      <c r="AE137" s="318">
        <f t="shared" si="27"/>
        <v>0</v>
      </c>
    </row>
    <row r="138" spans="1:31">
      <c r="A138" s="1711"/>
      <c r="B138" s="116">
        <v>21</v>
      </c>
      <c r="C138" s="316">
        <f>'CAR SEC'!E24</f>
        <v>3.3780584904732072</v>
      </c>
      <c r="D138" s="317">
        <f t="shared" si="28"/>
        <v>3.3457588203389226</v>
      </c>
      <c r="E138" s="317">
        <f t="shared" si="28"/>
        <v>3.3089529753675513</v>
      </c>
      <c r="F138" s="317">
        <f t="shared" si="28"/>
        <v>3.2684435945132444</v>
      </c>
      <c r="G138" s="317">
        <f t="shared" si="28"/>
        <v>3.2300570207538453</v>
      </c>
      <c r="H138" s="317">
        <f t="shared" si="28"/>
        <v>3.1946434160432102</v>
      </c>
      <c r="I138" s="317">
        <f t="shared" si="28"/>
        <v>3.1516123873782318</v>
      </c>
      <c r="J138" s="317">
        <f t="shared" si="28"/>
        <v>3.1121549176780903</v>
      </c>
      <c r="K138" s="317">
        <f t="shared" si="28"/>
        <v>3.068720829242888</v>
      </c>
      <c r="L138" s="317">
        <f t="shared" si="28"/>
        <v>3.0550913089638962</v>
      </c>
      <c r="M138" s="317">
        <f t="shared" si="28"/>
        <v>2.9765694670320513</v>
      </c>
      <c r="N138" s="317">
        <f t="shared" si="28"/>
        <v>2.9521212721515275</v>
      </c>
      <c r="O138" s="317">
        <f t="shared" si="28"/>
        <v>2.9548006434666756</v>
      </c>
      <c r="P138" s="317">
        <f t="shared" si="28"/>
        <v>2.946592965379863</v>
      </c>
      <c r="Q138" s="317">
        <f t="shared" si="28"/>
        <v>2.8360032012456582</v>
      </c>
      <c r="R138" s="317">
        <f t="shared" si="28"/>
        <v>2.829458211779647</v>
      </c>
      <c r="S138" s="317">
        <f t="shared" si="28"/>
        <v>2.6958644666924654</v>
      </c>
      <c r="T138" s="317">
        <f t="shared" si="27"/>
        <v>2.5687601052053757</v>
      </c>
      <c r="U138" s="317">
        <f t="shared" si="27"/>
        <v>2.5458956367430554</v>
      </c>
      <c r="V138" s="317">
        <f t="shared" si="27"/>
        <v>2.5587329619456338</v>
      </c>
      <c r="W138" s="317">
        <f t="shared" si="27"/>
        <v>2.4907938416802358</v>
      </c>
      <c r="X138" s="317">
        <f t="shared" si="27"/>
        <v>2.3179275191833084</v>
      </c>
      <c r="Y138" s="317">
        <f t="shared" si="27"/>
        <v>0</v>
      </c>
      <c r="Z138" s="317">
        <f t="shared" si="27"/>
        <v>0</v>
      </c>
      <c r="AA138" s="317">
        <f t="shared" si="27"/>
        <v>0</v>
      </c>
      <c r="AB138" s="317">
        <f t="shared" si="27"/>
        <v>0</v>
      </c>
      <c r="AC138" s="317">
        <f t="shared" si="27"/>
        <v>0</v>
      </c>
      <c r="AD138" s="317">
        <f t="shared" si="27"/>
        <v>0</v>
      </c>
      <c r="AE138" s="318">
        <f t="shared" si="27"/>
        <v>0</v>
      </c>
    </row>
    <row r="139" spans="1:31">
      <c r="A139" s="1711"/>
      <c r="B139" s="116">
        <v>22</v>
      </c>
      <c r="C139" s="316">
        <f>'CAR SEC'!E25</f>
        <v>3.4126357501656717</v>
      </c>
      <c r="D139" s="317">
        <f t="shared" si="28"/>
        <v>3.3780584904732072</v>
      </c>
      <c r="E139" s="317">
        <f t="shared" si="28"/>
        <v>3.3457588203389226</v>
      </c>
      <c r="F139" s="317">
        <f t="shared" si="28"/>
        <v>3.3089529753675513</v>
      </c>
      <c r="G139" s="317">
        <f t="shared" si="28"/>
        <v>3.2684435945132444</v>
      </c>
      <c r="H139" s="317">
        <f t="shared" si="28"/>
        <v>3.2300570207538453</v>
      </c>
      <c r="I139" s="317">
        <f t="shared" si="28"/>
        <v>3.1946434160432102</v>
      </c>
      <c r="J139" s="317">
        <f t="shared" si="28"/>
        <v>3.1516123873782318</v>
      </c>
      <c r="K139" s="317">
        <f t="shared" si="28"/>
        <v>3.1121549176780903</v>
      </c>
      <c r="L139" s="317">
        <f t="shared" si="28"/>
        <v>3.068720829242888</v>
      </c>
      <c r="M139" s="317">
        <f t="shared" si="28"/>
        <v>3.0550913089638962</v>
      </c>
      <c r="N139" s="317">
        <f t="shared" si="28"/>
        <v>2.9765694670320513</v>
      </c>
      <c r="O139" s="317">
        <f t="shared" si="28"/>
        <v>2.9521212721515275</v>
      </c>
      <c r="P139" s="317">
        <f t="shared" si="28"/>
        <v>2.9548006434666756</v>
      </c>
      <c r="Q139" s="317">
        <f t="shared" si="28"/>
        <v>2.946592965379863</v>
      </c>
      <c r="R139" s="317">
        <f t="shared" si="28"/>
        <v>2.8360032012456582</v>
      </c>
      <c r="S139" s="317">
        <f t="shared" si="28"/>
        <v>2.829458211779647</v>
      </c>
      <c r="T139" s="317">
        <f t="shared" si="27"/>
        <v>2.6958644666924654</v>
      </c>
      <c r="U139" s="317">
        <f t="shared" si="27"/>
        <v>2.5687601052053757</v>
      </c>
      <c r="V139" s="317">
        <f t="shared" si="27"/>
        <v>2.5458956367430554</v>
      </c>
      <c r="W139" s="317">
        <f t="shared" si="27"/>
        <v>2.5587329619456338</v>
      </c>
      <c r="X139" s="317">
        <f t="shared" si="27"/>
        <v>2.4907938416802358</v>
      </c>
      <c r="Y139" s="317">
        <f t="shared" si="27"/>
        <v>2.3179275191833084</v>
      </c>
      <c r="Z139" s="317">
        <f t="shared" si="27"/>
        <v>0</v>
      </c>
      <c r="AA139" s="317">
        <f t="shared" si="27"/>
        <v>0</v>
      </c>
      <c r="AB139" s="317">
        <f t="shared" si="27"/>
        <v>0</v>
      </c>
      <c r="AC139" s="317">
        <f t="shared" si="27"/>
        <v>0</v>
      </c>
      <c r="AD139" s="317">
        <f t="shared" si="27"/>
        <v>0</v>
      </c>
      <c r="AE139" s="318">
        <f t="shared" si="27"/>
        <v>0</v>
      </c>
    </row>
    <row r="140" spans="1:31">
      <c r="A140" s="1711"/>
      <c r="B140" s="116">
        <v>23</v>
      </c>
      <c r="C140" s="316">
        <f>'CAR SEC'!E26</f>
        <v>3.446022509330958</v>
      </c>
      <c r="D140" s="317">
        <f t="shared" si="28"/>
        <v>3.4126357501656717</v>
      </c>
      <c r="E140" s="317">
        <f t="shared" si="28"/>
        <v>3.3780584904732072</v>
      </c>
      <c r="F140" s="317">
        <f t="shared" si="28"/>
        <v>3.3457588203389226</v>
      </c>
      <c r="G140" s="317">
        <f t="shared" si="28"/>
        <v>3.3089529753675513</v>
      </c>
      <c r="H140" s="317">
        <f t="shared" si="28"/>
        <v>3.2684435945132444</v>
      </c>
      <c r="I140" s="317">
        <f t="shared" si="28"/>
        <v>3.2300570207538453</v>
      </c>
      <c r="J140" s="317">
        <f t="shared" si="28"/>
        <v>3.1946434160432102</v>
      </c>
      <c r="K140" s="317">
        <f t="shared" si="28"/>
        <v>3.1516123873782318</v>
      </c>
      <c r="L140" s="317">
        <f t="shared" si="28"/>
        <v>3.1121549176780903</v>
      </c>
      <c r="M140" s="317">
        <f t="shared" si="28"/>
        <v>3.068720829242888</v>
      </c>
      <c r="N140" s="317">
        <f t="shared" si="28"/>
        <v>3.0550913089638962</v>
      </c>
      <c r="O140" s="317">
        <f t="shared" si="28"/>
        <v>2.9765694670320513</v>
      </c>
      <c r="P140" s="317">
        <f t="shared" si="28"/>
        <v>2.9521212721515275</v>
      </c>
      <c r="Q140" s="317">
        <f t="shared" si="28"/>
        <v>2.9548006434666756</v>
      </c>
      <c r="R140" s="317">
        <f t="shared" si="28"/>
        <v>2.946592965379863</v>
      </c>
      <c r="S140" s="317">
        <f t="shared" si="28"/>
        <v>2.8360032012456582</v>
      </c>
      <c r="T140" s="317">
        <f t="shared" si="27"/>
        <v>2.829458211779647</v>
      </c>
      <c r="U140" s="317">
        <f t="shared" si="27"/>
        <v>2.6958644666924654</v>
      </c>
      <c r="V140" s="317">
        <f t="shared" si="27"/>
        <v>2.5687601052053757</v>
      </c>
      <c r="W140" s="317">
        <f t="shared" si="27"/>
        <v>2.5458956367430554</v>
      </c>
      <c r="X140" s="317">
        <f t="shared" si="27"/>
        <v>2.5587329619456338</v>
      </c>
      <c r="Y140" s="317">
        <f t="shared" si="27"/>
        <v>2.4907938416802358</v>
      </c>
      <c r="Z140" s="317">
        <f t="shared" si="27"/>
        <v>2.3179275191833084</v>
      </c>
      <c r="AA140" s="317">
        <f t="shared" si="27"/>
        <v>0</v>
      </c>
      <c r="AB140" s="317">
        <f t="shared" si="27"/>
        <v>0</v>
      </c>
      <c r="AC140" s="317">
        <f t="shared" si="27"/>
        <v>0</v>
      </c>
      <c r="AD140" s="317">
        <f t="shared" si="27"/>
        <v>0</v>
      </c>
      <c r="AE140" s="318">
        <f t="shared" si="27"/>
        <v>0</v>
      </c>
    </row>
    <row r="141" spans="1:31">
      <c r="A141" s="1711"/>
      <c r="B141" s="116">
        <v>24</v>
      </c>
      <c r="C141" s="316">
        <f>C140</f>
        <v>3.446022509330958</v>
      </c>
      <c r="D141" s="317">
        <f t="shared" si="28"/>
        <v>3.446022509330958</v>
      </c>
      <c r="E141" s="317">
        <f t="shared" si="28"/>
        <v>3.4126357501656717</v>
      </c>
      <c r="F141" s="317">
        <f t="shared" si="28"/>
        <v>3.3780584904732072</v>
      </c>
      <c r="G141" s="317">
        <f t="shared" si="28"/>
        <v>3.3457588203389226</v>
      </c>
      <c r="H141" s="317">
        <f t="shared" si="28"/>
        <v>3.3089529753675513</v>
      </c>
      <c r="I141" s="317">
        <f t="shared" si="28"/>
        <v>3.2684435945132444</v>
      </c>
      <c r="J141" s="317">
        <f t="shared" si="28"/>
        <v>3.2300570207538453</v>
      </c>
      <c r="K141" s="317">
        <f t="shared" si="28"/>
        <v>3.1946434160432102</v>
      </c>
      <c r="L141" s="317">
        <f t="shared" si="28"/>
        <v>3.1516123873782318</v>
      </c>
      <c r="M141" s="317">
        <f t="shared" si="28"/>
        <v>3.1121549176780903</v>
      </c>
      <c r="N141" s="317">
        <f t="shared" si="28"/>
        <v>3.068720829242888</v>
      </c>
      <c r="O141" s="317">
        <f t="shared" si="28"/>
        <v>3.0550913089638962</v>
      </c>
      <c r="P141" s="317">
        <f t="shared" si="28"/>
        <v>2.9765694670320513</v>
      </c>
      <c r="Q141" s="317">
        <f t="shared" si="28"/>
        <v>2.9521212721515275</v>
      </c>
      <c r="R141" s="317">
        <f t="shared" si="28"/>
        <v>2.9548006434666756</v>
      </c>
      <c r="S141" s="317">
        <f t="shared" si="28"/>
        <v>2.946592965379863</v>
      </c>
      <c r="T141" s="317">
        <f t="shared" si="27"/>
        <v>2.8360032012456582</v>
      </c>
      <c r="U141" s="317">
        <f t="shared" si="27"/>
        <v>2.829458211779647</v>
      </c>
      <c r="V141" s="317">
        <f t="shared" si="27"/>
        <v>2.6958644666924654</v>
      </c>
      <c r="W141" s="317">
        <f t="shared" si="27"/>
        <v>2.5687601052053757</v>
      </c>
      <c r="X141" s="317">
        <f t="shared" si="27"/>
        <v>2.5458956367430554</v>
      </c>
      <c r="Y141" s="317">
        <f t="shared" si="27"/>
        <v>2.5587329619456338</v>
      </c>
      <c r="Z141" s="317">
        <f t="shared" si="27"/>
        <v>2.4907938416802358</v>
      </c>
      <c r="AA141" s="317">
        <f t="shared" si="27"/>
        <v>2.3179275191833084</v>
      </c>
      <c r="AB141" s="317">
        <f t="shared" si="27"/>
        <v>0</v>
      </c>
      <c r="AC141" s="317">
        <f t="shared" si="27"/>
        <v>0</v>
      </c>
      <c r="AD141" s="317">
        <f t="shared" si="27"/>
        <v>0</v>
      </c>
      <c r="AE141" s="318">
        <f t="shared" si="27"/>
        <v>0</v>
      </c>
    </row>
    <row r="142" spans="1:31" ht="15.75" thickBot="1">
      <c r="A142" s="1711"/>
      <c r="B142" s="116">
        <v>25</v>
      </c>
      <c r="C142" s="324">
        <f>C141</f>
        <v>3.446022509330958</v>
      </c>
      <c r="D142" s="325">
        <f t="shared" si="28"/>
        <v>3.446022509330958</v>
      </c>
      <c r="E142" s="325">
        <f t="shared" si="28"/>
        <v>3.446022509330958</v>
      </c>
      <c r="F142" s="325">
        <f t="shared" si="28"/>
        <v>3.4126357501656717</v>
      </c>
      <c r="G142" s="325">
        <f t="shared" si="28"/>
        <v>3.3780584904732072</v>
      </c>
      <c r="H142" s="325">
        <f t="shared" si="28"/>
        <v>3.3457588203389226</v>
      </c>
      <c r="I142" s="325">
        <f t="shared" si="28"/>
        <v>3.3089529753675513</v>
      </c>
      <c r="J142" s="325">
        <f t="shared" si="28"/>
        <v>3.2684435945132444</v>
      </c>
      <c r="K142" s="325">
        <f t="shared" si="28"/>
        <v>3.2300570207538453</v>
      </c>
      <c r="L142" s="325">
        <f t="shared" si="28"/>
        <v>3.1946434160432102</v>
      </c>
      <c r="M142" s="325">
        <f t="shared" si="28"/>
        <v>3.1516123873782318</v>
      </c>
      <c r="N142" s="325">
        <f t="shared" si="28"/>
        <v>3.1121549176780903</v>
      </c>
      <c r="O142" s="325">
        <f t="shared" si="28"/>
        <v>3.068720829242888</v>
      </c>
      <c r="P142" s="325">
        <f t="shared" si="28"/>
        <v>3.0550913089638962</v>
      </c>
      <c r="Q142" s="325">
        <f t="shared" si="28"/>
        <v>2.9765694670320513</v>
      </c>
      <c r="R142" s="325">
        <f t="shared" si="28"/>
        <v>2.9521212721515275</v>
      </c>
      <c r="S142" s="325">
        <f t="shared" si="28"/>
        <v>2.9548006434666756</v>
      </c>
      <c r="T142" s="325">
        <f t="shared" si="27"/>
        <v>2.946592965379863</v>
      </c>
      <c r="U142" s="325">
        <f t="shared" si="27"/>
        <v>2.8360032012456582</v>
      </c>
      <c r="V142" s="325">
        <f t="shared" si="27"/>
        <v>2.829458211779647</v>
      </c>
      <c r="W142" s="325">
        <f t="shared" si="27"/>
        <v>2.6958644666924654</v>
      </c>
      <c r="X142" s="325">
        <f t="shared" si="27"/>
        <v>2.5687601052053757</v>
      </c>
      <c r="Y142" s="325">
        <f t="shared" si="27"/>
        <v>2.5458956367430554</v>
      </c>
      <c r="Z142" s="325">
        <f t="shared" si="27"/>
        <v>2.5587329619456338</v>
      </c>
      <c r="AA142" s="325">
        <f t="shared" si="27"/>
        <v>2.4907938416802358</v>
      </c>
      <c r="AB142" s="325">
        <f t="shared" si="27"/>
        <v>2.3179275191833084</v>
      </c>
      <c r="AC142" s="325">
        <f t="shared" si="27"/>
        <v>0</v>
      </c>
      <c r="AD142" s="325">
        <f t="shared" si="27"/>
        <v>0</v>
      </c>
      <c r="AE142" s="326">
        <f t="shared" si="27"/>
        <v>0</v>
      </c>
    </row>
    <row r="143" spans="1:31" ht="16.5" thickTop="1" thickBot="1">
      <c r="A143" s="1712"/>
      <c r="B143" s="300" t="s">
        <v>39</v>
      </c>
      <c r="C143" s="327">
        <f>SUMPRODUCT('CAR Stock'!C140:C165,C117:C142)/'CAR Stock'!C166</f>
        <v>2.9147339366451983</v>
      </c>
      <c r="D143" s="327">
        <f>SUMPRODUCT('CAR Stock'!D140:D165,D117:D142)/'CAR Stock'!D166</f>
        <v>2.8727339791420143</v>
      </c>
      <c r="E143" s="327">
        <f>SUMPRODUCT('CAR Stock'!E140:E165,E117:E142)/'CAR Stock'!E166</f>
        <v>2.8392359180812332</v>
      </c>
      <c r="F143" s="327">
        <f>SUMPRODUCT('CAR Stock'!F140:F165,F117:F142)/'CAR Stock'!F166</f>
        <v>2.8084104936927488</v>
      </c>
      <c r="G143" s="327">
        <f>SUMPRODUCT('CAR Stock'!G140:G165,G117:G142)/'CAR Stock'!G166</f>
        <v>2.7772922426014777</v>
      </c>
      <c r="H143" s="327">
        <f>SUMPRODUCT('CAR Stock'!H140:H165,H117:H142)/'CAR Stock'!H166</f>
        <v>2.7453928036238868</v>
      </c>
      <c r="I143" s="327">
        <f>SUMPRODUCT('CAR Stock'!I140:I165,I117:I142)/'CAR Stock'!I166</f>
        <v>2.7132145839621868</v>
      </c>
      <c r="J143" s="327">
        <f>SUMPRODUCT('CAR Stock'!J140:J165,J117:J142)/'CAR Stock'!J166</f>
        <v>2.6809064738244137</v>
      </c>
      <c r="K143" s="327">
        <f>SUMPRODUCT('CAR Stock'!K140:K165,K117:K142)/'CAR Stock'!K166</f>
        <v>2.6486140813587946</v>
      </c>
      <c r="L143" s="327">
        <f>SUMPRODUCT('CAR Stock'!L140:L165,L117:L142)/'CAR Stock'!L166</f>
        <v>2.615510301938675</v>
      </c>
      <c r="M143" s="327">
        <f>SUMPRODUCT('CAR Stock'!M140:M165,M117:M142)/'CAR Stock'!M166</f>
        <v>2.5818881345400633</v>
      </c>
      <c r="N143" s="327">
        <f>SUMPRODUCT('CAR Stock'!N140:N165,N117:N142)/'CAR Stock'!N166</f>
        <v>2.547533530952284</v>
      </c>
      <c r="O143" s="327">
        <f>SUMPRODUCT('CAR Stock'!O140:O165,O117:O142)/'CAR Stock'!O166</f>
        <v>2.5120025843239171</v>
      </c>
      <c r="P143" s="327">
        <f>SUMPRODUCT('CAR Stock'!P140:P165,P117:P142)/'CAR Stock'!P166</f>
        <v>2.4777890126227877</v>
      </c>
      <c r="Q143" s="327">
        <f>SUMPRODUCT('CAR Stock'!Q140:Q165,Q117:Q142)/'CAR Stock'!Q166</f>
        <v>2.4495688814036125</v>
      </c>
      <c r="R143" s="327">
        <f>SUMPRODUCT('CAR Stock'!R140:R165,R117:R142)/'CAR Stock'!R166</f>
        <v>2.4316840884300999</v>
      </c>
      <c r="S143" s="327">
        <f>SUMPRODUCT('CAR Stock'!S140:S165,S117:S142)/'CAR Stock'!S166</f>
        <v>2.4150635758843255</v>
      </c>
      <c r="T143" s="327">
        <f>SUMPRODUCT('CAR Stock'!T140:T165,T117:T142)/'CAR Stock'!T166</f>
        <v>2.3997675567405032</v>
      </c>
      <c r="U143" s="327">
        <f>SUMPRODUCT('CAR Stock'!U140:U165,U117:U142)/'CAR Stock'!U166</f>
        <v>2.3857147568852382</v>
      </c>
      <c r="V143" s="327">
        <f>SUMPRODUCT('CAR Stock'!V140:V165,V117:V142)/'CAR Stock'!V166</f>
        <v>2.3727272879445711</v>
      </c>
      <c r="W143" s="327">
        <f>SUMPRODUCT('CAR Stock'!W140:W165,W117:W142)/'CAR Stock'!W166</f>
        <v>2.3605908311800374</v>
      </c>
      <c r="X143" s="327">
        <f>SUMPRODUCT('CAR Stock'!X140:X165,X117:X142)/'CAR Stock'!X166</f>
        <v>2.3491130313383883</v>
      </c>
      <c r="Y143" s="327">
        <f>SUMPRODUCT('CAR Stock'!Y140:Y165,Y117:Y142)/'CAR Stock'!Y166</f>
        <v>2.3381703406975411</v>
      </c>
      <c r="Z143" s="327">
        <f>SUMPRODUCT('CAR Stock'!Z140:Z165,Z117:Z142)/'CAR Stock'!Z166</f>
        <v>2.3277412000566224</v>
      </c>
      <c r="AA143" s="327">
        <f>SUMPRODUCT('CAR Stock'!AA140:AA165,AA117:AA142)/'CAR Stock'!AA166</f>
        <v>2.3179275191833084</v>
      </c>
      <c r="AB143" s="327">
        <v>0</v>
      </c>
      <c r="AC143" s="327">
        <v>0</v>
      </c>
      <c r="AD143" s="327">
        <v>0</v>
      </c>
      <c r="AE143" s="327">
        <v>0</v>
      </c>
    </row>
    <row r="144" spans="1:31" ht="15.75" thickBot="1">
      <c r="A144" s="650"/>
    </row>
    <row r="145" spans="1:31" ht="15.75" customHeight="1" thickBot="1">
      <c r="A145" s="1710" t="s">
        <v>45</v>
      </c>
      <c r="B145" s="169" t="s">
        <v>10</v>
      </c>
      <c r="C145" s="288">
        <v>2012</v>
      </c>
      <c r="D145" s="289">
        <v>2013</v>
      </c>
      <c r="E145" s="289">
        <v>2014</v>
      </c>
      <c r="F145" s="289">
        <v>2015</v>
      </c>
      <c r="G145" s="288">
        <v>2016</v>
      </c>
      <c r="H145" s="289">
        <v>2017</v>
      </c>
      <c r="I145" s="289">
        <v>2018</v>
      </c>
      <c r="J145" s="289">
        <v>2019</v>
      </c>
      <c r="K145" s="288">
        <v>2020</v>
      </c>
      <c r="L145" s="289">
        <v>2021</v>
      </c>
      <c r="M145" s="289">
        <v>2022</v>
      </c>
      <c r="N145" s="289">
        <v>2023</v>
      </c>
      <c r="O145" s="288">
        <v>2024</v>
      </c>
      <c r="P145" s="289">
        <v>2025</v>
      </c>
      <c r="Q145" s="289">
        <v>2026</v>
      </c>
      <c r="R145" s="289">
        <v>2027</v>
      </c>
      <c r="S145" s="288">
        <v>2028</v>
      </c>
      <c r="T145" s="289">
        <v>2029</v>
      </c>
      <c r="U145" s="289">
        <v>2030</v>
      </c>
      <c r="V145" s="289">
        <v>2031</v>
      </c>
      <c r="W145" s="288">
        <v>2032</v>
      </c>
      <c r="X145" s="289">
        <v>2033</v>
      </c>
      <c r="Y145" s="289">
        <v>2034</v>
      </c>
      <c r="Z145" s="289">
        <v>2035</v>
      </c>
      <c r="AA145" s="288">
        <v>2036</v>
      </c>
      <c r="AB145" s="289">
        <v>2037</v>
      </c>
      <c r="AC145" s="289">
        <v>2038</v>
      </c>
      <c r="AD145" s="289">
        <v>2039</v>
      </c>
      <c r="AE145" s="290">
        <v>2040</v>
      </c>
    </row>
    <row r="146" spans="1:31" ht="15" customHeight="1">
      <c r="A146" s="1711" t="s">
        <v>41</v>
      </c>
      <c r="B146" s="116">
        <v>0</v>
      </c>
      <c r="C146" s="313">
        <f>'CAR SEC'!H3</f>
        <v>1.6838401967493586</v>
      </c>
      <c r="D146" s="314">
        <v>0</v>
      </c>
      <c r="E146" s="314">
        <v>0</v>
      </c>
      <c r="F146" s="314">
        <v>0</v>
      </c>
      <c r="G146" s="314">
        <v>0</v>
      </c>
      <c r="H146" s="314">
        <v>0</v>
      </c>
      <c r="I146" s="314">
        <v>0</v>
      </c>
      <c r="J146" s="314">
        <v>0</v>
      </c>
      <c r="K146" s="314">
        <v>0</v>
      </c>
      <c r="L146" s="314">
        <v>0</v>
      </c>
      <c r="M146" s="314">
        <v>0</v>
      </c>
      <c r="N146" s="314">
        <v>0</v>
      </c>
      <c r="O146" s="314">
        <v>0</v>
      </c>
      <c r="P146" s="314">
        <v>0</v>
      </c>
      <c r="Q146" s="314">
        <v>0</v>
      </c>
      <c r="R146" s="314">
        <v>0</v>
      </c>
      <c r="S146" s="314">
        <v>0</v>
      </c>
      <c r="T146" s="314">
        <v>0</v>
      </c>
      <c r="U146" s="314">
        <v>0</v>
      </c>
      <c r="V146" s="314">
        <v>0</v>
      </c>
      <c r="W146" s="314">
        <v>0</v>
      </c>
      <c r="X146" s="314">
        <v>0</v>
      </c>
      <c r="Y146" s="314">
        <v>0</v>
      </c>
      <c r="Z146" s="314">
        <v>0</v>
      </c>
      <c r="AA146" s="314">
        <v>0</v>
      </c>
      <c r="AB146" s="314">
        <v>0</v>
      </c>
      <c r="AC146" s="314">
        <v>0</v>
      </c>
      <c r="AD146" s="314">
        <v>0</v>
      </c>
      <c r="AE146" s="315">
        <v>0</v>
      </c>
    </row>
    <row r="147" spans="1:31">
      <c r="A147" s="1711"/>
      <c r="B147" s="116">
        <v>1</v>
      </c>
      <c r="C147" s="316">
        <f>'CAR SEC'!H4</f>
        <v>1.4086339259259262</v>
      </c>
      <c r="D147" s="317">
        <f>C146</f>
        <v>1.6838401967493586</v>
      </c>
      <c r="E147" s="317">
        <f t="shared" ref="E147:T147" si="29">D146</f>
        <v>0</v>
      </c>
      <c r="F147" s="317">
        <f t="shared" si="29"/>
        <v>0</v>
      </c>
      <c r="G147" s="317">
        <f t="shared" si="29"/>
        <v>0</v>
      </c>
      <c r="H147" s="317">
        <f t="shared" si="29"/>
        <v>0</v>
      </c>
      <c r="I147" s="317">
        <f t="shared" si="29"/>
        <v>0</v>
      </c>
      <c r="J147" s="317">
        <f t="shared" si="29"/>
        <v>0</v>
      </c>
      <c r="K147" s="317">
        <f t="shared" si="29"/>
        <v>0</v>
      </c>
      <c r="L147" s="317">
        <f t="shared" si="29"/>
        <v>0</v>
      </c>
      <c r="M147" s="317">
        <f t="shared" si="29"/>
        <v>0</v>
      </c>
      <c r="N147" s="317">
        <f t="shared" si="29"/>
        <v>0</v>
      </c>
      <c r="O147" s="317">
        <f t="shared" si="29"/>
        <v>0</v>
      </c>
      <c r="P147" s="317">
        <f t="shared" si="29"/>
        <v>0</v>
      </c>
      <c r="Q147" s="317">
        <f t="shared" si="29"/>
        <v>0</v>
      </c>
      <c r="R147" s="317">
        <f t="shared" si="29"/>
        <v>0</v>
      </c>
      <c r="S147" s="317">
        <f t="shared" si="29"/>
        <v>0</v>
      </c>
      <c r="T147" s="317">
        <f t="shared" si="29"/>
        <v>0</v>
      </c>
      <c r="U147" s="317">
        <f t="shared" ref="T147:AE162" si="30">T146</f>
        <v>0</v>
      </c>
      <c r="V147" s="317">
        <f t="shared" si="30"/>
        <v>0</v>
      </c>
      <c r="W147" s="317">
        <f t="shared" si="30"/>
        <v>0</v>
      </c>
      <c r="X147" s="317">
        <f t="shared" si="30"/>
        <v>0</v>
      </c>
      <c r="Y147" s="317">
        <f t="shared" si="30"/>
        <v>0</v>
      </c>
      <c r="Z147" s="317">
        <f t="shared" si="30"/>
        <v>0</v>
      </c>
      <c r="AA147" s="317">
        <f t="shared" si="30"/>
        <v>0</v>
      </c>
      <c r="AB147" s="317">
        <f t="shared" si="30"/>
        <v>0</v>
      </c>
      <c r="AC147" s="317">
        <f t="shared" si="30"/>
        <v>0</v>
      </c>
      <c r="AD147" s="317">
        <f t="shared" si="30"/>
        <v>0</v>
      </c>
      <c r="AE147" s="318">
        <f t="shared" si="30"/>
        <v>0</v>
      </c>
    </row>
    <row r="148" spans="1:31">
      <c r="A148" s="1711"/>
      <c r="B148" s="116">
        <v>2</v>
      </c>
      <c r="C148" s="316">
        <f>'CAR SEC'!H5</f>
        <v>1.1833800000000001</v>
      </c>
      <c r="D148" s="317">
        <f t="shared" ref="D148:S163" si="31">C147</f>
        <v>1.4086339259259262</v>
      </c>
      <c r="E148" s="317">
        <f t="shared" si="31"/>
        <v>1.6838401967493586</v>
      </c>
      <c r="F148" s="317">
        <f t="shared" si="31"/>
        <v>0</v>
      </c>
      <c r="G148" s="317">
        <f t="shared" si="31"/>
        <v>0</v>
      </c>
      <c r="H148" s="317">
        <f t="shared" si="31"/>
        <v>0</v>
      </c>
      <c r="I148" s="317">
        <f t="shared" si="31"/>
        <v>0</v>
      </c>
      <c r="J148" s="317">
        <f t="shared" si="31"/>
        <v>0</v>
      </c>
      <c r="K148" s="317">
        <f t="shared" si="31"/>
        <v>0</v>
      </c>
      <c r="L148" s="317">
        <f t="shared" si="31"/>
        <v>0</v>
      </c>
      <c r="M148" s="317">
        <f t="shared" si="31"/>
        <v>0</v>
      </c>
      <c r="N148" s="317">
        <f t="shared" si="31"/>
        <v>0</v>
      </c>
      <c r="O148" s="317">
        <f t="shared" si="31"/>
        <v>0</v>
      </c>
      <c r="P148" s="317">
        <f t="shared" si="31"/>
        <v>0</v>
      </c>
      <c r="Q148" s="317">
        <f t="shared" si="31"/>
        <v>0</v>
      </c>
      <c r="R148" s="317">
        <f t="shared" si="31"/>
        <v>0</v>
      </c>
      <c r="S148" s="317">
        <f t="shared" si="31"/>
        <v>0</v>
      </c>
      <c r="T148" s="317">
        <f t="shared" si="30"/>
        <v>0</v>
      </c>
      <c r="U148" s="317">
        <f t="shared" si="30"/>
        <v>0</v>
      </c>
      <c r="V148" s="317">
        <f t="shared" si="30"/>
        <v>0</v>
      </c>
      <c r="W148" s="317">
        <f t="shared" si="30"/>
        <v>0</v>
      </c>
      <c r="X148" s="317">
        <f t="shared" si="30"/>
        <v>0</v>
      </c>
      <c r="Y148" s="317">
        <f t="shared" si="30"/>
        <v>0</v>
      </c>
      <c r="Z148" s="317">
        <f t="shared" si="30"/>
        <v>0</v>
      </c>
      <c r="AA148" s="317">
        <f t="shared" si="30"/>
        <v>0</v>
      </c>
      <c r="AB148" s="317">
        <f t="shared" si="30"/>
        <v>0</v>
      </c>
      <c r="AC148" s="317">
        <f t="shared" si="30"/>
        <v>0</v>
      </c>
      <c r="AD148" s="317">
        <f t="shared" si="30"/>
        <v>0</v>
      </c>
      <c r="AE148" s="318">
        <f t="shared" si="30"/>
        <v>0</v>
      </c>
    </row>
    <row r="149" spans="1:31">
      <c r="A149" s="1711"/>
      <c r="B149" s="116">
        <v>3</v>
      </c>
      <c r="C149" s="316">
        <f>'CAR SEC'!H6</f>
        <v>1.383803013846</v>
      </c>
      <c r="D149" s="317">
        <f t="shared" si="31"/>
        <v>1.1833800000000001</v>
      </c>
      <c r="E149" s="317">
        <f t="shared" si="31"/>
        <v>1.4086339259259262</v>
      </c>
      <c r="F149" s="317">
        <f t="shared" si="31"/>
        <v>1.6838401967493586</v>
      </c>
      <c r="G149" s="317">
        <f t="shared" si="31"/>
        <v>0</v>
      </c>
      <c r="H149" s="317">
        <f t="shared" si="31"/>
        <v>0</v>
      </c>
      <c r="I149" s="317">
        <f t="shared" si="31"/>
        <v>0</v>
      </c>
      <c r="J149" s="317">
        <f t="shared" si="31"/>
        <v>0</v>
      </c>
      <c r="K149" s="317">
        <f t="shared" si="31"/>
        <v>0</v>
      </c>
      <c r="L149" s="317">
        <f t="shared" si="31"/>
        <v>0</v>
      </c>
      <c r="M149" s="317">
        <f t="shared" si="31"/>
        <v>0</v>
      </c>
      <c r="N149" s="317">
        <f t="shared" si="31"/>
        <v>0</v>
      </c>
      <c r="O149" s="317">
        <f t="shared" si="31"/>
        <v>0</v>
      </c>
      <c r="P149" s="317">
        <f t="shared" si="31"/>
        <v>0</v>
      </c>
      <c r="Q149" s="317">
        <f t="shared" si="31"/>
        <v>0</v>
      </c>
      <c r="R149" s="317">
        <f t="shared" si="31"/>
        <v>0</v>
      </c>
      <c r="S149" s="317">
        <f t="shared" si="31"/>
        <v>0</v>
      </c>
      <c r="T149" s="317">
        <f t="shared" si="30"/>
        <v>0</v>
      </c>
      <c r="U149" s="317">
        <f t="shared" si="30"/>
        <v>0</v>
      </c>
      <c r="V149" s="317">
        <f t="shared" si="30"/>
        <v>0</v>
      </c>
      <c r="W149" s="317">
        <f t="shared" si="30"/>
        <v>0</v>
      </c>
      <c r="X149" s="317">
        <f t="shared" si="30"/>
        <v>0</v>
      </c>
      <c r="Y149" s="317">
        <f t="shared" si="30"/>
        <v>0</v>
      </c>
      <c r="Z149" s="317">
        <f t="shared" si="30"/>
        <v>0</v>
      </c>
      <c r="AA149" s="317">
        <f t="shared" si="30"/>
        <v>0</v>
      </c>
      <c r="AB149" s="317">
        <f t="shared" si="30"/>
        <v>0</v>
      </c>
      <c r="AC149" s="317">
        <f t="shared" si="30"/>
        <v>0</v>
      </c>
      <c r="AD149" s="317">
        <f t="shared" si="30"/>
        <v>0</v>
      </c>
      <c r="AE149" s="318">
        <f t="shared" si="30"/>
        <v>0</v>
      </c>
    </row>
    <row r="150" spans="1:31">
      <c r="A150" s="1711"/>
      <c r="B150" s="116">
        <v>4</v>
      </c>
      <c r="C150" s="316">
        <f>'CAR SEC'!H7</f>
        <v>1.6918446435100536</v>
      </c>
      <c r="D150" s="317">
        <f t="shared" si="31"/>
        <v>1.383803013846</v>
      </c>
      <c r="E150" s="317">
        <f t="shared" si="31"/>
        <v>1.1833800000000001</v>
      </c>
      <c r="F150" s="317">
        <f t="shared" si="31"/>
        <v>1.4086339259259262</v>
      </c>
      <c r="G150" s="317">
        <f t="shared" si="31"/>
        <v>1.6838401967493586</v>
      </c>
      <c r="H150" s="317">
        <f t="shared" si="31"/>
        <v>0</v>
      </c>
      <c r="I150" s="317">
        <f t="shared" si="31"/>
        <v>0</v>
      </c>
      <c r="J150" s="317">
        <f t="shared" si="31"/>
        <v>0</v>
      </c>
      <c r="K150" s="317">
        <f t="shared" si="31"/>
        <v>0</v>
      </c>
      <c r="L150" s="317">
        <f t="shared" si="31"/>
        <v>0</v>
      </c>
      <c r="M150" s="317">
        <f t="shared" si="31"/>
        <v>0</v>
      </c>
      <c r="N150" s="317">
        <f t="shared" si="31"/>
        <v>0</v>
      </c>
      <c r="O150" s="317">
        <f t="shared" si="31"/>
        <v>0</v>
      </c>
      <c r="P150" s="317">
        <f t="shared" si="31"/>
        <v>0</v>
      </c>
      <c r="Q150" s="317">
        <f t="shared" si="31"/>
        <v>0</v>
      </c>
      <c r="R150" s="317">
        <f t="shared" si="31"/>
        <v>0</v>
      </c>
      <c r="S150" s="317">
        <f t="shared" si="31"/>
        <v>0</v>
      </c>
      <c r="T150" s="317">
        <f t="shared" si="30"/>
        <v>0</v>
      </c>
      <c r="U150" s="317">
        <f t="shared" si="30"/>
        <v>0</v>
      </c>
      <c r="V150" s="317">
        <f t="shared" si="30"/>
        <v>0</v>
      </c>
      <c r="W150" s="317">
        <f t="shared" si="30"/>
        <v>0</v>
      </c>
      <c r="X150" s="317">
        <f t="shared" si="30"/>
        <v>0</v>
      </c>
      <c r="Y150" s="317">
        <f t="shared" si="30"/>
        <v>0</v>
      </c>
      <c r="Z150" s="317">
        <f t="shared" si="30"/>
        <v>0</v>
      </c>
      <c r="AA150" s="317">
        <f t="shared" si="30"/>
        <v>0</v>
      </c>
      <c r="AB150" s="317">
        <f t="shared" si="30"/>
        <v>0</v>
      </c>
      <c r="AC150" s="317">
        <f t="shared" si="30"/>
        <v>0</v>
      </c>
      <c r="AD150" s="317">
        <f t="shared" si="30"/>
        <v>0</v>
      </c>
      <c r="AE150" s="318">
        <f t="shared" si="30"/>
        <v>0</v>
      </c>
    </row>
    <row r="151" spans="1:31">
      <c r="A151" s="1711"/>
      <c r="B151" s="116">
        <v>5</v>
      </c>
      <c r="C151" s="316">
        <f>'CAR SEC'!H8</f>
        <v>1.7224543290734988</v>
      </c>
      <c r="D151" s="317">
        <f t="shared" si="31"/>
        <v>1.6918446435100536</v>
      </c>
      <c r="E151" s="317">
        <f t="shared" si="31"/>
        <v>1.383803013846</v>
      </c>
      <c r="F151" s="317">
        <f t="shared" si="31"/>
        <v>1.1833800000000001</v>
      </c>
      <c r="G151" s="317">
        <f t="shared" si="31"/>
        <v>1.4086339259259262</v>
      </c>
      <c r="H151" s="317">
        <f t="shared" si="31"/>
        <v>1.6838401967493586</v>
      </c>
      <c r="I151" s="317">
        <f t="shared" si="31"/>
        <v>0</v>
      </c>
      <c r="J151" s="317">
        <f t="shared" si="31"/>
        <v>0</v>
      </c>
      <c r="K151" s="317">
        <f t="shared" si="31"/>
        <v>0</v>
      </c>
      <c r="L151" s="317">
        <f t="shared" si="31"/>
        <v>0</v>
      </c>
      <c r="M151" s="317">
        <f t="shared" si="31"/>
        <v>0</v>
      </c>
      <c r="N151" s="317">
        <f t="shared" si="31"/>
        <v>0</v>
      </c>
      <c r="O151" s="317">
        <f t="shared" si="31"/>
        <v>0</v>
      </c>
      <c r="P151" s="317">
        <f t="shared" si="31"/>
        <v>0</v>
      </c>
      <c r="Q151" s="317">
        <f t="shared" si="31"/>
        <v>0</v>
      </c>
      <c r="R151" s="317">
        <f t="shared" si="31"/>
        <v>0</v>
      </c>
      <c r="S151" s="317">
        <f t="shared" si="31"/>
        <v>0</v>
      </c>
      <c r="T151" s="317">
        <f t="shared" si="30"/>
        <v>0</v>
      </c>
      <c r="U151" s="317">
        <f t="shared" si="30"/>
        <v>0</v>
      </c>
      <c r="V151" s="317">
        <f t="shared" si="30"/>
        <v>0</v>
      </c>
      <c r="W151" s="317">
        <f t="shared" si="30"/>
        <v>0</v>
      </c>
      <c r="X151" s="317">
        <f t="shared" si="30"/>
        <v>0</v>
      </c>
      <c r="Y151" s="317">
        <f t="shared" si="30"/>
        <v>0</v>
      </c>
      <c r="Z151" s="317">
        <f t="shared" si="30"/>
        <v>0</v>
      </c>
      <c r="AA151" s="317">
        <f t="shared" si="30"/>
        <v>0</v>
      </c>
      <c r="AB151" s="317">
        <f t="shared" si="30"/>
        <v>0</v>
      </c>
      <c r="AC151" s="317">
        <f t="shared" si="30"/>
        <v>0</v>
      </c>
      <c r="AD151" s="317">
        <f t="shared" si="30"/>
        <v>0</v>
      </c>
      <c r="AE151" s="318">
        <f t="shared" si="30"/>
        <v>0</v>
      </c>
    </row>
    <row r="152" spans="1:31">
      <c r="A152" s="1711"/>
      <c r="B152" s="116">
        <v>6</v>
      </c>
      <c r="C152" s="316">
        <f>'CAR SEC'!H9</f>
        <v>1.7163189760348723</v>
      </c>
      <c r="D152" s="317">
        <f t="shared" si="31"/>
        <v>1.7224543290734988</v>
      </c>
      <c r="E152" s="317">
        <f t="shared" si="31"/>
        <v>1.6918446435100536</v>
      </c>
      <c r="F152" s="317">
        <f t="shared" si="31"/>
        <v>1.383803013846</v>
      </c>
      <c r="G152" s="317">
        <f t="shared" si="31"/>
        <v>1.1833800000000001</v>
      </c>
      <c r="H152" s="317">
        <f t="shared" si="31"/>
        <v>1.4086339259259262</v>
      </c>
      <c r="I152" s="317">
        <f t="shared" si="31"/>
        <v>1.6838401967493586</v>
      </c>
      <c r="J152" s="317">
        <f t="shared" si="31"/>
        <v>0</v>
      </c>
      <c r="K152" s="317">
        <f t="shared" si="31"/>
        <v>0</v>
      </c>
      <c r="L152" s="317">
        <f t="shared" si="31"/>
        <v>0</v>
      </c>
      <c r="M152" s="317">
        <f t="shared" si="31"/>
        <v>0</v>
      </c>
      <c r="N152" s="317">
        <f t="shared" si="31"/>
        <v>0</v>
      </c>
      <c r="O152" s="317">
        <f t="shared" si="31"/>
        <v>0</v>
      </c>
      <c r="P152" s="317">
        <f t="shared" si="31"/>
        <v>0</v>
      </c>
      <c r="Q152" s="317">
        <f t="shared" si="31"/>
        <v>0</v>
      </c>
      <c r="R152" s="317">
        <f t="shared" si="31"/>
        <v>0</v>
      </c>
      <c r="S152" s="317">
        <f t="shared" si="31"/>
        <v>0</v>
      </c>
      <c r="T152" s="317">
        <f t="shared" si="30"/>
        <v>0</v>
      </c>
      <c r="U152" s="317">
        <f t="shared" si="30"/>
        <v>0</v>
      </c>
      <c r="V152" s="317">
        <f t="shared" si="30"/>
        <v>0</v>
      </c>
      <c r="W152" s="317">
        <f t="shared" si="30"/>
        <v>0</v>
      </c>
      <c r="X152" s="317">
        <f t="shared" si="30"/>
        <v>0</v>
      </c>
      <c r="Y152" s="317">
        <f t="shared" si="30"/>
        <v>0</v>
      </c>
      <c r="Z152" s="317">
        <f t="shared" si="30"/>
        <v>0</v>
      </c>
      <c r="AA152" s="317">
        <f t="shared" si="30"/>
        <v>0</v>
      </c>
      <c r="AB152" s="317">
        <f t="shared" si="30"/>
        <v>0</v>
      </c>
      <c r="AC152" s="317">
        <f t="shared" si="30"/>
        <v>0</v>
      </c>
      <c r="AD152" s="317">
        <f t="shared" si="30"/>
        <v>0</v>
      </c>
      <c r="AE152" s="318">
        <f t="shared" si="30"/>
        <v>0</v>
      </c>
    </row>
    <row r="153" spans="1:31">
      <c r="A153" s="1711"/>
      <c r="B153" s="116">
        <v>7</v>
      </c>
      <c r="C153" s="316">
        <f>'CAR SEC'!H10</f>
        <v>1.7503771129220129</v>
      </c>
      <c r="D153" s="317">
        <f t="shared" si="31"/>
        <v>1.7163189760348723</v>
      </c>
      <c r="E153" s="317">
        <f t="shared" si="31"/>
        <v>1.7224543290734988</v>
      </c>
      <c r="F153" s="317">
        <f t="shared" si="31"/>
        <v>1.6918446435100536</v>
      </c>
      <c r="G153" s="317">
        <f t="shared" si="31"/>
        <v>1.383803013846</v>
      </c>
      <c r="H153" s="317">
        <f t="shared" si="31"/>
        <v>1.1833800000000001</v>
      </c>
      <c r="I153" s="317">
        <f t="shared" si="31"/>
        <v>1.4086339259259262</v>
      </c>
      <c r="J153" s="317">
        <f t="shared" si="31"/>
        <v>1.6838401967493586</v>
      </c>
      <c r="K153" s="317">
        <f t="shared" si="31"/>
        <v>0</v>
      </c>
      <c r="L153" s="317">
        <f t="shared" si="31"/>
        <v>0</v>
      </c>
      <c r="M153" s="317">
        <f t="shared" si="31"/>
        <v>0</v>
      </c>
      <c r="N153" s="317">
        <f t="shared" si="31"/>
        <v>0</v>
      </c>
      <c r="O153" s="317">
        <f t="shared" si="31"/>
        <v>0</v>
      </c>
      <c r="P153" s="317">
        <f t="shared" si="31"/>
        <v>0</v>
      </c>
      <c r="Q153" s="317">
        <f t="shared" si="31"/>
        <v>0</v>
      </c>
      <c r="R153" s="317">
        <f t="shared" si="31"/>
        <v>0</v>
      </c>
      <c r="S153" s="317">
        <f t="shared" si="31"/>
        <v>0</v>
      </c>
      <c r="T153" s="317">
        <f t="shared" si="30"/>
        <v>0</v>
      </c>
      <c r="U153" s="317">
        <f t="shared" si="30"/>
        <v>0</v>
      </c>
      <c r="V153" s="317">
        <f t="shared" si="30"/>
        <v>0</v>
      </c>
      <c r="W153" s="317">
        <f t="shared" si="30"/>
        <v>0</v>
      </c>
      <c r="X153" s="317">
        <f t="shared" si="30"/>
        <v>0</v>
      </c>
      <c r="Y153" s="317">
        <f t="shared" si="30"/>
        <v>0</v>
      </c>
      <c r="Z153" s="317">
        <f t="shared" si="30"/>
        <v>0</v>
      </c>
      <c r="AA153" s="317">
        <f t="shared" si="30"/>
        <v>0</v>
      </c>
      <c r="AB153" s="317">
        <f t="shared" si="30"/>
        <v>0</v>
      </c>
      <c r="AC153" s="317">
        <f t="shared" si="30"/>
        <v>0</v>
      </c>
      <c r="AD153" s="317">
        <f t="shared" si="30"/>
        <v>0</v>
      </c>
      <c r="AE153" s="318">
        <f t="shared" si="30"/>
        <v>0</v>
      </c>
    </row>
    <row r="154" spans="1:31">
      <c r="A154" s="1711"/>
      <c r="B154" s="116">
        <v>8</v>
      </c>
      <c r="C154" s="316">
        <f>'CAR SEC'!H11</f>
        <v>3.2991199999999998</v>
      </c>
      <c r="D154" s="317">
        <f t="shared" si="31"/>
        <v>1.7503771129220129</v>
      </c>
      <c r="E154" s="317">
        <f t="shared" si="31"/>
        <v>1.7163189760348723</v>
      </c>
      <c r="F154" s="317">
        <f t="shared" si="31"/>
        <v>1.7224543290734988</v>
      </c>
      <c r="G154" s="317">
        <f t="shared" si="31"/>
        <v>1.6918446435100536</v>
      </c>
      <c r="H154" s="317">
        <f t="shared" si="31"/>
        <v>1.383803013846</v>
      </c>
      <c r="I154" s="317">
        <f t="shared" si="31"/>
        <v>1.1833800000000001</v>
      </c>
      <c r="J154" s="317">
        <f t="shared" si="31"/>
        <v>1.4086339259259262</v>
      </c>
      <c r="K154" s="317">
        <f t="shared" si="31"/>
        <v>1.6838401967493586</v>
      </c>
      <c r="L154" s="317">
        <f t="shared" si="31"/>
        <v>0</v>
      </c>
      <c r="M154" s="317">
        <f t="shared" si="31"/>
        <v>0</v>
      </c>
      <c r="N154" s="317">
        <f t="shared" si="31"/>
        <v>0</v>
      </c>
      <c r="O154" s="317">
        <f t="shared" si="31"/>
        <v>0</v>
      </c>
      <c r="P154" s="317">
        <f t="shared" si="31"/>
        <v>0</v>
      </c>
      <c r="Q154" s="317">
        <f t="shared" si="31"/>
        <v>0</v>
      </c>
      <c r="R154" s="317">
        <f t="shared" si="31"/>
        <v>0</v>
      </c>
      <c r="S154" s="317">
        <f t="shared" si="31"/>
        <v>0</v>
      </c>
      <c r="T154" s="317">
        <f t="shared" si="30"/>
        <v>0</v>
      </c>
      <c r="U154" s="317">
        <f t="shared" si="30"/>
        <v>0</v>
      </c>
      <c r="V154" s="317">
        <f t="shared" si="30"/>
        <v>0</v>
      </c>
      <c r="W154" s="317">
        <f t="shared" si="30"/>
        <v>0</v>
      </c>
      <c r="X154" s="317">
        <f t="shared" si="30"/>
        <v>0</v>
      </c>
      <c r="Y154" s="317">
        <f t="shared" si="30"/>
        <v>0</v>
      </c>
      <c r="Z154" s="317">
        <f t="shared" si="30"/>
        <v>0</v>
      </c>
      <c r="AA154" s="317">
        <f t="shared" si="30"/>
        <v>0</v>
      </c>
      <c r="AB154" s="317">
        <f t="shared" si="30"/>
        <v>0</v>
      </c>
      <c r="AC154" s="317">
        <f t="shared" si="30"/>
        <v>0</v>
      </c>
      <c r="AD154" s="317">
        <f t="shared" si="30"/>
        <v>0</v>
      </c>
      <c r="AE154" s="318">
        <f t="shared" si="30"/>
        <v>0</v>
      </c>
    </row>
    <row r="155" spans="1:31">
      <c r="A155" s="1711"/>
      <c r="B155" s="116">
        <v>9</v>
      </c>
      <c r="C155" s="316">
        <f>'CAR SEC'!H12</f>
        <v>1.7222544565217401</v>
      </c>
      <c r="D155" s="317">
        <f t="shared" si="31"/>
        <v>3.2991199999999998</v>
      </c>
      <c r="E155" s="317">
        <f t="shared" si="31"/>
        <v>1.7503771129220129</v>
      </c>
      <c r="F155" s="317">
        <f t="shared" si="31"/>
        <v>1.7163189760348723</v>
      </c>
      <c r="G155" s="317">
        <f t="shared" si="31"/>
        <v>1.7224543290734988</v>
      </c>
      <c r="H155" s="317">
        <f t="shared" si="31"/>
        <v>1.6918446435100536</v>
      </c>
      <c r="I155" s="317">
        <f t="shared" si="31"/>
        <v>1.383803013846</v>
      </c>
      <c r="J155" s="317">
        <f t="shared" si="31"/>
        <v>1.1833800000000001</v>
      </c>
      <c r="K155" s="317">
        <f t="shared" si="31"/>
        <v>1.4086339259259262</v>
      </c>
      <c r="L155" s="317">
        <f t="shared" si="31"/>
        <v>1.6838401967493586</v>
      </c>
      <c r="M155" s="317">
        <f t="shared" si="31"/>
        <v>0</v>
      </c>
      <c r="N155" s="317">
        <f t="shared" si="31"/>
        <v>0</v>
      </c>
      <c r="O155" s="317">
        <f t="shared" si="31"/>
        <v>0</v>
      </c>
      <c r="P155" s="317">
        <f t="shared" si="31"/>
        <v>0</v>
      </c>
      <c r="Q155" s="317">
        <f t="shared" si="31"/>
        <v>0</v>
      </c>
      <c r="R155" s="317">
        <f t="shared" si="31"/>
        <v>0</v>
      </c>
      <c r="S155" s="317">
        <f t="shared" si="31"/>
        <v>0</v>
      </c>
      <c r="T155" s="317">
        <f t="shared" si="30"/>
        <v>0</v>
      </c>
      <c r="U155" s="317">
        <f t="shared" si="30"/>
        <v>0</v>
      </c>
      <c r="V155" s="317">
        <f t="shared" si="30"/>
        <v>0</v>
      </c>
      <c r="W155" s="317">
        <f t="shared" si="30"/>
        <v>0</v>
      </c>
      <c r="X155" s="317">
        <f t="shared" si="30"/>
        <v>0</v>
      </c>
      <c r="Y155" s="317">
        <f t="shared" si="30"/>
        <v>0</v>
      </c>
      <c r="Z155" s="317">
        <f t="shared" si="30"/>
        <v>0</v>
      </c>
      <c r="AA155" s="317">
        <f t="shared" si="30"/>
        <v>0</v>
      </c>
      <c r="AB155" s="317">
        <f t="shared" si="30"/>
        <v>0</v>
      </c>
      <c r="AC155" s="317">
        <f t="shared" si="30"/>
        <v>0</v>
      </c>
      <c r="AD155" s="317">
        <f t="shared" si="30"/>
        <v>0</v>
      </c>
      <c r="AE155" s="318">
        <f t="shared" si="30"/>
        <v>0</v>
      </c>
    </row>
    <row r="156" spans="1:31">
      <c r="A156" s="1711"/>
      <c r="B156" s="116">
        <v>10</v>
      </c>
      <c r="C156" s="316">
        <f>'CAR SEC'!H13</f>
        <v>1.7385917241379314</v>
      </c>
      <c r="D156" s="317">
        <f t="shared" si="31"/>
        <v>1.7222544565217401</v>
      </c>
      <c r="E156" s="317">
        <f t="shared" si="31"/>
        <v>3.2991199999999998</v>
      </c>
      <c r="F156" s="317">
        <f t="shared" si="31"/>
        <v>1.7503771129220129</v>
      </c>
      <c r="G156" s="317">
        <f t="shared" si="31"/>
        <v>1.7163189760348723</v>
      </c>
      <c r="H156" s="317">
        <f t="shared" si="31"/>
        <v>1.7224543290734988</v>
      </c>
      <c r="I156" s="317">
        <f t="shared" si="31"/>
        <v>1.6918446435100536</v>
      </c>
      <c r="J156" s="317">
        <f t="shared" si="31"/>
        <v>1.383803013846</v>
      </c>
      <c r="K156" s="317">
        <f t="shared" si="31"/>
        <v>1.1833800000000001</v>
      </c>
      <c r="L156" s="317">
        <f t="shared" si="31"/>
        <v>1.4086339259259262</v>
      </c>
      <c r="M156" s="317">
        <f t="shared" si="31"/>
        <v>1.6838401967493586</v>
      </c>
      <c r="N156" s="317">
        <f t="shared" si="31"/>
        <v>0</v>
      </c>
      <c r="O156" s="317">
        <f t="shared" si="31"/>
        <v>0</v>
      </c>
      <c r="P156" s="317">
        <f t="shared" si="31"/>
        <v>0</v>
      </c>
      <c r="Q156" s="317">
        <f t="shared" si="31"/>
        <v>0</v>
      </c>
      <c r="R156" s="317">
        <f t="shared" si="31"/>
        <v>0</v>
      </c>
      <c r="S156" s="317">
        <f t="shared" si="31"/>
        <v>0</v>
      </c>
      <c r="T156" s="317">
        <f t="shared" si="30"/>
        <v>0</v>
      </c>
      <c r="U156" s="317">
        <f t="shared" si="30"/>
        <v>0</v>
      </c>
      <c r="V156" s="317">
        <f t="shared" si="30"/>
        <v>0</v>
      </c>
      <c r="W156" s="317">
        <f t="shared" si="30"/>
        <v>0</v>
      </c>
      <c r="X156" s="317">
        <f t="shared" si="30"/>
        <v>0</v>
      </c>
      <c r="Y156" s="317">
        <f t="shared" si="30"/>
        <v>0</v>
      </c>
      <c r="Z156" s="317">
        <f t="shared" si="30"/>
        <v>0</v>
      </c>
      <c r="AA156" s="317">
        <f t="shared" si="30"/>
        <v>0</v>
      </c>
      <c r="AB156" s="317">
        <f t="shared" si="30"/>
        <v>0</v>
      </c>
      <c r="AC156" s="317">
        <f t="shared" si="30"/>
        <v>0</v>
      </c>
      <c r="AD156" s="317">
        <f t="shared" si="30"/>
        <v>0</v>
      </c>
      <c r="AE156" s="318">
        <f t="shared" si="30"/>
        <v>0</v>
      </c>
    </row>
    <row r="157" spans="1:31">
      <c r="A157" s="1711"/>
      <c r="B157" s="116">
        <v>11</v>
      </c>
      <c r="C157" s="316">
        <f>'CAR SEC'!H14</f>
        <v>1.7385917241379314</v>
      </c>
      <c r="D157" s="317">
        <f t="shared" si="31"/>
        <v>1.7385917241379314</v>
      </c>
      <c r="E157" s="317">
        <f t="shared" si="31"/>
        <v>1.7222544565217401</v>
      </c>
      <c r="F157" s="317">
        <f t="shared" si="31"/>
        <v>3.2991199999999998</v>
      </c>
      <c r="G157" s="317">
        <f t="shared" si="31"/>
        <v>1.7503771129220129</v>
      </c>
      <c r="H157" s="317">
        <f t="shared" si="31"/>
        <v>1.7163189760348723</v>
      </c>
      <c r="I157" s="317">
        <f t="shared" si="31"/>
        <v>1.7224543290734988</v>
      </c>
      <c r="J157" s="317">
        <f t="shared" si="31"/>
        <v>1.6918446435100536</v>
      </c>
      <c r="K157" s="317">
        <f t="shared" si="31"/>
        <v>1.383803013846</v>
      </c>
      <c r="L157" s="317">
        <f t="shared" si="31"/>
        <v>1.1833800000000001</v>
      </c>
      <c r="M157" s="317">
        <f t="shared" si="31"/>
        <v>1.4086339259259262</v>
      </c>
      <c r="N157" s="317">
        <f t="shared" si="31"/>
        <v>1.6838401967493586</v>
      </c>
      <c r="O157" s="317">
        <f t="shared" si="31"/>
        <v>0</v>
      </c>
      <c r="P157" s="317">
        <f t="shared" si="31"/>
        <v>0</v>
      </c>
      <c r="Q157" s="317">
        <f t="shared" si="31"/>
        <v>0</v>
      </c>
      <c r="R157" s="317">
        <f t="shared" si="31"/>
        <v>0</v>
      </c>
      <c r="S157" s="317">
        <f t="shared" si="31"/>
        <v>0</v>
      </c>
      <c r="T157" s="317">
        <f t="shared" si="30"/>
        <v>0</v>
      </c>
      <c r="U157" s="317">
        <f t="shared" si="30"/>
        <v>0</v>
      </c>
      <c r="V157" s="317">
        <f t="shared" si="30"/>
        <v>0</v>
      </c>
      <c r="W157" s="317">
        <f t="shared" si="30"/>
        <v>0</v>
      </c>
      <c r="X157" s="317">
        <f t="shared" si="30"/>
        <v>0</v>
      </c>
      <c r="Y157" s="317">
        <f t="shared" si="30"/>
        <v>0</v>
      </c>
      <c r="Z157" s="317">
        <f t="shared" si="30"/>
        <v>0</v>
      </c>
      <c r="AA157" s="317">
        <f t="shared" si="30"/>
        <v>0</v>
      </c>
      <c r="AB157" s="317">
        <f t="shared" si="30"/>
        <v>0</v>
      </c>
      <c r="AC157" s="317">
        <f t="shared" si="30"/>
        <v>0</v>
      </c>
      <c r="AD157" s="317">
        <f t="shared" si="30"/>
        <v>0</v>
      </c>
      <c r="AE157" s="318">
        <f t="shared" si="30"/>
        <v>0</v>
      </c>
    </row>
    <row r="158" spans="1:31">
      <c r="A158" s="1711"/>
      <c r="B158" s="116">
        <v>12</v>
      </c>
      <c r="C158" s="316">
        <f>'CAR SEC'!H15</f>
        <v>1.7385917241379314</v>
      </c>
      <c r="D158" s="317">
        <f t="shared" si="31"/>
        <v>1.7385917241379314</v>
      </c>
      <c r="E158" s="317">
        <f t="shared" si="31"/>
        <v>1.7385917241379314</v>
      </c>
      <c r="F158" s="317">
        <f t="shared" si="31"/>
        <v>1.7222544565217401</v>
      </c>
      <c r="G158" s="317">
        <f t="shared" si="31"/>
        <v>3.2991199999999998</v>
      </c>
      <c r="H158" s="317">
        <f t="shared" si="31"/>
        <v>1.7503771129220129</v>
      </c>
      <c r="I158" s="317">
        <f t="shared" si="31"/>
        <v>1.7163189760348723</v>
      </c>
      <c r="J158" s="317">
        <f t="shared" si="31"/>
        <v>1.7224543290734988</v>
      </c>
      <c r="K158" s="317">
        <f t="shared" si="31"/>
        <v>1.6918446435100536</v>
      </c>
      <c r="L158" s="317">
        <f t="shared" si="31"/>
        <v>1.383803013846</v>
      </c>
      <c r="M158" s="317">
        <f t="shared" si="31"/>
        <v>1.1833800000000001</v>
      </c>
      <c r="N158" s="317">
        <f t="shared" si="31"/>
        <v>1.4086339259259262</v>
      </c>
      <c r="O158" s="317">
        <f t="shared" si="31"/>
        <v>1.6838401967493586</v>
      </c>
      <c r="P158" s="317">
        <f t="shared" si="31"/>
        <v>0</v>
      </c>
      <c r="Q158" s="317">
        <f t="shared" si="31"/>
        <v>0</v>
      </c>
      <c r="R158" s="317">
        <f t="shared" si="31"/>
        <v>0</v>
      </c>
      <c r="S158" s="317">
        <f t="shared" si="31"/>
        <v>0</v>
      </c>
      <c r="T158" s="317">
        <f t="shared" si="30"/>
        <v>0</v>
      </c>
      <c r="U158" s="317">
        <f t="shared" si="30"/>
        <v>0</v>
      </c>
      <c r="V158" s="317">
        <f t="shared" si="30"/>
        <v>0</v>
      </c>
      <c r="W158" s="317">
        <f t="shared" si="30"/>
        <v>0</v>
      </c>
      <c r="X158" s="317">
        <f t="shared" si="30"/>
        <v>0</v>
      </c>
      <c r="Y158" s="317">
        <f t="shared" si="30"/>
        <v>0</v>
      </c>
      <c r="Z158" s="317">
        <f t="shared" si="30"/>
        <v>0</v>
      </c>
      <c r="AA158" s="317">
        <f t="shared" si="30"/>
        <v>0</v>
      </c>
      <c r="AB158" s="317">
        <f t="shared" si="30"/>
        <v>0</v>
      </c>
      <c r="AC158" s="317">
        <f t="shared" si="30"/>
        <v>0</v>
      </c>
      <c r="AD158" s="317">
        <f t="shared" si="30"/>
        <v>0</v>
      </c>
      <c r="AE158" s="318">
        <f t="shared" si="30"/>
        <v>0</v>
      </c>
    </row>
    <row r="159" spans="1:31">
      <c r="A159" s="1711"/>
      <c r="B159" s="116">
        <v>13</v>
      </c>
      <c r="C159" s="316">
        <f>'CAR SEC'!H16</f>
        <v>1.9483933333333334</v>
      </c>
      <c r="D159" s="317">
        <f t="shared" si="31"/>
        <v>1.7385917241379314</v>
      </c>
      <c r="E159" s="317">
        <f t="shared" si="31"/>
        <v>1.7385917241379314</v>
      </c>
      <c r="F159" s="317">
        <f t="shared" si="31"/>
        <v>1.7385917241379314</v>
      </c>
      <c r="G159" s="317">
        <f t="shared" si="31"/>
        <v>1.7222544565217401</v>
      </c>
      <c r="H159" s="317">
        <f t="shared" si="31"/>
        <v>3.2991199999999998</v>
      </c>
      <c r="I159" s="317">
        <f t="shared" si="31"/>
        <v>1.7503771129220129</v>
      </c>
      <c r="J159" s="317">
        <f t="shared" si="31"/>
        <v>1.7163189760348723</v>
      </c>
      <c r="K159" s="317">
        <f t="shared" si="31"/>
        <v>1.7224543290734988</v>
      </c>
      <c r="L159" s="317">
        <f t="shared" si="31"/>
        <v>1.6918446435100536</v>
      </c>
      <c r="M159" s="317">
        <f t="shared" si="31"/>
        <v>1.383803013846</v>
      </c>
      <c r="N159" s="317">
        <f t="shared" si="31"/>
        <v>1.1833800000000001</v>
      </c>
      <c r="O159" s="317">
        <f t="shared" si="31"/>
        <v>1.4086339259259262</v>
      </c>
      <c r="P159" s="317">
        <f t="shared" si="31"/>
        <v>1.6838401967493586</v>
      </c>
      <c r="Q159" s="317">
        <f t="shared" si="31"/>
        <v>0</v>
      </c>
      <c r="R159" s="317">
        <f t="shared" si="31"/>
        <v>0</v>
      </c>
      <c r="S159" s="317">
        <f t="shared" si="31"/>
        <v>0</v>
      </c>
      <c r="T159" s="317">
        <f t="shared" si="30"/>
        <v>0</v>
      </c>
      <c r="U159" s="317">
        <f t="shared" si="30"/>
        <v>0</v>
      </c>
      <c r="V159" s="317">
        <f t="shared" si="30"/>
        <v>0</v>
      </c>
      <c r="W159" s="317">
        <f t="shared" si="30"/>
        <v>0</v>
      </c>
      <c r="X159" s="317">
        <f t="shared" si="30"/>
        <v>0</v>
      </c>
      <c r="Y159" s="317">
        <f t="shared" si="30"/>
        <v>0</v>
      </c>
      <c r="Z159" s="317">
        <f t="shared" si="30"/>
        <v>0</v>
      </c>
      <c r="AA159" s="317">
        <f t="shared" si="30"/>
        <v>0</v>
      </c>
      <c r="AB159" s="317">
        <f t="shared" si="30"/>
        <v>0</v>
      </c>
      <c r="AC159" s="317">
        <f t="shared" si="30"/>
        <v>0</v>
      </c>
      <c r="AD159" s="317">
        <f t="shared" si="30"/>
        <v>0</v>
      </c>
      <c r="AE159" s="318">
        <f t="shared" si="30"/>
        <v>0</v>
      </c>
    </row>
    <row r="160" spans="1:31">
      <c r="A160" s="1711"/>
      <c r="B160" s="116">
        <v>14</v>
      </c>
      <c r="C160" s="316">
        <f>'CAR SEC'!H17</f>
        <v>1.973497667139982</v>
      </c>
      <c r="D160" s="317">
        <f t="shared" si="31"/>
        <v>1.9483933333333334</v>
      </c>
      <c r="E160" s="317">
        <f t="shared" si="31"/>
        <v>1.7385917241379314</v>
      </c>
      <c r="F160" s="317">
        <f t="shared" si="31"/>
        <v>1.7385917241379314</v>
      </c>
      <c r="G160" s="317">
        <f t="shared" si="31"/>
        <v>1.7385917241379314</v>
      </c>
      <c r="H160" s="317">
        <f t="shared" si="31"/>
        <v>1.7222544565217401</v>
      </c>
      <c r="I160" s="317">
        <f t="shared" si="31"/>
        <v>3.2991199999999998</v>
      </c>
      <c r="J160" s="317">
        <f t="shared" si="31"/>
        <v>1.7503771129220129</v>
      </c>
      <c r="K160" s="317">
        <f t="shared" si="31"/>
        <v>1.7163189760348723</v>
      </c>
      <c r="L160" s="317">
        <f t="shared" si="31"/>
        <v>1.7224543290734988</v>
      </c>
      <c r="M160" s="317">
        <f t="shared" si="31"/>
        <v>1.6918446435100536</v>
      </c>
      <c r="N160" s="317">
        <f t="shared" si="31"/>
        <v>1.383803013846</v>
      </c>
      <c r="O160" s="317">
        <f t="shared" si="31"/>
        <v>1.1833800000000001</v>
      </c>
      <c r="P160" s="317">
        <f t="shared" si="31"/>
        <v>1.4086339259259262</v>
      </c>
      <c r="Q160" s="317">
        <f t="shared" si="31"/>
        <v>1.6838401967493586</v>
      </c>
      <c r="R160" s="317">
        <f t="shared" si="31"/>
        <v>0</v>
      </c>
      <c r="S160" s="317">
        <f t="shared" si="31"/>
        <v>0</v>
      </c>
      <c r="T160" s="317">
        <f t="shared" si="30"/>
        <v>0</v>
      </c>
      <c r="U160" s="317">
        <f t="shared" si="30"/>
        <v>0</v>
      </c>
      <c r="V160" s="317">
        <f t="shared" si="30"/>
        <v>0</v>
      </c>
      <c r="W160" s="317">
        <f t="shared" si="30"/>
        <v>0</v>
      </c>
      <c r="X160" s="317">
        <f t="shared" si="30"/>
        <v>0</v>
      </c>
      <c r="Y160" s="317">
        <f t="shared" si="30"/>
        <v>0</v>
      </c>
      <c r="Z160" s="317">
        <f t="shared" si="30"/>
        <v>0</v>
      </c>
      <c r="AA160" s="317">
        <f t="shared" si="30"/>
        <v>0</v>
      </c>
      <c r="AB160" s="317">
        <f t="shared" si="30"/>
        <v>0</v>
      </c>
      <c r="AC160" s="317">
        <f t="shared" si="30"/>
        <v>0</v>
      </c>
      <c r="AD160" s="317">
        <f t="shared" si="30"/>
        <v>0</v>
      </c>
      <c r="AE160" s="318">
        <f t="shared" si="30"/>
        <v>0</v>
      </c>
    </row>
    <row r="161" spans="1:31">
      <c r="A161" s="1711"/>
      <c r="B161" s="116">
        <v>15</v>
      </c>
      <c r="C161" s="316">
        <f>'CAR SEC'!H18</f>
        <v>2.0020730772627715</v>
      </c>
      <c r="D161" s="317">
        <f t="shared" si="31"/>
        <v>1.973497667139982</v>
      </c>
      <c r="E161" s="317">
        <f t="shared" si="31"/>
        <v>1.9483933333333334</v>
      </c>
      <c r="F161" s="317">
        <f t="shared" si="31"/>
        <v>1.7385917241379314</v>
      </c>
      <c r="G161" s="317">
        <f t="shared" si="31"/>
        <v>1.7385917241379314</v>
      </c>
      <c r="H161" s="317">
        <f t="shared" si="31"/>
        <v>1.7385917241379314</v>
      </c>
      <c r="I161" s="317">
        <f t="shared" si="31"/>
        <v>1.7222544565217401</v>
      </c>
      <c r="J161" s="317">
        <f t="shared" si="31"/>
        <v>3.2991199999999998</v>
      </c>
      <c r="K161" s="317">
        <f t="shared" si="31"/>
        <v>1.7503771129220129</v>
      </c>
      <c r="L161" s="317">
        <f t="shared" si="31"/>
        <v>1.7163189760348723</v>
      </c>
      <c r="M161" s="317">
        <f t="shared" si="31"/>
        <v>1.7224543290734988</v>
      </c>
      <c r="N161" s="317">
        <f t="shared" si="31"/>
        <v>1.6918446435100536</v>
      </c>
      <c r="O161" s="317">
        <f t="shared" si="31"/>
        <v>1.383803013846</v>
      </c>
      <c r="P161" s="317">
        <f t="shared" si="31"/>
        <v>1.1833800000000001</v>
      </c>
      <c r="Q161" s="317">
        <f t="shared" si="31"/>
        <v>1.4086339259259262</v>
      </c>
      <c r="R161" s="317">
        <f t="shared" si="31"/>
        <v>1.6838401967493586</v>
      </c>
      <c r="S161" s="317">
        <f t="shared" si="31"/>
        <v>0</v>
      </c>
      <c r="T161" s="317">
        <f t="shared" si="30"/>
        <v>0</v>
      </c>
      <c r="U161" s="317">
        <f t="shared" si="30"/>
        <v>0</v>
      </c>
      <c r="V161" s="317">
        <f t="shared" si="30"/>
        <v>0</v>
      </c>
      <c r="W161" s="317">
        <f t="shared" si="30"/>
        <v>0</v>
      </c>
      <c r="X161" s="317">
        <f t="shared" si="30"/>
        <v>0</v>
      </c>
      <c r="Y161" s="317">
        <f t="shared" si="30"/>
        <v>0</v>
      </c>
      <c r="Z161" s="317">
        <f t="shared" si="30"/>
        <v>0</v>
      </c>
      <c r="AA161" s="317">
        <f t="shared" si="30"/>
        <v>0</v>
      </c>
      <c r="AB161" s="317">
        <f t="shared" si="30"/>
        <v>0</v>
      </c>
      <c r="AC161" s="317">
        <f t="shared" si="30"/>
        <v>0</v>
      </c>
      <c r="AD161" s="317">
        <f t="shared" si="30"/>
        <v>0</v>
      </c>
      <c r="AE161" s="318">
        <f t="shared" si="30"/>
        <v>0</v>
      </c>
    </row>
    <row r="162" spans="1:31">
      <c r="A162" s="1711"/>
      <c r="B162" s="116">
        <v>16</v>
      </c>
      <c r="C162" s="316">
        <f>'CAR SEC'!H19</f>
        <v>2.0300392955228559</v>
      </c>
      <c r="D162" s="317">
        <f t="shared" si="31"/>
        <v>2.0020730772627715</v>
      </c>
      <c r="E162" s="317">
        <f t="shared" si="31"/>
        <v>1.973497667139982</v>
      </c>
      <c r="F162" s="317">
        <f t="shared" si="31"/>
        <v>1.9483933333333334</v>
      </c>
      <c r="G162" s="317">
        <f t="shared" si="31"/>
        <v>1.7385917241379314</v>
      </c>
      <c r="H162" s="317">
        <f t="shared" si="31"/>
        <v>1.7385917241379314</v>
      </c>
      <c r="I162" s="317">
        <f t="shared" si="31"/>
        <v>1.7385917241379314</v>
      </c>
      <c r="J162" s="317">
        <f t="shared" si="31"/>
        <v>1.7222544565217401</v>
      </c>
      <c r="K162" s="317">
        <f t="shared" si="31"/>
        <v>3.2991199999999998</v>
      </c>
      <c r="L162" s="317">
        <f t="shared" si="31"/>
        <v>1.7503771129220129</v>
      </c>
      <c r="M162" s="317">
        <f t="shared" si="31"/>
        <v>1.7163189760348723</v>
      </c>
      <c r="N162" s="317">
        <f t="shared" si="31"/>
        <v>1.7224543290734988</v>
      </c>
      <c r="O162" s="317">
        <f t="shared" si="31"/>
        <v>1.6918446435100536</v>
      </c>
      <c r="P162" s="317">
        <f t="shared" si="31"/>
        <v>1.383803013846</v>
      </c>
      <c r="Q162" s="317">
        <f t="shared" si="31"/>
        <v>1.1833800000000001</v>
      </c>
      <c r="R162" s="317">
        <f t="shared" si="31"/>
        <v>1.4086339259259262</v>
      </c>
      <c r="S162" s="317">
        <f t="shared" si="31"/>
        <v>1.6838401967493586</v>
      </c>
      <c r="T162" s="317">
        <f t="shared" si="30"/>
        <v>0</v>
      </c>
      <c r="U162" s="317">
        <f t="shared" si="30"/>
        <v>0</v>
      </c>
      <c r="V162" s="317">
        <f t="shared" si="30"/>
        <v>0</v>
      </c>
      <c r="W162" s="317">
        <f t="shared" si="30"/>
        <v>0</v>
      </c>
      <c r="X162" s="317">
        <f t="shared" si="30"/>
        <v>0</v>
      </c>
      <c r="Y162" s="317">
        <f t="shared" si="30"/>
        <v>0</v>
      </c>
      <c r="Z162" s="317">
        <f t="shared" si="30"/>
        <v>0</v>
      </c>
      <c r="AA162" s="317">
        <f t="shared" si="30"/>
        <v>0</v>
      </c>
      <c r="AB162" s="317">
        <f t="shared" si="30"/>
        <v>0</v>
      </c>
      <c r="AC162" s="317">
        <f t="shared" si="30"/>
        <v>0</v>
      </c>
      <c r="AD162" s="317">
        <f t="shared" si="30"/>
        <v>0</v>
      </c>
      <c r="AE162" s="318">
        <f t="shared" si="30"/>
        <v>0</v>
      </c>
    </row>
    <row r="163" spans="1:31">
      <c r="A163" s="1711"/>
      <c r="B163" s="116">
        <v>17</v>
      </c>
      <c r="C163" s="316">
        <f>'CAR SEC'!H20</f>
        <v>1.8890303283587286</v>
      </c>
      <c r="D163" s="317">
        <f t="shared" si="31"/>
        <v>2.0300392955228559</v>
      </c>
      <c r="E163" s="317">
        <f t="shared" si="31"/>
        <v>2.0020730772627715</v>
      </c>
      <c r="F163" s="317">
        <f t="shared" si="31"/>
        <v>1.973497667139982</v>
      </c>
      <c r="G163" s="317">
        <f t="shared" si="31"/>
        <v>1.9483933333333334</v>
      </c>
      <c r="H163" s="317">
        <f t="shared" si="31"/>
        <v>1.7385917241379314</v>
      </c>
      <c r="I163" s="317">
        <f t="shared" si="31"/>
        <v>1.7385917241379314</v>
      </c>
      <c r="J163" s="317">
        <f t="shared" si="31"/>
        <v>1.7385917241379314</v>
      </c>
      <c r="K163" s="317">
        <f t="shared" si="31"/>
        <v>1.7222544565217401</v>
      </c>
      <c r="L163" s="317">
        <f t="shared" si="31"/>
        <v>3.2991199999999998</v>
      </c>
      <c r="M163" s="317">
        <f t="shared" si="31"/>
        <v>1.7503771129220129</v>
      </c>
      <c r="N163" s="317">
        <f t="shared" si="31"/>
        <v>1.7163189760348723</v>
      </c>
      <c r="O163" s="317">
        <f t="shared" si="31"/>
        <v>1.7224543290734988</v>
      </c>
      <c r="P163" s="317">
        <f t="shared" si="31"/>
        <v>1.6918446435100536</v>
      </c>
      <c r="Q163" s="317">
        <f t="shared" si="31"/>
        <v>1.383803013846</v>
      </c>
      <c r="R163" s="317">
        <f t="shared" si="31"/>
        <v>1.1833800000000001</v>
      </c>
      <c r="S163" s="317">
        <f t="shared" ref="S163:AE171" si="32">R162</f>
        <v>1.4086339259259262</v>
      </c>
      <c r="T163" s="317">
        <f t="shared" si="32"/>
        <v>1.6838401967493586</v>
      </c>
      <c r="U163" s="317">
        <f t="shared" si="32"/>
        <v>0</v>
      </c>
      <c r="V163" s="317">
        <f t="shared" si="32"/>
        <v>0</v>
      </c>
      <c r="W163" s="317">
        <f t="shared" si="32"/>
        <v>0</v>
      </c>
      <c r="X163" s="317">
        <f t="shared" si="32"/>
        <v>0</v>
      </c>
      <c r="Y163" s="317">
        <f t="shared" si="32"/>
        <v>0</v>
      </c>
      <c r="Z163" s="317">
        <f t="shared" si="32"/>
        <v>0</v>
      </c>
      <c r="AA163" s="317">
        <f t="shared" si="32"/>
        <v>0</v>
      </c>
      <c r="AB163" s="317">
        <f t="shared" si="32"/>
        <v>0</v>
      </c>
      <c r="AC163" s="317">
        <f t="shared" si="32"/>
        <v>0</v>
      </c>
      <c r="AD163" s="317">
        <f t="shared" si="32"/>
        <v>0</v>
      </c>
      <c r="AE163" s="318">
        <f t="shared" si="32"/>
        <v>0</v>
      </c>
    </row>
    <row r="164" spans="1:31">
      <c r="A164" s="1711"/>
      <c r="B164" s="116">
        <v>18</v>
      </c>
      <c r="C164" s="316">
        <f>'CAR SEC'!H21</f>
        <v>1.9075609807850609</v>
      </c>
      <c r="D164" s="317">
        <f t="shared" ref="D164:S171" si="33">C163</f>
        <v>1.8890303283587286</v>
      </c>
      <c r="E164" s="317">
        <f t="shared" si="33"/>
        <v>2.0300392955228559</v>
      </c>
      <c r="F164" s="317">
        <f t="shared" si="33"/>
        <v>2.0020730772627715</v>
      </c>
      <c r="G164" s="317">
        <f t="shared" si="33"/>
        <v>1.973497667139982</v>
      </c>
      <c r="H164" s="317">
        <f t="shared" si="33"/>
        <v>1.9483933333333334</v>
      </c>
      <c r="I164" s="317">
        <f t="shared" si="33"/>
        <v>1.7385917241379314</v>
      </c>
      <c r="J164" s="317">
        <f t="shared" si="33"/>
        <v>1.7385917241379314</v>
      </c>
      <c r="K164" s="317">
        <f t="shared" si="33"/>
        <v>1.7385917241379314</v>
      </c>
      <c r="L164" s="317">
        <f t="shared" si="33"/>
        <v>1.7222544565217401</v>
      </c>
      <c r="M164" s="317">
        <f t="shared" si="33"/>
        <v>3.2991199999999998</v>
      </c>
      <c r="N164" s="317">
        <f t="shared" si="33"/>
        <v>1.7503771129220129</v>
      </c>
      <c r="O164" s="317">
        <f t="shared" si="33"/>
        <v>1.7163189760348723</v>
      </c>
      <c r="P164" s="317">
        <f t="shared" si="33"/>
        <v>1.7224543290734988</v>
      </c>
      <c r="Q164" s="317">
        <f t="shared" si="33"/>
        <v>1.6918446435100536</v>
      </c>
      <c r="R164" s="317">
        <f t="shared" si="33"/>
        <v>1.383803013846</v>
      </c>
      <c r="S164" s="317">
        <f t="shared" si="33"/>
        <v>1.1833800000000001</v>
      </c>
      <c r="T164" s="317">
        <f t="shared" si="32"/>
        <v>1.4086339259259262</v>
      </c>
      <c r="U164" s="317">
        <f t="shared" si="32"/>
        <v>1.6838401967493586</v>
      </c>
      <c r="V164" s="317">
        <f t="shared" si="32"/>
        <v>0</v>
      </c>
      <c r="W164" s="317">
        <f t="shared" si="32"/>
        <v>0</v>
      </c>
      <c r="X164" s="317">
        <f t="shared" si="32"/>
        <v>0</v>
      </c>
      <c r="Y164" s="317">
        <f t="shared" si="32"/>
        <v>0</v>
      </c>
      <c r="Z164" s="317">
        <f t="shared" si="32"/>
        <v>0</v>
      </c>
      <c r="AA164" s="317">
        <f t="shared" si="32"/>
        <v>0</v>
      </c>
      <c r="AB164" s="317">
        <f t="shared" si="32"/>
        <v>0</v>
      </c>
      <c r="AC164" s="317">
        <f t="shared" si="32"/>
        <v>0</v>
      </c>
      <c r="AD164" s="317">
        <f t="shared" si="32"/>
        <v>0</v>
      </c>
      <c r="AE164" s="318">
        <f t="shared" si="32"/>
        <v>0</v>
      </c>
    </row>
    <row r="165" spans="1:31">
      <c r="A165" s="1711"/>
      <c r="B165" s="116">
        <v>19</v>
      </c>
      <c r="C165" s="316">
        <f>'CAR SEC'!H22</f>
        <v>1.9263353426347423</v>
      </c>
      <c r="D165" s="317">
        <f t="shared" si="33"/>
        <v>1.9075609807850609</v>
      </c>
      <c r="E165" s="317">
        <f t="shared" si="33"/>
        <v>1.8890303283587286</v>
      </c>
      <c r="F165" s="317">
        <f t="shared" si="33"/>
        <v>2.0300392955228559</v>
      </c>
      <c r="G165" s="317">
        <f t="shared" si="33"/>
        <v>2.0020730772627715</v>
      </c>
      <c r="H165" s="317">
        <f t="shared" si="33"/>
        <v>1.973497667139982</v>
      </c>
      <c r="I165" s="317">
        <f t="shared" si="33"/>
        <v>1.9483933333333334</v>
      </c>
      <c r="J165" s="317">
        <f t="shared" si="33"/>
        <v>1.7385917241379314</v>
      </c>
      <c r="K165" s="317">
        <f t="shared" si="33"/>
        <v>1.7385917241379314</v>
      </c>
      <c r="L165" s="317">
        <f t="shared" si="33"/>
        <v>1.7385917241379314</v>
      </c>
      <c r="M165" s="317">
        <f t="shared" si="33"/>
        <v>1.7222544565217401</v>
      </c>
      <c r="N165" s="317">
        <f t="shared" si="33"/>
        <v>3.2991199999999998</v>
      </c>
      <c r="O165" s="317">
        <f t="shared" si="33"/>
        <v>1.7503771129220129</v>
      </c>
      <c r="P165" s="317">
        <f t="shared" si="33"/>
        <v>1.7163189760348723</v>
      </c>
      <c r="Q165" s="317">
        <f t="shared" si="33"/>
        <v>1.7224543290734988</v>
      </c>
      <c r="R165" s="317">
        <f t="shared" si="33"/>
        <v>1.6918446435100536</v>
      </c>
      <c r="S165" s="317">
        <f t="shared" si="33"/>
        <v>1.383803013846</v>
      </c>
      <c r="T165" s="317">
        <f t="shared" si="32"/>
        <v>1.1833800000000001</v>
      </c>
      <c r="U165" s="317">
        <f t="shared" si="32"/>
        <v>1.4086339259259262</v>
      </c>
      <c r="V165" s="317">
        <f t="shared" si="32"/>
        <v>1.6838401967493586</v>
      </c>
      <c r="W165" s="317">
        <f t="shared" si="32"/>
        <v>0</v>
      </c>
      <c r="X165" s="317">
        <f t="shared" si="32"/>
        <v>0</v>
      </c>
      <c r="Y165" s="317">
        <f t="shared" si="32"/>
        <v>0</v>
      </c>
      <c r="Z165" s="317">
        <f t="shared" si="32"/>
        <v>0</v>
      </c>
      <c r="AA165" s="317">
        <f t="shared" si="32"/>
        <v>0</v>
      </c>
      <c r="AB165" s="317">
        <f t="shared" si="32"/>
        <v>0</v>
      </c>
      <c r="AC165" s="317">
        <f t="shared" si="32"/>
        <v>0</v>
      </c>
      <c r="AD165" s="317">
        <f t="shared" si="32"/>
        <v>0</v>
      </c>
      <c r="AE165" s="318">
        <f t="shared" si="32"/>
        <v>0</v>
      </c>
    </row>
    <row r="166" spans="1:31">
      <c r="A166" s="1711"/>
      <c r="B166" s="116">
        <v>20</v>
      </c>
      <c r="C166" s="316">
        <f>'CAR SEC'!H23</f>
        <v>1.9471957446899428</v>
      </c>
      <c r="D166" s="317">
        <f t="shared" si="33"/>
        <v>1.9263353426347423</v>
      </c>
      <c r="E166" s="317">
        <f t="shared" si="33"/>
        <v>1.9075609807850609</v>
      </c>
      <c r="F166" s="317">
        <f t="shared" si="33"/>
        <v>1.8890303283587286</v>
      </c>
      <c r="G166" s="317">
        <f t="shared" si="33"/>
        <v>2.0300392955228559</v>
      </c>
      <c r="H166" s="317">
        <f t="shared" si="33"/>
        <v>2.0020730772627715</v>
      </c>
      <c r="I166" s="317">
        <f t="shared" si="33"/>
        <v>1.973497667139982</v>
      </c>
      <c r="J166" s="317">
        <f t="shared" si="33"/>
        <v>1.9483933333333334</v>
      </c>
      <c r="K166" s="317">
        <f t="shared" si="33"/>
        <v>1.7385917241379314</v>
      </c>
      <c r="L166" s="317">
        <f t="shared" si="33"/>
        <v>1.7385917241379314</v>
      </c>
      <c r="M166" s="317">
        <f t="shared" si="33"/>
        <v>1.7385917241379314</v>
      </c>
      <c r="N166" s="317">
        <f t="shared" si="33"/>
        <v>1.7222544565217401</v>
      </c>
      <c r="O166" s="317">
        <f t="shared" si="33"/>
        <v>3.2991199999999998</v>
      </c>
      <c r="P166" s="317">
        <f t="shared" si="33"/>
        <v>1.7503771129220129</v>
      </c>
      <c r="Q166" s="317">
        <f t="shared" si="33"/>
        <v>1.7163189760348723</v>
      </c>
      <c r="R166" s="317">
        <f t="shared" si="33"/>
        <v>1.7224543290734988</v>
      </c>
      <c r="S166" s="317">
        <f t="shared" si="33"/>
        <v>1.6918446435100536</v>
      </c>
      <c r="T166" s="317">
        <f t="shared" si="32"/>
        <v>1.383803013846</v>
      </c>
      <c r="U166" s="317">
        <f t="shared" si="32"/>
        <v>1.1833800000000001</v>
      </c>
      <c r="V166" s="317">
        <f t="shared" si="32"/>
        <v>1.4086339259259262</v>
      </c>
      <c r="W166" s="317">
        <f t="shared" si="32"/>
        <v>1.6838401967493586</v>
      </c>
      <c r="X166" s="317">
        <f t="shared" si="32"/>
        <v>0</v>
      </c>
      <c r="Y166" s="317">
        <f t="shared" si="32"/>
        <v>0</v>
      </c>
      <c r="Z166" s="317">
        <f t="shared" si="32"/>
        <v>0</v>
      </c>
      <c r="AA166" s="317">
        <f t="shared" si="32"/>
        <v>0</v>
      </c>
      <c r="AB166" s="317">
        <f t="shared" si="32"/>
        <v>0</v>
      </c>
      <c r="AC166" s="317">
        <f t="shared" si="32"/>
        <v>0</v>
      </c>
      <c r="AD166" s="317">
        <f t="shared" si="32"/>
        <v>0</v>
      </c>
      <c r="AE166" s="318">
        <f t="shared" si="32"/>
        <v>0</v>
      </c>
    </row>
    <row r="167" spans="1:31">
      <c r="A167" s="1711"/>
      <c r="B167" s="116">
        <v>21</v>
      </c>
      <c r="C167" s="316">
        <f>'CAR SEC'!H24</f>
        <v>1.9703739691957223</v>
      </c>
      <c r="D167" s="317">
        <f t="shared" si="33"/>
        <v>1.9471957446899428</v>
      </c>
      <c r="E167" s="317">
        <f t="shared" si="33"/>
        <v>1.9263353426347423</v>
      </c>
      <c r="F167" s="317">
        <f t="shared" si="33"/>
        <v>1.9075609807850609</v>
      </c>
      <c r="G167" s="317">
        <f t="shared" si="33"/>
        <v>1.8890303283587286</v>
      </c>
      <c r="H167" s="317">
        <f t="shared" si="33"/>
        <v>2.0300392955228559</v>
      </c>
      <c r="I167" s="317">
        <f t="shared" si="33"/>
        <v>2.0020730772627715</v>
      </c>
      <c r="J167" s="317">
        <f t="shared" si="33"/>
        <v>1.973497667139982</v>
      </c>
      <c r="K167" s="317">
        <f t="shared" si="33"/>
        <v>1.9483933333333334</v>
      </c>
      <c r="L167" s="317">
        <f t="shared" si="33"/>
        <v>1.7385917241379314</v>
      </c>
      <c r="M167" s="317">
        <f t="shared" si="33"/>
        <v>1.7385917241379314</v>
      </c>
      <c r="N167" s="317">
        <f t="shared" si="33"/>
        <v>1.7385917241379314</v>
      </c>
      <c r="O167" s="317">
        <f t="shared" si="33"/>
        <v>1.7222544565217401</v>
      </c>
      <c r="P167" s="317">
        <f t="shared" si="33"/>
        <v>3.2991199999999998</v>
      </c>
      <c r="Q167" s="317">
        <f t="shared" si="33"/>
        <v>1.7503771129220129</v>
      </c>
      <c r="R167" s="317">
        <f t="shared" si="33"/>
        <v>1.7163189760348723</v>
      </c>
      <c r="S167" s="317">
        <f t="shared" si="33"/>
        <v>1.7224543290734988</v>
      </c>
      <c r="T167" s="317">
        <f t="shared" si="32"/>
        <v>1.6918446435100536</v>
      </c>
      <c r="U167" s="317">
        <f t="shared" si="32"/>
        <v>1.383803013846</v>
      </c>
      <c r="V167" s="317">
        <f t="shared" si="32"/>
        <v>1.1833800000000001</v>
      </c>
      <c r="W167" s="317">
        <f t="shared" si="32"/>
        <v>1.4086339259259262</v>
      </c>
      <c r="X167" s="317">
        <f t="shared" si="32"/>
        <v>1.6838401967493586</v>
      </c>
      <c r="Y167" s="317">
        <f t="shared" si="32"/>
        <v>0</v>
      </c>
      <c r="Z167" s="317">
        <f t="shared" si="32"/>
        <v>0</v>
      </c>
      <c r="AA167" s="317">
        <f t="shared" si="32"/>
        <v>0</v>
      </c>
      <c r="AB167" s="317">
        <f t="shared" si="32"/>
        <v>0</v>
      </c>
      <c r="AC167" s="317">
        <f t="shared" si="32"/>
        <v>0</v>
      </c>
      <c r="AD167" s="317">
        <f t="shared" si="32"/>
        <v>0</v>
      </c>
      <c r="AE167" s="318">
        <f t="shared" si="32"/>
        <v>0</v>
      </c>
    </row>
    <row r="168" spans="1:31">
      <c r="A168" s="1711"/>
      <c r="B168" s="116">
        <v>22</v>
      </c>
      <c r="C168" s="316">
        <v>1.9728162620693208</v>
      </c>
      <c r="D168" s="317">
        <f t="shared" si="33"/>
        <v>1.9703739691957223</v>
      </c>
      <c r="E168" s="317">
        <f t="shared" si="33"/>
        <v>1.9471957446899428</v>
      </c>
      <c r="F168" s="317">
        <f t="shared" si="33"/>
        <v>1.9263353426347423</v>
      </c>
      <c r="G168" s="317">
        <f t="shared" si="33"/>
        <v>1.9075609807850609</v>
      </c>
      <c r="H168" s="317">
        <f t="shared" si="33"/>
        <v>1.8890303283587286</v>
      </c>
      <c r="I168" s="317">
        <f t="shared" si="33"/>
        <v>2.0300392955228559</v>
      </c>
      <c r="J168" s="317">
        <f t="shared" si="33"/>
        <v>2.0020730772627715</v>
      </c>
      <c r="K168" s="317">
        <f t="shared" si="33"/>
        <v>1.973497667139982</v>
      </c>
      <c r="L168" s="317">
        <f t="shared" si="33"/>
        <v>1.9483933333333334</v>
      </c>
      <c r="M168" s="317">
        <f t="shared" si="33"/>
        <v>1.7385917241379314</v>
      </c>
      <c r="N168" s="317">
        <f t="shared" si="33"/>
        <v>1.7385917241379314</v>
      </c>
      <c r="O168" s="317">
        <f t="shared" si="33"/>
        <v>1.7385917241379314</v>
      </c>
      <c r="P168" s="317">
        <f t="shared" si="33"/>
        <v>1.7222544565217401</v>
      </c>
      <c r="Q168" s="317">
        <f t="shared" si="33"/>
        <v>3.2991199999999998</v>
      </c>
      <c r="R168" s="317">
        <f t="shared" si="33"/>
        <v>1.7503771129220129</v>
      </c>
      <c r="S168" s="317">
        <f t="shared" si="33"/>
        <v>1.7163189760348723</v>
      </c>
      <c r="T168" s="317">
        <f t="shared" si="32"/>
        <v>1.7224543290734988</v>
      </c>
      <c r="U168" s="317">
        <f t="shared" si="32"/>
        <v>1.6918446435100536</v>
      </c>
      <c r="V168" s="317">
        <f t="shared" si="32"/>
        <v>1.383803013846</v>
      </c>
      <c r="W168" s="317">
        <f t="shared" si="32"/>
        <v>1.1833800000000001</v>
      </c>
      <c r="X168" s="317">
        <f t="shared" si="32"/>
        <v>1.4086339259259262</v>
      </c>
      <c r="Y168" s="317">
        <f t="shared" si="32"/>
        <v>1.6838401967493586</v>
      </c>
      <c r="Z168" s="317">
        <f t="shared" si="32"/>
        <v>0</v>
      </c>
      <c r="AA168" s="317">
        <f t="shared" si="32"/>
        <v>0</v>
      </c>
      <c r="AB168" s="317">
        <f t="shared" si="32"/>
        <v>0</v>
      </c>
      <c r="AC168" s="317">
        <f t="shared" si="32"/>
        <v>0</v>
      </c>
      <c r="AD168" s="317">
        <f t="shared" si="32"/>
        <v>0</v>
      </c>
      <c r="AE168" s="318">
        <f t="shared" si="32"/>
        <v>0</v>
      </c>
    </row>
    <row r="169" spans="1:31">
      <c r="A169" s="1711"/>
      <c r="B169" s="116">
        <v>23</v>
      </c>
      <c r="C169" s="316">
        <v>1.9727405503948032</v>
      </c>
      <c r="D169" s="317">
        <f t="shared" si="33"/>
        <v>1.9728162620693208</v>
      </c>
      <c r="E169" s="317">
        <f t="shared" si="33"/>
        <v>1.9703739691957223</v>
      </c>
      <c r="F169" s="317">
        <f t="shared" si="33"/>
        <v>1.9471957446899428</v>
      </c>
      <c r="G169" s="317">
        <f t="shared" si="33"/>
        <v>1.9263353426347423</v>
      </c>
      <c r="H169" s="317">
        <f t="shared" si="33"/>
        <v>1.9075609807850609</v>
      </c>
      <c r="I169" s="317">
        <f t="shared" si="33"/>
        <v>1.8890303283587286</v>
      </c>
      <c r="J169" s="317">
        <f t="shared" si="33"/>
        <v>2.0300392955228559</v>
      </c>
      <c r="K169" s="317">
        <f t="shared" si="33"/>
        <v>2.0020730772627715</v>
      </c>
      <c r="L169" s="317">
        <f t="shared" si="33"/>
        <v>1.973497667139982</v>
      </c>
      <c r="M169" s="317">
        <f t="shared" si="33"/>
        <v>1.9483933333333334</v>
      </c>
      <c r="N169" s="317">
        <f t="shared" si="33"/>
        <v>1.7385917241379314</v>
      </c>
      <c r="O169" s="317">
        <f t="shared" si="33"/>
        <v>1.7385917241379314</v>
      </c>
      <c r="P169" s="317">
        <f t="shared" si="33"/>
        <v>1.7385917241379314</v>
      </c>
      <c r="Q169" s="317">
        <f t="shared" si="33"/>
        <v>1.7222544565217401</v>
      </c>
      <c r="R169" s="317">
        <f t="shared" si="33"/>
        <v>3.2991199999999998</v>
      </c>
      <c r="S169" s="317">
        <f t="shared" si="33"/>
        <v>1.7503771129220129</v>
      </c>
      <c r="T169" s="317">
        <f t="shared" si="32"/>
        <v>1.7163189760348723</v>
      </c>
      <c r="U169" s="317">
        <f t="shared" si="32"/>
        <v>1.7224543290734988</v>
      </c>
      <c r="V169" s="317">
        <f t="shared" si="32"/>
        <v>1.6918446435100536</v>
      </c>
      <c r="W169" s="317">
        <f t="shared" si="32"/>
        <v>1.383803013846</v>
      </c>
      <c r="X169" s="317">
        <f t="shared" si="32"/>
        <v>1.1833800000000001</v>
      </c>
      <c r="Y169" s="317">
        <f t="shared" si="32"/>
        <v>1.4086339259259262</v>
      </c>
      <c r="Z169" s="317">
        <f t="shared" si="32"/>
        <v>1.6838401967493586</v>
      </c>
      <c r="AA169" s="317">
        <f t="shared" si="32"/>
        <v>0</v>
      </c>
      <c r="AB169" s="317">
        <f t="shared" si="32"/>
        <v>0</v>
      </c>
      <c r="AC169" s="317">
        <f t="shared" si="32"/>
        <v>0</v>
      </c>
      <c r="AD169" s="317">
        <f t="shared" si="32"/>
        <v>0</v>
      </c>
      <c r="AE169" s="318">
        <f t="shared" si="32"/>
        <v>0</v>
      </c>
    </row>
    <row r="170" spans="1:31">
      <c r="A170" s="1711"/>
      <c r="B170" s="116">
        <v>24</v>
      </c>
      <c r="C170" s="316">
        <f>C169</f>
        <v>1.9727405503948032</v>
      </c>
      <c r="D170" s="317">
        <f t="shared" si="33"/>
        <v>1.9727405503948032</v>
      </c>
      <c r="E170" s="317">
        <f t="shared" si="33"/>
        <v>1.9728162620693208</v>
      </c>
      <c r="F170" s="317">
        <f t="shared" si="33"/>
        <v>1.9703739691957223</v>
      </c>
      <c r="G170" s="317">
        <f t="shared" si="33"/>
        <v>1.9471957446899428</v>
      </c>
      <c r="H170" s="317">
        <f t="shared" si="33"/>
        <v>1.9263353426347423</v>
      </c>
      <c r="I170" s="317">
        <f t="shared" si="33"/>
        <v>1.9075609807850609</v>
      </c>
      <c r="J170" s="317">
        <f t="shared" si="33"/>
        <v>1.8890303283587286</v>
      </c>
      <c r="K170" s="317">
        <f t="shared" si="33"/>
        <v>2.0300392955228559</v>
      </c>
      <c r="L170" s="317">
        <f t="shared" si="33"/>
        <v>2.0020730772627715</v>
      </c>
      <c r="M170" s="317">
        <f t="shared" si="33"/>
        <v>1.973497667139982</v>
      </c>
      <c r="N170" s="317">
        <f t="shared" si="33"/>
        <v>1.9483933333333334</v>
      </c>
      <c r="O170" s="317">
        <f t="shared" si="33"/>
        <v>1.7385917241379314</v>
      </c>
      <c r="P170" s="317">
        <f t="shared" si="33"/>
        <v>1.7385917241379314</v>
      </c>
      <c r="Q170" s="317">
        <f t="shared" si="33"/>
        <v>1.7385917241379314</v>
      </c>
      <c r="R170" s="317">
        <f t="shared" si="33"/>
        <v>1.7222544565217401</v>
      </c>
      <c r="S170" s="317">
        <f t="shared" si="33"/>
        <v>3.2991199999999998</v>
      </c>
      <c r="T170" s="317">
        <f t="shared" si="32"/>
        <v>1.7503771129220129</v>
      </c>
      <c r="U170" s="317">
        <f t="shared" si="32"/>
        <v>1.7163189760348723</v>
      </c>
      <c r="V170" s="317">
        <f t="shared" si="32"/>
        <v>1.7224543290734988</v>
      </c>
      <c r="W170" s="317">
        <f t="shared" si="32"/>
        <v>1.6918446435100536</v>
      </c>
      <c r="X170" s="317">
        <f t="shared" si="32"/>
        <v>1.383803013846</v>
      </c>
      <c r="Y170" s="317">
        <f t="shared" si="32"/>
        <v>1.1833800000000001</v>
      </c>
      <c r="Z170" s="317">
        <f t="shared" si="32"/>
        <v>1.4086339259259262</v>
      </c>
      <c r="AA170" s="317">
        <f t="shared" si="32"/>
        <v>1.6838401967493586</v>
      </c>
      <c r="AB170" s="317">
        <f t="shared" si="32"/>
        <v>0</v>
      </c>
      <c r="AC170" s="317">
        <f t="shared" si="32"/>
        <v>0</v>
      </c>
      <c r="AD170" s="317">
        <f t="shared" si="32"/>
        <v>0</v>
      </c>
      <c r="AE170" s="318">
        <f t="shared" si="32"/>
        <v>0</v>
      </c>
    </row>
    <row r="171" spans="1:31" ht="15.75" thickBot="1">
      <c r="A171" s="1711"/>
      <c r="B171" s="116">
        <v>25</v>
      </c>
      <c r="C171" s="324">
        <f>C170</f>
        <v>1.9727405503948032</v>
      </c>
      <c r="D171" s="325">
        <f t="shared" si="33"/>
        <v>1.9727405503948032</v>
      </c>
      <c r="E171" s="325">
        <f t="shared" si="33"/>
        <v>1.9727405503948032</v>
      </c>
      <c r="F171" s="325">
        <f t="shared" si="33"/>
        <v>1.9728162620693208</v>
      </c>
      <c r="G171" s="325">
        <f t="shared" si="33"/>
        <v>1.9703739691957223</v>
      </c>
      <c r="H171" s="325">
        <f t="shared" si="33"/>
        <v>1.9471957446899428</v>
      </c>
      <c r="I171" s="325">
        <f t="shared" si="33"/>
        <v>1.9263353426347423</v>
      </c>
      <c r="J171" s="325">
        <f t="shared" si="33"/>
        <v>1.9075609807850609</v>
      </c>
      <c r="K171" s="325">
        <f t="shared" si="33"/>
        <v>1.8890303283587286</v>
      </c>
      <c r="L171" s="325">
        <f t="shared" si="33"/>
        <v>2.0300392955228559</v>
      </c>
      <c r="M171" s="325">
        <f t="shared" si="33"/>
        <v>2.0020730772627715</v>
      </c>
      <c r="N171" s="325">
        <f t="shared" si="33"/>
        <v>1.973497667139982</v>
      </c>
      <c r="O171" s="325">
        <f t="shared" si="33"/>
        <v>1.9483933333333334</v>
      </c>
      <c r="P171" s="325">
        <f t="shared" si="33"/>
        <v>1.7385917241379314</v>
      </c>
      <c r="Q171" s="325">
        <f t="shared" si="33"/>
        <v>1.7385917241379314</v>
      </c>
      <c r="R171" s="325">
        <f t="shared" si="33"/>
        <v>1.7385917241379314</v>
      </c>
      <c r="S171" s="325">
        <f t="shared" si="33"/>
        <v>1.7222544565217401</v>
      </c>
      <c r="T171" s="325">
        <f t="shared" si="32"/>
        <v>3.2991199999999998</v>
      </c>
      <c r="U171" s="325">
        <f t="shared" si="32"/>
        <v>1.7503771129220129</v>
      </c>
      <c r="V171" s="325">
        <f t="shared" si="32"/>
        <v>1.7163189760348723</v>
      </c>
      <c r="W171" s="325">
        <f t="shared" si="32"/>
        <v>1.7224543290734988</v>
      </c>
      <c r="X171" s="325">
        <f t="shared" si="32"/>
        <v>1.6918446435100536</v>
      </c>
      <c r="Y171" s="325">
        <f t="shared" si="32"/>
        <v>1.383803013846</v>
      </c>
      <c r="Z171" s="325">
        <f t="shared" si="32"/>
        <v>1.1833800000000001</v>
      </c>
      <c r="AA171" s="325">
        <f t="shared" si="32"/>
        <v>1.4086339259259262</v>
      </c>
      <c r="AB171" s="325">
        <f t="shared" si="32"/>
        <v>1.6838401967493586</v>
      </c>
      <c r="AC171" s="325">
        <f t="shared" si="32"/>
        <v>0</v>
      </c>
      <c r="AD171" s="325">
        <f t="shared" si="32"/>
        <v>0</v>
      </c>
      <c r="AE171" s="326">
        <f t="shared" si="32"/>
        <v>0</v>
      </c>
    </row>
    <row r="172" spans="1:31" ht="16.5" thickTop="1" thickBot="1">
      <c r="A172" s="1712"/>
      <c r="B172" s="300" t="s">
        <v>39</v>
      </c>
      <c r="C172" s="327">
        <f>SUMPRODUCT('CAR Stock'!C169:C194,C146:C171)/'CAR Stock'!C195</f>
        <v>1.7096173499010143</v>
      </c>
      <c r="D172" s="327">
        <f>SUMPRODUCT('CAR Stock'!D169:D194,D146:D171)/'CAR Stock'!D195</f>
        <v>1.6360560292625379</v>
      </c>
      <c r="E172" s="327">
        <f>SUMPRODUCT('CAR Stock'!E169:E194,E146:E171)/'CAR Stock'!E195</f>
        <v>1.6044151368949109</v>
      </c>
      <c r="F172" s="327">
        <f>SUMPRODUCT('CAR Stock'!F169:F194,F146:F171)/'CAR Stock'!F195</f>
        <v>1.5920594084073676</v>
      </c>
      <c r="G172" s="327">
        <f>SUMPRODUCT('CAR Stock'!G169:G194,G146:G171)/'CAR Stock'!G195</f>
        <v>1.5853572628820223</v>
      </c>
      <c r="H172" s="327">
        <f>SUMPRODUCT('CAR Stock'!H169:H194,H146:H171)/'CAR Stock'!H195</f>
        <v>1.5729875864365666</v>
      </c>
      <c r="I172" s="327">
        <f>SUMPRODUCT('CAR Stock'!I169:I194,I146:I171)/'CAR Stock'!I195</f>
        <v>1.5561466987612702</v>
      </c>
      <c r="J172" s="327">
        <f>SUMPRODUCT('CAR Stock'!J169:J194,J146:J171)/'CAR Stock'!J195</f>
        <v>1.5379086422306849</v>
      </c>
      <c r="K172" s="327">
        <f>SUMPRODUCT('CAR Stock'!K169:K194,K146:K171)/'CAR Stock'!K195</f>
        <v>1.5083346488428053</v>
      </c>
      <c r="L172" s="327">
        <f>SUMPRODUCT('CAR Stock'!L169:L194,L146:L171)/'CAR Stock'!L195</f>
        <v>1.4567459239345995</v>
      </c>
      <c r="M172" s="327">
        <f>SUMPRODUCT('CAR Stock'!M169:M194,M146:M171)/'CAR Stock'!M195</f>
        <v>1.396196544470151</v>
      </c>
      <c r="N172" s="327">
        <f>SUMPRODUCT('CAR Stock'!N169:N194,N146:N171)/'CAR Stock'!N195</f>
        <v>1.3622212068485138</v>
      </c>
      <c r="O172" s="327">
        <f>SUMPRODUCT('CAR Stock'!O169:O194,O146:O171)/'CAR Stock'!O195</f>
        <v>1.3726334935695248</v>
      </c>
      <c r="P172" s="327">
        <f>SUMPRODUCT('CAR Stock'!P169:P194,P146:P171)/'CAR Stock'!P195</f>
        <v>1.4137644683140267</v>
      </c>
      <c r="Q172" s="327">
        <f>SUMPRODUCT('CAR Stock'!Q169:Q194,Q146:Q171)/'CAR Stock'!Q195</f>
        <v>1.4476897907045505</v>
      </c>
      <c r="R172" s="327">
        <f>SUMPRODUCT('CAR Stock'!R169:R194,R146:R171)/'CAR Stock'!R195</f>
        <v>1.4637921857903951</v>
      </c>
      <c r="S172" s="327">
        <f>SUMPRODUCT('CAR Stock'!S169:S194,S146:S171)/'CAR Stock'!S195</f>
        <v>1.4827697830042139</v>
      </c>
      <c r="T172" s="327">
        <f>SUMPRODUCT('CAR Stock'!T169:T194,T146:T171)/'CAR Stock'!T195</f>
        <v>1.5044738653130727</v>
      </c>
      <c r="U172" s="327">
        <f>SUMPRODUCT('CAR Stock'!U169:U194,U146:U171)/'CAR Stock'!U195</f>
        <v>1.5286184107770093</v>
      </c>
      <c r="V172" s="327">
        <f>SUMPRODUCT('CAR Stock'!V169:V194,V146:V171)/'CAR Stock'!V195</f>
        <v>1.5547461969494798</v>
      </c>
      <c r="W172" s="327">
        <f>SUMPRODUCT('CAR Stock'!W169:W194,W146:W171)/'CAR Stock'!W195</f>
        <v>1.5821947381965624</v>
      </c>
      <c r="X172" s="327">
        <f>SUMPRODUCT('CAR Stock'!X169:X194,X146:X171)/'CAR Stock'!X195</f>
        <v>1.610068948147046</v>
      </c>
      <c r="Y172" s="327">
        <f>SUMPRODUCT('CAR Stock'!Y169:Y194,Y146:Y171)/'CAR Stock'!Y195</f>
        <v>1.6372314698206902</v>
      </c>
      <c r="Z172" s="327">
        <f>SUMPRODUCT('CAR Stock'!Z169:Z194,Z146:Z171)/'CAR Stock'!Z195</f>
        <v>1.6623249129894844</v>
      </c>
      <c r="AA172" s="327">
        <f>SUMPRODUCT('CAR Stock'!AA169:AA194,AA146:AA171)/'CAR Stock'!AA195</f>
        <v>1.6838401967493586</v>
      </c>
      <c r="AB172" s="327">
        <v>0</v>
      </c>
      <c r="AC172" s="327">
        <v>0</v>
      </c>
      <c r="AD172" s="327">
        <v>0</v>
      </c>
      <c r="AE172" s="327">
        <v>0</v>
      </c>
    </row>
    <row r="173" spans="1:31" ht="15.75" thickBot="1">
      <c r="A173" s="650"/>
    </row>
    <row r="174" spans="1:31" ht="15.75" customHeight="1" thickBot="1">
      <c r="A174" s="1710" t="s">
        <v>46</v>
      </c>
      <c r="B174" s="169" t="s">
        <v>10</v>
      </c>
      <c r="C174" s="288">
        <v>2012</v>
      </c>
      <c r="D174" s="289">
        <v>2013</v>
      </c>
      <c r="E174" s="289">
        <v>2014</v>
      </c>
      <c r="F174" s="289">
        <v>2015</v>
      </c>
      <c r="G174" s="288">
        <v>2016</v>
      </c>
      <c r="H174" s="289">
        <v>2017</v>
      </c>
      <c r="I174" s="289">
        <v>2018</v>
      </c>
      <c r="J174" s="289">
        <v>2019</v>
      </c>
      <c r="K174" s="288">
        <v>2020</v>
      </c>
      <c r="L174" s="289">
        <v>2021</v>
      </c>
      <c r="M174" s="289">
        <v>2022</v>
      </c>
      <c r="N174" s="289">
        <v>2023</v>
      </c>
      <c r="O174" s="288">
        <v>2024</v>
      </c>
      <c r="P174" s="289">
        <v>2025</v>
      </c>
      <c r="Q174" s="289">
        <v>2026</v>
      </c>
      <c r="R174" s="289">
        <v>2027</v>
      </c>
      <c r="S174" s="288">
        <v>2028</v>
      </c>
      <c r="T174" s="289">
        <v>2029</v>
      </c>
      <c r="U174" s="289">
        <v>2030</v>
      </c>
      <c r="V174" s="289">
        <v>2031</v>
      </c>
      <c r="W174" s="288">
        <v>2032</v>
      </c>
      <c r="X174" s="289">
        <v>2033</v>
      </c>
      <c r="Y174" s="289">
        <v>2034</v>
      </c>
      <c r="Z174" s="289">
        <v>2035</v>
      </c>
      <c r="AA174" s="288">
        <v>2036</v>
      </c>
      <c r="AB174" s="289">
        <v>2037</v>
      </c>
      <c r="AC174" s="289">
        <v>2038</v>
      </c>
      <c r="AD174" s="289">
        <v>2039</v>
      </c>
      <c r="AE174" s="290">
        <v>2040</v>
      </c>
    </row>
    <row r="175" spans="1:31" ht="15" customHeight="1">
      <c r="A175" s="1711" t="s">
        <v>41</v>
      </c>
      <c r="B175" s="116">
        <v>0</v>
      </c>
      <c r="C175" s="313">
        <f>'CAR SEC'!I3</f>
        <v>1.5675206558239929</v>
      </c>
      <c r="D175" s="314">
        <v>0</v>
      </c>
      <c r="E175" s="314">
        <v>0</v>
      </c>
      <c r="F175" s="314">
        <v>0</v>
      </c>
      <c r="G175" s="314">
        <v>0</v>
      </c>
      <c r="H175" s="314">
        <v>0</v>
      </c>
      <c r="I175" s="314">
        <v>0</v>
      </c>
      <c r="J175" s="314">
        <v>0</v>
      </c>
      <c r="K175" s="314">
        <v>0</v>
      </c>
      <c r="L175" s="314">
        <v>0</v>
      </c>
      <c r="M175" s="314">
        <v>0</v>
      </c>
      <c r="N175" s="314">
        <v>0</v>
      </c>
      <c r="O175" s="314">
        <v>0</v>
      </c>
      <c r="P175" s="314">
        <v>0</v>
      </c>
      <c r="Q175" s="314">
        <v>0</v>
      </c>
      <c r="R175" s="314">
        <v>0</v>
      </c>
      <c r="S175" s="314">
        <v>0</v>
      </c>
      <c r="T175" s="314">
        <v>0</v>
      </c>
      <c r="U175" s="314">
        <v>0</v>
      </c>
      <c r="V175" s="314">
        <v>0</v>
      </c>
      <c r="W175" s="314">
        <v>0</v>
      </c>
      <c r="X175" s="314">
        <v>0</v>
      </c>
      <c r="Y175" s="314">
        <v>0</v>
      </c>
      <c r="Z175" s="314">
        <v>0</v>
      </c>
      <c r="AA175" s="314">
        <v>0</v>
      </c>
      <c r="AB175" s="314">
        <v>0</v>
      </c>
      <c r="AC175" s="314">
        <v>0</v>
      </c>
      <c r="AD175" s="314">
        <v>0</v>
      </c>
      <c r="AE175" s="315">
        <v>0</v>
      </c>
    </row>
    <row r="176" spans="1:31">
      <c r="A176" s="1711"/>
      <c r="B176" s="116">
        <v>1</v>
      </c>
      <c r="C176" s="316">
        <f>'CAR SEC'!I4</f>
        <v>1.6058313859183986</v>
      </c>
      <c r="D176" s="317">
        <f>C175</f>
        <v>1.5675206558239929</v>
      </c>
      <c r="E176" s="317">
        <f t="shared" ref="E176:T176" si="34">D175</f>
        <v>0</v>
      </c>
      <c r="F176" s="317">
        <f t="shared" si="34"/>
        <v>0</v>
      </c>
      <c r="G176" s="317">
        <f t="shared" si="34"/>
        <v>0</v>
      </c>
      <c r="H176" s="317">
        <f t="shared" si="34"/>
        <v>0</v>
      </c>
      <c r="I176" s="317">
        <f t="shared" si="34"/>
        <v>0</v>
      </c>
      <c r="J176" s="317">
        <f t="shared" si="34"/>
        <v>0</v>
      </c>
      <c r="K176" s="317">
        <f t="shared" si="34"/>
        <v>0</v>
      </c>
      <c r="L176" s="317">
        <f t="shared" si="34"/>
        <v>0</v>
      </c>
      <c r="M176" s="317">
        <f t="shared" si="34"/>
        <v>0</v>
      </c>
      <c r="N176" s="317">
        <f t="shared" si="34"/>
        <v>0</v>
      </c>
      <c r="O176" s="317">
        <f t="shared" si="34"/>
        <v>0</v>
      </c>
      <c r="P176" s="317">
        <f t="shared" si="34"/>
        <v>0</v>
      </c>
      <c r="Q176" s="317">
        <f t="shared" si="34"/>
        <v>0</v>
      </c>
      <c r="R176" s="317">
        <f t="shared" si="34"/>
        <v>0</v>
      </c>
      <c r="S176" s="317">
        <f t="shared" si="34"/>
        <v>0</v>
      </c>
      <c r="T176" s="317">
        <f t="shared" si="34"/>
        <v>0</v>
      </c>
      <c r="U176" s="317">
        <f t="shared" ref="T176:AE191" si="35">T175</f>
        <v>0</v>
      </c>
      <c r="V176" s="317">
        <f t="shared" si="35"/>
        <v>0</v>
      </c>
      <c r="W176" s="317">
        <f t="shared" si="35"/>
        <v>0</v>
      </c>
      <c r="X176" s="317">
        <f t="shared" si="35"/>
        <v>0</v>
      </c>
      <c r="Y176" s="317">
        <f t="shared" si="35"/>
        <v>0</v>
      </c>
      <c r="Z176" s="317">
        <f t="shared" si="35"/>
        <v>0</v>
      </c>
      <c r="AA176" s="317">
        <f t="shared" si="35"/>
        <v>0</v>
      </c>
      <c r="AB176" s="317">
        <f t="shared" si="35"/>
        <v>0</v>
      </c>
      <c r="AC176" s="317">
        <f t="shared" si="35"/>
        <v>0</v>
      </c>
      <c r="AD176" s="317">
        <f t="shared" si="35"/>
        <v>0</v>
      </c>
      <c r="AE176" s="318">
        <f t="shared" si="35"/>
        <v>0</v>
      </c>
    </row>
    <row r="177" spans="1:31">
      <c r="A177" s="1711"/>
      <c r="B177" s="116">
        <v>2</v>
      </c>
      <c r="C177" s="316">
        <f>'CAR SEC'!I5</f>
        <v>1.6407638856854565</v>
      </c>
      <c r="D177" s="317">
        <f t="shared" ref="D177:S192" si="36">C176</f>
        <v>1.6058313859183986</v>
      </c>
      <c r="E177" s="317">
        <f t="shared" si="36"/>
        <v>1.5675206558239929</v>
      </c>
      <c r="F177" s="317">
        <f t="shared" si="36"/>
        <v>0</v>
      </c>
      <c r="G177" s="317">
        <f t="shared" si="36"/>
        <v>0</v>
      </c>
      <c r="H177" s="317">
        <f t="shared" si="36"/>
        <v>0</v>
      </c>
      <c r="I177" s="317">
        <f t="shared" si="36"/>
        <v>0</v>
      </c>
      <c r="J177" s="317">
        <f t="shared" si="36"/>
        <v>0</v>
      </c>
      <c r="K177" s="317">
        <f t="shared" si="36"/>
        <v>0</v>
      </c>
      <c r="L177" s="317">
        <f t="shared" si="36"/>
        <v>0</v>
      </c>
      <c r="M177" s="317">
        <f t="shared" si="36"/>
        <v>0</v>
      </c>
      <c r="N177" s="317">
        <f t="shared" si="36"/>
        <v>0</v>
      </c>
      <c r="O177" s="317">
        <f t="shared" si="36"/>
        <v>0</v>
      </c>
      <c r="P177" s="317">
        <f t="shared" si="36"/>
        <v>0</v>
      </c>
      <c r="Q177" s="317">
        <f t="shared" si="36"/>
        <v>0</v>
      </c>
      <c r="R177" s="317">
        <f t="shared" si="36"/>
        <v>0</v>
      </c>
      <c r="S177" s="317">
        <f t="shared" si="36"/>
        <v>0</v>
      </c>
      <c r="T177" s="317">
        <f t="shared" si="35"/>
        <v>0</v>
      </c>
      <c r="U177" s="317">
        <f t="shared" si="35"/>
        <v>0</v>
      </c>
      <c r="V177" s="317">
        <f t="shared" si="35"/>
        <v>0</v>
      </c>
      <c r="W177" s="317">
        <f t="shared" si="35"/>
        <v>0</v>
      </c>
      <c r="X177" s="317">
        <f t="shared" si="35"/>
        <v>0</v>
      </c>
      <c r="Y177" s="317">
        <f t="shared" si="35"/>
        <v>0</v>
      </c>
      <c r="Z177" s="317">
        <f t="shared" si="35"/>
        <v>0</v>
      </c>
      <c r="AA177" s="317">
        <f t="shared" si="35"/>
        <v>0</v>
      </c>
      <c r="AB177" s="317">
        <f t="shared" si="35"/>
        <v>0</v>
      </c>
      <c r="AC177" s="317">
        <f t="shared" si="35"/>
        <v>0</v>
      </c>
      <c r="AD177" s="317">
        <f t="shared" si="35"/>
        <v>0</v>
      </c>
      <c r="AE177" s="318">
        <f t="shared" si="35"/>
        <v>0</v>
      </c>
    </row>
    <row r="178" spans="1:31">
      <c r="A178" s="1711"/>
      <c r="B178" s="116">
        <v>3</v>
      </c>
      <c r="C178" s="316">
        <f>'CAR SEC'!I6</f>
        <v>1.6992985391980244</v>
      </c>
      <c r="D178" s="317">
        <f t="shared" si="36"/>
        <v>1.6407638856854565</v>
      </c>
      <c r="E178" s="317">
        <f t="shared" si="36"/>
        <v>1.6058313859183986</v>
      </c>
      <c r="F178" s="317">
        <f t="shared" si="36"/>
        <v>1.5675206558239929</v>
      </c>
      <c r="G178" s="317">
        <f t="shared" si="36"/>
        <v>0</v>
      </c>
      <c r="H178" s="317">
        <f t="shared" si="36"/>
        <v>0</v>
      </c>
      <c r="I178" s="317">
        <f t="shared" si="36"/>
        <v>0</v>
      </c>
      <c r="J178" s="317">
        <f t="shared" si="36"/>
        <v>0</v>
      </c>
      <c r="K178" s="317">
        <f t="shared" si="36"/>
        <v>0</v>
      </c>
      <c r="L178" s="317">
        <f t="shared" si="36"/>
        <v>0</v>
      </c>
      <c r="M178" s="317">
        <f t="shared" si="36"/>
        <v>0</v>
      </c>
      <c r="N178" s="317">
        <f t="shared" si="36"/>
        <v>0</v>
      </c>
      <c r="O178" s="317">
        <f t="shared" si="36"/>
        <v>0</v>
      </c>
      <c r="P178" s="317">
        <f t="shared" si="36"/>
        <v>0</v>
      </c>
      <c r="Q178" s="317">
        <f t="shared" si="36"/>
        <v>0</v>
      </c>
      <c r="R178" s="317">
        <f t="shared" si="36"/>
        <v>0</v>
      </c>
      <c r="S178" s="317">
        <f t="shared" si="36"/>
        <v>0</v>
      </c>
      <c r="T178" s="317">
        <f t="shared" si="35"/>
        <v>0</v>
      </c>
      <c r="U178" s="317">
        <f t="shared" si="35"/>
        <v>0</v>
      </c>
      <c r="V178" s="317">
        <f t="shared" si="35"/>
        <v>0</v>
      </c>
      <c r="W178" s="317">
        <f t="shared" si="35"/>
        <v>0</v>
      </c>
      <c r="X178" s="317">
        <f t="shared" si="35"/>
        <v>0</v>
      </c>
      <c r="Y178" s="317">
        <f t="shared" si="35"/>
        <v>0</v>
      </c>
      <c r="Z178" s="317">
        <f t="shared" si="35"/>
        <v>0</v>
      </c>
      <c r="AA178" s="317">
        <f t="shared" si="35"/>
        <v>0</v>
      </c>
      <c r="AB178" s="317">
        <f t="shared" si="35"/>
        <v>0</v>
      </c>
      <c r="AC178" s="317">
        <f t="shared" si="35"/>
        <v>0</v>
      </c>
      <c r="AD178" s="317">
        <f t="shared" si="35"/>
        <v>0</v>
      </c>
      <c r="AE178" s="318">
        <f t="shared" si="35"/>
        <v>0</v>
      </c>
    </row>
    <row r="179" spans="1:31">
      <c r="A179" s="1711"/>
      <c r="B179" s="116">
        <v>4</v>
      </c>
      <c r="C179" s="316">
        <f>'CAR SEC'!I7</f>
        <v>1.749589450180332</v>
      </c>
      <c r="D179" s="317">
        <f t="shared" si="36"/>
        <v>1.6992985391980244</v>
      </c>
      <c r="E179" s="317">
        <f t="shared" si="36"/>
        <v>1.6407638856854565</v>
      </c>
      <c r="F179" s="317">
        <f t="shared" si="36"/>
        <v>1.6058313859183986</v>
      </c>
      <c r="G179" s="317">
        <f t="shared" si="36"/>
        <v>1.5675206558239929</v>
      </c>
      <c r="H179" s="317">
        <f t="shared" si="36"/>
        <v>0</v>
      </c>
      <c r="I179" s="317">
        <f t="shared" si="36"/>
        <v>0</v>
      </c>
      <c r="J179" s="317">
        <f t="shared" si="36"/>
        <v>0</v>
      </c>
      <c r="K179" s="317">
        <f t="shared" si="36"/>
        <v>0</v>
      </c>
      <c r="L179" s="317">
        <f t="shared" si="36"/>
        <v>0</v>
      </c>
      <c r="M179" s="317">
        <f t="shared" si="36"/>
        <v>0</v>
      </c>
      <c r="N179" s="317">
        <f t="shared" si="36"/>
        <v>0</v>
      </c>
      <c r="O179" s="317">
        <f t="shared" si="36"/>
        <v>0</v>
      </c>
      <c r="P179" s="317">
        <f t="shared" si="36"/>
        <v>0</v>
      </c>
      <c r="Q179" s="317">
        <f t="shared" si="36"/>
        <v>0</v>
      </c>
      <c r="R179" s="317">
        <f t="shared" si="36"/>
        <v>0</v>
      </c>
      <c r="S179" s="317">
        <f t="shared" si="36"/>
        <v>0</v>
      </c>
      <c r="T179" s="317">
        <f t="shared" si="35"/>
        <v>0</v>
      </c>
      <c r="U179" s="317">
        <f t="shared" si="35"/>
        <v>0</v>
      </c>
      <c r="V179" s="317">
        <f t="shared" si="35"/>
        <v>0</v>
      </c>
      <c r="W179" s="317">
        <f t="shared" si="35"/>
        <v>0</v>
      </c>
      <c r="X179" s="317">
        <f t="shared" si="35"/>
        <v>0</v>
      </c>
      <c r="Y179" s="317">
        <f t="shared" si="35"/>
        <v>0</v>
      </c>
      <c r="Z179" s="317">
        <f t="shared" si="35"/>
        <v>0</v>
      </c>
      <c r="AA179" s="317">
        <f t="shared" si="35"/>
        <v>0</v>
      </c>
      <c r="AB179" s="317">
        <f t="shared" si="35"/>
        <v>0</v>
      </c>
      <c r="AC179" s="317">
        <f t="shared" si="35"/>
        <v>0</v>
      </c>
      <c r="AD179" s="317">
        <f t="shared" si="35"/>
        <v>0</v>
      </c>
      <c r="AE179" s="318">
        <f t="shared" si="35"/>
        <v>0</v>
      </c>
    </row>
    <row r="180" spans="1:31">
      <c r="A180" s="1711"/>
      <c r="B180" s="116">
        <v>5</v>
      </c>
      <c r="C180" s="316">
        <f>'CAR SEC'!I8</f>
        <v>1.7725379900214042</v>
      </c>
      <c r="D180" s="317">
        <f t="shared" si="36"/>
        <v>1.749589450180332</v>
      </c>
      <c r="E180" s="317">
        <f t="shared" si="36"/>
        <v>1.6992985391980244</v>
      </c>
      <c r="F180" s="317">
        <f t="shared" si="36"/>
        <v>1.6407638856854565</v>
      </c>
      <c r="G180" s="317">
        <f t="shared" si="36"/>
        <v>1.6058313859183986</v>
      </c>
      <c r="H180" s="317">
        <f t="shared" si="36"/>
        <v>1.5675206558239929</v>
      </c>
      <c r="I180" s="317">
        <f t="shared" si="36"/>
        <v>0</v>
      </c>
      <c r="J180" s="317">
        <f t="shared" si="36"/>
        <v>0</v>
      </c>
      <c r="K180" s="317">
        <f t="shared" si="36"/>
        <v>0</v>
      </c>
      <c r="L180" s="317">
        <f t="shared" si="36"/>
        <v>0</v>
      </c>
      <c r="M180" s="317">
        <f t="shared" si="36"/>
        <v>0</v>
      </c>
      <c r="N180" s="317">
        <f t="shared" si="36"/>
        <v>0</v>
      </c>
      <c r="O180" s="317">
        <f t="shared" si="36"/>
        <v>0</v>
      </c>
      <c r="P180" s="317">
        <f t="shared" si="36"/>
        <v>0</v>
      </c>
      <c r="Q180" s="317">
        <f t="shared" si="36"/>
        <v>0</v>
      </c>
      <c r="R180" s="317">
        <f t="shared" si="36"/>
        <v>0</v>
      </c>
      <c r="S180" s="317">
        <f t="shared" si="36"/>
        <v>0</v>
      </c>
      <c r="T180" s="317">
        <f t="shared" si="35"/>
        <v>0</v>
      </c>
      <c r="U180" s="317">
        <f t="shared" si="35"/>
        <v>0</v>
      </c>
      <c r="V180" s="317">
        <f t="shared" si="35"/>
        <v>0</v>
      </c>
      <c r="W180" s="317">
        <f t="shared" si="35"/>
        <v>0</v>
      </c>
      <c r="X180" s="317">
        <f t="shared" si="35"/>
        <v>0</v>
      </c>
      <c r="Y180" s="317">
        <f t="shared" si="35"/>
        <v>0</v>
      </c>
      <c r="Z180" s="317">
        <f t="shared" si="35"/>
        <v>0</v>
      </c>
      <c r="AA180" s="317">
        <f t="shared" si="35"/>
        <v>0</v>
      </c>
      <c r="AB180" s="317">
        <f t="shared" si="35"/>
        <v>0</v>
      </c>
      <c r="AC180" s="317">
        <f t="shared" si="35"/>
        <v>0</v>
      </c>
      <c r="AD180" s="317">
        <f t="shared" si="35"/>
        <v>0</v>
      </c>
      <c r="AE180" s="318">
        <f t="shared" si="35"/>
        <v>0</v>
      </c>
    </row>
    <row r="181" spans="1:31">
      <c r="A181" s="1711"/>
      <c r="B181" s="116">
        <v>6</v>
      </c>
      <c r="C181" s="316">
        <f>'CAR SEC'!I9</f>
        <v>1.7730065751699176</v>
      </c>
      <c r="D181" s="317">
        <f t="shared" si="36"/>
        <v>1.7725379900214042</v>
      </c>
      <c r="E181" s="317">
        <f t="shared" si="36"/>
        <v>1.749589450180332</v>
      </c>
      <c r="F181" s="317">
        <f t="shared" si="36"/>
        <v>1.6992985391980244</v>
      </c>
      <c r="G181" s="317">
        <f t="shared" si="36"/>
        <v>1.6407638856854565</v>
      </c>
      <c r="H181" s="317">
        <f t="shared" si="36"/>
        <v>1.6058313859183986</v>
      </c>
      <c r="I181" s="317">
        <f t="shared" si="36"/>
        <v>1.5675206558239929</v>
      </c>
      <c r="J181" s="317">
        <f t="shared" si="36"/>
        <v>0</v>
      </c>
      <c r="K181" s="317">
        <f t="shared" si="36"/>
        <v>0</v>
      </c>
      <c r="L181" s="317">
        <f t="shared" si="36"/>
        <v>0</v>
      </c>
      <c r="M181" s="317">
        <f t="shared" si="36"/>
        <v>0</v>
      </c>
      <c r="N181" s="317">
        <f t="shared" si="36"/>
        <v>0</v>
      </c>
      <c r="O181" s="317">
        <f t="shared" si="36"/>
        <v>0</v>
      </c>
      <c r="P181" s="317">
        <f t="shared" si="36"/>
        <v>0</v>
      </c>
      <c r="Q181" s="317">
        <f t="shared" si="36"/>
        <v>0</v>
      </c>
      <c r="R181" s="317">
        <f t="shared" si="36"/>
        <v>0</v>
      </c>
      <c r="S181" s="317">
        <f t="shared" si="36"/>
        <v>0</v>
      </c>
      <c r="T181" s="317">
        <f t="shared" si="35"/>
        <v>0</v>
      </c>
      <c r="U181" s="317">
        <f t="shared" si="35"/>
        <v>0</v>
      </c>
      <c r="V181" s="317">
        <f t="shared" si="35"/>
        <v>0</v>
      </c>
      <c r="W181" s="317">
        <f t="shared" si="35"/>
        <v>0</v>
      </c>
      <c r="X181" s="317">
        <f t="shared" si="35"/>
        <v>0</v>
      </c>
      <c r="Y181" s="317">
        <f t="shared" si="35"/>
        <v>0</v>
      </c>
      <c r="Z181" s="317">
        <f t="shared" si="35"/>
        <v>0</v>
      </c>
      <c r="AA181" s="317">
        <f t="shared" si="35"/>
        <v>0</v>
      </c>
      <c r="AB181" s="317">
        <f t="shared" si="35"/>
        <v>0</v>
      </c>
      <c r="AC181" s="317">
        <f t="shared" si="35"/>
        <v>0</v>
      </c>
      <c r="AD181" s="317">
        <f t="shared" si="35"/>
        <v>0</v>
      </c>
      <c r="AE181" s="318">
        <f t="shared" si="35"/>
        <v>0</v>
      </c>
    </row>
    <row r="182" spans="1:31">
      <c r="A182" s="1711"/>
      <c r="B182" s="116">
        <v>7</v>
      </c>
      <c r="C182" s="316">
        <f>'CAR SEC'!I10</f>
        <v>1.726593693730601</v>
      </c>
      <c r="D182" s="317">
        <f t="shared" si="36"/>
        <v>1.7730065751699176</v>
      </c>
      <c r="E182" s="317">
        <f t="shared" si="36"/>
        <v>1.7725379900214042</v>
      </c>
      <c r="F182" s="317">
        <f t="shared" si="36"/>
        <v>1.749589450180332</v>
      </c>
      <c r="G182" s="317">
        <f t="shared" si="36"/>
        <v>1.6992985391980244</v>
      </c>
      <c r="H182" s="317">
        <f t="shared" si="36"/>
        <v>1.6407638856854565</v>
      </c>
      <c r="I182" s="317">
        <f t="shared" si="36"/>
        <v>1.6058313859183986</v>
      </c>
      <c r="J182" s="317">
        <f t="shared" si="36"/>
        <v>1.5675206558239929</v>
      </c>
      <c r="K182" s="317">
        <f t="shared" si="36"/>
        <v>0</v>
      </c>
      <c r="L182" s="317">
        <f t="shared" si="36"/>
        <v>0</v>
      </c>
      <c r="M182" s="317">
        <f t="shared" si="36"/>
        <v>0</v>
      </c>
      <c r="N182" s="317">
        <f t="shared" si="36"/>
        <v>0</v>
      </c>
      <c r="O182" s="317">
        <f t="shared" si="36"/>
        <v>0</v>
      </c>
      <c r="P182" s="317">
        <f t="shared" si="36"/>
        <v>0</v>
      </c>
      <c r="Q182" s="317">
        <f t="shared" si="36"/>
        <v>0</v>
      </c>
      <c r="R182" s="317">
        <f t="shared" si="36"/>
        <v>0</v>
      </c>
      <c r="S182" s="317">
        <f t="shared" si="36"/>
        <v>0</v>
      </c>
      <c r="T182" s="317">
        <f t="shared" si="35"/>
        <v>0</v>
      </c>
      <c r="U182" s="317">
        <f t="shared" si="35"/>
        <v>0</v>
      </c>
      <c r="V182" s="317">
        <f t="shared" si="35"/>
        <v>0</v>
      </c>
      <c r="W182" s="317">
        <f t="shared" si="35"/>
        <v>0</v>
      </c>
      <c r="X182" s="317">
        <f t="shared" si="35"/>
        <v>0</v>
      </c>
      <c r="Y182" s="317">
        <f t="shared" si="35"/>
        <v>0</v>
      </c>
      <c r="Z182" s="317">
        <f t="shared" si="35"/>
        <v>0</v>
      </c>
      <c r="AA182" s="317">
        <f t="shared" si="35"/>
        <v>0</v>
      </c>
      <c r="AB182" s="317">
        <f t="shared" si="35"/>
        <v>0</v>
      </c>
      <c r="AC182" s="317">
        <f t="shared" si="35"/>
        <v>0</v>
      </c>
      <c r="AD182" s="317">
        <f t="shared" si="35"/>
        <v>0</v>
      </c>
      <c r="AE182" s="318">
        <f t="shared" si="35"/>
        <v>0</v>
      </c>
    </row>
    <row r="183" spans="1:31">
      <c r="A183" s="1711"/>
      <c r="B183" s="116">
        <v>8</v>
      </c>
      <c r="C183" s="316">
        <f>'CAR SEC'!I11</f>
        <v>1.7781672282229219</v>
      </c>
      <c r="D183" s="317">
        <f t="shared" si="36"/>
        <v>1.726593693730601</v>
      </c>
      <c r="E183" s="317">
        <f t="shared" si="36"/>
        <v>1.7730065751699176</v>
      </c>
      <c r="F183" s="317">
        <f t="shared" si="36"/>
        <v>1.7725379900214042</v>
      </c>
      <c r="G183" s="317">
        <f t="shared" si="36"/>
        <v>1.749589450180332</v>
      </c>
      <c r="H183" s="317">
        <f t="shared" si="36"/>
        <v>1.6992985391980244</v>
      </c>
      <c r="I183" s="317">
        <f t="shared" si="36"/>
        <v>1.6407638856854565</v>
      </c>
      <c r="J183" s="317">
        <f t="shared" si="36"/>
        <v>1.6058313859183986</v>
      </c>
      <c r="K183" s="317">
        <f t="shared" si="36"/>
        <v>1.5675206558239929</v>
      </c>
      <c r="L183" s="317">
        <f t="shared" si="36"/>
        <v>0</v>
      </c>
      <c r="M183" s="317">
        <f t="shared" si="36"/>
        <v>0</v>
      </c>
      <c r="N183" s="317">
        <f t="shared" si="36"/>
        <v>0</v>
      </c>
      <c r="O183" s="317">
        <f t="shared" si="36"/>
        <v>0</v>
      </c>
      <c r="P183" s="317">
        <f t="shared" si="36"/>
        <v>0</v>
      </c>
      <c r="Q183" s="317">
        <f t="shared" si="36"/>
        <v>0</v>
      </c>
      <c r="R183" s="317">
        <f t="shared" si="36"/>
        <v>0</v>
      </c>
      <c r="S183" s="317">
        <f t="shared" si="36"/>
        <v>0</v>
      </c>
      <c r="T183" s="317">
        <f t="shared" si="35"/>
        <v>0</v>
      </c>
      <c r="U183" s="317">
        <f t="shared" si="35"/>
        <v>0</v>
      </c>
      <c r="V183" s="317">
        <f t="shared" si="35"/>
        <v>0</v>
      </c>
      <c r="W183" s="317">
        <f t="shared" si="35"/>
        <v>0</v>
      </c>
      <c r="X183" s="317">
        <f t="shared" si="35"/>
        <v>0</v>
      </c>
      <c r="Y183" s="317">
        <f t="shared" si="35"/>
        <v>0</v>
      </c>
      <c r="Z183" s="317">
        <f t="shared" si="35"/>
        <v>0</v>
      </c>
      <c r="AA183" s="317">
        <f t="shared" si="35"/>
        <v>0</v>
      </c>
      <c r="AB183" s="317">
        <f t="shared" si="35"/>
        <v>0</v>
      </c>
      <c r="AC183" s="317">
        <f t="shared" si="35"/>
        <v>0</v>
      </c>
      <c r="AD183" s="317">
        <f t="shared" si="35"/>
        <v>0</v>
      </c>
      <c r="AE183" s="318">
        <f t="shared" si="35"/>
        <v>0</v>
      </c>
    </row>
    <row r="184" spans="1:31">
      <c r="A184" s="1711"/>
      <c r="B184" s="116">
        <v>9</v>
      </c>
      <c r="C184" s="316">
        <f>'CAR SEC'!I12</f>
        <v>1.6473539141005302</v>
      </c>
      <c r="D184" s="317">
        <f t="shared" si="36"/>
        <v>1.7781672282229219</v>
      </c>
      <c r="E184" s="317">
        <f t="shared" si="36"/>
        <v>1.726593693730601</v>
      </c>
      <c r="F184" s="317">
        <f t="shared" si="36"/>
        <v>1.7730065751699176</v>
      </c>
      <c r="G184" s="317">
        <f t="shared" si="36"/>
        <v>1.7725379900214042</v>
      </c>
      <c r="H184" s="317">
        <f t="shared" si="36"/>
        <v>1.749589450180332</v>
      </c>
      <c r="I184" s="317">
        <f t="shared" si="36"/>
        <v>1.6992985391980244</v>
      </c>
      <c r="J184" s="317">
        <f t="shared" si="36"/>
        <v>1.6407638856854565</v>
      </c>
      <c r="K184" s="317">
        <f t="shared" si="36"/>
        <v>1.6058313859183986</v>
      </c>
      <c r="L184" s="317">
        <f t="shared" si="36"/>
        <v>1.5675206558239929</v>
      </c>
      <c r="M184" s="317">
        <f t="shared" si="36"/>
        <v>0</v>
      </c>
      <c r="N184" s="317">
        <f t="shared" si="36"/>
        <v>0</v>
      </c>
      <c r="O184" s="317">
        <f t="shared" si="36"/>
        <v>0</v>
      </c>
      <c r="P184" s="317">
        <f t="shared" si="36"/>
        <v>0</v>
      </c>
      <c r="Q184" s="317">
        <f t="shared" si="36"/>
        <v>0</v>
      </c>
      <c r="R184" s="317">
        <f t="shared" si="36"/>
        <v>0</v>
      </c>
      <c r="S184" s="317">
        <f t="shared" si="36"/>
        <v>0</v>
      </c>
      <c r="T184" s="317">
        <f t="shared" si="35"/>
        <v>0</v>
      </c>
      <c r="U184" s="317">
        <f t="shared" si="35"/>
        <v>0</v>
      </c>
      <c r="V184" s="317">
        <f t="shared" si="35"/>
        <v>0</v>
      </c>
      <c r="W184" s="317">
        <f t="shared" si="35"/>
        <v>0</v>
      </c>
      <c r="X184" s="317">
        <f t="shared" si="35"/>
        <v>0</v>
      </c>
      <c r="Y184" s="317">
        <f t="shared" si="35"/>
        <v>0</v>
      </c>
      <c r="Z184" s="317">
        <f t="shared" si="35"/>
        <v>0</v>
      </c>
      <c r="AA184" s="317">
        <f t="shared" si="35"/>
        <v>0</v>
      </c>
      <c r="AB184" s="317">
        <f t="shared" si="35"/>
        <v>0</v>
      </c>
      <c r="AC184" s="317">
        <f t="shared" si="35"/>
        <v>0</v>
      </c>
      <c r="AD184" s="317">
        <f t="shared" si="35"/>
        <v>0</v>
      </c>
      <c r="AE184" s="318">
        <f t="shared" si="35"/>
        <v>0</v>
      </c>
    </row>
    <row r="185" spans="1:31">
      <c r="A185" s="1711"/>
      <c r="B185" s="116">
        <v>10</v>
      </c>
      <c r="C185" s="316">
        <f>'CAR SEC'!I13</f>
        <v>1.6254313341922688</v>
      </c>
      <c r="D185" s="317">
        <f t="shared" si="36"/>
        <v>1.6473539141005302</v>
      </c>
      <c r="E185" s="317">
        <f t="shared" si="36"/>
        <v>1.7781672282229219</v>
      </c>
      <c r="F185" s="317">
        <f t="shared" si="36"/>
        <v>1.726593693730601</v>
      </c>
      <c r="G185" s="317">
        <f t="shared" si="36"/>
        <v>1.7730065751699176</v>
      </c>
      <c r="H185" s="317">
        <f t="shared" si="36"/>
        <v>1.7725379900214042</v>
      </c>
      <c r="I185" s="317">
        <f t="shared" si="36"/>
        <v>1.749589450180332</v>
      </c>
      <c r="J185" s="317">
        <f t="shared" si="36"/>
        <v>1.6992985391980244</v>
      </c>
      <c r="K185" s="317">
        <f t="shared" si="36"/>
        <v>1.6407638856854565</v>
      </c>
      <c r="L185" s="317">
        <f t="shared" si="36"/>
        <v>1.6058313859183986</v>
      </c>
      <c r="M185" s="317">
        <f t="shared" si="36"/>
        <v>1.5675206558239929</v>
      </c>
      <c r="N185" s="317">
        <f t="shared" si="36"/>
        <v>0</v>
      </c>
      <c r="O185" s="317">
        <f t="shared" si="36"/>
        <v>0</v>
      </c>
      <c r="P185" s="317">
        <f t="shared" si="36"/>
        <v>0</v>
      </c>
      <c r="Q185" s="317">
        <f t="shared" si="36"/>
        <v>0</v>
      </c>
      <c r="R185" s="317">
        <f t="shared" si="36"/>
        <v>0</v>
      </c>
      <c r="S185" s="317">
        <f t="shared" si="36"/>
        <v>0</v>
      </c>
      <c r="T185" s="317">
        <f t="shared" si="35"/>
        <v>0</v>
      </c>
      <c r="U185" s="317">
        <f t="shared" si="35"/>
        <v>0</v>
      </c>
      <c r="V185" s="317">
        <f t="shared" si="35"/>
        <v>0</v>
      </c>
      <c r="W185" s="317">
        <f t="shared" si="35"/>
        <v>0</v>
      </c>
      <c r="X185" s="317">
        <f t="shared" si="35"/>
        <v>0</v>
      </c>
      <c r="Y185" s="317">
        <f t="shared" si="35"/>
        <v>0</v>
      </c>
      <c r="Z185" s="317">
        <f t="shared" si="35"/>
        <v>0</v>
      </c>
      <c r="AA185" s="317">
        <f t="shared" si="35"/>
        <v>0</v>
      </c>
      <c r="AB185" s="317">
        <f t="shared" si="35"/>
        <v>0</v>
      </c>
      <c r="AC185" s="317">
        <f t="shared" si="35"/>
        <v>0</v>
      </c>
      <c r="AD185" s="317">
        <f t="shared" si="35"/>
        <v>0</v>
      </c>
      <c r="AE185" s="318">
        <f t="shared" si="35"/>
        <v>0</v>
      </c>
    </row>
    <row r="186" spans="1:31">
      <c r="A186" s="1711"/>
      <c r="B186" s="116">
        <v>11</v>
      </c>
      <c r="C186" s="316">
        <f>'CAR SEC'!I14</f>
        <v>1.6115092300428877</v>
      </c>
      <c r="D186" s="317">
        <f t="shared" si="36"/>
        <v>1.6254313341922688</v>
      </c>
      <c r="E186" s="317">
        <f t="shared" si="36"/>
        <v>1.6473539141005302</v>
      </c>
      <c r="F186" s="317">
        <f t="shared" si="36"/>
        <v>1.7781672282229219</v>
      </c>
      <c r="G186" s="317">
        <f t="shared" si="36"/>
        <v>1.726593693730601</v>
      </c>
      <c r="H186" s="317">
        <f t="shared" si="36"/>
        <v>1.7730065751699176</v>
      </c>
      <c r="I186" s="317">
        <f t="shared" si="36"/>
        <v>1.7725379900214042</v>
      </c>
      <c r="J186" s="317">
        <f t="shared" si="36"/>
        <v>1.749589450180332</v>
      </c>
      <c r="K186" s="317">
        <f t="shared" si="36"/>
        <v>1.6992985391980244</v>
      </c>
      <c r="L186" s="317">
        <f t="shared" si="36"/>
        <v>1.6407638856854565</v>
      </c>
      <c r="M186" s="317">
        <f t="shared" si="36"/>
        <v>1.6058313859183986</v>
      </c>
      <c r="N186" s="317">
        <f t="shared" si="36"/>
        <v>1.5675206558239929</v>
      </c>
      <c r="O186" s="317">
        <f t="shared" si="36"/>
        <v>0</v>
      </c>
      <c r="P186" s="317">
        <f t="shared" si="36"/>
        <v>0</v>
      </c>
      <c r="Q186" s="317">
        <f t="shared" si="36"/>
        <v>0</v>
      </c>
      <c r="R186" s="317">
        <f t="shared" si="36"/>
        <v>0</v>
      </c>
      <c r="S186" s="317">
        <f t="shared" si="36"/>
        <v>0</v>
      </c>
      <c r="T186" s="317">
        <f t="shared" si="35"/>
        <v>0</v>
      </c>
      <c r="U186" s="317">
        <f t="shared" si="35"/>
        <v>0</v>
      </c>
      <c r="V186" s="317">
        <f t="shared" si="35"/>
        <v>0</v>
      </c>
      <c r="W186" s="317">
        <f t="shared" si="35"/>
        <v>0</v>
      </c>
      <c r="X186" s="317">
        <f t="shared" si="35"/>
        <v>0</v>
      </c>
      <c r="Y186" s="317">
        <f t="shared" si="35"/>
        <v>0</v>
      </c>
      <c r="Z186" s="317">
        <f t="shared" si="35"/>
        <v>0</v>
      </c>
      <c r="AA186" s="317">
        <f t="shared" si="35"/>
        <v>0</v>
      </c>
      <c r="AB186" s="317">
        <f t="shared" si="35"/>
        <v>0</v>
      </c>
      <c r="AC186" s="317">
        <f t="shared" si="35"/>
        <v>0</v>
      </c>
      <c r="AD186" s="317">
        <f t="shared" si="35"/>
        <v>0</v>
      </c>
      <c r="AE186" s="318">
        <f t="shared" si="35"/>
        <v>0</v>
      </c>
    </row>
    <row r="187" spans="1:31">
      <c r="A187" s="1711"/>
      <c r="B187" s="116">
        <v>12</v>
      </c>
      <c r="C187" s="316">
        <f>'CAR SEC'!I15</f>
        <v>1.6369361155279756</v>
      </c>
      <c r="D187" s="317">
        <f t="shared" si="36"/>
        <v>1.6115092300428877</v>
      </c>
      <c r="E187" s="317">
        <f t="shared" si="36"/>
        <v>1.6254313341922688</v>
      </c>
      <c r="F187" s="317">
        <f t="shared" si="36"/>
        <v>1.6473539141005302</v>
      </c>
      <c r="G187" s="317">
        <f t="shared" si="36"/>
        <v>1.7781672282229219</v>
      </c>
      <c r="H187" s="317">
        <f t="shared" si="36"/>
        <v>1.726593693730601</v>
      </c>
      <c r="I187" s="317">
        <f t="shared" si="36"/>
        <v>1.7730065751699176</v>
      </c>
      <c r="J187" s="317">
        <f t="shared" si="36"/>
        <v>1.7725379900214042</v>
      </c>
      <c r="K187" s="317">
        <f t="shared" si="36"/>
        <v>1.749589450180332</v>
      </c>
      <c r="L187" s="317">
        <f t="shared" si="36"/>
        <v>1.6992985391980244</v>
      </c>
      <c r="M187" s="317">
        <f t="shared" si="36"/>
        <v>1.6407638856854565</v>
      </c>
      <c r="N187" s="317">
        <f t="shared" si="36"/>
        <v>1.6058313859183986</v>
      </c>
      <c r="O187" s="317">
        <f t="shared" si="36"/>
        <v>1.5675206558239929</v>
      </c>
      <c r="P187" s="317">
        <f t="shared" si="36"/>
        <v>0</v>
      </c>
      <c r="Q187" s="317">
        <f t="shared" si="36"/>
        <v>0</v>
      </c>
      <c r="R187" s="317">
        <f t="shared" si="36"/>
        <v>0</v>
      </c>
      <c r="S187" s="317">
        <f t="shared" si="36"/>
        <v>0</v>
      </c>
      <c r="T187" s="317">
        <f t="shared" si="35"/>
        <v>0</v>
      </c>
      <c r="U187" s="317">
        <f t="shared" si="35"/>
        <v>0</v>
      </c>
      <c r="V187" s="317">
        <f t="shared" si="35"/>
        <v>0</v>
      </c>
      <c r="W187" s="317">
        <f t="shared" si="35"/>
        <v>0</v>
      </c>
      <c r="X187" s="317">
        <f t="shared" si="35"/>
        <v>0</v>
      </c>
      <c r="Y187" s="317">
        <f t="shared" si="35"/>
        <v>0</v>
      </c>
      <c r="Z187" s="317">
        <f t="shared" si="35"/>
        <v>0</v>
      </c>
      <c r="AA187" s="317">
        <f t="shared" si="35"/>
        <v>0</v>
      </c>
      <c r="AB187" s="317">
        <f t="shared" si="35"/>
        <v>0</v>
      </c>
      <c r="AC187" s="317">
        <f t="shared" si="35"/>
        <v>0</v>
      </c>
      <c r="AD187" s="317">
        <f t="shared" si="35"/>
        <v>0</v>
      </c>
      <c r="AE187" s="318">
        <f t="shared" si="35"/>
        <v>0</v>
      </c>
    </row>
    <row r="188" spans="1:31">
      <c r="A188" s="1711"/>
      <c r="B188" s="116">
        <v>13</v>
      </c>
      <c r="C188" s="316">
        <f>'CAR SEC'!I16</f>
        <v>1.6163292994555354</v>
      </c>
      <c r="D188" s="317">
        <f t="shared" si="36"/>
        <v>1.6369361155279756</v>
      </c>
      <c r="E188" s="317">
        <f t="shared" si="36"/>
        <v>1.6115092300428877</v>
      </c>
      <c r="F188" s="317">
        <f t="shared" si="36"/>
        <v>1.6254313341922688</v>
      </c>
      <c r="G188" s="317">
        <f t="shared" si="36"/>
        <v>1.6473539141005302</v>
      </c>
      <c r="H188" s="317">
        <f t="shared" si="36"/>
        <v>1.7781672282229219</v>
      </c>
      <c r="I188" s="317">
        <f t="shared" si="36"/>
        <v>1.726593693730601</v>
      </c>
      <c r="J188" s="317">
        <f t="shared" si="36"/>
        <v>1.7730065751699176</v>
      </c>
      <c r="K188" s="317">
        <f t="shared" si="36"/>
        <v>1.7725379900214042</v>
      </c>
      <c r="L188" s="317">
        <f t="shared" si="36"/>
        <v>1.749589450180332</v>
      </c>
      <c r="M188" s="317">
        <f t="shared" si="36"/>
        <v>1.6992985391980244</v>
      </c>
      <c r="N188" s="317">
        <f t="shared" si="36"/>
        <v>1.6407638856854565</v>
      </c>
      <c r="O188" s="317">
        <f t="shared" si="36"/>
        <v>1.6058313859183986</v>
      </c>
      <c r="P188" s="317">
        <f t="shared" si="36"/>
        <v>1.5675206558239929</v>
      </c>
      <c r="Q188" s="317">
        <f t="shared" si="36"/>
        <v>0</v>
      </c>
      <c r="R188" s="317">
        <f t="shared" si="36"/>
        <v>0</v>
      </c>
      <c r="S188" s="317">
        <f t="shared" si="36"/>
        <v>0</v>
      </c>
      <c r="T188" s="317">
        <f t="shared" si="35"/>
        <v>0</v>
      </c>
      <c r="U188" s="317">
        <f t="shared" si="35"/>
        <v>0</v>
      </c>
      <c r="V188" s="317">
        <f t="shared" si="35"/>
        <v>0</v>
      </c>
      <c r="W188" s="317">
        <f t="shared" si="35"/>
        <v>0</v>
      </c>
      <c r="X188" s="317">
        <f t="shared" si="35"/>
        <v>0</v>
      </c>
      <c r="Y188" s="317">
        <f t="shared" si="35"/>
        <v>0</v>
      </c>
      <c r="Z188" s="317">
        <f t="shared" si="35"/>
        <v>0</v>
      </c>
      <c r="AA188" s="317">
        <f t="shared" si="35"/>
        <v>0</v>
      </c>
      <c r="AB188" s="317">
        <f t="shared" si="35"/>
        <v>0</v>
      </c>
      <c r="AC188" s="317">
        <f t="shared" si="35"/>
        <v>0</v>
      </c>
      <c r="AD188" s="317">
        <f t="shared" si="35"/>
        <v>0</v>
      </c>
      <c r="AE188" s="318">
        <f t="shared" si="35"/>
        <v>0</v>
      </c>
    </row>
    <row r="189" spans="1:31">
      <c r="A189" s="1711"/>
      <c r="B189" s="116">
        <v>14</v>
      </c>
      <c r="C189" s="316">
        <f>'CAR SEC'!I17</f>
        <v>1.5963300388746808</v>
      </c>
      <c r="D189" s="317">
        <f t="shared" si="36"/>
        <v>1.6163292994555354</v>
      </c>
      <c r="E189" s="317">
        <f t="shared" si="36"/>
        <v>1.6369361155279756</v>
      </c>
      <c r="F189" s="317">
        <f t="shared" si="36"/>
        <v>1.6115092300428877</v>
      </c>
      <c r="G189" s="317">
        <f t="shared" si="36"/>
        <v>1.6254313341922688</v>
      </c>
      <c r="H189" s="317">
        <f t="shared" si="36"/>
        <v>1.6473539141005302</v>
      </c>
      <c r="I189" s="317">
        <f t="shared" si="36"/>
        <v>1.7781672282229219</v>
      </c>
      <c r="J189" s="317">
        <f t="shared" si="36"/>
        <v>1.726593693730601</v>
      </c>
      <c r="K189" s="317">
        <f t="shared" si="36"/>
        <v>1.7730065751699176</v>
      </c>
      <c r="L189" s="317">
        <f t="shared" si="36"/>
        <v>1.7725379900214042</v>
      </c>
      <c r="M189" s="317">
        <f t="shared" si="36"/>
        <v>1.749589450180332</v>
      </c>
      <c r="N189" s="317">
        <f t="shared" si="36"/>
        <v>1.6992985391980244</v>
      </c>
      <c r="O189" s="317">
        <f t="shared" si="36"/>
        <v>1.6407638856854565</v>
      </c>
      <c r="P189" s="317">
        <f t="shared" si="36"/>
        <v>1.6058313859183986</v>
      </c>
      <c r="Q189" s="317">
        <f t="shared" si="36"/>
        <v>1.5675206558239929</v>
      </c>
      <c r="R189" s="317">
        <f t="shared" si="36"/>
        <v>0</v>
      </c>
      <c r="S189" s="317">
        <f t="shared" si="36"/>
        <v>0</v>
      </c>
      <c r="T189" s="317">
        <f t="shared" si="35"/>
        <v>0</v>
      </c>
      <c r="U189" s="317">
        <f t="shared" si="35"/>
        <v>0</v>
      </c>
      <c r="V189" s="317">
        <f t="shared" si="35"/>
        <v>0</v>
      </c>
      <c r="W189" s="317">
        <f t="shared" si="35"/>
        <v>0</v>
      </c>
      <c r="X189" s="317">
        <f t="shared" si="35"/>
        <v>0</v>
      </c>
      <c r="Y189" s="317">
        <f t="shared" si="35"/>
        <v>0</v>
      </c>
      <c r="Z189" s="317">
        <f t="shared" si="35"/>
        <v>0</v>
      </c>
      <c r="AA189" s="317">
        <f t="shared" si="35"/>
        <v>0</v>
      </c>
      <c r="AB189" s="317">
        <f t="shared" si="35"/>
        <v>0</v>
      </c>
      <c r="AC189" s="317">
        <f t="shared" si="35"/>
        <v>0</v>
      </c>
      <c r="AD189" s="317">
        <f t="shared" si="35"/>
        <v>0</v>
      </c>
      <c r="AE189" s="318">
        <f t="shared" si="35"/>
        <v>0</v>
      </c>
    </row>
    <row r="190" spans="1:31">
      <c r="A190" s="1711"/>
      <c r="B190" s="116">
        <v>15</v>
      </c>
      <c r="C190" s="316">
        <f>'CAR SEC'!I18</f>
        <v>1.5711549481830747</v>
      </c>
      <c r="D190" s="317">
        <f t="shared" si="36"/>
        <v>1.5963300388746808</v>
      </c>
      <c r="E190" s="317">
        <f t="shared" si="36"/>
        <v>1.6163292994555354</v>
      </c>
      <c r="F190" s="317">
        <f t="shared" si="36"/>
        <v>1.6369361155279756</v>
      </c>
      <c r="G190" s="317">
        <f t="shared" si="36"/>
        <v>1.6115092300428877</v>
      </c>
      <c r="H190" s="317">
        <f t="shared" si="36"/>
        <v>1.6254313341922688</v>
      </c>
      <c r="I190" s="317">
        <f t="shared" si="36"/>
        <v>1.6473539141005302</v>
      </c>
      <c r="J190" s="317">
        <f t="shared" si="36"/>
        <v>1.7781672282229219</v>
      </c>
      <c r="K190" s="317">
        <f t="shared" si="36"/>
        <v>1.726593693730601</v>
      </c>
      <c r="L190" s="317">
        <f t="shared" si="36"/>
        <v>1.7730065751699176</v>
      </c>
      <c r="M190" s="317">
        <f t="shared" si="36"/>
        <v>1.7725379900214042</v>
      </c>
      <c r="N190" s="317">
        <f t="shared" si="36"/>
        <v>1.749589450180332</v>
      </c>
      <c r="O190" s="317">
        <f t="shared" si="36"/>
        <v>1.6992985391980244</v>
      </c>
      <c r="P190" s="317">
        <f t="shared" si="36"/>
        <v>1.6407638856854565</v>
      </c>
      <c r="Q190" s="317">
        <f t="shared" si="36"/>
        <v>1.6058313859183986</v>
      </c>
      <c r="R190" s="317">
        <f t="shared" si="36"/>
        <v>1.5675206558239929</v>
      </c>
      <c r="S190" s="317">
        <f t="shared" si="36"/>
        <v>0</v>
      </c>
      <c r="T190" s="317">
        <f t="shared" si="35"/>
        <v>0</v>
      </c>
      <c r="U190" s="317">
        <f t="shared" si="35"/>
        <v>0</v>
      </c>
      <c r="V190" s="317">
        <f t="shared" si="35"/>
        <v>0</v>
      </c>
      <c r="W190" s="317">
        <f t="shared" si="35"/>
        <v>0</v>
      </c>
      <c r="X190" s="317">
        <f t="shared" si="35"/>
        <v>0</v>
      </c>
      <c r="Y190" s="317">
        <f t="shared" si="35"/>
        <v>0</v>
      </c>
      <c r="Z190" s="317">
        <f t="shared" si="35"/>
        <v>0</v>
      </c>
      <c r="AA190" s="317">
        <f t="shared" si="35"/>
        <v>0</v>
      </c>
      <c r="AB190" s="317">
        <f t="shared" si="35"/>
        <v>0</v>
      </c>
      <c r="AC190" s="317">
        <f t="shared" si="35"/>
        <v>0</v>
      </c>
      <c r="AD190" s="317">
        <f t="shared" si="35"/>
        <v>0</v>
      </c>
      <c r="AE190" s="318">
        <f t="shared" si="35"/>
        <v>0</v>
      </c>
    </row>
    <row r="191" spans="1:31">
      <c r="A191" s="1711"/>
      <c r="B191" s="116">
        <v>16</v>
      </c>
      <c r="C191" s="316">
        <f>'CAR SEC'!I19</f>
        <v>1.5500971052597505</v>
      </c>
      <c r="D191" s="317">
        <f t="shared" si="36"/>
        <v>1.5711549481830747</v>
      </c>
      <c r="E191" s="317">
        <f t="shared" si="36"/>
        <v>1.5963300388746808</v>
      </c>
      <c r="F191" s="317">
        <f t="shared" si="36"/>
        <v>1.6163292994555354</v>
      </c>
      <c r="G191" s="317">
        <f t="shared" si="36"/>
        <v>1.6369361155279756</v>
      </c>
      <c r="H191" s="317">
        <f t="shared" si="36"/>
        <v>1.6115092300428877</v>
      </c>
      <c r="I191" s="317">
        <f t="shared" si="36"/>
        <v>1.6254313341922688</v>
      </c>
      <c r="J191" s="317">
        <f t="shared" si="36"/>
        <v>1.6473539141005302</v>
      </c>
      <c r="K191" s="317">
        <f t="shared" si="36"/>
        <v>1.7781672282229219</v>
      </c>
      <c r="L191" s="317">
        <f t="shared" si="36"/>
        <v>1.726593693730601</v>
      </c>
      <c r="M191" s="317">
        <f t="shared" si="36"/>
        <v>1.7730065751699176</v>
      </c>
      <c r="N191" s="317">
        <f t="shared" si="36"/>
        <v>1.7725379900214042</v>
      </c>
      <c r="O191" s="317">
        <f t="shared" si="36"/>
        <v>1.749589450180332</v>
      </c>
      <c r="P191" s="317">
        <f t="shared" si="36"/>
        <v>1.6992985391980244</v>
      </c>
      <c r="Q191" s="317">
        <f t="shared" si="36"/>
        <v>1.6407638856854565</v>
      </c>
      <c r="R191" s="317">
        <f t="shared" si="36"/>
        <v>1.6058313859183986</v>
      </c>
      <c r="S191" s="317">
        <f t="shared" si="36"/>
        <v>1.5675206558239929</v>
      </c>
      <c r="T191" s="317">
        <f t="shared" si="35"/>
        <v>0</v>
      </c>
      <c r="U191" s="317">
        <f t="shared" si="35"/>
        <v>0</v>
      </c>
      <c r="V191" s="317">
        <f t="shared" si="35"/>
        <v>0</v>
      </c>
      <c r="W191" s="317">
        <f t="shared" si="35"/>
        <v>0</v>
      </c>
      <c r="X191" s="317">
        <f t="shared" si="35"/>
        <v>0</v>
      </c>
      <c r="Y191" s="317">
        <f t="shared" si="35"/>
        <v>0</v>
      </c>
      <c r="Z191" s="317">
        <f t="shared" si="35"/>
        <v>0</v>
      </c>
      <c r="AA191" s="317">
        <f t="shared" si="35"/>
        <v>0</v>
      </c>
      <c r="AB191" s="317">
        <f t="shared" si="35"/>
        <v>0</v>
      </c>
      <c r="AC191" s="317">
        <f t="shared" si="35"/>
        <v>0</v>
      </c>
      <c r="AD191" s="317">
        <f t="shared" si="35"/>
        <v>0</v>
      </c>
      <c r="AE191" s="318">
        <f t="shared" si="35"/>
        <v>0</v>
      </c>
    </row>
    <row r="192" spans="1:31">
      <c r="A192" s="1711"/>
      <c r="B192" s="116">
        <v>17</v>
      </c>
      <c r="C192" s="316">
        <f>'CAR SEC'!I20</f>
        <v>1.5281083086113878</v>
      </c>
      <c r="D192" s="317">
        <f t="shared" si="36"/>
        <v>1.5500971052597505</v>
      </c>
      <c r="E192" s="317">
        <f t="shared" si="36"/>
        <v>1.5711549481830747</v>
      </c>
      <c r="F192" s="317">
        <f t="shared" si="36"/>
        <v>1.5963300388746808</v>
      </c>
      <c r="G192" s="317">
        <f t="shared" si="36"/>
        <v>1.6163292994555354</v>
      </c>
      <c r="H192" s="317">
        <f t="shared" si="36"/>
        <v>1.6369361155279756</v>
      </c>
      <c r="I192" s="317">
        <f t="shared" si="36"/>
        <v>1.6115092300428877</v>
      </c>
      <c r="J192" s="317">
        <f t="shared" si="36"/>
        <v>1.6254313341922688</v>
      </c>
      <c r="K192" s="317">
        <f t="shared" si="36"/>
        <v>1.6473539141005302</v>
      </c>
      <c r="L192" s="317">
        <f t="shared" si="36"/>
        <v>1.7781672282229219</v>
      </c>
      <c r="M192" s="317">
        <f t="shared" si="36"/>
        <v>1.726593693730601</v>
      </c>
      <c r="N192" s="317">
        <f t="shared" si="36"/>
        <v>1.7730065751699176</v>
      </c>
      <c r="O192" s="317">
        <f t="shared" si="36"/>
        <v>1.7725379900214042</v>
      </c>
      <c r="P192" s="317">
        <f t="shared" si="36"/>
        <v>1.749589450180332</v>
      </c>
      <c r="Q192" s="317">
        <f t="shared" si="36"/>
        <v>1.6992985391980244</v>
      </c>
      <c r="R192" s="317">
        <f t="shared" si="36"/>
        <v>1.6407638856854565</v>
      </c>
      <c r="S192" s="317">
        <f t="shared" ref="S192:AE200" si="37">R191</f>
        <v>1.6058313859183986</v>
      </c>
      <c r="T192" s="317">
        <f t="shared" si="37"/>
        <v>1.5675206558239929</v>
      </c>
      <c r="U192" s="317">
        <f t="shared" si="37"/>
        <v>0</v>
      </c>
      <c r="V192" s="317">
        <f t="shared" si="37"/>
        <v>0</v>
      </c>
      <c r="W192" s="317">
        <f t="shared" si="37"/>
        <v>0</v>
      </c>
      <c r="X192" s="317">
        <f t="shared" si="37"/>
        <v>0</v>
      </c>
      <c r="Y192" s="317">
        <f t="shared" si="37"/>
        <v>0</v>
      </c>
      <c r="Z192" s="317">
        <f t="shared" si="37"/>
        <v>0</v>
      </c>
      <c r="AA192" s="317">
        <f t="shared" si="37"/>
        <v>0</v>
      </c>
      <c r="AB192" s="317">
        <f t="shared" si="37"/>
        <v>0</v>
      </c>
      <c r="AC192" s="317">
        <f t="shared" si="37"/>
        <v>0</v>
      </c>
      <c r="AD192" s="317">
        <f t="shared" si="37"/>
        <v>0</v>
      </c>
      <c r="AE192" s="318">
        <f t="shared" si="37"/>
        <v>0</v>
      </c>
    </row>
    <row r="193" spans="1:31">
      <c r="A193" s="1711"/>
      <c r="B193" s="116">
        <v>18</v>
      </c>
      <c r="C193" s="316">
        <f>'CAR SEC'!I21</f>
        <v>1.5106512512196932</v>
      </c>
      <c r="D193" s="317">
        <f t="shared" ref="D193:S200" si="38">C192</f>
        <v>1.5281083086113878</v>
      </c>
      <c r="E193" s="317">
        <f t="shared" si="38"/>
        <v>1.5500971052597505</v>
      </c>
      <c r="F193" s="317">
        <f t="shared" si="38"/>
        <v>1.5711549481830747</v>
      </c>
      <c r="G193" s="317">
        <f t="shared" si="38"/>
        <v>1.5963300388746808</v>
      </c>
      <c r="H193" s="317">
        <f t="shared" si="38"/>
        <v>1.6163292994555354</v>
      </c>
      <c r="I193" s="317">
        <f t="shared" si="38"/>
        <v>1.6369361155279756</v>
      </c>
      <c r="J193" s="317">
        <f t="shared" si="38"/>
        <v>1.6115092300428877</v>
      </c>
      <c r="K193" s="317">
        <f t="shared" si="38"/>
        <v>1.6254313341922688</v>
      </c>
      <c r="L193" s="317">
        <f t="shared" si="38"/>
        <v>1.6473539141005302</v>
      </c>
      <c r="M193" s="317">
        <f t="shared" si="38"/>
        <v>1.7781672282229219</v>
      </c>
      <c r="N193" s="317">
        <f t="shared" si="38"/>
        <v>1.726593693730601</v>
      </c>
      <c r="O193" s="317">
        <f t="shared" si="38"/>
        <v>1.7730065751699176</v>
      </c>
      <c r="P193" s="317">
        <f t="shared" si="38"/>
        <v>1.7725379900214042</v>
      </c>
      <c r="Q193" s="317">
        <f t="shared" si="38"/>
        <v>1.749589450180332</v>
      </c>
      <c r="R193" s="317">
        <f t="shared" si="38"/>
        <v>1.6992985391980244</v>
      </c>
      <c r="S193" s="317">
        <f t="shared" si="38"/>
        <v>1.6407638856854565</v>
      </c>
      <c r="T193" s="317">
        <f t="shared" si="37"/>
        <v>1.6058313859183986</v>
      </c>
      <c r="U193" s="317">
        <f t="shared" si="37"/>
        <v>1.5675206558239929</v>
      </c>
      <c r="V193" s="317">
        <f t="shared" si="37"/>
        <v>0</v>
      </c>
      <c r="W193" s="317">
        <f t="shared" si="37"/>
        <v>0</v>
      </c>
      <c r="X193" s="317">
        <f t="shared" si="37"/>
        <v>0</v>
      </c>
      <c r="Y193" s="317">
        <f t="shared" si="37"/>
        <v>0</v>
      </c>
      <c r="Z193" s="317">
        <f t="shared" si="37"/>
        <v>0</v>
      </c>
      <c r="AA193" s="317">
        <f t="shared" si="37"/>
        <v>0</v>
      </c>
      <c r="AB193" s="317">
        <f t="shared" si="37"/>
        <v>0</v>
      </c>
      <c r="AC193" s="317">
        <f t="shared" si="37"/>
        <v>0</v>
      </c>
      <c r="AD193" s="317">
        <f t="shared" si="37"/>
        <v>0</v>
      </c>
      <c r="AE193" s="318">
        <f t="shared" si="37"/>
        <v>0</v>
      </c>
    </row>
    <row r="194" spans="1:31">
      <c r="A194" s="1711"/>
      <c r="B194" s="116">
        <v>19</v>
      </c>
      <c r="C194" s="316">
        <f>'CAR SEC'!I22</f>
        <v>1.4946009246244631</v>
      </c>
      <c r="D194" s="317">
        <f t="shared" si="38"/>
        <v>1.5106512512196932</v>
      </c>
      <c r="E194" s="317">
        <f t="shared" si="38"/>
        <v>1.5281083086113878</v>
      </c>
      <c r="F194" s="317">
        <f t="shared" si="38"/>
        <v>1.5500971052597505</v>
      </c>
      <c r="G194" s="317">
        <f t="shared" si="38"/>
        <v>1.5711549481830747</v>
      </c>
      <c r="H194" s="317">
        <f t="shared" si="38"/>
        <v>1.5963300388746808</v>
      </c>
      <c r="I194" s="317">
        <f t="shared" si="38"/>
        <v>1.6163292994555354</v>
      </c>
      <c r="J194" s="317">
        <f t="shared" si="38"/>
        <v>1.6369361155279756</v>
      </c>
      <c r="K194" s="317">
        <f t="shared" si="38"/>
        <v>1.6115092300428877</v>
      </c>
      <c r="L194" s="317">
        <f t="shared" si="38"/>
        <v>1.6254313341922688</v>
      </c>
      <c r="M194" s="317">
        <f t="shared" si="38"/>
        <v>1.6473539141005302</v>
      </c>
      <c r="N194" s="317">
        <f t="shared" si="38"/>
        <v>1.7781672282229219</v>
      </c>
      <c r="O194" s="317">
        <f t="shared" si="38"/>
        <v>1.726593693730601</v>
      </c>
      <c r="P194" s="317">
        <f t="shared" si="38"/>
        <v>1.7730065751699176</v>
      </c>
      <c r="Q194" s="317">
        <f t="shared" si="38"/>
        <v>1.7725379900214042</v>
      </c>
      <c r="R194" s="317">
        <f t="shared" si="38"/>
        <v>1.749589450180332</v>
      </c>
      <c r="S194" s="317">
        <f t="shared" si="38"/>
        <v>1.6992985391980244</v>
      </c>
      <c r="T194" s="317">
        <f t="shared" si="37"/>
        <v>1.6407638856854565</v>
      </c>
      <c r="U194" s="317">
        <f t="shared" si="37"/>
        <v>1.6058313859183986</v>
      </c>
      <c r="V194" s="317">
        <f t="shared" si="37"/>
        <v>1.5675206558239929</v>
      </c>
      <c r="W194" s="317">
        <f t="shared" si="37"/>
        <v>0</v>
      </c>
      <c r="X194" s="317">
        <f t="shared" si="37"/>
        <v>0</v>
      </c>
      <c r="Y194" s="317">
        <f t="shared" si="37"/>
        <v>0</v>
      </c>
      <c r="Z194" s="317">
        <f t="shared" si="37"/>
        <v>0</v>
      </c>
      <c r="AA194" s="317">
        <f t="shared" si="37"/>
        <v>0</v>
      </c>
      <c r="AB194" s="317">
        <f t="shared" si="37"/>
        <v>0</v>
      </c>
      <c r="AC194" s="317">
        <f t="shared" si="37"/>
        <v>0</v>
      </c>
      <c r="AD194" s="317">
        <f t="shared" si="37"/>
        <v>0</v>
      </c>
      <c r="AE194" s="318">
        <f t="shared" si="37"/>
        <v>0</v>
      </c>
    </row>
    <row r="195" spans="1:31">
      <c r="A195" s="1711"/>
      <c r="B195" s="116">
        <v>20</v>
      </c>
      <c r="C195" s="316">
        <f>'CAR SEC'!I23</f>
        <v>1.4788733052774825</v>
      </c>
      <c r="D195" s="317">
        <f t="shared" si="38"/>
        <v>1.4946009246244631</v>
      </c>
      <c r="E195" s="317">
        <f t="shared" si="38"/>
        <v>1.5106512512196932</v>
      </c>
      <c r="F195" s="317">
        <f t="shared" si="38"/>
        <v>1.5281083086113878</v>
      </c>
      <c r="G195" s="317">
        <f t="shared" si="38"/>
        <v>1.5500971052597505</v>
      </c>
      <c r="H195" s="317">
        <f t="shared" si="38"/>
        <v>1.5711549481830747</v>
      </c>
      <c r="I195" s="317">
        <f t="shared" si="38"/>
        <v>1.5963300388746808</v>
      </c>
      <c r="J195" s="317">
        <f t="shared" si="38"/>
        <v>1.6163292994555354</v>
      </c>
      <c r="K195" s="317">
        <f t="shared" si="38"/>
        <v>1.6369361155279756</v>
      </c>
      <c r="L195" s="317">
        <f t="shared" si="38"/>
        <v>1.6115092300428877</v>
      </c>
      <c r="M195" s="317">
        <f t="shared" si="38"/>
        <v>1.6254313341922688</v>
      </c>
      <c r="N195" s="317">
        <f t="shared" si="38"/>
        <v>1.6473539141005302</v>
      </c>
      <c r="O195" s="317">
        <f t="shared" si="38"/>
        <v>1.7781672282229219</v>
      </c>
      <c r="P195" s="317">
        <f t="shared" si="38"/>
        <v>1.726593693730601</v>
      </c>
      <c r="Q195" s="317">
        <f t="shared" si="38"/>
        <v>1.7730065751699176</v>
      </c>
      <c r="R195" s="317">
        <f t="shared" si="38"/>
        <v>1.7725379900214042</v>
      </c>
      <c r="S195" s="317">
        <f t="shared" si="38"/>
        <v>1.749589450180332</v>
      </c>
      <c r="T195" s="317">
        <f t="shared" si="37"/>
        <v>1.6992985391980244</v>
      </c>
      <c r="U195" s="317">
        <f t="shared" si="37"/>
        <v>1.6407638856854565</v>
      </c>
      <c r="V195" s="317">
        <f t="shared" si="37"/>
        <v>1.6058313859183986</v>
      </c>
      <c r="W195" s="317">
        <f t="shared" si="37"/>
        <v>1.5675206558239929</v>
      </c>
      <c r="X195" s="317">
        <f t="shared" si="37"/>
        <v>0</v>
      </c>
      <c r="Y195" s="317">
        <f t="shared" si="37"/>
        <v>0</v>
      </c>
      <c r="Z195" s="317">
        <f t="shared" si="37"/>
        <v>0</v>
      </c>
      <c r="AA195" s="317">
        <f t="shared" si="37"/>
        <v>0</v>
      </c>
      <c r="AB195" s="317">
        <f t="shared" si="37"/>
        <v>0</v>
      </c>
      <c r="AC195" s="317">
        <f t="shared" si="37"/>
        <v>0</v>
      </c>
      <c r="AD195" s="317">
        <f t="shared" si="37"/>
        <v>0</v>
      </c>
      <c r="AE195" s="318">
        <f t="shared" si="37"/>
        <v>0</v>
      </c>
    </row>
    <row r="196" spans="1:31">
      <c r="A196" s="1711"/>
      <c r="B196" s="116">
        <v>21</v>
      </c>
      <c r="C196" s="316">
        <f>'CAR SEC'!I24</f>
        <v>1.4613107708052053</v>
      </c>
      <c r="D196" s="317">
        <f t="shared" si="38"/>
        <v>1.4788733052774825</v>
      </c>
      <c r="E196" s="317">
        <f t="shared" si="38"/>
        <v>1.4946009246244631</v>
      </c>
      <c r="F196" s="317">
        <f t="shared" si="38"/>
        <v>1.5106512512196932</v>
      </c>
      <c r="G196" s="317">
        <f t="shared" si="38"/>
        <v>1.5281083086113878</v>
      </c>
      <c r="H196" s="317">
        <f t="shared" si="38"/>
        <v>1.5500971052597505</v>
      </c>
      <c r="I196" s="317">
        <f t="shared" si="38"/>
        <v>1.5711549481830747</v>
      </c>
      <c r="J196" s="317">
        <f t="shared" si="38"/>
        <v>1.5963300388746808</v>
      </c>
      <c r="K196" s="317">
        <f t="shared" si="38"/>
        <v>1.6163292994555354</v>
      </c>
      <c r="L196" s="317">
        <f t="shared" si="38"/>
        <v>1.6369361155279756</v>
      </c>
      <c r="M196" s="317">
        <f t="shared" si="38"/>
        <v>1.6115092300428877</v>
      </c>
      <c r="N196" s="317">
        <f t="shared" si="38"/>
        <v>1.6254313341922688</v>
      </c>
      <c r="O196" s="317">
        <f t="shared" si="38"/>
        <v>1.6473539141005302</v>
      </c>
      <c r="P196" s="317">
        <f t="shared" si="38"/>
        <v>1.7781672282229219</v>
      </c>
      <c r="Q196" s="317">
        <f t="shared" si="38"/>
        <v>1.726593693730601</v>
      </c>
      <c r="R196" s="317">
        <f t="shared" si="38"/>
        <v>1.7730065751699176</v>
      </c>
      <c r="S196" s="317">
        <f t="shared" si="38"/>
        <v>1.7725379900214042</v>
      </c>
      <c r="T196" s="317">
        <f t="shared" si="37"/>
        <v>1.749589450180332</v>
      </c>
      <c r="U196" s="317">
        <f t="shared" si="37"/>
        <v>1.6992985391980244</v>
      </c>
      <c r="V196" s="317">
        <f t="shared" si="37"/>
        <v>1.6407638856854565</v>
      </c>
      <c r="W196" s="317">
        <f t="shared" si="37"/>
        <v>1.6058313859183986</v>
      </c>
      <c r="X196" s="317">
        <f t="shared" si="37"/>
        <v>1.5675206558239929</v>
      </c>
      <c r="Y196" s="317">
        <f t="shared" si="37"/>
        <v>0</v>
      </c>
      <c r="Z196" s="317">
        <f t="shared" si="37"/>
        <v>0</v>
      </c>
      <c r="AA196" s="317">
        <f t="shared" si="37"/>
        <v>0</v>
      </c>
      <c r="AB196" s="317">
        <f t="shared" si="37"/>
        <v>0</v>
      </c>
      <c r="AC196" s="317">
        <f t="shared" si="37"/>
        <v>0</v>
      </c>
      <c r="AD196" s="317">
        <f t="shared" si="37"/>
        <v>0</v>
      </c>
      <c r="AE196" s="318">
        <f t="shared" si="37"/>
        <v>0</v>
      </c>
    </row>
    <row r="197" spans="1:31">
      <c r="A197" s="1711"/>
      <c r="B197" s="116">
        <v>22</v>
      </c>
      <c r="C197" s="316">
        <f>'CAR SEC'!I25</f>
        <v>1.4440864898440571</v>
      </c>
      <c r="D197" s="317">
        <f t="shared" si="38"/>
        <v>1.4613107708052053</v>
      </c>
      <c r="E197" s="317">
        <f t="shared" si="38"/>
        <v>1.4788733052774825</v>
      </c>
      <c r="F197" s="317">
        <f t="shared" si="38"/>
        <v>1.4946009246244631</v>
      </c>
      <c r="G197" s="317">
        <f t="shared" si="38"/>
        <v>1.5106512512196932</v>
      </c>
      <c r="H197" s="317">
        <f t="shared" si="38"/>
        <v>1.5281083086113878</v>
      </c>
      <c r="I197" s="317">
        <f t="shared" si="38"/>
        <v>1.5500971052597505</v>
      </c>
      <c r="J197" s="317">
        <f t="shared" si="38"/>
        <v>1.5711549481830747</v>
      </c>
      <c r="K197" s="317">
        <f t="shared" si="38"/>
        <v>1.5963300388746808</v>
      </c>
      <c r="L197" s="317">
        <f t="shared" si="38"/>
        <v>1.6163292994555354</v>
      </c>
      <c r="M197" s="317">
        <f t="shared" si="38"/>
        <v>1.6369361155279756</v>
      </c>
      <c r="N197" s="317">
        <f t="shared" si="38"/>
        <v>1.6115092300428877</v>
      </c>
      <c r="O197" s="317">
        <f t="shared" si="38"/>
        <v>1.6254313341922688</v>
      </c>
      <c r="P197" s="317">
        <f t="shared" si="38"/>
        <v>1.6473539141005302</v>
      </c>
      <c r="Q197" s="317">
        <f t="shared" si="38"/>
        <v>1.7781672282229219</v>
      </c>
      <c r="R197" s="317">
        <f t="shared" si="38"/>
        <v>1.726593693730601</v>
      </c>
      <c r="S197" s="317">
        <f t="shared" si="38"/>
        <v>1.7730065751699176</v>
      </c>
      <c r="T197" s="317">
        <f t="shared" si="37"/>
        <v>1.7725379900214042</v>
      </c>
      <c r="U197" s="317">
        <f t="shared" si="37"/>
        <v>1.749589450180332</v>
      </c>
      <c r="V197" s="317">
        <f t="shared" si="37"/>
        <v>1.6992985391980244</v>
      </c>
      <c r="W197" s="317">
        <f t="shared" si="37"/>
        <v>1.6407638856854565</v>
      </c>
      <c r="X197" s="317">
        <f t="shared" si="37"/>
        <v>1.6058313859183986</v>
      </c>
      <c r="Y197" s="317">
        <f t="shared" si="37"/>
        <v>1.5675206558239929</v>
      </c>
      <c r="Z197" s="317">
        <f t="shared" si="37"/>
        <v>0</v>
      </c>
      <c r="AA197" s="317">
        <f t="shared" si="37"/>
        <v>0</v>
      </c>
      <c r="AB197" s="317">
        <f t="shared" si="37"/>
        <v>0</v>
      </c>
      <c r="AC197" s="317">
        <f t="shared" si="37"/>
        <v>0</v>
      </c>
      <c r="AD197" s="317">
        <f t="shared" si="37"/>
        <v>0</v>
      </c>
      <c r="AE197" s="318">
        <f t="shared" si="37"/>
        <v>0</v>
      </c>
    </row>
    <row r="198" spans="1:31">
      <c r="A198" s="1711"/>
      <c r="B198" s="116">
        <v>23</v>
      </c>
      <c r="C198" s="316">
        <f>'CAR SEC'!I26</f>
        <v>1.427170539951766</v>
      </c>
      <c r="D198" s="317">
        <f t="shared" si="38"/>
        <v>1.4440864898440571</v>
      </c>
      <c r="E198" s="317">
        <f t="shared" si="38"/>
        <v>1.4613107708052053</v>
      </c>
      <c r="F198" s="317">
        <f t="shared" si="38"/>
        <v>1.4788733052774825</v>
      </c>
      <c r="G198" s="317">
        <f t="shared" si="38"/>
        <v>1.4946009246244631</v>
      </c>
      <c r="H198" s="317">
        <f t="shared" si="38"/>
        <v>1.5106512512196932</v>
      </c>
      <c r="I198" s="317">
        <f t="shared" si="38"/>
        <v>1.5281083086113878</v>
      </c>
      <c r="J198" s="317">
        <f t="shared" si="38"/>
        <v>1.5500971052597505</v>
      </c>
      <c r="K198" s="317">
        <f t="shared" si="38"/>
        <v>1.5711549481830747</v>
      </c>
      <c r="L198" s="317">
        <f t="shared" si="38"/>
        <v>1.5963300388746808</v>
      </c>
      <c r="M198" s="317">
        <f t="shared" si="38"/>
        <v>1.6163292994555354</v>
      </c>
      <c r="N198" s="317">
        <f t="shared" si="38"/>
        <v>1.6369361155279756</v>
      </c>
      <c r="O198" s="317">
        <f t="shared" si="38"/>
        <v>1.6115092300428877</v>
      </c>
      <c r="P198" s="317">
        <f t="shared" si="38"/>
        <v>1.6254313341922688</v>
      </c>
      <c r="Q198" s="317">
        <f t="shared" si="38"/>
        <v>1.6473539141005302</v>
      </c>
      <c r="R198" s="317">
        <f t="shared" si="38"/>
        <v>1.7781672282229219</v>
      </c>
      <c r="S198" s="317">
        <f t="shared" si="38"/>
        <v>1.726593693730601</v>
      </c>
      <c r="T198" s="317">
        <f t="shared" si="37"/>
        <v>1.7730065751699176</v>
      </c>
      <c r="U198" s="317">
        <f t="shared" si="37"/>
        <v>1.7725379900214042</v>
      </c>
      <c r="V198" s="317">
        <f t="shared" si="37"/>
        <v>1.749589450180332</v>
      </c>
      <c r="W198" s="317">
        <f t="shared" si="37"/>
        <v>1.6992985391980244</v>
      </c>
      <c r="X198" s="317">
        <f t="shared" si="37"/>
        <v>1.6407638856854565</v>
      </c>
      <c r="Y198" s="317">
        <f t="shared" si="37"/>
        <v>1.6058313859183986</v>
      </c>
      <c r="Z198" s="317">
        <f t="shared" si="37"/>
        <v>1.5675206558239929</v>
      </c>
      <c r="AA198" s="317">
        <f t="shared" si="37"/>
        <v>0</v>
      </c>
      <c r="AB198" s="317">
        <f t="shared" si="37"/>
        <v>0</v>
      </c>
      <c r="AC198" s="317">
        <f t="shared" si="37"/>
        <v>0</v>
      </c>
      <c r="AD198" s="317">
        <f t="shared" si="37"/>
        <v>0</v>
      </c>
      <c r="AE198" s="318">
        <f t="shared" si="37"/>
        <v>0</v>
      </c>
    </row>
    <row r="199" spans="1:31">
      <c r="A199" s="1711"/>
      <c r="B199" s="116">
        <v>24</v>
      </c>
      <c r="C199" s="316">
        <f>C198</f>
        <v>1.427170539951766</v>
      </c>
      <c r="D199" s="317">
        <f t="shared" si="38"/>
        <v>1.427170539951766</v>
      </c>
      <c r="E199" s="317">
        <f t="shared" si="38"/>
        <v>1.4440864898440571</v>
      </c>
      <c r="F199" s="317">
        <f t="shared" si="38"/>
        <v>1.4613107708052053</v>
      </c>
      <c r="G199" s="317">
        <f t="shared" si="38"/>
        <v>1.4788733052774825</v>
      </c>
      <c r="H199" s="317">
        <f t="shared" si="38"/>
        <v>1.4946009246244631</v>
      </c>
      <c r="I199" s="317">
        <f t="shared" si="38"/>
        <v>1.5106512512196932</v>
      </c>
      <c r="J199" s="317">
        <f t="shared" si="38"/>
        <v>1.5281083086113878</v>
      </c>
      <c r="K199" s="317">
        <f t="shared" si="38"/>
        <v>1.5500971052597505</v>
      </c>
      <c r="L199" s="317">
        <f t="shared" si="38"/>
        <v>1.5711549481830747</v>
      </c>
      <c r="M199" s="317">
        <f t="shared" si="38"/>
        <v>1.5963300388746808</v>
      </c>
      <c r="N199" s="317">
        <f t="shared" si="38"/>
        <v>1.6163292994555354</v>
      </c>
      <c r="O199" s="317">
        <f t="shared" si="38"/>
        <v>1.6369361155279756</v>
      </c>
      <c r="P199" s="317">
        <f t="shared" si="38"/>
        <v>1.6115092300428877</v>
      </c>
      <c r="Q199" s="317">
        <f t="shared" si="38"/>
        <v>1.6254313341922688</v>
      </c>
      <c r="R199" s="317">
        <f t="shared" si="38"/>
        <v>1.6473539141005302</v>
      </c>
      <c r="S199" s="317">
        <f t="shared" si="38"/>
        <v>1.7781672282229219</v>
      </c>
      <c r="T199" s="317">
        <f t="shared" si="37"/>
        <v>1.726593693730601</v>
      </c>
      <c r="U199" s="317">
        <f t="shared" si="37"/>
        <v>1.7730065751699176</v>
      </c>
      <c r="V199" s="317">
        <f t="shared" si="37"/>
        <v>1.7725379900214042</v>
      </c>
      <c r="W199" s="317">
        <f t="shared" si="37"/>
        <v>1.749589450180332</v>
      </c>
      <c r="X199" s="317">
        <f t="shared" si="37"/>
        <v>1.6992985391980244</v>
      </c>
      <c r="Y199" s="317">
        <f t="shared" si="37"/>
        <v>1.6407638856854565</v>
      </c>
      <c r="Z199" s="317">
        <f t="shared" si="37"/>
        <v>1.6058313859183986</v>
      </c>
      <c r="AA199" s="317">
        <f t="shared" si="37"/>
        <v>1.5675206558239929</v>
      </c>
      <c r="AB199" s="317">
        <f t="shared" si="37"/>
        <v>0</v>
      </c>
      <c r="AC199" s="317">
        <f t="shared" si="37"/>
        <v>0</v>
      </c>
      <c r="AD199" s="317">
        <f t="shared" si="37"/>
        <v>0</v>
      </c>
      <c r="AE199" s="318">
        <f t="shared" si="37"/>
        <v>0</v>
      </c>
    </row>
    <row r="200" spans="1:31" ht="15.75" thickBot="1">
      <c r="A200" s="1711"/>
      <c r="B200" s="116">
        <v>25</v>
      </c>
      <c r="C200" s="324">
        <f>C199</f>
        <v>1.427170539951766</v>
      </c>
      <c r="D200" s="325">
        <f t="shared" si="38"/>
        <v>1.427170539951766</v>
      </c>
      <c r="E200" s="325">
        <f t="shared" si="38"/>
        <v>1.427170539951766</v>
      </c>
      <c r="F200" s="325">
        <f t="shared" si="38"/>
        <v>1.4440864898440571</v>
      </c>
      <c r="G200" s="325">
        <f t="shared" si="38"/>
        <v>1.4613107708052053</v>
      </c>
      <c r="H200" s="325">
        <f t="shared" si="38"/>
        <v>1.4788733052774825</v>
      </c>
      <c r="I200" s="325">
        <f t="shared" si="38"/>
        <v>1.4946009246244631</v>
      </c>
      <c r="J200" s="325">
        <f t="shared" si="38"/>
        <v>1.5106512512196932</v>
      </c>
      <c r="K200" s="325">
        <f t="shared" si="38"/>
        <v>1.5281083086113878</v>
      </c>
      <c r="L200" s="325">
        <f t="shared" si="38"/>
        <v>1.5500971052597505</v>
      </c>
      <c r="M200" s="325">
        <f t="shared" si="38"/>
        <v>1.5711549481830747</v>
      </c>
      <c r="N200" s="325">
        <f t="shared" si="38"/>
        <v>1.5963300388746808</v>
      </c>
      <c r="O200" s="325">
        <f t="shared" si="38"/>
        <v>1.6163292994555354</v>
      </c>
      <c r="P200" s="325">
        <f t="shared" si="38"/>
        <v>1.6369361155279756</v>
      </c>
      <c r="Q200" s="325">
        <f t="shared" si="38"/>
        <v>1.6115092300428877</v>
      </c>
      <c r="R200" s="325">
        <f t="shared" si="38"/>
        <v>1.6254313341922688</v>
      </c>
      <c r="S200" s="325">
        <f t="shared" si="38"/>
        <v>1.6473539141005302</v>
      </c>
      <c r="T200" s="325">
        <f t="shared" si="37"/>
        <v>1.7781672282229219</v>
      </c>
      <c r="U200" s="325">
        <f t="shared" si="37"/>
        <v>1.726593693730601</v>
      </c>
      <c r="V200" s="325">
        <f t="shared" si="37"/>
        <v>1.7730065751699176</v>
      </c>
      <c r="W200" s="325">
        <f t="shared" si="37"/>
        <v>1.7725379900214042</v>
      </c>
      <c r="X200" s="325">
        <f t="shared" si="37"/>
        <v>1.749589450180332</v>
      </c>
      <c r="Y200" s="325">
        <f t="shared" si="37"/>
        <v>1.6992985391980244</v>
      </c>
      <c r="Z200" s="325">
        <f t="shared" si="37"/>
        <v>1.6407638856854565</v>
      </c>
      <c r="AA200" s="325">
        <f t="shared" si="37"/>
        <v>1.6058313859183986</v>
      </c>
      <c r="AB200" s="325">
        <f t="shared" si="37"/>
        <v>1.5675206558239929</v>
      </c>
      <c r="AC200" s="325">
        <f t="shared" si="37"/>
        <v>0</v>
      </c>
      <c r="AD200" s="325">
        <f t="shared" si="37"/>
        <v>0</v>
      </c>
      <c r="AE200" s="326">
        <f t="shared" si="37"/>
        <v>0</v>
      </c>
    </row>
    <row r="201" spans="1:31" ht="16.5" thickTop="1" thickBot="1">
      <c r="A201" s="1712"/>
      <c r="B201" s="300" t="s">
        <v>39</v>
      </c>
      <c r="C201" s="327">
        <f>SUMPRODUCT('CAR Stock'!C198:C223,C175:C200)/'CAR Stock'!C224</f>
        <v>1.674877076855658</v>
      </c>
      <c r="D201" s="327">
        <f>SUMPRODUCT('CAR Stock'!D198:D223,D175:D200)/'CAR Stock'!D224</f>
        <v>1.6749799904993783</v>
      </c>
      <c r="E201" s="327">
        <f>SUMPRODUCT('CAR Stock'!E198:E223,E175:E200)/'CAR Stock'!E224</f>
        <v>1.6750400718783138</v>
      </c>
      <c r="F201" s="327">
        <f>SUMPRODUCT('CAR Stock'!F198:F223,F175:F200)/'CAR Stock'!F224</f>
        <v>1.6751848127220215</v>
      </c>
      <c r="G201" s="327">
        <f>SUMPRODUCT('CAR Stock'!G198:G223,G175:G200)/'CAR Stock'!G224</f>
        <v>1.6755559855496938</v>
      </c>
      <c r="H201" s="327">
        <f>SUMPRODUCT('CAR Stock'!H198:H223,H175:H200)/'CAR Stock'!H224</f>
        <v>1.6755625426158833</v>
      </c>
      <c r="I201" s="327">
        <f>SUMPRODUCT('CAR Stock'!I198:I223,I175:I200)/'CAR Stock'!I224</f>
        <v>1.6741882216407113</v>
      </c>
      <c r="J201" s="327">
        <f>SUMPRODUCT('CAR Stock'!J198:J223,J175:J200)/'CAR Stock'!J224</f>
        <v>1.6710183455798022</v>
      </c>
      <c r="K201" s="327">
        <f>SUMPRODUCT('CAR Stock'!K198:K223,K175:K200)/'CAR Stock'!K224</f>
        <v>1.6654672575849938</v>
      </c>
      <c r="L201" s="327">
        <f>SUMPRODUCT('CAR Stock'!L198:L223,L175:L200)/'CAR Stock'!L224</f>
        <v>1.6562332447574502</v>
      </c>
      <c r="M201" s="327">
        <f>SUMPRODUCT('CAR Stock'!M198:M223,M175:M200)/'CAR Stock'!M224</f>
        <v>1.6427745848197179</v>
      </c>
      <c r="N201" s="327">
        <f>SUMPRODUCT('CAR Stock'!N198:N223,N175:N200)/'CAR Stock'!N224</f>
        <v>1.627472006851673</v>
      </c>
      <c r="O201" s="327">
        <f>SUMPRODUCT('CAR Stock'!O198:O223,O175:O200)/'CAR Stock'!O224</f>
        <v>1.6133202136678102</v>
      </c>
      <c r="P201" s="327">
        <f>SUMPRODUCT('CAR Stock'!P198:P223,P175:P200)/'CAR Stock'!P224</f>
        <v>1.6018354444891272</v>
      </c>
      <c r="Q201" s="327">
        <f>SUMPRODUCT('CAR Stock'!Q198:Q223,Q175:Q200)/'CAR Stock'!Q224</f>
        <v>1.5946672175583867</v>
      </c>
      <c r="R201" s="327">
        <f>SUMPRODUCT('CAR Stock'!R198:R223,R175:R200)/'CAR Stock'!R224</f>
        <v>1.5912083109275617</v>
      </c>
      <c r="S201" s="327">
        <f>SUMPRODUCT('CAR Stock'!S198:S223,S175:S200)/'CAR Stock'!S224</f>
        <v>1.5879829511865782</v>
      </c>
      <c r="T201" s="327">
        <f>SUMPRODUCT('CAR Stock'!T198:T223,T175:T200)/'CAR Stock'!T224</f>
        <v>1.5849644777120122</v>
      </c>
      <c r="U201" s="327">
        <f>SUMPRODUCT('CAR Stock'!U198:U223,U175:U200)/'CAR Stock'!U224</f>
        <v>1.5821253500140218</v>
      </c>
      <c r="V201" s="327">
        <f>SUMPRODUCT('CAR Stock'!V198:V223,V175:V200)/'CAR Stock'!V224</f>
        <v>1.5794383027756038</v>
      </c>
      <c r="W201" s="327">
        <f>SUMPRODUCT('CAR Stock'!W198:W223,W175:W200)/'CAR Stock'!W224</f>
        <v>1.5768775998914932</v>
      </c>
      <c r="X201" s="327">
        <f>SUMPRODUCT('CAR Stock'!X198:X223,X175:X200)/'CAR Stock'!X224</f>
        <v>1.5744204295368736</v>
      </c>
      <c r="Y201" s="327">
        <f>SUMPRODUCT('CAR Stock'!Y198:Y223,Y175:Y200)/'CAR Stock'!Y224</f>
        <v>1.5720484832548112</v>
      </c>
      <c r="Z201" s="327">
        <f>SUMPRODUCT('CAR Stock'!Z198:Z223,Z175:Z200)/'CAR Stock'!Z224</f>
        <v>1.5697497627303967</v>
      </c>
      <c r="AA201" s="327">
        <f>SUMPRODUCT('CAR Stock'!AA198:AA223,AA175:AA200)/'CAR Stock'!AA224</f>
        <v>1.5675206558239929</v>
      </c>
      <c r="AB201" s="327">
        <v>0</v>
      </c>
      <c r="AC201" s="327">
        <v>0</v>
      </c>
      <c r="AD201" s="327">
        <v>0</v>
      </c>
      <c r="AE201" s="327">
        <v>0</v>
      </c>
    </row>
    <row r="202" spans="1:31" ht="15.75" thickBot="1">
      <c r="A202" s="650"/>
    </row>
    <row r="203" spans="1:31" ht="15.75" customHeight="1" thickBot="1">
      <c r="A203" s="1710" t="s">
        <v>47</v>
      </c>
      <c r="B203" s="169" t="s">
        <v>10</v>
      </c>
      <c r="C203" s="288">
        <v>2012</v>
      </c>
      <c r="D203" s="289">
        <v>2013</v>
      </c>
      <c r="E203" s="289">
        <v>2014</v>
      </c>
      <c r="F203" s="289">
        <v>2015</v>
      </c>
      <c r="G203" s="288">
        <v>2016</v>
      </c>
      <c r="H203" s="289">
        <v>2017</v>
      </c>
      <c r="I203" s="289">
        <v>2018</v>
      </c>
      <c r="J203" s="289">
        <v>2019</v>
      </c>
      <c r="K203" s="288">
        <v>2020</v>
      </c>
      <c r="L203" s="289">
        <v>2021</v>
      </c>
      <c r="M203" s="289">
        <v>2022</v>
      </c>
      <c r="N203" s="289">
        <v>2023</v>
      </c>
      <c r="O203" s="288">
        <v>2024</v>
      </c>
      <c r="P203" s="289">
        <v>2025</v>
      </c>
      <c r="Q203" s="289">
        <v>2026</v>
      </c>
      <c r="R203" s="289">
        <v>2027</v>
      </c>
      <c r="S203" s="288">
        <v>2028</v>
      </c>
      <c r="T203" s="289">
        <v>2029</v>
      </c>
      <c r="U203" s="289">
        <v>2030</v>
      </c>
      <c r="V203" s="289">
        <v>2031</v>
      </c>
      <c r="W203" s="288">
        <v>2032</v>
      </c>
      <c r="X203" s="289">
        <v>2033</v>
      </c>
      <c r="Y203" s="289">
        <v>2034</v>
      </c>
      <c r="Z203" s="289">
        <v>2035</v>
      </c>
      <c r="AA203" s="288">
        <v>2036</v>
      </c>
      <c r="AB203" s="289">
        <v>2037</v>
      </c>
      <c r="AC203" s="289">
        <v>2038</v>
      </c>
      <c r="AD203" s="289">
        <v>2039</v>
      </c>
      <c r="AE203" s="290">
        <v>2040</v>
      </c>
    </row>
    <row r="204" spans="1:31" ht="15" customHeight="1">
      <c r="A204" s="1711" t="s">
        <v>41</v>
      </c>
      <c r="B204" s="116">
        <v>0</v>
      </c>
      <c r="C204" s="313">
        <f>'CAR SEC'!J3</f>
        <v>1.6003354468297524</v>
      </c>
      <c r="D204" s="314">
        <v>0</v>
      </c>
      <c r="E204" s="314">
        <v>0</v>
      </c>
      <c r="F204" s="314">
        <v>0</v>
      </c>
      <c r="G204" s="314">
        <v>0</v>
      </c>
      <c r="H204" s="314">
        <v>0</v>
      </c>
      <c r="I204" s="314">
        <v>0</v>
      </c>
      <c r="J204" s="314">
        <v>0</v>
      </c>
      <c r="K204" s="314">
        <v>0</v>
      </c>
      <c r="L204" s="314">
        <v>0</v>
      </c>
      <c r="M204" s="314">
        <v>0</v>
      </c>
      <c r="N204" s="314">
        <v>0</v>
      </c>
      <c r="O204" s="314">
        <v>0</v>
      </c>
      <c r="P204" s="314">
        <v>0</v>
      </c>
      <c r="Q204" s="314">
        <v>0</v>
      </c>
      <c r="R204" s="314">
        <v>0</v>
      </c>
      <c r="S204" s="314">
        <v>0</v>
      </c>
      <c r="T204" s="314">
        <v>0</v>
      </c>
      <c r="U204" s="314">
        <v>0</v>
      </c>
      <c r="V204" s="314">
        <v>0</v>
      </c>
      <c r="W204" s="314">
        <v>0</v>
      </c>
      <c r="X204" s="314">
        <v>0</v>
      </c>
      <c r="Y204" s="314">
        <v>0</v>
      </c>
      <c r="Z204" s="314">
        <v>0</v>
      </c>
      <c r="AA204" s="314">
        <v>0</v>
      </c>
      <c r="AB204" s="314">
        <v>0</v>
      </c>
      <c r="AC204" s="314">
        <v>0</v>
      </c>
      <c r="AD204" s="314">
        <v>0</v>
      </c>
      <c r="AE204" s="315">
        <v>0</v>
      </c>
    </row>
    <row r="205" spans="1:31">
      <c r="A205" s="1711"/>
      <c r="B205" s="116">
        <v>1</v>
      </c>
      <c r="C205" s="316">
        <f>'CAR SEC'!J4</f>
        <v>1.644066516716596</v>
      </c>
      <c r="D205" s="317">
        <f>C204</f>
        <v>1.6003354468297524</v>
      </c>
      <c r="E205" s="317">
        <f t="shared" ref="E205:T205" si="39">D204</f>
        <v>0</v>
      </c>
      <c r="F205" s="317">
        <f t="shared" si="39"/>
        <v>0</v>
      </c>
      <c r="G205" s="317">
        <f t="shared" si="39"/>
        <v>0</v>
      </c>
      <c r="H205" s="317">
        <f t="shared" si="39"/>
        <v>0</v>
      </c>
      <c r="I205" s="317">
        <f t="shared" si="39"/>
        <v>0</v>
      </c>
      <c r="J205" s="317">
        <f t="shared" si="39"/>
        <v>0</v>
      </c>
      <c r="K205" s="317">
        <f t="shared" si="39"/>
        <v>0</v>
      </c>
      <c r="L205" s="317">
        <f t="shared" si="39"/>
        <v>0</v>
      </c>
      <c r="M205" s="317">
        <f t="shared" si="39"/>
        <v>0</v>
      </c>
      <c r="N205" s="317">
        <f t="shared" si="39"/>
        <v>0</v>
      </c>
      <c r="O205" s="317">
        <f t="shared" si="39"/>
        <v>0</v>
      </c>
      <c r="P205" s="317">
        <f t="shared" si="39"/>
        <v>0</v>
      </c>
      <c r="Q205" s="317">
        <f t="shared" si="39"/>
        <v>0</v>
      </c>
      <c r="R205" s="317">
        <f t="shared" si="39"/>
        <v>0</v>
      </c>
      <c r="S205" s="317">
        <f t="shared" si="39"/>
        <v>0</v>
      </c>
      <c r="T205" s="317">
        <f t="shared" si="39"/>
        <v>0</v>
      </c>
      <c r="U205" s="317">
        <f t="shared" ref="T205:AE220" si="40">T204</f>
        <v>0</v>
      </c>
      <c r="V205" s="317">
        <f t="shared" si="40"/>
        <v>0</v>
      </c>
      <c r="W205" s="317">
        <f t="shared" si="40"/>
        <v>0</v>
      </c>
      <c r="X205" s="317">
        <f t="shared" si="40"/>
        <v>0</v>
      </c>
      <c r="Y205" s="317">
        <f t="shared" si="40"/>
        <v>0</v>
      </c>
      <c r="Z205" s="317">
        <f t="shared" si="40"/>
        <v>0</v>
      </c>
      <c r="AA205" s="317">
        <f t="shared" si="40"/>
        <v>0</v>
      </c>
      <c r="AB205" s="317">
        <f t="shared" si="40"/>
        <v>0</v>
      </c>
      <c r="AC205" s="317">
        <f t="shared" si="40"/>
        <v>0</v>
      </c>
      <c r="AD205" s="317">
        <f t="shared" si="40"/>
        <v>0</v>
      </c>
      <c r="AE205" s="318">
        <f t="shared" si="40"/>
        <v>0</v>
      </c>
    </row>
    <row r="206" spans="1:31">
      <c r="A206" s="1711"/>
      <c r="B206" s="116">
        <v>2</v>
      </c>
      <c r="C206" s="316">
        <f>'CAR SEC'!J5</f>
        <v>1.6570254770649306</v>
      </c>
      <c r="D206" s="317">
        <f t="shared" ref="D206:S221" si="41">C205</f>
        <v>1.644066516716596</v>
      </c>
      <c r="E206" s="317">
        <f t="shared" si="41"/>
        <v>1.6003354468297524</v>
      </c>
      <c r="F206" s="317">
        <f t="shared" si="41"/>
        <v>0</v>
      </c>
      <c r="G206" s="317">
        <f t="shared" si="41"/>
        <v>0</v>
      </c>
      <c r="H206" s="317">
        <f t="shared" si="41"/>
        <v>0</v>
      </c>
      <c r="I206" s="317">
        <f t="shared" si="41"/>
        <v>0</v>
      </c>
      <c r="J206" s="317">
        <f t="shared" si="41"/>
        <v>0</v>
      </c>
      <c r="K206" s="317">
        <f t="shared" si="41"/>
        <v>0</v>
      </c>
      <c r="L206" s="317">
        <f t="shared" si="41"/>
        <v>0</v>
      </c>
      <c r="M206" s="317">
        <f t="shared" si="41"/>
        <v>0</v>
      </c>
      <c r="N206" s="317">
        <f t="shared" si="41"/>
        <v>0</v>
      </c>
      <c r="O206" s="317">
        <f t="shared" si="41"/>
        <v>0</v>
      </c>
      <c r="P206" s="317">
        <f t="shared" si="41"/>
        <v>0</v>
      </c>
      <c r="Q206" s="317">
        <f t="shared" si="41"/>
        <v>0</v>
      </c>
      <c r="R206" s="317">
        <f t="shared" si="41"/>
        <v>0</v>
      </c>
      <c r="S206" s="317">
        <f t="shared" si="41"/>
        <v>0</v>
      </c>
      <c r="T206" s="317">
        <f t="shared" si="40"/>
        <v>0</v>
      </c>
      <c r="U206" s="317">
        <f t="shared" si="40"/>
        <v>0</v>
      </c>
      <c r="V206" s="317">
        <f t="shared" si="40"/>
        <v>0</v>
      </c>
      <c r="W206" s="317">
        <f t="shared" si="40"/>
        <v>0</v>
      </c>
      <c r="X206" s="317">
        <f t="shared" si="40"/>
        <v>0</v>
      </c>
      <c r="Y206" s="317">
        <f t="shared" si="40"/>
        <v>0</v>
      </c>
      <c r="Z206" s="317">
        <f t="shared" si="40"/>
        <v>0</v>
      </c>
      <c r="AA206" s="317">
        <f t="shared" si="40"/>
        <v>0</v>
      </c>
      <c r="AB206" s="317">
        <f t="shared" si="40"/>
        <v>0</v>
      </c>
      <c r="AC206" s="317">
        <f t="shared" si="40"/>
        <v>0</v>
      </c>
      <c r="AD206" s="317">
        <f t="shared" si="40"/>
        <v>0</v>
      </c>
      <c r="AE206" s="318">
        <f t="shared" si="40"/>
        <v>0</v>
      </c>
    </row>
    <row r="207" spans="1:31">
      <c r="A207" s="1711"/>
      <c r="B207" s="116">
        <v>3</v>
      </c>
      <c r="C207" s="316">
        <f>'CAR SEC'!J6</f>
        <v>1.690898464600417</v>
      </c>
      <c r="D207" s="317">
        <f t="shared" si="41"/>
        <v>1.6570254770649306</v>
      </c>
      <c r="E207" s="317">
        <f t="shared" si="41"/>
        <v>1.644066516716596</v>
      </c>
      <c r="F207" s="317">
        <f t="shared" si="41"/>
        <v>1.6003354468297524</v>
      </c>
      <c r="G207" s="317">
        <f t="shared" si="41"/>
        <v>0</v>
      </c>
      <c r="H207" s="317">
        <f t="shared" si="41"/>
        <v>0</v>
      </c>
      <c r="I207" s="317">
        <f t="shared" si="41"/>
        <v>0</v>
      </c>
      <c r="J207" s="317">
        <f t="shared" si="41"/>
        <v>0</v>
      </c>
      <c r="K207" s="317">
        <f t="shared" si="41"/>
        <v>0</v>
      </c>
      <c r="L207" s="317">
        <f t="shared" si="41"/>
        <v>0</v>
      </c>
      <c r="M207" s="317">
        <f t="shared" si="41"/>
        <v>0</v>
      </c>
      <c r="N207" s="317">
        <f t="shared" si="41"/>
        <v>0</v>
      </c>
      <c r="O207" s="317">
        <f t="shared" si="41"/>
        <v>0</v>
      </c>
      <c r="P207" s="317">
        <f t="shared" si="41"/>
        <v>0</v>
      </c>
      <c r="Q207" s="317">
        <f t="shared" si="41"/>
        <v>0</v>
      </c>
      <c r="R207" s="317">
        <f t="shared" si="41"/>
        <v>0</v>
      </c>
      <c r="S207" s="317">
        <f t="shared" si="41"/>
        <v>0</v>
      </c>
      <c r="T207" s="317">
        <f t="shared" si="40"/>
        <v>0</v>
      </c>
      <c r="U207" s="317">
        <f t="shared" si="40"/>
        <v>0</v>
      </c>
      <c r="V207" s="317">
        <f t="shared" si="40"/>
        <v>0</v>
      </c>
      <c r="W207" s="317">
        <f t="shared" si="40"/>
        <v>0</v>
      </c>
      <c r="X207" s="317">
        <f t="shared" si="40"/>
        <v>0</v>
      </c>
      <c r="Y207" s="317">
        <f t="shared" si="40"/>
        <v>0</v>
      </c>
      <c r="Z207" s="317">
        <f t="shared" si="40"/>
        <v>0</v>
      </c>
      <c r="AA207" s="317">
        <f t="shared" si="40"/>
        <v>0</v>
      </c>
      <c r="AB207" s="317">
        <f t="shared" si="40"/>
        <v>0</v>
      </c>
      <c r="AC207" s="317">
        <f t="shared" si="40"/>
        <v>0</v>
      </c>
      <c r="AD207" s="317">
        <f t="shared" si="40"/>
        <v>0</v>
      </c>
      <c r="AE207" s="318">
        <f t="shared" si="40"/>
        <v>0</v>
      </c>
    </row>
    <row r="208" spans="1:31">
      <c r="A208" s="1711"/>
      <c r="B208" s="116">
        <v>4</v>
      </c>
      <c r="C208" s="316">
        <f>'CAR SEC'!J7</f>
        <v>1.8460953652639764</v>
      </c>
      <c r="D208" s="317">
        <f t="shared" si="41"/>
        <v>1.690898464600417</v>
      </c>
      <c r="E208" s="317">
        <f t="shared" si="41"/>
        <v>1.6570254770649306</v>
      </c>
      <c r="F208" s="317">
        <f t="shared" si="41"/>
        <v>1.644066516716596</v>
      </c>
      <c r="G208" s="317">
        <f t="shared" si="41"/>
        <v>1.6003354468297524</v>
      </c>
      <c r="H208" s="317">
        <f t="shared" si="41"/>
        <v>0</v>
      </c>
      <c r="I208" s="317">
        <f t="shared" si="41"/>
        <v>0</v>
      </c>
      <c r="J208" s="317">
        <f t="shared" si="41"/>
        <v>0</v>
      </c>
      <c r="K208" s="317">
        <f t="shared" si="41"/>
        <v>0</v>
      </c>
      <c r="L208" s="317">
        <f t="shared" si="41"/>
        <v>0</v>
      </c>
      <c r="M208" s="317">
        <f t="shared" si="41"/>
        <v>0</v>
      </c>
      <c r="N208" s="317">
        <f t="shared" si="41"/>
        <v>0</v>
      </c>
      <c r="O208" s="317">
        <f t="shared" si="41"/>
        <v>0</v>
      </c>
      <c r="P208" s="317">
        <f t="shared" si="41"/>
        <v>0</v>
      </c>
      <c r="Q208" s="317">
        <f t="shared" si="41"/>
        <v>0</v>
      </c>
      <c r="R208" s="317">
        <f t="shared" si="41"/>
        <v>0</v>
      </c>
      <c r="S208" s="317">
        <f t="shared" si="41"/>
        <v>0</v>
      </c>
      <c r="T208" s="317">
        <f t="shared" si="40"/>
        <v>0</v>
      </c>
      <c r="U208" s="317">
        <f t="shared" si="40"/>
        <v>0</v>
      </c>
      <c r="V208" s="317">
        <f t="shared" si="40"/>
        <v>0</v>
      </c>
      <c r="W208" s="317">
        <f t="shared" si="40"/>
        <v>0</v>
      </c>
      <c r="X208" s="317">
        <f t="shared" si="40"/>
        <v>0</v>
      </c>
      <c r="Y208" s="317">
        <f t="shared" si="40"/>
        <v>0</v>
      </c>
      <c r="Z208" s="317">
        <f t="shared" si="40"/>
        <v>0</v>
      </c>
      <c r="AA208" s="317">
        <f t="shared" si="40"/>
        <v>0</v>
      </c>
      <c r="AB208" s="317">
        <f t="shared" si="40"/>
        <v>0</v>
      </c>
      <c r="AC208" s="317">
        <f t="shared" si="40"/>
        <v>0</v>
      </c>
      <c r="AD208" s="317">
        <f t="shared" si="40"/>
        <v>0</v>
      </c>
      <c r="AE208" s="318">
        <f t="shared" si="40"/>
        <v>0</v>
      </c>
    </row>
    <row r="209" spans="1:31">
      <c r="A209" s="1711"/>
      <c r="B209" s="116">
        <v>5</v>
      </c>
      <c r="C209" s="316">
        <f>'CAR SEC'!J8</f>
        <v>1.9222233631560794</v>
      </c>
      <c r="D209" s="317">
        <f t="shared" si="41"/>
        <v>1.8460953652639764</v>
      </c>
      <c r="E209" s="317">
        <f t="shared" si="41"/>
        <v>1.690898464600417</v>
      </c>
      <c r="F209" s="317">
        <f t="shared" si="41"/>
        <v>1.6570254770649306</v>
      </c>
      <c r="G209" s="317">
        <f t="shared" si="41"/>
        <v>1.644066516716596</v>
      </c>
      <c r="H209" s="317">
        <f t="shared" si="41"/>
        <v>1.6003354468297524</v>
      </c>
      <c r="I209" s="317">
        <f t="shared" si="41"/>
        <v>0</v>
      </c>
      <c r="J209" s="317">
        <f t="shared" si="41"/>
        <v>0</v>
      </c>
      <c r="K209" s="317">
        <f t="shared" si="41"/>
        <v>0</v>
      </c>
      <c r="L209" s="317">
        <f t="shared" si="41"/>
        <v>0</v>
      </c>
      <c r="M209" s="317">
        <f t="shared" si="41"/>
        <v>0</v>
      </c>
      <c r="N209" s="317">
        <f t="shared" si="41"/>
        <v>0</v>
      </c>
      <c r="O209" s="317">
        <f t="shared" si="41"/>
        <v>0</v>
      </c>
      <c r="P209" s="317">
        <f t="shared" si="41"/>
        <v>0</v>
      </c>
      <c r="Q209" s="317">
        <f t="shared" si="41"/>
        <v>0</v>
      </c>
      <c r="R209" s="317">
        <f t="shared" si="41"/>
        <v>0</v>
      </c>
      <c r="S209" s="317">
        <f t="shared" si="41"/>
        <v>0</v>
      </c>
      <c r="T209" s="317">
        <f t="shared" si="40"/>
        <v>0</v>
      </c>
      <c r="U209" s="317">
        <f t="shared" si="40"/>
        <v>0</v>
      </c>
      <c r="V209" s="317">
        <f t="shared" si="40"/>
        <v>0</v>
      </c>
      <c r="W209" s="317">
        <f t="shared" si="40"/>
        <v>0</v>
      </c>
      <c r="X209" s="317">
        <f t="shared" si="40"/>
        <v>0</v>
      </c>
      <c r="Y209" s="317">
        <f t="shared" si="40"/>
        <v>0</v>
      </c>
      <c r="Z209" s="317">
        <f t="shared" si="40"/>
        <v>0</v>
      </c>
      <c r="AA209" s="317">
        <f t="shared" si="40"/>
        <v>0</v>
      </c>
      <c r="AB209" s="317">
        <f t="shared" si="40"/>
        <v>0</v>
      </c>
      <c r="AC209" s="317">
        <f t="shared" si="40"/>
        <v>0</v>
      </c>
      <c r="AD209" s="317">
        <f t="shared" si="40"/>
        <v>0</v>
      </c>
      <c r="AE209" s="318">
        <f t="shared" si="40"/>
        <v>0</v>
      </c>
    </row>
    <row r="210" spans="1:31">
      <c r="A210" s="1711"/>
      <c r="B210" s="116">
        <v>6</v>
      </c>
      <c r="C210" s="316">
        <f>'CAR SEC'!J9</f>
        <v>1.9712053809241663</v>
      </c>
      <c r="D210" s="317">
        <f t="shared" si="41"/>
        <v>1.9222233631560794</v>
      </c>
      <c r="E210" s="317">
        <f t="shared" si="41"/>
        <v>1.8460953652639764</v>
      </c>
      <c r="F210" s="317">
        <f t="shared" si="41"/>
        <v>1.690898464600417</v>
      </c>
      <c r="G210" s="317">
        <f t="shared" si="41"/>
        <v>1.6570254770649306</v>
      </c>
      <c r="H210" s="317">
        <f t="shared" si="41"/>
        <v>1.644066516716596</v>
      </c>
      <c r="I210" s="317">
        <f t="shared" si="41"/>
        <v>1.6003354468297524</v>
      </c>
      <c r="J210" s="317">
        <f t="shared" si="41"/>
        <v>0</v>
      </c>
      <c r="K210" s="317">
        <f t="shared" si="41"/>
        <v>0</v>
      </c>
      <c r="L210" s="317">
        <f t="shared" si="41"/>
        <v>0</v>
      </c>
      <c r="M210" s="317">
        <f t="shared" si="41"/>
        <v>0</v>
      </c>
      <c r="N210" s="317">
        <f t="shared" si="41"/>
        <v>0</v>
      </c>
      <c r="O210" s="317">
        <f t="shared" si="41"/>
        <v>0</v>
      </c>
      <c r="P210" s="317">
        <f t="shared" si="41"/>
        <v>0</v>
      </c>
      <c r="Q210" s="317">
        <f t="shared" si="41"/>
        <v>0</v>
      </c>
      <c r="R210" s="317">
        <f t="shared" si="41"/>
        <v>0</v>
      </c>
      <c r="S210" s="317">
        <f t="shared" si="41"/>
        <v>0</v>
      </c>
      <c r="T210" s="317">
        <f t="shared" si="40"/>
        <v>0</v>
      </c>
      <c r="U210" s="317">
        <f t="shared" si="40"/>
        <v>0</v>
      </c>
      <c r="V210" s="317">
        <f t="shared" si="40"/>
        <v>0</v>
      </c>
      <c r="W210" s="317">
        <f t="shared" si="40"/>
        <v>0</v>
      </c>
      <c r="X210" s="317">
        <f t="shared" si="40"/>
        <v>0</v>
      </c>
      <c r="Y210" s="317">
        <f t="shared" si="40"/>
        <v>0</v>
      </c>
      <c r="Z210" s="317">
        <f t="shared" si="40"/>
        <v>0</v>
      </c>
      <c r="AA210" s="317">
        <f t="shared" si="40"/>
        <v>0</v>
      </c>
      <c r="AB210" s="317">
        <f t="shared" si="40"/>
        <v>0</v>
      </c>
      <c r="AC210" s="317">
        <f t="shared" si="40"/>
        <v>0</v>
      </c>
      <c r="AD210" s="317">
        <f t="shared" si="40"/>
        <v>0</v>
      </c>
      <c r="AE210" s="318">
        <f t="shared" si="40"/>
        <v>0</v>
      </c>
    </row>
    <row r="211" spans="1:31">
      <c r="A211" s="1711"/>
      <c r="B211" s="116">
        <v>7</v>
      </c>
      <c r="C211" s="316">
        <f>'CAR SEC'!J10</f>
        <v>2.0127984101893484</v>
      </c>
      <c r="D211" s="317">
        <f t="shared" si="41"/>
        <v>1.9712053809241663</v>
      </c>
      <c r="E211" s="317">
        <f t="shared" si="41"/>
        <v>1.9222233631560794</v>
      </c>
      <c r="F211" s="317">
        <f t="shared" si="41"/>
        <v>1.8460953652639764</v>
      </c>
      <c r="G211" s="317">
        <f t="shared" si="41"/>
        <v>1.690898464600417</v>
      </c>
      <c r="H211" s="317">
        <f t="shared" si="41"/>
        <v>1.6570254770649306</v>
      </c>
      <c r="I211" s="317">
        <f t="shared" si="41"/>
        <v>1.644066516716596</v>
      </c>
      <c r="J211" s="317">
        <f t="shared" si="41"/>
        <v>1.6003354468297524</v>
      </c>
      <c r="K211" s="317">
        <f t="shared" si="41"/>
        <v>0</v>
      </c>
      <c r="L211" s="317">
        <f t="shared" si="41"/>
        <v>0</v>
      </c>
      <c r="M211" s="317">
        <f t="shared" si="41"/>
        <v>0</v>
      </c>
      <c r="N211" s="317">
        <f t="shared" si="41"/>
        <v>0</v>
      </c>
      <c r="O211" s="317">
        <f t="shared" si="41"/>
        <v>0</v>
      </c>
      <c r="P211" s="317">
        <f t="shared" si="41"/>
        <v>0</v>
      </c>
      <c r="Q211" s="317">
        <f t="shared" si="41"/>
        <v>0</v>
      </c>
      <c r="R211" s="317">
        <f t="shared" si="41"/>
        <v>0</v>
      </c>
      <c r="S211" s="317">
        <f t="shared" si="41"/>
        <v>0</v>
      </c>
      <c r="T211" s="317">
        <f t="shared" si="40"/>
        <v>0</v>
      </c>
      <c r="U211" s="317">
        <f t="shared" si="40"/>
        <v>0</v>
      </c>
      <c r="V211" s="317">
        <f t="shared" si="40"/>
        <v>0</v>
      </c>
      <c r="W211" s="317">
        <f t="shared" si="40"/>
        <v>0</v>
      </c>
      <c r="X211" s="317">
        <f t="shared" si="40"/>
        <v>0</v>
      </c>
      <c r="Y211" s="317">
        <f t="shared" si="40"/>
        <v>0</v>
      </c>
      <c r="Z211" s="317">
        <f t="shared" si="40"/>
        <v>0</v>
      </c>
      <c r="AA211" s="317">
        <f t="shared" si="40"/>
        <v>0</v>
      </c>
      <c r="AB211" s="317">
        <f t="shared" si="40"/>
        <v>0</v>
      </c>
      <c r="AC211" s="317">
        <f t="shared" si="40"/>
        <v>0</v>
      </c>
      <c r="AD211" s="317">
        <f t="shared" si="40"/>
        <v>0</v>
      </c>
      <c r="AE211" s="318">
        <f t="shared" si="40"/>
        <v>0</v>
      </c>
    </row>
    <row r="212" spans="1:31">
      <c r="A212" s="1711"/>
      <c r="B212" s="116">
        <v>8</v>
      </c>
      <c r="C212" s="316">
        <f>'CAR SEC'!J11</f>
        <v>2.0108018397653118</v>
      </c>
      <c r="D212" s="317">
        <f t="shared" si="41"/>
        <v>2.0127984101893484</v>
      </c>
      <c r="E212" s="317">
        <f t="shared" si="41"/>
        <v>1.9712053809241663</v>
      </c>
      <c r="F212" s="317">
        <f t="shared" si="41"/>
        <v>1.9222233631560794</v>
      </c>
      <c r="G212" s="317">
        <f t="shared" si="41"/>
        <v>1.8460953652639764</v>
      </c>
      <c r="H212" s="317">
        <f t="shared" si="41"/>
        <v>1.690898464600417</v>
      </c>
      <c r="I212" s="317">
        <f t="shared" si="41"/>
        <v>1.6570254770649306</v>
      </c>
      <c r="J212" s="317">
        <f t="shared" si="41"/>
        <v>1.644066516716596</v>
      </c>
      <c r="K212" s="317">
        <f t="shared" si="41"/>
        <v>1.6003354468297524</v>
      </c>
      <c r="L212" s="317">
        <f t="shared" si="41"/>
        <v>0</v>
      </c>
      <c r="M212" s="317">
        <f t="shared" si="41"/>
        <v>0</v>
      </c>
      <c r="N212" s="317">
        <f t="shared" si="41"/>
        <v>0</v>
      </c>
      <c r="O212" s="317">
        <f t="shared" si="41"/>
        <v>0</v>
      </c>
      <c r="P212" s="317">
        <f t="shared" si="41"/>
        <v>0</v>
      </c>
      <c r="Q212" s="317">
        <f t="shared" si="41"/>
        <v>0</v>
      </c>
      <c r="R212" s="317">
        <f t="shared" si="41"/>
        <v>0</v>
      </c>
      <c r="S212" s="317">
        <f t="shared" si="41"/>
        <v>0</v>
      </c>
      <c r="T212" s="317">
        <f t="shared" si="40"/>
        <v>0</v>
      </c>
      <c r="U212" s="317">
        <f t="shared" si="40"/>
        <v>0</v>
      </c>
      <c r="V212" s="317">
        <f t="shared" si="40"/>
        <v>0</v>
      </c>
      <c r="W212" s="317">
        <f t="shared" si="40"/>
        <v>0</v>
      </c>
      <c r="X212" s="317">
        <f t="shared" si="40"/>
        <v>0</v>
      </c>
      <c r="Y212" s="317">
        <f t="shared" si="40"/>
        <v>0</v>
      </c>
      <c r="Z212" s="317">
        <f t="shared" si="40"/>
        <v>0</v>
      </c>
      <c r="AA212" s="317">
        <f t="shared" si="40"/>
        <v>0</v>
      </c>
      <c r="AB212" s="317">
        <f t="shared" si="40"/>
        <v>0</v>
      </c>
      <c r="AC212" s="317">
        <f t="shared" si="40"/>
        <v>0</v>
      </c>
      <c r="AD212" s="317">
        <f t="shared" si="40"/>
        <v>0</v>
      </c>
      <c r="AE212" s="318">
        <f t="shared" si="40"/>
        <v>0</v>
      </c>
    </row>
    <row r="213" spans="1:31">
      <c r="A213" s="1711"/>
      <c r="B213" s="116">
        <v>9</v>
      </c>
      <c r="C213" s="316">
        <f>'CAR SEC'!J12</f>
        <v>2.0471568855997608</v>
      </c>
      <c r="D213" s="317">
        <f t="shared" si="41"/>
        <v>2.0108018397653118</v>
      </c>
      <c r="E213" s="317">
        <f t="shared" si="41"/>
        <v>2.0127984101893484</v>
      </c>
      <c r="F213" s="317">
        <f t="shared" si="41"/>
        <v>1.9712053809241663</v>
      </c>
      <c r="G213" s="317">
        <f t="shared" si="41"/>
        <v>1.9222233631560794</v>
      </c>
      <c r="H213" s="317">
        <f t="shared" si="41"/>
        <v>1.8460953652639764</v>
      </c>
      <c r="I213" s="317">
        <f t="shared" si="41"/>
        <v>1.690898464600417</v>
      </c>
      <c r="J213" s="317">
        <f t="shared" si="41"/>
        <v>1.6570254770649306</v>
      </c>
      <c r="K213" s="317">
        <f t="shared" si="41"/>
        <v>1.644066516716596</v>
      </c>
      <c r="L213" s="317">
        <f t="shared" si="41"/>
        <v>1.6003354468297524</v>
      </c>
      <c r="M213" s="317">
        <f t="shared" si="41"/>
        <v>0</v>
      </c>
      <c r="N213" s="317">
        <f t="shared" si="41"/>
        <v>0</v>
      </c>
      <c r="O213" s="317">
        <f t="shared" si="41"/>
        <v>0</v>
      </c>
      <c r="P213" s="317">
        <f t="shared" si="41"/>
        <v>0</v>
      </c>
      <c r="Q213" s="317">
        <f t="shared" si="41"/>
        <v>0</v>
      </c>
      <c r="R213" s="317">
        <f t="shared" si="41"/>
        <v>0</v>
      </c>
      <c r="S213" s="317">
        <f t="shared" si="41"/>
        <v>0</v>
      </c>
      <c r="T213" s="317">
        <f t="shared" si="40"/>
        <v>0</v>
      </c>
      <c r="U213" s="317">
        <f t="shared" si="40"/>
        <v>0</v>
      </c>
      <c r="V213" s="317">
        <f t="shared" si="40"/>
        <v>0</v>
      </c>
      <c r="W213" s="317">
        <f t="shared" si="40"/>
        <v>0</v>
      </c>
      <c r="X213" s="317">
        <f t="shared" si="40"/>
        <v>0</v>
      </c>
      <c r="Y213" s="317">
        <f t="shared" si="40"/>
        <v>0</v>
      </c>
      <c r="Z213" s="317">
        <f t="shared" si="40"/>
        <v>0</v>
      </c>
      <c r="AA213" s="317">
        <f t="shared" si="40"/>
        <v>0</v>
      </c>
      <c r="AB213" s="317">
        <f t="shared" si="40"/>
        <v>0</v>
      </c>
      <c r="AC213" s="317">
        <f t="shared" si="40"/>
        <v>0</v>
      </c>
      <c r="AD213" s="317">
        <f t="shared" si="40"/>
        <v>0</v>
      </c>
      <c r="AE213" s="318">
        <f t="shared" si="40"/>
        <v>0</v>
      </c>
    </row>
    <row r="214" spans="1:31">
      <c r="A214" s="1711"/>
      <c r="B214" s="116">
        <v>10</v>
      </c>
      <c r="C214" s="316">
        <f>'CAR SEC'!J13</f>
        <v>2.008395383284086</v>
      </c>
      <c r="D214" s="317">
        <f t="shared" si="41"/>
        <v>2.0471568855997608</v>
      </c>
      <c r="E214" s="317">
        <f t="shared" si="41"/>
        <v>2.0108018397653118</v>
      </c>
      <c r="F214" s="317">
        <f t="shared" si="41"/>
        <v>2.0127984101893484</v>
      </c>
      <c r="G214" s="317">
        <f t="shared" si="41"/>
        <v>1.9712053809241663</v>
      </c>
      <c r="H214" s="317">
        <f t="shared" si="41"/>
        <v>1.9222233631560794</v>
      </c>
      <c r="I214" s="317">
        <f t="shared" si="41"/>
        <v>1.8460953652639764</v>
      </c>
      <c r="J214" s="317">
        <f t="shared" si="41"/>
        <v>1.690898464600417</v>
      </c>
      <c r="K214" s="317">
        <f t="shared" si="41"/>
        <v>1.6570254770649306</v>
      </c>
      <c r="L214" s="317">
        <f t="shared" si="41"/>
        <v>1.644066516716596</v>
      </c>
      <c r="M214" s="317">
        <f t="shared" si="41"/>
        <v>1.6003354468297524</v>
      </c>
      <c r="N214" s="317">
        <f t="shared" si="41"/>
        <v>0</v>
      </c>
      <c r="O214" s="317">
        <f t="shared" si="41"/>
        <v>0</v>
      </c>
      <c r="P214" s="317">
        <f t="shared" si="41"/>
        <v>0</v>
      </c>
      <c r="Q214" s="317">
        <f t="shared" si="41"/>
        <v>0</v>
      </c>
      <c r="R214" s="317">
        <f t="shared" si="41"/>
        <v>0</v>
      </c>
      <c r="S214" s="317">
        <f t="shared" si="41"/>
        <v>0</v>
      </c>
      <c r="T214" s="317">
        <f t="shared" si="40"/>
        <v>0</v>
      </c>
      <c r="U214" s="317">
        <f t="shared" si="40"/>
        <v>0</v>
      </c>
      <c r="V214" s="317">
        <f t="shared" si="40"/>
        <v>0</v>
      </c>
      <c r="W214" s="317">
        <f t="shared" si="40"/>
        <v>0</v>
      </c>
      <c r="X214" s="317">
        <f t="shared" si="40"/>
        <v>0</v>
      </c>
      <c r="Y214" s="317">
        <f t="shared" si="40"/>
        <v>0</v>
      </c>
      <c r="Z214" s="317">
        <f t="shared" si="40"/>
        <v>0</v>
      </c>
      <c r="AA214" s="317">
        <f t="shared" si="40"/>
        <v>0</v>
      </c>
      <c r="AB214" s="317">
        <f t="shared" si="40"/>
        <v>0</v>
      </c>
      <c r="AC214" s="317">
        <f t="shared" si="40"/>
        <v>0</v>
      </c>
      <c r="AD214" s="317">
        <f t="shared" si="40"/>
        <v>0</v>
      </c>
      <c r="AE214" s="318">
        <f t="shared" si="40"/>
        <v>0</v>
      </c>
    </row>
    <row r="215" spans="1:31">
      <c r="A215" s="1711"/>
      <c r="B215" s="116">
        <v>11</v>
      </c>
      <c r="C215" s="316">
        <f>'CAR SEC'!J14</f>
        <v>1.9851398250250281</v>
      </c>
      <c r="D215" s="317">
        <f t="shared" si="41"/>
        <v>2.008395383284086</v>
      </c>
      <c r="E215" s="317">
        <f t="shared" si="41"/>
        <v>2.0471568855997608</v>
      </c>
      <c r="F215" s="317">
        <f t="shared" si="41"/>
        <v>2.0108018397653118</v>
      </c>
      <c r="G215" s="317">
        <f t="shared" si="41"/>
        <v>2.0127984101893484</v>
      </c>
      <c r="H215" s="317">
        <f t="shared" si="41"/>
        <v>1.9712053809241663</v>
      </c>
      <c r="I215" s="317">
        <f t="shared" si="41"/>
        <v>1.9222233631560794</v>
      </c>
      <c r="J215" s="317">
        <f t="shared" si="41"/>
        <v>1.8460953652639764</v>
      </c>
      <c r="K215" s="317">
        <f t="shared" si="41"/>
        <v>1.690898464600417</v>
      </c>
      <c r="L215" s="317">
        <f t="shared" si="41"/>
        <v>1.6570254770649306</v>
      </c>
      <c r="M215" s="317">
        <f t="shared" si="41"/>
        <v>1.644066516716596</v>
      </c>
      <c r="N215" s="317">
        <f t="shared" si="41"/>
        <v>1.6003354468297524</v>
      </c>
      <c r="O215" s="317">
        <f t="shared" si="41"/>
        <v>0</v>
      </c>
      <c r="P215" s="317">
        <f t="shared" si="41"/>
        <v>0</v>
      </c>
      <c r="Q215" s="317">
        <f t="shared" si="41"/>
        <v>0</v>
      </c>
      <c r="R215" s="317">
        <f t="shared" si="41"/>
        <v>0</v>
      </c>
      <c r="S215" s="317">
        <f t="shared" si="41"/>
        <v>0</v>
      </c>
      <c r="T215" s="317">
        <f t="shared" si="40"/>
        <v>0</v>
      </c>
      <c r="U215" s="317">
        <f t="shared" si="40"/>
        <v>0</v>
      </c>
      <c r="V215" s="317">
        <f t="shared" si="40"/>
        <v>0</v>
      </c>
      <c r="W215" s="317">
        <f t="shared" si="40"/>
        <v>0</v>
      </c>
      <c r="X215" s="317">
        <f t="shared" si="40"/>
        <v>0</v>
      </c>
      <c r="Y215" s="317">
        <f t="shared" si="40"/>
        <v>0</v>
      </c>
      <c r="Z215" s="317">
        <f t="shared" si="40"/>
        <v>0</v>
      </c>
      <c r="AA215" s="317">
        <f t="shared" si="40"/>
        <v>0</v>
      </c>
      <c r="AB215" s="317">
        <f t="shared" si="40"/>
        <v>0</v>
      </c>
      <c r="AC215" s="317">
        <f t="shared" si="40"/>
        <v>0</v>
      </c>
      <c r="AD215" s="317">
        <f t="shared" si="40"/>
        <v>0</v>
      </c>
      <c r="AE215" s="318">
        <f t="shared" si="40"/>
        <v>0</v>
      </c>
    </row>
    <row r="216" spans="1:31">
      <c r="A216" s="1711"/>
      <c r="B216" s="116">
        <v>12</v>
      </c>
      <c r="C216" s="316">
        <f>'CAR SEC'!J15</f>
        <v>2.1314477350905769</v>
      </c>
      <c r="D216" s="317">
        <f t="shared" si="41"/>
        <v>1.9851398250250281</v>
      </c>
      <c r="E216" s="317">
        <f t="shared" si="41"/>
        <v>2.008395383284086</v>
      </c>
      <c r="F216" s="317">
        <f t="shared" si="41"/>
        <v>2.0471568855997608</v>
      </c>
      <c r="G216" s="317">
        <f t="shared" si="41"/>
        <v>2.0108018397653118</v>
      </c>
      <c r="H216" s="317">
        <f t="shared" si="41"/>
        <v>2.0127984101893484</v>
      </c>
      <c r="I216" s="317">
        <f t="shared" si="41"/>
        <v>1.9712053809241663</v>
      </c>
      <c r="J216" s="317">
        <f t="shared" si="41"/>
        <v>1.9222233631560794</v>
      </c>
      <c r="K216" s="317">
        <f t="shared" si="41"/>
        <v>1.8460953652639764</v>
      </c>
      <c r="L216" s="317">
        <f t="shared" si="41"/>
        <v>1.690898464600417</v>
      </c>
      <c r="M216" s="317">
        <f t="shared" si="41"/>
        <v>1.6570254770649306</v>
      </c>
      <c r="N216" s="317">
        <f t="shared" si="41"/>
        <v>1.644066516716596</v>
      </c>
      <c r="O216" s="317">
        <f t="shared" si="41"/>
        <v>1.6003354468297524</v>
      </c>
      <c r="P216" s="317">
        <f t="shared" si="41"/>
        <v>0</v>
      </c>
      <c r="Q216" s="317">
        <f t="shared" si="41"/>
        <v>0</v>
      </c>
      <c r="R216" s="317">
        <f t="shared" si="41"/>
        <v>0</v>
      </c>
      <c r="S216" s="317">
        <f t="shared" si="41"/>
        <v>0</v>
      </c>
      <c r="T216" s="317">
        <f t="shared" si="40"/>
        <v>0</v>
      </c>
      <c r="U216" s="317">
        <f t="shared" si="40"/>
        <v>0</v>
      </c>
      <c r="V216" s="317">
        <f t="shared" si="40"/>
        <v>0</v>
      </c>
      <c r="W216" s="317">
        <f t="shared" si="40"/>
        <v>0</v>
      </c>
      <c r="X216" s="317">
        <f t="shared" si="40"/>
        <v>0</v>
      </c>
      <c r="Y216" s="317">
        <f t="shared" si="40"/>
        <v>0</v>
      </c>
      <c r="Z216" s="317">
        <f t="shared" si="40"/>
        <v>0</v>
      </c>
      <c r="AA216" s="317">
        <f t="shared" si="40"/>
        <v>0</v>
      </c>
      <c r="AB216" s="317">
        <f t="shared" si="40"/>
        <v>0</v>
      </c>
      <c r="AC216" s="317">
        <f t="shared" si="40"/>
        <v>0</v>
      </c>
      <c r="AD216" s="317">
        <f t="shared" si="40"/>
        <v>0</v>
      </c>
      <c r="AE216" s="318">
        <f t="shared" si="40"/>
        <v>0</v>
      </c>
    </row>
    <row r="217" spans="1:31">
      <c r="A217" s="1711"/>
      <c r="B217" s="116">
        <v>13</v>
      </c>
      <c r="C217" s="316">
        <f>'CAR SEC'!J16</f>
        <v>2.0252864515907825</v>
      </c>
      <c r="D217" s="317">
        <f t="shared" si="41"/>
        <v>2.1314477350905769</v>
      </c>
      <c r="E217" s="317">
        <f t="shared" si="41"/>
        <v>1.9851398250250281</v>
      </c>
      <c r="F217" s="317">
        <f t="shared" si="41"/>
        <v>2.008395383284086</v>
      </c>
      <c r="G217" s="317">
        <f t="shared" si="41"/>
        <v>2.0471568855997608</v>
      </c>
      <c r="H217" s="317">
        <f t="shared" si="41"/>
        <v>2.0108018397653118</v>
      </c>
      <c r="I217" s="317">
        <f t="shared" si="41"/>
        <v>2.0127984101893484</v>
      </c>
      <c r="J217" s="317">
        <f t="shared" si="41"/>
        <v>1.9712053809241663</v>
      </c>
      <c r="K217" s="317">
        <f t="shared" si="41"/>
        <v>1.9222233631560794</v>
      </c>
      <c r="L217" s="317">
        <f t="shared" si="41"/>
        <v>1.8460953652639764</v>
      </c>
      <c r="M217" s="317">
        <f t="shared" si="41"/>
        <v>1.690898464600417</v>
      </c>
      <c r="N217" s="317">
        <f t="shared" si="41"/>
        <v>1.6570254770649306</v>
      </c>
      <c r="O217" s="317">
        <f t="shared" si="41"/>
        <v>1.644066516716596</v>
      </c>
      <c r="P217" s="317">
        <f t="shared" si="41"/>
        <v>1.6003354468297524</v>
      </c>
      <c r="Q217" s="317">
        <f t="shared" si="41"/>
        <v>0</v>
      </c>
      <c r="R217" s="317">
        <f t="shared" si="41"/>
        <v>0</v>
      </c>
      <c r="S217" s="317">
        <f t="shared" si="41"/>
        <v>0</v>
      </c>
      <c r="T217" s="317">
        <f t="shared" si="40"/>
        <v>0</v>
      </c>
      <c r="U217" s="317">
        <f t="shared" si="40"/>
        <v>0</v>
      </c>
      <c r="V217" s="317">
        <f t="shared" si="40"/>
        <v>0</v>
      </c>
      <c r="W217" s="317">
        <f t="shared" si="40"/>
        <v>0</v>
      </c>
      <c r="X217" s="317">
        <f t="shared" si="40"/>
        <v>0</v>
      </c>
      <c r="Y217" s="317">
        <f t="shared" si="40"/>
        <v>0</v>
      </c>
      <c r="Z217" s="317">
        <f t="shared" si="40"/>
        <v>0</v>
      </c>
      <c r="AA217" s="317">
        <f t="shared" si="40"/>
        <v>0</v>
      </c>
      <c r="AB217" s="317">
        <f t="shared" si="40"/>
        <v>0</v>
      </c>
      <c r="AC217" s="317">
        <f t="shared" si="40"/>
        <v>0</v>
      </c>
      <c r="AD217" s="317">
        <f t="shared" si="40"/>
        <v>0</v>
      </c>
      <c r="AE217" s="318">
        <f t="shared" si="40"/>
        <v>0</v>
      </c>
    </row>
    <row r="218" spans="1:31">
      <c r="A218" s="1711"/>
      <c r="B218" s="116">
        <v>14</v>
      </c>
      <c r="C218" s="316">
        <f>'CAR SEC'!J17</f>
        <v>2.0312691514738281</v>
      </c>
      <c r="D218" s="317">
        <f t="shared" si="41"/>
        <v>2.0252864515907825</v>
      </c>
      <c r="E218" s="317">
        <f t="shared" si="41"/>
        <v>2.1314477350905769</v>
      </c>
      <c r="F218" s="317">
        <f t="shared" si="41"/>
        <v>1.9851398250250281</v>
      </c>
      <c r="G218" s="317">
        <f t="shared" si="41"/>
        <v>2.008395383284086</v>
      </c>
      <c r="H218" s="317">
        <f t="shared" si="41"/>
        <v>2.0471568855997608</v>
      </c>
      <c r="I218" s="317">
        <f t="shared" si="41"/>
        <v>2.0108018397653118</v>
      </c>
      <c r="J218" s="317">
        <f t="shared" si="41"/>
        <v>2.0127984101893484</v>
      </c>
      <c r="K218" s="317">
        <f t="shared" si="41"/>
        <v>1.9712053809241663</v>
      </c>
      <c r="L218" s="317">
        <f t="shared" si="41"/>
        <v>1.9222233631560794</v>
      </c>
      <c r="M218" s="317">
        <f t="shared" si="41"/>
        <v>1.8460953652639764</v>
      </c>
      <c r="N218" s="317">
        <f t="shared" si="41"/>
        <v>1.690898464600417</v>
      </c>
      <c r="O218" s="317">
        <f t="shared" si="41"/>
        <v>1.6570254770649306</v>
      </c>
      <c r="P218" s="317">
        <f t="shared" si="41"/>
        <v>1.644066516716596</v>
      </c>
      <c r="Q218" s="317">
        <f t="shared" si="41"/>
        <v>1.6003354468297524</v>
      </c>
      <c r="R218" s="317">
        <f t="shared" si="41"/>
        <v>0</v>
      </c>
      <c r="S218" s="317">
        <f t="shared" si="41"/>
        <v>0</v>
      </c>
      <c r="T218" s="317">
        <f t="shared" si="40"/>
        <v>0</v>
      </c>
      <c r="U218" s="317">
        <f t="shared" si="40"/>
        <v>0</v>
      </c>
      <c r="V218" s="317">
        <f t="shared" si="40"/>
        <v>0</v>
      </c>
      <c r="W218" s="317">
        <f t="shared" si="40"/>
        <v>0</v>
      </c>
      <c r="X218" s="317">
        <f t="shared" si="40"/>
        <v>0</v>
      </c>
      <c r="Y218" s="317">
        <f t="shared" si="40"/>
        <v>0</v>
      </c>
      <c r="Z218" s="317">
        <f t="shared" si="40"/>
        <v>0</v>
      </c>
      <c r="AA218" s="317">
        <f t="shared" si="40"/>
        <v>0</v>
      </c>
      <c r="AB218" s="317">
        <f t="shared" si="40"/>
        <v>0</v>
      </c>
      <c r="AC218" s="317">
        <f t="shared" si="40"/>
        <v>0</v>
      </c>
      <c r="AD218" s="317">
        <f t="shared" si="40"/>
        <v>0</v>
      </c>
      <c r="AE218" s="318">
        <f t="shared" si="40"/>
        <v>0</v>
      </c>
    </row>
    <row r="219" spans="1:31">
      <c r="A219" s="1711"/>
      <c r="B219" s="116">
        <v>15</v>
      </c>
      <c r="C219" s="316">
        <f>'CAR SEC'!J18</f>
        <v>2.0347289621459685</v>
      </c>
      <c r="D219" s="317">
        <f t="shared" si="41"/>
        <v>2.0312691514738281</v>
      </c>
      <c r="E219" s="317">
        <f t="shared" si="41"/>
        <v>2.0252864515907825</v>
      </c>
      <c r="F219" s="317">
        <f t="shared" si="41"/>
        <v>2.1314477350905769</v>
      </c>
      <c r="G219" s="317">
        <f t="shared" si="41"/>
        <v>1.9851398250250281</v>
      </c>
      <c r="H219" s="317">
        <f t="shared" si="41"/>
        <v>2.008395383284086</v>
      </c>
      <c r="I219" s="317">
        <f t="shared" si="41"/>
        <v>2.0471568855997608</v>
      </c>
      <c r="J219" s="317">
        <f t="shared" si="41"/>
        <v>2.0108018397653118</v>
      </c>
      <c r="K219" s="317">
        <f t="shared" si="41"/>
        <v>2.0127984101893484</v>
      </c>
      <c r="L219" s="317">
        <f t="shared" si="41"/>
        <v>1.9712053809241663</v>
      </c>
      <c r="M219" s="317">
        <f t="shared" si="41"/>
        <v>1.9222233631560794</v>
      </c>
      <c r="N219" s="317">
        <f t="shared" si="41"/>
        <v>1.8460953652639764</v>
      </c>
      <c r="O219" s="317">
        <f t="shared" si="41"/>
        <v>1.690898464600417</v>
      </c>
      <c r="P219" s="317">
        <f t="shared" si="41"/>
        <v>1.6570254770649306</v>
      </c>
      <c r="Q219" s="317">
        <f t="shared" si="41"/>
        <v>1.644066516716596</v>
      </c>
      <c r="R219" s="317">
        <f t="shared" si="41"/>
        <v>1.6003354468297524</v>
      </c>
      <c r="S219" s="317">
        <f t="shared" si="41"/>
        <v>0</v>
      </c>
      <c r="T219" s="317">
        <f t="shared" si="40"/>
        <v>0</v>
      </c>
      <c r="U219" s="317">
        <f t="shared" si="40"/>
        <v>0</v>
      </c>
      <c r="V219" s="317">
        <f t="shared" si="40"/>
        <v>0</v>
      </c>
      <c r="W219" s="317">
        <f t="shared" si="40"/>
        <v>0</v>
      </c>
      <c r="X219" s="317">
        <f t="shared" si="40"/>
        <v>0</v>
      </c>
      <c r="Y219" s="317">
        <f t="shared" si="40"/>
        <v>0</v>
      </c>
      <c r="Z219" s="317">
        <f t="shared" si="40"/>
        <v>0</v>
      </c>
      <c r="AA219" s="317">
        <f t="shared" si="40"/>
        <v>0</v>
      </c>
      <c r="AB219" s="317">
        <f t="shared" si="40"/>
        <v>0</v>
      </c>
      <c r="AC219" s="317">
        <f t="shared" si="40"/>
        <v>0</v>
      </c>
      <c r="AD219" s="317">
        <f t="shared" si="40"/>
        <v>0</v>
      </c>
      <c r="AE219" s="318">
        <f t="shared" si="40"/>
        <v>0</v>
      </c>
    </row>
    <row r="220" spans="1:31">
      <c r="A220" s="1711"/>
      <c r="B220" s="116">
        <v>16</v>
      </c>
      <c r="C220" s="316">
        <f>'CAR SEC'!J19</f>
        <v>2.0322111772803506</v>
      </c>
      <c r="D220" s="317">
        <f t="shared" si="41"/>
        <v>2.0347289621459685</v>
      </c>
      <c r="E220" s="317">
        <f t="shared" si="41"/>
        <v>2.0312691514738281</v>
      </c>
      <c r="F220" s="317">
        <f t="shared" si="41"/>
        <v>2.0252864515907825</v>
      </c>
      <c r="G220" s="317">
        <f t="shared" si="41"/>
        <v>2.1314477350905769</v>
      </c>
      <c r="H220" s="317">
        <f t="shared" si="41"/>
        <v>1.9851398250250281</v>
      </c>
      <c r="I220" s="317">
        <f t="shared" si="41"/>
        <v>2.008395383284086</v>
      </c>
      <c r="J220" s="317">
        <f t="shared" si="41"/>
        <v>2.0471568855997608</v>
      </c>
      <c r="K220" s="317">
        <f t="shared" si="41"/>
        <v>2.0108018397653118</v>
      </c>
      <c r="L220" s="317">
        <f t="shared" si="41"/>
        <v>2.0127984101893484</v>
      </c>
      <c r="M220" s="317">
        <f t="shared" si="41"/>
        <v>1.9712053809241663</v>
      </c>
      <c r="N220" s="317">
        <f t="shared" si="41"/>
        <v>1.9222233631560794</v>
      </c>
      <c r="O220" s="317">
        <f t="shared" si="41"/>
        <v>1.8460953652639764</v>
      </c>
      <c r="P220" s="317">
        <f t="shared" si="41"/>
        <v>1.690898464600417</v>
      </c>
      <c r="Q220" s="317">
        <f t="shared" si="41"/>
        <v>1.6570254770649306</v>
      </c>
      <c r="R220" s="317">
        <f t="shared" si="41"/>
        <v>1.644066516716596</v>
      </c>
      <c r="S220" s="317">
        <f t="shared" si="41"/>
        <v>1.6003354468297524</v>
      </c>
      <c r="T220" s="317">
        <f t="shared" si="40"/>
        <v>0</v>
      </c>
      <c r="U220" s="317">
        <f t="shared" si="40"/>
        <v>0</v>
      </c>
      <c r="V220" s="317">
        <f t="shared" si="40"/>
        <v>0</v>
      </c>
      <c r="W220" s="317">
        <f t="shared" si="40"/>
        <v>0</v>
      </c>
      <c r="X220" s="317">
        <f t="shared" si="40"/>
        <v>0</v>
      </c>
      <c r="Y220" s="317">
        <f t="shared" si="40"/>
        <v>0</v>
      </c>
      <c r="Z220" s="317">
        <f t="shared" si="40"/>
        <v>0</v>
      </c>
      <c r="AA220" s="317">
        <f t="shared" si="40"/>
        <v>0</v>
      </c>
      <c r="AB220" s="317">
        <f t="shared" si="40"/>
        <v>0</v>
      </c>
      <c r="AC220" s="317">
        <f t="shared" si="40"/>
        <v>0</v>
      </c>
      <c r="AD220" s="317">
        <f t="shared" si="40"/>
        <v>0</v>
      </c>
      <c r="AE220" s="318">
        <f t="shared" si="40"/>
        <v>0</v>
      </c>
    </row>
    <row r="221" spans="1:31">
      <c r="A221" s="1711"/>
      <c r="B221" s="116">
        <v>17</v>
      </c>
      <c r="C221" s="316">
        <f>'CAR SEC'!J20</f>
        <v>2.0297796244503741</v>
      </c>
      <c r="D221" s="317">
        <f t="shared" si="41"/>
        <v>2.0322111772803506</v>
      </c>
      <c r="E221" s="317">
        <f t="shared" si="41"/>
        <v>2.0347289621459685</v>
      </c>
      <c r="F221" s="317">
        <f t="shared" si="41"/>
        <v>2.0312691514738281</v>
      </c>
      <c r="G221" s="317">
        <f t="shared" si="41"/>
        <v>2.0252864515907825</v>
      </c>
      <c r="H221" s="317">
        <f t="shared" si="41"/>
        <v>2.1314477350905769</v>
      </c>
      <c r="I221" s="317">
        <f t="shared" si="41"/>
        <v>1.9851398250250281</v>
      </c>
      <c r="J221" s="317">
        <f t="shared" si="41"/>
        <v>2.008395383284086</v>
      </c>
      <c r="K221" s="317">
        <f t="shared" si="41"/>
        <v>2.0471568855997608</v>
      </c>
      <c r="L221" s="317">
        <f t="shared" si="41"/>
        <v>2.0108018397653118</v>
      </c>
      <c r="M221" s="317">
        <f t="shared" si="41"/>
        <v>2.0127984101893484</v>
      </c>
      <c r="N221" s="317">
        <f t="shared" si="41"/>
        <v>1.9712053809241663</v>
      </c>
      <c r="O221" s="317">
        <f t="shared" si="41"/>
        <v>1.9222233631560794</v>
      </c>
      <c r="P221" s="317">
        <f t="shared" si="41"/>
        <v>1.8460953652639764</v>
      </c>
      <c r="Q221" s="317">
        <f t="shared" si="41"/>
        <v>1.690898464600417</v>
      </c>
      <c r="R221" s="317">
        <f t="shared" si="41"/>
        <v>1.6570254770649306</v>
      </c>
      <c r="S221" s="317">
        <f t="shared" ref="S221:AE229" si="42">R220</f>
        <v>1.644066516716596</v>
      </c>
      <c r="T221" s="317">
        <f t="shared" si="42"/>
        <v>1.6003354468297524</v>
      </c>
      <c r="U221" s="317">
        <f t="shared" si="42"/>
        <v>0</v>
      </c>
      <c r="V221" s="317">
        <f t="shared" si="42"/>
        <v>0</v>
      </c>
      <c r="W221" s="317">
        <f t="shared" si="42"/>
        <v>0</v>
      </c>
      <c r="X221" s="317">
        <f t="shared" si="42"/>
        <v>0</v>
      </c>
      <c r="Y221" s="317">
        <f t="shared" si="42"/>
        <v>0</v>
      </c>
      <c r="Z221" s="317">
        <f t="shared" si="42"/>
        <v>0</v>
      </c>
      <c r="AA221" s="317">
        <f t="shared" si="42"/>
        <v>0</v>
      </c>
      <c r="AB221" s="317">
        <f t="shared" si="42"/>
        <v>0</v>
      </c>
      <c r="AC221" s="317">
        <f t="shared" si="42"/>
        <v>0</v>
      </c>
      <c r="AD221" s="317">
        <f t="shared" si="42"/>
        <v>0</v>
      </c>
      <c r="AE221" s="318">
        <f t="shared" si="42"/>
        <v>0</v>
      </c>
    </row>
    <row r="222" spans="1:31">
      <c r="A222" s="1711"/>
      <c r="B222" s="116">
        <v>18</v>
      </c>
      <c r="C222" s="316">
        <f>'CAR SEC'!J21</f>
        <v>2.0268733318101746</v>
      </c>
      <c r="D222" s="317">
        <f t="shared" ref="D222:S229" si="43">C221</f>
        <v>2.0297796244503741</v>
      </c>
      <c r="E222" s="317">
        <f t="shared" si="43"/>
        <v>2.0322111772803506</v>
      </c>
      <c r="F222" s="317">
        <f t="shared" si="43"/>
        <v>2.0347289621459685</v>
      </c>
      <c r="G222" s="317">
        <f t="shared" si="43"/>
        <v>2.0312691514738281</v>
      </c>
      <c r="H222" s="317">
        <f t="shared" si="43"/>
        <v>2.0252864515907825</v>
      </c>
      <c r="I222" s="317">
        <f t="shared" si="43"/>
        <v>2.1314477350905769</v>
      </c>
      <c r="J222" s="317">
        <f t="shared" si="43"/>
        <v>1.9851398250250281</v>
      </c>
      <c r="K222" s="317">
        <f t="shared" si="43"/>
        <v>2.008395383284086</v>
      </c>
      <c r="L222" s="317">
        <f t="shared" si="43"/>
        <v>2.0471568855997608</v>
      </c>
      <c r="M222" s="317">
        <f t="shared" si="43"/>
        <v>2.0108018397653118</v>
      </c>
      <c r="N222" s="317">
        <f t="shared" si="43"/>
        <v>2.0127984101893484</v>
      </c>
      <c r="O222" s="317">
        <f t="shared" si="43"/>
        <v>1.9712053809241663</v>
      </c>
      <c r="P222" s="317">
        <f t="shared" si="43"/>
        <v>1.9222233631560794</v>
      </c>
      <c r="Q222" s="317">
        <f t="shared" si="43"/>
        <v>1.8460953652639764</v>
      </c>
      <c r="R222" s="317">
        <f t="shared" si="43"/>
        <v>1.690898464600417</v>
      </c>
      <c r="S222" s="317">
        <f t="shared" si="43"/>
        <v>1.6570254770649306</v>
      </c>
      <c r="T222" s="317">
        <f t="shared" si="42"/>
        <v>1.644066516716596</v>
      </c>
      <c r="U222" s="317">
        <f t="shared" si="42"/>
        <v>1.6003354468297524</v>
      </c>
      <c r="V222" s="317">
        <f t="shared" si="42"/>
        <v>0</v>
      </c>
      <c r="W222" s="317">
        <f t="shared" si="42"/>
        <v>0</v>
      </c>
      <c r="X222" s="317">
        <f t="shared" si="42"/>
        <v>0</v>
      </c>
      <c r="Y222" s="317">
        <f t="shared" si="42"/>
        <v>0</v>
      </c>
      <c r="Z222" s="317">
        <f t="shared" si="42"/>
        <v>0</v>
      </c>
      <c r="AA222" s="317">
        <f t="shared" si="42"/>
        <v>0</v>
      </c>
      <c r="AB222" s="317">
        <f t="shared" si="42"/>
        <v>0</v>
      </c>
      <c r="AC222" s="317">
        <f t="shared" si="42"/>
        <v>0</v>
      </c>
      <c r="AD222" s="317">
        <f t="shared" si="42"/>
        <v>0</v>
      </c>
      <c r="AE222" s="318">
        <f t="shared" si="42"/>
        <v>0</v>
      </c>
    </row>
    <row r="223" spans="1:31">
      <c r="A223" s="1711"/>
      <c r="B223" s="116">
        <v>19</v>
      </c>
      <c r="C223" s="316">
        <f>'CAR SEC'!J22</f>
        <v>2.0292732903783262</v>
      </c>
      <c r="D223" s="317">
        <f t="shared" si="43"/>
        <v>2.0268733318101746</v>
      </c>
      <c r="E223" s="317">
        <f t="shared" si="43"/>
        <v>2.0297796244503741</v>
      </c>
      <c r="F223" s="317">
        <f t="shared" si="43"/>
        <v>2.0322111772803506</v>
      </c>
      <c r="G223" s="317">
        <f t="shared" si="43"/>
        <v>2.0347289621459685</v>
      </c>
      <c r="H223" s="317">
        <f t="shared" si="43"/>
        <v>2.0312691514738281</v>
      </c>
      <c r="I223" s="317">
        <f t="shared" si="43"/>
        <v>2.0252864515907825</v>
      </c>
      <c r="J223" s="317">
        <f t="shared" si="43"/>
        <v>2.1314477350905769</v>
      </c>
      <c r="K223" s="317">
        <f t="shared" si="43"/>
        <v>1.9851398250250281</v>
      </c>
      <c r="L223" s="317">
        <f t="shared" si="43"/>
        <v>2.008395383284086</v>
      </c>
      <c r="M223" s="317">
        <f t="shared" si="43"/>
        <v>2.0471568855997608</v>
      </c>
      <c r="N223" s="317">
        <f t="shared" si="43"/>
        <v>2.0108018397653118</v>
      </c>
      <c r="O223" s="317">
        <f t="shared" si="43"/>
        <v>2.0127984101893484</v>
      </c>
      <c r="P223" s="317">
        <f t="shared" si="43"/>
        <v>1.9712053809241663</v>
      </c>
      <c r="Q223" s="317">
        <f t="shared" si="43"/>
        <v>1.9222233631560794</v>
      </c>
      <c r="R223" s="317">
        <f t="shared" si="43"/>
        <v>1.8460953652639764</v>
      </c>
      <c r="S223" s="317">
        <f t="shared" si="43"/>
        <v>1.690898464600417</v>
      </c>
      <c r="T223" s="317">
        <f t="shared" si="42"/>
        <v>1.6570254770649306</v>
      </c>
      <c r="U223" s="317">
        <f t="shared" si="42"/>
        <v>1.644066516716596</v>
      </c>
      <c r="V223" s="317">
        <f t="shared" si="42"/>
        <v>1.6003354468297524</v>
      </c>
      <c r="W223" s="317">
        <f t="shared" si="42"/>
        <v>0</v>
      </c>
      <c r="X223" s="317">
        <f t="shared" si="42"/>
        <v>0</v>
      </c>
      <c r="Y223" s="317">
        <f t="shared" si="42"/>
        <v>0</v>
      </c>
      <c r="Z223" s="317">
        <f t="shared" si="42"/>
        <v>0</v>
      </c>
      <c r="AA223" s="317">
        <f t="shared" si="42"/>
        <v>0</v>
      </c>
      <c r="AB223" s="317">
        <f t="shared" si="42"/>
        <v>0</v>
      </c>
      <c r="AC223" s="317">
        <f t="shared" si="42"/>
        <v>0</v>
      </c>
      <c r="AD223" s="317">
        <f t="shared" si="42"/>
        <v>0</v>
      </c>
      <c r="AE223" s="318">
        <f t="shared" si="42"/>
        <v>0</v>
      </c>
    </row>
    <row r="224" spans="1:31">
      <c r="A224" s="1711"/>
      <c r="B224" s="116">
        <v>20</v>
      </c>
      <c r="C224" s="316">
        <f>'CAR SEC'!J23</f>
        <v>2.0345764652082159</v>
      </c>
      <c r="D224" s="317">
        <f t="shared" si="43"/>
        <v>2.0292732903783262</v>
      </c>
      <c r="E224" s="317">
        <f t="shared" si="43"/>
        <v>2.0268733318101746</v>
      </c>
      <c r="F224" s="317">
        <f t="shared" si="43"/>
        <v>2.0297796244503741</v>
      </c>
      <c r="G224" s="317">
        <f t="shared" si="43"/>
        <v>2.0322111772803506</v>
      </c>
      <c r="H224" s="317">
        <f t="shared" si="43"/>
        <v>2.0347289621459685</v>
      </c>
      <c r="I224" s="317">
        <f t="shared" si="43"/>
        <v>2.0312691514738281</v>
      </c>
      <c r="J224" s="317">
        <f t="shared" si="43"/>
        <v>2.0252864515907825</v>
      </c>
      <c r="K224" s="317">
        <f t="shared" si="43"/>
        <v>2.1314477350905769</v>
      </c>
      <c r="L224" s="317">
        <f t="shared" si="43"/>
        <v>1.9851398250250281</v>
      </c>
      <c r="M224" s="317">
        <f t="shared" si="43"/>
        <v>2.008395383284086</v>
      </c>
      <c r="N224" s="317">
        <f t="shared" si="43"/>
        <v>2.0471568855997608</v>
      </c>
      <c r="O224" s="317">
        <f t="shared" si="43"/>
        <v>2.0108018397653118</v>
      </c>
      <c r="P224" s="317">
        <f t="shared" si="43"/>
        <v>2.0127984101893484</v>
      </c>
      <c r="Q224" s="317">
        <f t="shared" si="43"/>
        <v>1.9712053809241663</v>
      </c>
      <c r="R224" s="317">
        <f t="shared" si="43"/>
        <v>1.9222233631560794</v>
      </c>
      <c r="S224" s="317">
        <f t="shared" si="43"/>
        <v>1.8460953652639764</v>
      </c>
      <c r="T224" s="317">
        <f t="shared" si="42"/>
        <v>1.690898464600417</v>
      </c>
      <c r="U224" s="317">
        <f t="shared" si="42"/>
        <v>1.6570254770649306</v>
      </c>
      <c r="V224" s="317">
        <f t="shared" si="42"/>
        <v>1.644066516716596</v>
      </c>
      <c r="W224" s="317">
        <f t="shared" si="42"/>
        <v>1.6003354468297524</v>
      </c>
      <c r="X224" s="317">
        <f t="shared" si="42"/>
        <v>0</v>
      </c>
      <c r="Y224" s="317">
        <f t="shared" si="42"/>
        <v>0</v>
      </c>
      <c r="Z224" s="317">
        <f t="shared" si="42"/>
        <v>0</v>
      </c>
      <c r="AA224" s="317">
        <f t="shared" si="42"/>
        <v>0</v>
      </c>
      <c r="AB224" s="317">
        <f t="shared" si="42"/>
        <v>0</v>
      </c>
      <c r="AC224" s="317">
        <f t="shared" si="42"/>
        <v>0</v>
      </c>
      <c r="AD224" s="317">
        <f t="shared" si="42"/>
        <v>0</v>
      </c>
      <c r="AE224" s="318">
        <f t="shared" si="42"/>
        <v>0</v>
      </c>
    </row>
    <row r="225" spans="1:31">
      <c r="A225" s="1711"/>
      <c r="B225" s="116">
        <v>21</v>
      </c>
      <c r="C225" s="316">
        <f>'CAR SEC'!J24</f>
        <v>2.0238129907768427</v>
      </c>
      <c r="D225" s="317">
        <f t="shared" si="43"/>
        <v>2.0345764652082159</v>
      </c>
      <c r="E225" s="317">
        <f t="shared" si="43"/>
        <v>2.0292732903783262</v>
      </c>
      <c r="F225" s="317">
        <f t="shared" si="43"/>
        <v>2.0268733318101746</v>
      </c>
      <c r="G225" s="317">
        <f t="shared" si="43"/>
        <v>2.0297796244503741</v>
      </c>
      <c r="H225" s="317">
        <f t="shared" si="43"/>
        <v>2.0322111772803506</v>
      </c>
      <c r="I225" s="317">
        <f t="shared" si="43"/>
        <v>2.0347289621459685</v>
      </c>
      <c r="J225" s="317">
        <f t="shared" si="43"/>
        <v>2.0312691514738281</v>
      </c>
      <c r="K225" s="317">
        <f t="shared" si="43"/>
        <v>2.0252864515907825</v>
      </c>
      <c r="L225" s="317">
        <f t="shared" si="43"/>
        <v>2.1314477350905769</v>
      </c>
      <c r="M225" s="317">
        <f t="shared" si="43"/>
        <v>1.9851398250250281</v>
      </c>
      <c r="N225" s="317">
        <f t="shared" si="43"/>
        <v>2.008395383284086</v>
      </c>
      <c r="O225" s="317">
        <f t="shared" si="43"/>
        <v>2.0471568855997608</v>
      </c>
      <c r="P225" s="317">
        <f t="shared" si="43"/>
        <v>2.0108018397653118</v>
      </c>
      <c r="Q225" s="317">
        <f t="shared" si="43"/>
        <v>2.0127984101893484</v>
      </c>
      <c r="R225" s="317">
        <f t="shared" si="43"/>
        <v>1.9712053809241663</v>
      </c>
      <c r="S225" s="317">
        <f t="shared" si="43"/>
        <v>1.9222233631560794</v>
      </c>
      <c r="T225" s="317">
        <f t="shared" si="42"/>
        <v>1.8460953652639764</v>
      </c>
      <c r="U225" s="317">
        <f t="shared" si="42"/>
        <v>1.690898464600417</v>
      </c>
      <c r="V225" s="317">
        <f t="shared" si="42"/>
        <v>1.6570254770649306</v>
      </c>
      <c r="W225" s="317">
        <f t="shared" si="42"/>
        <v>1.644066516716596</v>
      </c>
      <c r="X225" s="317">
        <f t="shared" si="42"/>
        <v>1.6003354468297524</v>
      </c>
      <c r="Y225" s="317">
        <f t="shared" si="42"/>
        <v>0</v>
      </c>
      <c r="Z225" s="317">
        <f t="shared" si="42"/>
        <v>0</v>
      </c>
      <c r="AA225" s="317">
        <f t="shared" si="42"/>
        <v>0</v>
      </c>
      <c r="AB225" s="317">
        <f t="shared" si="42"/>
        <v>0</v>
      </c>
      <c r="AC225" s="317">
        <f t="shared" si="42"/>
        <v>0</v>
      </c>
      <c r="AD225" s="317">
        <f t="shared" si="42"/>
        <v>0</v>
      </c>
      <c r="AE225" s="318">
        <f t="shared" si="42"/>
        <v>0</v>
      </c>
    </row>
    <row r="226" spans="1:31">
      <c r="A226" s="1711"/>
      <c r="B226" s="116">
        <v>22</v>
      </c>
      <c r="C226" s="316">
        <f>'CAR SEC'!J25</f>
        <v>2.0236492729086275</v>
      </c>
      <c r="D226" s="317">
        <f t="shared" si="43"/>
        <v>2.0238129907768427</v>
      </c>
      <c r="E226" s="317">
        <f t="shared" si="43"/>
        <v>2.0345764652082159</v>
      </c>
      <c r="F226" s="317">
        <f t="shared" si="43"/>
        <v>2.0292732903783262</v>
      </c>
      <c r="G226" s="317">
        <f t="shared" si="43"/>
        <v>2.0268733318101746</v>
      </c>
      <c r="H226" s="317">
        <f t="shared" si="43"/>
        <v>2.0297796244503741</v>
      </c>
      <c r="I226" s="317">
        <f t="shared" si="43"/>
        <v>2.0322111772803506</v>
      </c>
      <c r="J226" s="317">
        <f t="shared" si="43"/>
        <v>2.0347289621459685</v>
      </c>
      <c r="K226" s="317">
        <f t="shared" si="43"/>
        <v>2.0312691514738281</v>
      </c>
      <c r="L226" s="317">
        <f t="shared" si="43"/>
        <v>2.0252864515907825</v>
      </c>
      <c r="M226" s="317">
        <f t="shared" si="43"/>
        <v>2.1314477350905769</v>
      </c>
      <c r="N226" s="317">
        <f t="shared" si="43"/>
        <v>1.9851398250250281</v>
      </c>
      <c r="O226" s="317">
        <f t="shared" si="43"/>
        <v>2.008395383284086</v>
      </c>
      <c r="P226" s="317">
        <f t="shared" si="43"/>
        <v>2.0471568855997608</v>
      </c>
      <c r="Q226" s="317">
        <f t="shared" si="43"/>
        <v>2.0108018397653118</v>
      </c>
      <c r="R226" s="317">
        <f t="shared" si="43"/>
        <v>2.0127984101893484</v>
      </c>
      <c r="S226" s="317">
        <f t="shared" si="43"/>
        <v>1.9712053809241663</v>
      </c>
      <c r="T226" s="317">
        <f t="shared" si="42"/>
        <v>1.9222233631560794</v>
      </c>
      <c r="U226" s="317">
        <f t="shared" si="42"/>
        <v>1.8460953652639764</v>
      </c>
      <c r="V226" s="317">
        <f t="shared" si="42"/>
        <v>1.690898464600417</v>
      </c>
      <c r="W226" s="317">
        <f t="shared" si="42"/>
        <v>1.6570254770649306</v>
      </c>
      <c r="X226" s="317">
        <f t="shared" si="42"/>
        <v>1.644066516716596</v>
      </c>
      <c r="Y226" s="317">
        <f t="shared" si="42"/>
        <v>1.6003354468297524</v>
      </c>
      <c r="Z226" s="317">
        <f t="shared" si="42"/>
        <v>0</v>
      </c>
      <c r="AA226" s="317">
        <f t="shared" si="42"/>
        <v>0</v>
      </c>
      <c r="AB226" s="317">
        <f t="shared" si="42"/>
        <v>0</v>
      </c>
      <c r="AC226" s="317">
        <f t="shared" si="42"/>
        <v>0</v>
      </c>
      <c r="AD226" s="317">
        <f t="shared" si="42"/>
        <v>0</v>
      </c>
      <c r="AE226" s="318">
        <f t="shared" si="42"/>
        <v>0</v>
      </c>
    </row>
    <row r="227" spans="1:31">
      <c r="A227" s="1711"/>
      <c r="B227" s="116">
        <v>23</v>
      </c>
      <c r="C227" s="316">
        <f>'CAR SEC'!J26</f>
        <v>2.022802619734716</v>
      </c>
      <c r="D227" s="317">
        <f t="shared" si="43"/>
        <v>2.0236492729086275</v>
      </c>
      <c r="E227" s="317">
        <f t="shared" si="43"/>
        <v>2.0238129907768427</v>
      </c>
      <c r="F227" s="317">
        <f t="shared" si="43"/>
        <v>2.0345764652082159</v>
      </c>
      <c r="G227" s="317">
        <f t="shared" si="43"/>
        <v>2.0292732903783262</v>
      </c>
      <c r="H227" s="317">
        <f t="shared" si="43"/>
        <v>2.0268733318101746</v>
      </c>
      <c r="I227" s="317">
        <f t="shared" si="43"/>
        <v>2.0297796244503741</v>
      </c>
      <c r="J227" s="317">
        <f t="shared" si="43"/>
        <v>2.0322111772803506</v>
      </c>
      <c r="K227" s="317">
        <f t="shared" si="43"/>
        <v>2.0347289621459685</v>
      </c>
      <c r="L227" s="317">
        <f t="shared" si="43"/>
        <v>2.0312691514738281</v>
      </c>
      <c r="M227" s="317">
        <f t="shared" si="43"/>
        <v>2.0252864515907825</v>
      </c>
      <c r="N227" s="317">
        <f t="shared" si="43"/>
        <v>2.1314477350905769</v>
      </c>
      <c r="O227" s="317">
        <f t="shared" si="43"/>
        <v>1.9851398250250281</v>
      </c>
      <c r="P227" s="317">
        <f t="shared" si="43"/>
        <v>2.008395383284086</v>
      </c>
      <c r="Q227" s="317">
        <f t="shared" si="43"/>
        <v>2.0471568855997608</v>
      </c>
      <c r="R227" s="317">
        <f t="shared" si="43"/>
        <v>2.0108018397653118</v>
      </c>
      <c r="S227" s="317">
        <f t="shared" si="43"/>
        <v>2.0127984101893484</v>
      </c>
      <c r="T227" s="317">
        <f t="shared" si="42"/>
        <v>1.9712053809241663</v>
      </c>
      <c r="U227" s="317">
        <f t="shared" si="42"/>
        <v>1.9222233631560794</v>
      </c>
      <c r="V227" s="317">
        <f t="shared" si="42"/>
        <v>1.8460953652639764</v>
      </c>
      <c r="W227" s="317">
        <f t="shared" si="42"/>
        <v>1.690898464600417</v>
      </c>
      <c r="X227" s="317">
        <f t="shared" si="42"/>
        <v>1.6570254770649306</v>
      </c>
      <c r="Y227" s="317">
        <f t="shared" si="42"/>
        <v>1.644066516716596</v>
      </c>
      <c r="Z227" s="317">
        <f t="shared" si="42"/>
        <v>1.6003354468297524</v>
      </c>
      <c r="AA227" s="317">
        <f t="shared" si="42"/>
        <v>0</v>
      </c>
      <c r="AB227" s="317">
        <f t="shared" si="42"/>
        <v>0</v>
      </c>
      <c r="AC227" s="317">
        <f t="shared" si="42"/>
        <v>0</v>
      </c>
      <c r="AD227" s="317">
        <f t="shared" si="42"/>
        <v>0</v>
      </c>
      <c r="AE227" s="318">
        <f t="shared" si="42"/>
        <v>0</v>
      </c>
    </row>
    <row r="228" spans="1:31">
      <c r="A228" s="1711"/>
      <c r="B228" s="116">
        <v>24</v>
      </c>
      <c r="C228" s="316">
        <f>C227</f>
        <v>2.022802619734716</v>
      </c>
      <c r="D228" s="317">
        <f t="shared" si="43"/>
        <v>2.022802619734716</v>
      </c>
      <c r="E228" s="317">
        <f t="shared" si="43"/>
        <v>2.0236492729086275</v>
      </c>
      <c r="F228" s="317">
        <f t="shared" si="43"/>
        <v>2.0238129907768427</v>
      </c>
      <c r="G228" s="317">
        <f t="shared" si="43"/>
        <v>2.0345764652082159</v>
      </c>
      <c r="H228" s="317">
        <f t="shared" si="43"/>
        <v>2.0292732903783262</v>
      </c>
      <c r="I228" s="317">
        <f t="shared" si="43"/>
        <v>2.0268733318101746</v>
      </c>
      <c r="J228" s="317">
        <f t="shared" si="43"/>
        <v>2.0297796244503741</v>
      </c>
      <c r="K228" s="317">
        <f t="shared" si="43"/>
        <v>2.0322111772803506</v>
      </c>
      <c r="L228" s="317">
        <f t="shared" si="43"/>
        <v>2.0347289621459685</v>
      </c>
      <c r="M228" s="317">
        <f t="shared" si="43"/>
        <v>2.0312691514738281</v>
      </c>
      <c r="N228" s="317">
        <f t="shared" si="43"/>
        <v>2.0252864515907825</v>
      </c>
      <c r="O228" s="317">
        <f t="shared" si="43"/>
        <v>2.1314477350905769</v>
      </c>
      <c r="P228" s="317">
        <f t="shared" si="43"/>
        <v>1.9851398250250281</v>
      </c>
      <c r="Q228" s="317">
        <f t="shared" si="43"/>
        <v>2.008395383284086</v>
      </c>
      <c r="R228" s="317">
        <f t="shared" si="43"/>
        <v>2.0471568855997608</v>
      </c>
      <c r="S228" s="317">
        <f t="shared" si="43"/>
        <v>2.0108018397653118</v>
      </c>
      <c r="T228" s="317">
        <f t="shared" si="42"/>
        <v>2.0127984101893484</v>
      </c>
      <c r="U228" s="317">
        <f t="shared" si="42"/>
        <v>1.9712053809241663</v>
      </c>
      <c r="V228" s="317">
        <f t="shared" si="42"/>
        <v>1.9222233631560794</v>
      </c>
      <c r="W228" s="317">
        <f t="shared" si="42"/>
        <v>1.8460953652639764</v>
      </c>
      <c r="X228" s="317">
        <f t="shared" si="42"/>
        <v>1.690898464600417</v>
      </c>
      <c r="Y228" s="317">
        <f t="shared" si="42"/>
        <v>1.6570254770649306</v>
      </c>
      <c r="Z228" s="317">
        <f t="shared" si="42"/>
        <v>1.644066516716596</v>
      </c>
      <c r="AA228" s="317">
        <f t="shared" si="42"/>
        <v>1.6003354468297524</v>
      </c>
      <c r="AB228" s="317">
        <f t="shared" si="42"/>
        <v>0</v>
      </c>
      <c r="AC228" s="317">
        <f t="shared" si="42"/>
        <v>0</v>
      </c>
      <c r="AD228" s="317">
        <f t="shared" si="42"/>
        <v>0</v>
      </c>
      <c r="AE228" s="318">
        <f t="shared" si="42"/>
        <v>0</v>
      </c>
    </row>
    <row r="229" spans="1:31" ht="15.75" thickBot="1">
      <c r="A229" s="1711"/>
      <c r="B229" s="116">
        <v>25</v>
      </c>
      <c r="C229" s="324">
        <f>C228</f>
        <v>2.022802619734716</v>
      </c>
      <c r="D229" s="325">
        <f t="shared" si="43"/>
        <v>2.022802619734716</v>
      </c>
      <c r="E229" s="325">
        <f t="shared" si="43"/>
        <v>2.022802619734716</v>
      </c>
      <c r="F229" s="325">
        <f t="shared" si="43"/>
        <v>2.0236492729086275</v>
      </c>
      <c r="G229" s="325">
        <f t="shared" si="43"/>
        <v>2.0238129907768427</v>
      </c>
      <c r="H229" s="325">
        <f t="shared" si="43"/>
        <v>2.0345764652082159</v>
      </c>
      <c r="I229" s="325">
        <f t="shared" si="43"/>
        <v>2.0292732903783262</v>
      </c>
      <c r="J229" s="325">
        <f t="shared" si="43"/>
        <v>2.0268733318101746</v>
      </c>
      <c r="K229" s="325">
        <f t="shared" si="43"/>
        <v>2.0297796244503741</v>
      </c>
      <c r="L229" s="325">
        <f t="shared" si="43"/>
        <v>2.0322111772803506</v>
      </c>
      <c r="M229" s="325">
        <f t="shared" si="43"/>
        <v>2.0347289621459685</v>
      </c>
      <c r="N229" s="325">
        <f t="shared" si="43"/>
        <v>2.0312691514738281</v>
      </c>
      <c r="O229" s="325">
        <f t="shared" si="43"/>
        <v>2.0252864515907825</v>
      </c>
      <c r="P229" s="325">
        <f t="shared" si="43"/>
        <v>2.1314477350905769</v>
      </c>
      <c r="Q229" s="325">
        <f t="shared" si="43"/>
        <v>1.9851398250250281</v>
      </c>
      <c r="R229" s="325">
        <f t="shared" si="43"/>
        <v>2.008395383284086</v>
      </c>
      <c r="S229" s="325">
        <f t="shared" si="43"/>
        <v>2.0471568855997608</v>
      </c>
      <c r="T229" s="325">
        <f t="shared" si="42"/>
        <v>2.0108018397653118</v>
      </c>
      <c r="U229" s="325">
        <f t="shared" si="42"/>
        <v>2.0127984101893484</v>
      </c>
      <c r="V229" s="325">
        <f t="shared" si="42"/>
        <v>1.9712053809241663</v>
      </c>
      <c r="W229" s="325">
        <f t="shared" si="42"/>
        <v>1.9222233631560794</v>
      </c>
      <c r="X229" s="325">
        <f t="shared" si="42"/>
        <v>1.8460953652639764</v>
      </c>
      <c r="Y229" s="325">
        <f t="shared" si="42"/>
        <v>1.690898464600417</v>
      </c>
      <c r="Z229" s="325">
        <f t="shared" si="42"/>
        <v>1.6570254770649306</v>
      </c>
      <c r="AA229" s="325">
        <f t="shared" si="42"/>
        <v>1.644066516716596</v>
      </c>
      <c r="AB229" s="325">
        <f t="shared" si="42"/>
        <v>1.6003354468297524</v>
      </c>
      <c r="AC229" s="325">
        <f t="shared" si="42"/>
        <v>0</v>
      </c>
      <c r="AD229" s="325">
        <f t="shared" si="42"/>
        <v>0</v>
      </c>
      <c r="AE229" s="326">
        <f t="shared" si="42"/>
        <v>0</v>
      </c>
    </row>
    <row r="230" spans="1:31" ht="16.5" thickTop="1" thickBot="1">
      <c r="A230" s="1712"/>
      <c r="B230" s="300" t="s">
        <v>39</v>
      </c>
      <c r="C230" s="327">
        <f>SUMPRODUCT('CAR Stock'!C227:C252,C204:C229)/'CAR Stock'!C253</f>
        <v>1.860839429292553</v>
      </c>
      <c r="D230" s="327">
        <f>SUMPRODUCT('CAR Stock'!D227:D252,D204:D229)/'CAR Stock'!D253</f>
        <v>1.8544083216689198</v>
      </c>
      <c r="E230" s="327">
        <f>SUMPRODUCT('CAR Stock'!E227:E252,E204:E229)/'CAR Stock'!E253</f>
        <v>1.847896973538117</v>
      </c>
      <c r="F230" s="327">
        <f>SUMPRODUCT('CAR Stock'!F227:F252,F204:F229)/'CAR Stock'!F253</f>
        <v>1.8401139794107242</v>
      </c>
      <c r="G230" s="327">
        <f>SUMPRODUCT('CAR Stock'!G227:G252,G204:G229)/'CAR Stock'!G253</f>
        <v>1.8296466664637794</v>
      </c>
      <c r="H230" s="327">
        <f>SUMPRODUCT('CAR Stock'!H227:H252,H204:H229)/'CAR Stock'!H253</f>
        <v>1.8156179726572568</v>
      </c>
      <c r="I230" s="327">
        <f>SUMPRODUCT('CAR Stock'!I227:I252,I204:I229)/'CAR Stock'!I253</f>
        <v>1.7976730928966576</v>
      </c>
      <c r="J230" s="327">
        <f>SUMPRODUCT('CAR Stock'!J227:J252,J204:J229)/'CAR Stock'!J253</f>
        <v>1.7758176279343827</v>
      </c>
      <c r="K230" s="327">
        <f>SUMPRODUCT('CAR Stock'!K227:K252,K204:K229)/'CAR Stock'!K253</f>
        <v>1.7498918911980359</v>
      </c>
      <c r="L230" s="327">
        <f>SUMPRODUCT('CAR Stock'!L227:L252,L204:L229)/'CAR Stock'!L253</f>
        <v>1.7190889149255655</v>
      </c>
      <c r="M230" s="327">
        <f>SUMPRODUCT('CAR Stock'!M227:M252,M204:M229)/'CAR Stock'!M253</f>
        <v>1.687456606889987</v>
      </c>
      <c r="N230" s="327">
        <f>SUMPRODUCT('CAR Stock'!N227:N252,N204:N229)/'CAR Stock'!N253</f>
        <v>1.6608317025066988</v>
      </c>
      <c r="O230" s="327">
        <f>SUMPRODUCT('CAR Stock'!O227:O252,O204:O229)/'CAR Stock'!O253</f>
        <v>1.6424905345777923</v>
      </c>
      <c r="P230" s="327">
        <f>SUMPRODUCT('CAR Stock'!P227:P252,P204:P229)/'CAR Stock'!P253</f>
        <v>1.6307853790654461</v>
      </c>
      <c r="Q230" s="327">
        <f>SUMPRODUCT('CAR Stock'!Q227:Q252,Q204:Q229)/'CAR Stock'!Q253</f>
        <v>1.6231009801384899</v>
      </c>
      <c r="R230" s="327">
        <f>SUMPRODUCT('CAR Stock'!R227:R252,R204:R229)/'CAR Stock'!R253</f>
        <v>1.6197993163874049</v>
      </c>
      <c r="S230" s="327">
        <f>SUMPRODUCT('CAR Stock'!S227:S252,S204:S229)/'CAR Stock'!S253</f>
        <v>1.6169128623026041</v>
      </c>
      <c r="T230" s="327">
        <f>SUMPRODUCT('CAR Stock'!T227:T252,T204:T229)/'CAR Stock'!T253</f>
        <v>1.6143537544735884</v>
      </c>
      <c r="U230" s="327">
        <f>SUMPRODUCT('CAR Stock'!U227:U252,U204:U229)/'CAR Stock'!U253</f>
        <v>1.6120425019925004</v>
      </c>
      <c r="V230" s="327">
        <f>SUMPRODUCT('CAR Stock'!V227:V252,V204:V229)/'CAR Stock'!V253</f>
        <v>1.6099094451292304</v>
      </c>
      <c r="W230" s="327">
        <f>SUMPRODUCT('CAR Stock'!W227:W252,W204:W229)/'CAR Stock'!W253</f>
        <v>1.6078960984314665</v>
      </c>
      <c r="X230" s="327">
        <f>SUMPRODUCT('CAR Stock'!X227:X252,X204:X229)/'CAR Stock'!X253</f>
        <v>1.6059564532190529</v>
      </c>
      <c r="Y230" s="327">
        <f>SUMPRODUCT('CAR Stock'!Y227:Y252,Y204:Y229)/'CAR Stock'!Y253</f>
        <v>1.6040583113969658</v>
      </c>
      <c r="Z230" s="327">
        <f>SUMPRODUCT('CAR Stock'!Z227:Z252,Z204:Z229)/'CAR Stock'!Z253</f>
        <v>1.6021847076787128</v>
      </c>
      <c r="AA230" s="327">
        <f>SUMPRODUCT('CAR Stock'!AA227:AA252,AA204:AA229)/'CAR Stock'!AA253</f>
        <v>1.6003354468297524</v>
      </c>
      <c r="AB230" s="327">
        <v>0</v>
      </c>
      <c r="AC230" s="327">
        <v>0</v>
      </c>
      <c r="AD230" s="327">
        <v>0</v>
      </c>
      <c r="AE230" s="327">
        <v>0</v>
      </c>
    </row>
    <row r="231" spans="1:31" ht="15.75" thickBot="1">
      <c r="A231" s="650"/>
    </row>
    <row r="232" spans="1:31" ht="15.75" customHeight="1" thickBot="1">
      <c r="A232" s="1710" t="s">
        <v>48</v>
      </c>
      <c r="B232" s="169" t="s">
        <v>10</v>
      </c>
      <c r="C232" s="288">
        <v>2012</v>
      </c>
      <c r="D232" s="289">
        <v>2013</v>
      </c>
      <c r="E232" s="289">
        <v>2014</v>
      </c>
      <c r="F232" s="289">
        <v>2015</v>
      </c>
      <c r="G232" s="288">
        <v>2016</v>
      </c>
      <c r="H232" s="289">
        <v>2017</v>
      </c>
      <c r="I232" s="289">
        <v>2018</v>
      </c>
      <c r="J232" s="289">
        <v>2019</v>
      </c>
      <c r="K232" s="288">
        <v>2020</v>
      </c>
      <c r="L232" s="289">
        <v>2021</v>
      </c>
      <c r="M232" s="289">
        <v>2022</v>
      </c>
      <c r="N232" s="289">
        <v>2023</v>
      </c>
      <c r="O232" s="288">
        <v>2024</v>
      </c>
      <c r="P232" s="289">
        <v>2025</v>
      </c>
      <c r="Q232" s="289">
        <v>2026</v>
      </c>
      <c r="R232" s="289">
        <v>2027</v>
      </c>
      <c r="S232" s="288">
        <v>2028</v>
      </c>
      <c r="T232" s="289">
        <v>2029</v>
      </c>
      <c r="U232" s="289">
        <v>2030</v>
      </c>
      <c r="V232" s="289">
        <v>2031</v>
      </c>
      <c r="W232" s="288">
        <v>2032</v>
      </c>
      <c r="X232" s="289">
        <v>2033</v>
      </c>
      <c r="Y232" s="289">
        <v>2034</v>
      </c>
      <c r="Z232" s="289">
        <v>2035</v>
      </c>
      <c r="AA232" s="288">
        <v>2036</v>
      </c>
      <c r="AB232" s="289">
        <v>2037</v>
      </c>
      <c r="AC232" s="289">
        <v>2038</v>
      </c>
      <c r="AD232" s="289">
        <v>2039</v>
      </c>
      <c r="AE232" s="290">
        <v>2040</v>
      </c>
    </row>
    <row r="233" spans="1:31" ht="15" customHeight="1">
      <c r="A233" s="1711" t="s">
        <v>41</v>
      </c>
      <c r="B233" s="116">
        <v>0</v>
      </c>
      <c r="C233" s="313">
        <f>'CAR SEC'!K3</f>
        <v>1.8740266313738891</v>
      </c>
      <c r="D233" s="314">
        <v>0</v>
      </c>
      <c r="E233" s="314">
        <v>0</v>
      </c>
      <c r="F233" s="314">
        <v>0</v>
      </c>
      <c r="G233" s="314">
        <v>0</v>
      </c>
      <c r="H233" s="314">
        <v>0</v>
      </c>
      <c r="I233" s="314">
        <v>0</v>
      </c>
      <c r="J233" s="314">
        <v>0</v>
      </c>
      <c r="K233" s="314">
        <v>0</v>
      </c>
      <c r="L233" s="314">
        <v>0</v>
      </c>
      <c r="M233" s="314">
        <v>0</v>
      </c>
      <c r="N233" s="314">
        <v>0</v>
      </c>
      <c r="O233" s="314">
        <v>0</v>
      </c>
      <c r="P233" s="314">
        <v>0</v>
      </c>
      <c r="Q233" s="314">
        <v>0</v>
      </c>
      <c r="R233" s="314">
        <v>0</v>
      </c>
      <c r="S233" s="314">
        <v>0</v>
      </c>
      <c r="T233" s="314">
        <v>0</v>
      </c>
      <c r="U233" s="314">
        <v>0</v>
      </c>
      <c r="V233" s="314">
        <v>0</v>
      </c>
      <c r="W233" s="314">
        <v>0</v>
      </c>
      <c r="X233" s="314">
        <v>0</v>
      </c>
      <c r="Y233" s="314">
        <v>0</v>
      </c>
      <c r="Z233" s="314">
        <v>0</v>
      </c>
      <c r="AA233" s="314">
        <v>0</v>
      </c>
      <c r="AB233" s="314">
        <v>0</v>
      </c>
      <c r="AC233" s="314">
        <v>0</v>
      </c>
      <c r="AD233" s="314">
        <v>0</v>
      </c>
      <c r="AE233" s="315">
        <v>0</v>
      </c>
    </row>
    <row r="234" spans="1:31">
      <c r="A234" s="1711"/>
      <c r="B234" s="116">
        <v>1</v>
      </c>
      <c r="C234" s="316">
        <f>'CAR SEC'!K4</f>
        <v>1.9185077839965263</v>
      </c>
      <c r="D234" s="317">
        <f>C233</f>
        <v>1.8740266313738891</v>
      </c>
      <c r="E234" s="317">
        <f t="shared" ref="E234:T234" si="44">D233</f>
        <v>0</v>
      </c>
      <c r="F234" s="317">
        <f t="shared" si="44"/>
        <v>0</v>
      </c>
      <c r="G234" s="317">
        <f t="shared" si="44"/>
        <v>0</v>
      </c>
      <c r="H234" s="317">
        <f t="shared" si="44"/>
        <v>0</v>
      </c>
      <c r="I234" s="317">
        <f t="shared" si="44"/>
        <v>0</v>
      </c>
      <c r="J234" s="317">
        <f t="shared" si="44"/>
        <v>0</v>
      </c>
      <c r="K234" s="317">
        <f t="shared" si="44"/>
        <v>0</v>
      </c>
      <c r="L234" s="317">
        <f t="shared" si="44"/>
        <v>0</v>
      </c>
      <c r="M234" s="317">
        <f t="shared" si="44"/>
        <v>0</v>
      </c>
      <c r="N234" s="317">
        <f t="shared" si="44"/>
        <v>0</v>
      </c>
      <c r="O234" s="317">
        <f t="shared" si="44"/>
        <v>0</v>
      </c>
      <c r="P234" s="317">
        <f t="shared" si="44"/>
        <v>0</v>
      </c>
      <c r="Q234" s="317">
        <f t="shared" si="44"/>
        <v>0</v>
      </c>
      <c r="R234" s="317">
        <f t="shared" si="44"/>
        <v>0</v>
      </c>
      <c r="S234" s="317">
        <f t="shared" si="44"/>
        <v>0</v>
      </c>
      <c r="T234" s="317">
        <f t="shared" si="44"/>
        <v>0</v>
      </c>
      <c r="U234" s="317">
        <f t="shared" ref="T234:AE249" si="45">T233</f>
        <v>0</v>
      </c>
      <c r="V234" s="317">
        <f t="shared" si="45"/>
        <v>0</v>
      </c>
      <c r="W234" s="317">
        <f t="shared" si="45"/>
        <v>0</v>
      </c>
      <c r="X234" s="317">
        <f t="shared" si="45"/>
        <v>0</v>
      </c>
      <c r="Y234" s="317">
        <f t="shared" si="45"/>
        <v>0</v>
      </c>
      <c r="Z234" s="317">
        <f t="shared" si="45"/>
        <v>0</v>
      </c>
      <c r="AA234" s="317">
        <f t="shared" si="45"/>
        <v>0</v>
      </c>
      <c r="AB234" s="317">
        <f t="shared" si="45"/>
        <v>0</v>
      </c>
      <c r="AC234" s="317">
        <f t="shared" si="45"/>
        <v>0</v>
      </c>
      <c r="AD234" s="317">
        <f t="shared" si="45"/>
        <v>0</v>
      </c>
      <c r="AE234" s="318">
        <f t="shared" si="45"/>
        <v>0</v>
      </c>
    </row>
    <row r="235" spans="1:31">
      <c r="A235" s="1711"/>
      <c r="B235" s="116">
        <v>2</v>
      </c>
      <c r="C235" s="316">
        <f>'CAR SEC'!K5</f>
        <v>2.0009025245617345</v>
      </c>
      <c r="D235" s="317">
        <f t="shared" ref="D235:S250" si="46">C234</f>
        <v>1.9185077839965263</v>
      </c>
      <c r="E235" s="317">
        <f t="shared" si="46"/>
        <v>1.8740266313738891</v>
      </c>
      <c r="F235" s="317">
        <f t="shared" si="46"/>
        <v>0</v>
      </c>
      <c r="G235" s="317">
        <f t="shared" si="46"/>
        <v>0</v>
      </c>
      <c r="H235" s="317">
        <f t="shared" si="46"/>
        <v>0</v>
      </c>
      <c r="I235" s="317">
        <f t="shared" si="46"/>
        <v>0</v>
      </c>
      <c r="J235" s="317">
        <f t="shared" si="46"/>
        <v>0</v>
      </c>
      <c r="K235" s="317">
        <f t="shared" si="46"/>
        <v>0</v>
      </c>
      <c r="L235" s="317">
        <f t="shared" si="46"/>
        <v>0</v>
      </c>
      <c r="M235" s="317">
        <f t="shared" si="46"/>
        <v>0</v>
      </c>
      <c r="N235" s="317">
        <f t="shared" si="46"/>
        <v>0</v>
      </c>
      <c r="O235" s="317">
        <f t="shared" si="46"/>
        <v>0</v>
      </c>
      <c r="P235" s="317">
        <f t="shared" si="46"/>
        <v>0</v>
      </c>
      <c r="Q235" s="317">
        <f t="shared" si="46"/>
        <v>0</v>
      </c>
      <c r="R235" s="317">
        <f t="shared" si="46"/>
        <v>0</v>
      </c>
      <c r="S235" s="317">
        <f t="shared" si="46"/>
        <v>0</v>
      </c>
      <c r="T235" s="317">
        <f t="shared" si="45"/>
        <v>0</v>
      </c>
      <c r="U235" s="317">
        <f t="shared" si="45"/>
        <v>0</v>
      </c>
      <c r="V235" s="317">
        <f t="shared" si="45"/>
        <v>0</v>
      </c>
      <c r="W235" s="317">
        <f t="shared" si="45"/>
        <v>0</v>
      </c>
      <c r="X235" s="317">
        <f t="shared" si="45"/>
        <v>0</v>
      </c>
      <c r="Y235" s="317">
        <f t="shared" si="45"/>
        <v>0</v>
      </c>
      <c r="Z235" s="317">
        <f t="shared" si="45"/>
        <v>0</v>
      </c>
      <c r="AA235" s="317">
        <f t="shared" si="45"/>
        <v>0</v>
      </c>
      <c r="AB235" s="317">
        <f t="shared" si="45"/>
        <v>0</v>
      </c>
      <c r="AC235" s="317">
        <f t="shared" si="45"/>
        <v>0</v>
      </c>
      <c r="AD235" s="317">
        <f t="shared" si="45"/>
        <v>0</v>
      </c>
      <c r="AE235" s="318">
        <f t="shared" si="45"/>
        <v>0</v>
      </c>
    </row>
    <row r="236" spans="1:31">
      <c r="A236" s="1711"/>
      <c r="B236" s="116">
        <v>3</v>
      </c>
      <c r="C236" s="316">
        <f>'CAR SEC'!K6</f>
        <v>2.073960535021139</v>
      </c>
      <c r="D236" s="317">
        <f t="shared" si="46"/>
        <v>2.0009025245617345</v>
      </c>
      <c r="E236" s="317">
        <f t="shared" si="46"/>
        <v>1.9185077839965263</v>
      </c>
      <c r="F236" s="317">
        <f t="shared" si="46"/>
        <v>1.8740266313738891</v>
      </c>
      <c r="G236" s="317">
        <f t="shared" si="46"/>
        <v>0</v>
      </c>
      <c r="H236" s="317">
        <f t="shared" si="46"/>
        <v>0</v>
      </c>
      <c r="I236" s="317">
        <f t="shared" si="46"/>
        <v>0</v>
      </c>
      <c r="J236" s="317">
        <f t="shared" si="46"/>
        <v>0</v>
      </c>
      <c r="K236" s="317">
        <f t="shared" si="46"/>
        <v>0</v>
      </c>
      <c r="L236" s="317">
        <f t="shared" si="46"/>
        <v>0</v>
      </c>
      <c r="M236" s="317">
        <f t="shared" si="46"/>
        <v>0</v>
      </c>
      <c r="N236" s="317">
        <f t="shared" si="46"/>
        <v>0</v>
      </c>
      <c r="O236" s="317">
        <f t="shared" si="46"/>
        <v>0</v>
      </c>
      <c r="P236" s="317">
        <f t="shared" si="46"/>
        <v>0</v>
      </c>
      <c r="Q236" s="317">
        <f t="shared" si="46"/>
        <v>0</v>
      </c>
      <c r="R236" s="317">
        <f t="shared" si="46"/>
        <v>0</v>
      </c>
      <c r="S236" s="317">
        <f t="shared" si="46"/>
        <v>0</v>
      </c>
      <c r="T236" s="317">
        <f t="shared" si="45"/>
        <v>0</v>
      </c>
      <c r="U236" s="317">
        <f t="shared" si="45"/>
        <v>0</v>
      </c>
      <c r="V236" s="317">
        <f t="shared" si="45"/>
        <v>0</v>
      </c>
      <c r="W236" s="317">
        <f t="shared" si="45"/>
        <v>0</v>
      </c>
      <c r="X236" s="317">
        <f t="shared" si="45"/>
        <v>0</v>
      </c>
      <c r="Y236" s="317">
        <f t="shared" si="45"/>
        <v>0</v>
      </c>
      <c r="Z236" s="317">
        <f t="shared" si="45"/>
        <v>0</v>
      </c>
      <c r="AA236" s="317">
        <f t="shared" si="45"/>
        <v>0</v>
      </c>
      <c r="AB236" s="317">
        <f t="shared" si="45"/>
        <v>0</v>
      </c>
      <c r="AC236" s="317">
        <f t="shared" si="45"/>
        <v>0</v>
      </c>
      <c r="AD236" s="317">
        <f t="shared" si="45"/>
        <v>0</v>
      </c>
      <c r="AE236" s="318">
        <f t="shared" si="45"/>
        <v>0</v>
      </c>
    </row>
    <row r="237" spans="1:31">
      <c r="A237" s="1711"/>
      <c r="B237" s="116">
        <v>4</v>
      </c>
      <c r="C237" s="316">
        <f>'CAR SEC'!K7</f>
        <v>2.072680494613083</v>
      </c>
      <c r="D237" s="317">
        <f t="shared" si="46"/>
        <v>2.073960535021139</v>
      </c>
      <c r="E237" s="317">
        <f t="shared" si="46"/>
        <v>2.0009025245617345</v>
      </c>
      <c r="F237" s="317">
        <f t="shared" si="46"/>
        <v>1.9185077839965263</v>
      </c>
      <c r="G237" s="317">
        <f t="shared" si="46"/>
        <v>1.8740266313738891</v>
      </c>
      <c r="H237" s="317">
        <f t="shared" si="46"/>
        <v>0</v>
      </c>
      <c r="I237" s="317">
        <f t="shared" si="46"/>
        <v>0</v>
      </c>
      <c r="J237" s="317">
        <f t="shared" si="46"/>
        <v>0</v>
      </c>
      <c r="K237" s="317">
        <f t="shared" si="46"/>
        <v>0</v>
      </c>
      <c r="L237" s="317">
        <f t="shared" si="46"/>
        <v>0</v>
      </c>
      <c r="M237" s="317">
        <f t="shared" si="46"/>
        <v>0</v>
      </c>
      <c r="N237" s="317">
        <f t="shared" si="46"/>
        <v>0</v>
      </c>
      <c r="O237" s="317">
        <f t="shared" si="46"/>
        <v>0</v>
      </c>
      <c r="P237" s="317">
        <f t="shared" si="46"/>
        <v>0</v>
      </c>
      <c r="Q237" s="317">
        <f t="shared" si="46"/>
        <v>0</v>
      </c>
      <c r="R237" s="317">
        <f t="shared" si="46"/>
        <v>0</v>
      </c>
      <c r="S237" s="317">
        <f t="shared" si="46"/>
        <v>0</v>
      </c>
      <c r="T237" s="317">
        <f t="shared" si="45"/>
        <v>0</v>
      </c>
      <c r="U237" s="317">
        <f t="shared" si="45"/>
        <v>0</v>
      </c>
      <c r="V237" s="317">
        <f t="shared" si="45"/>
        <v>0</v>
      </c>
      <c r="W237" s="317">
        <f t="shared" si="45"/>
        <v>0</v>
      </c>
      <c r="X237" s="317">
        <f t="shared" si="45"/>
        <v>0</v>
      </c>
      <c r="Y237" s="317">
        <f t="shared" si="45"/>
        <v>0</v>
      </c>
      <c r="Z237" s="317">
        <f t="shared" si="45"/>
        <v>0</v>
      </c>
      <c r="AA237" s="317">
        <f t="shared" si="45"/>
        <v>0</v>
      </c>
      <c r="AB237" s="317">
        <f t="shared" si="45"/>
        <v>0</v>
      </c>
      <c r="AC237" s="317">
        <f t="shared" si="45"/>
        <v>0</v>
      </c>
      <c r="AD237" s="317">
        <f t="shared" si="45"/>
        <v>0</v>
      </c>
      <c r="AE237" s="318">
        <f t="shared" si="45"/>
        <v>0</v>
      </c>
    </row>
    <row r="238" spans="1:31">
      <c r="A238" s="1711"/>
      <c r="B238" s="116">
        <v>5</v>
      </c>
      <c r="C238" s="316">
        <f>'CAR SEC'!K8</f>
        <v>2.4650335093102163</v>
      </c>
      <c r="D238" s="317">
        <f t="shared" si="46"/>
        <v>2.072680494613083</v>
      </c>
      <c r="E238" s="317">
        <f t="shared" si="46"/>
        <v>2.073960535021139</v>
      </c>
      <c r="F238" s="317">
        <f t="shared" si="46"/>
        <v>2.0009025245617345</v>
      </c>
      <c r="G238" s="317">
        <f t="shared" si="46"/>
        <v>1.9185077839965263</v>
      </c>
      <c r="H238" s="317">
        <f t="shared" si="46"/>
        <v>1.8740266313738891</v>
      </c>
      <c r="I238" s="317">
        <f t="shared" si="46"/>
        <v>0</v>
      </c>
      <c r="J238" s="317">
        <f t="shared" si="46"/>
        <v>0</v>
      </c>
      <c r="K238" s="317">
        <f t="shared" si="46"/>
        <v>0</v>
      </c>
      <c r="L238" s="317">
        <f t="shared" si="46"/>
        <v>0</v>
      </c>
      <c r="M238" s="317">
        <f t="shared" si="46"/>
        <v>0</v>
      </c>
      <c r="N238" s="317">
        <f t="shared" si="46"/>
        <v>0</v>
      </c>
      <c r="O238" s="317">
        <f t="shared" si="46"/>
        <v>0</v>
      </c>
      <c r="P238" s="317">
        <f t="shared" si="46"/>
        <v>0</v>
      </c>
      <c r="Q238" s="317">
        <f t="shared" si="46"/>
        <v>0</v>
      </c>
      <c r="R238" s="317">
        <f t="shared" si="46"/>
        <v>0</v>
      </c>
      <c r="S238" s="317">
        <f t="shared" si="46"/>
        <v>0</v>
      </c>
      <c r="T238" s="317">
        <f t="shared" si="45"/>
        <v>0</v>
      </c>
      <c r="U238" s="317">
        <f t="shared" si="45"/>
        <v>0</v>
      </c>
      <c r="V238" s="317">
        <f t="shared" si="45"/>
        <v>0</v>
      </c>
      <c r="W238" s="317">
        <f t="shared" si="45"/>
        <v>0</v>
      </c>
      <c r="X238" s="317">
        <f t="shared" si="45"/>
        <v>0</v>
      </c>
      <c r="Y238" s="317">
        <f t="shared" si="45"/>
        <v>0</v>
      </c>
      <c r="Z238" s="317">
        <f t="shared" si="45"/>
        <v>0</v>
      </c>
      <c r="AA238" s="317">
        <f t="shared" si="45"/>
        <v>0</v>
      </c>
      <c r="AB238" s="317">
        <f t="shared" si="45"/>
        <v>0</v>
      </c>
      <c r="AC238" s="317">
        <f t="shared" si="45"/>
        <v>0</v>
      </c>
      <c r="AD238" s="317">
        <f t="shared" si="45"/>
        <v>0</v>
      </c>
      <c r="AE238" s="318">
        <f t="shared" si="45"/>
        <v>0</v>
      </c>
    </row>
    <row r="239" spans="1:31">
      <c r="A239" s="1711"/>
      <c r="B239" s="116">
        <v>6</v>
      </c>
      <c r="C239" s="316">
        <f>'CAR SEC'!K9</f>
        <v>2.6745296442230817</v>
      </c>
      <c r="D239" s="317">
        <f t="shared" si="46"/>
        <v>2.4650335093102163</v>
      </c>
      <c r="E239" s="317">
        <f t="shared" si="46"/>
        <v>2.072680494613083</v>
      </c>
      <c r="F239" s="317">
        <f t="shared" si="46"/>
        <v>2.073960535021139</v>
      </c>
      <c r="G239" s="317">
        <f t="shared" si="46"/>
        <v>2.0009025245617345</v>
      </c>
      <c r="H239" s="317">
        <f t="shared" si="46"/>
        <v>1.9185077839965263</v>
      </c>
      <c r="I239" s="317">
        <f t="shared" si="46"/>
        <v>1.8740266313738891</v>
      </c>
      <c r="J239" s="317">
        <f t="shared" si="46"/>
        <v>0</v>
      </c>
      <c r="K239" s="317">
        <f t="shared" si="46"/>
        <v>0</v>
      </c>
      <c r="L239" s="317">
        <f t="shared" si="46"/>
        <v>0</v>
      </c>
      <c r="M239" s="317">
        <f t="shared" si="46"/>
        <v>0</v>
      </c>
      <c r="N239" s="317">
        <f t="shared" si="46"/>
        <v>0</v>
      </c>
      <c r="O239" s="317">
        <f t="shared" si="46"/>
        <v>0</v>
      </c>
      <c r="P239" s="317">
        <f t="shared" si="46"/>
        <v>0</v>
      </c>
      <c r="Q239" s="317">
        <f t="shared" si="46"/>
        <v>0</v>
      </c>
      <c r="R239" s="317">
        <f t="shared" si="46"/>
        <v>0</v>
      </c>
      <c r="S239" s="317">
        <f t="shared" si="46"/>
        <v>0</v>
      </c>
      <c r="T239" s="317">
        <f t="shared" si="45"/>
        <v>0</v>
      </c>
      <c r="U239" s="317">
        <f t="shared" si="45"/>
        <v>0</v>
      </c>
      <c r="V239" s="317">
        <f t="shared" si="45"/>
        <v>0</v>
      </c>
      <c r="W239" s="317">
        <f t="shared" si="45"/>
        <v>0</v>
      </c>
      <c r="X239" s="317">
        <f t="shared" si="45"/>
        <v>0</v>
      </c>
      <c r="Y239" s="317">
        <f t="shared" si="45"/>
        <v>0</v>
      </c>
      <c r="Z239" s="317">
        <f t="shared" si="45"/>
        <v>0</v>
      </c>
      <c r="AA239" s="317">
        <f t="shared" si="45"/>
        <v>0</v>
      </c>
      <c r="AB239" s="317">
        <f t="shared" si="45"/>
        <v>0</v>
      </c>
      <c r="AC239" s="317">
        <f t="shared" si="45"/>
        <v>0</v>
      </c>
      <c r="AD239" s="317">
        <f t="shared" si="45"/>
        <v>0</v>
      </c>
      <c r="AE239" s="318">
        <f t="shared" si="45"/>
        <v>0</v>
      </c>
    </row>
    <row r="240" spans="1:31">
      <c r="A240" s="1711"/>
      <c r="B240" s="116">
        <v>7</v>
      </c>
      <c r="C240" s="316">
        <f>'CAR SEC'!K10</f>
        <v>2.6256730591672648</v>
      </c>
      <c r="D240" s="317">
        <f t="shared" si="46"/>
        <v>2.6745296442230817</v>
      </c>
      <c r="E240" s="317">
        <f t="shared" si="46"/>
        <v>2.4650335093102163</v>
      </c>
      <c r="F240" s="317">
        <f t="shared" si="46"/>
        <v>2.072680494613083</v>
      </c>
      <c r="G240" s="317">
        <f t="shared" si="46"/>
        <v>2.073960535021139</v>
      </c>
      <c r="H240" s="317">
        <f t="shared" si="46"/>
        <v>2.0009025245617345</v>
      </c>
      <c r="I240" s="317">
        <f t="shared" si="46"/>
        <v>1.9185077839965263</v>
      </c>
      <c r="J240" s="317">
        <f t="shared" si="46"/>
        <v>1.8740266313738891</v>
      </c>
      <c r="K240" s="317">
        <f t="shared" si="46"/>
        <v>0</v>
      </c>
      <c r="L240" s="317">
        <f t="shared" si="46"/>
        <v>0</v>
      </c>
      <c r="M240" s="317">
        <f t="shared" si="46"/>
        <v>0</v>
      </c>
      <c r="N240" s="317">
        <f t="shared" si="46"/>
        <v>0</v>
      </c>
      <c r="O240" s="317">
        <f t="shared" si="46"/>
        <v>0</v>
      </c>
      <c r="P240" s="317">
        <f t="shared" si="46"/>
        <v>0</v>
      </c>
      <c r="Q240" s="317">
        <f t="shared" si="46"/>
        <v>0</v>
      </c>
      <c r="R240" s="317">
        <f t="shared" si="46"/>
        <v>0</v>
      </c>
      <c r="S240" s="317">
        <f t="shared" si="46"/>
        <v>0</v>
      </c>
      <c r="T240" s="317">
        <f t="shared" si="45"/>
        <v>0</v>
      </c>
      <c r="U240" s="317">
        <f t="shared" si="45"/>
        <v>0</v>
      </c>
      <c r="V240" s="317">
        <f t="shared" si="45"/>
        <v>0</v>
      </c>
      <c r="W240" s="317">
        <f t="shared" si="45"/>
        <v>0</v>
      </c>
      <c r="X240" s="317">
        <f t="shared" si="45"/>
        <v>0</v>
      </c>
      <c r="Y240" s="317">
        <f t="shared" si="45"/>
        <v>0</v>
      </c>
      <c r="Z240" s="317">
        <f t="shared" si="45"/>
        <v>0</v>
      </c>
      <c r="AA240" s="317">
        <f t="shared" si="45"/>
        <v>0</v>
      </c>
      <c r="AB240" s="317">
        <f t="shared" si="45"/>
        <v>0</v>
      </c>
      <c r="AC240" s="317">
        <f t="shared" si="45"/>
        <v>0</v>
      </c>
      <c r="AD240" s="317">
        <f t="shared" si="45"/>
        <v>0</v>
      </c>
      <c r="AE240" s="318">
        <f t="shared" si="45"/>
        <v>0</v>
      </c>
    </row>
    <row r="241" spans="1:31">
      <c r="A241" s="1711"/>
      <c r="B241" s="116">
        <v>8</v>
      </c>
      <c r="C241" s="316">
        <f>'CAR SEC'!K11</f>
        <v>2.551818579399713</v>
      </c>
      <c r="D241" s="317">
        <f t="shared" si="46"/>
        <v>2.6256730591672648</v>
      </c>
      <c r="E241" s="317">
        <f t="shared" si="46"/>
        <v>2.6745296442230817</v>
      </c>
      <c r="F241" s="317">
        <f t="shared" si="46"/>
        <v>2.4650335093102163</v>
      </c>
      <c r="G241" s="317">
        <f t="shared" si="46"/>
        <v>2.072680494613083</v>
      </c>
      <c r="H241" s="317">
        <f t="shared" si="46"/>
        <v>2.073960535021139</v>
      </c>
      <c r="I241" s="317">
        <f t="shared" si="46"/>
        <v>2.0009025245617345</v>
      </c>
      <c r="J241" s="317">
        <f t="shared" si="46"/>
        <v>1.9185077839965263</v>
      </c>
      <c r="K241" s="317">
        <f t="shared" si="46"/>
        <v>1.8740266313738891</v>
      </c>
      <c r="L241" s="317">
        <f t="shared" si="46"/>
        <v>0</v>
      </c>
      <c r="M241" s="317">
        <f t="shared" si="46"/>
        <v>0</v>
      </c>
      <c r="N241" s="317">
        <f t="shared" si="46"/>
        <v>0</v>
      </c>
      <c r="O241" s="317">
        <f t="shared" si="46"/>
        <v>0</v>
      </c>
      <c r="P241" s="317">
        <f t="shared" si="46"/>
        <v>0</v>
      </c>
      <c r="Q241" s="317">
        <f t="shared" si="46"/>
        <v>0</v>
      </c>
      <c r="R241" s="317">
        <f t="shared" si="46"/>
        <v>0</v>
      </c>
      <c r="S241" s="317">
        <f t="shared" si="46"/>
        <v>0</v>
      </c>
      <c r="T241" s="317">
        <f t="shared" si="45"/>
        <v>0</v>
      </c>
      <c r="U241" s="317">
        <f t="shared" si="45"/>
        <v>0</v>
      </c>
      <c r="V241" s="317">
        <f t="shared" si="45"/>
        <v>0</v>
      </c>
      <c r="W241" s="317">
        <f t="shared" si="45"/>
        <v>0</v>
      </c>
      <c r="X241" s="317">
        <f t="shared" si="45"/>
        <v>0</v>
      </c>
      <c r="Y241" s="317">
        <f t="shared" si="45"/>
        <v>0</v>
      </c>
      <c r="Z241" s="317">
        <f t="shared" si="45"/>
        <v>0</v>
      </c>
      <c r="AA241" s="317">
        <f t="shared" si="45"/>
        <v>0</v>
      </c>
      <c r="AB241" s="317">
        <f t="shared" si="45"/>
        <v>0</v>
      </c>
      <c r="AC241" s="317">
        <f t="shared" si="45"/>
        <v>0</v>
      </c>
      <c r="AD241" s="317">
        <f t="shared" si="45"/>
        <v>0</v>
      </c>
      <c r="AE241" s="318">
        <f t="shared" si="45"/>
        <v>0</v>
      </c>
    </row>
    <row r="242" spans="1:31">
      <c r="A242" s="1711"/>
      <c r="B242" s="116">
        <v>9</v>
      </c>
      <c r="C242" s="316">
        <f>'CAR SEC'!K12</f>
        <v>2.6076741420201923</v>
      </c>
      <c r="D242" s="317">
        <f t="shared" si="46"/>
        <v>2.551818579399713</v>
      </c>
      <c r="E242" s="317">
        <f t="shared" si="46"/>
        <v>2.6256730591672648</v>
      </c>
      <c r="F242" s="317">
        <f t="shared" si="46"/>
        <v>2.6745296442230817</v>
      </c>
      <c r="G242" s="317">
        <f t="shared" si="46"/>
        <v>2.4650335093102163</v>
      </c>
      <c r="H242" s="317">
        <f t="shared" si="46"/>
        <v>2.072680494613083</v>
      </c>
      <c r="I242" s="317">
        <f t="shared" si="46"/>
        <v>2.073960535021139</v>
      </c>
      <c r="J242" s="317">
        <f t="shared" si="46"/>
        <v>2.0009025245617345</v>
      </c>
      <c r="K242" s="317">
        <f t="shared" si="46"/>
        <v>1.9185077839965263</v>
      </c>
      <c r="L242" s="317">
        <f t="shared" si="46"/>
        <v>1.8740266313738891</v>
      </c>
      <c r="M242" s="317">
        <f t="shared" si="46"/>
        <v>0</v>
      </c>
      <c r="N242" s="317">
        <f t="shared" si="46"/>
        <v>0</v>
      </c>
      <c r="O242" s="317">
        <f t="shared" si="46"/>
        <v>0</v>
      </c>
      <c r="P242" s="317">
        <f t="shared" si="46"/>
        <v>0</v>
      </c>
      <c r="Q242" s="317">
        <f t="shared" si="46"/>
        <v>0</v>
      </c>
      <c r="R242" s="317">
        <f t="shared" si="46"/>
        <v>0</v>
      </c>
      <c r="S242" s="317">
        <f t="shared" si="46"/>
        <v>0</v>
      </c>
      <c r="T242" s="317">
        <f t="shared" si="45"/>
        <v>0</v>
      </c>
      <c r="U242" s="317">
        <f t="shared" si="45"/>
        <v>0</v>
      </c>
      <c r="V242" s="317">
        <f t="shared" si="45"/>
        <v>0</v>
      </c>
      <c r="W242" s="317">
        <f t="shared" si="45"/>
        <v>0</v>
      </c>
      <c r="X242" s="317">
        <f t="shared" si="45"/>
        <v>0</v>
      </c>
      <c r="Y242" s="317">
        <f t="shared" si="45"/>
        <v>0</v>
      </c>
      <c r="Z242" s="317">
        <f t="shared" si="45"/>
        <v>0</v>
      </c>
      <c r="AA242" s="317">
        <f t="shared" si="45"/>
        <v>0</v>
      </c>
      <c r="AB242" s="317">
        <f t="shared" si="45"/>
        <v>0</v>
      </c>
      <c r="AC242" s="317">
        <f t="shared" si="45"/>
        <v>0</v>
      </c>
      <c r="AD242" s="317">
        <f t="shared" si="45"/>
        <v>0</v>
      </c>
      <c r="AE242" s="318">
        <f t="shared" si="45"/>
        <v>0</v>
      </c>
    </row>
    <row r="243" spans="1:31">
      <c r="A243" s="1711"/>
      <c r="B243" s="116">
        <v>10</v>
      </c>
      <c r="C243" s="316">
        <f>'CAR SEC'!K13</f>
        <v>2.5884403096603501</v>
      </c>
      <c r="D243" s="317">
        <f t="shared" si="46"/>
        <v>2.6076741420201923</v>
      </c>
      <c r="E243" s="317">
        <f t="shared" si="46"/>
        <v>2.551818579399713</v>
      </c>
      <c r="F243" s="317">
        <f t="shared" si="46"/>
        <v>2.6256730591672648</v>
      </c>
      <c r="G243" s="317">
        <f t="shared" si="46"/>
        <v>2.6745296442230817</v>
      </c>
      <c r="H243" s="317">
        <f t="shared" si="46"/>
        <v>2.4650335093102163</v>
      </c>
      <c r="I243" s="317">
        <f t="shared" si="46"/>
        <v>2.072680494613083</v>
      </c>
      <c r="J243" s="317">
        <f t="shared" si="46"/>
        <v>2.073960535021139</v>
      </c>
      <c r="K243" s="317">
        <f t="shared" si="46"/>
        <v>2.0009025245617345</v>
      </c>
      <c r="L243" s="317">
        <f t="shared" si="46"/>
        <v>1.9185077839965263</v>
      </c>
      <c r="M243" s="317">
        <f t="shared" si="46"/>
        <v>1.8740266313738891</v>
      </c>
      <c r="N243" s="317">
        <f t="shared" si="46"/>
        <v>0</v>
      </c>
      <c r="O243" s="317">
        <f t="shared" si="46"/>
        <v>0</v>
      </c>
      <c r="P243" s="317">
        <f t="shared" si="46"/>
        <v>0</v>
      </c>
      <c r="Q243" s="317">
        <f t="shared" si="46"/>
        <v>0</v>
      </c>
      <c r="R243" s="317">
        <f t="shared" si="46"/>
        <v>0</v>
      </c>
      <c r="S243" s="317">
        <f t="shared" si="46"/>
        <v>0</v>
      </c>
      <c r="T243" s="317">
        <f t="shared" si="45"/>
        <v>0</v>
      </c>
      <c r="U243" s="317">
        <f t="shared" si="45"/>
        <v>0</v>
      </c>
      <c r="V243" s="317">
        <f t="shared" si="45"/>
        <v>0</v>
      </c>
      <c r="W243" s="317">
        <f t="shared" si="45"/>
        <v>0</v>
      </c>
      <c r="X243" s="317">
        <f t="shared" si="45"/>
        <v>0</v>
      </c>
      <c r="Y243" s="317">
        <f t="shared" si="45"/>
        <v>0</v>
      </c>
      <c r="Z243" s="317">
        <f t="shared" si="45"/>
        <v>0</v>
      </c>
      <c r="AA243" s="317">
        <f t="shared" si="45"/>
        <v>0</v>
      </c>
      <c r="AB243" s="317">
        <f t="shared" si="45"/>
        <v>0</v>
      </c>
      <c r="AC243" s="317">
        <f t="shared" si="45"/>
        <v>0</v>
      </c>
      <c r="AD243" s="317">
        <f t="shared" si="45"/>
        <v>0</v>
      </c>
      <c r="AE243" s="318">
        <f t="shared" si="45"/>
        <v>0</v>
      </c>
    </row>
    <row r="244" spans="1:31">
      <c r="A244" s="1711"/>
      <c r="B244" s="116">
        <v>11</v>
      </c>
      <c r="C244" s="316">
        <f>'CAR SEC'!K14</f>
        <v>2.4512486417640007</v>
      </c>
      <c r="D244" s="317">
        <f t="shared" si="46"/>
        <v>2.5884403096603501</v>
      </c>
      <c r="E244" s="317">
        <f t="shared" si="46"/>
        <v>2.6076741420201923</v>
      </c>
      <c r="F244" s="317">
        <f t="shared" si="46"/>
        <v>2.551818579399713</v>
      </c>
      <c r="G244" s="317">
        <f t="shared" si="46"/>
        <v>2.6256730591672648</v>
      </c>
      <c r="H244" s="317">
        <f t="shared" si="46"/>
        <v>2.6745296442230817</v>
      </c>
      <c r="I244" s="317">
        <f t="shared" si="46"/>
        <v>2.4650335093102163</v>
      </c>
      <c r="J244" s="317">
        <f t="shared" si="46"/>
        <v>2.072680494613083</v>
      </c>
      <c r="K244" s="317">
        <f t="shared" si="46"/>
        <v>2.073960535021139</v>
      </c>
      <c r="L244" s="317">
        <f t="shared" si="46"/>
        <v>2.0009025245617345</v>
      </c>
      <c r="M244" s="317">
        <f t="shared" si="46"/>
        <v>1.9185077839965263</v>
      </c>
      <c r="N244" s="317">
        <f t="shared" si="46"/>
        <v>1.8740266313738891</v>
      </c>
      <c r="O244" s="317">
        <f t="shared" si="46"/>
        <v>0</v>
      </c>
      <c r="P244" s="317">
        <f t="shared" si="46"/>
        <v>0</v>
      </c>
      <c r="Q244" s="317">
        <f t="shared" si="46"/>
        <v>0</v>
      </c>
      <c r="R244" s="317">
        <f t="shared" si="46"/>
        <v>0</v>
      </c>
      <c r="S244" s="317">
        <f t="shared" si="46"/>
        <v>0</v>
      </c>
      <c r="T244" s="317">
        <f t="shared" si="45"/>
        <v>0</v>
      </c>
      <c r="U244" s="317">
        <f t="shared" si="45"/>
        <v>0</v>
      </c>
      <c r="V244" s="317">
        <f t="shared" si="45"/>
        <v>0</v>
      </c>
      <c r="W244" s="317">
        <f t="shared" si="45"/>
        <v>0</v>
      </c>
      <c r="X244" s="317">
        <f t="shared" si="45"/>
        <v>0</v>
      </c>
      <c r="Y244" s="317">
        <f t="shared" si="45"/>
        <v>0</v>
      </c>
      <c r="Z244" s="317">
        <f t="shared" si="45"/>
        <v>0</v>
      </c>
      <c r="AA244" s="317">
        <f t="shared" si="45"/>
        <v>0</v>
      </c>
      <c r="AB244" s="317">
        <f t="shared" si="45"/>
        <v>0</v>
      </c>
      <c r="AC244" s="317">
        <f t="shared" si="45"/>
        <v>0</v>
      </c>
      <c r="AD244" s="317">
        <f t="shared" si="45"/>
        <v>0</v>
      </c>
      <c r="AE244" s="318">
        <f t="shared" si="45"/>
        <v>0</v>
      </c>
    </row>
    <row r="245" spans="1:31">
      <c r="A245" s="1711"/>
      <c r="B245" s="116">
        <v>12</v>
      </c>
      <c r="C245" s="316">
        <f>'CAR SEC'!K15</f>
        <v>2.5925892822326708</v>
      </c>
      <c r="D245" s="317">
        <f t="shared" si="46"/>
        <v>2.4512486417640007</v>
      </c>
      <c r="E245" s="317">
        <f t="shared" si="46"/>
        <v>2.5884403096603501</v>
      </c>
      <c r="F245" s="317">
        <f t="shared" si="46"/>
        <v>2.6076741420201923</v>
      </c>
      <c r="G245" s="317">
        <f t="shared" si="46"/>
        <v>2.551818579399713</v>
      </c>
      <c r="H245" s="317">
        <f t="shared" si="46"/>
        <v>2.6256730591672648</v>
      </c>
      <c r="I245" s="317">
        <f t="shared" si="46"/>
        <v>2.6745296442230817</v>
      </c>
      <c r="J245" s="317">
        <f t="shared" si="46"/>
        <v>2.4650335093102163</v>
      </c>
      <c r="K245" s="317">
        <f t="shared" si="46"/>
        <v>2.072680494613083</v>
      </c>
      <c r="L245" s="317">
        <f t="shared" si="46"/>
        <v>2.073960535021139</v>
      </c>
      <c r="M245" s="317">
        <f t="shared" si="46"/>
        <v>2.0009025245617345</v>
      </c>
      <c r="N245" s="317">
        <f t="shared" si="46"/>
        <v>1.9185077839965263</v>
      </c>
      <c r="O245" s="317">
        <f t="shared" si="46"/>
        <v>1.8740266313738891</v>
      </c>
      <c r="P245" s="317">
        <f t="shared" si="46"/>
        <v>0</v>
      </c>
      <c r="Q245" s="317">
        <f t="shared" si="46"/>
        <v>0</v>
      </c>
      <c r="R245" s="317">
        <f t="shared" si="46"/>
        <v>0</v>
      </c>
      <c r="S245" s="317">
        <f t="shared" si="46"/>
        <v>0</v>
      </c>
      <c r="T245" s="317">
        <f t="shared" si="45"/>
        <v>0</v>
      </c>
      <c r="U245" s="317">
        <f t="shared" si="45"/>
        <v>0</v>
      </c>
      <c r="V245" s="317">
        <f t="shared" si="45"/>
        <v>0</v>
      </c>
      <c r="W245" s="317">
        <f t="shared" si="45"/>
        <v>0</v>
      </c>
      <c r="X245" s="317">
        <f t="shared" si="45"/>
        <v>0</v>
      </c>
      <c r="Y245" s="317">
        <f t="shared" si="45"/>
        <v>0</v>
      </c>
      <c r="Z245" s="317">
        <f t="shared" si="45"/>
        <v>0</v>
      </c>
      <c r="AA245" s="317">
        <f t="shared" si="45"/>
        <v>0</v>
      </c>
      <c r="AB245" s="317">
        <f t="shared" si="45"/>
        <v>0</v>
      </c>
      <c r="AC245" s="317">
        <f t="shared" si="45"/>
        <v>0</v>
      </c>
      <c r="AD245" s="317">
        <f t="shared" si="45"/>
        <v>0</v>
      </c>
      <c r="AE245" s="318">
        <f t="shared" si="45"/>
        <v>0</v>
      </c>
    </row>
    <row r="246" spans="1:31">
      <c r="A246" s="1711"/>
      <c r="B246" s="116">
        <v>13</v>
      </c>
      <c r="C246" s="316">
        <f>'CAR SEC'!K16</f>
        <v>2.4454350231119402</v>
      </c>
      <c r="D246" s="317">
        <f t="shared" si="46"/>
        <v>2.5925892822326708</v>
      </c>
      <c r="E246" s="317">
        <f t="shared" si="46"/>
        <v>2.4512486417640007</v>
      </c>
      <c r="F246" s="317">
        <f t="shared" si="46"/>
        <v>2.5884403096603501</v>
      </c>
      <c r="G246" s="317">
        <f t="shared" si="46"/>
        <v>2.6076741420201923</v>
      </c>
      <c r="H246" s="317">
        <f t="shared" si="46"/>
        <v>2.551818579399713</v>
      </c>
      <c r="I246" s="317">
        <f t="shared" si="46"/>
        <v>2.6256730591672648</v>
      </c>
      <c r="J246" s="317">
        <f t="shared" si="46"/>
        <v>2.6745296442230817</v>
      </c>
      <c r="K246" s="317">
        <f t="shared" si="46"/>
        <v>2.4650335093102163</v>
      </c>
      <c r="L246" s="317">
        <f t="shared" si="46"/>
        <v>2.072680494613083</v>
      </c>
      <c r="M246" s="317">
        <f t="shared" si="46"/>
        <v>2.073960535021139</v>
      </c>
      <c r="N246" s="317">
        <f t="shared" si="46"/>
        <v>2.0009025245617345</v>
      </c>
      <c r="O246" s="317">
        <f t="shared" si="46"/>
        <v>1.9185077839965263</v>
      </c>
      <c r="P246" s="317">
        <f t="shared" si="46"/>
        <v>1.8740266313738891</v>
      </c>
      <c r="Q246" s="317">
        <f t="shared" si="46"/>
        <v>0</v>
      </c>
      <c r="R246" s="317">
        <f t="shared" si="46"/>
        <v>0</v>
      </c>
      <c r="S246" s="317">
        <f t="shared" si="46"/>
        <v>0</v>
      </c>
      <c r="T246" s="317">
        <f t="shared" si="45"/>
        <v>0</v>
      </c>
      <c r="U246" s="317">
        <f t="shared" si="45"/>
        <v>0</v>
      </c>
      <c r="V246" s="317">
        <f t="shared" si="45"/>
        <v>0</v>
      </c>
      <c r="W246" s="317">
        <f t="shared" si="45"/>
        <v>0</v>
      </c>
      <c r="X246" s="317">
        <f t="shared" si="45"/>
        <v>0</v>
      </c>
      <c r="Y246" s="317">
        <f t="shared" si="45"/>
        <v>0</v>
      </c>
      <c r="Z246" s="317">
        <f t="shared" si="45"/>
        <v>0</v>
      </c>
      <c r="AA246" s="317">
        <f t="shared" si="45"/>
        <v>0</v>
      </c>
      <c r="AB246" s="317">
        <f t="shared" si="45"/>
        <v>0</v>
      </c>
      <c r="AC246" s="317">
        <f t="shared" si="45"/>
        <v>0</v>
      </c>
      <c r="AD246" s="317">
        <f t="shared" si="45"/>
        <v>0</v>
      </c>
      <c r="AE246" s="318">
        <f t="shared" si="45"/>
        <v>0</v>
      </c>
    </row>
    <row r="247" spans="1:31">
      <c r="A247" s="1711"/>
      <c r="B247" s="116">
        <v>14</v>
      </c>
      <c r="C247" s="316">
        <f>'CAR SEC'!K17</f>
        <v>2.4326220132281939</v>
      </c>
      <c r="D247" s="317">
        <f t="shared" si="46"/>
        <v>2.4454350231119402</v>
      </c>
      <c r="E247" s="317">
        <f t="shared" si="46"/>
        <v>2.5925892822326708</v>
      </c>
      <c r="F247" s="317">
        <f t="shared" si="46"/>
        <v>2.4512486417640007</v>
      </c>
      <c r="G247" s="317">
        <f t="shared" si="46"/>
        <v>2.5884403096603501</v>
      </c>
      <c r="H247" s="317">
        <f t="shared" si="46"/>
        <v>2.6076741420201923</v>
      </c>
      <c r="I247" s="317">
        <f t="shared" si="46"/>
        <v>2.551818579399713</v>
      </c>
      <c r="J247" s="317">
        <f t="shared" si="46"/>
        <v>2.6256730591672648</v>
      </c>
      <c r="K247" s="317">
        <f t="shared" si="46"/>
        <v>2.6745296442230817</v>
      </c>
      <c r="L247" s="317">
        <f t="shared" si="46"/>
        <v>2.4650335093102163</v>
      </c>
      <c r="M247" s="317">
        <f t="shared" si="46"/>
        <v>2.072680494613083</v>
      </c>
      <c r="N247" s="317">
        <f t="shared" si="46"/>
        <v>2.073960535021139</v>
      </c>
      <c r="O247" s="317">
        <f t="shared" si="46"/>
        <v>2.0009025245617345</v>
      </c>
      <c r="P247" s="317">
        <f t="shared" si="46"/>
        <v>1.9185077839965263</v>
      </c>
      <c r="Q247" s="317">
        <f t="shared" si="46"/>
        <v>1.8740266313738891</v>
      </c>
      <c r="R247" s="317">
        <f t="shared" si="46"/>
        <v>0</v>
      </c>
      <c r="S247" s="317">
        <f t="shared" si="46"/>
        <v>0</v>
      </c>
      <c r="T247" s="317">
        <f t="shared" si="45"/>
        <v>0</v>
      </c>
      <c r="U247" s="317">
        <f t="shared" si="45"/>
        <v>0</v>
      </c>
      <c r="V247" s="317">
        <f t="shared" si="45"/>
        <v>0</v>
      </c>
      <c r="W247" s="317">
        <f t="shared" si="45"/>
        <v>0</v>
      </c>
      <c r="X247" s="317">
        <f t="shared" si="45"/>
        <v>0</v>
      </c>
      <c r="Y247" s="317">
        <f t="shared" si="45"/>
        <v>0</v>
      </c>
      <c r="Z247" s="317">
        <f t="shared" si="45"/>
        <v>0</v>
      </c>
      <c r="AA247" s="317">
        <f t="shared" si="45"/>
        <v>0</v>
      </c>
      <c r="AB247" s="317">
        <f t="shared" si="45"/>
        <v>0</v>
      </c>
      <c r="AC247" s="317">
        <f t="shared" si="45"/>
        <v>0</v>
      </c>
      <c r="AD247" s="317">
        <f t="shared" si="45"/>
        <v>0</v>
      </c>
      <c r="AE247" s="318">
        <f t="shared" si="45"/>
        <v>0</v>
      </c>
    </row>
    <row r="248" spans="1:31">
      <c r="A248" s="1711"/>
      <c r="B248" s="116">
        <v>15</v>
      </c>
      <c r="C248" s="316">
        <f>'CAR SEC'!K18</f>
        <v>2.4283058426316968</v>
      </c>
      <c r="D248" s="317">
        <f t="shared" si="46"/>
        <v>2.4326220132281939</v>
      </c>
      <c r="E248" s="317">
        <f t="shared" si="46"/>
        <v>2.4454350231119402</v>
      </c>
      <c r="F248" s="317">
        <f t="shared" si="46"/>
        <v>2.5925892822326708</v>
      </c>
      <c r="G248" s="317">
        <f t="shared" si="46"/>
        <v>2.4512486417640007</v>
      </c>
      <c r="H248" s="317">
        <f t="shared" si="46"/>
        <v>2.5884403096603501</v>
      </c>
      <c r="I248" s="317">
        <f t="shared" si="46"/>
        <v>2.6076741420201923</v>
      </c>
      <c r="J248" s="317">
        <f t="shared" si="46"/>
        <v>2.551818579399713</v>
      </c>
      <c r="K248" s="317">
        <f t="shared" si="46"/>
        <v>2.6256730591672648</v>
      </c>
      <c r="L248" s="317">
        <f t="shared" si="46"/>
        <v>2.6745296442230817</v>
      </c>
      <c r="M248" s="317">
        <f t="shared" si="46"/>
        <v>2.4650335093102163</v>
      </c>
      <c r="N248" s="317">
        <f t="shared" si="46"/>
        <v>2.072680494613083</v>
      </c>
      <c r="O248" s="317">
        <f t="shared" si="46"/>
        <v>2.073960535021139</v>
      </c>
      <c r="P248" s="317">
        <f t="shared" si="46"/>
        <v>2.0009025245617345</v>
      </c>
      <c r="Q248" s="317">
        <f t="shared" si="46"/>
        <v>1.9185077839965263</v>
      </c>
      <c r="R248" s="317">
        <f t="shared" si="46"/>
        <v>1.8740266313738891</v>
      </c>
      <c r="S248" s="317">
        <f t="shared" si="46"/>
        <v>0</v>
      </c>
      <c r="T248" s="317">
        <f t="shared" si="45"/>
        <v>0</v>
      </c>
      <c r="U248" s="317">
        <f t="shared" si="45"/>
        <v>0</v>
      </c>
      <c r="V248" s="317">
        <f t="shared" si="45"/>
        <v>0</v>
      </c>
      <c r="W248" s="317">
        <f t="shared" si="45"/>
        <v>0</v>
      </c>
      <c r="X248" s="317">
        <f t="shared" si="45"/>
        <v>0</v>
      </c>
      <c r="Y248" s="317">
        <f t="shared" si="45"/>
        <v>0</v>
      </c>
      <c r="Z248" s="317">
        <f t="shared" si="45"/>
        <v>0</v>
      </c>
      <c r="AA248" s="317">
        <f t="shared" si="45"/>
        <v>0</v>
      </c>
      <c r="AB248" s="317">
        <f t="shared" si="45"/>
        <v>0</v>
      </c>
      <c r="AC248" s="317">
        <f t="shared" si="45"/>
        <v>0</v>
      </c>
      <c r="AD248" s="317">
        <f t="shared" si="45"/>
        <v>0</v>
      </c>
      <c r="AE248" s="318">
        <f t="shared" si="45"/>
        <v>0</v>
      </c>
    </row>
    <row r="249" spans="1:31">
      <c r="A249" s="1711"/>
      <c r="B249" s="116">
        <v>16</v>
      </c>
      <c r="C249" s="316">
        <f>'CAR SEC'!K19</f>
        <v>2.4234318709882166</v>
      </c>
      <c r="D249" s="317">
        <f t="shared" si="46"/>
        <v>2.4283058426316968</v>
      </c>
      <c r="E249" s="317">
        <f t="shared" si="46"/>
        <v>2.4326220132281939</v>
      </c>
      <c r="F249" s="317">
        <f t="shared" si="46"/>
        <v>2.4454350231119402</v>
      </c>
      <c r="G249" s="317">
        <f t="shared" si="46"/>
        <v>2.5925892822326708</v>
      </c>
      <c r="H249" s="317">
        <f t="shared" si="46"/>
        <v>2.4512486417640007</v>
      </c>
      <c r="I249" s="317">
        <f t="shared" si="46"/>
        <v>2.5884403096603501</v>
      </c>
      <c r="J249" s="317">
        <f t="shared" si="46"/>
        <v>2.6076741420201923</v>
      </c>
      <c r="K249" s="317">
        <f t="shared" si="46"/>
        <v>2.551818579399713</v>
      </c>
      <c r="L249" s="317">
        <f t="shared" si="46"/>
        <v>2.6256730591672648</v>
      </c>
      <c r="M249" s="317">
        <f t="shared" si="46"/>
        <v>2.6745296442230817</v>
      </c>
      <c r="N249" s="317">
        <f t="shared" si="46"/>
        <v>2.4650335093102163</v>
      </c>
      <c r="O249" s="317">
        <f t="shared" si="46"/>
        <v>2.072680494613083</v>
      </c>
      <c r="P249" s="317">
        <f t="shared" si="46"/>
        <v>2.073960535021139</v>
      </c>
      <c r="Q249" s="317">
        <f t="shared" si="46"/>
        <v>2.0009025245617345</v>
      </c>
      <c r="R249" s="317">
        <f t="shared" si="46"/>
        <v>1.9185077839965263</v>
      </c>
      <c r="S249" s="317">
        <f t="shared" si="46"/>
        <v>1.8740266313738891</v>
      </c>
      <c r="T249" s="317">
        <f t="shared" si="45"/>
        <v>0</v>
      </c>
      <c r="U249" s="317">
        <f t="shared" si="45"/>
        <v>0</v>
      </c>
      <c r="V249" s="317">
        <f t="shared" si="45"/>
        <v>0</v>
      </c>
      <c r="W249" s="317">
        <f t="shared" si="45"/>
        <v>0</v>
      </c>
      <c r="X249" s="317">
        <f t="shared" si="45"/>
        <v>0</v>
      </c>
      <c r="Y249" s="317">
        <f t="shared" si="45"/>
        <v>0</v>
      </c>
      <c r="Z249" s="317">
        <f t="shared" si="45"/>
        <v>0</v>
      </c>
      <c r="AA249" s="317">
        <f t="shared" si="45"/>
        <v>0</v>
      </c>
      <c r="AB249" s="317">
        <f t="shared" si="45"/>
        <v>0</v>
      </c>
      <c r="AC249" s="317">
        <f t="shared" si="45"/>
        <v>0</v>
      </c>
      <c r="AD249" s="317">
        <f t="shared" si="45"/>
        <v>0</v>
      </c>
      <c r="AE249" s="318">
        <f t="shared" si="45"/>
        <v>0</v>
      </c>
    </row>
    <row r="250" spans="1:31">
      <c r="A250" s="1711"/>
      <c r="B250" s="116">
        <v>17</v>
      </c>
      <c r="C250" s="316">
        <f>'CAR SEC'!K20</f>
        <v>2.4211737016771822</v>
      </c>
      <c r="D250" s="317">
        <f t="shared" si="46"/>
        <v>2.4234318709882166</v>
      </c>
      <c r="E250" s="317">
        <f t="shared" si="46"/>
        <v>2.4283058426316968</v>
      </c>
      <c r="F250" s="317">
        <f t="shared" si="46"/>
        <v>2.4326220132281939</v>
      </c>
      <c r="G250" s="317">
        <f t="shared" si="46"/>
        <v>2.4454350231119402</v>
      </c>
      <c r="H250" s="317">
        <f t="shared" si="46"/>
        <v>2.5925892822326708</v>
      </c>
      <c r="I250" s="317">
        <f t="shared" si="46"/>
        <v>2.4512486417640007</v>
      </c>
      <c r="J250" s="317">
        <f t="shared" si="46"/>
        <v>2.5884403096603501</v>
      </c>
      <c r="K250" s="317">
        <f t="shared" si="46"/>
        <v>2.6076741420201923</v>
      </c>
      <c r="L250" s="317">
        <f t="shared" si="46"/>
        <v>2.551818579399713</v>
      </c>
      <c r="M250" s="317">
        <f t="shared" si="46"/>
        <v>2.6256730591672648</v>
      </c>
      <c r="N250" s="317">
        <f t="shared" si="46"/>
        <v>2.6745296442230817</v>
      </c>
      <c r="O250" s="317">
        <f t="shared" si="46"/>
        <v>2.4650335093102163</v>
      </c>
      <c r="P250" s="317">
        <f t="shared" si="46"/>
        <v>2.072680494613083</v>
      </c>
      <c r="Q250" s="317">
        <f t="shared" si="46"/>
        <v>2.073960535021139</v>
      </c>
      <c r="R250" s="317">
        <f t="shared" si="46"/>
        <v>2.0009025245617345</v>
      </c>
      <c r="S250" s="317">
        <f t="shared" ref="S250:AE258" si="47">R249</f>
        <v>1.9185077839965263</v>
      </c>
      <c r="T250" s="317">
        <f t="shared" si="47"/>
        <v>1.8740266313738891</v>
      </c>
      <c r="U250" s="317">
        <f t="shared" si="47"/>
        <v>0</v>
      </c>
      <c r="V250" s="317">
        <f t="shared" si="47"/>
        <v>0</v>
      </c>
      <c r="W250" s="317">
        <f t="shared" si="47"/>
        <v>0</v>
      </c>
      <c r="X250" s="317">
        <f t="shared" si="47"/>
        <v>0</v>
      </c>
      <c r="Y250" s="317">
        <f t="shared" si="47"/>
        <v>0</v>
      </c>
      <c r="Z250" s="317">
        <f t="shared" si="47"/>
        <v>0</v>
      </c>
      <c r="AA250" s="317">
        <f t="shared" si="47"/>
        <v>0</v>
      </c>
      <c r="AB250" s="317">
        <f t="shared" si="47"/>
        <v>0</v>
      </c>
      <c r="AC250" s="317">
        <f t="shared" si="47"/>
        <v>0</v>
      </c>
      <c r="AD250" s="317">
        <f t="shared" si="47"/>
        <v>0</v>
      </c>
      <c r="AE250" s="318">
        <f t="shared" si="47"/>
        <v>0</v>
      </c>
    </row>
    <row r="251" spans="1:31">
      <c r="A251" s="1711"/>
      <c r="B251" s="116">
        <v>18</v>
      </c>
      <c r="C251" s="316">
        <f>'CAR SEC'!K21</f>
        <v>2.4132790158148478</v>
      </c>
      <c r="D251" s="317">
        <f t="shared" ref="D251:S258" si="48">C250</f>
        <v>2.4211737016771822</v>
      </c>
      <c r="E251" s="317">
        <f t="shared" si="48"/>
        <v>2.4234318709882166</v>
      </c>
      <c r="F251" s="317">
        <f t="shared" si="48"/>
        <v>2.4283058426316968</v>
      </c>
      <c r="G251" s="317">
        <f t="shared" si="48"/>
        <v>2.4326220132281939</v>
      </c>
      <c r="H251" s="317">
        <f t="shared" si="48"/>
        <v>2.4454350231119402</v>
      </c>
      <c r="I251" s="317">
        <f t="shared" si="48"/>
        <v>2.5925892822326708</v>
      </c>
      <c r="J251" s="317">
        <f t="shared" si="48"/>
        <v>2.4512486417640007</v>
      </c>
      <c r="K251" s="317">
        <f t="shared" si="48"/>
        <v>2.5884403096603501</v>
      </c>
      <c r="L251" s="317">
        <f t="shared" si="48"/>
        <v>2.6076741420201923</v>
      </c>
      <c r="M251" s="317">
        <f t="shared" si="48"/>
        <v>2.551818579399713</v>
      </c>
      <c r="N251" s="317">
        <f t="shared" si="48"/>
        <v>2.6256730591672648</v>
      </c>
      <c r="O251" s="317">
        <f t="shared" si="48"/>
        <v>2.6745296442230817</v>
      </c>
      <c r="P251" s="317">
        <f t="shared" si="48"/>
        <v>2.4650335093102163</v>
      </c>
      <c r="Q251" s="317">
        <f t="shared" si="48"/>
        <v>2.072680494613083</v>
      </c>
      <c r="R251" s="317">
        <f t="shared" si="48"/>
        <v>2.073960535021139</v>
      </c>
      <c r="S251" s="317">
        <f t="shared" si="48"/>
        <v>2.0009025245617345</v>
      </c>
      <c r="T251" s="317">
        <f t="shared" si="47"/>
        <v>1.9185077839965263</v>
      </c>
      <c r="U251" s="317">
        <f t="shared" si="47"/>
        <v>1.8740266313738891</v>
      </c>
      <c r="V251" s="317">
        <f t="shared" si="47"/>
        <v>0</v>
      </c>
      <c r="W251" s="317">
        <f t="shared" si="47"/>
        <v>0</v>
      </c>
      <c r="X251" s="317">
        <f t="shared" si="47"/>
        <v>0</v>
      </c>
      <c r="Y251" s="317">
        <f t="shared" si="47"/>
        <v>0</v>
      </c>
      <c r="Z251" s="317">
        <f t="shared" si="47"/>
        <v>0</v>
      </c>
      <c r="AA251" s="317">
        <f t="shared" si="47"/>
        <v>0</v>
      </c>
      <c r="AB251" s="317">
        <f t="shared" si="47"/>
        <v>0</v>
      </c>
      <c r="AC251" s="317">
        <f t="shared" si="47"/>
        <v>0</v>
      </c>
      <c r="AD251" s="317">
        <f t="shared" si="47"/>
        <v>0</v>
      </c>
      <c r="AE251" s="318">
        <f t="shared" si="47"/>
        <v>0</v>
      </c>
    </row>
    <row r="252" spans="1:31">
      <c r="A252" s="1711"/>
      <c r="B252" s="116">
        <v>19</v>
      </c>
      <c r="C252" s="316">
        <f>'CAR SEC'!K22</f>
        <v>2.4018367243296845</v>
      </c>
      <c r="D252" s="317">
        <f t="shared" si="48"/>
        <v>2.4132790158148478</v>
      </c>
      <c r="E252" s="317">
        <f t="shared" si="48"/>
        <v>2.4211737016771822</v>
      </c>
      <c r="F252" s="317">
        <f t="shared" si="48"/>
        <v>2.4234318709882166</v>
      </c>
      <c r="G252" s="317">
        <f t="shared" si="48"/>
        <v>2.4283058426316968</v>
      </c>
      <c r="H252" s="317">
        <f t="shared" si="48"/>
        <v>2.4326220132281939</v>
      </c>
      <c r="I252" s="317">
        <f t="shared" si="48"/>
        <v>2.4454350231119402</v>
      </c>
      <c r="J252" s="317">
        <f t="shared" si="48"/>
        <v>2.5925892822326708</v>
      </c>
      <c r="K252" s="317">
        <f t="shared" si="48"/>
        <v>2.4512486417640007</v>
      </c>
      <c r="L252" s="317">
        <f t="shared" si="48"/>
        <v>2.5884403096603501</v>
      </c>
      <c r="M252" s="317">
        <f t="shared" si="48"/>
        <v>2.6076741420201923</v>
      </c>
      <c r="N252" s="317">
        <f t="shared" si="48"/>
        <v>2.551818579399713</v>
      </c>
      <c r="O252" s="317">
        <f t="shared" si="48"/>
        <v>2.6256730591672648</v>
      </c>
      <c r="P252" s="317">
        <f t="shared" si="48"/>
        <v>2.6745296442230817</v>
      </c>
      <c r="Q252" s="317">
        <f t="shared" si="48"/>
        <v>2.4650335093102163</v>
      </c>
      <c r="R252" s="317">
        <f t="shared" si="48"/>
        <v>2.072680494613083</v>
      </c>
      <c r="S252" s="317">
        <f t="shared" si="48"/>
        <v>2.073960535021139</v>
      </c>
      <c r="T252" s="317">
        <f t="shared" si="47"/>
        <v>2.0009025245617345</v>
      </c>
      <c r="U252" s="317">
        <f t="shared" si="47"/>
        <v>1.9185077839965263</v>
      </c>
      <c r="V252" s="317">
        <f t="shared" si="47"/>
        <v>1.8740266313738891</v>
      </c>
      <c r="W252" s="317">
        <f t="shared" si="47"/>
        <v>0</v>
      </c>
      <c r="X252" s="317">
        <f t="shared" si="47"/>
        <v>0</v>
      </c>
      <c r="Y252" s="317">
        <f t="shared" si="47"/>
        <v>0</v>
      </c>
      <c r="Z252" s="317">
        <f t="shared" si="47"/>
        <v>0</v>
      </c>
      <c r="AA252" s="317">
        <f t="shared" si="47"/>
        <v>0</v>
      </c>
      <c r="AB252" s="317">
        <f t="shared" si="47"/>
        <v>0</v>
      </c>
      <c r="AC252" s="317">
        <f t="shared" si="47"/>
        <v>0</v>
      </c>
      <c r="AD252" s="317">
        <f t="shared" si="47"/>
        <v>0</v>
      </c>
      <c r="AE252" s="318">
        <f t="shared" si="47"/>
        <v>0</v>
      </c>
    </row>
    <row r="253" spans="1:31">
      <c r="A253" s="1711"/>
      <c r="B253" s="116">
        <v>20</v>
      </c>
      <c r="C253" s="316">
        <f>'CAR SEC'!K23</f>
        <v>2.3984324947754136</v>
      </c>
      <c r="D253" s="317">
        <f t="shared" si="48"/>
        <v>2.4018367243296845</v>
      </c>
      <c r="E253" s="317">
        <f t="shared" si="48"/>
        <v>2.4132790158148478</v>
      </c>
      <c r="F253" s="317">
        <f t="shared" si="48"/>
        <v>2.4211737016771822</v>
      </c>
      <c r="G253" s="317">
        <f t="shared" si="48"/>
        <v>2.4234318709882166</v>
      </c>
      <c r="H253" s="317">
        <f t="shared" si="48"/>
        <v>2.4283058426316968</v>
      </c>
      <c r="I253" s="317">
        <f t="shared" si="48"/>
        <v>2.4326220132281939</v>
      </c>
      <c r="J253" s="317">
        <f t="shared" si="48"/>
        <v>2.4454350231119402</v>
      </c>
      <c r="K253" s="317">
        <f t="shared" si="48"/>
        <v>2.5925892822326708</v>
      </c>
      <c r="L253" s="317">
        <f t="shared" si="48"/>
        <v>2.4512486417640007</v>
      </c>
      <c r="M253" s="317">
        <f t="shared" si="48"/>
        <v>2.5884403096603501</v>
      </c>
      <c r="N253" s="317">
        <f t="shared" si="48"/>
        <v>2.6076741420201923</v>
      </c>
      <c r="O253" s="317">
        <f t="shared" si="48"/>
        <v>2.551818579399713</v>
      </c>
      <c r="P253" s="317">
        <f t="shared" si="48"/>
        <v>2.6256730591672648</v>
      </c>
      <c r="Q253" s="317">
        <f t="shared" si="48"/>
        <v>2.6745296442230817</v>
      </c>
      <c r="R253" s="317">
        <f t="shared" si="48"/>
        <v>2.4650335093102163</v>
      </c>
      <c r="S253" s="317">
        <f t="shared" si="48"/>
        <v>2.072680494613083</v>
      </c>
      <c r="T253" s="317">
        <f t="shared" si="47"/>
        <v>2.073960535021139</v>
      </c>
      <c r="U253" s="317">
        <f t="shared" si="47"/>
        <v>2.0009025245617345</v>
      </c>
      <c r="V253" s="317">
        <f t="shared" si="47"/>
        <v>1.9185077839965263</v>
      </c>
      <c r="W253" s="317">
        <f t="shared" si="47"/>
        <v>1.8740266313738891</v>
      </c>
      <c r="X253" s="317">
        <f t="shared" si="47"/>
        <v>0</v>
      </c>
      <c r="Y253" s="317">
        <f t="shared" si="47"/>
        <v>0</v>
      </c>
      <c r="Z253" s="317">
        <f t="shared" si="47"/>
        <v>0</v>
      </c>
      <c r="AA253" s="317">
        <f t="shared" si="47"/>
        <v>0</v>
      </c>
      <c r="AB253" s="317">
        <f t="shared" si="47"/>
        <v>0</v>
      </c>
      <c r="AC253" s="317">
        <f t="shared" si="47"/>
        <v>0</v>
      </c>
      <c r="AD253" s="317">
        <f t="shared" si="47"/>
        <v>0</v>
      </c>
      <c r="AE253" s="318">
        <f t="shared" si="47"/>
        <v>0</v>
      </c>
    </row>
    <row r="254" spans="1:31">
      <c r="A254" s="1711"/>
      <c r="B254" s="116">
        <v>21</v>
      </c>
      <c r="C254" s="316">
        <f>'CAR SEC'!K24</f>
        <v>2.3784858910310005</v>
      </c>
      <c r="D254" s="317">
        <f t="shared" si="48"/>
        <v>2.3984324947754136</v>
      </c>
      <c r="E254" s="317">
        <f t="shared" si="48"/>
        <v>2.4018367243296845</v>
      </c>
      <c r="F254" s="317">
        <f t="shared" si="48"/>
        <v>2.4132790158148478</v>
      </c>
      <c r="G254" s="317">
        <f t="shared" si="48"/>
        <v>2.4211737016771822</v>
      </c>
      <c r="H254" s="317">
        <f t="shared" si="48"/>
        <v>2.4234318709882166</v>
      </c>
      <c r="I254" s="317">
        <f t="shared" si="48"/>
        <v>2.4283058426316968</v>
      </c>
      <c r="J254" s="317">
        <f t="shared" si="48"/>
        <v>2.4326220132281939</v>
      </c>
      <c r="K254" s="317">
        <f t="shared" si="48"/>
        <v>2.4454350231119402</v>
      </c>
      <c r="L254" s="317">
        <f t="shared" si="48"/>
        <v>2.5925892822326708</v>
      </c>
      <c r="M254" s="317">
        <f t="shared" si="48"/>
        <v>2.4512486417640007</v>
      </c>
      <c r="N254" s="317">
        <f t="shared" si="48"/>
        <v>2.5884403096603501</v>
      </c>
      <c r="O254" s="317">
        <f t="shared" si="48"/>
        <v>2.6076741420201923</v>
      </c>
      <c r="P254" s="317">
        <f t="shared" si="48"/>
        <v>2.551818579399713</v>
      </c>
      <c r="Q254" s="317">
        <f t="shared" si="48"/>
        <v>2.6256730591672648</v>
      </c>
      <c r="R254" s="317">
        <f t="shared" si="48"/>
        <v>2.6745296442230817</v>
      </c>
      <c r="S254" s="317">
        <f t="shared" si="48"/>
        <v>2.4650335093102163</v>
      </c>
      <c r="T254" s="317">
        <f t="shared" si="47"/>
        <v>2.072680494613083</v>
      </c>
      <c r="U254" s="317">
        <f t="shared" si="47"/>
        <v>2.073960535021139</v>
      </c>
      <c r="V254" s="317">
        <f t="shared" si="47"/>
        <v>2.0009025245617345</v>
      </c>
      <c r="W254" s="317">
        <f t="shared" si="47"/>
        <v>1.9185077839965263</v>
      </c>
      <c r="X254" s="317">
        <f t="shared" si="47"/>
        <v>1.8740266313738891</v>
      </c>
      <c r="Y254" s="317">
        <f t="shared" si="47"/>
        <v>0</v>
      </c>
      <c r="Z254" s="317">
        <f t="shared" si="47"/>
        <v>0</v>
      </c>
      <c r="AA254" s="317">
        <f t="shared" si="47"/>
        <v>0</v>
      </c>
      <c r="AB254" s="317">
        <f t="shared" si="47"/>
        <v>0</v>
      </c>
      <c r="AC254" s="317">
        <f t="shared" si="47"/>
        <v>0</v>
      </c>
      <c r="AD254" s="317">
        <f t="shared" si="47"/>
        <v>0</v>
      </c>
      <c r="AE254" s="318">
        <f t="shared" si="47"/>
        <v>0</v>
      </c>
    </row>
    <row r="255" spans="1:31">
      <c r="A255" s="1711"/>
      <c r="B255" s="116">
        <v>22</v>
      </c>
      <c r="C255" s="316">
        <f>'CAR SEC'!K25</f>
        <v>2.3731906751891119</v>
      </c>
      <c r="D255" s="317">
        <f t="shared" si="48"/>
        <v>2.3784858910310005</v>
      </c>
      <c r="E255" s="317">
        <f t="shared" si="48"/>
        <v>2.3984324947754136</v>
      </c>
      <c r="F255" s="317">
        <f t="shared" si="48"/>
        <v>2.4018367243296845</v>
      </c>
      <c r="G255" s="317">
        <f t="shared" si="48"/>
        <v>2.4132790158148478</v>
      </c>
      <c r="H255" s="317">
        <f t="shared" si="48"/>
        <v>2.4211737016771822</v>
      </c>
      <c r="I255" s="317">
        <f t="shared" si="48"/>
        <v>2.4234318709882166</v>
      </c>
      <c r="J255" s="317">
        <f t="shared" si="48"/>
        <v>2.4283058426316968</v>
      </c>
      <c r="K255" s="317">
        <f t="shared" si="48"/>
        <v>2.4326220132281939</v>
      </c>
      <c r="L255" s="317">
        <f t="shared" si="48"/>
        <v>2.4454350231119402</v>
      </c>
      <c r="M255" s="317">
        <f t="shared" si="48"/>
        <v>2.5925892822326708</v>
      </c>
      <c r="N255" s="317">
        <f t="shared" si="48"/>
        <v>2.4512486417640007</v>
      </c>
      <c r="O255" s="317">
        <f t="shared" si="48"/>
        <v>2.5884403096603501</v>
      </c>
      <c r="P255" s="317">
        <f t="shared" si="48"/>
        <v>2.6076741420201923</v>
      </c>
      <c r="Q255" s="317">
        <f t="shared" si="48"/>
        <v>2.551818579399713</v>
      </c>
      <c r="R255" s="317">
        <f t="shared" si="48"/>
        <v>2.6256730591672648</v>
      </c>
      <c r="S255" s="317">
        <f t="shared" si="48"/>
        <v>2.6745296442230817</v>
      </c>
      <c r="T255" s="317">
        <f t="shared" si="47"/>
        <v>2.4650335093102163</v>
      </c>
      <c r="U255" s="317">
        <f t="shared" si="47"/>
        <v>2.072680494613083</v>
      </c>
      <c r="V255" s="317">
        <f t="shared" si="47"/>
        <v>2.073960535021139</v>
      </c>
      <c r="W255" s="317">
        <f t="shared" si="47"/>
        <v>2.0009025245617345</v>
      </c>
      <c r="X255" s="317">
        <f t="shared" si="47"/>
        <v>1.9185077839965263</v>
      </c>
      <c r="Y255" s="317">
        <f t="shared" si="47"/>
        <v>1.8740266313738891</v>
      </c>
      <c r="Z255" s="317">
        <f t="shared" si="47"/>
        <v>0</v>
      </c>
      <c r="AA255" s="317">
        <f t="shared" si="47"/>
        <v>0</v>
      </c>
      <c r="AB255" s="317">
        <f t="shared" si="47"/>
        <v>0</v>
      </c>
      <c r="AC255" s="317">
        <f t="shared" si="47"/>
        <v>0</v>
      </c>
      <c r="AD255" s="317">
        <f t="shared" si="47"/>
        <v>0</v>
      </c>
      <c r="AE255" s="318">
        <f t="shared" si="47"/>
        <v>0</v>
      </c>
    </row>
    <row r="256" spans="1:31">
      <c r="A256" s="1711"/>
      <c r="B256" s="116">
        <v>23</v>
      </c>
      <c r="C256" s="316">
        <f>'CAR SEC'!K26</f>
        <v>2.36658719318477</v>
      </c>
      <c r="D256" s="317">
        <f t="shared" si="48"/>
        <v>2.3731906751891119</v>
      </c>
      <c r="E256" s="317">
        <f t="shared" si="48"/>
        <v>2.3784858910310005</v>
      </c>
      <c r="F256" s="317">
        <f t="shared" si="48"/>
        <v>2.3984324947754136</v>
      </c>
      <c r="G256" s="317">
        <f t="shared" si="48"/>
        <v>2.4018367243296845</v>
      </c>
      <c r="H256" s="317">
        <f t="shared" si="48"/>
        <v>2.4132790158148478</v>
      </c>
      <c r="I256" s="317">
        <f t="shared" si="48"/>
        <v>2.4211737016771822</v>
      </c>
      <c r="J256" s="317">
        <f t="shared" si="48"/>
        <v>2.4234318709882166</v>
      </c>
      <c r="K256" s="317">
        <f t="shared" si="48"/>
        <v>2.4283058426316968</v>
      </c>
      <c r="L256" s="317">
        <f t="shared" si="48"/>
        <v>2.4326220132281939</v>
      </c>
      <c r="M256" s="317">
        <f t="shared" si="48"/>
        <v>2.4454350231119402</v>
      </c>
      <c r="N256" s="317">
        <f t="shared" si="48"/>
        <v>2.5925892822326708</v>
      </c>
      <c r="O256" s="317">
        <f t="shared" si="48"/>
        <v>2.4512486417640007</v>
      </c>
      <c r="P256" s="317">
        <f t="shared" si="48"/>
        <v>2.5884403096603501</v>
      </c>
      <c r="Q256" s="317">
        <f t="shared" si="48"/>
        <v>2.6076741420201923</v>
      </c>
      <c r="R256" s="317">
        <f t="shared" si="48"/>
        <v>2.551818579399713</v>
      </c>
      <c r="S256" s="317">
        <f t="shared" si="48"/>
        <v>2.6256730591672648</v>
      </c>
      <c r="T256" s="317">
        <f t="shared" si="47"/>
        <v>2.6745296442230817</v>
      </c>
      <c r="U256" s="317">
        <f t="shared" si="47"/>
        <v>2.4650335093102163</v>
      </c>
      <c r="V256" s="317">
        <f t="shared" si="47"/>
        <v>2.072680494613083</v>
      </c>
      <c r="W256" s="317">
        <f t="shared" si="47"/>
        <v>2.073960535021139</v>
      </c>
      <c r="X256" s="317">
        <f t="shared" si="47"/>
        <v>2.0009025245617345</v>
      </c>
      <c r="Y256" s="317">
        <f t="shared" si="47"/>
        <v>1.9185077839965263</v>
      </c>
      <c r="Z256" s="317">
        <f t="shared" si="47"/>
        <v>1.8740266313738891</v>
      </c>
      <c r="AA256" s="317">
        <f t="shared" si="47"/>
        <v>0</v>
      </c>
      <c r="AB256" s="317">
        <f t="shared" si="47"/>
        <v>0</v>
      </c>
      <c r="AC256" s="317">
        <f t="shared" si="47"/>
        <v>0</v>
      </c>
      <c r="AD256" s="317">
        <f t="shared" si="47"/>
        <v>0</v>
      </c>
      <c r="AE256" s="318">
        <f t="shared" si="47"/>
        <v>0</v>
      </c>
    </row>
    <row r="257" spans="1:31">
      <c r="A257" s="1711"/>
      <c r="B257" s="116">
        <v>24</v>
      </c>
      <c r="C257" s="316">
        <f>C256</f>
        <v>2.36658719318477</v>
      </c>
      <c r="D257" s="317">
        <f t="shared" si="48"/>
        <v>2.36658719318477</v>
      </c>
      <c r="E257" s="317">
        <f t="shared" si="48"/>
        <v>2.3731906751891119</v>
      </c>
      <c r="F257" s="317">
        <f t="shared" si="48"/>
        <v>2.3784858910310005</v>
      </c>
      <c r="G257" s="317">
        <f t="shared" si="48"/>
        <v>2.3984324947754136</v>
      </c>
      <c r="H257" s="317">
        <f t="shared" si="48"/>
        <v>2.4018367243296845</v>
      </c>
      <c r="I257" s="317">
        <f t="shared" si="48"/>
        <v>2.4132790158148478</v>
      </c>
      <c r="J257" s="317">
        <f t="shared" si="48"/>
        <v>2.4211737016771822</v>
      </c>
      <c r="K257" s="317">
        <f t="shared" si="48"/>
        <v>2.4234318709882166</v>
      </c>
      <c r="L257" s="317">
        <f t="shared" si="48"/>
        <v>2.4283058426316968</v>
      </c>
      <c r="M257" s="317">
        <f t="shared" si="48"/>
        <v>2.4326220132281939</v>
      </c>
      <c r="N257" s="317">
        <f t="shared" si="48"/>
        <v>2.4454350231119402</v>
      </c>
      <c r="O257" s="317">
        <f t="shared" si="48"/>
        <v>2.5925892822326708</v>
      </c>
      <c r="P257" s="317">
        <f t="shared" si="48"/>
        <v>2.4512486417640007</v>
      </c>
      <c r="Q257" s="317">
        <f t="shared" si="48"/>
        <v>2.5884403096603501</v>
      </c>
      <c r="R257" s="317">
        <f t="shared" si="48"/>
        <v>2.6076741420201923</v>
      </c>
      <c r="S257" s="317">
        <f t="shared" si="48"/>
        <v>2.551818579399713</v>
      </c>
      <c r="T257" s="317">
        <f t="shared" si="47"/>
        <v>2.6256730591672648</v>
      </c>
      <c r="U257" s="317">
        <f t="shared" si="47"/>
        <v>2.6745296442230817</v>
      </c>
      <c r="V257" s="317">
        <f t="shared" si="47"/>
        <v>2.4650335093102163</v>
      </c>
      <c r="W257" s="317">
        <f t="shared" si="47"/>
        <v>2.072680494613083</v>
      </c>
      <c r="X257" s="317">
        <f t="shared" si="47"/>
        <v>2.073960535021139</v>
      </c>
      <c r="Y257" s="317">
        <f t="shared" si="47"/>
        <v>2.0009025245617345</v>
      </c>
      <c r="Z257" s="317">
        <f t="shared" si="47"/>
        <v>1.9185077839965263</v>
      </c>
      <c r="AA257" s="317">
        <f t="shared" si="47"/>
        <v>1.8740266313738891</v>
      </c>
      <c r="AB257" s="317">
        <f t="shared" si="47"/>
        <v>0</v>
      </c>
      <c r="AC257" s="317">
        <f t="shared" si="47"/>
        <v>0</v>
      </c>
      <c r="AD257" s="317">
        <f t="shared" si="47"/>
        <v>0</v>
      </c>
      <c r="AE257" s="318">
        <f t="shared" si="47"/>
        <v>0</v>
      </c>
    </row>
    <row r="258" spans="1:31" ht="15.75" thickBot="1">
      <c r="A258" s="1711"/>
      <c r="B258" s="116">
        <v>25</v>
      </c>
      <c r="C258" s="324">
        <f>C257</f>
        <v>2.36658719318477</v>
      </c>
      <c r="D258" s="325">
        <f t="shared" si="48"/>
        <v>2.36658719318477</v>
      </c>
      <c r="E258" s="325">
        <f t="shared" si="48"/>
        <v>2.36658719318477</v>
      </c>
      <c r="F258" s="325">
        <f t="shared" si="48"/>
        <v>2.3731906751891119</v>
      </c>
      <c r="G258" s="325">
        <f t="shared" si="48"/>
        <v>2.3784858910310005</v>
      </c>
      <c r="H258" s="325">
        <f t="shared" si="48"/>
        <v>2.3984324947754136</v>
      </c>
      <c r="I258" s="325">
        <f t="shared" si="48"/>
        <v>2.4018367243296845</v>
      </c>
      <c r="J258" s="325">
        <f t="shared" si="48"/>
        <v>2.4132790158148478</v>
      </c>
      <c r="K258" s="325">
        <f t="shared" si="48"/>
        <v>2.4211737016771822</v>
      </c>
      <c r="L258" s="325">
        <f t="shared" si="48"/>
        <v>2.4234318709882166</v>
      </c>
      <c r="M258" s="325">
        <f t="shared" si="48"/>
        <v>2.4283058426316968</v>
      </c>
      <c r="N258" s="325">
        <f t="shared" si="48"/>
        <v>2.4326220132281939</v>
      </c>
      <c r="O258" s="325">
        <f t="shared" si="48"/>
        <v>2.4454350231119402</v>
      </c>
      <c r="P258" s="325">
        <f t="shared" si="48"/>
        <v>2.5925892822326708</v>
      </c>
      <c r="Q258" s="325">
        <f t="shared" si="48"/>
        <v>2.4512486417640007</v>
      </c>
      <c r="R258" s="325">
        <f t="shared" si="48"/>
        <v>2.5884403096603501</v>
      </c>
      <c r="S258" s="325">
        <f t="shared" si="48"/>
        <v>2.6076741420201923</v>
      </c>
      <c r="T258" s="325">
        <f t="shared" si="47"/>
        <v>2.551818579399713</v>
      </c>
      <c r="U258" s="325">
        <f t="shared" si="47"/>
        <v>2.6256730591672648</v>
      </c>
      <c r="V258" s="325">
        <f t="shared" si="47"/>
        <v>2.6745296442230817</v>
      </c>
      <c r="W258" s="325">
        <f t="shared" si="47"/>
        <v>2.4650335093102163</v>
      </c>
      <c r="X258" s="325">
        <f t="shared" si="47"/>
        <v>2.072680494613083</v>
      </c>
      <c r="Y258" s="325">
        <f t="shared" si="47"/>
        <v>2.073960535021139</v>
      </c>
      <c r="Z258" s="325">
        <f t="shared" si="47"/>
        <v>2.0009025245617345</v>
      </c>
      <c r="AA258" s="325">
        <f t="shared" si="47"/>
        <v>1.9185077839965263</v>
      </c>
      <c r="AB258" s="325">
        <f t="shared" si="47"/>
        <v>1.8740266313738891</v>
      </c>
      <c r="AC258" s="325">
        <f t="shared" si="47"/>
        <v>0</v>
      </c>
      <c r="AD258" s="325">
        <f t="shared" si="47"/>
        <v>0</v>
      </c>
      <c r="AE258" s="326">
        <f t="shared" si="47"/>
        <v>0</v>
      </c>
    </row>
    <row r="259" spans="1:31" ht="16.5" thickTop="1" thickBot="1">
      <c r="A259" s="1712"/>
      <c r="B259" s="300" t="s">
        <v>39</v>
      </c>
      <c r="C259" s="327">
        <f>SUMPRODUCT('CAR Stock'!C256:C281,C233:C258)/'CAR Stock'!C282</f>
        <v>2.3099584729629954</v>
      </c>
      <c r="D259" s="327">
        <f>SUMPRODUCT('CAR Stock'!D256:D281,D233:D258)/'CAR Stock'!D282</f>
        <v>2.3025202435532766</v>
      </c>
      <c r="E259" s="327">
        <f>SUMPRODUCT('CAR Stock'!E256:E281,E233:E258)/'CAR Stock'!E282</f>
        <v>2.2936471247923658</v>
      </c>
      <c r="F259" s="327">
        <f>SUMPRODUCT('CAR Stock'!F256:F281,F233:F258)/'CAR Stock'!F282</f>
        <v>2.2812352030387131</v>
      </c>
      <c r="G259" s="327">
        <f>SUMPRODUCT('CAR Stock'!G256:G281,G233:G258)/'CAR Stock'!G282</f>
        <v>2.2631579260166208</v>
      </c>
      <c r="H259" s="327">
        <f>SUMPRODUCT('CAR Stock'!H256:H281,H233:H258)/'CAR Stock'!H282</f>
        <v>2.2344550550103155</v>
      </c>
      <c r="I259" s="327">
        <f>SUMPRODUCT('CAR Stock'!I256:I281,I233:I258)/'CAR Stock'!I282</f>
        <v>2.1896512023143577</v>
      </c>
      <c r="J259" s="327">
        <f>SUMPRODUCT('CAR Stock'!J256:J281,J233:J258)/'CAR Stock'!J282</f>
        <v>2.1307713226209892</v>
      </c>
      <c r="K259" s="327">
        <f>SUMPRODUCT('CAR Stock'!K256:K281,K233:K258)/'CAR Stock'!K282</f>
        <v>2.0699951373857122</v>
      </c>
      <c r="L259" s="327">
        <f>SUMPRODUCT('CAR Stock'!L256:L281,L233:L258)/'CAR Stock'!L282</f>
        <v>2.0163704337464119</v>
      </c>
      <c r="M259" s="327">
        <f>SUMPRODUCT('CAR Stock'!M256:M281,M233:M258)/'CAR Stock'!M282</f>
        <v>1.9739882691823887</v>
      </c>
      <c r="N259" s="327">
        <f>SUMPRODUCT('CAR Stock'!N256:N281,N233:N258)/'CAR Stock'!N282</f>
        <v>1.94288725757054</v>
      </c>
      <c r="O259" s="327">
        <f>SUMPRODUCT('CAR Stock'!O256:O281,O233:O258)/'CAR Stock'!O282</f>
        <v>1.9214094750658717</v>
      </c>
      <c r="P259" s="327">
        <f>SUMPRODUCT('CAR Stock'!P256:P281,P233:P258)/'CAR Stock'!P282</f>
        <v>1.9070083886831364</v>
      </c>
      <c r="Q259" s="327">
        <f>SUMPRODUCT('CAR Stock'!Q256:Q281,Q233:Q258)/'CAR Stock'!Q282</f>
        <v>1.8985545082475224</v>
      </c>
      <c r="R259" s="327">
        <f>SUMPRODUCT('CAR Stock'!R256:R281,R233:R258)/'CAR Stock'!R282</f>
        <v>1.8949663029177735</v>
      </c>
      <c r="S259" s="327">
        <f>SUMPRODUCT('CAR Stock'!S256:S281,S233:S258)/'CAR Stock'!S282</f>
        <v>1.8917215828559599</v>
      </c>
      <c r="T259" s="327">
        <f>SUMPRODUCT('CAR Stock'!T256:T281,T233:T258)/'CAR Stock'!T282</f>
        <v>1.8887725018391275</v>
      </c>
      <c r="U259" s="327">
        <f>SUMPRODUCT('CAR Stock'!U256:U281,U233:U258)/'CAR Stock'!U282</f>
        <v>1.8860802871639109</v>
      </c>
      <c r="V259" s="327">
        <f>SUMPRODUCT('CAR Stock'!V256:V281,V233:V258)/'CAR Stock'!V282</f>
        <v>1.8836143034360027</v>
      </c>
      <c r="W259" s="327">
        <f>SUMPRODUCT('CAR Stock'!W256:W281,W233:W258)/'CAR Stock'!W282</f>
        <v>1.881350930448441</v>
      </c>
      <c r="X259" s="327">
        <f>SUMPRODUCT('CAR Stock'!X256:X281,X233:X258)/'CAR Stock'!X282</f>
        <v>1.8792723300329868</v>
      </c>
      <c r="Y259" s="327">
        <f>SUMPRODUCT('CAR Stock'!Y256:Y281,Y233:Y258)/'CAR Stock'!Y282</f>
        <v>1.8773651641426905</v>
      </c>
      <c r="Z259" s="327">
        <f>SUMPRODUCT('CAR Stock'!Z256:Z281,Z233:Z258)/'CAR Stock'!Z282</f>
        <v>1.8756193132521153</v>
      </c>
      <c r="AA259" s="327">
        <f>SUMPRODUCT('CAR Stock'!AA256:AA281,AA233:AA258)/'CAR Stock'!AA282</f>
        <v>1.8740266313738891</v>
      </c>
      <c r="AB259" s="327">
        <v>0</v>
      </c>
      <c r="AC259" s="327">
        <v>0</v>
      </c>
      <c r="AD259" s="327">
        <v>0</v>
      </c>
      <c r="AE259" s="327">
        <v>0</v>
      </c>
    </row>
    <row r="260" spans="1:31" ht="15.75" thickBot="1">
      <c r="A260" s="650"/>
    </row>
    <row r="261" spans="1:31" ht="15.75" customHeight="1" thickBot="1">
      <c r="A261" s="1710" t="s">
        <v>49</v>
      </c>
      <c r="B261" s="169" t="s">
        <v>10</v>
      </c>
      <c r="C261" s="288">
        <v>2012</v>
      </c>
      <c r="D261" s="289">
        <v>2013</v>
      </c>
      <c r="E261" s="289">
        <v>2014</v>
      </c>
      <c r="F261" s="289">
        <v>2015</v>
      </c>
      <c r="G261" s="288">
        <v>2016</v>
      </c>
      <c r="H261" s="289">
        <v>2017</v>
      </c>
      <c r="I261" s="289">
        <v>2018</v>
      </c>
      <c r="J261" s="289">
        <v>2019</v>
      </c>
      <c r="K261" s="288">
        <v>2020</v>
      </c>
      <c r="L261" s="289">
        <v>2021</v>
      </c>
      <c r="M261" s="289">
        <v>2022</v>
      </c>
      <c r="N261" s="289">
        <v>2023</v>
      </c>
      <c r="O261" s="288">
        <v>2024</v>
      </c>
      <c r="P261" s="289">
        <v>2025</v>
      </c>
      <c r="Q261" s="289">
        <v>2026</v>
      </c>
      <c r="R261" s="289">
        <v>2027</v>
      </c>
      <c r="S261" s="288">
        <v>2028</v>
      </c>
      <c r="T261" s="289">
        <v>2029</v>
      </c>
      <c r="U261" s="289">
        <v>2030</v>
      </c>
      <c r="V261" s="289">
        <v>2031</v>
      </c>
      <c r="W261" s="288">
        <v>2032</v>
      </c>
      <c r="X261" s="289">
        <v>2033</v>
      </c>
      <c r="Y261" s="289">
        <v>2034</v>
      </c>
      <c r="Z261" s="289">
        <v>2035</v>
      </c>
      <c r="AA261" s="288">
        <v>2036</v>
      </c>
      <c r="AB261" s="289">
        <v>2037</v>
      </c>
      <c r="AC261" s="289">
        <v>2038</v>
      </c>
      <c r="AD261" s="289">
        <v>2039</v>
      </c>
      <c r="AE261" s="290">
        <v>2040</v>
      </c>
    </row>
    <row r="262" spans="1:31">
      <c r="A262" s="1711"/>
      <c r="B262" s="116">
        <v>0</v>
      </c>
      <c r="C262" s="313">
        <v>0</v>
      </c>
      <c r="D262" s="314">
        <v>0</v>
      </c>
      <c r="E262" s="314">
        <v>0</v>
      </c>
      <c r="F262" s="314">
        <v>0</v>
      </c>
      <c r="G262" s="314">
        <v>0</v>
      </c>
      <c r="H262" s="314">
        <v>0</v>
      </c>
      <c r="I262" s="314">
        <v>0</v>
      </c>
      <c r="J262" s="314">
        <v>0</v>
      </c>
      <c r="K262" s="314">
        <v>0</v>
      </c>
      <c r="L262" s="314">
        <v>0</v>
      </c>
      <c r="M262" s="314">
        <v>0</v>
      </c>
      <c r="N262" s="314">
        <v>0</v>
      </c>
      <c r="O262" s="314">
        <v>0</v>
      </c>
      <c r="P262" s="314">
        <v>0</v>
      </c>
      <c r="Q262" s="314">
        <v>0</v>
      </c>
      <c r="R262" s="314">
        <v>0</v>
      </c>
      <c r="S262" s="314">
        <v>0</v>
      </c>
      <c r="T262" s="314">
        <v>0</v>
      </c>
      <c r="U262" s="314">
        <v>0</v>
      </c>
      <c r="V262" s="314">
        <v>0</v>
      </c>
      <c r="W262" s="314">
        <v>0</v>
      </c>
      <c r="X262" s="314">
        <v>0</v>
      </c>
      <c r="Y262" s="314">
        <v>0</v>
      </c>
      <c r="Z262" s="314">
        <v>0</v>
      </c>
      <c r="AA262" s="314">
        <v>0</v>
      </c>
      <c r="AB262" s="314">
        <v>0</v>
      </c>
      <c r="AC262" s="314">
        <v>0</v>
      </c>
      <c r="AD262" s="314">
        <v>0</v>
      </c>
      <c r="AE262" s="315">
        <v>0</v>
      </c>
    </row>
    <row r="263" spans="1:31">
      <c r="A263" s="1711"/>
      <c r="B263" s="116">
        <v>1</v>
      </c>
      <c r="C263" s="316">
        <v>0</v>
      </c>
      <c r="D263" s="317">
        <f>C262</f>
        <v>0</v>
      </c>
      <c r="E263" s="317">
        <f t="shared" ref="E263:T263" si="49">D262</f>
        <v>0</v>
      </c>
      <c r="F263" s="317">
        <f t="shared" si="49"/>
        <v>0</v>
      </c>
      <c r="G263" s="317">
        <f t="shared" si="49"/>
        <v>0</v>
      </c>
      <c r="H263" s="317">
        <f t="shared" si="49"/>
        <v>0</v>
      </c>
      <c r="I263" s="317">
        <f t="shared" si="49"/>
        <v>0</v>
      </c>
      <c r="J263" s="317">
        <f t="shared" si="49"/>
        <v>0</v>
      </c>
      <c r="K263" s="317">
        <f t="shared" si="49"/>
        <v>0</v>
      </c>
      <c r="L263" s="317">
        <f t="shared" si="49"/>
        <v>0</v>
      </c>
      <c r="M263" s="317">
        <f t="shared" si="49"/>
        <v>0</v>
      </c>
      <c r="N263" s="317">
        <f t="shared" si="49"/>
        <v>0</v>
      </c>
      <c r="O263" s="317">
        <f t="shared" si="49"/>
        <v>0</v>
      </c>
      <c r="P263" s="317">
        <f t="shared" si="49"/>
        <v>0</v>
      </c>
      <c r="Q263" s="317">
        <f t="shared" si="49"/>
        <v>0</v>
      </c>
      <c r="R263" s="317">
        <f t="shared" si="49"/>
        <v>0</v>
      </c>
      <c r="S263" s="317">
        <f t="shared" si="49"/>
        <v>0</v>
      </c>
      <c r="T263" s="317">
        <f t="shared" si="49"/>
        <v>0</v>
      </c>
      <c r="U263" s="317">
        <f t="shared" ref="T263:AE278" si="50">T262</f>
        <v>0</v>
      </c>
      <c r="V263" s="317">
        <f t="shared" si="50"/>
        <v>0</v>
      </c>
      <c r="W263" s="317">
        <f t="shared" si="50"/>
        <v>0</v>
      </c>
      <c r="X263" s="317">
        <f t="shared" si="50"/>
        <v>0</v>
      </c>
      <c r="Y263" s="317">
        <f t="shared" si="50"/>
        <v>0</v>
      </c>
      <c r="Z263" s="317">
        <f t="shared" si="50"/>
        <v>0</v>
      </c>
      <c r="AA263" s="317">
        <f t="shared" si="50"/>
        <v>0</v>
      </c>
      <c r="AB263" s="317">
        <f t="shared" si="50"/>
        <v>0</v>
      </c>
      <c r="AC263" s="317">
        <f t="shared" si="50"/>
        <v>0</v>
      </c>
      <c r="AD263" s="317">
        <f t="shared" si="50"/>
        <v>0</v>
      </c>
      <c r="AE263" s="318">
        <f t="shared" si="50"/>
        <v>0</v>
      </c>
    </row>
    <row r="264" spans="1:31">
      <c r="A264" s="1711"/>
      <c r="B264" s="116">
        <v>2</v>
      </c>
      <c r="C264" s="316">
        <v>0</v>
      </c>
      <c r="D264" s="317">
        <f t="shared" ref="D264:S279" si="51">C263</f>
        <v>0</v>
      </c>
      <c r="E264" s="317">
        <f t="shared" si="51"/>
        <v>0</v>
      </c>
      <c r="F264" s="317">
        <f t="shared" si="51"/>
        <v>0</v>
      </c>
      <c r="G264" s="317">
        <f t="shared" si="51"/>
        <v>0</v>
      </c>
      <c r="H264" s="317">
        <f t="shared" si="51"/>
        <v>0</v>
      </c>
      <c r="I264" s="317">
        <f t="shared" si="51"/>
        <v>0</v>
      </c>
      <c r="J264" s="317">
        <f t="shared" si="51"/>
        <v>0</v>
      </c>
      <c r="K264" s="317">
        <f t="shared" si="51"/>
        <v>0</v>
      </c>
      <c r="L264" s="317">
        <f t="shared" si="51"/>
        <v>0</v>
      </c>
      <c r="M264" s="317">
        <f t="shared" si="51"/>
        <v>0</v>
      </c>
      <c r="N264" s="317">
        <f t="shared" si="51"/>
        <v>0</v>
      </c>
      <c r="O264" s="317">
        <f t="shared" si="51"/>
        <v>0</v>
      </c>
      <c r="P264" s="317">
        <f t="shared" si="51"/>
        <v>0</v>
      </c>
      <c r="Q264" s="317">
        <f t="shared" si="51"/>
        <v>0</v>
      </c>
      <c r="R264" s="317">
        <f t="shared" si="51"/>
        <v>0</v>
      </c>
      <c r="S264" s="317">
        <f t="shared" si="51"/>
        <v>0</v>
      </c>
      <c r="T264" s="317">
        <f t="shared" si="50"/>
        <v>0</v>
      </c>
      <c r="U264" s="317">
        <f t="shared" si="50"/>
        <v>0</v>
      </c>
      <c r="V264" s="317">
        <f t="shared" si="50"/>
        <v>0</v>
      </c>
      <c r="W264" s="317">
        <f t="shared" si="50"/>
        <v>0</v>
      </c>
      <c r="X264" s="317">
        <f t="shared" si="50"/>
        <v>0</v>
      </c>
      <c r="Y264" s="317">
        <f t="shared" si="50"/>
        <v>0</v>
      </c>
      <c r="Z264" s="317">
        <f t="shared" si="50"/>
        <v>0</v>
      </c>
      <c r="AA264" s="317">
        <f t="shared" si="50"/>
        <v>0</v>
      </c>
      <c r="AB264" s="317">
        <f t="shared" si="50"/>
        <v>0</v>
      </c>
      <c r="AC264" s="317">
        <f t="shared" si="50"/>
        <v>0</v>
      </c>
      <c r="AD264" s="317">
        <f t="shared" si="50"/>
        <v>0</v>
      </c>
      <c r="AE264" s="318">
        <f t="shared" si="50"/>
        <v>0</v>
      </c>
    </row>
    <row r="265" spans="1:31">
      <c r="A265" s="1711"/>
      <c r="B265" s="116">
        <v>3</v>
      </c>
      <c r="C265" s="316">
        <v>0</v>
      </c>
      <c r="D265" s="317">
        <f t="shared" si="51"/>
        <v>0</v>
      </c>
      <c r="E265" s="317">
        <f t="shared" si="51"/>
        <v>0</v>
      </c>
      <c r="F265" s="317">
        <f t="shared" si="51"/>
        <v>0</v>
      </c>
      <c r="G265" s="317">
        <f t="shared" si="51"/>
        <v>0</v>
      </c>
      <c r="H265" s="317">
        <f t="shared" si="51"/>
        <v>0</v>
      </c>
      <c r="I265" s="317">
        <f t="shared" si="51"/>
        <v>0</v>
      </c>
      <c r="J265" s="317">
        <f t="shared" si="51"/>
        <v>0</v>
      </c>
      <c r="K265" s="317">
        <f t="shared" si="51"/>
        <v>0</v>
      </c>
      <c r="L265" s="317">
        <f t="shared" si="51"/>
        <v>0</v>
      </c>
      <c r="M265" s="317">
        <f t="shared" si="51"/>
        <v>0</v>
      </c>
      <c r="N265" s="317">
        <f t="shared" si="51"/>
        <v>0</v>
      </c>
      <c r="O265" s="317">
        <f t="shared" si="51"/>
        <v>0</v>
      </c>
      <c r="P265" s="317">
        <f t="shared" si="51"/>
        <v>0</v>
      </c>
      <c r="Q265" s="317">
        <f t="shared" si="51"/>
        <v>0</v>
      </c>
      <c r="R265" s="317">
        <f t="shared" si="51"/>
        <v>0</v>
      </c>
      <c r="S265" s="317">
        <f t="shared" si="51"/>
        <v>0</v>
      </c>
      <c r="T265" s="317">
        <f t="shared" si="50"/>
        <v>0</v>
      </c>
      <c r="U265" s="317">
        <f t="shared" si="50"/>
        <v>0</v>
      </c>
      <c r="V265" s="317">
        <f t="shared" si="50"/>
        <v>0</v>
      </c>
      <c r="W265" s="317">
        <f t="shared" si="50"/>
        <v>0</v>
      </c>
      <c r="X265" s="317">
        <f t="shared" si="50"/>
        <v>0</v>
      </c>
      <c r="Y265" s="317">
        <f t="shared" si="50"/>
        <v>0</v>
      </c>
      <c r="Z265" s="317">
        <f t="shared" si="50"/>
        <v>0</v>
      </c>
      <c r="AA265" s="317">
        <f t="shared" si="50"/>
        <v>0</v>
      </c>
      <c r="AB265" s="317">
        <f t="shared" si="50"/>
        <v>0</v>
      </c>
      <c r="AC265" s="317">
        <f t="shared" si="50"/>
        <v>0</v>
      </c>
      <c r="AD265" s="317">
        <f t="shared" si="50"/>
        <v>0</v>
      </c>
      <c r="AE265" s="318">
        <f t="shared" si="50"/>
        <v>0</v>
      </c>
    </row>
    <row r="266" spans="1:31">
      <c r="A266" s="1711"/>
      <c r="B266" s="116">
        <v>4</v>
      </c>
      <c r="C266" s="316">
        <v>0</v>
      </c>
      <c r="D266" s="317">
        <f t="shared" si="51"/>
        <v>0</v>
      </c>
      <c r="E266" s="317">
        <f t="shared" si="51"/>
        <v>0</v>
      </c>
      <c r="F266" s="317">
        <f t="shared" si="51"/>
        <v>0</v>
      </c>
      <c r="G266" s="317">
        <f t="shared" si="51"/>
        <v>0</v>
      </c>
      <c r="H266" s="317">
        <f t="shared" si="51"/>
        <v>0</v>
      </c>
      <c r="I266" s="317">
        <f t="shared" si="51"/>
        <v>0</v>
      </c>
      <c r="J266" s="317">
        <f t="shared" si="51"/>
        <v>0</v>
      </c>
      <c r="K266" s="317">
        <f t="shared" si="51"/>
        <v>0</v>
      </c>
      <c r="L266" s="317">
        <f t="shared" si="51"/>
        <v>0</v>
      </c>
      <c r="M266" s="317">
        <f t="shared" si="51"/>
        <v>0</v>
      </c>
      <c r="N266" s="317">
        <f t="shared" si="51"/>
        <v>0</v>
      </c>
      <c r="O266" s="317">
        <f t="shared" si="51"/>
        <v>0</v>
      </c>
      <c r="P266" s="317">
        <f t="shared" si="51"/>
        <v>0</v>
      </c>
      <c r="Q266" s="317">
        <f t="shared" si="51"/>
        <v>0</v>
      </c>
      <c r="R266" s="317">
        <f t="shared" si="51"/>
        <v>0</v>
      </c>
      <c r="S266" s="317">
        <f t="shared" si="51"/>
        <v>0</v>
      </c>
      <c r="T266" s="317">
        <f t="shared" si="50"/>
        <v>0</v>
      </c>
      <c r="U266" s="317">
        <f t="shared" si="50"/>
        <v>0</v>
      </c>
      <c r="V266" s="317">
        <f t="shared" si="50"/>
        <v>0</v>
      </c>
      <c r="W266" s="317">
        <f t="shared" si="50"/>
        <v>0</v>
      </c>
      <c r="X266" s="317">
        <f t="shared" si="50"/>
        <v>0</v>
      </c>
      <c r="Y266" s="317">
        <f t="shared" si="50"/>
        <v>0</v>
      </c>
      <c r="Z266" s="317">
        <f t="shared" si="50"/>
        <v>0</v>
      </c>
      <c r="AA266" s="317">
        <f t="shared" si="50"/>
        <v>0</v>
      </c>
      <c r="AB266" s="317">
        <f t="shared" si="50"/>
        <v>0</v>
      </c>
      <c r="AC266" s="317">
        <f t="shared" si="50"/>
        <v>0</v>
      </c>
      <c r="AD266" s="317">
        <f t="shared" si="50"/>
        <v>0</v>
      </c>
      <c r="AE266" s="318">
        <f t="shared" si="50"/>
        <v>0</v>
      </c>
    </row>
    <row r="267" spans="1:31">
      <c r="A267" s="1711"/>
      <c r="B267" s="116">
        <v>5</v>
      </c>
      <c r="C267" s="316">
        <v>0</v>
      </c>
      <c r="D267" s="317">
        <f t="shared" si="51"/>
        <v>0</v>
      </c>
      <c r="E267" s="317">
        <f t="shared" si="51"/>
        <v>0</v>
      </c>
      <c r="F267" s="317">
        <f t="shared" si="51"/>
        <v>0</v>
      </c>
      <c r="G267" s="317">
        <f t="shared" si="51"/>
        <v>0</v>
      </c>
      <c r="H267" s="317">
        <f t="shared" si="51"/>
        <v>0</v>
      </c>
      <c r="I267" s="317">
        <f t="shared" si="51"/>
        <v>0</v>
      </c>
      <c r="J267" s="317">
        <f t="shared" si="51"/>
        <v>0</v>
      </c>
      <c r="K267" s="317">
        <f t="shared" si="51"/>
        <v>0</v>
      </c>
      <c r="L267" s="317">
        <f t="shared" si="51"/>
        <v>0</v>
      </c>
      <c r="M267" s="317">
        <f t="shared" si="51"/>
        <v>0</v>
      </c>
      <c r="N267" s="317">
        <f t="shared" si="51"/>
        <v>0</v>
      </c>
      <c r="O267" s="317">
        <f t="shared" si="51"/>
        <v>0</v>
      </c>
      <c r="P267" s="317">
        <f t="shared" si="51"/>
        <v>0</v>
      </c>
      <c r="Q267" s="317">
        <f t="shared" si="51"/>
        <v>0</v>
      </c>
      <c r="R267" s="317">
        <f t="shared" si="51"/>
        <v>0</v>
      </c>
      <c r="S267" s="317">
        <f t="shared" si="51"/>
        <v>0</v>
      </c>
      <c r="T267" s="317">
        <f t="shared" si="50"/>
        <v>0</v>
      </c>
      <c r="U267" s="317">
        <f t="shared" si="50"/>
        <v>0</v>
      </c>
      <c r="V267" s="317">
        <f t="shared" si="50"/>
        <v>0</v>
      </c>
      <c r="W267" s="317">
        <f t="shared" si="50"/>
        <v>0</v>
      </c>
      <c r="X267" s="317">
        <f t="shared" si="50"/>
        <v>0</v>
      </c>
      <c r="Y267" s="317">
        <f t="shared" si="50"/>
        <v>0</v>
      </c>
      <c r="Z267" s="317">
        <f t="shared" si="50"/>
        <v>0</v>
      </c>
      <c r="AA267" s="317">
        <f t="shared" si="50"/>
        <v>0</v>
      </c>
      <c r="AB267" s="317">
        <f t="shared" si="50"/>
        <v>0</v>
      </c>
      <c r="AC267" s="317">
        <f t="shared" si="50"/>
        <v>0</v>
      </c>
      <c r="AD267" s="317">
        <f t="shared" si="50"/>
        <v>0</v>
      </c>
      <c r="AE267" s="318">
        <f t="shared" si="50"/>
        <v>0</v>
      </c>
    </row>
    <row r="268" spans="1:31">
      <c r="A268" s="1711"/>
      <c r="B268" s="116">
        <v>6</v>
      </c>
      <c r="C268" s="316">
        <v>0</v>
      </c>
      <c r="D268" s="317">
        <f t="shared" si="51"/>
        <v>0</v>
      </c>
      <c r="E268" s="317">
        <f t="shared" si="51"/>
        <v>0</v>
      </c>
      <c r="F268" s="317">
        <f t="shared" si="51"/>
        <v>0</v>
      </c>
      <c r="G268" s="317">
        <f t="shared" si="51"/>
        <v>0</v>
      </c>
      <c r="H268" s="317">
        <f t="shared" si="51"/>
        <v>0</v>
      </c>
      <c r="I268" s="317">
        <f t="shared" si="51"/>
        <v>0</v>
      </c>
      <c r="J268" s="317">
        <f t="shared" si="51"/>
        <v>0</v>
      </c>
      <c r="K268" s="317">
        <f t="shared" si="51"/>
        <v>0</v>
      </c>
      <c r="L268" s="317">
        <f t="shared" si="51"/>
        <v>0</v>
      </c>
      <c r="M268" s="317">
        <f t="shared" si="51"/>
        <v>0</v>
      </c>
      <c r="N268" s="317">
        <f t="shared" si="51"/>
        <v>0</v>
      </c>
      <c r="O268" s="317">
        <f t="shared" si="51"/>
        <v>0</v>
      </c>
      <c r="P268" s="317">
        <f t="shared" si="51"/>
        <v>0</v>
      </c>
      <c r="Q268" s="317">
        <f t="shared" si="51"/>
        <v>0</v>
      </c>
      <c r="R268" s="317">
        <f t="shared" si="51"/>
        <v>0</v>
      </c>
      <c r="S268" s="317">
        <f t="shared" si="51"/>
        <v>0</v>
      </c>
      <c r="T268" s="317">
        <f t="shared" si="50"/>
        <v>0</v>
      </c>
      <c r="U268" s="317">
        <f t="shared" si="50"/>
        <v>0</v>
      </c>
      <c r="V268" s="317">
        <f t="shared" si="50"/>
        <v>0</v>
      </c>
      <c r="W268" s="317">
        <f t="shared" si="50"/>
        <v>0</v>
      </c>
      <c r="X268" s="317">
        <f t="shared" si="50"/>
        <v>0</v>
      </c>
      <c r="Y268" s="317">
        <f t="shared" si="50"/>
        <v>0</v>
      </c>
      <c r="Z268" s="317">
        <f t="shared" si="50"/>
        <v>0</v>
      </c>
      <c r="AA268" s="317">
        <f t="shared" si="50"/>
        <v>0</v>
      </c>
      <c r="AB268" s="317">
        <f t="shared" si="50"/>
        <v>0</v>
      </c>
      <c r="AC268" s="317">
        <f t="shared" si="50"/>
        <v>0</v>
      </c>
      <c r="AD268" s="317">
        <f t="shared" si="50"/>
        <v>0</v>
      </c>
      <c r="AE268" s="318">
        <f t="shared" si="50"/>
        <v>0</v>
      </c>
    </row>
    <row r="269" spans="1:31">
      <c r="A269" s="1711"/>
      <c r="B269" s="116">
        <v>7</v>
      </c>
      <c r="C269" s="316">
        <v>0</v>
      </c>
      <c r="D269" s="317">
        <f t="shared" si="51"/>
        <v>0</v>
      </c>
      <c r="E269" s="317">
        <f t="shared" si="51"/>
        <v>0</v>
      </c>
      <c r="F269" s="317">
        <f t="shared" si="51"/>
        <v>0</v>
      </c>
      <c r="G269" s="317">
        <f t="shared" si="51"/>
        <v>0</v>
      </c>
      <c r="H269" s="317">
        <f t="shared" si="51"/>
        <v>0</v>
      </c>
      <c r="I269" s="317">
        <f t="shared" si="51"/>
        <v>0</v>
      </c>
      <c r="J269" s="317">
        <f t="shared" si="51"/>
        <v>0</v>
      </c>
      <c r="K269" s="317">
        <f t="shared" si="51"/>
        <v>0</v>
      </c>
      <c r="L269" s="317">
        <f t="shared" si="51"/>
        <v>0</v>
      </c>
      <c r="M269" s="317">
        <f t="shared" si="51"/>
        <v>0</v>
      </c>
      <c r="N269" s="317">
        <f t="shared" si="51"/>
        <v>0</v>
      </c>
      <c r="O269" s="317">
        <f t="shared" si="51"/>
        <v>0</v>
      </c>
      <c r="P269" s="317">
        <f t="shared" si="51"/>
        <v>0</v>
      </c>
      <c r="Q269" s="317">
        <f t="shared" si="51"/>
        <v>0</v>
      </c>
      <c r="R269" s="317">
        <f t="shared" si="51"/>
        <v>0</v>
      </c>
      <c r="S269" s="317">
        <f t="shared" si="51"/>
        <v>0</v>
      </c>
      <c r="T269" s="317">
        <f t="shared" si="50"/>
        <v>0</v>
      </c>
      <c r="U269" s="317">
        <f t="shared" si="50"/>
        <v>0</v>
      </c>
      <c r="V269" s="317">
        <f t="shared" si="50"/>
        <v>0</v>
      </c>
      <c r="W269" s="317">
        <f t="shared" si="50"/>
        <v>0</v>
      </c>
      <c r="X269" s="317">
        <f t="shared" si="50"/>
        <v>0</v>
      </c>
      <c r="Y269" s="317">
        <f t="shared" si="50"/>
        <v>0</v>
      </c>
      <c r="Z269" s="317">
        <f t="shared" si="50"/>
        <v>0</v>
      </c>
      <c r="AA269" s="317">
        <f t="shared" si="50"/>
        <v>0</v>
      </c>
      <c r="AB269" s="317">
        <f t="shared" si="50"/>
        <v>0</v>
      </c>
      <c r="AC269" s="317">
        <f t="shared" si="50"/>
        <v>0</v>
      </c>
      <c r="AD269" s="317">
        <f t="shared" si="50"/>
        <v>0</v>
      </c>
      <c r="AE269" s="318">
        <f t="shared" si="50"/>
        <v>0</v>
      </c>
    </row>
    <row r="270" spans="1:31">
      <c r="A270" s="1711"/>
      <c r="B270" s="116">
        <v>8</v>
      </c>
      <c r="C270" s="316">
        <v>0</v>
      </c>
      <c r="D270" s="317">
        <f t="shared" si="51"/>
        <v>0</v>
      </c>
      <c r="E270" s="317">
        <f t="shared" si="51"/>
        <v>0</v>
      </c>
      <c r="F270" s="317">
        <f t="shared" si="51"/>
        <v>0</v>
      </c>
      <c r="G270" s="317">
        <f t="shared" si="51"/>
        <v>0</v>
      </c>
      <c r="H270" s="317">
        <f t="shared" si="51"/>
        <v>0</v>
      </c>
      <c r="I270" s="317">
        <f t="shared" si="51"/>
        <v>0</v>
      </c>
      <c r="J270" s="317">
        <f t="shared" si="51"/>
        <v>0</v>
      </c>
      <c r="K270" s="317">
        <f t="shared" si="51"/>
        <v>0</v>
      </c>
      <c r="L270" s="317">
        <f t="shared" si="51"/>
        <v>0</v>
      </c>
      <c r="M270" s="317">
        <f t="shared" si="51"/>
        <v>0</v>
      </c>
      <c r="N270" s="317">
        <f t="shared" si="51"/>
        <v>0</v>
      </c>
      <c r="O270" s="317">
        <f t="shared" si="51"/>
        <v>0</v>
      </c>
      <c r="P270" s="317">
        <f t="shared" si="51"/>
        <v>0</v>
      </c>
      <c r="Q270" s="317">
        <f t="shared" si="51"/>
        <v>0</v>
      </c>
      <c r="R270" s="317">
        <f t="shared" si="51"/>
        <v>0</v>
      </c>
      <c r="S270" s="317">
        <f t="shared" si="51"/>
        <v>0</v>
      </c>
      <c r="T270" s="317">
        <f t="shared" si="50"/>
        <v>0</v>
      </c>
      <c r="U270" s="317">
        <f t="shared" si="50"/>
        <v>0</v>
      </c>
      <c r="V270" s="317">
        <f t="shared" si="50"/>
        <v>0</v>
      </c>
      <c r="W270" s="317">
        <f t="shared" si="50"/>
        <v>0</v>
      </c>
      <c r="X270" s="317">
        <f t="shared" si="50"/>
        <v>0</v>
      </c>
      <c r="Y270" s="317">
        <f t="shared" si="50"/>
        <v>0</v>
      </c>
      <c r="Z270" s="317">
        <f t="shared" si="50"/>
        <v>0</v>
      </c>
      <c r="AA270" s="317">
        <f t="shared" si="50"/>
        <v>0</v>
      </c>
      <c r="AB270" s="317">
        <f t="shared" si="50"/>
        <v>0</v>
      </c>
      <c r="AC270" s="317">
        <f t="shared" si="50"/>
        <v>0</v>
      </c>
      <c r="AD270" s="317">
        <f t="shared" si="50"/>
        <v>0</v>
      </c>
      <c r="AE270" s="318">
        <f t="shared" si="50"/>
        <v>0</v>
      </c>
    </row>
    <row r="271" spans="1:31">
      <c r="A271" s="1711"/>
      <c r="B271" s="116">
        <v>9</v>
      </c>
      <c r="C271" s="316">
        <v>0</v>
      </c>
      <c r="D271" s="317">
        <f t="shared" si="51"/>
        <v>0</v>
      </c>
      <c r="E271" s="317">
        <f t="shared" si="51"/>
        <v>0</v>
      </c>
      <c r="F271" s="317">
        <f t="shared" si="51"/>
        <v>0</v>
      </c>
      <c r="G271" s="317">
        <f t="shared" si="51"/>
        <v>0</v>
      </c>
      <c r="H271" s="317">
        <f t="shared" si="51"/>
        <v>0</v>
      </c>
      <c r="I271" s="317">
        <f t="shared" si="51"/>
        <v>0</v>
      </c>
      <c r="J271" s="317">
        <f t="shared" si="51"/>
        <v>0</v>
      </c>
      <c r="K271" s="317">
        <f t="shared" si="51"/>
        <v>0</v>
      </c>
      <c r="L271" s="317">
        <f t="shared" si="51"/>
        <v>0</v>
      </c>
      <c r="M271" s="317">
        <f t="shared" si="51"/>
        <v>0</v>
      </c>
      <c r="N271" s="317">
        <f t="shared" si="51"/>
        <v>0</v>
      </c>
      <c r="O271" s="317">
        <f t="shared" si="51"/>
        <v>0</v>
      </c>
      <c r="P271" s="317">
        <f t="shared" si="51"/>
        <v>0</v>
      </c>
      <c r="Q271" s="317">
        <f t="shared" si="51"/>
        <v>0</v>
      </c>
      <c r="R271" s="317">
        <f t="shared" si="51"/>
        <v>0</v>
      </c>
      <c r="S271" s="317">
        <f t="shared" si="51"/>
        <v>0</v>
      </c>
      <c r="T271" s="317">
        <f t="shared" si="50"/>
        <v>0</v>
      </c>
      <c r="U271" s="317">
        <f t="shared" si="50"/>
        <v>0</v>
      </c>
      <c r="V271" s="317">
        <f t="shared" si="50"/>
        <v>0</v>
      </c>
      <c r="W271" s="317">
        <f t="shared" si="50"/>
        <v>0</v>
      </c>
      <c r="X271" s="317">
        <f t="shared" si="50"/>
        <v>0</v>
      </c>
      <c r="Y271" s="317">
        <f t="shared" si="50"/>
        <v>0</v>
      </c>
      <c r="Z271" s="317">
        <f t="shared" si="50"/>
        <v>0</v>
      </c>
      <c r="AA271" s="317">
        <f t="shared" si="50"/>
        <v>0</v>
      </c>
      <c r="AB271" s="317">
        <f t="shared" si="50"/>
        <v>0</v>
      </c>
      <c r="AC271" s="317">
        <f t="shared" si="50"/>
        <v>0</v>
      </c>
      <c r="AD271" s="317">
        <f t="shared" si="50"/>
        <v>0</v>
      </c>
      <c r="AE271" s="318">
        <f t="shared" si="50"/>
        <v>0</v>
      </c>
    </row>
    <row r="272" spans="1:31">
      <c r="A272" s="1711"/>
      <c r="B272" s="116">
        <v>10</v>
      </c>
      <c r="C272" s="316">
        <v>0</v>
      </c>
      <c r="D272" s="317">
        <f t="shared" si="51"/>
        <v>0</v>
      </c>
      <c r="E272" s="317">
        <f t="shared" si="51"/>
        <v>0</v>
      </c>
      <c r="F272" s="317">
        <f t="shared" si="51"/>
        <v>0</v>
      </c>
      <c r="G272" s="317">
        <f t="shared" si="51"/>
        <v>0</v>
      </c>
      <c r="H272" s="317">
        <f t="shared" si="51"/>
        <v>0</v>
      </c>
      <c r="I272" s="317">
        <f t="shared" si="51"/>
        <v>0</v>
      </c>
      <c r="J272" s="317">
        <f t="shared" si="51"/>
        <v>0</v>
      </c>
      <c r="K272" s="317">
        <f t="shared" si="51"/>
        <v>0</v>
      </c>
      <c r="L272" s="317">
        <f t="shared" si="51"/>
        <v>0</v>
      </c>
      <c r="M272" s="317">
        <f t="shared" si="51"/>
        <v>0</v>
      </c>
      <c r="N272" s="317">
        <f t="shared" si="51"/>
        <v>0</v>
      </c>
      <c r="O272" s="317">
        <f t="shared" si="51"/>
        <v>0</v>
      </c>
      <c r="P272" s="317">
        <f t="shared" si="51"/>
        <v>0</v>
      </c>
      <c r="Q272" s="317">
        <f t="shared" si="51"/>
        <v>0</v>
      </c>
      <c r="R272" s="317">
        <f t="shared" si="51"/>
        <v>0</v>
      </c>
      <c r="S272" s="317">
        <f t="shared" si="51"/>
        <v>0</v>
      </c>
      <c r="T272" s="317">
        <f t="shared" si="50"/>
        <v>0</v>
      </c>
      <c r="U272" s="317">
        <f t="shared" si="50"/>
        <v>0</v>
      </c>
      <c r="V272" s="317">
        <f t="shared" si="50"/>
        <v>0</v>
      </c>
      <c r="W272" s="317">
        <f t="shared" si="50"/>
        <v>0</v>
      </c>
      <c r="X272" s="317">
        <f t="shared" si="50"/>
        <v>0</v>
      </c>
      <c r="Y272" s="317">
        <f t="shared" si="50"/>
        <v>0</v>
      </c>
      <c r="Z272" s="317">
        <f t="shared" si="50"/>
        <v>0</v>
      </c>
      <c r="AA272" s="317">
        <f t="shared" si="50"/>
        <v>0</v>
      </c>
      <c r="AB272" s="317">
        <f t="shared" si="50"/>
        <v>0</v>
      </c>
      <c r="AC272" s="317">
        <f t="shared" si="50"/>
        <v>0</v>
      </c>
      <c r="AD272" s="317">
        <f t="shared" si="50"/>
        <v>0</v>
      </c>
      <c r="AE272" s="318">
        <f t="shared" si="50"/>
        <v>0</v>
      </c>
    </row>
    <row r="273" spans="1:31">
      <c r="A273" s="1711"/>
      <c r="B273" s="116">
        <v>11</v>
      </c>
      <c r="C273" s="316">
        <v>0</v>
      </c>
      <c r="D273" s="317">
        <f t="shared" si="51"/>
        <v>0</v>
      </c>
      <c r="E273" s="317">
        <f t="shared" si="51"/>
        <v>0</v>
      </c>
      <c r="F273" s="317">
        <f t="shared" si="51"/>
        <v>0</v>
      </c>
      <c r="G273" s="317">
        <f t="shared" si="51"/>
        <v>0</v>
      </c>
      <c r="H273" s="317">
        <f t="shared" si="51"/>
        <v>0</v>
      </c>
      <c r="I273" s="317">
        <f t="shared" si="51"/>
        <v>0</v>
      </c>
      <c r="J273" s="317">
        <f t="shared" si="51"/>
        <v>0</v>
      </c>
      <c r="K273" s="317">
        <f t="shared" si="51"/>
        <v>0</v>
      </c>
      <c r="L273" s="317">
        <f t="shared" si="51"/>
        <v>0</v>
      </c>
      <c r="M273" s="317">
        <f t="shared" si="51"/>
        <v>0</v>
      </c>
      <c r="N273" s="317">
        <f t="shared" si="51"/>
        <v>0</v>
      </c>
      <c r="O273" s="317">
        <f t="shared" si="51"/>
        <v>0</v>
      </c>
      <c r="P273" s="317">
        <f t="shared" si="51"/>
        <v>0</v>
      </c>
      <c r="Q273" s="317">
        <f t="shared" si="51"/>
        <v>0</v>
      </c>
      <c r="R273" s="317">
        <f t="shared" si="51"/>
        <v>0</v>
      </c>
      <c r="S273" s="317">
        <f t="shared" si="51"/>
        <v>0</v>
      </c>
      <c r="T273" s="317">
        <f t="shared" si="50"/>
        <v>0</v>
      </c>
      <c r="U273" s="317">
        <f t="shared" si="50"/>
        <v>0</v>
      </c>
      <c r="V273" s="317">
        <f t="shared" si="50"/>
        <v>0</v>
      </c>
      <c r="W273" s="317">
        <f t="shared" si="50"/>
        <v>0</v>
      </c>
      <c r="X273" s="317">
        <f t="shared" si="50"/>
        <v>0</v>
      </c>
      <c r="Y273" s="317">
        <f t="shared" si="50"/>
        <v>0</v>
      </c>
      <c r="Z273" s="317">
        <f t="shared" si="50"/>
        <v>0</v>
      </c>
      <c r="AA273" s="317">
        <f t="shared" si="50"/>
        <v>0</v>
      </c>
      <c r="AB273" s="317">
        <f t="shared" si="50"/>
        <v>0</v>
      </c>
      <c r="AC273" s="317">
        <f t="shared" si="50"/>
        <v>0</v>
      </c>
      <c r="AD273" s="317">
        <f t="shared" si="50"/>
        <v>0</v>
      </c>
      <c r="AE273" s="318">
        <f t="shared" si="50"/>
        <v>0</v>
      </c>
    </row>
    <row r="274" spans="1:31">
      <c r="A274" s="1711"/>
      <c r="B274" s="116">
        <v>12</v>
      </c>
      <c r="C274" s="316">
        <v>0</v>
      </c>
      <c r="D274" s="317">
        <f t="shared" si="51"/>
        <v>0</v>
      </c>
      <c r="E274" s="317">
        <f t="shared" si="51"/>
        <v>0</v>
      </c>
      <c r="F274" s="317">
        <f t="shared" si="51"/>
        <v>0</v>
      </c>
      <c r="G274" s="317">
        <f t="shared" si="51"/>
        <v>0</v>
      </c>
      <c r="H274" s="317">
        <f t="shared" si="51"/>
        <v>0</v>
      </c>
      <c r="I274" s="317">
        <f t="shared" si="51"/>
        <v>0</v>
      </c>
      <c r="J274" s="317">
        <f t="shared" si="51"/>
        <v>0</v>
      </c>
      <c r="K274" s="317">
        <f t="shared" si="51"/>
        <v>0</v>
      </c>
      <c r="L274" s="317">
        <f t="shared" si="51"/>
        <v>0</v>
      </c>
      <c r="M274" s="317">
        <f t="shared" si="51"/>
        <v>0</v>
      </c>
      <c r="N274" s="317">
        <f t="shared" si="51"/>
        <v>0</v>
      </c>
      <c r="O274" s="317">
        <f t="shared" si="51"/>
        <v>0</v>
      </c>
      <c r="P274" s="317">
        <f t="shared" si="51"/>
        <v>0</v>
      </c>
      <c r="Q274" s="317">
        <f t="shared" si="51"/>
        <v>0</v>
      </c>
      <c r="R274" s="317">
        <f t="shared" si="51"/>
        <v>0</v>
      </c>
      <c r="S274" s="317">
        <f t="shared" si="51"/>
        <v>0</v>
      </c>
      <c r="T274" s="317">
        <f t="shared" si="50"/>
        <v>0</v>
      </c>
      <c r="U274" s="317">
        <f t="shared" si="50"/>
        <v>0</v>
      </c>
      <c r="V274" s="317">
        <f t="shared" si="50"/>
        <v>0</v>
      </c>
      <c r="W274" s="317">
        <f t="shared" si="50"/>
        <v>0</v>
      </c>
      <c r="X274" s="317">
        <f t="shared" si="50"/>
        <v>0</v>
      </c>
      <c r="Y274" s="317">
        <f t="shared" si="50"/>
        <v>0</v>
      </c>
      <c r="Z274" s="317">
        <f t="shared" si="50"/>
        <v>0</v>
      </c>
      <c r="AA274" s="317">
        <f t="shared" si="50"/>
        <v>0</v>
      </c>
      <c r="AB274" s="317">
        <f t="shared" si="50"/>
        <v>0</v>
      </c>
      <c r="AC274" s="317">
        <f t="shared" si="50"/>
        <v>0</v>
      </c>
      <c r="AD274" s="317">
        <f t="shared" si="50"/>
        <v>0</v>
      </c>
      <c r="AE274" s="318">
        <f t="shared" si="50"/>
        <v>0</v>
      </c>
    </row>
    <row r="275" spans="1:31">
      <c r="A275" s="1711"/>
      <c r="B275" s="116">
        <v>13</v>
      </c>
      <c r="C275" s="316">
        <v>0</v>
      </c>
      <c r="D275" s="317">
        <f t="shared" si="51"/>
        <v>0</v>
      </c>
      <c r="E275" s="317">
        <f t="shared" si="51"/>
        <v>0</v>
      </c>
      <c r="F275" s="317">
        <f t="shared" si="51"/>
        <v>0</v>
      </c>
      <c r="G275" s="317">
        <f t="shared" si="51"/>
        <v>0</v>
      </c>
      <c r="H275" s="317">
        <f t="shared" si="51"/>
        <v>0</v>
      </c>
      <c r="I275" s="317">
        <f t="shared" si="51"/>
        <v>0</v>
      </c>
      <c r="J275" s="317">
        <f t="shared" si="51"/>
        <v>0</v>
      </c>
      <c r="K275" s="317">
        <f t="shared" si="51"/>
        <v>0</v>
      </c>
      <c r="L275" s="317">
        <f t="shared" si="51"/>
        <v>0</v>
      </c>
      <c r="M275" s="317">
        <f t="shared" si="51"/>
        <v>0</v>
      </c>
      <c r="N275" s="317">
        <f t="shared" si="51"/>
        <v>0</v>
      </c>
      <c r="O275" s="317">
        <f t="shared" si="51"/>
        <v>0</v>
      </c>
      <c r="P275" s="317">
        <f t="shared" si="51"/>
        <v>0</v>
      </c>
      <c r="Q275" s="317">
        <f t="shared" si="51"/>
        <v>0</v>
      </c>
      <c r="R275" s="317">
        <f t="shared" si="51"/>
        <v>0</v>
      </c>
      <c r="S275" s="317">
        <f t="shared" si="51"/>
        <v>0</v>
      </c>
      <c r="T275" s="317">
        <f t="shared" si="50"/>
        <v>0</v>
      </c>
      <c r="U275" s="317">
        <f t="shared" si="50"/>
        <v>0</v>
      </c>
      <c r="V275" s="317">
        <f t="shared" si="50"/>
        <v>0</v>
      </c>
      <c r="W275" s="317">
        <f t="shared" si="50"/>
        <v>0</v>
      </c>
      <c r="X275" s="317">
        <f t="shared" si="50"/>
        <v>0</v>
      </c>
      <c r="Y275" s="317">
        <f t="shared" si="50"/>
        <v>0</v>
      </c>
      <c r="Z275" s="317">
        <f t="shared" si="50"/>
        <v>0</v>
      </c>
      <c r="AA275" s="317">
        <f t="shared" si="50"/>
        <v>0</v>
      </c>
      <c r="AB275" s="317">
        <f t="shared" si="50"/>
        <v>0</v>
      </c>
      <c r="AC275" s="317">
        <f t="shared" si="50"/>
        <v>0</v>
      </c>
      <c r="AD275" s="317">
        <f t="shared" si="50"/>
        <v>0</v>
      </c>
      <c r="AE275" s="318">
        <f t="shared" si="50"/>
        <v>0</v>
      </c>
    </row>
    <row r="276" spans="1:31">
      <c r="A276" s="1711"/>
      <c r="B276" s="116">
        <v>14</v>
      </c>
      <c r="C276" s="316">
        <v>0</v>
      </c>
      <c r="D276" s="317">
        <f t="shared" si="51"/>
        <v>0</v>
      </c>
      <c r="E276" s="317">
        <f t="shared" si="51"/>
        <v>0</v>
      </c>
      <c r="F276" s="317">
        <f t="shared" si="51"/>
        <v>0</v>
      </c>
      <c r="G276" s="317">
        <f t="shared" si="51"/>
        <v>0</v>
      </c>
      <c r="H276" s="317">
        <f t="shared" si="51"/>
        <v>0</v>
      </c>
      <c r="I276" s="317">
        <f t="shared" si="51"/>
        <v>0</v>
      </c>
      <c r="J276" s="317">
        <f t="shared" si="51"/>
        <v>0</v>
      </c>
      <c r="K276" s="317">
        <f t="shared" si="51"/>
        <v>0</v>
      </c>
      <c r="L276" s="317">
        <f t="shared" si="51"/>
        <v>0</v>
      </c>
      <c r="M276" s="317">
        <f t="shared" si="51"/>
        <v>0</v>
      </c>
      <c r="N276" s="317">
        <f t="shared" si="51"/>
        <v>0</v>
      </c>
      <c r="O276" s="317">
        <f t="shared" si="51"/>
        <v>0</v>
      </c>
      <c r="P276" s="317">
        <f t="shared" si="51"/>
        <v>0</v>
      </c>
      <c r="Q276" s="317">
        <f t="shared" si="51"/>
        <v>0</v>
      </c>
      <c r="R276" s="317">
        <f t="shared" si="51"/>
        <v>0</v>
      </c>
      <c r="S276" s="317">
        <f t="shared" si="51"/>
        <v>0</v>
      </c>
      <c r="T276" s="317">
        <f t="shared" si="50"/>
        <v>0</v>
      </c>
      <c r="U276" s="317">
        <f t="shared" si="50"/>
        <v>0</v>
      </c>
      <c r="V276" s="317">
        <f t="shared" si="50"/>
        <v>0</v>
      </c>
      <c r="W276" s="317">
        <f t="shared" si="50"/>
        <v>0</v>
      </c>
      <c r="X276" s="317">
        <f t="shared" si="50"/>
        <v>0</v>
      </c>
      <c r="Y276" s="317">
        <f t="shared" si="50"/>
        <v>0</v>
      </c>
      <c r="Z276" s="317">
        <f t="shared" si="50"/>
        <v>0</v>
      </c>
      <c r="AA276" s="317">
        <f t="shared" si="50"/>
        <v>0</v>
      </c>
      <c r="AB276" s="317">
        <f t="shared" si="50"/>
        <v>0</v>
      </c>
      <c r="AC276" s="317">
        <f t="shared" si="50"/>
        <v>0</v>
      </c>
      <c r="AD276" s="317">
        <f t="shared" si="50"/>
        <v>0</v>
      </c>
      <c r="AE276" s="318">
        <f t="shared" si="50"/>
        <v>0</v>
      </c>
    </row>
    <row r="277" spans="1:31">
      <c r="A277" s="1711"/>
      <c r="B277" s="116">
        <v>15</v>
      </c>
      <c r="C277" s="316">
        <v>0</v>
      </c>
      <c r="D277" s="317">
        <f t="shared" si="51"/>
        <v>0</v>
      </c>
      <c r="E277" s="317">
        <f t="shared" si="51"/>
        <v>0</v>
      </c>
      <c r="F277" s="317">
        <f t="shared" si="51"/>
        <v>0</v>
      </c>
      <c r="G277" s="317">
        <f t="shared" si="51"/>
        <v>0</v>
      </c>
      <c r="H277" s="317">
        <f t="shared" si="51"/>
        <v>0</v>
      </c>
      <c r="I277" s="317">
        <f t="shared" si="51"/>
        <v>0</v>
      </c>
      <c r="J277" s="317">
        <f t="shared" si="51"/>
        <v>0</v>
      </c>
      <c r="K277" s="317">
        <f t="shared" si="51"/>
        <v>0</v>
      </c>
      <c r="L277" s="317">
        <f t="shared" si="51"/>
        <v>0</v>
      </c>
      <c r="M277" s="317">
        <f t="shared" si="51"/>
        <v>0</v>
      </c>
      <c r="N277" s="317">
        <f t="shared" si="51"/>
        <v>0</v>
      </c>
      <c r="O277" s="317">
        <f t="shared" si="51"/>
        <v>0</v>
      </c>
      <c r="P277" s="317">
        <f t="shared" si="51"/>
        <v>0</v>
      </c>
      <c r="Q277" s="317">
        <f t="shared" si="51"/>
        <v>0</v>
      </c>
      <c r="R277" s="317">
        <f t="shared" si="51"/>
        <v>0</v>
      </c>
      <c r="S277" s="317">
        <f t="shared" si="51"/>
        <v>0</v>
      </c>
      <c r="T277" s="317">
        <f t="shared" si="50"/>
        <v>0</v>
      </c>
      <c r="U277" s="317">
        <f t="shared" si="50"/>
        <v>0</v>
      </c>
      <c r="V277" s="317">
        <f t="shared" si="50"/>
        <v>0</v>
      </c>
      <c r="W277" s="317">
        <f t="shared" si="50"/>
        <v>0</v>
      </c>
      <c r="X277" s="317">
        <f t="shared" si="50"/>
        <v>0</v>
      </c>
      <c r="Y277" s="317">
        <f t="shared" si="50"/>
        <v>0</v>
      </c>
      <c r="Z277" s="317">
        <f t="shared" si="50"/>
        <v>0</v>
      </c>
      <c r="AA277" s="317">
        <f t="shared" si="50"/>
        <v>0</v>
      </c>
      <c r="AB277" s="317">
        <f t="shared" si="50"/>
        <v>0</v>
      </c>
      <c r="AC277" s="317">
        <f t="shared" si="50"/>
        <v>0</v>
      </c>
      <c r="AD277" s="317">
        <f t="shared" si="50"/>
        <v>0</v>
      </c>
      <c r="AE277" s="318">
        <f t="shared" si="50"/>
        <v>0</v>
      </c>
    </row>
    <row r="278" spans="1:31">
      <c r="A278" s="1711"/>
      <c r="B278" s="116">
        <v>16</v>
      </c>
      <c r="C278" s="316">
        <v>0</v>
      </c>
      <c r="D278" s="317">
        <f t="shared" si="51"/>
        <v>0</v>
      </c>
      <c r="E278" s="317">
        <f t="shared" si="51"/>
        <v>0</v>
      </c>
      <c r="F278" s="317">
        <f t="shared" si="51"/>
        <v>0</v>
      </c>
      <c r="G278" s="317">
        <f t="shared" si="51"/>
        <v>0</v>
      </c>
      <c r="H278" s="317">
        <f t="shared" si="51"/>
        <v>0</v>
      </c>
      <c r="I278" s="317">
        <f t="shared" si="51"/>
        <v>0</v>
      </c>
      <c r="J278" s="317">
        <f t="shared" si="51"/>
        <v>0</v>
      </c>
      <c r="K278" s="317">
        <f t="shared" si="51"/>
        <v>0</v>
      </c>
      <c r="L278" s="317">
        <f t="shared" si="51"/>
        <v>0</v>
      </c>
      <c r="M278" s="317">
        <f t="shared" si="51"/>
        <v>0</v>
      </c>
      <c r="N278" s="317">
        <f t="shared" si="51"/>
        <v>0</v>
      </c>
      <c r="O278" s="317">
        <f t="shared" si="51"/>
        <v>0</v>
      </c>
      <c r="P278" s="317">
        <f t="shared" si="51"/>
        <v>0</v>
      </c>
      <c r="Q278" s="317">
        <f t="shared" si="51"/>
        <v>0</v>
      </c>
      <c r="R278" s="317">
        <f t="shared" si="51"/>
        <v>0</v>
      </c>
      <c r="S278" s="317">
        <f t="shared" si="51"/>
        <v>0</v>
      </c>
      <c r="T278" s="317">
        <f t="shared" si="50"/>
        <v>0</v>
      </c>
      <c r="U278" s="317">
        <f t="shared" si="50"/>
        <v>0</v>
      </c>
      <c r="V278" s="317">
        <f t="shared" si="50"/>
        <v>0</v>
      </c>
      <c r="W278" s="317">
        <f t="shared" si="50"/>
        <v>0</v>
      </c>
      <c r="X278" s="317">
        <f t="shared" si="50"/>
        <v>0</v>
      </c>
      <c r="Y278" s="317">
        <f t="shared" si="50"/>
        <v>0</v>
      </c>
      <c r="Z278" s="317">
        <f t="shared" si="50"/>
        <v>0</v>
      </c>
      <c r="AA278" s="317">
        <f t="shared" si="50"/>
        <v>0</v>
      </c>
      <c r="AB278" s="317">
        <f t="shared" si="50"/>
        <v>0</v>
      </c>
      <c r="AC278" s="317">
        <f t="shared" si="50"/>
        <v>0</v>
      </c>
      <c r="AD278" s="317">
        <f t="shared" si="50"/>
        <v>0</v>
      </c>
      <c r="AE278" s="318">
        <f t="shared" si="50"/>
        <v>0</v>
      </c>
    </row>
    <row r="279" spans="1:31">
      <c r="A279" s="1711"/>
      <c r="B279" s="116">
        <v>17</v>
      </c>
      <c r="C279" s="316">
        <v>0</v>
      </c>
      <c r="D279" s="317">
        <f t="shared" si="51"/>
        <v>0</v>
      </c>
      <c r="E279" s="317">
        <f t="shared" si="51"/>
        <v>0</v>
      </c>
      <c r="F279" s="317">
        <f t="shared" si="51"/>
        <v>0</v>
      </c>
      <c r="G279" s="317">
        <f t="shared" si="51"/>
        <v>0</v>
      </c>
      <c r="H279" s="317">
        <f t="shared" si="51"/>
        <v>0</v>
      </c>
      <c r="I279" s="317">
        <f t="shared" si="51"/>
        <v>0</v>
      </c>
      <c r="J279" s="317">
        <f t="shared" si="51"/>
        <v>0</v>
      </c>
      <c r="K279" s="317">
        <f t="shared" si="51"/>
        <v>0</v>
      </c>
      <c r="L279" s="317">
        <f t="shared" si="51"/>
        <v>0</v>
      </c>
      <c r="M279" s="317">
        <f t="shared" si="51"/>
        <v>0</v>
      </c>
      <c r="N279" s="317">
        <f t="shared" si="51"/>
        <v>0</v>
      </c>
      <c r="O279" s="317">
        <f t="shared" si="51"/>
        <v>0</v>
      </c>
      <c r="P279" s="317">
        <f t="shared" si="51"/>
        <v>0</v>
      </c>
      <c r="Q279" s="317">
        <f t="shared" si="51"/>
        <v>0</v>
      </c>
      <c r="R279" s="317">
        <f t="shared" si="51"/>
        <v>0</v>
      </c>
      <c r="S279" s="317">
        <f t="shared" ref="S279:AE287" si="52">R278</f>
        <v>0</v>
      </c>
      <c r="T279" s="317">
        <f t="shared" si="52"/>
        <v>0</v>
      </c>
      <c r="U279" s="317">
        <f t="shared" si="52"/>
        <v>0</v>
      </c>
      <c r="V279" s="317">
        <f t="shared" si="52"/>
        <v>0</v>
      </c>
      <c r="W279" s="317">
        <f t="shared" si="52"/>
        <v>0</v>
      </c>
      <c r="X279" s="317">
        <f t="shared" si="52"/>
        <v>0</v>
      </c>
      <c r="Y279" s="317">
        <f t="shared" si="52"/>
        <v>0</v>
      </c>
      <c r="Z279" s="317">
        <f t="shared" si="52"/>
        <v>0</v>
      </c>
      <c r="AA279" s="317">
        <f t="shared" si="52"/>
        <v>0</v>
      </c>
      <c r="AB279" s="317">
        <f t="shared" si="52"/>
        <v>0</v>
      </c>
      <c r="AC279" s="317">
        <f t="shared" si="52"/>
        <v>0</v>
      </c>
      <c r="AD279" s="317">
        <f t="shared" si="52"/>
        <v>0</v>
      </c>
      <c r="AE279" s="318">
        <f t="shared" si="52"/>
        <v>0</v>
      </c>
    </row>
    <row r="280" spans="1:31">
      <c r="A280" s="1711"/>
      <c r="B280" s="116">
        <v>18</v>
      </c>
      <c r="C280" s="316">
        <v>0</v>
      </c>
      <c r="D280" s="317">
        <f t="shared" ref="D280:S287" si="53">C279</f>
        <v>0</v>
      </c>
      <c r="E280" s="317">
        <f t="shared" si="53"/>
        <v>0</v>
      </c>
      <c r="F280" s="317">
        <f t="shared" si="53"/>
        <v>0</v>
      </c>
      <c r="G280" s="317">
        <f t="shared" si="53"/>
        <v>0</v>
      </c>
      <c r="H280" s="317">
        <f t="shared" si="53"/>
        <v>0</v>
      </c>
      <c r="I280" s="317">
        <f t="shared" si="53"/>
        <v>0</v>
      </c>
      <c r="J280" s="317">
        <f t="shared" si="53"/>
        <v>0</v>
      </c>
      <c r="K280" s="317">
        <f t="shared" si="53"/>
        <v>0</v>
      </c>
      <c r="L280" s="317">
        <f t="shared" si="53"/>
        <v>0</v>
      </c>
      <c r="M280" s="317">
        <f t="shared" si="53"/>
        <v>0</v>
      </c>
      <c r="N280" s="317">
        <f t="shared" si="53"/>
        <v>0</v>
      </c>
      <c r="O280" s="317">
        <f t="shared" si="53"/>
        <v>0</v>
      </c>
      <c r="P280" s="317">
        <f t="shared" si="53"/>
        <v>0</v>
      </c>
      <c r="Q280" s="317">
        <f t="shared" si="53"/>
        <v>0</v>
      </c>
      <c r="R280" s="317">
        <f t="shared" si="53"/>
        <v>0</v>
      </c>
      <c r="S280" s="317">
        <f t="shared" si="53"/>
        <v>0</v>
      </c>
      <c r="T280" s="317">
        <f t="shared" si="52"/>
        <v>0</v>
      </c>
      <c r="U280" s="317">
        <f t="shared" si="52"/>
        <v>0</v>
      </c>
      <c r="V280" s="317">
        <f t="shared" si="52"/>
        <v>0</v>
      </c>
      <c r="W280" s="317">
        <f t="shared" si="52"/>
        <v>0</v>
      </c>
      <c r="X280" s="317">
        <f t="shared" si="52"/>
        <v>0</v>
      </c>
      <c r="Y280" s="317">
        <f t="shared" si="52"/>
        <v>0</v>
      </c>
      <c r="Z280" s="317">
        <f t="shared" si="52"/>
        <v>0</v>
      </c>
      <c r="AA280" s="317">
        <f t="shared" si="52"/>
        <v>0</v>
      </c>
      <c r="AB280" s="317">
        <f t="shared" si="52"/>
        <v>0</v>
      </c>
      <c r="AC280" s="317">
        <f t="shared" si="52"/>
        <v>0</v>
      </c>
      <c r="AD280" s="317">
        <f t="shared" si="52"/>
        <v>0</v>
      </c>
      <c r="AE280" s="318">
        <f t="shared" si="52"/>
        <v>0</v>
      </c>
    </row>
    <row r="281" spans="1:31">
      <c r="A281" s="1711"/>
      <c r="B281" s="116">
        <v>19</v>
      </c>
      <c r="C281" s="316">
        <v>0</v>
      </c>
      <c r="D281" s="317">
        <f t="shared" si="53"/>
        <v>0</v>
      </c>
      <c r="E281" s="317">
        <f t="shared" si="53"/>
        <v>0</v>
      </c>
      <c r="F281" s="317">
        <f t="shared" si="53"/>
        <v>0</v>
      </c>
      <c r="G281" s="317">
        <f t="shared" si="53"/>
        <v>0</v>
      </c>
      <c r="H281" s="317">
        <f t="shared" si="53"/>
        <v>0</v>
      </c>
      <c r="I281" s="317">
        <f t="shared" si="53"/>
        <v>0</v>
      </c>
      <c r="J281" s="317">
        <f t="shared" si="53"/>
        <v>0</v>
      </c>
      <c r="K281" s="317">
        <f t="shared" si="53"/>
        <v>0</v>
      </c>
      <c r="L281" s="317">
        <f t="shared" si="53"/>
        <v>0</v>
      </c>
      <c r="M281" s="317">
        <f t="shared" si="53"/>
        <v>0</v>
      </c>
      <c r="N281" s="317">
        <f t="shared" si="53"/>
        <v>0</v>
      </c>
      <c r="O281" s="317">
        <f t="shared" si="53"/>
        <v>0</v>
      </c>
      <c r="P281" s="317">
        <f t="shared" si="53"/>
        <v>0</v>
      </c>
      <c r="Q281" s="317">
        <f t="shared" si="53"/>
        <v>0</v>
      </c>
      <c r="R281" s="317">
        <f t="shared" si="53"/>
        <v>0</v>
      </c>
      <c r="S281" s="317">
        <f t="shared" si="53"/>
        <v>0</v>
      </c>
      <c r="T281" s="317">
        <f t="shared" si="52"/>
        <v>0</v>
      </c>
      <c r="U281" s="317">
        <f t="shared" si="52"/>
        <v>0</v>
      </c>
      <c r="V281" s="317">
        <f t="shared" si="52"/>
        <v>0</v>
      </c>
      <c r="W281" s="317">
        <f t="shared" si="52"/>
        <v>0</v>
      </c>
      <c r="X281" s="317">
        <f t="shared" si="52"/>
        <v>0</v>
      </c>
      <c r="Y281" s="317">
        <f t="shared" si="52"/>
        <v>0</v>
      </c>
      <c r="Z281" s="317">
        <f t="shared" si="52"/>
        <v>0</v>
      </c>
      <c r="AA281" s="317">
        <f t="shared" si="52"/>
        <v>0</v>
      </c>
      <c r="AB281" s="317">
        <f t="shared" si="52"/>
        <v>0</v>
      </c>
      <c r="AC281" s="317">
        <f t="shared" si="52"/>
        <v>0</v>
      </c>
      <c r="AD281" s="317">
        <f t="shared" si="52"/>
        <v>0</v>
      </c>
      <c r="AE281" s="318">
        <f t="shared" si="52"/>
        <v>0</v>
      </c>
    </row>
    <row r="282" spans="1:31">
      <c r="A282" s="1711"/>
      <c r="B282" s="116">
        <v>20</v>
      </c>
      <c r="C282" s="316">
        <v>0</v>
      </c>
      <c r="D282" s="317">
        <f t="shared" si="53"/>
        <v>0</v>
      </c>
      <c r="E282" s="317">
        <f t="shared" si="53"/>
        <v>0</v>
      </c>
      <c r="F282" s="317">
        <f t="shared" si="53"/>
        <v>0</v>
      </c>
      <c r="G282" s="317">
        <f t="shared" si="53"/>
        <v>0</v>
      </c>
      <c r="H282" s="317">
        <f t="shared" si="53"/>
        <v>0</v>
      </c>
      <c r="I282" s="317">
        <f t="shared" si="53"/>
        <v>0</v>
      </c>
      <c r="J282" s="317">
        <f t="shared" si="53"/>
        <v>0</v>
      </c>
      <c r="K282" s="317">
        <f t="shared" si="53"/>
        <v>0</v>
      </c>
      <c r="L282" s="317">
        <f t="shared" si="53"/>
        <v>0</v>
      </c>
      <c r="M282" s="317">
        <f t="shared" si="53"/>
        <v>0</v>
      </c>
      <c r="N282" s="317">
        <f t="shared" si="53"/>
        <v>0</v>
      </c>
      <c r="O282" s="317">
        <f t="shared" si="53"/>
        <v>0</v>
      </c>
      <c r="P282" s="317">
        <f t="shared" si="53"/>
        <v>0</v>
      </c>
      <c r="Q282" s="317">
        <f t="shared" si="53"/>
        <v>0</v>
      </c>
      <c r="R282" s="317">
        <f t="shared" si="53"/>
        <v>0</v>
      </c>
      <c r="S282" s="317">
        <f t="shared" si="53"/>
        <v>0</v>
      </c>
      <c r="T282" s="317">
        <f t="shared" si="52"/>
        <v>0</v>
      </c>
      <c r="U282" s="317">
        <f t="shared" si="52"/>
        <v>0</v>
      </c>
      <c r="V282" s="317">
        <f t="shared" si="52"/>
        <v>0</v>
      </c>
      <c r="W282" s="317">
        <f t="shared" si="52"/>
        <v>0</v>
      </c>
      <c r="X282" s="317">
        <f t="shared" si="52"/>
        <v>0</v>
      </c>
      <c r="Y282" s="317">
        <f t="shared" si="52"/>
        <v>0</v>
      </c>
      <c r="Z282" s="317">
        <f t="shared" si="52"/>
        <v>0</v>
      </c>
      <c r="AA282" s="317">
        <f t="shared" si="52"/>
        <v>0</v>
      </c>
      <c r="AB282" s="317">
        <f t="shared" si="52"/>
        <v>0</v>
      </c>
      <c r="AC282" s="317">
        <f t="shared" si="52"/>
        <v>0</v>
      </c>
      <c r="AD282" s="317">
        <f t="shared" si="52"/>
        <v>0</v>
      </c>
      <c r="AE282" s="318">
        <f t="shared" si="52"/>
        <v>0</v>
      </c>
    </row>
    <row r="283" spans="1:31">
      <c r="A283" s="1711"/>
      <c r="B283" s="116">
        <v>21</v>
      </c>
      <c r="C283" s="316">
        <v>0</v>
      </c>
      <c r="D283" s="317">
        <f t="shared" si="53"/>
        <v>0</v>
      </c>
      <c r="E283" s="317">
        <f t="shared" si="53"/>
        <v>0</v>
      </c>
      <c r="F283" s="317">
        <f t="shared" si="53"/>
        <v>0</v>
      </c>
      <c r="G283" s="317">
        <f t="shared" si="53"/>
        <v>0</v>
      </c>
      <c r="H283" s="317">
        <f t="shared" si="53"/>
        <v>0</v>
      </c>
      <c r="I283" s="317">
        <f t="shared" si="53"/>
        <v>0</v>
      </c>
      <c r="J283" s="317">
        <f t="shared" si="53"/>
        <v>0</v>
      </c>
      <c r="K283" s="317">
        <f t="shared" si="53"/>
        <v>0</v>
      </c>
      <c r="L283" s="317">
        <f t="shared" si="53"/>
        <v>0</v>
      </c>
      <c r="M283" s="317">
        <f t="shared" si="53"/>
        <v>0</v>
      </c>
      <c r="N283" s="317">
        <f t="shared" si="53"/>
        <v>0</v>
      </c>
      <c r="O283" s="317">
        <f t="shared" si="53"/>
        <v>0</v>
      </c>
      <c r="P283" s="317">
        <f t="shared" si="53"/>
        <v>0</v>
      </c>
      <c r="Q283" s="317">
        <f t="shared" si="53"/>
        <v>0</v>
      </c>
      <c r="R283" s="317">
        <f t="shared" si="53"/>
        <v>0</v>
      </c>
      <c r="S283" s="317">
        <f t="shared" si="53"/>
        <v>0</v>
      </c>
      <c r="T283" s="317">
        <f t="shared" si="52"/>
        <v>0</v>
      </c>
      <c r="U283" s="317">
        <f t="shared" si="52"/>
        <v>0</v>
      </c>
      <c r="V283" s="317">
        <f t="shared" si="52"/>
        <v>0</v>
      </c>
      <c r="W283" s="317">
        <f t="shared" si="52"/>
        <v>0</v>
      </c>
      <c r="X283" s="317">
        <f t="shared" si="52"/>
        <v>0</v>
      </c>
      <c r="Y283" s="317">
        <f t="shared" si="52"/>
        <v>0</v>
      </c>
      <c r="Z283" s="317">
        <f t="shared" si="52"/>
        <v>0</v>
      </c>
      <c r="AA283" s="317">
        <f t="shared" si="52"/>
        <v>0</v>
      </c>
      <c r="AB283" s="317">
        <f t="shared" si="52"/>
        <v>0</v>
      </c>
      <c r="AC283" s="317">
        <f t="shared" si="52"/>
        <v>0</v>
      </c>
      <c r="AD283" s="317">
        <f t="shared" si="52"/>
        <v>0</v>
      </c>
      <c r="AE283" s="318">
        <f t="shared" si="52"/>
        <v>0</v>
      </c>
    </row>
    <row r="284" spans="1:31">
      <c r="A284" s="1711"/>
      <c r="B284" s="116">
        <v>22</v>
      </c>
      <c r="C284" s="316">
        <v>0</v>
      </c>
      <c r="D284" s="317">
        <f t="shared" si="53"/>
        <v>0</v>
      </c>
      <c r="E284" s="317">
        <f t="shared" si="53"/>
        <v>0</v>
      </c>
      <c r="F284" s="317">
        <f t="shared" si="53"/>
        <v>0</v>
      </c>
      <c r="G284" s="317">
        <f t="shared" si="53"/>
        <v>0</v>
      </c>
      <c r="H284" s="317">
        <f t="shared" si="53"/>
        <v>0</v>
      </c>
      <c r="I284" s="317">
        <f t="shared" si="53"/>
        <v>0</v>
      </c>
      <c r="J284" s="317">
        <f t="shared" si="53"/>
        <v>0</v>
      </c>
      <c r="K284" s="317">
        <f t="shared" si="53"/>
        <v>0</v>
      </c>
      <c r="L284" s="317">
        <f t="shared" si="53"/>
        <v>0</v>
      </c>
      <c r="M284" s="317">
        <f t="shared" si="53"/>
        <v>0</v>
      </c>
      <c r="N284" s="317">
        <f t="shared" si="53"/>
        <v>0</v>
      </c>
      <c r="O284" s="317">
        <f t="shared" si="53"/>
        <v>0</v>
      </c>
      <c r="P284" s="317">
        <f t="shared" si="53"/>
        <v>0</v>
      </c>
      <c r="Q284" s="317">
        <f t="shared" si="53"/>
        <v>0</v>
      </c>
      <c r="R284" s="317">
        <f t="shared" si="53"/>
        <v>0</v>
      </c>
      <c r="S284" s="317">
        <f t="shared" si="53"/>
        <v>0</v>
      </c>
      <c r="T284" s="317">
        <f t="shared" si="52"/>
        <v>0</v>
      </c>
      <c r="U284" s="317">
        <f t="shared" si="52"/>
        <v>0</v>
      </c>
      <c r="V284" s="317">
        <f t="shared" si="52"/>
        <v>0</v>
      </c>
      <c r="W284" s="317">
        <f t="shared" si="52"/>
        <v>0</v>
      </c>
      <c r="X284" s="317">
        <f t="shared" si="52"/>
        <v>0</v>
      </c>
      <c r="Y284" s="317">
        <f t="shared" si="52"/>
        <v>0</v>
      </c>
      <c r="Z284" s="317">
        <f t="shared" si="52"/>
        <v>0</v>
      </c>
      <c r="AA284" s="317">
        <f t="shared" si="52"/>
        <v>0</v>
      </c>
      <c r="AB284" s="317">
        <f t="shared" si="52"/>
        <v>0</v>
      </c>
      <c r="AC284" s="317">
        <f t="shared" si="52"/>
        <v>0</v>
      </c>
      <c r="AD284" s="317">
        <f t="shared" si="52"/>
        <v>0</v>
      </c>
      <c r="AE284" s="318">
        <f t="shared" si="52"/>
        <v>0</v>
      </c>
    </row>
    <row r="285" spans="1:31">
      <c r="A285" s="1711"/>
      <c r="B285" s="116">
        <v>23</v>
      </c>
      <c r="C285" s="316">
        <v>0</v>
      </c>
      <c r="D285" s="317">
        <f t="shared" si="53"/>
        <v>0</v>
      </c>
      <c r="E285" s="317">
        <f t="shared" si="53"/>
        <v>0</v>
      </c>
      <c r="F285" s="317">
        <f t="shared" si="53"/>
        <v>0</v>
      </c>
      <c r="G285" s="317">
        <f t="shared" si="53"/>
        <v>0</v>
      </c>
      <c r="H285" s="317">
        <f t="shared" si="53"/>
        <v>0</v>
      </c>
      <c r="I285" s="317">
        <f t="shared" si="53"/>
        <v>0</v>
      </c>
      <c r="J285" s="317">
        <f t="shared" si="53"/>
        <v>0</v>
      </c>
      <c r="K285" s="317">
        <f t="shared" si="53"/>
        <v>0</v>
      </c>
      <c r="L285" s="317">
        <f t="shared" si="53"/>
        <v>0</v>
      </c>
      <c r="M285" s="317">
        <f t="shared" si="53"/>
        <v>0</v>
      </c>
      <c r="N285" s="317">
        <f t="shared" si="53"/>
        <v>0</v>
      </c>
      <c r="O285" s="317">
        <f t="shared" si="53"/>
        <v>0</v>
      </c>
      <c r="P285" s="317">
        <f t="shared" si="53"/>
        <v>0</v>
      </c>
      <c r="Q285" s="317">
        <f t="shared" si="53"/>
        <v>0</v>
      </c>
      <c r="R285" s="317">
        <f t="shared" si="53"/>
        <v>0</v>
      </c>
      <c r="S285" s="317">
        <f t="shared" si="53"/>
        <v>0</v>
      </c>
      <c r="T285" s="317">
        <f t="shared" si="52"/>
        <v>0</v>
      </c>
      <c r="U285" s="317">
        <f t="shared" si="52"/>
        <v>0</v>
      </c>
      <c r="V285" s="317">
        <f t="shared" si="52"/>
        <v>0</v>
      </c>
      <c r="W285" s="317">
        <f t="shared" si="52"/>
        <v>0</v>
      </c>
      <c r="X285" s="317">
        <f t="shared" si="52"/>
        <v>0</v>
      </c>
      <c r="Y285" s="317">
        <f t="shared" si="52"/>
        <v>0</v>
      </c>
      <c r="Z285" s="317">
        <f t="shared" si="52"/>
        <v>0</v>
      </c>
      <c r="AA285" s="317">
        <f t="shared" si="52"/>
        <v>0</v>
      </c>
      <c r="AB285" s="317">
        <f t="shared" si="52"/>
        <v>0</v>
      </c>
      <c r="AC285" s="317">
        <f t="shared" si="52"/>
        <v>0</v>
      </c>
      <c r="AD285" s="317">
        <f t="shared" si="52"/>
        <v>0</v>
      </c>
      <c r="AE285" s="318">
        <f t="shared" si="52"/>
        <v>0</v>
      </c>
    </row>
    <row r="286" spans="1:31">
      <c r="A286" s="1711"/>
      <c r="B286" s="116">
        <v>24</v>
      </c>
      <c r="C286" s="316">
        <v>0</v>
      </c>
      <c r="D286" s="317">
        <f t="shared" si="53"/>
        <v>0</v>
      </c>
      <c r="E286" s="317">
        <f t="shared" si="53"/>
        <v>0</v>
      </c>
      <c r="F286" s="317">
        <f t="shared" si="53"/>
        <v>0</v>
      </c>
      <c r="G286" s="317">
        <f t="shared" si="53"/>
        <v>0</v>
      </c>
      <c r="H286" s="317">
        <f t="shared" si="53"/>
        <v>0</v>
      </c>
      <c r="I286" s="317">
        <f t="shared" si="53"/>
        <v>0</v>
      </c>
      <c r="J286" s="317">
        <f t="shared" si="53"/>
        <v>0</v>
      </c>
      <c r="K286" s="317">
        <f t="shared" si="53"/>
        <v>0</v>
      </c>
      <c r="L286" s="317">
        <f t="shared" si="53"/>
        <v>0</v>
      </c>
      <c r="M286" s="317">
        <f t="shared" si="53"/>
        <v>0</v>
      </c>
      <c r="N286" s="317">
        <f t="shared" si="53"/>
        <v>0</v>
      </c>
      <c r="O286" s="317">
        <f t="shared" si="53"/>
        <v>0</v>
      </c>
      <c r="P286" s="317">
        <f t="shared" si="53"/>
        <v>0</v>
      </c>
      <c r="Q286" s="317">
        <f t="shared" si="53"/>
        <v>0</v>
      </c>
      <c r="R286" s="317">
        <f t="shared" si="53"/>
        <v>0</v>
      </c>
      <c r="S286" s="317">
        <f t="shared" si="53"/>
        <v>0</v>
      </c>
      <c r="T286" s="317">
        <f t="shared" si="52"/>
        <v>0</v>
      </c>
      <c r="U286" s="317">
        <f t="shared" si="52"/>
        <v>0</v>
      </c>
      <c r="V286" s="317">
        <f t="shared" si="52"/>
        <v>0</v>
      </c>
      <c r="W286" s="317">
        <f t="shared" si="52"/>
        <v>0</v>
      </c>
      <c r="X286" s="317">
        <f t="shared" si="52"/>
        <v>0</v>
      </c>
      <c r="Y286" s="317">
        <f t="shared" si="52"/>
        <v>0</v>
      </c>
      <c r="Z286" s="317">
        <f t="shared" si="52"/>
        <v>0</v>
      </c>
      <c r="AA286" s="317">
        <f t="shared" si="52"/>
        <v>0</v>
      </c>
      <c r="AB286" s="317">
        <f t="shared" si="52"/>
        <v>0</v>
      </c>
      <c r="AC286" s="317">
        <f t="shared" si="52"/>
        <v>0</v>
      </c>
      <c r="AD286" s="317">
        <f t="shared" si="52"/>
        <v>0</v>
      </c>
      <c r="AE286" s="318">
        <f t="shared" si="52"/>
        <v>0</v>
      </c>
    </row>
    <row r="287" spans="1:31" ht="15.75" thickBot="1">
      <c r="A287" s="1711"/>
      <c r="B287" s="116">
        <v>25</v>
      </c>
      <c r="C287" s="324">
        <v>0</v>
      </c>
      <c r="D287" s="325">
        <f t="shared" si="53"/>
        <v>0</v>
      </c>
      <c r="E287" s="325">
        <f t="shared" si="53"/>
        <v>0</v>
      </c>
      <c r="F287" s="325">
        <f t="shared" si="53"/>
        <v>0</v>
      </c>
      <c r="G287" s="325">
        <f t="shared" si="53"/>
        <v>0</v>
      </c>
      <c r="H287" s="325">
        <f t="shared" si="53"/>
        <v>0</v>
      </c>
      <c r="I287" s="325">
        <f t="shared" si="53"/>
        <v>0</v>
      </c>
      <c r="J287" s="325">
        <f t="shared" si="53"/>
        <v>0</v>
      </c>
      <c r="K287" s="325">
        <f t="shared" si="53"/>
        <v>0</v>
      </c>
      <c r="L287" s="325">
        <f t="shared" si="53"/>
        <v>0</v>
      </c>
      <c r="M287" s="325">
        <f t="shared" si="53"/>
        <v>0</v>
      </c>
      <c r="N287" s="325">
        <f t="shared" si="53"/>
        <v>0</v>
      </c>
      <c r="O287" s="325">
        <f t="shared" si="53"/>
        <v>0</v>
      </c>
      <c r="P287" s="325">
        <f t="shared" si="53"/>
        <v>0</v>
      </c>
      <c r="Q287" s="325">
        <f t="shared" si="53"/>
        <v>0</v>
      </c>
      <c r="R287" s="325">
        <f t="shared" si="53"/>
        <v>0</v>
      </c>
      <c r="S287" s="325">
        <f t="shared" si="53"/>
        <v>0</v>
      </c>
      <c r="T287" s="325">
        <f t="shared" si="52"/>
        <v>0</v>
      </c>
      <c r="U287" s="325">
        <f t="shared" si="52"/>
        <v>0</v>
      </c>
      <c r="V287" s="325">
        <f t="shared" si="52"/>
        <v>0</v>
      </c>
      <c r="W287" s="325">
        <f t="shared" si="52"/>
        <v>0</v>
      </c>
      <c r="X287" s="325">
        <f t="shared" si="52"/>
        <v>0</v>
      </c>
      <c r="Y287" s="325">
        <f t="shared" si="52"/>
        <v>0</v>
      </c>
      <c r="Z287" s="325">
        <f t="shared" si="52"/>
        <v>0</v>
      </c>
      <c r="AA287" s="325">
        <f t="shared" si="52"/>
        <v>0</v>
      </c>
      <c r="AB287" s="325">
        <f t="shared" si="52"/>
        <v>0</v>
      </c>
      <c r="AC287" s="325">
        <f t="shared" si="52"/>
        <v>0</v>
      </c>
      <c r="AD287" s="325">
        <f t="shared" si="52"/>
        <v>0</v>
      </c>
      <c r="AE287" s="326">
        <f t="shared" si="52"/>
        <v>0</v>
      </c>
    </row>
    <row r="288" spans="1:31" ht="16.5" thickTop="1" thickBot="1">
      <c r="A288" s="1712"/>
      <c r="B288" s="300" t="s">
        <v>39</v>
      </c>
      <c r="C288" s="327">
        <v>0</v>
      </c>
      <c r="D288" s="327">
        <v>0</v>
      </c>
      <c r="E288" s="327">
        <v>0</v>
      </c>
      <c r="F288" s="327">
        <v>0</v>
      </c>
      <c r="G288" s="327">
        <v>0</v>
      </c>
      <c r="H288" s="327">
        <v>0</v>
      </c>
      <c r="I288" s="327">
        <v>0</v>
      </c>
      <c r="J288" s="327">
        <v>0</v>
      </c>
      <c r="K288" s="327">
        <v>0</v>
      </c>
      <c r="L288" s="327">
        <v>0</v>
      </c>
      <c r="M288" s="327">
        <v>0</v>
      </c>
      <c r="N288" s="327">
        <v>0</v>
      </c>
      <c r="O288" s="327">
        <v>0</v>
      </c>
      <c r="P288" s="327">
        <v>0</v>
      </c>
      <c r="Q288" s="327">
        <v>0</v>
      </c>
      <c r="R288" s="327">
        <v>0</v>
      </c>
      <c r="S288" s="327">
        <v>0</v>
      </c>
      <c r="T288" s="327">
        <v>0</v>
      </c>
      <c r="U288" s="327">
        <v>0</v>
      </c>
      <c r="V288" s="327">
        <v>0</v>
      </c>
      <c r="W288" s="327">
        <v>0</v>
      </c>
      <c r="X288" s="327">
        <v>0</v>
      </c>
      <c r="Y288" s="327">
        <v>0</v>
      </c>
      <c r="Z288" s="327">
        <v>0</v>
      </c>
      <c r="AA288" s="327">
        <v>0</v>
      </c>
      <c r="AB288" s="327">
        <v>0</v>
      </c>
      <c r="AC288" s="327">
        <v>0</v>
      </c>
      <c r="AD288" s="327">
        <v>0</v>
      </c>
      <c r="AE288" s="327">
        <v>0</v>
      </c>
    </row>
    <row r="289" spans="1:31" ht="15.75" thickBot="1">
      <c r="A289" s="650"/>
    </row>
    <row r="290" spans="1:31" ht="15.75" customHeight="1" thickBot="1">
      <c r="A290" s="1710" t="s">
        <v>50</v>
      </c>
      <c r="B290" s="169" t="s">
        <v>10</v>
      </c>
      <c r="C290" s="288">
        <f t="shared" ref="C290:C319" si="54">C58</f>
        <v>2012</v>
      </c>
      <c r="D290" s="289">
        <v>2013</v>
      </c>
      <c r="E290" s="289">
        <v>2014</v>
      </c>
      <c r="F290" s="289">
        <v>2015</v>
      </c>
      <c r="G290" s="288">
        <v>2016</v>
      </c>
      <c r="H290" s="289">
        <v>2017</v>
      </c>
      <c r="I290" s="289">
        <v>2018</v>
      </c>
      <c r="J290" s="289">
        <v>2019</v>
      </c>
      <c r="K290" s="288">
        <v>2020</v>
      </c>
      <c r="L290" s="289">
        <v>2021</v>
      </c>
      <c r="M290" s="289">
        <v>2022</v>
      </c>
      <c r="N290" s="289">
        <v>2023</v>
      </c>
      <c r="O290" s="288">
        <v>2024</v>
      </c>
      <c r="P290" s="289">
        <v>2025</v>
      </c>
      <c r="Q290" s="289">
        <v>2026</v>
      </c>
      <c r="R290" s="289">
        <v>2027</v>
      </c>
      <c r="S290" s="288">
        <v>2028</v>
      </c>
      <c r="T290" s="289">
        <v>2029</v>
      </c>
      <c r="U290" s="289">
        <v>2030</v>
      </c>
      <c r="V290" s="289">
        <v>2031</v>
      </c>
      <c r="W290" s="288">
        <v>2032</v>
      </c>
      <c r="X290" s="289">
        <v>2033</v>
      </c>
      <c r="Y290" s="289">
        <v>2034</v>
      </c>
      <c r="Z290" s="289">
        <v>2035</v>
      </c>
      <c r="AA290" s="288">
        <v>2036</v>
      </c>
      <c r="AB290" s="289">
        <v>2037</v>
      </c>
      <c r="AC290" s="289">
        <v>2038</v>
      </c>
      <c r="AD290" s="289">
        <v>2039</v>
      </c>
      <c r="AE290" s="290">
        <v>2040</v>
      </c>
    </row>
    <row r="291" spans="1:31">
      <c r="A291" s="1711"/>
      <c r="B291" s="116">
        <v>0</v>
      </c>
      <c r="C291" s="313">
        <f>'CAR SEC'!O3</f>
        <v>1.1990412591431558</v>
      </c>
      <c r="D291" s="314">
        <v>0</v>
      </c>
      <c r="E291" s="314">
        <v>0</v>
      </c>
      <c r="F291" s="314">
        <v>0</v>
      </c>
      <c r="G291" s="314">
        <v>0</v>
      </c>
      <c r="H291" s="314">
        <v>0</v>
      </c>
      <c r="I291" s="314">
        <v>0</v>
      </c>
      <c r="J291" s="314">
        <v>0</v>
      </c>
      <c r="K291" s="314">
        <v>0</v>
      </c>
      <c r="L291" s="314">
        <v>0</v>
      </c>
      <c r="M291" s="314">
        <v>0</v>
      </c>
      <c r="N291" s="314">
        <v>0</v>
      </c>
      <c r="O291" s="314">
        <v>0</v>
      </c>
      <c r="P291" s="314">
        <v>0</v>
      </c>
      <c r="Q291" s="314">
        <v>0</v>
      </c>
      <c r="R291" s="314">
        <v>0</v>
      </c>
      <c r="S291" s="314">
        <v>0</v>
      </c>
      <c r="T291" s="314">
        <v>0</v>
      </c>
      <c r="U291" s="314">
        <v>0</v>
      </c>
      <c r="V291" s="314">
        <v>0</v>
      </c>
      <c r="W291" s="314">
        <v>0</v>
      </c>
      <c r="X291" s="314">
        <v>0</v>
      </c>
      <c r="Y291" s="314">
        <v>0</v>
      </c>
      <c r="Z291" s="314">
        <v>0</v>
      </c>
      <c r="AA291" s="314">
        <v>0</v>
      </c>
      <c r="AB291" s="314">
        <v>0</v>
      </c>
      <c r="AC291" s="314">
        <v>0</v>
      </c>
      <c r="AD291" s="314">
        <v>0</v>
      </c>
      <c r="AE291" s="315">
        <v>0</v>
      </c>
    </row>
    <row r="292" spans="1:31">
      <c r="A292" s="1711"/>
      <c r="B292" s="116">
        <v>1</v>
      </c>
      <c r="C292" s="316">
        <f>'CAR SEC'!O4</f>
        <v>1.4159200000000001</v>
      </c>
      <c r="D292" s="317">
        <f>C291</f>
        <v>1.1990412591431558</v>
      </c>
      <c r="E292" s="317">
        <f t="shared" ref="E292:T292" si="55">D291</f>
        <v>0</v>
      </c>
      <c r="F292" s="317">
        <f t="shared" si="55"/>
        <v>0</v>
      </c>
      <c r="G292" s="317">
        <f t="shared" si="55"/>
        <v>0</v>
      </c>
      <c r="H292" s="317">
        <f t="shared" si="55"/>
        <v>0</v>
      </c>
      <c r="I292" s="317">
        <f t="shared" si="55"/>
        <v>0</v>
      </c>
      <c r="J292" s="317">
        <f t="shared" si="55"/>
        <v>0</v>
      </c>
      <c r="K292" s="317">
        <f t="shared" si="55"/>
        <v>0</v>
      </c>
      <c r="L292" s="317">
        <f t="shared" si="55"/>
        <v>0</v>
      </c>
      <c r="M292" s="317">
        <f t="shared" si="55"/>
        <v>0</v>
      </c>
      <c r="N292" s="317">
        <f t="shared" si="55"/>
        <v>0</v>
      </c>
      <c r="O292" s="317">
        <f t="shared" si="55"/>
        <v>0</v>
      </c>
      <c r="P292" s="317">
        <f t="shared" si="55"/>
        <v>0</v>
      </c>
      <c r="Q292" s="317">
        <f t="shared" si="55"/>
        <v>0</v>
      </c>
      <c r="R292" s="317">
        <f t="shared" si="55"/>
        <v>0</v>
      </c>
      <c r="S292" s="317">
        <f t="shared" si="55"/>
        <v>0</v>
      </c>
      <c r="T292" s="317">
        <f t="shared" si="55"/>
        <v>0</v>
      </c>
      <c r="U292" s="317">
        <f t="shared" ref="T292:AE307" si="56">T291</f>
        <v>0</v>
      </c>
      <c r="V292" s="317">
        <f t="shared" si="56"/>
        <v>0</v>
      </c>
      <c r="W292" s="317">
        <f t="shared" si="56"/>
        <v>0</v>
      </c>
      <c r="X292" s="317">
        <f t="shared" si="56"/>
        <v>0</v>
      </c>
      <c r="Y292" s="317">
        <f t="shared" si="56"/>
        <v>0</v>
      </c>
      <c r="Z292" s="317">
        <f t="shared" si="56"/>
        <v>0</v>
      </c>
      <c r="AA292" s="317">
        <f t="shared" si="56"/>
        <v>0</v>
      </c>
      <c r="AB292" s="317">
        <f t="shared" si="56"/>
        <v>0</v>
      </c>
      <c r="AC292" s="317">
        <f t="shared" si="56"/>
        <v>0</v>
      </c>
      <c r="AD292" s="317">
        <f t="shared" si="56"/>
        <v>0</v>
      </c>
      <c r="AE292" s="318">
        <f t="shared" si="56"/>
        <v>0</v>
      </c>
    </row>
    <row r="293" spans="1:31">
      <c r="A293" s="1711"/>
      <c r="B293" s="116">
        <v>2</v>
      </c>
      <c r="C293" s="316">
        <f>'CAR SEC'!O5</f>
        <v>1.4753292307692309</v>
      </c>
      <c r="D293" s="317">
        <f t="shared" ref="D293:S308" si="57">C292</f>
        <v>1.4159200000000001</v>
      </c>
      <c r="E293" s="317">
        <f t="shared" si="57"/>
        <v>1.1990412591431558</v>
      </c>
      <c r="F293" s="317">
        <f t="shared" si="57"/>
        <v>0</v>
      </c>
      <c r="G293" s="317">
        <f t="shared" si="57"/>
        <v>0</v>
      </c>
      <c r="H293" s="317">
        <f t="shared" si="57"/>
        <v>0</v>
      </c>
      <c r="I293" s="317">
        <f t="shared" si="57"/>
        <v>0</v>
      </c>
      <c r="J293" s="317">
        <f t="shared" si="57"/>
        <v>0</v>
      </c>
      <c r="K293" s="317">
        <f t="shared" si="57"/>
        <v>0</v>
      </c>
      <c r="L293" s="317">
        <f t="shared" si="57"/>
        <v>0</v>
      </c>
      <c r="M293" s="317">
        <f t="shared" si="57"/>
        <v>0</v>
      </c>
      <c r="N293" s="317">
        <f t="shared" si="57"/>
        <v>0</v>
      </c>
      <c r="O293" s="317">
        <f t="shared" si="57"/>
        <v>0</v>
      </c>
      <c r="P293" s="317">
        <f t="shared" si="57"/>
        <v>0</v>
      </c>
      <c r="Q293" s="317">
        <f t="shared" si="57"/>
        <v>0</v>
      </c>
      <c r="R293" s="317">
        <f t="shared" si="57"/>
        <v>0</v>
      </c>
      <c r="S293" s="317">
        <f t="shared" si="57"/>
        <v>0</v>
      </c>
      <c r="T293" s="317">
        <f t="shared" si="56"/>
        <v>0</v>
      </c>
      <c r="U293" s="317">
        <f t="shared" si="56"/>
        <v>0</v>
      </c>
      <c r="V293" s="317">
        <f t="shared" si="56"/>
        <v>0</v>
      </c>
      <c r="W293" s="317">
        <f t="shared" si="56"/>
        <v>0</v>
      </c>
      <c r="X293" s="317">
        <f t="shared" si="56"/>
        <v>0</v>
      </c>
      <c r="Y293" s="317">
        <f t="shared" si="56"/>
        <v>0</v>
      </c>
      <c r="Z293" s="317">
        <f t="shared" si="56"/>
        <v>0</v>
      </c>
      <c r="AA293" s="317">
        <f t="shared" si="56"/>
        <v>0</v>
      </c>
      <c r="AB293" s="317">
        <f t="shared" si="56"/>
        <v>0</v>
      </c>
      <c r="AC293" s="317">
        <f t="shared" si="56"/>
        <v>0</v>
      </c>
      <c r="AD293" s="317">
        <f t="shared" si="56"/>
        <v>0</v>
      </c>
      <c r="AE293" s="318">
        <f t="shared" si="56"/>
        <v>0</v>
      </c>
    </row>
    <row r="294" spans="1:31">
      <c r="A294" s="1711"/>
      <c r="B294" s="116">
        <v>3</v>
      </c>
      <c r="C294" s="316">
        <f>'CAR SEC'!O6</f>
        <v>1.4654028140703517</v>
      </c>
      <c r="D294" s="317">
        <f t="shared" si="57"/>
        <v>1.4753292307692309</v>
      </c>
      <c r="E294" s="317">
        <f t="shared" si="57"/>
        <v>1.4159200000000001</v>
      </c>
      <c r="F294" s="317">
        <f t="shared" si="57"/>
        <v>1.1990412591431558</v>
      </c>
      <c r="G294" s="317">
        <f t="shared" si="57"/>
        <v>0</v>
      </c>
      <c r="H294" s="317">
        <f t="shared" si="57"/>
        <v>0</v>
      </c>
      <c r="I294" s="317">
        <f t="shared" si="57"/>
        <v>0</v>
      </c>
      <c r="J294" s="317">
        <f t="shared" si="57"/>
        <v>0</v>
      </c>
      <c r="K294" s="317">
        <f t="shared" si="57"/>
        <v>0</v>
      </c>
      <c r="L294" s="317">
        <f t="shared" si="57"/>
        <v>0</v>
      </c>
      <c r="M294" s="317">
        <f t="shared" si="57"/>
        <v>0</v>
      </c>
      <c r="N294" s="317">
        <f t="shared" si="57"/>
        <v>0</v>
      </c>
      <c r="O294" s="317">
        <f t="shared" si="57"/>
        <v>0</v>
      </c>
      <c r="P294" s="317">
        <f t="shared" si="57"/>
        <v>0</v>
      </c>
      <c r="Q294" s="317">
        <f t="shared" si="57"/>
        <v>0</v>
      </c>
      <c r="R294" s="317">
        <f t="shared" si="57"/>
        <v>0</v>
      </c>
      <c r="S294" s="317">
        <f t="shared" si="57"/>
        <v>0</v>
      </c>
      <c r="T294" s="317">
        <f t="shared" si="56"/>
        <v>0</v>
      </c>
      <c r="U294" s="317">
        <f t="shared" si="56"/>
        <v>0</v>
      </c>
      <c r="V294" s="317">
        <f t="shared" si="56"/>
        <v>0</v>
      </c>
      <c r="W294" s="317">
        <f t="shared" si="56"/>
        <v>0</v>
      </c>
      <c r="X294" s="317">
        <f t="shared" si="56"/>
        <v>0</v>
      </c>
      <c r="Y294" s="317">
        <f t="shared" si="56"/>
        <v>0</v>
      </c>
      <c r="Z294" s="317">
        <f t="shared" si="56"/>
        <v>0</v>
      </c>
      <c r="AA294" s="317">
        <f t="shared" si="56"/>
        <v>0</v>
      </c>
      <c r="AB294" s="317">
        <f t="shared" si="56"/>
        <v>0</v>
      </c>
      <c r="AC294" s="317">
        <f t="shared" si="56"/>
        <v>0</v>
      </c>
      <c r="AD294" s="317">
        <f t="shared" si="56"/>
        <v>0</v>
      </c>
      <c r="AE294" s="318">
        <f t="shared" si="56"/>
        <v>0</v>
      </c>
    </row>
    <row r="295" spans="1:31">
      <c r="A295" s="1711"/>
      <c r="B295" s="116">
        <v>4</v>
      </c>
      <c r="C295" s="316">
        <f>'CAR SEC'!O7</f>
        <v>1.4333779757085019</v>
      </c>
      <c r="D295" s="317">
        <f t="shared" si="57"/>
        <v>1.4654028140703517</v>
      </c>
      <c r="E295" s="317">
        <f t="shared" si="57"/>
        <v>1.4753292307692309</v>
      </c>
      <c r="F295" s="317">
        <f t="shared" si="57"/>
        <v>1.4159200000000001</v>
      </c>
      <c r="G295" s="317">
        <f t="shared" si="57"/>
        <v>1.1990412591431558</v>
      </c>
      <c r="H295" s="317">
        <f t="shared" si="57"/>
        <v>0</v>
      </c>
      <c r="I295" s="317">
        <f t="shared" si="57"/>
        <v>0</v>
      </c>
      <c r="J295" s="317">
        <f t="shared" si="57"/>
        <v>0</v>
      </c>
      <c r="K295" s="317">
        <f t="shared" si="57"/>
        <v>0</v>
      </c>
      <c r="L295" s="317">
        <f t="shared" si="57"/>
        <v>0</v>
      </c>
      <c r="M295" s="317">
        <f t="shared" si="57"/>
        <v>0</v>
      </c>
      <c r="N295" s="317">
        <f t="shared" si="57"/>
        <v>0</v>
      </c>
      <c r="O295" s="317">
        <f t="shared" si="57"/>
        <v>0</v>
      </c>
      <c r="P295" s="317">
        <f t="shared" si="57"/>
        <v>0</v>
      </c>
      <c r="Q295" s="317">
        <f t="shared" si="57"/>
        <v>0</v>
      </c>
      <c r="R295" s="317">
        <f t="shared" si="57"/>
        <v>0</v>
      </c>
      <c r="S295" s="317">
        <f t="shared" si="57"/>
        <v>0</v>
      </c>
      <c r="T295" s="317">
        <f t="shared" si="56"/>
        <v>0</v>
      </c>
      <c r="U295" s="317">
        <f t="shared" si="56"/>
        <v>0</v>
      </c>
      <c r="V295" s="317">
        <f t="shared" si="56"/>
        <v>0</v>
      </c>
      <c r="W295" s="317">
        <f t="shared" si="56"/>
        <v>0</v>
      </c>
      <c r="X295" s="317">
        <f t="shared" si="56"/>
        <v>0</v>
      </c>
      <c r="Y295" s="317">
        <f t="shared" si="56"/>
        <v>0</v>
      </c>
      <c r="Z295" s="317">
        <f t="shared" si="56"/>
        <v>0</v>
      </c>
      <c r="AA295" s="317">
        <f t="shared" si="56"/>
        <v>0</v>
      </c>
      <c r="AB295" s="317">
        <f t="shared" si="56"/>
        <v>0</v>
      </c>
      <c r="AC295" s="317">
        <f t="shared" si="56"/>
        <v>0</v>
      </c>
      <c r="AD295" s="317">
        <f t="shared" si="56"/>
        <v>0</v>
      </c>
      <c r="AE295" s="318">
        <f t="shared" si="56"/>
        <v>0</v>
      </c>
    </row>
    <row r="296" spans="1:31">
      <c r="A296" s="1711"/>
      <c r="B296" s="116">
        <v>5</v>
      </c>
      <c r="C296" s="316">
        <f>'CAR SEC'!O8</f>
        <v>1.428748513513505</v>
      </c>
      <c r="D296" s="317">
        <f t="shared" si="57"/>
        <v>1.4333779757085019</v>
      </c>
      <c r="E296" s="317">
        <f t="shared" si="57"/>
        <v>1.4654028140703517</v>
      </c>
      <c r="F296" s="317">
        <f t="shared" si="57"/>
        <v>1.4753292307692309</v>
      </c>
      <c r="G296" s="317">
        <f t="shared" si="57"/>
        <v>1.4159200000000001</v>
      </c>
      <c r="H296" s="317">
        <f t="shared" si="57"/>
        <v>1.1990412591431558</v>
      </c>
      <c r="I296" s="317">
        <f t="shared" si="57"/>
        <v>0</v>
      </c>
      <c r="J296" s="317">
        <f t="shared" si="57"/>
        <v>0</v>
      </c>
      <c r="K296" s="317">
        <f t="shared" si="57"/>
        <v>0</v>
      </c>
      <c r="L296" s="317">
        <f t="shared" si="57"/>
        <v>0</v>
      </c>
      <c r="M296" s="317">
        <f t="shared" si="57"/>
        <v>0</v>
      </c>
      <c r="N296" s="317">
        <f t="shared" si="57"/>
        <v>0</v>
      </c>
      <c r="O296" s="317">
        <f t="shared" si="57"/>
        <v>0</v>
      </c>
      <c r="P296" s="317">
        <f t="shared" si="57"/>
        <v>0</v>
      </c>
      <c r="Q296" s="317">
        <f t="shared" si="57"/>
        <v>0</v>
      </c>
      <c r="R296" s="317">
        <f t="shared" si="57"/>
        <v>0</v>
      </c>
      <c r="S296" s="317">
        <f t="shared" si="57"/>
        <v>0</v>
      </c>
      <c r="T296" s="317">
        <f t="shared" si="56"/>
        <v>0</v>
      </c>
      <c r="U296" s="317">
        <f t="shared" si="56"/>
        <v>0</v>
      </c>
      <c r="V296" s="317">
        <f t="shared" si="56"/>
        <v>0</v>
      </c>
      <c r="W296" s="317">
        <f t="shared" si="56"/>
        <v>0</v>
      </c>
      <c r="X296" s="317">
        <f t="shared" si="56"/>
        <v>0</v>
      </c>
      <c r="Y296" s="317">
        <f t="shared" si="56"/>
        <v>0</v>
      </c>
      <c r="Z296" s="317">
        <f t="shared" si="56"/>
        <v>0</v>
      </c>
      <c r="AA296" s="317">
        <f t="shared" si="56"/>
        <v>0</v>
      </c>
      <c r="AB296" s="317">
        <f t="shared" si="56"/>
        <v>0</v>
      </c>
      <c r="AC296" s="317">
        <f t="shared" si="56"/>
        <v>0</v>
      </c>
      <c r="AD296" s="317">
        <f t="shared" si="56"/>
        <v>0</v>
      </c>
      <c r="AE296" s="318">
        <f t="shared" si="56"/>
        <v>0</v>
      </c>
    </row>
    <row r="297" spans="1:31">
      <c r="A297" s="1711"/>
      <c r="B297" s="116">
        <v>6</v>
      </c>
      <c r="C297" s="316">
        <f>'CAR SEC'!O9</f>
        <v>1.4074067724867656</v>
      </c>
      <c r="D297" s="317">
        <f t="shared" si="57"/>
        <v>1.428748513513505</v>
      </c>
      <c r="E297" s="317">
        <f t="shared" si="57"/>
        <v>1.4333779757085019</v>
      </c>
      <c r="F297" s="317">
        <f t="shared" si="57"/>
        <v>1.4654028140703517</v>
      </c>
      <c r="G297" s="317">
        <f t="shared" si="57"/>
        <v>1.4753292307692309</v>
      </c>
      <c r="H297" s="317">
        <f t="shared" si="57"/>
        <v>1.4159200000000001</v>
      </c>
      <c r="I297" s="317">
        <f t="shared" si="57"/>
        <v>1.1990412591431558</v>
      </c>
      <c r="J297" s="317">
        <f t="shared" si="57"/>
        <v>0</v>
      </c>
      <c r="K297" s="317">
        <f t="shared" si="57"/>
        <v>0</v>
      </c>
      <c r="L297" s="317">
        <f t="shared" si="57"/>
        <v>0</v>
      </c>
      <c r="M297" s="317">
        <f t="shared" si="57"/>
        <v>0</v>
      </c>
      <c r="N297" s="317">
        <f t="shared" si="57"/>
        <v>0</v>
      </c>
      <c r="O297" s="317">
        <f t="shared" si="57"/>
        <v>0</v>
      </c>
      <c r="P297" s="317">
        <f t="shared" si="57"/>
        <v>0</v>
      </c>
      <c r="Q297" s="317">
        <f t="shared" si="57"/>
        <v>0</v>
      </c>
      <c r="R297" s="317">
        <f t="shared" si="57"/>
        <v>0</v>
      </c>
      <c r="S297" s="317">
        <f t="shared" si="57"/>
        <v>0</v>
      </c>
      <c r="T297" s="317">
        <f t="shared" si="56"/>
        <v>0</v>
      </c>
      <c r="U297" s="317">
        <f t="shared" si="56"/>
        <v>0</v>
      </c>
      <c r="V297" s="317">
        <f t="shared" si="56"/>
        <v>0</v>
      </c>
      <c r="W297" s="317">
        <f t="shared" si="56"/>
        <v>0</v>
      </c>
      <c r="X297" s="317">
        <f t="shared" si="56"/>
        <v>0</v>
      </c>
      <c r="Y297" s="317">
        <f t="shared" si="56"/>
        <v>0</v>
      </c>
      <c r="Z297" s="317">
        <f t="shared" si="56"/>
        <v>0</v>
      </c>
      <c r="AA297" s="317">
        <f t="shared" si="56"/>
        <v>0</v>
      </c>
      <c r="AB297" s="317">
        <f t="shared" si="56"/>
        <v>0</v>
      </c>
      <c r="AC297" s="317">
        <f t="shared" si="56"/>
        <v>0</v>
      </c>
      <c r="AD297" s="317">
        <f t="shared" si="56"/>
        <v>0</v>
      </c>
      <c r="AE297" s="318">
        <f t="shared" si="56"/>
        <v>0</v>
      </c>
    </row>
    <row r="298" spans="1:31">
      <c r="A298" s="1711"/>
      <c r="B298" s="116">
        <v>7</v>
      </c>
      <c r="C298" s="316">
        <f>'CAR SEC'!O10</f>
        <v>1.3877210309278276</v>
      </c>
      <c r="D298" s="317">
        <f t="shared" si="57"/>
        <v>1.4074067724867656</v>
      </c>
      <c r="E298" s="317">
        <f t="shared" si="57"/>
        <v>1.428748513513505</v>
      </c>
      <c r="F298" s="317">
        <f t="shared" si="57"/>
        <v>1.4333779757085019</v>
      </c>
      <c r="G298" s="317">
        <f t="shared" si="57"/>
        <v>1.4654028140703517</v>
      </c>
      <c r="H298" s="317">
        <f t="shared" si="57"/>
        <v>1.4753292307692309</v>
      </c>
      <c r="I298" s="317">
        <f t="shared" si="57"/>
        <v>1.4159200000000001</v>
      </c>
      <c r="J298" s="317">
        <f t="shared" si="57"/>
        <v>1.1990412591431558</v>
      </c>
      <c r="K298" s="317">
        <f t="shared" si="57"/>
        <v>0</v>
      </c>
      <c r="L298" s="317">
        <f t="shared" si="57"/>
        <v>0</v>
      </c>
      <c r="M298" s="317">
        <f t="shared" si="57"/>
        <v>0</v>
      </c>
      <c r="N298" s="317">
        <f t="shared" si="57"/>
        <v>0</v>
      </c>
      <c r="O298" s="317">
        <f t="shared" si="57"/>
        <v>0</v>
      </c>
      <c r="P298" s="317">
        <f t="shared" si="57"/>
        <v>0</v>
      </c>
      <c r="Q298" s="317">
        <f t="shared" si="57"/>
        <v>0</v>
      </c>
      <c r="R298" s="317">
        <f t="shared" si="57"/>
        <v>0</v>
      </c>
      <c r="S298" s="317">
        <f t="shared" si="57"/>
        <v>0</v>
      </c>
      <c r="T298" s="317">
        <f t="shared" si="56"/>
        <v>0</v>
      </c>
      <c r="U298" s="317">
        <f t="shared" si="56"/>
        <v>0</v>
      </c>
      <c r="V298" s="317">
        <f t="shared" si="56"/>
        <v>0</v>
      </c>
      <c r="W298" s="317">
        <f t="shared" si="56"/>
        <v>0</v>
      </c>
      <c r="X298" s="317">
        <f t="shared" si="56"/>
        <v>0</v>
      </c>
      <c r="Y298" s="317">
        <f t="shared" si="56"/>
        <v>0</v>
      </c>
      <c r="Z298" s="317">
        <f t="shared" si="56"/>
        <v>0</v>
      </c>
      <c r="AA298" s="317">
        <f t="shared" si="56"/>
        <v>0</v>
      </c>
      <c r="AB298" s="317">
        <f t="shared" si="56"/>
        <v>0</v>
      </c>
      <c r="AC298" s="317">
        <f t="shared" si="56"/>
        <v>0</v>
      </c>
      <c r="AD298" s="317">
        <f t="shared" si="56"/>
        <v>0</v>
      </c>
      <c r="AE298" s="318">
        <f t="shared" si="56"/>
        <v>0</v>
      </c>
    </row>
    <row r="299" spans="1:31">
      <c r="A299" s="1711"/>
      <c r="B299" s="116">
        <v>8</v>
      </c>
      <c r="C299" s="316">
        <f>'CAR SEC'!O11</f>
        <v>1.3837399999999931</v>
      </c>
      <c r="D299" s="317">
        <f t="shared" si="57"/>
        <v>1.3877210309278276</v>
      </c>
      <c r="E299" s="317">
        <f t="shared" si="57"/>
        <v>1.4074067724867656</v>
      </c>
      <c r="F299" s="317">
        <f t="shared" si="57"/>
        <v>1.428748513513505</v>
      </c>
      <c r="G299" s="317">
        <f t="shared" si="57"/>
        <v>1.4333779757085019</v>
      </c>
      <c r="H299" s="317">
        <f t="shared" si="57"/>
        <v>1.4654028140703517</v>
      </c>
      <c r="I299" s="317">
        <f t="shared" si="57"/>
        <v>1.4753292307692309</v>
      </c>
      <c r="J299" s="317">
        <f t="shared" si="57"/>
        <v>1.4159200000000001</v>
      </c>
      <c r="K299" s="317">
        <f t="shared" si="57"/>
        <v>1.1990412591431558</v>
      </c>
      <c r="L299" s="317">
        <f t="shared" si="57"/>
        <v>0</v>
      </c>
      <c r="M299" s="317">
        <f t="shared" si="57"/>
        <v>0</v>
      </c>
      <c r="N299" s="317">
        <f t="shared" si="57"/>
        <v>0</v>
      </c>
      <c r="O299" s="317">
        <f t="shared" si="57"/>
        <v>0</v>
      </c>
      <c r="P299" s="317">
        <f t="shared" si="57"/>
        <v>0</v>
      </c>
      <c r="Q299" s="317">
        <f t="shared" si="57"/>
        <v>0</v>
      </c>
      <c r="R299" s="317">
        <f t="shared" si="57"/>
        <v>0</v>
      </c>
      <c r="S299" s="317">
        <f t="shared" si="57"/>
        <v>0</v>
      </c>
      <c r="T299" s="317">
        <f t="shared" si="56"/>
        <v>0</v>
      </c>
      <c r="U299" s="317">
        <f t="shared" si="56"/>
        <v>0</v>
      </c>
      <c r="V299" s="317">
        <f t="shared" si="56"/>
        <v>0</v>
      </c>
      <c r="W299" s="317">
        <f t="shared" si="56"/>
        <v>0</v>
      </c>
      <c r="X299" s="317">
        <f t="shared" si="56"/>
        <v>0</v>
      </c>
      <c r="Y299" s="317">
        <f t="shared" si="56"/>
        <v>0</v>
      </c>
      <c r="Z299" s="317">
        <f t="shared" si="56"/>
        <v>0</v>
      </c>
      <c r="AA299" s="317">
        <f t="shared" si="56"/>
        <v>0</v>
      </c>
      <c r="AB299" s="317">
        <f t="shared" si="56"/>
        <v>0</v>
      </c>
      <c r="AC299" s="317">
        <f t="shared" si="56"/>
        <v>0</v>
      </c>
      <c r="AD299" s="317">
        <f t="shared" si="56"/>
        <v>0</v>
      </c>
      <c r="AE299" s="318">
        <f t="shared" si="56"/>
        <v>0</v>
      </c>
    </row>
    <row r="300" spans="1:31">
      <c r="A300" s="1711"/>
      <c r="B300" s="116">
        <v>9</v>
      </c>
      <c r="C300" s="316">
        <f>'CAR SEC'!O12</f>
        <v>1.3837399999999942</v>
      </c>
      <c r="D300" s="317">
        <f t="shared" si="57"/>
        <v>1.3837399999999931</v>
      </c>
      <c r="E300" s="317">
        <f t="shared" si="57"/>
        <v>1.3877210309278276</v>
      </c>
      <c r="F300" s="317">
        <f t="shared" si="57"/>
        <v>1.4074067724867656</v>
      </c>
      <c r="G300" s="317">
        <f t="shared" si="57"/>
        <v>1.428748513513505</v>
      </c>
      <c r="H300" s="317">
        <f t="shared" si="57"/>
        <v>1.4333779757085019</v>
      </c>
      <c r="I300" s="317">
        <f t="shared" si="57"/>
        <v>1.4654028140703517</v>
      </c>
      <c r="J300" s="317">
        <f t="shared" si="57"/>
        <v>1.4753292307692309</v>
      </c>
      <c r="K300" s="317">
        <f t="shared" si="57"/>
        <v>1.4159200000000001</v>
      </c>
      <c r="L300" s="317">
        <f t="shared" si="57"/>
        <v>1.1990412591431558</v>
      </c>
      <c r="M300" s="317">
        <f t="shared" si="57"/>
        <v>0</v>
      </c>
      <c r="N300" s="317">
        <f t="shared" si="57"/>
        <v>0</v>
      </c>
      <c r="O300" s="317">
        <f t="shared" si="57"/>
        <v>0</v>
      </c>
      <c r="P300" s="317">
        <f t="shared" si="57"/>
        <v>0</v>
      </c>
      <c r="Q300" s="317">
        <f t="shared" si="57"/>
        <v>0</v>
      </c>
      <c r="R300" s="317">
        <f t="shared" si="57"/>
        <v>0</v>
      </c>
      <c r="S300" s="317">
        <f t="shared" si="57"/>
        <v>0</v>
      </c>
      <c r="T300" s="317">
        <f t="shared" si="56"/>
        <v>0</v>
      </c>
      <c r="U300" s="317">
        <f t="shared" si="56"/>
        <v>0</v>
      </c>
      <c r="V300" s="317">
        <f t="shared" si="56"/>
        <v>0</v>
      </c>
      <c r="W300" s="317">
        <f t="shared" si="56"/>
        <v>0</v>
      </c>
      <c r="X300" s="317">
        <f t="shared" si="56"/>
        <v>0</v>
      </c>
      <c r="Y300" s="317">
        <f t="shared" si="56"/>
        <v>0</v>
      </c>
      <c r="Z300" s="317">
        <f t="shared" si="56"/>
        <v>0</v>
      </c>
      <c r="AA300" s="317">
        <f t="shared" si="56"/>
        <v>0</v>
      </c>
      <c r="AB300" s="317">
        <f t="shared" si="56"/>
        <v>0</v>
      </c>
      <c r="AC300" s="317">
        <f t="shared" si="56"/>
        <v>0</v>
      </c>
      <c r="AD300" s="317">
        <f t="shared" si="56"/>
        <v>0</v>
      </c>
      <c r="AE300" s="318">
        <f t="shared" si="56"/>
        <v>0</v>
      </c>
    </row>
    <row r="301" spans="1:31">
      <c r="A301" s="1711"/>
      <c r="B301" s="116">
        <v>10</v>
      </c>
      <c r="C301" s="316">
        <f>'CAR SEC'!O13</f>
        <v>1.38374</v>
      </c>
      <c r="D301" s="317">
        <f t="shared" si="57"/>
        <v>1.3837399999999942</v>
      </c>
      <c r="E301" s="317">
        <f t="shared" si="57"/>
        <v>1.3837399999999931</v>
      </c>
      <c r="F301" s="317">
        <f t="shared" si="57"/>
        <v>1.3877210309278276</v>
      </c>
      <c r="G301" s="317">
        <f t="shared" si="57"/>
        <v>1.4074067724867656</v>
      </c>
      <c r="H301" s="317">
        <f t="shared" si="57"/>
        <v>1.428748513513505</v>
      </c>
      <c r="I301" s="317">
        <f t="shared" si="57"/>
        <v>1.4333779757085019</v>
      </c>
      <c r="J301" s="317">
        <f t="shared" si="57"/>
        <v>1.4654028140703517</v>
      </c>
      <c r="K301" s="317">
        <f t="shared" si="57"/>
        <v>1.4753292307692309</v>
      </c>
      <c r="L301" s="317">
        <f t="shared" si="57"/>
        <v>1.4159200000000001</v>
      </c>
      <c r="M301" s="317">
        <f t="shared" si="57"/>
        <v>1.1990412591431558</v>
      </c>
      <c r="N301" s="317">
        <f t="shared" si="57"/>
        <v>0</v>
      </c>
      <c r="O301" s="317">
        <f t="shared" si="57"/>
        <v>0</v>
      </c>
      <c r="P301" s="317">
        <f t="shared" si="57"/>
        <v>0</v>
      </c>
      <c r="Q301" s="317">
        <f t="shared" si="57"/>
        <v>0</v>
      </c>
      <c r="R301" s="317">
        <f t="shared" si="57"/>
        <v>0</v>
      </c>
      <c r="S301" s="317">
        <f t="shared" si="57"/>
        <v>0</v>
      </c>
      <c r="T301" s="317">
        <f t="shared" si="56"/>
        <v>0</v>
      </c>
      <c r="U301" s="317">
        <f t="shared" si="56"/>
        <v>0</v>
      </c>
      <c r="V301" s="317">
        <f t="shared" si="56"/>
        <v>0</v>
      </c>
      <c r="W301" s="317">
        <f t="shared" si="56"/>
        <v>0</v>
      </c>
      <c r="X301" s="317">
        <f t="shared" si="56"/>
        <v>0</v>
      </c>
      <c r="Y301" s="317">
        <f t="shared" si="56"/>
        <v>0</v>
      </c>
      <c r="Z301" s="317">
        <f t="shared" si="56"/>
        <v>0</v>
      </c>
      <c r="AA301" s="317">
        <f t="shared" si="56"/>
        <v>0</v>
      </c>
      <c r="AB301" s="317">
        <f t="shared" si="56"/>
        <v>0</v>
      </c>
      <c r="AC301" s="317">
        <f t="shared" si="56"/>
        <v>0</v>
      </c>
      <c r="AD301" s="317">
        <f t="shared" si="56"/>
        <v>0</v>
      </c>
      <c r="AE301" s="318">
        <f t="shared" si="56"/>
        <v>0</v>
      </c>
    </row>
    <row r="302" spans="1:31">
      <c r="A302" s="1711"/>
      <c r="B302" s="116">
        <v>11</v>
      </c>
      <c r="C302" s="316">
        <v>0</v>
      </c>
      <c r="D302" s="317">
        <f t="shared" si="57"/>
        <v>1.38374</v>
      </c>
      <c r="E302" s="317">
        <f t="shared" si="57"/>
        <v>1.3837399999999942</v>
      </c>
      <c r="F302" s="317">
        <f t="shared" si="57"/>
        <v>1.3837399999999931</v>
      </c>
      <c r="G302" s="317">
        <f t="shared" si="57"/>
        <v>1.3877210309278276</v>
      </c>
      <c r="H302" s="317">
        <f t="shared" si="57"/>
        <v>1.4074067724867656</v>
      </c>
      <c r="I302" s="317">
        <f t="shared" si="57"/>
        <v>1.428748513513505</v>
      </c>
      <c r="J302" s="317">
        <f t="shared" si="57"/>
        <v>1.4333779757085019</v>
      </c>
      <c r="K302" s="317">
        <f t="shared" si="57"/>
        <v>1.4654028140703517</v>
      </c>
      <c r="L302" s="317">
        <f t="shared" si="57"/>
        <v>1.4753292307692309</v>
      </c>
      <c r="M302" s="317">
        <f t="shared" si="57"/>
        <v>1.4159200000000001</v>
      </c>
      <c r="N302" s="317">
        <f t="shared" si="57"/>
        <v>1.1990412591431558</v>
      </c>
      <c r="O302" s="317">
        <f t="shared" si="57"/>
        <v>0</v>
      </c>
      <c r="P302" s="317">
        <f t="shared" si="57"/>
        <v>0</v>
      </c>
      <c r="Q302" s="317">
        <f t="shared" si="57"/>
        <v>0</v>
      </c>
      <c r="R302" s="317">
        <f t="shared" si="57"/>
        <v>0</v>
      </c>
      <c r="S302" s="317">
        <f t="shared" si="57"/>
        <v>0</v>
      </c>
      <c r="T302" s="317">
        <f t="shared" si="56"/>
        <v>0</v>
      </c>
      <c r="U302" s="317">
        <f t="shared" si="56"/>
        <v>0</v>
      </c>
      <c r="V302" s="317">
        <f t="shared" si="56"/>
        <v>0</v>
      </c>
      <c r="W302" s="317">
        <f t="shared" si="56"/>
        <v>0</v>
      </c>
      <c r="X302" s="317">
        <f t="shared" si="56"/>
        <v>0</v>
      </c>
      <c r="Y302" s="317">
        <f t="shared" si="56"/>
        <v>0</v>
      </c>
      <c r="Z302" s="317">
        <f t="shared" si="56"/>
        <v>0</v>
      </c>
      <c r="AA302" s="317">
        <f t="shared" si="56"/>
        <v>0</v>
      </c>
      <c r="AB302" s="317">
        <f t="shared" si="56"/>
        <v>0</v>
      </c>
      <c r="AC302" s="317">
        <f t="shared" si="56"/>
        <v>0</v>
      </c>
      <c r="AD302" s="317">
        <f t="shared" si="56"/>
        <v>0</v>
      </c>
      <c r="AE302" s="318">
        <f t="shared" si="56"/>
        <v>0</v>
      </c>
    </row>
    <row r="303" spans="1:31">
      <c r="A303" s="1711"/>
      <c r="B303" s="116">
        <v>12</v>
      </c>
      <c r="C303" s="316">
        <v>0</v>
      </c>
      <c r="D303" s="317">
        <f t="shared" si="57"/>
        <v>0</v>
      </c>
      <c r="E303" s="317">
        <f t="shared" si="57"/>
        <v>1.38374</v>
      </c>
      <c r="F303" s="317">
        <f t="shared" si="57"/>
        <v>1.3837399999999942</v>
      </c>
      <c r="G303" s="317">
        <f t="shared" si="57"/>
        <v>1.3837399999999931</v>
      </c>
      <c r="H303" s="317">
        <f t="shared" si="57"/>
        <v>1.3877210309278276</v>
      </c>
      <c r="I303" s="317">
        <f t="shared" si="57"/>
        <v>1.4074067724867656</v>
      </c>
      <c r="J303" s="317">
        <f t="shared" si="57"/>
        <v>1.428748513513505</v>
      </c>
      <c r="K303" s="317">
        <f t="shared" si="57"/>
        <v>1.4333779757085019</v>
      </c>
      <c r="L303" s="317">
        <f t="shared" si="57"/>
        <v>1.4654028140703517</v>
      </c>
      <c r="M303" s="317">
        <f t="shared" si="57"/>
        <v>1.4753292307692309</v>
      </c>
      <c r="N303" s="317">
        <f t="shared" si="57"/>
        <v>1.4159200000000001</v>
      </c>
      <c r="O303" s="317">
        <f t="shared" si="57"/>
        <v>1.1990412591431558</v>
      </c>
      <c r="P303" s="317">
        <f t="shared" si="57"/>
        <v>0</v>
      </c>
      <c r="Q303" s="317">
        <f t="shared" si="57"/>
        <v>0</v>
      </c>
      <c r="R303" s="317">
        <f t="shared" si="57"/>
        <v>0</v>
      </c>
      <c r="S303" s="317">
        <f t="shared" si="57"/>
        <v>0</v>
      </c>
      <c r="T303" s="317">
        <f t="shared" si="56"/>
        <v>0</v>
      </c>
      <c r="U303" s="317">
        <f t="shared" si="56"/>
        <v>0</v>
      </c>
      <c r="V303" s="317">
        <f t="shared" si="56"/>
        <v>0</v>
      </c>
      <c r="W303" s="317">
        <f t="shared" si="56"/>
        <v>0</v>
      </c>
      <c r="X303" s="317">
        <f t="shared" si="56"/>
        <v>0</v>
      </c>
      <c r="Y303" s="317">
        <f t="shared" si="56"/>
        <v>0</v>
      </c>
      <c r="Z303" s="317">
        <f t="shared" si="56"/>
        <v>0</v>
      </c>
      <c r="AA303" s="317">
        <f t="shared" si="56"/>
        <v>0</v>
      </c>
      <c r="AB303" s="317">
        <f t="shared" si="56"/>
        <v>0</v>
      </c>
      <c r="AC303" s="317">
        <f t="shared" si="56"/>
        <v>0</v>
      </c>
      <c r="AD303" s="317">
        <f t="shared" si="56"/>
        <v>0</v>
      </c>
      <c r="AE303" s="318">
        <f t="shared" si="56"/>
        <v>0</v>
      </c>
    </row>
    <row r="304" spans="1:31">
      <c r="A304" s="1711"/>
      <c r="B304" s="116">
        <v>13</v>
      </c>
      <c r="C304" s="316"/>
      <c r="D304" s="317">
        <f t="shared" si="57"/>
        <v>0</v>
      </c>
      <c r="E304" s="317">
        <f t="shared" si="57"/>
        <v>0</v>
      </c>
      <c r="F304" s="317">
        <f t="shared" si="57"/>
        <v>1.38374</v>
      </c>
      <c r="G304" s="317">
        <f t="shared" si="57"/>
        <v>1.3837399999999942</v>
      </c>
      <c r="H304" s="317">
        <f t="shared" si="57"/>
        <v>1.3837399999999931</v>
      </c>
      <c r="I304" s="317">
        <f t="shared" si="57"/>
        <v>1.3877210309278276</v>
      </c>
      <c r="J304" s="317">
        <f t="shared" si="57"/>
        <v>1.4074067724867656</v>
      </c>
      <c r="K304" s="317">
        <f t="shared" si="57"/>
        <v>1.428748513513505</v>
      </c>
      <c r="L304" s="317">
        <f t="shared" si="57"/>
        <v>1.4333779757085019</v>
      </c>
      <c r="M304" s="317">
        <f t="shared" si="57"/>
        <v>1.4654028140703517</v>
      </c>
      <c r="N304" s="317">
        <f t="shared" si="57"/>
        <v>1.4753292307692309</v>
      </c>
      <c r="O304" s="317">
        <f t="shared" si="57"/>
        <v>1.4159200000000001</v>
      </c>
      <c r="P304" s="317">
        <f t="shared" si="57"/>
        <v>1.1990412591431558</v>
      </c>
      <c r="Q304" s="317">
        <f t="shared" si="57"/>
        <v>0</v>
      </c>
      <c r="R304" s="317">
        <f t="shared" si="57"/>
        <v>0</v>
      </c>
      <c r="S304" s="317">
        <f t="shared" si="57"/>
        <v>0</v>
      </c>
      <c r="T304" s="317">
        <f t="shared" si="56"/>
        <v>0</v>
      </c>
      <c r="U304" s="317">
        <f t="shared" si="56"/>
        <v>0</v>
      </c>
      <c r="V304" s="317">
        <f t="shared" si="56"/>
        <v>0</v>
      </c>
      <c r="W304" s="317">
        <f t="shared" si="56"/>
        <v>0</v>
      </c>
      <c r="X304" s="317">
        <f t="shared" si="56"/>
        <v>0</v>
      </c>
      <c r="Y304" s="317">
        <f t="shared" si="56"/>
        <v>0</v>
      </c>
      <c r="Z304" s="317">
        <f t="shared" si="56"/>
        <v>0</v>
      </c>
      <c r="AA304" s="317">
        <f t="shared" si="56"/>
        <v>0</v>
      </c>
      <c r="AB304" s="317">
        <f t="shared" si="56"/>
        <v>0</v>
      </c>
      <c r="AC304" s="317">
        <f t="shared" si="56"/>
        <v>0</v>
      </c>
      <c r="AD304" s="317">
        <f t="shared" si="56"/>
        <v>0</v>
      </c>
      <c r="AE304" s="318">
        <f t="shared" si="56"/>
        <v>0</v>
      </c>
    </row>
    <row r="305" spans="1:31">
      <c r="A305" s="1711"/>
      <c r="B305" s="116">
        <v>14</v>
      </c>
      <c r="C305" s="316"/>
      <c r="D305" s="317">
        <f t="shared" si="57"/>
        <v>0</v>
      </c>
      <c r="E305" s="317">
        <f t="shared" si="57"/>
        <v>0</v>
      </c>
      <c r="F305" s="317">
        <f t="shared" si="57"/>
        <v>0</v>
      </c>
      <c r="G305" s="317">
        <f t="shared" si="57"/>
        <v>1.38374</v>
      </c>
      <c r="H305" s="317">
        <f t="shared" si="57"/>
        <v>1.3837399999999942</v>
      </c>
      <c r="I305" s="317">
        <f t="shared" si="57"/>
        <v>1.3837399999999931</v>
      </c>
      <c r="J305" s="317">
        <f t="shared" si="57"/>
        <v>1.3877210309278276</v>
      </c>
      <c r="K305" s="317">
        <f t="shared" si="57"/>
        <v>1.4074067724867656</v>
      </c>
      <c r="L305" s="317">
        <f t="shared" si="57"/>
        <v>1.428748513513505</v>
      </c>
      <c r="M305" s="317">
        <f t="shared" si="57"/>
        <v>1.4333779757085019</v>
      </c>
      <c r="N305" s="317">
        <f t="shared" si="57"/>
        <v>1.4654028140703517</v>
      </c>
      <c r="O305" s="317">
        <f t="shared" si="57"/>
        <v>1.4753292307692309</v>
      </c>
      <c r="P305" s="317">
        <f t="shared" si="57"/>
        <v>1.4159200000000001</v>
      </c>
      <c r="Q305" s="317">
        <f t="shared" si="57"/>
        <v>1.1990412591431558</v>
      </c>
      <c r="R305" s="317">
        <f t="shared" si="57"/>
        <v>0</v>
      </c>
      <c r="S305" s="317">
        <f t="shared" si="57"/>
        <v>0</v>
      </c>
      <c r="T305" s="317">
        <f t="shared" si="56"/>
        <v>0</v>
      </c>
      <c r="U305" s="317">
        <f t="shared" si="56"/>
        <v>0</v>
      </c>
      <c r="V305" s="317">
        <f t="shared" si="56"/>
        <v>0</v>
      </c>
      <c r="W305" s="317">
        <f t="shared" si="56"/>
        <v>0</v>
      </c>
      <c r="X305" s="317">
        <f t="shared" si="56"/>
        <v>0</v>
      </c>
      <c r="Y305" s="317">
        <f t="shared" si="56"/>
        <v>0</v>
      </c>
      <c r="Z305" s="317">
        <f t="shared" si="56"/>
        <v>0</v>
      </c>
      <c r="AA305" s="317">
        <f t="shared" si="56"/>
        <v>0</v>
      </c>
      <c r="AB305" s="317">
        <f t="shared" si="56"/>
        <v>0</v>
      </c>
      <c r="AC305" s="317">
        <f t="shared" si="56"/>
        <v>0</v>
      </c>
      <c r="AD305" s="317">
        <f t="shared" si="56"/>
        <v>0</v>
      </c>
      <c r="AE305" s="318">
        <f t="shared" si="56"/>
        <v>0</v>
      </c>
    </row>
    <row r="306" spans="1:31">
      <c r="A306" s="1711"/>
      <c r="B306" s="116">
        <v>15</v>
      </c>
      <c r="C306" s="316"/>
      <c r="D306" s="317">
        <f t="shared" si="57"/>
        <v>0</v>
      </c>
      <c r="E306" s="317">
        <f t="shared" si="57"/>
        <v>0</v>
      </c>
      <c r="F306" s="317">
        <f t="shared" si="57"/>
        <v>0</v>
      </c>
      <c r="G306" s="317">
        <f t="shared" si="57"/>
        <v>0</v>
      </c>
      <c r="H306" s="317">
        <f t="shared" si="57"/>
        <v>1.38374</v>
      </c>
      <c r="I306" s="317">
        <f t="shared" si="57"/>
        <v>1.3837399999999942</v>
      </c>
      <c r="J306" s="317">
        <f t="shared" si="57"/>
        <v>1.3837399999999931</v>
      </c>
      <c r="K306" s="317">
        <f t="shared" si="57"/>
        <v>1.3877210309278276</v>
      </c>
      <c r="L306" s="317">
        <f t="shared" si="57"/>
        <v>1.4074067724867656</v>
      </c>
      <c r="M306" s="317">
        <f t="shared" si="57"/>
        <v>1.428748513513505</v>
      </c>
      <c r="N306" s="317">
        <f t="shared" si="57"/>
        <v>1.4333779757085019</v>
      </c>
      <c r="O306" s="317">
        <f t="shared" si="57"/>
        <v>1.4654028140703517</v>
      </c>
      <c r="P306" s="317">
        <f t="shared" si="57"/>
        <v>1.4753292307692309</v>
      </c>
      <c r="Q306" s="317">
        <f t="shared" si="57"/>
        <v>1.4159200000000001</v>
      </c>
      <c r="R306" s="317">
        <f t="shared" si="57"/>
        <v>1.1990412591431558</v>
      </c>
      <c r="S306" s="317">
        <f t="shared" si="57"/>
        <v>0</v>
      </c>
      <c r="T306" s="317">
        <f t="shared" si="56"/>
        <v>0</v>
      </c>
      <c r="U306" s="317">
        <f t="shared" si="56"/>
        <v>0</v>
      </c>
      <c r="V306" s="317">
        <f t="shared" si="56"/>
        <v>0</v>
      </c>
      <c r="W306" s="317">
        <f t="shared" si="56"/>
        <v>0</v>
      </c>
      <c r="X306" s="317">
        <f t="shared" si="56"/>
        <v>0</v>
      </c>
      <c r="Y306" s="317">
        <f t="shared" si="56"/>
        <v>0</v>
      </c>
      <c r="Z306" s="317">
        <f t="shared" si="56"/>
        <v>0</v>
      </c>
      <c r="AA306" s="317">
        <f t="shared" si="56"/>
        <v>0</v>
      </c>
      <c r="AB306" s="317">
        <f t="shared" si="56"/>
        <v>0</v>
      </c>
      <c r="AC306" s="317">
        <f t="shared" si="56"/>
        <v>0</v>
      </c>
      <c r="AD306" s="317">
        <f t="shared" si="56"/>
        <v>0</v>
      </c>
      <c r="AE306" s="318">
        <f t="shared" si="56"/>
        <v>0</v>
      </c>
    </row>
    <row r="307" spans="1:31">
      <c r="A307" s="1711"/>
      <c r="B307" s="116">
        <v>16</v>
      </c>
      <c r="C307" s="316"/>
      <c r="D307" s="317">
        <f t="shared" si="57"/>
        <v>0</v>
      </c>
      <c r="E307" s="317">
        <f t="shared" si="57"/>
        <v>0</v>
      </c>
      <c r="F307" s="317">
        <f t="shared" si="57"/>
        <v>0</v>
      </c>
      <c r="G307" s="317">
        <f t="shared" si="57"/>
        <v>0</v>
      </c>
      <c r="H307" s="317">
        <f t="shared" si="57"/>
        <v>0</v>
      </c>
      <c r="I307" s="317">
        <f t="shared" si="57"/>
        <v>1.38374</v>
      </c>
      <c r="J307" s="317">
        <f t="shared" si="57"/>
        <v>1.3837399999999942</v>
      </c>
      <c r="K307" s="317">
        <f t="shared" si="57"/>
        <v>1.3837399999999931</v>
      </c>
      <c r="L307" s="317">
        <f t="shared" si="57"/>
        <v>1.3877210309278276</v>
      </c>
      <c r="M307" s="317">
        <f t="shared" si="57"/>
        <v>1.4074067724867656</v>
      </c>
      <c r="N307" s="317">
        <f t="shared" si="57"/>
        <v>1.428748513513505</v>
      </c>
      <c r="O307" s="317">
        <f t="shared" si="57"/>
        <v>1.4333779757085019</v>
      </c>
      <c r="P307" s="317">
        <f t="shared" si="57"/>
        <v>1.4654028140703517</v>
      </c>
      <c r="Q307" s="317">
        <f t="shared" si="57"/>
        <v>1.4753292307692309</v>
      </c>
      <c r="R307" s="317">
        <f t="shared" si="57"/>
        <v>1.4159200000000001</v>
      </c>
      <c r="S307" s="317">
        <f t="shared" si="57"/>
        <v>1.1990412591431558</v>
      </c>
      <c r="T307" s="317">
        <f t="shared" si="56"/>
        <v>0</v>
      </c>
      <c r="U307" s="317">
        <f t="shared" si="56"/>
        <v>0</v>
      </c>
      <c r="V307" s="317">
        <f t="shared" si="56"/>
        <v>0</v>
      </c>
      <c r="W307" s="317">
        <f t="shared" si="56"/>
        <v>0</v>
      </c>
      <c r="X307" s="317">
        <f t="shared" si="56"/>
        <v>0</v>
      </c>
      <c r="Y307" s="317">
        <f t="shared" si="56"/>
        <v>0</v>
      </c>
      <c r="Z307" s="317">
        <f t="shared" si="56"/>
        <v>0</v>
      </c>
      <c r="AA307" s="317">
        <f t="shared" si="56"/>
        <v>0</v>
      </c>
      <c r="AB307" s="317">
        <f t="shared" si="56"/>
        <v>0</v>
      </c>
      <c r="AC307" s="317">
        <f t="shared" si="56"/>
        <v>0</v>
      </c>
      <c r="AD307" s="317">
        <f t="shared" si="56"/>
        <v>0</v>
      </c>
      <c r="AE307" s="318">
        <f t="shared" si="56"/>
        <v>0</v>
      </c>
    </row>
    <row r="308" spans="1:31">
      <c r="A308" s="1711"/>
      <c r="B308" s="116">
        <v>17</v>
      </c>
      <c r="C308" s="316"/>
      <c r="D308" s="317">
        <f t="shared" si="57"/>
        <v>0</v>
      </c>
      <c r="E308" s="317">
        <f t="shared" si="57"/>
        <v>0</v>
      </c>
      <c r="F308" s="317">
        <f t="shared" si="57"/>
        <v>0</v>
      </c>
      <c r="G308" s="317">
        <f t="shared" si="57"/>
        <v>0</v>
      </c>
      <c r="H308" s="317">
        <f t="shared" si="57"/>
        <v>0</v>
      </c>
      <c r="I308" s="317">
        <f t="shared" si="57"/>
        <v>0</v>
      </c>
      <c r="J308" s="317">
        <f t="shared" si="57"/>
        <v>1.38374</v>
      </c>
      <c r="K308" s="317">
        <f t="shared" si="57"/>
        <v>1.3837399999999942</v>
      </c>
      <c r="L308" s="317">
        <f t="shared" si="57"/>
        <v>1.3837399999999931</v>
      </c>
      <c r="M308" s="317">
        <f t="shared" si="57"/>
        <v>1.3877210309278276</v>
      </c>
      <c r="N308" s="317">
        <f t="shared" si="57"/>
        <v>1.4074067724867656</v>
      </c>
      <c r="O308" s="317">
        <f t="shared" si="57"/>
        <v>1.428748513513505</v>
      </c>
      <c r="P308" s="317">
        <f t="shared" si="57"/>
        <v>1.4333779757085019</v>
      </c>
      <c r="Q308" s="317">
        <f t="shared" si="57"/>
        <v>1.4654028140703517</v>
      </c>
      <c r="R308" s="317">
        <f t="shared" si="57"/>
        <v>1.4753292307692309</v>
      </c>
      <c r="S308" s="317">
        <f t="shared" ref="S308:AE316" si="58">R307</f>
        <v>1.4159200000000001</v>
      </c>
      <c r="T308" s="317">
        <f t="shared" si="58"/>
        <v>1.1990412591431558</v>
      </c>
      <c r="U308" s="317">
        <f t="shared" si="58"/>
        <v>0</v>
      </c>
      <c r="V308" s="317">
        <f t="shared" si="58"/>
        <v>0</v>
      </c>
      <c r="W308" s="317">
        <f t="shared" si="58"/>
        <v>0</v>
      </c>
      <c r="X308" s="317">
        <f t="shared" si="58"/>
        <v>0</v>
      </c>
      <c r="Y308" s="317">
        <f t="shared" si="58"/>
        <v>0</v>
      </c>
      <c r="Z308" s="317">
        <f t="shared" si="58"/>
        <v>0</v>
      </c>
      <c r="AA308" s="317">
        <f t="shared" si="58"/>
        <v>0</v>
      </c>
      <c r="AB308" s="317">
        <f t="shared" si="58"/>
        <v>0</v>
      </c>
      <c r="AC308" s="317">
        <f t="shared" si="58"/>
        <v>0</v>
      </c>
      <c r="AD308" s="317">
        <f t="shared" si="58"/>
        <v>0</v>
      </c>
      <c r="AE308" s="318">
        <f t="shared" si="58"/>
        <v>0</v>
      </c>
    </row>
    <row r="309" spans="1:31">
      <c r="A309" s="1711"/>
      <c r="B309" s="116">
        <v>18</v>
      </c>
      <c r="C309" s="316"/>
      <c r="D309" s="317">
        <f t="shared" ref="D309:S316" si="59">C308</f>
        <v>0</v>
      </c>
      <c r="E309" s="317">
        <f t="shared" si="59"/>
        <v>0</v>
      </c>
      <c r="F309" s="317">
        <f t="shared" si="59"/>
        <v>0</v>
      </c>
      <c r="G309" s="317">
        <f t="shared" si="59"/>
        <v>0</v>
      </c>
      <c r="H309" s="317">
        <f t="shared" si="59"/>
        <v>0</v>
      </c>
      <c r="I309" s="317">
        <f t="shared" si="59"/>
        <v>0</v>
      </c>
      <c r="J309" s="317">
        <f t="shared" si="59"/>
        <v>0</v>
      </c>
      <c r="K309" s="317">
        <f t="shared" si="59"/>
        <v>1.38374</v>
      </c>
      <c r="L309" s="317">
        <f t="shared" si="59"/>
        <v>1.3837399999999942</v>
      </c>
      <c r="M309" s="317">
        <f t="shared" si="59"/>
        <v>1.3837399999999931</v>
      </c>
      <c r="N309" s="317">
        <f t="shared" si="59"/>
        <v>1.3877210309278276</v>
      </c>
      <c r="O309" s="317">
        <f t="shared" si="59"/>
        <v>1.4074067724867656</v>
      </c>
      <c r="P309" s="317">
        <f t="shared" si="59"/>
        <v>1.428748513513505</v>
      </c>
      <c r="Q309" s="317">
        <f t="shared" si="59"/>
        <v>1.4333779757085019</v>
      </c>
      <c r="R309" s="317">
        <f t="shared" si="59"/>
        <v>1.4654028140703517</v>
      </c>
      <c r="S309" s="317">
        <f t="shared" si="59"/>
        <v>1.4753292307692309</v>
      </c>
      <c r="T309" s="317">
        <f t="shared" si="58"/>
        <v>1.4159200000000001</v>
      </c>
      <c r="U309" s="317">
        <f t="shared" si="58"/>
        <v>1.1990412591431558</v>
      </c>
      <c r="V309" s="317">
        <f t="shared" si="58"/>
        <v>0</v>
      </c>
      <c r="W309" s="317">
        <f t="shared" si="58"/>
        <v>0</v>
      </c>
      <c r="X309" s="317">
        <f t="shared" si="58"/>
        <v>0</v>
      </c>
      <c r="Y309" s="317">
        <f t="shared" si="58"/>
        <v>0</v>
      </c>
      <c r="Z309" s="317">
        <f t="shared" si="58"/>
        <v>0</v>
      </c>
      <c r="AA309" s="317">
        <f t="shared" si="58"/>
        <v>0</v>
      </c>
      <c r="AB309" s="317">
        <f t="shared" si="58"/>
        <v>0</v>
      </c>
      <c r="AC309" s="317">
        <f t="shared" si="58"/>
        <v>0</v>
      </c>
      <c r="AD309" s="317">
        <f t="shared" si="58"/>
        <v>0</v>
      </c>
      <c r="AE309" s="318">
        <f t="shared" si="58"/>
        <v>0</v>
      </c>
    </row>
    <row r="310" spans="1:31">
      <c r="A310" s="1711"/>
      <c r="B310" s="116">
        <v>19</v>
      </c>
      <c r="C310" s="316"/>
      <c r="D310" s="317">
        <f t="shared" si="59"/>
        <v>0</v>
      </c>
      <c r="E310" s="317">
        <f t="shared" si="59"/>
        <v>0</v>
      </c>
      <c r="F310" s="317">
        <f t="shared" si="59"/>
        <v>0</v>
      </c>
      <c r="G310" s="317">
        <f t="shared" si="59"/>
        <v>0</v>
      </c>
      <c r="H310" s="317">
        <f t="shared" si="59"/>
        <v>0</v>
      </c>
      <c r="I310" s="317">
        <f t="shared" si="59"/>
        <v>0</v>
      </c>
      <c r="J310" s="317">
        <f t="shared" si="59"/>
        <v>0</v>
      </c>
      <c r="K310" s="317">
        <f t="shared" si="59"/>
        <v>0</v>
      </c>
      <c r="L310" s="317">
        <f t="shared" si="59"/>
        <v>1.38374</v>
      </c>
      <c r="M310" s="317">
        <f t="shared" si="59"/>
        <v>1.3837399999999942</v>
      </c>
      <c r="N310" s="317">
        <f t="shared" si="59"/>
        <v>1.3837399999999931</v>
      </c>
      <c r="O310" s="317">
        <f t="shared" si="59"/>
        <v>1.3877210309278276</v>
      </c>
      <c r="P310" s="317">
        <f t="shared" si="59"/>
        <v>1.4074067724867656</v>
      </c>
      <c r="Q310" s="317">
        <f t="shared" si="59"/>
        <v>1.428748513513505</v>
      </c>
      <c r="R310" s="317">
        <f t="shared" si="59"/>
        <v>1.4333779757085019</v>
      </c>
      <c r="S310" s="317">
        <f t="shared" si="59"/>
        <v>1.4654028140703517</v>
      </c>
      <c r="T310" s="317">
        <f t="shared" si="58"/>
        <v>1.4753292307692309</v>
      </c>
      <c r="U310" s="317">
        <f t="shared" si="58"/>
        <v>1.4159200000000001</v>
      </c>
      <c r="V310" s="317">
        <f t="shared" si="58"/>
        <v>1.1990412591431558</v>
      </c>
      <c r="W310" s="317">
        <f t="shared" si="58"/>
        <v>0</v>
      </c>
      <c r="X310" s="317">
        <f t="shared" si="58"/>
        <v>0</v>
      </c>
      <c r="Y310" s="317">
        <f t="shared" si="58"/>
        <v>0</v>
      </c>
      <c r="Z310" s="317">
        <f t="shared" si="58"/>
        <v>0</v>
      </c>
      <c r="AA310" s="317">
        <f t="shared" si="58"/>
        <v>0</v>
      </c>
      <c r="AB310" s="317">
        <f t="shared" si="58"/>
        <v>0</v>
      </c>
      <c r="AC310" s="317">
        <f t="shared" si="58"/>
        <v>0</v>
      </c>
      <c r="AD310" s="317">
        <f t="shared" si="58"/>
        <v>0</v>
      </c>
      <c r="AE310" s="318">
        <f t="shared" si="58"/>
        <v>0</v>
      </c>
    </row>
    <row r="311" spans="1:31">
      <c r="A311" s="1711"/>
      <c r="B311" s="116">
        <v>20</v>
      </c>
      <c r="C311" s="316"/>
      <c r="D311" s="317">
        <f t="shared" si="59"/>
        <v>0</v>
      </c>
      <c r="E311" s="317">
        <f t="shared" si="59"/>
        <v>0</v>
      </c>
      <c r="F311" s="317">
        <f t="shared" si="59"/>
        <v>0</v>
      </c>
      <c r="G311" s="317">
        <f t="shared" si="59"/>
        <v>0</v>
      </c>
      <c r="H311" s="317">
        <f t="shared" si="59"/>
        <v>0</v>
      </c>
      <c r="I311" s="317">
        <f t="shared" si="59"/>
        <v>0</v>
      </c>
      <c r="J311" s="317">
        <f t="shared" si="59"/>
        <v>0</v>
      </c>
      <c r="K311" s="317">
        <f t="shared" si="59"/>
        <v>0</v>
      </c>
      <c r="L311" s="317">
        <f t="shared" si="59"/>
        <v>0</v>
      </c>
      <c r="M311" s="317">
        <f t="shared" si="59"/>
        <v>1.38374</v>
      </c>
      <c r="N311" s="317">
        <f t="shared" si="59"/>
        <v>1.3837399999999942</v>
      </c>
      <c r="O311" s="317">
        <f t="shared" si="59"/>
        <v>1.3837399999999931</v>
      </c>
      <c r="P311" s="317">
        <f t="shared" si="59"/>
        <v>1.3877210309278276</v>
      </c>
      <c r="Q311" s="317">
        <f t="shared" si="59"/>
        <v>1.4074067724867656</v>
      </c>
      <c r="R311" s="317">
        <f t="shared" si="59"/>
        <v>1.428748513513505</v>
      </c>
      <c r="S311" s="317">
        <f t="shared" si="59"/>
        <v>1.4333779757085019</v>
      </c>
      <c r="T311" s="317">
        <f t="shared" si="58"/>
        <v>1.4654028140703517</v>
      </c>
      <c r="U311" s="317">
        <f t="shared" si="58"/>
        <v>1.4753292307692309</v>
      </c>
      <c r="V311" s="317">
        <f t="shared" si="58"/>
        <v>1.4159200000000001</v>
      </c>
      <c r="W311" s="317">
        <f t="shared" si="58"/>
        <v>1.1990412591431558</v>
      </c>
      <c r="X311" s="317">
        <f t="shared" si="58"/>
        <v>0</v>
      </c>
      <c r="Y311" s="317">
        <f t="shared" si="58"/>
        <v>0</v>
      </c>
      <c r="Z311" s="317">
        <f t="shared" si="58"/>
        <v>0</v>
      </c>
      <c r="AA311" s="317">
        <f t="shared" si="58"/>
        <v>0</v>
      </c>
      <c r="AB311" s="317">
        <f t="shared" si="58"/>
        <v>0</v>
      </c>
      <c r="AC311" s="317">
        <f t="shared" si="58"/>
        <v>0</v>
      </c>
      <c r="AD311" s="317">
        <f t="shared" si="58"/>
        <v>0</v>
      </c>
      <c r="AE311" s="318">
        <f t="shared" si="58"/>
        <v>0</v>
      </c>
    </row>
    <row r="312" spans="1:31">
      <c r="A312" s="1711"/>
      <c r="B312" s="116">
        <v>21</v>
      </c>
      <c r="C312" s="316"/>
      <c r="D312" s="317">
        <f t="shared" si="59"/>
        <v>0</v>
      </c>
      <c r="E312" s="317">
        <f t="shared" si="59"/>
        <v>0</v>
      </c>
      <c r="F312" s="317">
        <f t="shared" si="59"/>
        <v>0</v>
      </c>
      <c r="G312" s="317">
        <f t="shared" si="59"/>
        <v>0</v>
      </c>
      <c r="H312" s="317">
        <f t="shared" si="59"/>
        <v>0</v>
      </c>
      <c r="I312" s="317">
        <f t="shared" si="59"/>
        <v>0</v>
      </c>
      <c r="J312" s="317">
        <f t="shared" si="59"/>
        <v>0</v>
      </c>
      <c r="K312" s="317">
        <f t="shared" si="59"/>
        <v>0</v>
      </c>
      <c r="L312" s="317">
        <f t="shared" si="59"/>
        <v>0</v>
      </c>
      <c r="M312" s="317">
        <f t="shared" si="59"/>
        <v>0</v>
      </c>
      <c r="N312" s="317">
        <f t="shared" si="59"/>
        <v>1.38374</v>
      </c>
      <c r="O312" s="317">
        <f t="shared" si="59"/>
        <v>1.3837399999999942</v>
      </c>
      <c r="P312" s="317">
        <f t="shared" si="59"/>
        <v>1.3837399999999931</v>
      </c>
      <c r="Q312" s="317">
        <f t="shared" si="59"/>
        <v>1.3877210309278276</v>
      </c>
      <c r="R312" s="317">
        <f t="shared" si="59"/>
        <v>1.4074067724867656</v>
      </c>
      <c r="S312" s="317">
        <f t="shared" si="59"/>
        <v>1.428748513513505</v>
      </c>
      <c r="T312" s="317">
        <f t="shared" si="58"/>
        <v>1.4333779757085019</v>
      </c>
      <c r="U312" s="317">
        <f t="shared" si="58"/>
        <v>1.4654028140703517</v>
      </c>
      <c r="V312" s="317">
        <f t="shared" si="58"/>
        <v>1.4753292307692309</v>
      </c>
      <c r="W312" s="317">
        <f t="shared" si="58"/>
        <v>1.4159200000000001</v>
      </c>
      <c r="X312" s="317">
        <f t="shared" si="58"/>
        <v>1.1990412591431558</v>
      </c>
      <c r="Y312" s="317">
        <f t="shared" si="58"/>
        <v>0</v>
      </c>
      <c r="Z312" s="317">
        <f t="shared" si="58"/>
        <v>0</v>
      </c>
      <c r="AA312" s="317">
        <f t="shared" si="58"/>
        <v>0</v>
      </c>
      <c r="AB312" s="317">
        <f t="shared" si="58"/>
        <v>0</v>
      </c>
      <c r="AC312" s="317">
        <f t="shared" si="58"/>
        <v>0</v>
      </c>
      <c r="AD312" s="317">
        <f t="shared" si="58"/>
        <v>0</v>
      </c>
      <c r="AE312" s="318">
        <f t="shared" si="58"/>
        <v>0</v>
      </c>
    </row>
    <row r="313" spans="1:31">
      <c r="A313" s="1711"/>
      <c r="B313" s="116">
        <v>22</v>
      </c>
      <c r="C313" s="316"/>
      <c r="D313" s="317">
        <f t="shared" si="59"/>
        <v>0</v>
      </c>
      <c r="E313" s="317">
        <f t="shared" si="59"/>
        <v>0</v>
      </c>
      <c r="F313" s="317">
        <f t="shared" si="59"/>
        <v>0</v>
      </c>
      <c r="G313" s="317">
        <f t="shared" si="59"/>
        <v>0</v>
      </c>
      <c r="H313" s="317">
        <f t="shared" si="59"/>
        <v>0</v>
      </c>
      <c r="I313" s="317">
        <f t="shared" si="59"/>
        <v>0</v>
      </c>
      <c r="J313" s="317">
        <f t="shared" si="59"/>
        <v>0</v>
      </c>
      <c r="K313" s="317">
        <f t="shared" si="59"/>
        <v>0</v>
      </c>
      <c r="L313" s="317">
        <f t="shared" si="59"/>
        <v>0</v>
      </c>
      <c r="M313" s="317">
        <f t="shared" si="59"/>
        <v>0</v>
      </c>
      <c r="N313" s="317">
        <f t="shared" si="59"/>
        <v>0</v>
      </c>
      <c r="O313" s="317">
        <f t="shared" si="59"/>
        <v>1.38374</v>
      </c>
      <c r="P313" s="317">
        <f t="shared" si="59"/>
        <v>1.3837399999999942</v>
      </c>
      <c r="Q313" s="317">
        <f t="shared" si="59"/>
        <v>1.3837399999999931</v>
      </c>
      <c r="R313" s="317">
        <f t="shared" si="59"/>
        <v>1.3877210309278276</v>
      </c>
      <c r="S313" s="317">
        <f t="shared" si="59"/>
        <v>1.4074067724867656</v>
      </c>
      <c r="T313" s="317">
        <f t="shared" si="58"/>
        <v>1.428748513513505</v>
      </c>
      <c r="U313" s="317">
        <f t="shared" si="58"/>
        <v>1.4333779757085019</v>
      </c>
      <c r="V313" s="317">
        <f t="shared" si="58"/>
        <v>1.4654028140703517</v>
      </c>
      <c r="W313" s="317">
        <f t="shared" si="58"/>
        <v>1.4753292307692309</v>
      </c>
      <c r="X313" s="317">
        <f t="shared" si="58"/>
        <v>1.4159200000000001</v>
      </c>
      <c r="Y313" s="317">
        <f t="shared" si="58"/>
        <v>1.1990412591431558</v>
      </c>
      <c r="Z313" s="317">
        <f t="shared" si="58"/>
        <v>0</v>
      </c>
      <c r="AA313" s="317">
        <f t="shared" si="58"/>
        <v>0</v>
      </c>
      <c r="AB313" s="317">
        <f t="shared" si="58"/>
        <v>0</v>
      </c>
      <c r="AC313" s="317">
        <f t="shared" si="58"/>
        <v>0</v>
      </c>
      <c r="AD313" s="317">
        <f t="shared" si="58"/>
        <v>0</v>
      </c>
      <c r="AE313" s="318">
        <f t="shared" si="58"/>
        <v>0</v>
      </c>
    </row>
    <row r="314" spans="1:31">
      <c r="A314" s="1711"/>
      <c r="B314" s="116">
        <v>23</v>
      </c>
      <c r="C314" s="316"/>
      <c r="D314" s="317">
        <f t="shared" si="59"/>
        <v>0</v>
      </c>
      <c r="E314" s="317">
        <f t="shared" si="59"/>
        <v>0</v>
      </c>
      <c r="F314" s="317">
        <f t="shared" si="59"/>
        <v>0</v>
      </c>
      <c r="G314" s="317">
        <f t="shared" si="59"/>
        <v>0</v>
      </c>
      <c r="H314" s="317">
        <f t="shared" si="59"/>
        <v>0</v>
      </c>
      <c r="I314" s="317">
        <f t="shared" si="59"/>
        <v>0</v>
      </c>
      <c r="J314" s="317">
        <f t="shared" si="59"/>
        <v>0</v>
      </c>
      <c r="K314" s="317">
        <f t="shared" si="59"/>
        <v>0</v>
      </c>
      <c r="L314" s="317">
        <f t="shared" si="59"/>
        <v>0</v>
      </c>
      <c r="M314" s="317">
        <f t="shared" si="59"/>
        <v>0</v>
      </c>
      <c r="N314" s="317">
        <f t="shared" si="59"/>
        <v>0</v>
      </c>
      <c r="O314" s="317">
        <f t="shared" si="59"/>
        <v>0</v>
      </c>
      <c r="P314" s="317">
        <f t="shared" si="59"/>
        <v>1.38374</v>
      </c>
      <c r="Q314" s="317">
        <f t="shared" si="59"/>
        <v>1.3837399999999942</v>
      </c>
      <c r="R314" s="317">
        <f t="shared" si="59"/>
        <v>1.3837399999999931</v>
      </c>
      <c r="S314" s="317">
        <f t="shared" si="59"/>
        <v>1.3877210309278276</v>
      </c>
      <c r="T314" s="317">
        <f t="shared" si="58"/>
        <v>1.4074067724867656</v>
      </c>
      <c r="U314" s="317">
        <f t="shared" si="58"/>
        <v>1.428748513513505</v>
      </c>
      <c r="V314" s="317">
        <f t="shared" si="58"/>
        <v>1.4333779757085019</v>
      </c>
      <c r="W314" s="317">
        <f t="shared" si="58"/>
        <v>1.4654028140703517</v>
      </c>
      <c r="X314" s="317">
        <f t="shared" si="58"/>
        <v>1.4753292307692309</v>
      </c>
      <c r="Y314" s="317">
        <f t="shared" si="58"/>
        <v>1.4159200000000001</v>
      </c>
      <c r="Z314" s="317">
        <f t="shared" si="58"/>
        <v>1.1990412591431558</v>
      </c>
      <c r="AA314" s="317">
        <f t="shared" si="58"/>
        <v>0</v>
      </c>
      <c r="AB314" s="317">
        <f t="shared" si="58"/>
        <v>0</v>
      </c>
      <c r="AC314" s="317">
        <f t="shared" si="58"/>
        <v>0</v>
      </c>
      <c r="AD314" s="317">
        <f t="shared" si="58"/>
        <v>0</v>
      </c>
      <c r="AE314" s="318">
        <f t="shared" si="58"/>
        <v>0</v>
      </c>
    </row>
    <row r="315" spans="1:31">
      <c r="A315" s="1711"/>
      <c r="B315" s="116">
        <v>24</v>
      </c>
      <c r="C315" s="316"/>
      <c r="D315" s="317">
        <f t="shared" si="59"/>
        <v>0</v>
      </c>
      <c r="E315" s="317">
        <f t="shared" si="59"/>
        <v>0</v>
      </c>
      <c r="F315" s="317">
        <f t="shared" si="59"/>
        <v>0</v>
      </c>
      <c r="G315" s="317">
        <f t="shared" si="59"/>
        <v>0</v>
      </c>
      <c r="H315" s="317">
        <f t="shared" si="59"/>
        <v>0</v>
      </c>
      <c r="I315" s="317">
        <f t="shared" si="59"/>
        <v>0</v>
      </c>
      <c r="J315" s="317">
        <f t="shared" si="59"/>
        <v>0</v>
      </c>
      <c r="K315" s="317">
        <f t="shared" si="59"/>
        <v>0</v>
      </c>
      <c r="L315" s="317">
        <f t="shared" si="59"/>
        <v>0</v>
      </c>
      <c r="M315" s="317">
        <f t="shared" si="59"/>
        <v>0</v>
      </c>
      <c r="N315" s="317">
        <f t="shared" si="59"/>
        <v>0</v>
      </c>
      <c r="O315" s="317">
        <f t="shared" si="59"/>
        <v>0</v>
      </c>
      <c r="P315" s="317">
        <f t="shared" si="59"/>
        <v>0</v>
      </c>
      <c r="Q315" s="317">
        <f t="shared" si="59"/>
        <v>1.38374</v>
      </c>
      <c r="R315" s="317">
        <f t="shared" si="59"/>
        <v>1.3837399999999942</v>
      </c>
      <c r="S315" s="317">
        <f t="shared" si="59"/>
        <v>1.3837399999999931</v>
      </c>
      <c r="T315" s="317">
        <f t="shared" si="58"/>
        <v>1.3877210309278276</v>
      </c>
      <c r="U315" s="317">
        <f t="shared" si="58"/>
        <v>1.4074067724867656</v>
      </c>
      <c r="V315" s="317">
        <f t="shared" si="58"/>
        <v>1.428748513513505</v>
      </c>
      <c r="W315" s="317">
        <f t="shared" si="58"/>
        <v>1.4333779757085019</v>
      </c>
      <c r="X315" s="317">
        <f t="shared" si="58"/>
        <v>1.4654028140703517</v>
      </c>
      <c r="Y315" s="317">
        <f t="shared" si="58"/>
        <v>1.4753292307692309</v>
      </c>
      <c r="Z315" s="317">
        <f t="shared" si="58"/>
        <v>1.4159200000000001</v>
      </c>
      <c r="AA315" s="317">
        <f t="shared" si="58"/>
        <v>1.1990412591431558</v>
      </c>
      <c r="AB315" s="317">
        <f t="shared" si="58"/>
        <v>0</v>
      </c>
      <c r="AC315" s="317">
        <f t="shared" si="58"/>
        <v>0</v>
      </c>
      <c r="AD315" s="317">
        <f t="shared" si="58"/>
        <v>0</v>
      </c>
      <c r="AE315" s="318">
        <f t="shared" si="58"/>
        <v>0</v>
      </c>
    </row>
    <row r="316" spans="1:31" ht="15.75" thickBot="1">
      <c r="A316" s="1711"/>
      <c r="B316" s="116">
        <v>25</v>
      </c>
      <c r="C316" s="324"/>
      <c r="D316" s="325">
        <f t="shared" si="59"/>
        <v>0</v>
      </c>
      <c r="E316" s="325">
        <f t="shared" si="59"/>
        <v>0</v>
      </c>
      <c r="F316" s="325">
        <f t="shared" si="59"/>
        <v>0</v>
      </c>
      <c r="G316" s="325">
        <f t="shared" si="59"/>
        <v>0</v>
      </c>
      <c r="H316" s="325">
        <f t="shared" si="59"/>
        <v>0</v>
      </c>
      <c r="I316" s="325">
        <f t="shared" si="59"/>
        <v>0</v>
      </c>
      <c r="J316" s="325">
        <f t="shared" si="59"/>
        <v>0</v>
      </c>
      <c r="K316" s="325">
        <f t="shared" si="59"/>
        <v>0</v>
      </c>
      <c r="L316" s="325">
        <f t="shared" si="59"/>
        <v>0</v>
      </c>
      <c r="M316" s="325">
        <f t="shared" si="59"/>
        <v>0</v>
      </c>
      <c r="N316" s="325">
        <f t="shared" si="59"/>
        <v>0</v>
      </c>
      <c r="O316" s="325">
        <f t="shared" si="59"/>
        <v>0</v>
      </c>
      <c r="P316" s="325">
        <f t="shared" si="59"/>
        <v>0</v>
      </c>
      <c r="Q316" s="325">
        <f t="shared" si="59"/>
        <v>0</v>
      </c>
      <c r="R316" s="325">
        <f t="shared" si="59"/>
        <v>1.38374</v>
      </c>
      <c r="S316" s="325">
        <f t="shared" si="59"/>
        <v>1.3837399999999942</v>
      </c>
      <c r="T316" s="325">
        <f t="shared" si="58"/>
        <v>1.3837399999999931</v>
      </c>
      <c r="U316" s="325">
        <f t="shared" si="58"/>
        <v>1.3877210309278276</v>
      </c>
      <c r="V316" s="325">
        <f t="shared" si="58"/>
        <v>1.4074067724867656</v>
      </c>
      <c r="W316" s="325">
        <f t="shared" si="58"/>
        <v>1.428748513513505</v>
      </c>
      <c r="X316" s="325">
        <f t="shared" si="58"/>
        <v>1.4333779757085019</v>
      </c>
      <c r="Y316" s="325">
        <f t="shared" si="58"/>
        <v>1.4654028140703517</v>
      </c>
      <c r="Z316" s="325">
        <f t="shared" si="58"/>
        <v>1.4753292307692309</v>
      </c>
      <c r="AA316" s="325">
        <f t="shared" si="58"/>
        <v>1.4159200000000001</v>
      </c>
      <c r="AB316" s="325">
        <f t="shared" si="58"/>
        <v>1.1990412591431558</v>
      </c>
      <c r="AC316" s="325">
        <f t="shared" si="58"/>
        <v>0</v>
      </c>
      <c r="AD316" s="325">
        <f t="shared" si="58"/>
        <v>0</v>
      </c>
      <c r="AE316" s="326">
        <f t="shared" si="58"/>
        <v>0</v>
      </c>
    </row>
    <row r="317" spans="1:31" ht="16.5" thickTop="1" thickBot="1">
      <c r="A317" s="1712"/>
      <c r="B317" s="300" t="s">
        <v>39</v>
      </c>
      <c r="C317" s="327">
        <f>SUMPRODUCT('CAR Stock'!C314:C339,C291:C316)/'CAR Stock'!C340</f>
        <v>1.4065575450525383</v>
      </c>
      <c r="D317" s="327">
        <f>SUMPRODUCT('CAR Stock'!D314:D339,D291:D316)/'CAR Stock'!D340</f>
        <v>1.406558119604995</v>
      </c>
      <c r="E317" s="327">
        <f>SUMPRODUCT('CAR Stock'!E314:E339,E291:E316)/'CAR Stock'!E340</f>
        <v>1.4065589524882884</v>
      </c>
      <c r="F317" s="327">
        <f>SUMPRODUCT('CAR Stock'!F314:F339,F291:F316)/'CAR Stock'!F340</f>
        <v>1.406559888834908</v>
      </c>
      <c r="G317" s="327">
        <f>SUMPRODUCT('CAR Stock'!G314:G339,G291:G316)/'CAR Stock'!G340</f>
        <v>1.4065532139518853</v>
      </c>
      <c r="H317" s="327">
        <f>SUMPRODUCT('CAR Stock'!H314:H339,H291:H316)/'CAR Stock'!H340</f>
        <v>1.406455405202186</v>
      </c>
      <c r="I317" s="327">
        <f>SUMPRODUCT('CAR Stock'!I314:I339,I291:I316)/'CAR Stock'!I340</f>
        <v>1.4055859849628822</v>
      </c>
      <c r="J317" s="327">
        <f>SUMPRODUCT('CAR Stock'!J314:J339,J291:J316)/'CAR Stock'!J340</f>
        <v>1.4024031561562351</v>
      </c>
      <c r="K317" s="327">
        <f>SUMPRODUCT('CAR Stock'!K314:K339,K291:K316)/'CAR Stock'!K340</f>
        <v>1.3956434447527726</v>
      </c>
      <c r="L317" s="327">
        <f>SUMPRODUCT('CAR Stock'!L314:L339,L291:L316)/'CAR Stock'!L340</f>
        <v>1.3848428376350808</v>
      </c>
      <c r="M317" s="327">
        <f>SUMPRODUCT('CAR Stock'!M314:M339,M291:M316)/'CAR Stock'!M340</f>
        <v>1.3689791406870158</v>
      </c>
      <c r="N317" s="327">
        <f>SUMPRODUCT('CAR Stock'!N314:N339,N291:N316)/'CAR Stock'!N340</f>
        <v>1.3477370774958906</v>
      </c>
      <c r="O317" s="327">
        <f>SUMPRODUCT('CAR Stock'!O314:O339,O291:O316)/'CAR Stock'!O340</f>
        <v>1.3231806420218772</v>
      </c>
      <c r="P317" s="327">
        <f>SUMPRODUCT('CAR Stock'!P314:P339,P291:P316)/'CAR Stock'!P340</f>
        <v>1.2969554704431894</v>
      </c>
      <c r="Q317" s="327">
        <f>SUMPRODUCT('CAR Stock'!Q314:Q339,Q291:Q316)/'CAR Stock'!Q340</f>
        <v>1.2763634811139872</v>
      </c>
      <c r="R317" s="327">
        <f>SUMPRODUCT('CAR Stock'!R314:R339,R291:R316)/'CAR Stock'!R340</f>
        <v>1.2683295495093427</v>
      </c>
      <c r="S317" s="327">
        <f>SUMPRODUCT('CAR Stock'!S314:S339,S291:S316)/'CAR Stock'!S340</f>
        <v>1.2601738714292474</v>
      </c>
      <c r="T317" s="327">
        <f>SUMPRODUCT('CAR Stock'!T314:T339,T291:T316)/'CAR Stock'!T340</f>
        <v>1.251949311322851</v>
      </c>
      <c r="U317" s="327">
        <f>SUMPRODUCT('CAR Stock'!U314:U339,U291:U316)/'CAR Stock'!U340</f>
        <v>1.243719034794998</v>
      </c>
      <c r="V317" s="327">
        <f>SUMPRODUCT('CAR Stock'!V314:V339,V291:V316)/'CAR Stock'!V340</f>
        <v>1.2355568548266609</v>
      </c>
      <c r="W317" s="327">
        <f>SUMPRODUCT('CAR Stock'!W314:W339,W291:W316)/'CAR Stock'!W340</f>
        <v>1.2275471740081452</v>
      </c>
      <c r="X317" s="327">
        <f>SUMPRODUCT('CAR Stock'!X314:X339,X291:X316)/'CAR Stock'!X340</f>
        <v>1.219784404377326</v>
      </c>
      <c r="Y317" s="327">
        <f>SUMPRODUCT('CAR Stock'!Y314:Y339,Y291:Y316)/'CAR Stock'!Y340</f>
        <v>1.2123717540133312</v>
      </c>
      <c r="Z317" s="327">
        <f>SUMPRODUCT('CAR Stock'!Z314:Z339,Z291:Z316)/'CAR Stock'!Z340</f>
        <v>1.2054192935279517</v>
      </c>
      <c r="AA317" s="327">
        <f>SUMPRODUCT('CAR Stock'!AA314:AA339,AA291:AA316)/'CAR Stock'!AA340</f>
        <v>1.1990412591431558</v>
      </c>
      <c r="AB317" s="327">
        <v>0</v>
      </c>
      <c r="AC317" s="327">
        <v>0</v>
      </c>
      <c r="AD317" s="327">
        <v>0</v>
      </c>
      <c r="AE317" s="327">
        <v>0</v>
      </c>
    </row>
    <row r="318" spans="1:31" ht="15.75" thickBot="1">
      <c r="A318" s="650"/>
    </row>
    <row r="319" spans="1:31" ht="15.75" customHeight="1" thickBot="1">
      <c r="A319" s="1710" t="s">
        <v>51</v>
      </c>
      <c r="B319" s="169" t="s">
        <v>10</v>
      </c>
      <c r="C319" s="288">
        <f t="shared" si="54"/>
        <v>2012</v>
      </c>
      <c r="D319" s="289">
        <v>2013</v>
      </c>
      <c r="E319" s="289">
        <v>2014</v>
      </c>
      <c r="F319" s="289">
        <v>2015</v>
      </c>
      <c r="G319" s="288">
        <v>2016</v>
      </c>
      <c r="H319" s="289">
        <v>2017</v>
      </c>
      <c r="I319" s="289">
        <v>2018</v>
      </c>
      <c r="J319" s="289">
        <v>2019</v>
      </c>
      <c r="K319" s="288">
        <v>2020</v>
      </c>
      <c r="L319" s="289">
        <v>2021</v>
      </c>
      <c r="M319" s="289">
        <v>2022</v>
      </c>
      <c r="N319" s="289">
        <v>2023</v>
      </c>
      <c r="O319" s="288">
        <v>2024</v>
      </c>
      <c r="P319" s="289">
        <v>2025</v>
      </c>
      <c r="Q319" s="289">
        <v>2026</v>
      </c>
      <c r="R319" s="289">
        <v>2027</v>
      </c>
      <c r="S319" s="288">
        <v>2028</v>
      </c>
      <c r="T319" s="289">
        <v>2029</v>
      </c>
      <c r="U319" s="289">
        <v>2030</v>
      </c>
      <c r="V319" s="289">
        <v>2031</v>
      </c>
      <c r="W319" s="288">
        <v>2032</v>
      </c>
      <c r="X319" s="289">
        <v>2033</v>
      </c>
      <c r="Y319" s="289">
        <v>2034</v>
      </c>
      <c r="Z319" s="289">
        <v>2035</v>
      </c>
      <c r="AA319" s="288">
        <v>2036</v>
      </c>
      <c r="AB319" s="289">
        <v>2037</v>
      </c>
      <c r="AC319" s="289">
        <v>2038</v>
      </c>
      <c r="AD319" s="289">
        <v>2039</v>
      </c>
      <c r="AE319" s="290">
        <v>2040</v>
      </c>
    </row>
    <row r="320" spans="1:31">
      <c r="A320" s="1711"/>
      <c r="B320" s="116">
        <v>0</v>
      </c>
      <c r="C320" s="313">
        <f>'CAR SEC'!P3</f>
        <v>1.2883584799999999</v>
      </c>
      <c r="D320" s="314">
        <v>0</v>
      </c>
      <c r="E320" s="314">
        <v>0</v>
      </c>
      <c r="F320" s="314">
        <v>0</v>
      </c>
      <c r="G320" s="314">
        <v>0</v>
      </c>
      <c r="H320" s="314">
        <v>0</v>
      </c>
      <c r="I320" s="314">
        <v>0</v>
      </c>
      <c r="J320" s="314">
        <v>0</v>
      </c>
      <c r="K320" s="314">
        <v>0</v>
      </c>
      <c r="L320" s="314">
        <v>0</v>
      </c>
      <c r="M320" s="314">
        <v>0</v>
      </c>
      <c r="N320" s="314">
        <v>0</v>
      </c>
      <c r="O320" s="314">
        <v>0</v>
      </c>
      <c r="P320" s="314">
        <v>0</v>
      </c>
      <c r="Q320" s="314">
        <v>0</v>
      </c>
      <c r="R320" s="314">
        <v>0</v>
      </c>
      <c r="S320" s="314">
        <v>0</v>
      </c>
      <c r="T320" s="314">
        <v>0</v>
      </c>
      <c r="U320" s="314">
        <v>0</v>
      </c>
      <c r="V320" s="314">
        <v>0</v>
      </c>
      <c r="W320" s="314">
        <v>0</v>
      </c>
      <c r="X320" s="314">
        <v>0</v>
      </c>
      <c r="Y320" s="314">
        <v>0</v>
      </c>
      <c r="Z320" s="314">
        <v>0</v>
      </c>
      <c r="AA320" s="314">
        <v>0</v>
      </c>
      <c r="AB320" s="314">
        <v>0</v>
      </c>
      <c r="AC320" s="314">
        <v>0</v>
      </c>
      <c r="AD320" s="314">
        <v>0</v>
      </c>
      <c r="AE320" s="315">
        <v>0</v>
      </c>
    </row>
    <row r="321" spans="1:31">
      <c r="A321" s="1711"/>
      <c r="B321" s="116">
        <v>1</v>
      </c>
      <c r="C321" s="316">
        <f>'CAR SEC'!P4</f>
        <v>1.2945760898876408</v>
      </c>
      <c r="D321" s="317">
        <f>C320</f>
        <v>1.2883584799999999</v>
      </c>
      <c r="E321" s="317">
        <f t="shared" ref="E321:T321" si="60">D320</f>
        <v>0</v>
      </c>
      <c r="F321" s="317">
        <f t="shared" si="60"/>
        <v>0</v>
      </c>
      <c r="G321" s="317">
        <f t="shared" si="60"/>
        <v>0</v>
      </c>
      <c r="H321" s="317">
        <f t="shared" si="60"/>
        <v>0</v>
      </c>
      <c r="I321" s="317">
        <f t="shared" si="60"/>
        <v>0</v>
      </c>
      <c r="J321" s="317">
        <f t="shared" si="60"/>
        <v>0</v>
      </c>
      <c r="K321" s="317">
        <f t="shared" si="60"/>
        <v>0</v>
      </c>
      <c r="L321" s="317">
        <f t="shared" si="60"/>
        <v>0</v>
      </c>
      <c r="M321" s="317">
        <f t="shared" si="60"/>
        <v>0</v>
      </c>
      <c r="N321" s="317">
        <f t="shared" si="60"/>
        <v>0</v>
      </c>
      <c r="O321" s="317">
        <f t="shared" si="60"/>
        <v>0</v>
      </c>
      <c r="P321" s="317">
        <f t="shared" si="60"/>
        <v>0</v>
      </c>
      <c r="Q321" s="317">
        <f t="shared" si="60"/>
        <v>0</v>
      </c>
      <c r="R321" s="317">
        <f t="shared" si="60"/>
        <v>0</v>
      </c>
      <c r="S321" s="317">
        <f t="shared" si="60"/>
        <v>0</v>
      </c>
      <c r="T321" s="317">
        <f t="shared" si="60"/>
        <v>0</v>
      </c>
      <c r="U321" s="317">
        <f t="shared" ref="T321:AE336" si="61">T320</f>
        <v>0</v>
      </c>
      <c r="V321" s="317">
        <f t="shared" si="61"/>
        <v>0</v>
      </c>
      <c r="W321" s="317">
        <f t="shared" si="61"/>
        <v>0</v>
      </c>
      <c r="X321" s="317">
        <f t="shared" si="61"/>
        <v>0</v>
      </c>
      <c r="Y321" s="317">
        <f t="shared" si="61"/>
        <v>0</v>
      </c>
      <c r="Z321" s="317">
        <f t="shared" si="61"/>
        <v>0</v>
      </c>
      <c r="AA321" s="317">
        <f t="shared" si="61"/>
        <v>0</v>
      </c>
      <c r="AB321" s="317">
        <f t="shared" si="61"/>
        <v>0</v>
      </c>
      <c r="AC321" s="317">
        <f t="shared" si="61"/>
        <v>0</v>
      </c>
      <c r="AD321" s="317">
        <f t="shared" si="61"/>
        <v>0</v>
      </c>
      <c r="AE321" s="318">
        <f t="shared" si="61"/>
        <v>0</v>
      </c>
    </row>
    <row r="322" spans="1:31">
      <c r="A322" s="1711"/>
      <c r="B322" s="116">
        <v>2</v>
      </c>
      <c r="C322" s="316">
        <f>'CAR SEC'!P5</f>
        <v>1.3004790963855424</v>
      </c>
      <c r="D322" s="317">
        <f t="shared" ref="D322:S337" si="62">C321</f>
        <v>1.2945760898876408</v>
      </c>
      <c r="E322" s="317">
        <f t="shared" si="62"/>
        <v>1.2883584799999999</v>
      </c>
      <c r="F322" s="317">
        <f t="shared" si="62"/>
        <v>0</v>
      </c>
      <c r="G322" s="317">
        <f t="shared" si="62"/>
        <v>0</v>
      </c>
      <c r="H322" s="317">
        <f t="shared" si="62"/>
        <v>0</v>
      </c>
      <c r="I322" s="317">
        <f t="shared" si="62"/>
        <v>0</v>
      </c>
      <c r="J322" s="317">
        <f t="shared" si="62"/>
        <v>0</v>
      </c>
      <c r="K322" s="317">
        <f t="shared" si="62"/>
        <v>0</v>
      </c>
      <c r="L322" s="317">
        <f t="shared" si="62"/>
        <v>0</v>
      </c>
      <c r="M322" s="317">
        <f t="shared" si="62"/>
        <v>0</v>
      </c>
      <c r="N322" s="317">
        <f t="shared" si="62"/>
        <v>0</v>
      </c>
      <c r="O322" s="317">
        <f t="shared" si="62"/>
        <v>0</v>
      </c>
      <c r="P322" s="317">
        <f t="shared" si="62"/>
        <v>0</v>
      </c>
      <c r="Q322" s="317">
        <f t="shared" si="62"/>
        <v>0</v>
      </c>
      <c r="R322" s="317">
        <f t="shared" si="62"/>
        <v>0</v>
      </c>
      <c r="S322" s="317">
        <f t="shared" si="62"/>
        <v>0</v>
      </c>
      <c r="T322" s="317">
        <f t="shared" si="61"/>
        <v>0</v>
      </c>
      <c r="U322" s="317">
        <f t="shared" si="61"/>
        <v>0</v>
      </c>
      <c r="V322" s="317">
        <f t="shared" si="61"/>
        <v>0</v>
      </c>
      <c r="W322" s="317">
        <f t="shared" si="61"/>
        <v>0</v>
      </c>
      <c r="X322" s="317">
        <f t="shared" si="61"/>
        <v>0</v>
      </c>
      <c r="Y322" s="317">
        <f t="shared" si="61"/>
        <v>0</v>
      </c>
      <c r="Z322" s="317">
        <f t="shared" si="61"/>
        <v>0</v>
      </c>
      <c r="AA322" s="317">
        <f t="shared" si="61"/>
        <v>0</v>
      </c>
      <c r="AB322" s="317">
        <f t="shared" si="61"/>
        <v>0</v>
      </c>
      <c r="AC322" s="317">
        <f t="shared" si="61"/>
        <v>0</v>
      </c>
      <c r="AD322" s="317">
        <f t="shared" si="61"/>
        <v>0</v>
      </c>
      <c r="AE322" s="318">
        <f t="shared" si="61"/>
        <v>0</v>
      </c>
    </row>
    <row r="323" spans="1:31">
      <c r="A323" s="1711"/>
      <c r="B323" s="116">
        <v>3</v>
      </c>
      <c r="C323" s="316">
        <f>'CAR SEC'!P6</f>
        <v>1.2872000000000001</v>
      </c>
      <c r="D323" s="317">
        <f t="shared" si="62"/>
        <v>1.3004790963855424</v>
      </c>
      <c r="E323" s="317">
        <f t="shared" si="62"/>
        <v>1.2945760898876408</v>
      </c>
      <c r="F323" s="317">
        <f t="shared" si="62"/>
        <v>1.2883584799999999</v>
      </c>
      <c r="G323" s="317">
        <f t="shared" si="62"/>
        <v>0</v>
      </c>
      <c r="H323" s="317">
        <f t="shared" si="62"/>
        <v>0</v>
      </c>
      <c r="I323" s="317">
        <f t="shared" si="62"/>
        <v>0</v>
      </c>
      <c r="J323" s="317">
        <f t="shared" si="62"/>
        <v>0</v>
      </c>
      <c r="K323" s="317">
        <f t="shared" si="62"/>
        <v>0</v>
      </c>
      <c r="L323" s="317">
        <f t="shared" si="62"/>
        <v>0</v>
      </c>
      <c r="M323" s="317">
        <f t="shared" si="62"/>
        <v>0</v>
      </c>
      <c r="N323" s="317">
        <f t="shared" si="62"/>
        <v>0</v>
      </c>
      <c r="O323" s="317">
        <f t="shared" si="62"/>
        <v>0</v>
      </c>
      <c r="P323" s="317">
        <f t="shared" si="62"/>
        <v>0</v>
      </c>
      <c r="Q323" s="317">
        <f t="shared" si="62"/>
        <v>0</v>
      </c>
      <c r="R323" s="317">
        <f t="shared" si="62"/>
        <v>0</v>
      </c>
      <c r="S323" s="317">
        <f t="shared" si="62"/>
        <v>0</v>
      </c>
      <c r="T323" s="317">
        <f t="shared" si="61"/>
        <v>0</v>
      </c>
      <c r="U323" s="317">
        <f t="shared" si="61"/>
        <v>0</v>
      </c>
      <c r="V323" s="317">
        <f t="shared" si="61"/>
        <v>0</v>
      </c>
      <c r="W323" s="317">
        <f t="shared" si="61"/>
        <v>0</v>
      </c>
      <c r="X323" s="317">
        <f t="shared" si="61"/>
        <v>0</v>
      </c>
      <c r="Y323" s="317">
        <f t="shared" si="61"/>
        <v>0</v>
      </c>
      <c r="Z323" s="317">
        <f t="shared" si="61"/>
        <v>0</v>
      </c>
      <c r="AA323" s="317">
        <f t="shared" si="61"/>
        <v>0</v>
      </c>
      <c r="AB323" s="317">
        <f t="shared" si="61"/>
        <v>0</v>
      </c>
      <c r="AC323" s="317">
        <f t="shared" si="61"/>
        <v>0</v>
      </c>
      <c r="AD323" s="317">
        <f t="shared" si="61"/>
        <v>0</v>
      </c>
      <c r="AE323" s="318">
        <f t="shared" si="61"/>
        <v>0</v>
      </c>
    </row>
    <row r="324" spans="1:31">
      <c r="A324" s="1711"/>
      <c r="B324" s="116">
        <v>4</v>
      </c>
      <c r="C324" s="316">
        <f>'CAR SEC'!P7</f>
        <v>1.2872000000000001</v>
      </c>
      <c r="D324" s="317">
        <f t="shared" si="62"/>
        <v>1.2872000000000001</v>
      </c>
      <c r="E324" s="317">
        <f t="shared" si="62"/>
        <v>1.3004790963855424</v>
      </c>
      <c r="F324" s="317">
        <f t="shared" si="62"/>
        <v>1.2945760898876408</v>
      </c>
      <c r="G324" s="317">
        <f t="shared" si="62"/>
        <v>1.2883584799999999</v>
      </c>
      <c r="H324" s="317">
        <f t="shared" si="62"/>
        <v>0</v>
      </c>
      <c r="I324" s="317">
        <f t="shared" si="62"/>
        <v>0</v>
      </c>
      <c r="J324" s="317">
        <f t="shared" si="62"/>
        <v>0</v>
      </c>
      <c r="K324" s="317">
        <f t="shared" si="62"/>
        <v>0</v>
      </c>
      <c r="L324" s="317">
        <f t="shared" si="62"/>
        <v>0</v>
      </c>
      <c r="M324" s="317">
        <f t="shared" si="62"/>
        <v>0</v>
      </c>
      <c r="N324" s="317">
        <f t="shared" si="62"/>
        <v>0</v>
      </c>
      <c r="O324" s="317">
        <f t="shared" si="62"/>
        <v>0</v>
      </c>
      <c r="P324" s="317">
        <f t="shared" si="62"/>
        <v>0</v>
      </c>
      <c r="Q324" s="317">
        <f t="shared" si="62"/>
        <v>0</v>
      </c>
      <c r="R324" s="317">
        <f t="shared" si="62"/>
        <v>0</v>
      </c>
      <c r="S324" s="317">
        <f t="shared" si="62"/>
        <v>0</v>
      </c>
      <c r="T324" s="317">
        <f t="shared" si="61"/>
        <v>0</v>
      </c>
      <c r="U324" s="317">
        <f t="shared" si="61"/>
        <v>0</v>
      </c>
      <c r="V324" s="317">
        <f t="shared" si="61"/>
        <v>0</v>
      </c>
      <c r="W324" s="317">
        <f t="shared" si="61"/>
        <v>0</v>
      </c>
      <c r="X324" s="317">
        <f t="shared" si="61"/>
        <v>0</v>
      </c>
      <c r="Y324" s="317">
        <f t="shared" si="61"/>
        <v>0</v>
      </c>
      <c r="Z324" s="317">
        <f t="shared" si="61"/>
        <v>0</v>
      </c>
      <c r="AA324" s="317">
        <f t="shared" si="61"/>
        <v>0</v>
      </c>
      <c r="AB324" s="317">
        <f t="shared" si="61"/>
        <v>0</v>
      </c>
      <c r="AC324" s="317">
        <f t="shared" si="61"/>
        <v>0</v>
      </c>
      <c r="AD324" s="317">
        <f t="shared" si="61"/>
        <v>0</v>
      </c>
      <c r="AE324" s="318">
        <f t="shared" si="61"/>
        <v>0</v>
      </c>
    </row>
    <row r="325" spans="1:31">
      <c r="A325" s="1711"/>
      <c r="B325" s="116">
        <v>5</v>
      </c>
      <c r="C325" s="316">
        <f>'CAR SEC'!P8</f>
        <v>1.609</v>
      </c>
      <c r="D325" s="317">
        <f t="shared" si="62"/>
        <v>1.2872000000000001</v>
      </c>
      <c r="E325" s="317">
        <f t="shared" si="62"/>
        <v>1.2872000000000001</v>
      </c>
      <c r="F325" s="317">
        <f t="shared" si="62"/>
        <v>1.3004790963855424</v>
      </c>
      <c r="G325" s="317">
        <f t="shared" si="62"/>
        <v>1.2945760898876408</v>
      </c>
      <c r="H325" s="317">
        <f t="shared" si="62"/>
        <v>1.2883584799999999</v>
      </c>
      <c r="I325" s="317">
        <f t="shared" si="62"/>
        <v>0</v>
      </c>
      <c r="J325" s="317">
        <f t="shared" si="62"/>
        <v>0</v>
      </c>
      <c r="K325" s="317">
        <f t="shared" si="62"/>
        <v>0</v>
      </c>
      <c r="L325" s="317">
        <f t="shared" si="62"/>
        <v>0</v>
      </c>
      <c r="M325" s="317">
        <f t="shared" si="62"/>
        <v>0</v>
      </c>
      <c r="N325" s="317">
        <f t="shared" si="62"/>
        <v>0</v>
      </c>
      <c r="O325" s="317">
        <f t="shared" si="62"/>
        <v>0</v>
      </c>
      <c r="P325" s="317">
        <f t="shared" si="62"/>
        <v>0</v>
      </c>
      <c r="Q325" s="317">
        <f t="shared" si="62"/>
        <v>0</v>
      </c>
      <c r="R325" s="317">
        <f t="shared" si="62"/>
        <v>0</v>
      </c>
      <c r="S325" s="317">
        <f t="shared" si="62"/>
        <v>0</v>
      </c>
      <c r="T325" s="317">
        <f t="shared" si="61"/>
        <v>0</v>
      </c>
      <c r="U325" s="317">
        <f t="shared" si="61"/>
        <v>0</v>
      </c>
      <c r="V325" s="317">
        <f t="shared" si="61"/>
        <v>0</v>
      </c>
      <c r="W325" s="317">
        <f t="shared" si="61"/>
        <v>0</v>
      </c>
      <c r="X325" s="317">
        <f t="shared" si="61"/>
        <v>0</v>
      </c>
      <c r="Y325" s="317">
        <f t="shared" si="61"/>
        <v>0</v>
      </c>
      <c r="Z325" s="317">
        <f t="shared" si="61"/>
        <v>0</v>
      </c>
      <c r="AA325" s="317">
        <f t="shared" si="61"/>
        <v>0</v>
      </c>
      <c r="AB325" s="317">
        <f t="shared" si="61"/>
        <v>0</v>
      </c>
      <c r="AC325" s="317">
        <f t="shared" si="61"/>
        <v>0</v>
      </c>
      <c r="AD325" s="317">
        <f t="shared" si="61"/>
        <v>0</v>
      </c>
      <c r="AE325" s="318">
        <f t="shared" si="61"/>
        <v>0</v>
      </c>
    </row>
    <row r="326" spans="1:31">
      <c r="A326" s="1711"/>
      <c r="B326" s="116">
        <v>6</v>
      </c>
      <c r="C326" s="316">
        <f>'CAR SEC'!P9</f>
        <v>1.9308000000000001</v>
      </c>
      <c r="D326" s="317">
        <f t="shared" si="62"/>
        <v>1.609</v>
      </c>
      <c r="E326" s="317">
        <f t="shared" si="62"/>
        <v>1.2872000000000001</v>
      </c>
      <c r="F326" s="317">
        <f t="shared" si="62"/>
        <v>1.2872000000000001</v>
      </c>
      <c r="G326" s="317">
        <f t="shared" si="62"/>
        <v>1.3004790963855424</v>
      </c>
      <c r="H326" s="317">
        <f t="shared" si="62"/>
        <v>1.2945760898876408</v>
      </c>
      <c r="I326" s="317">
        <f t="shared" si="62"/>
        <v>1.2883584799999999</v>
      </c>
      <c r="J326" s="317">
        <f t="shared" si="62"/>
        <v>0</v>
      </c>
      <c r="K326" s="317">
        <f t="shared" si="62"/>
        <v>0</v>
      </c>
      <c r="L326" s="317">
        <f t="shared" si="62"/>
        <v>0</v>
      </c>
      <c r="M326" s="317">
        <f t="shared" si="62"/>
        <v>0</v>
      </c>
      <c r="N326" s="317">
        <f t="shared" si="62"/>
        <v>0</v>
      </c>
      <c r="O326" s="317">
        <f t="shared" si="62"/>
        <v>0</v>
      </c>
      <c r="P326" s="317">
        <f t="shared" si="62"/>
        <v>0</v>
      </c>
      <c r="Q326" s="317">
        <f t="shared" si="62"/>
        <v>0</v>
      </c>
      <c r="R326" s="317">
        <f t="shared" si="62"/>
        <v>0</v>
      </c>
      <c r="S326" s="317">
        <f t="shared" si="62"/>
        <v>0</v>
      </c>
      <c r="T326" s="317">
        <f t="shared" si="61"/>
        <v>0</v>
      </c>
      <c r="U326" s="317">
        <f t="shared" si="61"/>
        <v>0</v>
      </c>
      <c r="V326" s="317">
        <f t="shared" si="61"/>
        <v>0</v>
      </c>
      <c r="W326" s="317">
        <f t="shared" si="61"/>
        <v>0</v>
      </c>
      <c r="X326" s="317">
        <f t="shared" si="61"/>
        <v>0</v>
      </c>
      <c r="Y326" s="317">
        <f t="shared" si="61"/>
        <v>0</v>
      </c>
      <c r="Z326" s="317">
        <f t="shared" si="61"/>
        <v>0</v>
      </c>
      <c r="AA326" s="317">
        <f t="shared" si="61"/>
        <v>0</v>
      </c>
      <c r="AB326" s="317">
        <f t="shared" si="61"/>
        <v>0</v>
      </c>
      <c r="AC326" s="317">
        <f t="shared" si="61"/>
        <v>0</v>
      </c>
      <c r="AD326" s="317">
        <f t="shared" si="61"/>
        <v>0</v>
      </c>
      <c r="AE326" s="318">
        <f t="shared" si="61"/>
        <v>0</v>
      </c>
    </row>
    <row r="327" spans="1:31">
      <c r="A327" s="1711"/>
      <c r="B327" s="116">
        <v>7</v>
      </c>
      <c r="C327" s="316">
        <v>0</v>
      </c>
      <c r="D327" s="317">
        <f t="shared" si="62"/>
        <v>1.9308000000000001</v>
      </c>
      <c r="E327" s="317">
        <f t="shared" si="62"/>
        <v>1.609</v>
      </c>
      <c r="F327" s="317">
        <f t="shared" si="62"/>
        <v>1.2872000000000001</v>
      </c>
      <c r="G327" s="317">
        <f t="shared" si="62"/>
        <v>1.2872000000000001</v>
      </c>
      <c r="H327" s="317">
        <f t="shared" si="62"/>
        <v>1.3004790963855424</v>
      </c>
      <c r="I327" s="317">
        <f t="shared" si="62"/>
        <v>1.2945760898876408</v>
      </c>
      <c r="J327" s="317">
        <f t="shared" si="62"/>
        <v>1.2883584799999999</v>
      </c>
      <c r="K327" s="317">
        <f t="shared" si="62"/>
        <v>0</v>
      </c>
      <c r="L327" s="317">
        <f t="shared" si="62"/>
        <v>0</v>
      </c>
      <c r="M327" s="317">
        <f t="shared" si="62"/>
        <v>0</v>
      </c>
      <c r="N327" s="317">
        <f t="shared" si="62"/>
        <v>0</v>
      </c>
      <c r="O327" s="317">
        <f t="shared" si="62"/>
        <v>0</v>
      </c>
      <c r="P327" s="317">
        <f t="shared" si="62"/>
        <v>0</v>
      </c>
      <c r="Q327" s="317">
        <f t="shared" si="62"/>
        <v>0</v>
      </c>
      <c r="R327" s="317">
        <f t="shared" si="62"/>
        <v>0</v>
      </c>
      <c r="S327" s="317">
        <f t="shared" si="62"/>
        <v>0</v>
      </c>
      <c r="T327" s="317">
        <f t="shared" si="61"/>
        <v>0</v>
      </c>
      <c r="U327" s="317">
        <f t="shared" si="61"/>
        <v>0</v>
      </c>
      <c r="V327" s="317">
        <f t="shared" si="61"/>
        <v>0</v>
      </c>
      <c r="W327" s="317">
        <f t="shared" si="61"/>
        <v>0</v>
      </c>
      <c r="X327" s="317">
        <f t="shared" si="61"/>
        <v>0</v>
      </c>
      <c r="Y327" s="317">
        <f t="shared" si="61"/>
        <v>0</v>
      </c>
      <c r="Z327" s="317">
        <f t="shared" si="61"/>
        <v>0</v>
      </c>
      <c r="AA327" s="317">
        <f t="shared" si="61"/>
        <v>0</v>
      </c>
      <c r="AB327" s="317">
        <f t="shared" si="61"/>
        <v>0</v>
      </c>
      <c r="AC327" s="317">
        <f t="shared" si="61"/>
        <v>0</v>
      </c>
      <c r="AD327" s="317">
        <f t="shared" si="61"/>
        <v>0</v>
      </c>
      <c r="AE327" s="318">
        <f t="shared" si="61"/>
        <v>0</v>
      </c>
    </row>
    <row r="328" spans="1:31">
      <c r="A328" s="1711"/>
      <c r="B328" s="116">
        <v>8</v>
      </c>
      <c r="C328" s="316">
        <v>0</v>
      </c>
      <c r="D328" s="317">
        <f t="shared" si="62"/>
        <v>0</v>
      </c>
      <c r="E328" s="317">
        <f t="shared" si="62"/>
        <v>1.9308000000000001</v>
      </c>
      <c r="F328" s="317">
        <f t="shared" si="62"/>
        <v>1.609</v>
      </c>
      <c r="G328" s="317">
        <f t="shared" si="62"/>
        <v>1.2872000000000001</v>
      </c>
      <c r="H328" s="317">
        <f t="shared" si="62"/>
        <v>1.2872000000000001</v>
      </c>
      <c r="I328" s="317">
        <f t="shared" si="62"/>
        <v>1.3004790963855424</v>
      </c>
      <c r="J328" s="317">
        <f t="shared" si="62"/>
        <v>1.2945760898876408</v>
      </c>
      <c r="K328" s="317">
        <f t="shared" si="62"/>
        <v>1.2883584799999999</v>
      </c>
      <c r="L328" s="317">
        <f t="shared" si="62"/>
        <v>0</v>
      </c>
      <c r="M328" s="317">
        <f t="shared" si="62"/>
        <v>0</v>
      </c>
      <c r="N328" s="317">
        <f t="shared" si="62"/>
        <v>0</v>
      </c>
      <c r="O328" s="317">
        <f t="shared" si="62"/>
        <v>0</v>
      </c>
      <c r="P328" s="317">
        <f t="shared" si="62"/>
        <v>0</v>
      </c>
      <c r="Q328" s="317">
        <f t="shared" si="62"/>
        <v>0</v>
      </c>
      <c r="R328" s="317">
        <f t="shared" si="62"/>
        <v>0</v>
      </c>
      <c r="S328" s="317">
        <f t="shared" si="62"/>
        <v>0</v>
      </c>
      <c r="T328" s="317">
        <f t="shared" si="61"/>
        <v>0</v>
      </c>
      <c r="U328" s="317">
        <f t="shared" si="61"/>
        <v>0</v>
      </c>
      <c r="V328" s="317">
        <f t="shared" si="61"/>
        <v>0</v>
      </c>
      <c r="W328" s="317">
        <f t="shared" si="61"/>
        <v>0</v>
      </c>
      <c r="X328" s="317">
        <f t="shared" si="61"/>
        <v>0</v>
      </c>
      <c r="Y328" s="317">
        <f t="shared" si="61"/>
        <v>0</v>
      </c>
      <c r="Z328" s="317">
        <f t="shared" si="61"/>
        <v>0</v>
      </c>
      <c r="AA328" s="317">
        <f t="shared" si="61"/>
        <v>0</v>
      </c>
      <c r="AB328" s="317">
        <f t="shared" si="61"/>
        <v>0</v>
      </c>
      <c r="AC328" s="317">
        <f t="shared" si="61"/>
        <v>0</v>
      </c>
      <c r="AD328" s="317">
        <f t="shared" si="61"/>
        <v>0</v>
      </c>
      <c r="AE328" s="318">
        <f t="shared" si="61"/>
        <v>0</v>
      </c>
    </row>
    <row r="329" spans="1:31">
      <c r="A329" s="1711"/>
      <c r="B329" s="116">
        <v>9</v>
      </c>
      <c r="C329" s="316">
        <v>0</v>
      </c>
      <c r="D329" s="317">
        <f t="shared" si="62"/>
        <v>0</v>
      </c>
      <c r="E329" s="317">
        <f t="shared" si="62"/>
        <v>0</v>
      </c>
      <c r="F329" s="317">
        <f t="shared" si="62"/>
        <v>1.9308000000000001</v>
      </c>
      <c r="G329" s="317">
        <f t="shared" si="62"/>
        <v>1.609</v>
      </c>
      <c r="H329" s="317">
        <f t="shared" si="62"/>
        <v>1.2872000000000001</v>
      </c>
      <c r="I329" s="317">
        <f t="shared" si="62"/>
        <v>1.2872000000000001</v>
      </c>
      <c r="J329" s="317">
        <f t="shared" si="62"/>
        <v>1.3004790963855424</v>
      </c>
      <c r="K329" s="317">
        <f t="shared" si="62"/>
        <v>1.2945760898876408</v>
      </c>
      <c r="L329" s="317">
        <f t="shared" si="62"/>
        <v>1.2883584799999999</v>
      </c>
      <c r="M329" s="317">
        <f t="shared" si="62"/>
        <v>0</v>
      </c>
      <c r="N329" s="317">
        <f t="shared" si="62"/>
        <v>0</v>
      </c>
      <c r="O329" s="317">
        <f t="shared" si="62"/>
        <v>0</v>
      </c>
      <c r="P329" s="317">
        <f t="shared" si="62"/>
        <v>0</v>
      </c>
      <c r="Q329" s="317">
        <f t="shared" si="62"/>
        <v>0</v>
      </c>
      <c r="R329" s="317">
        <f t="shared" si="62"/>
        <v>0</v>
      </c>
      <c r="S329" s="317">
        <f t="shared" si="62"/>
        <v>0</v>
      </c>
      <c r="T329" s="317">
        <f t="shared" si="61"/>
        <v>0</v>
      </c>
      <c r="U329" s="317">
        <f t="shared" si="61"/>
        <v>0</v>
      </c>
      <c r="V329" s="317">
        <f t="shared" si="61"/>
        <v>0</v>
      </c>
      <c r="W329" s="317">
        <f t="shared" si="61"/>
        <v>0</v>
      </c>
      <c r="X329" s="317">
        <f t="shared" si="61"/>
        <v>0</v>
      </c>
      <c r="Y329" s="317">
        <f t="shared" si="61"/>
        <v>0</v>
      </c>
      <c r="Z329" s="317">
        <f t="shared" si="61"/>
        <v>0</v>
      </c>
      <c r="AA329" s="317">
        <f t="shared" si="61"/>
        <v>0</v>
      </c>
      <c r="AB329" s="317">
        <f t="shared" si="61"/>
        <v>0</v>
      </c>
      <c r="AC329" s="317">
        <f t="shared" si="61"/>
        <v>0</v>
      </c>
      <c r="AD329" s="317">
        <f t="shared" si="61"/>
        <v>0</v>
      </c>
      <c r="AE329" s="318">
        <f t="shared" si="61"/>
        <v>0</v>
      </c>
    </row>
    <row r="330" spans="1:31">
      <c r="A330" s="1711"/>
      <c r="B330" s="116">
        <v>10</v>
      </c>
      <c r="C330" s="316">
        <v>0</v>
      </c>
      <c r="D330" s="317">
        <f t="shared" si="62"/>
        <v>0</v>
      </c>
      <c r="E330" s="317">
        <f t="shared" si="62"/>
        <v>0</v>
      </c>
      <c r="F330" s="317">
        <f t="shared" si="62"/>
        <v>0</v>
      </c>
      <c r="G330" s="317">
        <f t="shared" si="62"/>
        <v>1.9308000000000001</v>
      </c>
      <c r="H330" s="317">
        <f t="shared" si="62"/>
        <v>1.609</v>
      </c>
      <c r="I330" s="317">
        <f t="shared" si="62"/>
        <v>1.2872000000000001</v>
      </c>
      <c r="J330" s="317">
        <f t="shared" si="62"/>
        <v>1.2872000000000001</v>
      </c>
      <c r="K330" s="317">
        <f t="shared" si="62"/>
        <v>1.3004790963855424</v>
      </c>
      <c r="L330" s="317">
        <f t="shared" si="62"/>
        <v>1.2945760898876408</v>
      </c>
      <c r="M330" s="317">
        <f t="shared" si="62"/>
        <v>1.2883584799999999</v>
      </c>
      <c r="N330" s="317">
        <f t="shared" si="62"/>
        <v>0</v>
      </c>
      <c r="O330" s="317">
        <f t="shared" si="62"/>
        <v>0</v>
      </c>
      <c r="P330" s="317">
        <f t="shared" si="62"/>
        <v>0</v>
      </c>
      <c r="Q330" s="317">
        <f t="shared" si="62"/>
        <v>0</v>
      </c>
      <c r="R330" s="317">
        <f t="shared" si="62"/>
        <v>0</v>
      </c>
      <c r="S330" s="317">
        <f t="shared" si="62"/>
        <v>0</v>
      </c>
      <c r="T330" s="317">
        <f t="shared" si="61"/>
        <v>0</v>
      </c>
      <c r="U330" s="317">
        <f t="shared" si="61"/>
        <v>0</v>
      </c>
      <c r="V330" s="317">
        <f t="shared" si="61"/>
        <v>0</v>
      </c>
      <c r="W330" s="317">
        <f t="shared" si="61"/>
        <v>0</v>
      </c>
      <c r="X330" s="317">
        <f t="shared" si="61"/>
        <v>0</v>
      </c>
      <c r="Y330" s="317">
        <f t="shared" si="61"/>
        <v>0</v>
      </c>
      <c r="Z330" s="317">
        <f t="shared" si="61"/>
        <v>0</v>
      </c>
      <c r="AA330" s="317">
        <f t="shared" si="61"/>
        <v>0</v>
      </c>
      <c r="AB330" s="317">
        <f t="shared" si="61"/>
        <v>0</v>
      </c>
      <c r="AC330" s="317">
        <f t="shared" si="61"/>
        <v>0</v>
      </c>
      <c r="AD330" s="317">
        <f t="shared" si="61"/>
        <v>0</v>
      </c>
      <c r="AE330" s="318">
        <f t="shared" si="61"/>
        <v>0</v>
      </c>
    </row>
    <row r="331" spans="1:31">
      <c r="A331" s="1711"/>
      <c r="B331" s="116">
        <v>11</v>
      </c>
      <c r="C331" s="316">
        <v>0</v>
      </c>
      <c r="D331" s="317">
        <f t="shared" si="62"/>
        <v>0</v>
      </c>
      <c r="E331" s="317">
        <f t="shared" si="62"/>
        <v>0</v>
      </c>
      <c r="F331" s="317">
        <f t="shared" si="62"/>
        <v>0</v>
      </c>
      <c r="G331" s="317">
        <f t="shared" si="62"/>
        <v>0</v>
      </c>
      <c r="H331" s="317">
        <f t="shared" si="62"/>
        <v>1.9308000000000001</v>
      </c>
      <c r="I331" s="317">
        <f t="shared" si="62"/>
        <v>1.609</v>
      </c>
      <c r="J331" s="317">
        <f t="shared" si="62"/>
        <v>1.2872000000000001</v>
      </c>
      <c r="K331" s="317">
        <f t="shared" si="62"/>
        <v>1.2872000000000001</v>
      </c>
      <c r="L331" s="317">
        <f t="shared" si="62"/>
        <v>1.3004790963855424</v>
      </c>
      <c r="M331" s="317">
        <f t="shared" si="62"/>
        <v>1.2945760898876408</v>
      </c>
      <c r="N331" s="317">
        <f t="shared" si="62"/>
        <v>1.2883584799999999</v>
      </c>
      <c r="O331" s="317">
        <f t="shared" si="62"/>
        <v>0</v>
      </c>
      <c r="P331" s="317">
        <f t="shared" si="62"/>
        <v>0</v>
      </c>
      <c r="Q331" s="317">
        <f t="shared" si="62"/>
        <v>0</v>
      </c>
      <c r="R331" s="317">
        <f t="shared" si="62"/>
        <v>0</v>
      </c>
      <c r="S331" s="317">
        <f t="shared" si="62"/>
        <v>0</v>
      </c>
      <c r="T331" s="317">
        <f t="shared" si="61"/>
        <v>0</v>
      </c>
      <c r="U331" s="317">
        <f t="shared" si="61"/>
        <v>0</v>
      </c>
      <c r="V331" s="317">
        <f t="shared" si="61"/>
        <v>0</v>
      </c>
      <c r="W331" s="317">
        <f t="shared" si="61"/>
        <v>0</v>
      </c>
      <c r="X331" s="317">
        <f t="shared" si="61"/>
        <v>0</v>
      </c>
      <c r="Y331" s="317">
        <f t="shared" si="61"/>
        <v>0</v>
      </c>
      <c r="Z331" s="317">
        <f t="shared" si="61"/>
        <v>0</v>
      </c>
      <c r="AA331" s="317">
        <f t="shared" si="61"/>
        <v>0</v>
      </c>
      <c r="AB331" s="317">
        <f t="shared" si="61"/>
        <v>0</v>
      </c>
      <c r="AC331" s="317">
        <f t="shared" si="61"/>
        <v>0</v>
      </c>
      <c r="AD331" s="317">
        <f t="shared" si="61"/>
        <v>0</v>
      </c>
      <c r="AE331" s="318">
        <f t="shared" si="61"/>
        <v>0</v>
      </c>
    </row>
    <row r="332" spans="1:31">
      <c r="A332" s="1711"/>
      <c r="B332" s="116">
        <v>12</v>
      </c>
      <c r="C332" s="316">
        <v>0</v>
      </c>
      <c r="D332" s="317">
        <f t="shared" si="62"/>
        <v>0</v>
      </c>
      <c r="E332" s="317">
        <f t="shared" si="62"/>
        <v>0</v>
      </c>
      <c r="F332" s="317">
        <f t="shared" si="62"/>
        <v>0</v>
      </c>
      <c r="G332" s="317">
        <f t="shared" si="62"/>
        <v>0</v>
      </c>
      <c r="H332" s="317">
        <f t="shared" si="62"/>
        <v>0</v>
      </c>
      <c r="I332" s="317">
        <f t="shared" si="62"/>
        <v>1.9308000000000001</v>
      </c>
      <c r="J332" s="317">
        <f t="shared" si="62"/>
        <v>1.609</v>
      </c>
      <c r="K332" s="317">
        <f t="shared" si="62"/>
        <v>1.2872000000000001</v>
      </c>
      <c r="L332" s="317">
        <f t="shared" si="62"/>
        <v>1.2872000000000001</v>
      </c>
      <c r="M332" s="317">
        <f t="shared" si="62"/>
        <v>1.3004790963855424</v>
      </c>
      <c r="N332" s="317">
        <f t="shared" si="62"/>
        <v>1.2945760898876408</v>
      </c>
      <c r="O332" s="317">
        <f t="shared" si="62"/>
        <v>1.2883584799999999</v>
      </c>
      <c r="P332" s="317">
        <f t="shared" si="62"/>
        <v>0</v>
      </c>
      <c r="Q332" s="317">
        <f t="shared" si="62"/>
        <v>0</v>
      </c>
      <c r="R332" s="317">
        <f t="shared" si="62"/>
        <v>0</v>
      </c>
      <c r="S332" s="317">
        <f t="shared" si="62"/>
        <v>0</v>
      </c>
      <c r="T332" s="317">
        <f t="shared" si="61"/>
        <v>0</v>
      </c>
      <c r="U332" s="317">
        <f t="shared" si="61"/>
        <v>0</v>
      </c>
      <c r="V332" s="317">
        <f t="shared" si="61"/>
        <v>0</v>
      </c>
      <c r="W332" s="317">
        <f t="shared" si="61"/>
        <v>0</v>
      </c>
      <c r="X332" s="317">
        <f t="shared" si="61"/>
        <v>0</v>
      </c>
      <c r="Y332" s="317">
        <f t="shared" si="61"/>
        <v>0</v>
      </c>
      <c r="Z332" s="317">
        <f t="shared" si="61"/>
        <v>0</v>
      </c>
      <c r="AA332" s="317">
        <f t="shared" si="61"/>
        <v>0</v>
      </c>
      <c r="AB332" s="317">
        <f t="shared" si="61"/>
        <v>0</v>
      </c>
      <c r="AC332" s="317">
        <f t="shared" si="61"/>
        <v>0</v>
      </c>
      <c r="AD332" s="317">
        <f t="shared" si="61"/>
        <v>0</v>
      </c>
      <c r="AE332" s="318">
        <f t="shared" si="61"/>
        <v>0</v>
      </c>
    </row>
    <row r="333" spans="1:31">
      <c r="A333" s="1711"/>
      <c r="B333" s="116">
        <v>13</v>
      </c>
      <c r="C333" s="316">
        <v>0</v>
      </c>
      <c r="D333" s="317">
        <f t="shared" si="62"/>
        <v>0</v>
      </c>
      <c r="E333" s="317">
        <f t="shared" si="62"/>
        <v>0</v>
      </c>
      <c r="F333" s="317">
        <f t="shared" si="62"/>
        <v>0</v>
      </c>
      <c r="G333" s="317">
        <f t="shared" si="62"/>
        <v>0</v>
      </c>
      <c r="H333" s="317">
        <f t="shared" si="62"/>
        <v>0</v>
      </c>
      <c r="I333" s="317">
        <f t="shared" si="62"/>
        <v>0</v>
      </c>
      <c r="J333" s="317">
        <f t="shared" si="62"/>
        <v>1.9308000000000001</v>
      </c>
      <c r="K333" s="317">
        <f t="shared" si="62"/>
        <v>1.609</v>
      </c>
      <c r="L333" s="317">
        <f t="shared" si="62"/>
        <v>1.2872000000000001</v>
      </c>
      <c r="M333" s="317">
        <f t="shared" si="62"/>
        <v>1.2872000000000001</v>
      </c>
      <c r="N333" s="317">
        <f t="shared" si="62"/>
        <v>1.3004790963855424</v>
      </c>
      <c r="O333" s="317">
        <f t="shared" si="62"/>
        <v>1.2945760898876408</v>
      </c>
      <c r="P333" s="317">
        <f t="shared" si="62"/>
        <v>1.2883584799999999</v>
      </c>
      <c r="Q333" s="317">
        <f t="shared" si="62"/>
        <v>0</v>
      </c>
      <c r="R333" s="317">
        <f t="shared" si="62"/>
        <v>0</v>
      </c>
      <c r="S333" s="317">
        <f t="shared" si="62"/>
        <v>0</v>
      </c>
      <c r="T333" s="317">
        <f t="shared" si="61"/>
        <v>0</v>
      </c>
      <c r="U333" s="317">
        <f t="shared" si="61"/>
        <v>0</v>
      </c>
      <c r="V333" s="317">
        <f t="shared" si="61"/>
        <v>0</v>
      </c>
      <c r="W333" s="317">
        <f t="shared" si="61"/>
        <v>0</v>
      </c>
      <c r="X333" s="317">
        <f t="shared" si="61"/>
        <v>0</v>
      </c>
      <c r="Y333" s="317">
        <f t="shared" si="61"/>
        <v>0</v>
      </c>
      <c r="Z333" s="317">
        <f t="shared" si="61"/>
        <v>0</v>
      </c>
      <c r="AA333" s="317">
        <f t="shared" si="61"/>
        <v>0</v>
      </c>
      <c r="AB333" s="317">
        <f t="shared" si="61"/>
        <v>0</v>
      </c>
      <c r="AC333" s="317">
        <f t="shared" si="61"/>
        <v>0</v>
      </c>
      <c r="AD333" s="317">
        <f t="shared" si="61"/>
        <v>0</v>
      </c>
      <c r="AE333" s="318">
        <f t="shared" si="61"/>
        <v>0</v>
      </c>
    </row>
    <row r="334" spans="1:31">
      <c r="A334" s="1711"/>
      <c r="B334" s="116">
        <v>14</v>
      </c>
      <c r="C334" s="316">
        <v>0</v>
      </c>
      <c r="D334" s="317">
        <f t="shared" si="62"/>
        <v>0</v>
      </c>
      <c r="E334" s="317">
        <f t="shared" si="62"/>
        <v>0</v>
      </c>
      <c r="F334" s="317">
        <f t="shared" si="62"/>
        <v>0</v>
      </c>
      <c r="G334" s="317">
        <f t="shared" si="62"/>
        <v>0</v>
      </c>
      <c r="H334" s="317">
        <f t="shared" si="62"/>
        <v>0</v>
      </c>
      <c r="I334" s="317">
        <f t="shared" si="62"/>
        <v>0</v>
      </c>
      <c r="J334" s="317">
        <f t="shared" si="62"/>
        <v>0</v>
      </c>
      <c r="K334" s="317">
        <f t="shared" si="62"/>
        <v>1.9308000000000001</v>
      </c>
      <c r="L334" s="317">
        <f t="shared" si="62"/>
        <v>1.609</v>
      </c>
      <c r="M334" s="317">
        <f t="shared" si="62"/>
        <v>1.2872000000000001</v>
      </c>
      <c r="N334" s="317">
        <f t="shared" si="62"/>
        <v>1.2872000000000001</v>
      </c>
      <c r="O334" s="317">
        <f t="shared" si="62"/>
        <v>1.3004790963855424</v>
      </c>
      <c r="P334" s="317">
        <f t="shared" si="62"/>
        <v>1.2945760898876408</v>
      </c>
      <c r="Q334" s="317">
        <f t="shared" si="62"/>
        <v>1.2883584799999999</v>
      </c>
      <c r="R334" s="317">
        <f t="shared" si="62"/>
        <v>0</v>
      </c>
      <c r="S334" s="317">
        <f t="shared" si="62"/>
        <v>0</v>
      </c>
      <c r="T334" s="317">
        <f t="shared" si="61"/>
        <v>0</v>
      </c>
      <c r="U334" s="317">
        <f t="shared" si="61"/>
        <v>0</v>
      </c>
      <c r="V334" s="317">
        <f t="shared" si="61"/>
        <v>0</v>
      </c>
      <c r="W334" s="317">
        <f t="shared" si="61"/>
        <v>0</v>
      </c>
      <c r="X334" s="317">
        <f t="shared" si="61"/>
        <v>0</v>
      </c>
      <c r="Y334" s="317">
        <f t="shared" si="61"/>
        <v>0</v>
      </c>
      <c r="Z334" s="317">
        <f t="shared" si="61"/>
        <v>0</v>
      </c>
      <c r="AA334" s="317">
        <f t="shared" si="61"/>
        <v>0</v>
      </c>
      <c r="AB334" s="317">
        <f t="shared" si="61"/>
        <v>0</v>
      </c>
      <c r="AC334" s="317">
        <f t="shared" si="61"/>
        <v>0</v>
      </c>
      <c r="AD334" s="317">
        <f t="shared" si="61"/>
        <v>0</v>
      </c>
      <c r="AE334" s="318">
        <f t="shared" si="61"/>
        <v>0</v>
      </c>
    </row>
    <row r="335" spans="1:31">
      <c r="A335" s="1711"/>
      <c r="B335" s="116">
        <v>15</v>
      </c>
      <c r="C335" s="316">
        <v>0</v>
      </c>
      <c r="D335" s="317">
        <f t="shared" si="62"/>
        <v>0</v>
      </c>
      <c r="E335" s="317">
        <f t="shared" si="62"/>
        <v>0</v>
      </c>
      <c r="F335" s="317">
        <f t="shared" si="62"/>
        <v>0</v>
      </c>
      <c r="G335" s="317">
        <f t="shared" si="62"/>
        <v>0</v>
      </c>
      <c r="H335" s="317">
        <f t="shared" si="62"/>
        <v>0</v>
      </c>
      <c r="I335" s="317">
        <f t="shared" si="62"/>
        <v>0</v>
      </c>
      <c r="J335" s="317">
        <f t="shared" si="62"/>
        <v>0</v>
      </c>
      <c r="K335" s="317">
        <f t="shared" si="62"/>
        <v>0</v>
      </c>
      <c r="L335" s="317">
        <f t="shared" si="62"/>
        <v>1.9308000000000001</v>
      </c>
      <c r="M335" s="317">
        <f t="shared" si="62"/>
        <v>1.609</v>
      </c>
      <c r="N335" s="317">
        <f t="shared" si="62"/>
        <v>1.2872000000000001</v>
      </c>
      <c r="O335" s="317">
        <f t="shared" si="62"/>
        <v>1.2872000000000001</v>
      </c>
      <c r="P335" s="317">
        <f t="shared" si="62"/>
        <v>1.3004790963855424</v>
      </c>
      <c r="Q335" s="317">
        <f t="shared" si="62"/>
        <v>1.2945760898876408</v>
      </c>
      <c r="R335" s="317">
        <f t="shared" si="62"/>
        <v>1.2883584799999999</v>
      </c>
      <c r="S335" s="317">
        <f t="shared" si="62"/>
        <v>0</v>
      </c>
      <c r="T335" s="317">
        <f t="shared" si="61"/>
        <v>0</v>
      </c>
      <c r="U335" s="317">
        <f t="shared" si="61"/>
        <v>0</v>
      </c>
      <c r="V335" s="317">
        <f t="shared" si="61"/>
        <v>0</v>
      </c>
      <c r="W335" s="317">
        <f t="shared" si="61"/>
        <v>0</v>
      </c>
      <c r="X335" s="317">
        <f t="shared" si="61"/>
        <v>0</v>
      </c>
      <c r="Y335" s="317">
        <f t="shared" si="61"/>
        <v>0</v>
      </c>
      <c r="Z335" s="317">
        <f t="shared" si="61"/>
        <v>0</v>
      </c>
      <c r="AA335" s="317">
        <f t="shared" si="61"/>
        <v>0</v>
      </c>
      <c r="AB335" s="317">
        <f t="shared" si="61"/>
        <v>0</v>
      </c>
      <c r="AC335" s="317">
        <f t="shared" si="61"/>
        <v>0</v>
      </c>
      <c r="AD335" s="317">
        <f t="shared" si="61"/>
        <v>0</v>
      </c>
      <c r="AE335" s="318">
        <f t="shared" si="61"/>
        <v>0</v>
      </c>
    </row>
    <row r="336" spans="1:31">
      <c r="A336" s="1711"/>
      <c r="B336" s="116">
        <v>16</v>
      </c>
      <c r="C336" s="316">
        <v>0</v>
      </c>
      <c r="D336" s="317">
        <f t="shared" si="62"/>
        <v>0</v>
      </c>
      <c r="E336" s="317">
        <f t="shared" si="62"/>
        <v>0</v>
      </c>
      <c r="F336" s="317">
        <f t="shared" si="62"/>
        <v>0</v>
      </c>
      <c r="G336" s="317">
        <f t="shared" si="62"/>
        <v>0</v>
      </c>
      <c r="H336" s="317">
        <f t="shared" si="62"/>
        <v>0</v>
      </c>
      <c r="I336" s="317">
        <f t="shared" si="62"/>
        <v>0</v>
      </c>
      <c r="J336" s="317">
        <f t="shared" si="62"/>
        <v>0</v>
      </c>
      <c r="K336" s="317">
        <f t="shared" si="62"/>
        <v>0</v>
      </c>
      <c r="L336" s="317">
        <f t="shared" si="62"/>
        <v>0</v>
      </c>
      <c r="M336" s="317">
        <f t="shared" si="62"/>
        <v>1.9308000000000001</v>
      </c>
      <c r="N336" s="317">
        <f t="shared" si="62"/>
        <v>1.609</v>
      </c>
      <c r="O336" s="317">
        <f t="shared" si="62"/>
        <v>1.2872000000000001</v>
      </c>
      <c r="P336" s="317">
        <f t="shared" si="62"/>
        <v>1.2872000000000001</v>
      </c>
      <c r="Q336" s="317">
        <f t="shared" si="62"/>
        <v>1.3004790963855424</v>
      </c>
      <c r="R336" s="317">
        <f t="shared" si="62"/>
        <v>1.2945760898876408</v>
      </c>
      <c r="S336" s="317">
        <f t="shared" si="62"/>
        <v>1.2883584799999999</v>
      </c>
      <c r="T336" s="317">
        <f t="shared" si="61"/>
        <v>0</v>
      </c>
      <c r="U336" s="317">
        <f t="shared" si="61"/>
        <v>0</v>
      </c>
      <c r="V336" s="317">
        <f t="shared" si="61"/>
        <v>0</v>
      </c>
      <c r="W336" s="317">
        <f t="shared" si="61"/>
        <v>0</v>
      </c>
      <c r="X336" s="317">
        <f t="shared" si="61"/>
        <v>0</v>
      </c>
      <c r="Y336" s="317">
        <f t="shared" si="61"/>
        <v>0</v>
      </c>
      <c r="Z336" s="317">
        <f t="shared" si="61"/>
        <v>0</v>
      </c>
      <c r="AA336" s="317">
        <f t="shared" si="61"/>
        <v>0</v>
      </c>
      <c r="AB336" s="317">
        <f t="shared" si="61"/>
        <v>0</v>
      </c>
      <c r="AC336" s="317">
        <f t="shared" si="61"/>
        <v>0</v>
      </c>
      <c r="AD336" s="317">
        <f t="shared" si="61"/>
        <v>0</v>
      </c>
      <c r="AE336" s="318">
        <f t="shared" si="61"/>
        <v>0</v>
      </c>
    </row>
    <row r="337" spans="1:31">
      <c r="A337" s="1711"/>
      <c r="B337" s="116">
        <v>17</v>
      </c>
      <c r="C337" s="316">
        <v>0</v>
      </c>
      <c r="D337" s="317">
        <f t="shared" si="62"/>
        <v>0</v>
      </c>
      <c r="E337" s="317">
        <f t="shared" si="62"/>
        <v>0</v>
      </c>
      <c r="F337" s="317">
        <f t="shared" si="62"/>
        <v>0</v>
      </c>
      <c r="G337" s="317">
        <f t="shared" si="62"/>
        <v>0</v>
      </c>
      <c r="H337" s="317">
        <f t="shared" si="62"/>
        <v>0</v>
      </c>
      <c r="I337" s="317">
        <f t="shared" si="62"/>
        <v>0</v>
      </c>
      <c r="J337" s="317">
        <f t="shared" si="62"/>
        <v>0</v>
      </c>
      <c r="K337" s="317">
        <f t="shared" si="62"/>
        <v>0</v>
      </c>
      <c r="L337" s="317">
        <f t="shared" si="62"/>
        <v>0</v>
      </c>
      <c r="M337" s="317">
        <f t="shared" si="62"/>
        <v>0</v>
      </c>
      <c r="N337" s="317">
        <f t="shared" si="62"/>
        <v>1.9308000000000001</v>
      </c>
      <c r="O337" s="317">
        <f t="shared" si="62"/>
        <v>1.609</v>
      </c>
      <c r="P337" s="317">
        <f t="shared" si="62"/>
        <v>1.2872000000000001</v>
      </c>
      <c r="Q337" s="317">
        <f t="shared" si="62"/>
        <v>1.2872000000000001</v>
      </c>
      <c r="R337" s="317">
        <f t="shared" si="62"/>
        <v>1.3004790963855424</v>
      </c>
      <c r="S337" s="317">
        <f t="shared" ref="S337:AE345" si="63">R336</f>
        <v>1.2945760898876408</v>
      </c>
      <c r="T337" s="317">
        <f t="shared" si="63"/>
        <v>1.2883584799999999</v>
      </c>
      <c r="U337" s="317">
        <f t="shared" si="63"/>
        <v>0</v>
      </c>
      <c r="V337" s="317">
        <f t="shared" si="63"/>
        <v>0</v>
      </c>
      <c r="W337" s="317">
        <f t="shared" si="63"/>
        <v>0</v>
      </c>
      <c r="X337" s="317">
        <f t="shared" si="63"/>
        <v>0</v>
      </c>
      <c r="Y337" s="317">
        <f t="shared" si="63"/>
        <v>0</v>
      </c>
      <c r="Z337" s="317">
        <f t="shared" si="63"/>
        <v>0</v>
      </c>
      <c r="AA337" s="317">
        <f t="shared" si="63"/>
        <v>0</v>
      </c>
      <c r="AB337" s="317">
        <f t="shared" si="63"/>
        <v>0</v>
      </c>
      <c r="AC337" s="317">
        <f t="shared" si="63"/>
        <v>0</v>
      </c>
      <c r="AD337" s="317">
        <f t="shared" si="63"/>
        <v>0</v>
      </c>
      <c r="AE337" s="318">
        <f t="shared" si="63"/>
        <v>0</v>
      </c>
    </row>
    <row r="338" spans="1:31">
      <c r="A338" s="1711"/>
      <c r="B338" s="116">
        <v>18</v>
      </c>
      <c r="C338" s="316">
        <v>0</v>
      </c>
      <c r="D338" s="317">
        <f t="shared" ref="D338:S345" si="64">C337</f>
        <v>0</v>
      </c>
      <c r="E338" s="317">
        <f t="shared" si="64"/>
        <v>0</v>
      </c>
      <c r="F338" s="317">
        <f t="shared" si="64"/>
        <v>0</v>
      </c>
      <c r="G338" s="317">
        <f t="shared" si="64"/>
        <v>0</v>
      </c>
      <c r="H338" s="317">
        <f t="shared" si="64"/>
        <v>0</v>
      </c>
      <c r="I338" s="317">
        <f t="shared" si="64"/>
        <v>0</v>
      </c>
      <c r="J338" s="317">
        <f t="shared" si="64"/>
        <v>0</v>
      </c>
      <c r="K338" s="317">
        <f t="shared" si="64"/>
        <v>0</v>
      </c>
      <c r="L338" s="317">
        <f t="shared" si="64"/>
        <v>0</v>
      </c>
      <c r="M338" s="317">
        <f t="shared" si="64"/>
        <v>0</v>
      </c>
      <c r="N338" s="317">
        <f t="shared" si="64"/>
        <v>0</v>
      </c>
      <c r="O338" s="317">
        <f t="shared" si="64"/>
        <v>1.9308000000000001</v>
      </c>
      <c r="P338" s="317">
        <f t="shared" si="64"/>
        <v>1.609</v>
      </c>
      <c r="Q338" s="317">
        <f t="shared" si="64"/>
        <v>1.2872000000000001</v>
      </c>
      <c r="R338" s="317">
        <f t="shared" si="64"/>
        <v>1.2872000000000001</v>
      </c>
      <c r="S338" s="317">
        <f t="shared" si="64"/>
        <v>1.3004790963855424</v>
      </c>
      <c r="T338" s="317">
        <f t="shared" si="63"/>
        <v>1.2945760898876408</v>
      </c>
      <c r="U338" s="317">
        <f t="shared" si="63"/>
        <v>1.2883584799999999</v>
      </c>
      <c r="V338" s="317">
        <f t="shared" si="63"/>
        <v>0</v>
      </c>
      <c r="W338" s="317">
        <f t="shared" si="63"/>
        <v>0</v>
      </c>
      <c r="X338" s="317">
        <f t="shared" si="63"/>
        <v>0</v>
      </c>
      <c r="Y338" s="317">
        <f t="shared" si="63"/>
        <v>0</v>
      </c>
      <c r="Z338" s="317">
        <f t="shared" si="63"/>
        <v>0</v>
      </c>
      <c r="AA338" s="317">
        <f t="shared" si="63"/>
        <v>0</v>
      </c>
      <c r="AB338" s="317">
        <f t="shared" si="63"/>
        <v>0</v>
      </c>
      <c r="AC338" s="317">
        <f t="shared" si="63"/>
        <v>0</v>
      </c>
      <c r="AD338" s="317">
        <f t="shared" si="63"/>
        <v>0</v>
      </c>
      <c r="AE338" s="318">
        <f t="shared" si="63"/>
        <v>0</v>
      </c>
    </row>
    <row r="339" spans="1:31">
      <c r="A339" s="1711"/>
      <c r="B339" s="116">
        <v>19</v>
      </c>
      <c r="C339" s="316">
        <v>0</v>
      </c>
      <c r="D339" s="317">
        <f t="shared" si="64"/>
        <v>0</v>
      </c>
      <c r="E339" s="317">
        <f t="shared" si="64"/>
        <v>0</v>
      </c>
      <c r="F339" s="317">
        <f t="shared" si="64"/>
        <v>0</v>
      </c>
      <c r="G339" s="317">
        <f t="shared" si="64"/>
        <v>0</v>
      </c>
      <c r="H339" s="317">
        <f t="shared" si="64"/>
        <v>0</v>
      </c>
      <c r="I339" s="317">
        <f t="shared" si="64"/>
        <v>0</v>
      </c>
      <c r="J339" s="317">
        <f t="shared" si="64"/>
        <v>0</v>
      </c>
      <c r="K339" s="317">
        <f t="shared" si="64"/>
        <v>0</v>
      </c>
      <c r="L339" s="317">
        <f t="shared" si="64"/>
        <v>0</v>
      </c>
      <c r="M339" s="317">
        <f t="shared" si="64"/>
        <v>0</v>
      </c>
      <c r="N339" s="317">
        <f t="shared" si="64"/>
        <v>0</v>
      </c>
      <c r="O339" s="317">
        <f t="shared" si="64"/>
        <v>0</v>
      </c>
      <c r="P339" s="317">
        <f t="shared" si="64"/>
        <v>1.9308000000000001</v>
      </c>
      <c r="Q339" s="317">
        <f t="shared" si="64"/>
        <v>1.609</v>
      </c>
      <c r="R339" s="317">
        <f t="shared" si="64"/>
        <v>1.2872000000000001</v>
      </c>
      <c r="S339" s="317">
        <f t="shared" si="64"/>
        <v>1.2872000000000001</v>
      </c>
      <c r="T339" s="317">
        <f t="shared" si="63"/>
        <v>1.3004790963855424</v>
      </c>
      <c r="U339" s="317">
        <f t="shared" si="63"/>
        <v>1.2945760898876408</v>
      </c>
      <c r="V339" s="317">
        <f t="shared" si="63"/>
        <v>1.2883584799999999</v>
      </c>
      <c r="W339" s="317">
        <f t="shared" si="63"/>
        <v>0</v>
      </c>
      <c r="X339" s="317">
        <f t="shared" si="63"/>
        <v>0</v>
      </c>
      <c r="Y339" s="317">
        <f t="shared" si="63"/>
        <v>0</v>
      </c>
      <c r="Z339" s="317">
        <f t="shared" si="63"/>
        <v>0</v>
      </c>
      <c r="AA339" s="317">
        <f t="shared" si="63"/>
        <v>0</v>
      </c>
      <c r="AB339" s="317">
        <f t="shared" si="63"/>
        <v>0</v>
      </c>
      <c r="AC339" s="317">
        <f t="shared" si="63"/>
        <v>0</v>
      </c>
      <c r="AD339" s="317">
        <f t="shared" si="63"/>
        <v>0</v>
      </c>
      <c r="AE339" s="318">
        <f t="shared" si="63"/>
        <v>0</v>
      </c>
    </row>
    <row r="340" spans="1:31">
      <c r="A340" s="1711"/>
      <c r="B340" s="116">
        <v>20</v>
      </c>
      <c r="C340" s="316">
        <v>0</v>
      </c>
      <c r="D340" s="317">
        <f t="shared" si="64"/>
        <v>0</v>
      </c>
      <c r="E340" s="317">
        <f t="shared" si="64"/>
        <v>0</v>
      </c>
      <c r="F340" s="317">
        <f t="shared" si="64"/>
        <v>0</v>
      </c>
      <c r="G340" s="317">
        <f t="shared" si="64"/>
        <v>0</v>
      </c>
      <c r="H340" s="317">
        <f t="shared" si="64"/>
        <v>0</v>
      </c>
      <c r="I340" s="317">
        <f t="shared" si="64"/>
        <v>0</v>
      </c>
      <c r="J340" s="317">
        <f t="shared" si="64"/>
        <v>0</v>
      </c>
      <c r="K340" s="317">
        <f t="shared" si="64"/>
        <v>0</v>
      </c>
      <c r="L340" s="317">
        <f t="shared" si="64"/>
        <v>0</v>
      </c>
      <c r="M340" s="317">
        <f t="shared" si="64"/>
        <v>0</v>
      </c>
      <c r="N340" s="317">
        <f t="shared" si="64"/>
        <v>0</v>
      </c>
      <c r="O340" s="317">
        <f t="shared" si="64"/>
        <v>0</v>
      </c>
      <c r="P340" s="317">
        <f t="shared" si="64"/>
        <v>0</v>
      </c>
      <c r="Q340" s="317">
        <f t="shared" si="64"/>
        <v>1.9308000000000001</v>
      </c>
      <c r="R340" s="317">
        <f t="shared" si="64"/>
        <v>1.609</v>
      </c>
      <c r="S340" s="317">
        <f t="shared" si="64"/>
        <v>1.2872000000000001</v>
      </c>
      <c r="T340" s="317">
        <f t="shared" si="63"/>
        <v>1.2872000000000001</v>
      </c>
      <c r="U340" s="317">
        <f t="shared" si="63"/>
        <v>1.3004790963855424</v>
      </c>
      <c r="V340" s="317">
        <f t="shared" si="63"/>
        <v>1.2945760898876408</v>
      </c>
      <c r="W340" s="317">
        <f t="shared" si="63"/>
        <v>1.2883584799999999</v>
      </c>
      <c r="X340" s="317">
        <f t="shared" si="63"/>
        <v>0</v>
      </c>
      <c r="Y340" s="317">
        <f t="shared" si="63"/>
        <v>0</v>
      </c>
      <c r="Z340" s="317">
        <f t="shared" si="63"/>
        <v>0</v>
      </c>
      <c r="AA340" s="317">
        <f t="shared" si="63"/>
        <v>0</v>
      </c>
      <c r="AB340" s="317">
        <f t="shared" si="63"/>
        <v>0</v>
      </c>
      <c r="AC340" s="317">
        <f t="shared" si="63"/>
        <v>0</v>
      </c>
      <c r="AD340" s="317">
        <f t="shared" si="63"/>
        <v>0</v>
      </c>
      <c r="AE340" s="318">
        <f t="shared" si="63"/>
        <v>0</v>
      </c>
    </row>
    <row r="341" spans="1:31">
      <c r="A341" s="1711"/>
      <c r="B341" s="116">
        <v>21</v>
      </c>
      <c r="C341" s="316">
        <v>0</v>
      </c>
      <c r="D341" s="317">
        <f t="shared" si="64"/>
        <v>0</v>
      </c>
      <c r="E341" s="317">
        <f t="shared" si="64"/>
        <v>0</v>
      </c>
      <c r="F341" s="317">
        <f t="shared" si="64"/>
        <v>0</v>
      </c>
      <c r="G341" s="317">
        <f t="shared" si="64"/>
        <v>0</v>
      </c>
      <c r="H341" s="317">
        <f t="shared" si="64"/>
        <v>0</v>
      </c>
      <c r="I341" s="317">
        <f t="shared" si="64"/>
        <v>0</v>
      </c>
      <c r="J341" s="317">
        <f t="shared" si="64"/>
        <v>0</v>
      </c>
      <c r="K341" s="317">
        <f t="shared" si="64"/>
        <v>0</v>
      </c>
      <c r="L341" s="317">
        <f t="shared" si="64"/>
        <v>0</v>
      </c>
      <c r="M341" s="317">
        <f t="shared" si="64"/>
        <v>0</v>
      </c>
      <c r="N341" s="317">
        <f t="shared" si="64"/>
        <v>0</v>
      </c>
      <c r="O341" s="317">
        <f t="shared" si="64"/>
        <v>0</v>
      </c>
      <c r="P341" s="317">
        <f t="shared" si="64"/>
        <v>0</v>
      </c>
      <c r="Q341" s="317">
        <f t="shared" si="64"/>
        <v>0</v>
      </c>
      <c r="R341" s="317">
        <f t="shared" si="64"/>
        <v>1.9308000000000001</v>
      </c>
      <c r="S341" s="317">
        <f t="shared" si="64"/>
        <v>1.609</v>
      </c>
      <c r="T341" s="317">
        <f t="shared" si="63"/>
        <v>1.2872000000000001</v>
      </c>
      <c r="U341" s="317">
        <f t="shared" si="63"/>
        <v>1.2872000000000001</v>
      </c>
      <c r="V341" s="317">
        <f t="shared" si="63"/>
        <v>1.3004790963855424</v>
      </c>
      <c r="W341" s="317">
        <f t="shared" si="63"/>
        <v>1.2945760898876408</v>
      </c>
      <c r="X341" s="317">
        <f t="shared" si="63"/>
        <v>1.2883584799999999</v>
      </c>
      <c r="Y341" s="317">
        <f t="shared" si="63"/>
        <v>0</v>
      </c>
      <c r="Z341" s="317">
        <f t="shared" si="63"/>
        <v>0</v>
      </c>
      <c r="AA341" s="317">
        <f t="shared" si="63"/>
        <v>0</v>
      </c>
      <c r="AB341" s="317">
        <f t="shared" si="63"/>
        <v>0</v>
      </c>
      <c r="AC341" s="317">
        <f t="shared" si="63"/>
        <v>0</v>
      </c>
      <c r="AD341" s="317">
        <f t="shared" si="63"/>
        <v>0</v>
      </c>
      <c r="AE341" s="318">
        <f t="shared" si="63"/>
        <v>0</v>
      </c>
    </row>
    <row r="342" spans="1:31">
      <c r="A342" s="1711"/>
      <c r="B342" s="116">
        <v>22</v>
      </c>
      <c r="C342" s="316">
        <v>0</v>
      </c>
      <c r="D342" s="317">
        <f t="shared" si="64"/>
        <v>0</v>
      </c>
      <c r="E342" s="317">
        <f t="shared" si="64"/>
        <v>0</v>
      </c>
      <c r="F342" s="317">
        <f t="shared" si="64"/>
        <v>0</v>
      </c>
      <c r="G342" s="317">
        <f t="shared" si="64"/>
        <v>0</v>
      </c>
      <c r="H342" s="317">
        <f t="shared" si="64"/>
        <v>0</v>
      </c>
      <c r="I342" s="317">
        <f t="shared" si="64"/>
        <v>0</v>
      </c>
      <c r="J342" s="317">
        <f t="shared" si="64"/>
        <v>0</v>
      </c>
      <c r="K342" s="317">
        <f t="shared" si="64"/>
        <v>0</v>
      </c>
      <c r="L342" s="317">
        <f t="shared" si="64"/>
        <v>0</v>
      </c>
      <c r="M342" s="317">
        <f t="shared" si="64"/>
        <v>0</v>
      </c>
      <c r="N342" s="317">
        <f t="shared" si="64"/>
        <v>0</v>
      </c>
      <c r="O342" s="317">
        <f t="shared" si="64"/>
        <v>0</v>
      </c>
      <c r="P342" s="317">
        <f t="shared" si="64"/>
        <v>0</v>
      </c>
      <c r="Q342" s="317">
        <f t="shared" si="64"/>
        <v>0</v>
      </c>
      <c r="R342" s="317">
        <f t="shared" si="64"/>
        <v>0</v>
      </c>
      <c r="S342" s="317">
        <f t="shared" si="64"/>
        <v>1.9308000000000001</v>
      </c>
      <c r="T342" s="317">
        <f t="shared" si="63"/>
        <v>1.609</v>
      </c>
      <c r="U342" s="317">
        <f t="shared" si="63"/>
        <v>1.2872000000000001</v>
      </c>
      <c r="V342" s="317">
        <f t="shared" si="63"/>
        <v>1.2872000000000001</v>
      </c>
      <c r="W342" s="317">
        <f t="shared" si="63"/>
        <v>1.3004790963855424</v>
      </c>
      <c r="X342" s="317">
        <f t="shared" si="63"/>
        <v>1.2945760898876408</v>
      </c>
      <c r="Y342" s="317">
        <f t="shared" si="63"/>
        <v>1.2883584799999999</v>
      </c>
      <c r="Z342" s="317">
        <f t="shared" si="63"/>
        <v>0</v>
      </c>
      <c r="AA342" s="317">
        <f t="shared" si="63"/>
        <v>0</v>
      </c>
      <c r="AB342" s="317">
        <f t="shared" si="63"/>
        <v>0</v>
      </c>
      <c r="AC342" s="317">
        <f t="shared" si="63"/>
        <v>0</v>
      </c>
      <c r="AD342" s="317">
        <f t="shared" si="63"/>
        <v>0</v>
      </c>
      <c r="AE342" s="318">
        <f t="shared" si="63"/>
        <v>0</v>
      </c>
    </row>
    <row r="343" spans="1:31">
      <c r="A343" s="1711"/>
      <c r="B343" s="116">
        <v>23</v>
      </c>
      <c r="C343" s="316">
        <v>0</v>
      </c>
      <c r="D343" s="317">
        <f t="shared" si="64"/>
        <v>0</v>
      </c>
      <c r="E343" s="317">
        <f t="shared" si="64"/>
        <v>0</v>
      </c>
      <c r="F343" s="317">
        <f t="shared" si="64"/>
        <v>0</v>
      </c>
      <c r="G343" s="317">
        <f t="shared" si="64"/>
        <v>0</v>
      </c>
      <c r="H343" s="317">
        <f t="shared" si="64"/>
        <v>0</v>
      </c>
      <c r="I343" s="317">
        <f t="shared" si="64"/>
        <v>0</v>
      </c>
      <c r="J343" s="317">
        <f t="shared" si="64"/>
        <v>0</v>
      </c>
      <c r="K343" s="317">
        <f t="shared" si="64"/>
        <v>0</v>
      </c>
      <c r="L343" s="317">
        <f t="shared" si="64"/>
        <v>0</v>
      </c>
      <c r="M343" s="317">
        <f t="shared" si="64"/>
        <v>0</v>
      </c>
      <c r="N343" s="317">
        <f t="shared" si="64"/>
        <v>0</v>
      </c>
      <c r="O343" s="317">
        <f t="shared" si="64"/>
        <v>0</v>
      </c>
      <c r="P343" s="317">
        <f t="shared" si="64"/>
        <v>0</v>
      </c>
      <c r="Q343" s="317">
        <f t="shared" si="64"/>
        <v>0</v>
      </c>
      <c r="R343" s="317">
        <f t="shared" si="64"/>
        <v>0</v>
      </c>
      <c r="S343" s="317">
        <f t="shared" si="64"/>
        <v>0</v>
      </c>
      <c r="T343" s="317">
        <f t="shared" si="63"/>
        <v>1.9308000000000001</v>
      </c>
      <c r="U343" s="317">
        <f t="shared" si="63"/>
        <v>1.609</v>
      </c>
      <c r="V343" s="317">
        <f t="shared" si="63"/>
        <v>1.2872000000000001</v>
      </c>
      <c r="W343" s="317">
        <f t="shared" si="63"/>
        <v>1.2872000000000001</v>
      </c>
      <c r="X343" s="317">
        <f t="shared" si="63"/>
        <v>1.3004790963855424</v>
      </c>
      <c r="Y343" s="317">
        <f t="shared" si="63"/>
        <v>1.2945760898876408</v>
      </c>
      <c r="Z343" s="317">
        <f t="shared" si="63"/>
        <v>1.2883584799999999</v>
      </c>
      <c r="AA343" s="317">
        <f t="shared" si="63"/>
        <v>0</v>
      </c>
      <c r="AB343" s="317">
        <f t="shared" si="63"/>
        <v>0</v>
      </c>
      <c r="AC343" s="317">
        <f t="shared" si="63"/>
        <v>0</v>
      </c>
      <c r="AD343" s="317">
        <f t="shared" si="63"/>
        <v>0</v>
      </c>
      <c r="AE343" s="318">
        <f t="shared" si="63"/>
        <v>0</v>
      </c>
    </row>
    <row r="344" spans="1:31">
      <c r="A344" s="1711"/>
      <c r="B344" s="116">
        <v>24</v>
      </c>
      <c r="C344" s="316">
        <v>0</v>
      </c>
      <c r="D344" s="317">
        <f t="shared" si="64"/>
        <v>0</v>
      </c>
      <c r="E344" s="317">
        <f t="shared" si="64"/>
        <v>0</v>
      </c>
      <c r="F344" s="317">
        <f t="shared" si="64"/>
        <v>0</v>
      </c>
      <c r="G344" s="317">
        <f t="shared" si="64"/>
        <v>0</v>
      </c>
      <c r="H344" s="317">
        <f t="shared" si="64"/>
        <v>0</v>
      </c>
      <c r="I344" s="317">
        <f t="shared" si="64"/>
        <v>0</v>
      </c>
      <c r="J344" s="317">
        <f t="shared" si="64"/>
        <v>0</v>
      </c>
      <c r="K344" s="317">
        <f t="shared" si="64"/>
        <v>0</v>
      </c>
      <c r="L344" s="317">
        <f t="shared" si="64"/>
        <v>0</v>
      </c>
      <c r="M344" s="317">
        <f t="shared" si="64"/>
        <v>0</v>
      </c>
      <c r="N344" s="317">
        <f t="shared" si="64"/>
        <v>0</v>
      </c>
      <c r="O344" s="317">
        <f t="shared" si="64"/>
        <v>0</v>
      </c>
      <c r="P344" s="317">
        <f t="shared" si="64"/>
        <v>0</v>
      </c>
      <c r="Q344" s="317">
        <f t="shared" si="64"/>
        <v>0</v>
      </c>
      <c r="R344" s="317">
        <f t="shared" si="64"/>
        <v>0</v>
      </c>
      <c r="S344" s="317">
        <f t="shared" si="64"/>
        <v>0</v>
      </c>
      <c r="T344" s="317">
        <f t="shared" si="63"/>
        <v>0</v>
      </c>
      <c r="U344" s="317">
        <f t="shared" si="63"/>
        <v>1.9308000000000001</v>
      </c>
      <c r="V344" s="317">
        <f t="shared" si="63"/>
        <v>1.609</v>
      </c>
      <c r="W344" s="317">
        <f t="shared" si="63"/>
        <v>1.2872000000000001</v>
      </c>
      <c r="X344" s="317">
        <f t="shared" si="63"/>
        <v>1.2872000000000001</v>
      </c>
      <c r="Y344" s="317">
        <f t="shared" si="63"/>
        <v>1.3004790963855424</v>
      </c>
      <c r="Z344" s="317">
        <f t="shared" si="63"/>
        <v>1.2945760898876408</v>
      </c>
      <c r="AA344" s="317">
        <f t="shared" si="63"/>
        <v>1.2883584799999999</v>
      </c>
      <c r="AB344" s="317">
        <f t="shared" si="63"/>
        <v>0</v>
      </c>
      <c r="AC344" s="317">
        <f t="shared" si="63"/>
        <v>0</v>
      </c>
      <c r="AD344" s="317">
        <f t="shared" si="63"/>
        <v>0</v>
      </c>
      <c r="AE344" s="318">
        <f t="shared" si="63"/>
        <v>0</v>
      </c>
    </row>
    <row r="345" spans="1:31" ht="15.75" thickBot="1">
      <c r="A345" s="1711"/>
      <c r="B345" s="116">
        <v>25</v>
      </c>
      <c r="C345" s="324">
        <v>0</v>
      </c>
      <c r="D345" s="325">
        <f t="shared" si="64"/>
        <v>0</v>
      </c>
      <c r="E345" s="325">
        <f t="shared" si="64"/>
        <v>0</v>
      </c>
      <c r="F345" s="325">
        <f t="shared" si="64"/>
        <v>0</v>
      </c>
      <c r="G345" s="325">
        <f t="shared" si="64"/>
        <v>0</v>
      </c>
      <c r="H345" s="325">
        <f t="shared" si="64"/>
        <v>0</v>
      </c>
      <c r="I345" s="325">
        <f t="shared" si="64"/>
        <v>0</v>
      </c>
      <c r="J345" s="325">
        <f t="shared" si="64"/>
        <v>0</v>
      </c>
      <c r="K345" s="325">
        <f t="shared" si="64"/>
        <v>0</v>
      </c>
      <c r="L345" s="325">
        <f t="shared" si="64"/>
        <v>0</v>
      </c>
      <c r="M345" s="325">
        <f t="shared" si="64"/>
        <v>0</v>
      </c>
      <c r="N345" s="325">
        <f t="shared" si="64"/>
        <v>0</v>
      </c>
      <c r="O345" s="325">
        <f t="shared" si="64"/>
        <v>0</v>
      </c>
      <c r="P345" s="325">
        <f t="shared" si="64"/>
        <v>0</v>
      </c>
      <c r="Q345" s="325">
        <f t="shared" si="64"/>
        <v>0</v>
      </c>
      <c r="R345" s="325">
        <f t="shared" si="64"/>
        <v>0</v>
      </c>
      <c r="S345" s="325">
        <f t="shared" si="64"/>
        <v>0</v>
      </c>
      <c r="T345" s="325">
        <f t="shared" si="63"/>
        <v>0</v>
      </c>
      <c r="U345" s="325">
        <f t="shared" si="63"/>
        <v>0</v>
      </c>
      <c r="V345" s="325">
        <f t="shared" si="63"/>
        <v>1.9308000000000001</v>
      </c>
      <c r="W345" s="325">
        <f t="shared" si="63"/>
        <v>1.609</v>
      </c>
      <c r="X345" s="325">
        <f t="shared" si="63"/>
        <v>1.2872000000000001</v>
      </c>
      <c r="Y345" s="325">
        <f t="shared" si="63"/>
        <v>1.2872000000000001</v>
      </c>
      <c r="Z345" s="325">
        <f t="shared" si="63"/>
        <v>1.3004790963855424</v>
      </c>
      <c r="AA345" s="325">
        <f t="shared" si="63"/>
        <v>1.2945760898876408</v>
      </c>
      <c r="AB345" s="325">
        <f t="shared" si="63"/>
        <v>1.2883584799999999</v>
      </c>
      <c r="AC345" s="325">
        <f t="shared" si="63"/>
        <v>0</v>
      </c>
      <c r="AD345" s="325">
        <f t="shared" si="63"/>
        <v>0</v>
      </c>
      <c r="AE345" s="326">
        <f t="shared" si="63"/>
        <v>0</v>
      </c>
    </row>
    <row r="346" spans="1:31" ht="16.5" thickTop="1" thickBot="1">
      <c r="A346" s="1712"/>
      <c r="B346" s="300" t="s">
        <v>39</v>
      </c>
      <c r="C346" s="327">
        <f>SUMPRODUCT('CAR Stock'!C343:C368,C320:C345)/'CAR Stock'!C369</f>
        <v>1.3623310278849436</v>
      </c>
      <c r="D346" s="327">
        <f>SUMPRODUCT('CAR Stock'!D343:D368,D320:D345)/'CAR Stock'!D369</f>
        <v>1.362334297924404</v>
      </c>
      <c r="E346" s="327">
        <f>SUMPRODUCT('CAR Stock'!E343:E368,E320:E345)/'CAR Stock'!E369</f>
        <v>1.3622990196101898</v>
      </c>
      <c r="F346" s="327">
        <f>SUMPRODUCT('CAR Stock'!F343:F368,F320:F345)/'CAR Stock'!F369</f>
        <v>1.3613831852591041</v>
      </c>
      <c r="G346" s="327">
        <f>SUMPRODUCT('CAR Stock'!G343:G368,G320:G345)/'CAR Stock'!G369</f>
        <v>1.3572712256847661</v>
      </c>
      <c r="H346" s="327">
        <f>SUMPRODUCT('CAR Stock'!H343:H368,H320:H345)/'CAR Stock'!H369</f>
        <v>1.350164198956975</v>
      </c>
      <c r="I346" s="327">
        <f>SUMPRODUCT('CAR Stock'!I343:I368,I320:I345)/'CAR Stock'!I369</f>
        <v>1.3408574389381989</v>
      </c>
      <c r="J346" s="327">
        <f>SUMPRODUCT('CAR Stock'!J343:J368,J320:J345)/'CAR Stock'!J369</f>
        <v>1.3300219444500001</v>
      </c>
      <c r="K346" s="327">
        <f>SUMPRODUCT('CAR Stock'!K343:K368,K320:K345)/'CAR Stock'!K369</f>
        <v>1.3199910389314806</v>
      </c>
      <c r="L346" s="327">
        <f>SUMPRODUCT('CAR Stock'!L343:L368,L320:L345)/'CAR Stock'!L369</f>
        <v>1.3110656086151597</v>
      </c>
      <c r="M346" s="327">
        <f>SUMPRODUCT('CAR Stock'!M343:M368,M320:M345)/'CAR Stock'!M369</f>
        <v>1.3040490706487355</v>
      </c>
      <c r="N346" s="327">
        <f>SUMPRODUCT('CAR Stock'!N343:N368,N320:N345)/'CAR Stock'!N369</f>
        <v>1.3012915755566439</v>
      </c>
      <c r="O346" s="327">
        <f>SUMPRODUCT('CAR Stock'!O343:O368,O320:O345)/'CAR Stock'!O369</f>
        <v>1.2996049455968308</v>
      </c>
      <c r="P346" s="327">
        <f>SUMPRODUCT('CAR Stock'!P343:P368,P320:P345)/'CAR Stock'!P369</f>
        <v>1.2980953972835094</v>
      </c>
      <c r="Q346" s="327">
        <f>SUMPRODUCT('CAR Stock'!Q343:Q368,Q320:Q345)/'CAR Stock'!Q369</f>
        <v>1.2967826173415764</v>
      </c>
      <c r="R346" s="327">
        <f>SUMPRODUCT('CAR Stock'!R343:R368,R320:R345)/'CAR Stock'!R369</f>
        <v>1.2957244984216689</v>
      </c>
      <c r="S346" s="327">
        <f>SUMPRODUCT('CAR Stock'!S343:S368,S320:S345)/'CAR Stock'!S369</f>
        <v>1.2949945088203907</v>
      </c>
      <c r="T346" s="327">
        <f>SUMPRODUCT('CAR Stock'!T343:T368,T320:T345)/'CAR Stock'!T369</f>
        <v>1.294681404891842</v>
      </c>
      <c r="U346" s="327">
        <f>SUMPRODUCT('CAR Stock'!U343:U368,U320:U345)/'CAR Stock'!U369</f>
        <v>1.2948812321021808</v>
      </c>
      <c r="V346" s="327">
        <f>SUMPRODUCT('CAR Stock'!V343:V368,V320:V345)/'CAR Stock'!V369</f>
        <v>1.2956711260687732</v>
      </c>
      <c r="W346" s="327">
        <f>SUMPRODUCT('CAR Stock'!W343:W368,W320:W345)/'CAR Stock'!W369</f>
        <v>1.297048093165635</v>
      </c>
      <c r="X346" s="327">
        <f>SUMPRODUCT('CAR Stock'!X343:X368,X320:X345)/'CAR Stock'!X369</f>
        <v>1.2988197892557107</v>
      </c>
      <c r="Y346" s="327">
        <f>SUMPRODUCT('CAR Stock'!Y343:Y368,Y320:Y345)/'CAR Stock'!Y369</f>
        <v>1.3004790963855424</v>
      </c>
      <c r="Z346" s="327">
        <v>0</v>
      </c>
      <c r="AA346" s="327">
        <v>0</v>
      </c>
      <c r="AB346" s="327">
        <v>0</v>
      </c>
      <c r="AC346" s="327">
        <v>0</v>
      </c>
      <c r="AD346" s="327">
        <v>0</v>
      </c>
      <c r="AE346" s="327">
        <v>0</v>
      </c>
    </row>
    <row r="347" spans="1:31" ht="15.75" thickBot="1">
      <c r="A347" s="650"/>
    </row>
    <row r="348" spans="1:31" ht="15.75" customHeight="1" thickBot="1">
      <c r="A348" s="1710" t="s">
        <v>52</v>
      </c>
      <c r="B348" s="169" t="s">
        <v>10</v>
      </c>
      <c r="C348" s="288">
        <f t="shared" ref="C348" si="65">C116</f>
        <v>2012</v>
      </c>
      <c r="D348" s="289">
        <v>2013</v>
      </c>
      <c r="E348" s="289">
        <v>2014</v>
      </c>
      <c r="F348" s="289">
        <v>2015</v>
      </c>
      <c r="G348" s="288">
        <v>2016</v>
      </c>
      <c r="H348" s="289">
        <v>2017</v>
      </c>
      <c r="I348" s="289">
        <v>2018</v>
      </c>
      <c r="J348" s="289">
        <v>2019</v>
      </c>
      <c r="K348" s="288">
        <v>2020</v>
      </c>
      <c r="L348" s="289">
        <v>2021</v>
      </c>
      <c r="M348" s="289">
        <v>2022</v>
      </c>
      <c r="N348" s="289">
        <v>2023</v>
      </c>
      <c r="O348" s="288">
        <v>2024</v>
      </c>
      <c r="P348" s="289">
        <v>2025</v>
      </c>
      <c r="Q348" s="289">
        <v>2026</v>
      </c>
      <c r="R348" s="289">
        <v>2027</v>
      </c>
      <c r="S348" s="288">
        <v>2028</v>
      </c>
      <c r="T348" s="289">
        <v>2029</v>
      </c>
      <c r="U348" s="289">
        <v>2030</v>
      </c>
      <c r="V348" s="289">
        <v>2031</v>
      </c>
      <c r="W348" s="288">
        <v>2032</v>
      </c>
      <c r="X348" s="289">
        <v>2033</v>
      </c>
      <c r="Y348" s="289">
        <v>2034</v>
      </c>
      <c r="Z348" s="289">
        <v>2035</v>
      </c>
      <c r="AA348" s="288">
        <v>2036</v>
      </c>
      <c r="AB348" s="289">
        <v>2037</v>
      </c>
      <c r="AC348" s="289">
        <v>2038</v>
      </c>
      <c r="AD348" s="289">
        <v>2039</v>
      </c>
      <c r="AE348" s="290">
        <v>2040</v>
      </c>
    </row>
    <row r="349" spans="1:31" ht="15" customHeight="1">
      <c r="A349" s="1711" t="s">
        <v>41</v>
      </c>
      <c r="B349" s="116">
        <v>0</v>
      </c>
      <c r="C349" s="313">
        <f>'CAR SEC'!Q3</f>
        <v>1.8284747261072263</v>
      </c>
      <c r="D349" s="314">
        <v>0</v>
      </c>
      <c r="E349" s="314">
        <v>0</v>
      </c>
      <c r="F349" s="314">
        <v>0</v>
      </c>
      <c r="G349" s="314">
        <v>0</v>
      </c>
      <c r="H349" s="314">
        <v>0</v>
      </c>
      <c r="I349" s="314">
        <v>0</v>
      </c>
      <c r="J349" s="314">
        <v>0</v>
      </c>
      <c r="K349" s="314">
        <v>0</v>
      </c>
      <c r="L349" s="314">
        <v>0</v>
      </c>
      <c r="M349" s="314">
        <v>0</v>
      </c>
      <c r="N349" s="314">
        <v>0</v>
      </c>
      <c r="O349" s="314">
        <v>0</v>
      </c>
      <c r="P349" s="314">
        <v>0</v>
      </c>
      <c r="Q349" s="314">
        <v>0</v>
      </c>
      <c r="R349" s="314">
        <v>0</v>
      </c>
      <c r="S349" s="314">
        <v>0</v>
      </c>
      <c r="T349" s="314">
        <v>0</v>
      </c>
      <c r="U349" s="314">
        <v>0</v>
      </c>
      <c r="V349" s="314">
        <v>0</v>
      </c>
      <c r="W349" s="314">
        <v>0</v>
      </c>
      <c r="X349" s="314">
        <v>0</v>
      </c>
      <c r="Y349" s="314">
        <v>0</v>
      </c>
      <c r="Z349" s="314">
        <v>0</v>
      </c>
      <c r="AA349" s="314">
        <v>0</v>
      </c>
      <c r="AB349" s="314">
        <v>0</v>
      </c>
      <c r="AC349" s="314">
        <v>0</v>
      </c>
      <c r="AD349" s="314">
        <v>0</v>
      </c>
      <c r="AE349" s="315">
        <v>0</v>
      </c>
    </row>
    <row r="350" spans="1:31">
      <c r="A350" s="1711"/>
      <c r="B350" s="116">
        <v>1</v>
      </c>
      <c r="C350" s="316">
        <f>'CAR SEC'!Q4</f>
        <v>2.51004</v>
      </c>
      <c r="D350" s="317">
        <f>C349</f>
        <v>1.8284747261072263</v>
      </c>
      <c r="E350" s="317">
        <f t="shared" ref="E350:T350" si="66">D349</f>
        <v>0</v>
      </c>
      <c r="F350" s="317">
        <f t="shared" si="66"/>
        <v>0</v>
      </c>
      <c r="G350" s="317">
        <f t="shared" si="66"/>
        <v>0</v>
      </c>
      <c r="H350" s="317">
        <f t="shared" si="66"/>
        <v>0</v>
      </c>
      <c r="I350" s="317">
        <f t="shared" si="66"/>
        <v>0</v>
      </c>
      <c r="J350" s="317">
        <f t="shared" si="66"/>
        <v>0</v>
      </c>
      <c r="K350" s="317">
        <f t="shared" si="66"/>
        <v>0</v>
      </c>
      <c r="L350" s="317">
        <f t="shared" si="66"/>
        <v>0</v>
      </c>
      <c r="M350" s="317">
        <f t="shared" si="66"/>
        <v>0</v>
      </c>
      <c r="N350" s="317">
        <f t="shared" si="66"/>
        <v>0</v>
      </c>
      <c r="O350" s="317">
        <f t="shared" si="66"/>
        <v>0</v>
      </c>
      <c r="P350" s="317">
        <f t="shared" si="66"/>
        <v>0</v>
      </c>
      <c r="Q350" s="317">
        <f t="shared" si="66"/>
        <v>0</v>
      </c>
      <c r="R350" s="317">
        <f t="shared" si="66"/>
        <v>0</v>
      </c>
      <c r="S350" s="317">
        <f t="shared" si="66"/>
        <v>0</v>
      </c>
      <c r="T350" s="317">
        <f t="shared" si="66"/>
        <v>0</v>
      </c>
      <c r="U350" s="317">
        <f t="shared" ref="T350:AE365" si="67">T349</f>
        <v>0</v>
      </c>
      <c r="V350" s="317">
        <f t="shared" si="67"/>
        <v>0</v>
      </c>
      <c r="W350" s="317">
        <f t="shared" si="67"/>
        <v>0</v>
      </c>
      <c r="X350" s="317">
        <f t="shared" si="67"/>
        <v>0</v>
      </c>
      <c r="Y350" s="317">
        <f t="shared" si="67"/>
        <v>0</v>
      </c>
      <c r="Z350" s="317">
        <f t="shared" si="67"/>
        <v>0</v>
      </c>
      <c r="AA350" s="317">
        <f t="shared" si="67"/>
        <v>0</v>
      </c>
      <c r="AB350" s="317">
        <f t="shared" si="67"/>
        <v>0</v>
      </c>
      <c r="AC350" s="317">
        <f t="shared" si="67"/>
        <v>0</v>
      </c>
      <c r="AD350" s="317">
        <f t="shared" si="67"/>
        <v>0</v>
      </c>
      <c r="AE350" s="318">
        <f t="shared" si="67"/>
        <v>0</v>
      </c>
    </row>
    <row r="351" spans="1:31">
      <c r="A351" s="1711"/>
      <c r="B351" s="116">
        <v>2</v>
      </c>
      <c r="C351" s="316">
        <f>'CAR SEC'!Q5</f>
        <v>2.5439226455026445</v>
      </c>
      <c r="D351" s="317">
        <f t="shared" ref="D351:S366" si="68">C350</f>
        <v>2.51004</v>
      </c>
      <c r="E351" s="317">
        <f t="shared" si="68"/>
        <v>1.8284747261072263</v>
      </c>
      <c r="F351" s="317">
        <f t="shared" si="68"/>
        <v>0</v>
      </c>
      <c r="G351" s="317">
        <f t="shared" si="68"/>
        <v>0</v>
      </c>
      <c r="H351" s="317">
        <f t="shared" si="68"/>
        <v>0</v>
      </c>
      <c r="I351" s="317">
        <f t="shared" si="68"/>
        <v>0</v>
      </c>
      <c r="J351" s="317">
        <f t="shared" si="68"/>
        <v>0</v>
      </c>
      <c r="K351" s="317">
        <f t="shared" si="68"/>
        <v>0</v>
      </c>
      <c r="L351" s="317">
        <f t="shared" si="68"/>
        <v>0</v>
      </c>
      <c r="M351" s="317">
        <f t="shared" si="68"/>
        <v>0</v>
      </c>
      <c r="N351" s="317">
        <f t="shared" si="68"/>
        <v>0</v>
      </c>
      <c r="O351" s="317">
        <f t="shared" si="68"/>
        <v>0</v>
      </c>
      <c r="P351" s="317">
        <f t="shared" si="68"/>
        <v>0</v>
      </c>
      <c r="Q351" s="317">
        <f t="shared" si="68"/>
        <v>0</v>
      </c>
      <c r="R351" s="317">
        <f t="shared" si="68"/>
        <v>0</v>
      </c>
      <c r="S351" s="317">
        <f t="shared" si="68"/>
        <v>0</v>
      </c>
      <c r="T351" s="317">
        <f t="shared" si="67"/>
        <v>0</v>
      </c>
      <c r="U351" s="317">
        <f t="shared" si="67"/>
        <v>0</v>
      </c>
      <c r="V351" s="317">
        <f t="shared" si="67"/>
        <v>0</v>
      </c>
      <c r="W351" s="317">
        <f t="shared" si="67"/>
        <v>0</v>
      </c>
      <c r="X351" s="317">
        <f t="shared" si="67"/>
        <v>0</v>
      </c>
      <c r="Y351" s="317">
        <f t="shared" si="67"/>
        <v>0</v>
      </c>
      <c r="Z351" s="317">
        <f t="shared" si="67"/>
        <v>0</v>
      </c>
      <c r="AA351" s="317">
        <f t="shared" si="67"/>
        <v>0</v>
      </c>
      <c r="AB351" s="317">
        <f t="shared" si="67"/>
        <v>0</v>
      </c>
      <c r="AC351" s="317">
        <f t="shared" si="67"/>
        <v>0</v>
      </c>
      <c r="AD351" s="317">
        <f t="shared" si="67"/>
        <v>0</v>
      </c>
      <c r="AE351" s="318">
        <f t="shared" si="67"/>
        <v>0</v>
      </c>
    </row>
    <row r="352" spans="1:31">
      <c r="A352" s="1711"/>
      <c r="B352" s="116">
        <v>3</v>
      </c>
      <c r="C352" s="316">
        <f>'CAR SEC'!Q6</f>
        <v>2.5778052910052898</v>
      </c>
      <c r="D352" s="317">
        <f t="shared" si="68"/>
        <v>2.5439226455026445</v>
      </c>
      <c r="E352" s="317">
        <f t="shared" si="68"/>
        <v>2.51004</v>
      </c>
      <c r="F352" s="317">
        <f t="shared" si="68"/>
        <v>1.8284747261072263</v>
      </c>
      <c r="G352" s="317">
        <f t="shared" si="68"/>
        <v>0</v>
      </c>
      <c r="H352" s="317">
        <f t="shared" si="68"/>
        <v>0</v>
      </c>
      <c r="I352" s="317">
        <f t="shared" si="68"/>
        <v>0</v>
      </c>
      <c r="J352" s="317">
        <f t="shared" si="68"/>
        <v>0</v>
      </c>
      <c r="K352" s="317">
        <f t="shared" si="68"/>
        <v>0</v>
      </c>
      <c r="L352" s="317">
        <f t="shared" si="68"/>
        <v>0</v>
      </c>
      <c r="M352" s="317">
        <f t="shared" si="68"/>
        <v>0</v>
      </c>
      <c r="N352" s="317">
        <f t="shared" si="68"/>
        <v>0</v>
      </c>
      <c r="O352" s="317">
        <f t="shared" si="68"/>
        <v>0</v>
      </c>
      <c r="P352" s="317">
        <f t="shared" si="68"/>
        <v>0</v>
      </c>
      <c r="Q352" s="317">
        <f t="shared" si="68"/>
        <v>0</v>
      </c>
      <c r="R352" s="317">
        <f t="shared" si="68"/>
        <v>0</v>
      </c>
      <c r="S352" s="317">
        <f t="shared" si="68"/>
        <v>0</v>
      </c>
      <c r="T352" s="317">
        <f t="shared" si="67"/>
        <v>0</v>
      </c>
      <c r="U352" s="317">
        <f t="shared" si="67"/>
        <v>0</v>
      </c>
      <c r="V352" s="317">
        <f t="shared" si="67"/>
        <v>0</v>
      </c>
      <c r="W352" s="317">
        <f t="shared" si="67"/>
        <v>0</v>
      </c>
      <c r="X352" s="317">
        <f t="shared" si="67"/>
        <v>0</v>
      </c>
      <c r="Y352" s="317">
        <f t="shared" si="67"/>
        <v>0</v>
      </c>
      <c r="Z352" s="317">
        <f t="shared" si="67"/>
        <v>0</v>
      </c>
      <c r="AA352" s="317">
        <f t="shared" si="67"/>
        <v>0</v>
      </c>
      <c r="AB352" s="317">
        <f t="shared" si="67"/>
        <v>0</v>
      </c>
      <c r="AC352" s="317">
        <f t="shared" si="67"/>
        <v>0</v>
      </c>
      <c r="AD352" s="317">
        <f t="shared" si="67"/>
        <v>0</v>
      </c>
      <c r="AE352" s="318">
        <f t="shared" si="67"/>
        <v>0</v>
      </c>
    </row>
    <row r="353" spans="1:31">
      <c r="A353" s="1711"/>
      <c r="B353" s="116">
        <v>4</v>
      </c>
      <c r="C353" s="316">
        <f>'CAR SEC'!Q7</f>
        <v>2.6116879365079351</v>
      </c>
      <c r="D353" s="317">
        <f t="shared" si="68"/>
        <v>2.5778052910052898</v>
      </c>
      <c r="E353" s="317">
        <f t="shared" si="68"/>
        <v>2.5439226455026445</v>
      </c>
      <c r="F353" s="317">
        <f t="shared" si="68"/>
        <v>2.51004</v>
      </c>
      <c r="G353" s="317">
        <f t="shared" si="68"/>
        <v>1.8284747261072263</v>
      </c>
      <c r="H353" s="317">
        <f t="shared" si="68"/>
        <v>0</v>
      </c>
      <c r="I353" s="317">
        <f t="shared" si="68"/>
        <v>0</v>
      </c>
      <c r="J353" s="317">
        <f t="shared" si="68"/>
        <v>0</v>
      </c>
      <c r="K353" s="317">
        <f t="shared" si="68"/>
        <v>0</v>
      </c>
      <c r="L353" s="317">
        <f t="shared" si="68"/>
        <v>0</v>
      </c>
      <c r="M353" s="317">
        <f t="shared" si="68"/>
        <v>0</v>
      </c>
      <c r="N353" s="317">
        <f t="shared" si="68"/>
        <v>0</v>
      </c>
      <c r="O353" s="317">
        <f t="shared" si="68"/>
        <v>0</v>
      </c>
      <c r="P353" s="317">
        <f t="shared" si="68"/>
        <v>0</v>
      </c>
      <c r="Q353" s="317">
        <f t="shared" si="68"/>
        <v>0</v>
      </c>
      <c r="R353" s="317">
        <f t="shared" si="68"/>
        <v>0</v>
      </c>
      <c r="S353" s="317">
        <f t="shared" si="68"/>
        <v>0</v>
      </c>
      <c r="T353" s="317">
        <f t="shared" si="67"/>
        <v>0</v>
      </c>
      <c r="U353" s="317">
        <f t="shared" si="67"/>
        <v>0</v>
      </c>
      <c r="V353" s="317">
        <f t="shared" si="67"/>
        <v>0</v>
      </c>
      <c r="W353" s="317">
        <f t="shared" si="67"/>
        <v>0</v>
      </c>
      <c r="X353" s="317">
        <f t="shared" si="67"/>
        <v>0</v>
      </c>
      <c r="Y353" s="317">
        <f t="shared" si="67"/>
        <v>0</v>
      </c>
      <c r="Z353" s="317">
        <f t="shared" si="67"/>
        <v>0</v>
      </c>
      <c r="AA353" s="317">
        <f t="shared" si="67"/>
        <v>0</v>
      </c>
      <c r="AB353" s="317">
        <f t="shared" si="67"/>
        <v>0</v>
      </c>
      <c r="AC353" s="317">
        <f t="shared" si="67"/>
        <v>0</v>
      </c>
      <c r="AD353" s="317">
        <f t="shared" si="67"/>
        <v>0</v>
      </c>
      <c r="AE353" s="318">
        <f t="shared" si="67"/>
        <v>0</v>
      </c>
    </row>
    <row r="354" spans="1:31">
      <c r="A354" s="1711"/>
      <c r="B354" s="116">
        <v>5</v>
      </c>
      <c r="C354" s="316">
        <f>'CAR SEC'!Q8</f>
        <v>2.6455705820105804</v>
      </c>
      <c r="D354" s="317">
        <f t="shared" si="68"/>
        <v>2.6116879365079351</v>
      </c>
      <c r="E354" s="317">
        <f t="shared" si="68"/>
        <v>2.5778052910052898</v>
      </c>
      <c r="F354" s="317">
        <f t="shared" si="68"/>
        <v>2.5439226455026445</v>
      </c>
      <c r="G354" s="317">
        <f t="shared" si="68"/>
        <v>2.51004</v>
      </c>
      <c r="H354" s="317">
        <f t="shared" si="68"/>
        <v>1.8284747261072263</v>
      </c>
      <c r="I354" s="317">
        <f t="shared" si="68"/>
        <v>0</v>
      </c>
      <c r="J354" s="317">
        <f t="shared" si="68"/>
        <v>0</v>
      </c>
      <c r="K354" s="317">
        <f t="shared" si="68"/>
        <v>0</v>
      </c>
      <c r="L354" s="317">
        <f t="shared" si="68"/>
        <v>0</v>
      </c>
      <c r="M354" s="317">
        <f t="shared" si="68"/>
        <v>0</v>
      </c>
      <c r="N354" s="317">
        <f t="shared" si="68"/>
        <v>0</v>
      </c>
      <c r="O354" s="317">
        <f t="shared" si="68"/>
        <v>0</v>
      </c>
      <c r="P354" s="317">
        <f t="shared" si="68"/>
        <v>0</v>
      </c>
      <c r="Q354" s="317">
        <f t="shared" si="68"/>
        <v>0</v>
      </c>
      <c r="R354" s="317">
        <f t="shared" si="68"/>
        <v>0</v>
      </c>
      <c r="S354" s="317">
        <f t="shared" si="68"/>
        <v>0</v>
      </c>
      <c r="T354" s="317">
        <f t="shared" si="67"/>
        <v>0</v>
      </c>
      <c r="U354" s="317">
        <f t="shared" si="67"/>
        <v>0</v>
      </c>
      <c r="V354" s="317">
        <f t="shared" si="67"/>
        <v>0</v>
      </c>
      <c r="W354" s="317">
        <f t="shared" si="67"/>
        <v>0</v>
      </c>
      <c r="X354" s="317">
        <f t="shared" si="67"/>
        <v>0</v>
      </c>
      <c r="Y354" s="317">
        <f t="shared" si="67"/>
        <v>0</v>
      </c>
      <c r="Z354" s="317">
        <f t="shared" si="67"/>
        <v>0</v>
      </c>
      <c r="AA354" s="317">
        <f t="shared" si="67"/>
        <v>0</v>
      </c>
      <c r="AB354" s="317">
        <f t="shared" si="67"/>
        <v>0</v>
      </c>
      <c r="AC354" s="317">
        <f t="shared" si="67"/>
        <v>0</v>
      </c>
      <c r="AD354" s="317">
        <f t="shared" si="67"/>
        <v>0</v>
      </c>
      <c r="AE354" s="318">
        <f t="shared" si="67"/>
        <v>0</v>
      </c>
    </row>
    <row r="355" spans="1:31">
      <c r="A355" s="1711"/>
      <c r="B355" s="116">
        <v>6</v>
      </c>
      <c r="C355" s="316">
        <f>'CAR SEC'!Q9</f>
        <v>2.6147575058823493</v>
      </c>
      <c r="D355" s="317">
        <f t="shared" si="68"/>
        <v>2.6455705820105804</v>
      </c>
      <c r="E355" s="317">
        <f t="shared" si="68"/>
        <v>2.6116879365079351</v>
      </c>
      <c r="F355" s="317">
        <f t="shared" si="68"/>
        <v>2.5778052910052898</v>
      </c>
      <c r="G355" s="317">
        <f t="shared" si="68"/>
        <v>2.5439226455026445</v>
      </c>
      <c r="H355" s="317">
        <f t="shared" si="68"/>
        <v>2.51004</v>
      </c>
      <c r="I355" s="317">
        <f t="shared" si="68"/>
        <v>1.8284747261072263</v>
      </c>
      <c r="J355" s="317">
        <f t="shared" si="68"/>
        <v>0</v>
      </c>
      <c r="K355" s="317">
        <f t="shared" si="68"/>
        <v>0</v>
      </c>
      <c r="L355" s="317">
        <f t="shared" si="68"/>
        <v>0</v>
      </c>
      <c r="M355" s="317">
        <f t="shared" si="68"/>
        <v>0</v>
      </c>
      <c r="N355" s="317">
        <f t="shared" si="68"/>
        <v>0</v>
      </c>
      <c r="O355" s="317">
        <f t="shared" si="68"/>
        <v>0</v>
      </c>
      <c r="P355" s="317">
        <f t="shared" si="68"/>
        <v>0</v>
      </c>
      <c r="Q355" s="317">
        <f t="shared" si="68"/>
        <v>0</v>
      </c>
      <c r="R355" s="317">
        <f t="shared" si="68"/>
        <v>0</v>
      </c>
      <c r="S355" s="317">
        <f t="shared" si="68"/>
        <v>0</v>
      </c>
      <c r="T355" s="317">
        <f t="shared" si="67"/>
        <v>0</v>
      </c>
      <c r="U355" s="317">
        <f t="shared" si="67"/>
        <v>0</v>
      </c>
      <c r="V355" s="317">
        <f t="shared" si="67"/>
        <v>0</v>
      </c>
      <c r="W355" s="317">
        <f t="shared" si="67"/>
        <v>0</v>
      </c>
      <c r="X355" s="317">
        <f t="shared" si="67"/>
        <v>0</v>
      </c>
      <c r="Y355" s="317">
        <f t="shared" si="67"/>
        <v>0</v>
      </c>
      <c r="Z355" s="317">
        <f t="shared" si="67"/>
        <v>0</v>
      </c>
      <c r="AA355" s="317">
        <f t="shared" si="67"/>
        <v>0</v>
      </c>
      <c r="AB355" s="317">
        <f t="shared" si="67"/>
        <v>0</v>
      </c>
      <c r="AC355" s="317">
        <f t="shared" si="67"/>
        <v>0</v>
      </c>
      <c r="AD355" s="317">
        <f t="shared" si="67"/>
        <v>0</v>
      </c>
      <c r="AE355" s="318">
        <f t="shared" si="67"/>
        <v>0</v>
      </c>
    </row>
    <row r="356" spans="1:31">
      <c r="A356" s="1711"/>
      <c r="B356" s="116">
        <v>7</v>
      </c>
      <c r="C356" s="316">
        <f>'CAR SEC'!Q10</f>
        <v>2.5943975714285616</v>
      </c>
      <c r="D356" s="317">
        <f t="shared" si="68"/>
        <v>2.6147575058823493</v>
      </c>
      <c r="E356" s="317">
        <f t="shared" si="68"/>
        <v>2.6455705820105804</v>
      </c>
      <c r="F356" s="317">
        <f t="shared" si="68"/>
        <v>2.6116879365079351</v>
      </c>
      <c r="G356" s="317">
        <f t="shared" si="68"/>
        <v>2.5778052910052898</v>
      </c>
      <c r="H356" s="317">
        <f t="shared" si="68"/>
        <v>2.5439226455026445</v>
      </c>
      <c r="I356" s="317">
        <f t="shared" si="68"/>
        <v>2.51004</v>
      </c>
      <c r="J356" s="317">
        <f t="shared" si="68"/>
        <v>1.8284747261072263</v>
      </c>
      <c r="K356" s="317">
        <f t="shared" si="68"/>
        <v>0</v>
      </c>
      <c r="L356" s="317">
        <f t="shared" si="68"/>
        <v>0</v>
      </c>
      <c r="M356" s="317">
        <f t="shared" si="68"/>
        <v>0</v>
      </c>
      <c r="N356" s="317">
        <f t="shared" si="68"/>
        <v>0</v>
      </c>
      <c r="O356" s="317">
        <f t="shared" si="68"/>
        <v>0</v>
      </c>
      <c r="P356" s="317">
        <f t="shared" si="68"/>
        <v>0</v>
      </c>
      <c r="Q356" s="317">
        <f t="shared" si="68"/>
        <v>0</v>
      </c>
      <c r="R356" s="317">
        <f t="shared" si="68"/>
        <v>0</v>
      </c>
      <c r="S356" s="317">
        <f t="shared" si="68"/>
        <v>0</v>
      </c>
      <c r="T356" s="317">
        <f t="shared" si="67"/>
        <v>0</v>
      </c>
      <c r="U356" s="317">
        <f t="shared" si="67"/>
        <v>0</v>
      </c>
      <c r="V356" s="317">
        <f t="shared" si="67"/>
        <v>0</v>
      </c>
      <c r="W356" s="317">
        <f t="shared" si="67"/>
        <v>0</v>
      </c>
      <c r="X356" s="317">
        <f t="shared" si="67"/>
        <v>0</v>
      </c>
      <c r="Y356" s="317">
        <f t="shared" si="67"/>
        <v>0</v>
      </c>
      <c r="Z356" s="317">
        <f t="shared" si="67"/>
        <v>0</v>
      </c>
      <c r="AA356" s="317">
        <f t="shared" si="67"/>
        <v>0</v>
      </c>
      <c r="AB356" s="317">
        <f t="shared" si="67"/>
        <v>0</v>
      </c>
      <c r="AC356" s="317">
        <f t="shared" si="67"/>
        <v>0</v>
      </c>
      <c r="AD356" s="317">
        <f t="shared" si="67"/>
        <v>0</v>
      </c>
      <c r="AE356" s="318">
        <f t="shared" si="67"/>
        <v>0</v>
      </c>
    </row>
    <row r="357" spans="1:31">
      <c r="A357" s="1711"/>
      <c r="B357" s="116">
        <v>8</v>
      </c>
      <c r="C357" s="316">
        <v>0</v>
      </c>
      <c r="D357" s="317">
        <f t="shared" si="68"/>
        <v>2.5943975714285616</v>
      </c>
      <c r="E357" s="317">
        <f t="shared" si="68"/>
        <v>2.6147575058823493</v>
      </c>
      <c r="F357" s="317">
        <f t="shared" si="68"/>
        <v>2.6455705820105804</v>
      </c>
      <c r="G357" s="317">
        <f t="shared" si="68"/>
        <v>2.6116879365079351</v>
      </c>
      <c r="H357" s="317">
        <f t="shared" si="68"/>
        <v>2.5778052910052898</v>
      </c>
      <c r="I357" s="317">
        <f t="shared" si="68"/>
        <v>2.5439226455026445</v>
      </c>
      <c r="J357" s="317">
        <f t="shared" si="68"/>
        <v>2.51004</v>
      </c>
      <c r="K357" s="317">
        <f t="shared" si="68"/>
        <v>1.8284747261072263</v>
      </c>
      <c r="L357" s="317">
        <f t="shared" si="68"/>
        <v>0</v>
      </c>
      <c r="M357" s="317">
        <f t="shared" si="68"/>
        <v>0</v>
      </c>
      <c r="N357" s="317">
        <f t="shared" si="68"/>
        <v>0</v>
      </c>
      <c r="O357" s="317">
        <f t="shared" si="68"/>
        <v>0</v>
      </c>
      <c r="P357" s="317">
        <f t="shared" si="68"/>
        <v>0</v>
      </c>
      <c r="Q357" s="317">
        <f t="shared" si="68"/>
        <v>0</v>
      </c>
      <c r="R357" s="317">
        <f t="shared" si="68"/>
        <v>0</v>
      </c>
      <c r="S357" s="317">
        <f t="shared" si="68"/>
        <v>0</v>
      </c>
      <c r="T357" s="317">
        <f t="shared" si="67"/>
        <v>0</v>
      </c>
      <c r="U357" s="317">
        <f t="shared" si="67"/>
        <v>0</v>
      </c>
      <c r="V357" s="317">
        <f t="shared" si="67"/>
        <v>0</v>
      </c>
      <c r="W357" s="317">
        <f t="shared" si="67"/>
        <v>0</v>
      </c>
      <c r="X357" s="317">
        <f t="shared" si="67"/>
        <v>0</v>
      </c>
      <c r="Y357" s="317">
        <f t="shared" si="67"/>
        <v>0</v>
      </c>
      <c r="Z357" s="317">
        <f t="shared" si="67"/>
        <v>0</v>
      </c>
      <c r="AA357" s="317">
        <f t="shared" si="67"/>
        <v>0</v>
      </c>
      <c r="AB357" s="317">
        <f t="shared" si="67"/>
        <v>0</v>
      </c>
      <c r="AC357" s="317">
        <f t="shared" si="67"/>
        <v>0</v>
      </c>
      <c r="AD357" s="317">
        <f t="shared" si="67"/>
        <v>0</v>
      </c>
      <c r="AE357" s="318">
        <f t="shared" si="67"/>
        <v>0</v>
      </c>
    </row>
    <row r="358" spans="1:31">
      <c r="A358" s="1711"/>
      <c r="B358" s="116">
        <v>9</v>
      </c>
      <c r="C358" s="316">
        <v>0</v>
      </c>
      <c r="D358" s="317">
        <f t="shared" si="68"/>
        <v>0</v>
      </c>
      <c r="E358" s="317">
        <f t="shared" si="68"/>
        <v>2.5943975714285616</v>
      </c>
      <c r="F358" s="317">
        <f t="shared" si="68"/>
        <v>2.6147575058823493</v>
      </c>
      <c r="G358" s="317">
        <f t="shared" si="68"/>
        <v>2.6455705820105804</v>
      </c>
      <c r="H358" s="317">
        <f t="shared" si="68"/>
        <v>2.6116879365079351</v>
      </c>
      <c r="I358" s="317">
        <f t="shared" si="68"/>
        <v>2.5778052910052898</v>
      </c>
      <c r="J358" s="317">
        <f t="shared" si="68"/>
        <v>2.5439226455026445</v>
      </c>
      <c r="K358" s="317">
        <f t="shared" si="68"/>
        <v>2.51004</v>
      </c>
      <c r="L358" s="317">
        <f t="shared" si="68"/>
        <v>1.8284747261072263</v>
      </c>
      <c r="M358" s="317">
        <f t="shared" si="68"/>
        <v>0</v>
      </c>
      <c r="N358" s="317">
        <f t="shared" si="68"/>
        <v>0</v>
      </c>
      <c r="O358" s="317">
        <f t="shared" si="68"/>
        <v>0</v>
      </c>
      <c r="P358" s="317">
        <f t="shared" si="68"/>
        <v>0</v>
      </c>
      <c r="Q358" s="317">
        <f t="shared" si="68"/>
        <v>0</v>
      </c>
      <c r="R358" s="317">
        <f t="shared" si="68"/>
        <v>0</v>
      </c>
      <c r="S358" s="317">
        <f t="shared" si="68"/>
        <v>0</v>
      </c>
      <c r="T358" s="317">
        <f t="shared" si="67"/>
        <v>0</v>
      </c>
      <c r="U358" s="317">
        <f t="shared" si="67"/>
        <v>0</v>
      </c>
      <c r="V358" s="317">
        <f t="shared" si="67"/>
        <v>0</v>
      </c>
      <c r="W358" s="317">
        <f t="shared" si="67"/>
        <v>0</v>
      </c>
      <c r="X358" s="317">
        <f t="shared" si="67"/>
        <v>0</v>
      </c>
      <c r="Y358" s="317">
        <f t="shared" si="67"/>
        <v>0</v>
      </c>
      <c r="Z358" s="317">
        <f t="shared" si="67"/>
        <v>0</v>
      </c>
      <c r="AA358" s="317">
        <f t="shared" si="67"/>
        <v>0</v>
      </c>
      <c r="AB358" s="317">
        <f t="shared" si="67"/>
        <v>0</v>
      </c>
      <c r="AC358" s="317">
        <f t="shared" si="67"/>
        <v>0</v>
      </c>
      <c r="AD358" s="317">
        <f t="shared" si="67"/>
        <v>0</v>
      </c>
      <c r="AE358" s="318">
        <f t="shared" si="67"/>
        <v>0</v>
      </c>
    </row>
    <row r="359" spans="1:31">
      <c r="A359" s="1711"/>
      <c r="B359" s="116">
        <v>10</v>
      </c>
      <c r="C359" s="316">
        <v>0</v>
      </c>
      <c r="D359" s="317">
        <f t="shared" si="68"/>
        <v>0</v>
      </c>
      <c r="E359" s="317">
        <f t="shared" si="68"/>
        <v>0</v>
      </c>
      <c r="F359" s="317">
        <f t="shared" si="68"/>
        <v>2.5943975714285616</v>
      </c>
      <c r="G359" s="317">
        <f t="shared" si="68"/>
        <v>2.6147575058823493</v>
      </c>
      <c r="H359" s="317">
        <f t="shared" si="68"/>
        <v>2.6455705820105804</v>
      </c>
      <c r="I359" s="317">
        <f t="shared" si="68"/>
        <v>2.6116879365079351</v>
      </c>
      <c r="J359" s="317">
        <f t="shared" si="68"/>
        <v>2.5778052910052898</v>
      </c>
      <c r="K359" s="317">
        <f t="shared" si="68"/>
        <v>2.5439226455026445</v>
      </c>
      <c r="L359" s="317">
        <f t="shared" si="68"/>
        <v>2.51004</v>
      </c>
      <c r="M359" s="317">
        <f t="shared" si="68"/>
        <v>1.8284747261072263</v>
      </c>
      <c r="N359" s="317">
        <f t="shared" si="68"/>
        <v>0</v>
      </c>
      <c r="O359" s="317">
        <f t="shared" si="68"/>
        <v>0</v>
      </c>
      <c r="P359" s="317">
        <f t="shared" si="68"/>
        <v>0</v>
      </c>
      <c r="Q359" s="317">
        <f t="shared" si="68"/>
        <v>0</v>
      </c>
      <c r="R359" s="317">
        <f t="shared" si="68"/>
        <v>0</v>
      </c>
      <c r="S359" s="317">
        <f t="shared" si="68"/>
        <v>0</v>
      </c>
      <c r="T359" s="317">
        <f t="shared" si="67"/>
        <v>0</v>
      </c>
      <c r="U359" s="317">
        <f t="shared" si="67"/>
        <v>0</v>
      </c>
      <c r="V359" s="317">
        <f t="shared" si="67"/>
        <v>0</v>
      </c>
      <c r="W359" s="317">
        <f t="shared" si="67"/>
        <v>0</v>
      </c>
      <c r="X359" s="317">
        <f t="shared" si="67"/>
        <v>0</v>
      </c>
      <c r="Y359" s="317">
        <f t="shared" si="67"/>
        <v>0</v>
      </c>
      <c r="Z359" s="317">
        <f t="shared" si="67"/>
        <v>0</v>
      </c>
      <c r="AA359" s="317">
        <f t="shared" si="67"/>
        <v>0</v>
      </c>
      <c r="AB359" s="317">
        <f t="shared" si="67"/>
        <v>0</v>
      </c>
      <c r="AC359" s="317">
        <f t="shared" si="67"/>
        <v>0</v>
      </c>
      <c r="AD359" s="317">
        <f t="shared" si="67"/>
        <v>0</v>
      </c>
      <c r="AE359" s="318">
        <f t="shared" si="67"/>
        <v>0</v>
      </c>
    </row>
    <row r="360" spans="1:31">
      <c r="A360" s="1711"/>
      <c r="B360" s="116">
        <v>11</v>
      </c>
      <c r="C360" s="316">
        <v>0</v>
      </c>
      <c r="D360" s="317">
        <f t="shared" si="68"/>
        <v>0</v>
      </c>
      <c r="E360" s="317">
        <f t="shared" si="68"/>
        <v>0</v>
      </c>
      <c r="F360" s="317">
        <f t="shared" si="68"/>
        <v>0</v>
      </c>
      <c r="G360" s="317">
        <f t="shared" si="68"/>
        <v>2.5943975714285616</v>
      </c>
      <c r="H360" s="317">
        <f t="shared" si="68"/>
        <v>2.6147575058823493</v>
      </c>
      <c r="I360" s="317">
        <f t="shared" si="68"/>
        <v>2.6455705820105804</v>
      </c>
      <c r="J360" s="317">
        <f t="shared" si="68"/>
        <v>2.6116879365079351</v>
      </c>
      <c r="K360" s="317">
        <f t="shared" si="68"/>
        <v>2.5778052910052898</v>
      </c>
      <c r="L360" s="317">
        <f t="shared" si="68"/>
        <v>2.5439226455026445</v>
      </c>
      <c r="M360" s="317">
        <f t="shared" si="68"/>
        <v>2.51004</v>
      </c>
      <c r="N360" s="317">
        <f t="shared" si="68"/>
        <v>1.8284747261072263</v>
      </c>
      <c r="O360" s="317">
        <f t="shared" si="68"/>
        <v>0</v>
      </c>
      <c r="P360" s="317">
        <f t="shared" si="68"/>
        <v>0</v>
      </c>
      <c r="Q360" s="317">
        <f t="shared" si="68"/>
        <v>0</v>
      </c>
      <c r="R360" s="317">
        <f t="shared" si="68"/>
        <v>0</v>
      </c>
      <c r="S360" s="317">
        <f t="shared" si="68"/>
        <v>0</v>
      </c>
      <c r="T360" s="317">
        <f t="shared" si="67"/>
        <v>0</v>
      </c>
      <c r="U360" s="317">
        <f t="shared" si="67"/>
        <v>0</v>
      </c>
      <c r="V360" s="317">
        <f t="shared" si="67"/>
        <v>0</v>
      </c>
      <c r="W360" s="317">
        <f t="shared" si="67"/>
        <v>0</v>
      </c>
      <c r="X360" s="317">
        <f t="shared" si="67"/>
        <v>0</v>
      </c>
      <c r="Y360" s="317">
        <f t="shared" si="67"/>
        <v>0</v>
      </c>
      <c r="Z360" s="317">
        <f t="shared" si="67"/>
        <v>0</v>
      </c>
      <c r="AA360" s="317">
        <f t="shared" si="67"/>
        <v>0</v>
      </c>
      <c r="AB360" s="317">
        <f t="shared" si="67"/>
        <v>0</v>
      </c>
      <c r="AC360" s="317">
        <f t="shared" si="67"/>
        <v>0</v>
      </c>
      <c r="AD360" s="317">
        <f t="shared" si="67"/>
        <v>0</v>
      </c>
      <c r="AE360" s="318">
        <f t="shared" si="67"/>
        <v>0</v>
      </c>
    </row>
    <row r="361" spans="1:31">
      <c r="A361" s="1711"/>
      <c r="B361" s="116">
        <v>12</v>
      </c>
      <c r="C361" s="316">
        <v>0</v>
      </c>
      <c r="D361" s="317">
        <f t="shared" si="68"/>
        <v>0</v>
      </c>
      <c r="E361" s="317">
        <f t="shared" si="68"/>
        <v>0</v>
      </c>
      <c r="F361" s="317">
        <f t="shared" si="68"/>
        <v>0</v>
      </c>
      <c r="G361" s="317">
        <f t="shared" si="68"/>
        <v>0</v>
      </c>
      <c r="H361" s="317">
        <f t="shared" si="68"/>
        <v>2.5943975714285616</v>
      </c>
      <c r="I361" s="317">
        <f t="shared" si="68"/>
        <v>2.6147575058823493</v>
      </c>
      <c r="J361" s="317">
        <f t="shared" si="68"/>
        <v>2.6455705820105804</v>
      </c>
      <c r="K361" s="317">
        <f t="shared" si="68"/>
        <v>2.6116879365079351</v>
      </c>
      <c r="L361" s="317">
        <f t="shared" si="68"/>
        <v>2.5778052910052898</v>
      </c>
      <c r="M361" s="317">
        <f t="shared" si="68"/>
        <v>2.5439226455026445</v>
      </c>
      <c r="N361" s="317">
        <f t="shared" si="68"/>
        <v>2.51004</v>
      </c>
      <c r="O361" s="317">
        <f t="shared" si="68"/>
        <v>1.8284747261072263</v>
      </c>
      <c r="P361" s="317">
        <f t="shared" si="68"/>
        <v>0</v>
      </c>
      <c r="Q361" s="317">
        <f t="shared" si="68"/>
        <v>0</v>
      </c>
      <c r="R361" s="317">
        <f t="shared" si="68"/>
        <v>0</v>
      </c>
      <c r="S361" s="317">
        <f t="shared" si="68"/>
        <v>0</v>
      </c>
      <c r="T361" s="317">
        <f t="shared" si="67"/>
        <v>0</v>
      </c>
      <c r="U361" s="317">
        <f t="shared" si="67"/>
        <v>0</v>
      </c>
      <c r="V361" s="317">
        <f t="shared" si="67"/>
        <v>0</v>
      </c>
      <c r="W361" s="317">
        <f t="shared" si="67"/>
        <v>0</v>
      </c>
      <c r="X361" s="317">
        <f t="shared" si="67"/>
        <v>0</v>
      </c>
      <c r="Y361" s="317">
        <f t="shared" si="67"/>
        <v>0</v>
      </c>
      <c r="Z361" s="317">
        <f t="shared" si="67"/>
        <v>0</v>
      </c>
      <c r="AA361" s="317">
        <f t="shared" si="67"/>
        <v>0</v>
      </c>
      <c r="AB361" s="317">
        <f t="shared" si="67"/>
        <v>0</v>
      </c>
      <c r="AC361" s="317">
        <f t="shared" si="67"/>
        <v>0</v>
      </c>
      <c r="AD361" s="317">
        <f t="shared" si="67"/>
        <v>0</v>
      </c>
      <c r="AE361" s="318">
        <f t="shared" si="67"/>
        <v>0</v>
      </c>
    </row>
    <row r="362" spans="1:31">
      <c r="A362" s="1711"/>
      <c r="B362" s="116">
        <v>13</v>
      </c>
      <c r="C362" s="316">
        <v>0</v>
      </c>
      <c r="D362" s="317">
        <f t="shared" si="68"/>
        <v>0</v>
      </c>
      <c r="E362" s="317">
        <f t="shared" si="68"/>
        <v>0</v>
      </c>
      <c r="F362" s="317">
        <f t="shared" si="68"/>
        <v>0</v>
      </c>
      <c r="G362" s="317">
        <f t="shared" si="68"/>
        <v>0</v>
      </c>
      <c r="H362" s="317">
        <f t="shared" si="68"/>
        <v>0</v>
      </c>
      <c r="I362" s="317">
        <f t="shared" si="68"/>
        <v>2.5943975714285616</v>
      </c>
      <c r="J362" s="317">
        <f t="shared" si="68"/>
        <v>2.6147575058823493</v>
      </c>
      <c r="K362" s="317">
        <f t="shared" si="68"/>
        <v>2.6455705820105804</v>
      </c>
      <c r="L362" s="317">
        <f t="shared" si="68"/>
        <v>2.6116879365079351</v>
      </c>
      <c r="M362" s="317">
        <f t="shared" si="68"/>
        <v>2.5778052910052898</v>
      </c>
      <c r="N362" s="317">
        <f t="shared" si="68"/>
        <v>2.5439226455026445</v>
      </c>
      <c r="O362" s="317">
        <f t="shared" si="68"/>
        <v>2.51004</v>
      </c>
      <c r="P362" s="317">
        <f t="shared" si="68"/>
        <v>1.8284747261072263</v>
      </c>
      <c r="Q362" s="317">
        <f t="shared" si="68"/>
        <v>0</v>
      </c>
      <c r="R362" s="317">
        <f t="shared" si="68"/>
        <v>0</v>
      </c>
      <c r="S362" s="317">
        <f t="shared" si="68"/>
        <v>0</v>
      </c>
      <c r="T362" s="317">
        <f t="shared" si="67"/>
        <v>0</v>
      </c>
      <c r="U362" s="317">
        <f t="shared" si="67"/>
        <v>0</v>
      </c>
      <c r="V362" s="317">
        <f t="shared" si="67"/>
        <v>0</v>
      </c>
      <c r="W362" s="317">
        <f t="shared" si="67"/>
        <v>0</v>
      </c>
      <c r="X362" s="317">
        <f t="shared" si="67"/>
        <v>0</v>
      </c>
      <c r="Y362" s="317">
        <f t="shared" si="67"/>
        <v>0</v>
      </c>
      <c r="Z362" s="317">
        <f t="shared" si="67"/>
        <v>0</v>
      </c>
      <c r="AA362" s="317">
        <f t="shared" si="67"/>
        <v>0</v>
      </c>
      <c r="AB362" s="317">
        <f t="shared" si="67"/>
        <v>0</v>
      </c>
      <c r="AC362" s="317">
        <f t="shared" si="67"/>
        <v>0</v>
      </c>
      <c r="AD362" s="317">
        <f t="shared" si="67"/>
        <v>0</v>
      </c>
      <c r="AE362" s="318">
        <f t="shared" si="67"/>
        <v>0</v>
      </c>
    </row>
    <row r="363" spans="1:31">
      <c r="A363" s="1711"/>
      <c r="B363" s="116">
        <v>14</v>
      </c>
      <c r="C363" s="316">
        <v>0</v>
      </c>
      <c r="D363" s="317">
        <f t="shared" si="68"/>
        <v>0</v>
      </c>
      <c r="E363" s="317">
        <f t="shared" si="68"/>
        <v>0</v>
      </c>
      <c r="F363" s="317">
        <f t="shared" si="68"/>
        <v>0</v>
      </c>
      <c r="G363" s="317">
        <f t="shared" si="68"/>
        <v>0</v>
      </c>
      <c r="H363" s="317">
        <f t="shared" si="68"/>
        <v>0</v>
      </c>
      <c r="I363" s="317">
        <f t="shared" si="68"/>
        <v>0</v>
      </c>
      <c r="J363" s="317">
        <f t="shared" si="68"/>
        <v>2.5943975714285616</v>
      </c>
      <c r="K363" s="317">
        <f t="shared" si="68"/>
        <v>2.6147575058823493</v>
      </c>
      <c r="L363" s="317">
        <f t="shared" si="68"/>
        <v>2.6455705820105804</v>
      </c>
      <c r="M363" s="317">
        <f t="shared" si="68"/>
        <v>2.6116879365079351</v>
      </c>
      <c r="N363" s="317">
        <f t="shared" si="68"/>
        <v>2.5778052910052898</v>
      </c>
      <c r="O363" s="317">
        <f t="shared" si="68"/>
        <v>2.5439226455026445</v>
      </c>
      <c r="P363" s="317">
        <f t="shared" si="68"/>
        <v>2.51004</v>
      </c>
      <c r="Q363" s="317">
        <f t="shared" si="68"/>
        <v>1.8284747261072263</v>
      </c>
      <c r="R363" s="317">
        <f t="shared" si="68"/>
        <v>0</v>
      </c>
      <c r="S363" s="317">
        <f t="shared" si="68"/>
        <v>0</v>
      </c>
      <c r="T363" s="317">
        <f t="shared" si="67"/>
        <v>0</v>
      </c>
      <c r="U363" s="317">
        <f t="shared" si="67"/>
        <v>0</v>
      </c>
      <c r="V363" s="317">
        <f t="shared" si="67"/>
        <v>0</v>
      </c>
      <c r="W363" s="317">
        <f t="shared" si="67"/>
        <v>0</v>
      </c>
      <c r="X363" s="317">
        <f t="shared" si="67"/>
        <v>0</v>
      </c>
      <c r="Y363" s="317">
        <f t="shared" si="67"/>
        <v>0</v>
      </c>
      <c r="Z363" s="317">
        <f t="shared" si="67"/>
        <v>0</v>
      </c>
      <c r="AA363" s="317">
        <f t="shared" si="67"/>
        <v>0</v>
      </c>
      <c r="AB363" s="317">
        <f t="shared" si="67"/>
        <v>0</v>
      </c>
      <c r="AC363" s="317">
        <f t="shared" si="67"/>
        <v>0</v>
      </c>
      <c r="AD363" s="317">
        <f t="shared" si="67"/>
        <v>0</v>
      </c>
      <c r="AE363" s="318">
        <f t="shared" si="67"/>
        <v>0</v>
      </c>
    </row>
    <row r="364" spans="1:31">
      <c r="A364" s="1711"/>
      <c r="B364" s="116">
        <v>15</v>
      </c>
      <c r="C364" s="316">
        <v>0</v>
      </c>
      <c r="D364" s="317">
        <f t="shared" si="68"/>
        <v>0</v>
      </c>
      <c r="E364" s="317">
        <f t="shared" si="68"/>
        <v>0</v>
      </c>
      <c r="F364" s="317">
        <f t="shared" si="68"/>
        <v>0</v>
      </c>
      <c r="G364" s="317">
        <f t="shared" si="68"/>
        <v>0</v>
      </c>
      <c r="H364" s="317">
        <f t="shared" si="68"/>
        <v>0</v>
      </c>
      <c r="I364" s="317">
        <f t="shared" si="68"/>
        <v>0</v>
      </c>
      <c r="J364" s="317">
        <f t="shared" si="68"/>
        <v>0</v>
      </c>
      <c r="K364" s="317">
        <f t="shared" si="68"/>
        <v>2.5943975714285616</v>
      </c>
      <c r="L364" s="317">
        <f t="shared" si="68"/>
        <v>2.6147575058823493</v>
      </c>
      <c r="M364" s="317">
        <f t="shared" si="68"/>
        <v>2.6455705820105804</v>
      </c>
      <c r="N364" s="317">
        <f t="shared" si="68"/>
        <v>2.6116879365079351</v>
      </c>
      <c r="O364" s="317">
        <f t="shared" si="68"/>
        <v>2.5778052910052898</v>
      </c>
      <c r="P364" s="317">
        <f t="shared" si="68"/>
        <v>2.5439226455026445</v>
      </c>
      <c r="Q364" s="317">
        <f t="shared" si="68"/>
        <v>2.51004</v>
      </c>
      <c r="R364" s="317">
        <f t="shared" si="68"/>
        <v>1.8284747261072263</v>
      </c>
      <c r="S364" s="317">
        <f t="shared" si="68"/>
        <v>0</v>
      </c>
      <c r="T364" s="317">
        <f t="shared" si="67"/>
        <v>0</v>
      </c>
      <c r="U364" s="317">
        <f t="shared" si="67"/>
        <v>0</v>
      </c>
      <c r="V364" s="317">
        <f t="shared" si="67"/>
        <v>0</v>
      </c>
      <c r="W364" s="317">
        <f t="shared" si="67"/>
        <v>0</v>
      </c>
      <c r="X364" s="317">
        <f t="shared" si="67"/>
        <v>0</v>
      </c>
      <c r="Y364" s="317">
        <f t="shared" si="67"/>
        <v>0</v>
      </c>
      <c r="Z364" s="317">
        <f t="shared" si="67"/>
        <v>0</v>
      </c>
      <c r="AA364" s="317">
        <f t="shared" si="67"/>
        <v>0</v>
      </c>
      <c r="AB364" s="317">
        <f t="shared" si="67"/>
        <v>0</v>
      </c>
      <c r="AC364" s="317">
        <f t="shared" si="67"/>
        <v>0</v>
      </c>
      <c r="AD364" s="317">
        <f t="shared" si="67"/>
        <v>0</v>
      </c>
      <c r="AE364" s="318">
        <f t="shared" si="67"/>
        <v>0</v>
      </c>
    </row>
    <row r="365" spans="1:31">
      <c r="A365" s="1711"/>
      <c r="B365" s="116">
        <v>16</v>
      </c>
      <c r="C365" s="316">
        <v>0</v>
      </c>
      <c r="D365" s="317">
        <f t="shared" si="68"/>
        <v>0</v>
      </c>
      <c r="E365" s="317">
        <f t="shared" si="68"/>
        <v>0</v>
      </c>
      <c r="F365" s="317">
        <f t="shared" si="68"/>
        <v>0</v>
      </c>
      <c r="G365" s="317">
        <f t="shared" si="68"/>
        <v>0</v>
      </c>
      <c r="H365" s="317">
        <f t="shared" si="68"/>
        <v>0</v>
      </c>
      <c r="I365" s="317">
        <f t="shared" si="68"/>
        <v>0</v>
      </c>
      <c r="J365" s="317">
        <f t="shared" si="68"/>
        <v>0</v>
      </c>
      <c r="K365" s="317">
        <f t="shared" si="68"/>
        <v>0</v>
      </c>
      <c r="L365" s="317">
        <f t="shared" si="68"/>
        <v>2.5943975714285616</v>
      </c>
      <c r="M365" s="317">
        <f t="shared" si="68"/>
        <v>2.6147575058823493</v>
      </c>
      <c r="N365" s="317">
        <f t="shared" si="68"/>
        <v>2.6455705820105804</v>
      </c>
      <c r="O365" s="317">
        <f t="shared" si="68"/>
        <v>2.6116879365079351</v>
      </c>
      <c r="P365" s="317">
        <f t="shared" si="68"/>
        <v>2.5778052910052898</v>
      </c>
      <c r="Q365" s="317">
        <f t="shared" si="68"/>
        <v>2.5439226455026445</v>
      </c>
      <c r="R365" s="317">
        <f t="shared" si="68"/>
        <v>2.51004</v>
      </c>
      <c r="S365" s="317">
        <f t="shared" si="68"/>
        <v>1.8284747261072263</v>
      </c>
      <c r="T365" s="317">
        <f t="shared" si="67"/>
        <v>0</v>
      </c>
      <c r="U365" s="317">
        <f t="shared" si="67"/>
        <v>0</v>
      </c>
      <c r="V365" s="317">
        <f t="shared" si="67"/>
        <v>0</v>
      </c>
      <c r="W365" s="317">
        <f t="shared" si="67"/>
        <v>0</v>
      </c>
      <c r="X365" s="317">
        <f t="shared" si="67"/>
        <v>0</v>
      </c>
      <c r="Y365" s="317">
        <f t="shared" si="67"/>
        <v>0</v>
      </c>
      <c r="Z365" s="317">
        <f t="shared" si="67"/>
        <v>0</v>
      </c>
      <c r="AA365" s="317">
        <f t="shared" si="67"/>
        <v>0</v>
      </c>
      <c r="AB365" s="317">
        <f t="shared" si="67"/>
        <v>0</v>
      </c>
      <c r="AC365" s="317">
        <f t="shared" si="67"/>
        <v>0</v>
      </c>
      <c r="AD365" s="317">
        <f t="shared" si="67"/>
        <v>0</v>
      </c>
      <c r="AE365" s="318">
        <f t="shared" si="67"/>
        <v>0</v>
      </c>
    </row>
    <row r="366" spans="1:31">
      <c r="A366" s="1711"/>
      <c r="B366" s="116">
        <v>17</v>
      </c>
      <c r="C366" s="316">
        <v>0</v>
      </c>
      <c r="D366" s="317">
        <f t="shared" si="68"/>
        <v>0</v>
      </c>
      <c r="E366" s="317">
        <f t="shared" si="68"/>
        <v>0</v>
      </c>
      <c r="F366" s="317">
        <f t="shared" si="68"/>
        <v>0</v>
      </c>
      <c r="G366" s="317">
        <f t="shared" si="68"/>
        <v>0</v>
      </c>
      <c r="H366" s="317">
        <f t="shared" si="68"/>
        <v>0</v>
      </c>
      <c r="I366" s="317">
        <f t="shared" si="68"/>
        <v>0</v>
      </c>
      <c r="J366" s="317">
        <f t="shared" si="68"/>
        <v>0</v>
      </c>
      <c r="K366" s="317">
        <f t="shared" si="68"/>
        <v>0</v>
      </c>
      <c r="L366" s="317">
        <f t="shared" si="68"/>
        <v>0</v>
      </c>
      <c r="M366" s="317">
        <f t="shared" si="68"/>
        <v>2.5943975714285616</v>
      </c>
      <c r="N366" s="317">
        <f t="shared" si="68"/>
        <v>2.6147575058823493</v>
      </c>
      <c r="O366" s="317">
        <f t="shared" si="68"/>
        <v>2.6455705820105804</v>
      </c>
      <c r="P366" s="317">
        <f t="shared" si="68"/>
        <v>2.6116879365079351</v>
      </c>
      <c r="Q366" s="317">
        <f t="shared" si="68"/>
        <v>2.5778052910052898</v>
      </c>
      <c r="R366" s="317">
        <f t="shared" si="68"/>
        <v>2.5439226455026445</v>
      </c>
      <c r="S366" s="317">
        <f t="shared" ref="S366:AE374" si="69">R365</f>
        <v>2.51004</v>
      </c>
      <c r="T366" s="317">
        <f t="shared" si="69"/>
        <v>1.8284747261072263</v>
      </c>
      <c r="U366" s="317">
        <f t="shared" si="69"/>
        <v>0</v>
      </c>
      <c r="V366" s="317">
        <f t="shared" si="69"/>
        <v>0</v>
      </c>
      <c r="W366" s="317">
        <f t="shared" si="69"/>
        <v>0</v>
      </c>
      <c r="X366" s="317">
        <f t="shared" si="69"/>
        <v>0</v>
      </c>
      <c r="Y366" s="317">
        <f t="shared" si="69"/>
        <v>0</v>
      </c>
      <c r="Z366" s="317">
        <f t="shared" si="69"/>
        <v>0</v>
      </c>
      <c r="AA366" s="317">
        <f t="shared" si="69"/>
        <v>0</v>
      </c>
      <c r="AB366" s="317">
        <f t="shared" si="69"/>
        <v>0</v>
      </c>
      <c r="AC366" s="317">
        <f t="shared" si="69"/>
        <v>0</v>
      </c>
      <c r="AD366" s="317">
        <f t="shared" si="69"/>
        <v>0</v>
      </c>
      <c r="AE366" s="318">
        <f t="shared" si="69"/>
        <v>0</v>
      </c>
    </row>
    <row r="367" spans="1:31">
      <c r="A367" s="1711"/>
      <c r="B367" s="116">
        <v>18</v>
      </c>
      <c r="C367" s="316">
        <v>0</v>
      </c>
      <c r="D367" s="317">
        <f t="shared" ref="D367:S374" si="70">C366</f>
        <v>0</v>
      </c>
      <c r="E367" s="317">
        <f t="shared" si="70"/>
        <v>0</v>
      </c>
      <c r="F367" s="317">
        <f t="shared" si="70"/>
        <v>0</v>
      </c>
      <c r="G367" s="317">
        <f t="shared" si="70"/>
        <v>0</v>
      </c>
      <c r="H367" s="317">
        <f t="shared" si="70"/>
        <v>0</v>
      </c>
      <c r="I367" s="317">
        <f t="shared" si="70"/>
        <v>0</v>
      </c>
      <c r="J367" s="317">
        <f t="shared" si="70"/>
        <v>0</v>
      </c>
      <c r="K367" s="317">
        <f t="shared" si="70"/>
        <v>0</v>
      </c>
      <c r="L367" s="317">
        <f t="shared" si="70"/>
        <v>0</v>
      </c>
      <c r="M367" s="317">
        <f t="shared" si="70"/>
        <v>0</v>
      </c>
      <c r="N367" s="317">
        <f t="shared" si="70"/>
        <v>2.5943975714285616</v>
      </c>
      <c r="O367" s="317">
        <f t="shared" si="70"/>
        <v>2.6147575058823493</v>
      </c>
      <c r="P367" s="317">
        <f t="shared" si="70"/>
        <v>2.6455705820105804</v>
      </c>
      <c r="Q367" s="317">
        <f t="shared" si="70"/>
        <v>2.6116879365079351</v>
      </c>
      <c r="R367" s="317">
        <f t="shared" si="70"/>
        <v>2.5778052910052898</v>
      </c>
      <c r="S367" s="317">
        <f t="shared" si="70"/>
        <v>2.5439226455026445</v>
      </c>
      <c r="T367" s="317">
        <f t="shared" si="69"/>
        <v>2.51004</v>
      </c>
      <c r="U367" s="317">
        <f t="shared" si="69"/>
        <v>1.8284747261072263</v>
      </c>
      <c r="V367" s="317">
        <f t="shared" si="69"/>
        <v>0</v>
      </c>
      <c r="W367" s="317">
        <f t="shared" si="69"/>
        <v>0</v>
      </c>
      <c r="X367" s="317">
        <f t="shared" si="69"/>
        <v>0</v>
      </c>
      <c r="Y367" s="317">
        <f t="shared" si="69"/>
        <v>0</v>
      </c>
      <c r="Z367" s="317">
        <f t="shared" si="69"/>
        <v>0</v>
      </c>
      <c r="AA367" s="317">
        <f t="shared" si="69"/>
        <v>0</v>
      </c>
      <c r="AB367" s="317">
        <f t="shared" si="69"/>
        <v>0</v>
      </c>
      <c r="AC367" s="317">
        <f t="shared" si="69"/>
        <v>0</v>
      </c>
      <c r="AD367" s="317">
        <f t="shared" si="69"/>
        <v>0</v>
      </c>
      <c r="AE367" s="318">
        <f t="shared" si="69"/>
        <v>0</v>
      </c>
    </row>
    <row r="368" spans="1:31">
      <c r="A368" s="1711"/>
      <c r="B368" s="116">
        <v>19</v>
      </c>
      <c r="C368" s="316">
        <v>0</v>
      </c>
      <c r="D368" s="317">
        <f t="shared" si="70"/>
        <v>0</v>
      </c>
      <c r="E368" s="317">
        <f t="shared" si="70"/>
        <v>0</v>
      </c>
      <c r="F368" s="317">
        <f t="shared" si="70"/>
        <v>0</v>
      </c>
      <c r="G368" s="317">
        <f t="shared" si="70"/>
        <v>0</v>
      </c>
      <c r="H368" s="317">
        <f t="shared" si="70"/>
        <v>0</v>
      </c>
      <c r="I368" s="317">
        <f t="shared" si="70"/>
        <v>0</v>
      </c>
      <c r="J368" s="317">
        <f t="shared" si="70"/>
        <v>0</v>
      </c>
      <c r="K368" s="317">
        <f t="shared" si="70"/>
        <v>0</v>
      </c>
      <c r="L368" s="317">
        <f t="shared" si="70"/>
        <v>0</v>
      </c>
      <c r="M368" s="317">
        <f t="shared" si="70"/>
        <v>0</v>
      </c>
      <c r="N368" s="317">
        <f t="shared" si="70"/>
        <v>0</v>
      </c>
      <c r="O368" s="317">
        <f t="shared" si="70"/>
        <v>2.5943975714285616</v>
      </c>
      <c r="P368" s="317">
        <f t="shared" si="70"/>
        <v>2.6147575058823493</v>
      </c>
      <c r="Q368" s="317">
        <f t="shared" si="70"/>
        <v>2.6455705820105804</v>
      </c>
      <c r="R368" s="317">
        <f t="shared" si="70"/>
        <v>2.6116879365079351</v>
      </c>
      <c r="S368" s="317">
        <f t="shared" si="70"/>
        <v>2.5778052910052898</v>
      </c>
      <c r="T368" s="317">
        <f t="shared" si="69"/>
        <v>2.5439226455026445</v>
      </c>
      <c r="U368" s="317">
        <f t="shared" si="69"/>
        <v>2.51004</v>
      </c>
      <c r="V368" s="317">
        <f t="shared" si="69"/>
        <v>1.8284747261072263</v>
      </c>
      <c r="W368" s="317">
        <f t="shared" si="69"/>
        <v>0</v>
      </c>
      <c r="X368" s="317">
        <f t="shared" si="69"/>
        <v>0</v>
      </c>
      <c r="Y368" s="317">
        <f t="shared" si="69"/>
        <v>0</v>
      </c>
      <c r="Z368" s="317">
        <f t="shared" si="69"/>
        <v>0</v>
      </c>
      <c r="AA368" s="317">
        <f t="shared" si="69"/>
        <v>0</v>
      </c>
      <c r="AB368" s="317">
        <f t="shared" si="69"/>
        <v>0</v>
      </c>
      <c r="AC368" s="317">
        <f t="shared" si="69"/>
        <v>0</v>
      </c>
      <c r="AD368" s="317">
        <f t="shared" si="69"/>
        <v>0</v>
      </c>
      <c r="AE368" s="318">
        <f t="shared" si="69"/>
        <v>0</v>
      </c>
    </row>
    <row r="369" spans="1:31">
      <c r="A369" s="1711"/>
      <c r="B369" s="116">
        <v>20</v>
      </c>
      <c r="C369" s="316">
        <v>0</v>
      </c>
      <c r="D369" s="317">
        <f t="shared" si="70"/>
        <v>0</v>
      </c>
      <c r="E369" s="317">
        <f t="shared" si="70"/>
        <v>0</v>
      </c>
      <c r="F369" s="317">
        <f t="shared" si="70"/>
        <v>0</v>
      </c>
      <c r="G369" s="317">
        <f t="shared" si="70"/>
        <v>0</v>
      </c>
      <c r="H369" s="317">
        <f t="shared" si="70"/>
        <v>0</v>
      </c>
      <c r="I369" s="317">
        <f t="shared" si="70"/>
        <v>0</v>
      </c>
      <c r="J369" s="317">
        <f t="shared" si="70"/>
        <v>0</v>
      </c>
      <c r="K369" s="317">
        <f t="shared" si="70"/>
        <v>0</v>
      </c>
      <c r="L369" s="317">
        <f t="shared" si="70"/>
        <v>0</v>
      </c>
      <c r="M369" s="317">
        <f t="shared" si="70"/>
        <v>0</v>
      </c>
      <c r="N369" s="317">
        <f t="shared" si="70"/>
        <v>0</v>
      </c>
      <c r="O369" s="317">
        <f t="shared" si="70"/>
        <v>0</v>
      </c>
      <c r="P369" s="317">
        <f t="shared" si="70"/>
        <v>2.5943975714285616</v>
      </c>
      <c r="Q369" s="317">
        <f t="shared" si="70"/>
        <v>2.6147575058823493</v>
      </c>
      <c r="R369" s="317">
        <f t="shared" si="70"/>
        <v>2.6455705820105804</v>
      </c>
      <c r="S369" s="317">
        <f t="shared" si="70"/>
        <v>2.6116879365079351</v>
      </c>
      <c r="T369" s="317">
        <f t="shared" si="69"/>
        <v>2.5778052910052898</v>
      </c>
      <c r="U369" s="317">
        <f t="shared" si="69"/>
        <v>2.5439226455026445</v>
      </c>
      <c r="V369" s="317">
        <f t="shared" si="69"/>
        <v>2.51004</v>
      </c>
      <c r="W369" s="317">
        <f t="shared" si="69"/>
        <v>1.8284747261072263</v>
      </c>
      <c r="X369" s="317">
        <f t="shared" si="69"/>
        <v>0</v>
      </c>
      <c r="Y369" s="317">
        <f t="shared" si="69"/>
        <v>0</v>
      </c>
      <c r="Z369" s="317">
        <f t="shared" si="69"/>
        <v>0</v>
      </c>
      <c r="AA369" s="317">
        <f t="shared" si="69"/>
        <v>0</v>
      </c>
      <c r="AB369" s="317">
        <f t="shared" si="69"/>
        <v>0</v>
      </c>
      <c r="AC369" s="317">
        <f t="shared" si="69"/>
        <v>0</v>
      </c>
      <c r="AD369" s="317">
        <f t="shared" si="69"/>
        <v>0</v>
      </c>
      <c r="AE369" s="318">
        <f t="shared" si="69"/>
        <v>0</v>
      </c>
    </row>
    <row r="370" spans="1:31">
      <c r="A370" s="1711"/>
      <c r="B370" s="116">
        <v>21</v>
      </c>
      <c r="C370" s="316">
        <v>0</v>
      </c>
      <c r="D370" s="317">
        <f t="shared" si="70"/>
        <v>0</v>
      </c>
      <c r="E370" s="317">
        <f t="shared" si="70"/>
        <v>0</v>
      </c>
      <c r="F370" s="317">
        <f t="shared" si="70"/>
        <v>0</v>
      </c>
      <c r="G370" s="317">
        <f t="shared" si="70"/>
        <v>0</v>
      </c>
      <c r="H370" s="317">
        <f t="shared" si="70"/>
        <v>0</v>
      </c>
      <c r="I370" s="317">
        <f t="shared" si="70"/>
        <v>0</v>
      </c>
      <c r="J370" s="317">
        <f t="shared" si="70"/>
        <v>0</v>
      </c>
      <c r="K370" s="317">
        <f t="shared" si="70"/>
        <v>0</v>
      </c>
      <c r="L370" s="317">
        <f t="shared" si="70"/>
        <v>0</v>
      </c>
      <c r="M370" s="317">
        <f t="shared" si="70"/>
        <v>0</v>
      </c>
      <c r="N370" s="317">
        <f t="shared" si="70"/>
        <v>0</v>
      </c>
      <c r="O370" s="317">
        <f t="shared" si="70"/>
        <v>0</v>
      </c>
      <c r="P370" s="317">
        <f t="shared" si="70"/>
        <v>0</v>
      </c>
      <c r="Q370" s="317">
        <f t="shared" si="70"/>
        <v>2.5943975714285616</v>
      </c>
      <c r="R370" s="317">
        <f t="shared" si="70"/>
        <v>2.6147575058823493</v>
      </c>
      <c r="S370" s="317">
        <f t="shared" si="70"/>
        <v>2.6455705820105804</v>
      </c>
      <c r="T370" s="317">
        <f t="shared" si="69"/>
        <v>2.6116879365079351</v>
      </c>
      <c r="U370" s="317">
        <f t="shared" si="69"/>
        <v>2.5778052910052898</v>
      </c>
      <c r="V370" s="317">
        <f t="shared" si="69"/>
        <v>2.5439226455026445</v>
      </c>
      <c r="W370" s="317">
        <f t="shared" si="69"/>
        <v>2.51004</v>
      </c>
      <c r="X370" s="317">
        <f t="shared" si="69"/>
        <v>1.8284747261072263</v>
      </c>
      <c r="Y370" s="317">
        <f t="shared" si="69"/>
        <v>0</v>
      </c>
      <c r="Z370" s="317">
        <f t="shared" si="69"/>
        <v>0</v>
      </c>
      <c r="AA370" s="317">
        <f t="shared" si="69"/>
        <v>0</v>
      </c>
      <c r="AB370" s="317">
        <f t="shared" si="69"/>
        <v>0</v>
      </c>
      <c r="AC370" s="317">
        <f t="shared" si="69"/>
        <v>0</v>
      </c>
      <c r="AD370" s="317">
        <f t="shared" si="69"/>
        <v>0</v>
      </c>
      <c r="AE370" s="318">
        <f t="shared" si="69"/>
        <v>0</v>
      </c>
    </row>
    <row r="371" spans="1:31">
      <c r="A371" s="1711"/>
      <c r="B371" s="116">
        <v>22</v>
      </c>
      <c r="C371" s="316">
        <v>0</v>
      </c>
      <c r="D371" s="317">
        <f t="shared" si="70"/>
        <v>0</v>
      </c>
      <c r="E371" s="317">
        <f t="shared" si="70"/>
        <v>0</v>
      </c>
      <c r="F371" s="317">
        <f t="shared" si="70"/>
        <v>0</v>
      </c>
      <c r="G371" s="317">
        <f t="shared" si="70"/>
        <v>0</v>
      </c>
      <c r="H371" s="317">
        <f t="shared" si="70"/>
        <v>0</v>
      </c>
      <c r="I371" s="317">
        <f t="shared" si="70"/>
        <v>0</v>
      </c>
      <c r="J371" s="317">
        <f t="shared" si="70"/>
        <v>0</v>
      </c>
      <c r="K371" s="317">
        <f t="shared" si="70"/>
        <v>0</v>
      </c>
      <c r="L371" s="317">
        <f t="shared" si="70"/>
        <v>0</v>
      </c>
      <c r="M371" s="317">
        <f t="shared" si="70"/>
        <v>0</v>
      </c>
      <c r="N371" s="317">
        <f t="shared" si="70"/>
        <v>0</v>
      </c>
      <c r="O371" s="317">
        <f t="shared" si="70"/>
        <v>0</v>
      </c>
      <c r="P371" s="317">
        <f t="shared" si="70"/>
        <v>0</v>
      </c>
      <c r="Q371" s="317">
        <f t="shared" si="70"/>
        <v>0</v>
      </c>
      <c r="R371" s="317">
        <f t="shared" si="70"/>
        <v>2.5943975714285616</v>
      </c>
      <c r="S371" s="317">
        <f t="shared" si="70"/>
        <v>2.6147575058823493</v>
      </c>
      <c r="T371" s="317">
        <f t="shared" si="69"/>
        <v>2.6455705820105804</v>
      </c>
      <c r="U371" s="317">
        <f t="shared" si="69"/>
        <v>2.6116879365079351</v>
      </c>
      <c r="V371" s="317">
        <f t="shared" si="69"/>
        <v>2.5778052910052898</v>
      </c>
      <c r="W371" s="317">
        <f t="shared" si="69"/>
        <v>2.5439226455026445</v>
      </c>
      <c r="X371" s="317">
        <f t="shared" si="69"/>
        <v>2.51004</v>
      </c>
      <c r="Y371" s="317">
        <f t="shared" si="69"/>
        <v>1.8284747261072263</v>
      </c>
      <c r="Z371" s="317">
        <f t="shared" si="69"/>
        <v>0</v>
      </c>
      <c r="AA371" s="317">
        <f t="shared" si="69"/>
        <v>0</v>
      </c>
      <c r="AB371" s="317">
        <f t="shared" si="69"/>
        <v>0</v>
      </c>
      <c r="AC371" s="317">
        <f t="shared" si="69"/>
        <v>0</v>
      </c>
      <c r="AD371" s="317">
        <f t="shared" si="69"/>
        <v>0</v>
      </c>
      <c r="AE371" s="318">
        <f t="shared" si="69"/>
        <v>0</v>
      </c>
    </row>
    <row r="372" spans="1:31">
      <c r="A372" s="1711"/>
      <c r="B372" s="116">
        <v>23</v>
      </c>
      <c r="C372" s="316">
        <v>0</v>
      </c>
      <c r="D372" s="317">
        <f t="shared" si="70"/>
        <v>0</v>
      </c>
      <c r="E372" s="317">
        <f t="shared" si="70"/>
        <v>0</v>
      </c>
      <c r="F372" s="317">
        <f t="shared" si="70"/>
        <v>0</v>
      </c>
      <c r="G372" s="317">
        <f t="shared" si="70"/>
        <v>0</v>
      </c>
      <c r="H372" s="317">
        <f t="shared" si="70"/>
        <v>0</v>
      </c>
      <c r="I372" s="317">
        <f t="shared" si="70"/>
        <v>0</v>
      </c>
      <c r="J372" s="317">
        <f t="shared" si="70"/>
        <v>0</v>
      </c>
      <c r="K372" s="317">
        <f t="shared" si="70"/>
        <v>0</v>
      </c>
      <c r="L372" s="317">
        <f t="shared" si="70"/>
        <v>0</v>
      </c>
      <c r="M372" s="317">
        <f t="shared" si="70"/>
        <v>0</v>
      </c>
      <c r="N372" s="317">
        <f t="shared" si="70"/>
        <v>0</v>
      </c>
      <c r="O372" s="317">
        <f t="shared" si="70"/>
        <v>0</v>
      </c>
      <c r="P372" s="317">
        <f t="shared" si="70"/>
        <v>0</v>
      </c>
      <c r="Q372" s="317">
        <f t="shared" si="70"/>
        <v>0</v>
      </c>
      <c r="R372" s="317">
        <f t="shared" si="70"/>
        <v>0</v>
      </c>
      <c r="S372" s="317">
        <f t="shared" si="70"/>
        <v>2.5943975714285616</v>
      </c>
      <c r="T372" s="317">
        <f t="shared" si="69"/>
        <v>2.6147575058823493</v>
      </c>
      <c r="U372" s="317">
        <f t="shared" si="69"/>
        <v>2.6455705820105804</v>
      </c>
      <c r="V372" s="317">
        <f t="shared" si="69"/>
        <v>2.6116879365079351</v>
      </c>
      <c r="W372" s="317">
        <f t="shared" si="69"/>
        <v>2.5778052910052898</v>
      </c>
      <c r="X372" s="317">
        <f t="shared" si="69"/>
        <v>2.5439226455026445</v>
      </c>
      <c r="Y372" s="317">
        <f t="shared" si="69"/>
        <v>2.51004</v>
      </c>
      <c r="Z372" s="317">
        <f t="shared" si="69"/>
        <v>1.8284747261072263</v>
      </c>
      <c r="AA372" s="317">
        <f t="shared" si="69"/>
        <v>0</v>
      </c>
      <c r="AB372" s="317">
        <f t="shared" si="69"/>
        <v>0</v>
      </c>
      <c r="AC372" s="317">
        <f t="shared" si="69"/>
        <v>0</v>
      </c>
      <c r="AD372" s="317">
        <f t="shared" si="69"/>
        <v>0</v>
      </c>
      <c r="AE372" s="318">
        <f t="shared" si="69"/>
        <v>0</v>
      </c>
    </row>
    <row r="373" spans="1:31">
      <c r="A373" s="1711"/>
      <c r="B373" s="116">
        <v>24</v>
      </c>
      <c r="C373" s="316">
        <v>0</v>
      </c>
      <c r="D373" s="317">
        <f t="shared" si="70"/>
        <v>0</v>
      </c>
      <c r="E373" s="317">
        <f t="shared" si="70"/>
        <v>0</v>
      </c>
      <c r="F373" s="317">
        <f t="shared" si="70"/>
        <v>0</v>
      </c>
      <c r="G373" s="317">
        <f t="shared" si="70"/>
        <v>0</v>
      </c>
      <c r="H373" s="317">
        <f t="shared" si="70"/>
        <v>0</v>
      </c>
      <c r="I373" s="317">
        <f t="shared" si="70"/>
        <v>0</v>
      </c>
      <c r="J373" s="317">
        <f t="shared" si="70"/>
        <v>0</v>
      </c>
      <c r="K373" s="317">
        <f t="shared" si="70"/>
        <v>0</v>
      </c>
      <c r="L373" s="317">
        <f t="shared" si="70"/>
        <v>0</v>
      </c>
      <c r="M373" s="317">
        <f t="shared" si="70"/>
        <v>0</v>
      </c>
      <c r="N373" s="317">
        <f t="shared" si="70"/>
        <v>0</v>
      </c>
      <c r="O373" s="317">
        <f t="shared" si="70"/>
        <v>0</v>
      </c>
      <c r="P373" s="317">
        <f t="shared" si="70"/>
        <v>0</v>
      </c>
      <c r="Q373" s="317">
        <f t="shared" si="70"/>
        <v>0</v>
      </c>
      <c r="R373" s="317">
        <f t="shared" si="70"/>
        <v>0</v>
      </c>
      <c r="S373" s="317">
        <f t="shared" si="70"/>
        <v>0</v>
      </c>
      <c r="T373" s="317">
        <f t="shared" si="69"/>
        <v>2.5943975714285616</v>
      </c>
      <c r="U373" s="317">
        <f t="shared" si="69"/>
        <v>2.6147575058823493</v>
      </c>
      <c r="V373" s="317">
        <f t="shared" si="69"/>
        <v>2.6455705820105804</v>
      </c>
      <c r="W373" s="317">
        <f t="shared" si="69"/>
        <v>2.6116879365079351</v>
      </c>
      <c r="X373" s="317">
        <f t="shared" si="69"/>
        <v>2.5778052910052898</v>
      </c>
      <c r="Y373" s="317">
        <f t="shared" si="69"/>
        <v>2.5439226455026445</v>
      </c>
      <c r="Z373" s="317">
        <f t="shared" si="69"/>
        <v>2.51004</v>
      </c>
      <c r="AA373" s="317">
        <f t="shared" si="69"/>
        <v>1.8284747261072263</v>
      </c>
      <c r="AB373" s="317">
        <f t="shared" si="69"/>
        <v>0</v>
      </c>
      <c r="AC373" s="317">
        <f t="shared" si="69"/>
        <v>0</v>
      </c>
      <c r="AD373" s="317">
        <f t="shared" si="69"/>
        <v>0</v>
      </c>
      <c r="AE373" s="318">
        <f t="shared" si="69"/>
        <v>0</v>
      </c>
    </row>
    <row r="374" spans="1:31" ht="15.75" thickBot="1">
      <c r="A374" s="1711"/>
      <c r="B374" s="116">
        <v>25</v>
      </c>
      <c r="C374" s="324">
        <v>0</v>
      </c>
      <c r="D374" s="325">
        <f t="shared" si="70"/>
        <v>0</v>
      </c>
      <c r="E374" s="325">
        <f t="shared" si="70"/>
        <v>0</v>
      </c>
      <c r="F374" s="325">
        <f t="shared" si="70"/>
        <v>0</v>
      </c>
      <c r="G374" s="325">
        <f t="shared" si="70"/>
        <v>0</v>
      </c>
      <c r="H374" s="325">
        <f t="shared" si="70"/>
        <v>0</v>
      </c>
      <c r="I374" s="325">
        <f t="shared" si="70"/>
        <v>0</v>
      </c>
      <c r="J374" s="325">
        <f t="shared" si="70"/>
        <v>0</v>
      </c>
      <c r="K374" s="325">
        <f t="shared" si="70"/>
        <v>0</v>
      </c>
      <c r="L374" s="325">
        <f t="shared" si="70"/>
        <v>0</v>
      </c>
      <c r="M374" s="325">
        <f t="shared" si="70"/>
        <v>0</v>
      </c>
      <c r="N374" s="325">
        <f t="shared" si="70"/>
        <v>0</v>
      </c>
      <c r="O374" s="325">
        <f t="shared" si="70"/>
        <v>0</v>
      </c>
      <c r="P374" s="325">
        <f t="shared" si="70"/>
        <v>0</v>
      </c>
      <c r="Q374" s="325">
        <f t="shared" si="70"/>
        <v>0</v>
      </c>
      <c r="R374" s="325">
        <f t="shared" si="70"/>
        <v>0</v>
      </c>
      <c r="S374" s="325">
        <f t="shared" si="70"/>
        <v>0</v>
      </c>
      <c r="T374" s="325">
        <f t="shared" si="69"/>
        <v>0</v>
      </c>
      <c r="U374" s="325">
        <f t="shared" si="69"/>
        <v>2.5943975714285616</v>
      </c>
      <c r="V374" s="325">
        <f t="shared" si="69"/>
        <v>2.6147575058823493</v>
      </c>
      <c r="W374" s="325">
        <f t="shared" si="69"/>
        <v>2.6455705820105804</v>
      </c>
      <c r="X374" s="325">
        <f t="shared" si="69"/>
        <v>2.6116879365079351</v>
      </c>
      <c r="Y374" s="325">
        <f t="shared" si="69"/>
        <v>2.5778052910052898</v>
      </c>
      <c r="Z374" s="325">
        <f t="shared" si="69"/>
        <v>2.5439226455026445</v>
      </c>
      <c r="AA374" s="325">
        <f t="shared" si="69"/>
        <v>2.51004</v>
      </c>
      <c r="AB374" s="325">
        <f t="shared" si="69"/>
        <v>1.8284747261072263</v>
      </c>
      <c r="AC374" s="325">
        <f t="shared" si="69"/>
        <v>0</v>
      </c>
      <c r="AD374" s="325">
        <f t="shared" si="69"/>
        <v>0</v>
      </c>
      <c r="AE374" s="326">
        <f t="shared" si="69"/>
        <v>0</v>
      </c>
    </row>
    <row r="375" spans="1:31" ht="16.5" thickTop="1" thickBot="1">
      <c r="A375" s="1712"/>
      <c r="B375" s="300" t="s">
        <v>39</v>
      </c>
      <c r="C375" s="327">
        <f>SUMPRODUCT('CAR Stock'!C372:C397,C349:C374)/'CAR Stock'!C398</f>
        <v>2.6186516629991998</v>
      </c>
      <c r="D375" s="327">
        <f>SUMPRODUCT('CAR Stock'!D372:D397,D349:D374)/'CAR Stock'!D398</f>
        <v>2.6186516629991998</v>
      </c>
      <c r="E375" s="327">
        <f>SUMPRODUCT('CAR Stock'!E372:E397,E349:E374)/'CAR Stock'!E398</f>
        <v>2.618652123396489</v>
      </c>
      <c r="F375" s="327">
        <f>SUMPRODUCT('CAR Stock'!F372:F397,F349:F374)/'CAR Stock'!F398</f>
        <v>2.6186550351345494</v>
      </c>
      <c r="G375" s="327">
        <f>SUMPRODUCT('CAR Stock'!G372:G397,G349:G374)/'CAR Stock'!G398</f>
        <v>2.6184688066407378</v>
      </c>
      <c r="H375" s="327">
        <f>SUMPRODUCT('CAR Stock'!H372:H397,H349:H374)/'CAR Stock'!H398</f>
        <v>2.6177414257741467</v>
      </c>
      <c r="I375" s="327">
        <f>SUMPRODUCT('CAR Stock'!I372:I397,I349:I374)/'CAR Stock'!I398</f>
        <v>2.616565599552541</v>
      </c>
      <c r="J375" s="327">
        <f>SUMPRODUCT('CAR Stock'!J372:J397,J349:J374)/'CAR Stock'!J398</f>
        <v>2.6149536033454908</v>
      </c>
      <c r="K375" s="327">
        <f>SUMPRODUCT('CAR Stock'!K372:K397,K349:K374)/'CAR Stock'!K398</f>
        <v>2.6129586118073367</v>
      </c>
      <c r="L375" s="327">
        <f>SUMPRODUCT('CAR Stock'!L372:L397,L349:L374)/'CAR Stock'!L398</f>
        <v>2.6105027716977265</v>
      </c>
      <c r="M375" s="327">
        <f>SUMPRODUCT('CAR Stock'!M372:M397,M349:M374)/'CAR Stock'!M398</f>
        <v>2.6073053678271862</v>
      </c>
      <c r="N375" s="327">
        <f>SUMPRODUCT('CAR Stock'!N372:N397,N349:N374)/'CAR Stock'!N398</f>
        <v>2.6034224742428758</v>
      </c>
      <c r="O375" s="327">
        <f>SUMPRODUCT('CAR Stock'!O372:O397,O349:O374)/'CAR Stock'!O398</f>
        <v>2.5995149236751027</v>
      </c>
      <c r="P375" s="327">
        <f>SUMPRODUCT('CAR Stock'!P372:P397,P349:P374)/'CAR Stock'!P398</f>
        <v>2.5955425109392194</v>
      </c>
      <c r="Q375" s="327">
        <f>SUMPRODUCT('CAR Stock'!Q372:Q397,Q349:Q374)/'CAR Stock'!Q398</f>
        <v>2.5913923387188365</v>
      </c>
      <c r="R375" s="327">
        <f>SUMPRODUCT('CAR Stock'!R372:R397,R349:R374)/'CAR Stock'!R398</f>
        <v>2.5859954753109111</v>
      </c>
      <c r="S375" s="327">
        <f>SUMPRODUCT('CAR Stock'!S372:S397,S349:S374)/'CAR Stock'!S398</f>
        <v>2.5789022983366032</v>
      </c>
      <c r="T375" s="327">
        <f>SUMPRODUCT('CAR Stock'!T372:T397,T349:T374)/'CAR Stock'!T398</f>
        <v>2.5696127032423504</v>
      </c>
      <c r="U375" s="327">
        <f>SUMPRODUCT('CAR Stock'!U372:U397,U349:U374)/'CAR Stock'!U398</f>
        <v>2.557824347879635</v>
      </c>
      <c r="V375" s="327">
        <f>SUMPRODUCT('CAR Stock'!V372:V397,V349:V374)/'CAR Stock'!V398</f>
        <v>2.5440411032832491</v>
      </c>
      <c r="W375" s="327">
        <f>SUMPRODUCT('CAR Stock'!W372:W397,W349:W374)/'CAR Stock'!W398</f>
        <v>2.5303352224789637</v>
      </c>
      <c r="X375" s="327">
        <f>SUMPRODUCT('CAR Stock'!X372:X397,X349:X374)/'CAR Stock'!X398</f>
        <v>2.5198943573213923</v>
      </c>
      <c r="Y375" s="327">
        <f>SUMPRODUCT('CAR Stock'!Y372:Y397,Y349:Y374)/'CAR Stock'!Y398</f>
        <v>2.5141363898815063</v>
      </c>
      <c r="Z375" s="327">
        <f>SUMPRODUCT('CAR Stock'!Z372:Z397,Z349:Z374)/'CAR Stock'!Z398</f>
        <v>2.51004</v>
      </c>
      <c r="AA375" s="327">
        <v>0</v>
      </c>
      <c r="AB375" s="327">
        <v>0</v>
      </c>
      <c r="AC375" s="327">
        <v>0</v>
      </c>
      <c r="AD375" s="327">
        <v>0</v>
      </c>
      <c r="AE375" s="327">
        <v>0</v>
      </c>
    </row>
    <row r="376" spans="1:31" ht="15.75" thickBot="1">
      <c r="A376" s="650"/>
    </row>
    <row r="377" spans="1:31" ht="15.75" customHeight="1" thickBot="1">
      <c r="A377" s="1710" t="s">
        <v>53</v>
      </c>
      <c r="B377" s="169" t="s">
        <v>10</v>
      </c>
      <c r="C377" s="288">
        <v>2012</v>
      </c>
      <c r="D377" s="289">
        <v>2013</v>
      </c>
      <c r="E377" s="289">
        <v>2014</v>
      </c>
      <c r="F377" s="289">
        <v>2015</v>
      </c>
      <c r="G377" s="288">
        <v>2016</v>
      </c>
      <c r="H377" s="289">
        <v>2017</v>
      </c>
      <c r="I377" s="289">
        <v>2018</v>
      </c>
      <c r="J377" s="289">
        <v>2019</v>
      </c>
      <c r="K377" s="288">
        <v>2020</v>
      </c>
      <c r="L377" s="289">
        <v>2021</v>
      </c>
      <c r="M377" s="289">
        <v>2022</v>
      </c>
      <c r="N377" s="289">
        <v>2023</v>
      </c>
      <c r="O377" s="288">
        <v>2024</v>
      </c>
      <c r="P377" s="289">
        <v>2025</v>
      </c>
      <c r="Q377" s="289">
        <v>2026</v>
      </c>
      <c r="R377" s="289">
        <v>2027</v>
      </c>
      <c r="S377" s="288">
        <v>2028</v>
      </c>
      <c r="T377" s="289">
        <v>2029</v>
      </c>
      <c r="U377" s="289">
        <v>2030</v>
      </c>
      <c r="V377" s="289">
        <v>2031</v>
      </c>
      <c r="W377" s="288">
        <v>2032</v>
      </c>
      <c r="X377" s="289">
        <v>2033</v>
      </c>
      <c r="Y377" s="289">
        <v>2034</v>
      </c>
      <c r="Z377" s="289">
        <v>2035</v>
      </c>
      <c r="AA377" s="288">
        <v>2036</v>
      </c>
      <c r="AB377" s="289">
        <v>2037</v>
      </c>
      <c r="AC377" s="289">
        <v>2038</v>
      </c>
      <c r="AD377" s="289">
        <v>2039</v>
      </c>
      <c r="AE377" s="290">
        <v>2040</v>
      </c>
    </row>
    <row r="378" spans="1:31">
      <c r="A378" s="1711"/>
      <c r="B378" s="116">
        <v>0</v>
      </c>
      <c r="C378" s="313">
        <v>0</v>
      </c>
      <c r="D378" s="314">
        <v>0</v>
      </c>
      <c r="E378" s="314">
        <v>0</v>
      </c>
      <c r="F378" s="314">
        <v>0</v>
      </c>
      <c r="G378" s="314">
        <v>0</v>
      </c>
      <c r="H378" s="314">
        <v>0</v>
      </c>
      <c r="I378" s="314">
        <v>0</v>
      </c>
      <c r="J378" s="314">
        <v>0</v>
      </c>
      <c r="K378" s="314">
        <v>0</v>
      </c>
      <c r="L378" s="314">
        <v>0</v>
      </c>
      <c r="M378" s="314">
        <v>0</v>
      </c>
      <c r="N378" s="314">
        <v>0</v>
      </c>
      <c r="O378" s="314">
        <v>0</v>
      </c>
      <c r="P378" s="314">
        <v>0</v>
      </c>
      <c r="Q378" s="314">
        <v>0</v>
      </c>
      <c r="R378" s="314">
        <v>0</v>
      </c>
      <c r="S378" s="314">
        <v>0</v>
      </c>
      <c r="T378" s="314">
        <v>0</v>
      </c>
      <c r="U378" s="314">
        <v>0</v>
      </c>
      <c r="V378" s="314">
        <v>0</v>
      </c>
      <c r="W378" s="314">
        <v>0</v>
      </c>
      <c r="X378" s="314">
        <v>0</v>
      </c>
      <c r="Y378" s="314">
        <v>0</v>
      </c>
      <c r="Z378" s="314">
        <v>0</v>
      </c>
      <c r="AA378" s="314">
        <v>0</v>
      </c>
      <c r="AB378" s="314">
        <v>0</v>
      </c>
      <c r="AC378" s="314">
        <v>0</v>
      </c>
      <c r="AD378" s="314">
        <v>0</v>
      </c>
      <c r="AE378" s="315">
        <v>0</v>
      </c>
    </row>
    <row r="379" spans="1:31">
      <c r="A379" s="1711"/>
      <c r="B379" s="116">
        <v>1</v>
      </c>
      <c r="C379" s="316">
        <v>0</v>
      </c>
      <c r="D379" s="317">
        <f>C378</f>
        <v>0</v>
      </c>
      <c r="E379" s="317">
        <f t="shared" ref="E379:T379" si="71">D378</f>
        <v>0</v>
      </c>
      <c r="F379" s="317">
        <f t="shared" si="71"/>
        <v>0</v>
      </c>
      <c r="G379" s="317">
        <f t="shared" si="71"/>
        <v>0</v>
      </c>
      <c r="H379" s="317">
        <f t="shared" si="71"/>
        <v>0</v>
      </c>
      <c r="I379" s="317">
        <f t="shared" si="71"/>
        <v>0</v>
      </c>
      <c r="J379" s="317">
        <f t="shared" si="71"/>
        <v>0</v>
      </c>
      <c r="K379" s="317">
        <f t="shared" si="71"/>
        <v>0</v>
      </c>
      <c r="L379" s="317">
        <f t="shared" si="71"/>
        <v>0</v>
      </c>
      <c r="M379" s="317">
        <f t="shared" si="71"/>
        <v>0</v>
      </c>
      <c r="N379" s="317">
        <f t="shared" si="71"/>
        <v>0</v>
      </c>
      <c r="O379" s="317">
        <f t="shared" si="71"/>
        <v>0</v>
      </c>
      <c r="P379" s="317">
        <f t="shared" si="71"/>
        <v>0</v>
      </c>
      <c r="Q379" s="317">
        <f t="shared" si="71"/>
        <v>0</v>
      </c>
      <c r="R379" s="317">
        <f t="shared" si="71"/>
        <v>0</v>
      </c>
      <c r="S379" s="317">
        <f t="shared" si="71"/>
        <v>0</v>
      </c>
      <c r="T379" s="317">
        <f t="shared" si="71"/>
        <v>0</v>
      </c>
      <c r="U379" s="317">
        <f t="shared" ref="T379:AE394" si="72">T378</f>
        <v>0</v>
      </c>
      <c r="V379" s="317">
        <f t="shared" si="72"/>
        <v>0</v>
      </c>
      <c r="W379" s="317">
        <f t="shared" si="72"/>
        <v>0</v>
      </c>
      <c r="X379" s="317">
        <f t="shared" si="72"/>
        <v>0</v>
      </c>
      <c r="Y379" s="317">
        <f t="shared" si="72"/>
        <v>0</v>
      </c>
      <c r="Z379" s="317">
        <f t="shared" si="72"/>
        <v>0</v>
      </c>
      <c r="AA379" s="317">
        <f t="shared" si="72"/>
        <v>0</v>
      </c>
      <c r="AB379" s="317">
        <f t="shared" si="72"/>
        <v>0</v>
      </c>
      <c r="AC379" s="317">
        <f t="shared" si="72"/>
        <v>0</v>
      </c>
      <c r="AD379" s="317">
        <f t="shared" si="72"/>
        <v>0</v>
      </c>
      <c r="AE379" s="318">
        <f t="shared" si="72"/>
        <v>0</v>
      </c>
    </row>
    <row r="380" spans="1:31">
      <c r="A380" s="1711"/>
      <c r="B380" s="116">
        <v>2</v>
      </c>
      <c r="C380" s="316">
        <v>0</v>
      </c>
      <c r="D380" s="317">
        <f t="shared" ref="D380:S395" si="73">C379</f>
        <v>0</v>
      </c>
      <c r="E380" s="317">
        <f t="shared" si="73"/>
        <v>0</v>
      </c>
      <c r="F380" s="317">
        <f t="shared" si="73"/>
        <v>0</v>
      </c>
      <c r="G380" s="317">
        <f t="shared" si="73"/>
        <v>0</v>
      </c>
      <c r="H380" s="317">
        <f t="shared" si="73"/>
        <v>0</v>
      </c>
      <c r="I380" s="317">
        <f t="shared" si="73"/>
        <v>0</v>
      </c>
      <c r="J380" s="317">
        <f t="shared" si="73"/>
        <v>0</v>
      </c>
      <c r="K380" s="317">
        <f t="shared" si="73"/>
        <v>0</v>
      </c>
      <c r="L380" s="317">
        <f t="shared" si="73"/>
        <v>0</v>
      </c>
      <c r="M380" s="317">
        <f t="shared" si="73"/>
        <v>0</v>
      </c>
      <c r="N380" s="317">
        <f t="shared" si="73"/>
        <v>0</v>
      </c>
      <c r="O380" s="317">
        <f t="shared" si="73"/>
        <v>0</v>
      </c>
      <c r="P380" s="317">
        <f t="shared" si="73"/>
        <v>0</v>
      </c>
      <c r="Q380" s="317">
        <f t="shared" si="73"/>
        <v>0</v>
      </c>
      <c r="R380" s="317">
        <f t="shared" si="73"/>
        <v>0</v>
      </c>
      <c r="S380" s="317">
        <f t="shared" si="73"/>
        <v>0</v>
      </c>
      <c r="T380" s="317">
        <f t="shared" si="72"/>
        <v>0</v>
      </c>
      <c r="U380" s="317">
        <f t="shared" si="72"/>
        <v>0</v>
      </c>
      <c r="V380" s="317">
        <f t="shared" si="72"/>
        <v>0</v>
      </c>
      <c r="W380" s="317">
        <f t="shared" si="72"/>
        <v>0</v>
      </c>
      <c r="X380" s="317">
        <f t="shared" si="72"/>
        <v>0</v>
      </c>
      <c r="Y380" s="317">
        <f t="shared" si="72"/>
        <v>0</v>
      </c>
      <c r="Z380" s="317">
        <f t="shared" si="72"/>
        <v>0</v>
      </c>
      <c r="AA380" s="317">
        <f t="shared" si="72"/>
        <v>0</v>
      </c>
      <c r="AB380" s="317">
        <f t="shared" si="72"/>
        <v>0</v>
      </c>
      <c r="AC380" s="317">
        <f t="shared" si="72"/>
        <v>0</v>
      </c>
      <c r="AD380" s="317">
        <f t="shared" si="72"/>
        <v>0</v>
      </c>
      <c r="AE380" s="318">
        <f t="shared" si="72"/>
        <v>0</v>
      </c>
    </row>
    <row r="381" spans="1:31">
      <c r="A381" s="1711"/>
      <c r="B381" s="116">
        <v>3</v>
      </c>
      <c r="C381" s="316">
        <v>0</v>
      </c>
      <c r="D381" s="317">
        <f t="shared" si="73"/>
        <v>0</v>
      </c>
      <c r="E381" s="317">
        <f t="shared" si="73"/>
        <v>0</v>
      </c>
      <c r="F381" s="317">
        <f t="shared" si="73"/>
        <v>0</v>
      </c>
      <c r="G381" s="317">
        <f t="shared" si="73"/>
        <v>0</v>
      </c>
      <c r="H381" s="317">
        <f t="shared" si="73"/>
        <v>0</v>
      </c>
      <c r="I381" s="317">
        <f t="shared" si="73"/>
        <v>0</v>
      </c>
      <c r="J381" s="317">
        <f t="shared" si="73"/>
        <v>0</v>
      </c>
      <c r="K381" s="317">
        <f t="shared" si="73"/>
        <v>0</v>
      </c>
      <c r="L381" s="317">
        <f t="shared" si="73"/>
        <v>0</v>
      </c>
      <c r="M381" s="317">
        <f t="shared" si="73"/>
        <v>0</v>
      </c>
      <c r="N381" s="317">
        <f t="shared" si="73"/>
        <v>0</v>
      </c>
      <c r="O381" s="317">
        <f t="shared" si="73"/>
        <v>0</v>
      </c>
      <c r="P381" s="317">
        <f t="shared" si="73"/>
        <v>0</v>
      </c>
      <c r="Q381" s="317">
        <f t="shared" si="73"/>
        <v>0</v>
      </c>
      <c r="R381" s="317">
        <f t="shared" si="73"/>
        <v>0</v>
      </c>
      <c r="S381" s="317">
        <f t="shared" si="73"/>
        <v>0</v>
      </c>
      <c r="T381" s="317">
        <f t="shared" si="72"/>
        <v>0</v>
      </c>
      <c r="U381" s="317">
        <f t="shared" si="72"/>
        <v>0</v>
      </c>
      <c r="V381" s="317">
        <f t="shared" si="72"/>
        <v>0</v>
      </c>
      <c r="W381" s="317">
        <f t="shared" si="72"/>
        <v>0</v>
      </c>
      <c r="X381" s="317">
        <f t="shared" si="72"/>
        <v>0</v>
      </c>
      <c r="Y381" s="317">
        <f t="shared" si="72"/>
        <v>0</v>
      </c>
      <c r="Z381" s="317">
        <f t="shared" si="72"/>
        <v>0</v>
      </c>
      <c r="AA381" s="317">
        <f t="shared" si="72"/>
        <v>0</v>
      </c>
      <c r="AB381" s="317">
        <f t="shared" si="72"/>
        <v>0</v>
      </c>
      <c r="AC381" s="317">
        <f t="shared" si="72"/>
        <v>0</v>
      </c>
      <c r="AD381" s="317">
        <f t="shared" si="72"/>
        <v>0</v>
      </c>
      <c r="AE381" s="318">
        <f t="shared" si="72"/>
        <v>0</v>
      </c>
    </row>
    <row r="382" spans="1:31">
      <c r="A382" s="1711"/>
      <c r="B382" s="116">
        <v>4</v>
      </c>
      <c r="C382" s="316">
        <v>0</v>
      </c>
      <c r="D382" s="317">
        <f t="shared" si="73"/>
        <v>0</v>
      </c>
      <c r="E382" s="317">
        <f t="shared" si="73"/>
        <v>0</v>
      </c>
      <c r="F382" s="317">
        <f t="shared" si="73"/>
        <v>0</v>
      </c>
      <c r="G382" s="317">
        <f t="shared" si="73"/>
        <v>0</v>
      </c>
      <c r="H382" s="317">
        <f t="shared" si="73"/>
        <v>0</v>
      </c>
      <c r="I382" s="317">
        <f t="shared" si="73"/>
        <v>0</v>
      </c>
      <c r="J382" s="317">
        <f t="shared" si="73"/>
        <v>0</v>
      </c>
      <c r="K382" s="317">
        <f t="shared" si="73"/>
        <v>0</v>
      </c>
      <c r="L382" s="317">
        <f t="shared" si="73"/>
        <v>0</v>
      </c>
      <c r="M382" s="317">
        <f t="shared" si="73"/>
        <v>0</v>
      </c>
      <c r="N382" s="317">
        <f t="shared" si="73"/>
        <v>0</v>
      </c>
      <c r="O382" s="317">
        <f t="shared" si="73"/>
        <v>0</v>
      </c>
      <c r="P382" s="317">
        <f t="shared" si="73"/>
        <v>0</v>
      </c>
      <c r="Q382" s="317">
        <f t="shared" si="73"/>
        <v>0</v>
      </c>
      <c r="R382" s="317">
        <f t="shared" si="73"/>
        <v>0</v>
      </c>
      <c r="S382" s="317">
        <f t="shared" si="73"/>
        <v>0</v>
      </c>
      <c r="T382" s="317">
        <f t="shared" si="72"/>
        <v>0</v>
      </c>
      <c r="U382" s="317">
        <f t="shared" si="72"/>
        <v>0</v>
      </c>
      <c r="V382" s="317">
        <f t="shared" si="72"/>
        <v>0</v>
      </c>
      <c r="W382" s="317">
        <f t="shared" si="72"/>
        <v>0</v>
      </c>
      <c r="X382" s="317">
        <f t="shared" si="72"/>
        <v>0</v>
      </c>
      <c r="Y382" s="317">
        <f t="shared" si="72"/>
        <v>0</v>
      </c>
      <c r="Z382" s="317">
        <f t="shared" si="72"/>
        <v>0</v>
      </c>
      <c r="AA382" s="317">
        <f t="shared" si="72"/>
        <v>0</v>
      </c>
      <c r="AB382" s="317">
        <f t="shared" si="72"/>
        <v>0</v>
      </c>
      <c r="AC382" s="317">
        <f t="shared" si="72"/>
        <v>0</v>
      </c>
      <c r="AD382" s="317">
        <f t="shared" si="72"/>
        <v>0</v>
      </c>
      <c r="AE382" s="318">
        <f t="shared" si="72"/>
        <v>0</v>
      </c>
    </row>
    <row r="383" spans="1:31">
      <c r="A383" s="1711"/>
      <c r="B383" s="116">
        <v>5</v>
      </c>
      <c r="C383" s="316">
        <v>0</v>
      </c>
      <c r="D383" s="317">
        <f t="shared" si="73"/>
        <v>0</v>
      </c>
      <c r="E383" s="317">
        <f t="shared" si="73"/>
        <v>0</v>
      </c>
      <c r="F383" s="317">
        <f t="shared" si="73"/>
        <v>0</v>
      </c>
      <c r="G383" s="317">
        <f t="shared" si="73"/>
        <v>0</v>
      </c>
      <c r="H383" s="317">
        <f t="shared" si="73"/>
        <v>0</v>
      </c>
      <c r="I383" s="317">
        <f t="shared" si="73"/>
        <v>0</v>
      </c>
      <c r="J383" s="317">
        <f t="shared" si="73"/>
        <v>0</v>
      </c>
      <c r="K383" s="317">
        <f t="shared" si="73"/>
        <v>0</v>
      </c>
      <c r="L383" s="317">
        <f t="shared" si="73"/>
        <v>0</v>
      </c>
      <c r="M383" s="317">
        <f t="shared" si="73"/>
        <v>0</v>
      </c>
      <c r="N383" s="317">
        <f t="shared" si="73"/>
        <v>0</v>
      </c>
      <c r="O383" s="317">
        <f t="shared" si="73"/>
        <v>0</v>
      </c>
      <c r="P383" s="317">
        <f t="shared" si="73"/>
        <v>0</v>
      </c>
      <c r="Q383" s="317">
        <f t="shared" si="73"/>
        <v>0</v>
      </c>
      <c r="R383" s="317">
        <f t="shared" si="73"/>
        <v>0</v>
      </c>
      <c r="S383" s="317">
        <f t="shared" si="73"/>
        <v>0</v>
      </c>
      <c r="T383" s="317">
        <f t="shared" si="72"/>
        <v>0</v>
      </c>
      <c r="U383" s="317">
        <f t="shared" si="72"/>
        <v>0</v>
      </c>
      <c r="V383" s="317">
        <f t="shared" si="72"/>
        <v>0</v>
      </c>
      <c r="W383" s="317">
        <f t="shared" si="72"/>
        <v>0</v>
      </c>
      <c r="X383" s="317">
        <f t="shared" si="72"/>
        <v>0</v>
      </c>
      <c r="Y383" s="317">
        <f t="shared" si="72"/>
        <v>0</v>
      </c>
      <c r="Z383" s="317">
        <f t="shared" si="72"/>
        <v>0</v>
      </c>
      <c r="AA383" s="317">
        <f t="shared" si="72"/>
        <v>0</v>
      </c>
      <c r="AB383" s="317">
        <f t="shared" si="72"/>
        <v>0</v>
      </c>
      <c r="AC383" s="317">
        <f t="shared" si="72"/>
        <v>0</v>
      </c>
      <c r="AD383" s="317">
        <f t="shared" si="72"/>
        <v>0</v>
      </c>
      <c r="AE383" s="318">
        <f t="shared" si="72"/>
        <v>0</v>
      </c>
    </row>
    <row r="384" spans="1:31">
      <c r="A384" s="1711"/>
      <c r="B384" s="116">
        <v>6</v>
      </c>
      <c r="C384" s="316">
        <v>0</v>
      </c>
      <c r="D384" s="317">
        <f t="shared" si="73"/>
        <v>0</v>
      </c>
      <c r="E384" s="317">
        <f t="shared" si="73"/>
        <v>0</v>
      </c>
      <c r="F384" s="317">
        <f t="shared" si="73"/>
        <v>0</v>
      </c>
      <c r="G384" s="317">
        <f t="shared" si="73"/>
        <v>0</v>
      </c>
      <c r="H384" s="317">
        <f t="shared" si="73"/>
        <v>0</v>
      </c>
      <c r="I384" s="317">
        <f t="shared" si="73"/>
        <v>0</v>
      </c>
      <c r="J384" s="317">
        <f t="shared" si="73"/>
        <v>0</v>
      </c>
      <c r="K384" s="317">
        <f t="shared" si="73"/>
        <v>0</v>
      </c>
      <c r="L384" s="317">
        <f t="shared" si="73"/>
        <v>0</v>
      </c>
      <c r="M384" s="317">
        <f t="shared" si="73"/>
        <v>0</v>
      </c>
      <c r="N384" s="317">
        <f t="shared" si="73"/>
        <v>0</v>
      </c>
      <c r="O384" s="317">
        <f t="shared" si="73"/>
        <v>0</v>
      </c>
      <c r="P384" s="317">
        <f t="shared" si="73"/>
        <v>0</v>
      </c>
      <c r="Q384" s="317">
        <f t="shared" si="73"/>
        <v>0</v>
      </c>
      <c r="R384" s="317">
        <f t="shared" si="73"/>
        <v>0</v>
      </c>
      <c r="S384" s="317">
        <f t="shared" si="73"/>
        <v>0</v>
      </c>
      <c r="T384" s="317">
        <f t="shared" si="72"/>
        <v>0</v>
      </c>
      <c r="U384" s="317">
        <f t="shared" si="72"/>
        <v>0</v>
      </c>
      <c r="V384" s="317">
        <f t="shared" si="72"/>
        <v>0</v>
      </c>
      <c r="W384" s="317">
        <f t="shared" si="72"/>
        <v>0</v>
      </c>
      <c r="X384" s="317">
        <f t="shared" si="72"/>
        <v>0</v>
      </c>
      <c r="Y384" s="317">
        <f t="shared" si="72"/>
        <v>0</v>
      </c>
      <c r="Z384" s="317">
        <f t="shared" si="72"/>
        <v>0</v>
      </c>
      <c r="AA384" s="317">
        <f t="shared" si="72"/>
        <v>0</v>
      </c>
      <c r="AB384" s="317">
        <f t="shared" si="72"/>
        <v>0</v>
      </c>
      <c r="AC384" s="317">
        <f t="shared" si="72"/>
        <v>0</v>
      </c>
      <c r="AD384" s="317">
        <f t="shared" si="72"/>
        <v>0</v>
      </c>
      <c r="AE384" s="318">
        <f t="shared" si="72"/>
        <v>0</v>
      </c>
    </row>
    <row r="385" spans="1:31">
      <c r="A385" s="1711"/>
      <c r="B385" s="116">
        <v>7</v>
      </c>
      <c r="C385" s="316">
        <v>0</v>
      </c>
      <c r="D385" s="317">
        <f t="shared" si="73"/>
        <v>0</v>
      </c>
      <c r="E385" s="317">
        <f t="shared" si="73"/>
        <v>0</v>
      </c>
      <c r="F385" s="317">
        <f t="shared" si="73"/>
        <v>0</v>
      </c>
      <c r="G385" s="317">
        <f t="shared" si="73"/>
        <v>0</v>
      </c>
      <c r="H385" s="317">
        <f t="shared" si="73"/>
        <v>0</v>
      </c>
      <c r="I385" s="317">
        <f t="shared" si="73"/>
        <v>0</v>
      </c>
      <c r="J385" s="317">
        <f t="shared" si="73"/>
        <v>0</v>
      </c>
      <c r="K385" s="317">
        <f t="shared" si="73"/>
        <v>0</v>
      </c>
      <c r="L385" s="317">
        <f t="shared" si="73"/>
        <v>0</v>
      </c>
      <c r="M385" s="317">
        <f t="shared" si="73"/>
        <v>0</v>
      </c>
      <c r="N385" s="317">
        <f t="shared" si="73"/>
        <v>0</v>
      </c>
      <c r="O385" s="317">
        <f t="shared" si="73"/>
        <v>0</v>
      </c>
      <c r="P385" s="317">
        <f t="shared" si="73"/>
        <v>0</v>
      </c>
      <c r="Q385" s="317">
        <f t="shared" si="73"/>
        <v>0</v>
      </c>
      <c r="R385" s="317">
        <f t="shared" si="73"/>
        <v>0</v>
      </c>
      <c r="S385" s="317">
        <f t="shared" si="73"/>
        <v>0</v>
      </c>
      <c r="T385" s="317">
        <f t="shared" si="72"/>
        <v>0</v>
      </c>
      <c r="U385" s="317">
        <f t="shared" si="72"/>
        <v>0</v>
      </c>
      <c r="V385" s="317">
        <f t="shared" si="72"/>
        <v>0</v>
      </c>
      <c r="W385" s="317">
        <f t="shared" si="72"/>
        <v>0</v>
      </c>
      <c r="X385" s="317">
        <f t="shared" si="72"/>
        <v>0</v>
      </c>
      <c r="Y385" s="317">
        <f t="shared" si="72"/>
        <v>0</v>
      </c>
      <c r="Z385" s="317">
        <f t="shared" si="72"/>
        <v>0</v>
      </c>
      <c r="AA385" s="317">
        <f t="shared" si="72"/>
        <v>0</v>
      </c>
      <c r="AB385" s="317">
        <f t="shared" si="72"/>
        <v>0</v>
      </c>
      <c r="AC385" s="317">
        <f t="shared" si="72"/>
        <v>0</v>
      </c>
      <c r="AD385" s="317">
        <f t="shared" si="72"/>
        <v>0</v>
      </c>
      <c r="AE385" s="318">
        <f t="shared" si="72"/>
        <v>0</v>
      </c>
    </row>
    <row r="386" spans="1:31">
      <c r="A386" s="1711"/>
      <c r="B386" s="116">
        <v>8</v>
      </c>
      <c r="C386" s="316">
        <v>0</v>
      </c>
      <c r="D386" s="317">
        <f t="shared" si="73"/>
        <v>0</v>
      </c>
      <c r="E386" s="317">
        <f t="shared" si="73"/>
        <v>0</v>
      </c>
      <c r="F386" s="317">
        <f t="shared" si="73"/>
        <v>0</v>
      </c>
      <c r="G386" s="317">
        <f t="shared" si="73"/>
        <v>0</v>
      </c>
      <c r="H386" s="317">
        <f t="shared" si="73"/>
        <v>0</v>
      </c>
      <c r="I386" s="317">
        <f t="shared" si="73"/>
        <v>0</v>
      </c>
      <c r="J386" s="317">
        <f t="shared" si="73"/>
        <v>0</v>
      </c>
      <c r="K386" s="317">
        <f t="shared" si="73"/>
        <v>0</v>
      </c>
      <c r="L386" s="317">
        <f t="shared" si="73"/>
        <v>0</v>
      </c>
      <c r="M386" s="317">
        <f t="shared" si="73"/>
        <v>0</v>
      </c>
      <c r="N386" s="317">
        <f t="shared" si="73"/>
        <v>0</v>
      </c>
      <c r="O386" s="317">
        <f t="shared" si="73"/>
        <v>0</v>
      </c>
      <c r="P386" s="317">
        <f t="shared" si="73"/>
        <v>0</v>
      </c>
      <c r="Q386" s="317">
        <f t="shared" si="73"/>
        <v>0</v>
      </c>
      <c r="R386" s="317">
        <f t="shared" si="73"/>
        <v>0</v>
      </c>
      <c r="S386" s="317">
        <f t="shared" si="73"/>
        <v>0</v>
      </c>
      <c r="T386" s="317">
        <f t="shared" si="72"/>
        <v>0</v>
      </c>
      <c r="U386" s="317">
        <f t="shared" si="72"/>
        <v>0</v>
      </c>
      <c r="V386" s="317">
        <f t="shared" si="72"/>
        <v>0</v>
      </c>
      <c r="W386" s="317">
        <f t="shared" si="72"/>
        <v>0</v>
      </c>
      <c r="X386" s="317">
        <f t="shared" si="72"/>
        <v>0</v>
      </c>
      <c r="Y386" s="317">
        <f t="shared" si="72"/>
        <v>0</v>
      </c>
      <c r="Z386" s="317">
        <f t="shared" si="72"/>
        <v>0</v>
      </c>
      <c r="AA386" s="317">
        <f t="shared" si="72"/>
        <v>0</v>
      </c>
      <c r="AB386" s="317">
        <f t="shared" si="72"/>
        <v>0</v>
      </c>
      <c r="AC386" s="317">
        <f t="shared" si="72"/>
        <v>0</v>
      </c>
      <c r="AD386" s="317">
        <f t="shared" si="72"/>
        <v>0</v>
      </c>
      <c r="AE386" s="318">
        <f t="shared" si="72"/>
        <v>0</v>
      </c>
    </row>
    <row r="387" spans="1:31">
      <c r="A387" s="1711"/>
      <c r="B387" s="116">
        <v>9</v>
      </c>
      <c r="C387" s="316">
        <v>0</v>
      </c>
      <c r="D387" s="317">
        <f t="shared" si="73"/>
        <v>0</v>
      </c>
      <c r="E387" s="317">
        <f t="shared" si="73"/>
        <v>0</v>
      </c>
      <c r="F387" s="317">
        <f t="shared" si="73"/>
        <v>0</v>
      </c>
      <c r="G387" s="317">
        <f t="shared" si="73"/>
        <v>0</v>
      </c>
      <c r="H387" s="317">
        <f t="shared" si="73"/>
        <v>0</v>
      </c>
      <c r="I387" s="317">
        <f t="shared" si="73"/>
        <v>0</v>
      </c>
      <c r="J387" s="317">
        <f t="shared" si="73"/>
        <v>0</v>
      </c>
      <c r="K387" s="317">
        <f t="shared" si="73"/>
        <v>0</v>
      </c>
      <c r="L387" s="317">
        <f t="shared" si="73"/>
        <v>0</v>
      </c>
      <c r="M387" s="317">
        <f t="shared" si="73"/>
        <v>0</v>
      </c>
      <c r="N387" s="317">
        <f t="shared" si="73"/>
        <v>0</v>
      </c>
      <c r="O387" s="317">
        <f t="shared" si="73"/>
        <v>0</v>
      </c>
      <c r="P387" s="317">
        <f t="shared" si="73"/>
        <v>0</v>
      </c>
      <c r="Q387" s="317">
        <f t="shared" si="73"/>
        <v>0</v>
      </c>
      <c r="R387" s="317">
        <f t="shared" si="73"/>
        <v>0</v>
      </c>
      <c r="S387" s="317">
        <f t="shared" si="73"/>
        <v>0</v>
      </c>
      <c r="T387" s="317">
        <f t="shared" si="72"/>
        <v>0</v>
      </c>
      <c r="U387" s="317">
        <f t="shared" si="72"/>
        <v>0</v>
      </c>
      <c r="V387" s="317">
        <f t="shared" si="72"/>
        <v>0</v>
      </c>
      <c r="W387" s="317">
        <f t="shared" si="72"/>
        <v>0</v>
      </c>
      <c r="X387" s="317">
        <f t="shared" si="72"/>
        <v>0</v>
      </c>
      <c r="Y387" s="317">
        <f t="shared" si="72"/>
        <v>0</v>
      </c>
      <c r="Z387" s="317">
        <f t="shared" si="72"/>
        <v>0</v>
      </c>
      <c r="AA387" s="317">
        <f t="shared" si="72"/>
        <v>0</v>
      </c>
      <c r="AB387" s="317">
        <f t="shared" si="72"/>
        <v>0</v>
      </c>
      <c r="AC387" s="317">
        <f t="shared" si="72"/>
        <v>0</v>
      </c>
      <c r="AD387" s="317">
        <f t="shared" si="72"/>
        <v>0</v>
      </c>
      <c r="AE387" s="318">
        <f t="shared" si="72"/>
        <v>0</v>
      </c>
    </row>
    <row r="388" spans="1:31">
      <c r="A388" s="1711"/>
      <c r="B388" s="116">
        <v>10</v>
      </c>
      <c r="C388" s="316">
        <v>0</v>
      </c>
      <c r="D388" s="317">
        <f t="shared" si="73"/>
        <v>0</v>
      </c>
      <c r="E388" s="317">
        <f t="shared" si="73"/>
        <v>0</v>
      </c>
      <c r="F388" s="317">
        <f t="shared" si="73"/>
        <v>0</v>
      </c>
      <c r="G388" s="317">
        <f t="shared" si="73"/>
        <v>0</v>
      </c>
      <c r="H388" s="317">
        <f t="shared" si="73"/>
        <v>0</v>
      </c>
      <c r="I388" s="317">
        <f t="shared" si="73"/>
        <v>0</v>
      </c>
      <c r="J388" s="317">
        <f t="shared" si="73"/>
        <v>0</v>
      </c>
      <c r="K388" s="317">
        <f t="shared" si="73"/>
        <v>0</v>
      </c>
      <c r="L388" s="317">
        <f t="shared" si="73"/>
        <v>0</v>
      </c>
      <c r="M388" s="317">
        <f t="shared" si="73"/>
        <v>0</v>
      </c>
      <c r="N388" s="317">
        <f t="shared" si="73"/>
        <v>0</v>
      </c>
      <c r="O388" s="317">
        <f t="shared" si="73"/>
        <v>0</v>
      </c>
      <c r="P388" s="317">
        <f t="shared" si="73"/>
        <v>0</v>
      </c>
      <c r="Q388" s="317">
        <f t="shared" si="73"/>
        <v>0</v>
      </c>
      <c r="R388" s="317">
        <f t="shared" si="73"/>
        <v>0</v>
      </c>
      <c r="S388" s="317">
        <f t="shared" si="73"/>
        <v>0</v>
      </c>
      <c r="T388" s="317">
        <f t="shared" si="72"/>
        <v>0</v>
      </c>
      <c r="U388" s="317">
        <f t="shared" si="72"/>
        <v>0</v>
      </c>
      <c r="V388" s="317">
        <f t="shared" si="72"/>
        <v>0</v>
      </c>
      <c r="W388" s="317">
        <f t="shared" si="72"/>
        <v>0</v>
      </c>
      <c r="X388" s="317">
        <f t="shared" si="72"/>
        <v>0</v>
      </c>
      <c r="Y388" s="317">
        <f t="shared" si="72"/>
        <v>0</v>
      </c>
      <c r="Z388" s="317">
        <f t="shared" si="72"/>
        <v>0</v>
      </c>
      <c r="AA388" s="317">
        <f t="shared" si="72"/>
        <v>0</v>
      </c>
      <c r="AB388" s="317">
        <f t="shared" si="72"/>
        <v>0</v>
      </c>
      <c r="AC388" s="317">
        <f t="shared" si="72"/>
        <v>0</v>
      </c>
      <c r="AD388" s="317">
        <f t="shared" si="72"/>
        <v>0</v>
      </c>
      <c r="AE388" s="318">
        <f t="shared" si="72"/>
        <v>0</v>
      </c>
    </row>
    <row r="389" spans="1:31">
      <c r="A389" s="1711"/>
      <c r="B389" s="116">
        <v>11</v>
      </c>
      <c r="C389" s="316">
        <v>0</v>
      </c>
      <c r="D389" s="317">
        <f t="shared" si="73"/>
        <v>0</v>
      </c>
      <c r="E389" s="317">
        <f t="shared" si="73"/>
        <v>0</v>
      </c>
      <c r="F389" s="317">
        <f t="shared" si="73"/>
        <v>0</v>
      </c>
      <c r="G389" s="317">
        <f t="shared" si="73"/>
        <v>0</v>
      </c>
      <c r="H389" s="317">
        <f t="shared" si="73"/>
        <v>0</v>
      </c>
      <c r="I389" s="317">
        <f t="shared" si="73"/>
        <v>0</v>
      </c>
      <c r="J389" s="317">
        <f t="shared" si="73"/>
        <v>0</v>
      </c>
      <c r="K389" s="317">
        <f t="shared" si="73"/>
        <v>0</v>
      </c>
      <c r="L389" s="317">
        <f t="shared" si="73"/>
        <v>0</v>
      </c>
      <c r="M389" s="317">
        <f t="shared" si="73"/>
        <v>0</v>
      </c>
      <c r="N389" s="317">
        <f t="shared" si="73"/>
        <v>0</v>
      </c>
      <c r="O389" s="317">
        <f t="shared" si="73"/>
        <v>0</v>
      </c>
      <c r="P389" s="317">
        <f t="shared" si="73"/>
        <v>0</v>
      </c>
      <c r="Q389" s="317">
        <f t="shared" si="73"/>
        <v>0</v>
      </c>
      <c r="R389" s="317">
        <f t="shared" si="73"/>
        <v>0</v>
      </c>
      <c r="S389" s="317">
        <f t="shared" si="73"/>
        <v>0</v>
      </c>
      <c r="T389" s="317">
        <f t="shared" si="72"/>
        <v>0</v>
      </c>
      <c r="U389" s="317">
        <f t="shared" si="72"/>
        <v>0</v>
      </c>
      <c r="V389" s="317">
        <f t="shared" si="72"/>
        <v>0</v>
      </c>
      <c r="W389" s="317">
        <f t="shared" si="72"/>
        <v>0</v>
      </c>
      <c r="X389" s="317">
        <f t="shared" si="72"/>
        <v>0</v>
      </c>
      <c r="Y389" s="317">
        <f t="shared" si="72"/>
        <v>0</v>
      </c>
      <c r="Z389" s="317">
        <f t="shared" si="72"/>
        <v>0</v>
      </c>
      <c r="AA389" s="317">
        <f t="shared" si="72"/>
        <v>0</v>
      </c>
      <c r="AB389" s="317">
        <f t="shared" si="72"/>
        <v>0</v>
      </c>
      <c r="AC389" s="317">
        <f t="shared" si="72"/>
        <v>0</v>
      </c>
      <c r="AD389" s="317">
        <f t="shared" si="72"/>
        <v>0</v>
      </c>
      <c r="AE389" s="318">
        <f t="shared" si="72"/>
        <v>0</v>
      </c>
    </row>
    <row r="390" spans="1:31">
      <c r="A390" s="1711"/>
      <c r="B390" s="116">
        <v>12</v>
      </c>
      <c r="C390" s="316">
        <v>0</v>
      </c>
      <c r="D390" s="317">
        <f t="shared" si="73"/>
        <v>0</v>
      </c>
      <c r="E390" s="317">
        <f t="shared" si="73"/>
        <v>0</v>
      </c>
      <c r="F390" s="317">
        <f t="shared" si="73"/>
        <v>0</v>
      </c>
      <c r="G390" s="317">
        <f t="shared" si="73"/>
        <v>0</v>
      </c>
      <c r="H390" s="317">
        <f t="shared" si="73"/>
        <v>0</v>
      </c>
      <c r="I390" s="317">
        <f t="shared" si="73"/>
        <v>0</v>
      </c>
      <c r="J390" s="317">
        <f t="shared" si="73"/>
        <v>0</v>
      </c>
      <c r="K390" s="317">
        <f t="shared" si="73"/>
        <v>0</v>
      </c>
      <c r="L390" s="317">
        <f t="shared" si="73"/>
        <v>0</v>
      </c>
      <c r="M390" s="317">
        <f t="shared" si="73"/>
        <v>0</v>
      </c>
      <c r="N390" s="317">
        <f t="shared" si="73"/>
        <v>0</v>
      </c>
      <c r="O390" s="317">
        <f t="shared" si="73"/>
        <v>0</v>
      </c>
      <c r="P390" s="317">
        <f t="shared" si="73"/>
        <v>0</v>
      </c>
      <c r="Q390" s="317">
        <f t="shared" si="73"/>
        <v>0</v>
      </c>
      <c r="R390" s="317">
        <f t="shared" si="73"/>
        <v>0</v>
      </c>
      <c r="S390" s="317">
        <f t="shared" si="73"/>
        <v>0</v>
      </c>
      <c r="T390" s="317">
        <f t="shared" si="72"/>
        <v>0</v>
      </c>
      <c r="U390" s="317">
        <f t="shared" si="72"/>
        <v>0</v>
      </c>
      <c r="V390" s="317">
        <f t="shared" si="72"/>
        <v>0</v>
      </c>
      <c r="W390" s="317">
        <f t="shared" si="72"/>
        <v>0</v>
      </c>
      <c r="X390" s="317">
        <f t="shared" si="72"/>
        <v>0</v>
      </c>
      <c r="Y390" s="317">
        <f t="shared" si="72"/>
        <v>0</v>
      </c>
      <c r="Z390" s="317">
        <f t="shared" si="72"/>
        <v>0</v>
      </c>
      <c r="AA390" s="317">
        <f t="shared" si="72"/>
        <v>0</v>
      </c>
      <c r="AB390" s="317">
        <f t="shared" si="72"/>
        <v>0</v>
      </c>
      <c r="AC390" s="317">
        <f t="shared" si="72"/>
        <v>0</v>
      </c>
      <c r="AD390" s="317">
        <f t="shared" si="72"/>
        <v>0</v>
      </c>
      <c r="AE390" s="318">
        <f t="shared" si="72"/>
        <v>0</v>
      </c>
    </row>
    <row r="391" spans="1:31">
      <c r="A391" s="1711"/>
      <c r="B391" s="116">
        <v>13</v>
      </c>
      <c r="C391" s="316">
        <v>0</v>
      </c>
      <c r="D391" s="317">
        <f t="shared" si="73"/>
        <v>0</v>
      </c>
      <c r="E391" s="317">
        <f t="shared" si="73"/>
        <v>0</v>
      </c>
      <c r="F391" s="317">
        <f t="shared" si="73"/>
        <v>0</v>
      </c>
      <c r="G391" s="317">
        <f t="shared" si="73"/>
        <v>0</v>
      </c>
      <c r="H391" s="317">
        <f t="shared" si="73"/>
        <v>0</v>
      </c>
      <c r="I391" s="317">
        <f t="shared" si="73"/>
        <v>0</v>
      </c>
      <c r="J391" s="317">
        <f t="shared" si="73"/>
        <v>0</v>
      </c>
      <c r="K391" s="317">
        <f t="shared" si="73"/>
        <v>0</v>
      </c>
      <c r="L391" s="317">
        <f t="shared" si="73"/>
        <v>0</v>
      </c>
      <c r="M391" s="317">
        <f t="shared" si="73"/>
        <v>0</v>
      </c>
      <c r="N391" s="317">
        <f t="shared" si="73"/>
        <v>0</v>
      </c>
      <c r="O391" s="317">
        <f t="shared" si="73"/>
        <v>0</v>
      </c>
      <c r="P391" s="317">
        <f t="shared" si="73"/>
        <v>0</v>
      </c>
      <c r="Q391" s="317">
        <f t="shared" si="73"/>
        <v>0</v>
      </c>
      <c r="R391" s="317">
        <f t="shared" si="73"/>
        <v>0</v>
      </c>
      <c r="S391" s="317">
        <f t="shared" si="73"/>
        <v>0</v>
      </c>
      <c r="T391" s="317">
        <f t="shared" si="72"/>
        <v>0</v>
      </c>
      <c r="U391" s="317">
        <f t="shared" si="72"/>
        <v>0</v>
      </c>
      <c r="V391" s="317">
        <f t="shared" si="72"/>
        <v>0</v>
      </c>
      <c r="W391" s="317">
        <f t="shared" si="72"/>
        <v>0</v>
      </c>
      <c r="X391" s="317">
        <f t="shared" si="72"/>
        <v>0</v>
      </c>
      <c r="Y391" s="317">
        <f t="shared" si="72"/>
        <v>0</v>
      </c>
      <c r="Z391" s="317">
        <f t="shared" si="72"/>
        <v>0</v>
      </c>
      <c r="AA391" s="317">
        <f t="shared" si="72"/>
        <v>0</v>
      </c>
      <c r="AB391" s="317">
        <f t="shared" si="72"/>
        <v>0</v>
      </c>
      <c r="AC391" s="317">
        <f t="shared" si="72"/>
        <v>0</v>
      </c>
      <c r="AD391" s="317">
        <f t="shared" si="72"/>
        <v>0</v>
      </c>
      <c r="AE391" s="318">
        <f t="shared" si="72"/>
        <v>0</v>
      </c>
    </row>
    <row r="392" spans="1:31">
      <c r="A392" s="1711"/>
      <c r="B392" s="116">
        <v>14</v>
      </c>
      <c r="C392" s="316">
        <v>0</v>
      </c>
      <c r="D392" s="317">
        <f t="shared" si="73"/>
        <v>0</v>
      </c>
      <c r="E392" s="317">
        <f t="shared" si="73"/>
        <v>0</v>
      </c>
      <c r="F392" s="317">
        <f t="shared" si="73"/>
        <v>0</v>
      </c>
      <c r="G392" s="317">
        <f t="shared" si="73"/>
        <v>0</v>
      </c>
      <c r="H392" s="317">
        <f t="shared" si="73"/>
        <v>0</v>
      </c>
      <c r="I392" s="317">
        <f t="shared" si="73"/>
        <v>0</v>
      </c>
      <c r="J392" s="317">
        <f t="shared" si="73"/>
        <v>0</v>
      </c>
      <c r="K392" s="317">
        <f t="shared" si="73"/>
        <v>0</v>
      </c>
      <c r="L392" s="317">
        <f t="shared" si="73"/>
        <v>0</v>
      </c>
      <c r="M392" s="317">
        <f t="shared" si="73"/>
        <v>0</v>
      </c>
      <c r="N392" s="317">
        <f t="shared" si="73"/>
        <v>0</v>
      </c>
      <c r="O392" s="317">
        <f t="shared" si="73"/>
        <v>0</v>
      </c>
      <c r="P392" s="317">
        <f t="shared" si="73"/>
        <v>0</v>
      </c>
      <c r="Q392" s="317">
        <f t="shared" si="73"/>
        <v>0</v>
      </c>
      <c r="R392" s="317">
        <f t="shared" si="73"/>
        <v>0</v>
      </c>
      <c r="S392" s="317">
        <f t="shared" si="73"/>
        <v>0</v>
      </c>
      <c r="T392" s="317">
        <f t="shared" si="72"/>
        <v>0</v>
      </c>
      <c r="U392" s="317">
        <f t="shared" si="72"/>
        <v>0</v>
      </c>
      <c r="V392" s="317">
        <f t="shared" si="72"/>
        <v>0</v>
      </c>
      <c r="W392" s="317">
        <f t="shared" si="72"/>
        <v>0</v>
      </c>
      <c r="X392" s="317">
        <f t="shared" si="72"/>
        <v>0</v>
      </c>
      <c r="Y392" s="317">
        <f t="shared" si="72"/>
        <v>0</v>
      </c>
      <c r="Z392" s="317">
        <f t="shared" si="72"/>
        <v>0</v>
      </c>
      <c r="AA392" s="317">
        <f t="shared" si="72"/>
        <v>0</v>
      </c>
      <c r="AB392" s="317">
        <f t="shared" si="72"/>
        <v>0</v>
      </c>
      <c r="AC392" s="317">
        <f t="shared" si="72"/>
        <v>0</v>
      </c>
      <c r="AD392" s="317">
        <f t="shared" si="72"/>
        <v>0</v>
      </c>
      <c r="AE392" s="318">
        <f t="shared" si="72"/>
        <v>0</v>
      </c>
    </row>
    <row r="393" spans="1:31">
      <c r="A393" s="1711"/>
      <c r="B393" s="116">
        <v>15</v>
      </c>
      <c r="C393" s="316">
        <v>0</v>
      </c>
      <c r="D393" s="317">
        <f t="shared" si="73"/>
        <v>0</v>
      </c>
      <c r="E393" s="317">
        <f t="shared" si="73"/>
        <v>0</v>
      </c>
      <c r="F393" s="317">
        <f t="shared" si="73"/>
        <v>0</v>
      </c>
      <c r="G393" s="317">
        <f t="shared" si="73"/>
        <v>0</v>
      </c>
      <c r="H393" s="317">
        <f t="shared" si="73"/>
        <v>0</v>
      </c>
      <c r="I393" s="317">
        <f t="shared" si="73"/>
        <v>0</v>
      </c>
      <c r="J393" s="317">
        <f t="shared" si="73"/>
        <v>0</v>
      </c>
      <c r="K393" s="317">
        <f t="shared" si="73"/>
        <v>0</v>
      </c>
      <c r="L393" s="317">
        <f t="shared" si="73"/>
        <v>0</v>
      </c>
      <c r="M393" s="317">
        <f t="shared" si="73"/>
        <v>0</v>
      </c>
      <c r="N393" s="317">
        <f t="shared" si="73"/>
        <v>0</v>
      </c>
      <c r="O393" s="317">
        <f t="shared" si="73"/>
        <v>0</v>
      </c>
      <c r="P393" s="317">
        <f t="shared" si="73"/>
        <v>0</v>
      </c>
      <c r="Q393" s="317">
        <f t="shared" si="73"/>
        <v>0</v>
      </c>
      <c r="R393" s="317">
        <f t="shared" si="73"/>
        <v>0</v>
      </c>
      <c r="S393" s="317">
        <f t="shared" si="73"/>
        <v>0</v>
      </c>
      <c r="T393" s="317">
        <f t="shared" si="72"/>
        <v>0</v>
      </c>
      <c r="U393" s="317">
        <f t="shared" si="72"/>
        <v>0</v>
      </c>
      <c r="V393" s="317">
        <f t="shared" si="72"/>
        <v>0</v>
      </c>
      <c r="W393" s="317">
        <f t="shared" si="72"/>
        <v>0</v>
      </c>
      <c r="X393" s="317">
        <f t="shared" si="72"/>
        <v>0</v>
      </c>
      <c r="Y393" s="317">
        <f t="shared" si="72"/>
        <v>0</v>
      </c>
      <c r="Z393" s="317">
        <f t="shared" si="72"/>
        <v>0</v>
      </c>
      <c r="AA393" s="317">
        <f t="shared" si="72"/>
        <v>0</v>
      </c>
      <c r="AB393" s="317">
        <f t="shared" si="72"/>
        <v>0</v>
      </c>
      <c r="AC393" s="317">
        <f t="shared" si="72"/>
        <v>0</v>
      </c>
      <c r="AD393" s="317">
        <f t="shared" si="72"/>
        <v>0</v>
      </c>
      <c r="AE393" s="318">
        <f t="shared" si="72"/>
        <v>0</v>
      </c>
    </row>
    <row r="394" spans="1:31">
      <c r="A394" s="1711"/>
      <c r="B394" s="116">
        <v>16</v>
      </c>
      <c r="C394" s="316">
        <v>0</v>
      </c>
      <c r="D394" s="317">
        <f t="shared" si="73"/>
        <v>0</v>
      </c>
      <c r="E394" s="317">
        <f t="shared" si="73"/>
        <v>0</v>
      </c>
      <c r="F394" s="317">
        <f t="shared" si="73"/>
        <v>0</v>
      </c>
      <c r="G394" s="317">
        <f t="shared" si="73"/>
        <v>0</v>
      </c>
      <c r="H394" s="317">
        <f t="shared" si="73"/>
        <v>0</v>
      </c>
      <c r="I394" s="317">
        <f t="shared" si="73"/>
        <v>0</v>
      </c>
      <c r="J394" s="317">
        <f t="shared" si="73"/>
        <v>0</v>
      </c>
      <c r="K394" s="317">
        <f t="shared" si="73"/>
        <v>0</v>
      </c>
      <c r="L394" s="317">
        <f t="shared" si="73"/>
        <v>0</v>
      </c>
      <c r="M394" s="317">
        <f t="shared" si="73"/>
        <v>0</v>
      </c>
      <c r="N394" s="317">
        <f t="shared" si="73"/>
        <v>0</v>
      </c>
      <c r="O394" s="317">
        <f t="shared" si="73"/>
        <v>0</v>
      </c>
      <c r="P394" s="317">
        <f t="shared" si="73"/>
        <v>0</v>
      </c>
      <c r="Q394" s="317">
        <f t="shared" si="73"/>
        <v>0</v>
      </c>
      <c r="R394" s="317">
        <f t="shared" si="73"/>
        <v>0</v>
      </c>
      <c r="S394" s="317">
        <f t="shared" si="73"/>
        <v>0</v>
      </c>
      <c r="T394" s="317">
        <f t="shared" si="72"/>
        <v>0</v>
      </c>
      <c r="U394" s="317">
        <f t="shared" si="72"/>
        <v>0</v>
      </c>
      <c r="V394" s="317">
        <f t="shared" si="72"/>
        <v>0</v>
      </c>
      <c r="W394" s="317">
        <f t="shared" si="72"/>
        <v>0</v>
      </c>
      <c r="X394" s="317">
        <f t="shared" si="72"/>
        <v>0</v>
      </c>
      <c r="Y394" s="317">
        <f t="shared" si="72"/>
        <v>0</v>
      </c>
      <c r="Z394" s="317">
        <f t="shared" si="72"/>
        <v>0</v>
      </c>
      <c r="AA394" s="317">
        <f t="shared" si="72"/>
        <v>0</v>
      </c>
      <c r="AB394" s="317">
        <f t="shared" si="72"/>
        <v>0</v>
      </c>
      <c r="AC394" s="317">
        <f t="shared" si="72"/>
        <v>0</v>
      </c>
      <c r="AD394" s="317">
        <f t="shared" si="72"/>
        <v>0</v>
      </c>
      <c r="AE394" s="318">
        <f t="shared" si="72"/>
        <v>0</v>
      </c>
    </row>
    <row r="395" spans="1:31">
      <c r="A395" s="1711"/>
      <c r="B395" s="116">
        <v>17</v>
      </c>
      <c r="C395" s="316">
        <v>0</v>
      </c>
      <c r="D395" s="317">
        <f t="shared" si="73"/>
        <v>0</v>
      </c>
      <c r="E395" s="317">
        <f t="shared" si="73"/>
        <v>0</v>
      </c>
      <c r="F395" s="317">
        <f t="shared" si="73"/>
        <v>0</v>
      </c>
      <c r="G395" s="317">
        <f t="shared" si="73"/>
        <v>0</v>
      </c>
      <c r="H395" s="317">
        <f t="shared" si="73"/>
        <v>0</v>
      </c>
      <c r="I395" s="317">
        <f t="shared" si="73"/>
        <v>0</v>
      </c>
      <c r="J395" s="317">
        <f t="shared" si="73"/>
        <v>0</v>
      </c>
      <c r="K395" s="317">
        <f t="shared" si="73"/>
        <v>0</v>
      </c>
      <c r="L395" s="317">
        <f t="shared" si="73"/>
        <v>0</v>
      </c>
      <c r="M395" s="317">
        <f t="shared" si="73"/>
        <v>0</v>
      </c>
      <c r="N395" s="317">
        <f t="shared" si="73"/>
        <v>0</v>
      </c>
      <c r="O395" s="317">
        <f t="shared" si="73"/>
        <v>0</v>
      </c>
      <c r="P395" s="317">
        <f t="shared" si="73"/>
        <v>0</v>
      </c>
      <c r="Q395" s="317">
        <f t="shared" si="73"/>
        <v>0</v>
      </c>
      <c r="R395" s="317">
        <f t="shared" si="73"/>
        <v>0</v>
      </c>
      <c r="S395" s="317">
        <f t="shared" ref="S395:AE403" si="74">R394</f>
        <v>0</v>
      </c>
      <c r="T395" s="317">
        <f t="shared" si="74"/>
        <v>0</v>
      </c>
      <c r="U395" s="317">
        <f t="shared" si="74"/>
        <v>0</v>
      </c>
      <c r="V395" s="317">
        <f t="shared" si="74"/>
        <v>0</v>
      </c>
      <c r="W395" s="317">
        <f t="shared" si="74"/>
        <v>0</v>
      </c>
      <c r="X395" s="317">
        <f t="shared" si="74"/>
        <v>0</v>
      </c>
      <c r="Y395" s="317">
        <f t="shared" si="74"/>
        <v>0</v>
      </c>
      <c r="Z395" s="317">
        <f t="shared" si="74"/>
        <v>0</v>
      </c>
      <c r="AA395" s="317">
        <f t="shared" si="74"/>
        <v>0</v>
      </c>
      <c r="AB395" s="317">
        <f t="shared" si="74"/>
        <v>0</v>
      </c>
      <c r="AC395" s="317">
        <f t="shared" si="74"/>
        <v>0</v>
      </c>
      <c r="AD395" s="317">
        <f t="shared" si="74"/>
        <v>0</v>
      </c>
      <c r="AE395" s="318">
        <f t="shared" si="74"/>
        <v>0</v>
      </c>
    </row>
    <row r="396" spans="1:31">
      <c r="A396" s="1711"/>
      <c r="B396" s="116">
        <v>18</v>
      </c>
      <c r="C396" s="316">
        <v>0</v>
      </c>
      <c r="D396" s="317">
        <f t="shared" ref="D396:S403" si="75">C395</f>
        <v>0</v>
      </c>
      <c r="E396" s="317">
        <f t="shared" si="75"/>
        <v>0</v>
      </c>
      <c r="F396" s="317">
        <f t="shared" si="75"/>
        <v>0</v>
      </c>
      <c r="G396" s="317">
        <f t="shared" si="75"/>
        <v>0</v>
      </c>
      <c r="H396" s="317">
        <f t="shared" si="75"/>
        <v>0</v>
      </c>
      <c r="I396" s="317">
        <f t="shared" si="75"/>
        <v>0</v>
      </c>
      <c r="J396" s="317">
        <f t="shared" si="75"/>
        <v>0</v>
      </c>
      <c r="K396" s="317">
        <f t="shared" si="75"/>
        <v>0</v>
      </c>
      <c r="L396" s="317">
        <f t="shared" si="75"/>
        <v>0</v>
      </c>
      <c r="M396" s="317">
        <f t="shared" si="75"/>
        <v>0</v>
      </c>
      <c r="N396" s="317">
        <f t="shared" si="75"/>
        <v>0</v>
      </c>
      <c r="O396" s="317">
        <f t="shared" si="75"/>
        <v>0</v>
      </c>
      <c r="P396" s="317">
        <f t="shared" si="75"/>
        <v>0</v>
      </c>
      <c r="Q396" s="317">
        <f t="shared" si="75"/>
        <v>0</v>
      </c>
      <c r="R396" s="317">
        <f t="shared" si="75"/>
        <v>0</v>
      </c>
      <c r="S396" s="317">
        <f t="shared" si="75"/>
        <v>0</v>
      </c>
      <c r="T396" s="317">
        <f t="shared" si="74"/>
        <v>0</v>
      </c>
      <c r="U396" s="317">
        <f t="shared" si="74"/>
        <v>0</v>
      </c>
      <c r="V396" s="317">
        <f t="shared" si="74"/>
        <v>0</v>
      </c>
      <c r="W396" s="317">
        <f t="shared" si="74"/>
        <v>0</v>
      </c>
      <c r="X396" s="317">
        <f t="shared" si="74"/>
        <v>0</v>
      </c>
      <c r="Y396" s="317">
        <f t="shared" si="74"/>
        <v>0</v>
      </c>
      <c r="Z396" s="317">
        <f t="shared" si="74"/>
        <v>0</v>
      </c>
      <c r="AA396" s="317">
        <f t="shared" si="74"/>
        <v>0</v>
      </c>
      <c r="AB396" s="317">
        <f t="shared" si="74"/>
        <v>0</v>
      </c>
      <c r="AC396" s="317">
        <f t="shared" si="74"/>
        <v>0</v>
      </c>
      <c r="AD396" s="317">
        <f t="shared" si="74"/>
        <v>0</v>
      </c>
      <c r="AE396" s="318">
        <f t="shared" si="74"/>
        <v>0</v>
      </c>
    </row>
    <row r="397" spans="1:31">
      <c r="A397" s="1711"/>
      <c r="B397" s="116">
        <v>19</v>
      </c>
      <c r="C397" s="316">
        <v>0</v>
      </c>
      <c r="D397" s="317">
        <f t="shared" si="75"/>
        <v>0</v>
      </c>
      <c r="E397" s="317">
        <f t="shared" si="75"/>
        <v>0</v>
      </c>
      <c r="F397" s="317">
        <f t="shared" si="75"/>
        <v>0</v>
      </c>
      <c r="G397" s="317">
        <f t="shared" si="75"/>
        <v>0</v>
      </c>
      <c r="H397" s="317">
        <f t="shared" si="75"/>
        <v>0</v>
      </c>
      <c r="I397" s="317">
        <f t="shared" si="75"/>
        <v>0</v>
      </c>
      <c r="J397" s="317">
        <f t="shared" si="75"/>
        <v>0</v>
      </c>
      <c r="K397" s="317">
        <f t="shared" si="75"/>
        <v>0</v>
      </c>
      <c r="L397" s="317">
        <f t="shared" si="75"/>
        <v>0</v>
      </c>
      <c r="M397" s="317">
        <f t="shared" si="75"/>
        <v>0</v>
      </c>
      <c r="N397" s="317">
        <f t="shared" si="75"/>
        <v>0</v>
      </c>
      <c r="O397" s="317">
        <f t="shared" si="75"/>
        <v>0</v>
      </c>
      <c r="P397" s="317">
        <f t="shared" si="75"/>
        <v>0</v>
      </c>
      <c r="Q397" s="317">
        <f t="shared" si="75"/>
        <v>0</v>
      </c>
      <c r="R397" s="317">
        <f t="shared" si="75"/>
        <v>0</v>
      </c>
      <c r="S397" s="317">
        <f t="shared" si="75"/>
        <v>0</v>
      </c>
      <c r="T397" s="317">
        <f t="shared" si="74"/>
        <v>0</v>
      </c>
      <c r="U397" s="317">
        <f t="shared" si="74"/>
        <v>0</v>
      </c>
      <c r="V397" s="317">
        <f t="shared" si="74"/>
        <v>0</v>
      </c>
      <c r="W397" s="317">
        <f t="shared" si="74"/>
        <v>0</v>
      </c>
      <c r="X397" s="317">
        <f t="shared" si="74"/>
        <v>0</v>
      </c>
      <c r="Y397" s="317">
        <f t="shared" si="74"/>
        <v>0</v>
      </c>
      <c r="Z397" s="317">
        <f t="shared" si="74"/>
        <v>0</v>
      </c>
      <c r="AA397" s="317">
        <f t="shared" si="74"/>
        <v>0</v>
      </c>
      <c r="AB397" s="317">
        <f t="shared" si="74"/>
        <v>0</v>
      </c>
      <c r="AC397" s="317">
        <f t="shared" si="74"/>
        <v>0</v>
      </c>
      <c r="AD397" s="317">
        <f t="shared" si="74"/>
        <v>0</v>
      </c>
      <c r="AE397" s="318">
        <f t="shared" si="74"/>
        <v>0</v>
      </c>
    </row>
    <row r="398" spans="1:31">
      <c r="A398" s="1711"/>
      <c r="B398" s="116">
        <v>20</v>
      </c>
      <c r="C398" s="316">
        <v>0</v>
      </c>
      <c r="D398" s="317">
        <f t="shared" si="75"/>
        <v>0</v>
      </c>
      <c r="E398" s="317">
        <f t="shared" si="75"/>
        <v>0</v>
      </c>
      <c r="F398" s="317">
        <f t="shared" si="75"/>
        <v>0</v>
      </c>
      <c r="G398" s="317">
        <f t="shared" si="75"/>
        <v>0</v>
      </c>
      <c r="H398" s="317">
        <f t="shared" si="75"/>
        <v>0</v>
      </c>
      <c r="I398" s="317">
        <f t="shared" si="75"/>
        <v>0</v>
      </c>
      <c r="J398" s="317">
        <f t="shared" si="75"/>
        <v>0</v>
      </c>
      <c r="K398" s="317">
        <f t="shared" si="75"/>
        <v>0</v>
      </c>
      <c r="L398" s="317">
        <f t="shared" si="75"/>
        <v>0</v>
      </c>
      <c r="M398" s="317">
        <f t="shared" si="75"/>
        <v>0</v>
      </c>
      <c r="N398" s="317">
        <f t="shared" si="75"/>
        <v>0</v>
      </c>
      <c r="O398" s="317">
        <f t="shared" si="75"/>
        <v>0</v>
      </c>
      <c r="P398" s="317">
        <f t="shared" si="75"/>
        <v>0</v>
      </c>
      <c r="Q398" s="317">
        <f t="shared" si="75"/>
        <v>0</v>
      </c>
      <c r="R398" s="317">
        <f t="shared" si="75"/>
        <v>0</v>
      </c>
      <c r="S398" s="317">
        <f t="shared" si="75"/>
        <v>0</v>
      </c>
      <c r="T398" s="317">
        <f t="shared" si="74"/>
        <v>0</v>
      </c>
      <c r="U398" s="317">
        <f t="shared" si="74"/>
        <v>0</v>
      </c>
      <c r="V398" s="317">
        <f t="shared" si="74"/>
        <v>0</v>
      </c>
      <c r="W398" s="317">
        <f t="shared" si="74"/>
        <v>0</v>
      </c>
      <c r="X398" s="317">
        <f t="shared" si="74"/>
        <v>0</v>
      </c>
      <c r="Y398" s="317">
        <f t="shared" si="74"/>
        <v>0</v>
      </c>
      <c r="Z398" s="317">
        <f t="shared" si="74"/>
        <v>0</v>
      </c>
      <c r="AA398" s="317">
        <f t="shared" si="74"/>
        <v>0</v>
      </c>
      <c r="AB398" s="317">
        <f t="shared" si="74"/>
        <v>0</v>
      </c>
      <c r="AC398" s="317">
        <f t="shared" si="74"/>
        <v>0</v>
      </c>
      <c r="AD398" s="317">
        <f t="shared" si="74"/>
        <v>0</v>
      </c>
      <c r="AE398" s="318">
        <f t="shared" si="74"/>
        <v>0</v>
      </c>
    </row>
    <row r="399" spans="1:31">
      <c r="A399" s="1711"/>
      <c r="B399" s="116">
        <v>21</v>
      </c>
      <c r="C399" s="316">
        <v>0</v>
      </c>
      <c r="D399" s="317">
        <f t="shared" si="75"/>
        <v>0</v>
      </c>
      <c r="E399" s="317">
        <f t="shared" si="75"/>
        <v>0</v>
      </c>
      <c r="F399" s="317">
        <f t="shared" si="75"/>
        <v>0</v>
      </c>
      <c r="G399" s="317">
        <f t="shared" si="75"/>
        <v>0</v>
      </c>
      <c r="H399" s="317">
        <f t="shared" si="75"/>
        <v>0</v>
      </c>
      <c r="I399" s="317">
        <f t="shared" si="75"/>
        <v>0</v>
      </c>
      <c r="J399" s="317">
        <f t="shared" si="75"/>
        <v>0</v>
      </c>
      <c r="K399" s="317">
        <f t="shared" si="75"/>
        <v>0</v>
      </c>
      <c r="L399" s="317">
        <f t="shared" si="75"/>
        <v>0</v>
      </c>
      <c r="M399" s="317">
        <f t="shared" si="75"/>
        <v>0</v>
      </c>
      <c r="N399" s="317">
        <f t="shared" si="75"/>
        <v>0</v>
      </c>
      <c r="O399" s="317">
        <f t="shared" si="75"/>
        <v>0</v>
      </c>
      <c r="P399" s="317">
        <f t="shared" si="75"/>
        <v>0</v>
      </c>
      <c r="Q399" s="317">
        <f t="shared" si="75"/>
        <v>0</v>
      </c>
      <c r="R399" s="317">
        <f t="shared" si="75"/>
        <v>0</v>
      </c>
      <c r="S399" s="317">
        <f t="shared" si="75"/>
        <v>0</v>
      </c>
      <c r="T399" s="317">
        <f t="shared" si="74"/>
        <v>0</v>
      </c>
      <c r="U399" s="317">
        <f t="shared" si="74"/>
        <v>0</v>
      </c>
      <c r="V399" s="317">
        <f t="shared" si="74"/>
        <v>0</v>
      </c>
      <c r="W399" s="317">
        <f t="shared" si="74"/>
        <v>0</v>
      </c>
      <c r="X399" s="317">
        <f t="shared" si="74"/>
        <v>0</v>
      </c>
      <c r="Y399" s="317">
        <f t="shared" si="74"/>
        <v>0</v>
      </c>
      <c r="Z399" s="317">
        <f t="shared" si="74"/>
        <v>0</v>
      </c>
      <c r="AA399" s="317">
        <f t="shared" si="74"/>
        <v>0</v>
      </c>
      <c r="AB399" s="317">
        <f t="shared" si="74"/>
        <v>0</v>
      </c>
      <c r="AC399" s="317">
        <f t="shared" si="74"/>
        <v>0</v>
      </c>
      <c r="AD399" s="317">
        <f t="shared" si="74"/>
        <v>0</v>
      </c>
      <c r="AE399" s="318">
        <f t="shared" si="74"/>
        <v>0</v>
      </c>
    </row>
    <row r="400" spans="1:31">
      <c r="A400" s="1711"/>
      <c r="B400" s="116">
        <v>22</v>
      </c>
      <c r="C400" s="316">
        <v>0</v>
      </c>
      <c r="D400" s="317">
        <f t="shared" si="75"/>
        <v>0</v>
      </c>
      <c r="E400" s="317">
        <f t="shared" si="75"/>
        <v>0</v>
      </c>
      <c r="F400" s="317">
        <f t="shared" si="75"/>
        <v>0</v>
      </c>
      <c r="G400" s="317">
        <f t="shared" si="75"/>
        <v>0</v>
      </c>
      <c r="H400" s="317">
        <f t="shared" si="75"/>
        <v>0</v>
      </c>
      <c r="I400" s="317">
        <f t="shared" si="75"/>
        <v>0</v>
      </c>
      <c r="J400" s="317">
        <f t="shared" si="75"/>
        <v>0</v>
      </c>
      <c r="K400" s="317">
        <f t="shared" si="75"/>
        <v>0</v>
      </c>
      <c r="L400" s="317">
        <f t="shared" si="75"/>
        <v>0</v>
      </c>
      <c r="M400" s="317">
        <f t="shared" si="75"/>
        <v>0</v>
      </c>
      <c r="N400" s="317">
        <f t="shared" si="75"/>
        <v>0</v>
      </c>
      <c r="O400" s="317">
        <f t="shared" si="75"/>
        <v>0</v>
      </c>
      <c r="P400" s="317">
        <f t="shared" si="75"/>
        <v>0</v>
      </c>
      <c r="Q400" s="317">
        <f t="shared" si="75"/>
        <v>0</v>
      </c>
      <c r="R400" s="317">
        <f t="shared" si="75"/>
        <v>0</v>
      </c>
      <c r="S400" s="317">
        <f t="shared" si="75"/>
        <v>0</v>
      </c>
      <c r="T400" s="317">
        <f t="shared" si="74"/>
        <v>0</v>
      </c>
      <c r="U400" s="317">
        <f t="shared" si="74"/>
        <v>0</v>
      </c>
      <c r="V400" s="317">
        <f t="shared" si="74"/>
        <v>0</v>
      </c>
      <c r="W400" s="317">
        <f t="shared" si="74"/>
        <v>0</v>
      </c>
      <c r="X400" s="317">
        <f t="shared" si="74"/>
        <v>0</v>
      </c>
      <c r="Y400" s="317">
        <f t="shared" si="74"/>
        <v>0</v>
      </c>
      <c r="Z400" s="317">
        <f t="shared" si="74"/>
        <v>0</v>
      </c>
      <c r="AA400" s="317">
        <f t="shared" si="74"/>
        <v>0</v>
      </c>
      <c r="AB400" s="317">
        <f t="shared" si="74"/>
        <v>0</v>
      </c>
      <c r="AC400" s="317">
        <f t="shared" si="74"/>
        <v>0</v>
      </c>
      <c r="AD400" s="317">
        <f t="shared" si="74"/>
        <v>0</v>
      </c>
      <c r="AE400" s="318">
        <f t="shared" si="74"/>
        <v>0</v>
      </c>
    </row>
    <row r="401" spans="1:31">
      <c r="A401" s="1711"/>
      <c r="B401" s="116">
        <v>23</v>
      </c>
      <c r="C401" s="316">
        <v>0</v>
      </c>
      <c r="D401" s="317">
        <f t="shared" si="75"/>
        <v>0</v>
      </c>
      <c r="E401" s="317">
        <f t="shared" si="75"/>
        <v>0</v>
      </c>
      <c r="F401" s="317">
        <f t="shared" si="75"/>
        <v>0</v>
      </c>
      <c r="G401" s="317">
        <f t="shared" si="75"/>
        <v>0</v>
      </c>
      <c r="H401" s="317">
        <f t="shared" si="75"/>
        <v>0</v>
      </c>
      <c r="I401" s="317">
        <f t="shared" si="75"/>
        <v>0</v>
      </c>
      <c r="J401" s="317">
        <f t="shared" si="75"/>
        <v>0</v>
      </c>
      <c r="K401" s="317">
        <f t="shared" si="75"/>
        <v>0</v>
      </c>
      <c r="L401" s="317">
        <f t="shared" si="75"/>
        <v>0</v>
      </c>
      <c r="M401" s="317">
        <f t="shared" si="75"/>
        <v>0</v>
      </c>
      <c r="N401" s="317">
        <f t="shared" si="75"/>
        <v>0</v>
      </c>
      <c r="O401" s="317">
        <f t="shared" si="75"/>
        <v>0</v>
      </c>
      <c r="P401" s="317">
        <f t="shared" si="75"/>
        <v>0</v>
      </c>
      <c r="Q401" s="317">
        <f t="shared" si="75"/>
        <v>0</v>
      </c>
      <c r="R401" s="317">
        <f t="shared" si="75"/>
        <v>0</v>
      </c>
      <c r="S401" s="317">
        <f t="shared" si="75"/>
        <v>0</v>
      </c>
      <c r="T401" s="317">
        <f t="shared" si="74"/>
        <v>0</v>
      </c>
      <c r="U401" s="317">
        <f t="shared" si="74"/>
        <v>0</v>
      </c>
      <c r="V401" s="317">
        <f t="shared" si="74"/>
        <v>0</v>
      </c>
      <c r="W401" s="317">
        <f t="shared" si="74"/>
        <v>0</v>
      </c>
      <c r="X401" s="317">
        <f t="shared" si="74"/>
        <v>0</v>
      </c>
      <c r="Y401" s="317">
        <f t="shared" si="74"/>
        <v>0</v>
      </c>
      <c r="Z401" s="317">
        <f t="shared" si="74"/>
        <v>0</v>
      </c>
      <c r="AA401" s="317">
        <f t="shared" si="74"/>
        <v>0</v>
      </c>
      <c r="AB401" s="317">
        <f t="shared" si="74"/>
        <v>0</v>
      </c>
      <c r="AC401" s="317">
        <f t="shared" si="74"/>
        <v>0</v>
      </c>
      <c r="AD401" s="317">
        <f t="shared" si="74"/>
        <v>0</v>
      </c>
      <c r="AE401" s="318">
        <f t="shared" si="74"/>
        <v>0</v>
      </c>
    </row>
    <row r="402" spans="1:31">
      <c r="A402" s="1711"/>
      <c r="B402" s="116">
        <v>24</v>
      </c>
      <c r="C402" s="316">
        <v>0</v>
      </c>
      <c r="D402" s="317">
        <f t="shared" si="75"/>
        <v>0</v>
      </c>
      <c r="E402" s="317">
        <f t="shared" si="75"/>
        <v>0</v>
      </c>
      <c r="F402" s="317">
        <f t="shared" si="75"/>
        <v>0</v>
      </c>
      <c r="G402" s="317">
        <f t="shared" si="75"/>
        <v>0</v>
      </c>
      <c r="H402" s="317">
        <f t="shared" si="75"/>
        <v>0</v>
      </c>
      <c r="I402" s="317">
        <f t="shared" si="75"/>
        <v>0</v>
      </c>
      <c r="J402" s="317">
        <f t="shared" si="75"/>
        <v>0</v>
      </c>
      <c r="K402" s="317">
        <f t="shared" si="75"/>
        <v>0</v>
      </c>
      <c r="L402" s="317">
        <f t="shared" si="75"/>
        <v>0</v>
      </c>
      <c r="M402" s="317">
        <f t="shared" si="75"/>
        <v>0</v>
      </c>
      <c r="N402" s="317">
        <f t="shared" si="75"/>
        <v>0</v>
      </c>
      <c r="O402" s="317">
        <f t="shared" si="75"/>
        <v>0</v>
      </c>
      <c r="P402" s="317">
        <f t="shared" si="75"/>
        <v>0</v>
      </c>
      <c r="Q402" s="317">
        <f t="shared" si="75"/>
        <v>0</v>
      </c>
      <c r="R402" s="317">
        <f t="shared" si="75"/>
        <v>0</v>
      </c>
      <c r="S402" s="317">
        <f t="shared" si="75"/>
        <v>0</v>
      </c>
      <c r="T402" s="317">
        <f t="shared" si="74"/>
        <v>0</v>
      </c>
      <c r="U402" s="317">
        <f t="shared" si="74"/>
        <v>0</v>
      </c>
      <c r="V402" s="317">
        <f t="shared" si="74"/>
        <v>0</v>
      </c>
      <c r="W402" s="317">
        <f t="shared" si="74"/>
        <v>0</v>
      </c>
      <c r="X402" s="317">
        <f t="shared" si="74"/>
        <v>0</v>
      </c>
      <c r="Y402" s="317">
        <f t="shared" si="74"/>
        <v>0</v>
      </c>
      <c r="Z402" s="317">
        <f t="shared" si="74"/>
        <v>0</v>
      </c>
      <c r="AA402" s="317">
        <f t="shared" si="74"/>
        <v>0</v>
      </c>
      <c r="AB402" s="317">
        <f t="shared" si="74"/>
        <v>0</v>
      </c>
      <c r="AC402" s="317">
        <f t="shared" si="74"/>
        <v>0</v>
      </c>
      <c r="AD402" s="317">
        <f t="shared" si="74"/>
        <v>0</v>
      </c>
      <c r="AE402" s="318">
        <f t="shared" si="74"/>
        <v>0</v>
      </c>
    </row>
    <row r="403" spans="1:31" ht="15.75" thickBot="1">
      <c r="A403" s="1711"/>
      <c r="B403" s="116">
        <v>25</v>
      </c>
      <c r="C403" s="324">
        <v>0</v>
      </c>
      <c r="D403" s="325">
        <f t="shared" si="75"/>
        <v>0</v>
      </c>
      <c r="E403" s="325">
        <f t="shared" si="75"/>
        <v>0</v>
      </c>
      <c r="F403" s="325">
        <f t="shared" si="75"/>
        <v>0</v>
      </c>
      <c r="G403" s="325">
        <f t="shared" si="75"/>
        <v>0</v>
      </c>
      <c r="H403" s="325">
        <f t="shared" si="75"/>
        <v>0</v>
      </c>
      <c r="I403" s="325">
        <f t="shared" si="75"/>
        <v>0</v>
      </c>
      <c r="J403" s="325">
        <f t="shared" si="75"/>
        <v>0</v>
      </c>
      <c r="K403" s="325">
        <f t="shared" si="75"/>
        <v>0</v>
      </c>
      <c r="L403" s="325">
        <f t="shared" si="75"/>
        <v>0</v>
      </c>
      <c r="M403" s="325">
        <f t="shared" si="75"/>
        <v>0</v>
      </c>
      <c r="N403" s="325">
        <f t="shared" si="75"/>
        <v>0</v>
      </c>
      <c r="O403" s="325">
        <f t="shared" si="75"/>
        <v>0</v>
      </c>
      <c r="P403" s="325">
        <f t="shared" si="75"/>
        <v>0</v>
      </c>
      <c r="Q403" s="325">
        <f t="shared" si="75"/>
        <v>0</v>
      </c>
      <c r="R403" s="325">
        <f t="shared" si="75"/>
        <v>0</v>
      </c>
      <c r="S403" s="325">
        <f t="shared" si="75"/>
        <v>0</v>
      </c>
      <c r="T403" s="325">
        <f t="shared" si="74"/>
        <v>0</v>
      </c>
      <c r="U403" s="325">
        <f t="shared" si="74"/>
        <v>0</v>
      </c>
      <c r="V403" s="325">
        <f t="shared" si="74"/>
        <v>0</v>
      </c>
      <c r="W403" s="325">
        <f t="shared" si="74"/>
        <v>0</v>
      </c>
      <c r="X403" s="325">
        <f t="shared" si="74"/>
        <v>0</v>
      </c>
      <c r="Y403" s="325">
        <f t="shared" si="74"/>
        <v>0</v>
      </c>
      <c r="Z403" s="325">
        <f t="shared" si="74"/>
        <v>0</v>
      </c>
      <c r="AA403" s="325">
        <f t="shared" si="74"/>
        <v>0</v>
      </c>
      <c r="AB403" s="325">
        <f t="shared" si="74"/>
        <v>0</v>
      </c>
      <c r="AC403" s="325">
        <f t="shared" si="74"/>
        <v>0</v>
      </c>
      <c r="AD403" s="325">
        <f t="shared" si="74"/>
        <v>0</v>
      </c>
      <c r="AE403" s="326">
        <f t="shared" si="74"/>
        <v>0</v>
      </c>
    </row>
    <row r="404" spans="1:31" ht="16.5" thickTop="1" thickBot="1">
      <c r="A404" s="1712"/>
      <c r="B404" s="300" t="s">
        <v>39</v>
      </c>
      <c r="C404" s="327">
        <f>SUMPRODUCT('CAR Stock'!C401:C426,C378:C403)/'CAR Stock'!C427</f>
        <v>0</v>
      </c>
      <c r="D404" s="327">
        <f>SUMPRODUCT('CAR Stock'!D401:D426,D378:D403)/'CAR Stock'!D427</f>
        <v>0</v>
      </c>
      <c r="E404" s="327">
        <f>SUMPRODUCT('CAR Stock'!E401:E426,E378:E403)/'CAR Stock'!E427</f>
        <v>0</v>
      </c>
      <c r="F404" s="327">
        <f>SUMPRODUCT('CAR Stock'!F401:F426,F378:F403)/'CAR Stock'!F427</f>
        <v>0</v>
      </c>
      <c r="G404" s="327">
        <f>SUMPRODUCT('CAR Stock'!G401:G426,G378:G403)/'CAR Stock'!G427</f>
        <v>0</v>
      </c>
      <c r="H404" s="327">
        <f>SUMPRODUCT('CAR Stock'!H401:H426,H378:H403)/'CAR Stock'!H427</f>
        <v>0</v>
      </c>
      <c r="I404" s="327">
        <f>SUMPRODUCT('CAR Stock'!I401:I426,I378:I403)/'CAR Stock'!I427</f>
        <v>0</v>
      </c>
      <c r="J404" s="327">
        <f>SUMPRODUCT('CAR Stock'!J401:J426,J378:J403)/'CAR Stock'!J427</f>
        <v>0</v>
      </c>
      <c r="K404" s="327">
        <f>SUMPRODUCT('CAR Stock'!K401:K426,K378:K403)/'CAR Stock'!K427</f>
        <v>0</v>
      </c>
      <c r="L404" s="327">
        <f>SUMPRODUCT('CAR Stock'!L401:L426,L378:L403)/'CAR Stock'!L427</f>
        <v>0</v>
      </c>
      <c r="M404" s="327">
        <f>SUMPRODUCT('CAR Stock'!M401:M426,M378:M403)/'CAR Stock'!M427</f>
        <v>0</v>
      </c>
      <c r="N404" s="327">
        <f>SUMPRODUCT('CAR Stock'!N401:N426,N378:N403)/'CAR Stock'!N427</f>
        <v>0</v>
      </c>
      <c r="O404" s="327">
        <f>SUMPRODUCT('CAR Stock'!O401:O426,O378:O403)/'CAR Stock'!O427</f>
        <v>0</v>
      </c>
      <c r="P404" s="327">
        <f>SUMPRODUCT('CAR Stock'!P401:P426,P378:P403)/'CAR Stock'!P427</f>
        <v>0</v>
      </c>
      <c r="Q404" s="327">
        <v>0</v>
      </c>
      <c r="R404" s="327">
        <v>0</v>
      </c>
      <c r="S404" s="327">
        <v>0</v>
      </c>
      <c r="T404" s="327">
        <v>0</v>
      </c>
      <c r="U404" s="327">
        <v>0</v>
      </c>
      <c r="V404" s="327">
        <v>0</v>
      </c>
      <c r="W404" s="327">
        <v>0</v>
      </c>
      <c r="X404" s="327">
        <v>0</v>
      </c>
      <c r="Y404" s="327">
        <v>0</v>
      </c>
      <c r="Z404" s="327">
        <v>0</v>
      </c>
      <c r="AA404" s="327">
        <v>0</v>
      </c>
      <c r="AB404" s="327">
        <v>0</v>
      </c>
      <c r="AC404" s="327">
        <v>0</v>
      </c>
      <c r="AD404" s="327">
        <v>0</v>
      </c>
      <c r="AE404" s="327">
        <v>0</v>
      </c>
    </row>
    <row r="405" spans="1:31" ht="15.75" thickBot="1">
      <c r="A405" s="650"/>
    </row>
    <row r="406" spans="1:31" ht="15.75" customHeight="1" thickBot="1">
      <c r="A406" s="1710" t="s">
        <v>54</v>
      </c>
      <c r="B406" s="169" t="s">
        <v>10</v>
      </c>
      <c r="C406" s="288">
        <f t="shared" ref="C406:C435" si="76">C290</f>
        <v>2012</v>
      </c>
      <c r="D406" s="289">
        <v>2013</v>
      </c>
      <c r="E406" s="289">
        <v>2014</v>
      </c>
      <c r="F406" s="289">
        <v>2015</v>
      </c>
      <c r="G406" s="288">
        <v>2016</v>
      </c>
      <c r="H406" s="289">
        <v>2017</v>
      </c>
      <c r="I406" s="289">
        <v>2018</v>
      </c>
      <c r="J406" s="289">
        <v>2019</v>
      </c>
      <c r="K406" s="288">
        <v>2020</v>
      </c>
      <c r="L406" s="289">
        <v>2021</v>
      </c>
      <c r="M406" s="289">
        <v>2022</v>
      </c>
      <c r="N406" s="289">
        <v>2023</v>
      </c>
      <c r="O406" s="288">
        <v>2024</v>
      </c>
      <c r="P406" s="289">
        <v>2025</v>
      </c>
      <c r="Q406" s="289">
        <v>2026</v>
      </c>
      <c r="R406" s="289">
        <v>2027</v>
      </c>
      <c r="S406" s="288">
        <v>2028</v>
      </c>
      <c r="T406" s="289">
        <v>2029</v>
      </c>
      <c r="U406" s="289">
        <v>2030</v>
      </c>
      <c r="V406" s="289">
        <v>2031</v>
      </c>
      <c r="W406" s="288">
        <v>2032</v>
      </c>
      <c r="X406" s="289">
        <v>2033</v>
      </c>
      <c r="Y406" s="289">
        <v>2034</v>
      </c>
      <c r="Z406" s="289">
        <v>2035</v>
      </c>
      <c r="AA406" s="288">
        <v>2036</v>
      </c>
      <c r="AB406" s="289">
        <v>2037</v>
      </c>
      <c r="AC406" s="289">
        <v>2038</v>
      </c>
      <c r="AD406" s="289">
        <v>2039</v>
      </c>
      <c r="AE406" s="290">
        <v>2040</v>
      </c>
    </row>
    <row r="407" spans="1:31">
      <c r="A407" s="1711"/>
      <c r="B407" s="116">
        <v>0</v>
      </c>
      <c r="C407" s="313">
        <f>'CAR SEC'!U3</f>
        <v>1.8986200000000002</v>
      </c>
      <c r="D407" s="314">
        <v>0</v>
      </c>
      <c r="E407" s="314">
        <v>0</v>
      </c>
      <c r="F407" s="314">
        <v>0</v>
      </c>
      <c r="G407" s="314">
        <v>0</v>
      </c>
      <c r="H407" s="314">
        <v>0</v>
      </c>
      <c r="I407" s="314">
        <v>0</v>
      </c>
      <c r="J407" s="314">
        <v>0</v>
      </c>
      <c r="K407" s="314">
        <v>0</v>
      </c>
      <c r="L407" s="314">
        <v>0</v>
      </c>
      <c r="M407" s="314">
        <v>0</v>
      </c>
      <c r="N407" s="314">
        <v>0</v>
      </c>
      <c r="O407" s="314">
        <v>0</v>
      </c>
      <c r="P407" s="314">
        <v>0</v>
      </c>
      <c r="Q407" s="314">
        <v>0</v>
      </c>
      <c r="R407" s="314">
        <v>0</v>
      </c>
      <c r="S407" s="314">
        <v>0</v>
      </c>
      <c r="T407" s="314">
        <v>0</v>
      </c>
      <c r="U407" s="314">
        <v>0</v>
      </c>
      <c r="V407" s="314">
        <v>0</v>
      </c>
      <c r="W407" s="314">
        <v>0</v>
      </c>
      <c r="X407" s="314">
        <v>0</v>
      </c>
      <c r="Y407" s="314">
        <v>0</v>
      </c>
      <c r="Z407" s="314">
        <v>0</v>
      </c>
      <c r="AA407" s="314">
        <v>0</v>
      </c>
      <c r="AB407" s="314">
        <v>0</v>
      </c>
      <c r="AC407" s="314">
        <v>0</v>
      </c>
      <c r="AD407" s="314">
        <v>0</v>
      </c>
      <c r="AE407" s="315">
        <v>0</v>
      </c>
    </row>
    <row r="408" spans="1:31">
      <c r="A408" s="1711"/>
      <c r="B408" s="116">
        <v>1</v>
      </c>
      <c r="C408" s="316">
        <f>'CAR SEC'!U4</f>
        <v>1.8664399999999999</v>
      </c>
      <c r="D408" s="317">
        <f>C407</f>
        <v>1.8986200000000002</v>
      </c>
      <c r="E408" s="317">
        <f t="shared" ref="E408:T408" si="77">D407</f>
        <v>0</v>
      </c>
      <c r="F408" s="317">
        <f t="shared" si="77"/>
        <v>0</v>
      </c>
      <c r="G408" s="317">
        <f t="shared" si="77"/>
        <v>0</v>
      </c>
      <c r="H408" s="317">
        <f t="shared" si="77"/>
        <v>0</v>
      </c>
      <c r="I408" s="317">
        <f t="shared" si="77"/>
        <v>0</v>
      </c>
      <c r="J408" s="317">
        <f t="shared" si="77"/>
        <v>0</v>
      </c>
      <c r="K408" s="317">
        <f t="shared" si="77"/>
        <v>0</v>
      </c>
      <c r="L408" s="317">
        <f t="shared" si="77"/>
        <v>0</v>
      </c>
      <c r="M408" s="317">
        <f t="shared" si="77"/>
        <v>0</v>
      </c>
      <c r="N408" s="317">
        <f t="shared" si="77"/>
        <v>0</v>
      </c>
      <c r="O408" s="317">
        <f t="shared" si="77"/>
        <v>0</v>
      </c>
      <c r="P408" s="317">
        <f t="shared" si="77"/>
        <v>0</v>
      </c>
      <c r="Q408" s="317">
        <f t="shared" si="77"/>
        <v>0</v>
      </c>
      <c r="R408" s="317">
        <f t="shared" si="77"/>
        <v>0</v>
      </c>
      <c r="S408" s="317">
        <f t="shared" si="77"/>
        <v>0</v>
      </c>
      <c r="T408" s="317">
        <f t="shared" si="77"/>
        <v>0</v>
      </c>
      <c r="U408" s="317">
        <f t="shared" ref="T408:AE423" si="78">T407</f>
        <v>0</v>
      </c>
      <c r="V408" s="317">
        <f t="shared" si="78"/>
        <v>0</v>
      </c>
      <c r="W408" s="317">
        <f t="shared" si="78"/>
        <v>0</v>
      </c>
      <c r="X408" s="317">
        <f t="shared" si="78"/>
        <v>0</v>
      </c>
      <c r="Y408" s="317">
        <f t="shared" si="78"/>
        <v>0</v>
      </c>
      <c r="Z408" s="317">
        <f t="shared" si="78"/>
        <v>0</v>
      </c>
      <c r="AA408" s="317">
        <f t="shared" si="78"/>
        <v>0</v>
      </c>
      <c r="AB408" s="317">
        <f t="shared" si="78"/>
        <v>0</v>
      </c>
      <c r="AC408" s="317">
        <f t="shared" si="78"/>
        <v>0</v>
      </c>
      <c r="AD408" s="317">
        <f t="shared" si="78"/>
        <v>0</v>
      </c>
      <c r="AE408" s="318">
        <f t="shared" si="78"/>
        <v>0</v>
      </c>
    </row>
    <row r="409" spans="1:31">
      <c r="A409" s="1711"/>
      <c r="B409" s="116">
        <v>2</v>
      </c>
      <c r="C409" s="316">
        <f>'CAR SEC'!U5</f>
        <v>1.8842936186186185</v>
      </c>
      <c r="D409" s="317">
        <f t="shared" ref="D409:S424" si="79">C408</f>
        <v>1.8664399999999999</v>
      </c>
      <c r="E409" s="317">
        <f t="shared" si="79"/>
        <v>1.8986200000000002</v>
      </c>
      <c r="F409" s="317">
        <f t="shared" si="79"/>
        <v>0</v>
      </c>
      <c r="G409" s="317">
        <f t="shared" si="79"/>
        <v>0</v>
      </c>
      <c r="H409" s="317">
        <f t="shared" si="79"/>
        <v>0</v>
      </c>
      <c r="I409" s="317">
        <f t="shared" si="79"/>
        <v>0</v>
      </c>
      <c r="J409" s="317">
        <f t="shared" si="79"/>
        <v>0</v>
      </c>
      <c r="K409" s="317">
        <f t="shared" si="79"/>
        <v>0</v>
      </c>
      <c r="L409" s="317">
        <f t="shared" si="79"/>
        <v>0</v>
      </c>
      <c r="M409" s="317">
        <f t="shared" si="79"/>
        <v>0</v>
      </c>
      <c r="N409" s="317">
        <f t="shared" si="79"/>
        <v>0</v>
      </c>
      <c r="O409" s="317">
        <f t="shared" si="79"/>
        <v>0</v>
      </c>
      <c r="P409" s="317">
        <f t="shared" si="79"/>
        <v>0</v>
      </c>
      <c r="Q409" s="317">
        <f t="shared" si="79"/>
        <v>0</v>
      </c>
      <c r="R409" s="317">
        <f t="shared" si="79"/>
        <v>0</v>
      </c>
      <c r="S409" s="317">
        <f t="shared" si="79"/>
        <v>0</v>
      </c>
      <c r="T409" s="317">
        <f t="shared" si="78"/>
        <v>0</v>
      </c>
      <c r="U409" s="317">
        <f t="shared" si="78"/>
        <v>0</v>
      </c>
      <c r="V409" s="317">
        <f t="shared" si="78"/>
        <v>0</v>
      </c>
      <c r="W409" s="317">
        <f t="shared" si="78"/>
        <v>0</v>
      </c>
      <c r="X409" s="317">
        <f t="shared" si="78"/>
        <v>0</v>
      </c>
      <c r="Y409" s="317">
        <f t="shared" si="78"/>
        <v>0</v>
      </c>
      <c r="Z409" s="317">
        <f t="shared" si="78"/>
        <v>0</v>
      </c>
      <c r="AA409" s="317">
        <f t="shared" si="78"/>
        <v>0</v>
      </c>
      <c r="AB409" s="317">
        <f t="shared" si="78"/>
        <v>0</v>
      </c>
      <c r="AC409" s="317">
        <f t="shared" si="78"/>
        <v>0</v>
      </c>
      <c r="AD409" s="317">
        <f t="shared" si="78"/>
        <v>0</v>
      </c>
      <c r="AE409" s="318">
        <f t="shared" si="78"/>
        <v>0</v>
      </c>
    </row>
    <row r="410" spans="1:31">
      <c r="A410" s="1711"/>
      <c r="B410" s="116">
        <v>3</v>
      </c>
      <c r="C410" s="316">
        <f>'CAR SEC'!U6</f>
        <v>1.8968723769267999</v>
      </c>
      <c r="D410" s="317">
        <f t="shared" si="79"/>
        <v>1.8842936186186185</v>
      </c>
      <c r="E410" s="317">
        <f t="shared" si="79"/>
        <v>1.8664399999999999</v>
      </c>
      <c r="F410" s="317">
        <f t="shared" si="79"/>
        <v>1.8986200000000002</v>
      </c>
      <c r="G410" s="317">
        <f t="shared" si="79"/>
        <v>0</v>
      </c>
      <c r="H410" s="317">
        <f t="shared" si="79"/>
        <v>0</v>
      </c>
      <c r="I410" s="317">
        <f t="shared" si="79"/>
        <v>0</v>
      </c>
      <c r="J410" s="317">
        <f t="shared" si="79"/>
        <v>0</v>
      </c>
      <c r="K410" s="317">
        <f t="shared" si="79"/>
        <v>0</v>
      </c>
      <c r="L410" s="317">
        <f t="shared" si="79"/>
        <v>0</v>
      </c>
      <c r="M410" s="317">
        <f t="shared" si="79"/>
        <v>0</v>
      </c>
      <c r="N410" s="317">
        <f t="shared" si="79"/>
        <v>0</v>
      </c>
      <c r="O410" s="317">
        <f t="shared" si="79"/>
        <v>0</v>
      </c>
      <c r="P410" s="317">
        <f t="shared" si="79"/>
        <v>0</v>
      </c>
      <c r="Q410" s="317">
        <f t="shared" si="79"/>
        <v>0</v>
      </c>
      <c r="R410" s="317">
        <f t="shared" si="79"/>
        <v>0</v>
      </c>
      <c r="S410" s="317">
        <f t="shared" si="79"/>
        <v>0</v>
      </c>
      <c r="T410" s="317">
        <f t="shared" si="78"/>
        <v>0</v>
      </c>
      <c r="U410" s="317">
        <f t="shared" si="78"/>
        <v>0</v>
      </c>
      <c r="V410" s="317">
        <f t="shared" si="78"/>
        <v>0</v>
      </c>
      <c r="W410" s="317">
        <f t="shared" si="78"/>
        <v>0</v>
      </c>
      <c r="X410" s="317">
        <f t="shared" si="78"/>
        <v>0</v>
      </c>
      <c r="Y410" s="317">
        <f t="shared" si="78"/>
        <v>0</v>
      </c>
      <c r="Z410" s="317">
        <f t="shared" si="78"/>
        <v>0</v>
      </c>
      <c r="AA410" s="317">
        <f t="shared" si="78"/>
        <v>0</v>
      </c>
      <c r="AB410" s="317">
        <f t="shared" si="78"/>
        <v>0</v>
      </c>
      <c r="AC410" s="317">
        <f t="shared" si="78"/>
        <v>0</v>
      </c>
      <c r="AD410" s="317">
        <f t="shared" si="78"/>
        <v>0</v>
      </c>
      <c r="AE410" s="318">
        <f t="shared" si="78"/>
        <v>0</v>
      </c>
    </row>
    <row r="411" spans="1:31">
      <c r="A411" s="1711"/>
      <c r="B411" s="116">
        <v>4</v>
      </c>
      <c r="C411" s="316">
        <f>'CAR SEC'!U7</f>
        <v>1.8804281531531504</v>
      </c>
      <c r="D411" s="317">
        <f t="shared" si="79"/>
        <v>1.8968723769267999</v>
      </c>
      <c r="E411" s="317">
        <f t="shared" si="79"/>
        <v>1.8842936186186185</v>
      </c>
      <c r="F411" s="317">
        <f t="shared" si="79"/>
        <v>1.8664399999999999</v>
      </c>
      <c r="G411" s="317">
        <f t="shared" si="79"/>
        <v>1.8986200000000002</v>
      </c>
      <c r="H411" s="317">
        <f t="shared" si="79"/>
        <v>0</v>
      </c>
      <c r="I411" s="317">
        <f t="shared" si="79"/>
        <v>0</v>
      </c>
      <c r="J411" s="317">
        <f t="shared" si="79"/>
        <v>0</v>
      </c>
      <c r="K411" s="317">
        <f t="shared" si="79"/>
        <v>0</v>
      </c>
      <c r="L411" s="317">
        <f t="shared" si="79"/>
        <v>0</v>
      </c>
      <c r="M411" s="317">
        <f t="shared" si="79"/>
        <v>0</v>
      </c>
      <c r="N411" s="317">
        <f t="shared" si="79"/>
        <v>0</v>
      </c>
      <c r="O411" s="317">
        <f t="shared" si="79"/>
        <v>0</v>
      </c>
      <c r="P411" s="317">
        <f t="shared" si="79"/>
        <v>0</v>
      </c>
      <c r="Q411" s="317">
        <f t="shared" si="79"/>
        <v>0</v>
      </c>
      <c r="R411" s="317">
        <f t="shared" si="79"/>
        <v>0</v>
      </c>
      <c r="S411" s="317">
        <f t="shared" si="79"/>
        <v>0</v>
      </c>
      <c r="T411" s="317">
        <f t="shared" si="78"/>
        <v>0</v>
      </c>
      <c r="U411" s="317">
        <f t="shared" si="78"/>
        <v>0</v>
      </c>
      <c r="V411" s="317">
        <f t="shared" si="78"/>
        <v>0</v>
      </c>
      <c r="W411" s="317">
        <f t="shared" si="78"/>
        <v>0</v>
      </c>
      <c r="X411" s="317">
        <f t="shared" si="78"/>
        <v>0</v>
      </c>
      <c r="Y411" s="317">
        <f t="shared" si="78"/>
        <v>0</v>
      </c>
      <c r="Z411" s="317">
        <f t="shared" si="78"/>
        <v>0</v>
      </c>
      <c r="AA411" s="317">
        <f t="shared" si="78"/>
        <v>0</v>
      </c>
      <c r="AB411" s="317">
        <f t="shared" si="78"/>
        <v>0</v>
      </c>
      <c r="AC411" s="317">
        <f t="shared" si="78"/>
        <v>0</v>
      </c>
      <c r="AD411" s="317">
        <f t="shared" si="78"/>
        <v>0</v>
      </c>
      <c r="AE411" s="318">
        <f t="shared" si="78"/>
        <v>0</v>
      </c>
    </row>
    <row r="412" spans="1:31">
      <c r="A412" s="1711"/>
      <c r="B412" s="116">
        <v>5</v>
      </c>
      <c r="C412" s="316">
        <f>'CAR SEC'!U8</f>
        <v>1.8986199999999958</v>
      </c>
      <c r="D412" s="317">
        <f t="shared" si="79"/>
        <v>1.8804281531531504</v>
      </c>
      <c r="E412" s="317">
        <f t="shared" si="79"/>
        <v>1.8968723769267999</v>
      </c>
      <c r="F412" s="317">
        <f t="shared" si="79"/>
        <v>1.8842936186186185</v>
      </c>
      <c r="G412" s="317">
        <f t="shared" si="79"/>
        <v>1.8664399999999999</v>
      </c>
      <c r="H412" s="317">
        <f t="shared" si="79"/>
        <v>1.8986200000000002</v>
      </c>
      <c r="I412" s="317">
        <f t="shared" si="79"/>
        <v>0</v>
      </c>
      <c r="J412" s="317">
        <f t="shared" si="79"/>
        <v>0</v>
      </c>
      <c r="K412" s="317">
        <f t="shared" si="79"/>
        <v>0</v>
      </c>
      <c r="L412" s="317">
        <f t="shared" si="79"/>
        <v>0</v>
      </c>
      <c r="M412" s="317">
        <f t="shared" si="79"/>
        <v>0</v>
      </c>
      <c r="N412" s="317">
        <f t="shared" si="79"/>
        <v>0</v>
      </c>
      <c r="O412" s="317">
        <f t="shared" si="79"/>
        <v>0</v>
      </c>
      <c r="P412" s="317">
        <f t="shared" si="79"/>
        <v>0</v>
      </c>
      <c r="Q412" s="317">
        <f t="shared" si="79"/>
        <v>0</v>
      </c>
      <c r="R412" s="317">
        <f t="shared" si="79"/>
        <v>0</v>
      </c>
      <c r="S412" s="317">
        <f t="shared" si="79"/>
        <v>0</v>
      </c>
      <c r="T412" s="317">
        <f t="shared" si="78"/>
        <v>0</v>
      </c>
      <c r="U412" s="317">
        <f t="shared" si="78"/>
        <v>0</v>
      </c>
      <c r="V412" s="317">
        <f t="shared" si="78"/>
        <v>0</v>
      </c>
      <c r="W412" s="317">
        <f t="shared" si="78"/>
        <v>0</v>
      </c>
      <c r="X412" s="317">
        <f t="shared" si="78"/>
        <v>0</v>
      </c>
      <c r="Y412" s="317">
        <f t="shared" si="78"/>
        <v>0</v>
      </c>
      <c r="Z412" s="317">
        <f t="shared" si="78"/>
        <v>0</v>
      </c>
      <c r="AA412" s="317">
        <f t="shared" si="78"/>
        <v>0</v>
      </c>
      <c r="AB412" s="317">
        <f t="shared" si="78"/>
        <v>0</v>
      </c>
      <c r="AC412" s="317">
        <f t="shared" si="78"/>
        <v>0</v>
      </c>
      <c r="AD412" s="317">
        <f t="shared" si="78"/>
        <v>0</v>
      </c>
      <c r="AE412" s="318">
        <f t="shared" si="78"/>
        <v>0</v>
      </c>
    </row>
    <row r="413" spans="1:31">
      <c r="A413" s="1711"/>
      <c r="B413" s="116">
        <v>6</v>
      </c>
      <c r="C413" s="316">
        <f>'CAR SEC'!U9</f>
        <v>1.8986199999999958</v>
      </c>
      <c r="D413" s="317">
        <f t="shared" si="79"/>
        <v>1.8986199999999958</v>
      </c>
      <c r="E413" s="317">
        <f t="shared" si="79"/>
        <v>1.8804281531531504</v>
      </c>
      <c r="F413" s="317">
        <f t="shared" si="79"/>
        <v>1.8968723769267999</v>
      </c>
      <c r="G413" s="317">
        <f t="shared" si="79"/>
        <v>1.8842936186186185</v>
      </c>
      <c r="H413" s="317">
        <f t="shared" si="79"/>
        <v>1.8664399999999999</v>
      </c>
      <c r="I413" s="317">
        <f t="shared" si="79"/>
        <v>1.8986200000000002</v>
      </c>
      <c r="J413" s="317">
        <f t="shared" si="79"/>
        <v>0</v>
      </c>
      <c r="K413" s="317">
        <f t="shared" si="79"/>
        <v>0</v>
      </c>
      <c r="L413" s="317">
        <f t="shared" si="79"/>
        <v>0</v>
      </c>
      <c r="M413" s="317">
        <f t="shared" si="79"/>
        <v>0</v>
      </c>
      <c r="N413" s="317">
        <f t="shared" si="79"/>
        <v>0</v>
      </c>
      <c r="O413" s="317">
        <f t="shared" si="79"/>
        <v>0</v>
      </c>
      <c r="P413" s="317">
        <f t="shared" si="79"/>
        <v>0</v>
      </c>
      <c r="Q413" s="317">
        <f t="shared" si="79"/>
        <v>0</v>
      </c>
      <c r="R413" s="317">
        <f t="shared" si="79"/>
        <v>0</v>
      </c>
      <c r="S413" s="317">
        <f t="shared" si="79"/>
        <v>0</v>
      </c>
      <c r="T413" s="317">
        <f t="shared" si="78"/>
        <v>0</v>
      </c>
      <c r="U413" s="317">
        <f t="shared" si="78"/>
        <v>0</v>
      </c>
      <c r="V413" s="317">
        <f t="shared" si="78"/>
        <v>0</v>
      </c>
      <c r="W413" s="317">
        <f t="shared" si="78"/>
        <v>0</v>
      </c>
      <c r="X413" s="317">
        <f t="shared" si="78"/>
        <v>0</v>
      </c>
      <c r="Y413" s="317">
        <f t="shared" si="78"/>
        <v>0</v>
      </c>
      <c r="Z413" s="317">
        <f t="shared" si="78"/>
        <v>0</v>
      </c>
      <c r="AA413" s="317">
        <f t="shared" si="78"/>
        <v>0</v>
      </c>
      <c r="AB413" s="317">
        <f t="shared" si="78"/>
        <v>0</v>
      </c>
      <c r="AC413" s="317">
        <f t="shared" si="78"/>
        <v>0</v>
      </c>
      <c r="AD413" s="317">
        <f t="shared" si="78"/>
        <v>0</v>
      </c>
      <c r="AE413" s="318">
        <f t="shared" si="78"/>
        <v>0</v>
      </c>
    </row>
    <row r="414" spans="1:31">
      <c r="A414" s="1711"/>
      <c r="B414" s="116">
        <v>7</v>
      </c>
      <c r="C414" s="316">
        <f>'CAR SEC'!U10</f>
        <v>1.8986199999999958</v>
      </c>
      <c r="D414" s="317">
        <f t="shared" si="79"/>
        <v>1.8986199999999958</v>
      </c>
      <c r="E414" s="317">
        <f t="shared" si="79"/>
        <v>1.8986199999999958</v>
      </c>
      <c r="F414" s="317">
        <f t="shared" si="79"/>
        <v>1.8804281531531504</v>
      </c>
      <c r="G414" s="317">
        <f t="shared" si="79"/>
        <v>1.8968723769267999</v>
      </c>
      <c r="H414" s="317">
        <f t="shared" si="79"/>
        <v>1.8842936186186185</v>
      </c>
      <c r="I414" s="317">
        <f t="shared" si="79"/>
        <v>1.8664399999999999</v>
      </c>
      <c r="J414" s="317">
        <f t="shared" si="79"/>
        <v>1.8986200000000002</v>
      </c>
      <c r="K414" s="317">
        <f t="shared" si="79"/>
        <v>0</v>
      </c>
      <c r="L414" s="317">
        <f t="shared" si="79"/>
        <v>0</v>
      </c>
      <c r="M414" s="317">
        <f t="shared" si="79"/>
        <v>0</v>
      </c>
      <c r="N414" s="317">
        <f t="shared" si="79"/>
        <v>0</v>
      </c>
      <c r="O414" s="317">
        <f t="shared" si="79"/>
        <v>0</v>
      </c>
      <c r="P414" s="317">
        <f t="shared" si="79"/>
        <v>0</v>
      </c>
      <c r="Q414" s="317">
        <f t="shared" si="79"/>
        <v>0</v>
      </c>
      <c r="R414" s="317">
        <f t="shared" si="79"/>
        <v>0</v>
      </c>
      <c r="S414" s="317">
        <f t="shared" si="79"/>
        <v>0</v>
      </c>
      <c r="T414" s="317">
        <f t="shared" si="78"/>
        <v>0</v>
      </c>
      <c r="U414" s="317">
        <f t="shared" si="78"/>
        <v>0</v>
      </c>
      <c r="V414" s="317">
        <f t="shared" si="78"/>
        <v>0</v>
      </c>
      <c r="W414" s="317">
        <f t="shared" si="78"/>
        <v>0</v>
      </c>
      <c r="X414" s="317">
        <f t="shared" si="78"/>
        <v>0</v>
      </c>
      <c r="Y414" s="317">
        <f t="shared" si="78"/>
        <v>0</v>
      </c>
      <c r="Z414" s="317">
        <f t="shared" si="78"/>
        <v>0</v>
      </c>
      <c r="AA414" s="317">
        <f t="shared" si="78"/>
        <v>0</v>
      </c>
      <c r="AB414" s="317">
        <f t="shared" si="78"/>
        <v>0</v>
      </c>
      <c r="AC414" s="317">
        <f t="shared" si="78"/>
        <v>0</v>
      </c>
      <c r="AD414" s="317">
        <f t="shared" si="78"/>
        <v>0</v>
      </c>
      <c r="AE414" s="318">
        <f t="shared" si="78"/>
        <v>0</v>
      </c>
    </row>
    <row r="415" spans="1:31">
      <c r="A415" s="1711"/>
      <c r="B415" s="116">
        <v>8</v>
      </c>
      <c r="C415" s="316">
        <f>'CAR SEC'!U11</f>
        <v>1.8986199999999958</v>
      </c>
      <c r="D415" s="317">
        <f t="shared" si="79"/>
        <v>1.8986199999999958</v>
      </c>
      <c r="E415" s="317">
        <f t="shared" si="79"/>
        <v>1.8986199999999958</v>
      </c>
      <c r="F415" s="317">
        <f t="shared" si="79"/>
        <v>1.8986199999999958</v>
      </c>
      <c r="G415" s="317">
        <f t="shared" si="79"/>
        <v>1.8804281531531504</v>
      </c>
      <c r="H415" s="317">
        <f t="shared" si="79"/>
        <v>1.8968723769267999</v>
      </c>
      <c r="I415" s="317">
        <f t="shared" si="79"/>
        <v>1.8842936186186185</v>
      </c>
      <c r="J415" s="317">
        <f t="shared" si="79"/>
        <v>1.8664399999999999</v>
      </c>
      <c r="K415" s="317">
        <f t="shared" si="79"/>
        <v>1.8986200000000002</v>
      </c>
      <c r="L415" s="317">
        <f t="shared" si="79"/>
        <v>0</v>
      </c>
      <c r="M415" s="317">
        <f t="shared" si="79"/>
        <v>0</v>
      </c>
      <c r="N415" s="317">
        <f t="shared" si="79"/>
        <v>0</v>
      </c>
      <c r="O415" s="317">
        <f t="shared" si="79"/>
        <v>0</v>
      </c>
      <c r="P415" s="317">
        <f t="shared" si="79"/>
        <v>0</v>
      </c>
      <c r="Q415" s="317">
        <f t="shared" si="79"/>
        <v>0</v>
      </c>
      <c r="R415" s="317">
        <f t="shared" si="79"/>
        <v>0</v>
      </c>
      <c r="S415" s="317">
        <f t="shared" si="79"/>
        <v>0</v>
      </c>
      <c r="T415" s="317">
        <f t="shared" si="78"/>
        <v>0</v>
      </c>
      <c r="U415" s="317">
        <f t="shared" si="78"/>
        <v>0</v>
      </c>
      <c r="V415" s="317">
        <f t="shared" si="78"/>
        <v>0</v>
      </c>
      <c r="W415" s="317">
        <f t="shared" si="78"/>
        <v>0</v>
      </c>
      <c r="X415" s="317">
        <f t="shared" si="78"/>
        <v>0</v>
      </c>
      <c r="Y415" s="317">
        <f t="shared" si="78"/>
        <v>0</v>
      </c>
      <c r="Z415" s="317">
        <f t="shared" si="78"/>
        <v>0</v>
      </c>
      <c r="AA415" s="317">
        <f t="shared" si="78"/>
        <v>0</v>
      </c>
      <c r="AB415" s="317">
        <f t="shared" si="78"/>
        <v>0</v>
      </c>
      <c r="AC415" s="317">
        <f t="shared" si="78"/>
        <v>0</v>
      </c>
      <c r="AD415" s="317">
        <f t="shared" si="78"/>
        <v>0</v>
      </c>
      <c r="AE415" s="318">
        <f t="shared" si="78"/>
        <v>0</v>
      </c>
    </row>
    <row r="416" spans="1:31">
      <c r="A416" s="1711"/>
      <c r="B416" s="116">
        <v>9</v>
      </c>
      <c r="C416" s="316">
        <f>'CAR SEC'!U12</f>
        <v>1.8986199999999958</v>
      </c>
      <c r="D416" s="317">
        <f t="shared" si="79"/>
        <v>1.8986199999999958</v>
      </c>
      <c r="E416" s="317">
        <f t="shared" si="79"/>
        <v>1.8986199999999958</v>
      </c>
      <c r="F416" s="317">
        <f t="shared" si="79"/>
        <v>1.8986199999999958</v>
      </c>
      <c r="G416" s="317">
        <f t="shared" si="79"/>
        <v>1.8986199999999958</v>
      </c>
      <c r="H416" s="317">
        <f t="shared" si="79"/>
        <v>1.8804281531531504</v>
      </c>
      <c r="I416" s="317">
        <f t="shared" si="79"/>
        <v>1.8968723769267999</v>
      </c>
      <c r="J416" s="317">
        <f t="shared" si="79"/>
        <v>1.8842936186186185</v>
      </c>
      <c r="K416" s="317">
        <f t="shared" si="79"/>
        <v>1.8664399999999999</v>
      </c>
      <c r="L416" s="317">
        <f t="shared" si="79"/>
        <v>1.8986200000000002</v>
      </c>
      <c r="M416" s="317">
        <f t="shared" si="79"/>
        <v>0</v>
      </c>
      <c r="N416" s="317">
        <f t="shared" si="79"/>
        <v>0</v>
      </c>
      <c r="O416" s="317">
        <f t="shared" si="79"/>
        <v>0</v>
      </c>
      <c r="P416" s="317">
        <f t="shared" si="79"/>
        <v>0</v>
      </c>
      <c r="Q416" s="317">
        <f t="shared" si="79"/>
        <v>0</v>
      </c>
      <c r="R416" s="317">
        <f t="shared" si="79"/>
        <v>0</v>
      </c>
      <c r="S416" s="317">
        <f t="shared" si="79"/>
        <v>0</v>
      </c>
      <c r="T416" s="317">
        <f t="shared" si="78"/>
        <v>0</v>
      </c>
      <c r="U416" s="317">
        <f t="shared" si="78"/>
        <v>0</v>
      </c>
      <c r="V416" s="317">
        <f t="shared" si="78"/>
        <v>0</v>
      </c>
      <c r="W416" s="317">
        <f t="shared" si="78"/>
        <v>0</v>
      </c>
      <c r="X416" s="317">
        <f t="shared" si="78"/>
        <v>0</v>
      </c>
      <c r="Y416" s="317">
        <f t="shared" si="78"/>
        <v>0</v>
      </c>
      <c r="Z416" s="317">
        <f t="shared" si="78"/>
        <v>0</v>
      </c>
      <c r="AA416" s="317">
        <f t="shared" si="78"/>
        <v>0</v>
      </c>
      <c r="AB416" s="317">
        <f t="shared" si="78"/>
        <v>0</v>
      </c>
      <c r="AC416" s="317">
        <f t="shared" si="78"/>
        <v>0</v>
      </c>
      <c r="AD416" s="317">
        <f t="shared" si="78"/>
        <v>0</v>
      </c>
      <c r="AE416" s="318">
        <f t="shared" si="78"/>
        <v>0</v>
      </c>
    </row>
    <row r="417" spans="1:31">
      <c r="A417" s="1711"/>
      <c r="B417" s="116">
        <v>10</v>
      </c>
      <c r="C417" s="316">
        <f>'CAR SEC'!U13</f>
        <v>1.8986199999999958</v>
      </c>
      <c r="D417" s="317">
        <f t="shared" si="79"/>
        <v>1.8986199999999958</v>
      </c>
      <c r="E417" s="317">
        <f t="shared" si="79"/>
        <v>1.8986199999999958</v>
      </c>
      <c r="F417" s="317">
        <f t="shared" si="79"/>
        <v>1.8986199999999958</v>
      </c>
      <c r="G417" s="317">
        <f t="shared" si="79"/>
        <v>1.8986199999999958</v>
      </c>
      <c r="H417" s="317">
        <f t="shared" si="79"/>
        <v>1.8986199999999958</v>
      </c>
      <c r="I417" s="317">
        <f t="shared" si="79"/>
        <v>1.8804281531531504</v>
      </c>
      <c r="J417" s="317">
        <f t="shared" si="79"/>
        <v>1.8968723769267999</v>
      </c>
      <c r="K417" s="317">
        <f t="shared" si="79"/>
        <v>1.8842936186186185</v>
      </c>
      <c r="L417" s="317">
        <f t="shared" si="79"/>
        <v>1.8664399999999999</v>
      </c>
      <c r="M417" s="317">
        <f t="shared" si="79"/>
        <v>1.8986200000000002</v>
      </c>
      <c r="N417" s="317">
        <f t="shared" si="79"/>
        <v>0</v>
      </c>
      <c r="O417" s="317">
        <f t="shared" si="79"/>
        <v>0</v>
      </c>
      <c r="P417" s="317">
        <f t="shared" si="79"/>
        <v>0</v>
      </c>
      <c r="Q417" s="317">
        <f t="shared" si="79"/>
        <v>0</v>
      </c>
      <c r="R417" s="317">
        <f t="shared" si="79"/>
        <v>0</v>
      </c>
      <c r="S417" s="317">
        <f t="shared" si="79"/>
        <v>0</v>
      </c>
      <c r="T417" s="317">
        <f t="shared" si="78"/>
        <v>0</v>
      </c>
      <c r="U417" s="317">
        <f t="shared" si="78"/>
        <v>0</v>
      </c>
      <c r="V417" s="317">
        <f t="shared" si="78"/>
        <v>0</v>
      </c>
      <c r="W417" s="317">
        <f t="shared" si="78"/>
        <v>0</v>
      </c>
      <c r="X417" s="317">
        <f t="shared" si="78"/>
        <v>0</v>
      </c>
      <c r="Y417" s="317">
        <f t="shared" si="78"/>
        <v>0</v>
      </c>
      <c r="Z417" s="317">
        <f t="shared" si="78"/>
        <v>0</v>
      </c>
      <c r="AA417" s="317">
        <f t="shared" si="78"/>
        <v>0</v>
      </c>
      <c r="AB417" s="317">
        <f t="shared" si="78"/>
        <v>0</v>
      </c>
      <c r="AC417" s="317">
        <f t="shared" si="78"/>
        <v>0</v>
      </c>
      <c r="AD417" s="317">
        <f t="shared" si="78"/>
        <v>0</v>
      </c>
      <c r="AE417" s="318">
        <f t="shared" si="78"/>
        <v>0</v>
      </c>
    </row>
    <row r="418" spans="1:31">
      <c r="A418" s="1711"/>
      <c r="B418" s="116">
        <v>11</v>
      </c>
      <c r="C418" s="316">
        <f>'CAR SEC'!U14</f>
        <v>1.8986199999999958</v>
      </c>
      <c r="D418" s="317">
        <f t="shared" si="79"/>
        <v>1.8986199999999958</v>
      </c>
      <c r="E418" s="317">
        <f t="shared" si="79"/>
        <v>1.8986199999999958</v>
      </c>
      <c r="F418" s="317">
        <f t="shared" si="79"/>
        <v>1.8986199999999958</v>
      </c>
      <c r="G418" s="317">
        <f t="shared" si="79"/>
        <v>1.8986199999999958</v>
      </c>
      <c r="H418" s="317">
        <f t="shared" si="79"/>
        <v>1.8986199999999958</v>
      </c>
      <c r="I418" s="317">
        <f t="shared" si="79"/>
        <v>1.8986199999999958</v>
      </c>
      <c r="J418" s="317">
        <f t="shared" si="79"/>
        <v>1.8804281531531504</v>
      </c>
      <c r="K418" s="317">
        <f t="shared" si="79"/>
        <v>1.8968723769267999</v>
      </c>
      <c r="L418" s="317">
        <f t="shared" si="79"/>
        <v>1.8842936186186185</v>
      </c>
      <c r="M418" s="317">
        <f t="shared" si="79"/>
        <v>1.8664399999999999</v>
      </c>
      <c r="N418" s="317">
        <f t="shared" si="79"/>
        <v>1.8986200000000002</v>
      </c>
      <c r="O418" s="317">
        <f t="shared" si="79"/>
        <v>0</v>
      </c>
      <c r="P418" s="317">
        <f t="shared" si="79"/>
        <v>0</v>
      </c>
      <c r="Q418" s="317">
        <f t="shared" si="79"/>
        <v>0</v>
      </c>
      <c r="R418" s="317">
        <f t="shared" si="79"/>
        <v>0</v>
      </c>
      <c r="S418" s="317">
        <f t="shared" si="79"/>
        <v>0</v>
      </c>
      <c r="T418" s="317">
        <f t="shared" si="78"/>
        <v>0</v>
      </c>
      <c r="U418" s="317">
        <f t="shared" si="78"/>
        <v>0</v>
      </c>
      <c r="V418" s="317">
        <f t="shared" si="78"/>
        <v>0</v>
      </c>
      <c r="W418" s="317">
        <f t="shared" si="78"/>
        <v>0</v>
      </c>
      <c r="X418" s="317">
        <f t="shared" si="78"/>
        <v>0</v>
      </c>
      <c r="Y418" s="317">
        <f t="shared" si="78"/>
        <v>0</v>
      </c>
      <c r="Z418" s="317">
        <f t="shared" si="78"/>
        <v>0</v>
      </c>
      <c r="AA418" s="317">
        <f t="shared" si="78"/>
        <v>0</v>
      </c>
      <c r="AB418" s="317">
        <f t="shared" si="78"/>
        <v>0</v>
      </c>
      <c r="AC418" s="317">
        <f t="shared" si="78"/>
        <v>0</v>
      </c>
      <c r="AD418" s="317">
        <f t="shared" si="78"/>
        <v>0</v>
      </c>
      <c r="AE418" s="318">
        <f t="shared" si="78"/>
        <v>0</v>
      </c>
    </row>
    <row r="419" spans="1:31">
      <c r="A419" s="1711"/>
      <c r="B419" s="116">
        <v>12</v>
      </c>
      <c r="C419" s="316">
        <f>'CAR SEC'!U15</f>
        <v>1.8986199999999958</v>
      </c>
      <c r="D419" s="317">
        <f t="shared" si="79"/>
        <v>1.8986199999999958</v>
      </c>
      <c r="E419" s="317">
        <f t="shared" si="79"/>
        <v>1.8986199999999958</v>
      </c>
      <c r="F419" s="317">
        <f t="shared" si="79"/>
        <v>1.8986199999999958</v>
      </c>
      <c r="G419" s="317">
        <f t="shared" si="79"/>
        <v>1.8986199999999958</v>
      </c>
      <c r="H419" s="317">
        <f t="shared" si="79"/>
        <v>1.8986199999999958</v>
      </c>
      <c r="I419" s="317">
        <f t="shared" si="79"/>
        <v>1.8986199999999958</v>
      </c>
      <c r="J419" s="317">
        <f t="shared" si="79"/>
        <v>1.8986199999999958</v>
      </c>
      <c r="K419" s="317">
        <f t="shared" si="79"/>
        <v>1.8804281531531504</v>
      </c>
      <c r="L419" s="317">
        <f t="shared" si="79"/>
        <v>1.8968723769267999</v>
      </c>
      <c r="M419" s="317">
        <f t="shared" si="79"/>
        <v>1.8842936186186185</v>
      </c>
      <c r="N419" s="317">
        <f t="shared" si="79"/>
        <v>1.8664399999999999</v>
      </c>
      <c r="O419" s="317">
        <f t="shared" si="79"/>
        <v>1.8986200000000002</v>
      </c>
      <c r="P419" s="317">
        <f t="shared" si="79"/>
        <v>0</v>
      </c>
      <c r="Q419" s="317">
        <f t="shared" si="79"/>
        <v>0</v>
      </c>
      <c r="R419" s="317">
        <f t="shared" si="79"/>
        <v>0</v>
      </c>
      <c r="S419" s="317">
        <f t="shared" si="79"/>
        <v>0</v>
      </c>
      <c r="T419" s="317">
        <f t="shared" si="78"/>
        <v>0</v>
      </c>
      <c r="U419" s="317">
        <f t="shared" si="78"/>
        <v>0</v>
      </c>
      <c r="V419" s="317">
        <f t="shared" si="78"/>
        <v>0</v>
      </c>
      <c r="W419" s="317">
        <f t="shared" si="78"/>
        <v>0</v>
      </c>
      <c r="X419" s="317">
        <f t="shared" si="78"/>
        <v>0</v>
      </c>
      <c r="Y419" s="317">
        <f t="shared" si="78"/>
        <v>0</v>
      </c>
      <c r="Z419" s="317">
        <f t="shared" si="78"/>
        <v>0</v>
      </c>
      <c r="AA419" s="317">
        <f t="shared" si="78"/>
        <v>0</v>
      </c>
      <c r="AB419" s="317">
        <f t="shared" si="78"/>
        <v>0</v>
      </c>
      <c r="AC419" s="317">
        <f t="shared" si="78"/>
        <v>0</v>
      </c>
      <c r="AD419" s="317">
        <f t="shared" si="78"/>
        <v>0</v>
      </c>
      <c r="AE419" s="318">
        <f t="shared" si="78"/>
        <v>0</v>
      </c>
    </row>
    <row r="420" spans="1:31">
      <c r="A420" s="1711"/>
      <c r="B420" s="116">
        <v>13</v>
      </c>
      <c r="C420" s="316">
        <f>'CAR SEC'!U16</f>
        <v>1.8986199999999958</v>
      </c>
      <c r="D420" s="317">
        <f t="shared" si="79"/>
        <v>1.8986199999999958</v>
      </c>
      <c r="E420" s="317">
        <f t="shared" si="79"/>
        <v>1.8986199999999958</v>
      </c>
      <c r="F420" s="317">
        <f t="shared" si="79"/>
        <v>1.8986199999999958</v>
      </c>
      <c r="G420" s="317">
        <f t="shared" si="79"/>
        <v>1.8986199999999958</v>
      </c>
      <c r="H420" s="317">
        <f t="shared" si="79"/>
        <v>1.8986199999999958</v>
      </c>
      <c r="I420" s="317">
        <f t="shared" si="79"/>
        <v>1.8986199999999958</v>
      </c>
      <c r="J420" s="317">
        <f t="shared" si="79"/>
        <v>1.8986199999999958</v>
      </c>
      <c r="K420" s="317">
        <f t="shared" si="79"/>
        <v>1.8986199999999958</v>
      </c>
      <c r="L420" s="317">
        <f t="shared" si="79"/>
        <v>1.8804281531531504</v>
      </c>
      <c r="M420" s="317">
        <f t="shared" si="79"/>
        <v>1.8968723769267999</v>
      </c>
      <c r="N420" s="317">
        <f t="shared" si="79"/>
        <v>1.8842936186186185</v>
      </c>
      <c r="O420" s="317">
        <f t="shared" si="79"/>
        <v>1.8664399999999999</v>
      </c>
      <c r="P420" s="317">
        <f t="shared" si="79"/>
        <v>1.8986200000000002</v>
      </c>
      <c r="Q420" s="317">
        <f t="shared" si="79"/>
        <v>0</v>
      </c>
      <c r="R420" s="317">
        <f t="shared" si="79"/>
        <v>0</v>
      </c>
      <c r="S420" s="317">
        <f t="shared" si="79"/>
        <v>0</v>
      </c>
      <c r="T420" s="317">
        <f t="shared" si="78"/>
        <v>0</v>
      </c>
      <c r="U420" s="317">
        <f t="shared" si="78"/>
        <v>0</v>
      </c>
      <c r="V420" s="317">
        <f t="shared" si="78"/>
        <v>0</v>
      </c>
      <c r="W420" s="317">
        <f t="shared" si="78"/>
        <v>0</v>
      </c>
      <c r="X420" s="317">
        <f t="shared" si="78"/>
        <v>0</v>
      </c>
      <c r="Y420" s="317">
        <f t="shared" si="78"/>
        <v>0</v>
      </c>
      <c r="Z420" s="317">
        <f t="shared" si="78"/>
        <v>0</v>
      </c>
      <c r="AA420" s="317">
        <f t="shared" si="78"/>
        <v>0</v>
      </c>
      <c r="AB420" s="317">
        <f t="shared" si="78"/>
        <v>0</v>
      </c>
      <c r="AC420" s="317">
        <f t="shared" si="78"/>
        <v>0</v>
      </c>
      <c r="AD420" s="317">
        <f t="shared" si="78"/>
        <v>0</v>
      </c>
      <c r="AE420" s="318">
        <f t="shared" si="78"/>
        <v>0</v>
      </c>
    </row>
    <row r="421" spans="1:31">
      <c r="A421" s="1711"/>
      <c r="B421" s="116">
        <v>14</v>
      </c>
      <c r="C421" s="316">
        <f>'CAR SEC'!U17</f>
        <v>1.8986199999999958</v>
      </c>
      <c r="D421" s="317">
        <f t="shared" si="79"/>
        <v>1.8986199999999958</v>
      </c>
      <c r="E421" s="317">
        <f t="shared" si="79"/>
        <v>1.8986199999999958</v>
      </c>
      <c r="F421" s="317">
        <f t="shared" si="79"/>
        <v>1.8986199999999958</v>
      </c>
      <c r="G421" s="317">
        <f t="shared" si="79"/>
        <v>1.8986199999999958</v>
      </c>
      <c r="H421" s="317">
        <f t="shared" si="79"/>
        <v>1.8986199999999958</v>
      </c>
      <c r="I421" s="317">
        <f t="shared" si="79"/>
        <v>1.8986199999999958</v>
      </c>
      <c r="J421" s="317">
        <f t="shared" si="79"/>
        <v>1.8986199999999958</v>
      </c>
      <c r="K421" s="317">
        <f t="shared" si="79"/>
        <v>1.8986199999999958</v>
      </c>
      <c r="L421" s="317">
        <f t="shared" si="79"/>
        <v>1.8986199999999958</v>
      </c>
      <c r="M421" s="317">
        <f t="shared" si="79"/>
        <v>1.8804281531531504</v>
      </c>
      <c r="N421" s="317">
        <f t="shared" si="79"/>
        <v>1.8968723769267999</v>
      </c>
      <c r="O421" s="317">
        <f t="shared" si="79"/>
        <v>1.8842936186186185</v>
      </c>
      <c r="P421" s="317">
        <f t="shared" si="79"/>
        <v>1.8664399999999999</v>
      </c>
      <c r="Q421" s="317">
        <f t="shared" si="79"/>
        <v>1.8986200000000002</v>
      </c>
      <c r="R421" s="317">
        <f t="shared" si="79"/>
        <v>0</v>
      </c>
      <c r="S421" s="317">
        <f t="shared" si="79"/>
        <v>0</v>
      </c>
      <c r="T421" s="317">
        <f t="shared" si="78"/>
        <v>0</v>
      </c>
      <c r="U421" s="317">
        <f t="shared" si="78"/>
        <v>0</v>
      </c>
      <c r="V421" s="317">
        <f t="shared" si="78"/>
        <v>0</v>
      </c>
      <c r="W421" s="317">
        <f t="shared" si="78"/>
        <v>0</v>
      </c>
      <c r="X421" s="317">
        <f t="shared" si="78"/>
        <v>0</v>
      </c>
      <c r="Y421" s="317">
        <f t="shared" si="78"/>
        <v>0</v>
      </c>
      <c r="Z421" s="317">
        <f t="shared" si="78"/>
        <v>0</v>
      </c>
      <c r="AA421" s="317">
        <f t="shared" si="78"/>
        <v>0</v>
      </c>
      <c r="AB421" s="317">
        <f t="shared" si="78"/>
        <v>0</v>
      </c>
      <c r="AC421" s="317">
        <f t="shared" si="78"/>
        <v>0</v>
      </c>
      <c r="AD421" s="317">
        <f t="shared" si="78"/>
        <v>0</v>
      </c>
      <c r="AE421" s="318">
        <f t="shared" si="78"/>
        <v>0</v>
      </c>
    </row>
    <row r="422" spans="1:31">
      <c r="A422" s="1711"/>
      <c r="B422" s="116">
        <v>15</v>
      </c>
      <c r="C422" s="316">
        <f>'CAR SEC'!U18</f>
        <v>1.8986199999999958</v>
      </c>
      <c r="D422" s="317">
        <f t="shared" si="79"/>
        <v>1.8986199999999958</v>
      </c>
      <c r="E422" s="317">
        <f t="shared" si="79"/>
        <v>1.8986199999999958</v>
      </c>
      <c r="F422" s="317">
        <f t="shared" si="79"/>
        <v>1.8986199999999958</v>
      </c>
      <c r="G422" s="317">
        <f t="shared" si="79"/>
        <v>1.8986199999999958</v>
      </c>
      <c r="H422" s="317">
        <f t="shared" si="79"/>
        <v>1.8986199999999958</v>
      </c>
      <c r="I422" s="317">
        <f t="shared" si="79"/>
        <v>1.8986199999999958</v>
      </c>
      <c r="J422" s="317">
        <f t="shared" si="79"/>
        <v>1.8986199999999958</v>
      </c>
      <c r="K422" s="317">
        <f t="shared" si="79"/>
        <v>1.8986199999999958</v>
      </c>
      <c r="L422" s="317">
        <f t="shared" si="79"/>
        <v>1.8986199999999958</v>
      </c>
      <c r="M422" s="317">
        <f t="shared" si="79"/>
        <v>1.8986199999999958</v>
      </c>
      <c r="N422" s="317">
        <f t="shared" si="79"/>
        <v>1.8804281531531504</v>
      </c>
      <c r="O422" s="317">
        <f t="shared" si="79"/>
        <v>1.8968723769267999</v>
      </c>
      <c r="P422" s="317">
        <f t="shared" si="79"/>
        <v>1.8842936186186185</v>
      </c>
      <c r="Q422" s="317">
        <f t="shared" si="79"/>
        <v>1.8664399999999999</v>
      </c>
      <c r="R422" s="317">
        <f t="shared" si="79"/>
        <v>1.8986200000000002</v>
      </c>
      <c r="S422" s="317">
        <f t="shared" si="79"/>
        <v>0</v>
      </c>
      <c r="T422" s="317">
        <f t="shared" si="78"/>
        <v>0</v>
      </c>
      <c r="U422" s="317">
        <f t="shared" si="78"/>
        <v>0</v>
      </c>
      <c r="V422" s="317">
        <f t="shared" si="78"/>
        <v>0</v>
      </c>
      <c r="W422" s="317">
        <f t="shared" si="78"/>
        <v>0</v>
      </c>
      <c r="X422" s="317">
        <f t="shared" si="78"/>
        <v>0</v>
      </c>
      <c r="Y422" s="317">
        <f t="shared" si="78"/>
        <v>0</v>
      </c>
      <c r="Z422" s="317">
        <f t="shared" si="78"/>
        <v>0</v>
      </c>
      <c r="AA422" s="317">
        <f t="shared" si="78"/>
        <v>0</v>
      </c>
      <c r="AB422" s="317">
        <f t="shared" si="78"/>
        <v>0</v>
      </c>
      <c r="AC422" s="317">
        <f t="shared" si="78"/>
        <v>0</v>
      </c>
      <c r="AD422" s="317">
        <f t="shared" si="78"/>
        <v>0</v>
      </c>
      <c r="AE422" s="318">
        <f t="shared" si="78"/>
        <v>0</v>
      </c>
    </row>
    <row r="423" spans="1:31">
      <c r="A423" s="1711"/>
      <c r="B423" s="116">
        <v>16</v>
      </c>
      <c r="C423" s="316">
        <f>'CAR SEC'!U19</f>
        <v>1.8986199999999958</v>
      </c>
      <c r="D423" s="317">
        <f t="shared" si="79"/>
        <v>1.8986199999999958</v>
      </c>
      <c r="E423" s="317">
        <f t="shared" si="79"/>
        <v>1.8986199999999958</v>
      </c>
      <c r="F423" s="317">
        <f t="shared" si="79"/>
        <v>1.8986199999999958</v>
      </c>
      <c r="G423" s="317">
        <f t="shared" si="79"/>
        <v>1.8986199999999958</v>
      </c>
      <c r="H423" s="317">
        <f t="shared" si="79"/>
        <v>1.8986199999999958</v>
      </c>
      <c r="I423" s="317">
        <f t="shared" si="79"/>
        <v>1.8986199999999958</v>
      </c>
      <c r="J423" s="317">
        <f t="shared" si="79"/>
        <v>1.8986199999999958</v>
      </c>
      <c r="K423" s="317">
        <f t="shared" si="79"/>
        <v>1.8986199999999958</v>
      </c>
      <c r="L423" s="317">
        <f t="shared" si="79"/>
        <v>1.8986199999999958</v>
      </c>
      <c r="M423" s="317">
        <f t="shared" si="79"/>
        <v>1.8986199999999958</v>
      </c>
      <c r="N423" s="317">
        <f t="shared" si="79"/>
        <v>1.8986199999999958</v>
      </c>
      <c r="O423" s="317">
        <f t="shared" si="79"/>
        <v>1.8804281531531504</v>
      </c>
      <c r="P423" s="317">
        <f t="shared" si="79"/>
        <v>1.8968723769267999</v>
      </c>
      <c r="Q423" s="317">
        <f t="shared" si="79"/>
        <v>1.8842936186186185</v>
      </c>
      <c r="R423" s="317">
        <f t="shared" si="79"/>
        <v>1.8664399999999999</v>
      </c>
      <c r="S423" s="317">
        <f t="shared" si="79"/>
        <v>1.8986200000000002</v>
      </c>
      <c r="T423" s="317">
        <f t="shared" si="78"/>
        <v>0</v>
      </c>
      <c r="U423" s="317">
        <f t="shared" si="78"/>
        <v>0</v>
      </c>
      <c r="V423" s="317">
        <f t="shared" si="78"/>
        <v>0</v>
      </c>
      <c r="W423" s="317">
        <f t="shared" si="78"/>
        <v>0</v>
      </c>
      <c r="X423" s="317">
        <f t="shared" si="78"/>
        <v>0</v>
      </c>
      <c r="Y423" s="317">
        <f t="shared" si="78"/>
        <v>0</v>
      </c>
      <c r="Z423" s="317">
        <f t="shared" si="78"/>
        <v>0</v>
      </c>
      <c r="AA423" s="317">
        <f t="shared" si="78"/>
        <v>0</v>
      </c>
      <c r="AB423" s="317">
        <f t="shared" si="78"/>
        <v>0</v>
      </c>
      <c r="AC423" s="317">
        <f t="shared" si="78"/>
        <v>0</v>
      </c>
      <c r="AD423" s="317">
        <f t="shared" si="78"/>
        <v>0</v>
      </c>
      <c r="AE423" s="318">
        <f t="shared" si="78"/>
        <v>0</v>
      </c>
    </row>
    <row r="424" spans="1:31">
      <c r="A424" s="1711"/>
      <c r="B424" s="116">
        <v>17</v>
      </c>
      <c r="C424" s="316">
        <f>'CAR SEC'!U20</f>
        <v>1.8986199999999958</v>
      </c>
      <c r="D424" s="317">
        <f t="shared" si="79"/>
        <v>1.8986199999999958</v>
      </c>
      <c r="E424" s="317">
        <f t="shared" si="79"/>
        <v>1.8986199999999958</v>
      </c>
      <c r="F424" s="317">
        <f t="shared" si="79"/>
        <v>1.8986199999999958</v>
      </c>
      <c r="G424" s="317">
        <f t="shared" si="79"/>
        <v>1.8986199999999958</v>
      </c>
      <c r="H424" s="317">
        <f t="shared" si="79"/>
        <v>1.8986199999999958</v>
      </c>
      <c r="I424" s="317">
        <f t="shared" si="79"/>
        <v>1.8986199999999958</v>
      </c>
      <c r="J424" s="317">
        <f t="shared" si="79"/>
        <v>1.8986199999999958</v>
      </c>
      <c r="K424" s="317">
        <f t="shared" si="79"/>
        <v>1.8986199999999958</v>
      </c>
      <c r="L424" s="317">
        <f t="shared" si="79"/>
        <v>1.8986199999999958</v>
      </c>
      <c r="M424" s="317">
        <f t="shared" si="79"/>
        <v>1.8986199999999958</v>
      </c>
      <c r="N424" s="317">
        <f t="shared" si="79"/>
        <v>1.8986199999999958</v>
      </c>
      <c r="O424" s="317">
        <f t="shared" si="79"/>
        <v>1.8986199999999958</v>
      </c>
      <c r="P424" s="317">
        <f t="shared" si="79"/>
        <v>1.8804281531531504</v>
      </c>
      <c r="Q424" s="317">
        <f t="shared" si="79"/>
        <v>1.8968723769267999</v>
      </c>
      <c r="R424" s="317">
        <f t="shared" si="79"/>
        <v>1.8842936186186185</v>
      </c>
      <c r="S424" s="317">
        <f t="shared" ref="S424:AE432" si="80">R423</f>
        <v>1.8664399999999999</v>
      </c>
      <c r="T424" s="317">
        <f t="shared" si="80"/>
        <v>1.8986200000000002</v>
      </c>
      <c r="U424" s="317">
        <f t="shared" si="80"/>
        <v>0</v>
      </c>
      <c r="V424" s="317">
        <f t="shared" si="80"/>
        <v>0</v>
      </c>
      <c r="W424" s="317">
        <f t="shared" si="80"/>
        <v>0</v>
      </c>
      <c r="X424" s="317">
        <f t="shared" si="80"/>
        <v>0</v>
      </c>
      <c r="Y424" s="317">
        <f t="shared" si="80"/>
        <v>0</v>
      </c>
      <c r="Z424" s="317">
        <f t="shared" si="80"/>
        <v>0</v>
      </c>
      <c r="AA424" s="317">
        <f t="shared" si="80"/>
        <v>0</v>
      </c>
      <c r="AB424" s="317">
        <f t="shared" si="80"/>
        <v>0</v>
      </c>
      <c r="AC424" s="317">
        <f t="shared" si="80"/>
        <v>0</v>
      </c>
      <c r="AD424" s="317">
        <f t="shared" si="80"/>
        <v>0</v>
      </c>
      <c r="AE424" s="318">
        <f t="shared" si="80"/>
        <v>0</v>
      </c>
    </row>
    <row r="425" spans="1:31">
      <c r="A425" s="1711"/>
      <c r="B425" s="116">
        <v>18</v>
      </c>
      <c r="C425" s="316">
        <f>'CAR SEC'!U21</f>
        <v>1.8986199999999958</v>
      </c>
      <c r="D425" s="317">
        <f t="shared" ref="D425:S432" si="81">C424</f>
        <v>1.8986199999999958</v>
      </c>
      <c r="E425" s="317">
        <f t="shared" si="81"/>
        <v>1.8986199999999958</v>
      </c>
      <c r="F425" s="317">
        <f t="shared" si="81"/>
        <v>1.8986199999999958</v>
      </c>
      <c r="G425" s="317">
        <f t="shared" si="81"/>
        <v>1.8986199999999958</v>
      </c>
      <c r="H425" s="317">
        <f t="shared" si="81"/>
        <v>1.8986199999999958</v>
      </c>
      <c r="I425" s="317">
        <f t="shared" si="81"/>
        <v>1.8986199999999958</v>
      </c>
      <c r="J425" s="317">
        <f t="shared" si="81"/>
        <v>1.8986199999999958</v>
      </c>
      <c r="K425" s="317">
        <f t="shared" si="81"/>
        <v>1.8986199999999958</v>
      </c>
      <c r="L425" s="317">
        <f t="shared" si="81"/>
        <v>1.8986199999999958</v>
      </c>
      <c r="M425" s="317">
        <f t="shared" si="81"/>
        <v>1.8986199999999958</v>
      </c>
      <c r="N425" s="317">
        <f t="shared" si="81"/>
        <v>1.8986199999999958</v>
      </c>
      <c r="O425" s="317">
        <f t="shared" si="81"/>
        <v>1.8986199999999958</v>
      </c>
      <c r="P425" s="317">
        <f t="shared" si="81"/>
        <v>1.8986199999999958</v>
      </c>
      <c r="Q425" s="317">
        <f t="shared" si="81"/>
        <v>1.8804281531531504</v>
      </c>
      <c r="R425" s="317">
        <f t="shared" si="81"/>
        <v>1.8968723769267999</v>
      </c>
      <c r="S425" s="317">
        <f t="shared" si="81"/>
        <v>1.8842936186186185</v>
      </c>
      <c r="T425" s="317">
        <f t="shared" si="80"/>
        <v>1.8664399999999999</v>
      </c>
      <c r="U425" s="317">
        <f t="shared" si="80"/>
        <v>1.8986200000000002</v>
      </c>
      <c r="V425" s="317">
        <f t="shared" si="80"/>
        <v>0</v>
      </c>
      <c r="W425" s="317">
        <f t="shared" si="80"/>
        <v>0</v>
      </c>
      <c r="X425" s="317">
        <f t="shared" si="80"/>
        <v>0</v>
      </c>
      <c r="Y425" s="317">
        <f t="shared" si="80"/>
        <v>0</v>
      </c>
      <c r="Z425" s="317">
        <f t="shared" si="80"/>
        <v>0</v>
      </c>
      <c r="AA425" s="317">
        <f t="shared" si="80"/>
        <v>0</v>
      </c>
      <c r="AB425" s="317">
        <f t="shared" si="80"/>
        <v>0</v>
      </c>
      <c r="AC425" s="317">
        <f t="shared" si="80"/>
        <v>0</v>
      </c>
      <c r="AD425" s="317">
        <f t="shared" si="80"/>
        <v>0</v>
      </c>
      <c r="AE425" s="318">
        <f t="shared" si="80"/>
        <v>0</v>
      </c>
    </row>
    <row r="426" spans="1:31">
      <c r="A426" s="1711"/>
      <c r="B426" s="116">
        <v>19</v>
      </c>
      <c r="C426" s="316">
        <f>'CAR SEC'!U22</f>
        <v>1.8986199999999958</v>
      </c>
      <c r="D426" s="317">
        <f t="shared" si="81"/>
        <v>1.8986199999999958</v>
      </c>
      <c r="E426" s="317">
        <f t="shared" si="81"/>
        <v>1.8986199999999958</v>
      </c>
      <c r="F426" s="317">
        <f t="shared" si="81"/>
        <v>1.8986199999999958</v>
      </c>
      <c r="G426" s="317">
        <f t="shared" si="81"/>
        <v>1.8986199999999958</v>
      </c>
      <c r="H426" s="317">
        <f t="shared" si="81"/>
        <v>1.8986199999999958</v>
      </c>
      <c r="I426" s="317">
        <f t="shared" si="81"/>
        <v>1.8986199999999958</v>
      </c>
      <c r="J426" s="317">
        <f t="shared" si="81"/>
        <v>1.8986199999999958</v>
      </c>
      <c r="K426" s="317">
        <f t="shared" si="81"/>
        <v>1.8986199999999958</v>
      </c>
      <c r="L426" s="317">
        <f t="shared" si="81"/>
        <v>1.8986199999999958</v>
      </c>
      <c r="M426" s="317">
        <f t="shared" si="81"/>
        <v>1.8986199999999958</v>
      </c>
      <c r="N426" s="317">
        <f t="shared" si="81"/>
        <v>1.8986199999999958</v>
      </c>
      <c r="O426" s="317">
        <f t="shared" si="81"/>
        <v>1.8986199999999958</v>
      </c>
      <c r="P426" s="317">
        <f t="shared" si="81"/>
        <v>1.8986199999999958</v>
      </c>
      <c r="Q426" s="317">
        <f t="shared" si="81"/>
        <v>1.8986199999999958</v>
      </c>
      <c r="R426" s="317">
        <f t="shared" si="81"/>
        <v>1.8804281531531504</v>
      </c>
      <c r="S426" s="317">
        <f t="shared" si="81"/>
        <v>1.8968723769267999</v>
      </c>
      <c r="T426" s="317">
        <f t="shared" si="80"/>
        <v>1.8842936186186185</v>
      </c>
      <c r="U426" s="317">
        <f t="shared" si="80"/>
        <v>1.8664399999999999</v>
      </c>
      <c r="V426" s="317">
        <f t="shared" si="80"/>
        <v>1.8986200000000002</v>
      </c>
      <c r="W426" s="317">
        <f t="shared" si="80"/>
        <v>0</v>
      </c>
      <c r="X426" s="317">
        <f t="shared" si="80"/>
        <v>0</v>
      </c>
      <c r="Y426" s="317">
        <f t="shared" si="80"/>
        <v>0</v>
      </c>
      <c r="Z426" s="317">
        <f t="shared" si="80"/>
        <v>0</v>
      </c>
      <c r="AA426" s="317">
        <f t="shared" si="80"/>
        <v>0</v>
      </c>
      <c r="AB426" s="317">
        <f t="shared" si="80"/>
        <v>0</v>
      </c>
      <c r="AC426" s="317">
        <f t="shared" si="80"/>
        <v>0</v>
      </c>
      <c r="AD426" s="317">
        <f t="shared" si="80"/>
        <v>0</v>
      </c>
      <c r="AE426" s="318">
        <f t="shared" si="80"/>
        <v>0</v>
      </c>
    </row>
    <row r="427" spans="1:31">
      <c r="A427" s="1711"/>
      <c r="B427" s="116">
        <v>20</v>
      </c>
      <c r="C427" s="316">
        <f>'CAR SEC'!U23</f>
        <v>1.8986199999999958</v>
      </c>
      <c r="D427" s="317">
        <f t="shared" si="81"/>
        <v>1.8986199999999958</v>
      </c>
      <c r="E427" s="317">
        <f t="shared" si="81"/>
        <v>1.8986199999999958</v>
      </c>
      <c r="F427" s="317">
        <f t="shared" si="81"/>
        <v>1.8986199999999958</v>
      </c>
      <c r="G427" s="317">
        <f t="shared" si="81"/>
        <v>1.8986199999999958</v>
      </c>
      <c r="H427" s="317">
        <f t="shared" si="81"/>
        <v>1.8986199999999958</v>
      </c>
      <c r="I427" s="317">
        <f t="shared" si="81"/>
        <v>1.8986199999999958</v>
      </c>
      <c r="J427" s="317">
        <f t="shared" si="81"/>
        <v>1.8986199999999958</v>
      </c>
      <c r="K427" s="317">
        <f t="shared" si="81"/>
        <v>1.8986199999999958</v>
      </c>
      <c r="L427" s="317">
        <f t="shared" si="81"/>
        <v>1.8986199999999958</v>
      </c>
      <c r="M427" s="317">
        <f t="shared" si="81"/>
        <v>1.8986199999999958</v>
      </c>
      <c r="N427" s="317">
        <f t="shared" si="81"/>
        <v>1.8986199999999958</v>
      </c>
      <c r="O427" s="317">
        <f t="shared" si="81"/>
        <v>1.8986199999999958</v>
      </c>
      <c r="P427" s="317">
        <f t="shared" si="81"/>
        <v>1.8986199999999958</v>
      </c>
      <c r="Q427" s="317">
        <f t="shared" si="81"/>
        <v>1.8986199999999958</v>
      </c>
      <c r="R427" s="317">
        <f t="shared" si="81"/>
        <v>1.8986199999999958</v>
      </c>
      <c r="S427" s="317">
        <f t="shared" si="81"/>
        <v>1.8804281531531504</v>
      </c>
      <c r="T427" s="317">
        <f t="shared" si="80"/>
        <v>1.8968723769267999</v>
      </c>
      <c r="U427" s="317">
        <f t="shared" si="80"/>
        <v>1.8842936186186185</v>
      </c>
      <c r="V427" s="317">
        <f t="shared" si="80"/>
        <v>1.8664399999999999</v>
      </c>
      <c r="W427" s="317">
        <f t="shared" si="80"/>
        <v>1.8986200000000002</v>
      </c>
      <c r="X427" s="317">
        <f t="shared" si="80"/>
        <v>0</v>
      </c>
      <c r="Y427" s="317">
        <f t="shared" si="80"/>
        <v>0</v>
      </c>
      <c r="Z427" s="317">
        <f t="shared" si="80"/>
        <v>0</v>
      </c>
      <c r="AA427" s="317">
        <f t="shared" si="80"/>
        <v>0</v>
      </c>
      <c r="AB427" s="317">
        <f t="shared" si="80"/>
        <v>0</v>
      </c>
      <c r="AC427" s="317">
        <f t="shared" si="80"/>
        <v>0</v>
      </c>
      <c r="AD427" s="317">
        <f t="shared" si="80"/>
        <v>0</v>
      </c>
      <c r="AE427" s="318">
        <f t="shared" si="80"/>
        <v>0</v>
      </c>
    </row>
    <row r="428" spans="1:31">
      <c r="A428" s="1711"/>
      <c r="B428" s="116">
        <v>21</v>
      </c>
      <c r="C428" s="316">
        <f>'CAR SEC'!U24</f>
        <v>1.8986199999999958</v>
      </c>
      <c r="D428" s="317">
        <f t="shared" si="81"/>
        <v>1.8986199999999958</v>
      </c>
      <c r="E428" s="317">
        <f t="shared" si="81"/>
        <v>1.8986199999999958</v>
      </c>
      <c r="F428" s="317">
        <f t="shared" si="81"/>
        <v>1.8986199999999958</v>
      </c>
      <c r="G428" s="317">
        <f t="shared" si="81"/>
        <v>1.8986199999999958</v>
      </c>
      <c r="H428" s="317">
        <f t="shared" si="81"/>
        <v>1.8986199999999958</v>
      </c>
      <c r="I428" s="317">
        <f t="shared" si="81"/>
        <v>1.8986199999999958</v>
      </c>
      <c r="J428" s="317">
        <f t="shared" si="81"/>
        <v>1.8986199999999958</v>
      </c>
      <c r="K428" s="317">
        <f t="shared" si="81"/>
        <v>1.8986199999999958</v>
      </c>
      <c r="L428" s="317">
        <f t="shared" si="81"/>
        <v>1.8986199999999958</v>
      </c>
      <c r="M428" s="317">
        <f t="shared" si="81"/>
        <v>1.8986199999999958</v>
      </c>
      <c r="N428" s="317">
        <f t="shared" si="81"/>
        <v>1.8986199999999958</v>
      </c>
      <c r="O428" s="317">
        <f t="shared" si="81"/>
        <v>1.8986199999999958</v>
      </c>
      <c r="P428" s="317">
        <f t="shared" si="81"/>
        <v>1.8986199999999958</v>
      </c>
      <c r="Q428" s="317">
        <f t="shared" si="81"/>
        <v>1.8986199999999958</v>
      </c>
      <c r="R428" s="317">
        <f t="shared" si="81"/>
        <v>1.8986199999999958</v>
      </c>
      <c r="S428" s="317">
        <f t="shared" si="81"/>
        <v>1.8986199999999958</v>
      </c>
      <c r="T428" s="317">
        <f t="shared" si="80"/>
        <v>1.8804281531531504</v>
      </c>
      <c r="U428" s="317">
        <f t="shared" si="80"/>
        <v>1.8968723769267999</v>
      </c>
      <c r="V428" s="317">
        <f t="shared" si="80"/>
        <v>1.8842936186186185</v>
      </c>
      <c r="W428" s="317">
        <f t="shared" si="80"/>
        <v>1.8664399999999999</v>
      </c>
      <c r="X428" s="317">
        <f t="shared" si="80"/>
        <v>1.8986200000000002</v>
      </c>
      <c r="Y428" s="317">
        <f t="shared" si="80"/>
        <v>0</v>
      </c>
      <c r="Z428" s="317">
        <f t="shared" si="80"/>
        <v>0</v>
      </c>
      <c r="AA428" s="317">
        <f t="shared" si="80"/>
        <v>0</v>
      </c>
      <c r="AB428" s="317">
        <f t="shared" si="80"/>
        <v>0</v>
      </c>
      <c r="AC428" s="317">
        <f t="shared" si="80"/>
        <v>0</v>
      </c>
      <c r="AD428" s="317">
        <f t="shared" si="80"/>
        <v>0</v>
      </c>
      <c r="AE428" s="318">
        <f t="shared" si="80"/>
        <v>0</v>
      </c>
    </row>
    <row r="429" spans="1:31">
      <c r="A429" s="1711"/>
      <c r="B429" s="116">
        <v>22</v>
      </c>
      <c r="C429" s="316">
        <f>'CAR SEC'!U25</f>
        <v>1.8986199999999958</v>
      </c>
      <c r="D429" s="317">
        <f t="shared" si="81"/>
        <v>1.8986199999999958</v>
      </c>
      <c r="E429" s="317">
        <f t="shared" si="81"/>
        <v>1.8986199999999958</v>
      </c>
      <c r="F429" s="317">
        <f t="shared" si="81"/>
        <v>1.8986199999999958</v>
      </c>
      <c r="G429" s="317">
        <f t="shared" si="81"/>
        <v>1.8986199999999958</v>
      </c>
      <c r="H429" s="317">
        <f t="shared" si="81"/>
        <v>1.8986199999999958</v>
      </c>
      <c r="I429" s="317">
        <f t="shared" si="81"/>
        <v>1.8986199999999958</v>
      </c>
      <c r="J429" s="317">
        <f t="shared" si="81"/>
        <v>1.8986199999999958</v>
      </c>
      <c r="K429" s="317">
        <f t="shared" si="81"/>
        <v>1.8986199999999958</v>
      </c>
      <c r="L429" s="317">
        <f t="shared" si="81"/>
        <v>1.8986199999999958</v>
      </c>
      <c r="M429" s="317">
        <f t="shared" si="81"/>
        <v>1.8986199999999958</v>
      </c>
      <c r="N429" s="317">
        <f t="shared" si="81"/>
        <v>1.8986199999999958</v>
      </c>
      <c r="O429" s="317">
        <f t="shared" si="81"/>
        <v>1.8986199999999958</v>
      </c>
      <c r="P429" s="317">
        <f t="shared" si="81"/>
        <v>1.8986199999999958</v>
      </c>
      <c r="Q429" s="317">
        <f t="shared" si="81"/>
        <v>1.8986199999999958</v>
      </c>
      <c r="R429" s="317">
        <f t="shared" si="81"/>
        <v>1.8986199999999958</v>
      </c>
      <c r="S429" s="317">
        <f t="shared" si="81"/>
        <v>1.8986199999999958</v>
      </c>
      <c r="T429" s="317">
        <f t="shared" si="80"/>
        <v>1.8986199999999958</v>
      </c>
      <c r="U429" s="317">
        <f t="shared" si="80"/>
        <v>1.8804281531531504</v>
      </c>
      <c r="V429" s="317">
        <f t="shared" si="80"/>
        <v>1.8968723769267999</v>
      </c>
      <c r="W429" s="317">
        <f t="shared" si="80"/>
        <v>1.8842936186186185</v>
      </c>
      <c r="X429" s="317">
        <f t="shared" si="80"/>
        <v>1.8664399999999999</v>
      </c>
      <c r="Y429" s="317">
        <f t="shared" si="80"/>
        <v>1.8986200000000002</v>
      </c>
      <c r="Z429" s="317">
        <f t="shared" si="80"/>
        <v>0</v>
      </c>
      <c r="AA429" s="317">
        <f t="shared" si="80"/>
        <v>0</v>
      </c>
      <c r="AB429" s="317">
        <f t="shared" si="80"/>
        <v>0</v>
      </c>
      <c r="AC429" s="317">
        <f t="shared" si="80"/>
        <v>0</v>
      </c>
      <c r="AD429" s="317">
        <f t="shared" si="80"/>
        <v>0</v>
      </c>
      <c r="AE429" s="318">
        <f t="shared" si="80"/>
        <v>0</v>
      </c>
    </row>
    <row r="430" spans="1:31">
      <c r="A430" s="1711"/>
      <c r="B430" s="116">
        <v>23</v>
      </c>
      <c r="C430" s="316">
        <f>'CAR SEC'!U26</f>
        <v>1.8986199999999958</v>
      </c>
      <c r="D430" s="317">
        <f t="shared" si="81"/>
        <v>1.8986199999999958</v>
      </c>
      <c r="E430" s="317">
        <f t="shared" si="81"/>
        <v>1.8986199999999958</v>
      </c>
      <c r="F430" s="317">
        <f t="shared" si="81"/>
        <v>1.8986199999999958</v>
      </c>
      <c r="G430" s="317">
        <f t="shared" si="81"/>
        <v>1.8986199999999958</v>
      </c>
      <c r="H430" s="317">
        <f t="shared" si="81"/>
        <v>1.8986199999999958</v>
      </c>
      <c r="I430" s="317">
        <f t="shared" si="81"/>
        <v>1.8986199999999958</v>
      </c>
      <c r="J430" s="317">
        <f t="shared" si="81"/>
        <v>1.8986199999999958</v>
      </c>
      <c r="K430" s="317">
        <f t="shared" si="81"/>
        <v>1.8986199999999958</v>
      </c>
      <c r="L430" s="317">
        <f t="shared" si="81"/>
        <v>1.8986199999999958</v>
      </c>
      <c r="M430" s="317">
        <f t="shared" si="81"/>
        <v>1.8986199999999958</v>
      </c>
      <c r="N430" s="317">
        <f t="shared" si="81"/>
        <v>1.8986199999999958</v>
      </c>
      <c r="O430" s="317">
        <f t="shared" si="81"/>
        <v>1.8986199999999958</v>
      </c>
      <c r="P430" s="317">
        <f t="shared" si="81"/>
        <v>1.8986199999999958</v>
      </c>
      <c r="Q430" s="317">
        <f t="shared" si="81"/>
        <v>1.8986199999999958</v>
      </c>
      <c r="R430" s="317">
        <f t="shared" si="81"/>
        <v>1.8986199999999958</v>
      </c>
      <c r="S430" s="317">
        <f t="shared" si="81"/>
        <v>1.8986199999999958</v>
      </c>
      <c r="T430" s="317">
        <f t="shared" si="80"/>
        <v>1.8986199999999958</v>
      </c>
      <c r="U430" s="317">
        <f t="shared" si="80"/>
        <v>1.8986199999999958</v>
      </c>
      <c r="V430" s="317">
        <f t="shared" si="80"/>
        <v>1.8804281531531504</v>
      </c>
      <c r="W430" s="317">
        <f t="shared" si="80"/>
        <v>1.8968723769267999</v>
      </c>
      <c r="X430" s="317">
        <f t="shared" si="80"/>
        <v>1.8842936186186185</v>
      </c>
      <c r="Y430" s="317">
        <f t="shared" si="80"/>
        <v>1.8664399999999999</v>
      </c>
      <c r="Z430" s="317">
        <f t="shared" si="80"/>
        <v>1.8986200000000002</v>
      </c>
      <c r="AA430" s="317">
        <f t="shared" si="80"/>
        <v>0</v>
      </c>
      <c r="AB430" s="317">
        <f t="shared" si="80"/>
        <v>0</v>
      </c>
      <c r="AC430" s="317">
        <f t="shared" si="80"/>
        <v>0</v>
      </c>
      <c r="AD430" s="317">
        <f t="shared" si="80"/>
        <v>0</v>
      </c>
      <c r="AE430" s="318">
        <f t="shared" si="80"/>
        <v>0</v>
      </c>
    </row>
    <row r="431" spans="1:31">
      <c r="A431" s="1711"/>
      <c r="B431" s="116">
        <v>24</v>
      </c>
      <c r="C431" s="316">
        <f>C430</f>
        <v>1.8986199999999958</v>
      </c>
      <c r="D431" s="317">
        <f t="shared" si="81"/>
        <v>1.8986199999999958</v>
      </c>
      <c r="E431" s="317">
        <f t="shared" si="81"/>
        <v>1.8986199999999958</v>
      </c>
      <c r="F431" s="317">
        <f t="shared" si="81"/>
        <v>1.8986199999999958</v>
      </c>
      <c r="G431" s="317">
        <f t="shared" si="81"/>
        <v>1.8986199999999958</v>
      </c>
      <c r="H431" s="317">
        <f t="shared" si="81"/>
        <v>1.8986199999999958</v>
      </c>
      <c r="I431" s="317">
        <f t="shared" si="81"/>
        <v>1.8986199999999958</v>
      </c>
      <c r="J431" s="317">
        <f t="shared" si="81"/>
        <v>1.8986199999999958</v>
      </c>
      <c r="K431" s="317">
        <f t="shared" si="81"/>
        <v>1.8986199999999958</v>
      </c>
      <c r="L431" s="317">
        <f t="shared" si="81"/>
        <v>1.8986199999999958</v>
      </c>
      <c r="M431" s="317">
        <f t="shared" si="81"/>
        <v>1.8986199999999958</v>
      </c>
      <c r="N431" s="317">
        <f t="shared" si="81"/>
        <v>1.8986199999999958</v>
      </c>
      <c r="O431" s="317">
        <f t="shared" si="81"/>
        <v>1.8986199999999958</v>
      </c>
      <c r="P431" s="317">
        <f t="shared" si="81"/>
        <v>1.8986199999999958</v>
      </c>
      <c r="Q431" s="317">
        <f t="shared" si="81"/>
        <v>1.8986199999999958</v>
      </c>
      <c r="R431" s="317">
        <f t="shared" si="81"/>
        <v>1.8986199999999958</v>
      </c>
      <c r="S431" s="317">
        <f t="shared" si="81"/>
        <v>1.8986199999999958</v>
      </c>
      <c r="T431" s="317">
        <f t="shared" si="80"/>
        <v>1.8986199999999958</v>
      </c>
      <c r="U431" s="317">
        <f t="shared" si="80"/>
        <v>1.8986199999999958</v>
      </c>
      <c r="V431" s="317">
        <f t="shared" si="80"/>
        <v>1.8986199999999958</v>
      </c>
      <c r="W431" s="317">
        <f t="shared" si="80"/>
        <v>1.8804281531531504</v>
      </c>
      <c r="X431" s="317">
        <f t="shared" si="80"/>
        <v>1.8968723769267999</v>
      </c>
      <c r="Y431" s="317">
        <f t="shared" si="80"/>
        <v>1.8842936186186185</v>
      </c>
      <c r="Z431" s="317">
        <f t="shared" si="80"/>
        <v>1.8664399999999999</v>
      </c>
      <c r="AA431" s="317">
        <f t="shared" si="80"/>
        <v>1.8986200000000002</v>
      </c>
      <c r="AB431" s="317">
        <f t="shared" si="80"/>
        <v>0</v>
      </c>
      <c r="AC431" s="317">
        <f t="shared" si="80"/>
        <v>0</v>
      </c>
      <c r="AD431" s="317">
        <f t="shared" si="80"/>
        <v>0</v>
      </c>
      <c r="AE431" s="318">
        <f t="shared" si="80"/>
        <v>0</v>
      </c>
    </row>
    <row r="432" spans="1:31" ht="15.75" thickBot="1">
      <c r="A432" s="1711"/>
      <c r="B432" s="116">
        <v>25</v>
      </c>
      <c r="C432" s="324">
        <f>C431</f>
        <v>1.8986199999999958</v>
      </c>
      <c r="D432" s="325">
        <f t="shared" si="81"/>
        <v>1.8986199999999958</v>
      </c>
      <c r="E432" s="325">
        <f t="shared" si="81"/>
        <v>1.8986199999999958</v>
      </c>
      <c r="F432" s="325">
        <f t="shared" si="81"/>
        <v>1.8986199999999958</v>
      </c>
      <c r="G432" s="325">
        <f t="shared" si="81"/>
        <v>1.8986199999999958</v>
      </c>
      <c r="H432" s="325">
        <f t="shared" si="81"/>
        <v>1.8986199999999958</v>
      </c>
      <c r="I432" s="325">
        <f t="shared" si="81"/>
        <v>1.8986199999999958</v>
      </c>
      <c r="J432" s="325">
        <f t="shared" si="81"/>
        <v>1.8986199999999958</v>
      </c>
      <c r="K432" s="325">
        <f t="shared" si="81"/>
        <v>1.8986199999999958</v>
      </c>
      <c r="L432" s="325">
        <f t="shared" si="81"/>
        <v>1.8986199999999958</v>
      </c>
      <c r="M432" s="325">
        <f t="shared" si="81"/>
        <v>1.8986199999999958</v>
      </c>
      <c r="N432" s="325">
        <f t="shared" si="81"/>
        <v>1.8986199999999958</v>
      </c>
      <c r="O432" s="325">
        <f t="shared" si="81"/>
        <v>1.8986199999999958</v>
      </c>
      <c r="P432" s="325">
        <f t="shared" si="81"/>
        <v>1.8986199999999958</v>
      </c>
      <c r="Q432" s="325">
        <f t="shared" si="81"/>
        <v>1.8986199999999958</v>
      </c>
      <c r="R432" s="325">
        <f t="shared" si="81"/>
        <v>1.8986199999999958</v>
      </c>
      <c r="S432" s="325">
        <f t="shared" si="81"/>
        <v>1.8986199999999958</v>
      </c>
      <c r="T432" s="325">
        <f t="shared" si="80"/>
        <v>1.8986199999999958</v>
      </c>
      <c r="U432" s="325">
        <f t="shared" si="80"/>
        <v>1.8986199999999958</v>
      </c>
      <c r="V432" s="325">
        <f t="shared" si="80"/>
        <v>1.8986199999999958</v>
      </c>
      <c r="W432" s="325">
        <f t="shared" si="80"/>
        <v>1.8986199999999958</v>
      </c>
      <c r="X432" s="325">
        <f t="shared" si="80"/>
        <v>1.8804281531531504</v>
      </c>
      <c r="Y432" s="325">
        <f t="shared" si="80"/>
        <v>1.8968723769267999</v>
      </c>
      <c r="Z432" s="325">
        <f t="shared" si="80"/>
        <v>1.8842936186186185</v>
      </c>
      <c r="AA432" s="325">
        <f t="shared" si="80"/>
        <v>1.8664399999999999</v>
      </c>
      <c r="AB432" s="325">
        <f t="shared" si="80"/>
        <v>1.8986200000000002</v>
      </c>
      <c r="AC432" s="325">
        <f t="shared" si="80"/>
        <v>0</v>
      </c>
      <c r="AD432" s="325">
        <f t="shared" si="80"/>
        <v>0</v>
      </c>
      <c r="AE432" s="326">
        <f t="shared" si="80"/>
        <v>0</v>
      </c>
    </row>
    <row r="433" spans="1:31" ht="16.5" thickTop="1" thickBot="1">
      <c r="A433" s="1712"/>
      <c r="B433" s="300" t="s">
        <v>39</v>
      </c>
      <c r="C433" s="327">
        <f>SUMPRODUCT('CAR Stock'!C430:C455,C407:C432)/'CAR Stock'!C456</f>
        <v>1.891130842521056</v>
      </c>
      <c r="D433" s="327">
        <f>SUMPRODUCT('CAR Stock'!D430:D455,D407:D432)/'CAR Stock'!D456</f>
        <v>1.8910351636924823</v>
      </c>
      <c r="E433" s="327">
        <f>SUMPRODUCT('CAR Stock'!E430:E455,E407:E432)/'CAR Stock'!E456</f>
        <v>1.8908571460990711</v>
      </c>
      <c r="F433" s="327">
        <f>SUMPRODUCT('CAR Stock'!F430:F455,F407:F432)/'CAR Stock'!F456</f>
        <v>1.8905171823097591</v>
      </c>
      <c r="G433" s="327">
        <f>SUMPRODUCT('CAR Stock'!G430:G455,G407:G432)/'CAR Stock'!G456</f>
        <v>1.8899701416038728</v>
      </c>
      <c r="H433" s="327">
        <f>SUMPRODUCT('CAR Stock'!H430:H455,H407:H432)/'CAR Stock'!H456</f>
        <v>1.8892698360840816</v>
      </c>
      <c r="I433" s="327">
        <f>SUMPRODUCT('CAR Stock'!I430:I455,I407:I432)/'CAR Stock'!I456</f>
        <v>1.8884912228601793</v>
      </c>
      <c r="J433" s="327">
        <f>SUMPRODUCT('CAR Stock'!J430:J455,J407:J432)/'CAR Stock'!J456</f>
        <v>1.8876876884540326</v>
      </c>
      <c r="K433" s="327">
        <f>SUMPRODUCT('CAR Stock'!K430:K455,K407:K432)/'CAR Stock'!K456</f>
        <v>1.8870033391137788</v>
      </c>
      <c r="L433" s="327">
        <f>SUMPRODUCT('CAR Stock'!L430:L455,L407:L432)/'CAR Stock'!L456</f>
        <v>1.8864048772257604</v>
      </c>
      <c r="M433" s="327">
        <f>SUMPRODUCT('CAR Stock'!M430:M455,M407:M432)/'CAR Stock'!M456</f>
        <v>1.8858572575680035</v>
      </c>
      <c r="N433" s="327">
        <f>SUMPRODUCT('CAR Stock'!N430:N455,N407:N432)/'CAR Stock'!N456</f>
        <v>1.8855703481215569</v>
      </c>
      <c r="O433" s="327">
        <f>SUMPRODUCT('CAR Stock'!O430:O455,O407:O432)/'CAR Stock'!O456</f>
        <v>1.8855227167200881</v>
      </c>
      <c r="P433" s="327">
        <f>SUMPRODUCT('CAR Stock'!P430:P455,P407:P432)/'CAR Stock'!P456</f>
        <v>1.8863894954735214</v>
      </c>
      <c r="Q433" s="327">
        <f>SUMPRODUCT('CAR Stock'!Q430:Q455,Q407:Q432)/'CAR Stock'!Q456</f>
        <v>1.8879997319558517</v>
      </c>
      <c r="R433" s="327">
        <f>SUMPRODUCT('CAR Stock'!R430:R455,R407:R432)/'CAR Stock'!R456</f>
        <v>1.8885934272792757</v>
      </c>
      <c r="S433" s="327">
        <f>SUMPRODUCT('CAR Stock'!S430:S455,S407:S432)/'CAR Stock'!S456</f>
        <v>1.8892962696307183</v>
      </c>
      <c r="T433" s="327">
        <f>SUMPRODUCT('CAR Stock'!T430:T455,T407:T432)/'CAR Stock'!T456</f>
        <v>1.8901106219676453</v>
      </c>
      <c r="U433" s="327">
        <f>SUMPRODUCT('CAR Stock'!U430:U455,U407:U432)/'CAR Stock'!U456</f>
        <v>1.8910365926985031</v>
      </c>
      <c r="V433" s="327">
        <f>SUMPRODUCT('CAR Stock'!V430:V455,V407:V432)/'CAR Stock'!V456</f>
        <v>1.892071953869467</v>
      </c>
      <c r="W433" s="327">
        <f>SUMPRODUCT('CAR Stock'!W430:W455,W407:W432)/'CAR Stock'!W456</f>
        <v>1.8932120399088481</v>
      </c>
      <c r="X433" s="327">
        <f>SUMPRODUCT('CAR Stock'!X430:X455,X407:X432)/'CAR Stock'!X456</f>
        <v>1.8944495113504916</v>
      </c>
      <c r="Y433" s="327">
        <f>SUMPRODUCT('CAR Stock'!Y430:Y455,Y407:Y432)/'CAR Stock'!Y456</f>
        <v>1.8957738661861108</v>
      </c>
      <c r="Z433" s="327">
        <f>SUMPRODUCT('CAR Stock'!Z430:Z455,Z407:Z432)/'CAR Stock'!Z456</f>
        <v>1.8971706046011891</v>
      </c>
      <c r="AA433" s="327">
        <f>SUMPRODUCT('CAR Stock'!AA430:AA455,AA407:AA432)/'CAR Stock'!AA456</f>
        <v>1.8986200000000004</v>
      </c>
      <c r="AB433" s="327">
        <v>0</v>
      </c>
      <c r="AC433" s="327">
        <v>0</v>
      </c>
      <c r="AD433" s="327">
        <v>0</v>
      </c>
      <c r="AE433" s="327">
        <v>0</v>
      </c>
    </row>
    <row r="434" spans="1:31" ht="15.75" thickBot="1">
      <c r="A434" s="650"/>
    </row>
    <row r="435" spans="1:31" ht="15.75" customHeight="1" thickBot="1">
      <c r="A435" s="1710" t="s">
        <v>55</v>
      </c>
      <c r="B435" s="169" t="s">
        <v>10</v>
      </c>
      <c r="C435" s="288">
        <f t="shared" si="76"/>
        <v>2012</v>
      </c>
      <c r="D435" s="289">
        <v>2013</v>
      </c>
      <c r="E435" s="289">
        <v>2014</v>
      </c>
      <c r="F435" s="289">
        <v>2015</v>
      </c>
      <c r="G435" s="288">
        <v>2016</v>
      </c>
      <c r="H435" s="289">
        <v>2017</v>
      </c>
      <c r="I435" s="289">
        <v>2018</v>
      </c>
      <c r="J435" s="289">
        <v>2019</v>
      </c>
      <c r="K435" s="288">
        <v>2020</v>
      </c>
      <c r="L435" s="289">
        <v>2021</v>
      </c>
      <c r="M435" s="289">
        <v>2022</v>
      </c>
      <c r="N435" s="289">
        <v>2023</v>
      </c>
      <c r="O435" s="288">
        <v>2024</v>
      </c>
      <c r="P435" s="289">
        <v>2025</v>
      </c>
      <c r="Q435" s="289">
        <v>2026</v>
      </c>
      <c r="R435" s="289">
        <v>2027</v>
      </c>
      <c r="S435" s="288">
        <v>2028</v>
      </c>
      <c r="T435" s="289">
        <v>2029</v>
      </c>
      <c r="U435" s="289">
        <v>2030</v>
      </c>
      <c r="V435" s="289">
        <v>2031</v>
      </c>
      <c r="W435" s="288">
        <v>2032</v>
      </c>
      <c r="X435" s="289">
        <v>2033</v>
      </c>
      <c r="Y435" s="289">
        <v>2034</v>
      </c>
      <c r="Z435" s="289">
        <v>2035</v>
      </c>
      <c r="AA435" s="288">
        <v>2036</v>
      </c>
      <c r="AB435" s="289">
        <v>2037</v>
      </c>
      <c r="AC435" s="289">
        <v>2038</v>
      </c>
      <c r="AD435" s="289">
        <v>2039</v>
      </c>
      <c r="AE435" s="290">
        <v>2040</v>
      </c>
    </row>
    <row r="436" spans="1:31">
      <c r="A436" s="1711"/>
      <c r="B436" s="116">
        <v>0</v>
      </c>
      <c r="C436" s="313">
        <f>'CAR SEC'!V3</f>
        <v>2.2353607142857146</v>
      </c>
      <c r="D436" s="314">
        <v>0</v>
      </c>
      <c r="E436" s="314">
        <v>0</v>
      </c>
      <c r="F436" s="314">
        <v>0</v>
      </c>
      <c r="G436" s="314">
        <v>0</v>
      </c>
      <c r="H436" s="314">
        <v>0</v>
      </c>
      <c r="I436" s="314">
        <v>0</v>
      </c>
      <c r="J436" s="314">
        <v>0</v>
      </c>
      <c r="K436" s="314">
        <v>0</v>
      </c>
      <c r="L436" s="314">
        <v>0</v>
      </c>
      <c r="M436" s="314">
        <v>0</v>
      </c>
      <c r="N436" s="314">
        <v>0</v>
      </c>
      <c r="O436" s="314">
        <v>0</v>
      </c>
      <c r="P436" s="314">
        <v>0</v>
      </c>
      <c r="Q436" s="314">
        <v>0</v>
      </c>
      <c r="R436" s="314">
        <v>0</v>
      </c>
      <c r="S436" s="314">
        <v>0</v>
      </c>
      <c r="T436" s="314">
        <v>0</v>
      </c>
      <c r="U436" s="314">
        <v>0</v>
      </c>
      <c r="V436" s="314">
        <v>0</v>
      </c>
      <c r="W436" s="314">
        <v>0</v>
      </c>
      <c r="X436" s="314">
        <v>0</v>
      </c>
      <c r="Y436" s="314">
        <v>0</v>
      </c>
      <c r="Z436" s="314">
        <v>0</v>
      </c>
      <c r="AA436" s="314">
        <v>0</v>
      </c>
      <c r="AB436" s="314">
        <v>0</v>
      </c>
      <c r="AC436" s="314">
        <v>0</v>
      </c>
      <c r="AD436" s="314">
        <v>0</v>
      </c>
      <c r="AE436" s="315">
        <v>0</v>
      </c>
    </row>
    <row r="437" spans="1:31">
      <c r="A437" s="1711"/>
      <c r="B437" s="116">
        <v>1</v>
      </c>
      <c r="C437" s="316">
        <f>'CAR SEC'!V4</f>
        <v>2.2353607142857146</v>
      </c>
      <c r="D437" s="317">
        <f>C436</f>
        <v>2.2353607142857146</v>
      </c>
      <c r="E437" s="317">
        <f t="shared" ref="E437:T437" si="82">D436</f>
        <v>0</v>
      </c>
      <c r="F437" s="317">
        <f t="shared" si="82"/>
        <v>0</v>
      </c>
      <c r="G437" s="317">
        <f t="shared" si="82"/>
        <v>0</v>
      </c>
      <c r="H437" s="317">
        <f t="shared" si="82"/>
        <v>0</v>
      </c>
      <c r="I437" s="317">
        <f t="shared" si="82"/>
        <v>0</v>
      </c>
      <c r="J437" s="317">
        <f t="shared" si="82"/>
        <v>0</v>
      </c>
      <c r="K437" s="317">
        <f t="shared" si="82"/>
        <v>0</v>
      </c>
      <c r="L437" s="317">
        <f t="shared" si="82"/>
        <v>0</v>
      </c>
      <c r="M437" s="317">
        <f t="shared" si="82"/>
        <v>0</v>
      </c>
      <c r="N437" s="317">
        <f t="shared" si="82"/>
        <v>0</v>
      </c>
      <c r="O437" s="317">
        <f t="shared" si="82"/>
        <v>0</v>
      </c>
      <c r="P437" s="317">
        <f t="shared" si="82"/>
        <v>0</v>
      </c>
      <c r="Q437" s="317">
        <f t="shared" si="82"/>
        <v>0</v>
      </c>
      <c r="R437" s="317">
        <f t="shared" si="82"/>
        <v>0</v>
      </c>
      <c r="S437" s="317">
        <f t="shared" si="82"/>
        <v>0</v>
      </c>
      <c r="T437" s="317">
        <f t="shared" si="82"/>
        <v>0</v>
      </c>
      <c r="U437" s="317">
        <f t="shared" ref="T437:AE452" si="83">T436</f>
        <v>0</v>
      </c>
      <c r="V437" s="317">
        <f t="shared" si="83"/>
        <v>0</v>
      </c>
      <c r="W437" s="317">
        <f t="shared" si="83"/>
        <v>0</v>
      </c>
      <c r="X437" s="317">
        <f t="shared" si="83"/>
        <v>0</v>
      </c>
      <c r="Y437" s="317">
        <f t="shared" si="83"/>
        <v>0</v>
      </c>
      <c r="Z437" s="317">
        <f t="shared" si="83"/>
        <v>0</v>
      </c>
      <c r="AA437" s="317">
        <f t="shared" si="83"/>
        <v>0</v>
      </c>
      <c r="AB437" s="317">
        <f t="shared" si="83"/>
        <v>0</v>
      </c>
      <c r="AC437" s="317">
        <f t="shared" si="83"/>
        <v>0</v>
      </c>
      <c r="AD437" s="317">
        <f t="shared" si="83"/>
        <v>0</v>
      </c>
      <c r="AE437" s="318">
        <f t="shared" si="83"/>
        <v>0</v>
      </c>
    </row>
    <row r="438" spans="1:31">
      <c r="A438" s="1711"/>
      <c r="B438" s="116">
        <v>2</v>
      </c>
      <c r="C438" s="316">
        <f>'CAR SEC'!V5</f>
        <v>2.2353607142857146</v>
      </c>
      <c r="D438" s="317">
        <f t="shared" ref="D438:S453" si="84">C437</f>
        <v>2.2353607142857146</v>
      </c>
      <c r="E438" s="317">
        <f t="shared" si="84"/>
        <v>2.2353607142857146</v>
      </c>
      <c r="F438" s="317">
        <f t="shared" si="84"/>
        <v>0</v>
      </c>
      <c r="G438" s="317">
        <f t="shared" si="84"/>
        <v>0</v>
      </c>
      <c r="H438" s="317">
        <f t="shared" si="84"/>
        <v>0</v>
      </c>
      <c r="I438" s="317">
        <f t="shared" si="84"/>
        <v>0</v>
      </c>
      <c r="J438" s="317">
        <f t="shared" si="84"/>
        <v>0</v>
      </c>
      <c r="K438" s="317">
        <f t="shared" si="84"/>
        <v>0</v>
      </c>
      <c r="L438" s="317">
        <f t="shared" si="84"/>
        <v>0</v>
      </c>
      <c r="M438" s="317">
        <f t="shared" si="84"/>
        <v>0</v>
      </c>
      <c r="N438" s="317">
        <f t="shared" si="84"/>
        <v>0</v>
      </c>
      <c r="O438" s="317">
        <f t="shared" si="84"/>
        <v>0</v>
      </c>
      <c r="P438" s="317">
        <f t="shared" si="84"/>
        <v>0</v>
      </c>
      <c r="Q438" s="317">
        <f t="shared" si="84"/>
        <v>0</v>
      </c>
      <c r="R438" s="317">
        <f t="shared" si="84"/>
        <v>0</v>
      </c>
      <c r="S438" s="317">
        <f t="shared" si="84"/>
        <v>0</v>
      </c>
      <c r="T438" s="317">
        <f t="shared" si="83"/>
        <v>0</v>
      </c>
      <c r="U438" s="317">
        <f t="shared" si="83"/>
        <v>0</v>
      </c>
      <c r="V438" s="317">
        <f t="shared" si="83"/>
        <v>0</v>
      </c>
      <c r="W438" s="317">
        <f t="shared" si="83"/>
        <v>0</v>
      </c>
      <c r="X438" s="317">
        <f t="shared" si="83"/>
        <v>0</v>
      </c>
      <c r="Y438" s="317">
        <f t="shared" si="83"/>
        <v>0</v>
      </c>
      <c r="Z438" s="317">
        <f t="shared" si="83"/>
        <v>0</v>
      </c>
      <c r="AA438" s="317">
        <f t="shared" si="83"/>
        <v>0</v>
      </c>
      <c r="AB438" s="317">
        <f t="shared" si="83"/>
        <v>0</v>
      </c>
      <c r="AC438" s="317">
        <f t="shared" si="83"/>
        <v>0</v>
      </c>
      <c r="AD438" s="317">
        <f t="shared" si="83"/>
        <v>0</v>
      </c>
      <c r="AE438" s="318">
        <f t="shared" si="83"/>
        <v>0</v>
      </c>
    </row>
    <row r="439" spans="1:31">
      <c r="A439" s="1711"/>
      <c r="B439" s="116">
        <v>3</v>
      </c>
      <c r="C439" s="316">
        <f>'CAR SEC'!V6</f>
        <v>2.2353607142857146</v>
      </c>
      <c r="D439" s="317">
        <f t="shared" si="84"/>
        <v>2.2353607142857146</v>
      </c>
      <c r="E439" s="317">
        <f t="shared" si="84"/>
        <v>2.2353607142857146</v>
      </c>
      <c r="F439" s="317">
        <f t="shared" si="84"/>
        <v>2.2353607142857146</v>
      </c>
      <c r="G439" s="317">
        <f t="shared" si="84"/>
        <v>0</v>
      </c>
      <c r="H439" s="317">
        <f t="shared" si="84"/>
        <v>0</v>
      </c>
      <c r="I439" s="317">
        <f t="shared" si="84"/>
        <v>0</v>
      </c>
      <c r="J439" s="317">
        <f t="shared" si="84"/>
        <v>0</v>
      </c>
      <c r="K439" s="317">
        <f t="shared" si="84"/>
        <v>0</v>
      </c>
      <c r="L439" s="317">
        <f t="shared" si="84"/>
        <v>0</v>
      </c>
      <c r="M439" s="317">
        <f t="shared" si="84"/>
        <v>0</v>
      </c>
      <c r="N439" s="317">
        <f t="shared" si="84"/>
        <v>0</v>
      </c>
      <c r="O439" s="317">
        <f t="shared" si="84"/>
        <v>0</v>
      </c>
      <c r="P439" s="317">
        <f t="shared" si="84"/>
        <v>0</v>
      </c>
      <c r="Q439" s="317">
        <f t="shared" si="84"/>
        <v>0</v>
      </c>
      <c r="R439" s="317">
        <f t="shared" si="84"/>
        <v>0</v>
      </c>
      <c r="S439" s="317">
        <f t="shared" si="84"/>
        <v>0</v>
      </c>
      <c r="T439" s="317">
        <f t="shared" si="83"/>
        <v>0</v>
      </c>
      <c r="U439" s="317">
        <f t="shared" si="83"/>
        <v>0</v>
      </c>
      <c r="V439" s="317">
        <f t="shared" si="83"/>
        <v>0</v>
      </c>
      <c r="W439" s="317">
        <f t="shared" si="83"/>
        <v>0</v>
      </c>
      <c r="X439" s="317">
        <f t="shared" si="83"/>
        <v>0</v>
      </c>
      <c r="Y439" s="317">
        <f t="shared" si="83"/>
        <v>0</v>
      </c>
      <c r="Z439" s="317">
        <f t="shared" si="83"/>
        <v>0</v>
      </c>
      <c r="AA439" s="317">
        <f t="shared" si="83"/>
        <v>0</v>
      </c>
      <c r="AB439" s="317">
        <f t="shared" si="83"/>
        <v>0</v>
      </c>
      <c r="AC439" s="317">
        <f t="shared" si="83"/>
        <v>0</v>
      </c>
      <c r="AD439" s="317">
        <f t="shared" si="83"/>
        <v>0</v>
      </c>
      <c r="AE439" s="318">
        <f t="shared" si="83"/>
        <v>0</v>
      </c>
    </row>
    <row r="440" spans="1:31">
      <c r="A440" s="1711"/>
      <c r="B440" s="116">
        <v>4</v>
      </c>
      <c r="C440" s="316">
        <f>'CAR SEC'!V7</f>
        <v>2.1830753086419756</v>
      </c>
      <c r="D440" s="317">
        <f t="shared" si="84"/>
        <v>2.2353607142857146</v>
      </c>
      <c r="E440" s="317">
        <f t="shared" si="84"/>
        <v>2.2353607142857146</v>
      </c>
      <c r="F440" s="317">
        <f t="shared" si="84"/>
        <v>2.2353607142857146</v>
      </c>
      <c r="G440" s="317">
        <f t="shared" si="84"/>
        <v>2.2353607142857146</v>
      </c>
      <c r="H440" s="317">
        <f t="shared" si="84"/>
        <v>0</v>
      </c>
      <c r="I440" s="317">
        <f t="shared" si="84"/>
        <v>0</v>
      </c>
      <c r="J440" s="317">
        <f t="shared" si="84"/>
        <v>0</v>
      </c>
      <c r="K440" s="317">
        <f t="shared" si="84"/>
        <v>0</v>
      </c>
      <c r="L440" s="317">
        <f t="shared" si="84"/>
        <v>0</v>
      </c>
      <c r="M440" s="317">
        <f t="shared" si="84"/>
        <v>0</v>
      </c>
      <c r="N440" s="317">
        <f t="shared" si="84"/>
        <v>0</v>
      </c>
      <c r="O440" s="317">
        <f t="shared" si="84"/>
        <v>0</v>
      </c>
      <c r="P440" s="317">
        <f t="shared" si="84"/>
        <v>0</v>
      </c>
      <c r="Q440" s="317">
        <f t="shared" si="84"/>
        <v>0</v>
      </c>
      <c r="R440" s="317">
        <f t="shared" si="84"/>
        <v>0</v>
      </c>
      <c r="S440" s="317">
        <f t="shared" si="84"/>
        <v>0</v>
      </c>
      <c r="T440" s="317">
        <f t="shared" si="83"/>
        <v>0</v>
      </c>
      <c r="U440" s="317">
        <f t="shared" si="83"/>
        <v>0</v>
      </c>
      <c r="V440" s="317">
        <f t="shared" si="83"/>
        <v>0</v>
      </c>
      <c r="W440" s="317">
        <f t="shared" si="83"/>
        <v>0</v>
      </c>
      <c r="X440" s="317">
        <f t="shared" si="83"/>
        <v>0</v>
      </c>
      <c r="Y440" s="317">
        <f t="shared" si="83"/>
        <v>0</v>
      </c>
      <c r="Z440" s="317">
        <f t="shared" si="83"/>
        <v>0</v>
      </c>
      <c r="AA440" s="317">
        <f t="shared" si="83"/>
        <v>0</v>
      </c>
      <c r="AB440" s="317">
        <f t="shared" si="83"/>
        <v>0</v>
      </c>
      <c r="AC440" s="317">
        <f t="shared" si="83"/>
        <v>0</v>
      </c>
      <c r="AD440" s="317">
        <f t="shared" si="83"/>
        <v>0</v>
      </c>
      <c r="AE440" s="318">
        <f t="shared" si="83"/>
        <v>0</v>
      </c>
    </row>
    <row r="441" spans="1:31">
      <c r="A441" s="1711"/>
      <c r="B441" s="116">
        <v>5</v>
      </c>
      <c r="C441" s="316">
        <f>'CAR SEC'!V8</f>
        <v>2.3612530142665884</v>
      </c>
      <c r="D441" s="317">
        <f t="shared" si="84"/>
        <v>2.1830753086419756</v>
      </c>
      <c r="E441" s="317">
        <f t="shared" si="84"/>
        <v>2.2353607142857146</v>
      </c>
      <c r="F441" s="317">
        <f t="shared" si="84"/>
        <v>2.2353607142857146</v>
      </c>
      <c r="G441" s="317">
        <f t="shared" si="84"/>
        <v>2.2353607142857146</v>
      </c>
      <c r="H441" s="317">
        <f t="shared" si="84"/>
        <v>2.2353607142857146</v>
      </c>
      <c r="I441" s="317">
        <f t="shared" si="84"/>
        <v>0</v>
      </c>
      <c r="J441" s="317">
        <f t="shared" si="84"/>
        <v>0</v>
      </c>
      <c r="K441" s="317">
        <f t="shared" si="84"/>
        <v>0</v>
      </c>
      <c r="L441" s="317">
        <f t="shared" si="84"/>
        <v>0</v>
      </c>
      <c r="M441" s="317">
        <f t="shared" si="84"/>
        <v>0</v>
      </c>
      <c r="N441" s="317">
        <f t="shared" si="84"/>
        <v>0</v>
      </c>
      <c r="O441" s="317">
        <f t="shared" si="84"/>
        <v>0</v>
      </c>
      <c r="P441" s="317">
        <f t="shared" si="84"/>
        <v>0</v>
      </c>
      <c r="Q441" s="317">
        <f t="shared" si="84"/>
        <v>0</v>
      </c>
      <c r="R441" s="317">
        <f t="shared" si="84"/>
        <v>0</v>
      </c>
      <c r="S441" s="317">
        <f t="shared" si="84"/>
        <v>0</v>
      </c>
      <c r="T441" s="317">
        <f t="shared" si="83"/>
        <v>0</v>
      </c>
      <c r="U441" s="317">
        <f t="shared" si="83"/>
        <v>0</v>
      </c>
      <c r="V441" s="317">
        <f t="shared" si="83"/>
        <v>0</v>
      </c>
      <c r="W441" s="317">
        <f t="shared" si="83"/>
        <v>0</v>
      </c>
      <c r="X441" s="317">
        <f t="shared" si="83"/>
        <v>0</v>
      </c>
      <c r="Y441" s="317">
        <f t="shared" si="83"/>
        <v>0</v>
      </c>
      <c r="Z441" s="317">
        <f t="shared" si="83"/>
        <v>0</v>
      </c>
      <c r="AA441" s="317">
        <f t="shared" si="83"/>
        <v>0</v>
      </c>
      <c r="AB441" s="317">
        <f t="shared" si="83"/>
        <v>0</v>
      </c>
      <c r="AC441" s="317">
        <f t="shared" si="83"/>
        <v>0</v>
      </c>
      <c r="AD441" s="317">
        <f t="shared" si="83"/>
        <v>0</v>
      </c>
      <c r="AE441" s="318">
        <f t="shared" si="83"/>
        <v>0</v>
      </c>
    </row>
    <row r="442" spans="1:31">
      <c r="A442" s="1711"/>
      <c r="B442" s="116">
        <v>6</v>
      </c>
      <c r="C442" s="316">
        <f>'CAR SEC'!V9</f>
        <v>2.3126795249406205</v>
      </c>
      <c r="D442" s="317">
        <f t="shared" si="84"/>
        <v>2.3612530142665884</v>
      </c>
      <c r="E442" s="317">
        <f t="shared" si="84"/>
        <v>2.1830753086419756</v>
      </c>
      <c r="F442" s="317">
        <f t="shared" si="84"/>
        <v>2.2353607142857146</v>
      </c>
      <c r="G442" s="317">
        <f t="shared" si="84"/>
        <v>2.2353607142857146</v>
      </c>
      <c r="H442" s="317">
        <f t="shared" si="84"/>
        <v>2.2353607142857146</v>
      </c>
      <c r="I442" s="317">
        <f t="shared" si="84"/>
        <v>2.2353607142857146</v>
      </c>
      <c r="J442" s="317">
        <f t="shared" si="84"/>
        <v>0</v>
      </c>
      <c r="K442" s="317">
        <f t="shared" si="84"/>
        <v>0</v>
      </c>
      <c r="L442" s="317">
        <f t="shared" si="84"/>
        <v>0</v>
      </c>
      <c r="M442" s="317">
        <f t="shared" si="84"/>
        <v>0</v>
      </c>
      <c r="N442" s="317">
        <f t="shared" si="84"/>
        <v>0</v>
      </c>
      <c r="O442" s="317">
        <f t="shared" si="84"/>
        <v>0</v>
      </c>
      <c r="P442" s="317">
        <f t="shared" si="84"/>
        <v>0</v>
      </c>
      <c r="Q442" s="317">
        <f t="shared" si="84"/>
        <v>0</v>
      </c>
      <c r="R442" s="317">
        <f t="shared" si="84"/>
        <v>0</v>
      </c>
      <c r="S442" s="317">
        <f t="shared" si="84"/>
        <v>0</v>
      </c>
      <c r="T442" s="317">
        <f t="shared" si="83"/>
        <v>0</v>
      </c>
      <c r="U442" s="317">
        <f t="shared" si="83"/>
        <v>0</v>
      </c>
      <c r="V442" s="317">
        <f t="shared" si="83"/>
        <v>0</v>
      </c>
      <c r="W442" s="317">
        <f t="shared" si="83"/>
        <v>0</v>
      </c>
      <c r="X442" s="317">
        <f t="shared" si="83"/>
        <v>0</v>
      </c>
      <c r="Y442" s="317">
        <f t="shared" si="83"/>
        <v>0</v>
      </c>
      <c r="Z442" s="317">
        <f t="shared" si="83"/>
        <v>0</v>
      </c>
      <c r="AA442" s="317">
        <f t="shared" si="83"/>
        <v>0</v>
      </c>
      <c r="AB442" s="317">
        <f t="shared" si="83"/>
        <v>0</v>
      </c>
      <c r="AC442" s="317">
        <f t="shared" si="83"/>
        <v>0</v>
      </c>
      <c r="AD442" s="317">
        <f t="shared" si="83"/>
        <v>0</v>
      </c>
      <c r="AE442" s="318">
        <f t="shared" si="83"/>
        <v>0</v>
      </c>
    </row>
    <row r="443" spans="1:31">
      <c r="A443" s="1711"/>
      <c r="B443" s="116">
        <v>7</v>
      </c>
      <c r="C443" s="316">
        <f>'CAR SEC'!V10</f>
        <v>2.2526000000000002</v>
      </c>
      <c r="D443" s="317">
        <f t="shared" si="84"/>
        <v>2.3126795249406205</v>
      </c>
      <c r="E443" s="317">
        <f t="shared" si="84"/>
        <v>2.3612530142665884</v>
      </c>
      <c r="F443" s="317">
        <f t="shared" si="84"/>
        <v>2.1830753086419756</v>
      </c>
      <c r="G443" s="317">
        <f t="shared" si="84"/>
        <v>2.2353607142857146</v>
      </c>
      <c r="H443" s="317">
        <f t="shared" si="84"/>
        <v>2.2353607142857146</v>
      </c>
      <c r="I443" s="317">
        <f t="shared" si="84"/>
        <v>2.2353607142857146</v>
      </c>
      <c r="J443" s="317">
        <f t="shared" si="84"/>
        <v>2.2353607142857146</v>
      </c>
      <c r="K443" s="317">
        <f t="shared" si="84"/>
        <v>0</v>
      </c>
      <c r="L443" s="317">
        <f t="shared" si="84"/>
        <v>0</v>
      </c>
      <c r="M443" s="317">
        <f t="shared" si="84"/>
        <v>0</v>
      </c>
      <c r="N443" s="317">
        <f t="shared" si="84"/>
        <v>0</v>
      </c>
      <c r="O443" s="317">
        <f t="shared" si="84"/>
        <v>0</v>
      </c>
      <c r="P443" s="317">
        <f t="shared" si="84"/>
        <v>0</v>
      </c>
      <c r="Q443" s="317">
        <f t="shared" si="84"/>
        <v>0</v>
      </c>
      <c r="R443" s="317">
        <f t="shared" si="84"/>
        <v>0</v>
      </c>
      <c r="S443" s="317">
        <f t="shared" si="84"/>
        <v>0</v>
      </c>
      <c r="T443" s="317">
        <f t="shared" si="83"/>
        <v>0</v>
      </c>
      <c r="U443" s="317">
        <f t="shared" si="83"/>
        <v>0</v>
      </c>
      <c r="V443" s="317">
        <f t="shared" si="83"/>
        <v>0</v>
      </c>
      <c r="W443" s="317">
        <f t="shared" si="83"/>
        <v>0</v>
      </c>
      <c r="X443" s="317">
        <f t="shared" si="83"/>
        <v>0</v>
      </c>
      <c r="Y443" s="317">
        <f t="shared" si="83"/>
        <v>0</v>
      </c>
      <c r="Z443" s="317">
        <f t="shared" si="83"/>
        <v>0</v>
      </c>
      <c r="AA443" s="317">
        <f t="shared" si="83"/>
        <v>0</v>
      </c>
      <c r="AB443" s="317">
        <f t="shared" si="83"/>
        <v>0</v>
      </c>
      <c r="AC443" s="317">
        <f t="shared" si="83"/>
        <v>0</v>
      </c>
      <c r="AD443" s="317">
        <f t="shared" si="83"/>
        <v>0</v>
      </c>
      <c r="AE443" s="318">
        <f t="shared" si="83"/>
        <v>0</v>
      </c>
    </row>
    <row r="444" spans="1:31">
      <c r="A444" s="1711"/>
      <c r="B444" s="116">
        <v>8</v>
      </c>
      <c r="C444" s="316">
        <f>'CAR SEC'!V11</f>
        <v>2.2526000000000002</v>
      </c>
      <c r="D444" s="317">
        <f t="shared" si="84"/>
        <v>2.2526000000000002</v>
      </c>
      <c r="E444" s="317">
        <f t="shared" si="84"/>
        <v>2.3126795249406205</v>
      </c>
      <c r="F444" s="317">
        <f t="shared" si="84"/>
        <v>2.3612530142665884</v>
      </c>
      <c r="G444" s="317">
        <f t="shared" si="84"/>
        <v>2.1830753086419756</v>
      </c>
      <c r="H444" s="317">
        <f t="shared" si="84"/>
        <v>2.2353607142857146</v>
      </c>
      <c r="I444" s="317">
        <f t="shared" si="84"/>
        <v>2.2353607142857146</v>
      </c>
      <c r="J444" s="317">
        <f t="shared" si="84"/>
        <v>2.2353607142857146</v>
      </c>
      <c r="K444" s="317">
        <f t="shared" si="84"/>
        <v>2.2353607142857146</v>
      </c>
      <c r="L444" s="317">
        <f t="shared" si="84"/>
        <v>0</v>
      </c>
      <c r="M444" s="317">
        <f t="shared" si="84"/>
        <v>0</v>
      </c>
      <c r="N444" s="317">
        <f t="shared" si="84"/>
        <v>0</v>
      </c>
      <c r="O444" s="317">
        <f t="shared" si="84"/>
        <v>0</v>
      </c>
      <c r="P444" s="317">
        <f t="shared" si="84"/>
        <v>0</v>
      </c>
      <c r="Q444" s="317">
        <f t="shared" si="84"/>
        <v>0</v>
      </c>
      <c r="R444" s="317">
        <f t="shared" si="84"/>
        <v>0</v>
      </c>
      <c r="S444" s="317">
        <f t="shared" si="84"/>
        <v>0</v>
      </c>
      <c r="T444" s="317">
        <f t="shared" si="83"/>
        <v>0</v>
      </c>
      <c r="U444" s="317">
        <f t="shared" si="83"/>
        <v>0</v>
      </c>
      <c r="V444" s="317">
        <f t="shared" si="83"/>
        <v>0</v>
      </c>
      <c r="W444" s="317">
        <f t="shared" si="83"/>
        <v>0</v>
      </c>
      <c r="X444" s="317">
        <f t="shared" si="83"/>
        <v>0</v>
      </c>
      <c r="Y444" s="317">
        <f t="shared" si="83"/>
        <v>0</v>
      </c>
      <c r="Z444" s="317">
        <f t="shared" si="83"/>
        <v>0</v>
      </c>
      <c r="AA444" s="317">
        <f t="shared" si="83"/>
        <v>0</v>
      </c>
      <c r="AB444" s="317">
        <f t="shared" si="83"/>
        <v>0</v>
      </c>
      <c r="AC444" s="317">
        <f t="shared" si="83"/>
        <v>0</v>
      </c>
      <c r="AD444" s="317">
        <f t="shared" si="83"/>
        <v>0</v>
      </c>
      <c r="AE444" s="318">
        <f t="shared" si="83"/>
        <v>0</v>
      </c>
    </row>
    <row r="445" spans="1:31">
      <c r="A445" s="1711"/>
      <c r="B445" s="116">
        <v>9</v>
      </c>
      <c r="C445" s="316">
        <f>'CAR SEC'!V12</f>
        <v>2.2526000000000002</v>
      </c>
      <c r="D445" s="317">
        <f t="shared" si="84"/>
        <v>2.2526000000000002</v>
      </c>
      <c r="E445" s="317">
        <f t="shared" si="84"/>
        <v>2.2526000000000002</v>
      </c>
      <c r="F445" s="317">
        <f t="shared" si="84"/>
        <v>2.3126795249406205</v>
      </c>
      <c r="G445" s="317">
        <f t="shared" si="84"/>
        <v>2.3612530142665884</v>
      </c>
      <c r="H445" s="317">
        <f t="shared" si="84"/>
        <v>2.1830753086419756</v>
      </c>
      <c r="I445" s="317">
        <f t="shared" si="84"/>
        <v>2.2353607142857146</v>
      </c>
      <c r="J445" s="317">
        <f t="shared" si="84"/>
        <v>2.2353607142857146</v>
      </c>
      <c r="K445" s="317">
        <f t="shared" si="84"/>
        <v>2.2353607142857146</v>
      </c>
      <c r="L445" s="317">
        <f t="shared" si="84"/>
        <v>2.2353607142857146</v>
      </c>
      <c r="M445" s="317">
        <f t="shared" si="84"/>
        <v>0</v>
      </c>
      <c r="N445" s="317">
        <f t="shared" si="84"/>
        <v>0</v>
      </c>
      <c r="O445" s="317">
        <f t="shared" si="84"/>
        <v>0</v>
      </c>
      <c r="P445" s="317">
        <f t="shared" si="84"/>
        <v>0</v>
      </c>
      <c r="Q445" s="317">
        <f t="shared" si="84"/>
        <v>0</v>
      </c>
      <c r="R445" s="317">
        <f t="shared" si="84"/>
        <v>0</v>
      </c>
      <c r="S445" s="317">
        <f t="shared" si="84"/>
        <v>0</v>
      </c>
      <c r="T445" s="317">
        <f t="shared" si="83"/>
        <v>0</v>
      </c>
      <c r="U445" s="317">
        <f t="shared" si="83"/>
        <v>0</v>
      </c>
      <c r="V445" s="317">
        <f t="shared" si="83"/>
        <v>0</v>
      </c>
      <c r="W445" s="317">
        <f t="shared" si="83"/>
        <v>0</v>
      </c>
      <c r="X445" s="317">
        <f t="shared" si="83"/>
        <v>0</v>
      </c>
      <c r="Y445" s="317">
        <f t="shared" si="83"/>
        <v>0</v>
      </c>
      <c r="Z445" s="317">
        <f t="shared" si="83"/>
        <v>0</v>
      </c>
      <c r="AA445" s="317">
        <f t="shared" si="83"/>
        <v>0</v>
      </c>
      <c r="AB445" s="317">
        <f t="shared" si="83"/>
        <v>0</v>
      </c>
      <c r="AC445" s="317">
        <f t="shared" si="83"/>
        <v>0</v>
      </c>
      <c r="AD445" s="317">
        <f t="shared" si="83"/>
        <v>0</v>
      </c>
      <c r="AE445" s="318">
        <f t="shared" si="83"/>
        <v>0</v>
      </c>
    </row>
    <row r="446" spans="1:31">
      <c r="A446" s="1711"/>
      <c r="B446" s="116">
        <v>10</v>
      </c>
      <c r="C446" s="316">
        <f>'CAR SEC'!V13</f>
        <v>2.2526000000000002</v>
      </c>
      <c r="D446" s="317">
        <f t="shared" si="84"/>
        <v>2.2526000000000002</v>
      </c>
      <c r="E446" s="317">
        <f t="shared" si="84"/>
        <v>2.2526000000000002</v>
      </c>
      <c r="F446" s="317">
        <f t="shared" si="84"/>
        <v>2.2526000000000002</v>
      </c>
      <c r="G446" s="317">
        <f t="shared" si="84"/>
        <v>2.3126795249406205</v>
      </c>
      <c r="H446" s="317">
        <f t="shared" si="84"/>
        <v>2.3612530142665884</v>
      </c>
      <c r="I446" s="317">
        <f t="shared" si="84"/>
        <v>2.1830753086419756</v>
      </c>
      <c r="J446" s="317">
        <f t="shared" si="84"/>
        <v>2.2353607142857146</v>
      </c>
      <c r="K446" s="317">
        <f t="shared" si="84"/>
        <v>2.2353607142857146</v>
      </c>
      <c r="L446" s="317">
        <f t="shared" si="84"/>
        <v>2.2353607142857146</v>
      </c>
      <c r="M446" s="317">
        <f t="shared" si="84"/>
        <v>2.2353607142857146</v>
      </c>
      <c r="N446" s="317">
        <f t="shared" si="84"/>
        <v>0</v>
      </c>
      <c r="O446" s="317">
        <f t="shared" si="84"/>
        <v>0</v>
      </c>
      <c r="P446" s="317">
        <f t="shared" si="84"/>
        <v>0</v>
      </c>
      <c r="Q446" s="317">
        <f t="shared" si="84"/>
        <v>0</v>
      </c>
      <c r="R446" s="317">
        <f t="shared" si="84"/>
        <v>0</v>
      </c>
      <c r="S446" s="317">
        <f t="shared" si="84"/>
        <v>0</v>
      </c>
      <c r="T446" s="317">
        <f t="shared" si="83"/>
        <v>0</v>
      </c>
      <c r="U446" s="317">
        <f t="shared" si="83"/>
        <v>0</v>
      </c>
      <c r="V446" s="317">
        <f t="shared" si="83"/>
        <v>0</v>
      </c>
      <c r="W446" s="317">
        <f t="shared" si="83"/>
        <v>0</v>
      </c>
      <c r="X446" s="317">
        <f t="shared" si="83"/>
        <v>0</v>
      </c>
      <c r="Y446" s="317">
        <f t="shared" si="83"/>
        <v>0</v>
      </c>
      <c r="Z446" s="317">
        <f t="shared" si="83"/>
        <v>0</v>
      </c>
      <c r="AA446" s="317">
        <f t="shared" si="83"/>
        <v>0</v>
      </c>
      <c r="AB446" s="317">
        <f t="shared" si="83"/>
        <v>0</v>
      </c>
      <c r="AC446" s="317">
        <f t="shared" si="83"/>
        <v>0</v>
      </c>
      <c r="AD446" s="317">
        <f t="shared" si="83"/>
        <v>0</v>
      </c>
      <c r="AE446" s="318">
        <f t="shared" si="83"/>
        <v>0</v>
      </c>
    </row>
    <row r="447" spans="1:31">
      <c r="A447" s="1711"/>
      <c r="B447" s="116">
        <v>11</v>
      </c>
      <c r="C447" s="316">
        <f>'CAR SEC'!V14</f>
        <v>2.2526000000000002</v>
      </c>
      <c r="D447" s="317">
        <f t="shared" si="84"/>
        <v>2.2526000000000002</v>
      </c>
      <c r="E447" s="317">
        <f t="shared" si="84"/>
        <v>2.2526000000000002</v>
      </c>
      <c r="F447" s="317">
        <f t="shared" si="84"/>
        <v>2.2526000000000002</v>
      </c>
      <c r="G447" s="317">
        <f t="shared" si="84"/>
        <v>2.2526000000000002</v>
      </c>
      <c r="H447" s="317">
        <f t="shared" si="84"/>
        <v>2.3126795249406205</v>
      </c>
      <c r="I447" s="317">
        <f t="shared" si="84"/>
        <v>2.3612530142665884</v>
      </c>
      <c r="J447" s="317">
        <f t="shared" si="84"/>
        <v>2.1830753086419756</v>
      </c>
      <c r="K447" s="317">
        <f t="shared" si="84"/>
        <v>2.2353607142857146</v>
      </c>
      <c r="L447" s="317">
        <f t="shared" si="84"/>
        <v>2.2353607142857146</v>
      </c>
      <c r="M447" s="317">
        <f t="shared" si="84"/>
        <v>2.2353607142857146</v>
      </c>
      <c r="N447" s="317">
        <f t="shared" si="84"/>
        <v>2.2353607142857146</v>
      </c>
      <c r="O447" s="317">
        <f t="shared" si="84"/>
        <v>0</v>
      </c>
      <c r="P447" s="317">
        <f t="shared" si="84"/>
        <v>0</v>
      </c>
      <c r="Q447" s="317">
        <f t="shared" si="84"/>
        <v>0</v>
      </c>
      <c r="R447" s="317">
        <f t="shared" si="84"/>
        <v>0</v>
      </c>
      <c r="S447" s="317">
        <f t="shared" si="84"/>
        <v>0</v>
      </c>
      <c r="T447" s="317">
        <f t="shared" si="83"/>
        <v>0</v>
      </c>
      <c r="U447" s="317">
        <f t="shared" si="83"/>
        <v>0</v>
      </c>
      <c r="V447" s="317">
        <f t="shared" si="83"/>
        <v>0</v>
      </c>
      <c r="W447" s="317">
        <f t="shared" si="83"/>
        <v>0</v>
      </c>
      <c r="X447" s="317">
        <f t="shared" si="83"/>
        <v>0</v>
      </c>
      <c r="Y447" s="317">
        <f t="shared" si="83"/>
        <v>0</v>
      </c>
      <c r="Z447" s="317">
        <f t="shared" si="83"/>
        <v>0</v>
      </c>
      <c r="AA447" s="317">
        <f t="shared" si="83"/>
        <v>0</v>
      </c>
      <c r="AB447" s="317">
        <f t="shared" si="83"/>
        <v>0</v>
      </c>
      <c r="AC447" s="317">
        <f t="shared" si="83"/>
        <v>0</v>
      </c>
      <c r="AD447" s="317">
        <f t="shared" si="83"/>
        <v>0</v>
      </c>
      <c r="AE447" s="318">
        <f t="shared" si="83"/>
        <v>0</v>
      </c>
    </row>
    <row r="448" spans="1:31">
      <c r="A448" s="1711"/>
      <c r="B448" s="116">
        <v>12</v>
      </c>
      <c r="C448" s="316">
        <f>'CAR SEC'!V15</f>
        <v>2.2526000000000002</v>
      </c>
      <c r="D448" s="317">
        <f t="shared" si="84"/>
        <v>2.2526000000000002</v>
      </c>
      <c r="E448" s="317">
        <f t="shared" si="84"/>
        <v>2.2526000000000002</v>
      </c>
      <c r="F448" s="317">
        <f t="shared" si="84"/>
        <v>2.2526000000000002</v>
      </c>
      <c r="G448" s="317">
        <f t="shared" si="84"/>
        <v>2.2526000000000002</v>
      </c>
      <c r="H448" s="317">
        <f t="shared" si="84"/>
        <v>2.2526000000000002</v>
      </c>
      <c r="I448" s="317">
        <f t="shared" si="84"/>
        <v>2.3126795249406205</v>
      </c>
      <c r="J448" s="317">
        <f t="shared" si="84"/>
        <v>2.3612530142665884</v>
      </c>
      <c r="K448" s="317">
        <f t="shared" si="84"/>
        <v>2.1830753086419756</v>
      </c>
      <c r="L448" s="317">
        <f t="shared" si="84"/>
        <v>2.2353607142857146</v>
      </c>
      <c r="M448" s="317">
        <f t="shared" si="84"/>
        <v>2.2353607142857146</v>
      </c>
      <c r="N448" s="317">
        <f t="shared" si="84"/>
        <v>2.2353607142857146</v>
      </c>
      <c r="O448" s="317">
        <f t="shared" si="84"/>
        <v>2.2353607142857146</v>
      </c>
      <c r="P448" s="317">
        <f t="shared" si="84"/>
        <v>0</v>
      </c>
      <c r="Q448" s="317">
        <f t="shared" si="84"/>
        <v>0</v>
      </c>
      <c r="R448" s="317">
        <f t="shared" si="84"/>
        <v>0</v>
      </c>
      <c r="S448" s="317">
        <f t="shared" si="84"/>
        <v>0</v>
      </c>
      <c r="T448" s="317">
        <f t="shared" si="83"/>
        <v>0</v>
      </c>
      <c r="U448" s="317">
        <f t="shared" si="83"/>
        <v>0</v>
      </c>
      <c r="V448" s="317">
        <f t="shared" si="83"/>
        <v>0</v>
      </c>
      <c r="W448" s="317">
        <f t="shared" si="83"/>
        <v>0</v>
      </c>
      <c r="X448" s="317">
        <f t="shared" si="83"/>
        <v>0</v>
      </c>
      <c r="Y448" s="317">
        <f t="shared" si="83"/>
        <v>0</v>
      </c>
      <c r="Z448" s="317">
        <f t="shared" si="83"/>
        <v>0</v>
      </c>
      <c r="AA448" s="317">
        <f t="shared" si="83"/>
        <v>0</v>
      </c>
      <c r="AB448" s="317">
        <f t="shared" si="83"/>
        <v>0</v>
      </c>
      <c r="AC448" s="317">
        <f t="shared" si="83"/>
        <v>0</v>
      </c>
      <c r="AD448" s="317">
        <f t="shared" si="83"/>
        <v>0</v>
      </c>
      <c r="AE448" s="318">
        <f t="shared" si="83"/>
        <v>0</v>
      </c>
    </row>
    <row r="449" spans="1:31">
      <c r="A449" s="1711"/>
      <c r="B449" s="116">
        <v>13</v>
      </c>
      <c r="C449" s="316">
        <f>'CAR SEC'!V16</f>
        <v>2.2526000000000002</v>
      </c>
      <c r="D449" s="317">
        <f t="shared" si="84"/>
        <v>2.2526000000000002</v>
      </c>
      <c r="E449" s="317">
        <f t="shared" si="84"/>
        <v>2.2526000000000002</v>
      </c>
      <c r="F449" s="317">
        <f t="shared" si="84"/>
        <v>2.2526000000000002</v>
      </c>
      <c r="G449" s="317">
        <f t="shared" si="84"/>
        <v>2.2526000000000002</v>
      </c>
      <c r="H449" s="317">
        <f t="shared" si="84"/>
        <v>2.2526000000000002</v>
      </c>
      <c r="I449" s="317">
        <f t="shared" si="84"/>
        <v>2.2526000000000002</v>
      </c>
      <c r="J449" s="317">
        <f t="shared" si="84"/>
        <v>2.3126795249406205</v>
      </c>
      <c r="K449" s="317">
        <f t="shared" si="84"/>
        <v>2.3612530142665884</v>
      </c>
      <c r="L449" s="317">
        <f t="shared" si="84"/>
        <v>2.1830753086419756</v>
      </c>
      <c r="M449" s="317">
        <f t="shared" si="84"/>
        <v>2.2353607142857146</v>
      </c>
      <c r="N449" s="317">
        <f t="shared" si="84"/>
        <v>2.2353607142857146</v>
      </c>
      <c r="O449" s="317">
        <f t="shared" si="84"/>
        <v>2.2353607142857146</v>
      </c>
      <c r="P449" s="317">
        <f t="shared" si="84"/>
        <v>2.2353607142857146</v>
      </c>
      <c r="Q449" s="317">
        <f t="shared" si="84"/>
        <v>0</v>
      </c>
      <c r="R449" s="317">
        <f t="shared" si="84"/>
        <v>0</v>
      </c>
      <c r="S449" s="317">
        <f t="shared" si="84"/>
        <v>0</v>
      </c>
      <c r="T449" s="317">
        <f t="shared" si="83"/>
        <v>0</v>
      </c>
      <c r="U449" s="317">
        <f t="shared" si="83"/>
        <v>0</v>
      </c>
      <c r="V449" s="317">
        <f t="shared" si="83"/>
        <v>0</v>
      </c>
      <c r="W449" s="317">
        <f t="shared" si="83"/>
        <v>0</v>
      </c>
      <c r="X449" s="317">
        <f t="shared" si="83"/>
        <v>0</v>
      </c>
      <c r="Y449" s="317">
        <f t="shared" si="83"/>
        <v>0</v>
      </c>
      <c r="Z449" s="317">
        <f t="shared" si="83"/>
        <v>0</v>
      </c>
      <c r="AA449" s="317">
        <f t="shared" si="83"/>
        <v>0</v>
      </c>
      <c r="AB449" s="317">
        <f t="shared" si="83"/>
        <v>0</v>
      </c>
      <c r="AC449" s="317">
        <f t="shared" si="83"/>
        <v>0</v>
      </c>
      <c r="AD449" s="317">
        <f t="shared" si="83"/>
        <v>0</v>
      </c>
      <c r="AE449" s="318">
        <f t="shared" si="83"/>
        <v>0</v>
      </c>
    </row>
    <row r="450" spans="1:31">
      <c r="A450" s="1711"/>
      <c r="B450" s="116">
        <v>14</v>
      </c>
      <c r="C450" s="316">
        <f>'CAR SEC'!V17</f>
        <v>2.2526000000000002</v>
      </c>
      <c r="D450" s="317">
        <f t="shared" si="84"/>
        <v>2.2526000000000002</v>
      </c>
      <c r="E450" s="317">
        <f t="shared" si="84"/>
        <v>2.2526000000000002</v>
      </c>
      <c r="F450" s="317">
        <f t="shared" si="84"/>
        <v>2.2526000000000002</v>
      </c>
      <c r="G450" s="317">
        <f t="shared" si="84"/>
        <v>2.2526000000000002</v>
      </c>
      <c r="H450" s="317">
        <f t="shared" si="84"/>
        <v>2.2526000000000002</v>
      </c>
      <c r="I450" s="317">
        <f t="shared" si="84"/>
        <v>2.2526000000000002</v>
      </c>
      <c r="J450" s="317">
        <f t="shared" si="84"/>
        <v>2.2526000000000002</v>
      </c>
      <c r="K450" s="317">
        <f t="shared" si="84"/>
        <v>2.3126795249406205</v>
      </c>
      <c r="L450" s="317">
        <f t="shared" si="84"/>
        <v>2.3612530142665884</v>
      </c>
      <c r="M450" s="317">
        <f t="shared" si="84"/>
        <v>2.1830753086419756</v>
      </c>
      <c r="N450" s="317">
        <f t="shared" si="84"/>
        <v>2.2353607142857146</v>
      </c>
      <c r="O450" s="317">
        <f t="shared" si="84"/>
        <v>2.2353607142857146</v>
      </c>
      <c r="P450" s="317">
        <f t="shared" si="84"/>
        <v>2.2353607142857146</v>
      </c>
      <c r="Q450" s="317">
        <f t="shared" si="84"/>
        <v>2.2353607142857146</v>
      </c>
      <c r="R450" s="317">
        <f t="shared" si="84"/>
        <v>0</v>
      </c>
      <c r="S450" s="317">
        <f t="shared" si="84"/>
        <v>0</v>
      </c>
      <c r="T450" s="317">
        <f t="shared" si="83"/>
        <v>0</v>
      </c>
      <c r="U450" s="317">
        <f t="shared" si="83"/>
        <v>0</v>
      </c>
      <c r="V450" s="317">
        <f t="shared" si="83"/>
        <v>0</v>
      </c>
      <c r="W450" s="317">
        <f t="shared" si="83"/>
        <v>0</v>
      </c>
      <c r="X450" s="317">
        <f t="shared" si="83"/>
        <v>0</v>
      </c>
      <c r="Y450" s="317">
        <f t="shared" si="83"/>
        <v>0</v>
      </c>
      <c r="Z450" s="317">
        <f t="shared" si="83"/>
        <v>0</v>
      </c>
      <c r="AA450" s="317">
        <f t="shared" si="83"/>
        <v>0</v>
      </c>
      <c r="AB450" s="317">
        <f t="shared" si="83"/>
        <v>0</v>
      </c>
      <c r="AC450" s="317">
        <f t="shared" si="83"/>
        <v>0</v>
      </c>
      <c r="AD450" s="317">
        <f t="shared" si="83"/>
        <v>0</v>
      </c>
      <c r="AE450" s="318">
        <f t="shared" si="83"/>
        <v>0</v>
      </c>
    </row>
    <row r="451" spans="1:31">
      <c r="A451" s="1711"/>
      <c r="B451" s="116">
        <v>15</v>
      </c>
      <c r="C451" s="316">
        <f>'CAR SEC'!V18</f>
        <v>2.2526000000000002</v>
      </c>
      <c r="D451" s="317">
        <f t="shared" si="84"/>
        <v>2.2526000000000002</v>
      </c>
      <c r="E451" s="317">
        <f t="shared" si="84"/>
        <v>2.2526000000000002</v>
      </c>
      <c r="F451" s="317">
        <f t="shared" si="84"/>
        <v>2.2526000000000002</v>
      </c>
      <c r="G451" s="317">
        <f t="shared" si="84"/>
        <v>2.2526000000000002</v>
      </c>
      <c r="H451" s="317">
        <f t="shared" si="84"/>
        <v>2.2526000000000002</v>
      </c>
      <c r="I451" s="317">
        <f t="shared" si="84"/>
        <v>2.2526000000000002</v>
      </c>
      <c r="J451" s="317">
        <f t="shared" si="84"/>
        <v>2.2526000000000002</v>
      </c>
      <c r="K451" s="317">
        <f t="shared" si="84"/>
        <v>2.2526000000000002</v>
      </c>
      <c r="L451" s="317">
        <f t="shared" si="84"/>
        <v>2.3126795249406205</v>
      </c>
      <c r="M451" s="317">
        <f t="shared" si="84"/>
        <v>2.3612530142665884</v>
      </c>
      <c r="N451" s="317">
        <f t="shared" si="84"/>
        <v>2.1830753086419756</v>
      </c>
      <c r="O451" s="317">
        <f t="shared" si="84"/>
        <v>2.2353607142857146</v>
      </c>
      <c r="P451" s="317">
        <f t="shared" si="84"/>
        <v>2.2353607142857146</v>
      </c>
      <c r="Q451" s="317">
        <f t="shared" si="84"/>
        <v>2.2353607142857146</v>
      </c>
      <c r="R451" s="317">
        <f t="shared" si="84"/>
        <v>2.2353607142857146</v>
      </c>
      <c r="S451" s="317">
        <f t="shared" si="84"/>
        <v>0</v>
      </c>
      <c r="T451" s="317">
        <f t="shared" si="83"/>
        <v>0</v>
      </c>
      <c r="U451" s="317">
        <f t="shared" si="83"/>
        <v>0</v>
      </c>
      <c r="V451" s="317">
        <f t="shared" si="83"/>
        <v>0</v>
      </c>
      <c r="W451" s="317">
        <f t="shared" si="83"/>
        <v>0</v>
      </c>
      <c r="X451" s="317">
        <f t="shared" si="83"/>
        <v>0</v>
      </c>
      <c r="Y451" s="317">
        <f t="shared" si="83"/>
        <v>0</v>
      </c>
      <c r="Z451" s="317">
        <f t="shared" si="83"/>
        <v>0</v>
      </c>
      <c r="AA451" s="317">
        <f t="shared" si="83"/>
        <v>0</v>
      </c>
      <c r="AB451" s="317">
        <f t="shared" si="83"/>
        <v>0</v>
      </c>
      <c r="AC451" s="317">
        <f t="shared" si="83"/>
        <v>0</v>
      </c>
      <c r="AD451" s="317">
        <f t="shared" si="83"/>
        <v>0</v>
      </c>
      <c r="AE451" s="318">
        <f t="shared" si="83"/>
        <v>0</v>
      </c>
    </row>
    <row r="452" spans="1:31">
      <c r="A452" s="1711"/>
      <c r="B452" s="116">
        <v>16</v>
      </c>
      <c r="C452" s="316">
        <f>'CAR SEC'!V19</f>
        <v>2.2526000000000002</v>
      </c>
      <c r="D452" s="317">
        <f t="shared" si="84"/>
        <v>2.2526000000000002</v>
      </c>
      <c r="E452" s="317">
        <f t="shared" si="84"/>
        <v>2.2526000000000002</v>
      </c>
      <c r="F452" s="317">
        <f t="shared" si="84"/>
        <v>2.2526000000000002</v>
      </c>
      <c r="G452" s="317">
        <f t="shared" si="84"/>
        <v>2.2526000000000002</v>
      </c>
      <c r="H452" s="317">
        <f t="shared" si="84"/>
        <v>2.2526000000000002</v>
      </c>
      <c r="I452" s="317">
        <f t="shared" si="84"/>
        <v>2.2526000000000002</v>
      </c>
      <c r="J452" s="317">
        <f t="shared" si="84"/>
        <v>2.2526000000000002</v>
      </c>
      <c r="K452" s="317">
        <f t="shared" si="84"/>
        <v>2.2526000000000002</v>
      </c>
      <c r="L452" s="317">
        <f t="shared" si="84"/>
        <v>2.2526000000000002</v>
      </c>
      <c r="M452" s="317">
        <f t="shared" si="84"/>
        <v>2.3126795249406205</v>
      </c>
      <c r="N452" s="317">
        <f t="shared" si="84"/>
        <v>2.3612530142665884</v>
      </c>
      <c r="O452" s="317">
        <f t="shared" si="84"/>
        <v>2.1830753086419756</v>
      </c>
      <c r="P452" s="317">
        <f t="shared" si="84"/>
        <v>2.2353607142857146</v>
      </c>
      <c r="Q452" s="317">
        <f t="shared" si="84"/>
        <v>2.2353607142857146</v>
      </c>
      <c r="R452" s="317">
        <f t="shared" si="84"/>
        <v>2.2353607142857146</v>
      </c>
      <c r="S452" s="317">
        <f t="shared" si="84"/>
        <v>2.2353607142857146</v>
      </c>
      <c r="T452" s="317">
        <f t="shared" si="83"/>
        <v>0</v>
      </c>
      <c r="U452" s="317">
        <f t="shared" si="83"/>
        <v>0</v>
      </c>
      <c r="V452" s="317">
        <f t="shared" si="83"/>
        <v>0</v>
      </c>
      <c r="W452" s="317">
        <f t="shared" si="83"/>
        <v>0</v>
      </c>
      <c r="X452" s="317">
        <f t="shared" si="83"/>
        <v>0</v>
      </c>
      <c r="Y452" s="317">
        <f t="shared" si="83"/>
        <v>0</v>
      </c>
      <c r="Z452" s="317">
        <f t="shared" si="83"/>
        <v>0</v>
      </c>
      <c r="AA452" s="317">
        <f t="shared" si="83"/>
        <v>0</v>
      </c>
      <c r="AB452" s="317">
        <f t="shared" si="83"/>
        <v>0</v>
      </c>
      <c r="AC452" s="317">
        <f t="shared" si="83"/>
        <v>0</v>
      </c>
      <c r="AD452" s="317">
        <f t="shared" si="83"/>
        <v>0</v>
      </c>
      <c r="AE452" s="318">
        <f t="shared" si="83"/>
        <v>0</v>
      </c>
    </row>
    <row r="453" spans="1:31">
      <c r="A453" s="1711"/>
      <c r="B453" s="116">
        <v>17</v>
      </c>
      <c r="C453" s="316">
        <f>'CAR SEC'!V20</f>
        <v>2.2526000000000002</v>
      </c>
      <c r="D453" s="317">
        <f t="shared" si="84"/>
        <v>2.2526000000000002</v>
      </c>
      <c r="E453" s="317">
        <f t="shared" si="84"/>
        <v>2.2526000000000002</v>
      </c>
      <c r="F453" s="317">
        <f t="shared" si="84"/>
        <v>2.2526000000000002</v>
      </c>
      <c r="G453" s="317">
        <f t="shared" si="84"/>
        <v>2.2526000000000002</v>
      </c>
      <c r="H453" s="317">
        <f t="shared" si="84"/>
        <v>2.2526000000000002</v>
      </c>
      <c r="I453" s="317">
        <f t="shared" si="84"/>
        <v>2.2526000000000002</v>
      </c>
      <c r="J453" s="317">
        <f t="shared" si="84"/>
        <v>2.2526000000000002</v>
      </c>
      <c r="K453" s="317">
        <f t="shared" si="84"/>
        <v>2.2526000000000002</v>
      </c>
      <c r="L453" s="317">
        <f t="shared" si="84"/>
        <v>2.2526000000000002</v>
      </c>
      <c r="M453" s="317">
        <f t="shared" si="84"/>
        <v>2.2526000000000002</v>
      </c>
      <c r="N453" s="317">
        <f t="shared" si="84"/>
        <v>2.3126795249406205</v>
      </c>
      <c r="O453" s="317">
        <f t="shared" si="84"/>
        <v>2.3612530142665884</v>
      </c>
      <c r="P453" s="317">
        <f t="shared" si="84"/>
        <v>2.1830753086419756</v>
      </c>
      <c r="Q453" s="317">
        <f t="shared" si="84"/>
        <v>2.2353607142857146</v>
      </c>
      <c r="R453" s="317">
        <f t="shared" si="84"/>
        <v>2.2353607142857146</v>
      </c>
      <c r="S453" s="317">
        <f t="shared" ref="S453:AE461" si="85">R452</f>
        <v>2.2353607142857146</v>
      </c>
      <c r="T453" s="317">
        <f t="shared" si="85"/>
        <v>2.2353607142857146</v>
      </c>
      <c r="U453" s="317">
        <f t="shared" si="85"/>
        <v>0</v>
      </c>
      <c r="V453" s="317">
        <f t="shared" si="85"/>
        <v>0</v>
      </c>
      <c r="W453" s="317">
        <f t="shared" si="85"/>
        <v>0</v>
      </c>
      <c r="X453" s="317">
        <f t="shared" si="85"/>
        <v>0</v>
      </c>
      <c r="Y453" s="317">
        <f t="shared" si="85"/>
        <v>0</v>
      </c>
      <c r="Z453" s="317">
        <f t="shared" si="85"/>
        <v>0</v>
      </c>
      <c r="AA453" s="317">
        <f t="shared" si="85"/>
        <v>0</v>
      </c>
      <c r="AB453" s="317">
        <f t="shared" si="85"/>
        <v>0</v>
      </c>
      <c r="AC453" s="317">
        <f t="shared" si="85"/>
        <v>0</v>
      </c>
      <c r="AD453" s="317">
        <f t="shared" si="85"/>
        <v>0</v>
      </c>
      <c r="AE453" s="318">
        <f t="shared" si="85"/>
        <v>0</v>
      </c>
    </row>
    <row r="454" spans="1:31">
      <c r="A454" s="1711"/>
      <c r="B454" s="116">
        <v>18</v>
      </c>
      <c r="C454" s="316">
        <f>'CAR SEC'!V21</f>
        <v>2.2526000000000002</v>
      </c>
      <c r="D454" s="317">
        <f t="shared" ref="D454:S461" si="86">C453</f>
        <v>2.2526000000000002</v>
      </c>
      <c r="E454" s="317">
        <f t="shared" si="86"/>
        <v>2.2526000000000002</v>
      </c>
      <c r="F454" s="317">
        <f t="shared" si="86"/>
        <v>2.2526000000000002</v>
      </c>
      <c r="G454" s="317">
        <f t="shared" si="86"/>
        <v>2.2526000000000002</v>
      </c>
      <c r="H454" s="317">
        <f t="shared" si="86"/>
        <v>2.2526000000000002</v>
      </c>
      <c r="I454" s="317">
        <f t="shared" si="86"/>
        <v>2.2526000000000002</v>
      </c>
      <c r="J454" s="317">
        <f t="shared" si="86"/>
        <v>2.2526000000000002</v>
      </c>
      <c r="K454" s="317">
        <f t="shared" si="86"/>
        <v>2.2526000000000002</v>
      </c>
      <c r="L454" s="317">
        <f t="shared" si="86"/>
        <v>2.2526000000000002</v>
      </c>
      <c r="M454" s="317">
        <f t="shared" si="86"/>
        <v>2.2526000000000002</v>
      </c>
      <c r="N454" s="317">
        <f t="shared" si="86"/>
        <v>2.2526000000000002</v>
      </c>
      <c r="O454" s="317">
        <f t="shared" si="86"/>
        <v>2.3126795249406205</v>
      </c>
      <c r="P454" s="317">
        <f t="shared" si="86"/>
        <v>2.3612530142665884</v>
      </c>
      <c r="Q454" s="317">
        <f t="shared" si="86"/>
        <v>2.1830753086419756</v>
      </c>
      <c r="R454" s="317">
        <f t="shared" si="86"/>
        <v>2.2353607142857146</v>
      </c>
      <c r="S454" s="317">
        <f t="shared" si="86"/>
        <v>2.2353607142857146</v>
      </c>
      <c r="T454" s="317">
        <f t="shared" si="85"/>
        <v>2.2353607142857146</v>
      </c>
      <c r="U454" s="317">
        <f t="shared" si="85"/>
        <v>2.2353607142857146</v>
      </c>
      <c r="V454" s="317">
        <f t="shared" si="85"/>
        <v>0</v>
      </c>
      <c r="W454" s="317">
        <f t="shared" si="85"/>
        <v>0</v>
      </c>
      <c r="X454" s="317">
        <f t="shared" si="85"/>
        <v>0</v>
      </c>
      <c r="Y454" s="317">
        <f t="shared" si="85"/>
        <v>0</v>
      </c>
      <c r="Z454" s="317">
        <f t="shared" si="85"/>
        <v>0</v>
      </c>
      <c r="AA454" s="317">
        <f t="shared" si="85"/>
        <v>0</v>
      </c>
      <c r="AB454" s="317">
        <f t="shared" si="85"/>
        <v>0</v>
      </c>
      <c r="AC454" s="317">
        <f t="shared" si="85"/>
        <v>0</v>
      </c>
      <c r="AD454" s="317">
        <f t="shared" si="85"/>
        <v>0</v>
      </c>
      <c r="AE454" s="318">
        <f t="shared" si="85"/>
        <v>0</v>
      </c>
    </row>
    <row r="455" spans="1:31">
      <c r="A455" s="1711"/>
      <c r="B455" s="116">
        <v>19</v>
      </c>
      <c r="C455" s="316">
        <f>'CAR SEC'!V22</f>
        <v>2.2526000000000002</v>
      </c>
      <c r="D455" s="317">
        <f t="shared" si="86"/>
        <v>2.2526000000000002</v>
      </c>
      <c r="E455" s="317">
        <f t="shared" si="86"/>
        <v>2.2526000000000002</v>
      </c>
      <c r="F455" s="317">
        <f t="shared" si="86"/>
        <v>2.2526000000000002</v>
      </c>
      <c r="G455" s="317">
        <f t="shared" si="86"/>
        <v>2.2526000000000002</v>
      </c>
      <c r="H455" s="317">
        <f t="shared" si="86"/>
        <v>2.2526000000000002</v>
      </c>
      <c r="I455" s="317">
        <f t="shared" si="86"/>
        <v>2.2526000000000002</v>
      </c>
      <c r="J455" s="317">
        <f t="shared" si="86"/>
        <v>2.2526000000000002</v>
      </c>
      <c r="K455" s="317">
        <f t="shared" si="86"/>
        <v>2.2526000000000002</v>
      </c>
      <c r="L455" s="317">
        <f t="shared" si="86"/>
        <v>2.2526000000000002</v>
      </c>
      <c r="M455" s="317">
        <f t="shared" si="86"/>
        <v>2.2526000000000002</v>
      </c>
      <c r="N455" s="317">
        <f t="shared" si="86"/>
        <v>2.2526000000000002</v>
      </c>
      <c r="O455" s="317">
        <f t="shared" si="86"/>
        <v>2.2526000000000002</v>
      </c>
      <c r="P455" s="317">
        <f t="shared" si="86"/>
        <v>2.3126795249406205</v>
      </c>
      <c r="Q455" s="317">
        <f t="shared" si="86"/>
        <v>2.3612530142665884</v>
      </c>
      <c r="R455" s="317">
        <f t="shared" si="86"/>
        <v>2.1830753086419756</v>
      </c>
      <c r="S455" s="317">
        <f t="shared" si="86"/>
        <v>2.2353607142857146</v>
      </c>
      <c r="T455" s="317">
        <f t="shared" si="85"/>
        <v>2.2353607142857146</v>
      </c>
      <c r="U455" s="317">
        <f t="shared" si="85"/>
        <v>2.2353607142857146</v>
      </c>
      <c r="V455" s="317">
        <f t="shared" si="85"/>
        <v>2.2353607142857146</v>
      </c>
      <c r="W455" s="317">
        <f t="shared" si="85"/>
        <v>0</v>
      </c>
      <c r="X455" s="317">
        <f t="shared" si="85"/>
        <v>0</v>
      </c>
      <c r="Y455" s="317">
        <f t="shared" si="85"/>
        <v>0</v>
      </c>
      <c r="Z455" s="317">
        <f t="shared" si="85"/>
        <v>0</v>
      </c>
      <c r="AA455" s="317">
        <f t="shared" si="85"/>
        <v>0</v>
      </c>
      <c r="AB455" s="317">
        <f t="shared" si="85"/>
        <v>0</v>
      </c>
      <c r="AC455" s="317">
        <f t="shared" si="85"/>
        <v>0</v>
      </c>
      <c r="AD455" s="317">
        <f t="shared" si="85"/>
        <v>0</v>
      </c>
      <c r="AE455" s="318">
        <f t="shared" si="85"/>
        <v>0</v>
      </c>
    </row>
    <row r="456" spans="1:31">
      <c r="A456" s="1711"/>
      <c r="B456" s="116">
        <v>20</v>
      </c>
      <c r="C456" s="316">
        <f>'CAR SEC'!V23</f>
        <v>2.2526000000000002</v>
      </c>
      <c r="D456" s="317">
        <f t="shared" si="86"/>
        <v>2.2526000000000002</v>
      </c>
      <c r="E456" s="317">
        <f t="shared" si="86"/>
        <v>2.2526000000000002</v>
      </c>
      <c r="F456" s="317">
        <f t="shared" si="86"/>
        <v>2.2526000000000002</v>
      </c>
      <c r="G456" s="317">
        <f t="shared" si="86"/>
        <v>2.2526000000000002</v>
      </c>
      <c r="H456" s="317">
        <f t="shared" si="86"/>
        <v>2.2526000000000002</v>
      </c>
      <c r="I456" s="317">
        <f t="shared" si="86"/>
        <v>2.2526000000000002</v>
      </c>
      <c r="J456" s="317">
        <f t="shared" si="86"/>
        <v>2.2526000000000002</v>
      </c>
      <c r="K456" s="317">
        <f t="shared" si="86"/>
        <v>2.2526000000000002</v>
      </c>
      <c r="L456" s="317">
        <f t="shared" si="86"/>
        <v>2.2526000000000002</v>
      </c>
      <c r="M456" s="317">
        <f t="shared" si="86"/>
        <v>2.2526000000000002</v>
      </c>
      <c r="N456" s="317">
        <f t="shared" si="86"/>
        <v>2.2526000000000002</v>
      </c>
      <c r="O456" s="317">
        <f t="shared" si="86"/>
        <v>2.2526000000000002</v>
      </c>
      <c r="P456" s="317">
        <f t="shared" si="86"/>
        <v>2.2526000000000002</v>
      </c>
      <c r="Q456" s="317">
        <f t="shared" si="86"/>
        <v>2.3126795249406205</v>
      </c>
      <c r="R456" s="317">
        <f t="shared" si="86"/>
        <v>2.3612530142665884</v>
      </c>
      <c r="S456" s="317">
        <f t="shared" si="86"/>
        <v>2.1830753086419756</v>
      </c>
      <c r="T456" s="317">
        <f t="shared" si="85"/>
        <v>2.2353607142857146</v>
      </c>
      <c r="U456" s="317">
        <f t="shared" si="85"/>
        <v>2.2353607142857146</v>
      </c>
      <c r="V456" s="317">
        <f t="shared" si="85"/>
        <v>2.2353607142857146</v>
      </c>
      <c r="W456" s="317">
        <f t="shared" si="85"/>
        <v>2.2353607142857146</v>
      </c>
      <c r="X456" s="317">
        <f t="shared" si="85"/>
        <v>0</v>
      </c>
      <c r="Y456" s="317">
        <f t="shared" si="85"/>
        <v>0</v>
      </c>
      <c r="Z456" s="317">
        <f t="shared" si="85"/>
        <v>0</v>
      </c>
      <c r="AA456" s="317">
        <f t="shared" si="85"/>
        <v>0</v>
      </c>
      <c r="AB456" s="317">
        <f t="shared" si="85"/>
        <v>0</v>
      </c>
      <c r="AC456" s="317">
        <f t="shared" si="85"/>
        <v>0</v>
      </c>
      <c r="AD456" s="317">
        <f t="shared" si="85"/>
        <v>0</v>
      </c>
      <c r="AE456" s="318">
        <f t="shared" si="85"/>
        <v>0</v>
      </c>
    </row>
    <row r="457" spans="1:31">
      <c r="A457" s="1711"/>
      <c r="B457" s="116">
        <v>21</v>
      </c>
      <c r="C457" s="316">
        <f>'CAR SEC'!V24</f>
        <v>2.2526000000000002</v>
      </c>
      <c r="D457" s="317">
        <f t="shared" si="86"/>
        <v>2.2526000000000002</v>
      </c>
      <c r="E457" s="317">
        <f t="shared" si="86"/>
        <v>2.2526000000000002</v>
      </c>
      <c r="F457" s="317">
        <f t="shared" si="86"/>
        <v>2.2526000000000002</v>
      </c>
      <c r="G457" s="317">
        <f t="shared" si="86"/>
        <v>2.2526000000000002</v>
      </c>
      <c r="H457" s="317">
        <f t="shared" si="86"/>
        <v>2.2526000000000002</v>
      </c>
      <c r="I457" s="317">
        <f t="shared" si="86"/>
        <v>2.2526000000000002</v>
      </c>
      <c r="J457" s="317">
        <f t="shared" si="86"/>
        <v>2.2526000000000002</v>
      </c>
      <c r="K457" s="317">
        <f t="shared" si="86"/>
        <v>2.2526000000000002</v>
      </c>
      <c r="L457" s="317">
        <f t="shared" si="86"/>
        <v>2.2526000000000002</v>
      </c>
      <c r="M457" s="317">
        <f t="shared" si="86"/>
        <v>2.2526000000000002</v>
      </c>
      <c r="N457" s="317">
        <f t="shared" si="86"/>
        <v>2.2526000000000002</v>
      </c>
      <c r="O457" s="317">
        <f t="shared" si="86"/>
        <v>2.2526000000000002</v>
      </c>
      <c r="P457" s="317">
        <f t="shared" si="86"/>
        <v>2.2526000000000002</v>
      </c>
      <c r="Q457" s="317">
        <f t="shared" si="86"/>
        <v>2.2526000000000002</v>
      </c>
      <c r="R457" s="317">
        <f t="shared" si="86"/>
        <v>2.3126795249406205</v>
      </c>
      <c r="S457" s="317">
        <f t="shared" si="86"/>
        <v>2.3612530142665884</v>
      </c>
      <c r="T457" s="317">
        <f t="shared" si="85"/>
        <v>2.1830753086419756</v>
      </c>
      <c r="U457" s="317">
        <f t="shared" si="85"/>
        <v>2.2353607142857146</v>
      </c>
      <c r="V457" s="317">
        <f t="shared" si="85"/>
        <v>2.2353607142857146</v>
      </c>
      <c r="W457" s="317">
        <f t="shared" si="85"/>
        <v>2.2353607142857146</v>
      </c>
      <c r="X457" s="317">
        <f t="shared" si="85"/>
        <v>2.2353607142857146</v>
      </c>
      <c r="Y457" s="317">
        <f t="shared" si="85"/>
        <v>0</v>
      </c>
      <c r="Z457" s="317">
        <f t="shared" si="85"/>
        <v>0</v>
      </c>
      <c r="AA457" s="317">
        <f t="shared" si="85"/>
        <v>0</v>
      </c>
      <c r="AB457" s="317">
        <f t="shared" si="85"/>
        <v>0</v>
      </c>
      <c r="AC457" s="317">
        <f t="shared" si="85"/>
        <v>0</v>
      </c>
      <c r="AD457" s="317">
        <f t="shared" si="85"/>
        <v>0</v>
      </c>
      <c r="AE457" s="318">
        <f t="shared" si="85"/>
        <v>0</v>
      </c>
    </row>
    <row r="458" spans="1:31">
      <c r="A458" s="1711"/>
      <c r="B458" s="116">
        <v>22</v>
      </c>
      <c r="C458" s="316">
        <f>'CAR SEC'!V25</f>
        <v>2.2526000000000002</v>
      </c>
      <c r="D458" s="317">
        <f t="shared" si="86"/>
        <v>2.2526000000000002</v>
      </c>
      <c r="E458" s="317">
        <f t="shared" si="86"/>
        <v>2.2526000000000002</v>
      </c>
      <c r="F458" s="317">
        <f t="shared" si="86"/>
        <v>2.2526000000000002</v>
      </c>
      <c r="G458" s="317">
        <f t="shared" si="86"/>
        <v>2.2526000000000002</v>
      </c>
      <c r="H458" s="317">
        <f t="shared" si="86"/>
        <v>2.2526000000000002</v>
      </c>
      <c r="I458" s="317">
        <f t="shared" si="86"/>
        <v>2.2526000000000002</v>
      </c>
      <c r="J458" s="317">
        <f t="shared" si="86"/>
        <v>2.2526000000000002</v>
      </c>
      <c r="K458" s="317">
        <f t="shared" si="86"/>
        <v>2.2526000000000002</v>
      </c>
      <c r="L458" s="317">
        <f t="shared" si="86"/>
        <v>2.2526000000000002</v>
      </c>
      <c r="M458" s="317">
        <f t="shared" si="86"/>
        <v>2.2526000000000002</v>
      </c>
      <c r="N458" s="317">
        <f t="shared" si="86"/>
        <v>2.2526000000000002</v>
      </c>
      <c r="O458" s="317">
        <f t="shared" si="86"/>
        <v>2.2526000000000002</v>
      </c>
      <c r="P458" s="317">
        <f t="shared" si="86"/>
        <v>2.2526000000000002</v>
      </c>
      <c r="Q458" s="317">
        <f t="shared" si="86"/>
        <v>2.2526000000000002</v>
      </c>
      <c r="R458" s="317">
        <f t="shared" si="86"/>
        <v>2.2526000000000002</v>
      </c>
      <c r="S458" s="317">
        <f t="shared" si="86"/>
        <v>2.3126795249406205</v>
      </c>
      <c r="T458" s="317">
        <f t="shared" si="85"/>
        <v>2.3612530142665884</v>
      </c>
      <c r="U458" s="317">
        <f t="shared" si="85"/>
        <v>2.1830753086419756</v>
      </c>
      <c r="V458" s="317">
        <f t="shared" si="85"/>
        <v>2.2353607142857146</v>
      </c>
      <c r="W458" s="317">
        <f t="shared" si="85"/>
        <v>2.2353607142857146</v>
      </c>
      <c r="X458" s="317">
        <f t="shared" si="85"/>
        <v>2.2353607142857146</v>
      </c>
      <c r="Y458" s="317">
        <f t="shared" si="85"/>
        <v>2.2353607142857146</v>
      </c>
      <c r="Z458" s="317">
        <f t="shared" si="85"/>
        <v>0</v>
      </c>
      <c r="AA458" s="317">
        <f t="shared" si="85"/>
        <v>0</v>
      </c>
      <c r="AB458" s="317">
        <f t="shared" si="85"/>
        <v>0</v>
      </c>
      <c r="AC458" s="317">
        <f t="shared" si="85"/>
        <v>0</v>
      </c>
      <c r="AD458" s="317">
        <f t="shared" si="85"/>
        <v>0</v>
      </c>
      <c r="AE458" s="318">
        <f t="shared" si="85"/>
        <v>0</v>
      </c>
    </row>
    <row r="459" spans="1:31">
      <c r="A459" s="1711"/>
      <c r="B459" s="116">
        <v>23</v>
      </c>
      <c r="C459" s="316">
        <f>'CAR SEC'!V26</f>
        <v>2.2526000000000002</v>
      </c>
      <c r="D459" s="317">
        <f t="shared" si="86"/>
        <v>2.2526000000000002</v>
      </c>
      <c r="E459" s="317">
        <f t="shared" si="86"/>
        <v>2.2526000000000002</v>
      </c>
      <c r="F459" s="317">
        <f t="shared" si="86"/>
        <v>2.2526000000000002</v>
      </c>
      <c r="G459" s="317">
        <f t="shared" si="86"/>
        <v>2.2526000000000002</v>
      </c>
      <c r="H459" s="317">
        <f t="shared" si="86"/>
        <v>2.2526000000000002</v>
      </c>
      <c r="I459" s="317">
        <f t="shared" si="86"/>
        <v>2.2526000000000002</v>
      </c>
      <c r="J459" s="317">
        <f t="shared" si="86"/>
        <v>2.2526000000000002</v>
      </c>
      <c r="K459" s="317">
        <f t="shared" si="86"/>
        <v>2.2526000000000002</v>
      </c>
      <c r="L459" s="317">
        <f t="shared" si="86"/>
        <v>2.2526000000000002</v>
      </c>
      <c r="M459" s="317">
        <f t="shared" si="86"/>
        <v>2.2526000000000002</v>
      </c>
      <c r="N459" s="317">
        <f t="shared" si="86"/>
        <v>2.2526000000000002</v>
      </c>
      <c r="O459" s="317">
        <f t="shared" si="86"/>
        <v>2.2526000000000002</v>
      </c>
      <c r="P459" s="317">
        <f t="shared" si="86"/>
        <v>2.2526000000000002</v>
      </c>
      <c r="Q459" s="317">
        <f t="shared" si="86"/>
        <v>2.2526000000000002</v>
      </c>
      <c r="R459" s="317">
        <f t="shared" si="86"/>
        <v>2.2526000000000002</v>
      </c>
      <c r="S459" s="317">
        <f t="shared" si="86"/>
        <v>2.2526000000000002</v>
      </c>
      <c r="T459" s="317">
        <f t="shared" si="85"/>
        <v>2.3126795249406205</v>
      </c>
      <c r="U459" s="317">
        <f t="shared" si="85"/>
        <v>2.3612530142665884</v>
      </c>
      <c r="V459" s="317">
        <f t="shared" si="85"/>
        <v>2.1830753086419756</v>
      </c>
      <c r="W459" s="317">
        <f t="shared" si="85"/>
        <v>2.2353607142857146</v>
      </c>
      <c r="X459" s="317">
        <f t="shared" si="85"/>
        <v>2.2353607142857146</v>
      </c>
      <c r="Y459" s="317">
        <f t="shared" si="85"/>
        <v>2.2353607142857146</v>
      </c>
      <c r="Z459" s="317">
        <f t="shared" si="85"/>
        <v>2.2353607142857146</v>
      </c>
      <c r="AA459" s="317">
        <f t="shared" si="85"/>
        <v>0</v>
      </c>
      <c r="AB459" s="317">
        <f t="shared" si="85"/>
        <v>0</v>
      </c>
      <c r="AC459" s="317">
        <f t="shared" si="85"/>
        <v>0</v>
      </c>
      <c r="AD459" s="317">
        <f t="shared" si="85"/>
        <v>0</v>
      </c>
      <c r="AE459" s="318">
        <f t="shared" si="85"/>
        <v>0</v>
      </c>
    </row>
    <row r="460" spans="1:31">
      <c r="A460" s="1711"/>
      <c r="B460" s="116">
        <v>24</v>
      </c>
      <c r="C460" s="316">
        <f>C459</f>
        <v>2.2526000000000002</v>
      </c>
      <c r="D460" s="317">
        <f t="shared" si="86"/>
        <v>2.2526000000000002</v>
      </c>
      <c r="E460" s="317">
        <f t="shared" si="86"/>
        <v>2.2526000000000002</v>
      </c>
      <c r="F460" s="317">
        <f t="shared" si="86"/>
        <v>2.2526000000000002</v>
      </c>
      <c r="G460" s="317">
        <f t="shared" si="86"/>
        <v>2.2526000000000002</v>
      </c>
      <c r="H460" s="317">
        <f t="shared" si="86"/>
        <v>2.2526000000000002</v>
      </c>
      <c r="I460" s="317">
        <f t="shared" si="86"/>
        <v>2.2526000000000002</v>
      </c>
      <c r="J460" s="317">
        <f t="shared" si="86"/>
        <v>2.2526000000000002</v>
      </c>
      <c r="K460" s="317">
        <f t="shared" si="86"/>
        <v>2.2526000000000002</v>
      </c>
      <c r="L460" s="317">
        <f t="shared" si="86"/>
        <v>2.2526000000000002</v>
      </c>
      <c r="M460" s="317">
        <f t="shared" si="86"/>
        <v>2.2526000000000002</v>
      </c>
      <c r="N460" s="317">
        <f t="shared" si="86"/>
        <v>2.2526000000000002</v>
      </c>
      <c r="O460" s="317">
        <f t="shared" si="86"/>
        <v>2.2526000000000002</v>
      </c>
      <c r="P460" s="317">
        <f t="shared" si="86"/>
        <v>2.2526000000000002</v>
      </c>
      <c r="Q460" s="317">
        <f t="shared" si="86"/>
        <v>2.2526000000000002</v>
      </c>
      <c r="R460" s="317">
        <f t="shared" si="86"/>
        <v>2.2526000000000002</v>
      </c>
      <c r="S460" s="317">
        <f t="shared" si="86"/>
        <v>2.2526000000000002</v>
      </c>
      <c r="T460" s="317">
        <f t="shared" si="85"/>
        <v>2.2526000000000002</v>
      </c>
      <c r="U460" s="317">
        <f t="shared" si="85"/>
        <v>2.3126795249406205</v>
      </c>
      <c r="V460" s="317">
        <f t="shared" si="85"/>
        <v>2.3612530142665884</v>
      </c>
      <c r="W460" s="317">
        <f t="shared" si="85"/>
        <v>2.1830753086419756</v>
      </c>
      <c r="X460" s="317">
        <f t="shared" si="85"/>
        <v>2.2353607142857146</v>
      </c>
      <c r="Y460" s="317">
        <f t="shared" si="85"/>
        <v>2.2353607142857146</v>
      </c>
      <c r="Z460" s="317">
        <f t="shared" si="85"/>
        <v>2.2353607142857146</v>
      </c>
      <c r="AA460" s="317">
        <f t="shared" si="85"/>
        <v>2.2353607142857146</v>
      </c>
      <c r="AB460" s="317">
        <f t="shared" si="85"/>
        <v>0</v>
      </c>
      <c r="AC460" s="317">
        <f t="shared" si="85"/>
        <v>0</v>
      </c>
      <c r="AD460" s="317">
        <f t="shared" si="85"/>
        <v>0</v>
      </c>
      <c r="AE460" s="318">
        <f t="shared" si="85"/>
        <v>0</v>
      </c>
    </row>
    <row r="461" spans="1:31" ht="15.75" thickBot="1">
      <c r="A461" s="1711"/>
      <c r="B461" s="116">
        <v>25</v>
      </c>
      <c r="C461" s="324">
        <f>C460</f>
        <v>2.2526000000000002</v>
      </c>
      <c r="D461" s="325">
        <f t="shared" si="86"/>
        <v>2.2526000000000002</v>
      </c>
      <c r="E461" s="325">
        <f t="shared" si="86"/>
        <v>2.2526000000000002</v>
      </c>
      <c r="F461" s="325">
        <f t="shared" si="86"/>
        <v>2.2526000000000002</v>
      </c>
      <c r="G461" s="325">
        <f t="shared" si="86"/>
        <v>2.2526000000000002</v>
      </c>
      <c r="H461" s="325">
        <f t="shared" si="86"/>
        <v>2.2526000000000002</v>
      </c>
      <c r="I461" s="325">
        <f t="shared" si="86"/>
        <v>2.2526000000000002</v>
      </c>
      <c r="J461" s="325">
        <f t="shared" si="86"/>
        <v>2.2526000000000002</v>
      </c>
      <c r="K461" s="325">
        <f t="shared" si="86"/>
        <v>2.2526000000000002</v>
      </c>
      <c r="L461" s="325">
        <f t="shared" si="86"/>
        <v>2.2526000000000002</v>
      </c>
      <c r="M461" s="325">
        <f t="shared" si="86"/>
        <v>2.2526000000000002</v>
      </c>
      <c r="N461" s="325">
        <f t="shared" si="86"/>
        <v>2.2526000000000002</v>
      </c>
      <c r="O461" s="325">
        <f t="shared" si="86"/>
        <v>2.2526000000000002</v>
      </c>
      <c r="P461" s="325">
        <f t="shared" si="86"/>
        <v>2.2526000000000002</v>
      </c>
      <c r="Q461" s="325">
        <f t="shared" si="86"/>
        <v>2.2526000000000002</v>
      </c>
      <c r="R461" s="325">
        <f t="shared" si="86"/>
        <v>2.2526000000000002</v>
      </c>
      <c r="S461" s="325">
        <f t="shared" si="86"/>
        <v>2.2526000000000002</v>
      </c>
      <c r="T461" s="325">
        <f t="shared" si="85"/>
        <v>2.2526000000000002</v>
      </c>
      <c r="U461" s="325">
        <f t="shared" si="85"/>
        <v>2.2526000000000002</v>
      </c>
      <c r="V461" s="325">
        <f t="shared" si="85"/>
        <v>2.3126795249406205</v>
      </c>
      <c r="W461" s="325">
        <f t="shared" si="85"/>
        <v>2.3612530142665884</v>
      </c>
      <c r="X461" s="325">
        <f t="shared" si="85"/>
        <v>2.1830753086419756</v>
      </c>
      <c r="Y461" s="325">
        <f t="shared" si="85"/>
        <v>2.2353607142857146</v>
      </c>
      <c r="Z461" s="325">
        <f t="shared" si="85"/>
        <v>2.2353607142857146</v>
      </c>
      <c r="AA461" s="325">
        <f t="shared" si="85"/>
        <v>2.2353607142857146</v>
      </c>
      <c r="AB461" s="325">
        <f t="shared" si="85"/>
        <v>2.2353607142857146</v>
      </c>
      <c r="AC461" s="325">
        <f t="shared" si="85"/>
        <v>0</v>
      </c>
      <c r="AD461" s="325">
        <f t="shared" si="85"/>
        <v>0</v>
      </c>
      <c r="AE461" s="326">
        <f t="shared" si="85"/>
        <v>0</v>
      </c>
    </row>
    <row r="462" spans="1:31" ht="16.5" thickTop="1" thickBot="1">
      <c r="A462" s="1712"/>
      <c r="B462" s="300" t="s">
        <v>39</v>
      </c>
      <c r="C462" s="327">
        <f>SUMPRODUCT('CAR Stock'!C459:C484,C436:C461)/'CAR Stock'!C485</f>
        <v>2.2353183779248695</v>
      </c>
      <c r="D462" s="327">
        <f>SUMPRODUCT('CAR Stock'!D459:D484,D436:D461)/'CAR Stock'!D485</f>
        <v>2.2353183779248695</v>
      </c>
      <c r="E462" s="327">
        <f>SUMPRODUCT('CAR Stock'!E459:E484,E436:E461)/'CAR Stock'!E485</f>
        <v>2.2353183779248695</v>
      </c>
      <c r="F462" s="327">
        <f>SUMPRODUCT('CAR Stock'!F459:F484,F436:F461)/'CAR Stock'!F485</f>
        <v>2.2353183779248695</v>
      </c>
      <c r="G462" s="327">
        <f>SUMPRODUCT('CAR Stock'!G459:G484,G436:G461)/'CAR Stock'!G485</f>
        <v>2.2353185894305607</v>
      </c>
      <c r="H462" s="327">
        <f>SUMPRODUCT('CAR Stock'!H459:H484,H436:H461)/'CAR Stock'!H485</f>
        <v>2.2353208909412787</v>
      </c>
      <c r="I462" s="327">
        <f>SUMPRODUCT('CAR Stock'!I459:I484,I436:I461)/'CAR Stock'!I485</f>
        <v>2.2353265141095431</v>
      </c>
      <c r="J462" s="327">
        <f>SUMPRODUCT('CAR Stock'!J459:J484,J436:J461)/'CAR Stock'!J485</f>
        <v>2.2353347905819025</v>
      </c>
      <c r="K462" s="327">
        <f>SUMPRODUCT('CAR Stock'!K459:K484,K436:K461)/'CAR Stock'!K485</f>
        <v>2.2353439878985397</v>
      </c>
      <c r="L462" s="327">
        <f>SUMPRODUCT('CAR Stock'!L459:L484,L436:L461)/'CAR Stock'!L485</f>
        <v>2.2353514092661917</v>
      </c>
      <c r="M462" s="327">
        <f>SUMPRODUCT('CAR Stock'!M459:M484,M436:M461)/'CAR Stock'!M485</f>
        <v>2.2353562621060981</v>
      </c>
      <c r="N462" s="327">
        <f>SUMPRODUCT('CAR Stock'!N459:N484,N436:N461)/'CAR Stock'!N485</f>
        <v>2.235358883566624</v>
      </c>
      <c r="O462" s="327">
        <f>SUMPRODUCT('CAR Stock'!O459:O484,O436:O461)/'CAR Stock'!O485</f>
        <v>2.2353598908847645</v>
      </c>
      <c r="P462" s="327">
        <f>SUMPRODUCT('CAR Stock'!P459:P484,P436:P461)/'CAR Stock'!P485</f>
        <v>2.235360304507521</v>
      </c>
      <c r="Q462" s="327">
        <f>SUMPRODUCT('CAR Stock'!Q459:Q484,Q436:Q461)/'CAR Stock'!Q485</f>
        <v>2.2353604862678593</v>
      </c>
      <c r="R462" s="327">
        <f>SUMPRODUCT('CAR Stock'!R459:R484,R436:R461)/'CAR Stock'!R485</f>
        <v>2.2353605739050311</v>
      </c>
      <c r="S462" s="327">
        <f>SUMPRODUCT('CAR Stock'!S459:S484,S436:S461)/'CAR Stock'!S485</f>
        <v>2.2353606342968591</v>
      </c>
      <c r="T462" s="327">
        <f>SUMPRODUCT('CAR Stock'!T459:T484,T436:T461)/'CAR Stock'!T485</f>
        <v>2.2353606732858187</v>
      </c>
      <c r="U462" s="327">
        <f>SUMPRODUCT('CAR Stock'!U459:U484,U436:U461)/'CAR Stock'!U485</f>
        <v>2.2353606962821511</v>
      </c>
      <c r="V462" s="327">
        <f>SUMPRODUCT('CAR Stock'!V459:V484,V436:V461)/'CAR Stock'!V485</f>
        <v>2.2353607081404729</v>
      </c>
      <c r="W462" s="327">
        <f>SUMPRODUCT('CAR Stock'!W459:W484,W436:W461)/'CAR Stock'!W485</f>
        <v>2.23536071302795</v>
      </c>
      <c r="X462" s="327">
        <f>SUMPRODUCT('CAR Stock'!X459:X484,X436:X461)/'CAR Stock'!X485</f>
        <v>2.235360714285715</v>
      </c>
      <c r="Y462" s="327">
        <f>SUMPRODUCT('CAR Stock'!Y459:Y484,Y436:Y461)/'CAR Stock'!Y485</f>
        <v>2.235360714285715</v>
      </c>
      <c r="Z462" s="327">
        <f>SUMPRODUCT('CAR Stock'!Z459:Z484,Z436:Z461)/'CAR Stock'!Z485</f>
        <v>2.2353607142857146</v>
      </c>
      <c r="AA462" s="327">
        <f>SUMPRODUCT('CAR Stock'!AA459:AA484,AA436:AA461)/'CAR Stock'!AA485</f>
        <v>2.2353607142857146</v>
      </c>
      <c r="AB462" s="327">
        <v>0</v>
      </c>
      <c r="AC462" s="327">
        <v>0</v>
      </c>
      <c r="AD462" s="327">
        <v>0</v>
      </c>
      <c r="AE462" s="327">
        <v>0</v>
      </c>
    </row>
    <row r="463" spans="1:31" ht="15.75" thickBot="1">
      <c r="A463" s="650"/>
    </row>
    <row r="464" spans="1:31" ht="15.75" customHeight="1" thickBot="1">
      <c r="A464" s="1710" t="s">
        <v>56</v>
      </c>
      <c r="B464" s="169" t="s">
        <v>10</v>
      </c>
      <c r="C464" s="288">
        <f t="shared" ref="C464" si="87">C348</f>
        <v>2012</v>
      </c>
      <c r="D464" s="289">
        <v>2013</v>
      </c>
      <c r="E464" s="289">
        <v>2014</v>
      </c>
      <c r="F464" s="289">
        <v>2015</v>
      </c>
      <c r="G464" s="288">
        <v>2016</v>
      </c>
      <c r="H464" s="289">
        <v>2017</v>
      </c>
      <c r="I464" s="289">
        <v>2018</v>
      </c>
      <c r="J464" s="289">
        <v>2019</v>
      </c>
      <c r="K464" s="288">
        <v>2020</v>
      </c>
      <c r="L464" s="289">
        <v>2021</v>
      </c>
      <c r="M464" s="289">
        <v>2022</v>
      </c>
      <c r="N464" s="289">
        <v>2023</v>
      </c>
      <c r="O464" s="288">
        <v>2024</v>
      </c>
      <c r="P464" s="289">
        <v>2025</v>
      </c>
      <c r="Q464" s="289">
        <v>2026</v>
      </c>
      <c r="R464" s="289">
        <v>2027</v>
      </c>
      <c r="S464" s="288">
        <v>2028</v>
      </c>
      <c r="T464" s="289">
        <v>2029</v>
      </c>
      <c r="U464" s="289">
        <v>2030</v>
      </c>
      <c r="V464" s="289">
        <v>2031</v>
      </c>
      <c r="W464" s="288">
        <v>2032</v>
      </c>
      <c r="X464" s="289">
        <v>2033</v>
      </c>
      <c r="Y464" s="289">
        <v>2034</v>
      </c>
      <c r="Z464" s="289">
        <v>2035</v>
      </c>
      <c r="AA464" s="288">
        <v>2036</v>
      </c>
      <c r="AB464" s="289">
        <v>2037</v>
      </c>
      <c r="AC464" s="289">
        <v>2038</v>
      </c>
      <c r="AD464" s="289">
        <v>2039</v>
      </c>
      <c r="AE464" s="290">
        <v>2040</v>
      </c>
    </row>
    <row r="465" spans="1:31" ht="15" customHeight="1">
      <c r="A465" s="1711" t="s">
        <v>41</v>
      </c>
      <c r="B465" s="116">
        <v>0</v>
      </c>
      <c r="C465" s="313">
        <f>'CAR SEC'!W3</f>
        <v>2.4456799999999999</v>
      </c>
      <c r="D465" s="314">
        <v>0</v>
      </c>
      <c r="E465" s="314">
        <v>0</v>
      </c>
      <c r="F465" s="314">
        <v>0</v>
      </c>
      <c r="G465" s="314">
        <v>0</v>
      </c>
      <c r="H465" s="314">
        <v>0</v>
      </c>
      <c r="I465" s="314">
        <v>0</v>
      </c>
      <c r="J465" s="314">
        <v>0</v>
      </c>
      <c r="K465" s="314">
        <v>0</v>
      </c>
      <c r="L465" s="314">
        <v>0</v>
      </c>
      <c r="M465" s="314">
        <v>0</v>
      </c>
      <c r="N465" s="314">
        <v>0</v>
      </c>
      <c r="O465" s="314">
        <v>0</v>
      </c>
      <c r="P465" s="314">
        <v>0</v>
      </c>
      <c r="Q465" s="314">
        <v>0</v>
      </c>
      <c r="R465" s="314">
        <v>0</v>
      </c>
      <c r="S465" s="314">
        <v>0</v>
      </c>
      <c r="T465" s="314">
        <v>0</v>
      </c>
      <c r="U465" s="314">
        <v>0</v>
      </c>
      <c r="V465" s="314">
        <v>0</v>
      </c>
      <c r="W465" s="314">
        <v>0</v>
      </c>
      <c r="X465" s="314">
        <v>0</v>
      </c>
      <c r="Y465" s="314">
        <v>0</v>
      </c>
      <c r="Z465" s="314">
        <v>0</v>
      </c>
      <c r="AA465" s="314">
        <v>0</v>
      </c>
      <c r="AB465" s="314">
        <v>0</v>
      </c>
      <c r="AC465" s="314">
        <v>0</v>
      </c>
      <c r="AD465" s="314">
        <v>0</v>
      </c>
      <c r="AE465" s="315">
        <v>0</v>
      </c>
    </row>
    <row r="466" spans="1:31">
      <c r="A466" s="1711"/>
      <c r="B466" s="116">
        <v>1</v>
      </c>
      <c r="C466" s="316">
        <f>'CAR SEC'!W4</f>
        <v>2.4456799999999999</v>
      </c>
      <c r="D466" s="317">
        <f>C465</f>
        <v>2.4456799999999999</v>
      </c>
      <c r="E466" s="317">
        <f t="shared" ref="E466:T466" si="88">D465</f>
        <v>0</v>
      </c>
      <c r="F466" s="317">
        <f t="shared" si="88"/>
        <v>0</v>
      </c>
      <c r="G466" s="317">
        <f t="shared" si="88"/>
        <v>0</v>
      </c>
      <c r="H466" s="317">
        <f t="shared" si="88"/>
        <v>0</v>
      </c>
      <c r="I466" s="317">
        <f t="shared" si="88"/>
        <v>0</v>
      </c>
      <c r="J466" s="317">
        <f t="shared" si="88"/>
        <v>0</v>
      </c>
      <c r="K466" s="317">
        <f t="shared" si="88"/>
        <v>0</v>
      </c>
      <c r="L466" s="317">
        <f t="shared" si="88"/>
        <v>0</v>
      </c>
      <c r="M466" s="317">
        <f t="shared" si="88"/>
        <v>0</v>
      </c>
      <c r="N466" s="317">
        <f t="shared" si="88"/>
        <v>0</v>
      </c>
      <c r="O466" s="317">
        <f t="shared" si="88"/>
        <v>0</v>
      </c>
      <c r="P466" s="317">
        <f t="shared" si="88"/>
        <v>0</v>
      </c>
      <c r="Q466" s="317">
        <f t="shared" si="88"/>
        <v>0</v>
      </c>
      <c r="R466" s="317">
        <f t="shared" si="88"/>
        <v>0</v>
      </c>
      <c r="S466" s="317">
        <f t="shared" si="88"/>
        <v>0</v>
      </c>
      <c r="T466" s="317">
        <f t="shared" si="88"/>
        <v>0</v>
      </c>
      <c r="U466" s="317">
        <f t="shared" ref="T466:AE481" si="89">T465</f>
        <v>0</v>
      </c>
      <c r="V466" s="317">
        <f t="shared" si="89"/>
        <v>0</v>
      </c>
      <c r="W466" s="317">
        <f t="shared" si="89"/>
        <v>0</v>
      </c>
      <c r="X466" s="317">
        <f t="shared" si="89"/>
        <v>0</v>
      </c>
      <c r="Y466" s="317">
        <f t="shared" si="89"/>
        <v>0</v>
      </c>
      <c r="Z466" s="317">
        <f t="shared" si="89"/>
        <v>0</v>
      </c>
      <c r="AA466" s="317">
        <f t="shared" si="89"/>
        <v>0</v>
      </c>
      <c r="AB466" s="317">
        <f t="shared" si="89"/>
        <v>0</v>
      </c>
      <c r="AC466" s="317">
        <f t="shared" si="89"/>
        <v>0</v>
      </c>
      <c r="AD466" s="317">
        <f t="shared" si="89"/>
        <v>0</v>
      </c>
      <c r="AE466" s="318">
        <f t="shared" si="89"/>
        <v>0</v>
      </c>
    </row>
    <row r="467" spans="1:31">
      <c r="A467" s="1711"/>
      <c r="B467" s="116">
        <v>2</v>
      </c>
      <c r="C467" s="316">
        <f>'CAR SEC'!W5</f>
        <v>2.4456799999999999</v>
      </c>
      <c r="D467" s="317">
        <f t="shared" ref="D467:S482" si="90">C466</f>
        <v>2.4456799999999999</v>
      </c>
      <c r="E467" s="317">
        <f t="shared" si="90"/>
        <v>2.4456799999999999</v>
      </c>
      <c r="F467" s="317">
        <f t="shared" si="90"/>
        <v>0</v>
      </c>
      <c r="G467" s="317">
        <f t="shared" si="90"/>
        <v>0</v>
      </c>
      <c r="H467" s="317">
        <f t="shared" si="90"/>
        <v>0</v>
      </c>
      <c r="I467" s="317">
        <f t="shared" si="90"/>
        <v>0</v>
      </c>
      <c r="J467" s="317">
        <f t="shared" si="90"/>
        <v>0</v>
      </c>
      <c r="K467" s="317">
        <f t="shared" si="90"/>
        <v>0</v>
      </c>
      <c r="L467" s="317">
        <f t="shared" si="90"/>
        <v>0</v>
      </c>
      <c r="M467" s="317">
        <f t="shared" si="90"/>
        <v>0</v>
      </c>
      <c r="N467" s="317">
        <f t="shared" si="90"/>
        <v>0</v>
      </c>
      <c r="O467" s="317">
        <f t="shared" si="90"/>
        <v>0</v>
      </c>
      <c r="P467" s="317">
        <f t="shared" si="90"/>
        <v>0</v>
      </c>
      <c r="Q467" s="317">
        <f t="shared" si="90"/>
        <v>0</v>
      </c>
      <c r="R467" s="317">
        <f t="shared" si="90"/>
        <v>0</v>
      </c>
      <c r="S467" s="317">
        <f t="shared" si="90"/>
        <v>0</v>
      </c>
      <c r="T467" s="317">
        <f t="shared" si="89"/>
        <v>0</v>
      </c>
      <c r="U467" s="317">
        <f t="shared" si="89"/>
        <v>0</v>
      </c>
      <c r="V467" s="317">
        <f t="shared" si="89"/>
        <v>0</v>
      </c>
      <c r="W467" s="317">
        <f t="shared" si="89"/>
        <v>0</v>
      </c>
      <c r="X467" s="317">
        <f t="shared" si="89"/>
        <v>0</v>
      </c>
      <c r="Y467" s="317">
        <f t="shared" si="89"/>
        <v>0</v>
      </c>
      <c r="Z467" s="317">
        <f t="shared" si="89"/>
        <v>0</v>
      </c>
      <c r="AA467" s="317">
        <f t="shared" si="89"/>
        <v>0</v>
      </c>
      <c r="AB467" s="317">
        <f t="shared" si="89"/>
        <v>0</v>
      </c>
      <c r="AC467" s="317">
        <f t="shared" si="89"/>
        <v>0</v>
      </c>
      <c r="AD467" s="317">
        <f t="shared" si="89"/>
        <v>0</v>
      </c>
      <c r="AE467" s="318">
        <f t="shared" si="89"/>
        <v>0</v>
      </c>
    </row>
    <row r="468" spans="1:31">
      <c r="A468" s="1711"/>
      <c r="B468" s="116">
        <v>3</v>
      </c>
      <c r="C468" s="316">
        <f>'CAR SEC'!W6</f>
        <v>2.7674799999999999</v>
      </c>
      <c r="D468" s="317">
        <f t="shared" si="90"/>
        <v>2.4456799999999999</v>
      </c>
      <c r="E468" s="317">
        <f t="shared" si="90"/>
        <v>2.4456799999999999</v>
      </c>
      <c r="F468" s="317">
        <f t="shared" si="90"/>
        <v>2.4456799999999999</v>
      </c>
      <c r="G468" s="317">
        <f t="shared" si="90"/>
        <v>0</v>
      </c>
      <c r="H468" s="317">
        <f t="shared" si="90"/>
        <v>0</v>
      </c>
      <c r="I468" s="317">
        <f t="shared" si="90"/>
        <v>0</v>
      </c>
      <c r="J468" s="317">
        <f t="shared" si="90"/>
        <v>0</v>
      </c>
      <c r="K468" s="317">
        <f t="shared" si="90"/>
        <v>0</v>
      </c>
      <c r="L468" s="317">
        <f t="shared" si="90"/>
        <v>0</v>
      </c>
      <c r="M468" s="317">
        <f t="shared" si="90"/>
        <v>0</v>
      </c>
      <c r="N468" s="317">
        <f t="shared" si="90"/>
        <v>0</v>
      </c>
      <c r="O468" s="317">
        <f t="shared" si="90"/>
        <v>0</v>
      </c>
      <c r="P468" s="317">
        <f t="shared" si="90"/>
        <v>0</v>
      </c>
      <c r="Q468" s="317">
        <f t="shared" si="90"/>
        <v>0</v>
      </c>
      <c r="R468" s="317">
        <f t="shared" si="90"/>
        <v>0</v>
      </c>
      <c r="S468" s="317">
        <f t="shared" si="90"/>
        <v>0</v>
      </c>
      <c r="T468" s="317">
        <f t="shared" si="89"/>
        <v>0</v>
      </c>
      <c r="U468" s="317">
        <f t="shared" si="89"/>
        <v>0</v>
      </c>
      <c r="V468" s="317">
        <f t="shared" si="89"/>
        <v>0</v>
      </c>
      <c r="W468" s="317">
        <f t="shared" si="89"/>
        <v>0</v>
      </c>
      <c r="X468" s="317">
        <f t="shared" si="89"/>
        <v>0</v>
      </c>
      <c r="Y468" s="317">
        <f t="shared" si="89"/>
        <v>0</v>
      </c>
      <c r="Z468" s="317">
        <f t="shared" si="89"/>
        <v>0</v>
      </c>
      <c r="AA468" s="317">
        <f t="shared" si="89"/>
        <v>0</v>
      </c>
      <c r="AB468" s="317">
        <f t="shared" si="89"/>
        <v>0</v>
      </c>
      <c r="AC468" s="317">
        <f t="shared" si="89"/>
        <v>0</v>
      </c>
      <c r="AD468" s="317">
        <f t="shared" si="89"/>
        <v>0</v>
      </c>
      <c r="AE468" s="318">
        <f t="shared" si="89"/>
        <v>0</v>
      </c>
    </row>
    <row r="469" spans="1:31">
      <c r="A469" s="1711"/>
      <c r="B469" s="116">
        <v>4</v>
      </c>
      <c r="C469" s="316">
        <f>'CAR SEC'!W7</f>
        <v>2.6909137931034479</v>
      </c>
      <c r="D469" s="317">
        <f t="shared" si="90"/>
        <v>2.7674799999999999</v>
      </c>
      <c r="E469" s="317">
        <f t="shared" si="90"/>
        <v>2.4456799999999999</v>
      </c>
      <c r="F469" s="317">
        <f t="shared" si="90"/>
        <v>2.4456799999999999</v>
      </c>
      <c r="G469" s="317">
        <f t="shared" si="90"/>
        <v>2.4456799999999999</v>
      </c>
      <c r="H469" s="317">
        <f t="shared" si="90"/>
        <v>0</v>
      </c>
      <c r="I469" s="317">
        <f t="shared" si="90"/>
        <v>0</v>
      </c>
      <c r="J469" s="317">
        <f t="shared" si="90"/>
        <v>0</v>
      </c>
      <c r="K469" s="317">
        <f t="shared" si="90"/>
        <v>0</v>
      </c>
      <c r="L469" s="317">
        <f t="shared" si="90"/>
        <v>0</v>
      </c>
      <c r="M469" s="317">
        <f t="shared" si="90"/>
        <v>0</v>
      </c>
      <c r="N469" s="317">
        <f t="shared" si="90"/>
        <v>0</v>
      </c>
      <c r="O469" s="317">
        <f t="shared" si="90"/>
        <v>0</v>
      </c>
      <c r="P469" s="317">
        <f t="shared" si="90"/>
        <v>0</v>
      </c>
      <c r="Q469" s="317">
        <f t="shared" si="90"/>
        <v>0</v>
      </c>
      <c r="R469" s="317">
        <f t="shared" si="90"/>
        <v>0</v>
      </c>
      <c r="S469" s="317">
        <f t="shared" si="90"/>
        <v>0</v>
      </c>
      <c r="T469" s="317">
        <f t="shared" si="89"/>
        <v>0</v>
      </c>
      <c r="U469" s="317">
        <f t="shared" si="89"/>
        <v>0</v>
      </c>
      <c r="V469" s="317">
        <f t="shared" si="89"/>
        <v>0</v>
      </c>
      <c r="W469" s="317">
        <f t="shared" si="89"/>
        <v>0</v>
      </c>
      <c r="X469" s="317">
        <f t="shared" si="89"/>
        <v>0</v>
      </c>
      <c r="Y469" s="317">
        <f t="shared" si="89"/>
        <v>0</v>
      </c>
      <c r="Z469" s="317">
        <f t="shared" si="89"/>
        <v>0</v>
      </c>
      <c r="AA469" s="317">
        <f t="shared" si="89"/>
        <v>0</v>
      </c>
      <c r="AB469" s="317">
        <f t="shared" si="89"/>
        <v>0</v>
      </c>
      <c r="AC469" s="317">
        <f t="shared" si="89"/>
        <v>0</v>
      </c>
      <c r="AD469" s="317">
        <f t="shared" si="89"/>
        <v>0</v>
      </c>
      <c r="AE469" s="318">
        <f t="shared" si="89"/>
        <v>0</v>
      </c>
    </row>
    <row r="470" spans="1:31">
      <c r="A470" s="1711"/>
      <c r="B470" s="116">
        <v>5</v>
      </c>
      <c r="C470" s="316">
        <f>'CAR SEC'!W8</f>
        <v>2.7010285883536023</v>
      </c>
      <c r="D470" s="317">
        <f t="shared" si="90"/>
        <v>2.6909137931034479</v>
      </c>
      <c r="E470" s="317">
        <f t="shared" si="90"/>
        <v>2.7674799999999999</v>
      </c>
      <c r="F470" s="317">
        <f t="shared" si="90"/>
        <v>2.4456799999999999</v>
      </c>
      <c r="G470" s="317">
        <f t="shared" si="90"/>
        <v>2.4456799999999999</v>
      </c>
      <c r="H470" s="317">
        <f t="shared" si="90"/>
        <v>2.4456799999999999</v>
      </c>
      <c r="I470" s="317">
        <f t="shared" si="90"/>
        <v>0</v>
      </c>
      <c r="J470" s="317">
        <f t="shared" si="90"/>
        <v>0</v>
      </c>
      <c r="K470" s="317">
        <f t="shared" si="90"/>
        <v>0</v>
      </c>
      <c r="L470" s="317">
        <f t="shared" si="90"/>
        <v>0</v>
      </c>
      <c r="M470" s="317">
        <f t="shared" si="90"/>
        <v>0</v>
      </c>
      <c r="N470" s="317">
        <f t="shared" si="90"/>
        <v>0</v>
      </c>
      <c r="O470" s="317">
        <f t="shared" si="90"/>
        <v>0</v>
      </c>
      <c r="P470" s="317">
        <f t="shared" si="90"/>
        <v>0</v>
      </c>
      <c r="Q470" s="317">
        <f t="shared" si="90"/>
        <v>0</v>
      </c>
      <c r="R470" s="317">
        <f t="shared" si="90"/>
        <v>0</v>
      </c>
      <c r="S470" s="317">
        <f t="shared" si="90"/>
        <v>0</v>
      </c>
      <c r="T470" s="317">
        <f t="shared" si="89"/>
        <v>0</v>
      </c>
      <c r="U470" s="317">
        <f t="shared" si="89"/>
        <v>0</v>
      </c>
      <c r="V470" s="317">
        <f t="shared" si="89"/>
        <v>0</v>
      </c>
      <c r="W470" s="317">
        <f t="shared" si="89"/>
        <v>0</v>
      </c>
      <c r="X470" s="317">
        <f t="shared" si="89"/>
        <v>0</v>
      </c>
      <c r="Y470" s="317">
        <f t="shared" si="89"/>
        <v>0</v>
      </c>
      <c r="Z470" s="317">
        <f t="shared" si="89"/>
        <v>0</v>
      </c>
      <c r="AA470" s="317">
        <f t="shared" si="89"/>
        <v>0</v>
      </c>
      <c r="AB470" s="317">
        <f t="shared" si="89"/>
        <v>0</v>
      </c>
      <c r="AC470" s="317">
        <f t="shared" si="89"/>
        <v>0</v>
      </c>
      <c r="AD470" s="317">
        <f t="shared" si="89"/>
        <v>0</v>
      </c>
      <c r="AE470" s="318">
        <f t="shared" si="89"/>
        <v>0</v>
      </c>
    </row>
    <row r="471" spans="1:31">
      <c r="A471" s="1711"/>
      <c r="B471" s="116">
        <v>6</v>
      </c>
      <c r="C471" s="316">
        <f>'CAR SEC'!W9</f>
        <v>3.0332659351620972</v>
      </c>
      <c r="D471" s="317">
        <f t="shared" si="90"/>
        <v>2.7010285883536023</v>
      </c>
      <c r="E471" s="317">
        <f t="shared" si="90"/>
        <v>2.6909137931034479</v>
      </c>
      <c r="F471" s="317">
        <f t="shared" si="90"/>
        <v>2.7674799999999999</v>
      </c>
      <c r="G471" s="317">
        <f t="shared" si="90"/>
        <v>2.4456799999999999</v>
      </c>
      <c r="H471" s="317">
        <f t="shared" si="90"/>
        <v>2.4456799999999999</v>
      </c>
      <c r="I471" s="317">
        <f t="shared" si="90"/>
        <v>2.4456799999999999</v>
      </c>
      <c r="J471" s="317">
        <f t="shared" si="90"/>
        <v>0</v>
      </c>
      <c r="K471" s="317">
        <f t="shared" si="90"/>
        <v>0</v>
      </c>
      <c r="L471" s="317">
        <f t="shared" si="90"/>
        <v>0</v>
      </c>
      <c r="M471" s="317">
        <f t="shared" si="90"/>
        <v>0</v>
      </c>
      <c r="N471" s="317">
        <f t="shared" si="90"/>
        <v>0</v>
      </c>
      <c r="O471" s="317">
        <f t="shared" si="90"/>
        <v>0</v>
      </c>
      <c r="P471" s="317">
        <f t="shared" si="90"/>
        <v>0</v>
      </c>
      <c r="Q471" s="317">
        <f t="shared" si="90"/>
        <v>0</v>
      </c>
      <c r="R471" s="317">
        <f t="shared" si="90"/>
        <v>0</v>
      </c>
      <c r="S471" s="317">
        <f t="shared" si="90"/>
        <v>0</v>
      </c>
      <c r="T471" s="317">
        <f t="shared" si="89"/>
        <v>0</v>
      </c>
      <c r="U471" s="317">
        <f t="shared" si="89"/>
        <v>0</v>
      </c>
      <c r="V471" s="317">
        <f t="shared" si="89"/>
        <v>0</v>
      </c>
      <c r="W471" s="317">
        <f t="shared" si="89"/>
        <v>0</v>
      </c>
      <c r="X471" s="317">
        <f t="shared" si="89"/>
        <v>0</v>
      </c>
      <c r="Y471" s="317">
        <f t="shared" si="89"/>
        <v>0</v>
      </c>
      <c r="Z471" s="317">
        <f t="shared" si="89"/>
        <v>0</v>
      </c>
      <c r="AA471" s="317">
        <f t="shared" si="89"/>
        <v>0</v>
      </c>
      <c r="AB471" s="317">
        <f t="shared" si="89"/>
        <v>0</v>
      </c>
      <c r="AC471" s="317">
        <f t="shared" si="89"/>
        <v>0</v>
      </c>
      <c r="AD471" s="317">
        <f t="shared" si="89"/>
        <v>0</v>
      </c>
      <c r="AE471" s="318">
        <f t="shared" si="89"/>
        <v>0</v>
      </c>
    </row>
    <row r="472" spans="1:31">
      <c r="A472" s="1711"/>
      <c r="B472" s="116">
        <v>7</v>
      </c>
      <c r="C472" s="316">
        <f>'CAR SEC'!W10</f>
        <v>3.2537555555555548</v>
      </c>
      <c r="D472" s="317">
        <f t="shared" si="90"/>
        <v>3.0332659351620972</v>
      </c>
      <c r="E472" s="317">
        <f t="shared" si="90"/>
        <v>2.7010285883536023</v>
      </c>
      <c r="F472" s="317">
        <f t="shared" si="90"/>
        <v>2.6909137931034479</v>
      </c>
      <c r="G472" s="317">
        <f t="shared" si="90"/>
        <v>2.7674799999999999</v>
      </c>
      <c r="H472" s="317">
        <f t="shared" si="90"/>
        <v>2.4456799999999999</v>
      </c>
      <c r="I472" s="317">
        <f t="shared" si="90"/>
        <v>2.4456799999999999</v>
      </c>
      <c r="J472" s="317">
        <f t="shared" si="90"/>
        <v>2.4456799999999999</v>
      </c>
      <c r="K472" s="317">
        <f t="shared" si="90"/>
        <v>0</v>
      </c>
      <c r="L472" s="317">
        <f t="shared" si="90"/>
        <v>0</v>
      </c>
      <c r="M472" s="317">
        <f t="shared" si="90"/>
        <v>0</v>
      </c>
      <c r="N472" s="317">
        <f t="shared" si="90"/>
        <v>0</v>
      </c>
      <c r="O472" s="317">
        <f t="shared" si="90"/>
        <v>0</v>
      </c>
      <c r="P472" s="317">
        <f t="shared" si="90"/>
        <v>0</v>
      </c>
      <c r="Q472" s="317">
        <f t="shared" si="90"/>
        <v>0</v>
      </c>
      <c r="R472" s="317">
        <f t="shared" si="90"/>
        <v>0</v>
      </c>
      <c r="S472" s="317">
        <f t="shared" si="90"/>
        <v>0</v>
      </c>
      <c r="T472" s="317">
        <f t="shared" si="89"/>
        <v>0</v>
      </c>
      <c r="U472" s="317">
        <f t="shared" si="89"/>
        <v>0</v>
      </c>
      <c r="V472" s="317">
        <f t="shared" si="89"/>
        <v>0</v>
      </c>
      <c r="W472" s="317">
        <f t="shared" si="89"/>
        <v>0</v>
      </c>
      <c r="X472" s="317">
        <f t="shared" si="89"/>
        <v>0</v>
      </c>
      <c r="Y472" s="317">
        <f t="shared" si="89"/>
        <v>0</v>
      </c>
      <c r="Z472" s="317">
        <f t="shared" si="89"/>
        <v>0</v>
      </c>
      <c r="AA472" s="317">
        <f t="shared" si="89"/>
        <v>0</v>
      </c>
      <c r="AB472" s="317">
        <f t="shared" si="89"/>
        <v>0</v>
      </c>
      <c r="AC472" s="317">
        <f t="shared" si="89"/>
        <v>0</v>
      </c>
      <c r="AD472" s="317">
        <f t="shared" si="89"/>
        <v>0</v>
      </c>
      <c r="AE472" s="318">
        <f t="shared" si="89"/>
        <v>0</v>
      </c>
    </row>
    <row r="473" spans="1:31">
      <c r="A473" s="1711"/>
      <c r="B473" s="116">
        <v>8</v>
      </c>
      <c r="C473" s="316">
        <f>'CAR SEC'!W11</f>
        <v>3.2537555555555548</v>
      </c>
      <c r="D473" s="317">
        <f t="shared" si="90"/>
        <v>3.2537555555555548</v>
      </c>
      <c r="E473" s="317">
        <f t="shared" si="90"/>
        <v>3.0332659351620972</v>
      </c>
      <c r="F473" s="317">
        <f t="shared" si="90"/>
        <v>2.7010285883536023</v>
      </c>
      <c r="G473" s="317">
        <f t="shared" si="90"/>
        <v>2.6909137931034479</v>
      </c>
      <c r="H473" s="317">
        <f t="shared" si="90"/>
        <v>2.7674799999999999</v>
      </c>
      <c r="I473" s="317">
        <f t="shared" si="90"/>
        <v>2.4456799999999999</v>
      </c>
      <c r="J473" s="317">
        <f t="shared" si="90"/>
        <v>2.4456799999999999</v>
      </c>
      <c r="K473" s="317">
        <f t="shared" si="90"/>
        <v>2.4456799999999999</v>
      </c>
      <c r="L473" s="317">
        <f t="shared" si="90"/>
        <v>0</v>
      </c>
      <c r="M473" s="317">
        <f t="shared" si="90"/>
        <v>0</v>
      </c>
      <c r="N473" s="317">
        <f t="shared" si="90"/>
        <v>0</v>
      </c>
      <c r="O473" s="317">
        <f t="shared" si="90"/>
        <v>0</v>
      </c>
      <c r="P473" s="317">
        <f t="shared" si="90"/>
        <v>0</v>
      </c>
      <c r="Q473" s="317">
        <f t="shared" si="90"/>
        <v>0</v>
      </c>
      <c r="R473" s="317">
        <f t="shared" si="90"/>
        <v>0</v>
      </c>
      <c r="S473" s="317">
        <f t="shared" si="90"/>
        <v>0</v>
      </c>
      <c r="T473" s="317">
        <f t="shared" si="89"/>
        <v>0</v>
      </c>
      <c r="U473" s="317">
        <f t="shared" si="89"/>
        <v>0</v>
      </c>
      <c r="V473" s="317">
        <f t="shared" si="89"/>
        <v>0</v>
      </c>
      <c r="W473" s="317">
        <f t="shared" si="89"/>
        <v>0</v>
      </c>
      <c r="X473" s="317">
        <f t="shared" si="89"/>
        <v>0</v>
      </c>
      <c r="Y473" s="317">
        <f t="shared" si="89"/>
        <v>0</v>
      </c>
      <c r="Z473" s="317">
        <f t="shared" si="89"/>
        <v>0</v>
      </c>
      <c r="AA473" s="317">
        <f t="shared" si="89"/>
        <v>0</v>
      </c>
      <c r="AB473" s="317">
        <f t="shared" si="89"/>
        <v>0</v>
      </c>
      <c r="AC473" s="317">
        <f t="shared" si="89"/>
        <v>0</v>
      </c>
      <c r="AD473" s="317">
        <f t="shared" si="89"/>
        <v>0</v>
      </c>
      <c r="AE473" s="318">
        <f t="shared" si="89"/>
        <v>0</v>
      </c>
    </row>
    <row r="474" spans="1:31">
      <c r="A474" s="1711"/>
      <c r="B474" s="116">
        <v>9</v>
      </c>
      <c r="C474" s="316">
        <f>'CAR SEC'!W12</f>
        <v>3.2537555555555548</v>
      </c>
      <c r="D474" s="317">
        <f t="shared" si="90"/>
        <v>3.2537555555555548</v>
      </c>
      <c r="E474" s="317">
        <f t="shared" si="90"/>
        <v>3.2537555555555548</v>
      </c>
      <c r="F474" s="317">
        <f t="shared" si="90"/>
        <v>3.0332659351620972</v>
      </c>
      <c r="G474" s="317">
        <f t="shared" si="90"/>
        <v>2.7010285883536023</v>
      </c>
      <c r="H474" s="317">
        <f t="shared" si="90"/>
        <v>2.6909137931034479</v>
      </c>
      <c r="I474" s="317">
        <f t="shared" si="90"/>
        <v>2.7674799999999999</v>
      </c>
      <c r="J474" s="317">
        <f t="shared" si="90"/>
        <v>2.4456799999999999</v>
      </c>
      <c r="K474" s="317">
        <f t="shared" si="90"/>
        <v>2.4456799999999999</v>
      </c>
      <c r="L474" s="317">
        <f t="shared" si="90"/>
        <v>2.4456799999999999</v>
      </c>
      <c r="M474" s="317">
        <f t="shared" si="90"/>
        <v>0</v>
      </c>
      <c r="N474" s="317">
        <f t="shared" si="90"/>
        <v>0</v>
      </c>
      <c r="O474" s="317">
        <f t="shared" si="90"/>
        <v>0</v>
      </c>
      <c r="P474" s="317">
        <f t="shared" si="90"/>
        <v>0</v>
      </c>
      <c r="Q474" s="317">
        <f t="shared" si="90"/>
        <v>0</v>
      </c>
      <c r="R474" s="317">
        <f t="shared" si="90"/>
        <v>0</v>
      </c>
      <c r="S474" s="317">
        <f t="shared" si="90"/>
        <v>0</v>
      </c>
      <c r="T474" s="317">
        <f t="shared" si="89"/>
        <v>0</v>
      </c>
      <c r="U474" s="317">
        <f t="shared" si="89"/>
        <v>0</v>
      </c>
      <c r="V474" s="317">
        <f t="shared" si="89"/>
        <v>0</v>
      </c>
      <c r="W474" s="317">
        <f t="shared" si="89"/>
        <v>0</v>
      </c>
      <c r="X474" s="317">
        <f t="shared" si="89"/>
        <v>0</v>
      </c>
      <c r="Y474" s="317">
        <f t="shared" si="89"/>
        <v>0</v>
      </c>
      <c r="Z474" s="317">
        <f t="shared" si="89"/>
        <v>0</v>
      </c>
      <c r="AA474" s="317">
        <f t="shared" si="89"/>
        <v>0</v>
      </c>
      <c r="AB474" s="317">
        <f t="shared" si="89"/>
        <v>0</v>
      </c>
      <c r="AC474" s="317">
        <f t="shared" si="89"/>
        <v>0</v>
      </c>
      <c r="AD474" s="317">
        <f t="shared" si="89"/>
        <v>0</v>
      </c>
      <c r="AE474" s="318">
        <f t="shared" si="89"/>
        <v>0</v>
      </c>
    </row>
    <row r="475" spans="1:31">
      <c r="A475" s="1711"/>
      <c r="B475" s="116">
        <v>10</v>
      </c>
      <c r="C475" s="316">
        <f>'CAR SEC'!W13</f>
        <v>3.2537555555555548</v>
      </c>
      <c r="D475" s="317">
        <f t="shared" si="90"/>
        <v>3.2537555555555548</v>
      </c>
      <c r="E475" s="317">
        <f t="shared" si="90"/>
        <v>3.2537555555555548</v>
      </c>
      <c r="F475" s="317">
        <f t="shared" si="90"/>
        <v>3.2537555555555548</v>
      </c>
      <c r="G475" s="317">
        <f t="shared" si="90"/>
        <v>3.0332659351620972</v>
      </c>
      <c r="H475" s="317">
        <f t="shared" si="90"/>
        <v>2.7010285883536023</v>
      </c>
      <c r="I475" s="317">
        <f t="shared" si="90"/>
        <v>2.6909137931034479</v>
      </c>
      <c r="J475" s="317">
        <f t="shared" si="90"/>
        <v>2.7674799999999999</v>
      </c>
      <c r="K475" s="317">
        <f t="shared" si="90"/>
        <v>2.4456799999999999</v>
      </c>
      <c r="L475" s="317">
        <f t="shared" si="90"/>
        <v>2.4456799999999999</v>
      </c>
      <c r="M475" s="317">
        <f t="shared" si="90"/>
        <v>2.4456799999999999</v>
      </c>
      <c r="N475" s="317">
        <f t="shared" si="90"/>
        <v>0</v>
      </c>
      <c r="O475" s="317">
        <f t="shared" si="90"/>
        <v>0</v>
      </c>
      <c r="P475" s="317">
        <f t="shared" si="90"/>
        <v>0</v>
      </c>
      <c r="Q475" s="317">
        <f t="shared" si="90"/>
        <v>0</v>
      </c>
      <c r="R475" s="317">
        <f t="shared" si="90"/>
        <v>0</v>
      </c>
      <c r="S475" s="317">
        <f t="shared" si="90"/>
        <v>0</v>
      </c>
      <c r="T475" s="317">
        <f t="shared" si="89"/>
        <v>0</v>
      </c>
      <c r="U475" s="317">
        <f t="shared" si="89"/>
        <v>0</v>
      </c>
      <c r="V475" s="317">
        <f t="shared" si="89"/>
        <v>0</v>
      </c>
      <c r="W475" s="317">
        <f t="shared" si="89"/>
        <v>0</v>
      </c>
      <c r="X475" s="317">
        <f t="shared" si="89"/>
        <v>0</v>
      </c>
      <c r="Y475" s="317">
        <f t="shared" si="89"/>
        <v>0</v>
      </c>
      <c r="Z475" s="317">
        <f t="shared" si="89"/>
        <v>0</v>
      </c>
      <c r="AA475" s="317">
        <f t="shared" si="89"/>
        <v>0</v>
      </c>
      <c r="AB475" s="317">
        <f t="shared" si="89"/>
        <v>0</v>
      </c>
      <c r="AC475" s="317">
        <f t="shared" si="89"/>
        <v>0</v>
      </c>
      <c r="AD475" s="317">
        <f t="shared" si="89"/>
        <v>0</v>
      </c>
      <c r="AE475" s="318">
        <f t="shared" si="89"/>
        <v>0</v>
      </c>
    </row>
    <row r="476" spans="1:31">
      <c r="A476" s="1711"/>
      <c r="B476" s="116">
        <v>11</v>
      </c>
      <c r="C476" s="316">
        <f>'CAR SEC'!W14</f>
        <v>3.2537555555555548</v>
      </c>
      <c r="D476" s="317">
        <f t="shared" si="90"/>
        <v>3.2537555555555548</v>
      </c>
      <c r="E476" s="317">
        <f t="shared" si="90"/>
        <v>3.2537555555555548</v>
      </c>
      <c r="F476" s="317">
        <f t="shared" si="90"/>
        <v>3.2537555555555548</v>
      </c>
      <c r="G476" s="317">
        <f t="shared" si="90"/>
        <v>3.2537555555555548</v>
      </c>
      <c r="H476" s="317">
        <f t="shared" si="90"/>
        <v>3.0332659351620972</v>
      </c>
      <c r="I476" s="317">
        <f t="shared" si="90"/>
        <v>2.7010285883536023</v>
      </c>
      <c r="J476" s="317">
        <f t="shared" si="90"/>
        <v>2.6909137931034479</v>
      </c>
      <c r="K476" s="317">
        <f t="shared" si="90"/>
        <v>2.7674799999999999</v>
      </c>
      <c r="L476" s="317">
        <f t="shared" si="90"/>
        <v>2.4456799999999999</v>
      </c>
      <c r="M476" s="317">
        <f t="shared" si="90"/>
        <v>2.4456799999999999</v>
      </c>
      <c r="N476" s="317">
        <f t="shared" si="90"/>
        <v>2.4456799999999999</v>
      </c>
      <c r="O476" s="317">
        <f t="shared" si="90"/>
        <v>0</v>
      </c>
      <c r="P476" s="317">
        <f t="shared" si="90"/>
        <v>0</v>
      </c>
      <c r="Q476" s="317">
        <f t="shared" si="90"/>
        <v>0</v>
      </c>
      <c r="R476" s="317">
        <f t="shared" si="90"/>
        <v>0</v>
      </c>
      <c r="S476" s="317">
        <f t="shared" si="90"/>
        <v>0</v>
      </c>
      <c r="T476" s="317">
        <f t="shared" si="89"/>
        <v>0</v>
      </c>
      <c r="U476" s="317">
        <f t="shared" si="89"/>
        <v>0</v>
      </c>
      <c r="V476" s="317">
        <f t="shared" si="89"/>
        <v>0</v>
      </c>
      <c r="W476" s="317">
        <f t="shared" si="89"/>
        <v>0</v>
      </c>
      <c r="X476" s="317">
        <f t="shared" si="89"/>
        <v>0</v>
      </c>
      <c r="Y476" s="317">
        <f t="shared" si="89"/>
        <v>0</v>
      </c>
      <c r="Z476" s="317">
        <f t="shared" si="89"/>
        <v>0</v>
      </c>
      <c r="AA476" s="317">
        <f t="shared" si="89"/>
        <v>0</v>
      </c>
      <c r="AB476" s="317">
        <f t="shared" si="89"/>
        <v>0</v>
      </c>
      <c r="AC476" s="317">
        <f t="shared" si="89"/>
        <v>0</v>
      </c>
      <c r="AD476" s="317">
        <f t="shared" si="89"/>
        <v>0</v>
      </c>
      <c r="AE476" s="318">
        <f t="shared" si="89"/>
        <v>0</v>
      </c>
    </row>
    <row r="477" spans="1:31">
      <c r="A477" s="1711"/>
      <c r="B477" s="116">
        <v>12</v>
      </c>
      <c r="C477" s="316">
        <f>'CAR SEC'!W15</f>
        <v>3.2537555555555548</v>
      </c>
      <c r="D477" s="317">
        <f t="shared" si="90"/>
        <v>3.2537555555555548</v>
      </c>
      <c r="E477" s="317">
        <f t="shared" si="90"/>
        <v>3.2537555555555548</v>
      </c>
      <c r="F477" s="317">
        <f t="shared" si="90"/>
        <v>3.2537555555555548</v>
      </c>
      <c r="G477" s="317">
        <f t="shared" si="90"/>
        <v>3.2537555555555548</v>
      </c>
      <c r="H477" s="317">
        <f t="shared" si="90"/>
        <v>3.2537555555555548</v>
      </c>
      <c r="I477" s="317">
        <f t="shared" si="90"/>
        <v>3.0332659351620972</v>
      </c>
      <c r="J477" s="317">
        <f t="shared" si="90"/>
        <v>2.7010285883536023</v>
      </c>
      <c r="K477" s="317">
        <f t="shared" si="90"/>
        <v>2.6909137931034479</v>
      </c>
      <c r="L477" s="317">
        <f t="shared" si="90"/>
        <v>2.7674799999999999</v>
      </c>
      <c r="M477" s="317">
        <f t="shared" si="90"/>
        <v>2.4456799999999999</v>
      </c>
      <c r="N477" s="317">
        <f t="shared" si="90"/>
        <v>2.4456799999999999</v>
      </c>
      <c r="O477" s="317">
        <f t="shared" si="90"/>
        <v>2.4456799999999999</v>
      </c>
      <c r="P477" s="317">
        <f t="shared" si="90"/>
        <v>0</v>
      </c>
      <c r="Q477" s="317">
        <f t="shared" si="90"/>
        <v>0</v>
      </c>
      <c r="R477" s="317">
        <f t="shared" si="90"/>
        <v>0</v>
      </c>
      <c r="S477" s="317">
        <f t="shared" si="90"/>
        <v>0</v>
      </c>
      <c r="T477" s="317">
        <f t="shared" si="89"/>
        <v>0</v>
      </c>
      <c r="U477" s="317">
        <f t="shared" si="89"/>
        <v>0</v>
      </c>
      <c r="V477" s="317">
        <f t="shared" si="89"/>
        <v>0</v>
      </c>
      <c r="W477" s="317">
        <f t="shared" si="89"/>
        <v>0</v>
      </c>
      <c r="X477" s="317">
        <f t="shared" si="89"/>
        <v>0</v>
      </c>
      <c r="Y477" s="317">
        <f t="shared" si="89"/>
        <v>0</v>
      </c>
      <c r="Z477" s="317">
        <f t="shared" si="89"/>
        <v>0</v>
      </c>
      <c r="AA477" s="317">
        <f t="shared" si="89"/>
        <v>0</v>
      </c>
      <c r="AB477" s="317">
        <f t="shared" si="89"/>
        <v>0</v>
      </c>
      <c r="AC477" s="317">
        <f t="shared" si="89"/>
        <v>0</v>
      </c>
      <c r="AD477" s="317">
        <f t="shared" si="89"/>
        <v>0</v>
      </c>
      <c r="AE477" s="318">
        <f t="shared" si="89"/>
        <v>0</v>
      </c>
    </row>
    <row r="478" spans="1:31">
      <c r="A478" s="1711"/>
      <c r="B478" s="116">
        <v>13</v>
      </c>
      <c r="C478" s="316">
        <f>'CAR SEC'!W16</f>
        <v>3.2537555555555548</v>
      </c>
      <c r="D478" s="317">
        <f t="shared" si="90"/>
        <v>3.2537555555555548</v>
      </c>
      <c r="E478" s="317">
        <f t="shared" si="90"/>
        <v>3.2537555555555548</v>
      </c>
      <c r="F478" s="317">
        <f t="shared" si="90"/>
        <v>3.2537555555555548</v>
      </c>
      <c r="G478" s="317">
        <f t="shared" si="90"/>
        <v>3.2537555555555548</v>
      </c>
      <c r="H478" s="317">
        <f t="shared" si="90"/>
        <v>3.2537555555555548</v>
      </c>
      <c r="I478" s="317">
        <f t="shared" si="90"/>
        <v>3.2537555555555548</v>
      </c>
      <c r="J478" s="317">
        <f t="shared" si="90"/>
        <v>3.0332659351620972</v>
      </c>
      <c r="K478" s="317">
        <f t="shared" si="90"/>
        <v>2.7010285883536023</v>
      </c>
      <c r="L478" s="317">
        <f t="shared" si="90"/>
        <v>2.6909137931034479</v>
      </c>
      <c r="M478" s="317">
        <f t="shared" si="90"/>
        <v>2.7674799999999999</v>
      </c>
      <c r="N478" s="317">
        <f t="shared" si="90"/>
        <v>2.4456799999999999</v>
      </c>
      <c r="O478" s="317">
        <f t="shared" si="90"/>
        <v>2.4456799999999999</v>
      </c>
      <c r="P478" s="317">
        <f t="shared" si="90"/>
        <v>2.4456799999999999</v>
      </c>
      <c r="Q478" s="317">
        <f t="shared" si="90"/>
        <v>0</v>
      </c>
      <c r="R478" s="317">
        <f t="shared" si="90"/>
        <v>0</v>
      </c>
      <c r="S478" s="317">
        <f t="shared" si="90"/>
        <v>0</v>
      </c>
      <c r="T478" s="317">
        <f t="shared" si="89"/>
        <v>0</v>
      </c>
      <c r="U478" s="317">
        <f t="shared" si="89"/>
        <v>0</v>
      </c>
      <c r="V478" s="317">
        <f t="shared" si="89"/>
        <v>0</v>
      </c>
      <c r="W478" s="317">
        <f t="shared" si="89"/>
        <v>0</v>
      </c>
      <c r="X478" s="317">
        <f t="shared" si="89"/>
        <v>0</v>
      </c>
      <c r="Y478" s="317">
        <f t="shared" si="89"/>
        <v>0</v>
      </c>
      <c r="Z478" s="317">
        <f t="shared" si="89"/>
        <v>0</v>
      </c>
      <c r="AA478" s="317">
        <f t="shared" si="89"/>
        <v>0</v>
      </c>
      <c r="AB478" s="317">
        <f t="shared" si="89"/>
        <v>0</v>
      </c>
      <c r="AC478" s="317">
        <f t="shared" si="89"/>
        <v>0</v>
      </c>
      <c r="AD478" s="317">
        <f t="shared" si="89"/>
        <v>0</v>
      </c>
      <c r="AE478" s="318">
        <f t="shared" si="89"/>
        <v>0</v>
      </c>
    </row>
    <row r="479" spans="1:31">
      <c r="A479" s="1711"/>
      <c r="B479" s="116">
        <v>14</v>
      </c>
      <c r="C479" s="316">
        <f>'CAR SEC'!W17</f>
        <v>3.2537555555555548</v>
      </c>
      <c r="D479" s="317">
        <f t="shared" si="90"/>
        <v>3.2537555555555548</v>
      </c>
      <c r="E479" s="317">
        <f t="shared" si="90"/>
        <v>3.2537555555555548</v>
      </c>
      <c r="F479" s="317">
        <f t="shared" si="90"/>
        <v>3.2537555555555548</v>
      </c>
      <c r="G479" s="317">
        <f t="shared" si="90"/>
        <v>3.2537555555555548</v>
      </c>
      <c r="H479" s="317">
        <f t="shared" si="90"/>
        <v>3.2537555555555548</v>
      </c>
      <c r="I479" s="317">
        <f t="shared" si="90"/>
        <v>3.2537555555555548</v>
      </c>
      <c r="J479" s="317">
        <f t="shared" si="90"/>
        <v>3.2537555555555548</v>
      </c>
      <c r="K479" s="317">
        <f t="shared" si="90"/>
        <v>3.0332659351620972</v>
      </c>
      <c r="L479" s="317">
        <f t="shared" si="90"/>
        <v>2.7010285883536023</v>
      </c>
      <c r="M479" s="317">
        <f t="shared" si="90"/>
        <v>2.6909137931034479</v>
      </c>
      <c r="N479" s="317">
        <f t="shared" si="90"/>
        <v>2.7674799999999999</v>
      </c>
      <c r="O479" s="317">
        <f t="shared" si="90"/>
        <v>2.4456799999999999</v>
      </c>
      <c r="P479" s="317">
        <f t="shared" si="90"/>
        <v>2.4456799999999999</v>
      </c>
      <c r="Q479" s="317">
        <f t="shared" si="90"/>
        <v>2.4456799999999999</v>
      </c>
      <c r="R479" s="317">
        <f t="shared" si="90"/>
        <v>0</v>
      </c>
      <c r="S479" s="317">
        <f t="shared" si="90"/>
        <v>0</v>
      </c>
      <c r="T479" s="317">
        <f t="shared" si="89"/>
        <v>0</v>
      </c>
      <c r="U479" s="317">
        <f t="shared" si="89"/>
        <v>0</v>
      </c>
      <c r="V479" s="317">
        <f t="shared" si="89"/>
        <v>0</v>
      </c>
      <c r="W479" s="317">
        <f t="shared" si="89"/>
        <v>0</v>
      </c>
      <c r="X479" s="317">
        <f t="shared" si="89"/>
        <v>0</v>
      </c>
      <c r="Y479" s="317">
        <f t="shared" si="89"/>
        <v>0</v>
      </c>
      <c r="Z479" s="317">
        <f t="shared" si="89"/>
        <v>0</v>
      </c>
      <c r="AA479" s="317">
        <f t="shared" si="89"/>
        <v>0</v>
      </c>
      <c r="AB479" s="317">
        <f t="shared" si="89"/>
        <v>0</v>
      </c>
      <c r="AC479" s="317">
        <f t="shared" si="89"/>
        <v>0</v>
      </c>
      <c r="AD479" s="317">
        <f t="shared" si="89"/>
        <v>0</v>
      </c>
      <c r="AE479" s="318">
        <f t="shared" si="89"/>
        <v>0</v>
      </c>
    </row>
    <row r="480" spans="1:31">
      <c r="A480" s="1711"/>
      <c r="B480" s="116">
        <v>15</v>
      </c>
      <c r="C480" s="316">
        <f>'CAR SEC'!W18</f>
        <v>3.2537555555555548</v>
      </c>
      <c r="D480" s="317">
        <f t="shared" si="90"/>
        <v>3.2537555555555548</v>
      </c>
      <c r="E480" s="317">
        <f t="shared" si="90"/>
        <v>3.2537555555555548</v>
      </c>
      <c r="F480" s="317">
        <f t="shared" si="90"/>
        <v>3.2537555555555548</v>
      </c>
      <c r="G480" s="317">
        <f t="shared" si="90"/>
        <v>3.2537555555555548</v>
      </c>
      <c r="H480" s="317">
        <f t="shared" si="90"/>
        <v>3.2537555555555548</v>
      </c>
      <c r="I480" s="317">
        <f t="shared" si="90"/>
        <v>3.2537555555555548</v>
      </c>
      <c r="J480" s="317">
        <f t="shared" si="90"/>
        <v>3.2537555555555548</v>
      </c>
      <c r="K480" s="317">
        <f t="shared" si="90"/>
        <v>3.2537555555555548</v>
      </c>
      <c r="L480" s="317">
        <f t="shared" si="90"/>
        <v>3.0332659351620972</v>
      </c>
      <c r="M480" s="317">
        <f t="shared" si="90"/>
        <v>2.7010285883536023</v>
      </c>
      <c r="N480" s="317">
        <f t="shared" si="90"/>
        <v>2.6909137931034479</v>
      </c>
      <c r="O480" s="317">
        <f t="shared" si="90"/>
        <v>2.7674799999999999</v>
      </c>
      <c r="P480" s="317">
        <f t="shared" si="90"/>
        <v>2.4456799999999999</v>
      </c>
      <c r="Q480" s="317">
        <f t="shared" si="90"/>
        <v>2.4456799999999999</v>
      </c>
      <c r="R480" s="317">
        <f t="shared" si="90"/>
        <v>2.4456799999999999</v>
      </c>
      <c r="S480" s="317">
        <f t="shared" si="90"/>
        <v>0</v>
      </c>
      <c r="T480" s="317">
        <f t="shared" si="89"/>
        <v>0</v>
      </c>
      <c r="U480" s="317">
        <f t="shared" si="89"/>
        <v>0</v>
      </c>
      <c r="V480" s="317">
        <f t="shared" si="89"/>
        <v>0</v>
      </c>
      <c r="W480" s="317">
        <f t="shared" si="89"/>
        <v>0</v>
      </c>
      <c r="X480" s="317">
        <f t="shared" si="89"/>
        <v>0</v>
      </c>
      <c r="Y480" s="317">
        <f t="shared" si="89"/>
        <v>0</v>
      </c>
      <c r="Z480" s="317">
        <f t="shared" si="89"/>
        <v>0</v>
      </c>
      <c r="AA480" s="317">
        <f t="shared" si="89"/>
        <v>0</v>
      </c>
      <c r="AB480" s="317">
        <f t="shared" si="89"/>
        <v>0</v>
      </c>
      <c r="AC480" s="317">
        <f t="shared" si="89"/>
        <v>0</v>
      </c>
      <c r="AD480" s="317">
        <f t="shared" si="89"/>
        <v>0</v>
      </c>
      <c r="AE480" s="318">
        <f t="shared" si="89"/>
        <v>0</v>
      </c>
    </row>
    <row r="481" spans="1:31">
      <c r="A481" s="1711"/>
      <c r="B481" s="116">
        <v>16</v>
      </c>
      <c r="C481" s="316">
        <f>'CAR SEC'!W19</f>
        <v>3.2537555555555548</v>
      </c>
      <c r="D481" s="317">
        <f t="shared" si="90"/>
        <v>3.2537555555555548</v>
      </c>
      <c r="E481" s="317">
        <f t="shared" si="90"/>
        <v>3.2537555555555548</v>
      </c>
      <c r="F481" s="317">
        <f t="shared" si="90"/>
        <v>3.2537555555555548</v>
      </c>
      <c r="G481" s="317">
        <f t="shared" si="90"/>
        <v>3.2537555555555548</v>
      </c>
      <c r="H481" s="317">
        <f t="shared" si="90"/>
        <v>3.2537555555555548</v>
      </c>
      <c r="I481" s="317">
        <f t="shared" si="90"/>
        <v>3.2537555555555548</v>
      </c>
      <c r="J481" s="317">
        <f t="shared" si="90"/>
        <v>3.2537555555555548</v>
      </c>
      <c r="K481" s="317">
        <f t="shared" si="90"/>
        <v>3.2537555555555548</v>
      </c>
      <c r="L481" s="317">
        <f t="shared" si="90"/>
        <v>3.2537555555555548</v>
      </c>
      <c r="M481" s="317">
        <f t="shared" si="90"/>
        <v>3.0332659351620972</v>
      </c>
      <c r="N481" s="317">
        <f t="shared" si="90"/>
        <v>2.7010285883536023</v>
      </c>
      <c r="O481" s="317">
        <f t="shared" si="90"/>
        <v>2.6909137931034479</v>
      </c>
      <c r="P481" s="317">
        <f t="shared" si="90"/>
        <v>2.7674799999999999</v>
      </c>
      <c r="Q481" s="317">
        <f t="shared" si="90"/>
        <v>2.4456799999999999</v>
      </c>
      <c r="R481" s="317">
        <f t="shared" si="90"/>
        <v>2.4456799999999999</v>
      </c>
      <c r="S481" s="317">
        <f t="shared" si="90"/>
        <v>2.4456799999999999</v>
      </c>
      <c r="T481" s="317">
        <f t="shared" si="89"/>
        <v>0</v>
      </c>
      <c r="U481" s="317">
        <f t="shared" si="89"/>
        <v>0</v>
      </c>
      <c r="V481" s="317">
        <f t="shared" si="89"/>
        <v>0</v>
      </c>
      <c r="W481" s="317">
        <f t="shared" si="89"/>
        <v>0</v>
      </c>
      <c r="X481" s="317">
        <f t="shared" si="89"/>
        <v>0</v>
      </c>
      <c r="Y481" s="317">
        <f t="shared" si="89"/>
        <v>0</v>
      </c>
      <c r="Z481" s="317">
        <f t="shared" si="89"/>
        <v>0</v>
      </c>
      <c r="AA481" s="317">
        <f t="shared" si="89"/>
        <v>0</v>
      </c>
      <c r="AB481" s="317">
        <f t="shared" si="89"/>
        <v>0</v>
      </c>
      <c r="AC481" s="317">
        <f t="shared" si="89"/>
        <v>0</v>
      </c>
      <c r="AD481" s="317">
        <f t="shared" si="89"/>
        <v>0</v>
      </c>
      <c r="AE481" s="318">
        <f t="shared" si="89"/>
        <v>0</v>
      </c>
    </row>
    <row r="482" spans="1:31">
      <c r="A482" s="1711"/>
      <c r="B482" s="116">
        <v>17</v>
      </c>
      <c r="C482" s="316">
        <f>'CAR SEC'!W20</f>
        <v>3.2537555555555548</v>
      </c>
      <c r="D482" s="317">
        <f t="shared" si="90"/>
        <v>3.2537555555555548</v>
      </c>
      <c r="E482" s="317">
        <f t="shared" si="90"/>
        <v>3.2537555555555548</v>
      </c>
      <c r="F482" s="317">
        <f t="shared" si="90"/>
        <v>3.2537555555555548</v>
      </c>
      <c r="G482" s="317">
        <f t="shared" si="90"/>
        <v>3.2537555555555548</v>
      </c>
      <c r="H482" s="317">
        <f t="shared" si="90"/>
        <v>3.2537555555555548</v>
      </c>
      <c r="I482" s="317">
        <f t="shared" si="90"/>
        <v>3.2537555555555548</v>
      </c>
      <c r="J482" s="317">
        <f t="shared" si="90"/>
        <v>3.2537555555555548</v>
      </c>
      <c r="K482" s="317">
        <f t="shared" si="90"/>
        <v>3.2537555555555548</v>
      </c>
      <c r="L482" s="317">
        <f t="shared" si="90"/>
        <v>3.2537555555555548</v>
      </c>
      <c r="M482" s="317">
        <f t="shared" si="90"/>
        <v>3.2537555555555548</v>
      </c>
      <c r="N482" s="317">
        <f t="shared" si="90"/>
        <v>3.0332659351620972</v>
      </c>
      <c r="O482" s="317">
        <f t="shared" si="90"/>
        <v>2.7010285883536023</v>
      </c>
      <c r="P482" s="317">
        <f t="shared" si="90"/>
        <v>2.6909137931034479</v>
      </c>
      <c r="Q482" s="317">
        <f t="shared" si="90"/>
        <v>2.7674799999999999</v>
      </c>
      <c r="R482" s="317">
        <f t="shared" si="90"/>
        <v>2.4456799999999999</v>
      </c>
      <c r="S482" s="317">
        <f t="shared" ref="S482:AE490" si="91">R481</f>
        <v>2.4456799999999999</v>
      </c>
      <c r="T482" s="317">
        <f t="shared" si="91"/>
        <v>2.4456799999999999</v>
      </c>
      <c r="U482" s="317">
        <f t="shared" si="91"/>
        <v>0</v>
      </c>
      <c r="V482" s="317">
        <f t="shared" si="91"/>
        <v>0</v>
      </c>
      <c r="W482" s="317">
        <f t="shared" si="91"/>
        <v>0</v>
      </c>
      <c r="X482" s="317">
        <f t="shared" si="91"/>
        <v>0</v>
      </c>
      <c r="Y482" s="317">
        <f t="shared" si="91"/>
        <v>0</v>
      </c>
      <c r="Z482" s="317">
        <f t="shared" si="91"/>
        <v>0</v>
      </c>
      <c r="AA482" s="317">
        <f t="shared" si="91"/>
        <v>0</v>
      </c>
      <c r="AB482" s="317">
        <f t="shared" si="91"/>
        <v>0</v>
      </c>
      <c r="AC482" s="317">
        <f t="shared" si="91"/>
        <v>0</v>
      </c>
      <c r="AD482" s="317">
        <f t="shared" si="91"/>
        <v>0</v>
      </c>
      <c r="AE482" s="318">
        <f t="shared" si="91"/>
        <v>0</v>
      </c>
    </row>
    <row r="483" spans="1:31">
      <c r="A483" s="1711"/>
      <c r="B483" s="116">
        <v>18</v>
      </c>
      <c r="C483" s="316">
        <f>'CAR SEC'!W21</f>
        <v>3.2537555555555548</v>
      </c>
      <c r="D483" s="317">
        <f t="shared" ref="D483:S490" si="92">C482</f>
        <v>3.2537555555555548</v>
      </c>
      <c r="E483" s="317">
        <f t="shared" si="92"/>
        <v>3.2537555555555548</v>
      </c>
      <c r="F483" s="317">
        <f t="shared" si="92"/>
        <v>3.2537555555555548</v>
      </c>
      <c r="G483" s="317">
        <f t="shared" si="92"/>
        <v>3.2537555555555548</v>
      </c>
      <c r="H483" s="317">
        <f t="shared" si="92"/>
        <v>3.2537555555555548</v>
      </c>
      <c r="I483" s="317">
        <f t="shared" si="92"/>
        <v>3.2537555555555548</v>
      </c>
      <c r="J483" s="317">
        <f t="shared" si="92"/>
        <v>3.2537555555555548</v>
      </c>
      <c r="K483" s="317">
        <f t="shared" si="92"/>
        <v>3.2537555555555548</v>
      </c>
      <c r="L483" s="317">
        <f t="shared" si="92"/>
        <v>3.2537555555555548</v>
      </c>
      <c r="M483" s="317">
        <f t="shared" si="92"/>
        <v>3.2537555555555548</v>
      </c>
      <c r="N483" s="317">
        <f t="shared" si="92"/>
        <v>3.2537555555555548</v>
      </c>
      <c r="O483" s="317">
        <f t="shared" si="92"/>
        <v>3.0332659351620972</v>
      </c>
      <c r="P483" s="317">
        <f t="shared" si="92"/>
        <v>2.7010285883536023</v>
      </c>
      <c r="Q483" s="317">
        <f t="shared" si="92"/>
        <v>2.6909137931034479</v>
      </c>
      <c r="R483" s="317">
        <f t="shared" si="92"/>
        <v>2.7674799999999999</v>
      </c>
      <c r="S483" s="317">
        <f t="shared" si="92"/>
        <v>2.4456799999999999</v>
      </c>
      <c r="T483" s="317">
        <f t="shared" si="91"/>
        <v>2.4456799999999999</v>
      </c>
      <c r="U483" s="317">
        <f t="shared" si="91"/>
        <v>2.4456799999999999</v>
      </c>
      <c r="V483" s="317">
        <f t="shared" si="91"/>
        <v>0</v>
      </c>
      <c r="W483" s="317">
        <f t="shared" si="91"/>
        <v>0</v>
      </c>
      <c r="X483" s="317">
        <f t="shared" si="91"/>
        <v>0</v>
      </c>
      <c r="Y483" s="317">
        <f t="shared" si="91"/>
        <v>0</v>
      </c>
      <c r="Z483" s="317">
        <f t="shared" si="91"/>
        <v>0</v>
      </c>
      <c r="AA483" s="317">
        <f t="shared" si="91"/>
        <v>0</v>
      </c>
      <c r="AB483" s="317">
        <f t="shared" si="91"/>
        <v>0</v>
      </c>
      <c r="AC483" s="317">
        <f t="shared" si="91"/>
        <v>0</v>
      </c>
      <c r="AD483" s="317">
        <f t="shared" si="91"/>
        <v>0</v>
      </c>
      <c r="AE483" s="318">
        <f t="shared" si="91"/>
        <v>0</v>
      </c>
    </row>
    <row r="484" spans="1:31">
      <c r="A484" s="1711"/>
      <c r="B484" s="116">
        <v>19</v>
      </c>
      <c r="C484" s="316">
        <f>'CAR SEC'!W22</f>
        <v>3.2537555555555548</v>
      </c>
      <c r="D484" s="317">
        <f t="shared" si="92"/>
        <v>3.2537555555555548</v>
      </c>
      <c r="E484" s="317">
        <f t="shared" si="92"/>
        <v>3.2537555555555548</v>
      </c>
      <c r="F484" s="317">
        <f t="shared" si="92"/>
        <v>3.2537555555555548</v>
      </c>
      <c r="G484" s="317">
        <f t="shared" si="92"/>
        <v>3.2537555555555548</v>
      </c>
      <c r="H484" s="317">
        <f t="shared" si="92"/>
        <v>3.2537555555555548</v>
      </c>
      <c r="I484" s="317">
        <f t="shared" si="92"/>
        <v>3.2537555555555548</v>
      </c>
      <c r="J484" s="317">
        <f t="shared" si="92"/>
        <v>3.2537555555555548</v>
      </c>
      <c r="K484" s="317">
        <f t="shared" si="92"/>
        <v>3.2537555555555548</v>
      </c>
      <c r="L484" s="317">
        <f t="shared" si="92"/>
        <v>3.2537555555555548</v>
      </c>
      <c r="M484" s="317">
        <f t="shared" si="92"/>
        <v>3.2537555555555548</v>
      </c>
      <c r="N484" s="317">
        <f t="shared" si="92"/>
        <v>3.2537555555555548</v>
      </c>
      <c r="O484" s="317">
        <f t="shared" si="92"/>
        <v>3.2537555555555548</v>
      </c>
      <c r="P484" s="317">
        <f t="shared" si="92"/>
        <v>3.0332659351620972</v>
      </c>
      <c r="Q484" s="317">
        <f t="shared" si="92"/>
        <v>2.7010285883536023</v>
      </c>
      <c r="R484" s="317">
        <f t="shared" si="92"/>
        <v>2.6909137931034479</v>
      </c>
      <c r="S484" s="317">
        <f t="shared" si="92"/>
        <v>2.7674799999999999</v>
      </c>
      <c r="T484" s="317">
        <f t="shared" si="91"/>
        <v>2.4456799999999999</v>
      </c>
      <c r="U484" s="317">
        <f t="shared" si="91"/>
        <v>2.4456799999999999</v>
      </c>
      <c r="V484" s="317">
        <f t="shared" si="91"/>
        <v>2.4456799999999999</v>
      </c>
      <c r="W484" s="317">
        <f t="shared" si="91"/>
        <v>0</v>
      </c>
      <c r="X484" s="317">
        <f t="shared" si="91"/>
        <v>0</v>
      </c>
      <c r="Y484" s="317">
        <f t="shared" si="91"/>
        <v>0</v>
      </c>
      <c r="Z484" s="317">
        <f t="shared" si="91"/>
        <v>0</v>
      </c>
      <c r="AA484" s="317">
        <f t="shared" si="91"/>
        <v>0</v>
      </c>
      <c r="AB484" s="317">
        <f t="shared" si="91"/>
        <v>0</v>
      </c>
      <c r="AC484" s="317">
        <f t="shared" si="91"/>
        <v>0</v>
      </c>
      <c r="AD484" s="317">
        <f t="shared" si="91"/>
        <v>0</v>
      </c>
      <c r="AE484" s="318">
        <f t="shared" si="91"/>
        <v>0</v>
      </c>
    </row>
    <row r="485" spans="1:31">
      <c r="A485" s="1711"/>
      <c r="B485" s="116">
        <v>20</v>
      </c>
      <c r="C485" s="316">
        <f>'CAR SEC'!W23</f>
        <v>3.2537555555555548</v>
      </c>
      <c r="D485" s="317">
        <f t="shared" si="92"/>
        <v>3.2537555555555548</v>
      </c>
      <c r="E485" s="317">
        <f t="shared" si="92"/>
        <v>3.2537555555555548</v>
      </c>
      <c r="F485" s="317">
        <f t="shared" si="92"/>
        <v>3.2537555555555548</v>
      </c>
      <c r="G485" s="317">
        <f t="shared" si="92"/>
        <v>3.2537555555555548</v>
      </c>
      <c r="H485" s="317">
        <f t="shared" si="92"/>
        <v>3.2537555555555548</v>
      </c>
      <c r="I485" s="317">
        <f t="shared" si="92"/>
        <v>3.2537555555555548</v>
      </c>
      <c r="J485" s="317">
        <f t="shared" si="92"/>
        <v>3.2537555555555548</v>
      </c>
      <c r="K485" s="317">
        <f t="shared" si="92"/>
        <v>3.2537555555555548</v>
      </c>
      <c r="L485" s="317">
        <f t="shared" si="92"/>
        <v>3.2537555555555548</v>
      </c>
      <c r="M485" s="317">
        <f t="shared" si="92"/>
        <v>3.2537555555555548</v>
      </c>
      <c r="N485" s="317">
        <f t="shared" si="92"/>
        <v>3.2537555555555548</v>
      </c>
      <c r="O485" s="317">
        <f t="shared" si="92"/>
        <v>3.2537555555555548</v>
      </c>
      <c r="P485" s="317">
        <f t="shared" si="92"/>
        <v>3.2537555555555548</v>
      </c>
      <c r="Q485" s="317">
        <f t="shared" si="92"/>
        <v>3.0332659351620972</v>
      </c>
      <c r="R485" s="317">
        <f t="shared" si="92"/>
        <v>2.7010285883536023</v>
      </c>
      <c r="S485" s="317">
        <f t="shared" si="92"/>
        <v>2.6909137931034479</v>
      </c>
      <c r="T485" s="317">
        <f t="shared" si="91"/>
        <v>2.7674799999999999</v>
      </c>
      <c r="U485" s="317">
        <f t="shared" si="91"/>
        <v>2.4456799999999999</v>
      </c>
      <c r="V485" s="317">
        <f t="shared" si="91"/>
        <v>2.4456799999999999</v>
      </c>
      <c r="W485" s="317">
        <f t="shared" si="91"/>
        <v>2.4456799999999999</v>
      </c>
      <c r="X485" s="317">
        <f t="shared" si="91"/>
        <v>0</v>
      </c>
      <c r="Y485" s="317">
        <f t="shared" si="91"/>
        <v>0</v>
      </c>
      <c r="Z485" s="317">
        <f t="shared" si="91"/>
        <v>0</v>
      </c>
      <c r="AA485" s="317">
        <f t="shared" si="91"/>
        <v>0</v>
      </c>
      <c r="AB485" s="317">
        <f t="shared" si="91"/>
        <v>0</v>
      </c>
      <c r="AC485" s="317">
        <f t="shared" si="91"/>
        <v>0</v>
      </c>
      <c r="AD485" s="317">
        <f t="shared" si="91"/>
        <v>0</v>
      </c>
      <c r="AE485" s="318">
        <f t="shared" si="91"/>
        <v>0</v>
      </c>
    </row>
    <row r="486" spans="1:31">
      <c r="A486" s="1711"/>
      <c r="B486" s="116">
        <v>21</v>
      </c>
      <c r="C486" s="316">
        <f>'CAR SEC'!W24</f>
        <v>3.2537555555555548</v>
      </c>
      <c r="D486" s="317">
        <f t="shared" si="92"/>
        <v>3.2537555555555548</v>
      </c>
      <c r="E486" s="317">
        <f t="shared" si="92"/>
        <v>3.2537555555555548</v>
      </c>
      <c r="F486" s="317">
        <f t="shared" si="92"/>
        <v>3.2537555555555548</v>
      </c>
      <c r="G486" s="317">
        <f t="shared" si="92"/>
        <v>3.2537555555555548</v>
      </c>
      <c r="H486" s="317">
        <f t="shared" si="92"/>
        <v>3.2537555555555548</v>
      </c>
      <c r="I486" s="317">
        <f t="shared" si="92"/>
        <v>3.2537555555555548</v>
      </c>
      <c r="J486" s="317">
        <f t="shared" si="92"/>
        <v>3.2537555555555548</v>
      </c>
      <c r="K486" s="317">
        <f t="shared" si="92"/>
        <v>3.2537555555555548</v>
      </c>
      <c r="L486" s="317">
        <f t="shared" si="92"/>
        <v>3.2537555555555548</v>
      </c>
      <c r="M486" s="317">
        <f t="shared" si="92"/>
        <v>3.2537555555555548</v>
      </c>
      <c r="N486" s="317">
        <f t="shared" si="92"/>
        <v>3.2537555555555548</v>
      </c>
      <c r="O486" s="317">
        <f t="shared" si="92"/>
        <v>3.2537555555555548</v>
      </c>
      <c r="P486" s="317">
        <f t="shared" si="92"/>
        <v>3.2537555555555548</v>
      </c>
      <c r="Q486" s="317">
        <f t="shared" si="92"/>
        <v>3.2537555555555548</v>
      </c>
      <c r="R486" s="317">
        <f t="shared" si="92"/>
        <v>3.0332659351620972</v>
      </c>
      <c r="S486" s="317">
        <f t="shared" si="92"/>
        <v>2.7010285883536023</v>
      </c>
      <c r="T486" s="317">
        <f t="shared" si="91"/>
        <v>2.6909137931034479</v>
      </c>
      <c r="U486" s="317">
        <f t="shared" si="91"/>
        <v>2.7674799999999999</v>
      </c>
      <c r="V486" s="317">
        <f t="shared" si="91"/>
        <v>2.4456799999999999</v>
      </c>
      <c r="W486" s="317">
        <f t="shared" si="91"/>
        <v>2.4456799999999999</v>
      </c>
      <c r="X486" s="317">
        <f t="shared" si="91"/>
        <v>2.4456799999999999</v>
      </c>
      <c r="Y486" s="317">
        <f t="shared" si="91"/>
        <v>0</v>
      </c>
      <c r="Z486" s="317">
        <f t="shared" si="91"/>
        <v>0</v>
      </c>
      <c r="AA486" s="317">
        <f t="shared" si="91"/>
        <v>0</v>
      </c>
      <c r="AB486" s="317">
        <f t="shared" si="91"/>
        <v>0</v>
      </c>
      <c r="AC486" s="317">
        <f t="shared" si="91"/>
        <v>0</v>
      </c>
      <c r="AD486" s="317">
        <f t="shared" si="91"/>
        <v>0</v>
      </c>
      <c r="AE486" s="318">
        <f t="shared" si="91"/>
        <v>0</v>
      </c>
    </row>
    <row r="487" spans="1:31">
      <c r="A487" s="1711"/>
      <c r="B487" s="116">
        <v>22</v>
      </c>
      <c r="C487" s="316">
        <f>'CAR SEC'!W25</f>
        <v>3.2537555555555548</v>
      </c>
      <c r="D487" s="317">
        <f t="shared" si="92"/>
        <v>3.2537555555555548</v>
      </c>
      <c r="E487" s="317">
        <f t="shared" si="92"/>
        <v>3.2537555555555548</v>
      </c>
      <c r="F487" s="317">
        <f t="shared" si="92"/>
        <v>3.2537555555555548</v>
      </c>
      <c r="G487" s="317">
        <f t="shared" si="92"/>
        <v>3.2537555555555548</v>
      </c>
      <c r="H487" s="317">
        <f t="shared" si="92"/>
        <v>3.2537555555555548</v>
      </c>
      <c r="I487" s="317">
        <f t="shared" si="92"/>
        <v>3.2537555555555548</v>
      </c>
      <c r="J487" s="317">
        <f t="shared" si="92"/>
        <v>3.2537555555555548</v>
      </c>
      <c r="K487" s="317">
        <f t="shared" si="92"/>
        <v>3.2537555555555548</v>
      </c>
      <c r="L487" s="317">
        <f t="shared" si="92"/>
        <v>3.2537555555555548</v>
      </c>
      <c r="M487" s="317">
        <f t="shared" si="92"/>
        <v>3.2537555555555548</v>
      </c>
      <c r="N487" s="317">
        <f t="shared" si="92"/>
        <v>3.2537555555555548</v>
      </c>
      <c r="O487" s="317">
        <f t="shared" si="92"/>
        <v>3.2537555555555548</v>
      </c>
      <c r="P487" s="317">
        <f t="shared" si="92"/>
        <v>3.2537555555555548</v>
      </c>
      <c r="Q487" s="317">
        <f t="shared" si="92"/>
        <v>3.2537555555555548</v>
      </c>
      <c r="R487" s="317">
        <f t="shared" si="92"/>
        <v>3.2537555555555548</v>
      </c>
      <c r="S487" s="317">
        <f t="shared" si="92"/>
        <v>3.0332659351620972</v>
      </c>
      <c r="T487" s="317">
        <f t="shared" si="91"/>
        <v>2.7010285883536023</v>
      </c>
      <c r="U487" s="317">
        <f t="shared" si="91"/>
        <v>2.6909137931034479</v>
      </c>
      <c r="V487" s="317">
        <f t="shared" si="91"/>
        <v>2.7674799999999999</v>
      </c>
      <c r="W487" s="317">
        <f t="shared" si="91"/>
        <v>2.4456799999999999</v>
      </c>
      <c r="X487" s="317">
        <f t="shared" si="91"/>
        <v>2.4456799999999999</v>
      </c>
      <c r="Y487" s="317">
        <f t="shared" si="91"/>
        <v>2.4456799999999999</v>
      </c>
      <c r="Z487" s="317">
        <f t="shared" si="91"/>
        <v>0</v>
      </c>
      <c r="AA487" s="317">
        <f t="shared" si="91"/>
        <v>0</v>
      </c>
      <c r="AB487" s="317">
        <f t="shared" si="91"/>
        <v>0</v>
      </c>
      <c r="AC487" s="317">
        <f t="shared" si="91"/>
        <v>0</v>
      </c>
      <c r="AD487" s="317">
        <f t="shared" si="91"/>
        <v>0</v>
      </c>
      <c r="AE487" s="318">
        <f t="shared" si="91"/>
        <v>0</v>
      </c>
    </row>
    <row r="488" spans="1:31">
      <c r="A488" s="1711"/>
      <c r="B488" s="116">
        <v>23</v>
      </c>
      <c r="C488" s="316">
        <f>'CAR SEC'!W26</f>
        <v>3.2537555555555548</v>
      </c>
      <c r="D488" s="317">
        <f t="shared" si="92"/>
        <v>3.2537555555555548</v>
      </c>
      <c r="E488" s="317">
        <f t="shared" si="92"/>
        <v>3.2537555555555548</v>
      </c>
      <c r="F488" s="317">
        <f t="shared" si="92"/>
        <v>3.2537555555555548</v>
      </c>
      <c r="G488" s="317">
        <f t="shared" si="92"/>
        <v>3.2537555555555548</v>
      </c>
      <c r="H488" s="317">
        <f t="shared" si="92"/>
        <v>3.2537555555555548</v>
      </c>
      <c r="I488" s="317">
        <f t="shared" si="92"/>
        <v>3.2537555555555548</v>
      </c>
      <c r="J488" s="317">
        <f t="shared" si="92"/>
        <v>3.2537555555555548</v>
      </c>
      <c r="K488" s="317">
        <f t="shared" si="92"/>
        <v>3.2537555555555548</v>
      </c>
      <c r="L488" s="317">
        <f t="shared" si="92"/>
        <v>3.2537555555555548</v>
      </c>
      <c r="M488" s="317">
        <f t="shared" si="92"/>
        <v>3.2537555555555548</v>
      </c>
      <c r="N488" s="317">
        <f t="shared" si="92"/>
        <v>3.2537555555555548</v>
      </c>
      <c r="O488" s="317">
        <f t="shared" si="92"/>
        <v>3.2537555555555548</v>
      </c>
      <c r="P488" s="317">
        <f t="shared" si="92"/>
        <v>3.2537555555555548</v>
      </c>
      <c r="Q488" s="317">
        <f t="shared" si="92"/>
        <v>3.2537555555555548</v>
      </c>
      <c r="R488" s="317">
        <f t="shared" si="92"/>
        <v>3.2537555555555548</v>
      </c>
      <c r="S488" s="317">
        <f t="shared" si="92"/>
        <v>3.2537555555555548</v>
      </c>
      <c r="T488" s="317">
        <f t="shared" si="91"/>
        <v>3.0332659351620972</v>
      </c>
      <c r="U488" s="317">
        <f t="shared" si="91"/>
        <v>2.7010285883536023</v>
      </c>
      <c r="V488" s="317">
        <f t="shared" si="91"/>
        <v>2.6909137931034479</v>
      </c>
      <c r="W488" s="317">
        <f t="shared" si="91"/>
        <v>2.7674799999999999</v>
      </c>
      <c r="X488" s="317">
        <f t="shared" si="91"/>
        <v>2.4456799999999999</v>
      </c>
      <c r="Y488" s="317">
        <f t="shared" si="91"/>
        <v>2.4456799999999999</v>
      </c>
      <c r="Z488" s="317">
        <f t="shared" si="91"/>
        <v>2.4456799999999999</v>
      </c>
      <c r="AA488" s="317">
        <f t="shared" si="91"/>
        <v>0</v>
      </c>
      <c r="AB488" s="317">
        <f t="shared" si="91"/>
        <v>0</v>
      </c>
      <c r="AC488" s="317">
        <f t="shared" si="91"/>
        <v>0</v>
      </c>
      <c r="AD488" s="317">
        <f t="shared" si="91"/>
        <v>0</v>
      </c>
      <c r="AE488" s="318">
        <f t="shared" si="91"/>
        <v>0</v>
      </c>
    </row>
    <row r="489" spans="1:31">
      <c r="A489" s="1711"/>
      <c r="B489" s="116">
        <v>24</v>
      </c>
      <c r="C489" s="316">
        <f>C488</f>
        <v>3.2537555555555548</v>
      </c>
      <c r="D489" s="317">
        <f t="shared" si="92"/>
        <v>3.2537555555555548</v>
      </c>
      <c r="E489" s="317">
        <f t="shared" si="92"/>
        <v>3.2537555555555548</v>
      </c>
      <c r="F489" s="317">
        <f t="shared" si="92"/>
        <v>3.2537555555555548</v>
      </c>
      <c r="G489" s="317">
        <f t="shared" si="92"/>
        <v>3.2537555555555548</v>
      </c>
      <c r="H489" s="317">
        <f t="shared" si="92"/>
        <v>3.2537555555555548</v>
      </c>
      <c r="I489" s="317">
        <f t="shared" si="92"/>
        <v>3.2537555555555548</v>
      </c>
      <c r="J489" s="317">
        <f t="shared" si="92"/>
        <v>3.2537555555555548</v>
      </c>
      <c r="K489" s="317">
        <f t="shared" si="92"/>
        <v>3.2537555555555548</v>
      </c>
      <c r="L489" s="317">
        <f t="shared" si="92"/>
        <v>3.2537555555555548</v>
      </c>
      <c r="M489" s="317">
        <f t="shared" si="92"/>
        <v>3.2537555555555548</v>
      </c>
      <c r="N489" s="317">
        <f t="shared" si="92"/>
        <v>3.2537555555555548</v>
      </c>
      <c r="O489" s="317">
        <f t="shared" si="92"/>
        <v>3.2537555555555548</v>
      </c>
      <c r="P489" s="317">
        <f t="shared" si="92"/>
        <v>3.2537555555555548</v>
      </c>
      <c r="Q489" s="317">
        <f t="shared" si="92"/>
        <v>3.2537555555555548</v>
      </c>
      <c r="R489" s="317">
        <f t="shared" si="92"/>
        <v>3.2537555555555548</v>
      </c>
      <c r="S489" s="317">
        <f t="shared" si="92"/>
        <v>3.2537555555555548</v>
      </c>
      <c r="T489" s="317">
        <f t="shared" si="91"/>
        <v>3.2537555555555548</v>
      </c>
      <c r="U489" s="317">
        <f t="shared" si="91"/>
        <v>3.0332659351620972</v>
      </c>
      <c r="V489" s="317">
        <f t="shared" si="91"/>
        <v>2.7010285883536023</v>
      </c>
      <c r="W489" s="317">
        <f t="shared" si="91"/>
        <v>2.6909137931034479</v>
      </c>
      <c r="X489" s="317">
        <f t="shared" si="91"/>
        <v>2.7674799999999999</v>
      </c>
      <c r="Y489" s="317">
        <f t="shared" si="91"/>
        <v>2.4456799999999999</v>
      </c>
      <c r="Z489" s="317">
        <f t="shared" si="91"/>
        <v>2.4456799999999999</v>
      </c>
      <c r="AA489" s="317">
        <f t="shared" si="91"/>
        <v>2.4456799999999999</v>
      </c>
      <c r="AB489" s="317">
        <f t="shared" si="91"/>
        <v>0</v>
      </c>
      <c r="AC489" s="317">
        <f t="shared" si="91"/>
        <v>0</v>
      </c>
      <c r="AD489" s="317">
        <f t="shared" si="91"/>
        <v>0</v>
      </c>
      <c r="AE489" s="318">
        <f t="shared" si="91"/>
        <v>0</v>
      </c>
    </row>
    <row r="490" spans="1:31" ht="15.75" thickBot="1">
      <c r="A490" s="1711"/>
      <c r="B490" s="116">
        <v>25</v>
      </c>
      <c r="C490" s="324">
        <f>C489</f>
        <v>3.2537555555555548</v>
      </c>
      <c r="D490" s="325">
        <f t="shared" si="92"/>
        <v>3.2537555555555548</v>
      </c>
      <c r="E490" s="325">
        <f t="shared" si="92"/>
        <v>3.2537555555555548</v>
      </c>
      <c r="F490" s="325">
        <f t="shared" si="92"/>
        <v>3.2537555555555548</v>
      </c>
      <c r="G490" s="325">
        <f t="shared" si="92"/>
        <v>3.2537555555555548</v>
      </c>
      <c r="H490" s="325">
        <f t="shared" si="92"/>
        <v>3.2537555555555548</v>
      </c>
      <c r="I490" s="325">
        <f t="shared" si="92"/>
        <v>3.2537555555555548</v>
      </c>
      <c r="J490" s="325">
        <f t="shared" si="92"/>
        <v>3.2537555555555548</v>
      </c>
      <c r="K490" s="325">
        <f t="shared" si="92"/>
        <v>3.2537555555555548</v>
      </c>
      <c r="L490" s="325">
        <f t="shared" si="92"/>
        <v>3.2537555555555548</v>
      </c>
      <c r="M490" s="325">
        <f t="shared" si="92"/>
        <v>3.2537555555555548</v>
      </c>
      <c r="N490" s="325">
        <f t="shared" si="92"/>
        <v>3.2537555555555548</v>
      </c>
      <c r="O490" s="325">
        <f t="shared" si="92"/>
        <v>3.2537555555555548</v>
      </c>
      <c r="P490" s="325">
        <f t="shared" si="92"/>
        <v>3.2537555555555548</v>
      </c>
      <c r="Q490" s="325">
        <f t="shared" si="92"/>
        <v>3.2537555555555548</v>
      </c>
      <c r="R490" s="325">
        <f t="shared" si="92"/>
        <v>3.2537555555555548</v>
      </c>
      <c r="S490" s="325">
        <f t="shared" si="92"/>
        <v>3.2537555555555548</v>
      </c>
      <c r="T490" s="325">
        <f t="shared" si="91"/>
        <v>3.2537555555555548</v>
      </c>
      <c r="U490" s="325">
        <f t="shared" si="91"/>
        <v>3.2537555555555548</v>
      </c>
      <c r="V490" s="325">
        <f t="shared" si="91"/>
        <v>3.0332659351620972</v>
      </c>
      <c r="W490" s="325">
        <f t="shared" si="91"/>
        <v>2.7010285883536023</v>
      </c>
      <c r="X490" s="325">
        <f t="shared" si="91"/>
        <v>2.6909137931034479</v>
      </c>
      <c r="Y490" s="325">
        <f t="shared" si="91"/>
        <v>2.7674799999999999</v>
      </c>
      <c r="Z490" s="325">
        <f t="shared" si="91"/>
        <v>2.4456799999999999</v>
      </c>
      <c r="AA490" s="325">
        <f t="shared" si="91"/>
        <v>2.4456799999999999</v>
      </c>
      <c r="AB490" s="325">
        <f t="shared" si="91"/>
        <v>2.4456799999999999</v>
      </c>
      <c r="AC490" s="325">
        <f t="shared" si="91"/>
        <v>0</v>
      </c>
      <c r="AD490" s="325">
        <f t="shared" si="91"/>
        <v>0</v>
      </c>
      <c r="AE490" s="326">
        <f t="shared" si="91"/>
        <v>0</v>
      </c>
    </row>
    <row r="491" spans="1:31" ht="16.5" thickTop="1" thickBot="1">
      <c r="A491" s="1712"/>
      <c r="B491" s="300" t="s">
        <v>39</v>
      </c>
      <c r="C491" s="327">
        <f>SUMPRODUCT('CAR Stock'!C488:C513,C465:C490)/'CAR Stock'!C514</f>
        <v>2.7112618570167433</v>
      </c>
      <c r="D491" s="327">
        <f>SUMPRODUCT('CAR Stock'!D488:D513,D465:D490)/'CAR Stock'!D514</f>
        <v>2.7094656498488989</v>
      </c>
      <c r="E491" s="327">
        <f>SUMPRODUCT('CAR Stock'!E488:E513,E465:E490)/'CAR Stock'!E514</f>
        <v>2.7068997822063237</v>
      </c>
      <c r="F491" s="327">
        <f>SUMPRODUCT('CAR Stock'!F488:F513,F465:F490)/'CAR Stock'!F514</f>
        <v>2.701775570154938</v>
      </c>
      <c r="G491" s="327">
        <f>SUMPRODUCT('CAR Stock'!G488:G513,G465:G490)/'CAR Stock'!G514</f>
        <v>2.690698859003505</v>
      </c>
      <c r="H491" s="327">
        <f>SUMPRODUCT('CAR Stock'!H488:H513,H465:H490)/'CAR Stock'!H514</f>
        <v>2.6723683509439673</v>
      </c>
      <c r="I491" s="327">
        <f>SUMPRODUCT('CAR Stock'!I488:I513,I465:I490)/'CAR Stock'!I514</f>
        <v>2.6456479529247523</v>
      </c>
      <c r="J491" s="327">
        <f>SUMPRODUCT('CAR Stock'!J488:J513,J465:J490)/'CAR Stock'!J514</f>
        <v>2.6104444780252836</v>
      </c>
      <c r="K491" s="327">
        <f>SUMPRODUCT('CAR Stock'!K488:K513,K465:K490)/'CAR Stock'!K514</f>
        <v>2.5693505192839181</v>
      </c>
      <c r="L491" s="327">
        <f>SUMPRODUCT('CAR Stock'!L488:L513,L465:L490)/'CAR Stock'!L514</f>
        <v>2.5282137188958305</v>
      </c>
      <c r="M491" s="327">
        <f>SUMPRODUCT('CAR Stock'!M488:M513,M465:M490)/'CAR Stock'!M514</f>
        <v>2.494784377874359</v>
      </c>
      <c r="N491" s="327">
        <f>SUMPRODUCT('CAR Stock'!N488:N513,N465:N490)/'CAR Stock'!N514</f>
        <v>2.4722169763335518</v>
      </c>
      <c r="O491" s="327">
        <f>SUMPRODUCT('CAR Stock'!O488:O513,O465:O490)/'CAR Stock'!O514</f>
        <v>2.4599598519687085</v>
      </c>
      <c r="P491" s="327">
        <f>SUMPRODUCT('CAR Stock'!P488:P513,P465:P490)/'CAR Stock'!P514</f>
        <v>2.4539084261125597</v>
      </c>
      <c r="Q491" s="327">
        <f>SUMPRODUCT('CAR Stock'!Q488:Q513,Q465:Q490)/'CAR Stock'!Q514</f>
        <v>2.4507800083119005</v>
      </c>
      <c r="R491" s="327">
        <f>SUMPRODUCT('CAR Stock'!R488:R513,R465:R490)/'CAR Stock'!R514</f>
        <v>2.4490261887698388</v>
      </c>
      <c r="S491" s="327">
        <f>SUMPRODUCT('CAR Stock'!S488:S513,S465:S490)/'CAR Stock'!S514</f>
        <v>2.4477567082651044</v>
      </c>
      <c r="T491" s="327">
        <f>SUMPRODUCT('CAR Stock'!T488:T513,T465:T490)/'CAR Stock'!T514</f>
        <v>2.4468791432433843</v>
      </c>
      <c r="U491" s="327">
        <f>SUMPRODUCT('CAR Stock'!U488:U513,U465:U490)/'CAR Stock'!U514</f>
        <v>2.4463075300170916</v>
      </c>
      <c r="V491" s="327">
        <f>SUMPRODUCT('CAR Stock'!V488:V513,V465:V490)/'CAR Stock'!V514</f>
        <v>2.4459643299539655</v>
      </c>
      <c r="W491" s="327">
        <f>SUMPRODUCT('CAR Stock'!W488:W513,W465:W490)/'CAR Stock'!W514</f>
        <v>2.4457817108514557</v>
      </c>
      <c r="X491" s="327">
        <f>SUMPRODUCT('CAR Stock'!X488:X513,X465:X490)/'CAR Stock'!X514</f>
        <v>2.4457023519410042</v>
      </c>
      <c r="Y491" s="327">
        <f>SUMPRODUCT('CAR Stock'!Y488:Y513,Y465:Y490)/'CAR Stock'!Y514</f>
        <v>2.4456799999999999</v>
      </c>
      <c r="Z491" s="327">
        <f>SUMPRODUCT('CAR Stock'!Z488:Z513,Z465:Z490)/'CAR Stock'!Z514</f>
        <v>2.4456799999999999</v>
      </c>
      <c r="AA491" s="327">
        <f>SUMPRODUCT('CAR Stock'!AA488:AA513,AA465:AA490)/'CAR Stock'!AA514</f>
        <v>2.4456799999999999</v>
      </c>
      <c r="AB491" s="327">
        <v>0</v>
      </c>
      <c r="AC491" s="327">
        <v>0</v>
      </c>
      <c r="AD491" s="327">
        <v>0</v>
      </c>
      <c r="AE491" s="327">
        <v>0</v>
      </c>
    </row>
  </sheetData>
  <mergeCells count="16">
    <mergeCell ref="A174:A201"/>
    <mergeCell ref="A29:A56"/>
    <mergeCell ref="A58:A85"/>
    <mergeCell ref="A87:A114"/>
    <mergeCell ref="A116:A143"/>
    <mergeCell ref="A145:A172"/>
    <mergeCell ref="A377:A404"/>
    <mergeCell ref="A406:A433"/>
    <mergeCell ref="A435:A462"/>
    <mergeCell ref="A464:A491"/>
    <mergeCell ref="A203:A230"/>
    <mergeCell ref="A232:A259"/>
    <mergeCell ref="A261:A288"/>
    <mergeCell ref="A290:A317"/>
    <mergeCell ref="A319:A346"/>
    <mergeCell ref="A348:A375"/>
  </mergeCells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5">
    <tabColor theme="4"/>
  </sheetPr>
  <dimension ref="A1:Z57"/>
  <sheetViews>
    <sheetView workbookViewId="0"/>
  </sheetViews>
  <sheetFormatPr defaultRowHeight="15"/>
  <cols>
    <col min="1" max="1" width="22.42578125" customWidth="1"/>
    <col min="2" max="2" width="12" bestFit="1" customWidth="1"/>
    <col min="3" max="3" width="12.140625" bestFit="1" customWidth="1"/>
    <col min="4" max="4" width="12" bestFit="1" customWidth="1"/>
    <col min="5" max="5" width="12.140625" bestFit="1" customWidth="1"/>
    <col min="6" max="6" width="12" bestFit="1" customWidth="1"/>
    <col min="7" max="7" width="12.140625" bestFit="1" customWidth="1"/>
    <col min="8" max="8" width="12" bestFit="1" customWidth="1"/>
    <col min="9" max="9" width="12.140625" bestFit="1" customWidth="1"/>
    <col min="10" max="10" width="12" bestFit="1" customWidth="1"/>
    <col min="11" max="11" width="12.140625" bestFit="1" customWidth="1"/>
    <col min="12" max="26" width="8" customWidth="1"/>
  </cols>
  <sheetData>
    <row r="1" spans="1:26" ht="26.25">
      <c r="A1" s="145" t="s">
        <v>65</v>
      </c>
      <c r="B1" s="146">
        <v>0</v>
      </c>
      <c r="C1" s="146">
        <v>1</v>
      </c>
      <c r="D1" s="146">
        <v>2</v>
      </c>
      <c r="E1" s="146">
        <v>3</v>
      </c>
      <c r="F1" s="146">
        <v>4</v>
      </c>
      <c r="G1" s="146">
        <v>5</v>
      </c>
      <c r="H1" s="146">
        <v>6</v>
      </c>
      <c r="I1" s="146">
        <v>7</v>
      </c>
      <c r="J1" s="146">
        <v>8</v>
      </c>
      <c r="K1" s="146">
        <v>9</v>
      </c>
      <c r="L1" s="146">
        <v>10</v>
      </c>
      <c r="M1" s="146">
        <v>11</v>
      </c>
      <c r="N1" s="146">
        <v>12</v>
      </c>
      <c r="O1" s="146">
        <v>13</v>
      </c>
      <c r="P1" s="146">
        <v>14</v>
      </c>
      <c r="Q1" s="146">
        <v>15</v>
      </c>
      <c r="R1" s="146">
        <v>16</v>
      </c>
      <c r="S1" s="146">
        <v>17</v>
      </c>
      <c r="T1" s="146">
        <v>18</v>
      </c>
      <c r="U1" s="146">
        <v>19</v>
      </c>
      <c r="V1" s="146">
        <v>20</v>
      </c>
      <c r="W1" s="146">
        <v>21</v>
      </c>
      <c r="X1" s="146">
        <v>22</v>
      </c>
      <c r="Y1" s="146">
        <v>23</v>
      </c>
      <c r="Z1" s="147" t="s">
        <v>39</v>
      </c>
    </row>
    <row r="2" spans="1:26">
      <c r="A2" s="148" t="s">
        <v>59</v>
      </c>
      <c r="B2" s="154">
        <v>7.2442127543775516E-3</v>
      </c>
      <c r="C2" s="154">
        <v>3.4661262555997258E-3</v>
      </c>
      <c r="D2" s="154">
        <v>2.2759615648756124E-3</v>
      </c>
      <c r="E2" s="154">
        <v>2.360912203678435E-3</v>
      </c>
      <c r="F2" s="154">
        <v>4.2768547262003014E-3</v>
      </c>
      <c r="G2" s="154">
        <v>9.4182026950720976E-3</v>
      </c>
      <c r="H2" s="154">
        <v>2.6224089736453779E-2</v>
      </c>
      <c r="I2" s="154">
        <v>6.7838146963253812E-2</v>
      </c>
      <c r="J2" s="154">
        <v>8.3724536304458974E-2</v>
      </c>
      <c r="K2" s="154">
        <v>6.2969542370098608E-2</v>
      </c>
      <c r="L2" s="154">
        <v>5.0181888234492225E-2</v>
      </c>
      <c r="M2" s="154">
        <v>5.0574229043026844E-2</v>
      </c>
      <c r="N2" s="154">
        <v>5.3568114449621625E-2</v>
      </c>
      <c r="O2" s="154">
        <v>5.6866499820311035E-2</v>
      </c>
      <c r="P2" s="154">
        <v>5.8992938857289984E-2</v>
      </c>
      <c r="Q2" s="154">
        <v>6.5594095428438207E-2</v>
      </c>
      <c r="R2" s="154">
        <v>7.9354925084305944E-2</v>
      </c>
      <c r="S2" s="154">
        <v>9.0368143260179001E-2</v>
      </c>
      <c r="T2" s="154">
        <v>7.5708490740877543E-2</v>
      </c>
      <c r="U2" s="154">
        <v>5.2477888318802832E-2</v>
      </c>
      <c r="V2" s="154">
        <v>3.8086820251309626E-2</v>
      </c>
      <c r="W2" s="154">
        <v>2.7373373361007015E-2</v>
      </c>
      <c r="X2" s="154">
        <v>1.9076862381054421E-2</v>
      </c>
      <c r="Y2" s="154">
        <v>1.1977145195214367E-2</v>
      </c>
      <c r="Z2" s="155">
        <f t="shared" ref="Z2:Z7" si="0">SUM(B2:Y2)</f>
        <v>0.99999999999999956</v>
      </c>
    </row>
    <row r="3" spans="1:26">
      <c r="A3" s="149" t="s">
        <v>60</v>
      </c>
      <c r="B3" s="156">
        <v>1.1044305847476852E-2</v>
      </c>
      <c r="C3" s="156">
        <v>9.3898476747675749E-3</v>
      </c>
      <c r="D3" s="156">
        <v>9.1487386887110882E-3</v>
      </c>
      <c r="E3" s="156">
        <v>1.0915166583632469E-2</v>
      </c>
      <c r="F3" s="156">
        <v>1.5499648494174609E-2</v>
      </c>
      <c r="G3" s="156">
        <v>2.6365770966092879E-2</v>
      </c>
      <c r="H3" s="156">
        <v>4.5939306146471057E-2</v>
      </c>
      <c r="I3" s="156">
        <v>6.2962913243447313E-2</v>
      </c>
      <c r="J3" s="156">
        <v>6.3683934973403009E-2</v>
      </c>
      <c r="K3" s="156">
        <v>7.0056409689271293E-2</v>
      </c>
      <c r="L3" s="156">
        <v>6.8926560266188958E-2</v>
      </c>
      <c r="M3" s="156">
        <v>7.0305913885943552E-2</v>
      </c>
      <c r="N3" s="156">
        <v>7.0333348734619092E-2</v>
      </c>
      <c r="O3" s="156">
        <v>6.7456365666170234E-2</v>
      </c>
      <c r="P3" s="156">
        <v>6.8897558682821117E-2</v>
      </c>
      <c r="Q3" s="156">
        <v>6.7792859433178559E-2</v>
      </c>
      <c r="R3" s="156">
        <v>6.2344605866117904E-2</v>
      </c>
      <c r="S3" s="156">
        <v>5.1017392178353153E-2</v>
      </c>
      <c r="T3" s="156">
        <v>4.1753744278410845E-2</v>
      </c>
      <c r="U3" s="156">
        <v>3.2633193686426372E-2</v>
      </c>
      <c r="V3" s="156">
        <v>2.4899115827068205E-2</v>
      </c>
      <c r="W3" s="156">
        <v>1.9407800145086671E-2</v>
      </c>
      <c r="X3" s="156">
        <v>1.5959197038069767E-2</v>
      </c>
      <c r="Y3" s="156">
        <v>1.3266302004098734E-2</v>
      </c>
      <c r="Z3" s="157">
        <f t="shared" si="0"/>
        <v>1.0000000000000013</v>
      </c>
    </row>
    <row r="4" spans="1:26" ht="25.5">
      <c r="A4" s="150" t="s">
        <v>61</v>
      </c>
      <c r="B4" s="158">
        <v>5.437940344486485E-3</v>
      </c>
      <c r="C4" s="158">
        <v>4.7694499690375571E-3</v>
      </c>
      <c r="D4" s="158">
        <v>5.0801380642145014E-3</v>
      </c>
      <c r="E4" s="158">
        <v>7.0903993510702716E-3</v>
      </c>
      <c r="F4" s="158">
        <v>1.1236898815973602E-2</v>
      </c>
      <c r="G4" s="158">
        <v>2.1291594980176843E-2</v>
      </c>
      <c r="H4" s="158">
        <v>4.1405303208779477E-2</v>
      </c>
      <c r="I4" s="158">
        <v>6.5493389622500106E-2</v>
      </c>
      <c r="J4" s="158">
        <v>7.1885784615080231E-2</v>
      </c>
      <c r="K4" s="158">
        <v>7.8254540780590201E-2</v>
      </c>
      <c r="L4" s="158">
        <v>7.4936142638804382E-2</v>
      </c>
      <c r="M4" s="158">
        <v>7.6644020388264192E-2</v>
      </c>
      <c r="N4" s="158">
        <v>7.6704215887555827E-2</v>
      </c>
      <c r="O4" s="158">
        <v>7.2254253427962128E-2</v>
      </c>
      <c r="P4" s="158">
        <v>7.7716887638294402E-2</v>
      </c>
      <c r="Q4" s="158">
        <v>7.7406493198514642E-2</v>
      </c>
      <c r="R4" s="158">
        <v>7.0805656209477014E-2</v>
      </c>
      <c r="S4" s="158">
        <v>5.3215207474222495E-2</v>
      </c>
      <c r="T4" s="158">
        <v>3.7012840043887503E-2</v>
      </c>
      <c r="U4" s="158">
        <v>2.5616654511682869E-2</v>
      </c>
      <c r="V4" s="158">
        <v>1.737425638801093E-2</v>
      </c>
      <c r="W4" s="158">
        <v>1.2182284830869927E-2</v>
      </c>
      <c r="X4" s="158">
        <v>9.0698518848339772E-3</v>
      </c>
      <c r="Y4" s="158">
        <v>7.1157957257109309E-3</v>
      </c>
      <c r="Z4" s="159">
        <f t="shared" si="0"/>
        <v>1.0000000000000004</v>
      </c>
    </row>
    <row r="5" spans="1:26" ht="25.5">
      <c r="A5" s="151" t="s">
        <v>62</v>
      </c>
      <c r="B5" s="160">
        <v>1.4163230299050327E-2</v>
      </c>
      <c r="C5" s="160">
        <v>1.2882082994364987E-2</v>
      </c>
      <c r="D5" s="160">
        <v>1.2382103214841357E-2</v>
      </c>
      <c r="E5" s="160">
        <v>1.4027947633473896E-2</v>
      </c>
      <c r="F5" s="160">
        <v>1.9296013147224036E-2</v>
      </c>
      <c r="G5" s="160">
        <v>3.1556938714865285E-2</v>
      </c>
      <c r="H5" s="160">
        <v>5.0625587290096009E-2</v>
      </c>
      <c r="I5" s="160">
        <v>6.1820125715014058E-2</v>
      </c>
      <c r="J5" s="160">
        <v>5.8228777467319449E-2</v>
      </c>
      <c r="K5" s="160">
        <v>6.4470359293890583E-2</v>
      </c>
      <c r="L5" s="160">
        <v>6.6065721864853044E-2</v>
      </c>
      <c r="M5" s="160">
        <v>6.8167005439279643E-2</v>
      </c>
      <c r="N5" s="160">
        <v>6.8264142482628604E-2</v>
      </c>
      <c r="O5" s="160">
        <v>6.6136965569967537E-2</v>
      </c>
      <c r="P5" s="160">
        <v>6.4377854369198934E-2</v>
      </c>
      <c r="Q5" s="160">
        <v>6.1548550574898407E-2</v>
      </c>
      <c r="R5" s="160">
        <v>5.5360018587375354E-2</v>
      </c>
      <c r="S5" s="160">
        <v>4.7259396437071173E-2</v>
      </c>
      <c r="T5" s="160">
        <v>4.1336017963032372E-2</v>
      </c>
      <c r="U5" s="160">
        <v>3.4830544302760717E-2</v>
      </c>
      <c r="V5" s="160">
        <v>2.7970139540680762E-2</v>
      </c>
      <c r="W5" s="160">
        <v>2.3058029209736094E-2</v>
      </c>
      <c r="X5" s="160">
        <v>1.985210181688556E-2</v>
      </c>
      <c r="Y5" s="160">
        <v>1.6320346071491812E-2</v>
      </c>
      <c r="Z5" s="161">
        <f t="shared" si="0"/>
        <v>0.99999999999999989</v>
      </c>
    </row>
    <row r="6" spans="1:26">
      <c r="A6" s="152" t="s">
        <v>63</v>
      </c>
      <c r="B6" s="162">
        <v>1.2270235803517869E-2</v>
      </c>
      <c r="C6" s="162">
        <v>6.8195862696819832E-3</v>
      </c>
      <c r="D6" s="162">
        <v>5.935753611182799E-3</v>
      </c>
      <c r="E6" s="162">
        <v>7.4598834722470683E-3</v>
      </c>
      <c r="F6" s="162">
        <v>9.6884420093608578E-3</v>
      </c>
      <c r="G6" s="162">
        <v>1.5423218864195185E-2</v>
      </c>
      <c r="H6" s="162">
        <v>3.5927771767699117E-2</v>
      </c>
      <c r="I6" s="162">
        <v>5.990129650377439E-2</v>
      </c>
      <c r="J6" s="162">
        <v>6.3961501744797353E-2</v>
      </c>
      <c r="K6" s="162">
        <v>7.1151514362855689E-2</v>
      </c>
      <c r="L6" s="162">
        <v>6.2346955204330569E-2</v>
      </c>
      <c r="M6" s="162">
        <v>5.8076472548082292E-2</v>
      </c>
      <c r="N6" s="162">
        <v>5.7554012092924073E-2</v>
      </c>
      <c r="O6" s="162">
        <v>5.6429374671009308E-2</v>
      </c>
      <c r="P6" s="162">
        <v>6.1097886581441878E-2</v>
      </c>
      <c r="Q6" s="162">
        <v>6.7200319231097455E-2</v>
      </c>
      <c r="R6" s="162">
        <v>7.0787579159283354E-2</v>
      </c>
      <c r="S6" s="162">
        <v>6.4987880242318566E-2</v>
      </c>
      <c r="T6" s="162">
        <v>6.3265434208034932E-2</v>
      </c>
      <c r="U6" s="162">
        <v>4.7460909261185354E-2</v>
      </c>
      <c r="V6" s="162">
        <v>3.6478249418634305E-2</v>
      </c>
      <c r="W6" s="162">
        <v>2.6295745110044663E-2</v>
      </c>
      <c r="X6" s="162">
        <v>2.0038763637732788E-2</v>
      </c>
      <c r="Y6" s="162">
        <v>1.9441214224568164E-2</v>
      </c>
      <c r="Z6" s="163">
        <f t="shared" si="0"/>
        <v>1.0000000000000002</v>
      </c>
    </row>
    <row r="7" spans="1:26" ht="15.75" thickBot="1">
      <c r="A7" s="153" t="s">
        <v>64</v>
      </c>
      <c r="B7" s="164">
        <v>7.5127325295875061E-3</v>
      </c>
      <c r="C7" s="164">
        <v>3.8847045127402883E-3</v>
      </c>
      <c r="D7" s="164">
        <v>2.7616013960975721E-3</v>
      </c>
      <c r="E7" s="164">
        <v>2.9653675175141049E-3</v>
      </c>
      <c r="F7" s="164">
        <v>5.0698726828594708E-3</v>
      </c>
      <c r="G7" s="164">
        <v>1.06157410476861E-2</v>
      </c>
      <c r="H7" s="164">
        <v>2.7617193891782764E-2</v>
      </c>
      <c r="I7" s="164">
        <v>6.7493656280929196E-2</v>
      </c>
      <c r="J7" s="164">
        <v>8.2308440005591996E-2</v>
      </c>
      <c r="K7" s="164">
        <v>6.3470310107326608E-2</v>
      </c>
      <c r="L7" s="164">
        <v>5.1506412396670198E-2</v>
      </c>
      <c r="M7" s="164">
        <v>5.1968496880347784E-2</v>
      </c>
      <c r="N7" s="164">
        <v>5.4752768833411541E-2</v>
      </c>
      <c r="O7" s="164">
        <v>5.761479422436061E-2</v>
      </c>
      <c r="P7" s="164">
        <v>5.9692812840356685E-2</v>
      </c>
      <c r="Q7" s="164">
        <v>6.5749463100184119E-2</v>
      </c>
      <c r="R7" s="164">
        <v>7.8152952663942857E-2</v>
      </c>
      <c r="S7" s="164">
        <v>8.7587565370120704E-2</v>
      </c>
      <c r="T7" s="164">
        <v>7.3309201917145933E-2</v>
      </c>
      <c r="U7" s="164">
        <v>5.1075635055199228E-2</v>
      </c>
      <c r="V7" s="164">
        <v>3.7154959020340515E-2</v>
      </c>
      <c r="W7" s="164">
        <v>2.6810515063340135E-2</v>
      </c>
      <c r="X7" s="164">
        <v>1.8856563883999613E-2</v>
      </c>
      <c r="Y7" s="164">
        <v>1.2068238778463846E-2</v>
      </c>
      <c r="Z7" s="165">
        <f t="shared" si="0"/>
        <v>0.99999999999999933</v>
      </c>
    </row>
    <row r="31" spans="1:11" ht="15.75" thickBot="1"/>
    <row r="32" spans="1:11">
      <c r="A32" s="224" t="s">
        <v>130</v>
      </c>
      <c r="B32" s="1746" t="s">
        <v>122</v>
      </c>
      <c r="C32" s="1747"/>
      <c r="D32" s="1748" t="s">
        <v>123</v>
      </c>
      <c r="E32" s="1749"/>
      <c r="F32" s="1750" t="s">
        <v>124</v>
      </c>
      <c r="G32" s="1751"/>
      <c r="H32" s="1752" t="s">
        <v>125</v>
      </c>
      <c r="I32" s="1753"/>
      <c r="J32" s="1754" t="s">
        <v>126</v>
      </c>
      <c r="K32" s="1755"/>
    </row>
    <row r="33" spans="1:11">
      <c r="A33" s="225" t="s">
        <v>129</v>
      </c>
      <c r="B33" s="228" t="s">
        <v>127</v>
      </c>
      <c r="C33" s="229" t="s">
        <v>128</v>
      </c>
      <c r="D33" s="230" t="s">
        <v>127</v>
      </c>
      <c r="E33" s="231" t="s">
        <v>128</v>
      </c>
      <c r="F33" s="232" t="s">
        <v>127</v>
      </c>
      <c r="G33" s="233" t="s">
        <v>128</v>
      </c>
      <c r="H33" s="234" t="s">
        <v>127</v>
      </c>
      <c r="I33" s="235" t="s">
        <v>128</v>
      </c>
      <c r="J33" s="226" t="s">
        <v>127</v>
      </c>
      <c r="K33" s="227" t="s">
        <v>128</v>
      </c>
    </row>
    <row r="34" spans="1:11">
      <c r="A34" s="236">
        <v>0</v>
      </c>
      <c r="B34" s="237">
        <v>6.0422359487780049E-3</v>
      </c>
      <c r="C34" s="238">
        <v>8.0158945044217084E-3</v>
      </c>
      <c r="D34" s="239">
        <v>6.9641945635663411E-3</v>
      </c>
      <c r="E34" s="240">
        <v>1.2197466004558866E-2</v>
      </c>
      <c r="F34" s="241">
        <v>5.6701074013685597E-3</v>
      </c>
      <c r="G34" s="242">
        <v>1.3042025205994914E-2</v>
      </c>
      <c r="H34" s="243">
        <v>1.2269056355328972E-2</v>
      </c>
      <c r="I34" s="244">
        <v>1.8124640087351266E-2</v>
      </c>
      <c r="J34" s="245">
        <v>1.0749841756707498E-2</v>
      </c>
      <c r="K34" s="246">
        <v>2.6659304764577271E-2</v>
      </c>
    </row>
    <row r="35" spans="1:11">
      <c r="A35" s="236">
        <v>1</v>
      </c>
      <c r="B35" s="237">
        <v>3.5178764150726768E-3</v>
      </c>
      <c r="C35" s="238">
        <v>4.7744528637183531E-3</v>
      </c>
      <c r="D35" s="239">
        <v>3.4323586986624152E-3</v>
      </c>
      <c r="E35" s="240">
        <v>8.5009435856421584E-3</v>
      </c>
      <c r="F35" s="241">
        <v>3.975780475633189E-3</v>
      </c>
      <c r="G35" s="242">
        <v>1.1019016283867993E-2</v>
      </c>
      <c r="H35" s="243">
        <v>6.9400189729035798E-3</v>
      </c>
      <c r="I35" s="244">
        <v>1.0305654648388713E-2</v>
      </c>
      <c r="J35" s="245">
        <v>9.7273367173565262E-3</v>
      </c>
      <c r="K35" s="246">
        <v>2.2685290798497203E-2</v>
      </c>
    </row>
    <row r="36" spans="1:11">
      <c r="A36" s="236">
        <v>2</v>
      </c>
      <c r="B36" s="237">
        <v>2.54579133083806E-3</v>
      </c>
      <c r="C36" s="238">
        <v>3.5770261870349961E-3</v>
      </c>
      <c r="D36" s="239">
        <v>2.102560466579727E-3</v>
      </c>
      <c r="E36" s="240">
        <v>5.9197388210532054E-3</v>
      </c>
      <c r="F36" s="241">
        <v>3.5561025116472348E-3</v>
      </c>
      <c r="G36" s="242">
        <v>1.0426425525034639E-2</v>
      </c>
      <c r="H36" s="243">
        <v>6.0045677463277936E-3</v>
      </c>
      <c r="I36" s="244">
        <v>9.2474179773096108E-3</v>
      </c>
      <c r="J36" s="245">
        <v>9.5442399763882562E-3</v>
      </c>
      <c r="K36" s="246">
        <v>1.9628822856081543E-2</v>
      </c>
    </row>
    <row r="37" spans="1:11">
      <c r="A37" s="236">
        <v>3</v>
      </c>
      <c r="B37" s="237">
        <v>2.9683039028833421E-3</v>
      </c>
      <c r="C37" s="238">
        <v>3.9545588016580927E-3</v>
      </c>
      <c r="D37" s="239">
        <v>2.1267698223434769E-3</v>
      </c>
      <c r="E37" s="240">
        <v>5.0796260265062905E-3</v>
      </c>
      <c r="F37" s="241">
        <v>4.2362765810970027E-3</v>
      </c>
      <c r="G37" s="242">
        <v>1.0271315280718597E-2</v>
      </c>
      <c r="H37" s="243">
        <v>7.4756934411543121E-3</v>
      </c>
      <c r="I37" s="244">
        <v>1.0627238937126532E-2</v>
      </c>
      <c r="J37" s="245">
        <v>1.1390164584628925E-2</v>
      </c>
      <c r="K37" s="246">
        <v>1.9988169813644284E-2</v>
      </c>
    </row>
    <row r="38" spans="1:11">
      <c r="A38" s="236">
        <v>4</v>
      </c>
      <c r="B38" s="237">
        <v>5.4865400659793182E-3</v>
      </c>
      <c r="C38" s="238">
        <v>5.31977775150727E-3</v>
      </c>
      <c r="D38" s="239">
        <v>3.9569850736273556E-3</v>
      </c>
      <c r="E38" s="240">
        <v>5.5319703408836032E-3</v>
      </c>
      <c r="F38" s="241">
        <v>6.9558706186754948E-3</v>
      </c>
      <c r="G38" s="242">
        <v>1.1354766139394986E-2</v>
      </c>
      <c r="H38" s="243">
        <v>9.5326306234274454E-3</v>
      </c>
      <c r="I38" s="244">
        <v>1.11731843575419E-2</v>
      </c>
      <c r="J38" s="245">
        <v>1.6200322276052379E-2</v>
      </c>
      <c r="K38" s="246">
        <v>2.2623717302959766E-2</v>
      </c>
    </row>
    <row r="39" spans="1:11">
      <c r="A39" s="236">
        <v>5</v>
      </c>
      <c r="B39" s="237">
        <v>1.1536430228019014E-2</v>
      </c>
      <c r="C39" s="238">
        <v>6.5667794179896195E-3</v>
      </c>
      <c r="D39" s="239">
        <v>8.9932035545918568E-3</v>
      </c>
      <c r="E39" s="240">
        <v>6.6455377602227181E-3</v>
      </c>
      <c r="F39" s="241">
        <v>1.3560677727096159E-2</v>
      </c>
      <c r="G39" s="242">
        <v>1.3326716327732087E-2</v>
      </c>
      <c r="H39" s="243">
        <v>1.512290826376822E-2</v>
      </c>
      <c r="I39" s="244">
        <v>1.2280032607151136E-2</v>
      </c>
      <c r="J39" s="245">
        <v>2.7632392804917E-2</v>
      </c>
      <c r="K39" s="246">
        <v>2.8438879725765781E-2</v>
      </c>
    </row>
    <row r="40" spans="1:11">
      <c r="A40" s="236">
        <v>6</v>
      </c>
      <c r="B40" s="237">
        <v>2.828997221520586E-2</v>
      </c>
      <c r="C40" s="238">
        <v>1.0563286287939167E-2</v>
      </c>
      <c r="D40" s="239">
        <v>2.5528223652371958E-2</v>
      </c>
      <c r="E40" s="240">
        <v>1.0424869804721319E-2</v>
      </c>
      <c r="F40" s="241">
        <v>3.3505438958441776E-2</v>
      </c>
      <c r="G40" s="242">
        <v>1.9671150809706418E-2</v>
      </c>
      <c r="H40" s="243">
        <v>3.5139453480102861E-2</v>
      </c>
      <c r="I40" s="244">
        <v>2.2178097866325637E-2</v>
      </c>
      <c r="J40" s="245">
        <v>4.7019758846119183E-2</v>
      </c>
      <c r="K40" s="246">
        <v>4.4444960360800499E-2</v>
      </c>
    </row>
    <row r="41" spans="1:11">
      <c r="A41" s="236">
        <v>7</v>
      </c>
      <c r="B41" s="237">
        <v>6.6135464266305385E-2</v>
      </c>
      <c r="C41" s="238">
        <v>2.088632454839091E-2</v>
      </c>
      <c r="D41" s="239">
        <v>6.7579824428773624E-2</v>
      </c>
      <c r="E41" s="240">
        <v>1.9313790853815307E-2</v>
      </c>
      <c r="F41" s="241">
        <v>7.5119048832824054E-2</v>
      </c>
      <c r="G41" s="242">
        <v>3.433815889942126E-2</v>
      </c>
      <c r="H41" s="243">
        <v>5.9453268999621334E-2</v>
      </c>
      <c r="I41" s="244">
        <v>3.5007815246086767E-2</v>
      </c>
      <c r="J41" s="245">
        <v>6.3345025306677377E-2</v>
      </c>
      <c r="K41" s="246">
        <v>5.2846209596178813E-2</v>
      </c>
    </row>
    <row r="42" spans="1:11">
      <c r="A42" s="236">
        <v>8</v>
      </c>
      <c r="B42" s="237">
        <v>8.4603550024110769E-2</v>
      </c>
      <c r="C42" s="238">
        <v>3.1964428038088848E-2</v>
      </c>
      <c r="D42" s="239">
        <v>8.5603037386873457E-2</v>
      </c>
      <c r="E42" s="240">
        <v>2.883726351647705E-2</v>
      </c>
      <c r="F42" s="241">
        <v>7.443115908183022E-2</v>
      </c>
      <c r="G42" s="242">
        <v>4.4302734968811625E-2</v>
      </c>
      <c r="H42" s="243">
        <v>6.4535579471793308E-2</v>
      </c>
      <c r="I42" s="244">
        <v>5.0309244426495557E-2</v>
      </c>
      <c r="J42" s="245">
        <v>6.3873169145414008E-2</v>
      </c>
      <c r="K42" s="246">
        <v>5.8565478870197016E-2</v>
      </c>
    </row>
    <row r="43" spans="1:11">
      <c r="A43" s="236">
        <v>9</v>
      </c>
      <c r="B43" s="237">
        <v>6.3595796306076674E-2</v>
      </c>
      <c r="C43" s="238">
        <v>5.0204210823364313E-2</v>
      </c>
      <c r="D43" s="239">
        <v>6.187129447304824E-2</v>
      </c>
      <c r="E43" s="240">
        <v>4.3025425898786156E-2</v>
      </c>
      <c r="F43" s="241">
        <v>7.1671884396310837E-2</v>
      </c>
      <c r="G43" s="242">
        <v>5.4703244318362036E-2</v>
      </c>
      <c r="H43" s="243">
        <v>7.1273730972671367E-2</v>
      </c>
      <c r="I43" s="244">
        <v>6.5326482840112776E-2</v>
      </c>
      <c r="J43" s="245">
        <v>7.0101552931140287E-2</v>
      </c>
      <c r="K43" s="246">
        <v>6.3664975582576111E-2</v>
      </c>
    </row>
    <row r="44" spans="1:11">
      <c r="A44" s="236">
        <v>10</v>
      </c>
      <c r="B44" s="237">
        <v>5.1356709300634532E-2</v>
      </c>
      <c r="C44" s="238">
        <v>6.595380373642884E-2</v>
      </c>
      <c r="D44" s="239">
        <v>4.8306928942449423E-2</v>
      </c>
      <c r="E44" s="240">
        <v>5.4513289168547995E-2</v>
      </c>
      <c r="F44" s="241">
        <v>6.2380458603577375E-2</v>
      </c>
      <c r="G44" s="242">
        <v>6.2075042413561821E-2</v>
      </c>
      <c r="H44" s="243">
        <v>6.2262261469832686E-2</v>
      </c>
      <c r="I44" s="244">
        <v>6.1949847808365675E-2</v>
      </c>
      <c r="J44" s="245">
        <v>6.9641748016849539E-2</v>
      </c>
      <c r="K44" s="246">
        <v>6.355797901656024E-2</v>
      </c>
    </row>
    <row r="45" spans="1:11">
      <c r="A45" s="236">
        <v>11</v>
      </c>
      <c r="B45" s="237">
        <v>5.3936179169824031E-2</v>
      </c>
      <c r="C45" s="238">
        <v>8.0319110395875359E-2</v>
      </c>
      <c r="D45" s="239">
        <v>4.9099865640082924E-2</v>
      </c>
      <c r="E45" s="240">
        <v>6.8063085992388722E-2</v>
      </c>
      <c r="F45" s="241">
        <v>6.2105725228597732E-2</v>
      </c>
      <c r="G45" s="242">
        <v>6.9617809905239636E-2</v>
      </c>
      <c r="H45" s="243">
        <v>5.8272410258034125E-2</v>
      </c>
      <c r="I45" s="244">
        <v>6.0326968955898078E-2</v>
      </c>
      <c r="J45" s="245">
        <v>7.154904871572465E-2</v>
      </c>
      <c r="K45" s="246">
        <v>6.2175098870883405E-2</v>
      </c>
    </row>
    <row r="46" spans="1:11">
      <c r="A46" s="236">
        <v>12</v>
      </c>
      <c r="B46" s="237">
        <v>5.6129876690624352E-2</v>
      </c>
      <c r="C46" s="238">
        <v>8.8247295302960396E-2</v>
      </c>
      <c r="D46" s="239">
        <v>5.2546757981840657E-2</v>
      </c>
      <c r="E46" s="240">
        <v>7.9159105607977565E-2</v>
      </c>
      <c r="F46" s="241">
        <v>6.2845787683365698E-2</v>
      </c>
      <c r="G46" s="242">
        <v>7.4869896930983296E-2</v>
      </c>
      <c r="H46" s="243">
        <v>5.7838329223417154E-2</v>
      </c>
      <c r="I46" s="244">
        <v>6.0839260206561815E-2</v>
      </c>
      <c r="J46" s="245">
        <v>7.1633892135131064E-2</v>
      </c>
      <c r="K46" s="246">
        <v>6.0848745212913072E-2</v>
      </c>
    </row>
    <row r="47" spans="1:11">
      <c r="A47" s="236">
        <v>13</v>
      </c>
      <c r="B47" s="237">
        <v>5.8219476911065694E-2</v>
      </c>
      <c r="C47" s="238">
        <v>8.9967166102910057E-2</v>
      </c>
      <c r="D47" s="239">
        <v>5.6339115421455976E-2</v>
      </c>
      <c r="E47" s="240">
        <v>8.3728760180032821E-2</v>
      </c>
      <c r="F47" s="241">
        <v>6.203913154860434E-2</v>
      </c>
      <c r="G47" s="242">
        <v>7.6064361854793608E-2</v>
      </c>
      <c r="H47" s="243">
        <v>5.6570390395858157E-2</v>
      </c>
      <c r="I47" s="244">
        <v>5.6976509389513361E-2</v>
      </c>
      <c r="J47" s="245">
        <v>6.8465415926811851E-2</v>
      </c>
      <c r="K47" s="246">
        <v>5.7224993590300054E-2</v>
      </c>
    </row>
    <row r="48" spans="1:11">
      <c r="A48" s="236">
        <v>14</v>
      </c>
      <c r="B48" s="237">
        <v>6.1385259516100639E-2</v>
      </c>
      <c r="C48" s="238">
        <v>8.8502797173462891E-2</v>
      </c>
      <c r="D48" s="239">
        <v>5.8203988593739951E-2</v>
      </c>
      <c r="E48" s="240">
        <v>8.13630955481493E-2</v>
      </c>
      <c r="F48" s="241">
        <v>6.6162061093684998E-2</v>
      </c>
      <c r="G48" s="242">
        <v>7.2254684058612337E-2</v>
      </c>
      <c r="H48" s="243">
        <v>6.1238410762043109E-2</v>
      </c>
      <c r="I48" s="244">
        <v>5.7279396917278048E-2</v>
      </c>
      <c r="J48" s="245">
        <v>6.9665473228355285E-2</v>
      </c>
      <c r="K48" s="246">
        <v>5.199932168214752E-2</v>
      </c>
    </row>
    <row r="49" spans="1:11">
      <c r="A49" s="236">
        <v>15</v>
      </c>
      <c r="B49" s="237">
        <v>6.6247215779926066E-2</v>
      </c>
      <c r="C49" s="238">
        <v>8.4700776801955549E-2</v>
      </c>
      <c r="D49" s="239">
        <v>6.5103966134845065E-2</v>
      </c>
      <c r="E49" s="240">
        <v>7.6746027893939098E-2</v>
      </c>
      <c r="F49" s="241">
        <v>7.1468612928965489E-2</v>
      </c>
      <c r="G49" s="242">
        <v>6.7962269142963674E-2</v>
      </c>
      <c r="H49" s="243">
        <v>6.7446165375638426E-2</v>
      </c>
      <c r="I49" s="244">
        <v>5.8098315047901104E-2</v>
      </c>
      <c r="J49" s="245">
        <v>6.7895237202472633E-2</v>
      </c>
      <c r="K49" s="246">
        <v>4.7911245339088269E-2</v>
      </c>
    </row>
    <row r="50" spans="1:11">
      <c r="A50" s="236">
        <v>16</v>
      </c>
      <c r="B50" s="237">
        <v>7.7711696403285194E-2</v>
      </c>
      <c r="C50" s="238">
        <v>7.9560231705875395E-2</v>
      </c>
      <c r="D50" s="239">
        <v>7.9779623398779961E-2</v>
      </c>
      <c r="E50" s="240">
        <v>7.2553117933916042E-2</v>
      </c>
      <c r="F50" s="241">
        <v>7.8951354373078375E-2</v>
      </c>
      <c r="G50" s="242">
        <v>6.4902613201467702E-2</v>
      </c>
      <c r="H50" s="243">
        <v>7.1231510324927472E-2</v>
      </c>
      <c r="I50" s="244">
        <v>6.0813084741199432E-2</v>
      </c>
      <c r="J50" s="245">
        <v>6.1393884543063389E-2</v>
      </c>
      <c r="K50" s="246">
        <v>4.6207375495363821E-2</v>
      </c>
    </row>
    <row r="51" spans="1:11">
      <c r="A51" s="236">
        <v>17</v>
      </c>
      <c r="B51" s="237">
        <v>8.9284866854960315E-2</v>
      </c>
      <c r="C51" s="238">
        <v>7.5983205518840399E-2</v>
      </c>
      <c r="D51" s="239">
        <v>9.2393229715149433E-2</v>
      </c>
      <c r="E51" s="240">
        <v>7.4597026679902978E-2</v>
      </c>
      <c r="F51" s="241">
        <v>7.6518250939499044E-2</v>
      </c>
      <c r="G51" s="242">
        <v>6.5503713749266029E-2</v>
      </c>
      <c r="H51" s="243">
        <v>6.5195277092791742E-2</v>
      </c>
      <c r="I51" s="244">
        <v>6.2465878411224036E-2</v>
      </c>
      <c r="J51" s="245">
        <v>4.9430962406757664E-2</v>
      </c>
      <c r="K51" s="246">
        <v>4.6155896015488258E-2</v>
      </c>
    </row>
    <row r="52" spans="1:11">
      <c r="A52" s="236">
        <v>18</v>
      </c>
      <c r="B52" s="237">
        <v>7.4738799972444828E-2</v>
      </c>
      <c r="C52" s="238">
        <v>6.6098715245072062E-2</v>
      </c>
      <c r="D52" s="239">
        <v>7.7708137627658186E-2</v>
      </c>
      <c r="E52" s="240">
        <v>7.4362965403810294E-2</v>
      </c>
      <c r="F52" s="241">
        <v>5.8024956371954269E-2</v>
      </c>
      <c r="G52" s="242">
        <v>6.3954932157641517E-2</v>
      </c>
      <c r="H52" s="243">
        <v>6.3061814986482792E-2</v>
      </c>
      <c r="I52" s="244">
        <v>6.8030034476827234E-2</v>
      </c>
      <c r="J52" s="245">
        <v>3.9304810041644191E-2</v>
      </c>
      <c r="K52" s="246">
        <v>4.92860502722356E-2</v>
      </c>
    </row>
    <row r="53" spans="1:11">
      <c r="A53" s="236">
        <v>19</v>
      </c>
      <c r="B53" s="237">
        <v>5.2056304392752988E-2</v>
      </c>
      <c r="C53" s="238">
        <v>5.3155829446781246E-2</v>
      </c>
      <c r="D53" s="239">
        <v>5.3512492469204136E-2</v>
      </c>
      <c r="E53" s="240">
        <v>6.5113809421979932E-2</v>
      </c>
      <c r="F53" s="241">
        <v>3.9156532716005325E-2</v>
      </c>
      <c r="G53" s="242">
        <v>5.4756237095098442E-2</v>
      </c>
      <c r="H53" s="243">
        <v>4.7252821196876203E-2</v>
      </c>
      <c r="I53" s="244">
        <v>6.0730818992917664E-2</v>
      </c>
      <c r="J53" s="245">
        <v>3.0921687074001902E-2</v>
      </c>
      <c r="K53" s="246">
        <v>4.4866890215466859E-2</v>
      </c>
    </row>
    <row r="54" spans="1:11">
      <c r="A54" s="236">
        <v>20</v>
      </c>
      <c r="B54" s="237">
        <v>3.4620006582623403E-2</v>
      </c>
      <c r="C54" s="238">
        <v>3.4050391070400296E-2</v>
      </c>
      <c r="D54" s="239">
        <v>3.8912735349666203E-2</v>
      </c>
      <c r="E54" s="240">
        <v>5.1425117084190015E-2</v>
      </c>
      <c r="F54" s="241">
        <v>2.7380290052676979E-2</v>
      </c>
      <c r="G54" s="242">
        <v>4.18217446769336E-2</v>
      </c>
      <c r="H54" s="243">
        <v>3.6253023064348223E-2</v>
      </c>
      <c r="I54" s="244">
        <v>5.2665036309109813E-2</v>
      </c>
      <c r="J54" s="245">
        <v>2.3639078672672412E-2</v>
      </c>
      <c r="K54" s="246">
        <v>3.578833252917675E-2</v>
      </c>
    </row>
    <row r="55" spans="1:11">
      <c r="A55" s="236">
        <v>21</v>
      </c>
      <c r="B55" s="237">
        <v>2.3230537249228838E-2</v>
      </c>
      <c r="C55" s="238">
        <v>2.2221035812209938E-2</v>
      </c>
      <c r="D55" s="239">
        <v>2.811521212333876E-2</v>
      </c>
      <c r="E55" s="240">
        <v>3.4444859682616041E-2</v>
      </c>
      <c r="F55" s="241">
        <v>1.8865484348694062E-2</v>
      </c>
      <c r="G55" s="242">
        <v>2.8923612266164536E-2</v>
      </c>
      <c r="H55" s="243">
        <v>2.6304782939691764E-2</v>
      </c>
      <c r="I55" s="244">
        <v>4.0650497707777102E-2</v>
      </c>
      <c r="J55" s="245">
        <v>1.8689277480918934E-2</v>
      </c>
      <c r="K55" s="246">
        <v>2.8440898528898157E-2</v>
      </c>
    </row>
    <row r="56" spans="1:11">
      <c r="A56" s="236">
        <v>22</v>
      </c>
      <c r="B56" s="237">
        <v>1.6285104135571424E-2</v>
      </c>
      <c r="C56" s="238">
        <v>1.488775078271282E-2</v>
      </c>
      <c r="D56" s="239">
        <v>1.9591170225656089E-2</v>
      </c>
      <c r="E56" s="240">
        <v>2.2715359492780855E-2</v>
      </c>
      <c r="F56" s="241">
        <v>1.2954904872535563E-2</v>
      </c>
      <c r="G56" s="242">
        <v>1.9892405322795636E-2</v>
      </c>
      <c r="H56" s="243">
        <v>2.0021822797302628E-2</v>
      </c>
      <c r="I56" s="244">
        <v>2.8994936917128476E-2</v>
      </c>
      <c r="J56" s="245">
        <v>1.5529311402813733E-2</v>
      </c>
      <c r="K56" s="246">
        <v>2.4564796514738273E-2</v>
      </c>
    </row>
    <row r="57" spans="1:11" ht="15.75" thickBot="1">
      <c r="A57" s="247">
        <v>23</v>
      </c>
      <c r="B57" s="248">
        <v>1.007600633768858E-2</v>
      </c>
      <c r="C57" s="249">
        <v>1.0525151680401482E-2</v>
      </c>
      <c r="D57" s="250">
        <v>1.2228324255694799E-2</v>
      </c>
      <c r="E57" s="251">
        <v>1.5737747297101659E-2</v>
      </c>
      <c r="F57" s="252">
        <v>8.4641026538362224E-3</v>
      </c>
      <c r="G57" s="253">
        <v>1.4945123465433623E-2</v>
      </c>
      <c r="H57" s="254">
        <v>1.9304071785656327E-2</v>
      </c>
      <c r="I57" s="255">
        <v>2.5599605124408249E-2</v>
      </c>
      <c r="J57" s="256">
        <v>1.2656368807381326E-2</v>
      </c>
      <c r="K57" s="257">
        <v>2.1426567045461427E-2</v>
      </c>
    </row>
  </sheetData>
  <mergeCells count="5">
    <mergeCell ref="B32:C32"/>
    <mergeCell ref="D32:E32"/>
    <mergeCell ref="F32:G32"/>
    <mergeCell ref="H32:I32"/>
    <mergeCell ref="J32:K32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6">
    <tabColor theme="4"/>
  </sheetPr>
  <dimension ref="A1:AA13"/>
  <sheetViews>
    <sheetView workbookViewId="0"/>
  </sheetViews>
  <sheetFormatPr defaultRowHeight="15"/>
  <cols>
    <col min="1" max="1" width="30.7109375" bestFit="1" customWidth="1"/>
  </cols>
  <sheetData>
    <row r="1" spans="1:27" ht="15.75" thickBot="1">
      <c r="A1" s="168"/>
      <c r="B1" s="169">
        <v>2001</v>
      </c>
      <c r="C1" s="169">
        <v>2002</v>
      </c>
      <c r="D1" s="169">
        <v>2003</v>
      </c>
      <c r="E1" s="169">
        <v>2004</v>
      </c>
      <c r="F1" s="169">
        <v>2005</v>
      </c>
      <c r="G1" s="169">
        <v>2006</v>
      </c>
      <c r="H1" s="169">
        <v>2007</v>
      </c>
      <c r="I1" s="169">
        <v>2008</v>
      </c>
      <c r="J1" s="169">
        <v>2009</v>
      </c>
      <c r="K1" s="169">
        <v>2010</v>
      </c>
      <c r="L1" s="169">
        <v>2011</v>
      </c>
      <c r="M1" s="169">
        <v>2012</v>
      </c>
      <c r="N1" s="170">
        <v>2013</v>
      </c>
    </row>
    <row r="2" spans="1:27">
      <c r="A2" s="168" t="s">
        <v>66</v>
      </c>
      <c r="B2" s="176">
        <v>7.262813650718436E-2</v>
      </c>
      <c r="C2" s="176">
        <v>8.5604210444802709E-2</v>
      </c>
      <c r="D2" s="176">
        <v>0.10243916188894797</v>
      </c>
      <c r="E2" s="176">
        <v>0.10789143128850309</v>
      </c>
      <c r="F2" s="176">
        <v>0.12654186043877091</v>
      </c>
      <c r="G2" s="176">
        <v>0.12382434246304896</v>
      </c>
      <c r="H2" s="176">
        <v>0.13240868844251197</v>
      </c>
      <c r="I2" s="176">
        <v>0.16185364919506595</v>
      </c>
      <c r="J2" s="176">
        <v>0.16988336920865699</v>
      </c>
      <c r="K2" s="176">
        <v>0.20209504623340302</v>
      </c>
      <c r="L2" s="176">
        <v>0.23295867176739304</v>
      </c>
      <c r="M2" s="176">
        <v>0.24980340422079905</v>
      </c>
      <c r="N2" s="177">
        <v>0.29944683478550904</v>
      </c>
    </row>
    <row r="3" spans="1:27">
      <c r="A3" s="175" t="s">
        <v>67</v>
      </c>
      <c r="B3" s="178">
        <v>9.6126859470563097E-2</v>
      </c>
      <c r="C3" s="178">
        <v>0.10182537473671105</v>
      </c>
      <c r="D3" s="178">
        <v>7.8879941803693399E-2</v>
      </c>
      <c r="E3" s="178">
        <v>0.12328824075103695</v>
      </c>
      <c r="F3" s="178">
        <v>0.1172047999979311</v>
      </c>
      <c r="G3" s="178">
        <v>0.12191773467271694</v>
      </c>
      <c r="H3" s="178">
        <v>0.13608158364831202</v>
      </c>
      <c r="I3" s="178">
        <v>0.17371203720409412</v>
      </c>
      <c r="J3" s="178">
        <v>0.17859957259753001</v>
      </c>
      <c r="K3" s="178">
        <v>0.22733381237762296</v>
      </c>
      <c r="L3" s="178">
        <v>0.26559082977937098</v>
      </c>
      <c r="M3" s="178">
        <v>0.22646736836019299</v>
      </c>
      <c r="N3" s="179">
        <v>0.32886220503042196</v>
      </c>
    </row>
    <row r="4" spans="1:27">
      <c r="A4" s="171" t="s">
        <v>68</v>
      </c>
      <c r="B4" s="172"/>
      <c r="C4" s="172"/>
      <c r="D4" s="172"/>
      <c r="E4" s="172"/>
      <c r="F4" s="172"/>
      <c r="G4" s="172"/>
      <c r="H4" s="172"/>
      <c r="I4" s="172"/>
      <c r="J4" s="172"/>
      <c r="K4" s="172"/>
      <c r="L4" s="172"/>
      <c r="M4" s="172">
        <v>0.25246594857120996</v>
      </c>
      <c r="N4" s="173">
        <v>0.25748985329427998</v>
      </c>
    </row>
    <row r="5" spans="1:27">
      <c r="A5" s="171" t="s">
        <v>69</v>
      </c>
      <c r="B5" s="172"/>
      <c r="C5" s="172"/>
      <c r="D5" s="172">
        <v>0.20843373493975004</v>
      </c>
      <c r="E5" s="172">
        <v>0.24296296296295994</v>
      </c>
      <c r="F5" s="172">
        <v>0.25172413793102999</v>
      </c>
      <c r="G5" s="172">
        <v>0.2421875</v>
      </c>
      <c r="H5" s="172">
        <v>0.26918604651162004</v>
      </c>
      <c r="I5" s="172">
        <v>0.30649350649349993</v>
      </c>
      <c r="J5" s="172">
        <v>0.31679389312977002</v>
      </c>
      <c r="K5" s="172">
        <v>0.37453194187220995</v>
      </c>
      <c r="L5" s="172">
        <v>0.42091967073120995</v>
      </c>
      <c r="M5" s="172">
        <v>0.46032075562021002</v>
      </c>
      <c r="N5" s="173">
        <v>0.43729781344806007</v>
      </c>
    </row>
    <row r="6" spans="1:27">
      <c r="A6" s="171" t="s">
        <v>70</v>
      </c>
      <c r="B6" s="172"/>
      <c r="C6" s="172"/>
      <c r="D6" s="172"/>
      <c r="E6" s="172"/>
      <c r="F6" s="172"/>
      <c r="G6" s="172"/>
      <c r="H6" s="172"/>
      <c r="I6" s="172">
        <v>0.144059932</v>
      </c>
      <c r="J6" s="172">
        <v>0.16654262799999997</v>
      </c>
      <c r="K6" s="172">
        <v>0.16621167699999995</v>
      </c>
      <c r="L6" s="172">
        <v>0.20039068700000007</v>
      </c>
      <c r="M6" s="172">
        <v>0.22158378699999992</v>
      </c>
      <c r="N6" s="173">
        <v>0.27241941599999997</v>
      </c>
    </row>
    <row r="7" spans="1:27">
      <c r="A7" s="171" t="s">
        <v>71</v>
      </c>
      <c r="B7" s="172"/>
      <c r="C7" s="172"/>
      <c r="D7" s="172"/>
      <c r="E7" s="172">
        <v>0.11035783292895007</v>
      </c>
      <c r="F7" s="172">
        <v>0.13679223011618991</v>
      </c>
      <c r="G7" s="172">
        <v>0.13179790952537007</v>
      </c>
      <c r="H7" s="172">
        <v>0.13549252707256998</v>
      </c>
      <c r="I7" s="172">
        <v>0.17066930771292999</v>
      </c>
      <c r="J7" s="172">
        <v>0.18804609383783011</v>
      </c>
      <c r="K7" s="172">
        <v>0.21771527886912989</v>
      </c>
      <c r="L7" s="172">
        <v>0.27519364904727994</v>
      </c>
      <c r="M7" s="172">
        <v>0.3680699999999999</v>
      </c>
      <c r="N7" s="173">
        <v>0.51168999999999998</v>
      </c>
    </row>
    <row r="8" spans="1:27">
      <c r="A8" s="171" t="s">
        <v>72</v>
      </c>
      <c r="B8" s="172"/>
      <c r="C8" s="172"/>
      <c r="D8" s="172"/>
      <c r="E8" s="172"/>
      <c r="F8" s="172"/>
      <c r="G8" s="172">
        <v>0.20999999999999996</v>
      </c>
      <c r="H8" s="172">
        <v>0.20999999999999996</v>
      </c>
      <c r="I8" s="172">
        <v>0.21999999999999997</v>
      </c>
      <c r="J8" s="172">
        <v>0.24</v>
      </c>
      <c r="K8" s="172">
        <v>0.28000000000000003</v>
      </c>
      <c r="L8" s="172">
        <v>0.33000000000000007</v>
      </c>
      <c r="M8" s="172">
        <f>(L8+(N8-L8)/2)</f>
        <v>0.35340000000000005</v>
      </c>
      <c r="N8" s="173">
        <v>0.37680000000000002</v>
      </c>
    </row>
    <row r="9" spans="1:27" ht="15.75" thickBot="1">
      <c r="A9" s="174" t="s">
        <v>73</v>
      </c>
      <c r="B9" s="166">
        <v>6.8679140063083288E-2</v>
      </c>
      <c r="C9" s="166">
        <v>0.11527562308611938</v>
      </c>
      <c r="D9" s="166">
        <v>8.5265862073799159E-2</v>
      </c>
      <c r="E9" s="166">
        <v>9.3013148652591138E-2</v>
      </c>
      <c r="F9" s="166">
        <v>0.12340923323934594</v>
      </c>
      <c r="G9" s="166">
        <v>0.12717727938072843</v>
      </c>
      <c r="H9" s="166">
        <v>0.12574043885740172</v>
      </c>
      <c r="I9" s="166">
        <v>9.6733522455403342E-2</v>
      </c>
      <c r="J9" s="166">
        <v>0.14404330988810843</v>
      </c>
      <c r="K9" s="166">
        <v>0.16266958435974566</v>
      </c>
      <c r="L9" s="166">
        <v>0.17937810601654647</v>
      </c>
      <c r="M9" s="166">
        <v>0.21849733137668115</v>
      </c>
      <c r="N9" s="167">
        <v>0.2013102174934811</v>
      </c>
    </row>
    <row r="11" spans="1:27">
      <c r="A11" s="180" t="s">
        <v>74</v>
      </c>
      <c r="P11" s="369"/>
      <c r="Q11" s="369"/>
    </row>
    <row r="13" spans="1:27">
      <c r="P13" s="369"/>
      <c r="Q13" s="369"/>
      <c r="R13" s="369"/>
      <c r="S13" s="369"/>
      <c r="T13" s="369"/>
      <c r="U13" s="369"/>
      <c r="V13" s="369"/>
      <c r="W13" s="369"/>
      <c r="X13" s="369"/>
      <c r="Y13" s="369"/>
      <c r="Z13" s="369"/>
      <c r="AA13" s="369"/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7">
    <tabColor theme="4"/>
  </sheetPr>
  <dimension ref="A1:AD51"/>
  <sheetViews>
    <sheetView workbookViewId="0">
      <selection activeCell="P8" sqref="P8"/>
    </sheetView>
  </sheetViews>
  <sheetFormatPr defaultRowHeight="15"/>
  <cols>
    <col min="1" max="1" width="20" bestFit="1" customWidth="1"/>
    <col min="2" max="2" width="32" bestFit="1" customWidth="1"/>
    <col min="3" max="3" width="12.85546875" bestFit="1" customWidth="1"/>
    <col min="4" max="4" width="15.7109375" bestFit="1" customWidth="1"/>
    <col min="5" max="5" width="35.7109375" bestFit="1" customWidth="1"/>
    <col min="6" max="6" width="12.85546875" bestFit="1" customWidth="1"/>
    <col min="7" max="7" width="12.140625" bestFit="1" customWidth="1"/>
    <col min="8" max="8" width="14.85546875" bestFit="1" customWidth="1"/>
    <col min="9" max="9" width="8.7109375" bestFit="1" customWidth="1"/>
    <col min="10" max="10" width="12.85546875" bestFit="1" customWidth="1"/>
    <col min="11" max="11" width="12.140625" bestFit="1" customWidth="1"/>
    <col min="12" max="12" width="12" bestFit="1" customWidth="1"/>
    <col min="13" max="13" width="8.7109375" bestFit="1" customWidth="1"/>
    <col min="15" max="15" width="15" bestFit="1" customWidth="1"/>
    <col min="16" max="16" width="8.140625" customWidth="1"/>
    <col min="18" max="18" width="15.7109375" bestFit="1" customWidth="1"/>
    <col min="19" max="19" width="25.28515625" bestFit="1" customWidth="1"/>
    <col min="20" max="20" width="9.85546875" bestFit="1" customWidth="1"/>
    <col min="21" max="21" width="8.85546875" bestFit="1" customWidth="1"/>
    <col min="22" max="22" width="8.7109375" bestFit="1" customWidth="1"/>
    <col min="23" max="23" width="7.140625" bestFit="1" customWidth="1"/>
    <col min="24" max="24" width="9.85546875" bestFit="1" customWidth="1"/>
    <col min="25" max="26" width="8.85546875" bestFit="1" customWidth="1"/>
    <col min="27" max="27" width="7.140625" bestFit="1" customWidth="1"/>
    <col min="29" max="29" width="32.85546875" bestFit="1" customWidth="1"/>
  </cols>
  <sheetData>
    <row r="1" spans="1:30">
      <c r="A1" t="s">
        <v>93</v>
      </c>
    </row>
    <row r="2" spans="1:30" ht="15.75" thickBot="1"/>
    <row r="3" spans="1:30" ht="15.75" thickBot="1">
      <c r="A3" s="1758" t="s">
        <v>94</v>
      </c>
      <c r="B3" s="1759"/>
      <c r="D3" s="6"/>
      <c r="E3" s="184"/>
      <c r="F3" s="1760" t="s">
        <v>95</v>
      </c>
      <c r="G3" s="1761"/>
      <c r="H3" s="1761"/>
      <c r="I3" s="1761"/>
      <c r="J3" s="1761"/>
      <c r="K3" s="1761"/>
      <c r="L3" s="1761"/>
      <c r="M3" s="1762"/>
      <c r="R3" s="6"/>
      <c r="S3" s="184"/>
      <c r="T3" s="1760" t="s">
        <v>95</v>
      </c>
      <c r="U3" s="1761"/>
      <c r="V3" s="1761"/>
      <c r="W3" s="1761"/>
      <c r="X3" s="1761"/>
      <c r="Y3" s="1761"/>
      <c r="Z3" s="1761"/>
      <c r="AA3" s="1762"/>
    </row>
    <row r="4" spans="1:30">
      <c r="A4" s="1763" t="s">
        <v>96</v>
      </c>
      <c r="B4" s="190">
        <v>0</v>
      </c>
      <c r="D4" s="6"/>
      <c r="E4" s="184"/>
      <c r="F4" s="191">
        <v>1</v>
      </c>
      <c r="G4" s="192">
        <v>2</v>
      </c>
      <c r="H4" s="192">
        <v>3</v>
      </c>
      <c r="I4" s="192">
        <v>4</v>
      </c>
      <c r="J4" s="192">
        <v>6</v>
      </c>
      <c r="K4" s="192">
        <v>7</v>
      </c>
      <c r="L4" s="192">
        <v>8</v>
      </c>
      <c r="M4" s="193">
        <v>9</v>
      </c>
      <c r="R4" s="6"/>
      <c r="S4" s="184"/>
      <c r="T4" s="573">
        <v>1</v>
      </c>
      <c r="U4" s="574">
        <v>2</v>
      </c>
      <c r="V4" s="574">
        <v>3</v>
      </c>
      <c r="W4" s="574">
        <v>4</v>
      </c>
      <c r="X4" s="574">
        <v>6</v>
      </c>
      <c r="Y4" s="574">
        <v>7</v>
      </c>
      <c r="Z4" s="574">
        <v>8</v>
      </c>
      <c r="AA4" s="575">
        <v>9</v>
      </c>
    </row>
    <row r="5" spans="1:30" ht="15.75" thickBot="1">
      <c r="A5" s="1764"/>
      <c r="B5" s="194">
        <v>2.0833333333333332E-2</v>
      </c>
      <c r="D5" s="6"/>
      <c r="E5" s="184"/>
      <c r="F5" s="1766" t="s">
        <v>97</v>
      </c>
      <c r="G5" s="1767"/>
      <c r="H5" s="1767"/>
      <c r="I5" s="1767"/>
      <c r="J5" s="1767" t="s">
        <v>98</v>
      </c>
      <c r="K5" s="1767"/>
      <c r="L5" s="1767"/>
      <c r="M5" s="1768"/>
      <c r="R5" s="6"/>
      <c r="S5" s="184"/>
      <c r="T5" s="1766" t="s">
        <v>97</v>
      </c>
      <c r="U5" s="1767"/>
      <c r="V5" s="1767"/>
      <c r="W5" s="1767"/>
      <c r="X5" s="1767" t="s">
        <v>98</v>
      </c>
      <c r="Y5" s="1767"/>
      <c r="Z5" s="1767"/>
      <c r="AA5" s="1768"/>
    </row>
    <row r="6" spans="1:30">
      <c r="A6" s="1764"/>
      <c r="B6" s="194">
        <v>4.1666666666666699E-2</v>
      </c>
      <c r="D6" s="6"/>
      <c r="E6" s="195" t="s">
        <v>99</v>
      </c>
      <c r="F6" s="196">
        <v>2540</v>
      </c>
      <c r="G6" s="192">
        <v>2680</v>
      </c>
      <c r="H6" s="192">
        <v>522</v>
      </c>
      <c r="I6" s="192">
        <v>522</v>
      </c>
      <c r="J6" s="192">
        <v>1300</v>
      </c>
      <c r="K6" s="192">
        <v>780</v>
      </c>
      <c r="L6" s="192">
        <v>208</v>
      </c>
      <c r="M6" s="193">
        <v>208</v>
      </c>
      <c r="O6" s="197" t="s">
        <v>100</v>
      </c>
      <c r="P6" s="198">
        <f>SUM(F6:M6)</f>
        <v>8760</v>
      </c>
      <c r="R6" s="6"/>
      <c r="S6" s="195" t="s">
        <v>99</v>
      </c>
      <c r="T6" s="196">
        <v>2540</v>
      </c>
      <c r="U6" s="574">
        <v>2680</v>
      </c>
      <c r="V6" s="574">
        <v>522</v>
      </c>
      <c r="W6" s="574">
        <v>522</v>
      </c>
      <c r="X6" s="574">
        <v>1300</v>
      </c>
      <c r="Y6" s="574">
        <v>780</v>
      </c>
      <c r="Z6" s="574">
        <v>208</v>
      </c>
      <c r="AA6" s="575">
        <v>208</v>
      </c>
      <c r="AC6" s="576" t="s">
        <v>100</v>
      </c>
      <c r="AD6" s="198">
        <f>SUM(T6:AA6)</f>
        <v>8760</v>
      </c>
    </row>
    <row r="7" spans="1:30" ht="30" customHeight="1" thickBot="1">
      <c r="A7" s="1764"/>
      <c r="B7" s="194">
        <v>6.25E-2</v>
      </c>
      <c r="D7" s="185"/>
      <c r="E7" s="199" t="s">
        <v>101</v>
      </c>
      <c r="F7" s="200" t="s">
        <v>102</v>
      </c>
      <c r="G7" s="201" t="s">
        <v>103</v>
      </c>
      <c r="H7" s="201" t="s">
        <v>104</v>
      </c>
      <c r="I7" s="201" t="s">
        <v>105</v>
      </c>
      <c r="J7" s="201" t="s">
        <v>102</v>
      </c>
      <c r="K7" s="201" t="s">
        <v>103</v>
      </c>
      <c r="L7" s="201" t="s">
        <v>104</v>
      </c>
      <c r="M7" s="202" t="s">
        <v>105</v>
      </c>
      <c r="O7" s="203" t="s">
        <v>106</v>
      </c>
      <c r="P7" s="204">
        <f>((F6/P6)*F14)+((G6/P6)*G14)+((H6/P6)*H14)+((I6/P6)*I14)+((J6/P6)*J14)+((K6/P6)*K14)+((L6/P6)*L14)+((M6/P6)*M14)</f>
        <v>1.49201152283105</v>
      </c>
      <c r="R7" s="185"/>
      <c r="S7" s="199" t="s">
        <v>101</v>
      </c>
      <c r="T7" s="200" t="s">
        <v>102</v>
      </c>
      <c r="U7" s="201" t="s">
        <v>103</v>
      </c>
      <c r="V7" s="201" t="s">
        <v>104</v>
      </c>
      <c r="W7" s="201" t="s">
        <v>105</v>
      </c>
      <c r="X7" s="201" t="s">
        <v>102</v>
      </c>
      <c r="Y7" s="201" t="s">
        <v>103</v>
      </c>
      <c r="Z7" s="201" t="s">
        <v>104</v>
      </c>
      <c r="AA7" s="202" t="s">
        <v>105</v>
      </c>
      <c r="AC7" s="203" t="s">
        <v>106</v>
      </c>
      <c r="AD7" s="594">
        <f>((T6/AD6)*T14)+((U6/AD6)*U14)+((V6/AD6)*V14)+((W6/AD6)*W14)+((X6/AD6)*X14)+((Y6/AD6)*Y14)+((Z6/AD6)*Z14)+((AA6/AD6)*AA14)</f>
        <v>7.2299999999999995</v>
      </c>
    </row>
    <row r="8" spans="1:30">
      <c r="A8" s="1764"/>
      <c r="B8" s="194">
        <v>8.3333333333333301E-2</v>
      </c>
      <c r="D8" s="1769" t="s">
        <v>107</v>
      </c>
      <c r="E8" s="205" t="s">
        <v>108</v>
      </c>
      <c r="F8" s="206">
        <v>1.24</v>
      </c>
      <c r="G8" s="207">
        <v>1.25</v>
      </c>
      <c r="H8" s="207">
        <v>1.26</v>
      </c>
      <c r="I8" s="207">
        <v>1.26</v>
      </c>
      <c r="J8" s="207">
        <v>1.33</v>
      </c>
      <c r="K8" s="207">
        <v>1.34</v>
      </c>
      <c r="L8" s="207">
        <v>1.38</v>
      </c>
      <c r="M8" s="208">
        <v>1.38</v>
      </c>
      <c r="R8" s="1769" t="s">
        <v>107</v>
      </c>
      <c r="S8" s="205" t="s">
        <v>108</v>
      </c>
      <c r="T8" s="206">
        <v>1.35</v>
      </c>
      <c r="U8" s="207">
        <v>1.35</v>
      </c>
      <c r="V8" s="207">
        <v>1.35</v>
      </c>
      <c r="W8" s="207">
        <v>1.35</v>
      </c>
      <c r="X8" s="207">
        <v>1.35</v>
      </c>
      <c r="Y8" s="207">
        <v>1.35</v>
      </c>
      <c r="Z8" s="207">
        <v>1.35</v>
      </c>
      <c r="AA8" s="208">
        <v>1.35</v>
      </c>
    </row>
    <row r="9" spans="1:30" ht="15.75" thickBot="1">
      <c r="A9" s="1764"/>
      <c r="B9" s="194">
        <v>0.104166666666667</v>
      </c>
      <c r="D9" s="1766"/>
      <c r="E9" s="193" t="s">
        <v>109</v>
      </c>
      <c r="F9" s="209">
        <v>0.10299999999999999</v>
      </c>
      <c r="G9" s="210">
        <v>0.16900000000000001</v>
      </c>
      <c r="H9" s="210">
        <v>0.13300000000000001</v>
      </c>
      <c r="I9" s="210">
        <v>0.12</v>
      </c>
      <c r="J9" s="210">
        <v>4.4999999999999998E-2</v>
      </c>
      <c r="K9" s="210">
        <v>1.7999999999999999E-2</v>
      </c>
      <c r="L9" s="210">
        <v>2.7E-2</v>
      </c>
      <c r="M9" s="211">
        <v>2.7E-2</v>
      </c>
      <c r="R9" s="1766"/>
      <c r="S9" s="575" t="s">
        <v>109</v>
      </c>
      <c r="T9" s="209">
        <v>0.10199999999999999</v>
      </c>
      <c r="U9" s="210">
        <v>0.10199999999999999</v>
      </c>
      <c r="V9" s="210">
        <v>0.10199999999999999</v>
      </c>
      <c r="W9" s="210">
        <v>0.10199999999999999</v>
      </c>
      <c r="X9" s="210">
        <v>0.10199999999999999</v>
      </c>
      <c r="Y9" s="210">
        <v>0.10199999999999999</v>
      </c>
      <c r="Z9" s="210">
        <v>0.10199999999999999</v>
      </c>
      <c r="AA9" s="211">
        <v>0.10199999999999999</v>
      </c>
    </row>
    <row r="10" spans="1:30" ht="15.75" thickBot="1">
      <c r="A10" s="1764"/>
      <c r="B10" s="194">
        <v>0.125</v>
      </c>
      <c r="D10" s="1766" t="s">
        <v>110</v>
      </c>
      <c r="E10" s="193" t="s">
        <v>108</v>
      </c>
      <c r="F10" s="212">
        <v>1.21</v>
      </c>
      <c r="G10" s="207">
        <v>1.22</v>
      </c>
      <c r="H10" s="207">
        <v>1.23</v>
      </c>
      <c r="I10" s="207">
        <v>1.23</v>
      </c>
      <c r="J10" s="207">
        <v>1.2</v>
      </c>
      <c r="K10" s="207">
        <v>1.23</v>
      </c>
      <c r="L10" s="207">
        <v>1.22</v>
      </c>
      <c r="M10" s="208">
        <v>1.22</v>
      </c>
      <c r="R10" s="1766" t="s">
        <v>110</v>
      </c>
      <c r="S10" s="575" t="s">
        <v>108</v>
      </c>
      <c r="T10" s="572">
        <v>2.5</v>
      </c>
      <c r="U10" s="207">
        <v>2.5</v>
      </c>
      <c r="V10" s="207">
        <v>2.5</v>
      </c>
      <c r="W10" s="207">
        <v>2.5</v>
      </c>
      <c r="X10" s="207">
        <v>2.5</v>
      </c>
      <c r="Y10" s="207">
        <v>2.5</v>
      </c>
      <c r="Z10" s="207">
        <v>2.5</v>
      </c>
      <c r="AA10" s="208">
        <v>2.5</v>
      </c>
      <c r="AC10" s="810" t="s">
        <v>951</v>
      </c>
      <c r="AD10" s="811">
        <v>39.856105728527901</v>
      </c>
    </row>
    <row r="11" spans="1:30">
      <c r="A11" s="1764"/>
      <c r="B11" s="194">
        <v>0.14583333333333301</v>
      </c>
      <c r="D11" s="1766"/>
      <c r="E11" s="193" t="s">
        <v>109</v>
      </c>
      <c r="F11" s="209">
        <v>0.42199999999999999</v>
      </c>
      <c r="G11" s="210">
        <v>0.36699999999999999</v>
      </c>
      <c r="H11" s="210">
        <v>0.442</v>
      </c>
      <c r="I11" s="210">
        <v>0.42899999999999999</v>
      </c>
      <c r="J11" s="210">
        <v>0.24199999999999999</v>
      </c>
      <c r="K11" s="210">
        <v>7.9000000000000001E-2</v>
      </c>
      <c r="L11" s="210">
        <v>6.5000000000000002E-2</v>
      </c>
      <c r="M11" s="211">
        <v>6.5000000000000002E-2</v>
      </c>
      <c r="R11" s="1766"/>
      <c r="S11" s="575" t="s">
        <v>109</v>
      </c>
      <c r="T11" s="209">
        <v>0.189</v>
      </c>
      <c r="U11" s="210">
        <v>0.189</v>
      </c>
      <c r="V11" s="210">
        <v>0.189</v>
      </c>
      <c r="W11" s="210">
        <v>0.189</v>
      </c>
      <c r="X11" s="210">
        <v>0.189</v>
      </c>
      <c r="Y11" s="210">
        <v>0.189</v>
      </c>
      <c r="Z11" s="210">
        <v>0.189</v>
      </c>
      <c r="AA11" s="211">
        <v>0.189</v>
      </c>
    </row>
    <row r="12" spans="1:30">
      <c r="A12" s="1764"/>
      <c r="B12" s="194">
        <v>0.16666666666666699</v>
      </c>
      <c r="D12" s="1766" t="s">
        <v>111</v>
      </c>
      <c r="E12" s="193" t="s">
        <v>108</v>
      </c>
      <c r="F12" s="212">
        <v>1.64</v>
      </c>
      <c r="G12" s="207">
        <v>1.65</v>
      </c>
      <c r="H12" s="207">
        <v>1.66</v>
      </c>
      <c r="I12" s="207">
        <v>1.68</v>
      </c>
      <c r="J12" s="207">
        <v>1.7</v>
      </c>
      <c r="K12" s="207">
        <v>1.83</v>
      </c>
      <c r="L12" s="207">
        <v>1.85</v>
      </c>
      <c r="M12" s="208">
        <v>1.85</v>
      </c>
      <c r="R12" s="1766" t="s">
        <v>111</v>
      </c>
      <c r="S12" s="575" t="s">
        <v>108</v>
      </c>
      <c r="T12" s="572">
        <v>9.35</v>
      </c>
      <c r="U12" s="207">
        <v>9.35</v>
      </c>
      <c r="V12" s="207">
        <v>9.35</v>
      </c>
      <c r="W12" s="207">
        <v>9.35</v>
      </c>
      <c r="X12" s="207">
        <v>9.35</v>
      </c>
      <c r="Y12" s="207">
        <v>9.35</v>
      </c>
      <c r="Z12" s="207">
        <v>9.35</v>
      </c>
      <c r="AA12" s="208">
        <v>9.35</v>
      </c>
    </row>
    <row r="13" spans="1:30">
      <c r="A13" s="1764"/>
      <c r="B13" s="194">
        <v>0.1875</v>
      </c>
      <c r="D13" s="1770"/>
      <c r="E13" s="213" t="s">
        <v>109</v>
      </c>
      <c r="F13" s="209">
        <v>0.47499999999999998</v>
      </c>
      <c r="G13" s="210">
        <v>0.46400000000000002</v>
      </c>
      <c r="H13" s="210">
        <v>0.42499999999999999</v>
      </c>
      <c r="I13" s="210">
        <v>0.45100000000000001</v>
      </c>
      <c r="J13" s="210">
        <v>0.71299999999999997</v>
      </c>
      <c r="K13" s="210">
        <v>0.90300000000000002</v>
      </c>
      <c r="L13" s="210">
        <v>0.90900000000000003</v>
      </c>
      <c r="M13" s="211">
        <v>0.90900000000000003</v>
      </c>
      <c r="R13" s="1770"/>
      <c r="S13" s="213" t="s">
        <v>109</v>
      </c>
      <c r="T13" s="209">
        <v>0.70799999999999996</v>
      </c>
      <c r="U13" s="210">
        <v>0.70799999999999996</v>
      </c>
      <c r="V13" s="210">
        <v>0.70799999999999996</v>
      </c>
      <c r="W13" s="210">
        <v>0.70799999999999996</v>
      </c>
      <c r="X13" s="210">
        <v>0.70799999999999996</v>
      </c>
      <c r="Y13" s="210">
        <v>0.70799999999999996</v>
      </c>
      <c r="Z13" s="210">
        <v>0.70799999999999996</v>
      </c>
      <c r="AA13" s="211">
        <v>0.70799999999999996</v>
      </c>
    </row>
    <row r="14" spans="1:30" ht="15.75" thickBot="1">
      <c r="A14" s="1764"/>
      <c r="B14" s="194">
        <v>0.20833333333333301</v>
      </c>
      <c r="D14" s="214" t="s">
        <v>112</v>
      </c>
      <c r="E14" s="215" t="s">
        <v>108</v>
      </c>
      <c r="F14" s="216">
        <f t="shared" ref="F14:M14" si="0">(F8*F9)+(F10*F11)+(F12*F13)</f>
        <v>1.4173399999999998</v>
      </c>
      <c r="G14" s="217">
        <f t="shared" si="0"/>
        <v>1.4245899999999998</v>
      </c>
      <c r="H14" s="217">
        <f t="shared" si="0"/>
        <v>1.4167399999999999</v>
      </c>
      <c r="I14" s="217">
        <f t="shared" si="0"/>
        <v>1.43655</v>
      </c>
      <c r="J14" s="217">
        <f t="shared" si="0"/>
        <v>1.5623499999999999</v>
      </c>
      <c r="K14" s="217">
        <f t="shared" si="0"/>
        <v>1.7737799999999999</v>
      </c>
      <c r="L14" s="217">
        <f t="shared" si="0"/>
        <v>1.7982100000000001</v>
      </c>
      <c r="M14" s="218">
        <f t="shared" si="0"/>
        <v>1.7982100000000001</v>
      </c>
      <c r="R14" s="214" t="s">
        <v>112</v>
      </c>
      <c r="S14" s="215" t="s">
        <v>108</v>
      </c>
      <c r="T14" s="216">
        <f t="shared" ref="T14:AA14" si="1">(T8*T9)+(T10*T11)+(T12*T13)</f>
        <v>7.2299999999999995</v>
      </c>
      <c r="U14" s="217">
        <f t="shared" si="1"/>
        <v>7.2299999999999995</v>
      </c>
      <c r="V14" s="217">
        <f t="shared" si="1"/>
        <v>7.2299999999999995</v>
      </c>
      <c r="W14" s="217">
        <f t="shared" si="1"/>
        <v>7.2299999999999995</v>
      </c>
      <c r="X14" s="217">
        <f t="shared" si="1"/>
        <v>7.2299999999999995</v>
      </c>
      <c r="Y14" s="217">
        <f t="shared" si="1"/>
        <v>7.2299999999999995</v>
      </c>
      <c r="Z14" s="217">
        <f t="shared" si="1"/>
        <v>7.2299999999999995</v>
      </c>
      <c r="AA14" s="218">
        <f t="shared" si="1"/>
        <v>7.2299999999999995</v>
      </c>
    </row>
    <row r="15" spans="1:30">
      <c r="A15" s="1765"/>
      <c r="B15" s="194">
        <v>0.22916666666666699</v>
      </c>
    </row>
    <row r="16" spans="1:30">
      <c r="A16" s="1771" t="s">
        <v>113</v>
      </c>
      <c r="B16" s="194">
        <v>0.25</v>
      </c>
      <c r="D16" s="219"/>
      <c r="E16" s="219"/>
      <c r="F16" s="219"/>
      <c r="G16" s="219"/>
      <c r="H16" s="219"/>
      <c r="I16" s="219"/>
    </row>
    <row r="17" spans="1:24">
      <c r="A17" s="1764"/>
      <c r="B17" s="194">
        <v>0.27083333333333298</v>
      </c>
    </row>
    <row r="18" spans="1:24">
      <c r="A18" s="1765"/>
      <c r="B18" s="194">
        <v>0.29166666666666702</v>
      </c>
    </row>
    <row r="19" spans="1:24">
      <c r="A19" s="212" t="s">
        <v>114</v>
      </c>
      <c r="B19" s="194">
        <v>0.3125</v>
      </c>
    </row>
    <row r="20" spans="1:24">
      <c r="A20" s="1771" t="s">
        <v>115</v>
      </c>
      <c r="B20" s="194">
        <v>0.33333333333333298</v>
      </c>
    </row>
    <row r="21" spans="1:24">
      <c r="A21" s="1765"/>
      <c r="B21" s="194">
        <v>0.35416666666666702</v>
      </c>
    </row>
    <row r="22" spans="1:24">
      <c r="A22" s="212" t="s">
        <v>114</v>
      </c>
      <c r="B22" s="194">
        <v>0.375</v>
      </c>
    </row>
    <row r="23" spans="1:24">
      <c r="A23" s="1771" t="s">
        <v>113</v>
      </c>
      <c r="B23" s="194">
        <v>0.39583333333333298</v>
      </c>
    </row>
    <row r="24" spans="1:24">
      <c r="A24" s="1764"/>
      <c r="B24" s="194">
        <v>0.41666666666666702</v>
      </c>
    </row>
    <row r="25" spans="1:24">
      <c r="A25" s="1764"/>
      <c r="B25" s="194">
        <v>0.4375</v>
      </c>
      <c r="V25" s="220"/>
      <c r="W25" s="220"/>
      <c r="X25" s="220"/>
    </row>
    <row r="26" spans="1:24">
      <c r="A26" s="1764"/>
      <c r="B26" s="194">
        <v>0.45833333333333298</v>
      </c>
      <c r="V26" s="220"/>
    </row>
    <row r="27" spans="1:24">
      <c r="A27" s="1764"/>
      <c r="B27" s="194">
        <v>0.47916666666666702</v>
      </c>
    </row>
    <row r="28" spans="1:24">
      <c r="A28" s="1764"/>
      <c r="B28" s="194">
        <v>0.5</v>
      </c>
    </row>
    <row r="29" spans="1:24">
      <c r="A29" s="1764"/>
      <c r="B29" s="194">
        <v>0.52083333333333304</v>
      </c>
    </row>
    <row r="30" spans="1:24">
      <c r="A30" s="1764"/>
      <c r="B30" s="194">
        <v>0.54166666666666696</v>
      </c>
    </row>
    <row r="31" spans="1:24">
      <c r="A31" s="1764"/>
      <c r="B31" s="194">
        <v>0.5625</v>
      </c>
    </row>
    <row r="32" spans="1:24">
      <c r="A32" s="1764"/>
      <c r="B32" s="194">
        <v>0.58333333333333304</v>
      </c>
    </row>
    <row r="33" spans="1:2">
      <c r="A33" s="1764"/>
      <c r="B33" s="194">
        <v>0.60416666666666696</v>
      </c>
    </row>
    <row r="34" spans="1:2">
      <c r="A34" s="1764"/>
      <c r="B34" s="194">
        <v>0.625</v>
      </c>
    </row>
    <row r="35" spans="1:2">
      <c r="A35" s="1764"/>
      <c r="B35" s="194">
        <v>0.64583333333333304</v>
      </c>
    </row>
    <row r="36" spans="1:2">
      <c r="A36" s="1765"/>
      <c r="B36" s="194">
        <v>0.66666666666666696</v>
      </c>
    </row>
    <row r="37" spans="1:2">
      <c r="A37" s="212" t="s">
        <v>114</v>
      </c>
      <c r="B37" s="194">
        <v>0.6875</v>
      </c>
    </row>
    <row r="38" spans="1:2">
      <c r="A38" s="1771" t="s">
        <v>115</v>
      </c>
      <c r="B38" s="194">
        <v>0.70833333333333304</v>
      </c>
    </row>
    <row r="39" spans="1:2">
      <c r="A39" s="1765"/>
      <c r="B39" s="194">
        <v>0.72916666666666696</v>
      </c>
    </row>
    <row r="40" spans="1:2">
      <c r="A40" s="212" t="s">
        <v>114</v>
      </c>
      <c r="B40" s="194">
        <v>0.75</v>
      </c>
    </row>
    <row r="41" spans="1:2">
      <c r="A41" s="1756" t="s">
        <v>113</v>
      </c>
      <c r="B41" s="194">
        <v>0.77083333333333304</v>
      </c>
    </row>
    <row r="42" spans="1:2">
      <c r="A42" s="1756"/>
      <c r="B42" s="194">
        <v>0.79166666666666696</v>
      </c>
    </row>
    <row r="43" spans="1:2">
      <c r="A43" s="1756"/>
      <c r="B43" s="194">
        <v>0.8125</v>
      </c>
    </row>
    <row r="44" spans="1:2">
      <c r="A44" s="1756"/>
      <c r="B44" s="194">
        <v>0.83333333333333304</v>
      </c>
    </row>
    <row r="45" spans="1:2">
      <c r="A45" s="1756" t="s">
        <v>96</v>
      </c>
      <c r="B45" s="194">
        <v>0.85416666666666696</v>
      </c>
    </row>
    <row r="46" spans="1:2">
      <c r="A46" s="1756"/>
      <c r="B46" s="194">
        <v>0.875</v>
      </c>
    </row>
    <row r="47" spans="1:2">
      <c r="A47" s="1756"/>
      <c r="B47" s="194">
        <v>0.89583333333333304</v>
      </c>
    </row>
    <row r="48" spans="1:2">
      <c r="A48" s="1756"/>
      <c r="B48" s="194">
        <v>0.91666666666666696</v>
      </c>
    </row>
    <row r="49" spans="1:2">
      <c r="A49" s="1756"/>
      <c r="B49" s="194">
        <v>0.9375</v>
      </c>
    </row>
    <row r="50" spans="1:2">
      <c r="A50" s="1756"/>
      <c r="B50" s="194">
        <v>0.95833333333333304</v>
      </c>
    </row>
    <row r="51" spans="1:2" ht="15.75" thickBot="1">
      <c r="A51" s="1757"/>
      <c r="B51" s="221">
        <v>0.97916666666666696</v>
      </c>
    </row>
  </sheetData>
  <mergeCells count="20">
    <mergeCell ref="R12:R13"/>
    <mergeCell ref="T3:AA3"/>
    <mergeCell ref="T5:W5"/>
    <mergeCell ref="X5:AA5"/>
    <mergeCell ref="R8:R9"/>
    <mergeCell ref="R10:R11"/>
    <mergeCell ref="A45:A51"/>
    <mergeCell ref="A3:B3"/>
    <mergeCell ref="F3:M3"/>
    <mergeCell ref="A4:A15"/>
    <mergeCell ref="F5:I5"/>
    <mergeCell ref="J5:M5"/>
    <mergeCell ref="D8:D9"/>
    <mergeCell ref="D10:D11"/>
    <mergeCell ref="D12:D13"/>
    <mergeCell ref="A16:A18"/>
    <mergeCell ref="A20:A21"/>
    <mergeCell ref="A23:A36"/>
    <mergeCell ref="A38:A39"/>
    <mergeCell ref="A41:A44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4"/>
  </sheetPr>
  <dimension ref="A1:AU32"/>
  <sheetViews>
    <sheetView workbookViewId="0"/>
  </sheetViews>
  <sheetFormatPr defaultRowHeight="15"/>
  <cols>
    <col min="1" max="1" width="28.140625" bestFit="1" customWidth="1"/>
    <col min="2" max="2" width="10" bestFit="1" customWidth="1"/>
    <col min="3" max="3" width="20" bestFit="1" customWidth="1"/>
    <col min="4" max="4" width="17.28515625" bestFit="1" customWidth="1"/>
    <col min="5" max="5" width="21" customWidth="1"/>
    <col min="6" max="6" width="14.140625" customWidth="1"/>
    <col min="7" max="7" width="11" bestFit="1" customWidth="1"/>
    <col min="8" max="8" width="9.5703125" bestFit="1" customWidth="1"/>
    <col min="9" max="9" width="10" bestFit="1" customWidth="1"/>
    <col min="10" max="10" width="20" bestFit="1" customWidth="1"/>
    <col min="11" max="11" width="9.7109375" bestFit="1" customWidth="1"/>
    <col min="12" max="12" width="22.140625" customWidth="1"/>
    <col min="13" max="13" width="25.42578125" customWidth="1"/>
    <col min="17" max="17" width="21.5703125" customWidth="1"/>
    <col min="18" max="18" width="9.7109375" bestFit="1" customWidth="1"/>
    <col min="20" max="20" width="10" bestFit="1" customWidth="1"/>
  </cols>
  <sheetData>
    <row r="1" spans="1:47">
      <c r="A1" s="224" t="s">
        <v>886</v>
      </c>
      <c r="B1" s="701">
        <v>2010</v>
      </c>
      <c r="C1" s="701">
        <v>2011</v>
      </c>
      <c r="D1" s="701">
        <v>2012</v>
      </c>
      <c r="E1" s="701">
        <v>2013</v>
      </c>
      <c r="F1" s="701">
        <v>2014</v>
      </c>
      <c r="G1" s="701">
        <v>2015</v>
      </c>
      <c r="H1" s="701">
        <v>2016</v>
      </c>
      <c r="I1" s="701">
        <v>2017</v>
      </c>
      <c r="J1" s="701">
        <v>2018</v>
      </c>
      <c r="K1" s="701">
        <v>2019</v>
      </c>
      <c r="L1" s="701">
        <v>2020</v>
      </c>
      <c r="M1" s="702">
        <v>2021</v>
      </c>
      <c r="N1" s="701">
        <v>2022</v>
      </c>
      <c r="O1" s="702">
        <v>2023</v>
      </c>
      <c r="P1" s="701">
        <v>2024</v>
      </c>
      <c r="Q1" s="702">
        <v>2025</v>
      </c>
      <c r="R1" s="701">
        <v>2026</v>
      </c>
      <c r="S1" s="702">
        <v>2027</v>
      </c>
      <c r="T1" s="701">
        <v>2028</v>
      </c>
      <c r="U1" s="702">
        <v>2029</v>
      </c>
      <c r="V1" s="702">
        <v>2030</v>
      </c>
      <c r="W1" s="702">
        <v>2031</v>
      </c>
      <c r="X1" s="702">
        <v>2032</v>
      </c>
      <c r="Y1" s="702">
        <v>2033</v>
      </c>
      <c r="Z1" s="702">
        <v>2034</v>
      </c>
      <c r="AA1" s="702">
        <v>2035</v>
      </c>
      <c r="AB1" s="702">
        <v>2036</v>
      </c>
      <c r="AC1" s="702">
        <v>2037</v>
      </c>
      <c r="AD1" s="702">
        <v>2038</v>
      </c>
      <c r="AE1" s="702">
        <v>2039</v>
      </c>
      <c r="AF1" s="702">
        <v>2040</v>
      </c>
      <c r="AG1" s="702">
        <v>2041</v>
      </c>
      <c r="AH1" s="702">
        <v>2042</v>
      </c>
      <c r="AI1" s="702">
        <v>2043</v>
      </c>
      <c r="AJ1" s="702">
        <v>2044</v>
      </c>
      <c r="AK1" s="702">
        <v>2045</v>
      </c>
      <c r="AL1" s="702">
        <v>2046</v>
      </c>
      <c r="AM1" s="702">
        <v>2047</v>
      </c>
      <c r="AN1" s="702">
        <v>2048</v>
      </c>
      <c r="AO1" s="702">
        <v>2049</v>
      </c>
      <c r="AP1" s="184">
        <v>2050</v>
      </c>
    </row>
    <row r="2" spans="1:47">
      <c r="A2" s="183" t="s">
        <v>185</v>
      </c>
      <c r="B2" s="6">
        <v>1919438353</v>
      </c>
      <c r="C2" s="6">
        <v>1770757195</v>
      </c>
      <c r="D2" s="6">
        <v>1624514247</v>
      </c>
      <c r="E2" s="6">
        <v>1517484617</v>
      </c>
      <c r="F2" s="703">
        <v>1437055035</v>
      </c>
      <c r="G2" s="703">
        <v>1362450472</v>
      </c>
      <c r="H2" s="703" t="s">
        <v>178</v>
      </c>
      <c r="I2" s="703" t="s">
        <v>178</v>
      </c>
      <c r="J2" s="703" t="s">
        <v>178</v>
      </c>
      <c r="K2" s="703" t="s">
        <v>178</v>
      </c>
      <c r="L2" s="703" t="s">
        <v>178</v>
      </c>
      <c r="M2" s="703" t="s">
        <v>178</v>
      </c>
      <c r="N2" s="703" t="s">
        <v>178</v>
      </c>
      <c r="O2" s="703" t="s">
        <v>178</v>
      </c>
      <c r="P2" s="703" t="s">
        <v>178</v>
      </c>
      <c r="Q2" s="703" t="s">
        <v>178</v>
      </c>
      <c r="R2" s="703" t="s">
        <v>178</v>
      </c>
      <c r="S2" s="703" t="s">
        <v>178</v>
      </c>
      <c r="T2" s="703" t="s">
        <v>178</v>
      </c>
      <c r="U2" s="703" t="s">
        <v>178</v>
      </c>
      <c r="V2" s="703" t="s">
        <v>178</v>
      </c>
      <c r="W2" s="703" t="s">
        <v>178</v>
      </c>
      <c r="X2" s="703" t="s">
        <v>178</v>
      </c>
      <c r="Y2" s="703" t="s">
        <v>178</v>
      </c>
      <c r="Z2" s="703" t="s">
        <v>178</v>
      </c>
      <c r="AA2" s="703" t="s">
        <v>178</v>
      </c>
      <c r="AB2" s="703" t="s">
        <v>178</v>
      </c>
      <c r="AC2" s="703" t="s">
        <v>178</v>
      </c>
      <c r="AD2" s="703" t="s">
        <v>178</v>
      </c>
      <c r="AE2" s="703" t="s">
        <v>178</v>
      </c>
      <c r="AF2" s="703" t="s">
        <v>178</v>
      </c>
      <c r="AG2" s="703" t="s">
        <v>178</v>
      </c>
      <c r="AH2" s="703" t="s">
        <v>178</v>
      </c>
      <c r="AI2" s="703" t="s">
        <v>178</v>
      </c>
      <c r="AJ2" s="703" t="s">
        <v>178</v>
      </c>
      <c r="AK2" s="703" t="s">
        <v>178</v>
      </c>
      <c r="AL2" s="703" t="s">
        <v>178</v>
      </c>
      <c r="AM2" s="703" t="s">
        <v>178</v>
      </c>
      <c r="AN2" s="703" t="s">
        <v>178</v>
      </c>
      <c r="AO2" s="703" t="s">
        <v>178</v>
      </c>
      <c r="AP2" s="2" t="s">
        <v>178</v>
      </c>
    </row>
    <row r="3" spans="1:47" s="650" customFormat="1">
      <c r="A3" s="183" t="s">
        <v>885</v>
      </c>
      <c r="B3" s="6">
        <v>32285257</v>
      </c>
      <c r="C3" s="6">
        <v>57428620</v>
      </c>
      <c r="D3" s="6">
        <v>55648948</v>
      </c>
      <c r="E3" s="6">
        <v>56388985</v>
      </c>
      <c r="F3" s="703">
        <v>52569970</v>
      </c>
      <c r="G3" s="703">
        <v>58834520</v>
      </c>
      <c r="H3" s="703"/>
      <c r="I3" s="703"/>
      <c r="J3" s="703"/>
      <c r="K3" s="703"/>
      <c r="L3" s="703"/>
      <c r="M3" s="703"/>
      <c r="N3" s="703"/>
      <c r="O3" s="703"/>
      <c r="P3" s="703"/>
      <c r="Q3" s="703"/>
      <c r="R3" s="703"/>
      <c r="S3" s="703"/>
      <c r="T3" s="703"/>
      <c r="U3" s="703"/>
      <c r="V3" s="703"/>
      <c r="W3" s="703"/>
      <c r="X3" s="703"/>
      <c r="Y3" s="703"/>
      <c r="Z3" s="703"/>
      <c r="AA3" s="703"/>
      <c r="AB3" s="703"/>
      <c r="AC3" s="703"/>
      <c r="AD3" s="703"/>
      <c r="AE3" s="703"/>
      <c r="AF3" s="703"/>
      <c r="AG3" s="703"/>
      <c r="AH3" s="703"/>
      <c r="AI3" s="703"/>
      <c r="AJ3" s="703"/>
      <c r="AK3" s="703"/>
      <c r="AL3" s="703"/>
      <c r="AM3" s="703"/>
      <c r="AN3" s="703"/>
      <c r="AO3" s="703"/>
      <c r="AP3" s="2"/>
    </row>
    <row r="4" spans="1:47">
      <c r="A4" s="183" t="s">
        <v>187</v>
      </c>
      <c r="B4" s="6">
        <v>2487370477</v>
      </c>
      <c r="C4" s="6">
        <v>2454495889</v>
      </c>
      <c r="D4" s="6">
        <v>2441127259</v>
      </c>
      <c r="E4" s="6">
        <v>2548493422</v>
      </c>
      <c r="F4" s="703">
        <v>2706015956</v>
      </c>
      <c r="G4" s="703">
        <v>2952899074</v>
      </c>
      <c r="H4" s="703" t="s">
        <v>178</v>
      </c>
      <c r="I4" s="703" t="s">
        <v>178</v>
      </c>
      <c r="J4" s="703" t="s">
        <v>178</v>
      </c>
      <c r="K4" s="703" t="s">
        <v>178</v>
      </c>
      <c r="L4" s="703" t="s">
        <v>178</v>
      </c>
      <c r="M4" s="703" t="s">
        <v>178</v>
      </c>
      <c r="N4" s="703" t="s">
        <v>178</v>
      </c>
      <c r="O4" s="703" t="s">
        <v>178</v>
      </c>
      <c r="P4" s="703" t="s">
        <v>178</v>
      </c>
      <c r="Q4" s="703" t="s">
        <v>178</v>
      </c>
      <c r="R4" s="703" t="s">
        <v>178</v>
      </c>
      <c r="S4" s="703" t="s">
        <v>178</v>
      </c>
      <c r="T4" s="703" t="s">
        <v>178</v>
      </c>
      <c r="U4" s="703" t="s">
        <v>178</v>
      </c>
      <c r="V4" s="703" t="s">
        <v>178</v>
      </c>
      <c r="W4" s="703" t="s">
        <v>178</v>
      </c>
      <c r="X4" s="703" t="s">
        <v>178</v>
      </c>
      <c r="Y4" s="703" t="s">
        <v>178</v>
      </c>
      <c r="Z4" s="703" t="s">
        <v>178</v>
      </c>
      <c r="AA4" s="703" t="s">
        <v>178</v>
      </c>
      <c r="AB4" s="703" t="s">
        <v>178</v>
      </c>
      <c r="AC4" s="703" t="s">
        <v>178</v>
      </c>
      <c r="AD4" s="703" t="s">
        <v>178</v>
      </c>
      <c r="AE4" s="703" t="s">
        <v>178</v>
      </c>
      <c r="AF4" s="703" t="s">
        <v>178</v>
      </c>
      <c r="AG4" s="703" t="s">
        <v>178</v>
      </c>
      <c r="AH4" s="703" t="s">
        <v>178</v>
      </c>
      <c r="AI4" s="703" t="s">
        <v>178</v>
      </c>
      <c r="AJ4" s="703" t="s">
        <v>178</v>
      </c>
      <c r="AK4" s="703" t="s">
        <v>178</v>
      </c>
      <c r="AL4" s="703" t="s">
        <v>178</v>
      </c>
      <c r="AM4" s="703" t="s">
        <v>178</v>
      </c>
      <c r="AN4" s="703" t="s">
        <v>178</v>
      </c>
      <c r="AO4" s="703" t="s">
        <v>178</v>
      </c>
      <c r="AP4" s="2" t="s">
        <v>178</v>
      </c>
    </row>
    <row r="5" spans="1:47">
      <c r="A5" s="183" t="s">
        <v>884</v>
      </c>
      <c r="B5" s="6">
        <v>64523884</v>
      </c>
      <c r="C5" s="6">
        <v>86912448</v>
      </c>
      <c r="D5" s="6">
        <v>70292126</v>
      </c>
      <c r="E5" s="6">
        <v>93969733</v>
      </c>
      <c r="F5" s="703">
        <v>114350795</v>
      </c>
      <c r="G5" s="703">
        <v>124868316</v>
      </c>
      <c r="H5" s="703" t="s">
        <v>178</v>
      </c>
      <c r="I5" s="703" t="s">
        <v>178</v>
      </c>
      <c r="J5" s="703" t="s">
        <v>178</v>
      </c>
      <c r="K5" s="703" t="s">
        <v>178</v>
      </c>
      <c r="L5" s="703" t="s">
        <v>178</v>
      </c>
      <c r="M5" s="703" t="s">
        <v>178</v>
      </c>
      <c r="N5" s="703" t="s">
        <v>178</v>
      </c>
      <c r="O5" s="703" t="s">
        <v>178</v>
      </c>
      <c r="P5" s="703" t="s">
        <v>178</v>
      </c>
      <c r="Q5" s="703" t="s">
        <v>178</v>
      </c>
      <c r="R5" s="703" t="s">
        <v>178</v>
      </c>
      <c r="S5" s="703" t="s">
        <v>178</v>
      </c>
      <c r="T5" s="703" t="s">
        <v>178</v>
      </c>
      <c r="U5" s="703" t="s">
        <v>178</v>
      </c>
      <c r="V5" s="703" t="s">
        <v>178</v>
      </c>
      <c r="W5" s="703" t="s">
        <v>178</v>
      </c>
      <c r="X5" s="703" t="s">
        <v>178</v>
      </c>
      <c r="Y5" s="703" t="s">
        <v>178</v>
      </c>
      <c r="Z5" s="703" t="s">
        <v>178</v>
      </c>
      <c r="AA5" s="703" t="s">
        <v>178</v>
      </c>
      <c r="AB5" s="703" t="s">
        <v>178</v>
      </c>
      <c r="AC5" s="703" t="s">
        <v>178</v>
      </c>
      <c r="AD5" s="703" t="s">
        <v>178</v>
      </c>
      <c r="AE5" s="703" t="s">
        <v>178</v>
      </c>
      <c r="AF5" s="703" t="s">
        <v>178</v>
      </c>
      <c r="AG5" s="703" t="s">
        <v>178</v>
      </c>
      <c r="AH5" s="703" t="s">
        <v>178</v>
      </c>
      <c r="AI5" s="703" t="s">
        <v>178</v>
      </c>
      <c r="AJ5" s="703" t="s">
        <v>178</v>
      </c>
      <c r="AK5" s="703" t="s">
        <v>178</v>
      </c>
      <c r="AL5" s="703" t="s">
        <v>178</v>
      </c>
      <c r="AM5" s="703" t="s">
        <v>178</v>
      </c>
      <c r="AN5" s="703" t="s">
        <v>178</v>
      </c>
      <c r="AO5" s="703" t="s">
        <v>178</v>
      </c>
      <c r="AP5" s="2" t="s">
        <v>178</v>
      </c>
    </row>
    <row r="6" spans="1:47" s="650" customFormat="1">
      <c r="A6" s="183" t="s">
        <v>887</v>
      </c>
      <c r="B6" s="742">
        <f>B3/B2</f>
        <v>1.6820158328887991E-2</v>
      </c>
      <c r="C6" s="742">
        <f t="shared" ref="C6:G6" si="0">C3/C2</f>
        <v>3.243167395403411E-2</v>
      </c>
      <c r="D6" s="742">
        <f t="shared" si="0"/>
        <v>3.4255746357883435E-2</v>
      </c>
      <c r="E6" s="742">
        <f t="shared" si="0"/>
        <v>3.7159510131627251E-2</v>
      </c>
      <c r="F6" s="742">
        <f t="shared" si="0"/>
        <v>3.6581737455865772E-2</v>
      </c>
      <c r="G6" s="742">
        <f t="shared" si="0"/>
        <v>4.3182868815505829E-2</v>
      </c>
      <c r="H6" s="744">
        <f>G6+($L$6-$G$6)/5</f>
        <v>4.4546295052404664E-2</v>
      </c>
      <c r="I6" s="744">
        <f t="shared" ref="I6:K6" si="1">H6+($L$6-$G$6)/5</f>
        <v>4.5909721289303498E-2</v>
      </c>
      <c r="J6" s="744">
        <f t="shared" si="1"/>
        <v>4.7273147526202333E-2</v>
      </c>
      <c r="K6" s="744">
        <f t="shared" si="1"/>
        <v>4.8636573763101168E-2</v>
      </c>
      <c r="L6" s="745">
        <v>0.05</v>
      </c>
      <c r="M6" s="746">
        <v>5.5812638843638303E-2</v>
      </c>
      <c r="N6" s="746">
        <v>5.8496602398262702E-2</v>
      </c>
      <c r="O6" s="746">
        <v>6.1180565952886998E-2</v>
      </c>
      <c r="P6" s="746">
        <v>6.38645295075113E-2</v>
      </c>
      <c r="Q6" s="746">
        <v>6.65484930621357E-2</v>
      </c>
      <c r="R6" s="746">
        <v>6.9232456616760002E-2</v>
      </c>
      <c r="S6" s="746">
        <v>7.1916420171384304E-2</v>
      </c>
      <c r="T6" s="746">
        <v>7.4600383726008607E-2</v>
      </c>
      <c r="U6" s="746">
        <v>7.7284347280633006E-2</v>
      </c>
      <c r="V6" s="746">
        <v>7.9968310835257295E-2</v>
      </c>
      <c r="W6" s="746">
        <v>8.2652274389881597E-2</v>
      </c>
      <c r="X6" s="746">
        <v>8.5336237944505997E-2</v>
      </c>
      <c r="Y6" s="746">
        <v>8.8020201499130299E-2</v>
      </c>
      <c r="Z6" s="746">
        <v>9.0704165053754601E-2</v>
      </c>
      <c r="AA6" s="746">
        <v>9.3388128608379001E-2</v>
      </c>
      <c r="AB6" s="746">
        <v>9.6072092163003303E-2</v>
      </c>
      <c r="AC6" s="746">
        <v>9.8756055717627605E-2</v>
      </c>
      <c r="AD6" s="745">
        <v>0.1</v>
      </c>
      <c r="AE6" s="745">
        <v>0.1</v>
      </c>
      <c r="AF6" s="745">
        <v>0.1</v>
      </c>
      <c r="AG6" s="745">
        <v>0.1</v>
      </c>
      <c r="AH6" s="745">
        <v>0.1</v>
      </c>
      <c r="AI6" s="745">
        <v>0.1</v>
      </c>
      <c r="AJ6" s="745">
        <v>0.1</v>
      </c>
      <c r="AK6" s="745">
        <v>0.1</v>
      </c>
      <c r="AL6" s="745">
        <v>0.1</v>
      </c>
      <c r="AM6" s="745">
        <v>0.1</v>
      </c>
      <c r="AN6" s="745">
        <v>0.1</v>
      </c>
      <c r="AO6" s="745">
        <v>0.1</v>
      </c>
      <c r="AP6" s="747">
        <v>0.1</v>
      </c>
    </row>
    <row r="7" spans="1:47" ht="15.75" thickBot="1">
      <c r="A7" s="704" t="s">
        <v>888</v>
      </c>
      <c r="B7" s="705">
        <f t="shared" ref="B7:G7" si="2">B5/B4</f>
        <v>2.5940600564585699E-2</v>
      </c>
      <c r="C7" s="705">
        <f t="shared" si="2"/>
        <v>3.5409490148060295E-2</v>
      </c>
      <c r="D7" s="705">
        <f t="shared" si="2"/>
        <v>2.8794945343732281E-2</v>
      </c>
      <c r="E7" s="705">
        <f t="shared" si="2"/>
        <v>3.6872660603634082E-2</v>
      </c>
      <c r="F7" s="705">
        <f t="shared" si="2"/>
        <v>4.225798992295373E-2</v>
      </c>
      <c r="G7" s="705">
        <f t="shared" si="2"/>
        <v>4.2286686023052342E-2</v>
      </c>
      <c r="H7" s="743">
        <f>G7+($L$7-$G$7)/5</f>
        <v>4.3829348818441874E-2</v>
      </c>
      <c r="I7" s="743">
        <f t="shared" ref="I7:K7" si="3">H7+($L$7-$G$7)/5</f>
        <v>4.5372011613831406E-2</v>
      </c>
      <c r="J7" s="743">
        <f t="shared" si="3"/>
        <v>4.6914674409220938E-2</v>
      </c>
      <c r="K7" s="743">
        <f t="shared" si="3"/>
        <v>4.8457337204610471E-2</v>
      </c>
      <c r="L7" s="706">
        <v>0.05</v>
      </c>
      <c r="M7" s="706">
        <v>5.39442113419542E-2</v>
      </c>
      <c r="N7" s="706">
        <v>5.6175280737550799E-2</v>
      </c>
      <c r="O7" s="706">
        <v>5.8406350133147301E-2</v>
      </c>
      <c r="P7" s="706">
        <v>6.0637419528743901E-2</v>
      </c>
      <c r="Q7" s="706">
        <v>6.2868488924340396E-2</v>
      </c>
      <c r="R7" s="706">
        <v>6.5099558319936995E-2</v>
      </c>
      <c r="S7" s="706">
        <v>6.7330627715533498E-2</v>
      </c>
      <c r="T7" s="706">
        <v>6.9561697111130097E-2</v>
      </c>
      <c r="U7" s="706">
        <v>7.0000000000000007E-2</v>
      </c>
      <c r="V7" s="706">
        <f t="shared" ref="V7:AP7" si="4">U7</f>
        <v>7.0000000000000007E-2</v>
      </c>
      <c r="W7" s="706">
        <f t="shared" si="4"/>
        <v>7.0000000000000007E-2</v>
      </c>
      <c r="X7" s="706">
        <f t="shared" si="4"/>
        <v>7.0000000000000007E-2</v>
      </c>
      <c r="Y7" s="706">
        <f t="shared" si="4"/>
        <v>7.0000000000000007E-2</v>
      </c>
      <c r="Z7" s="706">
        <f t="shared" si="4"/>
        <v>7.0000000000000007E-2</v>
      </c>
      <c r="AA7" s="706">
        <f t="shared" si="4"/>
        <v>7.0000000000000007E-2</v>
      </c>
      <c r="AB7" s="706">
        <f t="shared" si="4"/>
        <v>7.0000000000000007E-2</v>
      </c>
      <c r="AC7" s="706">
        <f t="shared" si="4"/>
        <v>7.0000000000000007E-2</v>
      </c>
      <c r="AD7" s="706">
        <f t="shared" si="4"/>
        <v>7.0000000000000007E-2</v>
      </c>
      <c r="AE7" s="706">
        <f t="shared" si="4"/>
        <v>7.0000000000000007E-2</v>
      </c>
      <c r="AF7" s="706">
        <f t="shared" si="4"/>
        <v>7.0000000000000007E-2</v>
      </c>
      <c r="AG7" s="706">
        <f t="shared" si="4"/>
        <v>7.0000000000000007E-2</v>
      </c>
      <c r="AH7" s="706">
        <f t="shared" si="4"/>
        <v>7.0000000000000007E-2</v>
      </c>
      <c r="AI7" s="706">
        <f t="shared" si="4"/>
        <v>7.0000000000000007E-2</v>
      </c>
      <c r="AJ7" s="706">
        <f t="shared" si="4"/>
        <v>7.0000000000000007E-2</v>
      </c>
      <c r="AK7" s="706">
        <f t="shared" si="4"/>
        <v>7.0000000000000007E-2</v>
      </c>
      <c r="AL7" s="706">
        <f t="shared" si="4"/>
        <v>7.0000000000000007E-2</v>
      </c>
      <c r="AM7" s="706">
        <f t="shared" si="4"/>
        <v>7.0000000000000007E-2</v>
      </c>
      <c r="AN7" s="706">
        <f t="shared" si="4"/>
        <v>7.0000000000000007E-2</v>
      </c>
      <c r="AO7" s="706">
        <f t="shared" si="4"/>
        <v>7.0000000000000007E-2</v>
      </c>
      <c r="AP7" s="707">
        <f t="shared" si="4"/>
        <v>7.0000000000000007E-2</v>
      </c>
    </row>
    <row r="8" spans="1:47" ht="15.75" thickBot="1">
      <c r="A8" s="650"/>
      <c r="B8" s="219"/>
      <c r="C8" s="219"/>
      <c r="D8" s="219"/>
      <c r="E8" s="219"/>
      <c r="F8" s="650"/>
      <c r="G8" s="650"/>
      <c r="H8" s="650"/>
      <c r="I8" s="650"/>
      <c r="J8" s="650"/>
      <c r="K8" s="650"/>
      <c r="L8" s="650"/>
      <c r="M8" s="650"/>
      <c r="N8" s="650"/>
      <c r="O8" s="650"/>
      <c r="P8" s="650"/>
      <c r="Q8" s="650"/>
      <c r="R8" s="650"/>
      <c r="S8" s="650"/>
      <c r="T8" s="650"/>
      <c r="U8" s="650"/>
      <c r="V8" s="650"/>
      <c r="W8" s="650"/>
      <c r="X8" s="650"/>
      <c r="Y8" s="650"/>
      <c r="Z8" s="650"/>
      <c r="AA8" s="650"/>
      <c r="AB8" s="650"/>
      <c r="AC8" s="650"/>
      <c r="AD8" s="650"/>
      <c r="AE8" s="650"/>
      <c r="AF8" s="650"/>
      <c r="AG8" s="650"/>
      <c r="AH8" s="650"/>
      <c r="AI8" s="650"/>
      <c r="AJ8" s="650"/>
      <c r="AK8" s="650"/>
      <c r="AL8" s="650"/>
      <c r="AM8" s="650"/>
      <c r="AN8" s="650"/>
      <c r="AO8" s="650"/>
      <c r="AP8" s="708"/>
    </row>
    <row r="9" spans="1:47">
      <c r="A9" s="224" t="s">
        <v>185</v>
      </c>
      <c r="B9" s="709">
        <f>$B$16*(1-B6)</f>
        <v>68.82258891697785</v>
      </c>
      <c r="C9" s="709">
        <f t="shared" ref="C9:H9" si="5">$B$16*(1-C6)</f>
        <v>67.729782823217604</v>
      </c>
      <c r="D9" s="709">
        <f t="shared" si="5"/>
        <v>67.602097754948161</v>
      </c>
      <c r="E9" s="709">
        <f t="shared" si="5"/>
        <v>67.398834290786098</v>
      </c>
      <c r="F9" s="709">
        <f t="shared" si="5"/>
        <v>67.439278378089398</v>
      </c>
      <c r="G9" s="709">
        <f t="shared" si="5"/>
        <v>66.977199182914589</v>
      </c>
      <c r="H9" s="709">
        <f t="shared" si="5"/>
        <v>66.881759346331677</v>
      </c>
      <c r="I9" s="709">
        <f t="shared" ref="I9:AP9" si="6">$B$16*(1-I6)</f>
        <v>66.786319509748751</v>
      </c>
      <c r="J9" s="709">
        <f t="shared" si="6"/>
        <v>66.690879673165838</v>
      </c>
      <c r="K9" s="709">
        <f t="shared" si="6"/>
        <v>66.595439836582926</v>
      </c>
      <c r="L9" s="709">
        <f t="shared" si="6"/>
        <v>66.5</v>
      </c>
      <c r="M9" s="709">
        <f t="shared" si="6"/>
        <v>66.093115280945312</v>
      </c>
      <c r="N9" s="709">
        <f t="shared" si="6"/>
        <v>65.905237832121614</v>
      </c>
      <c r="O9" s="709">
        <f t="shared" si="6"/>
        <v>65.717360383297915</v>
      </c>
      <c r="P9" s="709">
        <f t="shared" si="6"/>
        <v>65.529482934474203</v>
      </c>
      <c r="Q9" s="709">
        <f t="shared" si="6"/>
        <v>65.341605485650504</v>
      </c>
      <c r="R9" s="709">
        <f t="shared" si="6"/>
        <v>65.153728036826791</v>
      </c>
      <c r="S9" s="709">
        <f t="shared" si="6"/>
        <v>64.965850588003093</v>
      </c>
      <c r="T9" s="709">
        <f t="shared" si="6"/>
        <v>64.777973139179394</v>
      </c>
      <c r="U9" s="709">
        <f t="shared" si="6"/>
        <v>64.590095690355682</v>
      </c>
      <c r="V9" s="709">
        <f t="shared" si="6"/>
        <v>64.402218241531983</v>
      </c>
      <c r="W9" s="709">
        <f t="shared" si="6"/>
        <v>64.214340792708285</v>
      </c>
      <c r="X9" s="709">
        <f t="shared" si="6"/>
        <v>64.026463343884586</v>
      </c>
      <c r="Y9" s="709">
        <f t="shared" si="6"/>
        <v>63.838585895060881</v>
      </c>
      <c r="Z9" s="709">
        <f t="shared" si="6"/>
        <v>63.650708446237182</v>
      </c>
      <c r="AA9" s="709">
        <f t="shared" si="6"/>
        <v>63.462830997413469</v>
      </c>
      <c r="AB9" s="709">
        <f t="shared" si="6"/>
        <v>63.274953548589771</v>
      </c>
      <c r="AC9" s="709">
        <f t="shared" si="6"/>
        <v>63.087076099766072</v>
      </c>
      <c r="AD9" s="709">
        <f t="shared" si="6"/>
        <v>63</v>
      </c>
      <c r="AE9" s="709">
        <f t="shared" si="6"/>
        <v>63</v>
      </c>
      <c r="AF9" s="709">
        <f t="shared" si="6"/>
        <v>63</v>
      </c>
      <c r="AG9" s="709">
        <f t="shared" si="6"/>
        <v>63</v>
      </c>
      <c r="AH9" s="709">
        <f t="shared" si="6"/>
        <v>63</v>
      </c>
      <c r="AI9" s="709">
        <f t="shared" si="6"/>
        <v>63</v>
      </c>
      <c r="AJ9" s="709">
        <f t="shared" si="6"/>
        <v>63</v>
      </c>
      <c r="AK9" s="709">
        <f t="shared" si="6"/>
        <v>63</v>
      </c>
      <c r="AL9" s="709">
        <f t="shared" si="6"/>
        <v>63</v>
      </c>
      <c r="AM9" s="709">
        <f t="shared" si="6"/>
        <v>63</v>
      </c>
      <c r="AN9" s="709">
        <f t="shared" si="6"/>
        <v>63</v>
      </c>
      <c r="AO9" s="709">
        <f t="shared" si="6"/>
        <v>63</v>
      </c>
      <c r="AP9" s="710">
        <f t="shared" si="6"/>
        <v>63</v>
      </c>
    </row>
    <row r="10" spans="1:47">
      <c r="A10" s="183" t="s">
        <v>187</v>
      </c>
      <c r="B10" s="589">
        <f>$B$17*(1-B7)</f>
        <v>71.398553978615865</v>
      </c>
      <c r="C10" s="589">
        <f t="shared" ref="C10:H10" si="7">$B$17*(1-C7)</f>
        <v>70.704484372147178</v>
      </c>
      <c r="D10" s="589">
        <f t="shared" si="7"/>
        <v>71.189330506304415</v>
      </c>
      <c r="E10" s="589">
        <f t="shared" si="7"/>
        <v>70.597233977753618</v>
      </c>
      <c r="F10" s="589">
        <f t="shared" si="7"/>
        <v>70.202489338647496</v>
      </c>
      <c r="G10" s="589">
        <f t="shared" si="7"/>
        <v>70.200385914510264</v>
      </c>
      <c r="H10" s="589">
        <f t="shared" si="7"/>
        <v>70.087308731608204</v>
      </c>
      <c r="I10" s="589">
        <f t="shared" ref="I10:AP10" si="8">$B$17*(1-I7)</f>
        <v>69.974231548706157</v>
      </c>
      <c r="J10" s="589">
        <f t="shared" si="8"/>
        <v>69.861154365804097</v>
      </c>
      <c r="K10" s="589">
        <f t="shared" si="8"/>
        <v>69.748077182902051</v>
      </c>
      <c r="L10" s="589">
        <f t="shared" si="8"/>
        <v>69.634999999999991</v>
      </c>
      <c r="M10" s="589">
        <f t="shared" ref="M10:T10" si="9">$B$17*(1-M7)</f>
        <v>69.345889308634753</v>
      </c>
      <c r="N10" s="589">
        <f t="shared" si="9"/>
        <v>69.182351921937524</v>
      </c>
      <c r="O10" s="589">
        <f t="shared" si="9"/>
        <v>69.018814535240296</v>
      </c>
      <c r="P10" s="589">
        <f t="shared" si="9"/>
        <v>68.855277148543067</v>
      </c>
      <c r="Q10" s="589">
        <f t="shared" si="9"/>
        <v>68.691739761845852</v>
      </c>
      <c r="R10" s="589">
        <f t="shared" si="9"/>
        <v>68.528202375148624</v>
      </c>
      <c r="S10" s="589">
        <f t="shared" si="9"/>
        <v>68.364664988451395</v>
      </c>
      <c r="T10" s="589">
        <f t="shared" si="9"/>
        <v>68.201127601754152</v>
      </c>
      <c r="U10" s="589">
        <f t="shared" si="8"/>
        <v>68.168999999999997</v>
      </c>
      <c r="V10" s="589">
        <f t="shared" si="8"/>
        <v>68.168999999999997</v>
      </c>
      <c r="W10" s="589">
        <f t="shared" si="8"/>
        <v>68.168999999999997</v>
      </c>
      <c r="X10" s="589">
        <f t="shared" si="8"/>
        <v>68.168999999999997</v>
      </c>
      <c r="Y10" s="589">
        <f t="shared" si="8"/>
        <v>68.168999999999997</v>
      </c>
      <c r="Z10" s="589">
        <f t="shared" si="8"/>
        <v>68.168999999999997</v>
      </c>
      <c r="AA10" s="589">
        <f t="shared" si="8"/>
        <v>68.168999999999997</v>
      </c>
      <c r="AB10" s="589">
        <f t="shared" si="8"/>
        <v>68.168999999999997</v>
      </c>
      <c r="AC10" s="589">
        <f t="shared" si="8"/>
        <v>68.168999999999997</v>
      </c>
      <c r="AD10" s="589">
        <f t="shared" si="8"/>
        <v>68.168999999999997</v>
      </c>
      <c r="AE10" s="589">
        <f t="shared" si="8"/>
        <v>68.168999999999997</v>
      </c>
      <c r="AF10" s="589">
        <f t="shared" si="8"/>
        <v>68.168999999999997</v>
      </c>
      <c r="AG10" s="589">
        <f t="shared" si="8"/>
        <v>68.168999999999997</v>
      </c>
      <c r="AH10" s="589">
        <f t="shared" si="8"/>
        <v>68.168999999999997</v>
      </c>
      <c r="AI10" s="589">
        <f t="shared" si="8"/>
        <v>68.168999999999997</v>
      </c>
      <c r="AJ10" s="589">
        <f t="shared" si="8"/>
        <v>68.168999999999997</v>
      </c>
      <c r="AK10" s="589">
        <f t="shared" si="8"/>
        <v>68.168999999999997</v>
      </c>
      <c r="AL10" s="589">
        <f t="shared" si="8"/>
        <v>68.168999999999997</v>
      </c>
      <c r="AM10" s="589">
        <f t="shared" si="8"/>
        <v>68.168999999999997</v>
      </c>
      <c r="AN10" s="589">
        <f t="shared" si="8"/>
        <v>68.168999999999997</v>
      </c>
      <c r="AO10" s="589">
        <f t="shared" si="8"/>
        <v>68.168999999999997</v>
      </c>
      <c r="AP10" s="590">
        <f t="shared" si="8"/>
        <v>68.168999999999997</v>
      </c>
    </row>
    <row r="11" spans="1:47">
      <c r="A11" s="183" t="s">
        <v>834</v>
      </c>
      <c r="B11" s="376">
        <f>(B12*$E$17)+(B9*$E$16)</f>
        <v>27.529035566791141</v>
      </c>
      <c r="C11" s="376">
        <f t="shared" ref="C11:AP11" si="10">(C12*$E$17)+(C9*$E$16)</f>
        <v>27.091913129287043</v>
      </c>
      <c r="D11" s="376">
        <f t="shared" si="10"/>
        <v>27.040839101979266</v>
      </c>
      <c r="E11" s="376">
        <f t="shared" si="10"/>
        <v>26.959533716314439</v>
      </c>
      <c r="F11" s="376">
        <f t="shared" si="10"/>
        <v>26.975711351235759</v>
      </c>
      <c r="G11" s="376">
        <f t="shared" si="10"/>
        <v>26.790879673165836</v>
      </c>
      <c r="H11" s="376">
        <f t="shared" si="10"/>
        <v>26.752703738532674</v>
      </c>
      <c r="I11" s="376">
        <f t="shared" si="10"/>
        <v>26.7145278038995</v>
      </c>
      <c r="J11" s="376">
        <f t="shared" si="10"/>
        <v>26.676351869266338</v>
      </c>
      <c r="K11" s="376">
        <f t="shared" si="10"/>
        <v>26.638175934633171</v>
      </c>
      <c r="L11" s="376">
        <f t="shared" si="10"/>
        <v>26.6</v>
      </c>
      <c r="M11" s="376">
        <f t="shared" si="10"/>
        <v>26.437246112378126</v>
      </c>
      <c r="N11" s="376">
        <f t="shared" si="10"/>
        <v>26.362095132848648</v>
      </c>
      <c r="O11" s="376">
        <f t="shared" si="10"/>
        <v>26.286944153319169</v>
      </c>
      <c r="P11" s="376">
        <f t="shared" si="10"/>
        <v>26.211793173789683</v>
      </c>
      <c r="Q11" s="376">
        <f t="shared" si="10"/>
        <v>26.136642194260205</v>
      </c>
      <c r="R11" s="376">
        <f t="shared" si="10"/>
        <v>26.061491214730719</v>
      </c>
      <c r="S11" s="376">
        <f t="shared" si="10"/>
        <v>25.98634023520124</v>
      </c>
      <c r="T11" s="376">
        <f t="shared" si="10"/>
        <v>25.911189255671758</v>
      </c>
      <c r="U11" s="376">
        <f t="shared" si="10"/>
        <v>25.836038276142276</v>
      </c>
      <c r="V11" s="376">
        <f t="shared" si="10"/>
        <v>25.760887296612793</v>
      </c>
      <c r="W11" s="376">
        <f t="shared" si="10"/>
        <v>25.685736317083315</v>
      </c>
      <c r="X11" s="376">
        <f t="shared" si="10"/>
        <v>25.610585337553836</v>
      </c>
      <c r="Y11" s="376">
        <f t="shared" si="10"/>
        <v>25.535434358024354</v>
      </c>
      <c r="Z11" s="376">
        <f t="shared" si="10"/>
        <v>25.460283378494875</v>
      </c>
      <c r="AA11" s="376">
        <f t="shared" si="10"/>
        <v>25.385132398965389</v>
      </c>
      <c r="AB11" s="376">
        <f t="shared" si="10"/>
        <v>25.309981419435911</v>
      </c>
      <c r="AC11" s="376">
        <f t="shared" si="10"/>
        <v>25.234830439906432</v>
      </c>
      <c r="AD11" s="376">
        <f t="shared" si="10"/>
        <v>25.200000000000003</v>
      </c>
      <c r="AE11" s="376">
        <f t="shared" si="10"/>
        <v>25.200000000000003</v>
      </c>
      <c r="AF11" s="376">
        <f t="shared" si="10"/>
        <v>25.200000000000003</v>
      </c>
      <c r="AG11" s="376">
        <f t="shared" si="10"/>
        <v>25.200000000000003</v>
      </c>
      <c r="AH11" s="376">
        <f t="shared" si="10"/>
        <v>25.200000000000003</v>
      </c>
      <c r="AI11" s="376">
        <f t="shared" si="10"/>
        <v>25.200000000000003</v>
      </c>
      <c r="AJ11" s="376">
        <f t="shared" si="10"/>
        <v>25.200000000000003</v>
      </c>
      <c r="AK11" s="376">
        <f t="shared" si="10"/>
        <v>25.200000000000003</v>
      </c>
      <c r="AL11" s="376">
        <f t="shared" si="10"/>
        <v>25.200000000000003</v>
      </c>
      <c r="AM11" s="376">
        <f t="shared" si="10"/>
        <v>25.200000000000003</v>
      </c>
      <c r="AN11" s="376">
        <f t="shared" si="10"/>
        <v>25.200000000000003</v>
      </c>
      <c r="AO11" s="376">
        <f t="shared" si="10"/>
        <v>25.200000000000003</v>
      </c>
      <c r="AP11" s="373">
        <f t="shared" si="10"/>
        <v>25.200000000000003</v>
      </c>
    </row>
    <row r="12" spans="1:47" ht="15.75" thickBot="1">
      <c r="A12" s="711" t="s">
        <v>835</v>
      </c>
      <c r="B12" s="712">
        <v>0</v>
      </c>
      <c r="C12" s="712">
        <v>0</v>
      </c>
      <c r="D12" s="712">
        <v>0</v>
      </c>
      <c r="E12" s="712">
        <v>0</v>
      </c>
      <c r="F12" s="712">
        <v>0</v>
      </c>
      <c r="G12" s="712">
        <v>0</v>
      </c>
      <c r="H12" s="712">
        <v>0</v>
      </c>
      <c r="I12" s="712">
        <v>0</v>
      </c>
      <c r="J12" s="712">
        <v>0</v>
      </c>
      <c r="K12" s="712">
        <v>0</v>
      </c>
      <c r="L12" s="712">
        <v>0</v>
      </c>
      <c r="M12" s="712">
        <v>0</v>
      </c>
      <c r="N12" s="712">
        <v>0</v>
      </c>
      <c r="O12" s="712">
        <v>0</v>
      </c>
      <c r="P12" s="712">
        <v>0</v>
      </c>
      <c r="Q12" s="712">
        <v>0</v>
      </c>
      <c r="R12" s="712">
        <v>0</v>
      </c>
      <c r="S12" s="712">
        <v>0</v>
      </c>
      <c r="T12" s="712">
        <v>0</v>
      </c>
      <c r="U12" s="712">
        <v>0</v>
      </c>
      <c r="V12" s="712">
        <v>0</v>
      </c>
      <c r="W12" s="712">
        <v>0</v>
      </c>
      <c r="X12" s="712">
        <v>0</v>
      </c>
      <c r="Y12" s="712">
        <v>0</v>
      </c>
      <c r="Z12" s="712">
        <v>0</v>
      </c>
      <c r="AA12" s="712">
        <v>0</v>
      </c>
      <c r="AB12" s="712">
        <v>0</v>
      </c>
      <c r="AC12" s="712">
        <v>0</v>
      </c>
      <c r="AD12" s="712">
        <v>0</v>
      </c>
      <c r="AE12" s="712">
        <v>0</v>
      </c>
      <c r="AF12" s="712">
        <v>0</v>
      </c>
      <c r="AG12" s="712">
        <v>0</v>
      </c>
      <c r="AH12" s="712">
        <v>0</v>
      </c>
      <c r="AI12" s="712">
        <v>0</v>
      </c>
      <c r="AJ12" s="712">
        <v>0</v>
      </c>
      <c r="AK12" s="712">
        <v>0</v>
      </c>
      <c r="AL12" s="712">
        <v>0</v>
      </c>
      <c r="AM12" s="712">
        <v>0</v>
      </c>
      <c r="AN12" s="712">
        <v>0</v>
      </c>
      <c r="AO12" s="712">
        <v>0</v>
      </c>
      <c r="AP12" s="713">
        <v>0</v>
      </c>
    </row>
    <row r="13" spans="1:47">
      <c r="A13" s="650"/>
      <c r="B13" s="650"/>
      <c r="C13" s="650"/>
      <c r="D13" s="650"/>
      <c r="E13" s="650"/>
      <c r="F13" s="650"/>
      <c r="G13" s="650"/>
      <c r="H13" s="650"/>
      <c r="I13" s="650"/>
      <c r="J13" s="650"/>
      <c r="K13" s="650"/>
      <c r="L13" s="650"/>
      <c r="M13" s="650"/>
      <c r="N13" s="650"/>
      <c r="O13" s="650"/>
      <c r="P13" s="650"/>
      <c r="Q13" s="650"/>
      <c r="R13" s="650"/>
      <c r="S13" s="650"/>
      <c r="T13" s="650"/>
      <c r="U13" s="650"/>
      <c r="V13" s="650"/>
      <c r="W13" s="650"/>
      <c r="X13" s="650"/>
      <c r="Y13" s="650"/>
      <c r="Z13" s="650"/>
      <c r="AA13" s="650"/>
      <c r="AB13" s="650"/>
      <c r="AC13" s="650"/>
      <c r="AD13" s="650"/>
      <c r="AE13" s="650"/>
      <c r="AF13" s="650"/>
      <c r="AG13" s="650"/>
      <c r="AH13" s="650"/>
      <c r="AI13" s="650"/>
      <c r="AJ13" s="650"/>
      <c r="AK13" s="650"/>
      <c r="AL13" s="650"/>
      <c r="AM13" s="650"/>
      <c r="AN13" s="650"/>
      <c r="AO13" s="650"/>
      <c r="AP13" s="650"/>
      <c r="AQ13" s="650"/>
      <c r="AR13" s="650"/>
      <c r="AS13" s="650"/>
      <c r="AT13" s="650"/>
      <c r="AU13" s="650"/>
    </row>
    <row r="14" spans="1:47" ht="15.75" thickBot="1">
      <c r="A14" s="650"/>
      <c r="B14" s="714"/>
      <c r="C14" s="700"/>
      <c r="D14" s="700"/>
      <c r="E14" s="700"/>
      <c r="F14" s="700"/>
      <c r="G14" s="700"/>
      <c r="H14" s="700"/>
      <c r="I14" s="700"/>
      <c r="J14" s="700"/>
      <c r="K14" s="700"/>
      <c r="L14" s="700"/>
      <c r="M14" s="714"/>
      <c r="N14" s="700"/>
      <c r="O14" s="700"/>
      <c r="P14" s="700"/>
      <c r="Q14" s="700"/>
      <c r="R14" s="700"/>
      <c r="S14" s="700"/>
      <c r="T14" s="700"/>
      <c r="U14" s="700"/>
      <c r="V14" s="700"/>
      <c r="W14" s="700"/>
      <c r="X14" s="714"/>
      <c r="Y14" s="700"/>
      <c r="Z14" s="700"/>
      <c r="AA14" s="700"/>
      <c r="AB14" s="700"/>
      <c r="AC14" s="700"/>
      <c r="AD14" s="700"/>
      <c r="AE14" s="700"/>
      <c r="AF14" s="700"/>
      <c r="AG14" s="700"/>
      <c r="AH14" s="700"/>
      <c r="AI14" s="700"/>
      <c r="AJ14" s="700"/>
      <c r="AK14" s="700"/>
      <c r="AL14" s="700"/>
      <c r="AM14" s="700"/>
      <c r="AN14" s="700"/>
      <c r="AO14" s="700"/>
      <c r="AP14" s="700"/>
      <c r="AQ14" s="700"/>
      <c r="AR14" s="700"/>
      <c r="AS14" s="700"/>
      <c r="AT14" s="700"/>
      <c r="AU14" s="700"/>
    </row>
    <row r="15" spans="1:47" ht="18">
      <c r="A15" s="715" t="s">
        <v>653</v>
      </c>
      <c r="B15" s="716" t="s">
        <v>836</v>
      </c>
      <c r="C15" s="700"/>
      <c r="D15" s="715" t="s">
        <v>882</v>
      </c>
      <c r="E15" s="716" t="s">
        <v>883</v>
      </c>
      <c r="F15" s="700"/>
      <c r="G15" s="700"/>
      <c r="H15" s="700"/>
      <c r="I15" s="700"/>
      <c r="J15" s="650"/>
      <c r="K15" s="700"/>
      <c r="L15" s="700"/>
      <c r="M15" s="700"/>
      <c r="N15" s="700"/>
      <c r="O15" s="700"/>
      <c r="P15" s="700"/>
      <c r="Q15" s="700"/>
      <c r="R15" s="700"/>
      <c r="S15" s="700"/>
      <c r="T15" s="700"/>
      <c r="U15" s="700"/>
      <c r="V15" s="700"/>
      <c r="W15" s="700"/>
      <c r="X15" s="700"/>
      <c r="Y15" s="700"/>
      <c r="Z15" s="700"/>
      <c r="AA15" s="700"/>
      <c r="AB15" s="700"/>
      <c r="AC15" s="700"/>
      <c r="AD15" s="700"/>
      <c r="AE15" s="700"/>
      <c r="AF15" s="700"/>
      <c r="AG15" s="700"/>
      <c r="AH15" s="700"/>
      <c r="AI15" s="700"/>
      <c r="AJ15" s="700"/>
      <c r="AK15" s="700"/>
      <c r="AL15" s="700"/>
      <c r="AM15" s="700"/>
      <c r="AN15" s="700"/>
      <c r="AO15" s="700"/>
      <c r="AP15" s="700"/>
      <c r="AQ15" s="700"/>
      <c r="AR15" s="700"/>
      <c r="AS15" s="700"/>
      <c r="AT15" s="700"/>
      <c r="AU15" s="700"/>
    </row>
    <row r="16" spans="1:47">
      <c r="A16" s="717" t="s">
        <v>231</v>
      </c>
      <c r="B16" s="718">
        <v>70</v>
      </c>
      <c r="C16" s="650"/>
      <c r="D16" s="717" t="s">
        <v>835</v>
      </c>
      <c r="E16" s="718">
        <v>0.4</v>
      </c>
      <c r="F16" s="650"/>
      <c r="G16" s="650"/>
      <c r="H16" s="650"/>
      <c r="I16" s="650"/>
      <c r="J16" s="650"/>
      <c r="K16" s="650"/>
      <c r="L16" s="650"/>
      <c r="M16" s="650"/>
      <c r="N16" s="650"/>
      <c r="O16" s="650"/>
      <c r="P16" s="650"/>
      <c r="Q16" s="650"/>
      <c r="R16" s="650"/>
      <c r="S16" s="650"/>
      <c r="T16" s="650"/>
      <c r="U16" s="650"/>
      <c r="V16" s="650"/>
      <c r="W16" s="650"/>
      <c r="X16" s="650"/>
      <c r="Y16" s="650"/>
      <c r="Z16" s="650"/>
      <c r="AA16" s="650"/>
      <c r="AB16" s="650"/>
      <c r="AC16" s="650"/>
      <c r="AD16" s="650"/>
      <c r="AE16" s="650"/>
      <c r="AF16" s="650"/>
      <c r="AG16" s="650"/>
      <c r="AH16" s="650"/>
      <c r="AI16" s="650"/>
      <c r="AJ16" s="650"/>
      <c r="AK16" s="650"/>
      <c r="AL16" s="650"/>
      <c r="AM16" s="650"/>
      <c r="AN16" s="650"/>
      <c r="AO16" s="650"/>
      <c r="AP16" s="650"/>
      <c r="AQ16" s="650"/>
      <c r="AR16" s="650"/>
      <c r="AS16" s="650"/>
      <c r="AT16" s="650"/>
      <c r="AU16" s="650"/>
    </row>
    <row r="17" spans="1:47" ht="15.75" thickBot="1">
      <c r="A17" s="719" t="s">
        <v>187</v>
      </c>
      <c r="B17" s="720">
        <v>73.3</v>
      </c>
      <c r="C17" s="650"/>
      <c r="D17" s="719" t="s">
        <v>185</v>
      </c>
      <c r="E17" s="720">
        <v>0.6</v>
      </c>
      <c r="F17" s="650"/>
      <c r="G17" s="650"/>
      <c r="H17" s="650"/>
      <c r="I17" s="650"/>
      <c r="J17" s="650"/>
      <c r="K17" s="650"/>
      <c r="L17" s="650"/>
      <c r="M17" s="650"/>
      <c r="N17" s="650"/>
      <c r="O17" s="650"/>
      <c r="P17" s="650"/>
      <c r="Q17" s="650"/>
      <c r="R17" s="650"/>
      <c r="S17" s="650"/>
      <c r="T17" s="650"/>
      <c r="U17" s="650"/>
      <c r="V17" s="650"/>
      <c r="W17" s="650"/>
      <c r="X17" s="650"/>
      <c r="Y17" s="650"/>
      <c r="Z17" s="650"/>
      <c r="AA17" s="650"/>
      <c r="AB17" s="650"/>
      <c r="AC17" s="650"/>
      <c r="AD17" s="650"/>
      <c r="AE17" s="650"/>
      <c r="AF17" s="650"/>
      <c r="AG17" s="650"/>
      <c r="AH17" s="650"/>
      <c r="AI17" s="650"/>
      <c r="AJ17" s="650"/>
      <c r="AK17" s="650"/>
      <c r="AL17" s="650"/>
      <c r="AM17" s="650"/>
      <c r="AN17" s="650"/>
      <c r="AO17" s="650"/>
      <c r="AP17" s="650"/>
      <c r="AQ17" s="650"/>
      <c r="AR17" s="650"/>
      <c r="AS17" s="650"/>
      <c r="AT17" s="650"/>
      <c r="AU17" s="650"/>
    </row>
    <row r="18" spans="1:47" ht="18.75" thickBot="1">
      <c r="H18" s="1778" t="s">
        <v>839</v>
      </c>
      <c r="I18" s="1778" t="s">
        <v>837</v>
      </c>
      <c r="J18" s="1778" t="s">
        <v>838</v>
      </c>
      <c r="K18" s="1775" t="s">
        <v>875</v>
      </c>
      <c r="L18" s="1776"/>
      <c r="M18" s="1777"/>
      <c r="N18" s="1778" t="s">
        <v>871</v>
      </c>
      <c r="P18" s="1783" t="s">
        <v>839</v>
      </c>
      <c r="Q18" s="1785" t="s">
        <v>838</v>
      </c>
      <c r="R18" s="1780" t="s">
        <v>875</v>
      </c>
      <c r="S18" s="1781"/>
      <c r="T18" s="1782"/>
      <c r="U18" s="1787" t="s">
        <v>871</v>
      </c>
    </row>
    <row r="19" spans="1:47" ht="29.25" customHeight="1">
      <c r="A19" s="723" t="s">
        <v>839</v>
      </c>
      <c r="B19" s="724" t="s">
        <v>837</v>
      </c>
      <c r="C19" s="724" t="s">
        <v>838</v>
      </c>
      <c r="D19" s="724" t="s">
        <v>840</v>
      </c>
      <c r="E19" s="724" t="s">
        <v>841</v>
      </c>
      <c r="F19" s="725" t="s">
        <v>842</v>
      </c>
      <c r="H19" s="1779"/>
      <c r="I19" s="1779"/>
      <c r="J19" s="1779"/>
      <c r="K19" s="740" t="s">
        <v>872</v>
      </c>
      <c r="L19" s="740" t="s">
        <v>873</v>
      </c>
      <c r="M19" s="740" t="s">
        <v>874</v>
      </c>
      <c r="N19" s="1779"/>
      <c r="P19" s="1784"/>
      <c r="Q19" s="1786"/>
      <c r="R19" s="741" t="s">
        <v>872</v>
      </c>
      <c r="S19" s="741" t="s">
        <v>873</v>
      </c>
      <c r="T19" s="741" t="s">
        <v>874</v>
      </c>
      <c r="U19" s="1788"/>
    </row>
    <row r="20" spans="1:47">
      <c r="A20" s="1772" t="s">
        <v>859</v>
      </c>
      <c r="B20" s="726" t="s">
        <v>843</v>
      </c>
      <c r="C20" s="726" t="s">
        <v>861</v>
      </c>
      <c r="D20" s="727">
        <v>26833707</v>
      </c>
      <c r="E20" s="727">
        <v>24846670</v>
      </c>
      <c r="F20" s="728">
        <v>0.93</v>
      </c>
      <c r="H20" s="1773" t="s">
        <v>859</v>
      </c>
      <c r="I20" s="729" t="s">
        <v>843</v>
      </c>
      <c r="J20" s="729" t="s">
        <v>861</v>
      </c>
      <c r="K20" s="729">
        <v>38</v>
      </c>
      <c r="L20" s="729">
        <v>38</v>
      </c>
      <c r="M20" s="729">
        <v>38</v>
      </c>
      <c r="N20" s="738" t="s">
        <v>178</v>
      </c>
      <c r="P20" s="717" t="s">
        <v>876</v>
      </c>
      <c r="Q20" s="721" t="s">
        <v>879</v>
      </c>
      <c r="R20" s="721">
        <v>7</v>
      </c>
      <c r="S20" s="721">
        <v>7</v>
      </c>
      <c r="T20" s="721">
        <v>7</v>
      </c>
      <c r="U20" s="736" t="s">
        <v>178</v>
      </c>
    </row>
    <row r="21" spans="1:47">
      <c r="A21" s="1773"/>
      <c r="B21" s="729" t="s">
        <v>844</v>
      </c>
      <c r="C21" s="729" t="s">
        <v>862</v>
      </c>
      <c r="D21" s="730">
        <v>10229872</v>
      </c>
      <c r="E21" s="730">
        <v>10229872</v>
      </c>
      <c r="F21" s="731">
        <v>1</v>
      </c>
      <c r="H21" s="1773"/>
      <c r="I21" s="729" t="s">
        <v>844</v>
      </c>
      <c r="J21" s="729" t="s">
        <v>862</v>
      </c>
      <c r="K21" s="729">
        <v>8</v>
      </c>
      <c r="L21" s="729">
        <v>28.4</v>
      </c>
      <c r="M21" s="729">
        <v>43</v>
      </c>
      <c r="N21" s="738">
        <v>42.7</v>
      </c>
      <c r="P21" s="717" t="s">
        <v>877</v>
      </c>
      <c r="Q21" s="721" t="s">
        <v>880</v>
      </c>
      <c r="R21" s="721">
        <v>14</v>
      </c>
      <c r="S21" s="721">
        <v>21.8</v>
      </c>
      <c r="T21" s="721">
        <v>52</v>
      </c>
      <c r="U21" s="736" t="s">
        <v>178</v>
      </c>
    </row>
    <row r="22" spans="1:47">
      <c r="A22" s="1773"/>
      <c r="B22" s="729" t="s">
        <v>845</v>
      </c>
      <c r="C22" s="729" t="s">
        <v>863</v>
      </c>
      <c r="D22" s="730">
        <v>2177347</v>
      </c>
      <c r="E22" s="730">
        <v>333164</v>
      </c>
      <c r="F22" s="731">
        <v>0.15</v>
      </c>
      <c r="H22" s="1773"/>
      <c r="I22" s="729" t="s">
        <v>845</v>
      </c>
      <c r="J22" s="729" t="s">
        <v>863</v>
      </c>
      <c r="K22" s="729">
        <v>19</v>
      </c>
      <c r="L22" s="729">
        <v>28.7</v>
      </c>
      <c r="M22" s="729">
        <v>42</v>
      </c>
      <c r="N22" s="738" t="s">
        <v>178</v>
      </c>
      <c r="P22" s="717" t="s">
        <v>851</v>
      </c>
      <c r="Q22" s="721" t="s">
        <v>881</v>
      </c>
      <c r="R22" s="721">
        <v>14</v>
      </c>
      <c r="S22" s="721">
        <v>14</v>
      </c>
      <c r="T22" s="721">
        <v>14</v>
      </c>
      <c r="U22" s="736">
        <v>14.2</v>
      </c>
    </row>
    <row r="23" spans="1:47" ht="15.75" thickBot="1">
      <c r="A23" s="1773"/>
      <c r="B23" s="729" t="s">
        <v>846</v>
      </c>
      <c r="C23" s="729" t="s">
        <v>847</v>
      </c>
      <c r="D23" s="730">
        <v>10234248</v>
      </c>
      <c r="E23" s="730">
        <v>7253673</v>
      </c>
      <c r="F23" s="731">
        <v>0.71</v>
      </c>
      <c r="H23" s="1773"/>
      <c r="I23" s="729" t="s">
        <v>846</v>
      </c>
      <c r="J23" s="729" t="s">
        <v>847</v>
      </c>
      <c r="K23" s="729">
        <v>20</v>
      </c>
      <c r="L23" s="729">
        <v>22.4</v>
      </c>
      <c r="M23" s="729">
        <v>24</v>
      </c>
      <c r="N23" s="738">
        <v>24.3</v>
      </c>
      <c r="P23" s="719" t="s">
        <v>878</v>
      </c>
      <c r="Q23" s="722" t="s">
        <v>859</v>
      </c>
      <c r="R23" s="722">
        <v>7</v>
      </c>
      <c r="S23" s="722">
        <v>30.1</v>
      </c>
      <c r="T23" s="722">
        <v>47</v>
      </c>
      <c r="U23" s="737" t="s">
        <v>178</v>
      </c>
    </row>
    <row r="24" spans="1:47">
      <c r="A24" s="1773"/>
      <c r="B24" s="729" t="s">
        <v>848</v>
      </c>
      <c r="C24" s="729" t="s">
        <v>864</v>
      </c>
      <c r="D24" s="730">
        <v>2781465</v>
      </c>
      <c r="E24" s="729">
        <v>0</v>
      </c>
      <c r="F24" s="731">
        <v>0</v>
      </c>
      <c r="H24" s="1773"/>
      <c r="I24" s="729" t="s">
        <v>848</v>
      </c>
      <c r="J24" s="729" t="s">
        <v>864</v>
      </c>
      <c r="K24" s="729">
        <v>17</v>
      </c>
      <c r="L24" s="729">
        <v>39.200000000000003</v>
      </c>
      <c r="M24" s="729">
        <v>47</v>
      </c>
      <c r="N24" s="738" t="s">
        <v>178</v>
      </c>
    </row>
    <row r="25" spans="1:47">
      <c r="A25" s="1773"/>
      <c r="B25" s="729" t="s">
        <v>849</v>
      </c>
      <c r="C25" s="729" t="s">
        <v>850</v>
      </c>
      <c r="D25" s="730">
        <v>313332</v>
      </c>
      <c r="E25" s="730">
        <v>313332</v>
      </c>
      <c r="F25" s="731">
        <v>1</v>
      </c>
      <c r="H25" s="1773"/>
      <c r="I25" s="729" t="s">
        <v>849</v>
      </c>
      <c r="J25" s="729" t="s">
        <v>850</v>
      </c>
      <c r="K25" s="729">
        <v>40</v>
      </c>
      <c r="L25" s="729">
        <v>40</v>
      </c>
      <c r="M25" s="729">
        <v>40</v>
      </c>
      <c r="N25" s="738">
        <v>40.200000000000003</v>
      </c>
    </row>
    <row r="26" spans="1:47">
      <c r="A26" s="1773" t="s">
        <v>860</v>
      </c>
      <c r="B26" s="729" t="s">
        <v>851</v>
      </c>
      <c r="C26" s="729" t="s">
        <v>865</v>
      </c>
      <c r="D26" s="730">
        <v>70625375</v>
      </c>
      <c r="E26" s="730">
        <v>164596</v>
      </c>
      <c r="F26" s="732">
        <v>2E-3</v>
      </c>
      <c r="H26" s="1773" t="s">
        <v>860</v>
      </c>
      <c r="I26" s="729" t="s">
        <v>851</v>
      </c>
      <c r="J26" s="729" t="s">
        <v>865</v>
      </c>
      <c r="K26" s="729">
        <v>14</v>
      </c>
      <c r="L26" s="729">
        <v>14</v>
      </c>
      <c r="M26" s="729">
        <v>14</v>
      </c>
      <c r="N26" s="738">
        <v>14.2</v>
      </c>
    </row>
    <row r="27" spans="1:47">
      <c r="A27" s="1773"/>
      <c r="B27" s="729" t="s">
        <v>852</v>
      </c>
      <c r="C27" s="729" t="s">
        <v>866</v>
      </c>
      <c r="D27" s="730">
        <v>27599893</v>
      </c>
      <c r="E27" s="729" t="s">
        <v>178</v>
      </c>
      <c r="F27" s="732">
        <v>0</v>
      </c>
      <c r="H27" s="1773"/>
      <c r="I27" s="729" t="s">
        <v>852</v>
      </c>
      <c r="J27" s="729" t="s">
        <v>866</v>
      </c>
      <c r="K27" s="729">
        <v>14</v>
      </c>
      <c r="L27" s="729">
        <v>14</v>
      </c>
      <c r="M27" s="729">
        <v>14</v>
      </c>
      <c r="N27" s="738">
        <v>14.2</v>
      </c>
    </row>
    <row r="28" spans="1:47">
      <c r="A28" s="1773"/>
      <c r="B28" s="729" t="s">
        <v>853</v>
      </c>
      <c r="C28" s="729" t="s">
        <v>867</v>
      </c>
      <c r="D28" s="730">
        <v>10246421</v>
      </c>
      <c r="E28" s="730">
        <v>29655</v>
      </c>
      <c r="F28" s="732">
        <v>3.0000000000000001E-3</v>
      </c>
      <c r="H28" s="1773"/>
      <c r="I28" s="729" t="s">
        <v>853</v>
      </c>
      <c r="J28" s="729" t="s">
        <v>867</v>
      </c>
      <c r="K28" s="729">
        <v>52</v>
      </c>
      <c r="L28" s="729">
        <v>52</v>
      </c>
      <c r="M28" s="729">
        <v>52</v>
      </c>
      <c r="N28" s="738">
        <v>52</v>
      </c>
    </row>
    <row r="29" spans="1:47">
      <c r="A29" s="1773"/>
      <c r="B29" s="729" t="s">
        <v>854</v>
      </c>
      <c r="C29" s="729" t="s">
        <v>868</v>
      </c>
      <c r="D29" s="730">
        <v>31712</v>
      </c>
      <c r="E29" s="729" t="s">
        <v>178</v>
      </c>
      <c r="F29" s="732">
        <v>0</v>
      </c>
      <c r="H29" s="1773"/>
      <c r="I29" s="729" t="s">
        <v>854</v>
      </c>
      <c r="J29" s="729" t="s">
        <v>868</v>
      </c>
      <c r="K29" s="729">
        <v>42</v>
      </c>
      <c r="L29" s="729">
        <v>42</v>
      </c>
      <c r="M29" s="729">
        <v>42</v>
      </c>
      <c r="N29" s="738" t="s">
        <v>178</v>
      </c>
    </row>
    <row r="30" spans="1:47">
      <c r="A30" s="1773"/>
      <c r="B30" s="729" t="s">
        <v>855</v>
      </c>
      <c r="C30" s="729" t="s">
        <v>869</v>
      </c>
      <c r="D30" s="730">
        <v>3701711</v>
      </c>
      <c r="E30" s="730">
        <v>3264108</v>
      </c>
      <c r="F30" s="732">
        <v>0.88200000000000001</v>
      </c>
      <c r="H30" s="1773"/>
      <c r="I30" s="729" t="s">
        <v>855</v>
      </c>
      <c r="J30" s="729" t="s">
        <v>869</v>
      </c>
      <c r="K30" s="729">
        <v>40</v>
      </c>
      <c r="L30" s="729">
        <v>46.5</v>
      </c>
      <c r="M30" s="729">
        <v>50</v>
      </c>
      <c r="N30" s="738">
        <v>67.900000000000006</v>
      </c>
    </row>
    <row r="31" spans="1:47">
      <c r="A31" s="1773"/>
      <c r="B31" s="729" t="s">
        <v>856</v>
      </c>
      <c r="C31" s="729" t="s">
        <v>857</v>
      </c>
      <c r="D31" s="730">
        <v>1128497</v>
      </c>
      <c r="E31" s="730">
        <v>909391</v>
      </c>
      <c r="F31" s="732">
        <v>0.80600000000000005</v>
      </c>
      <c r="H31" s="1773"/>
      <c r="I31" s="729" t="s">
        <v>856</v>
      </c>
      <c r="J31" s="729" t="s">
        <v>857</v>
      </c>
      <c r="K31" s="729">
        <v>42</v>
      </c>
      <c r="L31" s="729">
        <v>42</v>
      </c>
      <c r="M31" s="729">
        <v>42</v>
      </c>
      <c r="N31" s="738">
        <v>57.8</v>
      </c>
    </row>
    <row r="32" spans="1:47" ht="15.75" thickBot="1">
      <c r="A32" s="1774"/>
      <c r="B32" s="733" t="s">
        <v>858</v>
      </c>
      <c r="C32" s="733" t="s">
        <v>870</v>
      </c>
      <c r="D32" s="734">
        <v>1016436</v>
      </c>
      <c r="E32" s="734">
        <v>1016436</v>
      </c>
      <c r="F32" s="735">
        <v>1</v>
      </c>
      <c r="H32" s="1774"/>
      <c r="I32" s="733" t="s">
        <v>858</v>
      </c>
      <c r="J32" s="733" t="s">
        <v>870</v>
      </c>
      <c r="K32" s="733">
        <v>7</v>
      </c>
      <c r="L32" s="733">
        <v>18.399999999999999</v>
      </c>
      <c r="M32" s="733">
        <v>19</v>
      </c>
      <c r="N32" s="739">
        <v>14.2</v>
      </c>
    </row>
  </sheetData>
  <mergeCells count="13">
    <mergeCell ref="N18:N19"/>
    <mergeCell ref="R18:T18"/>
    <mergeCell ref="P18:P19"/>
    <mergeCell ref="Q18:Q19"/>
    <mergeCell ref="U18:U19"/>
    <mergeCell ref="A20:A25"/>
    <mergeCell ref="A26:A32"/>
    <mergeCell ref="H20:H25"/>
    <mergeCell ref="H26:H32"/>
    <mergeCell ref="K18:M18"/>
    <mergeCell ref="H18:H19"/>
    <mergeCell ref="I18:I19"/>
    <mergeCell ref="J18:J19"/>
  </mergeCells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7030A0"/>
  </sheetPr>
  <dimension ref="A1:F19"/>
  <sheetViews>
    <sheetView workbookViewId="0">
      <selection activeCell="B19" sqref="B19"/>
    </sheetView>
  </sheetViews>
  <sheetFormatPr defaultRowHeight="15"/>
  <cols>
    <col min="1" max="6" width="15.7109375" style="1127" customWidth="1"/>
    <col min="7" max="16384" width="9.140625" style="1127"/>
  </cols>
  <sheetData>
    <row r="1" spans="1:6" ht="15.75">
      <c r="A1" s="1789" t="s">
        <v>1131</v>
      </c>
      <c r="B1" s="1789"/>
      <c r="C1" s="1789"/>
      <c r="D1" s="1789"/>
      <c r="E1" s="1789"/>
      <c r="F1" s="1789"/>
    </row>
    <row r="2" spans="1:6" ht="16.5" thickBot="1">
      <c r="A2" s="1790" t="s">
        <v>223</v>
      </c>
      <c r="B2" s="1790"/>
      <c r="C2" s="1790"/>
      <c r="D2" s="1790"/>
      <c r="E2" s="1133"/>
      <c r="F2" s="1133"/>
    </row>
    <row r="3" spans="1:6">
      <c r="A3" s="1791" t="s">
        <v>185</v>
      </c>
      <c r="B3" s="1792"/>
      <c r="C3" s="1792"/>
      <c r="D3" s="1792"/>
      <c r="E3" s="1792"/>
      <c r="F3" s="1793"/>
    </row>
    <row r="4" spans="1:6">
      <c r="A4" s="1134"/>
      <c r="B4" s="1794" t="s">
        <v>1132</v>
      </c>
      <c r="C4" s="1795"/>
      <c r="D4" s="1795"/>
      <c r="E4" s="1795"/>
      <c r="F4" s="1135"/>
    </row>
    <row r="5" spans="1:6">
      <c r="A5" s="1136"/>
      <c r="B5" s="1137" t="s">
        <v>1133</v>
      </c>
      <c r="C5" s="1137" t="s">
        <v>1134</v>
      </c>
      <c r="D5" s="1137" t="s">
        <v>1135</v>
      </c>
      <c r="E5" s="1137" t="s">
        <v>1136</v>
      </c>
      <c r="F5" s="1138" t="s">
        <v>173</v>
      </c>
    </row>
    <row r="6" spans="1:6">
      <c r="A6" s="1139">
        <v>2013</v>
      </c>
      <c r="B6" s="1140">
        <v>2239</v>
      </c>
      <c r="C6" s="1140">
        <v>4395</v>
      </c>
      <c r="D6" s="1140">
        <v>1815</v>
      </c>
      <c r="E6" s="1140">
        <v>28174</v>
      </c>
      <c r="F6" s="1141">
        <f t="shared" ref="F6:F18" si="0">SUM(B6:E6)</f>
        <v>36623</v>
      </c>
    </row>
    <row r="7" spans="1:6">
      <c r="A7" s="1139">
        <v>2012</v>
      </c>
      <c r="B7" s="1140">
        <v>2362</v>
      </c>
      <c r="C7" s="1140">
        <v>4521</v>
      </c>
      <c r="D7" s="1140">
        <v>1883</v>
      </c>
      <c r="E7" s="1140">
        <v>26340</v>
      </c>
      <c r="F7" s="1141">
        <f t="shared" si="0"/>
        <v>35106</v>
      </c>
    </row>
    <row r="8" spans="1:6">
      <c r="A8" s="1139">
        <v>2011</v>
      </c>
      <c r="B8" s="1140">
        <v>2506</v>
      </c>
      <c r="C8" s="1140">
        <v>4898</v>
      </c>
      <c r="D8" s="1140">
        <v>2029</v>
      </c>
      <c r="E8" s="1140">
        <v>27149</v>
      </c>
      <c r="F8" s="1141">
        <f t="shared" si="0"/>
        <v>36582</v>
      </c>
    </row>
    <row r="9" spans="1:6">
      <c r="A9" s="1139">
        <v>2010</v>
      </c>
      <c r="B9" s="1140">
        <v>2859</v>
      </c>
      <c r="C9" s="1140">
        <v>5291</v>
      </c>
      <c r="D9" s="1140">
        <v>2184</v>
      </c>
      <c r="E9" s="1140">
        <v>27811</v>
      </c>
      <c r="F9" s="1141">
        <f t="shared" si="0"/>
        <v>38145</v>
      </c>
    </row>
    <row r="10" spans="1:6">
      <c r="A10" s="1139">
        <v>2009</v>
      </c>
      <c r="B10" s="1140">
        <v>3368</v>
      </c>
      <c r="C10" s="1140">
        <v>5646</v>
      </c>
      <c r="D10" s="1140">
        <v>2349</v>
      </c>
      <c r="E10" s="1140">
        <v>28189</v>
      </c>
      <c r="F10" s="1141">
        <f t="shared" si="0"/>
        <v>39552</v>
      </c>
    </row>
    <row r="11" spans="1:6">
      <c r="A11" s="1139">
        <v>2008</v>
      </c>
      <c r="B11" s="1140">
        <v>3975</v>
      </c>
      <c r="C11" s="1140">
        <v>5792</v>
      </c>
      <c r="D11" s="1140">
        <v>2436</v>
      </c>
      <c r="E11" s="1140">
        <v>27206</v>
      </c>
      <c r="F11" s="1141">
        <f t="shared" si="0"/>
        <v>39409</v>
      </c>
    </row>
    <row r="12" spans="1:6">
      <c r="A12" s="1139">
        <v>2007</v>
      </c>
      <c r="B12" s="1140">
        <f>AVERAGE(B11,B13)</f>
        <v>4446.5</v>
      </c>
      <c r="C12" s="1140">
        <f t="shared" ref="C12:E12" si="1">AVERAGE(C11,C13)</f>
        <v>5665</v>
      </c>
      <c r="D12" s="1140">
        <f t="shared" si="1"/>
        <v>2372.5</v>
      </c>
      <c r="E12" s="1140">
        <f t="shared" si="1"/>
        <v>24684</v>
      </c>
      <c r="F12" s="1141">
        <f t="shared" si="0"/>
        <v>37168</v>
      </c>
    </row>
    <row r="13" spans="1:6">
      <c r="A13" s="1139">
        <v>2006</v>
      </c>
      <c r="B13" s="1140">
        <v>4918</v>
      </c>
      <c r="C13" s="1140">
        <v>5538</v>
      </c>
      <c r="D13" s="1140">
        <v>2309</v>
      </c>
      <c r="E13" s="1140">
        <v>22162</v>
      </c>
      <c r="F13" s="1141">
        <f t="shared" si="0"/>
        <v>34927</v>
      </c>
    </row>
    <row r="14" spans="1:6">
      <c r="A14" s="1139">
        <v>2005</v>
      </c>
      <c r="B14" s="1140">
        <v>5951</v>
      </c>
      <c r="C14" s="1140">
        <v>5814</v>
      </c>
      <c r="D14" s="1140">
        <v>2291</v>
      </c>
      <c r="E14" s="1140">
        <v>20244</v>
      </c>
      <c r="F14" s="1141">
        <f t="shared" si="0"/>
        <v>34300</v>
      </c>
    </row>
    <row r="15" spans="1:6">
      <c r="A15" s="1139">
        <v>2004</v>
      </c>
      <c r="B15" s="1140">
        <v>7395</v>
      </c>
      <c r="C15" s="1140">
        <v>6367</v>
      </c>
      <c r="D15" s="1140">
        <v>2450</v>
      </c>
      <c r="E15" s="1140">
        <v>18642</v>
      </c>
      <c r="F15" s="1141">
        <f t="shared" si="0"/>
        <v>34854</v>
      </c>
    </row>
    <row r="16" spans="1:6">
      <c r="A16" s="1139">
        <v>2003</v>
      </c>
      <c r="B16" s="1140">
        <v>8444</v>
      </c>
      <c r="C16" s="1140">
        <v>6979</v>
      </c>
      <c r="D16" s="1140">
        <v>2556</v>
      </c>
      <c r="E16" s="1140">
        <v>17115</v>
      </c>
      <c r="F16" s="1141">
        <f t="shared" si="0"/>
        <v>35094</v>
      </c>
    </row>
    <row r="17" spans="1:6">
      <c r="A17" s="1139">
        <v>2002</v>
      </c>
      <c r="B17" s="1140">
        <v>8530</v>
      </c>
      <c r="C17" s="1140">
        <v>7213</v>
      </c>
      <c r="D17" s="1140">
        <v>2425</v>
      </c>
      <c r="E17" s="1140">
        <v>14979</v>
      </c>
      <c r="F17" s="1141">
        <f t="shared" si="0"/>
        <v>33147</v>
      </c>
    </row>
    <row r="18" spans="1:6">
      <c r="A18" s="1139">
        <v>2001</v>
      </c>
      <c r="B18" s="1140">
        <v>9301</v>
      </c>
      <c r="C18" s="1140">
        <v>7901</v>
      </c>
      <c r="D18" s="1140">
        <v>2391</v>
      </c>
      <c r="E18" s="1140">
        <v>13320</v>
      </c>
      <c r="F18" s="1141">
        <f t="shared" si="0"/>
        <v>32913</v>
      </c>
    </row>
    <row r="19" spans="1:6" ht="15.75" thickBot="1">
      <c r="A19" s="1142">
        <v>2000</v>
      </c>
      <c r="B19" s="1143">
        <f>$F$19*(B18/$F$18)</f>
        <v>8658.0997782031427</v>
      </c>
      <c r="C19" s="1143">
        <f t="shared" ref="C19:E19" si="2">$F$19*(C18/$F$18)</f>
        <v>7354.8700513474914</v>
      </c>
      <c r="D19" s="1143">
        <f t="shared" si="2"/>
        <v>2225.7301977941847</v>
      </c>
      <c r="E19" s="1143">
        <f t="shared" si="2"/>
        <v>12399.299972655181</v>
      </c>
      <c r="F19" s="1144">
        <v>30638</v>
      </c>
    </row>
  </sheetData>
  <mergeCells count="4">
    <mergeCell ref="A1:F1"/>
    <mergeCell ref="A2:D2"/>
    <mergeCell ref="A3:F3"/>
    <mergeCell ref="B4:E4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7030A0"/>
  </sheetPr>
  <dimension ref="A1:F6"/>
  <sheetViews>
    <sheetView workbookViewId="0">
      <selection activeCell="K39" sqref="K39"/>
    </sheetView>
  </sheetViews>
  <sheetFormatPr defaultRowHeight="15"/>
  <cols>
    <col min="1" max="6" width="15.5703125" style="1127" customWidth="1"/>
    <col min="7" max="16384" width="9.140625" style="1127"/>
  </cols>
  <sheetData>
    <row r="1" spans="1:6" ht="15.75">
      <c r="A1" s="1789" t="s">
        <v>1131</v>
      </c>
      <c r="B1" s="1789"/>
      <c r="C1" s="1789"/>
      <c r="D1" s="1789"/>
      <c r="E1" s="1789"/>
      <c r="F1" s="1789"/>
    </row>
    <row r="2" spans="1:6" ht="16.5" thickBot="1">
      <c r="A2" s="1789" t="s">
        <v>1137</v>
      </c>
      <c r="B2" s="1789"/>
      <c r="C2" s="1789"/>
      <c r="D2" s="1789"/>
      <c r="E2" s="1133"/>
      <c r="F2" s="1133"/>
    </row>
    <row r="3" spans="1:6">
      <c r="A3" s="1796" t="s">
        <v>185</v>
      </c>
      <c r="B3" s="1797"/>
      <c r="C3" s="1797"/>
      <c r="D3" s="1797"/>
      <c r="E3" s="1797"/>
      <c r="F3" s="1798"/>
    </row>
    <row r="4" spans="1:6">
      <c r="A4" s="1145"/>
      <c r="B4" s="1794" t="s">
        <v>1132</v>
      </c>
      <c r="C4" s="1795"/>
      <c r="D4" s="1795"/>
      <c r="E4" s="1795"/>
      <c r="F4" s="1146"/>
    </row>
    <row r="5" spans="1:6">
      <c r="A5" s="1147"/>
      <c r="B5" s="1137" t="s">
        <v>1133</v>
      </c>
      <c r="C5" s="1137" t="s">
        <v>1134</v>
      </c>
      <c r="D5" s="1137" t="s">
        <v>1135</v>
      </c>
      <c r="E5" s="1137" t="s">
        <v>1136</v>
      </c>
      <c r="F5" s="1148" t="s">
        <v>173</v>
      </c>
    </row>
    <row r="6" spans="1:6" ht="15.75" thickBot="1">
      <c r="A6" s="1149">
        <v>2013</v>
      </c>
      <c r="B6" s="1150">
        <v>0.76539999999999997</v>
      </c>
      <c r="C6" s="1150">
        <v>0.76539999999999997</v>
      </c>
      <c r="D6" s="1150">
        <v>0.76539999999999997</v>
      </c>
      <c r="E6" s="1150">
        <v>0.76539999999999997</v>
      </c>
      <c r="F6" s="1151">
        <v>0.76539999999999997</v>
      </c>
    </row>
  </sheetData>
  <mergeCells count="4">
    <mergeCell ref="A1:F1"/>
    <mergeCell ref="A2:D2"/>
    <mergeCell ref="A3:F3"/>
    <mergeCell ref="B4:E4"/>
  </mergeCells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7030A0"/>
  </sheetPr>
  <dimension ref="A1:F6"/>
  <sheetViews>
    <sheetView workbookViewId="0">
      <selection activeCell="A3" sqref="A3:F3"/>
    </sheetView>
  </sheetViews>
  <sheetFormatPr defaultRowHeight="15"/>
  <cols>
    <col min="1" max="6" width="16.85546875" style="1127" customWidth="1"/>
    <col min="7" max="16384" width="9.140625" style="1127"/>
  </cols>
  <sheetData>
    <row r="1" spans="1:6" ht="15.75">
      <c r="A1" s="1789" t="s">
        <v>1131</v>
      </c>
      <c r="B1" s="1789"/>
      <c r="C1" s="1789"/>
      <c r="D1" s="1789"/>
      <c r="E1" s="1789"/>
      <c r="F1" s="1789"/>
    </row>
    <row r="2" spans="1:6" ht="16.5" thickBot="1">
      <c r="A2" s="1790" t="s">
        <v>1150</v>
      </c>
      <c r="B2" s="1790"/>
      <c r="C2" s="1790"/>
      <c r="D2" s="1790"/>
      <c r="E2" s="1133"/>
      <c r="F2" s="1133"/>
    </row>
    <row r="3" spans="1:6">
      <c r="A3" s="1791" t="s">
        <v>185</v>
      </c>
      <c r="B3" s="1792"/>
      <c r="C3" s="1792"/>
      <c r="D3" s="1792"/>
      <c r="E3" s="1792"/>
      <c r="F3" s="1793"/>
    </row>
    <row r="4" spans="1:6">
      <c r="A4" s="1134"/>
      <c r="B4" s="1794" t="s">
        <v>1132</v>
      </c>
      <c r="C4" s="1795"/>
      <c r="D4" s="1795"/>
      <c r="E4" s="1795"/>
      <c r="F4" s="1135"/>
    </row>
    <row r="5" spans="1:6">
      <c r="A5" s="1136"/>
      <c r="B5" s="1137" t="s">
        <v>1133</v>
      </c>
      <c r="C5" s="1137" t="s">
        <v>1134</v>
      </c>
      <c r="D5" s="1137" t="s">
        <v>1135</v>
      </c>
      <c r="E5" s="1137" t="s">
        <v>1136</v>
      </c>
      <c r="F5" s="1138" t="s">
        <v>173</v>
      </c>
    </row>
    <row r="6" spans="1:6" ht="15.75" thickBot="1">
      <c r="A6" s="1142">
        <v>2013</v>
      </c>
      <c r="B6" s="1165">
        <v>4205.3300941508714</v>
      </c>
      <c r="C6" s="1165">
        <v>4205.3300941508714</v>
      </c>
      <c r="D6" s="1165">
        <v>4205.3300941508714</v>
      </c>
      <c r="E6" s="1165">
        <v>4205.3300941508714</v>
      </c>
      <c r="F6" s="1166">
        <v>4205.3300941508714</v>
      </c>
    </row>
  </sheetData>
  <mergeCells count="4">
    <mergeCell ref="A1:F1"/>
    <mergeCell ref="A2:D2"/>
    <mergeCell ref="A3:F3"/>
    <mergeCell ref="B4:E4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19">
    <tabColor theme="5"/>
  </sheetPr>
  <dimension ref="A1:BK401"/>
  <sheetViews>
    <sheetView topLeftCell="L31" workbookViewId="0">
      <selection activeCell="W48" sqref="W48:Y48"/>
    </sheetView>
  </sheetViews>
  <sheetFormatPr defaultRowHeight="15"/>
  <cols>
    <col min="2" max="2" width="14.140625" bestFit="1" customWidth="1"/>
    <col min="3" max="4" width="17" bestFit="1" customWidth="1"/>
    <col min="5" max="5" width="14.42578125" bestFit="1" customWidth="1"/>
    <col min="6" max="7" width="17.28515625" bestFit="1" customWidth="1"/>
    <col min="8" max="8" width="14.7109375" bestFit="1" customWidth="1"/>
    <col min="9" max="9" width="9" bestFit="1" customWidth="1"/>
    <col min="10" max="10" width="11.28515625" bestFit="1" customWidth="1"/>
    <col min="11" max="11" width="14.140625" bestFit="1" customWidth="1"/>
    <col min="12" max="12" width="17" bestFit="1" customWidth="1"/>
    <col min="13" max="13" width="14.7109375" bestFit="1" customWidth="1"/>
    <col min="14" max="14" width="14.42578125" bestFit="1" customWidth="1"/>
    <col min="15" max="15" width="17.28515625" bestFit="1" customWidth="1"/>
    <col min="16" max="16" width="15" bestFit="1" customWidth="1"/>
    <col min="17" max="17" width="13.7109375" bestFit="1" customWidth="1"/>
  </cols>
  <sheetData>
    <row r="1" spans="1:63" s="650" customFormat="1">
      <c r="A1" t="s">
        <v>223</v>
      </c>
    </row>
    <row r="2" spans="1:63" s="650" customFormat="1">
      <c r="A2" s="1799" t="s">
        <v>35</v>
      </c>
      <c r="B2" s="1799"/>
      <c r="C2" s="1799"/>
      <c r="D2" s="1799"/>
      <c r="E2" s="1799"/>
      <c r="F2" s="1799"/>
      <c r="G2" s="1799"/>
      <c r="H2" s="1799"/>
      <c r="I2" s="1799"/>
      <c r="J2" s="1799"/>
      <c r="K2" s="1799"/>
      <c r="L2" s="1799"/>
      <c r="M2" s="1799"/>
      <c r="N2" s="1799"/>
      <c r="O2" s="1799"/>
      <c r="P2" s="1799"/>
      <c r="Q2" s="1799"/>
      <c r="R2" s="1799"/>
      <c r="S2" s="1799"/>
      <c r="T2" s="1799"/>
      <c r="U2" s="1799"/>
      <c r="V2" s="1799"/>
      <c r="W2" s="1799"/>
      <c r="X2" s="1799"/>
      <c r="Y2" s="1799"/>
      <c r="Z2" s="1799"/>
      <c r="AA2" s="1799"/>
      <c r="AB2" s="1799"/>
      <c r="AC2" s="1799"/>
      <c r="AD2" s="1799"/>
      <c r="AE2" s="1799"/>
      <c r="AF2"/>
      <c r="AG2" s="1799" t="s">
        <v>36</v>
      </c>
      <c r="AH2" s="1799"/>
      <c r="AI2" s="1799"/>
      <c r="AJ2" s="1799"/>
      <c r="AK2" s="1799"/>
      <c r="AL2" s="1799"/>
      <c r="AM2" s="1799"/>
      <c r="AN2" s="1799"/>
      <c r="AO2" s="1799"/>
      <c r="AP2" s="1799"/>
      <c r="AQ2" s="1799"/>
      <c r="AR2" s="1799"/>
      <c r="AS2" s="1799"/>
      <c r="AT2" s="1799"/>
      <c r="AU2" s="1799"/>
      <c r="AV2" s="1799"/>
      <c r="AW2" s="1799"/>
      <c r="AX2" s="1799"/>
      <c r="AY2" s="1799"/>
      <c r="AZ2" s="1799"/>
      <c r="BA2" s="1799"/>
      <c r="BB2" s="1799"/>
      <c r="BC2" s="1799"/>
      <c r="BD2" s="1799"/>
      <c r="BE2" s="1799"/>
      <c r="BF2" s="1799"/>
      <c r="BG2" s="1799"/>
      <c r="BH2" s="1799"/>
      <c r="BI2" s="1799"/>
      <c r="BJ2" s="1799"/>
      <c r="BK2" s="1799"/>
    </row>
    <row r="3" spans="1:63" s="650" customFormat="1" ht="34.5">
      <c r="A3" s="262" t="s">
        <v>139</v>
      </c>
      <c r="B3" s="262" t="s">
        <v>140</v>
      </c>
      <c r="C3" s="262" t="s">
        <v>141</v>
      </c>
      <c r="D3" s="262" t="s">
        <v>142</v>
      </c>
      <c r="E3" s="262" t="s">
        <v>143</v>
      </c>
      <c r="F3" s="262" t="s">
        <v>144</v>
      </c>
      <c r="G3" s="262" t="s">
        <v>145</v>
      </c>
      <c r="H3" s="262" t="s">
        <v>146</v>
      </c>
      <c r="I3" s="262" t="s">
        <v>147</v>
      </c>
      <c r="J3" s="262" t="s">
        <v>148</v>
      </c>
      <c r="K3" s="262" t="s">
        <v>149</v>
      </c>
      <c r="L3" s="262" t="s">
        <v>150</v>
      </c>
      <c r="M3" s="262" t="s">
        <v>151</v>
      </c>
      <c r="N3" s="262" t="s">
        <v>152</v>
      </c>
      <c r="O3" s="262" t="s">
        <v>153</v>
      </c>
      <c r="P3" s="262" t="s">
        <v>154</v>
      </c>
      <c r="Q3" s="262" t="s">
        <v>155</v>
      </c>
      <c r="R3" s="262" t="s">
        <v>156</v>
      </c>
      <c r="S3" s="262" t="s">
        <v>157</v>
      </c>
      <c r="T3" s="262" t="s">
        <v>168</v>
      </c>
      <c r="U3" s="262" t="s">
        <v>169</v>
      </c>
      <c r="V3" s="262" t="s">
        <v>158</v>
      </c>
      <c r="W3" s="262" t="s">
        <v>159</v>
      </c>
      <c r="X3" s="262" t="s">
        <v>160</v>
      </c>
      <c r="Y3" s="262" t="s">
        <v>161</v>
      </c>
      <c r="Z3" s="262" t="s">
        <v>170</v>
      </c>
      <c r="AA3" s="262" t="s">
        <v>171</v>
      </c>
      <c r="AB3" s="262" t="s">
        <v>163</v>
      </c>
      <c r="AC3" s="262" t="s">
        <v>164</v>
      </c>
      <c r="AD3" s="262" t="s">
        <v>165</v>
      </c>
      <c r="AE3" s="262" t="s">
        <v>166</v>
      </c>
      <c r="AF3"/>
      <c r="AG3" s="262" t="s">
        <v>139</v>
      </c>
      <c r="AH3" s="262" t="s">
        <v>140</v>
      </c>
      <c r="AI3" s="262" t="s">
        <v>141</v>
      </c>
      <c r="AJ3" s="262" t="s">
        <v>142</v>
      </c>
      <c r="AK3" s="262" t="s">
        <v>143</v>
      </c>
      <c r="AL3" s="262" t="s">
        <v>144</v>
      </c>
      <c r="AM3" s="262" t="s">
        <v>145</v>
      </c>
      <c r="AN3" s="262" t="s">
        <v>146</v>
      </c>
      <c r="AO3" s="262" t="s">
        <v>147</v>
      </c>
      <c r="AP3" s="262" t="s">
        <v>148</v>
      </c>
      <c r="AQ3" s="262" t="s">
        <v>149</v>
      </c>
      <c r="AR3" s="262" t="s">
        <v>150</v>
      </c>
      <c r="AS3" s="262" t="s">
        <v>151</v>
      </c>
      <c r="AT3" s="262" t="s">
        <v>152</v>
      </c>
      <c r="AU3" s="262" t="s">
        <v>153</v>
      </c>
      <c r="AV3" s="262" t="s">
        <v>154</v>
      </c>
      <c r="AW3" s="262" t="s">
        <v>155</v>
      </c>
      <c r="AX3" s="262" t="s">
        <v>156</v>
      </c>
      <c r="AY3" s="262" t="s">
        <v>157</v>
      </c>
      <c r="AZ3" s="262" t="s">
        <v>170</v>
      </c>
      <c r="BA3" s="262" t="s">
        <v>171</v>
      </c>
      <c r="BB3" s="262" t="s">
        <v>158</v>
      </c>
      <c r="BC3" s="262" t="s">
        <v>159</v>
      </c>
      <c r="BD3" s="262" t="s">
        <v>160</v>
      </c>
      <c r="BE3" s="262" t="s">
        <v>161</v>
      </c>
      <c r="BF3" s="262" t="s">
        <v>170</v>
      </c>
      <c r="BG3" s="262" t="s">
        <v>162</v>
      </c>
      <c r="BH3" s="262" t="s">
        <v>163</v>
      </c>
      <c r="BI3" s="262" t="s">
        <v>164</v>
      </c>
      <c r="BJ3" s="262" t="s">
        <v>165</v>
      </c>
      <c r="BK3" s="262" t="s">
        <v>166</v>
      </c>
    </row>
    <row r="4" spans="1:63" s="650" customFormat="1">
      <c r="A4" s="466">
        <v>2012</v>
      </c>
      <c r="B4" s="467"/>
      <c r="C4" s="468"/>
      <c r="D4" s="469"/>
      <c r="E4" s="470">
        <v>1</v>
      </c>
      <c r="F4" s="471"/>
      <c r="G4" s="472">
        <v>1</v>
      </c>
      <c r="H4" s="473"/>
      <c r="I4" s="474">
        <v>2</v>
      </c>
      <c r="J4" s="475">
        <v>2</v>
      </c>
      <c r="K4" s="475"/>
      <c r="L4" s="475"/>
      <c r="M4" s="475"/>
      <c r="N4" s="475"/>
      <c r="O4" s="475"/>
      <c r="P4" s="475"/>
      <c r="Q4" s="476"/>
      <c r="R4" s="476"/>
      <c r="S4" s="475"/>
      <c r="T4" s="477"/>
      <c r="U4" s="478"/>
      <c r="V4" s="479"/>
      <c r="W4" s="479"/>
      <c r="X4" s="479"/>
      <c r="Y4" s="479"/>
      <c r="Z4" s="480">
        <v>0</v>
      </c>
      <c r="AA4" s="481">
        <v>0</v>
      </c>
      <c r="AB4" s="482"/>
      <c r="AC4" s="483"/>
      <c r="AD4" s="483"/>
      <c r="AE4" s="263">
        <v>6</v>
      </c>
      <c r="AF4"/>
      <c r="AG4" s="466">
        <v>2012</v>
      </c>
      <c r="AH4" s="467">
        <v>141</v>
      </c>
      <c r="AI4" s="468">
        <v>4</v>
      </c>
      <c r="AJ4" s="469">
        <v>31</v>
      </c>
      <c r="AK4" s="470">
        <v>1379</v>
      </c>
      <c r="AL4" s="471">
        <v>3827</v>
      </c>
      <c r="AM4" s="472">
        <v>1710</v>
      </c>
      <c r="AN4" s="473">
        <v>2325</v>
      </c>
      <c r="AO4" s="474">
        <v>1269</v>
      </c>
      <c r="AP4" s="475">
        <v>659</v>
      </c>
      <c r="AQ4" s="475">
        <v>242</v>
      </c>
      <c r="AR4" s="475">
        <v>84</v>
      </c>
      <c r="AS4" s="475">
        <v>32</v>
      </c>
      <c r="AT4" s="475">
        <v>40</v>
      </c>
      <c r="AU4" s="475">
        <v>20</v>
      </c>
      <c r="AV4" s="475">
        <v>26</v>
      </c>
      <c r="AW4" s="476">
        <v>159</v>
      </c>
      <c r="AX4" s="476">
        <v>124</v>
      </c>
      <c r="AY4" s="475">
        <v>71</v>
      </c>
      <c r="AZ4" s="477">
        <v>41</v>
      </c>
      <c r="BA4" s="478">
        <v>41</v>
      </c>
      <c r="BB4" s="479">
        <v>80</v>
      </c>
      <c r="BC4" s="479">
        <v>80</v>
      </c>
      <c r="BD4" s="479">
        <v>124</v>
      </c>
      <c r="BE4" s="479">
        <v>112</v>
      </c>
      <c r="BF4" s="480">
        <v>87.5</v>
      </c>
      <c r="BG4" s="481">
        <v>87.5</v>
      </c>
      <c r="BH4" s="482">
        <v>242</v>
      </c>
      <c r="BI4" s="483">
        <v>182</v>
      </c>
      <c r="BJ4" s="483">
        <v>127</v>
      </c>
      <c r="BK4" s="265">
        <v>13347</v>
      </c>
    </row>
    <row r="5" spans="1:63" s="650" customFormat="1">
      <c r="A5" s="466">
        <v>2011</v>
      </c>
      <c r="B5" s="467"/>
      <c r="C5" s="468"/>
      <c r="D5" s="469">
        <v>1</v>
      </c>
      <c r="E5" s="470"/>
      <c r="F5" s="471">
        <v>5</v>
      </c>
      <c r="G5" s="472">
        <v>12</v>
      </c>
      <c r="H5" s="473">
        <v>1</v>
      </c>
      <c r="I5" s="474">
        <v>1</v>
      </c>
      <c r="J5" s="475"/>
      <c r="K5" s="475"/>
      <c r="L5" s="475">
        <v>1</v>
      </c>
      <c r="M5" s="475"/>
      <c r="N5" s="475"/>
      <c r="O5" s="475"/>
      <c r="P5" s="475"/>
      <c r="Q5" s="476"/>
      <c r="R5" s="476"/>
      <c r="S5" s="475"/>
      <c r="T5" s="477"/>
      <c r="U5" s="478"/>
      <c r="V5" s="479"/>
      <c r="W5" s="479"/>
      <c r="X5" s="479"/>
      <c r="Y5" s="479"/>
      <c r="Z5" s="480">
        <v>0</v>
      </c>
      <c r="AA5" s="481">
        <v>0</v>
      </c>
      <c r="AB5" s="482"/>
      <c r="AC5" s="483"/>
      <c r="AD5" s="483"/>
      <c r="AE5" s="263">
        <v>21</v>
      </c>
      <c r="AF5"/>
      <c r="AG5" s="466">
        <v>2011</v>
      </c>
      <c r="AH5" s="467">
        <v>104</v>
      </c>
      <c r="AI5" s="468">
        <v>1</v>
      </c>
      <c r="AJ5" s="469">
        <v>26</v>
      </c>
      <c r="AK5" s="470">
        <v>1666</v>
      </c>
      <c r="AL5" s="471">
        <v>3411</v>
      </c>
      <c r="AM5" s="472">
        <v>2043</v>
      </c>
      <c r="AN5" s="473">
        <v>2415</v>
      </c>
      <c r="AO5" s="474">
        <v>1584</v>
      </c>
      <c r="AP5" s="475">
        <v>521</v>
      </c>
      <c r="AQ5" s="475">
        <v>235</v>
      </c>
      <c r="AR5" s="475">
        <v>108</v>
      </c>
      <c r="AS5" s="475">
        <v>35</v>
      </c>
      <c r="AT5" s="475">
        <v>66</v>
      </c>
      <c r="AU5" s="475">
        <v>30</v>
      </c>
      <c r="AV5" s="475">
        <v>38</v>
      </c>
      <c r="AW5" s="476">
        <v>145</v>
      </c>
      <c r="AX5" s="476">
        <v>76</v>
      </c>
      <c r="AY5" s="475">
        <v>61</v>
      </c>
      <c r="AZ5" s="477">
        <v>46.5</v>
      </c>
      <c r="BA5" s="478">
        <v>46.5</v>
      </c>
      <c r="BB5" s="479">
        <v>88</v>
      </c>
      <c r="BC5" s="479">
        <v>68</v>
      </c>
      <c r="BD5" s="479">
        <v>131</v>
      </c>
      <c r="BE5" s="479">
        <v>91</v>
      </c>
      <c r="BF5" s="480">
        <v>61</v>
      </c>
      <c r="BG5" s="481">
        <v>61</v>
      </c>
      <c r="BH5" s="482">
        <v>176</v>
      </c>
      <c r="BI5" s="483">
        <v>147</v>
      </c>
      <c r="BJ5" s="483">
        <v>168</v>
      </c>
      <c r="BK5" s="265">
        <v>13649</v>
      </c>
    </row>
    <row r="6" spans="1:63" s="650" customFormat="1">
      <c r="A6" s="466">
        <v>2010</v>
      </c>
      <c r="B6" s="467">
        <v>1</v>
      </c>
      <c r="C6" s="468">
        <v>1</v>
      </c>
      <c r="D6" s="469">
        <v>2</v>
      </c>
      <c r="E6" s="470">
        <v>3</v>
      </c>
      <c r="F6" s="471">
        <v>3</v>
      </c>
      <c r="G6" s="472">
        <v>9</v>
      </c>
      <c r="H6" s="473">
        <v>3</v>
      </c>
      <c r="I6" s="474">
        <v>6</v>
      </c>
      <c r="J6" s="475">
        <v>2</v>
      </c>
      <c r="K6" s="475"/>
      <c r="L6" s="475"/>
      <c r="M6" s="475"/>
      <c r="N6" s="475"/>
      <c r="O6" s="475"/>
      <c r="P6" s="475"/>
      <c r="Q6" s="476"/>
      <c r="R6" s="476"/>
      <c r="S6" s="475"/>
      <c r="T6" s="477"/>
      <c r="U6" s="478"/>
      <c r="V6" s="479"/>
      <c r="W6" s="479">
        <v>1</v>
      </c>
      <c r="X6" s="479"/>
      <c r="Y6" s="479">
        <v>2</v>
      </c>
      <c r="Z6" s="480">
        <v>0</v>
      </c>
      <c r="AA6" s="481">
        <v>0</v>
      </c>
      <c r="AB6" s="482"/>
      <c r="AC6" s="483"/>
      <c r="AD6" s="483">
        <v>1</v>
      </c>
      <c r="AE6" s="263">
        <v>34</v>
      </c>
      <c r="AF6"/>
      <c r="AG6" s="466">
        <v>2010</v>
      </c>
      <c r="AH6" s="467">
        <v>132</v>
      </c>
      <c r="AI6" s="468">
        <v>3</v>
      </c>
      <c r="AJ6" s="469">
        <v>30</v>
      </c>
      <c r="AK6" s="470">
        <v>1675</v>
      </c>
      <c r="AL6" s="471">
        <v>3077</v>
      </c>
      <c r="AM6" s="472">
        <v>1761</v>
      </c>
      <c r="AN6" s="473">
        <v>3119</v>
      </c>
      <c r="AO6" s="474">
        <v>1733</v>
      </c>
      <c r="AP6" s="475">
        <v>612</v>
      </c>
      <c r="AQ6" s="475">
        <v>260</v>
      </c>
      <c r="AR6" s="475">
        <v>134</v>
      </c>
      <c r="AS6" s="475">
        <v>53</v>
      </c>
      <c r="AT6" s="475">
        <v>49</v>
      </c>
      <c r="AU6" s="475">
        <v>42</v>
      </c>
      <c r="AV6" s="475">
        <v>53</v>
      </c>
      <c r="AW6" s="476">
        <v>232</v>
      </c>
      <c r="AX6" s="476">
        <v>137</v>
      </c>
      <c r="AY6" s="475">
        <v>62</v>
      </c>
      <c r="AZ6" s="477">
        <v>52.5</v>
      </c>
      <c r="BA6" s="478">
        <v>52.5</v>
      </c>
      <c r="BB6" s="479">
        <v>100</v>
      </c>
      <c r="BC6" s="479">
        <v>81</v>
      </c>
      <c r="BD6" s="479">
        <v>89</v>
      </c>
      <c r="BE6" s="479">
        <v>122</v>
      </c>
      <c r="BF6" s="480">
        <v>45</v>
      </c>
      <c r="BG6" s="481">
        <v>45</v>
      </c>
      <c r="BH6" s="482">
        <v>113</v>
      </c>
      <c r="BI6" s="483">
        <v>105</v>
      </c>
      <c r="BJ6" s="483">
        <v>104</v>
      </c>
      <c r="BK6" s="265">
        <v>14073</v>
      </c>
    </row>
    <row r="7" spans="1:63" s="650" customFormat="1">
      <c r="A7" s="466">
        <v>2009</v>
      </c>
      <c r="B7" s="467">
        <v>2</v>
      </c>
      <c r="C7" s="468">
        <v>1</v>
      </c>
      <c r="D7" s="469">
        <v>2</v>
      </c>
      <c r="E7" s="470">
        <v>6</v>
      </c>
      <c r="F7" s="471">
        <v>5</v>
      </c>
      <c r="G7" s="472">
        <v>6</v>
      </c>
      <c r="H7" s="473">
        <v>1</v>
      </c>
      <c r="I7" s="474">
        <v>8</v>
      </c>
      <c r="J7" s="475">
        <v>2</v>
      </c>
      <c r="K7" s="475">
        <v>1</v>
      </c>
      <c r="L7" s="475"/>
      <c r="M7" s="475"/>
      <c r="N7" s="475">
        <v>1</v>
      </c>
      <c r="O7" s="475"/>
      <c r="P7" s="475"/>
      <c r="Q7" s="476"/>
      <c r="R7" s="476"/>
      <c r="S7" s="475"/>
      <c r="T7" s="477"/>
      <c r="U7" s="478"/>
      <c r="V7" s="479"/>
      <c r="W7" s="479"/>
      <c r="X7" s="479"/>
      <c r="Y7" s="479">
        <v>1</v>
      </c>
      <c r="Z7" s="480">
        <v>0.5</v>
      </c>
      <c r="AA7" s="484">
        <v>0.5</v>
      </c>
      <c r="AB7" s="482"/>
      <c r="AC7" s="483"/>
      <c r="AD7" s="483"/>
      <c r="AE7" s="263">
        <v>37</v>
      </c>
      <c r="AF7"/>
      <c r="AG7" s="466">
        <v>2009</v>
      </c>
      <c r="AH7" s="467">
        <v>168</v>
      </c>
      <c r="AI7" s="468">
        <v>3</v>
      </c>
      <c r="AJ7" s="469">
        <v>52</v>
      </c>
      <c r="AK7" s="470">
        <v>2363</v>
      </c>
      <c r="AL7" s="471">
        <v>2556</v>
      </c>
      <c r="AM7" s="472">
        <v>2135</v>
      </c>
      <c r="AN7" s="473">
        <v>3745</v>
      </c>
      <c r="AO7" s="474">
        <v>2066</v>
      </c>
      <c r="AP7" s="475">
        <v>715</v>
      </c>
      <c r="AQ7" s="475">
        <v>214</v>
      </c>
      <c r="AR7" s="475">
        <v>129</v>
      </c>
      <c r="AS7" s="475">
        <v>56</v>
      </c>
      <c r="AT7" s="475">
        <v>53</v>
      </c>
      <c r="AU7" s="475">
        <v>44</v>
      </c>
      <c r="AV7" s="475">
        <v>74</v>
      </c>
      <c r="AW7" s="476">
        <v>236</v>
      </c>
      <c r="AX7" s="476">
        <v>170</v>
      </c>
      <c r="AY7" s="475">
        <v>102</v>
      </c>
      <c r="AZ7" s="477">
        <v>53.5</v>
      </c>
      <c r="BA7" s="478">
        <v>53.5</v>
      </c>
      <c r="BB7" s="479">
        <v>130</v>
      </c>
      <c r="BC7" s="479">
        <v>106</v>
      </c>
      <c r="BD7" s="479">
        <v>105</v>
      </c>
      <c r="BE7" s="479">
        <v>144</v>
      </c>
      <c r="BF7" s="480">
        <v>77.5</v>
      </c>
      <c r="BG7" s="484">
        <v>77.5</v>
      </c>
      <c r="BH7" s="482">
        <v>154</v>
      </c>
      <c r="BI7" s="483">
        <v>80</v>
      </c>
      <c r="BJ7" s="483">
        <v>70</v>
      </c>
      <c r="BK7" s="265">
        <v>15932</v>
      </c>
    </row>
    <row r="8" spans="1:63" s="650" customFormat="1">
      <c r="A8" s="466">
        <v>2008</v>
      </c>
      <c r="B8" s="467"/>
      <c r="C8" s="468">
        <v>1</v>
      </c>
      <c r="D8" s="469">
        <v>2</v>
      </c>
      <c r="E8" s="470">
        <v>7</v>
      </c>
      <c r="F8" s="471">
        <v>8</v>
      </c>
      <c r="G8" s="472">
        <v>11</v>
      </c>
      <c r="H8" s="473">
        <v>6</v>
      </c>
      <c r="I8" s="474">
        <v>9</v>
      </c>
      <c r="J8" s="475">
        <v>4</v>
      </c>
      <c r="K8" s="475">
        <v>6</v>
      </c>
      <c r="L8" s="475">
        <v>1</v>
      </c>
      <c r="M8" s="475"/>
      <c r="N8" s="475">
        <v>2</v>
      </c>
      <c r="O8" s="475"/>
      <c r="P8" s="475"/>
      <c r="Q8" s="476"/>
      <c r="R8" s="476"/>
      <c r="S8" s="475"/>
      <c r="T8" s="477"/>
      <c r="U8" s="478"/>
      <c r="V8" s="479"/>
      <c r="W8" s="479"/>
      <c r="X8" s="479"/>
      <c r="Y8" s="479"/>
      <c r="Z8" s="480">
        <v>0</v>
      </c>
      <c r="AA8" s="484">
        <v>0</v>
      </c>
      <c r="AB8" s="482"/>
      <c r="AC8" s="483"/>
      <c r="AD8" s="483"/>
      <c r="AE8" s="263">
        <v>57</v>
      </c>
      <c r="AF8"/>
      <c r="AG8" s="466">
        <v>2008</v>
      </c>
      <c r="AH8" s="467">
        <v>221</v>
      </c>
      <c r="AI8" s="468">
        <v>6</v>
      </c>
      <c r="AJ8" s="469">
        <v>79</v>
      </c>
      <c r="AK8" s="470">
        <v>3395</v>
      </c>
      <c r="AL8" s="471">
        <v>4455</v>
      </c>
      <c r="AM8" s="472">
        <v>5022</v>
      </c>
      <c r="AN8" s="473">
        <v>8802</v>
      </c>
      <c r="AO8" s="474">
        <v>4697</v>
      </c>
      <c r="AP8" s="475">
        <v>1378</v>
      </c>
      <c r="AQ8" s="475">
        <v>460</v>
      </c>
      <c r="AR8" s="475">
        <v>270</v>
      </c>
      <c r="AS8" s="475">
        <v>101</v>
      </c>
      <c r="AT8" s="475">
        <v>79</v>
      </c>
      <c r="AU8" s="475">
        <v>110</v>
      </c>
      <c r="AV8" s="475">
        <v>94</v>
      </c>
      <c r="AW8" s="476">
        <v>293</v>
      </c>
      <c r="AX8" s="476">
        <v>248</v>
      </c>
      <c r="AY8" s="475">
        <v>138</v>
      </c>
      <c r="AZ8" s="477">
        <v>77</v>
      </c>
      <c r="BA8" s="478">
        <v>77</v>
      </c>
      <c r="BB8" s="479">
        <v>225</v>
      </c>
      <c r="BC8" s="479">
        <v>177</v>
      </c>
      <c r="BD8" s="479">
        <v>181</v>
      </c>
      <c r="BE8" s="479">
        <v>282</v>
      </c>
      <c r="BF8" s="480">
        <v>133</v>
      </c>
      <c r="BG8" s="484">
        <v>133</v>
      </c>
      <c r="BH8" s="482">
        <v>254</v>
      </c>
      <c r="BI8" s="483">
        <v>191</v>
      </c>
      <c r="BJ8" s="483">
        <v>303</v>
      </c>
      <c r="BK8" s="265">
        <v>31881</v>
      </c>
    </row>
    <row r="9" spans="1:63" s="650" customFormat="1">
      <c r="A9" s="466">
        <v>2007</v>
      </c>
      <c r="B9" s="467"/>
      <c r="C9" s="468">
        <v>1</v>
      </c>
      <c r="D9" s="469">
        <v>10</v>
      </c>
      <c r="E9" s="470">
        <v>6</v>
      </c>
      <c r="F9" s="471">
        <v>15</v>
      </c>
      <c r="G9" s="472">
        <v>4</v>
      </c>
      <c r="H9" s="473">
        <v>8</v>
      </c>
      <c r="I9" s="474">
        <v>10</v>
      </c>
      <c r="J9" s="475">
        <v>2</v>
      </c>
      <c r="K9" s="475">
        <v>1</v>
      </c>
      <c r="L9" s="475">
        <v>2</v>
      </c>
      <c r="M9" s="475"/>
      <c r="N9" s="475"/>
      <c r="O9" s="475"/>
      <c r="P9" s="475"/>
      <c r="Q9" s="476"/>
      <c r="R9" s="476"/>
      <c r="S9" s="475"/>
      <c r="T9" s="477"/>
      <c r="U9" s="478"/>
      <c r="V9" s="479"/>
      <c r="W9" s="479"/>
      <c r="X9" s="479"/>
      <c r="Y9" s="479"/>
      <c r="Z9" s="480">
        <v>0</v>
      </c>
      <c r="AA9" s="484">
        <v>0</v>
      </c>
      <c r="AB9" s="482"/>
      <c r="AC9" s="483"/>
      <c r="AD9" s="483"/>
      <c r="AE9" s="263">
        <v>59</v>
      </c>
      <c r="AF9"/>
      <c r="AG9" s="466">
        <v>2007</v>
      </c>
      <c r="AH9" s="467">
        <v>139</v>
      </c>
      <c r="AI9" s="468">
        <v>20</v>
      </c>
      <c r="AJ9" s="469">
        <v>61</v>
      </c>
      <c r="AK9" s="470">
        <v>4566</v>
      </c>
      <c r="AL9" s="471">
        <v>5472</v>
      </c>
      <c r="AM9" s="472">
        <v>6614</v>
      </c>
      <c r="AN9" s="473">
        <v>12468</v>
      </c>
      <c r="AO9" s="474">
        <v>6520</v>
      </c>
      <c r="AP9" s="475">
        <v>1697</v>
      </c>
      <c r="AQ9" s="475">
        <v>554</v>
      </c>
      <c r="AR9" s="475">
        <v>341</v>
      </c>
      <c r="AS9" s="475">
        <v>114</v>
      </c>
      <c r="AT9" s="475">
        <v>112</v>
      </c>
      <c r="AU9" s="475">
        <v>113</v>
      </c>
      <c r="AV9" s="475">
        <v>118</v>
      </c>
      <c r="AW9" s="476">
        <v>403</v>
      </c>
      <c r="AX9" s="476">
        <v>264</v>
      </c>
      <c r="AY9" s="475">
        <v>152</v>
      </c>
      <c r="AZ9" s="477">
        <v>105.5</v>
      </c>
      <c r="BA9" s="478">
        <v>105.5</v>
      </c>
      <c r="BB9" s="479">
        <v>266</v>
      </c>
      <c r="BC9" s="479">
        <v>177</v>
      </c>
      <c r="BD9" s="479">
        <v>199</v>
      </c>
      <c r="BE9" s="479">
        <v>439</v>
      </c>
      <c r="BF9" s="480">
        <v>179</v>
      </c>
      <c r="BG9" s="484">
        <v>179</v>
      </c>
      <c r="BH9" s="482">
        <v>362</v>
      </c>
      <c r="BI9" s="483">
        <v>226</v>
      </c>
      <c r="BJ9" s="483">
        <v>313</v>
      </c>
      <c r="BK9" s="265">
        <v>42279</v>
      </c>
    </row>
    <row r="10" spans="1:63" s="650" customFormat="1">
      <c r="A10" s="466">
        <v>2006</v>
      </c>
      <c r="B10" s="467"/>
      <c r="C10" s="468">
        <v>2</v>
      </c>
      <c r="D10" s="469">
        <v>6</v>
      </c>
      <c r="E10" s="470">
        <v>15</v>
      </c>
      <c r="F10" s="471">
        <v>19</v>
      </c>
      <c r="G10" s="472">
        <v>13</v>
      </c>
      <c r="H10" s="473">
        <v>8</v>
      </c>
      <c r="I10" s="474">
        <v>6</v>
      </c>
      <c r="J10" s="475">
        <v>2</v>
      </c>
      <c r="K10" s="475">
        <v>4</v>
      </c>
      <c r="L10" s="475">
        <v>1</v>
      </c>
      <c r="M10" s="475">
        <v>2</v>
      </c>
      <c r="N10" s="475"/>
      <c r="O10" s="475"/>
      <c r="P10" s="475"/>
      <c r="Q10" s="476"/>
      <c r="R10" s="476"/>
      <c r="S10" s="475"/>
      <c r="T10" s="477"/>
      <c r="U10" s="478"/>
      <c r="V10" s="479"/>
      <c r="W10" s="479"/>
      <c r="X10" s="479"/>
      <c r="Y10" s="479"/>
      <c r="Z10" s="480">
        <v>0</v>
      </c>
      <c r="AA10" s="484">
        <v>0</v>
      </c>
      <c r="AB10" s="482"/>
      <c r="AC10" s="483"/>
      <c r="AD10" s="483"/>
      <c r="AE10" s="263">
        <v>78</v>
      </c>
      <c r="AF10"/>
      <c r="AG10" s="466">
        <v>2006</v>
      </c>
      <c r="AH10" s="467">
        <v>358</v>
      </c>
      <c r="AI10" s="468">
        <v>19</v>
      </c>
      <c r="AJ10" s="469">
        <v>69</v>
      </c>
      <c r="AK10" s="470">
        <v>5240</v>
      </c>
      <c r="AL10" s="471">
        <v>5987</v>
      </c>
      <c r="AM10" s="472">
        <v>6124</v>
      </c>
      <c r="AN10" s="473">
        <v>10578</v>
      </c>
      <c r="AO10" s="474">
        <v>4524</v>
      </c>
      <c r="AP10" s="475">
        <v>1462</v>
      </c>
      <c r="AQ10" s="475">
        <v>400</v>
      </c>
      <c r="AR10" s="475">
        <v>268</v>
      </c>
      <c r="AS10" s="475">
        <v>112</v>
      </c>
      <c r="AT10" s="475">
        <v>105</v>
      </c>
      <c r="AU10" s="475">
        <v>102</v>
      </c>
      <c r="AV10" s="475">
        <v>148</v>
      </c>
      <c r="AW10" s="476">
        <v>458</v>
      </c>
      <c r="AX10" s="476">
        <v>268</v>
      </c>
      <c r="AY10" s="475">
        <v>158</v>
      </c>
      <c r="AZ10" s="477">
        <v>108.5</v>
      </c>
      <c r="BA10" s="478">
        <v>108.5</v>
      </c>
      <c r="BB10" s="479">
        <v>247</v>
      </c>
      <c r="BC10" s="479">
        <v>219</v>
      </c>
      <c r="BD10" s="479">
        <v>270</v>
      </c>
      <c r="BE10" s="479">
        <v>457</v>
      </c>
      <c r="BF10" s="480">
        <v>197.5</v>
      </c>
      <c r="BG10" s="484">
        <v>197.5</v>
      </c>
      <c r="BH10" s="482">
        <v>326</v>
      </c>
      <c r="BI10" s="483">
        <v>193</v>
      </c>
      <c r="BJ10" s="483">
        <v>190</v>
      </c>
      <c r="BK10" s="265">
        <v>38894</v>
      </c>
    </row>
    <row r="11" spans="1:63" s="650" customFormat="1">
      <c r="A11" s="466">
        <v>2005</v>
      </c>
      <c r="B11" s="467"/>
      <c r="C11" s="468">
        <v>1</v>
      </c>
      <c r="D11" s="469">
        <v>3</v>
      </c>
      <c r="E11" s="470">
        <v>29</v>
      </c>
      <c r="F11" s="471">
        <v>11</v>
      </c>
      <c r="G11" s="472">
        <v>5</v>
      </c>
      <c r="H11" s="473">
        <v>4</v>
      </c>
      <c r="I11" s="474">
        <v>7</v>
      </c>
      <c r="J11" s="475">
        <v>2</v>
      </c>
      <c r="K11" s="475"/>
      <c r="L11" s="475">
        <v>1</v>
      </c>
      <c r="M11" s="475"/>
      <c r="N11" s="475"/>
      <c r="O11" s="475"/>
      <c r="P11" s="475"/>
      <c r="Q11" s="476"/>
      <c r="R11" s="476"/>
      <c r="S11" s="475"/>
      <c r="T11" s="477"/>
      <c r="U11" s="478"/>
      <c r="V11" s="479"/>
      <c r="W11" s="479"/>
      <c r="X11" s="479"/>
      <c r="Y11" s="479"/>
      <c r="Z11" s="480">
        <v>0</v>
      </c>
      <c r="AA11" s="484">
        <v>0</v>
      </c>
      <c r="AB11" s="482"/>
      <c r="AC11" s="483">
        <v>1</v>
      </c>
      <c r="AD11" s="483"/>
      <c r="AE11" s="263">
        <v>64</v>
      </c>
      <c r="AF11"/>
      <c r="AG11" s="466">
        <v>2005</v>
      </c>
      <c r="AH11" s="467">
        <v>151</v>
      </c>
      <c r="AI11" s="468">
        <v>6</v>
      </c>
      <c r="AJ11" s="469">
        <v>80</v>
      </c>
      <c r="AK11" s="470">
        <v>5100</v>
      </c>
      <c r="AL11" s="471">
        <v>4294</v>
      </c>
      <c r="AM11" s="472">
        <v>5541</v>
      </c>
      <c r="AN11" s="473">
        <v>9057</v>
      </c>
      <c r="AO11" s="474">
        <v>2980</v>
      </c>
      <c r="AP11" s="475">
        <v>989</v>
      </c>
      <c r="AQ11" s="475">
        <v>301</v>
      </c>
      <c r="AR11" s="475">
        <v>202</v>
      </c>
      <c r="AS11" s="475">
        <v>84</v>
      </c>
      <c r="AT11" s="475">
        <v>86</v>
      </c>
      <c r="AU11" s="475">
        <v>71</v>
      </c>
      <c r="AV11" s="475">
        <v>102</v>
      </c>
      <c r="AW11" s="476">
        <v>308</v>
      </c>
      <c r="AX11" s="476">
        <v>175</v>
      </c>
      <c r="AY11" s="475">
        <v>124</v>
      </c>
      <c r="AZ11" s="477">
        <v>74.5</v>
      </c>
      <c r="BA11" s="478">
        <v>74.5</v>
      </c>
      <c r="BB11" s="479">
        <v>189</v>
      </c>
      <c r="BC11" s="479">
        <v>176</v>
      </c>
      <c r="BD11" s="479">
        <v>220</v>
      </c>
      <c r="BE11" s="479">
        <v>367</v>
      </c>
      <c r="BF11" s="480">
        <v>133.5</v>
      </c>
      <c r="BG11" s="484">
        <v>133.5</v>
      </c>
      <c r="BH11" s="482">
        <v>194</v>
      </c>
      <c r="BI11" s="483">
        <v>156</v>
      </c>
      <c r="BJ11" s="483">
        <v>138</v>
      </c>
      <c r="BK11" s="265">
        <v>31507</v>
      </c>
    </row>
    <row r="12" spans="1:63" s="650" customFormat="1">
      <c r="A12" s="466">
        <v>2004</v>
      </c>
      <c r="B12" s="467">
        <v>1</v>
      </c>
      <c r="C12" s="468">
        <v>1</v>
      </c>
      <c r="D12" s="469">
        <v>7</v>
      </c>
      <c r="E12" s="470">
        <v>13</v>
      </c>
      <c r="F12" s="471">
        <v>8</v>
      </c>
      <c r="G12" s="472">
        <v>6</v>
      </c>
      <c r="H12" s="473">
        <v>1</v>
      </c>
      <c r="I12" s="474">
        <v>4</v>
      </c>
      <c r="J12" s="475">
        <v>1</v>
      </c>
      <c r="K12" s="475"/>
      <c r="L12" s="475"/>
      <c r="M12" s="475"/>
      <c r="N12" s="475"/>
      <c r="O12" s="475"/>
      <c r="P12" s="475"/>
      <c r="Q12" s="476"/>
      <c r="R12" s="476"/>
      <c r="S12" s="475"/>
      <c r="T12" s="477"/>
      <c r="U12" s="478">
        <v>1</v>
      </c>
      <c r="V12" s="479">
        <v>1</v>
      </c>
      <c r="W12" s="479">
        <v>1</v>
      </c>
      <c r="X12" s="479"/>
      <c r="Y12" s="479"/>
      <c r="Z12" s="480">
        <v>0.5</v>
      </c>
      <c r="AA12" s="484">
        <v>0.5</v>
      </c>
      <c r="AB12" s="482"/>
      <c r="AC12" s="483"/>
      <c r="AD12" s="483"/>
      <c r="AE12" s="263">
        <v>46</v>
      </c>
      <c r="AF12"/>
      <c r="AG12" s="466">
        <v>2004</v>
      </c>
      <c r="AH12" s="467">
        <v>12</v>
      </c>
      <c r="AI12" s="468">
        <v>1</v>
      </c>
      <c r="AJ12" s="469">
        <v>101</v>
      </c>
      <c r="AK12" s="470">
        <v>4725</v>
      </c>
      <c r="AL12" s="471">
        <v>2267</v>
      </c>
      <c r="AM12" s="472">
        <v>3835</v>
      </c>
      <c r="AN12" s="473">
        <v>5997</v>
      </c>
      <c r="AO12" s="474">
        <v>1844</v>
      </c>
      <c r="AP12" s="475">
        <v>592</v>
      </c>
      <c r="AQ12" s="475">
        <v>253</v>
      </c>
      <c r="AR12" s="475">
        <v>150</v>
      </c>
      <c r="AS12" s="475">
        <v>61</v>
      </c>
      <c r="AT12" s="475">
        <v>65</v>
      </c>
      <c r="AU12" s="475">
        <v>71</v>
      </c>
      <c r="AV12" s="475">
        <v>58</v>
      </c>
      <c r="AW12" s="476">
        <v>246</v>
      </c>
      <c r="AX12" s="476">
        <v>141</v>
      </c>
      <c r="AY12" s="475">
        <v>114</v>
      </c>
      <c r="AZ12" s="477">
        <v>62</v>
      </c>
      <c r="BA12" s="478">
        <v>62</v>
      </c>
      <c r="BB12" s="479">
        <v>167</v>
      </c>
      <c r="BC12" s="479">
        <v>120</v>
      </c>
      <c r="BD12" s="479">
        <v>126</v>
      </c>
      <c r="BE12" s="479">
        <v>237</v>
      </c>
      <c r="BF12" s="480">
        <v>107.5</v>
      </c>
      <c r="BG12" s="484">
        <v>107.5</v>
      </c>
      <c r="BH12" s="482">
        <v>149</v>
      </c>
      <c r="BI12" s="483">
        <v>95</v>
      </c>
      <c r="BJ12" s="483">
        <v>67</v>
      </c>
      <c r="BK12" s="265">
        <v>21833</v>
      </c>
    </row>
    <row r="13" spans="1:63" s="650" customFormat="1">
      <c r="A13" s="466">
        <v>2003</v>
      </c>
      <c r="B13" s="467"/>
      <c r="C13" s="468"/>
      <c r="D13" s="469">
        <v>10</v>
      </c>
      <c r="E13" s="470">
        <v>10</v>
      </c>
      <c r="F13" s="471">
        <v>5</v>
      </c>
      <c r="G13" s="472">
        <v>4</v>
      </c>
      <c r="H13" s="473">
        <v>6</v>
      </c>
      <c r="I13" s="474">
        <v>3</v>
      </c>
      <c r="J13" s="475"/>
      <c r="K13" s="475">
        <v>1</v>
      </c>
      <c r="L13" s="475"/>
      <c r="M13" s="475"/>
      <c r="N13" s="475"/>
      <c r="O13" s="475"/>
      <c r="P13" s="475"/>
      <c r="Q13" s="476"/>
      <c r="R13" s="476"/>
      <c r="S13" s="475"/>
      <c r="T13" s="477"/>
      <c r="U13" s="478"/>
      <c r="V13" s="479"/>
      <c r="W13" s="479"/>
      <c r="X13" s="479"/>
      <c r="Y13" s="479"/>
      <c r="Z13" s="480">
        <v>0</v>
      </c>
      <c r="AA13" s="484">
        <v>0</v>
      </c>
      <c r="AB13" s="482"/>
      <c r="AC13" s="483"/>
      <c r="AD13" s="483"/>
      <c r="AE13" s="263">
        <v>39</v>
      </c>
      <c r="AF13"/>
      <c r="AG13" s="466">
        <v>2003</v>
      </c>
      <c r="AH13" s="467">
        <v>29</v>
      </c>
      <c r="AI13" s="468">
        <v>8</v>
      </c>
      <c r="AJ13" s="469">
        <v>62</v>
      </c>
      <c r="AK13" s="470">
        <v>3901</v>
      </c>
      <c r="AL13" s="471">
        <v>1419</v>
      </c>
      <c r="AM13" s="472">
        <v>4085</v>
      </c>
      <c r="AN13" s="473">
        <v>5709</v>
      </c>
      <c r="AO13" s="474">
        <v>1432</v>
      </c>
      <c r="AP13" s="475">
        <v>461</v>
      </c>
      <c r="AQ13" s="475">
        <v>240</v>
      </c>
      <c r="AR13" s="475">
        <v>122</v>
      </c>
      <c r="AS13" s="475">
        <v>43</v>
      </c>
      <c r="AT13" s="475">
        <v>52</v>
      </c>
      <c r="AU13" s="475">
        <v>53</v>
      </c>
      <c r="AV13" s="475">
        <v>51</v>
      </c>
      <c r="AW13" s="476">
        <v>172</v>
      </c>
      <c r="AX13" s="476">
        <v>105</v>
      </c>
      <c r="AY13" s="475">
        <v>77</v>
      </c>
      <c r="AZ13" s="477">
        <v>47</v>
      </c>
      <c r="BA13" s="478">
        <v>47</v>
      </c>
      <c r="BB13" s="479">
        <v>120</v>
      </c>
      <c r="BC13" s="479">
        <v>82</v>
      </c>
      <c r="BD13" s="479">
        <v>116</v>
      </c>
      <c r="BE13" s="479">
        <v>151</v>
      </c>
      <c r="BF13" s="480">
        <v>64</v>
      </c>
      <c r="BG13" s="484">
        <v>64</v>
      </c>
      <c r="BH13" s="482">
        <v>90</v>
      </c>
      <c r="BI13" s="483">
        <v>74</v>
      </c>
      <c r="BJ13" s="483">
        <v>70</v>
      </c>
      <c r="BK13" s="265">
        <v>18946</v>
      </c>
    </row>
    <row r="14" spans="1:63" s="650" customFormat="1">
      <c r="A14" s="466">
        <v>2002</v>
      </c>
      <c r="B14" s="467"/>
      <c r="C14" s="468"/>
      <c r="D14" s="469">
        <v>6</v>
      </c>
      <c r="E14" s="470">
        <v>10</v>
      </c>
      <c r="F14" s="471">
        <v>10</v>
      </c>
      <c r="G14" s="472">
        <v>6</v>
      </c>
      <c r="H14" s="473">
        <v>6</v>
      </c>
      <c r="I14" s="474"/>
      <c r="J14" s="475">
        <v>2</v>
      </c>
      <c r="K14" s="475">
        <v>1</v>
      </c>
      <c r="L14" s="475">
        <v>1</v>
      </c>
      <c r="M14" s="475"/>
      <c r="N14" s="475"/>
      <c r="O14" s="475"/>
      <c r="P14" s="475"/>
      <c r="Q14" s="476"/>
      <c r="R14" s="476"/>
      <c r="S14" s="475"/>
      <c r="T14" s="477"/>
      <c r="U14" s="478"/>
      <c r="V14" s="479"/>
      <c r="W14" s="479"/>
      <c r="X14" s="479"/>
      <c r="Y14" s="479"/>
      <c r="Z14" s="480">
        <v>0</v>
      </c>
      <c r="AA14" s="484">
        <v>0</v>
      </c>
      <c r="AB14" s="482"/>
      <c r="AC14" s="483"/>
      <c r="AD14" s="483"/>
      <c r="AE14" s="263">
        <v>42</v>
      </c>
      <c r="AF14"/>
      <c r="AG14" s="466">
        <v>2002</v>
      </c>
      <c r="AH14" s="467">
        <v>77</v>
      </c>
      <c r="AI14" s="468">
        <v>31</v>
      </c>
      <c r="AJ14" s="469">
        <v>70</v>
      </c>
      <c r="AK14" s="470">
        <v>3635</v>
      </c>
      <c r="AL14" s="471">
        <v>1402</v>
      </c>
      <c r="AM14" s="472">
        <v>3363</v>
      </c>
      <c r="AN14" s="473">
        <v>4372</v>
      </c>
      <c r="AO14" s="474">
        <v>864</v>
      </c>
      <c r="AP14" s="475">
        <v>265</v>
      </c>
      <c r="AQ14" s="475">
        <v>156</v>
      </c>
      <c r="AR14" s="475">
        <v>111</v>
      </c>
      <c r="AS14" s="475">
        <v>45</v>
      </c>
      <c r="AT14" s="475">
        <v>67</v>
      </c>
      <c r="AU14" s="475">
        <v>67</v>
      </c>
      <c r="AV14" s="475">
        <v>51</v>
      </c>
      <c r="AW14" s="476">
        <v>139</v>
      </c>
      <c r="AX14" s="476">
        <v>96</v>
      </c>
      <c r="AY14" s="475">
        <v>75</v>
      </c>
      <c r="AZ14" s="477">
        <v>43</v>
      </c>
      <c r="BA14" s="478">
        <v>43</v>
      </c>
      <c r="BB14" s="479">
        <v>68</v>
      </c>
      <c r="BC14" s="479">
        <v>76</v>
      </c>
      <c r="BD14" s="479">
        <v>106</v>
      </c>
      <c r="BE14" s="479">
        <v>80</v>
      </c>
      <c r="BF14" s="480">
        <v>41.5</v>
      </c>
      <c r="BG14" s="484">
        <v>41.5</v>
      </c>
      <c r="BH14" s="482">
        <v>58</v>
      </c>
      <c r="BI14" s="483">
        <v>27</v>
      </c>
      <c r="BJ14" s="483">
        <v>28</v>
      </c>
      <c r="BK14" s="265">
        <v>15498</v>
      </c>
    </row>
    <row r="15" spans="1:63" s="650" customFormat="1">
      <c r="A15" s="466">
        <v>2001</v>
      </c>
      <c r="B15" s="467"/>
      <c r="C15" s="468"/>
      <c r="D15" s="469">
        <v>7</v>
      </c>
      <c r="E15" s="470">
        <v>4</v>
      </c>
      <c r="F15" s="471">
        <v>6</v>
      </c>
      <c r="G15" s="472">
        <v>3</v>
      </c>
      <c r="H15" s="473">
        <v>4</v>
      </c>
      <c r="I15" s="474">
        <v>3</v>
      </c>
      <c r="J15" s="475"/>
      <c r="K15" s="475"/>
      <c r="L15" s="475"/>
      <c r="M15" s="475"/>
      <c r="N15" s="475"/>
      <c r="O15" s="475"/>
      <c r="P15" s="475"/>
      <c r="Q15" s="476"/>
      <c r="R15" s="476"/>
      <c r="S15" s="475"/>
      <c r="T15" s="477"/>
      <c r="U15" s="478"/>
      <c r="V15" s="479"/>
      <c r="W15" s="479"/>
      <c r="X15" s="479"/>
      <c r="Y15" s="479"/>
      <c r="Z15" s="480">
        <v>0</v>
      </c>
      <c r="AA15" s="484">
        <v>0</v>
      </c>
      <c r="AB15" s="482"/>
      <c r="AC15" s="483"/>
      <c r="AD15" s="483"/>
      <c r="AE15" s="263">
        <v>27</v>
      </c>
      <c r="AF15"/>
      <c r="AG15" s="466">
        <v>2001</v>
      </c>
      <c r="AH15" s="467">
        <v>34</v>
      </c>
      <c r="AI15" s="468">
        <v>7</v>
      </c>
      <c r="AJ15" s="469">
        <v>78</v>
      </c>
      <c r="AK15" s="470">
        <v>3326</v>
      </c>
      <c r="AL15" s="471">
        <v>1973</v>
      </c>
      <c r="AM15" s="472">
        <v>2820</v>
      </c>
      <c r="AN15" s="473">
        <v>3222</v>
      </c>
      <c r="AO15" s="474">
        <v>652</v>
      </c>
      <c r="AP15" s="475">
        <v>264</v>
      </c>
      <c r="AQ15" s="475">
        <v>110</v>
      </c>
      <c r="AR15" s="475">
        <v>98</v>
      </c>
      <c r="AS15" s="475">
        <v>52</v>
      </c>
      <c r="AT15" s="475">
        <v>61</v>
      </c>
      <c r="AU15" s="475">
        <v>50</v>
      </c>
      <c r="AV15" s="475">
        <v>49</v>
      </c>
      <c r="AW15" s="476">
        <v>147</v>
      </c>
      <c r="AX15" s="476">
        <v>87</v>
      </c>
      <c r="AY15" s="475">
        <v>67</v>
      </c>
      <c r="AZ15" s="477">
        <v>42</v>
      </c>
      <c r="BA15" s="478">
        <v>42</v>
      </c>
      <c r="BB15" s="479">
        <v>72</v>
      </c>
      <c r="BC15" s="479">
        <v>78</v>
      </c>
      <c r="BD15" s="479">
        <v>79</v>
      </c>
      <c r="BE15" s="479">
        <v>84</v>
      </c>
      <c r="BF15" s="480">
        <v>38</v>
      </c>
      <c r="BG15" s="484">
        <v>38</v>
      </c>
      <c r="BH15" s="482">
        <v>56</v>
      </c>
      <c r="BI15" s="483">
        <v>33</v>
      </c>
      <c r="BJ15" s="483">
        <v>27</v>
      </c>
      <c r="BK15" s="265">
        <v>13686</v>
      </c>
    </row>
    <row r="16" spans="1:63" s="650" customFormat="1">
      <c r="A16" s="466">
        <v>2000</v>
      </c>
      <c r="B16" s="467"/>
      <c r="C16" s="468">
        <v>1</v>
      </c>
      <c r="D16" s="469">
        <v>6</v>
      </c>
      <c r="E16" s="470">
        <v>17</v>
      </c>
      <c r="F16" s="471">
        <v>14</v>
      </c>
      <c r="G16" s="472">
        <v>7</v>
      </c>
      <c r="H16" s="473">
        <v>5</v>
      </c>
      <c r="I16" s="474">
        <v>1</v>
      </c>
      <c r="J16" s="475"/>
      <c r="K16" s="475"/>
      <c r="L16" s="475">
        <v>1</v>
      </c>
      <c r="M16" s="475"/>
      <c r="N16" s="475"/>
      <c r="O16" s="475"/>
      <c r="P16" s="475"/>
      <c r="Q16" s="476"/>
      <c r="R16" s="476"/>
      <c r="S16" s="475"/>
      <c r="T16" s="477"/>
      <c r="U16" s="478"/>
      <c r="V16" s="479"/>
      <c r="W16" s="479"/>
      <c r="X16" s="479"/>
      <c r="Y16" s="479"/>
      <c r="Z16" s="480">
        <v>0</v>
      </c>
      <c r="AA16" s="484">
        <v>0</v>
      </c>
      <c r="AB16" s="482"/>
      <c r="AC16" s="483"/>
      <c r="AD16" s="483"/>
      <c r="AE16" s="263">
        <v>52</v>
      </c>
      <c r="AF16"/>
      <c r="AG16" s="466">
        <v>2000</v>
      </c>
      <c r="AH16" s="467">
        <v>20</v>
      </c>
      <c r="AI16" s="468">
        <v>8</v>
      </c>
      <c r="AJ16" s="469">
        <v>223</v>
      </c>
      <c r="AK16" s="470">
        <v>3688</v>
      </c>
      <c r="AL16" s="471">
        <v>1992</v>
      </c>
      <c r="AM16" s="472">
        <v>2256</v>
      </c>
      <c r="AN16" s="473">
        <v>2685</v>
      </c>
      <c r="AO16" s="474">
        <v>564</v>
      </c>
      <c r="AP16" s="475">
        <v>177</v>
      </c>
      <c r="AQ16" s="475">
        <v>80</v>
      </c>
      <c r="AR16" s="475">
        <v>74</v>
      </c>
      <c r="AS16" s="475">
        <v>50</v>
      </c>
      <c r="AT16" s="475">
        <v>63</v>
      </c>
      <c r="AU16" s="475">
        <v>51</v>
      </c>
      <c r="AV16" s="475">
        <v>47</v>
      </c>
      <c r="AW16" s="476">
        <v>127</v>
      </c>
      <c r="AX16" s="476">
        <v>83</v>
      </c>
      <c r="AY16" s="475">
        <v>45</v>
      </c>
      <c r="AZ16" s="477">
        <v>36</v>
      </c>
      <c r="BA16" s="478">
        <v>36</v>
      </c>
      <c r="BB16" s="479">
        <v>67</v>
      </c>
      <c r="BC16" s="479">
        <v>50</v>
      </c>
      <c r="BD16" s="479">
        <v>61</v>
      </c>
      <c r="BE16" s="479">
        <v>68</v>
      </c>
      <c r="BF16" s="480">
        <v>31</v>
      </c>
      <c r="BG16" s="484">
        <v>31</v>
      </c>
      <c r="BH16" s="482">
        <v>52</v>
      </c>
      <c r="BI16" s="483">
        <v>31</v>
      </c>
      <c r="BJ16" s="483">
        <v>23</v>
      </c>
      <c r="BK16" s="265">
        <v>12719</v>
      </c>
    </row>
    <row r="17" spans="1:63" s="650" customFormat="1">
      <c r="A17" s="466">
        <v>1999</v>
      </c>
      <c r="B17" s="467"/>
      <c r="C17" s="468"/>
      <c r="D17" s="469">
        <v>1</v>
      </c>
      <c r="E17" s="470">
        <v>7</v>
      </c>
      <c r="F17" s="471">
        <v>5</v>
      </c>
      <c r="G17" s="472">
        <v>7</v>
      </c>
      <c r="H17" s="473">
        <v>3</v>
      </c>
      <c r="I17" s="474"/>
      <c r="J17" s="475"/>
      <c r="K17" s="475">
        <v>1</v>
      </c>
      <c r="L17" s="475"/>
      <c r="M17" s="475"/>
      <c r="N17" s="475"/>
      <c r="O17" s="475"/>
      <c r="P17" s="475"/>
      <c r="Q17" s="476"/>
      <c r="R17" s="476"/>
      <c r="S17" s="475"/>
      <c r="T17" s="477"/>
      <c r="U17" s="478"/>
      <c r="V17" s="479"/>
      <c r="W17" s="479"/>
      <c r="X17" s="479"/>
      <c r="Y17" s="479"/>
      <c r="Z17" s="480">
        <v>0</v>
      </c>
      <c r="AA17" s="484">
        <v>0</v>
      </c>
      <c r="AB17" s="482"/>
      <c r="AC17" s="483"/>
      <c r="AD17" s="483"/>
      <c r="AE17" s="263">
        <v>24</v>
      </c>
      <c r="AF17"/>
      <c r="AG17" s="466">
        <v>1999</v>
      </c>
      <c r="AH17" s="467">
        <v>5</v>
      </c>
      <c r="AI17" s="468">
        <v>6</v>
      </c>
      <c r="AJ17" s="469">
        <v>338</v>
      </c>
      <c r="AK17" s="470">
        <v>2297</v>
      </c>
      <c r="AL17" s="471">
        <v>1279</v>
      </c>
      <c r="AM17" s="472">
        <v>1697</v>
      </c>
      <c r="AN17" s="473">
        <v>1809</v>
      </c>
      <c r="AO17" s="474">
        <v>343</v>
      </c>
      <c r="AP17" s="475">
        <v>89</v>
      </c>
      <c r="AQ17" s="475">
        <v>45</v>
      </c>
      <c r="AR17" s="475">
        <v>41</v>
      </c>
      <c r="AS17" s="475">
        <v>34</v>
      </c>
      <c r="AT17" s="475">
        <v>48</v>
      </c>
      <c r="AU17" s="475">
        <v>34</v>
      </c>
      <c r="AV17" s="475">
        <v>33</v>
      </c>
      <c r="AW17" s="476">
        <v>109</v>
      </c>
      <c r="AX17" s="476">
        <v>59</v>
      </c>
      <c r="AY17" s="475">
        <v>41</v>
      </c>
      <c r="AZ17" s="477">
        <v>17</v>
      </c>
      <c r="BA17" s="478">
        <v>17</v>
      </c>
      <c r="BB17" s="479">
        <v>46</v>
      </c>
      <c r="BC17" s="479">
        <v>35</v>
      </c>
      <c r="BD17" s="479">
        <v>51</v>
      </c>
      <c r="BE17" s="479">
        <v>43</v>
      </c>
      <c r="BF17" s="480">
        <v>18.5</v>
      </c>
      <c r="BG17" s="484">
        <v>18.5</v>
      </c>
      <c r="BH17" s="482">
        <v>24</v>
      </c>
      <c r="BI17" s="483">
        <v>14</v>
      </c>
      <c r="BJ17" s="483">
        <v>13</v>
      </c>
      <c r="BK17" s="265">
        <v>8604</v>
      </c>
    </row>
    <row r="18" spans="1:63" s="650" customFormat="1">
      <c r="A18" s="466">
        <v>1998</v>
      </c>
      <c r="B18" s="467"/>
      <c r="C18" s="468"/>
      <c r="D18" s="469">
        <v>8</v>
      </c>
      <c r="E18" s="470">
        <v>13</v>
      </c>
      <c r="F18" s="471">
        <v>9</v>
      </c>
      <c r="G18" s="472">
        <v>2</v>
      </c>
      <c r="H18" s="473">
        <v>8</v>
      </c>
      <c r="I18" s="474"/>
      <c r="J18" s="475">
        <v>1</v>
      </c>
      <c r="K18" s="475">
        <v>1</v>
      </c>
      <c r="L18" s="475"/>
      <c r="M18" s="475"/>
      <c r="N18" s="475"/>
      <c r="O18" s="475"/>
      <c r="P18" s="475"/>
      <c r="Q18" s="476"/>
      <c r="R18" s="476"/>
      <c r="S18" s="475"/>
      <c r="T18" s="477"/>
      <c r="U18" s="478"/>
      <c r="V18" s="479"/>
      <c r="W18" s="479"/>
      <c r="X18" s="479"/>
      <c r="Y18" s="479"/>
      <c r="Z18" s="480">
        <v>0</v>
      </c>
      <c r="AA18" s="484">
        <v>0</v>
      </c>
      <c r="AB18" s="482"/>
      <c r="AC18" s="483"/>
      <c r="AD18" s="483"/>
      <c r="AE18" s="263">
        <v>42</v>
      </c>
      <c r="AF18"/>
      <c r="AG18" s="466">
        <v>1998</v>
      </c>
      <c r="AH18" s="467">
        <v>6</v>
      </c>
      <c r="AI18" s="468">
        <v>2</v>
      </c>
      <c r="AJ18" s="469">
        <v>129</v>
      </c>
      <c r="AK18" s="470">
        <v>1241</v>
      </c>
      <c r="AL18" s="471">
        <v>995</v>
      </c>
      <c r="AM18" s="472">
        <v>1332</v>
      </c>
      <c r="AN18" s="473">
        <v>1699</v>
      </c>
      <c r="AO18" s="474">
        <v>189</v>
      </c>
      <c r="AP18" s="475">
        <v>87</v>
      </c>
      <c r="AQ18" s="475">
        <v>37</v>
      </c>
      <c r="AR18" s="475">
        <v>54</v>
      </c>
      <c r="AS18" s="475">
        <v>43</v>
      </c>
      <c r="AT18" s="475">
        <v>25</v>
      </c>
      <c r="AU18" s="475">
        <v>21</v>
      </c>
      <c r="AV18" s="475">
        <v>24</v>
      </c>
      <c r="AW18" s="476">
        <v>66</v>
      </c>
      <c r="AX18" s="476">
        <v>25</v>
      </c>
      <c r="AY18" s="475">
        <v>26</v>
      </c>
      <c r="AZ18" s="477">
        <v>17</v>
      </c>
      <c r="BA18" s="478">
        <v>17</v>
      </c>
      <c r="BB18" s="479">
        <v>27</v>
      </c>
      <c r="BC18" s="479">
        <v>16</v>
      </c>
      <c r="BD18" s="479">
        <v>25</v>
      </c>
      <c r="BE18" s="479">
        <v>27</v>
      </c>
      <c r="BF18" s="480">
        <v>7.5</v>
      </c>
      <c r="BG18" s="484">
        <v>7.5</v>
      </c>
      <c r="BH18" s="482">
        <v>12</v>
      </c>
      <c r="BI18" s="483">
        <v>7</v>
      </c>
      <c r="BJ18" s="483">
        <v>5</v>
      </c>
      <c r="BK18" s="265">
        <v>6169</v>
      </c>
    </row>
    <row r="19" spans="1:63" s="650" customFormat="1">
      <c r="A19" s="466">
        <v>1997</v>
      </c>
      <c r="B19" s="467"/>
      <c r="C19" s="468">
        <v>1</v>
      </c>
      <c r="D19" s="469">
        <v>3</v>
      </c>
      <c r="E19" s="470">
        <v>10</v>
      </c>
      <c r="F19" s="471">
        <v>3</v>
      </c>
      <c r="G19" s="472">
        <v>3</v>
      </c>
      <c r="H19" s="473">
        <v>2</v>
      </c>
      <c r="I19" s="474">
        <v>2</v>
      </c>
      <c r="J19" s="475"/>
      <c r="K19" s="475"/>
      <c r="L19" s="475"/>
      <c r="M19" s="475"/>
      <c r="N19" s="475"/>
      <c r="O19" s="475"/>
      <c r="P19" s="475"/>
      <c r="Q19" s="476"/>
      <c r="R19" s="476"/>
      <c r="S19" s="475"/>
      <c r="T19" s="477"/>
      <c r="U19" s="478"/>
      <c r="V19" s="479"/>
      <c r="W19" s="479"/>
      <c r="X19" s="479"/>
      <c r="Y19" s="479"/>
      <c r="Z19" s="480">
        <v>0</v>
      </c>
      <c r="AA19" s="484">
        <v>0</v>
      </c>
      <c r="AB19" s="482"/>
      <c r="AC19" s="483"/>
      <c r="AD19" s="483"/>
      <c r="AE19" s="263">
        <v>24</v>
      </c>
      <c r="AF19"/>
      <c r="AG19" s="466">
        <v>1997</v>
      </c>
      <c r="AH19" s="467">
        <v>1</v>
      </c>
      <c r="AI19" s="468">
        <v>4</v>
      </c>
      <c r="AJ19" s="469">
        <v>89</v>
      </c>
      <c r="AK19" s="470">
        <v>637</v>
      </c>
      <c r="AL19" s="471">
        <v>638</v>
      </c>
      <c r="AM19" s="472">
        <v>817</v>
      </c>
      <c r="AN19" s="473">
        <v>898</v>
      </c>
      <c r="AO19" s="474">
        <v>102</v>
      </c>
      <c r="AP19" s="475">
        <v>44</v>
      </c>
      <c r="AQ19" s="475">
        <v>24</v>
      </c>
      <c r="AR19" s="475">
        <v>38</v>
      </c>
      <c r="AS19" s="475">
        <v>19</v>
      </c>
      <c r="AT19" s="475">
        <v>14</v>
      </c>
      <c r="AU19" s="475">
        <v>16</v>
      </c>
      <c r="AV19" s="475">
        <v>8</v>
      </c>
      <c r="AW19" s="476">
        <v>37</v>
      </c>
      <c r="AX19" s="476">
        <v>35</v>
      </c>
      <c r="AY19" s="475">
        <v>22</v>
      </c>
      <c r="AZ19" s="477">
        <v>13.5</v>
      </c>
      <c r="BA19" s="478">
        <v>13.5</v>
      </c>
      <c r="BB19" s="479">
        <v>15</v>
      </c>
      <c r="BC19" s="479">
        <v>12</v>
      </c>
      <c r="BD19" s="479">
        <v>14</v>
      </c>
      <c r="BE19" s="479">
        <v>16</v>
      </c>
      <c r="BF19" s="480">
        <v>3</v>
      </c>
      <c r="BG19" s="484">
        <v>3</v>
      </c>
      <c r="BH19" s="482">
        <v>4</v>
      </c>
      <c r="BI19" s="483">
        <v>1</v>
      </c>
      <c r="BJ19" s="483"/>
      <c r="BK19" s="265">
        <v>3538</v>
      </c>
    </row>
    <row r="20" spans="1:63" s="650" customFormat="1">
      <c r="A20" s="466">
        <v>1996</v>
      </c>
      <c r="B20" s="467"/>
      <c r="C20" s="468"/>
      <c r="D20" s="469">
        <v>3</v>
      </c>
      <c r="E20" s="470">
        <v>1</v>
      </c>
      <c r="F20" s="471">
        <v>6</v>
      </c>
      <c r="G20" s="472">
        <v>3</v>
      </c>
      <c r="H20" s="473">
        <v>4</v>
      </c>
      <c r="I20" s="474"/>
      <c r="J20" s="475"/>
      <c r="K20" s="475"/>
      <c r="L20" s="475"/>
      <c r="M20" s="475"/>
      <c r="N20" s="475"/>
      <c r="O20" s="475"/>
      <c r="P20" s="475"/>
      <c r="Q20" s="476"/>
      <c r="R20" s="476"/>
      <c r="S20" s="475"/>
      <c r="T20" s="477"/>
      <c r="U20" s="478"/>
      <c r="V20" s="479"/>
      <c r="W20" s="479"/>
      <c r="X20" s="479"/>
      <c r="Y20" s="479"/>
      <c r="Z20" s="480">
        <v>0</v>
      </c>
      <c r="AA20" s="484">
        <v>0</v>
      </c>
      <c r="AB20" s="482"/>
      <c r="AC20" s="483"/>
      <c r="AD20" s="483"/>
      <c r="AE20" s="263">
        <v>17</v>
      </c>
      <c r="AF20"/>
      <c r="AG20" s="466">
        <v>1996</v>
      </c>
      <c r="AH20" s="467">
        <v>2</v>
      </c>
      <c r="AI20" s="468">
        <v>2</v>
      </c>
      <c r="AJ20" s="469">
        <v>65</v>
      </c>
      <c r="AK20" s="470">
        <v>262</v>
      </c>
      <c r="AL20" s="471">
        <v>570</v>
      </c>
      <c r="AM20" s="472">
        <v>372</v>
      </c>
      <c r="AN20" s="473">
        <v>518</v>
      </c>
      <c r="AO20" s="474">
        <v>70</v>
      </c>
      <c r="AP20" s="475">
        <v>20</v>
      </c>
      <c r="AQ20" s="475">
        <v>10</v>
      </c>
      <c r="AR20" s="475">
        <v>24</v>
      </c>
      <c r="AS20" s="475">
        <v>14</v>
      </c>
      <c r="AT20" s="475">
        <v>14</v>
      </c>
      <c r="AU20" s="475">
        <v>5</v>
      </c>
      <c r="AV20" s="475">
        <v>4</v>
      </c>
      <c r="AW20" s="476">
        <v>27</v>
      </c>
      <c r="AX20" s="476">
        <v>21</v>
      </c>
      <c r="AY20" s="475">
        <v>24</v>
      </c>
      <c r="AZ20" s="477">
        <v>15</v>
      </c>
      <c r="BA20" s="478">
        <v>15</v>
      </c>
      <c r="BB20" s="479">
        <v>18</v>
      </c>
      <c r="BC20" s="479">
        <v>11</v>
      </c>
      <c r="BD20" s="479">
        <v>12</v>
      </c>
      <c r="BE20" s="479">
        <v>14</v>
      </c>
      <c r="BF20" s="480">
        <v>4.5</v>
      </c>
      <c r="BG20" s="484">
        <v>4.5</v>
      </c>
      <c r="BH20" s="482">
        <v>5</v>
      </c>
      <c r="BI20" s="483">
        <v>2</v>
      </c>
      <c r="BJ20" s="483">
        <v>1</v>
      </c>
      <c r="BK20" s="265">
        <v>2126</v>
      </c>
    </row>
    <row r="21" spans="1:63" s="650" customFormat="1">
      <c r="A21" s="466">
        <v>1995</v>
      </c>
      <c r="B21" s="467"/>
      <c r="C21" s="468">
        <v>1</v>
      </c>
      <c r="D21" s="469">
        <v>3</v>
      </c>
      <c r="E21" s="470"/>
      <c r="F21" s="471">
        <v>3</v>
      </c>
      <c r="G21" s="472">
        <v>3</v>
      </c>
      <c r="H21" s="473">
        <v>2</v>
      </c>
      <c r="I21" s="474"/>
      <c r="J21" s="475"/>
      <c r="K21" s="475"/>
      <c r="L21" s="475"/>
      <c r="M21" s="475"/>
      <c r="N21" s="475"/>
      <c r="O21" s="475"/>
      <c r="P21" s="475"/>
      <c r="Q21" s="476"/>
      <c r="R21" s="476"/>
      <c r="S21" s="475"/>
      <c r="T21" s="477"/>
      <c r="U21" s="478"/>
      <c r="V21" s="479"/>
      <c r="W21" s="479"/>
      <c r="X21" s="479"/>
      <c r="Y21" s="479"/>
      <c r="Z21" s="480">
        <v>0</v>
      </c>
      <c r="AA21" s="484">
        <v>0</v>
      </c>
      <c r="AB21" s="482"/>
      <c r="AC21" s="483"/>
      <c r="AD21" s="483"/>
      <c r="AE21" s="263">
        <v>12</v>
      </c>
      <c r="AF21"/>
      <c r="AG21" s="466">
        <v>1995</v>
      </c>
      <c r="AH21" s="467">
        <v>1</v>
      </c>
      <c r="AI21" s="468">
        <v>3</v>
      </c>
      <c r="AJ21" s="469">
        <v>51</v>
      </c>
      <c r="AK21" s="470">
        <v>166</v>
      </c>
      <c r="AL21" s="471">
        <v>294</v>
      </c>
      <c r="AM21" s="472">
        <v>297</v>
      </c>
      <c r="AN21" s="473">
        <v>302</v>
      </c>
      <c r="AO21" s="474">
        <v>41</v>
      </c>
      <c r="AP21" s="475">
        <v>16</v>
      </c>
      <c r="AQ21" s="475">
        <v>11</v>
      </c>
      <c r="AR21" s="475">
        <v>20</v>
      </c>
      <c r="AS21" s="475">
        <v>7</v>
      </c>
      <c r="AT21" s="475">
        <v>13</v>
      </c>
      <c r="AU21" s="475">
        <v>3</v>
      </c>
      <c r="AV21" s="475">
        <v>2</v>
      </c>
      <c r="AW21" s="476">
        <v>21</v>
      </c>
      <c r="AX21" s="476">
        <v>17</v>
      </c>
      <c r="AY21" s="475">
        <v>10</v>
      </c>
      <c r="AZ21" s="477">
        <v>7</v>
      </c>
      <c r="BA21" s="478">
        <v>7</v>
      </c>
      <c r="BB21" s="479">
        <v>13</v>
      </c>
      <c r="BC21" s="479">
        <v>5</v>
      </c>
      <c r="BD21" s="479">
        <v>12</v>
      </c>
      <c r="BE21" s="479">
        <v>7</v>
      </c>
      <c r="BF21" s="480">
        <v>1.5</v>
      </c>
      <c r="BG21" s="484">
        <v>1.5</v>
      </c>
      <c r="BH21" s="482">
        <v>1</v>
      </c>
      <c r="BI21" s="483"/>
      <c r="BJ21" s="483">
        <v>2</v>
      </c>
      <c r="BK21" s="265">
        <v>1332</v>
      </c>
    </row>
    <row r="22" spans="1:63" s="650" customFormat="1">
      <c r="A22" s="466">
        <v>1994</v>
      </c>
      <c r="B22" s="467"/>
      <c r="C22" s="468"/>
      <c r="D22" s="469">
        <v>1</v>
      </c>
      <c r="E22" s="470">
        <v>4</v>
      </c>
      <c r="F22" s="471">
        <v>8</v>
      </c>
      <c r="G22" s="472">
        <v>4</v>
      </c>
      <c r="H22" s="473">
        <v>2</v>
      </c>
      <c r="I22" s="474"/>
      <c r="J22" s="475"/>
      <c r="K22" s="475"/>
      <c r="L22" s="475"/>
      <c r="M22" s="475"/>
      <c r="N22" s="475"/>
      <c r="O22" s="475"/>
      <c r="P22" s="475"/>
      <c r="Q22" s="476"/>
      <c r="R22" s="476"/>
      <c r="S22" s="475">
        <v>1</v>
      </c>
      <c r="T22" s="477"/>
      <c r="U22" s="478"/>
      <c r="V22" s="479"/>
      <c r="W22" s="479"/>
      <c r="X22" s="479"/>
      <c r="Y22" s="479"/>
      <c r="Z22" s="480">
        <v>0</v>
      </c>
      <c r="AA22" s="484">
        <v>0</v>
      </c>
      <c r="AB22" s="482"/>
      <c r="AC22" s="483"/>
      <c r="AD22" s="483"/>
      <c r="AE22" s="263">
        <v>20</v>
      </c>
      <c r="AF22"/>
      <c r="AG22" s="466">
        <v>1994</v>
      </c>
      <c r="AH22" s="467"/>
      <c r="AI22" s="468">
        <v>2</v>
      </c>
      <c r="AJ22" s="469">
        <v>43</v>
      </c>
      <c r="AK22" s="470">
        <v>136</v>
      </c>
      <c r="AL22" s="471">
        <v>162</v>
      </c>
      <c r="AM22" s="472">
        <v>215</v>
      </c>
      <c r="AN22" s="473">
        <v>128</v>
      </c>
      <c r="AO22" s="474">
        <v>21</v>
      </c>
      <c r="AP22" s="475">
        <v>10</v>
      </c>
      <c r="AQ22" s="475">
        <v>2</v>
      </c>
      <c r="AR22" s="475">
        <v>7</v>
      </c>
      <c r="AS22" s="475">
        <v>2</v>
      </c>
      <c r="AT22" s="475">
        <v>6</v>
      </c>
      <c r="AU22" s="475">
        <v>3</v>
      </c>
      <c r="AV22" s="475">
        <v>3</v>
      </c>
      <c r="AW22" s="476">
        <v>12</v>
      </c>
      <c r="AX22" s="476">
        <v>8</v>
      </c>
      <c r="AY22" s="475">
        <v>7</v>
      </c>
      <c r="AZ22" s="477">
        <v>3.5</v>
      </c>
      <c r="BA22" s="478">
        <v>3.5</v>
      </c>
      <c r="BB22" s="479">
        <v>9</v>
      </c>
      <c r="BC22" s="479">
        <v>5</v>
      </c>
      <c r="BD22" s="479">
        <v>2</v>
      </c>
      <c r="BE22" s="479">
        <v>5</v>
      </c>
      <c r="BF22" s="480">
        <v>2</v>
      </c>
      <c r="BG22" s="484">
        <v>2</v>
      </c>
      <c r="BH22" s="482">
        <v>1</v>
      </c>
      <c r="BI22" s="483"/>
      <c r="BJ22" s="483"/>
      <c r="BK22" s="265">
        <v>800</v>
      </c>
    </row>
    <row r="23" spans="1:63" s="650" customFormat="1" ht="34.5">
      <c r="A23" s="485" t="s">
        <v>167</v>
      </c>
      <c r="B23" s="467">
        <v>1</v>
      </c>
      <c r="C23" s="468">
        <v>7</v>
      </c>
      <c r="D23" s="469">
        <v>11</v>
      </c>
      <c r="E23" s="470">
        <v>11</v>
      </c>
      <c r="F23" s="471">
        <v>17</v>
      </c>
      <c r="G23" s="472">
        <v>7</v>
      </c>
      <c r="H23" s="473">
        <v>5</v>
      </c>
      <c r="I23" s="474">
        <v>0</v>
      </c>
      <c r="J23" s="475">
        <v>0</v>
      </c>
      <c r="K23" s="475">
        <v>0</v>
      </c>
      <c r="L23" s="475">
        <v>0</v>
      </c>
      <c r="M23" s="475">
        <v>0</v>
      </c>
      <c r="N23" s="475">
        <v>0</v>
      </c>
      <c r="O23" s="475">
        <v>0</v>
      </c>
      <c r="P23" s="475">
        <v>0</v>
      </c>
      <c r="Q23" s="476">
        <v>0</v>
      </c>
      <c r="R23" s="476">
        <v>0</v>
      </c>
      <c r="S23" s="475">
        <v>0</v>
      </c>
      <c r="T23" s="477"/>
      <c r="U23" s="478">
        <v>0</v>
      </c>
      <c r="V23" s="479">
        <v>1</v>
      </c>
      <c r="W23" s="479">
        <v>0</v>
      </c>
      <c r="X23" s="479">
        <v>1</v>
      </c>
      <c r="Y23" s="479">
        <v>1</v>
      </c>
      <c r="Z23" s="480">
        <v>0</v>
      </c>
      <c r="AA23" s="484">
        <v>0</v>
      </c>
      <c r="AB23" s="482">
        <v>0</v>
      </c>
      <c r="AC23" s="483">
        <v>0</v>
      </c>
      <c r="AD23" s="483">
        <v>0</v>
      </c>
      <c r="AE23" s="263">
        <v>62</v>
      </c>
      <c r="AF23"/>
      <c r="AG23" s="485" t="s">
        <v>167</v>
      </c>
      <c r="AH23" s="467">
        <v>2</v>
      </c>
      <c r="AI23" s="468">
        <v>5</v>
      </c>
      <c r="AJ23" s="469">
        <v>125</v>
      </c>
      <c r="AK23" s="470">
        <v>165</v>
      </c>
      <c r="AL23" s="471">
        <v>504</v>
      </c>
      <c r="AM23" s="472">
        <v>359</v>
      </c>
      <c r="AN23" s="473">
        <v>182</v>
      </c>
      <c r="AO23" s="474">
        <v>28</v>
      </c>
      <c r="AP23" s="475">
        <v>13</v>
      </c>
      <c r="AQ23" s="475">
        <v>17</v>
      </c>
      <c r="AR23" s="475">
        <v>17</v>
      </c>
      <c r="AS23" s="475">
        <v>8</v>
      </c>
      <c r="AT23" s="475">
        <v>12</v>
      </c>
      <c r="AU23" s="475">
        <v>7</v>
      </c>
      <c r="AV23" s="475">
        <v>3</v>
      </c>
      <c r="AW23" s="476">
        <v>24</v>
      </c>
      <c r="AX23" s="476">
        <v>24</v>
      </c>
      <c r="AY23" s="475">
        <v>17</v>
      </c>
      <c r="AZ23" s="477">
        <v>6.5</v>
      </c>
      <c r="BA23" s="478">
        <v>6.5</v>
      </c>
      <c r="BB23" s="479">
        <v>17</v>
      </c>
      <c r="BC23" s="479">
        <v>8</v>
      </c>
      <c r="BD23" s="479">
        <v>4</v>
      </c>
      <c r="BE23" s="479">
        <v>0</v>
      </c>
      <c r="BF23" s="480">
        <v>0.5</v>
      </c>
      <c r="BG23" s="484">
        <v>0.5</v>
      </c>
      <c r="BH23" s="482">
        <v>1</v>
      </c>
      <c r="BI23" s="483">
        <v>1</v>
      </c>
      <c r="BJ23" s="483">
        <v>0</v>
      </c>
      <c r="BK23" s="265">
        <v>1557</v>
      </c>
    </row>
    <row r="24" spans="1:63" s="650" customFormat="1">
      <c r="A24" s="264" t="s">
        <v>166</v>
      </c>
      <c r="B24" s="263">
        <v>5</v>
      </c>
      <c r="C24" s="263">
        <v>18</v>
      </c>
      <c r="D24" s="263">
        <v>92</v>
      </c>
      <c r="E24" s="263">
        <v>167</v>
      </c>
      <c r="F24" s="263">
        <v>160</v>
      </c>
      <c r="G24" s="263">
        <v>116</v>
      </c>
      <c r="H24" s="263">
        <v>79</v>
      </c>
      <c r="I24" s="263">
        <v>62</v>
      </c>
      <c r="J24" s="263">
        <v>20</v>
      </c>
      <c r="K24" s="263">
        <v>16</v>
      </c>
      <c r="L24" s="263">
        <v>8</v>
      </c>
      <c r="M24" s="263">
        <v>2</v>
      </c>
      <c r="N24" s="263">
        <v>3</v>
      </c>
      <c r="O24" s="263"/>
      <c r="P24" s="263"/>
      <c r="Q24" s="263"/>
      <c r="R24" s="263"/>
      <c r="S24" s="263">
        <v>1</v>
      </c>
      <c r="T24" s="263"/>
      <c r="U24" s="263">
        <v>1</v>
      </c>
      <c r="V24" s="263">
        <v>2</v>
      </c>
      <c r="W24" s="263">
        <v>2</v>
      </c>
      <c r="X24" s="263">
        <v>1</v>
      </c>
      <c r="Y24" s="263">
        <v>4</v>
      </c>
      <c r="Z24" s="263"/>
      <c r="AA24" s="263">
        <v>2</v>
      </c>
      <c r="AB24" s="263"/>
      <c r="AC24" s="263">
        <v>1</v>
      </c>
      <c r="AD24" s="263">
        <v>1</v>
      </c>
      <c r="AE24" s="263">
        <v>763</v>
      </c>
      <c r="AF24"/>
      <c r="AG24" s="264" t="s">
        <v>166</v>
      </c>
      <c r="AH24" s="265">
        <v>1603</v>
      </c>
      <c r="AI24" s="265">
        <v>141</v>
      </c>
      <c r="AJ24" s="265">
        <v>1802</v>
      </c>
      <c r="AK24" s="265">
        <v>49563</v>
      </c>
      <c r="AL24" s="265">
        <v>46574</v>
      </c>
      <c r="AM24" s="265">
        <v>52398</v>
      </c>
      <c r="AN24" s="265">
        <v>80030</v>
      </c>
      <c r="AO24" s="265">
        <v>31523</v>
      </c>
      <c r="AP24" s="265">
        <v>10071</v>
      </c>
      <c r="AQ24" s="265">
        <v>3651</v>
      </c>
      <c r="AR24" s="265">
        <v>2292</v>
      </c>
      <c r="AS24" s="265">
        <v>965</v>
      </c>
      <c r="AT24" s="265">
        <v>1030</v>
      </c>
      <c r="AU24" s="265">
        <v>913</v>
      </c>
      <c r="AV24" s="265">
        <v>986</v>
      </c>
      <c r="AW24" s="265">
        <v>3361</v>
      </c>
      <c r="AX24" s="265">
        <v>2163</v>
      </c>
      <c r="AY24" s="265">
        <v>1393</v>
      </c>
      <c r="AZ24" s="265"/>
      <c r="BA24" s="265">
        <v>1737</v>
      </c>
      <c r="BB24" s="265">
        <v>1964</v>
      </c>
      <c r="BC24" s="265">
        <v>1582</v>
      </c>
      <c r="BD24" s="265">
        <v>1927</v>
      </c>
      <c r="BE24" s="265">
        <v>2746</v>
      </c>
      <c r="BF24" s="265"/>
      <c r="BG24" s="265">
        <v>2467</v>
      </c>
      <c r="BH24" s="265">
        <v>2274</v>
      </c>
      <c r="BI24" s="265">
        <v>1565</v>
      </c>
      <c r="BJ24" s="265">
        <v>1649</v>
      </c>
      <c r="BK24" s="265">
        <v>308370</v>
      </c>
    </row>
    <row r="25" spans="1:63" s="650" customFormat="1" ht="15.75" thickBot="1"/>
    <row r="26" spans="1:63" ht="15.75" thickBot="1">
      <c r="A26" s="1716" t="s">
        <v>40</v>
      </c>
      <c r="B26" s="1717" t="s">
        <v>221</v>
      </c>
      <c r="C26" s="1718"/>
      <c r="D26" s="1718"/>
      <c r="E26" s="1718"/>
      <c r="F26" s="1718"/>
      <c r="G26" s="1718"/>
      <c r="H26" s="1719"/>
      <c r="J26" s="1713" t="s">
        <v>35</v>
      </c>
      <c r="K26" s="1714"/>
      <c r="L26" s="1714"/>
      <c r="M26" s="1714"/>
      <c r="N26" s="1714"/>
      <c r="O26" s="1714"/>
      <c r="P26" s="1714"/>
      <c r="Q26" s="1715"/>
      <c r="R26" s="123"/>
      <c r="S26" s="1713" t="s">
        <v>36</v>
      </c>
      <c r="T26" s="1714"/>
      <c r="U26" s="1714"/>
      <c r="V26" s="1714"/>
      <c r="W26" s="1714"/>
      <c r="X26" s="1714"/>
      <c r="Y26" s="1714"/>
      <c r="Z26" s="1715"/>
    </row>
    <row r="27" spans="1:63" ht="15.75" thickBot="1">
      <c r="A27" s="1716"/>
      <c r="B27" s="130" t="s">
        <v>10</v>
      </c>
      <c r="C27" s="116" t="s">
        <v>117</v>
      </c>
      <c r="D27" s="116" t="s">
        <v>118</v>
      </c>
      <c r="E27" s="116" t="s">
        <v>119</v>
      </c>
      <c r="F27" s="116" t="s">
        <v>120</v>
      </c>
      <c r="G27" s="116" t="s">
        <v>121</v>
      </c>
      <c r="H27" s="117" t="s">
        <v>131</v>
      </c>
      <c r="J27" s="38" t="s">
        <v>10</v>
      </c>
      <c r="K27" s="116" t="s">
        <v>117</v>
      </c>
      <c r="L27" s="116" t="s">
        <v>118</v>
      </c>
      <c r="M27" s="116" t="s">
        <v>194</v>
      </c>
      <c r="N27" s="116" t="s">
        <v>120</v>
      </c>
      <c r="O27" s="116" t="s">
        <v>121</v>
      </c>
      <c r="P27" s="116" t="s">
        <v>195</v>
      </c>
      <c r="Q27" s="117" t="s">
        <v>39</v>
      </c>
      <c r="R27" s="123"/>
      <c r="S27" s="38" t="s">
        <v>10</v>
      </c>
      <c r="T27" s="116" t="s">
        <v>117</v>
      </c>
      <c r="U27" s="116" t="s">
        <v>118</v>
      </c>
      <c r="V27" s="116" t="s">
        <v>194</v>
      </c>
      <c r="W27" s="116" t="s">
        <v>120</v>
      </c>
      <c r="X27" s="116" t="s">
        <v>121</v>
      </c>
      <c r="Y27" s="116" t="s">
        <v>195</v>
      </c>
      <c r="Z27" s="117" t="s">
        <v>39</v>
      </c>
    </row>
    <row r="28" spans="1:63" ht="15.75" thickTop="1">
      <c r="A28" s="1716"/>
      <c r="B28" s="38">
        <v>0</v>
      </c>
      <c r="C28" s="306">
        <f>IF('FREH Survival'!Z22/100&gt;1,1,'FREH Survival'!Z22/100)</f>
        <v>1</v>
      </c>
      <c r="D28" s="307">
        <f>IF('FREH Survival'!BA22/100&gt;1,1,'FREH Survival'!BA22/100)</f>
        <v>1</v>
      </c>
      <c r="E28" s="307">
        <f>IF('FREH Survival'!CB22/100&gt;1,1,'FREH Survival'!CB22/100)</f>
        <v>1</v>
      </c>
      <c r="F28" s="345">
        <f>IF('FREH Survival'!Z60/100&gt;1,1,'FREH Survival'!Z60/100)</f>
        <v>1</v>
      </c>
      <c r="G28" s="345">
        <f>IF('FREH Survival'!BA60/100&gt;1,1,'FREH Survival'!BA60/100)</f>
        <v>1</v>
      </c>
      <c r="H28" s="308">
        <f>IF('FREH Survival'!CB60/100&gt;1,1,'FREH Survival'!CB60/100)</f>
        <v>1</v>
      </c>
      <c r="J28" s="118">
        <v>0</v>
      </c>
      <c r="K28" s="120">
        <f>SUM('FREH Stock'!B4:C4)</f>
        <v>0</v>
      </c>
      <c r="L28" s="121">
        <f>SUM('FREH Stock'!D4:F4)</f>
        <v>1</v>
      </c>
      <c r="M28" s="121">
        <f>SUM('FREH Stock'!G4:H4)</f>
        <v>1</v>
      </c>
      <c r="N28" s="121">
        <f>SUM('FREH Stock'!I4:T4)</f>
        <v>4</v>
      </c>
      <c r="O28" s="121">
        <f>SUM('FREH Stock'!U4:Z4)</f>
        <v>0</v>
      </c>
      <c r="P28" s="121">
        <f>SUM('FREH Stock'!AA4:AD4)</f>
        <v>0</v>
      </c>
      <c r="Q28" s="122">
        <f>SUM(K28:N28)</f>
        <v>6</v>
      </c>
      <c r="R28" s="123"/>
      <c r="S28" s="118">
        <v>0</v>
      </c>
      <c r="T28" s="120">
        <f>SUM('FREH Stock'!AH4:AI4)</f>
        <v>145</v>
      </c>
      <c r="U28" s="121">
        <f>SUM('FREH Stock'!AJ4:AL4)</f>
        <v>5237</v>
      </c>
      <c r="V28" s="121">
        <f>SUM('FREH Stock'!AM4:AN4)</f>
        <v>4035</v>
      </c>
      <c r="W28" s="121">
        <f>SUM('FREH Stock'!AO4:AZ4)</f>
        <v>2767</v>
      </c>
      <c r="X28" s="121">
        <f>SUM('FREH Stock'!BA4:BF4)</f>
        <v>524.5</v>
      </c>
      <c r="Y28" s="121">
        <f>SUM('FREH Stock'!BG4:BJ4)</f>
        <v>638.5</v>
      </c>
      <c r="Z28" s="122">
        <f t="shared" ref="Z28:Z47" si="0">SUM(T28:Y28)</f>
        <v>13347</v>
      </c>
    </row>
    <row r="29" spans="1:63">
      <c r="A29" s="1716"/>
      <c r="B29" s="38">
        <v>1</v>
      </c>
      <c r="C29" s="306">
        <f>IF('FREH Survival'!Z23/100&gt;1,1,'FREH Survival'!Z23/100)</f>
        <v>0.87505119462824155</v>
      </c>
      <c r="D29" s="307">
        <f>IF('FREH Survival'!BA23/100&gt;1,1,'FREH Survival'!BA23/100)</f>
        <v>0.98507826591193781</v>
      </c>
      <c r="E29" s="307">
        <f>IF('FREH Survival'!CB23/100&gt;1,1,'FREH Survival'!CB23/100)</f>
        <v>0.98349924874585293</v>
      </c>
      <c r="F29" s="345">
        <f>IF('FREH Survival'!Z61/100&gt;1,1,'FREH Survival'!Z61/100)</f>
        <v>0.99937035374368166</v>
      </c>
      <c r="G29" s="345">
        <f>IF('FREH Survival'!BA61/100&gt;1,1,'FREH Survival'!BA61/100)</f>
        <v>0.97292244804425687</v>
      </c>
      <c r="H29" s="308">
        <f>IF('FREH Survival'!CB61/100&gt;1,1,'FREH Survival'!CB61/100)</f>
        <v>1</v>
      </c>
      <c r="J29" s="118">
        <v>1</v>
      </c>
      <c r="K29" s="124">
        <f>SUM('FREH Stock'!B5:C5)</f>
        <v>0</v>
      </c>
      <c r="L29" s="125">
        <f>SUM('FREH Stock'!D5:F5)</f>
        <v>6</v>
      </c>
      <c r="M29" s="125">
        <f>SUM('FREH Stock'!G5:H5)</f>
        <v>13</v>
      </c>
      <c r="N29" s="125">
        <f>SUM('FREH Stock'!I5:T5)</f>
        <v>2</v>
      </c>
      <c r="O29" s="344">
        <f>SUM('FREH Stock'!U5:Z5)</f>
        <v>0</v>
      </c>
      <c r="P29" s="344">
        <f>SUM('FREH Stock'!AA5:AD5)</f>
        <v>0</v>
      </c>
      <c r="Q29" s="126">
        <f t="shared" ref="Q29:Q47" si="1">SUM(K29:N29)</f>
        <v>21</v>
      </c>
      <c r="R29" s="123"/>
      <c r="S29" s="118">
        <v>1</v>
      </c>
      <c r="T29" s="124">
        <f>SUM('FREH Stock'!AH5:AI5)</f>
        <v>105</v>
      </c>
      <c r="U29" s="125">
        <f>SUM('FREH Stock'!AJ5:AL5)</f>
        <v>5103</v>
      </c>
      <c r="V29" s="125">
        <f>SUM('FREH Stock'!AM5:AN5)</f>
        <v>4458</v>
      </c>
      <c r="W29" s="125">
        <f>SUM('FREH Stock'!AO5:AZ5)</f>
        <v>2945.5</v>
      </c>
      <c r="X29" s="344">
        <f>SUM('FREH Stock'!BA5:BF5)</f>
        <v>485.5</v>
      </c>
      <c r="Y29" s="344">
        <f>SUM('FREH Stock'!BG5:BJ5)</f>
        <v>552</v>
      </c>
      <c r="Z29" s="126">
        <f t="shared" si="0"/>
        <v>13649</v>
      </c>
    </row>
    <row r="30" spans="1:63">
      <c r="A30" s="1716"/>
      <c r="B30" s="38">
        <v>2</v>
      </c>
      <c r="C30" s="306">
        <f>IF('FREH Survival'!Z24/100&gt;1,1,'FREH Survival'!Z24/100)</f>
        <v>0.87391571977795224</v>
      </c>
      <c r="D30" s="307">
        <f>IF('FREH Survival'!BA24/100&gt;1,1,'FREH Survival'!BA24/100)</f>
        <v>0.99490377188927059</v>
      </c>
      <c r="E30" s="307">
        <f>IF('FREH Survival'!CB24/100&gt;1,1,'FREH Survival'!CB24/100)</f>
        <v>0.97722930930632246</v>
      </c>
      <c r="F30" s="345">
        <f>IF('FREH Survival'!Z62/100&gt;1,1,'FREH Survival'!Z62/100)</f>
        <v>1</v>
      </c>
      <c r="G30" s="345">
        <f>IF('FREH Survival'!BA62/100&gt;1,1,'FREH Survival'!BA62/100)</f>
        <v>0.91455143356534552</v>
      </c>
      <c r="H30" s="308">
        <f>IF('FREH Survival'!CB62/100&gt;1,1,'FREH Survival'!CB62/100)</f>
        <v>0.98313993866787042</v>
      </c>
      <c r="J30" s="118">
        <v>2</v>
      </c>
      <c r="K30" s="124">
        <f>SUM('FREH Stock'!B6:C6)</f>
        <v>2</v>
      </c>
      <c r="L30" s="125">
        <f>SUM('FREH Stock'!D6:F6)</f>
        <v>8</v>
      </c>
      <c r="M30" s="125">
        <f>SUM('FREH Stock'!G6:H6)</f>
        <v>12</v>
      </c>
      <c r="N30" s="125">
        <f>SUM('FREH Stock'!I6:T6)</f>
        <v>8</v>
      </c>
      <c r="O30" s="344">
        <f>SUM('FREH Stock'!U6:Z6)</f>
        <v>3</v>
      </c>
      <c r="P30" s="344">
        <f>SUM('FREH Stock'!AA6:AD6)</f>
        <v>1</v>
      </c>
      <c r="Q30" s="126">
        <f t="shared" si="1"/>
        <v>30</v>
      </c>
      <c r="R30" s="123"/>
      <c r="S30" s="118">
        <v>2</v>
      </c>
      <c r="T30" s="124">
        <f>SUM('FREH Stock'!AH6:AI6)</f>
        <v>135</v>
      </c>
      <c r="U30" s="125">
        <f>SUM('FREH Stock'!AJ6:AL6)</f>
        <v>4782</v>
      </c>
      <c r="V30" s="125">
        <f>SUM('FREH Stock'!AM6:AN6)</f>
        <v>4880</v>
      </c>
      <c r="W30" s="125">
        <f>SUM('FREH Stock'!AO6:AZ6)</f>
        <v>3419.5</v>
      </c>
      <c r="X30" s="344">
        <f>SUM('FREH Stock'!BA6:BF6)</f>
        <v>489.5</v>
      </c>
      <c r="Y30" s="344">
        <f>SUM('FREH Stock'!BG6:BJ6)</f>
        <v>367</v>
      </c>
      <c r="Z30" s="126">
        <f t="shared" si="0"/>
        <v>14073</v>
      </c>
    </row>
    <row r="31" spans="1:63">
      <c r="A31" s="1716"/>
      <c r="B31" s="38">
        <v>3</v>
      </c>
      <c r="C31" s="306">
        <f>IF('FREH Survival'!Z25/100&gt;1,1,'FREH Survival'!Z25/100)</f>
        <v>1</v>
      </c>
      <c r="D31" s="307">
        <f>IF('FREH Survival'!BA25/100&gt;1,1,'FREH Survival'!BA25/100)</f>
        <v>0.99792902115676585</v>
      </c>
      <c r="E31" s="307">
        <f>IF('FREH Survival'!CB25/100&gt;1,1,'FREH Survival'!CB25/100)</f>
        <v>0.9693240760929005</v>
      </c>
      <c r="F31" s="345">
        <f>IF('FREH Survival'!Z63/100&gt;1,1,'FREH Survival'!Z63/100)</f>
        <v>1</v>
      </c>
      <c r="G31" s="345">
        <f>IF('FREH Survival'!BA63/100&gt;1,1,'FREH Survival'!BA63/100)</f>
        <v>0.86116888747173947</v>
      </c>
      <c r="H31" s="308">
        <f>IF('FREH Survival'!CB63/100&gt;1,1,'FREH Survival'!CB63/100)</f>
        <v>0.9600797425572436</v>
      </c>
      <c r="J31" s="118">
        <v>3</v>
      </c>
      <c r="K31" s="124">
        <f>SUM('FREH Stock'!B7:C7)</f>
        <v>3</v>
      </c>
      <c r="L31" s="125">
        <f>SUM('FREH Stock'!D7:F7)</f>
        <v>13</v>
      </c>
      <c r="M31" s="125">
        <f>SUM('FREH Stock'!G7:H7)</f>
        <v>7</v>
      </c>
      <c r="N31" s="125">
        <f>SUM('FREH Stock'!I7:T7)</f>
        <v>12</v>
      </c>
      <c r="O31" s="344">
        <f>SUM('FREH Stock'!U7:Z7)</f>
        <v>1.5</v>
      </c>
      <c r="P31" s="344">
        <f>SUM('FREH Stock'!AA7:AD7)</f>
        <v>0.5</v>
      </c>
      <c r="Q31" s="126">
        <f t="shared" si="1"/>
        <v>35</v>
      </c>
      <c r="R31" s="123"/>
      <c r="S31" s="118">
        <v>3</v>
      </c>
      <c r="T31" s="124">
        <f>SUM('FREH Stock'!AH7:AI7)</f>
        <v>171</v>
      </c>
      <c r="U31" s="125">
        <f>SUM('FREH Stock'!AJ7:AL7)</f>
        <v>4971</v>
      </c>
      <c r="V31" s="125">
        <f>SUM('FREH Stock'!AM7:AN7)</f>
        <v>5880</v>
      </c>
      <c r="W31" s="125">
        <f>SUM('FREH Stock'!AO7:AZ7)</f>
        <v>3912.5</v>
      </c>
      <c r="X31" s="344">
        <f>SUM('FREH Stock'!BA7:BF7)</f>
        <v>616</v>
      </c>
      <c r="Y31" s="344">
        <f>SUM('FREH Stock'!BG7:BJ7)</f>
        <v>381.5</v>
      </c>
      <c r="Z31" s="126">
        <f t="shared" si="0"/>
        <v>15932</v>
      </c>
    </row>
    <row r="32" spans="1:63">
      <c r="A32" s="1716"/>
      <c r="B32" s="38">
        <v>4</v>
      </c>
      <c r="C32" s="306">
        <f>IF('FREH Survival'!Z26/100&gt;1,1,'FREH Survival'!Z26/100)</f>
        <v>1</v>
      </c>
      <c r="D32" s="307">
        <f>IF('FREH Survival'!BA26/100&gt;1,1,'FREH Survival'!BA26/100)</f>
        <v>1</v>
      </c>
      <c r="E32" s="307">
        <f>IF('FREH Survival'!CB26/100&gt;1,1,'FREH Survival'!CB26/100)</f>
        <v>0.97106923665724121</v>
      </c>
      <c r="F32" s="345">
        <f>IF('FREH Survival'!Z64/100&gt;1,1,'FREH Survival'!Z64/100)</f>
        <v>1</v>
      </c>
      <c r="G32" s="345">
        <f>IF('FREH Survival'!BA64/100&gt;1,1,'FREH Survival'!BA64/100)</f>
        <v>0.82559380413297045</v>
      </c>
      <c r="H32" s="308">
        <f>IF('FREH Survival'!CB64/100&gt;1,1,'FREH Survival'!CB64/100)</f>
        <v>0.93805810071287643</v>
      </c>
      <c r="J32" s="118">
        <v>4</v>
      </c>
      <c r="K32" s="124">
        <f>SUM('FREH Stock'!B8:C8)</f>
        <v>1</v>
      </c>
      <c r="L32" s="125">
        <f>SUM('FREH Stock'!D8:F8)</f>
        <v>17</v>
      </c>
      <c r="M32" s="125">
        <f>SUM('FREH Stock'!G8:H8)</f>
        <v>17</v>
      </c>
      <c r="N32" s="125">
        <f>SUM('FREH Stock'!I8:T8)</f>
        <v>22</v>
      </c>
      <c r="O32" s="344">
        <f>SUM('FREH Stock'!U8:Z8)</f>
        <v>0</v>
      </c>
      <c r="P32" s="344">
        <f>SUM('FREH Stock'!AA8:AD8)</f>
        <v>0</v>
      </c>
      <c r="Q32" s="126">
        <f t="shared" si="1"/>
        <v>57</v>
      </c>
      <c r="R32" s="123"/>
      <c r="S32" s="118">
        <v>4</v>
      </c>
      <c r="T32" s="124">
        <f>SUM('FREH Stock'!AH8:AI8)</f>
        <v>227</v>
      </c>
      <c r="U32" s="125">
        <f>SUM('FREH Stock'!AJ8:AL8)</f>
        <v>7929</v>
      </c>
      <c r="V32" s="125">
        <f>SUM('FREH Stock'!AM8:AN8)</f>
        <v>13824</v>
      </c>
      <c r="W32" s="125">
        <f>SUM('FREH Stock'!AO8:AZ8)</f>
        <v>7945</v>
      </c>
      <c r="X32" s="344">
        <f>SUM('FREH Stock'!BA8:BF8)</f>
        <v>1075</v>
      </c>
      <c r="Y32" s="344">
        <f>SUM('FREH Stock'!BG8:BJ8)</f>
        <v>881</v>
      </c>
      <c r="Z32" s="126">
        <f t="shared" si="0"/>
        <v>31881</v>
      </c>
    </row>
    <row r="33" spans="1:26">
      <c r="A33" s="1716"/>
      <c r="B33" s="38">
        <v>5</v>
      </c>
      <c r="C33" s="306">
        <f>IF('FREH Survival'!Z27/100&gt;1,1,'FREH Survival'!Z27/100)</f>
        <v>1</v>
      </c>
      <c r="D33" s="307">
        <f>IF('FREH Survival'!BA27/100&gt;1,1,'FREH Survival'!BA27/100)</f>
        <v>1</v>
      </c>
      <c r="E33" s="307">
        <f>IF('FREH Survival'!CB27/100&gt;1,1,'FREH Survival'!CB27/100)</f>
        <v>0.95903820514790683</v>
      </c>
      <c r="F33" s="345">
        <f>IF('FREH Survival'!Z65/100&gt;1,1,'FREH Survival'!Z65/100)</f>
        <v>1</v>
      </c>
      <c r="G33" s="345">
        <f>IF('FREH Survival'!BA65/100&gt;1,1,'FREH Survival'!BA65/100)</f>
        <v>0.80822265807812643</v>
      </c>
      <c r="H33" s="308">
        <f>IF('FREH Survival'!CB65/100&gt;1,1,'FREH Survival'!CB65/100)</f>
        <v>0.87107289973548929</v>
      </c>
      <c r="J33" s="118">
        <v>5</v>
      </c>
      <c r="K33" s="124">
        <f>SUM('FREH Stock'!B9:C9)</f>
        <v>1</v>
      </c>
      <c r="L33" s="125">
        <f>SUM('FREH Stock'!D9:F9)</f>
        <v>31</v>
      </c>
      <c r="M33" s="125">
        <f>SUM('FREH Stock'!G9:H9)</f>
        <v>12</v>
      </c>
      <c r="N33" s="125">
        <f>SUM('FREH Stock'!I9:T9)</f>
        <v>15</v>
      </c>
      <c r="O33" s="344">
        <f>SUM('FREH Stock'!U9:Z9)</f>
        <v>0</v>
      </c>
      <c r="P33" s="344">
        <f>SUM('FREH Stock'!AA9:AD9)</f>
        <v>0</v>
      </c>
      <c r="Q33" s="126">
        <f t="shared" si="1"/>
        <v>59</v>
      </c>
      <c r="R33" s="123"/>
      <c r="S33" s="118">
        <v>5</v>
      </c>
      <c r="T33" s="124">
        <f>SUM('FREH Stock'!AH9:AI9)</f>
        <v>159</v>
      </c>
      <c r="U33" s="125">
        <f>SUM('FREH Stock'!AJ9:AL9)</f>
        <v>10099</v>
      </c>
      <c r="V33" s="125">
        <f>SUM('FREH Stock'!AM9:AN9)</f>
        <v>19082</v>
      </c>
      <c r="W33" s="125">
        <f>SUM('FREH Stock'!AO9:AZ9)</f>
        <v>10493.5</v>
      </c>
      <c r="X33" s="344">
        <f>SUM('FREH Stock'!BA9:BF9)</f>
        <v>1365.5</v>
      </c>
      <c r="Y33" s="344">
        <f>SUM('FREH Stock'!BG9:BJ9)</f>
        <v>1080</v>
      </c>
      <c r="Z33" s="126">
        <f t="shared" si="0"/>
        <v>42279</v>
      </c>
    </row>
    <row r="34" spans="1:26">
      <c r="A34" s="1716"/>
      <c r="B34" s="38">
        <v>6</v>
      </c>
      <c r="C34" s="306">
        <f>IF('FREH Survival'!Z28/100&gt;1,1,'FREH Survival'!Z28/100)</f>
        <v>1</v>
      </c>
      <c r="D34" s="307">
        <f>IF('FREH Survival'!BA28/100&gt;1,1,'FREH Survival'!BA28/100)</f>
        <v>0.99629588707997141</v>
      </c>
      <c r="E34" s="307">
        <f>IF('FREH Survival'!CB28/100&gt;1,1,'FREH Survival'!CB28/100)</f>
        <v>0.94210201090224255</v>
      </c>
      <c r="F34" s="345">
        <f>IF('FREH Survival'!Z66/100&gt;1,1,'FREH Survival'!Z66/100)</f>
        <v>1</v>
      </c>
      <c r="G34" s="345">
        <f>IF('FREH Survival'!BA66/100&gt;1,1,'FREH Survival'!BA66/100)</f>
        <v>0.77630624992909902</v>
      </c>
      <c r="H34" s="308">
        <f>IF('FREH Survival'!CB66/100&gt;1,1,'FREH Survival'!CB66/100)</f>
        <v>0.80922242692070545</v>
      </c>
      <c r="J34" s="118">
        <v>6</v>
      </c>
      <c r="K34" s="124">
        <f>SUM('FREH Stock'!B10:C10)</f>
        <v>2</v>
      </c>
      <c r="L34" s="125">
        <f>SUM('FREH Stock'!D10:F10)</f>
        <v>40</v>
      </c>
      <c r="M34" s="125">
        <f>SUM('FREH Stock'!G10:H10)</f>
        <v>21</v>
      </c>
      <c r="N34" s="125">
        <f>SUM('FREH Stock'!I10:T10)</f>
        <v>15</v>
      </c>
      <c r="O34" s="344">
        <f>SUM('FREH Stock'!U10:Z10)</f>
        <v>0</v>
      </c>
      <c r="P34" s="344">
        <f>SUM('FREH Stock'!AA10:AD10)</f>
        <v>0</v>
      </c>
      <c r="Q34" s="126">
        <f t="shared" si="1"/>
        <v>78</v>
      </c>
      <c r="R34" s="123"/>
      <c r="S34" s="118">
        <v>6</v>
      </c>
      <c r="T34" s="124">
        <f>SUM('FREH Stock'!AH10:AI10)</f>
        <v>377</v>
      </c>
      <c r="U34" s="125">
        <f>SUM('FREH Stock'!AJ10:AL10)</f>
        <v>11296</v>
      </c>
      <c r="V34" s="125">
        <f>SUM('FREH Stock'!AM10:AN10)</f>
        <v>16702</v>
      </c>
      <c r="W34" s="125">
        <f>SUM('FREH Stock'!AO10:AZ10)</f>
        <v>8113.5</v>
      </c>
      <c r="X34" s="344">
        <f>SUM('FREH Stock'!BA10:BF10)</f>
        <v>1499</v>
      </c>
      <c r="Y34" s="344">
        <f>SUM('FREH Stock'!BG10:BJ10)</f>
        <v>906.5</v>
      </c>
      <c r="Z34" s="126">
        <f t="shared" si="0"/>
        <v>38894</v>
      </c>
    </row>
    <row r="35" spans="1:26">
      <c r="A35" s="1716"/>
      <c r="B35" s="38">
        <v>7</v>
      </c>
      <c r="C35" s="306">
        <f>IF('FREH Survival'!Z29/100&gt;1,1,'FREH Survival'!Z29/100)</f>
        <v>1</v>
      </c>
      <c r="D35" s="307">
        <f>IF('FREH Survival'!BA29/100&gt;1,1,'FREH Survival'!BA29/100)</f>
        <v>0.95959174259832081</v>
      </c>
      <c r="E35" s="307">
        <f>IF('FREH Survival'!CB29/100&gt;1,1,'FREH Survival'!CB29/100)</f>
        <v>0.91655398980451064</v>
      </c>
      <c r="F35" s="345">
        <f>IF('FREH Survival'!Z67/100&gt;1,1,'FREH Survival'!Z67/100)</f>
        <v>0.98976502952392043</v>
      </c>
      <c r="G35" s="345">
        <f>IF('FREH Survival'!BA67/100&gt;1,1,'FREH Survival'!BA67/100)</f>
        <v>0.74398224447313521</v>
      </c>
      <c r="H35" s="308">
        <f>IF('FREH Survival'!CB67/100&gt;1,1,'FREH Survival'!CB67/100)</f>
        <v>0.75134625754363427</v>
      </c>
      <c r="J35" s="118">
        <v>7</v>
      </c>
      <c r="K35" s="124">
        <f>SUM('FREH Stock'!B11:C11)</f>
        <v>1</v>
      </c>
      <c r="L35" s="125">
        <f>SUM('FREH Stock'!D11:F11)</f>
        <v>43</v>
      </c>
      <c r="M35" s="125">
        <f>SUM('FREH Stock'!G11:H11)</f>
        <v>9</v>
      </c>
      <c r="N35" s="125">
        <f>SUM('FREH Stock'!I11:T11)</f>
        <v>10</v>
      </c>
      <c r="O35" s="344">
        <f>SUM('FREH Stock'!U11:Z11)</f>
        <v>0</v>
      </c>
      <c r="P35" s="344">
        <f>SUM('FREH Stock'!AA11:AD11)</f>
        <v>1</v>
      </c>
      <c r="Q35" s="126">
        <f t="shared" si="1"/>
        <v>63</v>
      </c>
      <c r="R35" s="123"/>
      <c r="S35" s="118">
        <v>7</v>
      </c>
      <c r="T35" s="124">
        <f>SUM('FREH Stock'!AH11:AI11)</f>
        <v>157</v>
      </c>
      <c r="U35" s="125">
        <f>SUM('FREH Stock'!AJ11:AL11)</f>
        <v>9474</v>
      </c>
      <c r="V35" s="125">
        <f>SUM('FREH Stock'!AM11:AN11)</f>
        <v>14598</v>
      </c>
      <c r="W35" s="125">
        <f>SUM('FREH Stock'!AO11:AZ11)</f>
        <v>5496.5</v>
      </c>
      <c r="X35" s="344">
        <f>SUM('FREH Stock'!BA11:BF11)</f>
        <v>1160</v>
      </c>
      <c r="Y35" s="344">
        <f>SUM('FREH Stock'!BG11:BJ11)</f>
        <v>621.5</v>
      </c>
      <c r="Z35" s="126">
        <f t="shared" si="0"/>
        <v>31507</v>
      </c>
    </row>
    <row r="36" spans="1:26">
      <c r="A36" s="1716"/>
      <c r="B36" s="38">
        <v>8</v>
      </c>
      <c r="C36" s="306">
        <f>IF('FREH Survival'!Z30/100&gt;1,1,'FREH Survival'!Z30/100)</f>
        <v>0.9618475950925468</v>
      </c>
      <c r="D36" s="307">
        <f>IF('FREH Survival'!BA30/100&gt;1,1,'FREH Survival'!BA30/100)</f>
        <v>0.91147595990265029</v>
      </c>
      <c r="E36" s="307">
        <f>IF('FREH Survival'!CB30/100&gt;1,1,'FREH Survival'!CB30/100)</f>
        <v>0.87602557671733483</v>
      </c>
      <c r="F36" s="345">
        <f>IF('FREH Survival'!Z68/100&gt;1,1,'FREH Survival'!Z68/100)</f>
        <v>0.94473973327629579</v>
      </c>
      <c r="G36" s="345">
        <f>IF('FREH Survival'!BA68/100&gt;1,1,'FREH Survival'!BA68/100)</f>
        <v>0.67657433509536569</v>
      </c>
      <c r="H36" s="308">
        <f>IF('FREH Survival'!CB68/100&gt;1,1,'FREH Survival'!CB68/100)</f>
        <v>0.66050689745399249</v>
      </c>
      <c r="J36" s="118">
        <v>8</v>
      </c>
      <c r="K36" s="124">
        <f>SUM('FREH Stock'!B12:C12)</f>
        <v>2</v>
      </c>
      <c r="L36" s="125">
        <f>SUM('FREH Stock'!D12:F12)</f>
        <v>28</v>
      </c>
      <c r="M36" s="125">
        <f>SUM('FREH Stock'!G12:H12)</f>
        <v>7</v>
      </c>
      <c r="N36" s="125">
        <f>SUM('FREH Stock'!I12:T12)</f>
        <v>5</v>
      </c>
      <c r="O36" s="344">
        <f>SUM('FREH Stock'!U12:Z12)</f>
        <v>3.5</v>
      </c>
      <c r="P36" s="344">
        <f>SUM('FREH Stock'!AA12:AD12)</f>
        <v>0.5</v>
      </c>
      <c r="Q36" s="126">
        <f t="shared" si="1"/>
        <v>42</v>
      </c>
      <c r="R36" s="123"/>
      <c r="S36" s="118">
        <v>8</v>
      </c>
      <c r="T36" s="124">
        <f>SUM('FREH Stock'!AH12:AI12)</f>
        <v>13</v>
      </c>
      <c r="U36" s="125">
        <f>SUM('FREH Stock'!AJ12:AL12)</f>
        <v>7093</v>
      </c>
      <c r="V36" s="125">
        <f>SUM('FREH Stock'!AM12:AN12)</f>
        <v>9832</v>
      </c>
      <c r="W36" s="125">
        <f>SUM('FREH Stock'!AO12:AZ12)</f>
        <v>3657</v>
      </c>
      <c r="X36" s="344">
        <f>SUM('FREH Stock'!BA12:BF12)</f>
        <v>819.5</v>
      </c>
      <c r="Y36" s="344">
        <f>SUM('FREH Stock'!BG12:BJ12)</f>
        <v>418.5</v>
      </c>
      <c r="Z36" s="126">
        <f t="shared" si="0"/>
        <v>21833</v>
      </c>
    </row>
    <row r="37" spans="1:26">
      <c r="A37" s="1716"/>
      <c r="B37" s="38">
        <v>9</v>
      </c>
      <c r="C37" s="306">
        <f>IF('FREH Survival'!Z31/100&gt;1,1,'FREH Survival'!Z31/100)</f>
        <v>0.88785575688549079</v>
      </c>
      <c r="D37" s="307">
        <f>IF('FREH Survival'!BA31/100&gt;1,1,'FREH Survival'!BA31/100)</f>
        <v>0.8406672713614437</v>
      </c>
      <c r="E37" s="307">
        <f>IF('FREH Survival'!CB31/100&gt;1,1,'FREH Survival'!CB31/100)</f>
        <v>0.82204012526326276</v>
      </c>
      <c r="F37" s="345">
        <f>IF('FREH Survival'!Z69/100&gt;1,1,'FREH Survival'!Z69/100)</f>
        <v>0.89129263399721126</v>
      </c>
      <c r="G37" s="345">
        <f>IF('FREH Survival'!BA69/100&gt;1,1,'FREH Survival'!BA69/100)</f>
        <v>0.58900764418185803</v>
      </c>
      <c r="H37" s="308">
        <f>IF('FREH Survival'!CB69/100&gt;1,1,'FREH Survival'!CB69/100)</f>
        <v>0.54889074546675209</v>
      </c>
      <c r="J37" s="118">
        <v>9</v>
      </c>
      <c r="K37" s="124">
        <f>SUM('FREH Stock'!B13:C13)</f>
        <v>0</v>
      </c>
      <c r="L37" s="125">
        <f>SUM('FREH Stock'!D13:F13)</f>
        <v>25</v>
      </c>
      <c r="M37" s="125">
        <f>SUM('FREH Stock'!G13:H13)</f>
        <v>10</v>
      </c>
      <c r="N37" s="125">
        <f>SUM('FREH Stock'!I13:T13)</f>
        <v>4</v>
      </c>
      <c r="O37" s="344">
        <f>SUM('FREH Stock'!U13:Z13)</f>
        <v>0</v>
      </c>
      <c r="P37" s="344">
        <f>SUM('FREH Stock'!AA13:AD13)</f>
        <v>0</v>
      </c>
      <c r="Q37" s="126">
        <f t="shared" si="1"/>
        <v>39</v>
      </c>
      <c r="R37" s="123"/>
      <c r="S37" s="118">
        <v>9</v>
      </c>
      <c r="T37" s="124">
        <f>SUM('FREH Stock'!AH13:AI13)</f>
        <v>37</v>
      </c>
      <c r="U37" s="125">
        <f>SUM('FREH Stock'!AJ13:AL13)</f>
        <v>5382</v>
      </c>
      <c r="V37" s="125">
        <f>SUM('FREH Stock'!AM13:AN13)</f>
        <v>9794</v>
      </c>
      <c r="W37" s="125">
        <f>SUM('FREH Stock'!AO13:AZ13)</f>
        <v>2855</v>
      </c>
      <c r="X37" s="344">
        <f>SUM('FREH Stock'!BA13:BF13)</f>
        <v>580</v>
      </c>
      <c r="Y37" s="344">
        <f>SUM('FREH Stock'!BG13:BJ13)</f>
        <v>298</v>
      </c>
      <c r="Z37" s="126">
        <f t="shared" si="0"/>
        <v>18946</v>
      </c>
    </row>
    <row r="38" spans="1:26">
      <c r="A38" s="1716"/>
      <c r="B38" s="38">
        <v>10</v>
      </c>
      <c r="C38" s="306">
        <f>IF('FREH Survival'!Z32/100&gt;1,1,'FREH Survival'!Z32/100)</f>
        <v>0.83769715550944868</v>
      </c>
      <c r="D38" s="307">
        <f>IF('FREH Survival'!BA32/100&gt;1,1,'FREH Survival'!BA32/100)</f>
        <v>0.76115510345837845</v>
      </c>
      <c r="E38" s="307">
        <f>IF('FREH Survival'!CB32/100&gt;1,1,'FREH Survival'!CB32/100)</f>
        <v>0.7702849436207978</v>
      </c>
      <c r="F38" s="345">
        <f>IF('FREH Survival'!Z70/100&gt;1,1,'FREH Survival'!Z70/100)</f>
        <v>0.82556294957769039</v>
      </c>
      <c r="G38" s="345">
        <f>IF('FREH Survival'!BA70/100&gt;1,1,'FREH Survival'!BA70/100)</f>
        <v>0.51171486590873438</v>
      </c>
      <c r="H38" s="308">
        <f>IF('FREH Survival'!CB70/100&gt;1,1,'FREH Survival'!CB70/100)</f>
        <v>0.45469247199762891</v>
      </c>
      <c r="J38" s="118">
        <v>10</v>
      </c>
      <c r="K38" s="124">
        <f>SUM('FREH Stock'!B14:C14)</f>
        <v>0</v>
      </c>
      <c r="L38" s="125">
        <f>SUM('FREH Stock'!D14:F14)</f>
        <v>26</v>
      </c>
      <c r="M38" s="125">
        <f>SUM('FREH Stock'!G14:H14)</f>
        <v>12</v>
      </c>
      <c r="N38" s="125">
        <f>SUM('FREH Stock'!I14:T14)</f>
        <v>4</v>
      </c>
      <c r="O38" s="344">
        <f>SUM('FREH Stock'!U14:Z14)</f>
        <v>0</v>
      </c>
      <c r="P38" s="344">
        <f>SUM('FREH Stock'!AA14:AD14)</f>
        <v>0</v>
      </c>
      <c r="Q38" s="126">
        <f t="shared" si="1"/>
        <v>42</v>
      </c>
      <c r="R38" s="123"/>
      <c r="S38" s="118">
        <v>10</v>
      </c>
      <c r="T38" s="124">
        <f>SUM('FREH Stock'!AH14:AI14)</f>
        <v>108</v>
      </c>
      <c r="U38" s="125">
        <f>SUM('FREH Stock'!AJ14:AL14)</f>
        <v>5107</v>
      </c>
      <c r="V38" s="125">
        <f>SUM('FREH Stock'!AM14:AN14)</f>
        <v>7735</v>
      </c>
      <c r="W38" s="125">
        <f>SUM('FREH Stock'!AO14:AZ14)</f>
        <v>1979</v>
      </c>
      <c r="X38" s="344">
        <f>SUM('FREH Stock'!BA14:BF14)</f>
        <v>414.5</v>
      </c>
      <c r="Y38" s="344">
        <f>SUM('FREH Stock'!BG14:BJ14)</f>
        <v>154.5</v>
      </c>
      <c r="Z38" s="126">
        <f t="shared" si="0"/>
        <v>15498</v>
      </c>
    </row>
    <row r="39" spans="1:26">
      <c r="A39" s="1716"/>
      <c r="B39" s="38">
        <v>11</v>
      </c>
      <c r="C39" s="306">
        <f>IF('FREH Survival'!Z33/100&gt;1,1,'FREH Survival'!Z33/100)</f>
        <v>0.76366540706630426</v>
      </c>
      <c r="D39" s="307">
        <f>IF('FREH Survival'!BA33/100&gt;1,1,'FREH Survival'!BA33/100)</f>
        <v>0.67595459692886151</v>
      </c>
      <c r="E39" s="307">
        <f>IF('FREH Survival'!CB33/100&gt;1,1,'FREH Survival'!CB33/100)</f>
        <v>0.70831383260659597</v>
      </c>
      <c r="F39" s="345">
        <f>IF('FREH Survival'!Z71/100&gt;1,1,'FREH Survival'!Z71/100)</f>
        <v>0.75109590496223178</v>
      </c>
      <c r="G39" s="345">
        <f>IF('FREH Survival'!BA71/100&gt;1,1,'FREH Survival'!BA71/100)</f>
        <v>0.44161913574288719</v>
      </c>
      <c r="H39" s="308">
        <f>IF('FREH Survival'!CB71/100&gt;1,1,'FREH Survival'!CB71/100)</f>
        <v>0.37579226449437003</v>
      </c>
      <c r="J39" s="118">
        <v>11</v>
      </c>
      <c r="K39" s="124">
        <f>SUM('FREH Stock'!B15:C15)</f>
        <v>0</v>
      </c>
      <c r="L39" s="125">
        <f>SUM('FREH Stock'!D15:F15)</f>
        <v>17</v>
      </c>
      <c r="M39" s="125">
        <f>SUM('FREH Stock'!G15:H15)</f>
        <v>7</v>
      </c>
      <c r="N39" s="125">
        <f>SUM('FREH Stock'!I15:T15)</f>
        <v>3</v>
      </c>
      <c r="O39" s="344">
        <f>SUM('FREH Stock'!U15:Z15)</f>
        <v>0</v>
      </c>
      <c r="P39" s="344">
        <f>SUM('FREH Stock'!AA15:AD15)</f>
        <v>0</v>
      </c>
      <c r="Q39" s="126">
        <f t="shared" si="1"/>
        <v>27</v>
      </c>
      <c r="R39" s="123"/>
      <c r="S39" s="118">
        <v>11</v>
      </c>
      <c r="T39" s="124">
        <f>SUM('FREH Stock'!AH15:AI15)</f>
        <v>41</v>
      </c>
      <c r="U39" s="125">
        <f>SUM('FREH Stock'!AJ15:AL15)</f>
        <v>5377</v>
      </c>
      <c r="V39" s="125">
        <f>SUM('FREH Stock'!AM15:AN15)</f>
        <v>6042</v>
      </c>
      <c r="W39" s="125">
        <f>SUM('FREH Stock'!AO15:AZ15)</f>
        <v>1679</v>
      </c>
      <c r="X39" s="344">
        <f>SUM('FREH Stock'!BA15:BF15)</f>
        <v>393</v>
      </c>
      <c r="Y39" s="344">
        <f>SUM('FREH Stock'!BG15:BJ15)</f>
        <v>154</v>
      </c>
      <c r="Z39" s="126">
        <f t="shared" si="0"/>
        <v>13686</v>
      </c>
    </row>
    <row r="40" spans="1:26">
      <c r="A40" s="1716"/>
      <c r="B40" s="38">
        <v>12</v>
      </c>
      <c r="C40" s="306">
        <f>IF('FREH Survival'!Z34/100&gt;1,1,'FREH Survival'!Z34/100)</f>
        <v>0.66652400696414016</v>
      </c>
      <c r="D40" s="307">
        <f>IF('FREH Survival'!BA34/100&gt;1,1,'FREH Survival'!BA34/100)</f>
        <v>0.57344457727650722</v>
      </c>
      <c r="E40" s="307">
        <f>IF('FREH Survival'!CB34/100&gt;1,1,'FREH Survival'!CB34/100)</f>
        <v>0.63270861778178367</v>
      </c>
      <c r="F40" s="345">
        <f>IF('FREH Survival'!Z72/100&gt;1,1,'FREH Survival'!Z72/100)</f>
        <v>0.66341061733723461</v>
      </c>
      <c r="G40" s="345">
        <f>IF('FREH Survival'!BA72/100&gt;1,1,'FREH Survival'!BA72/100)</f>
        <v>0.36083498605004904</v>
      </c>
      <c r="H40" s="308">
        <f>IF('FREH Survival'!CB72/100&gt;1,1,'FREH Survival'!CB72/100)</f>
        <v>0.29460476709765421</v>
      </c>
      <c r="J40" s="118">
        <v>12</v>
      </c>
      <c r="K40" s="124">
        <f>SUM('FREH Stock'!B16:C16)</f>
        <v>1</v>
      </c>
      <c r="L40" s="125">
        <f>SUM('FREH Stock'!D16:F16)</f>
        <v>37</v>
      </c>
      <c r="M40" s="125">
        <f>SUM('FREH Stock'!G16:H16)</f>
        <v>12</v>
      </c>
      <c r="N40" s="125">
        <f>SUM('FREH Stock'!I16:T16)</f>
        <v>2</v>
      </c>
      <c r="O40" s="344">
        <f>SUM('FREH Stock'!U16:Z16)</f>
        <v>0</v>
      </c>
      <c r="P40" s="344">
        <f>SUM('FREH Stock'!AA16:AD16)</f>
        <v>0</v>
      </c>
      <c r="Q40" s="126">
        <f t="shared" si="1"/>
        <v>52</v>
      </c>
      <c r="R40" s="123"/>
      <c r="S40" s="118">
        <v>12</v>
      </c>
      <c r="T40" s="124">
        <f>SUM('FREH Stock'!AH16:AI16)</f>
        <v>28</v>
      </c>
      <c r="U40" s="125">
        <f>SUM('FREH Stock'!AJ16:AL16)</f>
        <v>5903</v>
      </c>
      <c r="V40" s="125">
        <f>SUM('FREH Stock'!AM16:AN16)</f>
        <v>4941</v>
      </c>
      <c r="W40" s="125">
        <f>SUM('FREH Stock'!AO16:AZ16)</f>
        <v>1397</v>
      </c>
      <c r="X40" s="344">
        <f>SUM('FREH Stock'!BA16:BF16)</f>
        <v>313</v>
      </c>
      <c r="Y40" s="344">
        <f>SUM('FREH Stock'!BG16:BJ16)</f>
        <v>137</v>
      </c>
      <c r="Z40" s="126">
        <f t="shared" si="0"/>
        <v>12719</v>
      </c>
    </row>
    <row r="41" spans="1:26">
      <c r="A41" s="1716"/>
      <c r="B41" s="38">
        <v>13</v>
      </c>
      <c r="C41" s="306">
        <f>IF('FREH Survival'!Z35/100&gt;1,1,'FREH Survival'!Z35/100)</f>
        <v>0.53694992549549292</v>
      </c>
      <c r="D41" s="307">
        <f>IF('FREH Survival'!BA35/100&gt;1,1,'FREH Survival'!BA35/100)</f>
        <v>0.47198732924363035</v>
      </c>
      <c r="E41" s="307">
        <f>IF('FREH Survival'!CB35/100&gt;1,1,'FREH Survival'!CB35/100)</f>
        <v>0.56109835759243998</v>
      </c>
      <c r="F41" s="345">
        <f>IF('FREH Survival'!Z73/100&gt;1,1,'FREH Survival'!Z73/100)</f>
        <v>0.57989644873351676</v>
      </c>
      <c r="G41" s="345">
        <f>IF('FREH Survival'!BA73/100&gt;1,1,'FREH Survival'!BA73/100)</f>
        <v>0.28875038678387016</v>
      </c>
      <c r="H41" s="308">
        <f>IF('FREH Survival'!CB73/100&gt;1,1,'FREH Survival'!CB73/100)</f>
        <v>0.22153895248734112</v>
      </c>
      <c r="J41" s="118">
        <v>13</v>
      </c>
      <c r="K41" s="124">
        <f>SUM('FREH Stock'!B17:C17)</f>
        <v>0</v>
      </c>
      <c r="L41" s="125">
        <f>SUM('FREH Stock'!D17:F17)</f>
        <v>13</v>
      </c>
      <c r="M41" s="125">
        <f>SUM('FREH Stock'!G17:H17)</f>
        <v>10</v>
      </c>
      <c r="N41" s="125">
        <f>SUM('FREH Stock'!I17:T17)</f>
        <v>1</v>
      </c>
      <c r="O41" s="344">
        <f>SUM('FREH Stock'!U17:Z17)</f>
        <v>0</v>
      </c>
      <c r="P41" s="344">
        <f>SUM('FREH Stock'!AA17:AD17)</f>
        <v>0</v>
      </c>
      <c r="Q41" s="126">
        <f t="shared" si="1"/>
        <v>24</v>
      </c>
      <c r="R41" s="123"/>
      <c r="S41" s="118">
        <v>13</v>
      </c>
      <c r="T41" s="124">
        <f>SUM('FREH Stock'!AH17:AI17)</f>
        <v>11</v>
      </c>
      <c r="U41" s="125">
        <f>SUM('FREH Stock'!AJ17:AL17)</f>
        <v>3914</v>
      </c>
      <c r="V41" s="125">
        <f>SUM('FREH Stock'!AM17:AN17)</f>
        <v>3506</v>
      </c>
      <c r="W41" s="125">
        <f>SUM('FREH Stock'!AO17:AZ17)</f>
        <v>893</v>
      </c>
      <c r="X41" s="344">
        <f>SUM('FREH Stock'!BA17:BF17)</f>
        <v>210.5</v>
      </c>
      <c r="Y41" s="344">
        <f>SUM('FREH Stock'!BG17:BJ17)</f>
        <v>69.5</v>
      </c>
      <c r="Z41" s="126">
        <f t="shared" si="0"/>
        <v>8604</v>
      </c>
    </row>
    <row r="42" spans="1:26">
      <c r="A42" s="1716"/>
      <c r="B42" s="38">
        <v>14</v>
      </c>
      <c r="C42" s="306">
        <f>IF('FREH Survival'!Z36/100&gt;1,1,'FREH Survival'!Z36/100)</f>
        <v>0.49478101310209083</v>
      </c>
      <c r="D42" s="307">
        <f>IF('FREH Survival'!BA36/100&gt;1,1,'FREH Survival'!BA36/100)</f>
        <v>0.38445176728140396</v>
      </c>
      <c r="E42" s="307">
        <f>IF('FREH Survival'!CB36/100&gt;1,1,'FREH Survival'!CB36/100)</f>
        <v>0.49205886586021619</v>
      </c>
      <c r="F42" s="345">
        <f>IF('FREH Survival'!Z74/100&gt;1,1,'FREH Survival'!Z74/100)</f>
        <v>0.49922175754183179</v>
      </c>
      <c r="G42" s="345">
        <f>IF('FREH Survival'!BA74/100&gt;1,1,'FREH Survival'!BA74/100)</f>
        <v>0.2155921495799841</v>
      </c>
      <c r="H42" s="308">
        <f>IF('FREH Survival'!CB74/100&gt;1,1,'FREH Survival'!CB74/100)</f>
        <v>0.16858939946504442</v>
      </c>
      <c r="J42" s="118">
        <v>14</v>
      </c>
      <c r="K42" s="124">
        <f>SUM('FREH Stock'!B18:C18)</f>
        <v>0</v>
      </c>
      <c r="L42" s="125">
        <f>SUM('FREH Stock'!D18:F18)</f>
        <v>30</v>
      </c>
      <c r="M42" s="125">
        <f>SUM('FREH Stock'!G18:H18)</f>
        <v>10</v>
      </c>
      <c r="N42" s="125">
        <f>SUM('FREH Stock'!I18:T18)</f>
        <v>2</v>
      </c>
      <c r="O42" s="344">
        <f>SUM('FREH Stock'!U18:Z18)</f>
        <v>0</v>
      </c>
      <c r="P42" s="344">
        <f>SUM('FREH Stock'!AA18:AD18)</f>
        <v>0</v>
      </c>
      <c r="Q42" s="126">
        <f t="shared" si="1"/>
        <v>42</v>
      </c>
      <c r="R42" s="123"/>
      <c r="S42" s="118">
        <v>14</v>
      </c>
      <c r="T42" s="124">
        <f>SUM('FREH Stock'!AH18:AI18)</f>
        <v>8</v>
      </c>
      <c r="U42" s="125">
        <f>SUM('FREH Stock'!AJ18:AL18)</f>
        <v>2365</v>
      </c>
      <c r="V42" s="125">
        <f>SUM('FREH Stock'!AM18:AN18)</f>
        <v>3031</v>
      </c>
      <c r="W42" s="125">
        <f>SUM('FREH Stock'!AO18:AZ18)</f>
        <v>614</v>
      </c>
      <c r="X42" s="344">
        <f>SUM('FREH Stock'!BA18:BF18)</f>
        <v>119.5</v>
      </c>
      <c r="Y42" s="344">
        <f>SUM('FREH Stock'!BG18:BJ18)</f>
        <v>31.5</v>
      </c>
      <c r="Z42" s="126">
        <f t="shared" si="0"/>
        <v>6169</v>
      </c>
    </row>
    <row r="43" spans="1:26">
      <c r="A43" s="1716"/>
      <c r="B43" s="38">
        <v>15</v>
      </c>
      <c r="C43" s="306">
        <f>IF('FREH Survival'!Z37/100&gt;1,1,'FREH Survival'!Z37/100)</f>
        <v>0.38137327998731196</v>
      </c>
      <c r="D43" s="307">
        <f>IF('FREH Survival'!BA37/100&gt;1,1,'FREH Survival'!BA37/100)</f>
        <v>0.30943760695638672</v>
      </c>
      <c r="E43" s="307">
        <f>IF('FREH Survival'!CB37/100&gt;1,1,'FREH Survival'!CB37/100)</f>
        <v>0.43937668491444043</v>
      </c>
      <c r="F43" s="345">
        <f>IF('FREH Survival'!Z75/100&gt;1,1,'FREH Survival'!Z75/100)</f>
        <v>0.41674419036893057</v>
      </c>
      <c r="G43" s="345">
        <f>IF('FREH Survival'!BA75/100&gt;1,1,'FREH Survival'!BA75/100)</f>
        <v>0.17219630810104097</v>
      </c>
      <c r="H43" s="308">
        <f>IF('FREH Survival'!CB75/100&gt;1,1,'FREH Survival'!CB75/100)</f>
        <v>0.11798258269348877</v>
      </c>
      <c r="J43" s="118">
        <v>15</v>
      </c>
      <c r="K43" s="124">
        <f>SUM('FREH Stock'!B19:C19)</f>
        <v>1</v>
      </c>
      <c r="L43" s="125">
        <f>SUM('FREH Stock'!D19:F19)</f>
        <v>16</v>
      </c>
      <c r="M43" s="125">
        <f>SUM('FREH Stock'!G19:H19)</f>
        <v>5</v>
      </c>
      <c r="N43" s="125">
        <f>SUM('FREH Stock'!I19:T19)</f>
        <v>2</v>
      </c>
      <c r="O43" s="344">
        <f>SUM('FREH Stock'!U19:Z19)</f>
        <v>0</v>
      </c>
      <c r="P43" s="344">
        <f>SUM('FREH Stock'!AA19:AD19)</f>
        <v>0</v>
      </c>
      <c r="Q43" s="126">
        <f t="shared" si="1"/>
        <v>24</v>
      </c>
      <c r="R43" s="123"/>
      <c r="S43" s="118">
        <v>15</v>
      </c>
      <c r="T43" s="124">
        <f>SUM('FREH Stock'!AH19:AI19)</f>
        <v>5</v>
      </c>
      <c r="U43" s="125">
        <f>SUM('FREH Stock'!AJ19:AL19)</f>
        <v>1364</v>
      </c>
      <c r="V43" s="125">
        <f>SUM('FREH Stock'!AM19:AN19)</f>
        <v>1715</v>
      </c>
      <c r="W43" s="125">
        <f>SUM('FREH Stock'!AO19:AZ19)</f>
        <v>372.5</v>
      </c>
      <c r="X43" s="344">
        <f>SUM('FREH Stock'!BA19:BF19)</f>
        <v>73.5</v>
      </c>
      <c r="Y43" s="344">
        <f>SUM('FREH Stock'!BG19:BJ19)</f>
        <v>8</v>
      </c>
      <c r="Z43" s="126">
        <f t="shared" si="0"/>
        <v>3538</v>
      </c>
    </row>
    <row r="44" spans="1:26">
      <c r="A44" s="1716"/>
      <c r="B44" s="38">
        <v>16</v>
      </c>
      <c r="C44" s="306">
        <f>C43-C$43/10</f>
        <v>0.34323595198858076</v>
      </c>
      <c r="D44" s="307">
        <f t="shared" ref="D44:H52" si="2">D43-D$43/10</f>
        <v>0.27849384626074802</v>
      </c>
      <c r="E44" s="307">
        <f t="shared" si="2"/>
        <v>0.39543901642299639</v>
      </c>
      <c r="F44" s="307">
        <f t="shared" si="2"/>
        <v>0.3750697713320375</v>
      </c>
      <c r="G44" s="307">
        <f t="shared" si="2"/>
        <v>0.15497667729093687</v>
      </c>
      <c r="H44" s="308">
        <f t="shared" si="2"/>
        <v>0.10618432442413989</v>
      </c>
      <c r="J44" s="118">
        <v>16</v>
      </c>
      <c r="K44" s="124">
        <f>SUM('FREH Stock'!B20:C20)</f>
        <v>0</v>
      </c>
      <c r="L44" s="125">
        <f>SUM('FREH Stock'!D20:F20)</f>
        <v>10</v>
      </c>
      <c r="M44" s="125">
        <f>SUM('FREH Stock'!G20:H20)</f>
        <v>7</v>
      </c>
      <c r="N44" s="125">
        <f>SUM('FREH Stock'!I20:T20)</f>
        <v>0</v>
      </c>
      <c r="O44" s="344">
        <f>SUM('FREH Stock'!U20:Z20)</f>
        <v>0</v>
      </c>
      <c r="P44" s="344">
        <f>SUM('FREH Stock'!AA20:AD20)</f>
        <v>0</v>
      </c>
      <c r="Q44" s="126">
        <f t="shared" si="1"/>
        <v>17</v>
      </c>
      <c r="R44" s="123"/>
      <c r="S44" s="118">
        <v>16</v>
      </c>
      <c r="T44" s="124">
        <f>SUM('FREH Stock'!AH20:AI20)</f>
        <v>4</v>
      </c>
      <c r="U44" s="125">
        <f>SUM('FREH Stock'!AJ20:AL20)</f>
        <v>897</v>
      </c>
      <c r="V44" s="125">
        <f>SUM('FREH Stock'!AM20:AN20)</f>
        <v>890</v>
      </c>
      <c r="W44" s="125">
        <f>SUM('FREH Stock'!AO20:AZ20)</f>
        <v>248</v>
      </c>
      <c r="X44" s="344">
        <f>SUM('FREH Stock'!BA20:BF20)</f>
        <v>74.5</v>
      </c>
      <c r="Y44" s="344">
        <f>SUM('FREH Stock'!BG20:BJ20)</f>
        <v>12.5</v>
      </c>
      <c r="Z44" s="126">
        <f t="shared" si="0"/>
        <v>2126</v>
      </c>
    </row>
    <row r="45" spans="1:26">
      <c r="A45" s="1716"/>
      <c r="B45" s="38">
        <v>17</v>
      </c>
      <c r="C45" s="306">
        <f t="shared" ref="C45:C52" si="3">C44-C$43/10</f>
        <v>0.30509862398984955</v>
      </c>
      <c r="D45" s="307">
        <f t="shared" si="2"/>
        <v>0.24755008556510935</v>
      </c>
      <c r="E45" s="307">
        <f t="shared" si="2"/>
        <v>0.35150134793155235</v>
      </c>
      <c r="F45" s="307">
        <f t="shared" si="2"/>
        <v>0.33339535229514444</v>
      </c>
      <c r="G45" s="307">
        <f t="shared" si="2"/>
        <v>0.13775704648083276</v>
      </c>
      <c r="H45" s="308">
        <f t="shared" si="2"/>
        <v>9.4386066154791004E-2</v>
      </c>
      <c r="J45" s="118">
        <v>17</v>
      </c>
      <c r="K45" s="124">
        <f>SUM('FREH Stock'!B21:C21)</f>
        <v>1</v>
      </c>
      <c r="L45" s="125">
        <f>SUM('FREH Stock'!D21:F21)</f>
        <v>6</v>
      </c>
      <c r="M45" s="125">
        <f>SUM('FREH Stock'!G21:H21)</f>
        <v>5</v>
      </c>
      <c r="N45" s="125">
        <f>SUM('FREH Stock'!I21:T21)</f>
        <v>0</v>
      </c>
      <c r="O45" s="344">
        <f>SUM('FREH Stock'!U21:Z21)</f>
        <v>0</v>
      </c>
      <c r="P45" s="344">
        <f>SUM('FREH Stock'!AA21:AD21)</f>
        <v>0</v>
      </c>
      <c r="Q45" s="126">
        <f t="shared" si="1"/>
        <v>12</v>
      </c>
      <c r="R45" s="123"/>
      <c r="S45" s="118">
        <v>17</v>
      </c>
      <c r="T45" s="124">
        <f>SUM('FREH Stock'!AH21:AI21)</f>
        <v>4</v>
      </c>
      <c r="U45" s="125">
        <f>SUM('FREH Stock'!AJ21:AL21)</f>
        <v>511</v>
      </c>
      <c r="V45" s="125">
        <f>SUM('FREH Stock'!AM21:AN21)</f>
        <v>599</v>
      </c>
      <c r="W45" s="125">
        <f>SUM('FREH Stock'!AO21:AZ21)</f>
        <v>168</v>
      </c>
      <c r="X45" s="344">
        <f>SUM('FREH Stock'!BA21:BF21)</f>
        <v>45.5</v>
      </c>
      <c r="Y45" s="344">
        <f>SUM('FREH Stock'!BG21:BJ21)</f>
        <v>4.5</v>
      </c>
      <c r="Z45" s="126">
        <f t="shared" si="0"/>
        <v>1332</v>
      </c>
    </row>
    <row r="46" spans="1:26">
      <c r="A46" s="1716"/>
      <c r="B46" s="38">
        <v>18</v>
      </c>
      <c r="C46" s="306">
        <f t="shared" si="3"/>
        <v>0.26696129599111834</v>
      </c>
      <c r="D46" s="307">
        <f t="shared" si="2"/>
        <v>0.21660632486947068</v>
      </c>
      <c r="E46" s="307">
        <f t="shared" si="2"/>
        <v>0.30756367944010832</v>
      </c>
      <c r="F46" s="307">
        <f t="shared" si="2"/>
        <v>0.29172093325825138</v>
      </c>
      <c r="G46" s="307">
        <f t="shared" si="2"/>
        <v>0.12053741567072866</v>
      </c>
      <c r="H46" s="308">
        <f t="shared" si="2"/>
        <v>8.2587807885442122E-2</v>
      </c>
      <c r="J46" s="118">
        <v>18</v>
      </c>
      <c r="K46" s="124">
        <f>SUM('FREH Stock'!B22:C22)</f>
        <v>0</v>
      </c>
      <c r="L46" s="125">
        <f>SUM('FREH Stock'!D22:F22)</f>
        <v>13</v>
      </c>
      <c r="M46" s="125">
        <f>SUM('FREH Stock'!G22:H22)</f>
        <v>6</v>
      </c>
      <c r="N46" s="125">
        <f>SUM('FREH Stock'!I22:T22)</f>
        <v>1</v>
      </c>
      <c r="O46" s="344">
        <f>SUM('FREH Stock'!U22:Z22)</f>
        <v>0</v>
      </c>
      <c r="P46" s="344">
        <f>SUM('FREH Stock'!AA22:AD22)</f>
        <v>0</v>
      </c>
      <c r="Q46" s="126">
        <f t="shared" si="1"/>
        <v>20</v>
      </c>
      <c r="R46" s="123"/>
      <c r="S46" s="118">
        <v>18</v>
      </c>
      <c r="T46" s="124">
        <f>SUM('FREH Stock'!AH22:AI22)</f>
        <v>2</v>
      </c>
      <c r="U46" s="125">
        <f>SUM('FREH Stock'!AJ22:AL22)</f>
        <v>341</v>
      </c>
      <c r="V46" s="125">
        <f>SUM('FREH Stock'!AM22:AN22)</f>
        <v>343</v>
      </c>
      <c r="W46" s="125">
        <f>SUM('FREH Stock'!AO22:AZ22)</f>
        <v>84.5</v>
      </c>
      <c r="X46" s="344">
        <f>SUM('FREH Stock'!BA22:BF22)</f>
        <v>26.5</v>
      </c>
      <c r="Y46" s="344">
        <f>SUM('FREH Stock'!BG22:BJ22)</f>
        <v>3</v>
      </c>
      <c r="Z46" s="126">
        <f t="shared" si="0"/>
        <v>800</v>
      </c>
    </row>
    <row r="47" spans="1:26" ht="15.75" thickBot="1">
      <c r="A47" s="1716"/>
      <c r="B47" s="38">
        <v>19</v>
      </c>
      <c r="C47" s="306">
        <f t="shared" si="3"/>
        <v>0.22882396799238713</v>
      </c>
      <c r="D47" s="307">
        <f t="shared" si="2"/>
        <v>0.18566256417383201</v>
      </c>
      <c r="E47" s="307">
        <f t="shared" si="2"/>
        <v>0.26362601094866428</v>
      </c>
      <c r="F47" s="307">
        <f t="shared" si="2"/>
        <v>0.25004651422135832</v>
      </c>
      <c r="G47" s="307">
        <f t="shared" si="2"/>
        <v>0.10331778486062457</v>
      </c>
      <c r="H47" s="308">
        <f t="shared" si="2"/>
        <v>7.0789549616093239E-2</v>
      </c>
      <c r="J47" s="118" t="s">
        <v>196</v>
      </c>
      <c r="K47" s="124">
        <f>SUM('FREH Stock'!B23:C23)</f>
        <v>8</v>
      </c>
      <c r="L47" s="125">
        <f>SUM('FREH Stock'!D23:F23)</f>
        <v>39</v>
      </c>
      <c r="M47" s="125">
        <f>SUM('FREH Stock'!G23:H23)</f>
        <v>12</v>
      </c>
      <c r="N47" s="125">
        <f>SUM('FREH Stock'!I23:T23)</f>
        <v>0</v>
      </c>
      <c r="O47" s="344">
        <f>SUM('FREH Stock'!U23:Z23)</f>
        <v>3</v>
      </c>
      <c r="P47" s="344">
        <f>SUM('FREH Stock'!AA23:AD23)</f>
        <v>0</v>
      </c>
      <c r="Q47" s="126">
        <f t="shared" si="1"/>
        <v>59</v>
      </c>
      <c r="R47" s="123"/>
      <c r="S47" s="118" t="s">
        <v>196</v>
      </c>
      <c r="T47" s="124">
        <f>SUM('FREH Stock'!AH23:AI23)</f>
        <v>7</v>
      </c>
      <c r="U47" s="125">
        <f>SUM('FREH Stock'!AJ23:AL23)</f>
        <v>794</v>
      </c>
      <c r="V47" s="125">
        <f>SUM('FREH Stock'!AM23:AN23)</f>
        <v>541</v>
      </c>
      <c r="W47" s="125">
        <f>SUM('FREH Stock'!AO23:AZ23)</f>
        <v>176.5</v>
      </c>
      <c r="X47" s="344">
        <f>SUM('FREH Stock'!BA23:BF23)</f>
        <v>36</v>
      </c>
      <c r="Y47" s="344">
        <f>SUM('FREH Stock'!BG23:BJ23)</f>
        <v>2.5</v>
      </c>
      <c r="Z47" s="126">
        <f t="shared" si="0"/>
        <v>1557</v>
      </c>
    </row>
    <row r="48" spans="1:26" ht="16.5" thickTop="1" thickBot="1">
      <c r="A48" s="1716"/>
      <c r="B48" s="38">
        <v>20</v>
      </c>
      <c r="C48" s="306">
        <f t="shared" si="3"/>
        <v>0.19068663999365593</v>
      </c>
      <c r="D48" s="307">
        <f t="shared" si="2"/>
        <v>0.15471880347819333</v>
      </c>
      <c r="E48" s="307">
        <f t="shared" si="2"/>
        <v>0.21968834245722024</v>
      </c>
      <c r="F48" s="307">
        <f t="shared" si="2"/>
        <v>0.20837209518446526</v>
      </c>
      <c r="G48" s="307">
        <f t="shared" si="2"/>
        <v>8.6098154050520473E-2</v>
      </c>
      <c r="H48" s="308">
        <f t="shared" si="2"/>
        <v>5.8991291346744364E-2</v>
      </c>
      <c r="J48" s="119" t="s">
        <v>39</v>
      </c>
      <c r="K48" s="127">
        <f>SUM(K28:K47)</f>
        <v>23</v>
      </c>
      <c r="L48" s="128">
        <f t="shared" ref="L48:P48" si="4">SUM(L28:L47)</f>
        <v>419</v>
      </c>
      <c r="M48" s="128">
        <f t="shared" si="4"/>
        <v>195</v>
      </c>
      <c r="N48" s="128">
        <f t="shared" si="4"/>
        <v>112</v>
      </c>
      <c r="O48" s="128">
        <f t="shared" si="4"/>
        <v>11</v>
      </c>
      <c r="P48" s="128">
        <f t="shared" si="4"/>
        <v>3</v>
      </c>
      <c r="Q48" s="129">
        <f t="shared" ref="Q48" si="5">SUM(K48:N48)</f>
        <v>749</v>
      </c>
      <c r="R48" s="123"/>
      <c r="S48" s="119" t="s">
        <v>39</v>
      </c>
      <c r="T48" s="127">
        <f>SUM(T28:T47)</f>
        <v>1744</v>
      </c>
      <c r="U48" s="128">
        <f t="shared" ref="U48:Y48" si="6">SUM(U28:U47)</f>
        <v>97939</v>
      </c>
      <c r="V48" s="128">
        <f t="shared" si="6"/>
        <v>132428</v>
      </c>
      <c r="W48" s="128">
        <f t="shared" si="6"/>
        <v>59216.5</v>
      </c>
      <c r="X48" s="128">
        <f t="shared" si="6"/>
        <v>10321</v>
      </c>
      <c r="Y48" s="128">
        <f t="shared" si="6"/>
        <v>6721.5</v>
      </c>
      <c r="Z48" s="129">
        <f>SUM(T48:Y48)</f>
        <v>308370</v>
      </c>
    </row>
    <row r="49" spans="1:31">
      <c r="A49" s="1716"/>
      <c r="B49" s="38">
        <v>21</v>
      </c>
      <c r="C49" s="306">
        <f t="shared" si="3"/>
        <v>0.15254931199492472</v>
      </c>
      <c r="D49" s="307">
        <f t="shared" si="2"/>
        <v>0.12377504278255466</v>
      </c>
      <c r="E49" s="307">
        <f t="shared" si="2"/>
        <v>0.17575067396577621</v>
      </c>
      <c r="F49" s="307">
        <f t="shared" si="2"/>
        <v>0.16669767614757219</v>
      </c>
      <c r="G49" s="307">
        <f t="shared" si="2"/>
        <v>6.8878523240416378E-2</v>
      </c>
      <c r="H49" s="308">
        <f t="shared" si="2"/>
        <v>4.7193033077395488E-2</v>
      </c>
    </row>
    <row r="50" spans="1:31">
      <c r="A50" s="1716"/>
      <c r="B50" s="38">
        <v>22</v>
      </c>
      <c r="C50" s="306">
        <f t="shared" si="3"/>
        <v>0.11441198399619353</v>
      </c>
      <c r="D50" s="307">
        <f t="shared" si="2"/>
        <v>9.2831282086915989E-2</v>
      </c>
      <c r="E50" s="307">
        <f t="shared" si="2"/>
        <v>0.13181300547433217</v>
      </c>
      <c r="F50" s="307">
        <f t="shared" si="2"/>
        <v>0.12502325711067913</v>
      </c>
      <c r="G50" s="307">
        <f t="shared" si="2"/>
        <v>5.1658892430312284E-2</v>
      </c>
      <c r="H50" s="308">
        <f t="shared" si="2"/>
        <v>3.5394774808046613E-2</v>
      </c>
    </row>
    <row r="51" spans="1:31">
      <c r="A51" s="1716"/>
      <c r="B51" s="38">
        <v>23</v>
      </c>
      <c r="C51" s="306">
        <f t="shared" si="3"/>
        <v>7.6274655997462332E-2</v>
      </c>
      <c r="D51" s="307">
        <f t="shared" si="2"/>
        <v>6.1887521391277317E-2</v>
      </c>
      <c r="E51" s="307">
        <f t="shared" si="2"/>
        <v>8.787533698288813E-2</v>
      </c>
      <c r="F51" s="307">
        <f t="shared" si="2"/>
        <v>8.3348838073786069E-2</v>
      </c>
      <c r="G51" s="307">
        <f t="shared" si="2"/>
        <v>3.4439261620208189E-2</v>
      </c>
      <c r="H51" s="308">
        <f t="shared" si="2"/>
        <v>2.3596516538697737E-2</v>
      </c>
    </row>
    <row r="52" spans="1:31">
      <c r="A52" s="1716"/>
      <c r="B52" s="38">
        <v>24</v>
      </c>
      <c r="C52" s="306">
        <f t="shared" si="3"/>
        <v>3.8137327998731138E-2</v>
      </c>
      <c r="D52" s="307">
        <f t="shared" si="2"/>
        <v>3.0943760695638645E-2</v>
      </c>
      <c r="E52" s="307">
        <f t="shared" si="2"/>
        <v>4.3937668491444086E-2</v>
      </c>
      <c r="F52" s="307">
        <f t="shared" si="2"/>
        <v>4.1674419036893014E-2</v>
      </c>
      <c r="G52" s="307">
        <f t="shared" si="2"/>
        <v>1.7219630810104091E-2</v>
      </c>
      <c r="H52" s="308">
        <f t="shared" si="2"/>
        <v>1.179825826934886E-2</v>
      </c>
    </row>
    <row r="53" spans="1:31" ht="15.75" thickBot="1">
      <c r="A53" s="1716"/>
      <c r="B53" s="186">
        <v>25</v>
      </c>
      <c r="C53" s="309">
        <v>0</v>
      </c>
      <c r="D53" s="310">
        <v>0</v>
      </c>
      <c r="E53" s="310">
        <v>0</v>
      </c>
      <c r="F53" s="346">
        <v>0</v>
      </c>
      <c r="G53" s="346">
        <v>0</v>
      </c>
      <c r="H53" s="311">
        <v>0</v>
      </c>
    </row>
    <row r="54" spans="1:31" ht="15.75" thickBot="1"/>
    <row r="55" spans="1:31" ht="15.75" customHeight="1" thickBot="1">
      <c r="A55" s="1710" t="s">
        <v>197</v>
      </c>
      <c r="B55" s="169" t="s">
        <v>10</v>
      </c>
      <c r="C55" s="288">
        <v>2012</v>
      </c>
      <c r="D55" s="347">
        <v>2013</v>
      </c>
      <c r="E55" s="347">
        <v>2014</v>
      </c>
      <c r="F55" s="288">
        <v>2015</v>
      </c>
      <c r="G55" s="347">
        <v>2016</v>
      </c>
      <c r="H55" s="347">
        <v>2017</v>
      </c>
      <c r="I55" s="288">
        <v>2018</v>
      </c>
      <c r="J55" s="347">
        <v>2019</v>
      </c>
      <c r="K55" s="347">
        <v>2020</v>
      </c>
      <c r="L55" s="288">
        <v>2021</v>
      </c>
      <c r="M55" s="347">
        <v>2022</v>
      </c>
      <c r="N55" s="347">
        <v>2023</v>
      </c>
      <c r="O55" s="288">
        <v>2024</v>
      </c>
      <c r="P55" s="347">
        <v>2025</v>
      </c>
      <c r="Q55" s="347">
        <v>2026</v>
      </c>
      <c r="R55" s="288">
        <v>2027</v>
      </c>
      <c r="S55" s="347">
        <v>2028</v>
      </c>
      <c r="T55" s="347">
        <v>2029</v>
      </c>
      <c r="U55" s="288">
        <v>2030</v>
      </c>
      <c r="V55" s="347">
        <v>2031</v>
      </c>
      <c r="W55" s="347">
        <v>2032</v>
      </c>
      <c r="X55" s="288">
        <v>2033</v>
      </c>
      <c r="Y55" s="347">
        <v>2034</v>
      </c>
      <c r="Z55" s="347">
        <v>2035</v>
      </c>
      <c r="AA55" s="288">
        <v>2036</v>
      </c>
      <c r="AB55" s="347">
        <v>2037</v>
      </c>
      <c r="AC55" s="347">
        <v>2038</v>
      </c>
      <c r="AD55" s="288">
        <v>2039</v>
      </c>
      <c r="AE55" s="348">
        <v>2040</v>
      </c>
    </row>
    <row r="56" spans="1:31">
      <c r="A56" s="1711"/>
      <c r="B56" s="116">
        <v>0</v>
      </c>
      <c r="C56" s="291">
        <f t="shared" ref="C56:C74" si="7">K28</f>
        <v>0</v>
      </c>
      <c r="D56" s="292">
        <f>0</f>
        <v>0</v>
      </c>
      <c r="E56" s="292">
        <f>0</f>
        <v>0</v>
      </c>
      <c r="F56" s="292"/>
      <c r="G56" s="292"/>
      <c r="H56" s="292">
        <f>0</f>
        <v>0</v>
      </c>
      <c r="I56" s="292">
        <f>0</f>
        <v>0</v>
      </c>
      <c r="J56" s="292">
        <f>0</f>
        <v>0</v>
      </c>
      <c r="K56" s="292">
        <f>0</f>
        <v>0</v>
      </c>
      <c r="L56" s="292">
        <f>0</f>
        <v>0</v>
      </c>
      <c r="M56" s="292">
        <f>0</f>
        <v>0</v>
      </c>
      <c r="N56" s="292"/>
      <c r="O56" s="292"/>
      <c r="P56" s="292">
        <f>0</f>
        <v>0</v>
      </c>
      <c r="Q56" s="292">
        <f>0</f>
        <v>0</v>
      </c>
      <c r="R56" s="292">
        <f>0</f>
        <v>0</v>
      </c>
      <c r="S56" s="292">
        <f>0</f>
        <v>0</v>
      </c>
      <c r="T56" s="292">
        <f>0</f>
        <v>0</v>
      </c>
      <c r="U56" s="292">
        <f>0</f>
        <v>0</v>
      </c>
      <c r="V56" s="292">
        <f>0</f>
        <v>0</v>
      </c>
      <c r="W56" s="292">
        <f>0</f>
        <v>0</v>
      </c>
      <c r="X56" s="292">
        <f>0</f>
        <v>0</v>
      </c>
      <c r="Y56" s="292">
        <f>0</f>
        <v>0</v>
      </c>
      <c r="Z56" s="292">
        <f>0</f>
        <v>0</v>
      </c>
      <c r="AA56" s="292">
        <f>0</f>
        <v>0</v>
      </c>
      <c r="AB56" s="292">
        <f>0</f>
        <v>0</v>
      </c>
      <c r="AC56" s="292">
        <f>0</f>
        <v>0</v>
      </c>
      <c r="AD56" s="292">
        <f>0</f>
        <v>0</v>
      </c>
      <c r="AE56" s="293">
        <f>0</f>
        <v>0</v>
      </c>
    </row>
    <row r="57" spans="1:31">
      <c r="A57" s="1711"/>
      <c r="B57" s="116">
        <v>1</v>
      </c>
      <c r="C57" s="294">
        <f t="shared" si="7"/>
        <v>0</v>
      </c>
      <c r="D57" s="295">
        <f>C56*$C$29</f>
        <v>0</v>
      </c>
      <c r="E57" s="295">
        <f t="shared" ref="E57:AE57" si="8">D56*$C$29</f>
        <v>0</v>
      </c>
      <c r="F57" s="295">
        <f t="shared" si="8"/>
        <v>0</v>
      </c>
      <c r="G57" s="295">
        <f t="shared" si="8"/>
        <v>0</v>
      </c>
      <c r="H57" s="295">
        <f t="shared" si="8"/>
        <v>0</v>
      </c>
      <c r="I57" s="295">
        <f t="shared" si="8"/>
        <v>0</v>
      </c>
      <c r="J57" s="295">
        <f t="shared" si="8"/>
        <v>0</v>
      </c>
      <c r="K57" s="295">
        <f t="shared" si="8"/>
        <v>0</v>
      </c>
      <c r="L57" s="295">
        <f t="shared" si="8"/>
        <v>0</v>
      </c>
      <c r="M57" s="295">
        <f t="shared" si="8"/>
        <v>0</v>
      </c>
      <c r="N57" s="295">
        <f t="shared" si="8"/>
        <v>0</v>
      </c>
      <c r="O57" s="295">
        <f t="shared" si="8"/>
        <v>0</v>
      </c>
      <c r="P57" s="295">
        <f t="shared" si="8"/>
        <v>0</v>
      </c>
      <c r="Q57" s="295">
        <f t="shared" si="8"/>
        <v>0</v>
      </c>
      <c r="R57" s="295">
        <f t="shared" si="8"/>
        <v>0</v>
      </c>
      <c r="S57" s="295">
        <f t="shared" si="8"/>
        <v>0</v>
      </c>
      <c r="T57" s="295">
        <f t="shared" si="8"/>
        <v>0</v>
      </c>
      <c r="U57" s="295">
        <f t="shared" si="8"/>
        <v>0</v>
      </c>
      <c r="V57" s="295">
        <f t="shared" si="8"/>
        <v>0</v>
      </c>
      <c r="W57" s="295">
        <f t="shared" si="8"/>
        <v>0</v>
      </c>
      <c r="X57" s="295">
        <f t="shared" si="8"/>
        <v>0</v>
      </c>
      <c r="Y57" s="295">
        <f t="shared" si="8"/>
        <v>0</v>
      </c>
      <c r="Z57" s="295">
        <f t="shared" si="8"/>
        <v>0</v>
      </c>
      <c r="AA57" s="295">
        <f t="shared" si="8"/>
        <v>0</v>
      </c>
      <c r="AB57" s="295">
        <f t="shared" si="8"/>
        <v>0</v>
      </c>
      <c r="AC57" s="295">
        <f t="shared" si="8"/>
        <v>0</v>
      </c>
      <c r="AD57" s="295">
        <f t="shared" si="8"/>
        <v>0</v>
      </c>
      <c r="AE57" s="296">
        <f t="shared" si="8"/>
        <v>0</v>
      </c>
    </row>
    <row r="58" spans="1:31">
      <c r="A58" s="1711"/>
      <c r="B58" s="116">
        <v>2</v>
      </c>
      <c r="C58" s="294">
        <f t="shared" si="7"/>
        <v>2</v>
      </c>
      <c r="D58" s="295">
        <f>C57*$C30</f>
        <v>0</v>
      </c>
      <c r="E58" s="295">
        <f t="shared" ref="E58:AE67" si="9">D57*$C30</f>
        <v>0</v>
      </c>
      <c r="F58" s="295">
        <f t="shared" si="9"/>
        <v>0</v>
      </c>
      <c r="G58" s="295">
        <f t="shared" si="9"/>
        <v>0</v>
      </c>
      <c r="H58" s="295">
        <f t="shared" si="9"/>
        <v>0</v>
      </c>
      <c r="I58" s="295">
        <f t="shared" si="9"/>
        <v>0</v>
      </c>
      <c r="J58" s="295">
        <f t="shared" si="9"/>
        <v>0</v>
      </c>
      <c r="K58" s="295">
        <f t="shared" si="9"/>
        <v>0</v>
      </c>
      <c r="L58" s="295">
        <f t="shared" si="9"/>
        <v>0</v>
      </c>
      <c r="M58" s="295">
        <f t="shared" si="9"/>
        <v>0</v>
      </c>
      <c r="N58" s="295">
        <f t="shared" si="9"/>
        <v>0</v>
      </c>
      <c r="O58" s="295">
        <f t="shared" si="9"/>
        <v>0</v>
      </c>
      <c r="P58" s="295">
        <f t="shared" si="9"/>
        <v>0</v>
      </c>
      <c r="Q58" s="295">
        <f t="shared" si="9"/>
        <v>0</v>
      </c>
      <c r="R58" s="295">
        <f t="shared" si="9"/>
        <v>0</v>
      </c>
      <c r="S58" s="295">
        <f t="shared" si="9"/>
        <v>0</v>
      </c>
      <c r="T58" s="295">
        <f t="shared" si="9"/>
        <v>0</v>
      </c>
      <c r="U58" s="295">
        <f t="shared" si="9"/>
        <v>0</v>
      </c>
      <c r="V58" s="295">
        <f t="shared" si="9"/>
        <v>0</v>
      </c>
      <c r="W58" s="295">
        <f t="shared" si="9"/>
        <v>0</v>
      </c>
      <c r="X58" s="295">
        <f t="shared" si="9"/>
        <v>0</v>
      </c>
      <c r="Y58" s="295">
        <f t="shared" si="9"/>
        <v>0</v>
      </c>
      <c r="Z58" s="295">
        <f t="shared" si="9"/>
        <v>0</v>
      </c>
      <c r="AA58" s="295">
        <f t="shared" si="9"/>
        <v>0</v>
      </c>
      <c r="AB58" s="295">
        <f t="shared" si="9"/>
        <v>0</v>
      </c>
      <c r="AC58" s="295">
        <f t="shared" si="9"/>
        <v>0</v>
      </c>
      <c r="AD58" s="295">
        <f t="shared" si="9"/>
        <v>0</v>
      </c>
      <c r="AE58" s="296">
        <f t="shared" si="9"/>
        <v>0</v>
      </c>
    </row>
    <row r="59" spans="1:31">
      <c r="A59" s="1711"/>
      <c r="B59" s="116">
        <v>3</v>
      </c>
      <c r="C59" s="294">
        <f t="shared" si="7"/>
        <v>3</v>
      </c>
      <c r="D59" s="295">
        <f t="shared" ref="D59:P74" si="10">C58*$C31</f>
        <v>2</v>
      </c>
      <c r="E59" s="295">
        <f t="shared" si="9"/>
        <v>0</v>
      </c>
      <c r="F59" s="295">
        <f t="shared" si="9"/>
        <v>0</v>
      </c>
      <c r="G59" s="295">
        <f t="shared" si="9"/>
        <v>0</v>
      </c>
      <c r="H59" s="295">
        <f t="shared" si="9"/>
        <v>0</v>
      </c>
      <c r="I59" s="295">
        <f t="shared" si="9"/>
        <v>0</v>
      </c>
      <c r="J59" s="295">
        <f t="shared" si="9"/>
        <v>0</v>
      </c>
      <c r="K59" s="295">
        <f t="shared" si="9"/>
        <v>0</v>
      </c>
      <c r="L59" s="295">
        <f t="shared" si="9"/>
        <v>0</v>
      </c>
      <c r="M59" s="295">
        <f t="shared" si="9"/>
        <v>0</v>
      </c>
      <c r="N59" s="295">
        <f t="shared" si="9"/>
        <v>0</v>
      </c>
      <c r="O59" s="295">
        <f t="shared" si="9"/>
        <v>0</v>
      </c>
      <c r="P59" s="295">
        <f t="shared" si="9"/>
        <v>0</v>
      </c>
      <c r="Q59" s="295">
        <f t="shared" si="9"/>
        <v>0</v>
      </c>
      <c r="R59" s="295">
        <f t="shared" si="9"/>
        <v>0</v>
      </c>
      <c r="S59" s="295">
        <f t="shared" si="9"/>
        <v>0</v>
      </c>
      <c r="T59" s="295">
        <f t="shared" si="9"/>
        <v>0</v>
      </c>
      <c r="U59" s="295">
        <f t="shared" si="9"/>
        <v>0</v>
      </c>
      <c r="V59" s="295">
        <f t="shared" si="9"/>
        <v>0</v>
      </c>
      <c r="W59" s="295">
        <f t="shared" si="9"/>
        <v>0</v>
      </c>
      <c r="X59" s="295">
        <f t="shared" si="9"/>
        <v>0</v>
      </c>
      <c r="Y59" s="295">
        <f t="shared" si="9"/>
        <v>0</v>
      </c>
      <c r="Z59" s="295">
        <f t="shared" si="9"/>
        <v>0</v>
      </c>
      <c r="AA59" s="295">
        <f t="shared" si="9"/>
        <v>0</v>
      </c>
      <c r="AB59" s="295">
        <f t="shared" si="9"/>
        <v>0</v>
      </c>
      <c r="AC59" s="295">
        <f t="shared" si="9"/>
        <v>0</v>
      </c>
      <c r="AD59" s="295">
        <f t="shared" si="9"/>
        <v>0</v>
      </c>
      <c r="AE59" s="296">
        <f t="shared" si="9"/>
        <v>0</v>
      </c>
    </row>
    <row r="60" spans="1:31">
      <c r="A60" s="1711"/>
      <c r="B60" s="116">
        <v>4</v>
      </c>
      <c r="C60" s="294">
        <f t="shared" si="7"/>
        <v>1</v>
      </c>
      <c r="D60" s="295">
        <f t="shared" si="10"/>
        <v>3</v>
      </c>
      <c r="E60" s="295">
        <f t="shared" si="9"/>
        <v>2</v>
      </c>
      <c r="F60" s="295">
        <f t="shared" si="9"/>
        <v>0</v>
      </c>
      <c r="G60" s="295">
        <f t="shared" si="9"/>
        <v>0</v>
      </c>
      <c r="H60" s="295">
        <f t="shared" si="9"/>
        <v>0</v>
      </c>
      <c r="I60" s="295">
        <f t="shared" si="9"/>
        <v>0</v>
      </c>
      <c r="J60" s="295">
        <f t="shared" si="9"/>
        <v>0</v>
      </c>
      <c r="K60" s="295">
        <f t="shared" si="9"/>
        <v>0</v>
      </c>
      <c r="L60" s="295">
        <f t="shared" si="9"/>
        <v>0</v>
      </c>
      <c r="M60" s="295">
        <f t="shared" si="9"/>
        <v>0</v>
      </c>
      <c r="N60" s="295">
        <f t="shared" si="9"/>
        <v>0</v>
      </c>
      <c r="O60" s="295">
        <f t="shared" si="9"/>
        <v>0</v>
      </c>
      <c r="P60" s="295">
        <f t="shared" si="9"/>
        <v>0</v>
      </c>
      <c r="Q60" s="295">
        <f t="shared" si="9"/>
        <v>0</v>
      </c>
      <c r="R60" s="295">
        <f t="shared" si="9"/>
        <v>0</v>
      </c>
      <c r="S60" s="295">
        <f t="shared" si="9"/>
        <v>0</v>
      </c>
      <c r="T60" s="295">
        <f t="shared" si="9"/>
        <v>0</v>
      </c>
      <c r="U60" s="295">
        <f t="shared" si="9"/>
        <v>0</v>
      </c>
      <c r="V60" s="295">
        <f t="shared" si="9"/>
        <v>0</v>
      </c>
      <c r="W60" s="295">
        <f t="shared" si="9"/>
        <v>0</v>
      </c>
      <c r="X60" s="295">
        <f t="shared" si="9"/>
        <v>0</v>
      </c>
      <c r="Y60" s="295">
        <f t="shared" si="9"/>
        <v>0</v>
      </c>
      <c r="Z60" s="295">
        <f t="shared" si="9"/>
        <v>0</v>
      </c>
      <c r="AA60" s="295">
        <f t="shared" si="9"/>
        <v>0</v>
      </c>
      <c r="AB60" s="295">
        <f t="shared" si="9"/>
        <v>0</v>
      </c>
      <c r="AC60" s="295">
        <f t="shared" si="9"/>
        <v>0</v>
      </c>
      <c r="AD60" s="295">
        <f t="shared" si="9"/>
        <v>0</v>
      </c>
      <c r="AE60" s="296">
        <f t="shared" si="9"/>
        <v>0</v>
      </c>
    </row>
    <row r="61" spans="1:31">
      <c r="A61" s="1711"/>
      <c r="B61" s="116">
        <v>5</v>
      </c>
      <c r="C61" s="294">
        <f t="shared" si="7"/>
        <v>1</v>
      </c>
      <c r="D61" s="295">
        <f t="shared" si="10"/>
        <v>1</v>
      </c>
      <c r="E61" s="295">
        <f t="shared" si="9"/>
        <v>3</v>
      </c>
      <c r="F61" s="295">
        <f t="shared" si="9"/>
        <v>2</v>
      </c>
      <c r="G61" s="295">
        <f t="shared" si="9"/>
        <v>0</v>
      </c>
      <c r="H61" s="295">
        <f t="shared" si="9"/>
        <v>0</v>
      </c>
      <c r="I61" s="295">
        <f t="shared" si="9"/>
        <v>0</v>
      </c>
      <c r="J61" s="295">
        <f t="shared" si="9"/>
        <v>0</v>
      </c>
      <c r="K61" s="295">
        <f t="shared" si="9"/>
        <v>0</v>
      </c>
      <c r="L61" s="295">
        <f t="shared" si="9"/>
        <v>0</v>
      </c>
      <c r="M61" s="295">
        <f t="shared" si="9"/>
        <v>0</v>
      </c>
      <c r="N61" s="295">
        <f t="shared" si="9"/>
        <v>0</v>
      </c>
      <c r="O61" s="295">
        <f t="shared" si="9"/>
        <v>0</v>
      </c>
      <c r="P61" s="295">
        <f t="shared" si="9"/>
        <v>0</v>
      </c>
      <c r="Q61" s="295">
        <f t="shared" si="9"/>
        <v>0</v>
      </c>
      <c r="R61" s="295">
        <f t="shared" si="9"/>
        <v>0</v>
      </c>
      <c r="S61" s="295">
        <f t="shared" si="9"/>
        <v>0</v>
      </c>
      <c r="T61" s="295">
        <f t="shared" si="9"/>
        <v>0</v>
      </c>
      <c r="U61" s="295">
        <f t="shared" si="9"/>
        <v>0</v>
      </c>
      <c r="V61" s="295">
        <f t="shared" si="9"/>
        <v>0</v>
      </c>
      <c r="W61" s="295">
        <f t="shared" si="9"/>
        <v>0</v>
      </c>
      <c r="X61" s="295">
        <f t="shared" si="9"/>
        <v>0</v>
      </c>
      <c r="Y61" s="295">
        <f t="shared" si="9"/>
        <v>0</v>
      </c>
      <c r="Z61" s="295">
        <f t="shared" si="9"/>
        <v>0</v>
      </c>
      <c r="AA61" s="295">
        <f t="shared" si="9"/>
        <v>0</v>
      </c>
      <c r="AB61" s="295">
        <f t="shared" si="9"/>
        <v>0</v>
      </c>
      <c r="AC61" s="295">
        <f t="shared" si="9"/>
        <v>0</v>
      </c>
      <c r="AD61" s="295">
        <f t="shared" si="9"/>
        <v>0</v>
      </c>
      <c r="AE61" s="296">
        <f t="shared" si="9"/>
        <v>0</v>
      </c>
    </row>
    <row r="62" spans="1:31">
      <c r="A62" s="1711"/>
      <c r="B62" s="116">
        <v>6</v>
      </c>
      <c r="C62" s="294">
        <f t="shared" si="7"/>
        <v>2</v>
      </c>
      <c r="D62" s="295">
        <f t="shared" si="10"/>
        <v>1</v>
      </c>
      <c r="E62" s="295">
        <f t="shared" si="9"/>
        <v>1</v>
      </c>
      <c r="F62" s="295">
        <f t="shared" si="9"/>
        <v>3</v>
      </c>
      <c r="G62" s="295">
        <f t="shared" si="9"/>
        <v>2</v>
      </c>
      <c r="H62" s="295">
        <f t="shared" si="9"/>
        <v>0</v>
      </c>
      <c r="I62" s="295">
        <f t="shared" si="9"/>
        <v>0</v>
      </c>
      <c r="J62" s="295">
        <f t="shared" si="9"/>
        <v>0</v>
      </c>
      <c r="K62" s="295">
        <f t="shared" si="9"/>
        <v>0</v>
      </c>
      <c r="L62" s="295">
        <f t="shared" si="9"/>
        <v>0</v>
      </c>
      <c r="M62" s="295">
        <f t="shared" si="9"/>
        <v>0</v>
      </c>
      <c r="N62" s="295">
        <f t="shared" si="9"/>
        <v>0</v>
      </c>
      <c r="O62" s="295">
        <f t="shared" si="9"/>
        <v>0</v>
      </c>
      <c r="P62" s="295">
        <f t="shared" si="9"/>
        <v>0</v>
      </c>
      <c r="Q62" s="295">
        <f t="shared" si="9"/>
        <v>0</v>
      </c>
      <c r="R62" s="295">
        <f t="shared" si="9"/>
        <v>0</v>
      </c>
      <c r="S62" s="295">
        <f t="shared" si="9"/>
        <v>0</v>
      </c>
      <c r="T62" s="295">
        <f t="shared" si="9"/>
        <v>0</v>
      </c>
      <c r="U62" s="295">
        <f t="shared" si="9"/>
        <v>0</v>
      </c>
      <c r="V62" s="295">
        <f t="shared" si="9"/>
        <v>0</v>
      </c>
      <c r="W62" s="295">
        <f t="shared" si="9"/>
        <v>0</v>
      </c>
      <c r="X62" s="295">
        <f t="shared" si="9"/>
        <v>0</v>
      </c>
      <c r="Y62" s="295">
        <f t="shared" si="9"/>
        <v>0</v>
      </c>
      <c r="Z62" s="295">
        <f t="shared" si="9"/>
        <v>0</v>
      </c>
      <c r="AA62" s="295">
        <f t="shared" si="9"/>
        <v>0</v>
      </c>
      <c r="AB62" s="295">
        <f t="shared" si="9"/>
        <v>0</v>
      </c>
      <c r="AC62" s="295">
        <f t="shared" si="9"/>
        <v>0</v>
      </c>
      <c r="AD62" s="295">
        <f t="shared" si="9"/>
        <v>0</v>
      </c>
      <c r="AE62" s="296">
        <f t="shared" si="9"/>
        <v>0</v>
      </c>
    </row>
    <row r="63" spans="1:31">
      <c r="A63" s="1711"/>
      <c r="B63" s="116">
        <v>7</v>
      </c>
      <c r="C63" s="294">
        <f t="shared" si="7"/>
        <v>1</v>
      </c>
      <c r="D63" s="295">
        <f t="shared" si="10"/>
        <v>2</v>
      </c>
      <c r="E63" s="295">
        <f t="shared" si="9"/>
        <v>1</v>
      </c>
      <c r="F63" s="295">
        <f t="shared" si="9"/>
        <v>1</v>
      </c>
      <c r="G63" s="295">
        <f t="shared" si="9"/>
        <v>3</v>
      </c>
      <c r="H63" s="295">
        <f t="shared" si="9"/>
        <v>2</v>
      </c>
      <c r="I63" s="295">
        <f t="shared" si="9"/>
        <v>0</v>
      </c>
      <c r="J63" s="295">
        <f t="shared" si="9"/>
        <v>0</v>
      </c>
      <c r="K63" s="295">
        <f t="shared" si="9"/>
        <v>0</v>
      </c>
      <c r="L63" s="295">
        <f t="shared" si="9"/>
        <v>0</v>
      </c>
      <c r="M63" s="295">
        <f t="shared" si="9"/>
        <v>0</v>
      </c>
      <c r="N63" s="295">
        <f t="shared" si="9"/>
        <v>0</v>
      </c>
      <c r="O63" s="295">
        <f t="shared" si="9"/>
        <v>0</v>
      </c>
      <c r="P63" s="295">
        <f t="shared" si="9"/>
        <v>0</v>
      </c>
      <c r="Q63" s="295">
        <f t="shared" si="9"/>
        <v>0</v>
      </c>
      <c r="R63" s="295">
        <f t="shared" si="9"/>
        <v>0</v>
      </c>
      <c r="S63" s="295">
        <f t="shared" si="9"/>
        <v>0</v>
      </c>
      <c r="T63" s="295">
        <f t="shared" si="9"/>
        <v>0</v>
      </c>
      <c r="U63" s="295">
        <f t="shared" si="9"/>
        <v>0</v>
      </c>
      <c r="V63" s="295">
        <f t="shared" si="9"/>
        <v>0</v>
      </c>
      <c r="W63" s="295">
        <f t="shared" si="9"/>
        <v>0</v>
      </c>
      <c r="X63" s="295">
        <f t="shared" si="9"/>
        <v>0</v>
      </c>
      <c r="Y63" s="295">
        <f t="shared" si="9"/>
        <v>0</v>
      </c>
      <c r="Z63" s="295">
        <f t="shared" si="9"/>
        <v>0</v>
      </c>
      <c r="AA63" s="295">
        <f t="shared" si="9"/>
        <v>0</v>
      </c>
      <c r="AB63" s="295">
        <f t="shared" si="9"/>
        <v>0</v>
      </c>
      <c r="AC63" s="295">
        <f t="shared" si="9"/>
        <v>0</v>
      </c>
      <c r="AD63" s="295">
        <f t="shared" si="9"/>
        <v>0</v>
      </c>
      <c r="AE63" s="296">
        <f t="shared" si="9"/>
        <v>0</v>
      </c>
    </row>
    <row r="64" spans="1:31">
      <c r="A64" s="1711"/>
      <c r="B64" s="116">
        <v>8</v>
      </c>
      <c r="C64" s="294">
        <f t="shared" si="7"/>
        <v>2</v>
      </c>
      <c r="D64" s="295">
        <f t="shared" si="10"/>
        <v>0.9618475950925468</v>
      </c>
      <c r="E64" s="295">
        <f t="shared" si="9"/>
        <v>1.9236951901850936</v>
      </c>
      <c r="F64" s="295">
        <f t="shared" si="9"/>
        <v>0.9618475950925468</v>
      </c>
      <c r="G64" s="295">
        <f t="shared" si="9"/>
        <v>0.9618475950925468</v>
      </c>
      <c r="H64" s="295">
        <f t="shared" si="9"/>
        <v>2.8855427852776403</v>
      </c>
      <c r="I64" s="295">
        <f t="shared" si="9"/>
        <v>1.9236951901850936</v>
      </c>
      <c r="J64" s="295">
        <f t="shared" si="9"/>
        <v>0</v>
      </c>
      <c r="K64" s="295">
        <f t="shared" si="9"/>
        <v>0</v>
      </c>
      <c r="L64" s="295">
        <f t="shared" si="9"/>
        <v>0</v>
      </c>
      <c r="M64" s="295">
        <f t="shared" si="9"/>
        <v>0</v>
      </c>
      <c r="N64" s="295">
        <f t="shared" si="9"/>
        <v>0</v>
      </c>
      <c r="O64" s="295">
        <f t="shared" si="9"/>
        <v>0</v>
      </c>
      <c r="P64" s="295">
        <f t="shared" si="9"/>
        <v>0</v>
      </c>
      <c r="Q64" s="295">
        <f t="shared" si="9"/>
        <v>0</v>
      </c>
      <c r="R64" s="295">
        <f t="shared" si="9"/>
        <v>0</v>
      </c>
      <c r="S64" s="295">
        <f t="shared" si="9"/>
        <v>0</v>
      </c>
      <c r="T64" s="295">
        <f t="shared" si="9"/>
        <v>0</v>
      </c>
      <c r="U64" s="295">
        <f t="shared" si="9"/>
        <v>0</v>
      </c>
      <c r="V64" s="295">
        <f t="shared" si="9"/>
        <v>0</v>
      </c>
      <c r="W64" s="295">
        <f t="shared" si="9"/>
        <v>0</v>
      </c>
      <c r="X64" s="295">
        <f t="shared" si="9"/>
        <v>0</v>
      </c>
      <c r="Y64" s="295">
        <f t="shared" si="9"/>
        <v>0</v>
      </c>
      <c r="Z64" s="295">
        <f t="shared" si="9"/>
        <v>0</v>
      </c>
      <c r="AA64" s="295">
        <f t="shared" si="9"/>
        <v>0</v>
      </c>
      <c r="AB64" s="295">
        <f t="shared" si="9"/>
        <v>0</v>
      </c>
      <c r="AC64" s="295">
        <f t="shared" si="9"/>
        <v>0</v>
      </c>
      <c r="AD64" s="295">
        <f t="shared" si="9"/>
        <v>0</v>
      </c>
      <c r="AE64" s="296">
        <f t="shared" si="9"/>
        <v>0</v>
      </c>
    </row>
    <row r="65" spans="1:31">
      <c r="A65" s="1711"/>
      <c r="B65" s="116">
        <v>9</v>
      </c>
      <c r="C65" s="294">
        <f t="shared" si="7"/>
        <v>0</v>
      </c>
      <c r="D65" s="295">
        <f t="shared" si="10"/>
        <v>1.7757115137709816</v>
      </c>
      <c r="E65" s="295">
        <f t="shared" si="9"/>
        <v>0.85398192454938227</v>
      </c>
      <c r="F65" s="295">
        <f t="shared" si="9"/>
        <v>1.7079638490987645</v>
      </c>
      <c r="G65" s="295">
        <f t="shared" si="9"/>
        <v>0.85398192454938227</v>
      </c>
      <c r="H65" s="295">
        <f t="shared" si="9"/>
        <v>0.85398192454938227</v>
      </c>
      <c r="I65" s="295">
        <f t="shared" si="9"/>
        <v>2.5619457736481466</v>
      </c>
      <c r="J65" s="295">
        <f t="shared" si="9"/>
        <v>1.7079638490987645</v>
      </c>
      <c r="K65" s="295">
        <f t="shared" si="9"/>
        <v>0</v>
      </c>
      <c r="L65" s="295">
        <f t="shared" si="9"/>
        <v>0</v>
      </c>
      <c r="M65" s="295">
        <f t="shared" si="9"/>
        <v>0</v>
      </c>
      <c r="N65" s="295">
        <f t="shared" si="9"/>
        <v>0</v>
      </c>
      <c r="O65" s="295">
        <f t="shared" si="9"/>
        <v>0</v>
      </c>
      <c r="P65" s="295">
        <f t="shared" si="9"/>
        <v>0</v>
      </c>
      <c r="Q65" s="295">
        <f t="shared" si="9"/>
        <v>0</v>
      </c>
      <c r="R65" s="295">
        <f t="shared" si="9"/>
        <v>0</v>
      </c>
      <c r="S65" s="295">
        <f t="shared" si="9"/>
        <v>0</v>
      </c>
      <c r="T65" s="295">
        <f t="shared" si="9"/>
        <v>0</v>
      </c>
      <c r="U65" s="295">
        <f t="shared" si="9"/>
        <v>0</v>
      </c>
      <c r="V65" s="295">
        <f t="shared" si="9"/>
        <v>0</v>
      </c>
      <c r="W65" s="295">
        <f t="shared" si="9"/>
        <v>0</v>
      </c>
      <c r="X65" s="295">
        <f t="shared" si="9"/>
        <v>0</v>
      </c>
      <c r="Y65" s="295">
        <f t="shared" si="9"/>
        <v>0</v>
      </c>
      <c r="Z65" s="295">
        <f t="shared" si="9"/>
        <v>0</v>
      </c>
      <c r="AA65" s="295">
        <f t="shared" si="9"/>
        <v>0</v>
      </c>
      <c r="AB65" s="295">
        <f t="shared" si="9"/>
        <v>0</v>
      </c>
      <c r="AC65" s="295">
        <f t="shared" si="9"/>
        <v>0</v>
      </c>
      <c r="AD65" s="295">
        <f t="shared" si="9"/>
        <v>0</v>
      </c>
      <c r="AE65" s="296">
        <f t="shared" si="9"/>
        <v>0</v>
      </c>
    </row>
    <row r="66" spans="1:31">
      <c r="A66" s="1711"/>
      <c r="B66" s="116">
        <v>10</v>
      </c>
      <c r="C66" s="294">
        <f t="shared" si="7"/>
        <v>0</v>
      </c>
      <c r="D66" s="295">
        <f t="shared" si="10"/>
        <v>0</v>
      </c>
      <c r="E66" s="295">
        <f t="shared" si="9"/>
        <v>1.4875084840913284</v>
      </c>
      <c r="F66" s="295">
        <f t="shared" si="9"/>
        <v>0.71537822905150217</v>
      </c>
      <c r="G66" s="295">
        <f t="shared" si="9"/>
        <v>1.4307564581030043</v>
      </c>
      <c r="H66" s="295">
        <f t="shared" si="9"/>
        <v>0.71537822905150217</v>
      </c>
      <c r="I66" s="295">
        <f t="shared" si="9"/>
        <v>0.71537822905150217</v>
      </c>
      <c r="J66" s="295">
        <f t="shared" si="9"/>
        <v>2.1461346871545062</v>
      </c>
      <c r="K66" s="295">
        <f t="shared" si="9"/>
        <v>1.4307564581030043</v>
      </c>
      <c r="L66" s="295">
        <f t="shared" si="9"/>
        <v>0</v>
      </c>
      <c r="M66" s="295">
        <f t="shared" si="9"/>
        <v>0</v>
      </c>
      <c r="N66" s="295">
        <f t="shared" si="9"/>
        <v>0</v>
      </c>
      <c r="O66" s="295">
        <f t="shared" si="9"/>
        <v>0</v>
      </c>
      <c r="P66" s="295">
        <f t="shared" si="9"/>
        <v>0</v>
      </c>
      <c r="Q66" s="295">
        <f t="shared" si="9"/>
        <v>0</v>
      </c>
      <c r="R66" s="295">
        <f t="shared" si="9"/>
        <v>0</v>
      </c>
      <c r="S66" s="295">
        <f t="shared" si="9"/>
        <v>0</v>
      </c>
      <c r="T66" s="295">
        <f t="shared" si="9"/>
        <v>0</v>
      </c>
      <c r="U66" s="295">
        <f t="shared" si="9"/>
        <v>0</v>
      </c>
      <c r="V66" s="295">
        <f t="shared" si="9"/>
        <v>0</v>
      </c>
      <c r="W66" s="295">
        <f t="shared" si="9"/>
        <v>0</v>
      </c>
      <c r="X66" s="295">
        <f t="shared" si="9"/>
        <v>0</v>
      </c>
      <c r="Y66" s="295">
        <f t="shared" si="9"/>
        <v>0</v>
      </c>
      <c r="Z66" s="295">
        <f t="shared" si="9"/>
        <v>0</v>
      </c>
      <c r="AA66" s="295">
        <f t="shared" si="9"/>
        <v>0</v>
      </c>
      <c r="AB66" s="295">
        <f t="shared" si="9"/>
        <v>0</v>
      </c>
      <c r="AC66" s="295">
        <f t="shared" si="9"/>
        <v>0</v>
      </c>
      <c r="AD66" s="295">
        <f t="shared" si="9"/>
        <v>0</v>
      </c>
      <c r="AE66" s="296">
        <f t="shared" si="9"/>
        <v>0</v>
      </c>
    </row>
    <row r="67" spans="1:31">
      <c r="A67" s="1711"/>
      <c r="B67" s="116">
        <v>11</v>
      </c>
      <c r="C67" s="294">
        <f t="shared" si="7"/>
        <v>0</v>
      </c>
      <c r="D67" s="295">
        <f t="shared" si="10"/>
        <v>0</v>
      </c>
      <c r="E67" s="295">
        <f t="shared" si="9"/>
        <v>0</v>
      </c>
      <c r="F67" s="295">
        <f t="shared" si="9"/>
        <v>1.1359587720181854</v>
      </c>
      <c r="G67" s="295">
        <f t="shared" si="9"/>
        <v>0.54630960649498728</v>
      </c>
      <c r="H67" s="295">
        <f t="shared" si="9"/>
        <v>1.0926192129899746</v>
      </c>
      <c r="I67" s="295">
        <f t="shared" si="9"/>
        <v>0.54630960649498728</v>
      </c>
      <c r="J67" s="295">
        <f t="shared" si="9"/>
        <v>0.54630960649498728</v>
      </c>
      <c r="K67" s="295">
        <f t="shared" si="9"/>
        <v>1.6389288194849614</v>
      </c>
      <c r="L67" s="295">
        <f t="shared" si="9"/>
        <v>1.0926192129899746</v>
      </c>
      <c r="M67" s="295">
        <f t="shared" si="9"/>
        <v>0</v>
      </c>
      <c r="N67" s="295">
        <f t="shared" si="9"/>
        <v>0</v>
      </c>
      <c r="O67" s="295">
        <f t="shared" si="9"/>
        <v>0</v>
      </c>
      <c r="P67" s="295">
        <f t="shared" si="9"/>
        <v>0</v>
      </c>
      <c r="Q67" s="295">
        <f t="shared" ref="Q67:AE81" si="11">P66*$C39</f>
        <v>0</v>
      </c>
      <c r="R67" s="295">
        <f t="shared" si="11"/>
        <v>0</v>
      </c>
      <c r="S67" s="295">
        <f t="shared" si="11"/>
        <v>0</v>
      </c>
      <c r="T67" s="295">
        <f t="shared" si="11"/>
        <v>0</v>
      </c>
      <c r="U67" s="295">
        <f t="shared" si="11"/>
        <v>0</v>
      </c>
      <c r="V67" s="295">
        <f t="shared" si="11"/>
        <v>0</v>
      </c>
      <c r="W67" s="295">
        <f t="shared" si="11"/>
        <v>0</v>
      </c>
      <c r="X67" s="295">
        <f t="shared" si="11"/>
        <v>0</v>
      </c>
      <c r="Y67" s="295">
        <f t="shared" si="11"/>
        <v>0</v>
      </c>
      <c r="Z67" s="295">
        <f t="shared" si="11"/>
        <v>0</v>
      </c>
      <c r="AA67" s="295">
        <f t="shared" si="11"/>
        <v>0</v>
      </c>
      <c r="AB67" s="295">
        <f t="shared" si="11"/>
        <v>0</v>
      </c>
      <c r="AC67" s="295">
        <f t="shared" si="11"/>
        <v>0</v>
      </c>
      <c r="AD67" s="295">
        <f t="shared" si="11"/>
        <v>0</v>
      </c>
      <c r="AE67" s="296">
        <f t="shared" si="11"/>
        <v>0</v>
      </c>
    </row>
    <row r="68" spans="1:31">
      <c r="A68" s="1711"/>
      <c r="B68" s="116">
        <v>12</v>
      </c>
      <c r="C68" s="294">
        <f t="shared" si="7"/>
        <v>1</v>
      </c>
      <c r="D68" s="295">
        <f t="shared" si="10"/>
        <v>0</v>
      </c>
      <c r="E68" s="295">
        <f t="shared" si="10"/>
        <v>0</v>
      </c>
      <c r="F68" s="295">
        <f t="shared" si="10"/>
        <v>0</v>
      </c>
      <c r="G68" s="295">
        <f t="shared" si="10"/>
        <v>0.75714379247162511</v>
      </c>
      <c r="H68" s="295">
        <f t="shared" si="10"/>
        <v>0.36412846796404158</v>
      </c>
      <c r="I68" s="295">
        <f t="shared" si="10"/>
        <v>0.72825693592808316</v>
      </c>
      <c r="J68" s="295">
        <f t="shared" si="10"/>
        <v>0.36412846796404158</v>
      </c>
      <c r="K68" s="295">
        <f t="shared" si="10"/>
        <v>0.36412846796404158</v>
      </c>
      <c r="L68" s="295">
        <f t="shared" si="10"/>
        <v>1.0923854038921244</v>
      </c>
      <c r="M68" s="295">
        <f t="shared" si="10"/>
        <v>0.72825693592808316</v>
      </c>
      <c r="N68" s="295">
        <f t="shared" si="10"/>
        <v>0</v>
      </c>
      <c r="O68" s="295">
        <f t="shared" si="10"/>
        <v>0</v>
      </c>
      <c r="P68" s="295">
        <f t="shared" si="10"/>
        <v>0</v>
      </c>
      <c r="Q68" s="295">
        <f t="shared" si="11"/>
        <v>0</v>
      </c>
      <c r="R68" s="295">
        <f t="shared" si="11"/>
        <v>0</v>
      </c>
      <c r="S68" s="295">
        <f t="shared" si="11"/>
        <v>0</v>
      </c>
      <c r="T68" s="295">
        <f t="shared" si="11"/>
        <v>0</v>
      </c>
      <c r="U68" s="295">
        <f t="shared" si="11"/>
        <v>0</v>
      </c>
      <c r="V68" s="295">
        <f t="shared" si="11"/>
        <v>0</v>
      </c>
      <c r="W68" s="295">
        <f t="shared" si="11"/>
        <v>0</v>
      </c>
      <c r="X68" s="295">
        <f t="shared" si="11"/>
        <v>0</v>
      </c>
      <c r="Y68" s="295">
        <f t="shared" si="11"/>
        <v>0</v>
      </c>
      <c r="Z68" s="295">
        <f t="shared" si="11"/>
        <v>0</v>
      </c>
      <c r="AA68" s="295">
        <f t="shared" si="11"/>
        <v>0</v>
      </c>
      <c r="AB68" s="295">
        <f t="shared" si="11"/>
        <v>0</v>
      </c>
      <c r="AC68" s="295">
        <f t="shared" si="11"/>
        <v>0</v>
      </c>
      <c r="AD68" s="295">
        <f t="shared" si="11"/>
        <v>0</v>
      </c>
      <c r="AE68" s="296">
        <f t="shared" si="11"/>
        <v>0</v>
      </c>
    </row>
    <row r="69" spans="1:31">
      <c r="A69" s="1711"/>
      <c r="B69" s="116">
        <v>13</v>
      </c>
      <c r="C69" s="294">
        <f t="shared" si="7"/>
        <v>0</v>
      </c>
      <c r="D69" s="295">
        <f t="shared" si="10"/>
        <v>0.53694992549549292</v>
      </c>
      <c r="E69" s="295">
        <f t="shared" si="10"/>
        <v>0</v>
      </c>
      <c r="F69" s="295">
        <f t="shared" si="10"/>
        <v>0</v>
      </c>
      <c r="G69" s="295">
        <f t="shared" si="10"/>
        <v>0</v>
      </c>
      <c r="H69" s="295">
        <f t="shared" si="10"/>
        <v>0.40654830295701405</v>
      </c>
      <c r="I69" s="295">
        <f t="shared" si="10"/>
        <v>0.19551875374408012</v>
      </c>
      <c r="J69" s="295">
        <f t="shared" si="10"/>
        <v>0.39103750748816024</v>
      </c>
      <c r="K69" s="295">
        <f t="shared" si="10"/>
        <v>0.19551875374408012</v>
      </c>
      <c r="L69" s="295">
        <f t="shared" si="10"/>
        <v>0.19551875374408012</v>
      </c>
      <c r="M69" s="295">
        <f t="shared" si="10"/>
        <v>0.58655626123224014</v>
      </c>
      <c r="N69" s="295">
        <f t="shared" si="10"/>
        <v>0.39103750748816024</v>
      </c>
      <c r="O69" s="295">
        <f t="shared" si="10"/>
        <v>0</v>
      </c>
      <c r="P69" s="295">
        <f t="shared" si="10"/>
        <v>0</v>
      </c>
      <c r="Q69" s="295">
        <f t="shared" si="11"/>
        <v>0</v>
      </c>
      <c r="R69" s="295">
        <f t="shared" si="11"/>
        <v>0</v>
      </c>
      <c r="S69" s="295">
        <f t="shared" si="11"/>
        <v>0</v>
      </c>
      <c r="T69" s="295">
        <f t="shared" si="11"/>
        <v>0</v>
      </c>
      <c r="U69" s="295">
        <f t="shared" si="11"/>
        <v>0</v>
      </c>
      <c r="V69" s="295">
        <f t="shared" si="11"/>
        <v>0</v>
      </c>
      <c r="W69" s="295">
        <f t="shared" si="11"/>
        <v>0</v>
      </c>
      <c r="X69" s="295">
        <f t="shared" si="11"/>
        <v>0</v>
      </c>
      <c r="Y69" s="295">
        <f t="shared" si="11"/>
        <v>0</v>
      </c>
      <c r="Z69" s="295">
        <f t="shared" si="11"/>
        <v>0</v>
      </c>
      <c r="AA69" s="295">
        <f t="shared" si="11"/>
        <v>0</v>
      </c>
      <c r="AB69" s="295">
        <f t="shared" si="11"/>
        <v>0</v>
      </c>
      <c r="AC69" s="295">
        <f t="shared" si="11"/>
        <v>0</v>
      </c>
      <c r="AD69" s="295">
        <f t="shared" si="11"/>
        <v>0</v>
      </c>
      <c r="AE69" s="296">
        <f t="shared" si="11"/>
        <v>0</v>
      </c>
    </row>
    <row r="70" spans="1:31">
      <c r="A70" s="1711"/>
      <c r="B70" s="116">
        <v>14</v>
      </c>
      <c r="C70" s="294">
        <f t="shared" si="7"/>
        <v>0</v>
      </c>
      <c r="D70" s="295">
        <f t="shared" si="10"/>
        <v>0</v>
      </c>
      <c r="E70" s="295">
        <f t="shared" si="10"/>
        <v>0.26567262812175219</v>
      </c>
      <c r="F70" s="295">
        <f t="shared" si="10"/>
        <v>0</v>
      </c>
      <c r="G70" s="295">
        <f t="shared" si="10"/>
        <v>0</v>
      </c>
      <c r="H70" s="295">
        <f t="shared" si="10"/>
        <v>0</v>
      </c>
      <c r="I70" s="295">
        <f t="shared" si="10"/>
        <v>0.20115238121200715</v>
      </c>
      <c r="J70" s="295">
        <f t="shared" si="10"/>
        <v>9.6738967057954178E-2</v>
      </c>
      <c r="K70" s="295">
        <f t="shared" si="10"/>
        <v>0.19347793411590836</v>
      </c>
      <c r="L70" s="295">
        <f t="shared" si="10"/>
        <v>9.6738967057954178E-2</v>
      </c>
      <c r="M70" s="295">
        <f t="shared" si="10"/>
        <v>9.6738967057954178E-2</v>
      </c>
      <c r="N70" s="295">
        <f t="shared" si="10"/>
        <v>0.2902169011738624</v>
      </c>
      <c r="O70" s="295">
        <f t="shared" si="10"/>
        <v>0.19347793411590836</v>
      </c>
      <c r="P70" s="295">
        <f t="shared" si="10"/>
        <v>0</v>
      </c>
      <c r="Q70" s="295">
        <f t="shared" si="11"/>
        <v>0</v>
      </c>
      <c r="R70" s="295">
        <f t="shared" si="11"/>
        <v>0</v>
      </c>
      <c r="S70" s="295">
        <f t="shared" si="11"/>
        <v>0</v>
      </c>
      <c r="T70" s="295">
        <f t="shared" si="11"/>
        <v>0</v>
      </c>
      <c r="U70" s="295">
        <f t="shared" si="11"/>
        <v>0</v>
      </c>
      <c r="V70" s="295">
        <f t="shared" si="11"/>
        <v>0</v>
      </c>
      <c r="W70" s="295">
        <f t="shared" si="11"/>
        <v>0</v>
      </c>
      <c r="X70" s="295">
        <f t="shared" si="11"/>
        <v>0</v>
      </c>
      <c r="Y70" s="295">
        <f t="shared" si="11"/>
        <v>0</v>
      </c>
      <c r="Z70" s="295">
        <f t="shared" si="11"/>
        <v>0</v>
      </c>
      <c r="AA70" s="295">
        <f t="shared" si="11"/>
        <v>0</v>
      </c>
      <c r="AB70" s="295">
        <f t="shared" si="11"/>
        <v>0</v>
      </c>
      <c r="AC70" s="295">
        <f t="shared" si="11"/>
        <v>0</v>
      </c>
      <c r="AD70" s="295">
        <f t="shared" si="11"/>
        <v>0</v>
      </c>
      <c r="AE70" s="296">
        <f t="shared" si="11"/>
        <v>0</v>
      </c>
    </row>
    <row r="71" spans="1:31">
      <c r="A71" s="1711"/>
      <c r="B71" s="116">
        <v>15</v>
      </c>
      <c r="C71" s="294">
        <f t="shared" si="7"/>
        <v>1</v>
      </c>
      <c r="D71" s="295">
        <f t="shared" si="10"/>
        <v>0</v>
      </c>
      <c r="E71" s="295">
        <f t="shared" si="10"/>
        <v>0</v>
      </c>
      <c r="F71" s="295">
        <f t="shared" si="10"/>
        <v>0.10132044158964201</v>
      </c>
      <c r="G71" s="295">
        <f t="shared" si="10"/>
        <v>0</v>
      </c>
      <c r="H71" s="295">
        <f t="shared" si="10"/>
        <v>0</v>
      </c>
      <c r="I71" s="295">
        <f t="shared" si="10"/>
        <v>0</v>
      </c>
      <c r="J71" s="295">
        <f t="shared" si="10"/>
        <v>7.6714143400081314E-2</v>
      </c>
      <c r="K71" s="295">
        <f t="shared" si="10"/>
        <v>3.6893657169476506E-2</v>
      </c>
      <c r="L71" s="295">
        <f t="shared" si="10"/>
        <v>7.3787314338953011E-2</v>
      </c>
      <c r="M71" s="295">
        <f t="shared" si="10"/>
        <v>3.6893657169476506E-2</v>
      </c>
      <c r="N71" s="295">
        <f t="shared" si="10"/>
        <v>3.6893657169476506E-2</v>
      </c>
      <c r="O71" s="295">
        <f t="shared" si="10"/>
        <v>0.11068097150842947</v>
      </c>
      <c r="P71" s="295">
        <f t="shared" si="10"/>
        <v>7.3787314338953011E-2</v>
      </c>
      <c r="Q71" s="295">
        <f t="shared" si="11"/>
        <v>0</v>
      </c>
      <c r="R71" s="295">
        <f t="shared" si="11"/>
        <v>0</v>
      </c>
      <c r="S71" s="295">
        <f t="shared" si="11"/>
        <v>0</v>
      </c>
      <c r="T71" s="295">
        <f t="shared" si="11"/>
        <v>0</v>
      </c>
      <c r="U71" s="295">
        <f t="shared" si="11"/>
        <v>0</v>
      </c>
      <c r="V71" s="295">
        <f t="shared" si="11"/>
        <v>0</v>
      </c>
      <c r="W71" s="295">
        <f t="shared" si="11"/>
        <v>0</v>
      </c>
      <c r="X71" s="295">
        <f t="shared" si="11"/>
        <v>0</v>
      </c>
      <c r="Y71" s="295">
        <f t="shared" si="11"/>
        <v>0</v>
      </c>
      <c r="Z71" s="295">
        <f t="shared" si="11"/>
        <v>0</v>
      </c>
      <c r="AA71" s="295">
        <f t="shared" si="11"/>
        <v>0</v>
      </c>
      <c r="AB71" s="295">
        <f t="shared" si="11"/>
        <v>0</v>
      </c>
      <c r="AC71" s="295">
        <f t="shared" si="11"/>
        <v>0</v>
      </c>
      <c r="AD71" s="295">
        <f t="shared" si="11"/>
        <v>0</v>
      </c>
      <c r="AE71" s="296">
        <f t="shared" si="11"/>
        <v>0</v>
      </c>
    </row>
    <row r="72" spans="1:31">
      <c r="A72" s="1711"/>
      <c r="B72" s="116">
        <v>16</v>
      </c>
      <c r="C72" s="294">
        <f t="shared" si="7"/>
        <v>0</v>
      </c>
      <c r="D72" s="295">
        <f t="shared" si="10"/>
        <v>0.34323595198858076</v>
      </c>
      <c r="E72" s="295">
        <f t="shared" si="10"/>
        <v>0</v>
      </c>
      <c r="F72" s="295">
        <f t="shared" si="10"/>
        <v>0</v>
      </c>
      <c r="G72" s="295">
        <f t="shared" si="10"/>
        <v>3.4776818224924164E-2</v>
      </c>
      <c r="H72" s="295">
        <f t="shared" si="10"/>
        <v>0</v>
      </c>
      <c r="I72" s="295">
        <f t="shared" si="10"/>
        <v>0</v>
      </c>
      <c r="J72" s="295">
        <f t="shared" si="10"/>
        <v>0</v>
      </c>
      <c r="K72" s="295">
        <f t="shared" si="10"/>
        <v>2.6331052040915411E-2</v>
      </c>
      <c r="L72" s="295">
        <f t="shared" si="10"/>
        <v>1.2663229540905596E-2</v>
      </c>
      <c r="M72" s="295">
        <f t="shared" si="10"/>
        <v>2.5326459081811192E-2</v>
      </c>
      <c r="N72" s="295">
        <f t="shared" si="10"/>
        <v>1.2663229540905596E-2</v>
      </c>
      <c r="O72" s="295">
        <f t="shared" si="10"/>
        <v>1.2663229540905596E-2</v>
      </c>
      <c r="P72" s="295">
        <f t="shared" si="10"/>
        <v>3.7989688622716775E-2</v>
      </c>
      <c r="Q72" s="295">
        <f t="shared" si="11"/>
        <v>2.5326459081811192E-2</v>
      </c>
      <c r="R72" s="295">
        <f t="shared" si="11"/>
        <v>0</v>
      </c>
      <c r="S72" s="295">
        <f t="shared" si="11"/>
        <v>0</v>
      </c>
      <c r="T72" s="295">
        <f t="shared" si="11"/>
        <v>0</v>
      </c>
      <c r="U72" s="295">
        <f t="shared" si="11"/>
        <v>0</v>
      </c>
      <c r="V72" s="295">
        <f t="shared" si="11"/>
        <v>0</v>
      </c>
      <c r="W72" s="295">
        <f t="shared" si="11"/>
        <v>0</v>
      </c>
      <c r="X72" s="295">
        <f t="shared" si="11"/>
        <v>0</v>
      </c>
      <c r="Y72" s="295">
        <f t="shared" si="11"/>
        <v>0</v>
      </c>
      <c r="Z72" s="295">
        <f t="shared" si="11"/>
        <v>0</v>
      </c>
      <c r="AA72" s="295">
        <f t="shared" si="11"/>
        <v>0</v>
      </c>
      <c r="AB72" s="295">
        <f t="shared" si="11"/>
        <v>0</v>
      </c>
      <c r="AC72" s="295">
        <f t="shared" si="11"/>
        <v>0</v>
      </c>
      <c r="AD72" s="295">
        <f t="shared" si="11"/>
        <v>0</v>
      </c>
      <c r="AE72" s="296">
        <f t="shared" si="11"/>
        <v>0</v>
      </c>
    </row>
    <row r="73" spans="1:31">
      <c r="A73" s="1711"/>
      <c r="B73" s="116">
        <v>17</v>
      </c>
      <c r="C73" s="294">
        <f t="shared" si="7"/>
        <v>1</v>
      </c>
      <c r="D73" s="295">
        <f t="shared" si="10"/>
        <v>0</v>
      </c>
      <c r="E73" s="295">
        <f t="shared" si="10"/>
        <v>0.10472081665556206</v>
      </c>
      <c r="F73" s="295">
        <f t="shared" si="10"/>
        <v>0</v>
      </c>
      <c r="G73" s="295">
        <f t="shared" si="10"/>
        <v>0</v>
      </c>
      <c r="H73" s="295">
        <f t="shared" si="10"/>
        <v>1.0610359387169484E-2</v>
      </c>
      <c r="I73" s="295">
        <f t="shared" si="10"/>
        <v>0</v>
      </c>
      <c r="J73" s="295">
        <f t="shared" si="10"/>
        <v>0</v>
      </c>
      <c r="K73" s="295">
        <f t="shared" si="10"/>
        <v>0</v>
      </c>
      <c r="L73" s="295">
        <f t="shared" si="10"/>
        <v>8.0335677458884119E-3</v>
      </c>
      <c r="M73" s="295">
        <f t="shared" si="10"/>
        <v>3.8635339081979116E-3</v>
      </c>
      <c r="N73" s="295">
        <f t="shared" si="10"/>
        <v>7.7270678163958231E-3</v>
      </c>
      <c r="O73" s="295">
        <f t="shared" si="10"/>
        <v>3.8635339081979116E-3</v>
      </c>
      <c r="P73" s="295">
        <f t="shared" si="10"/>
        <v>3.8635339081979116E-3</v>
      </c>
      <c r="Q73" s="295">
        <f t="shared" si="11"/>
        <v>1.1590601724593731E-2</v>
      </c>
      <c r="R73" s="295">
        <f t="shared" si="11"/>
        <v>7.7270678163958231E-3</v>
      </c>
      <c r="S73" s="295">
        <f t="shared" si="11"/>
        <v>0</v>
      </c>
      <c r="T73" s="295">
        <f t="shared" si="11"/>
        <v>0</v>
      </c>
      <c r="U73" s="295">
        <f t="shared" si="11"/>
        <v>0</v>
      </c>
      <c r="V73" s="295">
        <f t="shared" si="11"/>
        <v>0</v>
      </c>
      <c r="W73" s="295">
        <f t="shared" si="11"/>
        <v>0</v>
      </c>
      <c r="X73" s="295">
        <f t="shared" si="11"/>
        <v>0</v>
      </c>
      <c r="Y73" s="295">
        <f t="shared" si="11"/>
        <v>0</v>
      </c>
      <c r="Z73" s="295">
        <f t="shared" si="11"/>
        <v>0</v>
      </c>
      <c r="AA73" s="295">
        <f t="shared" si="11"/>
        <v>0</v>
      </c>
      <c r="AB73" s="295">
        <f t="shared" si="11"/>
        <v>0</v>
      </c>
      <c r="AC73" s="295">
        <f t="shared" si="11"/>
        <v>0</v>
      </c>
      <c r="AD73" s="295">
        <f t="shared" si="11"/>
        <v>0</v>
      </c>
      <c r="AE73" s="296">
        <f t="shared" si="11"/>
        <v>0</v>
      </c>
    </row>
    <row r="74" spans="1:31">
      <c r="A74" s="1711"/>
      <c r="B74" s="116">
        <v>18</v>
      </c>
      <c r="C74" s="294">
        <f t="shared" si="7"/>
        <v>0</v>
      </c>
      <c r="D74" s="295">
        <f t="shared" si="10"/>
        <v>0.26696129599111834</v>
      </c>
      <c r="E74" s="295">
        <f t="shared" si="10"/>
        <v>0</v>
      </c>
      <c r="F74" s="295">
        <f t="shared" si="10"/>
        <v>2.7956404931617138E-2</v>
      </c>
      <c r="G74" s="295">
        <f t="shared" si="10"/>
        <v>0</v>
      </c>
      <c r="H74" s="295">
        <f t="shared" si="10"/>
        <v>0</v>
      </c>
      <c r="I74" s="295">
        <f t="shared" si="10"/>
        <v>2.8325552929302934E-3</v>
      </c>
      <c r="J74" s="295">
        <f t="shared" si="10"/>
        <v>0</v>
      </c>
      <c r="K74" s="295">
        <f t="shared" si="10"/>
        <v>0</v>
      </c>
      <c r="L74" s="295">
        <f t="shared" si="10"/>
        <v>0</v>
      </c>
      <c r="M74" s="295">
        <f t="shared" si="10"/>
        <v>2.1446516568748176E-3</v>
      </c>
      <c r="N74" s="295">
        <f t="shared" si="10"/>
        <v>1.031414019238145E-3</v>
      </c>
      <c r="O74" s="295">
        <f t="shared" si="10"/>
        <v>2.0628280384762899E-3</v>
      </c>
      <c r="P74" s="295">
        <f t="shared" si="10"/>
        <v>1.031414019238145E-3</v>
      </c>
      <c r="Q74" s="295">
        <f t="shared" si="11"/>
        <v>1.031414019238145E-3</v>
      </c>
      <c r="R74" s="295">
        <f t="shared" si="11"/>
        <v>3.0942420577144336E-3</v>
      </c>
      <c r="S74" s="295">
        <f t="shared" si="11"/>
        <v>2.0628280384762899E-3</v>
      </c>
      <c r="T74" s="295">
        <f t="shared" si="11"/>
        <v>0</v>
      </c>
      <c r="U74" s="295">
        <f t="shared" si="11"/>
        <v>0</v>
      </c>
      <c r="V74" s="295">
        <f t="shared" si="11"/>
        <v>0</v>
      </c>
      <c r="W74" s="295">
        <f t="shared" si="11"/>
        <v>0</v>
      </c>
      <c r="X74" s="295">
        <f t="shared" si="11"/>
        <v>0</v>
      </c>
      <c r="Y74" s="295">
        <f t="shared" si="11"/>
        <v>0</v>
      </c>
      <c r="Z74" s="295">
        <f t="shared" si="11"/>
        <v>0</v>
      </c>
      <c r="AA74" s="295">
        <f t="shared" si="11"/>
        <v>0</v>
      </c>
      <c r="AB74" s="295">
        <f t="shared" si="11"/>
        <v>0</v>
      </c>
      <c r="AC74" s="295">
        <f t="shared" si="11"/>
        <v>0</v>
      </c>
      <c r="AD74" s="295">
        <f t="shared" si="11"/>
        <v>0</v>
      </c>
      <c r="AE74" s="296">
        <f t="shared" si="11"/>
        <v>0</v>
      </c>
    </row>
    <row r="75" spans="1:31">
      <c r="A75" s="1711"/>
      <c r="B75" s="116">
        <v>19</v>
      </c>
      <c r="C75" s="294">
        <f t="shared" ref="C75:C81" si="12">(EXP(18-B75)*$K$47/(EXP(-1)+EXP(-2)+EXP(-3)+EXP(-4)+EXP(-5)+EXP(-6)+EXP(-7)+EXP(-8)+EXP(-9)+EXP(-10)))</f>
        <v>5.0571940668838931</v>
      </c>
      <c r="D75" s="295">
        <f t="shared" ref="D75:P81" si="13">C74*$C47</f>
        <v>0</v>
      </c>
      <c r="E75" s="295">
        <f t="shared" si="13"/>
        <v>6.1087143049077849E-2</v>
      </c>
      <c r="F75" s="295">
        <f t="shared" si="13"/>
        <v>0</v>
      </c>
      <c r="G75" s="295">
        <f t="shared" si="13"/>
        <v>6.3970955072545736E-3</v>
      </c>
      <c r="H75" s="295">
        <f t="shared" si="13"/>
        <v>0</v>
      </c>
      <c r="I75" s="295">
        <f t="shared" si="13"/>
        <v>0</v>
      </c>
      <c r="J75" s="295">
        <f t="shared" si="13"/>
        <v>6.4815654168614819E-4</v>
      </c>
      <c r="K75" s="295">
        <f t="shared" si="13"/>
        <v>0</v>
      </c>
      <c r="L75" s="295">
        <f t="shared" si="13"/>
        <v>0</v>
      </c>
      <c r="M75" s="295">
        <f t="shared" si="13"/>
        <v>0</v>
      </c>
      <c r="N75" s="295">
        <f t="shared" si="13"/>
        <v>4.907477020875433E-4</v>
      </c>
      <c r="O75" s="295">
        <f t="shared" si="13"/>
        <v>2.3601224852504865E-4</v>
      </c>
      <c r="P75" s="295">
        <f t="shared" si="13"/>
        <v>4.7202449705009729E-4</v>
      </c>
      <c r="Q75" s="295">
        <f t="shared" si="11"/>
        <v>2.3601224852504865E-4</v>
      </c>
      <c r="R75" s="295">
        <f t="shared" si="11"/>
        <v>2.3601224852504865E-4</v>
      </c>
      <c r="S75" s="295">
        <f t="shared" si="11"/>
        <v>7.0803674557514567E-4</v>
      </c>
      <c r="T75" s="295">
        <f t="shared" si="11"/>
        <v>4.7202449705009729E-4</v>
      </c>
      <c r="U75" s="295">
        <f t="shared" si="11"/>
        <v>0</v>
      </c>
      <c r="V75" s="295">
        <f t="shared" si="11"/>
        <v>0</v>
      </c>
      <c r="W75" s="295">
        <f t="shared" si="11"/>
        <v>0</v>
      </c>
      <c r="X75" s="295">
        <f t="shared" si="11"/>
        <v>0</v>
      </c>
      <c r="Y75" s="295">
        <f t="shared" si="11"/>
        <v>0</v>
      </c>
      <c r="Z75" s="295">
        <f t="shared" si="11"/>
        <v>0</v>
      </c>
      <c r="AA75" s="295">
        <f t="shared" si="11"/>
        <v>0</v>
      </c>
      <c r="AB75" s="295">
        <f t="shared" si="11"/>
        <v>0</v>
      </c>
      <c r="AC75" s="295">
        <f t="shared" si="11"/>
        <v>0</v>
      </c>
      <c r="AD75" s="295">
        <f t="shared" si="11"/>
        <v>0</v>
      </c>
      <c r="AE75" s="296">
        <f t="shared" si="11"/>
        <v>0</v>
      </c>
    </row>
    <row r="76" spans="1:31">
      <c r="A76" s="1711"/>
      <c r="B76" s="116">
        <v>20</v>
      </c>
      <c r="C76" s="294">
        <f t="shared" si="12"/>
        <v>1.8604377272207804</v>
      </c>
      <c r="D76" s="295">
        <f t="shared" si="13"/>
        <v>0.96433934440994162</v>
      </c>
      <c r="E76" s="295">
        <f t="shared" si="13"/>
        <v>0</v>
      </c>
      <c r="F76" s="295">
        <f t="shared" si="13"/>
        <v>1.1648502054840469E-2</v>
      </c>
      <c r="G76" s="295">
        <f t="shared" si="13"/>
        <v>0</v>
      </c>
      <c r="H76" s="295">
        <f t="shared" si="13"/>
        <v>1.2198406479968866E-3</v>
      </c>
      <c r="I76" s="295">
        <f t="shared" si="13"/>
        <v>0</v>
      </c>
      <c r="J76" s="295">
        <f t="shared" si="13"/>
        <v>0</v>
      </c>
      <c r="K76" s="295">
        <f t="shared" si="13"/>
        <v>1.2359479312403957E-4</v>
      </c>
      <c r="L76" s="295">
        <f t="shared" si="13"/>
        <v>0</v>
      </c>
      <c r="M76" s="295">
        <f t="shared" si="13"/>
        <v>0</v>
      </c>
      <c r="N76" s="295">
        <f t="shared" si="13"/>
        <v>0</v>
      </c>
      <c r="O76" s="295">
        <f t="shared" si="13"/>
        <v>9.3579030395681285E-5</v>
      </c>
      <c r="P76" s="295">
        <f t="shared" si="13"/>
        <v>4.5004382668589204E-5</v>
      </c>
      <c r="Q76" s="295">
        <f t="shared" si="11"/>
        <v>9.0008765337178408E-5</v>
      </c>
      <c r="R76" s="295">
        <f t="shared" si="11"/>
        <v>4.5004382668589204E-5</v>
      </c>
      <c r="S76" s="295">
        <f t="shared" si="11"/>
        <v>4.5004382668589204E-5</v>
      </c>
      <c r="T76" s="295">
        <f t="shared" si="11"/>
        <v>1.3501314800576757E-4</v>
      </c>
      <c r="U76" s="295">
        <f t="shared" si="11"/>
        <v>9.0008765337178408E-5</v>
      </c>
      <c r="V76" s="295">
        <f t="shared" si="11"/>
        <v>0</v>
      </c>
      <c r="W76" s="295">
        <f t="shared" si="11"/>
        <v>0</v>
      </c>
      <c r="X76" s="295">
        <f t="shared" si="11"/>
        <v>0</v>
      </c>
      <c r="Y76" s="295">
        <f t="shared" si="11"/>
        <v>0</v>
      </c>
      <c r="Z76" s="295">
        <f t="shared" si="11"/>
        <v>0</v>
      </c>
      <c r="AA76" s="295">
        <f t="shared" si="11"/>
        <v>0</v>
      </c>
      <c r="AB76" s="295">
        <f t="shared" si="11"/>
        <v>0</v>
      </c>
      <c r="AC76" s="295">
        <f t="shared" si="11"/>
        <v>0</v>
      </c>
      <c r="AD76" s="295">
        <f t="shared" si="11"/>
        <v>0</v>
      </c>
      <c r="AE76" s="296">
        <f t="shared" si="11"/>
        <v>0</v>
      </c>
    </row>
    <row r="77" spans="1:31">
      <c r="A77" s="1711"/>
      <c r="B77" s="116">
        <v>21</v>
      </c>
      <c r="C77" s="294">
        <f t="shared" si="12"/>
        <v>0.68441679142424894</v>
      </c>
      <c r="D77" s="295">
        <f t="shared" si="13"/>
        <v>0.28380849529693147</v>
      </c>
      <c r="E77" s="295">
        <f t="shared" si="13"/>
        <v>0.14710930351937335</v>
      </c>
      <c r="F77" s="295">
        <f t="shared" si="13"/>
        <v>0</v>
      </c>
      <c r="G77" s="295">
        <f t="shared" si="13"/>
        <v>1.7769709742373803E-3</v>
      </c>
      <c r="H77" s="295">
        <f t="shared" si="13"/>
        <v>0</v>
      </c>
      <c r="I77" s="295">
        <f t="shared" si="13"/>
        <v>1.860858515953682E-4</v>
      </c>
      <c r="J77" s="295">
        <f t="shared" si="13"/>
        <v>0</v>
      </c>
      <c r="K77" s="295">
        <f t="shared" si="13"/>
        <v>0</v>
      </c>
      <c r="L77" s="295">
        <f t="shared" si="13"/>
        <v>1.885430065722729E-5</v>
      </c>
      <c r="M77" s="295">
        <f t="shared" si="13"/>
        <v>0</v>
      </c>
      <c r="N77" s="295">
        <f t="shared" si="13"/>
        <v>0</v>
      </c>
      <c r="O77" s="295">
        <f t="shared" si="13"/>
        <v>0</v>
      </c>
      <c r="P77" s="295">
        <f t="shared" si="13"/>
        <v>1.4275416704013327E-5</v>
      </c>
      <c r="Q77" s="295">
        <f t="shared" si="11"/>
        <v>6.8653876128495968E-6</v>
      </c>
      <c r="R77" s="295">
        <f t="shared" si="11"/>
        <v>1.3730775225699194E-5</v>
      </c>
      <c r="S77" s="295">
        <f t="shared" si="11"/>
        <v>6.8653876128495968E-6</v>
      </c>
      <c r="T77" s="295">
        <f t="shared" si="11"/>
        <v>6.8653876128495968E-6</v>
      </c>
      <c r="U77" s="295">
        <f t="shared" si="11"/>
        <v>2.0596162838548785E-5</v>
      </c>
      <c r="V77" s="295">
        <f t="shared" si="11"/>
        <v>1.3730775225699194E-5</v>
      </c>
      <c r="W77" s="295">
        <f t="shared" si="11"/>
        <v>0</v>
      </c>
      <c r="X77" s="295">
        <f t="shared" si="11"/>
        <v>0</v>
      </c>
      <c r="Y77" s="295">
        <f t="shared" si="11"/>
        <v>0</v>
      </c>
      <c r="Z77" s="295">
        <f t="shared" si="11"/>
        <v>0</v>
      </c>
      <c r="AA77" s="295">
        <f t="shared" si="11"/>
        <v>0</v>
      </c>
      <c r="AB77" s="295">
        <f t="shared" si="11"/>
        <v>0</v>
      </c>
      <c r="AC77" s="295">
        <f t="shared" si="11"/>
        <v>0</v>
      </c>
      <c r="AD77" s="295">
        <f t="shared" si="11"/>
        <v>0</v>
      </c>
      <c r="AE77" s="296">
        <f t="shared" si="11"/>
        <v>0</v>
      </c>
    </row>
    <row r="78" spans="1:31">
      <c r="A78" s="1711"/>
      <c r="B78" s="116">
        <v>22</v>
      </c>
      <c r="C78" s="294">
        <f t="shared" si="12"/>
        <v>0.25178286675750428</v>
      </c>
      <c r="D78" s="295">
        <f t="shared" si="13"/>
        <v>7.8305482987157296E-2</v>
      </c>
      <c r="E78" s="295">
        <f t="shared" si="13"/>
        <v>3.247109302189629E-2</v>
      </c>
      <c r="F78" s="295">
        <f t="shared" si="13"/>
        <v>1.6831067279949718E-2</v>
      </c>
      <c r="G78" s="295">
        <f t="shared" si="13"/>
        <v>0</v>
      </c>
      <c r="H78" s="295">
        <f t="shared" si="13"/>
        <v>2.0330677466614758E-4</v>
      </c>
      <c r="I78" s="295">
        <f t="shared" si="13"/>
        <v>0</v>
      </c>
      <c r="J78" s="295">
        <f t="shared" si="13"/>
        <v>2.1290451474647311E-5</v>
      </c>
      <c r="K78" s="295">
        <f t="shared" si="13"/>
        <v>0</v>
      </c>
      <c r="L78" s="295">
        <f t="shared" si="13"/>
        <v>0</v>
      </c>
      <c r="M78" s="295">
        <f t="shared" si="13"/>
        <v>2.1571579450541098E-6</v>
      </c>
      <c r="N78" s="295">
        <f t="shared" si="13"/>
        <v>0</v>
      </c>
      <c r="O78" s="295">
        <f t="shared" si="13"/>
        <v>0</v>
      </c>
      <c r="P78" s="295">
        <f t="shared" si="13"/>
        <v>0</v>
      </c>
      <c r="Q78" s="295">
        <f t="shared" si="11"/>
        <v>1.6332787474785666E-6</v>
      </c>
      <c r="R78" s="295">
        <f t="shared" si="11"/>
        <v>7.8548261768901332E-7</v>
      </c>
      <c r="S78" s="295">
        <f t="shared" si="11"/>
        <v>1.5709652353780266E-6</v>
      </c>
      <c r="T78" s="295">
        <f t="shared" si="11"/>
        <v>7.8548261768901332E-7</v>
      </c>
      <c r="U78" s="295">
        <f t="shared" si="11"/>
        <v>7.8548261768901332E-7</v>
      </c>
      <c r="V78" s="295">
        <f t="shared" si="11"/>
        <v>2.3564478530670395E-6</v>
      </c>
      <c r="W78" s="295">
        <f t="shared" si="11"/>
        <v>1.5709652353780266E-6</v>
      </c>
      <c r="X78" s="295">
        <f t="shared" si="11"/>
        <v>0</v>
      </c>
      <c r="Y78" s="295">
        <f t="shared" si="11"/>
        <v>0</v>
      </c>
      <c r="Z78" s="295">
        <f t="shared" si="11"/>
        <v>0</v>
      </c>
      <c r="AA78" s="295">
        <f t="shared" si="11"/>
        <v>0</v>
      </c>
      <c r="AB78" s="295">
        <f t="shared" si="11"/>
        <v>0</v>
      </c>
      <c r="AC78" s="295">
        <f t="shared" si="11"/>
        <v>0</v>
      </c>
      <c r="AD78" s="295">
        <f t="shared" si="11"/>
        <v>0</v>
      </c>
      <c r="AE78" s="296">
        <f t="shared" si="11"/>
        <v>0</v>
      </c>
    </row>
    <row r="79" spans="1:31">
      <c r="A79" s="1711"/>
      <c r="B79" s="116">
        <v>23</v>
      </c>
      <c r="C79" s="294">
        <f t="shared" si="12"/>
        <v>9.2625740319294395E-2</v>
      </c>
      <c r="D79" s="295">
        <f t="shared" si="13"/>
        <v>1.9204651547983533E-2</v>
      </c>
      <c r="E79" s="295">
        <f t="shared" si="13"/>
        <v>5.972723777560562E-3</v>
      </c>
      <c r="F79" s="295">
        <f t="shared" si="13"/>
        <v>2.4767214501067391E-3</v>
      </c>
      <c r="G79" s="295">
        <f t="shared" si="13"/>
        <v>1.2837838668483088E-3</v>
      </c>
      <c r="H79" s="295">
        <f t="shared" si="13"/>
        <v>0</v>
      </c>
      <c r="I79" s="295">
        <f t="shared" si="13"/>
        <v>1.5507154299613995E-5</v>
      </c>
      <c r="J79" s="295">
        <f t="shared" si="13"/>
        <v>0</v>
      </c>
      <c r="K79" s="295">
        <f t="shared" si="13"/>
        <v>1.6239218622593883E-6</v>
      </c>
      <c r="L79" s="295">
        <f t="shared" si="13"/>
        <v>0</v>
      </c>
      <c r="M79" s="295">
        <f t="shared" si="13"/>
        <v>0</v>
      </c>
      <c r="N79" s="295">
        <f t="shared" si="13"/>
        <v>1.6453648019119498E-7</v>
      </c>
      <c r="O79" s="295">
        <f t="shared" si="13"/>
        <v>0</v>
      </c>
      <c r="P79" s="295">
        <f t="shared" si="13"/>
        <v>0</v>
      </c>
      <c r="Q79" s="295">
        <f t="shared" si="11"/>
        <v>0</v>
      </c>
      <c r="R79" s="295">
        <f t="shared" si="11"/>
        <v>1.2457777461189381E-7</v>
      </c>
      <c r="S79" s="295">
        <f t="shared" si="11"/>
        <v>5.9912416456215705E-8</v>
      </c>
      <c r="T79" s="295">
        <f t="shared" si="11"/>
        <v>1.1982483291243141E-7</v>
      </c>
      <c r="U79" s="295">
        <f t="shared" si="11"/>
        <v>5.9912416456215705E-8</v>
      </c>
      <c r="V79" s="295">
        <f t="shared" si="11"/>
        <v>5.9912416456215705E-8</v>
      </c>
      <c r="W79" s="295">
        <f t="shared" si="11"/>
        <v>1.797372493686471E-7</v>
      </c>
      <c r="X79" s="295">
        <f t="shared" si="11"/>
        <v>1.1982483291243141E-7</v>
      </c>
      <c r="Y79" s="295">
        <f t="shared" si="11"/>
        <v>0</v>
      </c>
      <c r="Z79" s="295">
        <f t="shared" si="11"/>
        <v>0</v>
      </c>
      <c r="AA79" s="295">
        <f t="shared" si="11"/>
        <v>0</v>
      </c>
      <c r="AB79" s="295">
        <f t="shared" si="11"/>
        <v>0</v>
      </c>
      <c r="AC79" s="295">
        <f t="shared" si="11"/>
        <v>0</v>
      </c>
      <c r="AD79" s="295">
        <f t="shared" si="11"/>
        <v>0</v>
      </c>
      <c r="AE79" s="296">
        <f t="shared" si="11"/>
        <v>0</v>
      </c>
    </row>
    <row r="80" spans="1:31">
      <c r="A80" s="1711"/>
      <c r="B80" s="116">
        <v>24</v>
      </c>
      <c r="C80" s="294">
        <f t="shared" si="12"/>
        <v>3.4075105586753154E-2</v>
      </c>
      <c r="D80" s="295">
        <f t="shared" si="13"/>
        <v>3.5324982396822257E-3</v>
      </c>
      <c r="E80" s="295">
        <f t="shared" si="13"/>
        <v>7.3241409518678773E-4</v>
      </c>
      <c r="F80" s="295">
        <f t="shared" si="13"/>
        <v>2.2778372575064763E-4</v>
      </c>
      <c r="G80" s="295">
        <f t="shared" si="13"/>
        <v>9.4455538304213721E-5</v>
      </c>
      <c r="H80" s="295">
        <f t="shared" si="13"/>
        <v>4.8960086409473332E-5</v>
      </c>
      <c r="I80" s="295">
        <f t="shared" si="13"/>
        <v>0</v>
      </c>
      <c r="J80" s="295">
        <f t="shared" si="13"/>
        <v>5.9140142985131275E-7</v>
      </c>
      <c r="K80" s="295">
        <f t="shared" si="13"/>
        <v>0</v>
      </c>
      <c r="L80" s="295">
        <f t="shared" si="13"/>
        <v>6.1932040705296583E-8</v>
      </c>
      <c r="M80" s="295">
        <f t="shared" si="13"/>
        <v>0</v>
      </c>
      <c r="N80" s="295">
        <f t="shared" si="13"/>
        <v>0</v>
      </c>
      <c r="O80" s="295">
        <f t="shared" si="13"/>
        <v>6.2749817128083317E-9</v>
      </c>
      <c r="P80" s="295">
        <f t="shared" si="13"/>
        <v>0</v>
      </c>
      <c r="Q80" s="295">
        <f t="shared" si="11"/>
        <v>0</v>
      </c>
      <c r="R80" s="295">
        <f t="shared" si="11"/>
        <v>0</v>
      </c>
      <c r="S80" s="295">
        <f t="shared" si="11"/>
        <v>4.7510634517257951E-9</v>
      </c>
      <c r="T80" s="295">
        <f t="shared" si="11"/>
        <v>2.2848994775872755E-9</v>
      </c>
      <c r="U80" s="295">
        <f t="shared" si="11"/>
        <v>4.5697989551745509E-9</v>
      </c>
      <c r="V80" s="295">
        <f t="shared" si="11"/>
        <v>2.2848994775872755E-9</v>
      </c>
      <c r="W80" s="295">
        <f t="shared" si="11"/>
        <v>2.2848994775872755E-9</v>
      </c>
      <c r="X80" s="295">
        <f t="shared" si="11"/>
        <v>6.8546984327618255E-9</v>
      </c>
      <c r="Y80" s="295">
        <f t="shared" si="11"/>
        <v>4.5697989551745509E-9</v>
      </c>
      <c r="Z80" s="295">
        <f t="shared" si="11"/>
        <v>0</v>
      </c>
      <c r="AA80" s="295">
        <f t="shared" si="11"/>
        <v>0</v>
      </c>
      <c r="AB80" s="295">
        <f t="shared" si="11"/>
        <v>0</v>
      </c>
      <c r="AC80" s="295">
        <f t="shared" si="11"/>
        <v>0</v>
      </c>
      <c r="AD80" s="295">
        <f t="shared" si="11"/>
        <v>0</v>
      </c>
      <c r="AE80" s="296">
        <f t="shared" si="11"/>
        <v>0</v>
      </c>
    </row>
    <row r="81" spans="1:31" ht="15.75" thickBot="1">
      <c r="A81" s="1711"/>
      <c r="B81" s="116">
        <v>25</v>
      </c>
      <c r="C81" s="297">
        <f t="shared" si="12"/>
        <v>1.2535530801112643E-2</v>
      </c>
      <c r="D81" s="298">
        <f t="shared" si="13"/>
        <v>0</v>
      </c>
      <c r="E81" s="298">
        <f t="shared" si="13"/>
        <v>0</v>
      </c>
      <c r="F81" s="298">
        <f t="shared" si="13"/>
        <v>0</v>
      </c>
      <c r="G81" s="298">
        <f t="shared" si="13"/>
        <v>0</v>
      </c>
      <c r="H81" s="298">
        <f t="shared" si="13"/>
        <v>0</v>
      </c>
      <c r="I81" s="298">
        <f t="shared" si="13"/>
        <v>0</v>
      </c>
      <c r="J81" s="298">
        <f t="shared" si="13"/>
        <v>0</v>
      </c>
      <c r="K81" s="298">
        <f t="shared" si="13"/>
        <v>0</v>
      </c>
      <c r="L81" s="298">
        <f t="shared" si="13"/>
        <v>0</v>
      </c>
      <c r="M81" s="298">
        <f t="shared" si="13"/>
        <v>0</v>
      </c>
      <c r="N81" s="298">
        <f t="shared" si="13"/>
        <v>0</v>
      </c>
      <c r="O81" s="298">
        <f t="shared" si="13"/>
        <v>0</v>
      </c>
      <c r="P81" s="298">
        <f t="shared" si="13"/>
        <v>0</v>
      </c>
      <c r="Q81" s="298">
        <f t="shared" si="11"/>
        <v>0</v>
      </c>
      <c r="R81" s="298">
        <f t="shared" si="11"/>
        <v>0</v>
      </c>
      <c r="S81" s="298">
        <f t="shared" si="11"/>
        <v>0</v>
      </c>
      <c r="T81" s="298">
        <f t="shared" si="11"/>
        <v>0</v>
      </c>
      <c r="U81" s="298">
        <f t="shared" si="11"/>
        <v>0</v>
      </c>
      <c r="V81" s="298">
        <f t="shared" si="11"/>
        <v>0</v>
      </c>
      <c r="W81" s="298">
        <f t="shared" si="11"/>
        <v>0</v>
      </c>
      <c r="X81" s="298">
        <f t="shared" si="11"/>
        <v>0</v>
      </c>
      <c r="Y81" s="298">
        <f t="shared" si="11"/>
        <v>0</v>
      </c>
      <c r="Z81" s="298">
        <f t="shared" si="11"/>
        <v>0</v>
      </c>
      <c r="AA81" s="298">
        <f t="shared" si="11"/>
        <v>0</v>
      </c>
      <c r="AB81" s="298">
        <f t="shared" si="11"/>
        <v>0</v>
      </c>
      <c r="AC81" s="298">
        <f t="shared" si="11"/>
        <v>0</v>
      </c>
      <c r="AD81" s="298">
        <f t="shared" si="11"/>
        <v>0</v>
      </c>
      <c r="AE81" s="299">
        <f t="shared" si="11"/>
        <v>0</v>
      </c>
    </row>
    <row r="82" spans="1:31" ht="16.5" thickTop="1" thickBot="1">
      <c r="A82" s="1712"/>
      <c r="B82" s="300" t="s">
        <v>39</v>
      </c>
      <c r="C82" s="349">
        <f>SUM(C56:C81)</f>
        <v>22.993067828993588</v>
      </c>
      <c r="D82" s="349">
        <f>SUM(D56:D81)</f>
        <v>14.233896754820417</v>
      </c>
      <c r="E82" s="349">
        <f t="shared" ref="E82:AE82" si="14">SUM(E56:E81)</f>
        <v>11.882951721066213</v>
      </c>
      <c r="F82" s="349">
        <f t="shared" si="14"/>
        <v>10.681609366292903</v>
      </c>
      <c r="G82" s="349">
        <f t="shared" si="14"/>
        <v>9.5943685008231139</v>
      </c>
      <c r="H82" s="349">
        <f t="shared" si="14"/>
        <v>8.3302813896857977</v>
      </c>
      <c r="I82" s="349">
        <f t="shared" si="14"/>
        <v>6.8752910185627263</v>
      </c>
      <c r="J82" s="349">
        <f t="shared" si="14"/>
        <v>5.3296972670530867</v>
      </c>
      <c r="K82" s="349">
        <f t="shared" si="14"/>
        <v>3.8861603613373745</v>
      </c>
      <c r="L82" s="349">
        <f t="shared" si="14"/>
        <v>2.5717653655425781</v>
      </c>
      <c r="M82" s="349">
        <f t="shared" si="14"/>
        <v>1.4797826231925828</v>
      </c>
      <c r="N82" s="349">
        <f t="shared" si="14"/>
        <v>0.74006068944660652</v>
      </c>
      <c r="O82" s="349">
        <f t="shared" si="14"/>
        <v>0.3230780946658201</v>
      </c>
      <c r="P82" s="349">
        <f t="shared" si="14"/>
        <v>0.11720325518552854</v>
      </c>
      <c r="Q82" s="349">
        <f t="shared" si="14"/>
        <v>3.8282994505865621E-2</v>
      </c>
      <c r="R82" s="349">
        <f t="shared" si="14"/>
        <v>1.1116967340921895E-2</v>
      </c>
      <c r="S82" s="349">
        <f t="shared" si="14"/>
        <v>2.8243701830481601E-3</v>
      </c>
      <c r="T82" s="349">
        <f t="shared" si="14"/>
        <v>6.1481062501879348E-4</v>
      </c>
      <c r="U82" s="349">
        <f t="shared" si="14"/>
        <v>1.114548930088276E-4</v>
      </c>
      <c r="V82" s="349">
        <f t="shared" si="14"/>
        <v>1.6149420394700036E-5</v>
      </c>
      <c r="W82" s="349">
        <f t="shared" si="14"/>
        <v>1.752987384224261E-6</v>
      </c>
      <c r="X82" s="349">
        <f t="shared" si="14"/>
        <v>1.2667953134519323E-7</v>
      </c>
      <c r="Y82" s="349">
        <f t="shared" si="14"/>
        <v>4.5697989551745509E-9</v>
      </c>
      <c r="Z82" s="349">
        <f t="shared" si="14"/>
        <v>0</v>
      </c>
      <c r="AA82" s="349">
        <f t="shared" si="14"/>
        <v>0</v>
      </c>
      <c r="AB82" s="349">
        <f t="shared" si="14"/>
        <v>0</v>
      </c>
      <c r="AC82" s="349">
        <f t="shared" si="14"/>
        <v>0</v>
      </c>
      <c r="AD82" s="349">
        <f t="shared" si="14"/>
        <v>0</v>
      </c>
      <c r="AE82" s="350">
        <f t="shared" si="14"/>
        <v>0</v>
      </c>
    </row>
    <row r="83" spans="1:31" ht="15.75" thickBot="1">
      <c r="C83" s="351"/>
    </row>
    <row r="84" spans="1:31" ht="15.75" customHeight="1" thickBot="1">
      <c r="A84" s="1710" t="s">
        <v>198</v>
      </c>
      <c r="B84" s="169" t="s">
        <v>10</v>
      </c>
      <c r="C84" s="288">
        <v>2012</v>
      </c>
      <c r="D84" s="347">
        <v>2013</v>
      </c>
      <c r="E84" s="347">
        <v>2014</v>
      </c>
      <c r="F84" s="288">
        <v>2015</v>
      </c>
      <c r="G84" s="347">
        <v>2016</v>
      </c>
      <c r="H84" s="347">
        <v>2017</v>
      </c>
      <c r="I84" s="288">
        <v>2018</v>
      </c>
      <c r="J84" s="347">
        <v>2019</v>
      </c>
      <c r="K84" s="347">
        <v>2020</v>
      </c>
      <c r="L84" s="288">
        <v>2021</v>
      </c>
      <c r="M84" s="347">
        <v>2022</v>
      </c>
      <c r="N84" s="347">
        <v>2023</v>
      </c>
      <c r="O84" s="288">
        <v>2024</v>
      </c>
      <c r="P84" s="347">
        <v>2025</v>
      </c>
      <c r="Q84" s="347">
        <v>2026</v>
      </c>
      <c r="R84" s="288">
        <v>2027</v>
      </c>
      <c r="S84" s="347">
        <v>2028</v>
      </c>
      <c r="T84" s="347">
        <v>2029</v>
      </c>
      <c r="U84" s="288">
        <v>2030</v>
      </c>
      <c r="V84" s="347">
        <v>2031</v>
      </c>
      <c r="W84" s="347">
        <v>2032</v>
      </c>
      <c r="X84" s="288">
        <v>2033</v>
      </c>
      <c r="Y84" s="347">
        <v>2034</v>
      </c>
      <c r="Z84" s="347">
        <v>2035</v>
      </c>
      <c r="AA84" s="288">
        <v>2036</v>
      </c>
      <c r="AB84" s="347">
        <v>2037</v>
      </c>
      <c r="AC84" s="347">
        <v>2038</v>
      </c>
      <c r="AD84" s="288">
        <v>2039</v>
      </c>
      <c r="AE84" s="348">
        <v>2040</v>
      </c>
    </row>
    <row r="85" spans="1:31">
      <c r="A85" s="1711"/>
      <c r="B85" s="116">
        <v>0</v>
      </c>
      <c r="C85" s="291">
        <f t="shared" ref="C85:C103" si="15">L28</f>
        <v>1</v>
      </c>
      <c r="D85" s="292"/>
      <c r="E85" s="292"/>
      <c r="F85" s="292"/>
      <c r="G85" s="292"/>
      <c r="H85" s="292"/>
      <c r="I85" s="292"/>
      <c r="J85" s="292"/>
      <c r="K85" s="292"/>
      <c r="L85" s="292"/>
      <c r="M85" s="292"/>
      <c r="N85" s="292"/>
      <c r="O85" s="292"/>
      <c r="P85" s="292"/>
      <c r="Q85" s="292"/>
      <c r="R85" s="292"/>
      <c r="S85" s="292"/>
      <c r="T85" s="292"/>
      <c r="U85" s="292"/>
      <c r="V85" s="292"/>
      <c r="W85" s="292"/>
      <c r="X85" s="292"/>
      <c r="Y85" s="292"/>
      <c r="Z85" s="292"/>
      <c r="AA85" s="292"/>
      <c r="AB85" s="292"/>
      <c r="AC85" s="292"/>
      <c r="AD85" s="292"/>
      <c r="AE85" s="293"/>
    </row>
    <row r="86" spans="1:31">
      <c r="A86" s="1711"/>
      <c r="B86" s="116">
        <v>1</v>
      </c>
      <c r="C86" s="294">
        <f t="shared" si="15"/>
        <v>6</v>
      </c>
      <c r="D86" s="295">
        <f t="shared" ref="D86:AE95" si="16">C85*$D29</f>
        <v>0.98507826591193781</v>
      </c>
      <c r="E86" s="295">
        <f t="shared" si="16"/>
        <v>0</v>
      </c>
      <c r="F86" s="295">
        <f t="shared" si="16"/>
        <v>0</v>
      </c>
      <c r="G86" s="295">
        <f t="shared" si="16"/>
        <v>0</v>
      </c>
      <c r="H86" s="295">
        <f t="shared" si="16"/>
        <v>0</v>
      </c>
      <c r="I86" s="295">
        <f t="shared" si="16"/>
        <v>0</v>
      </c>
      <c r="J86" s="295">
        <f t="shared" si="16"/>
        <v>0</v>
      </c>
      <c r="K86" s="295">
        <f t="shared" si="16"/>
        <v>0</v>
      </c>
      <c r="L86" s="295">
        <f t="shared" si="16"/>
        <v>0</v>
      </c>
      <c r="M86" s="295">
        <f t="shared" si="16"/>
        <v>0</v>
      </c>
      <c r="N86" s="295">
        <f t="shared" si="16"/>
        <v>0</v>
      </c>
      <c r="O86" s="295">
        <f t="shared" si="16"/>
        <v>0</v>
      </c>
      <c r="P86" s="295">
        <f t="shared" si="16"/>
        <v>0</v>
      </c>
      <c r="Q86" s="295">
        <f t="shared" si="16"/>
        <v>0</v>
      </c>
      <c r="R86" s="295">
        <f t="shared" si="16"/>
        <v>0</v>
      </c>
      <c r="S86" s="295">
        <f t="shared" si="16"/>
        <v>0</v>
      </c>
      <c r="T86" s="295">
        <f t="shared" si="16"/>
        <v>0</v>
      </c>
      <c r="U86" s="295">
        <f t="shared" si="16"/>
        <v>0</v>
      </c>
      <c r="V86" s="295">
        <f t="shared" si="16"/>
        <v>0</v>
      </c>
      <c r="W86" s="295">
        <f t="shared" si="16"/>
        <v>0</v>
      </c>
      <c r="X86" s="295">
        <f t="shared" si="16"/>
        <v>0</v>
      </c>
      <c r="Y86" s="295">
        <f t="shared" si="16"/>
        <v>0</v>
      </c>
      <c r="Z86" s="295">
        <f t="shared" si="16"/>
        <v>0</v>
      </c>
      <c r="AA86" s="295">
        <f t="shared" si="16"/>
        <v>0</v>
      </c>
      <c r="AB86" s="295">
        <f t="shared" si="16"/>
        <v>0</v>
      </c>
      <c r="AC86" s="295">
        <f t="shared" si="16"/>
        <v>0</v>
      </c>
      <c r="AD86" s="295">
        <f t="shared" si="16"/>
        <v>0</v>
      </c>
      <c r="AE86" s="296">
        <f t="shared" si="16"/>
        <v>0</v>
      </c>
    </row>
    <row r="87" spans="1:31">
      <c r="A87" s="1711"/>
      <c r="B87" s="116">
        <v>2</v>
      </c>
      <c r="C87" s="294">
        <f t="shared" si="15"/>
        <v>8</v>
      </c>
      <c r="D87" s="295">
        <f t="shared" si="16"/>
        <v>5.9694226313356236</v>
      </c>
      <c r="E87" s="295">
        <f t="shared" si="16"/>
        <v>0.98005808236192882</v>
      </c>
      <c r="F87" s="295">
        <f t="shared" si="16"/>
        <v>0</v>
      </c>
      <c r="G87" s="295">
        <f t="shared" si="16"/>
        <v>0</v>
      </c>
      <c r="H87" s="295">
        <f t="shared" si="16"/>
        <v>0</v>
      </c>
      <c r="I87" s="295">
        <f t="shared" si="16"/>
        <v>0</v>
      </c>
      <c r="J87" s="295">
        <f t="shared" si="16"/>
        <v>0</v>
      </c>
      <c r="K87" s="295">
        <f t="shared" si="16"/>
        <v>0</v>
      </c>
      <c r="L87" s="295">
        <f t="shared" si="16"/>
        <v>0</v>
      </c>
      <c r="M87" s="295">
        <f t="shared" si="16"/>
        <v>0</v>
      </c>
      <c r="N87" s="295">
        <f t="shared" si="16"/>
        <v>0</v>
      </c>
      <c r="O87" s="295">
        <f t="shared" si="16"/>
        <v>0</v>
      </c>
      <c r="P87" s="295">
        <f t="shared" si="16"/>
        <v>0</v>
      </c>
      <c r="Q87" s="295">
        <f t="shared" si="16"/>
        <v>0</v>
      </c>
      <c r="R87" s="295">
        <f t="shared" si="16"/>
        <v>0</v>
      </c>
      <c r="S87" s="295">
        <f t="shared" si="16"/>
        <v>0</v>
      </c>
      <c r="T87" s="295">
        <f t="shared" si="16"/>
        <v>0</v>
      </c>
      <c r="U87" s="295">
        <f t="shared" si="16"/>
        <v>0</v>
      </c>
      <c r="V87" s="295">
        <f t="shared" si="16"/>
        <v>0</v>
      </c>
      <c r="W87" s="295">
        <f t="shared" si="16"/>
        <v>0</v>
      </c>
      <c r="X87" s="295">
        <f t="shared" si="16"/>
        <v>0</v>
      </c>
      <c r="Y87" s="295">
        <f t="shared" si="16"/>
        <v>0</v>
      </c>
      <c r="Z87" s="295">
        <f t="shared" si="16"/>
        <v>0</v>
      </c>
      <c r="AA87" s="295">
        <f t="shared" si="16"/>
        <v>0</v>
      </c>
      <c r="AB87" s="295">
        <f t="shared" si="16"/>
        <v>0</v>
      </c>
      <c r="AC87" s="295">
        <f t="shared" si="16"/>
        <v>0</v>
      </c>
      <c r="AD87" s="295">
        <f t="shared" si="16"/>
        <v>0</v>
      </c>
      <c r="AE87" s="296">
        <f t="shared" si="16"/>
        <v>0</v>
      </c>
    </row>
    <row r="88" spans="1:31">
      <c r="A88" s="1711"/>
      <c r="B88" s="116">
        <v>3</v>
      </c>
      <c r="C88" s="294">
        <f t="shared" si="15"/>
        <v>13</v>
      </c>
      <c r="D88" s="295">
        <f t="shared" si="16"/>
        <v>7.9834321692541268</v>
      </c>
      <c r="E88" s="295">
        <f t="shared" si="16"/>
        <v>5.9570600833598046</v>
      </c>
      <c r="F88" s="295">
        <f t="shared" si="16"/>
        <v>0.97802840280821668</v>
      </c>
      <c r="G88" s="295">
        <f t="shared" si="16"/>
        <v>0</v>
      </c>
      <c r="H88" s="295">
        <f t="shared" si="16"/>
        <v>0</v>
      </c>
      <c r="I88" s="295">
        <f t="shared" si="16"/>
        <v>0</v>
      </c>
      <c r="J88" s="295">
        <f t="shared" si="16"/>
        <v>0</v>
      </c>
      <c r="K88" s="295">
        <f t="shared" si="16"/>
        <v>0</v>
      </c>
      <c r="L88" s="295">
        <f t="shared" si="16"/>
        <v>0</v>
      </c>
      <c r="M88" s="295">
        <f t="shared" si="16"/>
        <v>0</v>
      </c>
      <c r="N88" s="295">
        <f t="shared" si="16"/>
        <v>0</v>
      </c>
      <c r="O88" s="295">
        <f t="shared" si="16"/>
        <v>0</v>
      </c>
      <c r="P88" s="295">
        <f t="shared" si="16"/>
        <v>0</v>
      </c>
      <c r="Q88" s="295">
        <f t="shared" si="16"/>
        <v>0</v>
      </c>
      <c r="R88" s="295">
        <f t="shared" si="16"/>
        <v>0</v>
      </c>
      <c r="S88" s="295">
        <f t="shared" si="16"/>
        <v>0</v>
      </c>
      <c r="T88" s="295">
        <f t="shared" si="16"/>
        <v>0</v>
      </c>
      <c r="U88" s="295">
        <f t="shared" si="16"/>
        <v>0</v>
      </c>
      <c r="V88" s="295">
        <f t="shared" si="16"/>
        <v>0</v>
      </c>
      <c r="W88" s="295">
        <f t="shared" si="16"/>
        <v>0</v>
      </c>
      <c r="X88" s="295">
        <f t="shared" si="16"/>
        <v>0</v>
      </c>
      <c r="Y88" s="295">
        <f t="shared" si="16"/>
        <v>0</v>
      </c>
      <c r="Z88" s="295">
        <f t="shared" si="16"/>
        <v>0</v>
      </c>
      <c r="AA88" s="295">
        <f t="shared" si="16"/>
        <v>0</v>
      </c>
      <c r="AB88" s="295">
        <f t="shared" si="16"/>
        <v>0</v>
      </c>
      <c r="AC88" s="295">
        <f t="shared" si="16"/>
        <v>0</v>
      </c>
      <c r="AD88" s="295">
        <f t="shared" si="16"/>
        <v>0</v>
      </c>
      <c r="AE88" s="296">
        <f t="shared" si="16"/>
        <v>0</v>
      </c>
    </row>
    <row r="89" spans="1:31">
      <c r="A89" s="1711"/>
      <c r="B89" s="116">
        <v>4</v>
      </c>
      <c r="C89" s="294">
        <f t="shared" si="15"/>
        <v>17</v>
      </c>
      <c r="D89" s="295">
        <f t="shared" si="16"/>
        <v>13</v>
      </c>
      <c r="E89" s="295">
        <f t="shared" si="16"/>
        <v>7.9834321692541268</v>
      </c>
      <c r="F89" s="295">
        <f t="shared" si="16"/>
        <v>5.9570600833598046</v>
      </c>
      <c r="G89" s="295">
        <f t="shared" si="16"/>
        <v>0.97802840280821668</v>
      </c>
      <c r="H89" s="295">
        <f t="shared" si="16"/>
        <v>0</v>
      </c>
      <c r="I89" s="295">
        <f t="shared" si="16"/>
        <v>0</v>
      </c>
      <c r="J89" s="295">
        <f t="shared" si="16"/>
        <v>0</v>
      </c>
      <c r="K89" s="295">
        <f t="shared" si="16"/>
        <v>0</v>
      </c>
      <c r="L89" s="295">
        <f t="shared" si="16"/>
        <v>0</v>
      </c>
      <c r="M89" s="295">
        <f t="shared" si="16"/>
        <v>0</v>
      </c>
      <c r="N89" s="295">
        <f t="shared" si="16"/>
        <v>0</v>
      </c>
      <c r="O89" s="295">
        <f t="shared" si="16"/>
        <v>0</v>
      </c>
      <c r="P89" s="295">
        <f t="shared" si="16"/>
        <v>0</v>
      </c>
      <c r="Q89" s="295">
        <f t="shared" si="16"/>
        <v>0</v>
      </c>
      <c r="R89" s="295">
        <f t="shared" si="16"/>
        <v>0</v>
      </c>
      <c r="S89" s="295">
        <f t="shared" si="16"/>
        <v>0</v>
      </c>
      <c r="T89" s="295">
        <f t="shared" si="16"/>
        <v>0</v>
      </c>
      <c r="U89" s="295">
        <f t="shared" si="16"/>
        <v>0</v>
      </c>
      <c r="V89" s="295">
        <f t="shared" si="16"/>
        <v>0</v>
      </c>
      <c r="W89" s="295">
        <f t="shared" si="16"/>
        <v>0</v>
      </c>
      <c r="X89" s="295">
        <f t="shared" si="16"/>
        <v>0</v>
      </c>
      <c r="Y89" s="295">
        <f t="shared" si="16"/>
        <v>0</v>
      </c>
      <c r="Z89" s="295">
        <f t="shared" si="16"/>
        <v>0</v>
      </c>
      <c r="AA89" s="295">
        <f t="shared" si="16"/>
        <v>0</v>
      </c>
      <c r="AB89" s="295">
        <f t="shared" si="16"/>
        <v>0</v>
      </c>
      <c r="AC89" s="295">
        <f t="shared" si="16"/>
        <v>0</v>
      </c>
      <c r="AD89" s="295">
        <f t="shared" si="16"/>
        <v>0</v>
      </c>
      <c r="AE89" s="296">
        <f t="shared" si="16"/>
        <v>0</v>
      </c>
    </row>
    <row r="90" spans="1:31">
      <c r="A90" s="1711"/>
      <c r="B90" s="116">
        <v>5</v>
      </c>
      <c r="C90" s="294">
        <f t="shared" si="15"/>
        <v>31</v>
      </c>
      <c r="D90" s="295">
        <f t="shared" si="16"/>
        <v>17</v>
      </c>
      <c r="E90" s="295">
        <f t="shared" si="16"/>
        <v>13</v>
      </c>
      <c r="F90" s="295">
        <f t="shared" si="16"/>
        <v>7.9834321692541268</v>
      </c>
      <c r="G90" s="295">
        <f t="shared" si="16"/>
        <v>5.9570600833598046</v>
      </c>
      <c r="H90" s="295">
        <f t="shared" si="16"/>
        <v>0.97802840280821668</v>
      </c>
      <c r="I90" s="295">
        <f t="shared" si="16"/>
        <v>0</v>
      </c>
      <c r="J90" s="295">
        <f t="shared" si="16"/>
        <v>0</v>
      </c>
      <c r="K90" s="295">
        <f t="shared" si="16"/>
        <v>0</v>
      </c>
      <c r="L90" s="295">
        <f t="shared" si="16"/>
        <v>0</v>
      </c>
      <c r="M90" s="295">
        <f t="shared" si="16"/>
        <v>0</v>
      </c>
      <c r="N90" s="295">
        <f t="shared" si="16"/>
        <v>0</v>
      </c>
      <c r="O90" s="295">
        <f t="shared" si="16"/>
        <v>0</v>
      </c>
      <c r="P90" s="295">
        <f t="shared" si="16"/>
        <v>0</v>
      </c>
      <c r="Q90" s="295">
        <f t="shared" si="16"/>
        <v>0</v>
      </c>
      <c r="R90" s="295">
        <f t="shared" si="16"/>
        <v>0</v>
      </c>
      <c r="S90" s="295">
        <f t="shared" si="16"/>
        <v>0</v>
      </c>
      <c r="T90" s="295">
        <f t="shared" si="16"/>
        <v>0</v>
      </c>
      <c r="U90" s="295">
        <f t="shared" si="16"/>
        <v>0</v>
      </c>
      <c r="V90" s="295">
        <f t="shared" si="16"/>
        <v>0</v>
      </c>
      <c r="W90" s="295">
        <f t="shared" si="16"/>
        <v>0</v>
      </c>
      <c r="X90" s="295">
        <f t="shared" si="16"/>
        <v>0</v>
      </c>
      <c r="Y90" s="295">
        <f t="shared" si="16"/>
        <v>0</v>
      </c>
      <c r="Z90" s="295">
        <f t="shared" si="16"/>
        <v>0</v>
      </c>
      <c r="AA90" s="295">
        <f t="shared" si="16"/>
        <v>0</v>
      </c>
      <c r="AB90" s="295">
        <f t="shared" si="16"/>
        <v>0</v>
      </c>
      <c r="AC90" s="295">
        <f t="shared" si="16"/>
        <v>0</v>
      </c>
      <c r="AD90" s="295">
        <f t="shared" si="16"/>
        <v>0</v>
      </c>
      <c r="AE90" s="296">
        <f t="shared" si="16"/>
        <v>0</v>
      </c>
    </row>
    <row r="91" spans="1:31">
      <c r="A91" s="1711"/>
      <c r="B91" s="116">
        <v>6</v>
      </c>
      <c r="C91" s="294">
        <f t="shared" si="15"/>
        <v>40</v>
      </c>
      <c r="D91" s="295">
        <f t="shared" si="16"/>
        <v>30.885172499479115</v>
      </c>
      <c r="E91" s="295">
        <f t="shared" si="16"/>
        <v>16.937030080359513</v>
      </c>
      <c r="F91" s="295">
        <f t="shared" si="16"/>
        <v>12.951846532039628</v>
      </c>
      <c r="G91" s="295">
        <f t="shared" si="16"/>
        <v>7.9538606350098204</v>
      </c>
      <c r="H91" s="295">
        <f t="shared" si="16"/>
        <v>5.9349944601396452</v>
      </c>
      <c r="I91" s="295">
        <f t="shared" si="16"/>
        <v>0.97440567516521981</v>
      </c>
      <c r="J91" s="295">
        <f t="shared" si="16"/>
        <v>0</v>
      </c>
      <c r="K91" s="295">
        <f t="shared" si="16"/>
        <v>0</v>
      </c>
      <c r="L91" s="295">
        <f t="shared" si="16"/>
        <v>0</v>
      </c>
      <c r="M91" s="295">
        <f t="shared" si="16"/>
        <v>0</v>
      </c>
      <c r="N91" s="295">
        <f t="shared" si="16"/>
        <v>0</v>
      </c>
      <c r="O91" s="295">
        <f t="shared" si="16"/>
        <v>0</v>
      </c>
      <c r="P91" s="295">
        <f t="shared" si="16"/>
        <v>0</v>
      </c>
      <c r="Q91" s="295">
        <f t="shared" si="16"/>
        <v>0</v>
      </c>
      <c r="R91" s="295">
        <f t="shared" si="16"/>
        <v>0</v>
      </c>
      <c r="S91" s="295">
        <f t="shared" si="16"/>
        <v>0</v>
      </c>
      <c r="T91" s="295">
        <f t="shared" si="16"/>
        <v>0</v>
      </c>
      <c r="U91" s="295">
        <f t="shared" si="16"/>
        <v>0</v>
      </c>
      <c r="V91" s="295">
        <f t="shared" si="16"/>
        <v>0</v>
      </c>
      <c r="W91" s="295">
        <f t="shared" si="16"/>
        <v>0</v>
      </c>
      <c r="X91" s="295">
        <f t="shared" si="16"/>
        <v>0</v>
      </c>
      <c r="Y91" s="295">
        <f t="shared" si="16"/>
        <v>0</v>
      </c>
      <c r="Z91" s="295">
        <f t="shared" si="16"/>
        <v>0</v>
      </c>
      <c r="AA91" s="295">
        <f t="shared" si="16"/>
        <v>0</v>
      </c>
      <c r="AB91" s="295">
        <f t="shared" si="16"/>
        <v>0</v>
      </c>
      <c r="AC91" s="295">
        <f t="shared" si="16"/>
        <v>0</v>
      </c>
      <c r="AD91" s="295">
        <f t="shared" si="16"/>
        <v>0</v>
      </c>
      <c r="AE91" s="296">
        <f t="shared" si="16"/>
        <v>0</v>
      </c>
    </row>
    <row r="92" spans="1:31">
      <c r="A92" s="1711"/>
      <c r="B92" s="116">
        <v>7</v>
      </c>
      <c r="C92" s="294">
        <f t="shared" si="15"/>
        <v>43</v>
      </c>
      <c r="D92" s="295">
        <f t="shared" si="16"/>
        <v>38.383669703932831</v>
      </c>
      <c r="E92" s="295">
        <f t="shared" si="16"/>
        <v>29.637156499224901</v>
      </c>
      <c r="F92" s="295">
        <f t="shared" si="16"/>
        <v>16.252634209252363</v>
      </c>
      <c r="G92" s="295">
        <f t="shared" si="16"/>
        <v>12.428484983545925</v>
      </c>
      <c r="H92" s="295">
        <f t="shared" si="16"/>
        <v>7.6324589871332602</v>
      </c>
      <c r="I92" s="295">
        <f t="shared" si="16"/>
        <v>5.6951716763167823</v>
      </c>
      <c r="J92" s="295">
        <f t="shared" si="16"/>
        <v>0.93503163982948656</v>
      </c>
      <c r="K92" s="295">
        <f t="shared" si="16"/>
        <v>0</v>
      </c>
      <c r="L92" s="295">
        <f t="shared" si="16"/>
        <v>0</v>
      </c>
      <c r="M92" s="295">
        <f t="shared" si="16"/>
        <v>0</v>
      </c>
      <c r="N92" s="295">
        <f t="shared" si="16"/>
        <v>0</v>
      </c>
      <c r="O92" s="295">
        <f t="shared" si="16"/>
        <v>0</v>
      </c>
      <c r="P92" s="295">
        <f t="shared" si="16"/>
        <v>0</v>
      </c>
      <c r="Q92" s="295">
        <f t="shared" si="16"/>
        <v>0</v>
      </c>
      <c r="R92" s="295">
        <f t="shared" si="16"/>
        <v>0</v>
      </c>
      <c r="S92" s="295">
        <f t="shared" si="16"/>
        <v>0</v>
      </c>
      <c r="T92" s="295">
        <f t="shared" si="16"/>
        <v>0</v>
      </c>
      <c r="U92" s="295">
        <f t="shared" si="16"/>
        <v>0</v>
      </c>
      <c r="V92" s="295">
        <f t="shared" si="16"/>
        <v>0</v>
      </c>
      <c r="W92" s="295">
        <f t="shared" si="16"/>
        <v>0</v>
      </c>
      <c r="X92" s="295">
        <f t="shared" si="16"/>
        <v>0</v>
      </c>
      <c r="Y92" s="295">
        <f t="shared" si="16"/>
        <v>0</v>
      </c>
      <c r="Z92" s="295">
        <f t="shared" si="16"/>
        <v>0</v>
      </c>
      <c r="AA92" s="295">
        <f t="shared" si="16"/>
        <v>0</v>
      </c>
      <c r="AB92" s="295">
        <f t="shared" si="16"/>
        <v>0</v>
      </c>
      <c r="AC92" s="295">
        <f t="shared" si="16"/>
        <v>0</v>
      </c>
      <c r="AD92" s="295">
        <f t="shared" si="16"/>
        <v>0</v>
      </c>
      <c r="AE92" s="296">
        <f t="shared" si="16"/>
        <v>0</v>
      </c>
    </row>
    <row r="93" spans="1:31">
      <c r="A93" s="1711"/>
      <c r="B93" s="116">
        <v>8</v>
      </c>
      <c r="C93" s="294">
        <f t="shared" si="15"/>
        <v>28</v>
      </c>
      <c r="D93" s="295">
        <f t="shared" si="16"/>
        <v>39.193466275813961</v>
      </c>
      <c r="E93" s="295">
        <f t="shared" si="16"/>
        <v>34.985792187978454</v>
      </c>
      <c r="F93" s="295">
        <f t="shared" si="16"/>
        <v>27.013555668916087</v>
      </c>
      <c r="G93" s="295">
        <f t="shared" si="16"/>
        <v>14.81388536682495</v>
      </c>
      <c r="H93" s="295">
        <f t="shared" si="16"/>
        <v>11.328265280513197</v>
      </c>
      <c r="I93" s="295">
        <f t="shared" si="16"/>
        <v>6.9568028817148981</v>
      </c>
      <c r="J93" s="295">
        <f t="shared" si="16"/>
        <v>5.191012070481225</v>
      </c>
      <c r="K93" s="295">
        <f t="shared" si="16"/>
        <v>0.85225886145293039</v>
      </c>
      <c r="L93" s="295">
        <f t="shared" si="16"/>
        <v>0</v>
      </c>
      <c r="M93" s="295">
        <f t="shared" si="16"/>
        <v>0</v>
      </c>
      <c r="N93" s="295">
        <f t="shared" si="16"/>
        <v>0</v>
      </c>
      <c r="O93" s="295">
        <f t="shared" si="16"/>
        <v>0</v>
      </c>
      <c r="P93" s="295">
        <f t="shared" si="16"/>
        <v>0</v>
      </c>
      <c r="Q93" s="295">
        <f t="shared" si="16"/>
        <v>0</v>
      </c>
      <c r="R93" s="295">
        <f t="shared" si="16"/>
        <v>0</v>
      </c>
      <c r="S93" s="295">
        <f t="shared" si="16"/>
        <v>0</v>
      </c>
      <c r="T93" s="295">
        <f t="shared" si="16"/>
        <v>0</v>
      </c>
      <c r="U93" s="295">
        <f t="shared" si="16"/>
        <v>0</v>
      </c>
      <c r="V93" s="295">
        <f t="shared" si="16"/>
        <v>0</v>
      </c>
      <c r="W93" s="295">
        <f t="shared" si="16"/>
        <v>0</v>
      </c>
      <c r="X93" s="295">
        <f t="shared" si="16"/>
        <v>0</v>
      </c>
      <c r="Y93" s="295">
        <f t="shared" si="16"/>
        <v>0</v>
      </c>
      <c r="Z93" s="295">
        <f t="shared" si="16"/>
        <v>0</v>
      </c>
      <c r="AA93" s="295">
        <f t="shared" si="16"/>
        <v>0</v>
      </c>
      <c r="AB93" s="295">
        <f t="shared" si="16"/>
        <v>0</v>
      </c>
      <c r="AC93" s="295">
        <f t="shared" si="16"/>
        <v>0</v>
      </c>
      <c r="AD93" s="295">
        <f t="shared" si="16"/>
        <v>0</v>
      </c>
      <c r="AE93" s="296">
        <f t="shared" si="16"/>
        <v>0</v>
      </c>
    </row>
    <row r="94" spans="1:31">
      <c r="A94" s="1711"/>
      <c r="B94" s="116">
        <v>9</v>
      </c>
      <c r="C94" s="294">
        <f t="shared" si="15"/>
        <v>25</v>
      </c>
      <c r="D94" s="295">
        <f t="shared" si="16"/>
        <v>23.538683598120425</v>
      </c>
      <c r="E94" s="295">
        <f t="shared" si="16"/>
        <v>32.948664349285288</v>
      </c>
      <c r="F94" s="295">
        <f t="shared" si="16"/>
        <v>29.411410455086362</v>
      </c>
      <c r="G94" s="295">
        <f t="shared" si="16"/>
        <v>22.709412133958146</v>
      </c>
      <c r="H94" s="295">
        <f t="shared" si="16"/>
        <v>12.45354858958995</v>
      </c>
      <c r="I94" s="295">
        <f t="shared" si="16"/>
        <v>9.5233018626276085</v>
      </c>
      <c r="J94" s="295">
        <f t="shared" si="16"/>
        <v>5.848356495970692</v>
      </c>
      <c r="K94" s="295">
        <f t="shared" si="16"/>
        <v>4.3639139528957696</v>
      </c>
      <c r="L94" s="295">
        <f t="shared" si="16"/>
        <v>0.71646613155124572</v>
      </c>
      <c r="M94" s="295">
        <f t="shared" si="16"/>
        <v>0</v>
      </c>
      <c r="N94" s="295">
        <f t="shared" si="16"/>
        <v>0</v>
      </c>
      <c r="O94" s="295">
        <f t="shared" si="16"/>
        <v>0</v>
      </c>
      <c r="P94" s="295">
        <f t="shared" si="16"/>
        <v>0</v>
      </c>
      <c r="Q94" s="295">
        <f t="shared" si="16"/>
        <v>0</v>
      </c>
      <c r="R94" s="295">
        <f t="shared" si="16"/>
        <v>0</v>
      </c>
      <c r="S94" s="295">
        <f t="shared" si="16"/>
        <v>0</v>
      </c>
      <c r="T94" s="295">
        <f t="shared" si="16"/>
        <v>0</v>
      </c>
      <c r="U94" s="295">
        <f t="shared" si="16"/>
        <v>0</v>
      </c>
      <c r="V94" s="295">
        <f t="shared" si="16"/>
        <v>0</v>
      </c>
      <c r="W94" s="295">
        <f t="shared" si="16"/>
        <v>0</v>
      </c>
      <c r="X94" s="295">
        <f t="shared" si="16"/>
        <v>0</v>
      </c>
      <c r="Y94" s="295">
        <f t="shared" si="16"/>
        <v>0</v>
      </c>
      <c r="Z94" s="295">
        <f t="shared" si="16"/>
        <v>0</v>
      </c>
      <c r="AA94" s="295">
        <f t="shared" si="16"/>
        <v>0</v>
      </c>
      <c r="AB94" s="295">
        <f t="shared" si="16"/>
        <v>0</v>
      </c>
      <c r="AC94" s="295">
        <f t="shared" si="16"/>
        <v>0</v>
      </c>
      <c r="AD94" s="295">
        <f t="shared" si="16"/>
        <v>0</v>
      </c>
      <c r="AE94" s="296">
        <f t="shared" si="16"/>
        <v>0</v>
      </c>
    </row>
    <row r="95" spans="1:31">
      <c r="A95" s="1711"/>
      <c r="B95" s="116">
        <v>10</v>
      </c>
      <c r="C95" s="294">
        <f t="shared" si="15"/>
        <v>26</v>
      </c>
      <c r="D95" s="295">
        <f t="shared" si="16"/>
        <v>19.028877586459462</v>
      </c>
      <c r="E95" s="295">
        <f t="shared" si="16"/>
        <v>17.916589149401389</v>
      </c>
      <c r="F95" s="295">
        <f t="shared" si="16"/>
        <v>25.079044021595628</v>
      </c>
      <c r="G95" s="295">
        <f t="shared" ref="G95:AE105" si="17">F94*$D38</f>
        <v>22.386645167798093</v>
      </c>
      <c r="H95" s="295">
        <f t="shared" si="17"/>
        <v>17.285384942301867</v>
      </c>
      <c r="I95" s="295">
        <f t="shared" si="17"/>
        <v>9.4790820651332819</v>
      </c>
      <c r="J95" s="295">
        <f t="shared" si="17"/>
        <v>7.2487098145136857</v>
      </c>
      <c r="K95" s="295">
        <f t="shared" si="17"/>
        <v>4.4515063937520516</v>
      </c>
      <c r="L95" s="295">
        <f t="shared" si="17"/>
        <v>3.3216153762998406</v>
      </c>
      <c r="M95" s="295">
        <f t="shared" si="17"/>
        <v>0.54534185248531264</v>
      </c>
      <c r="N95" s="295">
        <f t="shared" si="17"/>
        <v>0</v>
      </c>
      <c r="O95" s="295">
        <f t="shared" si="17"/>
        <v>0</v>
      </c>
      <c r="P95" s="295">
        <f t="shared" si="17"/>
        <v>0</v>
      </c>
      <c r="Q95" s="295">
        <f t="shared" si="17"/>
        <v>0</v>
      </c>
      <c r="R95" s="295">
        <f t="shared" si="17"/>
        <v>0</v>
      </c>
      <c r="S95" s="295">
        <f t="shared" si="17"/>
        <v>0</v>
      </c>
      <c r="T95" s="295">
        <f t="shared" si="17"/>
        <v>0</v>
      </c>
      <c r="U95" s="295">
        <f t="shared" si="17"/>
        <v>0</v>
      </c>
      <c r="V95" s="295">
        <f t="shared" si="17"/>
        <v>0</v>
      </c>
      <c r="W95" s="295">
        <f t="shared" si="17"/>
        <v>0</v>
      </c>
      <c r="X95" s="295">
        <f t="shared" si="17"/>
        <v>0</v>
      </c>
      <c r="Y95" s="295">
        <f t="shared" si="17"/>
        <v>0</v>
      </c>
      <c r="Z95" s="295">
        <f t="shared" si="17"/>
        <v>0</v>
      </c>
      <c r="AA95" s="295">
        <f t="shared" si="17"/>
        <v>0</v>
      </c>
      <c r="AB95" s="295">
        <f t="shared" si="17"/>
        <v>0</v>
      </c>
      <c r="AC95" s="295">
        <f t="shared" si="17"/>
        <v>0</v>
      </c>
      <c r="AD95" s="295">
        <f t="shared" si="17"/>
        <v>0</v>
      </c>
      <c r="AE95" s="296">
        <f t="shared" si="17"/>
        <v>0</v>
      </c>
    </row>
    <row r="96" spans="1:31">
      <c r="A96" s="1711"/>
      <c r="B96" s="116">
        <v>11</v>
      </c>
      <c r="C96" s="294">
        <f t="shared" si="15"/>
        <v>17</v>
      </c>
      <c r="D96" s="295">
        <f t="shared" ref="D96:K110" si="18">C95*$D39</f>
        <v>17.574819520150399</v>
      </c>
      <c r="E96" s="295">
        <f t="shared" si="18"/>
        <v>12.862657278963853</v>
      </c>
      <c r="F96" s="295">
        <f t="shared" si="18"/>
        <v>12.11080079682363</v>
      </c>
      <c r="G96" s="295">
        <f t="shared" si="17"/>
        <v>16.952295092978847</v>
      </c>
      <c r="H96" s="295">
        <f t="shared" si="17"/>
        <v>15.132355710988405</v>
      </c>
      <c r="I96" s="295">
        <f t="shared" si="17"/>
        <v>11.684135411433871</v>
      </c>
      <c r="J96" s="295">
        <f t="shared" si="17"/>
        <v>6.407429096592768</v>
      </c>
      <c r="K96" s="295">
        <f t="shared" si="17"/>
        <v>4.8997987209238811</v>
      </c>
      <c r="L96" s="295">
        <f t="shared" si="17"/>
        <v>3.0090162101149178</v>
      </c>
      <c r="M96" s="295">
        <f t="shared" si="17"/>
        <v>2.2452611828394673</v>
      </c>
      <c r="N96" s="295">
        <f t="shared" si="17"/>
        <v>0.36862633208514817</v>
      </c>
      <c r="O96" s="295">
        <f t="shared" si="17"/>
        <v>0</v>
      </c>
      <c r="P96" s="295">
        <f t="shared" si="17"/>
        <v>0</v>
      </c>
      <c r="Q96" s="295">
        <f t="shared" si="17"/>
        <v>0</v>
      </c>
      <c r="R96" s="295">
        <f t="shared" si="17"/>
        <v>0</v>
      </c>
      <c r="S96" s="295">
        <f t="shared" si="17"/>
        <v>0</v>
      </c>
      <c r="T96" s="295">
        <f t="shared" si="17"/>
        <v>0</v>
      </c>
      <c r="U96" s="295">
        <f t="shared" si="17"/>
        <v>0</v>
      </c>
      <c r="V96" s="295">
        <f t="shared" si="17"/>
        <v>0</v>
      </c>
      <c r="W96" s="295">
        <f t="shared" si="17"/>
        <v>0</v>
      </c>
      <c r="X96" s="295">
        <f t="shared" si="17"/>
        <v>0</v>
      </c>
      <c r="Y96" s="295">
        <f t="shared" si="17"/>
        <v>0</v>
      </c>
      <c r="Z96" s="295">
        <f t="shared" si="17"/>
        <v>0</v>
      </c>
      <c r="AA96" s="295">
        <f t="shared" si="17"/>
        <v>0</v>
      </c>
      <c r="AB96" s="295">
        <f t="shared" si="17"/>
        <v>0</v>
      </c>
      <c r="AC96" s="295">
        <f t="shared" si="17"/>
        <v>0</v>
      </c>
      <c r="AD96" s="295">
        <f t="shared" si="17"/>
        <v>0</v>
      </c>
      <c r="AE96" s="296">
        <f t="shared" si="17"/>
        <v>0</v>
      </c>
    </row>
    <row r="97" spans="1:31">
      <c r="A97" s="1711"/>
      <c r="B97" s="116">
        <v>12</v>
      </c>
      <c r="C97" s="294">
        <f t="shared" si="15"/>
        <v>37</v>
      </c>
      <c r="D97" s="295">
        <f t="shared" si="18"/>
        <v>9.7485578137006232</v>
      </c>
      <c r="E97" s="295">
        <f t="shared" si="18"/>
        <v>10.078184950443553</v>
      </c>
      <c r="F97" s="295">
        <f t="shared" si="18"/>
        <v>7.3760210659880157</v>
      </c>
      <c r="G97" s="295">
        <f t="shared" si="17"/>
        <v>6.9448730434145132</v>
      </c>
      <c r="H97" s="295">
        <f t="shared" si="17"/>
        <v>9.7212016934598626</v>
      </c>
      <c r="I97" s="295">
        <f t="shared" si="17"/>
        <v>8.6775673238854854</v>
      </c>
      <c r="J97" s="295">
        <f t="shared" si="17"/>
        <v>6.7002040918511652</v>
      </c>
      <c r="K97" s="295">
        <f t="shared" si="17"/>
        <v>3.6743054697248323</v>
      </c>
      <c r="L97" s="295">
        <f t="shared" si="17"/>
        <v>2.809763006260166</v>
      </c>
      <c r="M97" s="295">
        <f t="shared" si="17"/>
        <v>1.725504028627507</v>
      </c>
      <c r="N97" s="295">
        <f t="shared" si="17"/>
        <v>1.2875328498687288</v>
      </c>
      <c r="O97" s="295">
        <f t="shared" si="17"/>
        <v>0.21138677117555715</v>
      </c>
      <c r="P97" s="295">
        <f t="shared" si="17"/>
        <v>0</v>
      </c>
      <c r="Q97" s="295">
        <f t="shared" si="17"/>
        <v>0</v>
      </c>
      <c r="R97" s="295">
        <f t="shared" si="17"/>
        <v>0</v>
      </c>
      <c r="S97" s="295">
        <f t="shared" si="17"/>
        <v>0</v>
      </c>
      <c r="T97" s="295">
        <f t="shared" si="17"/>
        <v>0</v>
      </c>
      <c r="U97" s="295">
        <f t="shared" si="17"/>
        <v>0</v>
      </c>
      <c r="V97" s="295">
        <f t="shared" si="17"/>
        <v>0</v>
      </c>
      <c r="W97" s="295">
        <f t="shared" si="17"/>
        <v>0</v>
      </c>
      <c r="X97" s="295">
        <f t="shared" si="17"/>
        <v>0</v>
      </c>
      <c r="Y97" s="295">
        <f t="shared" si="17"/>
        <v>0</v>
      </c>
      <c r="Z97" s="295">
        <f t="shared" si="17"/>
        <v>0</v>
      </c>
      <c r="AA97" s="295">
        <f t="shared" si="17"/>
        <v>0</v>
      </c>
      <c r="AB97" s="295">
        <f t="shared" si="17"/>
        <v>0</v>
      </c>
      <c r="AC97" s="295">
        <f t="shared" si="17"/>
        <v>0</v>
      </c>
      <c r="AD97" s="295">
        <f t="shared" si="17"/>
        <v>0</v>
      </c>
      <c r="AE97" s="296">
        <f t="shared" si="17"/>
        <v>0</v>
      </c>
    </row>
    <row r="98" spans="1:31">
      <c r="A98" s="1711"/>
      <c r="B98" s="116">
        <v>13</v>
      </c>
      <c r="C98" s="294">
        <f t="shared" si="15"/>
        <v>13</v>
      </c>
      <c r="D98" s="295">
        <f t="shared" si="18"/>
        <v>17.463531182014322</v>
      </c>
      <c r="E98" s="295">
        <f t="shared" si="18"/>
        <v>4.6011957664656817</v>
      </c>
      <c r="F98" s="295">
        <f t="shared" si="18"/>
        <v>4.7567755983832019</v>
      </c>
      <c r="G98" s="295">
        <f t="shared" si="17"/>
        <v>3.4813884833804387</v>
      </c>
      <c r="H98" s="295">
        <f t="shared" si="17"/>
        <v>3.277892079697299</v>
      </c>
      <c r="I98" s="295">
        <f t="shared" si="17"/>
        <v>4.5882840243347767</v>
      </c>
      <c r="J98" s="295">
        <f t="shared" si="17"/>
        <v>4.0957018255325073</v>
      </c>
      <c r="K98" s="295">
        <f t="shared" si="17"/>
        <v>3.1624114347000751</v>
      </c>
      <c r="L98" s="295">
        <f t="shared" si="17"/>
        <v>1.7342256254806863</v>
      </c>
      <c r="M98" s="295">
        <f t="shared" si="17"/>
        <v>1.3261725371322894</v>
      </c>
      <c r="N98" s="295">
        <f t="shared" si="17"/>
        <v>0.8144160380710217</v>
      </c>
      <c r="O98" s="295">
        <f t="shared" si="17"/>
        <v>0.60769919112298143</v>
      </c>
      <c r="P98" s="295">
        <f t="shared" si="17"/>
        <v>9.9771877564585637E-2</v>
      </c>
      <c r="Q98" s="295">
        <f t="shared" si="17"/>
        <v>0</v>
      </c>
      <c r="R98" s="295">
        <f t="shared" si="17"/>
        <v>0</v>
      </c>
      <c r="S98" s="295">
        <f t="shared" si="17"/>
        <v>0</v>
      </c>
      <c r="T98" s="295">
        <f t="shared" si="17"/>
        <v>0</v>
      </c>
      <c r="U98" s="295">
        <f t="shared" si="17"/>
        <v>0</v>
      </c>
      <c r="V98" s="295">
        <f t="shared" si="17"/>
        <v>0</v>
      </c>
      <c r="W98" s="295">
        <f t="shared" si="17"/>
        <v>0</v>
      </c>
      <c r="X98" s="295">
        <f t="shared" si="17"/>
        <v>0</v>
      </c>
      <c r="Y98" s="295">
        <f t="shared" si="17"/>
        <v>0</v>
      </c>
      <c r="Z98" s="295">
        <f t="shared" si="17"/>
        <v>0</v>
      </c>
      <c r="AA98" s="295">
        <f t="shared" si="17"/>
        <v>0</v>
      </c>
      <c r="AB98" s="295">
        <f t="shared" si="17"/>
        <v>0</v>
      </c>
      <c r="AC98" s="295">
        <f t="shared" si="17"/>
        <v>0</v>
      </c>
      <c r="AD98" s="295">
        <f t="shared" si="17"/>
        <v>0</v>
      </c>
      <c r="AE98" s="296">
        <f t="shared" si="17"/>
        <v>0</v>
      </c>
    </row>
    <row r="99" spans="1:31">
      <c r="A99" s="1711"/>
      <c r="B99" s="116">
        <v>14</v>
      </c>
      <c r="C99" s="294">
        <f t="shared" si="15"/>
        <v>30</v>
      </c>
      <c r="D99" s="295">
        <f t="shared" si="18"/>
        <v>4.9978729746582511</v>
      </c>
      <c r="E99" s="295">
        <f t="shared" si="18"/>
        <v>6.7138854258993117</v>
      </c>
      <c r="F99" s="295">
        <f t="shared" si="18"/>
        <v>1.7689378440254453</v>
      </c>
      <c r="G99" s="295">
        <f t="shared" si="17"/>
        <v>1.8287507853594798</v>
      </c>
      <c r="H99" s="295">
        <f t="shared" si="17"/>
        <v>1.3384259550287363</v>
      </c>
      <c r="I99" s="295">
        <f t="shared" si="17"/>
        <v>1.2601914029973433</v>
      </c>
      <c r="J99" s="295">
        <f t="shared" si="17"/>
        <v>1.7639739019445371</v>
      </c>
      <c r="K99" s="295">
        <f t="shared" si="17"/>
        <v>1.5745998050836449</v>
      </c>
      <c r="L99" s="295">
        <f t="shared" si="17"/>
        <v>1.215794664941364</v>
      </c>
      <c r="M99" s="295">
        <f t="shared" si="17"/>
        <v>0.66672610658074805</v>
      </c>
      <c r="N99" s="295">
        <f t="shared" si="17"/>
        <v>0.50984937562057198</v>
      </c>
      <c r="O99" s="295">
        <f t="shared" si="17"/>
        <v>0.31310368513872344</v>
      </c>
      <c r="P99" s="295">
        <f t="shared" si="17"/>
        <v>0.23363102800270988</v>
      </c>
      <c r="Q99" s="295">
        <f t="shared" si="17"/>
        <v>3.8357474654688806E-2</v>
      </c>
      <c r="R99" s="295">
        <f t="shared" si="17"/>
        <v>0</v>
      </c>
      <c r="S99" s="295">
        <f t="shared" si="17"/>
        <v>0</v>
      </c>
      <c r="T99" s="295">
        <f t="shared" si="17"/>
        <v>0</v>
      </c>
      <c r="U99" s="295">
        <f t="shared" si="17"/>
        <v>0</v>
      </c>
      <c r="V99" s="295">
        <f t="shared" si="17"/>
        <v>0</v>
      </c>
      <c r="W99" s="295">
        <f t="shared" si="17"/>
        <v>0</v>
      </c>
      <c r="X99" s="295">
        <f t="shared" si="17"/>
        <v>0</v>
      </c>
      <c r="Y99" s="295">
        <f t="shared" si="17"/>
        <v>0</v>
      </c>
      <c r="Z99" s="295">
        <f t="shared" si="17"/>
        <v>0</v>
      </c>
      <c r="AA99" s="295">
        <f t="shared" si="17"/>
        <v>0</v>
      </c>
      <c r="AB99" s="295">
        <f t="shared" si="17"/>
        <v>0</v>
      </c>
      <c r="AC99" s="295">
        <f t="shared" si="17"/>
        <v>0</v>
      </c>
      <c r="AD99" s="295">
        <f t="shared" si="17"/>
        <v>0</v>
      </c>
      <c r="AE99" s="296">
        <f t="shared" si="17"/>
        <v>0</v>
      </c>
    </row>
    <row r="100" spans="1:31">
      <c r="A100" s="1711"/>
      <c r="B100" s="116">
        <v>15</v>
      </c>
      <c r="C100" s="294">
        <f t="shared" si="15"/>
        <v>16</v>
      </c>
      <c r="D100" s="295">
        <f t="shared" si="18"/>
        <v>9.2831282086916023</v>
      </c>
      <c r="E100" s="295">
        <f t="shared" si="18"/>
        <v>1.5465298531502472</v>
      </c>
      <c r="F100" s="295">
        <f t="shared" si="18"/>
        <v>2.0775286395696444</v>
      </c>
      <c r="G100" s="295">
        <f t="shared" si="17"/>
        <v>0.54737589330982384</v>
      </c>
      <c r="H100" s="295">
        <f t="shared" si="17"/>
        <v>0.56588426674125025</v>
      </c>
      <c r="I100" s="295">
        <f t="shared" si="17"/>
        <v>0.41415932461240862</v>
      </c>
      <c r="J100" s="295">
        <f t="shared" si="17"/>
        <v>0.38995061205050946</v>
      </c>
      <c r="K100" s="295">
        <f t="shared" si="17"/>
        <v>0.54583986295123754</v>
      </c>
      <c r="L100" s="295">
        <f t="shared" si="17"/>
        <v>0.48724039559907606</v>
      </c>
      <c r="M100" s="295">
        <f t="shared" si="17"/>
        <v>0.3762125916697977</v>
      </c>
      <c r="N100" s="295">
        <f t="shared" si="17"/>
        <v>0.20631013091569553</v>
      </c>
      <c r="O100" s="295">
        <f t="shared" si="17"/>
        <v>0.15776657070023772</v>
      </c>
      <c r="P100" s="295">
        <f t="shared" si="17"/>
        <v>9.6886055058552564E-2</v>
      </c>
      <c r="Q100" s="295">
        <f t="shared" si="17"/>
        <v>7.2294226215919119E-2</v>
      </c>
      <c r="R100" s="295">
        <f t="shared" si="17"/>
        <v>1.186924516603716E-2</v>
      </c>
      <c r="S100" s="295">
        <f t="shared" si="17"/>
        <v>0</v>
      </c>
      <c r="T100" s="295">
        <f t="shared" si="17"/>
        <v>0</v>
      </c>
      <c r="U100" s="295">
        <f t="shared" si="17"/>
        <v>0</v>
      </c>
      <c r="V100" s="295">
        <f t="shared" si="17"/>
        <v>0</v>
      </c>
      <c r="W100" s="295">
        <f t="shared" si="17"/>
        <v>0</v>
      </c>
      <c r="X100" s="295">
        <f t="shared" si="17"/>
        <v>0</v>
      </c>
      <c r="Y100" s="295">
        <f t="shared" si="17"/>
        <v>0</v>
      </c>
      <c r="Z100" s="295">
        <f t="shared" si="17"/>
        <v>0</v>
      </c>
      <c r="AA100" s="295">
        <f t="shared" si="17"/>
        <v>0</v>
      </c>
      <c r="AB100" s="295">
        <f t="shared" si="17"/>
        <v>0</v>
      </c>
      <c r="AC100" s="295">
        <f t="shared" si="17"/>
        <v>0</v>
      </c>
      <c r="AD100" s="295">
        <f t="shared" si="17"/>
        <v>0</v>
      </c>
      <c r="AE100" s="296">
        <f t="shared" si="17"/>
        <v>0</v>
      </c>
    </row>
    <row r="101" spans="1:31">
      <c r="A101" s="1711"/>
      <c r="B101" s="116">
        <v>16</v>
      </c>
      <c r="C101" s="294">
        <f t="shared" si="15"/>
        <v>10</v>
      </c>
      <c r="D101" s="295">
        <f t="shared" si="18"/>
        <v>4.4559015401719684</v>
      </c>
      <c r="E101" s="295">
        <f t="shared" si="18"/>
        <v>2.5852940801701725</v>
      </c>
      <c r="F101" s="295">
        <f t="shared" si="18"/>
        <v>0.43069904716088214</v>
      </c>
      <c r="G101" s="295">
        <f t="shared" si="17"/>
        <v>0.57857894155060952</v>
      </c>
      <c r="H101" s="295">
        <f t="shared" si="17"/>
        <v>0.15244081787826569</v>
      </c>
      <c r="I101" s="295">
        <f t="shared" si="17"/>
        <v>0.15759528598321387</v>
      </c>
      <c r="J101" s="295">
        <f t="shared" si="17"/>
        <v>0.11534082327606336</v>
      </c>
      <c r="K101" s="295">
        <f t="shared" si="17"/>
        <v>0.10859884580167918</v>
      </c>
      <c r="L101" s="295">
        <f t="shared" si="17"/>
        <v>0.15201304287572973</v>
      </c>
      <c r="M101" s="295">
        <f t="shared" si="17"/>
        <v>0.13569345182399514</v>
      </c>
      <c r="N101" s="295">
        <f t="shared" si="17"/>
        <v>0.10477289166584622</v>
      </c>
      <c r="O101" s="295">
        <f t="shared" si="17"/>
        <v>5.745610188127051E-2</v>
      </c>
      <c r="P101" s="295">
        <f t="shared" si="17"/>
        <v>4.3937019085677438E-2</v>
      </c>
      <c r="Q101" s="295">
        <f t="shared" si="17"/>
        <v>2.6982170122286906E-2</v>
      </c>
      <c r="R101" s="295">
        <f t="shared" si="17"/>
        <v>2.0133497121315919E-2</v>
      </c>
      <c r="S101" s="295">
        <f t="shared" si="17"/>
        <v>3.3055117385014797E-3</v>
      </c>
      <c r="T101" s="295">
        <f t="shared" si="17"/>
        <v>0</v>
      </c>
      <c r="U101" s="295">
        <f t="shared" si="17"/>
        <v>0</v>
      </c>
      <c r="V101" s="295">
        <f t="shared" si="17"/>
        <v>0</v>
      </c>
      <c r="W101" s="295">
        <f t="shared" si="17"/>
        <v>0</v>
      </c>
      <c r="X101" s="295">
        <f t="shared" si="17"/>
        <v>0</v>
      </c>
      <c r="Y101" s="295">
        <f t="shared" si="17"/>
        <v>0</v>
      </c>
      <c r="Z101" s="295">
        <f t="shared" si="17"/>
        <v>0</v>
      </c>
      <c r="AA101" s="295">
        <f t="shared" si="17"/>
        <v>0</v>
      </c>
      <c r="AB101" s="295">
        <f t="shared" si="17"/>
        <v>0</v>
      </c>
      <c r="AC101" s="295">
        <f t="shared" si="17"/>
        <v>0</v>
      </c>
      <c r="AD101" s="295">
        <f t="shared" si="17"/>
        <v>0</v>
      </c>
      <c r="AE101" s="296">
        <f t="shared" si="17"/>
        <v>0</v>
      </c>
    </row>
    <row r="102" spans="1:31">
      <c r="A102" s="1711"/>
      <c r="B102" s="116">
        <v>17</v>
      </c>
      <c r="C102" s="294">
        <f t="shared" si="15"/>
        <v>6</v>
      </c>
      <c r="D102" s="295">
        <f t="shared" si="18"/>
        <v>2.4755008556510933</v>
      </c>
      <c r="E102" s="295">
        <f t="shared" si="18"/>
        <v>1.1030588075392733</v>
      </c>
      <c r="F102" s="295">
        <f t="shared" si="18"/>
        <v>0.63998977075709684</v>
      </c>
      <c r="G102" s="295">
        <f t="shared" si="17"/>
        <v>0.10661958597748744</v>
      </c>
      <c r="H102" s="295">
        <f t="shared" si="17"/>
        <v>0.14322726648702377</v>
      </c>
      <c r="I102" s="295">
        <f t="shared" si="17"/>
        <v>3.773673750937992E-2</v>
      </c>
      <c r="J102" s="295">
        <f t="shared" si="17"/>
        <v>3.901272652980247E-2</v>
      </c>
      <c r="K102" s="295">
        <f t="shared" si="17"/>
        <v>2.8552630671139643E-2</v>
      </c>
      <c r="L102" s="295">
        <f t="shared" si="17"/>
        <v>2.6883653570477797E-2</v>
      </c>
      <c r="M102" s="295">
        <f t="shared" si="17"/>
        <v>3.763084177089953E-2</v>
      </c>
      <c r="N102" s="295">
        <f t="shared" si="17"/>
        <v>3.3590925609655042E-2</v>
      </c>
      <c r="O102" s="295">
        <f t="shared" si="17"/>
        <v>2.5936538296784165E-2</v>
      </c>
      <c r="P102" s="295">
        <f t="shared" si="17"/>
        <v>1.4223262936946155E-2</v>
      </c>
      <c r="Q102" s="295">
        <f t="shared" si="17"/>
        <v>1.0876612834135293E-2</v>
      </c>
      <c r="R102" s="295">
        <f t="shared" si="17"/>
        <v>6.6794385225044609E-3</v>
      </c>
      <c r="S102" s="295">
        <f t="shared" si="17"/>
        <v>4.9840489351066384E-3</v>
      </c>
      <c r="T102" s="295">
        <f t="shared" si="17"/>
        <v>8.1827971370251472E-4</v>
      </c>
      <c r="U102" s="295">
        <f t="shared" si="17"/>
        <v>0</v>
      </c>
      <c r="V102" s="295">
        <f t="shared" si="17"/>
        <v>0</v>
      </c>
      <c r="W102" s="295">
        <f t="shared" si="17"/>
        <v>0</v>
      </c>
      <c r="X102" s="295">
        <f t="shared" si="17"/>
        <v>0</v>
      </c>
      <c r="Y102" s="295">
        <f t="shared" si="17"/>
        <v>0</v>
      </c>
      <c r="Z102" s="295">
        <f t="shared" si="17"/>
        <v>0</v>
      </c>
      <c r="AA102" s="295">
        <f t="shared" si="17"/>
        <v>0</v>
      </c>
      <c r="AB102" s="295">
        <f t="shared" si="17"/>
        <v>0</v>
      </c>
      <c r="AC102" s="295">
        <f t="shared" si="17"/>
        <v>0</v>
      </c>
      <c r="AD102" s="295">
        <f t="shared" si="17"/>
        <v>0</v>
      </c>
      <c r="AE102" s="296">
        <f t="shared" si="17"/>
        <v>0</v>
      </c>
    </row>
    <row r="103" spans="1:31">
      <c r="A103" s="1711"/>
      <c r="B103" s="116">
        <v>18</v>
      </c>
      <c r="C103" s="294">
        <f t="shared" si="15"/>
        <v>13</v>
      </c>
      <c r="D103" s="295">
        <f t="shared" si="18"/>
        <v>1.299637949216824</v>
      </c>
      <c r="E103" s="295">
        <f t="shared" si="18"/>
        <v>0.53620914255381336</v>
      </c>
      <c r="F103" s="295">
        <f t="shared" si="18"/>
        <v>0.23892951441598276</v>
      </c>
      <c r="G103" s="295">
        <f t="shared" si="17"/>
        <v>0.13862583219774979</v>
      </c>
      <c r="H103" s="295">
        <f t="shared" si="17"/>
        <v>2.3094476677688106E-2</v>
      </c>
      <c r="I103" s="295">
        <f t="shared" si="17"/>
        <v>3.1023931814854522E-2</v>
      </c>
      <c r="J103" s="295">
        <f t="shared" si="17"/>
        <v>8.1740160244706869E-3</v>
      </c>
      <c r="K103" s="295">
        <f t="shared" si="17"/>
        <v>8.4504033167582121E-3</v>
      </c>
      <c r="L103" s="295">
        <f t="shared" si="17"/>
        <v>6.1846803950308862E-3</v>
      </c>
      <c r="M103" s="295">
        <f t="shared" si="17"/>
        <v>5.8231693989652189E-3</v>
      </c>
      <c r="N103" s="295">
        <f t="shared" si="17"/>
        <v>8.1510783377391101E-3</v>
      </c>
      <c r="O103" s="295">
        <f t="shared" si="17"/>
        <v>7.2760069452711624E-3</v>
      </c>
      <c r="P103" s="295">
        <f t="shared" si="17"/>
        <v>5.6180182403026985E-3</v>
      </c>
      <c r="Q103" s="295">
        <f t="shared" si="17"/>
        <v>3.0808487124240605E-3</v>
      </c>
      <c r="R103" s="295">
        <f t="shared" si="17"/>
        <v>2.3559431330301634E-3</v>
      </c>
      <c r="S103" s="295">
        <f t="shared" si="17"/>
        <v>1.4468086305512585E-3</v>
      </c>
      <c r="T103" s="295">
        <f t="shared" si="17"/>
        <v>1.0795765228030479E-3</v>
      </c>
      <c r="U103" s="295">
        <f t="shared" si="17"/>
        <v>1.7724456150034436E-4</v>
      </c>
      <c r="V103" s="295">
        <f t="shared" si="17"/>
        <v>0</v>
      </c>
      <c r="W103" s="295">
        <f t="shared" si="17"/>
        <v>0</v>
      </c>
      <c r="X103" s="295">
        <f t="shared" si="17"/>
        <v>0</v>
      </c>
      <c r="Y103" s="295">
        <f t="shared" si="17"/>
        <v>0</v>
      </c>
      <c r="Z103" s="295">
        <f t="shared" si="17"/>
        <v>0</v>
      </c>
      <c r="AA103" s="295">
        <f t="shared" si="17"/>
        <v>0</v>
      </c>
      <c r="AB103" s="295">
        <f t="shared" si="17"/>
        <v>0</v>
      </c>
      <c r="AC103" s="295">
        <f t="shared" si="17"/>
        <v>0</v>
      </c>
      <c r="AD103" s="295">
        <f t="shared" si="17"/>
        <v>0</v>
      </c>
      <c r="AE103" s="296">
        <f t="shared" si="17"/>
        <v>0</v>
      </c>
    </row>
    <row r="104" spans="1:31">
      <c r="A104" s="1711"/>
      <c r="B104" s="116">
        <v>19</v>
      </c>
      <c r="C104" s="294">
        <f t="shared" ref="C104:C110" si="19">(EXP(18-B104)*$L$47/(EXP(-1)+EXP(-2)+EXP(-3)+EXP(-4)+EXP(-5)+EXP(-6)+EXP(-7)+EXP(-8)+EXP(-9)+EXP(-10)))</f>
        <v>24.653821076058978</v>
      </c>
      <c r="D104" s="295">
        <f t="shared" si="18"/>
        <v>2.4136133342598161</v>
      </c>
      <c r="E104" s="295">
        <f t="shared" si="18"/>
        <v>0.241294114149216</v>
      </c>
      <c r="F104" s="295">
        <f t="shared" si="18"/>
        <v>9.9553964339992806E-2</v>
      </c>
      <c r="G104" s="295">
        <f t="shared" si="17"/>
        <v>4.4360266303279917E-2</v>
      </c>
      <c r="H104" s="295">
        <f t="shared" si="17"/>
        <v>2.5737627466565587E-2</v>
      </c>
      <c r="I104" s="295">
        <f t="shared" si="17"/>
        <v>4.2877797582323348E-3</v>
      </c>
      <c r="J104" s="295">
        <f t="shared" si="17"/>
        <v>5.7599827315000162E-3</v>
      </c>
      <c r="K104" s="295">
        <f t="shared" si="17"/>
        <v>1.51760877470122E-3</v>
      </c>
      <c r="L104" s="295">
        <f t="shared" si="17"/>
        <v>1.5689235480923845E-3</v>
      </c>
      <c r="M104" s="295">
        <f t="shared" si="17"/>
        <v>1.1482636207370625E-3</v>
      </c>
      <c r="N104" s="295">
        <f t="shared" si="17"/>
        <v>1.0811445622304747E-3</v>
      </c>
      <c r="O104" s="295">
        <f t="shared" si="17"/>
        <v>1.5133501049664193E-3</v>
      </c>
      <c r="P104" s="295">
        <f t="shared" si="17"/>
        <v>1.3508821064056546E-3</v>
      </c>
      <c r="Q104" s="295">
        <f t="shared" si="17"/>
        <v>1.0430556720699585E-3</v>
      </c>
      <c r="R104" s="295">
        <f t="shared" si="17"/>
        <v>5.7199827178029987E-4</v>
      </c>
      <c r="S104" s="295">
        <f t="shared" si="17"/>
        <v>4.3741044312611154E-4</v>
      </c>
      <c r="T104" s="295">
        <f t="shared" si="17"/>
        <v>2.6861820021697704E-4</v>
      </c>
      <c r="U104" s="295">
        <f t="shared" si="17"/>
        <v>2.0043694544548329E-4</v>
      </c>
      <c r="V104" s="295">
        <f t="shared" si="17"/>
        <v>3.2907679774020401E-5</v>
      </c>
      <c r="W104" s="295">
        <f t="shared" si="17"/>
        <v>0</v>
      </c>
      <c r="X104" s="295">
        <f t="shared" si="17"/>
        <v>0</v>
      </c>
      <c r="Y104" s="295">
        <f t="shared" si="17"/>
        <v>0</v>
      </c>
      <c r="Z104" s="295">
        <f t="shared" si="17"/>
        <v>0</v>
      </c>
      <c r="AA104" s="295">
        <f t="shared" si="17"/>
        <v>0</v>
      </c>
      <c r="AB104" s="295">
        <f t="shared" si="17"/>
        <v>0</v>
      </c>
      <c r="AC104" s="295">
        <f t="shared" si="17"/>
        <v>0</v>
      </c>
      <c r="AD104" s="295">
        <f t="shared" si="17"/>
        <v>0</v>
      </c>
      <c r="AE104" s="296">
        <f t="shared" si="17"/>
        <v>0</v>
      </c>
    </row>
    <row r="105" spans="1:31">
      <c r="A105" s="1711"/>
      <c r="B105" s="116">
        <v>20</v>
      </c>
      <c r="C105" s="294">
        <f t="shared" si="19"/>
        <v>9.069633920201305</v>
      </c>
      <c r="D105" s="295">
        <f t="shared" si="18"/>
        <v>3.8144096980533102</v>
      </c>
      <c r="E105" s="295">
        <f t="shared" si="18"/>
        <v>0.37343136713569142</v>
      </c>
      <c r="F105" s="295">
        <f t="shared" si="18"/>
        <v>3.7332736627497302E-2</v>
      </c>
      <c r="G105" s="295">
        <f t="shared" si="17"/>
        <v>1.5402870244194414E-2</v>
      </c>
      <c r="H105" s="295">
        <f t="shared" si="17"/>
        <v>6.8633673244174872E-3</v>
      </c>
      <c r="I105" s="295">
        <f t="shared" si="17"/>
        <v>3.9820949259945122E-3</v>
      </c>
      <c r="J105" s="295">
        <f t="shared" si="17"/>
        <v>6.6340015377172395E-4</v>
      </c>
      <c r="K105" s="295">
        <f t="shared" si="17"/>
        <v>8.9117763627273821E-4</v>
      </c>
      <c r="L105" s="295">
        <f t="shared" ref="L105:AE110" si="20">K104*$D48</f>
        <v>2.3480261376977984E-4</v>
      </c>
      <c r="M105" s="295">
        <f t="shared" si="20"/>
        <v>2.4274197410961544E-4</v>
      </c>
      <c r="N105" s="295">
        <f t="shared" si="20"/>
        <v>1.776579734779763E-4</v>
      </c>
      <c r="O105" s="295">
        <f t="shared" si="20"/>
        <v>1.6727339305525418E-4</v>
      </c>
      <c r="P105" s="295">
        <f t="shared" si="20"/>
        <v>2.3414371748400268E-4</v>
      </c>
      <c r="Q105" s="295">
        <f t="shared" si="20"/>
        <v>2.0900686314318431E-4</v>
      </c>
      <c r="R105" s="295">
        <f t="shared" si="20"/>
        <v>1.6138032554380679E-4</v>
      </c>
      <c r="S105" s="295">
        <f t="shared" si="20"/>
        <v>8.8498888201442441E-5</v>
      </c>
      <c r="T105" s="295">
        <f t="shared" si="20"/>
        <v>6.7675620389338309E-5</v>
      </c>
      <c r="U105" s="295">
        <f t="shared" si="20"/>
        <v>4.1560286530036461E-5</v>
      </c>
      <c r="V105" s="295">
        <f t="shared" si="20"/>
        <v>3.101136437214909E-5</v>
      </c>
      <c r="W105" s="295">
        <f t="shared" si="20"/>
        <v>5.0914368398799804E-6</v>
      </c>
      <c r="X105" s="295">
        <f t="shared" si="20"/>
        <v>0</v>
      </c>
      <c r="Y105" s="295">
        <f t="shared" si="20"/>
        <v>0</v>
      </c>
      <c r="Z105" s="295">
        <f t="shared" si="20"/>
        <v>0</v>
      </c>
      <c r="AA105" s="295">
        <f t="shared" si="20"/>
        <v>0</v>
      </c>
      <c r="AB105" s="295">
        <f t="shared" si="20"/>
        <v>0</v>
      </c>
      <c r="AC105" s="295">
        <f t="shared" si="20"/>
        <v>0</v>
      </c>
      <c r="AD105" s="295">
        <f t="shared" si="20"/>
        <v>0</v>
      </c>
      <c r="AE105" s="296">
        <f t="shared" si="20"/>
        <v>0</v>
      </c>
    </row>
    <row r="106" spans="1:31">
      <c r="A106" s="1711"/>
      <c r="B106" s="116">
        <v>21</v>
      </c>
      <c r="C106" s="294">
        <f t="shared" si="19"/>
        <v>3.3365318581932133</v>
      </c>
      <c r="D106" s="295">
        <f t="shared" si="18"/>
        <v>1.1225943264950256</v>
      </c>
      <c r="E106" s="295">
        <f t="shared" si="18"/>
        <v>0.47212872356673991</v>
      </c>
      <c r="F106" s="295">
        <f t="shared" si="18"/>
        <v>4.6221483443568079E-2</v>
      </c>
      <c r="G106" s="295">
        <f t="shared" si="18"/>
        <v>4.6208610732583243E-3</v>
      </c>
      <c r="H106" s="295">
        <f t="shared" si="18"/>
        <v>1.9064909234493017E-3</v>
      </c>
      <c r="I106" s="295">
        <f t="shared" si="18"/>
        <v>8.4951358421216224E-4</v>
      </c>
      <c r="J106" s="295">
        <f t="shared" si="18"/>
        <v>4.9288396982916463E-4</v>
      </c>
      <c r="K106" s="295">
        <f t="shared" si="18"/>
        <v>8.2112382415048469E-5</v>
      </c>
      <c r="L106" s="295">
        <f t="shared" si="20"/>
        <v>1.1030555005651411E-4</v>
      </c>
      <c r="M106" s="295">
        <f t="shared" si="20"/>
        <v>2.9062703564810158E-5</v>
      </c>
      <c r="N106" s="295">
        <f t="shared" si="20"/>
        <v>3.0045398230539427E-5</v>
      </c>
      <c r="O106" s="295">
        <f t="shared" si="20"/>
        <v>2.1989623267898479E-5</v>
      </c>
      <c r="P106" s="295">
        <f t="shared" si="20"/>
        <v>2.0704271381797169E-5</v>
      </c>
      <c r="Q106" s="295">
        <f t="shared" si="20"/>
        <v>2.8981148648848824E-5</v>
      </c>
      <c r="R106" s="295">
        <f t="shared" si="20"/>
        <v>2.5869833427395184E-5</v>
      </c>
      <c r="S106" s="295">
        <f t="shared" si="20"/>
        <v>1.9974856698447285E-5</v>
      </c>
      <c r="T106" s="295">
        <f t="shared" si="20"/>
        <v>1.095395367334206E-5</v>
      </c>
      <c r="U106" s="295">
        <f t="shared" si="20"/>
        <v>8.3765528090262781E-6</v>
      </c>
      <c r="V106" s="295">
        <f t="shared" si="20"/>
        <v>5.1441262433104935E-6</v>
      </c>
      <c r="W106" s="295">
        <f t="shared" si="20"/>
        <v>3.8384329519081448E-6</v>
      </c>
      <c r="X106" s="295">
        <f t="shared" si="20"/>
        <v>6.3019281268081945E-7</v>
      </c>
      <c r="Y106" s="295">
        <f t="shared" si="20"/>
        <v>0</v>
      </c>
      <c r="Z106" s="295">
        <f t="shared" si="20"/>
        <v>0</v>
      </c>
      <c r="AA106" s="295">
        <f t="shared" si="20"/>
        <v>0</v>
      </c>
      <c r="AB106" s="295">
        <f t="shared" si="20"/>
        <v>0</v>
      </c>
      <c r="AC106" s="295">
        <f t="shared" si="20"/>
        <v>0</v>
      </c>
      <c r="AD106" s="295">
        <f t="shared" si="20"/>
        <v>0</v>
      </c>
      <c r="AE106" s="296">
        <f t="shared" si="20"/>
        <v>0</v>
      </c>
    </row>
    <row r="107" spans="1:31">
      <c r="A107" s="1711"/>
      <c r="B107" s="116">
        <v>22</v>
      </c>
      <c r="C107" s="294">
        <f t="shared" si="19"/>
        <v>1.2274414754428331</v>
      </c>
      <c r="D107" s="295">
        <f t="shared" si="18"/>
        <v>0.30973453011991614</v>
      </c>
      <c r="E107" s="295">
        <f t="shared" si="18"/>
        <v>0.10421187059203119</v>
      </c>
      <c r="F107" s="295">
        <f t="shared" si="18"/>
        <v>4.3828314718759614E-2</v>
      </c>
      <c r="G107" s="295">
        <f t="shared" si="18"/>
        <v>4.2907995680255854E-3</v>
      </c>
      <c r="H107" s="295">
        <f t="shared" si="18"/>
        <v>4.289604577760929E-4</v>
      </c>
      <c r="I107" s="295">
        <f t="shared" si="18"/>
        <v>1.7698199671086707E-4</v>
      </c>
      <c r="J107" s="295">
        <f t="shared" si="18"/>
        <v>7.8861435172666297E-5</v>
      </c>
      <c r="K107" s="295">
        <f t="shared" si="18"/>
        <v>4.5755050839330174E-5</v>
      </c>
      <c r="L107" s="295">
        <f t="shared" si="20"/>
        <v>7.6225977348000846E-6</v>
      </c>
      <c r="M107" s="295">
        <f t="shared" si="20"/>
        <v>1.0239805633048693E-5</v>
      </c>
      <c r="N107" s="295">
        <f t="shared" si="20"/>
        <v>2.6979280328333107E-6</v>
      </c>
      <c r="O107" s="295">
        <f t="shared" si="20"/>
        <v>2.7891528385529322E-6</v>
      </c>
      <c r="P107" s="295">
        <f t="shared" si="20"/>
        <v>2.0413249205672953E-6</v>
      </c>
      <c r="Q107" s="295">
        <f t="shared" si="20"/>
        <v>1.922004057047675E-6</v>
      </c>
      <c r="R107" s="295">
        <f t="shared" si="20"/>
        <v>2.6903571854241294E-6</v>
      </c>
      <c r="S107" s="295">
        <f t="shared" si="20"/>
        <v>2.4015298044400509E-6</v>
      </c>
      <c r="T107" s="295">
        <f t="shared" si="20"/>
        <v>1.8542915568192833E-6</v>
      </c>
      <c r="U107" s="295">
        <f t="shared" si="20"/>
        <v>1.0168695634170265E-6</v>
      </c>
      <c r="V107" s="295">
        <f t="shared" si="20"/>
        <v>7.7760613673066692E-7</v>
      </c>
      <c r="W107" s="295">
        <f t="shared" si="20"/>
        <v>4.7753583438346383E-7</v>
      </c>
      <c r="X107" s="295">
        <f t="shared" si="20"/>
        <v>3.5632665213029865E-7</v>
      </c>
      <c r="Y107" s="295">
        <f t="shared" si="20"/>
        <v>5.8501606763120156E-8</v>
      </c>
      <c r="Z107" s="295">
        <f t="shared" si="20"/>
        <v>0</v>
      </c>
      <c r="AA107" s="295">
        <f t="shared" si="20"/>
        <v>0</v>
      </c>
      <c r="AB107" s="295">
        <f t="shared" si="20"/>
        <v>0</v>
      </c>
      <c r="AC107" s="295">
        <f t="shared" si="20"/>
        <v>0</v>
      </c>
      <c r="AD107" s="295">
        <f t="shared" si="20"/>
        <v>0</v>
      </c>
      <c r="AE107" s="296">
        <f t="shared" si="20"/>
        <v>0</v>
      </c>
    </row>
    <row r="108" spans="1:31">
      <c r="A108" s="1711"/>
      <c r="B108" s="116">
        <v>23</v>
      </c>
      <c r="C108" s="294">
        <f t="shared" si="19"/>
        <v>0.45155048405656018</v>
      </c>
      <c r="D108" s="295">
        <f t="shared" si="18"/>
        <v>7.5963310568009326E-2</v>
      </c>
      <c r="E108" s="295">
        <f t="shared" si="18"/>
        <v>1.9168702358413538E-2</v>
      </c>
      <c r="F108" s="295">
        <f t="shared" si="18"/>
        <v>6.4494143704893533E-3</v>
      </c>
      <c r="G108" s="295">
        <f t="shared" si="18"/>
        <v>2.71242576470087E-3</v>
      </c>
      <c r="H108" s="295">
        <f t="shared" si="18"/>
        <v>2.655469500518669E-4</v>
      </c>
      <c r="I108" s="295">
        <f t="shared" si="18"/>
        <v>2.654729950663006E-5</v>
      </c>
      <c r="J108" s="295">
        <f t="shared" si="18"/>
        <v>1.0952977107314758E-5</v>
      </c>
      <c r="K108" s="295">
        <f t="shared" si="18"/>
        <v>4.8805387561952145E-6</v>
      </c>
      <c r="L108" s="295">
        <f t="shared" si="20"/>
        <v>2.8316666875780275E-6</v>
      </c>
      <c r="M108" s="295">
        <f t="shared" si="20"/>
        <v>4.7174368036954223E-7</v>
      </c>
      <c r="N108" s="295">
        <f t="shared" si="20"/>
        <v>6.3371619015782292E-7</v>
      </c>
      <c r="O108" s="295">
        <f t="shared" si="20"/>
        <v>1.6696807884409825E-7</v>
      </c>
      <c r="P108" s="295">
        <f t="shared" si="20"/>
        <v>1.7261375595948644E-7</v>
      </c>
      <c r="Q108" s="295">
        <f t="shared" si="20"/>
        <v>1.2633253968815595E-7</v>
      </c>
      <c r="R108" s="295">
        <f t="shared" si="20"/>
        <v>1.1894806719465977E-7</v>
      </c>
      <c r="S108" s="295">
        <f t="shared" si="20"/>
        <v>1.6649953786311244E-7</v>
      </c>
      <c r="T108" s="295">
        <f t="shared" si="20"/>
        <v>1.4862472714407367E-7</v>
      </c>
      <c r="U108" s="295">
        <f t="shared" si="20"/>
        <v>1.1475750838831831E-7</v>
      </c>
      <c r="V108" s="295">
        <f t="shared" si="20"/>
        <v>6.2931536858110055E-8</v>
      </c>
      <c r="W108" s="295">
        <f t="shared" si="20"/>
        <v>4.8124116420907664E-8</v>
      </c>
      <c r="X108" s="295">
        <f t="shared" si="20"/>
        <v>2.9553509165508081E-8</v>
      </c>
      <c r="Y108" s="295">
        <f t="shared" si="20"/>
        <v>2.2052173305996089E-8</v>
      </c>
      <c r="Z108" s="295">
        <f t="shared" si="20"/>
        <v>3.6205194399766923E-9</v>
      </c>
      <c r="AA108" s="295">
        <f t="shared" si="20"/>
        <v>0</v>
      </c>
      <c r="AB108" s="295">
        <f t="shared" si="20"/>
        <v>0</v>
      </c>
      <c r="AC108" s="295">
        <f t="shared" si="20"/>
        <v>0</v>
      </c>
      <c r="AD108" s="295">
        <f t="shared" si="20"/>
        <v>0</v>
      </c>
      <c r="AE108" s="296">
        <f t="shared" si="20"/>
        <v>0</v>
      </c>
    </row>
    <row r="109" spans="1:31">
      <c r="A109" s="1711"/>
      <c r="B109" s="116">
        <v>24</v>
      </c>
      <c r="C109" s="294">
        <f t="shared" si="19"/>
        <v>0.16611613973542164</v>
      </c>
      <c r="D109" s="295">
        <f t="shared" si="18"/>
        <v>1.3972670120645991E-2</v>
      </c>
      <c r="E109" s="295">
        <f t="shared" si="18"/>
        <v>2.3505905038649585E-3</v>
      </c>
      <c r="F109" s="295">
        <f t="shared" si="18"/>
        <v>5.9315173862467259E-4</v>
      </c>
      <c r="G109" s="295">
        <f t="shared" si="18"/>
        <v>1.9956913490743551E-4</v>
      </c>
      <c r="H109" s="295">
        <f t="shared" si="18"/>
        <v>8.3932653767588374E-5</v>
      </c>
      <c r="I109" s="295">
        <f t="shared" si="18"/>
        <v>8.2170212758616769E-6</v>
      </c>
      <c r="J109" s="295">
        <f t="shared" si="18"/>
        <v>8.2147328304860641E-7</v>
      </c>
      <c r="K109" s="295">
        <f t="shared" si="18"/>
        <v>3.389263025135563E-7</v>
      </c>
      <c r="L109" s="295">
        <f t="shared" si="20"/>
        <v>1.5102222333749459E-7</v>
      </c>
      <c r="M109" s="295">
        <f t="shared" si="20"/>
        <v>8.7622416350226235E-8</v>
      </c>
      <c r="N109" s="295">
        <f t="shared" si="20"/>
        <v>1.4597523555034961E-8</v>
      </c>
      <c r="O109" s="295">
        <f t="shared" si="20"/>
        <v>1.9609562137195506E-8</v>
      </c>
      <c r="P109" s="295">
        <f t="shared" si="20"/>
        <v>5.1666202755623018E-9</v>
      </c>
      <c r="Q109" s="295">
        <f t="shared" si="20"/>
        <v>5.3413187571857175E-9</v>
      </c>
      <c r="R109" s="295">
        <f t="shared" si="20"/>
        <v>3.9092038761825694E-9</v>
      </c>
      <c r="S109" s="295">
        <f t="shared" si="20"/>
        <v>3.6807005264802973E-9</v>
      </c>
      <c r="T109" s="295">
        <f t="shared" si="20"/>
        <v>5.1521218555705771E-9</v>
      </c>
      <c r="U109" s="295">
        <f t="shared" si="20"/>
        <v>4.5990079902008045E-9</v>
      </c>
      <c r="V109" s="295">
        <f t="shared" si="20"/>
        <v>3.5510288775958664E-9</v>
      </c>
      <c r="W109" s="295">
        <f t="shared" si="20"/>
        <v>1.9473384167461205E-9</v>
      </c>
      <c r="X109" s="295">
        <f t="shared" si="20"/>
        <v>1.4891411422176208E-9</v>
      </c>
      <c r="Y109" s="295">
        <f t="shared" si="20"/>
        <v>9.1449671533384538E-10</v>
      </c>
      <c r="Z109" s="295">
        <f t="shared" si="20"/>
        <v>6.8237717359949348E-10</v>
      </c>
      <c r="AA109" s="295">
        <f t="shared" si="20"/>
        <v>1.1203248714454641E-10</v>
      </c>
      <c r="AB109" s="295">
        <f t="shared" si="20"/>
        <v>0</v>
      </c>
      <c r="AC109" s="295">
        <f t="shared" si="20"/>
        <v>0</v>
      </c>
      <c r="AD109" s="295">
        <f t="shared" si="20"/>
        <v>0</v>
      </c>
      <c r="AE109" s="296">
        <f t="shared" si="20"/>
        <v>0</v>
      </c>
    </row>
    <row r="110" spans="1:31" ht="15.75" thickBot="1">
      <c r="A110" s="1711"/>
      <c r="B110" s="116">
        <v>25</v>
      </c>
      <c r="C110" s="297">
        <f t="shared" si="19"/>
        <v>6.1110712655424136E-2</v>
      </c>
      <c r="D110" s="298">
        <f t="shared" si="18"/>
        <v>0</v>
      </c>
      <c r="E110" s="298">
        <f t="shared" si="18"/>
        <v>0</v>
      </c>
      <c r="F110" s="298">
        <f t="shared" si="18"/>
        <v>0</v>
      </c>
      <c r="G110" s="298">
        <f t="shared" si="18"/>
        <v>0</v>
      </c>
      <c r="H110" s="298">
        <f t="shared" si="18"/>
        <v>0</v>
      </c>
      <c r="I110" s="298">
        <f t="shared" si="18"/>
        <v>0</v>
      </c>
      <c r="J110" s="298">
        <f t="shared" si="18"/>
        <v>0</v>
      </c>
      <c r="K110" s="298">
        <f t="shared" si="18"/>
        <v>0</v>
      </c>
      <c r="L110" s="298">
        <f t="shared" si="20"/>
        <v>0</v>
      </c>
      <c r="M110" s="298">
        <f t="shared" si="20"/>
        <v>0</v>
      </c>
      <c r="N110" s="298">
        <f t="shared" si="20"/>
        <v>0</v>
      </c>
      <c r="O110" s="298">
        <f t="shared" si="20"/>
        <v>0</v>
      </c>
      <c r="P110" s="298">
        <f t="shared" si="20"/>
        <v>0</v>
      </c>
      <c r="Q110" s="298">
        <f t="shared" si="20"/>
        <v>0</v>
      </c>
      <c r="R110" s="298">
        <f t="shared" si="20"/>
        <v>0</v>
      </c>
      <c r="S110" s="298">
        <f t="shared" si="20"/>
        <v>0</v>
      </c>
      <c r="T110" s="298">
        <f t="shared" si="20"/>
        <v>0</v>
      </c>
      <c r="U110" s="298">
        <f t="shared" si="20"/>
        <v>0</v>
      </c>
      <c r="V110" s="298">
        <f t="shared" si="20"/>
        <v>0</v>
      </c>
      <c r="W110" s="298">
        <f t="shared" si="20"/>
        <v>0</v>
      </c>
      <c r="X110" s="298">
        <f t="shared" si="20"/>
        <v>0</v>
      </c>
      <c r="Y110" s="298">
        <f t="shared" si="20"/>
        <v>0</v>
      </c>
      <c r="Z110" s="298">
        <f t="shared" si="20"/>
        <v>0</v>
      </c>
      <c r="AA110" s="298">
        <f t="shared" si="20"/>
        <v>0</v>
      </c>
      <c r="AB110" s="298">
        <f t="shared" si="20"/>
        <v>0</v>
      </c>
      <c r="AC110" s="298">
        <f t="shared" si="20"/>
        <v>0</v>
      </c>
      <c r="AD110" s="298">
        <f t="shared" si="20"/>
        <v>0</v>
      </c>
      <c r="AE110" s="299">
        <f t="shared" si="20"/>
        <v>0</v>
      </c>
    </row>
    <row r="111" spans="1:31" ht="16.5" thickTop="1" thickBot="1">
      <c r="A111" s="1712"/>
      <c r="B111" s="300" t="s">
        <v>39</v>
      </c>
      <c r="C111" s="349">
        <f>SUM(C85:C110)</f>
        <v>418.96620566634374</v>
      </c>
      <c r="D111" s="349">
        <f>SUM(D85:D110)</f>
        <v>271.0170406441793</v>
      </c>
      <c r="E111" s="349">
        <f t="shared" ref="E111:AE111" si="21">SUM(E85:E110)</f>
        <v>201.5853832747172</v>
      </c>
      <c r="F111" s="349">
        <f t="shared" si="21"/>
        <v>155.26067288467505</v>
      </c>
      <c r="G111" s="349">
        <f t="shared" si="21"/>
        <v>117.87747122356225</v>
      </c>
      <c r="H111" s="349">
        <f t="shared" si="21"/>
        <v>86.002488855220676</v>
      </c>
      <c r="I111" s="349">
        <f t="shared" si="21"/>
        <v>59.488788738115048</v>
      </c>
      <c r="J111" s="349">
        <f t="shared" si="21"/>
        <v>38.749904017337577</v>
      </c>
      <c r="K111" s="349">
        <f t="shared" si="21"/>
        <v>23.672778254583285</v>
      </c>
      <c r="L111" s="349">
        <f t="shared" si="21"/>
        <v>13.481127424087099</v>
      </c>
      <c r="M111" s="349">
        <f t="shared" si="21"/>
        <v>7.0657966297991228</v>
      </c>
      <c r="N111" s="349">
        <f t="shared" si="21"/>
        <v>3.3345418163500922</v>
      </c>
      <c r="O111" s="349">
        <f t="shared" si="21"/>
        <v>1.3823304541125947</v>
      </c>
      <c r="P111" s="349">
        <f t="shared" si="21"/>
        <v>0.49567521008934262</v>
      </c>
      <c r="Q111" s="349">
        <f t="shared" si="21"/>
        <v>0.15287442990123168</v>
      </c>
      <c r="R111" s="349">
        <f t="shared" si="21"/>
        <v>4.1800185588095701E-2</v>
      </c>
      <c r="S111" s="349">
        <f t="shared" si="21"/>
        <v>1.0284825202228207E-2</v>
      </c>
      <c r="T111" s="349">
        <f t="shared" si="21"/>
        <v>2.2471120791910382E-3</v>
      </c>
      <c r="U111" s="349">
        <f t="shared" si="21"/>
        <v>4.2875457236468597E-4</v>
      </c>
      <c r="V111" s="349">
        <f t="shared" si="21"/>
        <v>6.990725909194635E-5</v>
      </c>
      <c r="W111" s="349">
        <f t="shared" si="21"/>
        <v>9.4574770810092427E-6</v>
      </c>
      <c r="X111" s="349">
        <f t="shared" si="21"/>
        <v>1.0175621151188437E-6</v>
      </c>
      <c r="Y111" s="349">
        <f t="shared" si="21"/>
        <v>8.1468276784450084E-8</v>
      </c>
      <c r="Z111" s="349">
        <f t="shared" si="21"/>
        <v>4.302896613576186E-9</v>
      </c>
      <c r="AA111" s="349">
        <f t="shared" si="21"/>
        <v>1.1203248714454641E-10</v>
      </c>
      <c r="AB111" s="349">
        <f t="shared" si="21"/>
        <v>0</v>
      </c>
      <c r="AC111" s="349">
        <f t="shared" si="21"/>
        <v>0</v>
      </c>
      <c r="AD111" s="349">
        <f t="shared" si="21"/>
        <v>0</v>
      </c>
      <c r="AE111" s="350">
        <f t="shared" si="21"/>
        <v>0</v>
      </c>
    </row>
    <row r="112" spans="1:31" ht="15.75" thickBot="1"/>
    <row r="113" spans="1:31" ht="15.75" customHeight="1" thickBot="1">
      <c r="A113" s="1710" t="s">
        <v>199</v>
      </c>
      <c r="B113" s="169" t="s">
        <v>10</v>
      </c>
      <c r="C113" s="288">
        <v>2012</v>
      </c>
      <c r="D113" s="347">
        <v>2013</v>
      </c>
      <c r="E113" s="347">
        <v>2014</v>
      </c>
      <c r="F113" s="288">
        <v>2015</v>
      </c>
      <c r="G113" s="347">
        <v>2016</v>
      </c>
      <c r="H113" s="347">
        <v>2017</v>
      </c>
      <c r="I113" s="288">
        <v>2018</v>
      </c>
      <c r="J113" s="347">
        <v>2019</v>
      </c>
      <c r="K113" s="347">
        <v>2020</v>
      </c>
      <c r="L113" s="288">
        <v>2021</v>
      </c>
      <c r="M113" s="347">
        <v>2022</v>
      </c>
      <c r="N113" s="347">
        <v>2023</v>
      </c>
      <c r="O113" s="288">
        <v>2024</v>
      </c>
      <c r="P113" s="347">
        <v>2025</v>
      </c>
      <c r="Q113" s="347">
        <v>2026</v>
      </c>
      <c r="R113" s="288">
        <v>2027</v>
      </c>
      <c r="S113" s="347">
        <v>2028</v>
      </c>
      <c r="T113" s="347">
        <v>2029</v>
      </c>
      <c r="U113" s="288">
        <v>2030</v>
      </c>
      <c r="V113" s="347">
        <v>2031</v>
      </c>
      <c r="W113" s="347">
        <v>2032</v>
      </c>
      <c r="X113" s="288">
        <v>2033</v>
      </c>
      <c r="Y113" s="347">
        <v>2034</v>
      </c>
      <c r="Z113" s="347">
        <v>2035</v>
      </c>
      <c r="AA113" s="288">
        <v>2036</v>
      </c>
      <c r="AB113" s="347">
        <v>2037</v>
      </c>
      <c r="AC113" s="347">
        <v>2038</v>
      </c>
      <c r="AD113" s="288">
        <v>2039</v>
      </c>
      <c r="AE113" s="348">
        <v>2040</v>
      </c>
    </row>
    <row r="114" spans="1:31">
      <c r="A114" s="1711"/>
      <c r="B114" s="116">
        <v>0</v>
      </c>
      <c r="C114" s="291">
        <f t="shared" ref="C114:C132" si="22">M28</f>
        <v>1</v>
      </c>
      <c r="D114" s="292"/>
      <c r="E114" s="292"/>
      <c r="F114" s="292"/>
      <c r="G114" s="292"/>
      <c r="H114" s="292"/>
      <c r="I114" s="292"/>
      <c r="J114" s="292"/>
      <c r="K114" s="292"/>
      <c r="L114" s="292"/>
      <c r="M114" s="292"/>
      <c r="N114" s="292"/>
      <c r="O114" s="292"/>
      <c r="P114" s="292"/>
      <c r="Q114" s="292"/>
      <c r="R114" s="292"/>
      <c r="S114" s="292"/>
      <c r="T114" s="292"/>
      <c r="U114" s="292"/>
      <c r="V114" s="292"/>
      <c r="W114" s="292"/>
      <c r="X114" s="292"/>
      <c r="Y114" s="292"/>
      <c r="Z114" s="292"/>
      <c r="AA114" s="292"/>
      <c r="AB114" s="292"/>
      <c r="AC114" s="292"/>
      <c r="AD114" s="292"/>
      <c r="AE114" s="293"/>
    </row>
    <row r="115" spans="1:31">
      <c r="A115" s="1711"/>
      <c r="B115" s="116">
        <v>1</v>
      </c>
      <c r="C115" s="294">
        <f t="shared" si="22"/>
        <v>13</v>
      </c>
      <c r="D115" s="295">
        <f t="shared" ref="D115:AE124" si="23">C114*$E29</f>
        <v>0.98349924874585293</v>
      </c>
      <c r="E115" s="295">
        <f t="shared" si="23"/>
        <v>0</v>
      </c>
      <c r="F115" s="295">
        <f t="shared" si="23"/>
        <v>0</v>
      </c>
      <c r="G115" s="295">
        <f t="shared" si="23"/>
        <v>0</v>
      </c>
      <c r="H115" s="295">
        <f t="shared" si="23"/>
        <v>0</v>
      </c>
      <c r="I115" s="295">
        <f t="shared" si="23"/>
        <v>0</v>
      </c>
      <c r="J115" s="295">
        <f t="shared" si="23"/>
        <v>0</v>
      </c>
      <c r="K115" s="295">
        <f t="shared" si="23"/>
        <v>0</v>
      </c>
      <c r="L115" s="295">
        <f t="shared" si="23"/>
        <v>0</v>
      </c>
      <c r="M115" s="295">
        <f t="shared" si="23"/>
        <v>0</v>
      </c>
      <c r="N115" s="295">
        <f t="shared" si="23"/>
        <v>0</v>
      </c>
      <c r="O115" s="295">
        <f t="shared" si="23"/>
        <v>0</v>
      </c>
      <c r="P115" s="295">
        <f t="shared" si="23"/>
        <v>0</v>
      </c>
      <c r="Q115" s="295">
        <f t="shared" si="23"/>
        <v>0</v>
      </c>
      <c r="R115" s="295">
        <f t="shared" si="23"/>
        <v>0</v>
      </c>
      <c r="S115" s="295">
        <f t="shared" si="23"/>
        <v>0</v>
      </c>
      <c r="T115" s="295">
        <f t="shared" si="23"/>
        <v>0</v>
      </c>
      <c r="U115" s="295">
        <f t="shared" si="23"/>
        <v>0</v>
      </c>
      <c r="V115" s="295">
        <f t="shared" si="23"/>
        <v>0</v>
      </c>
      <c r="W115" s="295">
        <f t="shared" si="23"/>
        <v>0</v>
      </c>
      <c r="X115" s="295">
        <f t="shared" si="23"/>
        <v>0</v>
      </c>
      <c r="Y115" s="295">
        <f t="shared" si="23"/>
        <v>0</v>
      </c>
      <c r="Z115" s="295">
        <f t="shared" si="23"/>
        <v>0</v>
      </c>
      <c r="AA115" s="295">
        <f t="shared" si="23"/>
        <v>0</v>
      </c>
      <c r="AB115" s="295">
        <f t="shared" si="23"/>
        <v>0</v>
      </c>
      <c r="AC115" s="295">
        <f t="shared" si="23"/>
        <v>0</v>
      </c>
      <c r="AD115" s="295">
        <f t="shared" si="23"/>
        <v>0</v>
      </c>
      <c r="AE115" s="296">
        <f t="shared" si="23"/>
        <v>0</v>
      </c>
    </row>
    <row r="116" spans="1:31">
      <c r="A116" s="1711"/>
      <c r="B116" s="116">
        <v>2</v>
      </c>
      <c r="C116" s="294">
        <f t="shared" si="22"/>
        <v>12</v>
      </c>
      <c r="D116" s="295">
        <f t="shared" si="23"/>
        <v>12.703981020982193</v>
      </c>
      <c r="E116" s="295">
        <f t="shared" si="23"/>
        <v>0.96110429155519683</v>
      </c>
      <c r="F116" s="295">
        <f t="shared" si="23"/>
        <v>0</v>
      </c>
      <c r="G116" s="295">
        <f t="shared" si="23"/>
        <v>0</v>
      </c>
      <c r="H116" s="295">
        <f t="shared" si="23"/>
        <v>0</v>
      </c>
      <c r="I116" s="295">
        <f t="shared" si="23"/>
        <v>0</v>
      </c>
      <c r="J116" s="295">
        <f t="shared" si="23"/>
        <v>0</v>
      </c>
      <c r="K116" s="295">
        <f t="shared" si="23"/>
        <v>0</v>
      </c>
      <c r="L116" s="295">
        <f t="shared" si="23"/>
        <v>0</v>
      </c>
      <c r="M116" s="295">
        <f t="shared" si="23"/>
        <v>0</v>
      </c>
      <c r="N116" s="295">
        <f t="shared" si="23"/>
        <v>0</v>
      </c>
      <c r="O116" s="295">
        <f t="shared" si="23"/>
        <v>0</v>
      </c>
      <c r="P116" s="295">
        <f t="shared" si="23"/>
        <v>0</v>
      </c>
      <c r="Q116" s="295">
        <f t="shared" si="23"/>
        <v>0</v>
      </c>
      <c r="R116" s="295">
        <f t="shared" si="23"/>
        <v>0</v>
      </c>
      <c r="S116" s="295">
        <f t="shared" si="23"/>
        <v>0</v>
      </c>
      <c r="T116" s="295">
        <f t="shared" si="23"/>
        <v>0</v>
      </c>
      <c r="U116" s="295">
        <f t="shared" si="23"/>
        <v>0</v>
      </c>
      <c r="V116" s="295">
        <f t="shared" si="23"/>
        <v>0</v>
      </c>
      <c r="W116" s="295">
        <f t="shared" si="23"/>
        <v>0</v>
      </c>
      <c r="X116" s="295">
        <f t="shared" si="23"/>
        <v>0</v>
      </c>
      <c r="Y116" s="295">
        <f t="shared" si="23"/>
        <v>0</v>
      </c>
      <c r="Z116" s="295">
        <f t="shared" si="23"/>
        <v>0</v>
      </c>
      <c r="AA116" s="295">
        <f t="shared" si="23"/>
        <v>0</v>
      </c>
      <c r="AB116" s="295">
        <f t="shared" si="23"/>
        <v>0</v>
      </c>
      <c r="AC116" s="295">
        <f t="shared" si="23"/>
        <v>0</v>
      </c>
      <c r="AD116" s="295">
        <f t="shared" si="23"/>
        <v>0</v>
      </c>
      <c r="AE116" s="296">
        <f t="shared" si="23"/>
        <v>0</v>
      </c>
    </row>
    <row r="117" spans="1:31">
      <c r="A117" s="1711"/>
      <c r="B117" s="116">
        <v>3</v>
      </c>
      <c r="C117" s="294">
        <f t="shared" si="22"/>
        <v>7</v>
      </c>
      <c r="D117" s="295">
        <f t="shared" si="23"/>
        <v>11.631888913114807</v>
      </c>
      <c r="E117" s="295">
        <f t="shared" si="23"/>
        <v>12.314274665865307</v>
      </c>
      <c r="F117" s="295">
        <f t="shared" si="23"/>
        <v>0.93162152944066279</v>
      </c>
      <c r="G117" s="295">
        <f t="shared" si="23"/>
        <v>0</v>
      </c>
      <c r="H117" s="295">
        <f t="shared" si="23"/>
        <v>0</v>
      </c>
      <c r="I117" s="295">
        <f t="shared" si="23"/>
        <v>0</v>
      </c>
      <c r="J117" s="295">
        <f t="shared" si="23"/>
        <v>0</v>
      </c>
      <c r="K117" s="295">
        <f t="shared" si="23"/>
        <v>0</v>
      </c>
      <c r="L117" s="295">
        <f t="shared" si="23"/>
        <v>0</v>
      </c>
      <c r="M117" s="295">
        <f t="shared" si="23"/>
        <v>0</v>
      </c>
      <c r="N117" s="295">
        <f t="shared" si="23"/>
        <v>0</v>
      </c>
      <c r="O117" s="295">
        <f t="shared" si="23"/>
        <v>0</v>
      </c>
      <c r="P117" s="295">
        <f t="shared" si="23"/>
        <v>0</v>
      </c>
      <c r="Q117" s="295">
        <f t="shared" si="23"/>
        <v>0</v>
      </c>
      <c r="R117" s="295">
        <f t="shared" si="23"/>
        <v>0</v>
      </c>
      <c r="S117" s="295">
        <f t="shared" si="23"/>
        <v>0</v>
      </c>
      <c r="T117" s="295">
        <f t="shared" si="23"/>
        <v>0</v>
      </c>
      <c r="U117" s="295">
        <f t="shared" si="23"/>
        <v>0</v>
      </c>
      <c r="V117" s="295">
        <f t="shared" si="23"/>
        <v>0</v>
      </c>
      <c r="W117" s="295">
        <f t="shared" si="23"/>
        <v>0</v>
      </c>
      <c r="X117" s="295">
        <f t="shared" si="23"/>
        <v>0</v>
      </c>
      <c r="Y117" s="295">
        <f t="shared" si="23"/>
        <v>0</v>
      </c>
      <c r="Z117" s="295">
        <f t="shared" si="23"/>
        <v>0</v>
      </c>
      <c r="AA117" s="295">
        <f t="shared" si="23"/>
        <v>0</v>
      </c>
      <c r="AB117" s="295">
        <f t="shared" si="23"/>
        <v>0</v>
      </c>
      <c r="AC117" s="295">
        <f t="shared" si="23"/>
        <v>0</v>
      </c>
      <c r="AD117" s="295">
        <f t="shared" si="23"/>
        <v>0</v>
      </c>
      <c r="AE117" s="296">
        <f t="shared" si="23"/>
        <v>0</v>
      </c>
    </row>
    <row r="118" spans="1:31">
      <c r="A118" s="1711"/>
      <c r="B118" s="116">
        <v>4</v>
      </c>
      <c r="C118" s="294">
        <f t="shared" si="22"/>
        <v>17</v>
      </c>
      <c r="D118" s="295">
        <f t="shared" si="23"/>
        <v>6.7974846566006883</v>
      </c>
      <c r="E118" s="295">
        <f t="shared" si="23"/>
        <v>11.295369487740222</v>
      </c>
      <c r="F118" s="295">
        <f t="shared" si="23"/>
        <v>11.958013299769428</v>
      </c>
      <c r="G118" s="295">
        <f t="shared" si="23"/>
        <v>0.90466900744739598</v>
      </c>
      <c r="H118" s="295">
        <f t="shared" si="23"/>
        <v>0</v>
      </c>
      <c r="I118" s="295">
        <f t="shared" si="23"/>
        <v>0</v>
      </c>
      <c r="J118" s="295">
        <f t="shared" si="23"/>
        <v>0</v>
      </c>
      <c r="K118" s="295">
        <f t="shared" si="23"/>
        <v>0</v>
      </c>
      <c r="L118" s="295">
        <f t="shared" si="23"/>
        <v>0</v>
      </c>
      <c r="M118" s="295">
        <f t="shared" si="23"/>
        <v>0</v>
      </c>
      <c r="N118" s="295">
        <f t="shared" si="23"/>
        <v>0</v>
      </c>
      <c r="O118" s="295">
        <f t="shared" si="23"/>
        <v>0</v>
      </c>
      <c r="P118" s="295">
        <f t="shared" si="23"/>
        <v>0</v>
      </c>
      <c r="Q118" s="295">
        <f t="shared" si="23"/>
        <v>0</v>
      </c>
      <c r="R118" s="295">
        <f t="shared" si="23"/>
        <v>0</v>
      </c>
      <c r="S118" s="295">
        <f t="shared" si="23"/>
        <v>0</v>
      </c>
      <c r="T118" s="295">
        <f t="shared" si="23"/>
        <v>0</v>
      </c>
      <c r="U118" s="295">
        <f t="shared" si="23"/>
        <v>0</v>
      </c>
      <c r="V118" s="295">
        <f t="shared" si="23"/>
        <v>0</v>
      </c>
      <c r="W118" s="295">
        <f t="shared" si="23"/>
        <v>0</v>
      </c>
      <c r="X118" s="295">
        <f t="shared" si="23"/>
        <v>0</v>
      </c>
      <c r="Y118" s="295">
        <f t="shared" si="23"/>
        <v>0</v>
      </c>
      <c r="Z118" s="295">
        <f t="shared" si="23"/>
        <v>0</v>
      </c>
      <c r="AA118" s="295">
        <f t="shared" si="23"/>
        <v>0</v>
      </c>
      <c r="AB118" s="295">
        <f t="shared" si="23"/>
        <v>0</v>
      </c>
      <c r="AC118" s="295">
        <f t="shared" si="23"/>
        <v>0</v>
      </c>
      <c r="AD118" s="295">
        <f t="shared" si="23"/>
        <v>0</v>
      </c>
      <c r="AE118" s="296">
        <f t="shared" si="23"/>
        <v>0</v>
      </c>
    </row>
    <row r="119" spans="1:31">
      <c r="A119" s="1711"/>
      <c r="B119" s="116">
        <v>5</v>
      </c>
      <c r="C119" s="294">
        <f t="shared" si="22"/>
        <v>12</v>
      </c>
      <c r="D119" s="295">
        <f t="shared" si="23"/>
        <v>16.303649487514416</v>
      </c>
      <c r="E119" s="295">
        <f t="shared" si="23"/>
        <v>6.5190474845867596</v>
      </c>
      <c r="F119" s="295">
        <f t="shared" si="23"/>
        <v>10.832690880004815</v>
      </c>
      <c r="G119" s="295">
        <f t="shared" si="23"/>
        <v>11.468191612145672</v>
      </c>
      <c r="H119" s="295">
        <f t="shared" si="23"/>
        <v>0.86761214115528895</v>
      </c>
      <c r="I119" s="295">
        <f t="shared" si="23"/>
        <v>0</v>
      </c>
      <c r="J119" s="295">
        <f t="shared" si="23"/>
        <v>0</v>
      </c>
      <c r="K119" s="295">
        <f t="shared" si="23"/>
        <v>0</v>
      </c>
      <c r="L119" s="295">
        <f t="shared" si="23"/>
        <v>0</v>
      </c>
      <c r="M119" s="295">
        <f t="shared" si="23"/>
        <v>0</v>
      </c>
      <c r="N119" s="295">
        <f t="shared" si="23"/>
        <v>0</v>
      </c>
      <c r="O119" s="295">
        <f t="shared" si="23"/>
        <v>0</v>
      </c>
      <c r="P119" s="295">
        <f t="shared" si="23"/>
        <v>0</v>
      </c>
      <c r="Q119" s="295">
        <f t="shared" si="23"/>
        <v>0</v>
      </c>
      <c r="R119" s="295">
        <f t="shared" si="23"/>
        <v>0</v>
      </c>
      <c r="S119" s="295">
        <f t="shared" si="23"/>
        <v>0</v>
      </c>
      <c r="T119" s="295">
        <f t="shared" si="23"/>
        <v>0</v>
      </c>
      <c r="U119" s="295">
        <f t="shared" si="23"/>
        <v>0</v>
      </c>
      <c r="V119" s="295">
        <f t="shared" si="23"/>
        <v>0</v>
      </c>
      <c r="W119" s="295">
        <f t="shared" si="23"/>
        <v>0</v>
      </c>
      <c r="X119" s="295">
        <f t="shared" si="23"/>
        <v>0</v>
      </c>
      <c r="Y119" s="295">
        <f t="shared" si="23"/>
        <v>0</v>
      </c>
      <c r="Z119" s="295">
        <f t="shared" si="23"/>
        <v>0</v>
      </c>
      <c r="AA119" s="295">
        <f t="shared" si="23"/>
        <v>0</v>
      </c>
      <c r="AB119" s="295">
        <f t="shared" si="23"/>
        <v>0</v>
      </c>
      <c r="AC119" s="295">
        <f t="shared" si="23"/>
        <v>0</v>
      </c>
      <c r="AD119" s="295">
        <f t="shared" si="23"/>
        <v>0</v>
      </c>
      <c r="AE119" s="296">
        <f t="shared" si="23"/>
        <v>0</v>
      </c>
    </row>
    <row r="120" spans="1:31">
      <c r="A120" s="1711"/>
      <c r="B120" s="116">
        <v>6</v>
      </c>
      <c r="C120" s="294">
        <f t="shared" si="22"/>
        <v>21</v>
      </c>
      <c r="D120" s="295">
        <f t="shared" si="23"/>
        <v>11.305224130826911</v>
      </c>
      <c r="E120" s="295">
        <f t="shared" si="23"/>
        <v>15.359700967232648</v>
      </c>
      <c r="F120" s="295">
        <f t="shared" si="23"/>
        <v>6.1416077443963921</v>
      </c>
      <c r="G120" s="295">
        <f t="shared" si="23"/>
        <v>10.20549986153492</v>
      </c>
      <c r="H120" s="295">
        <f t="shared" si="23"/>
        <v>10.804206379214669</v>
      </c>
      <c r="I120" s="295">
        <f t="shared" si="23"/>
        <v>0.81737914286559799</v>
      </c>
      <c r="J120" s="295">
        <f t="shared" si="23"/>
        <v>0</v>
      </c>
      <c r="K120" s="295">
        <f t="shared" si="23"/>
        <v>0</v>
      </c>
      <c r="L120" s="295">
        <f t="shared" si="23"/>
        <v>0</v>
      </c>
      <c r="M120" s="295">
        <f t="shared" si="23"/>
        <v>0</v>
      </c>
      <c r="N120" s="295">
        <f t="shared" si="23"/>
        <v>0</v>
      </c>
      <c r="O120" s="295">
        <f t="shared" si="23"/>
        <v>0</v>
      </c>
      <c r="P120" s="295">
        <f t="shared" si="23"/>
        <v>0</v>
      </c>
      <c r="Q120" s="295">
        <f t="shared" si="23"/>
        <v>0</v>
      </c>
      <c r="R120" s="295">
        <f t="shared" si="23"/>
        <v>0</v>
      </c>
      <c r="S120" s="295">
        <f t="shared" si="23"/>
        <v>0</v>
      </c>
      <c r="T120" s="295">
        <f t="shared" si="23"/>
        <v>0</v>
      </c>
      <c r="U120" s="295">
        <f t="shared" si="23"/>
        <v>0</v>
      </c>
      <c r="V120" s="295">
        <f t="shared" si="23"/>
        <v>0</v>
      </c>
      <c r="W120" s="295">
        <f t="shared" si="23"/>
        <v>0</v>
      </c>
      <c r="X120" s="295">
        <f t="shared" si="23"/>
        <v>0</v>
      </c>
      <c r="Y120" s="295">
        <f t="shared" si="23"/>
        <v>0</v>
      </c>
      <c r="Z120" s="295">
        <f t="shared" si="23"/>
        <v>0</v>
      </c>
      <c r="AA120" s="295">
        <f t="shared" si="23"/>
        <v>0</v>
      </c>
      <c r="AB120" s="295">
        <f t="shared" si="23"/>
        <v>0</v>
      </c>
      <c r="AC120" s="295">
        <f t="shared" si="23"/>
        <v>0</v>
      </c>
      <c r="AD120" s="295">
        <f t="shared" si="23"/>
        <v>0</v>
      </c>
      <c r="AE120" s="296">
        <f t="shared" si="23"/>
        <v>0</v>
      </c>
    </row>
    <row r="121" spans="1:31">
      <c r="A121" s="1711"/>
      <c r="B121" s="116">
        <v>7</v>
      </c>
      <c r="C121" s="294">
        <f t="shared" si="22"/>
        <v>9</v>
      </c>
      <c r="D121" s="295">
        <f t="shared" si="23"/>
        <v>19.247633785894724</v>
      </c>
      <c r="E121" s="295">
        <f t="shared" si="23"/>
        <v>10.361848282743637</v>
      </c>
      <c r="F121" s="295">
        <f t="shared" si="23"/>
        <v>14.077995203721285</v>
      </c>
      <c r="G121" s="295">
        <f t="shared" si="23"/>
        <v>5.6291150819407942</v>
      </c>
      <c r="H121" s="295">
        <f t="shared" si="23"/>
        <v>9.3538916160392116</v>
      </c>
      <c r="I121" s="295">
        <f t="shared" si="23"/>
        <v>9.9026384635405513</v>
      </c>
      <c r="J121" s="295">
        <f t="shared" si="23"/>
        <v>0.74917211457645494</v>
      </c>
      <c r="K121" s="295">
        <f t="shared" si="23"/>
        <v>0</v>
      </c>
      <c r="L121" s="295">
        <f t="shared" si="23"/>
        <v>0</v>
      </c>
      <c r="M121" s="295">
        <f t="shared" si="23"/>
        <v>0</v>
      </c>
      <c r="N121" s="295">
        <f t="shared" si="23"/>
        <v>0</v>
      </c>
      <c r="O121" s="295">
        <f t="shared" si="23"/>
        <v>0</v>
      </c>
      <c r="P121" s="295">
        <f t="shared" si="23"/>
        <v>0</v>
      </c>
      <c r="Q121" s="295">
        <f t="shared" si="23"/>
        <v>0</v>
      </c>
      <c r="R121" s="295">
        <f t="shared" si="23"/>
        <v>0</v>
      </c>
      <c r="S121" s="295">
        <f t="shared" si="23"/>
        <v>0</v>
      </c>
      <c r="T121" s="295">
        <f t="shared" si="23"/>
        <v>0</v>
      </c>
      <c r="U121" s="295">
        <f t="shared" si="23"/>
        <v>0</v>
      </c>
      <c r="V121" s="295">
        <f t="shared" si="23"/>
        <v>0</v>
      </c>
      <c r="W121" s="295">
        <f t="shared" si="23"/>
        <v>0</v>
      </c>
      <c r="X121" s="295">
        <f t="shared" si="23"/>
        <v>0</v>
      </c>
      <c r="Y121" s="295">
        <f t="shared" si="23"/>
        <v>0</v>
      </c>
      <c r="Z121" s="295">
        <f t="shared" si="23"/>
        <v>0</v>
      </c>
      <c r="AA121" s="295">
        <f t="shared" si="23"/>
        <v>0</v>
      </c>
      <c r="AB121" s="295">
        <f t="shared" si="23"/>
        <v>0</v>
      </c>
      <c r="AC121" s="295">
        <f t="shared" si="23"/>
        <v>0</v>
      </c>
      <c r="AD121" s="295">
        <f t="shared" si="23"/>
        <v>0</v>
      </c>
      <c r="AE121" s="296">
        <f t="shared" si="23"/>
        <v>0</v>
      </c>
    </row>
    <row r="122" spans="1:31">
      <c r="A122" s="1711"/>
      <c r="B122" s="116">
        <v>8</v>
      </c>
      <c r="C122" s="294">
        <f t="shared" si="22"/>
        <v>7</v>
      </c>
      <c r="D122" s="295">
        <f t="shared" si="23"/>
        <v>7.8842301904560133</v>
      </c>
      <c r="E122" s="295">
        <f t="shared" si="23"/>
        <v>16.861419487732483</v>
      </c>
      <c r="F122" s="295">
        <f t="shared" si="23"/>
        <v>9.0772441177480196</v>
      </c>
      <c r="G122" s="295">
        <f t="shared" si="23"/>
        <v>12.332683867363812</v>
      </c>
      <c r="H122" s="295">
        <f t="shared" si="23"/>
        <v>4.9312487860654315</v>
      </c>
      <c r="I122" s="295">
        <f t="shared" si="23"/>
        <v>8.1942482974921926</v>
      </c>
      <c r="J122" s="295">
        <f t="shared" si="23"/>
        <v>8.6749645710463739</v>
      </c>
      <c r="K122" s="295">
        <f t="shared" si="23"/>
        <v>0.6562939337323842</v>
      </c>
      <c r="L122" s="295">
        <f t="shared" si="23"/>
        <v>0</v>
      </c>
      <c r="M122" s="295">
        <f t="shared" si="23"/>
        <v>0</v>
      </c>
      <c r="N122" s="295">
        <f t="shared" si="23"/>
        <v>0</v>
      </c>
      <c r="O122" s="295">
        <f t="shared" si="23"/>
        <v>0</v>
      </c>
      <c r="P122" s="295">
        <f t="shared" si="23"/>
        <v>0</v>
      </c>
      <c r="Q122" s="295">
        <f t="shared" si="23"/>
        <v>0</v>
      </c>
      <c r="R122" s="295">
        <f t="shared" si="23"/>
        <v>0</v>
      </c>
      <c r="S122" s="295">
        <f t="shared" si="23"/>
        <v>0</v>
      </c>
      <c r="T122" s="295">
        <f t="shared" si="23"/>
        <v>0</v>
      </c>
      <c r="U122" s="295">
        <f t="shared" si="23"/>
        <v>0</v>
      </c>
      <c r="V122" s="295">
        <f t="shared" si="23"/>
        <v>0</v>
      </c>
      <c r="W122" s="295">
        <f t="shared" si="23"/>
        <v>0</v>
      </c>
      <c r="X122" s="295">
        <f t="shared" si="23"/>
        <v>0</v>
      </c>
      <c r="Y122" s="295">
        <f t="shared" si="23"/>
        <v>0</v>
      </c>
      <c r="Z122" s="295">
        <f t="shared" si="23"/>
        <v>0</v>
      </c>
      <c r="AA122" s="295">
        <f t="shared" si="23"/>
        <v>0</v>
      </c>
      <c r="AB122" s="295">
        <f t="shared" si="23"/>
        <v>0</v>
      </c>
      <c r="AC122" s="295">
        <f t="shared" si="23"/>
        <v>0</v>
      </c>
      <c r="AD122" s="295">
        <f t="shared" si="23"/>
        <v>0</v>
      </c>
      <c r="AE122" s="296">
        <f t="shared" si="23"/>
        <v>0</v>
      </c>
    </row>
    <row r="123" spans="1:31">
      <c r="A123" s="1711"/>
      <c r="B123" s="116">
        <v>9</v>
      </c>
      <c r="C123" s="294">
        <f t="shared" si="22"/>
        <v>10</v>
      </c>
      <c r="D123" s="295">
        <f t="shared" si="23"/>
        <v>5.7542808768428397</v>
      </c>
      <c r="E123" s="295">
        <f t="shared" si="23"/>
        <v>6.4811535733668588</v>
      </c>
      <c r="F123" s="295">
        <f t="shared" si="23"/>
        <v>13.86076338781203</v>
      </c>
      <c r="G123" s="295">
        <f t="shared" si="23"/>
        <v>7.4618588915987969</v>
      </c>
      <c r="H123" s="295">
        <f t="shared" si="23"/>
        <v>10.137960991159968</v>
      </c>
      <c r="I123" s="295">
        <f t="shared" si="23"/>
        <v>4.0536843698015401</v>
      </c>
      <c r="J123" s="295">
        <f t="shared" si="23"/>
        <v>6.7360008969087595</v>
      </c>
      <c r="K123" s="295">
        <f t="shared" si="23"/>
        <v>7.1311689626373278</v>
      </c>
      <c r="L123" s="295">
        <f t="shared" si="23"/>
        <v>0.53949994749488861</v>
      </c>
      <c r="M123" s="295">
        <f t="shared" si="23"/>
        <v>0</v>
      </c>
      <c r="N123" s="295">
        <f t="shared" si="23"/>
        <v>0</v>
      </c>
      <c r="O123" s="295">
        <f t="shared" si="23"/>
        <v>0</v>
      </c>
      <c r="P123" s="295">
        <f t="shared" si="23"/>
        <v>0</v>
      </c>
      <c r="Q123" s="295">
        <f t="shared" si="23"/>
        <v>0</v>
      </c>
      <c r="R123" s="295">
        <f t="shared" si="23"/>
        <v>0</v>
      </c>
      <c r="S123" s="295">
        <f t="shared" si="23"/>
        <v>0</v>
      </c>
      <c r="T123" s="295">
        <f t="shared" si="23"/>
        <v>0</v>
      </c>
      <c r="U123" s="295">
        <f t="shared" si="23"/>
        <v>0</v>
      </c>
      <c r="V123" s="295">
        <f t="shared" si="23"/>
        <v>0</v>
      </c>
      <c r="W123" s="295">
        <f t="shared" si="23"/>
        <v>0</v>
      </c>
      <c r="X123" s="295">
        <f t="shared" si="23"/>
        <v>0</v>
      </c>
      <c r="Y123" s="295">
        <f t="shared" si="23"/>
        <v>0</v>
      </c>
      <c r="Z123" s="295">
        <f t="shared" si="23"/>
        <v>0</v>
      </c>
      <c r="AA123" s="295">
        <f t="shared" si="23"/>
        <v>0</v>
      </c>
      <c r="AB123" s="295">
        <f t="shared" si="23"/>
        <v>0</v>
      </c>
      <c r="AC123" s="295">
        <f t="shared" si="23"/>
        <v>0</v>
      </c>
      <c r="AD123" s="295">
        <f t="shared" si="23"/>
        <v>0</v>
      </c>
      <c r="AE123" s="296">
        <f t="shared" si="23"/>
        <v>0</v>
      </c>
    </row>
    <row r="124" spans="1:31">
      <c r="A124" s="1711"/>
      <c r="B124" s="116">
        <v>10</v>
      </c>
      <c r="C124" s="294">
        <f t="shared" si="22"/>
        <v>12</v>
      </c>
      <c r="D124" s="295">
        <f t="shared" si="23"/>
        <v>7.7028494362079778</v>
      </c>
      <c r="E124" s="295">
        <f t="shared" si="23"/>
        <v>4.432435920797122</v>
      </c>
      <c r="F124" s="295">
        <f t="shared" si="23"/>
        <v>4.9923350148586234</v>
      </c>
      <c r="G124" s="295">
        <f t="shared" ref="G124:AE134" si="24">F123*$E38</f>
        <v>10.676737344722008</v>
      </c>
      <c r="H124" s="295">
        <f t="shared" si="24"/>
        <v>5.7477575556215283</v>
      </c>
      <c r="I124" s="295">
        <f t="shared" si="24"/>
        <v>7.8091187105055031</v>
      </c>
      <c r="J124" s="295">
        <f t="shared" si="24"/>
        <v>3.1224920362490884</v>
      </c>
      <c r="K124" s="295">
        <f t="shared" si="24"/>
        <v>5.1886400711050076</v>
      </c>
      <c r="L124" s="295">
        <f t="shared" si="24"/>
        <v>5.4930320823354775</v>
      </c>
      <c r="M124" s="295">
        <f t="shared" si="24"/>
        <v>0.41556868663952362</v>
      </c>
      <c r="N124" s="295">
        <f t="shared" si="24"/>
        <v>0</v>
      </c>
      <c r="O124" s="295">
        <f t="shared" si="24"/>
        <v>0</v>
      </c>
      <c r="P124" s="295">
        <f t="shared" si="24"/>
        <v>0</v>
      </c>
      <c r="Q124" s="295">
        <f t="shared" si="24"/>
        <v>0</v>
      </c>
      <c r="R124" s="295">
        <f t="shared" si="24"/>
        <v>0</v>
      </c>
      <c r="S124" s="295">
        <f t="shared" si="24"/>
        <v>0</v>
      </c>
      <c r="T124" s="295">
        <f t="shared" si="24"/>
        <v>0</v>
      </c>
      <c r="U124" s="295">
        <f t="shared" si="24"/>
        <v>0</v>
      </c>
      <c r="V124" s="295">
        <f t="shared" si="24"/>
        <v>0</v>
      </c>
      <c r="W124" s="295">
        <f t="shared" si="24"/>
        <v>0</v>
      </c>
      <c r="X124" s="295">
        <f t="shared" si="24"/>
        <v>0</v>
      </c>
      <c r="Y124" s="295">
        <f t="shared" si="24"/>
        <v>0</v>
      </c>
      <c r="Z124" s="295">
        <f t="shared" si="24"/>
        <v>0</v>
      </c>
      <c r="AA124" s="295">
        <f t="shared" si="24"/>
        <v>0</v>
      </c>
      <c r="AB124" s="295">
        <f t="shared" si="24"/>
        <v>0</v>
      </c>
      <c r="AC124" s="295">
        <f t="shared" si="24"/>
        <v>0</v>
      </c>
      <c r="AD124" s="295">
        <f t="shared" si="24"/>
        <v>0</v>
      </c>
      <c r="AE124" s="296">
        <f t="shared" si="24"/>
        <v>0</v>
      </c>
    </row>
    <row r="125" spans="1:31">
      <c r="A125" s="1711"/>
      <c r="B125" s="116">
        <v>11</v>
      </c>
      <c r="C125" s="294">
        <f t="shared" si="22"/>
        <v>7</v>
      </c>
      <c r="D125" s="295">
        <f t="shared" ref="D125:K139" si="25">C124*$E39</f>
        <v>8.4997659912791512</v>
      </c>
      <c r="E125" s="295">
        <f t="shared" si="25"/>
        <v>5.4560348061520294</v>
      </c>
      <c r="F125" s="295">
        <f t="shared" si="25"/>
        <v>3.1395556748429558</v>
      </c>
      <c r="G125" s="295">
        <f t="shared" si="24"/>
        <v>3.5361399480306188</v>
      </c>
      <c r="H125" s="295">
        <f t="shared" si="24"/>
        <v>7.5624807483740168</v>
      </c>
      <c r="I125" s="295">
        <f t="shared" si="24"/>
        <v>4.0712161831158049</v>
      </c>
      <c r="J125" s="295">
        <f t="shared" si="24"/>
        <v>5.5313068031180315</v>
      </c>
      <c r="K125" s="295">
        <f t="shared" si="24"/>
        <v>2.2117043014791657</v>
      </c>
      <c r="L125" s="295">
        <f t="shared" si="24"/>
        <v>3.6751855347805487</v>
      </c>
      <c r="M125" s="295">
        <f t="shared" si="24"/>
        <v>3.8907906068700329</v>
      </c>
      <c r="N125" s="295">
        <f t="shared" si="24"/>
        <v>0.29435304914493049</v>
      </c>
      <c r="O125" s="295">
        <f t="shared" si="24"/>
        <v>0</v>
      </c>
      <c r="P125" s="295">
        <f t="shared" si="24"/>
        <v>0</v>
      </c>
      <c r="Q125" s="295">
        <f t="shared" si="24"/>
        <v>0</v>
      </c>
      <c r="R125" s="295">
        <f t="shared" si="24"/>
        <v>0</v>
      </c>
      <c r="S125" s="295">
        <f t="shared" si="24"/>
        <v>0</v>
      </c>
      <c r="T125" s="295">
        <f t="shared" si="24"/>
        <v>0</v>
      </c>
      <c r="U125" s="295">
        <f t="shared" si="24"/>
        <v>0</v>
      </c>
      <c r="V125" s="295">
        <f t="shared" si="24"/>
        <v>0</v>
      </c>
      <c r="W125" s="295">
        <f t="shared" si="24"/>
        <v>0</v>
      </c>
      <c r="X125" s="295">
        <f t="shared" si="24"/>
        <v>0</v>
      </c>
      <c r="Y125" s="295">
        <f t="shared" si="24"/>
        <v>0</v>
      </c>
      <c r="Z125" s="295">
        <f t="shared" si="24"/>
        <v>0</v>
      </c>
      <c r="AA125" s="295">
        <f t="shared" si="24"/>
        <v>0</v>
      </c>
      <c r="AB125" s="295">
        <f t="shared" si="24"/>
        <v>0</v>
      </c>
      <c r="AC125" s="295">
        <f t="shared" si="24"/>
        <v>0</v>
      </c>
      <c r="AD125" s="295">
        <f t="shared" si="24"/>
        <v>0</v>
      </c>
      <c r="AE125" s="296">
        <f t="shared" si="24"/>
        <v>0</v>
      </c>
    </row>
    <row r="126" spans="1:31">
      <c r="A126" s="1711"/>
      <c r="B126" s="116">
        <v>12</v>
      </c>
      <c r="C126" s="294">
        <f t="shared" si="22"/>
        <v>12</v>
      </c>
      <c r="D126" s="295">
        <f t="shared" si="25"/>
        <v>4.4289603244724853</v>
      </c>
      <c r="E126" s="295">
        <f t="shared" si="25"/>
        <v>5.3778751918108441</v>
      </c>
      <c r="F126" s="295">
        <f t="shared" si="25"/>
        <v>3.4520802407697526</v>
      </c>
      <c r="G126" s="295">
        <f t="shared" si="24"/>
        <v>1.9864239314788417</v>
      </c>
      <c r="H126" s="295">
        <f t="shared" si="24"/>
        <v>2.2373462188014011</v>
      </c>
      <c r="I126" s="295">
        <f t="shared" si="24"/>
        <v>4.7848467413050733</v>
      </c>
      <c r="J126" s="295">
        <f t="shared" si="24"/>
        <v>2.57589356391003</v>
      </c>
      <c r="K126" s="295">
        <f t="shared" si="24"/>
        <v>3.4997054819277862</v>
      </c>
      <c r="L126" s="295">
        <f t="shared" si="24"/>
        <v>1.3993643715309083</v>
      </c>
      <c r="M126" s="295">
        <f t="shared" si="24"/>
        <v>2.3253215598026062</v>
      </c>
      <c r="N126" s="295">
        <f t="shared" si="24"/>
        <v>2.4617367469510856</v>
      </c>
      <c r="O126" s="295">
        <f t="shared" si="24"/>
        <v>0.18623971086434241</v>
      </c>
      <c r="P126" s="295">
        <f t="shared" si="24"/>
        <v>0</v>
      </c>
      <c r="Q126" s="295">
        <f t="shared" si="24"/>
        <v>0</v>
      </c>
      <c r="R126" s="295">
        <f t="shared" si="24"/>
        <v>0</v>
      </c>
      <c r="S126" s="295">
        <f t="shared" si="24"/>
        <v>0</v>
      </c>
      <c r="T126" s="295">
        <f t="shared" si="24"/>
        <v>0</v>
      </c>
      <c r="U126" s="295">
        <f t="shared" si="24"/>
        <v>0</v>
      </c>
      <c r="V126" s="295">
        <f t="shared" si="24"/>
        <v>0</v>
      </c>
      <c r="W126" s="295">
        <f t="shared" si="24"/>
        <v>0</v>
      </c>
      <c r="X126" s="295">
        <f t="shared" si="24"/>
        <v>0</v>
      </c>
      <c r="Y126" s="295">
        <f t="shared" si="24"/>
        <v>0</v>
      </c>
      <c r="Z126" s="295">
        <f t="shared" si="24"/>
        <v>0</v>
      </c>
      <c r="AA126" s="295">
        <f t="shared" si="24"/>
        <v>0</v>
      </c>
      <c r="AB126" s="295">
        <f t="shared" si="24"/>
        <v>0</v>
      </c>
      <c r="AC126" s="295">
        <f t="shared" si="24"/>
        <v>0</v>
      </c>
      <c r="AD126" s="295">
        <f t="shared" si="24"/>
        <v>0</v>
      </c>
      <c r="AE126" s="296">
        <f t="shared" si="24"/>
        <v>0</v>
      </c>
    </row>
    <row r="127" spans="1:31">
      <c r="A127" s="1711"/>
      <c r="B127" s="116">
        <v>13</v>
      </c>
      <c r="C127" s="294">
        <f t="shared" si="22"/>
        <v>10</v>
      </c>
      <c r="D127" s="295">
        <f t="shared" si="25"/>
        <v>6.7331802911092797</v>
      </c>
      <c r="E127" s="295">
        <f t="shared" si="25"/>
        <v>2.4850823639035915</v>
      </c>
      <c r="F127" s="295">
        <f t="shared" si="25"/>
        <v>3.0175169374621928</v>
      </c>
      <c r="G127" s="295">
        <f t="shared" si="24"/>
        <v>1.9369565533732229</v>
      </c>
      <c r="H127" s="295">
        <f t="shared" si="24"/>
        <v>1.1145792054350956</v>
      </c>
      <c r="I127" s="295">
        <f t="shared" si="24"/>
        <v>1.255371288735122</v>
      </c>
      <c r="J127" s="295">
        <f t="shared" si="24"/>
        <v>2.6847696478778151</v>
      </c>
      <c r="K127" s="295">
        <f t="shared" si="24"/>
        <v>1.4453296480428546</v>
      </c>
      <c r="L127" s="295">
        <f t="shared" si="24"/>
        <v>1.9636789979669396</v>
      </c>
      <c r="M127" s="295">
        <f t="shared" si="24"/>
        <v>0.7851810505393696</v>
      </c>
      <c r="N127" s="295">
        <f t="shared" si="24"/>
        <v>1.3047341080795332</v>
      </c>
      <c r="O127" s="295">
        <f t="shared" si="24"/>
        <v>1.3812764455392101</v>
      </c>
      <c r="P127" s="295">
        <f t="shared" si="24"/>
        <v>0.10449879588447343</v>
      </c>
      <c r="Q127" s="295">
        <f t="shared" si="24"/>
        <v>0</v>
      </c>
      <c r="R127" s="295">
        <f t="shared" si="24"/>
        <v>0</v>
      </c>
      <c r="S127" s="295">
        <f t="shared" si="24"/>
        <v>0</v>
      </c>
      <c r="T127" s="295">
        <f t="shared" si="24"/>
        <v>0</v>
      </c>
      <c r="U127" s="295">
        <f t="shared" si="24"/>
        <v>0</v>
      </c>
      <c r="V127" s="295">
        <f t="shared" si="24"/>
        <v>0</v>
      </c>
      <c r="W127" s="295">
        <f t="shared" si="24"/>
        <v>0</v>
      </c>
      <c r="X127" s="295">
        <f t="shared" si="24"/>
        <v>0</v>
      </c>
      <c r="Y127" s="295">
        <f t="shared" si="24"/>
        <v>0</v>
      </c>
      <c r="Z127" s="295">
        <f t="shared" si="24"/>
        <v>0</v>
      </c>
      <c r="AA127" s="295">
        <f t="shared" si="24"/>
        <v>0</v>
      </c>
      <c r="AB127" s="295">
        <f t="shared" si="24"/>
        <v>0</v>
      </c>
      <c r="AC127" s="295">
        <f t="shared" si="24"/>
        <v>0</v>
      </c>
      <c r="AD127" s="295">
        <f t="shared" si="24"/>
        <v>0</v>
      </c>
      <c r="AE127" s="296">
        <f t="shared" si="24"/>
        <v>0</v>
      </c>
    </row>
    <row r="128" spans="1:31">
      <c r="A128" s="1711"/>
      <c r="B128" s="116">
        <v>14</v>
      </c>
      <c r="C128" s="294">
        <f t="shared" si="22"/>
        <v>10</v>
      </c>
      <c r="D128" s="295">
        <f t="shared" si="25"/>
        <v>4.9205886586021617</v>
      </c>
      <c r="E128" s="295">
        <f t="shared" si="25"/>
        <v>3.3131210576755925</v>
      </c>
      <c r="F128" s="295">
        <f t="shared" si="25"/>
        <v>1.2228068095516262</v>
      </c>
      <c r="G128" s="295">
        <f t="shared" si="24"/>
        <v>1.4847959619616395</v>
      </c>
      <c r="H128" s="295">
        <f t="shared" si="24"/>
        <v>0.95309664487334134</v>
      </c>
      <c r="I128" s="295">
        <f t="shared" si="24"/>
        <v>0.54843857973777399</v>
      </c>
      <c r="J128" s="295">
        <f t="shared" si="24"/>
        <v>0.61771657256848211</v>
      </c>
      <c r="K128" s="295">
        <f t="shared" si="24"/>
        <v>1.3210647080306896</v>
      </c>
      <c r="L128" s="295">
        <f t="shared" si="24"/>
        <v>0.7111872674101124</v>
      </c>
      <c r="M128" s="295">
        <f t="shared" si="24"/>
        <v>0.96624566065313811</v>
      </c>
      <c r="N128" s="295">
        <f t="shared" si="24"/>
        <v>0.38635529722333528</v>
      </c>
      <c r="O128" s="295">
        <f t="shared" si="24"/>
        <v>0.64200598547075582</v>
      </c>
      <c r="P128" s="295">
        <f t="shared" si="24"/>
        <v>0.6796693212314544</v>
      </c>
      <c r="Q128" s="295">
        <f t="shared" si="24"/>
        <v>5.141955898667222E-2</v>
      </c>
      <c r="R128" s="295">
        <f t="shared" si="24"/>
        <v>0</v>
      </c>
      <c r="S128" s="295">
        <f t="shared" si="24"/>
        <v>0</v>
      </c>
      <c r="T128" s="295">
        <f t="shared" si="24"/>
        <v>0</v>
      </c>
      <c r="U128" s="295">
        <f t="shared" si="24"/>
        <v>0</v>
      </c>
      <c r="V128" s="295">
        <f t="shared" si="24"/>
        <v>0</v>
      </c>
      <c r="W128" s="295">
        <f t="shared" si="24"/>
        <v>0</v>
      </c>
      <c r="X128" s="295">
        <f t="shared" si="24"/>
        <v>0</v>
      </c>
      <c r="Y128" s="295">
        <f t="shared" si="24"/>
        <v>0</v>
      </c>
      <c r="Z128" s="295">
        <f t="shared" si="24"/>
        <v>0</v>
      </c>
      <c r="AA128" s="295">
        <f t="shared" si="24"/>
        <v>0</v>
      </c>
      <c r="AB128" s="295">
        <f t="shared" si="24"/>
        <v>0</v>
      </c>
      <c r="AC128" s="295">
        <f t="shared" si="24"/>
        <v>0</v>
      </c>
      <c r="AD128" s="295">
        <f t="shared" si="24"/>
        <v>0</v>
      </c>
      <c r="AE128" s="296">
        <f t="shared" si="24"/>
        <v>0</v>
      </c>
    </row>
    <row r="129" spans="1:31">
      <c r="A129" s="1711"/>
      <c r="B129" s="116">
        <v>15</v>
      </c>
      <c r="C129" s="294">
        <f t="shared" si="22"/>
        <v>5</v>
      </c>
      <c r="D129" s="295">
        <f t="shared" si="25"/>
        <v>4.393766849144404</v>
      </c>
      <c r="E129" s="295">
        <f t="shared" si="25"/>
        <v>2.1619919326442112</v>
      </c>
      <c r="F129" s="295">
        <f t="shared" si="25"/>
        <v>1.4557081470417264</v>
      </c>
      <c r="G129" s="295">
        <f t="shared" si="24"/>
        <v>0.53727280227159702</v>
      </c>
      <c r="H129" s="295">
        <f t="shared" si="24"/>
        <v>0.65238472754105281</v>
      </c>
      <c r="I129" s="295">
        <f t="shared" si="24"/>
        <v>0.41876844422752441</v>
      </c>
      <c r="J129" s="295">
        <f t="shared" si="24"/>
        <v>0.24097112504436713</v>
      </c>
      <c r="K129" s="295">
        <f t="shared" si="24"/>
        <v>0.27141025987185002</v>
      </c>
      <c r="L129" s="295">
        <f t="shared" si="24"/>
        <v>0.5804450319719876</v>
      </c>
      <c r="M129" s="295">
        <f t="shared" si="24"/>
        <v>0.31247910390801487</v>
      </c>
      <c r="N129" s="295">
        <f t="shared" si="24"/>
        <v>0.4245458151907392</v>
      </c>
      <c r="O129" s="295">
        <f t="shared" si="24"/>
        <v>0.16975550969312236</v>
      </c>
      <c r="P129" s="295">
        <f t="shared" si="24"/>
        <v>0.28208246159136913</v>
      </c>
      <c r="Q129" s="295">
        <f t="shared" si="24"/>
        <v>0.29863085320072436</v>
      </c>
      <c r="R129" s="295">
        <f t="shared" si="24"/>
        <v>2.2592555367326565E-2</v>
      </c>
      <c r="S129" s="295">
        <f t="shared" si="24"/>
        <v>0</v>
      </c>
      <c r="T129" s="295">
        <f t="shared" si="24"/>
        <v>0</v>
      </c>
      <c r="U129" s="295">
        <f t="shared" si="24"/>
        <v>0</v>
      </c>
      <c r="V129" s="295">
        <f t="shared" si="24"/>
        <v>0</v>
      </c>
      <c r="W129" s="295">
        <f t="shared" si="24"/>
        <v>0</v>
      </c>
      <c r="X129" s="295">
        <f t="shared" si="24"/>
        <v>0</v>
      </c>
      <c r="Y129" s="295">
        <f t="shared" si="24"/>
        <v>0</v>
      </c>
      <c r="Z129" s="295">
        <f t="shared" si="24"/>
        <v>0</v>
      </c>
      <c r="AA129" s="295">
        <f t="shared" si="24"/>
        <v>0</v>
      </c>
      <c r="AB129" s="295">
        <f t="shared" si="24"/>
        <v>0</v>
      </c>
      <c r="AC129" s="295">
        <f t="shared" si="24"/>
        <v>0</v>
      </c>
      <c r="AD129" s="295">
        <f t="shared" si="24"/>
        <v>0</v>
      </c>
      <c r="AE129" s="296">
        <f t="shared" si="24"/>
        <v>0</v>
      </c>
    </row>
    <row r="130" spans="1:31">
      <c r="A130" s="1711"/>
      <c r="B130" s="116">
        <v>16</v>
      </c>
      <c r="C130" s="294">
        <f t="shared" si="22"/>
        <v>7</v>
      </c>
      <c r="D130" s="295">
        <f t="shared" si="25"/>
        <v>1.977195082114982</v>
      </c>
      <c r="E130" s="295">
        <f t="shared" si="25"/>
        <v>1.7374668412176311</v>
      </c>
      <c r="F130" s="295">
        <f t="shared" si="25"/>
        <v>0.8549359633592799</v>
      </c>
      <c r="G130" s="295">
        <f t="shared" si="24"/>
        <v>0.57564379786512287</v>
      </c>
      <c r="H130" s="295">
        <f t="shared" si="24"/>
        <v>0.21245862848110736</v>
      </c>
      <c r="I130" s="295">
        <f t="shared" si="24"/>
        <v>0.25797837498821841</v>
      </c>
      <c r="J130" s="295">
        <f t="shared" si="24"/>
        <v>0.16559738169432067</v>
      </c>
      <c r="K130" s="295">
        <f t="shared" si="24"/>
        <v>9.5289384673887409E-2</v>
      </c>
      <c r="L130" s="295">
        <f t="shared" si="24"/>
        <v>0.10732620621083422</v>
      </c>
      <c r="M130" s="295">
        <f t="shared" si="24"/>
        <v>0.22953061253061746</v>
      </c>
      <c r="N130" s="295">
        <f t="shared" si="24"/>
        <v>0.12356642950212468</v>
      </c>
      <c r="O130" s="295">
        <f t="shared" si="24"/>
        <v>0.16788197958552512</v>
      </c>
      <c r="P130" s="295">
        <f t="shared" si="24"/>
        <v>6.7127951785432738E-2</v>
      </c>
      <c r="Q130" s="295">
        <f t="shared" si="24"/>
        <v>0.11154641116186867</v>
      </c>
      <c r="R130" s="295">
        <f t="shared" si="24"/>
        <v>0.11809029086325466</v>
      </c>
      <c r="S130" s="295">
        <f t="shared" si="24"/>
        <v>8.9339778729377057E-3</v>
      </c>
      <c r="T130" s="295">
        <f t="shared" si="24"/>
        <v>0</v>
      </c>
      <c r="U130" s="295">
        <f t="shared" si="24"/>
        <v>0</v>
      </c>
      <c r="V130" s="295">
        <f t="shared" si="24"/>
        <v>0</v>
      </c>
      <c r="W130" s="295">
        <f t="shared" si="24"/>
        <v>0</v>
      </c>
      <c r="X130" s="295">
        <f t="shared" si="24"/>
        <v>0</v>
      </c>
      <c r="Y130" s="295">
        <f t="shared" si="24"/>
        <v>0</v>
      </c>
      <c r="Z130" s="295">
        <f t="shared" si="24"/>
        <v>0</v>
      </c>
      <c r="AA130" s="295">
        <f t="shared" si="24"/>
        <v>0</v>
      </c>
      <c r="AB130" s="295">
        <f t="shared" si="24"/>
        <v>0</v>
      </c>
      <c r="AC130" s="295">
        <f t="shared" si="24"/>
        <v>0</v>
      </c>
      <c r="AD130" s="295">
        <f t="shared" si="24"/>
        <v>0</v>
      </c>
      <c r="AE130" s="296">
        <f t="shared" si="24"/>
        <v>0</v>
      </c>
    </row>
    <row r="131" spans="1:31">
      <c r="A131" s="1711"/>
      <c r="B131" s="116">
        <v>17</v>
      </c>
      <c r="C131" s="294">
        <f t="shared" si="22"/>
        <v>5</v>
      </c>
      <c r="D131" s="295">
        <f t="shared" si="25"/>
        <v>2.4605094355208665</v>
      </c>
      <c r="E131" s="295">
        <f t="shared" si="25"/>
        <v>0.69498673648705245</v>
      </c>
      <c r="F131" s="295">
        <f t="shared" si="25"/>
        <v>0.6107219366743738</v>
      </c>
      <c r="G131" s="295">
        <f t="shared" si="24"/>
        <v>0.30051114351594715</v>
      </c>
      <c r="H131" s="295">
        <f t="shared" si="24"/>
        <v>0.20233957087802876</v>
      </c>
      <c r="I131" s="295">
        <f t="shared" si="24"/>
        <v>7.4679494290798135E-2</v>
      </c>
      <c r="J131" s="295">
        <f t="shared" si="24"/>
        <v>9.0679746545550236E-2</v>
      </c>
      <c r="K131" s="295">
        <f t="shared" si="24"/>
        <v>5.8207702879489488E-2</v>
      </c>
      <c r="L131" s="295">
        <f t="shared" si="24"/>
        <v>3.3494347156439633E-2</v>
      </c>
      <c r="M131" s="295">
        <f t="shared" si="24"/>
        <v>3.7725306151487975E-2</v>
      </c>
      <c r="N131" s="295">
        <f t="shared" si="24"/>
        <v>8.0680319696066899E-2</v>
      </c>
      <c r="O131" s="295">
        <f t="shared" si="24"/>
        <v>4.3433766529085961E-2</v>
      </c>
      <c r="P131" s="295">
        <f t="shared" si="24"/>
        <v>5.9010742117729435E-2</v>
      </c>
      <c r="Q131" s="295">
        <f t="shared" si="24"/>
        <v>2.3595565536463865E-2</v>
      </c>
      <c r="R131" s="295">
        <f t="shared" si="24"/>
        <v>3.9208713880323993E-2</v>
      </c>
      <c r="S131" s="295">
        <f t="shared" si="24"/>
        <v>4.1508896416063097E-2</v>
      </c>
      <c r="T131" s="295">
        <f t="shared" si="24"/>
        <v>3.1403052647282666E-3</v>
      </c>
      <c r="U131" s="295">
        <f t="shared" si="24"/>
        <v>0</v>
      </c>
      <c r="V131" s="295">
        <f t="shared" si="24"/>
        <v>0</v>
      </c>
      <c r="W131" s="295">
        <f t="shared" si="24"/>
        <v>0</v>
      </c>
      <c r="X131" s="295">
        <f t="shared" si="24"/>
        <v>0</v>
      </c>
      <c r="Y131" s="295">
        <f t="shared" si="24"/>
        <v>0</v>
      </c>
      <c r="Z131" s="295">
        <f t="shared" si="24"/>
        <v>0</v>
      </c>
      <c r="AA131" s="295">
        <f t="shared" si="24"/>
        <v>0</v>
      </c>
      <c r="AB131" s="295">
        <f t="shared" si="24"/>
        <v>0</v>
      </c>
      <c r="AC131" s="295">
        <f t="shared" si="24"/>
        <v>0</v>
      </c>
      <c r="AD131" s="295">
        <f t="shared" si="24"/>
        <v>0</v>
      </c>
      <c r="AE131" s="296">
        <f t="shared" si="24"/>
        <v>0</v>
      </c>
    </row>
    <row r="132" spans="1:31">
      <c r="A132" s="1711"/>
      <c r="B132" s="116">
        <v>18</v>
      </c>
      <c r="C132" s="294">
        <f t="shared" si="22"/>
        <v>6</v>
      </c>
      <c r="D132" s="295">
        <f t="shared" si="25"/>
        <v>1.5378183972005415</v>
      </c>
      <c r="E132" s="295">
        <f t="shared" si="25"/>
        <v>0.75676333528590167</v>
      </c>
      <c r="F132" s="295">
        <f t="shared" si="25"/>
        <v>0.21375267783603083</v>
      </c>
      <c r="G132" s="295">
        <f t="shared" si="24"/>
        <v>0.18783588595835923</v>
      </c>
      <c r="H132" s="295">
        <f t="shared" si="24"/>
        <v>9.2426313012519162E-2</v>
      </c>
      <c r="I132" s="295">
        <f t="shared" si="24"/>
        <v>6.2232302915579116E-2</v>
      </c>
      <c r="J132" s="295">
        <f t="shared" si="24"/>
        <v>2.2968700042804435E-2</v>
      </c>
      <c r="K132" s="295">
        <f t="shared" si="24"/>
        <v>2.7889796498245883E-2</v>
      </c>
      <c r="L132" s="295">
        <f t="shared" si="24"/>
        <v>1.7902575269372376E-2</v>
      </c>
      <c r="M132" s="295">
        <f t="shared" si="24"/>
        <v>1.0301644651878902E-2</v>
      </c>
      <c r="N132" s="295">
        <f t="shared" si="24"/>
        <v>1.1602933967956194E-2</v>
      </c>
      <c r="O132" s="295">
        <f t="shared" si="24"/>
        <v>2.4814335984126579E-2</v>
      </c>
      <c r="P132" s="295">
        <f t="shared" si="24"/>
        <v>1.33586490456283E-2</v>
      </c>
      <c r="Q132" s="295">
        <f t="shared" si="24"/>
        <v>1.8149560972220233E-2</v>
      </c>
      <c r="R132" s="295">
        <f t="shared" si="24"/>
        <v>7.2571389548650401E-3</v>
      </c>
      <c r="S132" s="295">
        <f t="shared" si="24"/>
        <v>1.2059176307146894E-2</v>
      </c>
      <c r="T132" s="295">
        <f t="shared" si="24"/>
        <v>1.2766628911222691E-2</v>
      </c>
      <c r="U132" s="295">
        <f t="shared" si="24"/>
        <v>9.6584384178496907E-4</v>
      </c>
      <c r="V132" s="295">
        <f t="shared" si="24"/>
        <v>0</v>
      </c>
      <c r="W132" s="295">
        <f t="shared" si="24"/>
        <v>0</v>
      </c>
      <c r="X132" s="295">
        <f t="shared" si="24"/>
        <v>0</v>
      </c>
      <c r="Y132" s="295">
        <f t="shared" si="24"/>
        <v>0</v>
      </c>
      <c r="Z132" s="295">
        <f t="shared" si="24"/>
        <v>0</v>
      </c>
      <c r="AA132" s="295">
        <f t="shared" si="24"/>
        <v>0</v>
      </c>
      <c r="AB132" s="295">
        <f t="shared" si="24"/>
        <v>0</v>
      </c>
      <c r="AC132" s="295">
        <f t="shared" si="24"/>
        <v>0</v>
      </c>
      <c r="AD132" s="295">
        <f t="shared" si="24"/>
        <v>0</v>
      </c>
      <c r="AE132" s="296">
        <f t="shared" si="24"/>
        <v>0</v>
      </c>
    </row>
    <row r="133" spans="1:31">
      <c r="A133" s="1711"/>
      <c r="B133" s="116">
        <v>19</v>
      </c>
      <c r="C133" s="294">
        <f t="shared" ref="C133:C139" si="26">(EXP(18-B133)*$M$47/(EXP(-1)+EXP(-2)+EXP(-3)+EXP(-4)+EXP(-5)+EXP(-6)+EXP(-7)+EXP(-8)+EXP(-9)+EXP(-10)))</f>
        <v>7.5857911003258396</v>
      </c>
      <c r="D133" s="295">
        <f t="shared" si="25"/>
        <v>1.5817560656919856</v>
      </c>
      <c r="E133" s="295">
        <f t="shared" si="25"/>
        <v>0.40540892961744729</v>
      </c>
      <c r="F133" s="295">
        <f t="shared" si="25"/>
        <v>0.19950249931362882</v>
      </c>
      <c r="G133" s="295">
        <f t="shared" si="24"/>
        <v>5.6350765787507771E-2</v>
      </c>
      <c r="H133" s="295">
        <f t="shared" si="24"/>
        <v>4.9518425328210464E-2</v>
      </c>
      <c r="I133" s="295">
        <f t="shared" si="24"/>
        <v>2.4365980206183049E-2</v>
      </c>
      <c r="J133" s="295">
        <f t="shared" si="24"/>
        <v>1.6406053769783054E-2</v>
      </c>
      <c r="K133" s="295">
        <f t="shared" si="24"/>
        <v>6.0551467689609478E-3</v>
      </c>
      <c r="L133" s="295">
        <f t="shared" si="24"/>
        <v>7.3524757970025879E-3</v>
      </c>
      <c r="M133" s="295">
        <f t="shared" si="24"/>
        <v>4.7195845039728485E-3</v>
      </c>
      <c r="N133" s="295">
        <f t="shared" si="24"/>
        <v>2.7157814857854761E-3</v>
      </c>
      <c r="O133" s="295">
        <f t="shared" si="24"/>
        <v>3.0588351972730484E-3</v>
      </c>
      <c r="P133" s="295">
        <f t="shared" si="24"/>
        <v>6.5417044098351872E-3</v>
      </c>
      <c r="Q133" s="295">
        <f t="shared" si="24"/>
        <v>3.5216873595621699E-3</v>
      </c>
      <c r="R133" s="295">
        <f t="shared" si="24"/>
        <v>4.7846963595759816E-3</v>
      </c>
      <c r="S133" s="295">
        <f t="shared" si="24"/>
        <v>1.9131705935712291E-3</v>
      </c>
      <c r="T133" s="295">
        <f t="shared" si="24"/>
        <v>3.1791125451797802E-3</v>
      </c>
      <c r="U133" s="295">
        <f t="shared" si="24"/>
        <v>3.365615453127527E-3</v>
      </c>
      <c r="V133" s="295">
        <f t="shared" si="24"/>
        <v>2.5462155920910422E-4</v>
      </c>
      <c r="W133" s="295">
        <f t="shared" si="24"/>
        <v>0</v>
      </c>
      <c r="X133" s="295">
        <f t="shared" si="24"/>
        <v>0</v>
      </c>
      <c r="Y133" s="295">
        <f t="shared" si="24"/>
        <v>0</v>
      </c>
      <c r="Z133" s="295">
        <f t="shared" si="24"/>
        <v>0</v>
      </c>
      <c r="AA133" s="295">
        <f t="shared" si="24"/>
        <v>0</v>
      </c>
      <c r="AB133" s="295">
        <f t="shared" si="24"/>
        <v>0</v>
      </c>
      <c r="AC133" s="295">
        <f t="shared" si="24"/>
        <v>0</v>
      </c>
      <c r="AD133" s="295">
        <f t="shared" si="24"/>
        <v>0</v>
      </c>
      <c r="AE133" s="296">
        <f t="shared" si="24"/>
        <v>0</v>
      </c>
    </row>
    <row r="134" spans="1:31">
      <c r="A134" s="1711"/>
      <c r="B134" s="116">
        <v>20</v>
      </c>
      <c r="C134" s="294">
        <f t="shared" si="26"/>
        <v>2.7906565908311705</v>
      </c>
      <c r="D134" s="295">
        <f t="shared" si="25"/>
        <v>1.6665098730573167</v>
      </c>
      <c r="E134" s="295">
        <f t="shared" si="25"/>
        <v>0.34749336824352628</v>
      </c>
      <c r="F134" s="295">
        <f t="shared" si="25"/>
        <v>8.9063615765012857E-2</v>
      </c>
      <c r="G134" s="295">
        <f t="shared" si="24"/>
        <v>4.3828373390283837E-2</v>
      </c>
      <c r="H134" s="295">
        <f t="shared" si="24"/>
        <v>1.2379606332052618E-2</v>
      </c>
      <c r="I134" s="295">
        <f t="shared" si="24"/>
        <v>1.0878620781446189E-2</v>
      </c>
      <c r="J134" s="295">
        <f t="shared" si="24"/>
        <v>5.3529218038417918E-3</v>
      </c>
      <c r="K134" s="295">
        <f t="shared" si="24"/>
        <v>3.6042187589476688E-3</v>
      </c>
      <c r="L134" s="295">
        <f t="shared" ref="L134:AE139" si="27">K133*$E48</f>
        <v>1.3302451570082233E-3</v>
      </c>
      <c r="M134" s="295">
        <f t="shared" si="27"/>
        <v>1.6152532208003278E-3</v>
      </c>
      <c r="N134" s="295">
        <f t="shared" si="27"/>
        <v>1.0368376967645771E-3</v>
      </c>
      <c r="O134" s="295">
        <f t="shared" si="27"/>
        <v>5.9662553308821803E-4</v>
      </c>
      <c r="P134" s="295">
        <f t="shared" si="27"/>
        <v>6.7199043433872029E-4</v>
      </c>
      <c r="Q134" s="295">
        <f t="shared" si="27"/>
        <v>1.4371361986417804E-3</v>
      </c>
      <c r="R134" s="295">
        <f t="shared" si="27"/>
        <v>7.7367365867475764E-4</v>
      </c>
      <c r="S134" s="295">
        <f t="shared" si="27"/>
        <v>1.0511420123963432E-3</v>
      </c>
      <c r="T134" s="295">
        <f t="shared" si="27"/>
        <v>4.2030127653955952E-4</v>
      </c>
      <c r="U134" s="295">
        <f t="shared" si="27"/>
        <v>6.9841396553550067E-4</v>
      </c>
      <c r="V134" s="295">
        <f t="shared" si="27"/>
        <v>7.3938648024599268E-4</v>
      </c>
      <c r="W134" s="295">
        <f t="shared" si="27"/>
        <v>5.5937388296521066E-5</v>
      </c>
      <c r="X134" s="295">
        <f t="shared" si="27"/>
        <v>0</v>
      </c>
      <c r="Y134" s="295">
        <f t="shared" si="27"/>
        <v>0</v>
      </c>
      <c r="Z134" s="295">
        <f t="shared" si="27"/>
        <v>0</v>
      </c>
      <c r="AA134" s="295">
        <f t="shared" si="27"/>
        <v>0</v>
      </c>
      <c r="AB134" s="295">
        <f t="shared" si="27"/>
        <v>0</v>
      </c>
      <c r="AC134" s="295">
        <f t="shared" si="27"/>
        <v>0</v>
      </c>
      <c r="AD134" s="295">
        <f t="shared" si="27"/>
        <v>0</v>
      </c>
      <c r="AE134" s="296">
        <f t="shared" si="27"/>
        <v>0</v>
      </c>
    </row>
    <row r="135" spans="1:31">
      <c r="A135" s="1711"/>
      <c r="B135" s="116">
        <v>21</v>
      </c>
      <c r="C135" s="294">
        <f t="shared" si="26"/>
        <v>1.0266251871363734</v>
      </c>
      <c r="D135" s="295">
        <f t="shared" si="25"/>
        <v>0.49045977664561358</v>
      </c>
      <c r="E135" s="295">
        <f t="shared" si="25"/>
        <v>0.29289023336044356</v>
      </c>
      <c r="F135" s="295">
        <f t="shared" si="25"/>
        <v>6.1072193667437401E-2</v>
      </c>
      <c r="G135" s="295">
        <f t="shared" si="25"/>
        <v>1.5652990496529941E-2</v>
      </c>
      <c r="H135" s="295">
        <f t="shared" si="25"/>
        <v>7.7028661621660758E-3</v>
      </c>
      <c r="I135" s="295">
        <f t="shared" si="25"/>
        <v>2.175724156289238E-3</v>
      </c>
      <c r="J135" s="295">
        <f t="shared" si="25"/>
        <v>1.9119249341572667E-3</v>
      </c>
      <c r="K135" s="295">
        <f t="shared" si="25"/>
        <v>9.4077961471129336E-4</v>
      </c>
      <c r="L135" s="295">
        <f t="shared" si="27"/>
        <v>6.3344387600514627E-4</v>
      </c>
      <c r="M135" s="295">
        <f t="shared" si="27"/>
        <v>2.3379148288390505E-4</v>
      </c>
      <c r="N135" s="295">
        <f t="shared" si="27"/>
        <v>2.838818421810483E-4</v>
      </c>
      <c r="O135" s="295">
        <f t="shared" si="27"/>
        <v>1.8222492399949753E-4</v>
      </c>
      <c r="P135" s="295">
        <f t="shared" si="27"/>
        <v>1.0485733954544484E-4</v>
      </c>
      <c r="Q135" s="295">
        <f t="shared" si="27"/>
        <v>1.1810277173358477E-4</v>
      </c>
      <c r="R135" s="295">
        <f t="shared" si="27"/>
        <v>2.5257765549190655E-4</v>
      </c>
      <c r="S135" s="295">
        <f t="shared" si="27"/>
        <v>1.3597366694165656E-4</v>
      </c>
      <c r="T135" s="295">
        <f t="shared" si="27"/>
        <v>1.8473891711239961E-4</v>
      </c>
      <c r="U135" s="295">
        <f t="shared" si="27"/>
        <v>7.3868232620503675E-5</v>
      </c>
      <c r="V135" s="295">
        <f t="shared" si="27"/>
        <v>1.2274672514997465E-4</v>
      </c>
      <c r="W135" s="295">
        <f t="shared" si="27"/>
        <v>1.2994767222441629E-4</v>
      </c>
      <c r="X135" s="295">
        <f t="shared" si="27"/>
        <v>9.8310336929988994E-6</v>
      </c>
      <c r="Y135" s="295">
        <f t="shared" si="27"/>
        <v>0</v>
      </c>
      <c r="Z135" s="295">
        <f t="shared" si="27"/>
        <v>0</v>
      </c>
      <c r="AA135" s="295">
        <f t="shared" si="27"/>
        <v>0</v>
      </c>
      <c r="AB135" s="295">
        <f t="shared" si="27"/>
        <v>0</v>
      </c>
      <c r="AC135" s="295">
        <f t="shared" si="27"/>
        <v>0</v>
      </c>
      <c r="AD135" s="295">
        <f t="shared" si="27"/>
        <v>0</v>
      </c>
      <c r="AE135" s="296">
        <f t="shared" si="27"/>
        <v>0</v>
      </c>
    </row>
    <row r="136" spans="1:31">
      <c r="A136" s="1711"/>
      <c r="B136" s="116">
        <v>22</v>
      </c>
      <c r="C136" s="294">
        <f t="shared" si="26"/>
        <v>0.37767430013625636</v>
      </c>
      <c r="D136" s="295">
        <f t="shared" si="25"/>
        <v>0.13532255141209407</v>
      </c>
      <c r="E136" s="295">
        <f t="shared" si="25"/>
        <v>6.4648977223927998E-2</v>
      </c>
      <c r="F136" s="295">
        <f t="shared" si="25"/>
        <v>3.8606741933318575E-2</v>
      </c>
      <c r="G136" s="295">
        <f t="shared" si="25"/>
        <v>8.0501093982153996E-3</v>
      </c>
      <c r="H136" s="295">
        <f t="shared" si="25"/>
        <v>2.0632677220087706E-3</v>
      </c>
      <c r="I136" s="295">
        <f t="shared" si="25"/>
        <v>1.015337939601645E-3</v>
      </c>
      <c r="J136" s="295">
        <f t="shared" si="25"/>
        <v>2.8678874012359008E-4</v>
      </c>
      <c r="K136" s="295">
        <f t="shared" si="25"/>
        <v>2.5201657181258397E-4</v>
      </c>
      <c r="L136" s="295">
        <f t="shared" si="27"/>
        <v>1.2400698850407982E-4</v>
      </c>
      <c r="M136" s="295">
        <f t="shared" si="27"/>
        <v>8.3496141095548536E-5</v>
      </c>
      <c r="N136" s="295">
        <f t="shared" si="27"/>
        <v>3.081675801322841E-5</v>
      </c>
      <c r="O136" s="295">
        <f t="shared" si="27"/>
        <v>3.7419318817474024E-5</v>
      </c>
      <c r="P136" s="295">
        <f t="shared" si="27"/>
        <v>2.4019614904705531E-5</v>
      </c>
      <c r="Q136" s="295">
        <f t="shared" si="27"/>
        <v>1.3821561071527628E-5</v>
      </c>
      <c r="R136" s="295">
        <f t="shared" si="27"/>
        <v>1.5567481297052812E-5</v>
      </c>
      <c r="S136" s="295">
        <f t="shared" si="27"/>
        <v>3.329301988604866E-5</v>
      </c>
      <c r="T136" s="295">
        <f t="shared" si="27"/>
        <v>1.7923097704945596E-5</v>
      </c>
      <c r="U136" s="295">
        <f t="shared" si="27"/>
        <v>2.4350991892658926E-5</v>
      </c>
      <c r="V136" s="295">
        <f t="shared" si="27"/>
        <v>9.7367937507856935E-6</v>
      </c>
      <c r="W136" s="295">
        <f t="shared" si="27"/>
        <v>1.6179614754149955E-5</v>
      </c>
      <c r="X136" s="295">
        <f t="shared" si="27"/>
        <v>1.7128793230293708E-5</v>
      </c>
      <c r="Y136" s="295">
        <f t="shared" si="27"/>
        <v>1.2958580979936079E-6</v>
      </c>
      <c r="Z136" s="295">
        <f t="shared" si="27"/>
        <v>0</v>
      </c>
      <c r="AA136" s="295">
        <f t="shared" si="27"/>
        <v>0</v>
      </c>
      <c r="AB136" s="295">
        <f t="shared" si="27"/>
        <v>0</v>
      </c>
      <c r="AC136" s="295">
        <f t="shared" si="27"/>
        <v>0</v>
      </c>
      <c r="AD136" s="295">
        <f t="shared" si="27"/>
        <v>0</v>
      </c>
      <c r="AE136" s="296">
        <f t="shared" si="27"/>
        <v>0</v>
      </c>
    </row>
    <row r="137" spans="1:31">
      <c r="A137" s="1711"/>
      <c r="B137" s="116">
        <v>23</v>
      </c>
      <c r="C137" s="294">
        <f t="shared" si="26"/>
        <v>0.13893861047894157</v>
      </c>
      <c r="D137" s="295">
        <f t="shared" si="25"/>
        <v>3.3188256394249958E-2</v>
      </c>
      <c r="E137" s="295">
        <f t="shared" si="25"/>
        <v>1.1891514806721969E-2</v>
      </c>
      <c r="F137" s="295">
        <f t="shared" si="25"/>
        <v>5.6810506591517323E-3</v>
      </c>
      <c r="G137" s="295">
        <f t="shared" si="25"/>
        <v>3.3925804572017678E-3</v>
      </c>
      <c r="H137" s="295">
        <f t="shared" si="25"/>
        <v>7.0740607611729297E-4</v>
      </c>
      <c r="I137" s="295">
        <f t="shared" si="25"/>
        <v>1.8131034635743667E-4</v>
      </c>
      <c r="J137" s="295">
        <f t="shared" si="25"/>
        <v>8.9223163594005878E-5</v>
      </c>
      <c r="K137" s="295">
        <f t="shared" si="25"/>
        <v>2.5201657181258409E-5</v>
      </c>
      <c r="L137" s="295">
        <f t="shared" si="27"/>
        <v>2.2146041173303043E-5</v>
      </c>
      <c r="M137" s="295">
        <f t="shared" si="27"/>
        <v>1.0897155903029148E-5</v>
      </c>
      <c r="N137" s="295">
        <f t="shared" si="27"/>
        <v>7.337251535542102E-6</v>
      </c>
      <c r="O137" s="295">
        <f t="shared" si="27"/>
        <v>2.7080329951325646E-6</v>
      </c>
      <c r="P137" s="295">
        <f t="shared" si="27"/>
        <v>3.2882352507556566E-6</v>
      </c>
      <c r="Q137" s="295">
        <f t="shared" si="27"/>
        <v>2.110731753950201E-6</v>
      </c>
      <c r="R137" s="295">
        <f t="shared" si="27"/>
        <v>1.2145743367900586E-6</v>
      </c>
      <c r="S137" s="295">
        <f t="shared" si="27"/>
        <v>1.3679976649533242E-6</v>
      </c>
      <c r="T137" s="295">
        <f t="shared" si="27"/>
        <v>2.9256353416645217E-6</v>
      </c>
      <c r="U137" s="295">
        <f t="shared" si="27"/>
        <v>1.574998250599323E-6</v>
      </c>
      <c r="V137" s="295">
        <f t="shared" si="27"/>
        <v>2.1398516184349799E-6</v>
      </c>
      <c r="W137" s="295">
        <f t="shared" si="27"/>
        <v>8.5562403198317205E-7</v>
      </c>
      <c r="X137" s="295">
        <f t="shared" si="27"/>
        <v>1.4217890987742361E-6</v>
      </c>
      <c r="Y137" s="295">
        <f t="shared" si="27"/>
        <v>1.5051984772222725E-6</v>
      </c>
      <c r="Z137" s="295">
        <f t="shared" si="27"/>
        <v>1.1387396704319275E-7</v>
      </c>
      <c r="AA137" s="295">
        <f t="shared" si="27"/>
        <v>0</v>
      </c>
      <c r="AB137" s="295">
        <f t="shared" si="27"/>
        <v>0</v>
      </c>
      <c r="AC137" s="295">
        <f t="shared" si="27"/>
        <v>0</v>
      </c>
      <c r="AD137" s="295">
        <f t="shared" si="27"/>
        <v>0</v>
      </c>
      <c r="AE137" s="296">
        <f t="shared" si="27"/>
        <v>0</v>
      </c>
    </row>
    <row r="138" spans="1:31">
      <c r="A138" s="1711"/>
      <c r="B138" s="116">
        <v>24</v>
      </c>
      <c r="C138" s="294">
        <f t="shared" si="26"/>
        <v>5.1112658380129732E-2</v>
      </c>
      <c r="D138" s="295">
        <f t="shared" si="25"/>
        <v>6.1046386078856141E-3</v>
      </c>
      <c r="E138" s="295">
        <f t="shared" si="25"/>
        <v>1.4582146072596041E-3</v>
      </c>
      <c r="F138" s="295">
        <f t="shared" si="25"/>
        <v>5.2248543543884866E-4</v>
      </c>
      <c r="G138" s="295">
        <f t="shared" si="25"/>
        <v>2.4961212054490871E-4</v>
      </c>
      <c r="H138" s="295">
        <f t="shared" si="25"/>
        <v>1.4906207545908309E-4</v>
      </c>
      <c r="I138" s="295">
        <f t="shared" si="25"/>
        <v>3.1081773661274879E-5</v>
      </c>
      <c r="J138" s="295">
        <f t="shared" si="25"/>
        <v>7.9663538923219595E-6</v>
      </c>
      <c r="K138" s="295">
        <f t="shared" si="25"/>
        <v>3.9202577837513134E-6</v>
      </c>
      <c r="L138" s="295">
        <f t="shared" si="27"/>
        <v>1.1073020586651532E-6</v>
      </c>
      <c r="M138" s="295">
        <f t="shared" si="27"/>
        <v>9.7304541547046045E-7</v>
      </c>
      <c r="N138" s="295">
        <f t="shared" si="27"/>
        <v>4.7879562356687773E-7</v>
      </c>
      <c r="O138" s="295">
        <f t="shared" si="27"/>
        <v>3.2238172560698796E-7</v>
      </c>
      <c r="P138" s="295">
        <f t="shared" si="27"/>
        <v>1.1898465600402703E-7</v>
      </c>
      <c r="Q138" s="295">
        <f t="shared" si="27"/>
        <v>1.4447739036958257E-7</v>
      </c>
      <c r="R138" s="295">
        <f t="shared" si="27"/>
        <v>9.2740632079428263E-8</v>
      </c>
      <c r="S138" s="295">
        <f t="shared" si="27"/>
        <v>5.3365564568097159E-8</v>
      </c>
      <c r="T138" s="295">
        <f t="shared" si="27"/>
        <v>6.010662789978876E-8</v>
      </c>
      <c r="U138" s="295">
        <f t="shared" si="27"/>
        <v>1.2854559576890851E-7</v>
      </c>
      <c r="V138" s="295">
        <f t="shared" si="27"/>
        <v>6.9201751009437426E-8</v>
      </c>
      <c r="W138" s="295">
        <f t="shared" si="27"/>
        <v>9.4020091031676243E-8</v>
      </c>
      <c r="X138" s="295">
        <f t="shared" si="27"/>
        <v>3.7594125070589366E-8</v>
      </c>
      <c r="Y138" s="295">
        <f t="shared" si="27"/>
        <v>6.2470098086691441E-8</v>
      </c>
      <c r="Z138" s="295">
        <f t="shared" si="27"/>
        <v>6.6134911706018662E-8</v>
      </c>
      <c r="AA138" s="295">
        <f t="shared" si="27"/>
        <v>5.0033566137494323E-9</v>
      </c>
      <c r="AB138" s="295">
        <f t="shared" si="27"/>
        <v>0</v>
      </c>
      <c r="AC138" s="295">
        <f t="shared" si="27"/>
        <v>0</v>
      </c>
      <c r="AD138" s="295">
        <f t="shared" si="27"/>
        <v>0</v>
      </c>
      <c r="AE138" s="296">
        <f t="shared" si="27"/>
        <v>0</v>
      </c>
    </row>
    <row r="139" spans="1:31" ht="15.75" thickBot="1">
      <c r="A139" s="1711"/>
      <c r="B139" s="116">
        <v>25</v>
      </c>
      <c r="C139" s="297">
        <f t="shared" si="26"/>
        <v>1.8803296201668963E-2</v>
      </c>
      <c r="D139" s="298">
        <f t="shared" si="25"/>
        <v>0</v>
      </c>
      <c r="E139" s="298">
        <f t="shared" si="25"/>
        <v>0</v>
      </c>
      <c r="F139" s="298">
        <f t="shared" si="25"/>
        <v>0</v>
      </c>
      <c r="G139" s="298">
        <f t="shared" si="25"/>
        <v>0</v>
      </c>
      <c r="H139" s="298">
        <f t="shared" si="25"/>
        <v>0</v>
      </c>
      <c r="I139" s="298">
        <f t="shared" si="25"/>
        <v>0</v>
      </c>
      <c r="J139" s="298">
        <f t="shared" si="25"/>
        <v>0</v>
      </c>
      <c r="K139" s="298">
        <f t="shared" si="25"/>
        <v>0</v>
      </c>
      <c r="L139" s="298">
        <f t="shared" si="27"/>
        <v>0</v>
      </c>
      <c r="M139" s="298">
        <f t="shared" si="27"/>
        <v>0</v>
      </c>
      <c r="N139" s="298">
        <f t="shared" si="27"/>
        <v>0</v>
      </c>
      <c r="O139" s="298">
        <f t="shared" si="27"/>
        <v>0</v>
      </c>
      <c r="P139" s="298">
        <f t="shared" si="27"/>
        <v>0</v>
      </c>
      <c r="Q139" s="298">
        <f t="shared" si="27"/>
        <v>0</v>
      </c>
      <c r="R139" s="298">
        <f t="shared" si="27"/>
        <v>0</v>
      </c>
      <c r="S139" s="298">
        <f t="shared" si="27"/>
        <v>0</v>
      </c>
      <c r="T139" s="298">
        <f t="shared" si="27"/>
        <v>0</v>
      </c>
      <c r="U139" s="298">
        <f t="shared" si="27"/>
        <v>0</v>
      </c>
      <c r="V139" s="298">
        <f t="shared" si="27"/>
        <v>0</v>
      </c>
      <c r="W139" s="298">
        <f t="shared" si="27"/>
        <v>0</v>
      </c>
      <c r="X139" s="298">
        <f t="shared" si="27"/>
        <v>0</v>
      </c>
      <c r="Y139" s="298">
        <f t="shared" si="27"/>
        <v>0</v>
      </c>
      <c r="Z139" s="298">
        <f t="shared" si="27"/>
        <v>0</v>
      </c>
      <c r="AA139" s="298">
        <f t="shared" si="27"/>
        <v>0</v>
      </c>
      <c r="AB139" s="298">
        <f t="shared" si="27"/>
        <v>0</v>
      </c>
      <c r="AC139" s="298">
        <f t="shared" si="27"/>
        <v>0</v>
      </c>
      <c r="AD139" s="298">
        <f t="shared" si="27"/>
        <v>0</v>
      </c>
      <c r="AE139" s="299">
        <f t="shared" si="27"/>
        <v>0</v>
      </c>
    </row>
    <row r="140" spans="1:31" ht="16.5" thickTop="1" thickBot="1">
      <c r="A140" s="1712"/>
      <c r="B140" s="300" t="s">
        <v>39</v>
      </c>
      <c r="C140" s="349">
        <f>SUM(C114:C139)</f>
        <v>194.98960174349037</v>
      </c>
      <c r="D140" s="349">
        <f>SUM(D114:D139)</f>
        <v>139.17984793843945</v>
      </c>
      <c r="E140" s="349">
        <f t="shared" ref="E140:AE140" si="28">SUM(E114:E139)</f>
        <v>107.69346766465637</v>
      </c>
      <c r="F140" s="349">
        <f t="shared" si="28"/>
        <v>86.233798152063187</v>
      </c>
      <c r="G140" s="349">
        <f t="shared" si="28"/>
        <v>69.351860122859037</v>
      </c>
      <c r="H140" s="349">
        <f t="shared" si="28"/>
        <v>54.942310160348661</v>
      </c>
      <c r="I140" s="349">
        <f t="shared" si="28"/>
        <v>42.289248448724827</v>
      </c>
      <c r="J140" s="349">
        <f t="shared" si="28"/>
        <v>31.236588038347467</v>
      </c>
      <c r="K140" s="349">
        <f t="shared" si="28"/>
        <v>21.917585534508088</v>
      </c>
      <c r="L140" s="349">
        <f t="shared" si="28"/>
        <v>14.530579787289259</v>
      </c>
      <c r="M140" s="349">
        <f t="shared" si="28"/>
        <v>8.9798082272967399</v>
      </c>
      <c r="N140" s="349">
        <f t="shared" si="28"/>
        <v>5.0916498335856755</v>
      </c>
      <c r="O140" s="349">
        <f t="shared" si="28"/>
        <v>2.619285869054067</v>
      </c>
      <c r="P140" s="349">
        <f t="shared" si="28"/>
        <v>1.2130939006746182</v>
      </c>
      <c r="Q140" s="349">
        <f t="shared" si="28"/>
        <v>0.50843495295810281</v>
      </c>
      <c r="R140" s="349">
        <f t="shared" si="28"/>
        <v>0.19297652153577885</v>
      </c>
      <c r="S140" s="349">
        <f t="shared" si="28"/>
        <v>6.5637051252172479E-2</v>
      </c>
      <c r="T140" s="349">
        <f t="shared" si="28"/>
        <v>1.9711995754457211E-2</v>
      </c>
      <c r="U140" s="349">
        <f t="shared" si="28"/>
        <v>5.1297960288075274E-3</v>
      </c>
      <c r="V140" s="349">
        <f t="shared" si="28"/>
        <v>1.128700611725302E-3</v>
      </c>
      <c r="W140" s="349">
        <f t="shared" si="28"/>
        <v>2.0301431939810216E-4</v>
      </c>
      <c r="X140" s="349">
        <f t="shared" si="28"/>
        <v>2.8419210147137434E-5</v>
      </c>
      <c r="Y140" s="349">
        <f t="shared" si="28"/>
        <v>2.8635266733025719E-6</v>
      </c>
      <c r="Z140" s="349">
        <f t="shared" si="28"/>
        <v>1.8000887874921143E-7</v>
      </c>
      <c r="AA140" s="349">
        <f t="shared" si="28"/>
        <v>5.0033566137494323E-9</v>
      </c>
      <c r="AB140" s="349">
        <f t="shared" si="28"/>
        <v>0</v>
      </c>
      <c r="AC140" s="349">
        <f t="shared" si="28"/>
        <v>0</v>
      </c>
      <c r="AD140" s="349">
        <f t="shared" si="28"/>
        <v>0</v>
      </c>
      <c r="AE140" s="350">
        <f t="shared" si="28"/>
        <v>0</v>
      </c>
    </row>
    <row r="141" spans="1:31" ht="15.75" thickBot="1"/>
    <row r="142" spans="1:31" ht="15.75" customHeight="1" thickBot="1">
      <c r="A142" s="1710" t="s">
        <v>200</v>
      </c>
      <c r="B142" s="169" t="s">
        <v>10</v>
      </c>
      <c r="C142" s="288">
        <v>2012</v>
      </c>
      <c r="D142" s="347">
        <v>2013</v>
      </c>
      <c r="E142" s="347">
        <v>2014</v>
      </c>
      <c r="F142" s="288">
        <v>2015</v>
      </c>
      <c r="G142" s="347">
        <v>2016</v>
      </c>
      <c r="H142" s="347">
        <v>2017</v>
      </c>
      <c r="I142" s="288">
        <v>2018</v>
      </c>
      <c r="J142" s="347">
        <v>2019</v>
      </c>
      <c r="K142" s="347">
        <v>2020</v>
      </c>
      <c r="L142" s="288">
        <v>2021</v>
      </c>
      <c r="M142" s="347">
        <v>2022</v>
      </c>
      <c r="N142" s="347">
        <v>2023</v>
      </c>
      <c r="O142" s="288">
        <v>2024</v>
      </c>
      <c r="P142" s="347">
        <v>2025</v>
      </c>
      <c r="Q142" s="347">
        <v>2026</v>
      </c>
      <c r="R142" s="288">
        <v>2027</v>
      </c>
      <c r="S142" s="347">
        <v>2028</v>
      </c>
      <c r="T142" s="347">
        <v>2029</v>
      </c>
      <c r="U142" s="288">
        <v>2030</v>
      </c>
      <c r="V142" s="347">
        <v>2031</v>
      </c>
      <c r="W142" s="347">
        <v>2032</v>
      </c>
      <c r="X142" s="288">
        <v>2033</v>
      </c>
      <c r="Y142" s="347">
        <v>2034</v>
      </c>
      <c r="Z142" s="347">
        <v>2035</v>
      </c>
      <c r="AA142" s="288">
        <v>2036</v>
      </c>
      <c r="AB142" s="347">
        <v>2037</v>
      </c>
      <c r="AC142" s="347">
        <v>2038</v>
      </c>
      <c r="AD142" s="288">
        <v>2039</v>
      </c>
      <c r="AE142" s="348">
        <v>2040</v>
      </c>
    </row>
    <row r="143" spans="1:31" ht="15" customHeight="1">
      <c r="A143" s="1711" t="s">
        <v>41</v>
      </c>
      <c r="B143" s="116">
        <v>0</v>
      </c>
      <c r="C143" s="291">
        <f t="shared" ref="C143:C161" si="29">N28</f>
        <v>4</v>
      </c>
      <c r="D143" s="292"/>
      <c r="E143" s="292"/>
      <c r="F143" s="292"/>
      <c r="G143" s="292"/>
      <c r="H143" s="292"/>
      <c r="I143" s="292"/>
      <c r="J143" s="292"/>
      <c r="K143" s="292"/>
      <c r="L143" s="292"/>
      <c r="M143" s="292"/>
      <c r="N143" s="292"/>
      <c r="O143" s="292"/>
      <c r="P143" s="292"/>
      <c r="Q143" s="292"/>
      <c r="R143" s="292"/>
      <c r="S143" s="292"/>
      <c r="T143" s="292"/>
      <c r="U143" s="292"/>
      <c r="V143" s="292"/>
      <c r="W143" s="292"/>
      <c r="X143" s="292"/>
      <c r="Y143" s="292"/>
      <c r="Z143" s="292"/>
      <c r="AA143" s="292"/>
      <c r="AB143" s="292"/>
      <c r="AC143" s="292"/>
      <c r="AD143" s="292"/>
      <c r="AE143" s="293"/>
    </row>
    <row r="144" spans="1:31">
      <c r="A144" s="1711"/>
      <c r="B144" s="116">
        <v>1</v>
      </c>
      <c r="C144" s="294">
        <f t="shared" si="29"/>
        <v>2</v>
      </c>
      <c r="D144" s="295">
        <f>C143*$F29</f>
        <v>3.9974814149747266</v>
      </c>
      <c r="E144" s="295">
        <f t="shared" ref="E144:AE153" si="30">D143*$F29</f>
        <v>0</v>
      </c>
      <c r="F144" s="295">
        <f t="shared" si="30"/>
        <v>0</v>
      </c>
      <c r="G144" s="295">
        <f t="shared" si="30"/>
        <v>0</v>
      </c>
      <c r="H144" s="295">
        <f t="shared" si="30"/>
        <v>0</v>
      </c>
      <c r="I144" s="295">
        <f t="shared" si="30"/>
        <v>0</v>
      </c>
      <c r="J144" s="295">
        <f t="shared" si="30"/>
        <v>0</v>
      </c>
      <c r="K144" s="295">
        <f t="shared" si="30"/>
        <v>0</v>
      </c>
      <c r="L144" s="295">
        <f t="shared" si="30"/>
        <v>0</v>
      </c>
      <c r="M144" s="295">
        <f t="shared" si="30"/>
        <v>0</v>
      </c>
      <c r="N144" s="295">
        <f t="shared" si="30"/>
        <v>0</v>
      </c>
      <c r="O144" s="295">
        <f t="shared" si="30"/>
        <v>0</v>
      </c>
      <c r="P144" s="295">
        <f t="shared" si="30"/>
        <v>0</v>
      </c>
      <c r="Q144" s="295">
        <f t="shared" si="30"/>
        <v>0</v>
      </c>
      <c r="R144" s="295">
        <f t="shared" si="30"/>
        <v>0</v>
      </c>
      <c r="S144" s="295">
        <f t="shared" si="30"/>
        <v>0</v>
      </c>
      <c r="T144" s="295">
        <f t="shared" si="30"/>
        <v>0</v>
      </c>
      <c r="U144" s="295">
        <f t="shared" si="30"/>
        <v>0</v>
      </c>
      <c r="V144" s="295">
        <f t="shared" si="30"/>
        <v>0</v>
      </c>
      <c r="W144" s="295">
        <f t="shared" si="30"/>
        <v>0</v>
      </c>
      <c r="X144" s="295">
        <f t="shared" si="30"/>
        <v>0</v>
      </c>
      <c r="Y144" s="295">
        <f t="shared" si="30"/>
        <v>0</v>
      </c>
      <c r="Z144" s="295">
        <f t="shared" si="30"/>
        <v>0</v>
      </c>
      <c r="AA144" s="295">
        <f t="shared" si="30"/>
        <v>0</v>
      </c>
      <c r="AB144" s="295">
        <f t="shared" si="30"/>
        <v>0</v>
      </c>
      <c r="AC144" s="295">
        <f t="shared" si="30"/>
        <v>0</v>
      </c>
      <c r="AD144" s="295">
        <f t="shared" si="30"/>
        <v>0</v>
      </c>
      <c r="AE144" s="296">
        <f t="shared" si="30"/>
        <v>0</v>
      </c>
    </row>
    <row r="145" spans="1:31">
      <c r="A145" s="1711"/>
      <c r="B145" s="116">
        <v>2</v>
      </c>
      <c r="C145" s="294">
        <f t="shared" si="29"/>
        <v>8</v>
      </c>
      <c r="D145" s="295">
        <f t="shared" ref="D145:S160" si="31">C144*$F30</f>
        <v>2</v>
      </c>
      <c r="E145" s="295">
        <f t="shared" si="31"/>
        <v>3.9974814149747266</v>
      </c>
      <c r="F145" s="295">
        <f t="shared" si="31"/>
        <v>0</v>
      </c>
      <c r="G145" s="295">
        <f t="shared" si="31"/>
        <v>0</v>
      </c>
      <c r="H145" s="295">
        <f t="shared" si="31"/>
        <v>0</v>
      </c>
      <c r="I145" s="295">
        <f t="shared" si="31"/>
        <v>0</v>
      </c>
      <c r="J145" s="295">
        <f t="shared" si="31"/>
        <v>0</v>
      </c>
      <c r="K145" s="295">
        <f t="shared" si="31"/>
        <v>0</v>
      </c>
      <c r="L145" s="295">
        <f t="shared" si="31"/>
        <v>0</v>
      </c>
      <c r="M145" s="295">
        <f t="shared" si="31"/>
        <v>0</v>
      </c>
      <c r="N145" s="295">
        <f t="shared" si="31"/>
        <v>0</v>
      </c>
      <c r="O145" s="295">
        <f t="shared" si="31"/>
        <v>0</v>
      </c>
      <c r="P145" s="295">
        <f t="shared" si="31"/>
        <v>0</v>
      </c>
      <c r="Q145" s="295">
        <f t="shared" si="31"/>
        <v>0</v>
      </c>
      <c r="R145" s="295">
        <f t="shared" si="31"/>
        <v>0</v>
      </c>
      <c r="S145" s="295">
        <f t="shared" si="31"/>
        <v>0</v>
      </c>
      <c r="T145" s="295">
        <f t="shared" si="30"/>
        <v>0</v>
      </c>
      <c r="U145" s="295">
        <f t="shared" si="30"/>
        <v>0</v>
      </c>
      <c r="V145" s="295">
        <f t="shared" si="30"/>
        <v>0</v>
      </c>
      <c r="W145" s="295">
        <f t="shared" si="30"/>
        <v>0</v>
      </c>
      <c r="X145" s="295">
        <f t="shared" si="30"/>
        <v>0</v>
      </c>
      <c r="Y145" s="295">
        <f t="shared" si="30"/>
        <v>0</v>
      </c>
      <c r="Z145" s="295">
        <f t="shared" si="30"/>
        <v>0</v>
      </c>
      <c r="AA145" s="295">
        <f t="shared" si="30"/>
        <v>0</v>
      </c>
      <c r="AB145" s="295">
        <f t="shared" si="30"/>
        <v>0</v>
      </c>
      <c r="AC145" s="295">
        <f t="shared" si="30"/>
        <v>0</v>
      </c>
      <c r="AD145" s="295">
        <f t="shared" si="30"/>
        <v>0</v>
      </c>
      <c r="AE145" s="296">
        <f t="shared" si="30"/>
        <v>0</v>
      </c>
    </row>
    <row r="146" spans="1:31">
      <c r="A146" s="1711"/>
      <c r="B146" s="116">
        <v>3</v>
      </c>
      <c r="C146" s="294">
        <f t="shared" si="29"/>
        <v>12</v>
      </c>
      <c r="D146" s="295">
        <f t="shared" si="31"/>
        <v>8</v>
      </c>
      <c r="E146" s="295">
        <f t="shared" si="30"/>
        <v>2</v>
      </c>
      <c r="F146" s="295">
        <f t="shared" si="30"/>
        <v>3.9974814149747266</v>
      </c>
      <c r="G146" s="295">
        <f t="shared" si="30"/>
        <v>0</v>
      </c>
      <c r="H146" s="295">
        <f t="shared" si="30"/>
        <v>0</v>
      </c>
      <c r="I146" s="295">
        <f t="shared" si="30"/>
        <v>0</v>
      </c>
      <c r="J146" s="295">
        <f t="shared" si="30"/>
        <v>0</v>
      </c>
      <c r="K146" s="295">
        <f t="shared" si="30"/>
        <v>0</v>
      </c>
      <c r="L146" s="295">
        <f t="shared" si="30"/>
        <v>0</v>
      </c>
      <c r="M146" s="295">
        <f t="shared" si="30"/>
        <v>0</v>
      </c>
      <c r="N146" s="295">
        <f t="shared" si="30"/>
        <v>0</v>
      </c>
      <c r="O146" s="295">
        <f t="shared" si="30"/>
        <v>0</v>
      </c>
      <c r="P146" s="295">
        <f t="shared" si="30"/>
        <v>0</v>
      </c>
      <c r="Q146" s="295">
        <f t="shared" si="30"/>
        <v>0</v>
      </c>
      <c r="R146" s="295">
        <f t="shared" si="30"/>
        <v>0</v>
      </c>
      <c r="S146" s="295">
        <f t="shared" si="30"/>
        <v>0</v>
      </c>
      <c r="T146" s="295">
        <f t="shared" si="30"/>
        <v>0</v>
      </c>
      <c r="U146" s="295">
        <f t="shared" si="30"/>
        <v>0</v>
      </c>
      <c r="V146" s="295">
        <f t="shared" si="30"/>
        <v>0</v>
      </c>
      <c r="W146" s="295">
        <f t="shared" si="30"/>
        <v>0</v>
      </c>
      <c r="X146" s="295">
        <f t="shared" si="30"/>
        <v>0</v>
      </c>
      <c r="Y146" s="295">
        <f t="shared" si="30"/>
        <v>0</v>
      </c>
      <c r="Z146" s="295">
        <f t="shared" si="30"/>
        <v>0</v>
      </c>
      <c r="AA146" s="295">
        <f t="shared" si="30"/>
        <v>0</v>
      </c>
      <c r="AB146" s="295">
        <f t="shared" si="30"/>
        <v>0</v>
      </c>
      <c r="AC146" s="295">
        <f t="shared" si="30"/>
        <v>0</v>
      </c>
      <c r="AD146" s="295">
        <f t="shared" si="30"/>
        <v>0</v>
      </c>
      <c r="AE146" s="296">
        <f t="shared" si="30"/>
        <v>0</v>
      </c>
    </row>
    <row r="147" spans="1:31">
      <c r="A147" s="1711"/>
      <c r="B147" s="116">
        <v>4</v>
      </c>
      <c r="C147" s="294">
        <f t="shared" si="29"/>
        <v>22</v>
      </c>
      <c r="D147" s="295">
        <f t="shared" si="31"/>
        <v>12</v>
      </c>
      <c r="E147" s="295">
        <f t="shared" si="30"/>
        <v>8</v>
      </c>
      <c r="F147" s="295">
        <f t="shared" si="30"/>
        <v>2</v>
      </c>
      <c r="G147" s="295">
        <f t="shared" si="30"/>
        <v>3.9974814149747266</v>
      </c>
      <c r="H147" s="295">
        <f t="shared" si="30"/>
        <v>0</v>
      </c>
      <c r="I147" s="295">
        <f t="shared" si="30"/>
        <v>0</v>
      </c>
      <c r="J147" s="295">
        <f t="shared" si="30"/>
        <v>0</v>
      </c>
      <c r="K147" s="295">
        <f t="shared" si="30"/>
        <v>0</v>
      </c>
      <c r="L147" s="295">
        <f t="shared" si="30"/>
        <v>0</v>
      </c>
      <c r="M147" s="295">
        <f t="shared" si="30"/>
        <v>0</v>
      </c>
      <c r="N147" s="295">
        <f t="shared" si="30"/>
        <v>0</v>
      </c>
      <c r="O147" s="295">
        <f t="shared" si="30"/>
        <v>0</v>
      </c>
      <c r="P147" s="295">
        <f t="shared" si="30"/>
        <v>0</v>
      </c>
      <c r="Q147" s="295">
        <f t="shared" si="30"/>
        <v>0</v>
      </c>
      <c r="R147" s="295">
        <f t="shared" si="30"/>
        <v>0</v>
      </c>
      <c r="S147" s="295">
        <f t="shared" si="30"/>
        <v>0</v>
      </c>
      <c r="T147" s="295">
        <f t="shared" si="30"/>
        <v>0</v>
      </c>
      <c r="U147" s="295">
        <f t="shared" si="30"/>
        <v>0</v>
      </c>
      <c r="V147" s="295">
        <f t="shared" si="30"/>
        <v>0</v>
      </c>
      <c r="W147" s="295">
        <f t="shared" si="30"/>
        <v>0</v>
      </c>
      <c r="X147" s="295">
        <f t="shared" si="30"/>
        <v>0</v>
      </c>
      <c r="Y147" s="295">
        <f t="shared" si="30"/>
        <v>0</v>
      </c>
      <c r="Z147" s="295">
        <f t="shared" si="30"/>
        <v>0</v>
      </c>
      <c r="AA147" s="295">
        <f t="shared" si="30"/>
        <v>0</v>
      </c>
      <c r="AB147" s="295">
        <f t="shared" si="30"/>
        <v>0</v>
      </c>
      <c r="AC147" s="295">
        <f t="shared" si="30"/>
        <v>0</v>
      </c>
      <c r="AD147" s="295">
        <f t="shared" si="30"/>
        <v>0</v>
      </c>
      <c r="AE147" s="296">
        <f t="shared" si="30"/>
        <v>0</v>
      </c>
    </row>
    <row r="148" spans="1:31">
      <c r="A148" s="1711"/>
      <c r="B148" s="116">
        <v>5</v>
      </c>
      <c r="C148" s="294">
        <f t="shared" si="29"/>
        <v>15</v>
      </c>
      <c r="D148" s="295">
        <f t="shared" si="31"/>
        <v>22</v>
      </c>
      <c r="E148" s="295">
        <f t="shared" si="30"/>
        <v>12</v>
      </c>
      <c r="F148" s="295">
        <f t="shared" si="30"/>
        <v>8</v>
      </c>
      <c r="G148" s="295">
        <f t="shared" si="30"/>
        <v>2</v>
      </c>
      <c r="H148" s="295">
        <f t="shared" si="30"/>
        <v>3.9974814149747266</v>
      </c>
      <c r="I148" s="295">
        <f t="shared" si="30"/>
        <v>0</v>
      </c>
      <c r="J148" s="295">
        <f t="shared" si="30"/>
        <v>0</v>
      </c>
      <c r="K148" s="295">
        <f t="shared" si="30"/>
        <v>0</v>
      </c>
      <c r="L148" s="295">
        <f t="shared" si="30"/>
        <v>0</v>
      </c>
      <c r="M148" s="295">
        <f t="shared" si="30"/>
        <v>0</v>
      </c>
      <c r="N148" s="295">
        <f t="shared" si="30"/>
        <v>0</v>
      </c>
      <c r="O148" s="295">
        <f t="shared" si="30"/>
        <v>0</v>
      </c>
      <c r="P148" s="295">
        <f t="shared" si="30"/>
        <v>0</v>
      </c>
      <c r="Q148" s="295">
        <f t="shared" si="30"/>
        <v>0</v>
      </c>
      <c r="R148" s="295">
        <f t="shared" si="30"/>
        <v>0</v>
      </c>
      <c r="S148" s="295">
        <f t="shared" si="30"/>
        <v>0</v>
      </c>
      <c r="T148" s="295">
        <f t="shared" si="30"/>
        <v>0</v>
      </c>
      <c r="U148" s="295">
        <f t="shared" si="30"/>
        <v>0</v>
      </c>
      <c r="V148" s="295">
        <f t="shared" si="30"/>
        <v>0</v>
      </c>
      <c r="W148" s="295">
        <f t="shared" si="30"/>
        <v>0</v>
      </c>
      <c r="X148" s="295">
        <f t="shared" si="30"/>
        <v>0</v>
      </c>
      <c r="Y148" s="295">
        <f t="shared" si="30"/>
        <v>0</v>
      </c>
      <c r="Z148" s="295">
        <f t="shared" si="30"/>
        <v>0</v>
      </c>
      <c r="AA148" s="295">
        <f t="shared" si="30"/>
        <v>0</v>
      </c>
      <c r="AB148" s="295">
        <f t="shared" si="30"/>
        <v>0</v>
      </c>
      <c r="AC148" s="295">
        <f t="shared" si="30"/>
        <v>0</v>
      </c>
      <c r="AD148" s="295">
        <f t="shared" si="30"/>
        <v>0</v>
      </c>
      <c r="AE148" s="296">
        <f t="shared" si="30"/>
        <v>0</v>
      </c>
    </row>
    <row r="149" spans="1:31">
      <c r="A149" s="1711"/>
      <c r="B149" s="116">
        <v>6</v>
      </c>
      <c r="C149" s="294">
        <f t="shared" si="29"/>
        <v>15</v>
      </c>
      <c r="D149" s="295">
        <f t="shared" si="31"/>
        <v>15</v>
      </c>
      <c r="E149" s="295">
        <f t="shared" si="30"/>
        <v>22</v>
      </c>
      <c r="F149" s="295">
        <f t="shared" si="30"/>
        <v>12</v>
      </c>
      <c r="G149" s="295">
        <f t="shared" si="30"/>
        <v>8</v>
      </c>
      <c r="H149" s="295">
        <f t="shared" si="30"/>
        <v>2</v>
      </c>
      <c r="I149" s="295">
        <f t="shared" si="30"/>
        <v>3.9974814149747266</v>
      </c>
      <c r="J149" s="295">
        <f t="shared" si="30"/>
        <v>0</v>
      </c>
      <c r="K149" s="295">
        <f t="shared" si="30"/>
        <v>0</v>
      </c>
      <c r="L149" s="295">
        <f t="shared" si="30"/>
        <v>0</v>
      </c>
      <c r="M149" s="295">
        <f t="shared" si="30"/>
        <v>0</v>
      </c>
      <c r="N149" s="295">
        <f t="shared" si="30"/>
        <v>0</v>
      </c>
      <c r="O149" s="295">
        <f t="shared" si="30"/>
        <v>0</v>
      </c>
      <c r="P149" s="295">
        <f t="shared" si="30"/>
        <v>0</v>
      </c>
      <c r="Q149" s="295">
        <f t="shared" si="30"/>
        <v>0</v>
      </c>
      <c r="R149" s="295">
        <f t="shared" si="30"/>
        <v>0</v>
      </c>
      <c r="S149" s="295">
        <f t="shared" si="30"/>
        <v>0</v>
      </c>
      <c r="T149" s="295">
        <f t="shared" si="30"/>
        <v>0</v>
      </c>
      <c r="U149" s="295">
        <f t="shared" si="30"/>
        <v>0</v>
      </c>
      <c r="V149" s="295">
        <f t="shared" si="30"/>
        <v>0</v>
      </c>
      <c r="W149" s="295">
        <f t="shared" si="30"/>
        <v>0</v>
      </c>
      <c r="X149" s="295">
        <f t="shared" si="30"/>
        <v>0</v>
      </c>
      <c r="Y149" s="295">
        <f t="shared" si="30"/>
        <v>0</v>
      </c>
      <c r="Z149" s="295">
        <f t="shared" si="30"/>
        <v>0</v>
      </c>
      <c r="AA149" s="295">
        <f t="shared" si="30"/>
        <v>0</v>
      </c>
      <c r="AB149" s="295">
        <f t="shared" si="30"/>
        <v>0</v>
      </c>
      <c r="AC149" s="295">
        <f t="shared" si="30"/>
        <v>0</v>
      </c>
      <c r="AD149" s="295">
        <f t="shared" si="30"/>
        <v>0</v>
      </c>
      <c r="AE149" s="296">
        <f t="shared" si="30"/>
        <v>0</v>
      </c>
    </row>
    <row r="150" spans="1:31">
      <c r="A150" s="1711"/>
      <c r="B150" s="116">
        <v>7</v>
      </c>
      <c r="C150" s="294">
        <f t="shared" si="29"/>
        <v>10</v>
      </c>
      <c r="D150" s="295">
        <f t="shared" si="31"/>
        <v>14.846475442858807</v>
      </c>
      <c r="E150" s="295">
        <f t="shared" si="30"/>
        <v>14.846475442858807</v>
      </c>
      <c r="F150" s="295">
        <f t="shared" si="30"/>
        <v>21.774830649526251</v>
      </c>
      <c r="G150" s="295">
        <f t="shared" si="30"/>
        <v>11.877180354287045</v>
      </c>
      <c r="H150" s="295">
        <f t="shared" si="30"/>
        <v>7.9181202361913634</v>
      </c>
      <c r="I150" s="295">
        <f t="shared" si="30"/>
        <v>1.9795300590478409</v>
      </c>
      <c r="J150" s="295">
        <f t="shared" si="30"/>
        <v>3.9565673107137833</v>
      </c>
      <c r="K150" s="295">
        <f t="shared" si="30"/>
        <v>0</v>
      </c>
      <c r="L150" s="295">
        <f t="shared" si="30"/>
        <v>0</v>
      </c>
      <c r="M150" s="295">
        <f t="shared" si="30"/>
        <v>0</v>
      </c>
      <c r="N150" s="295">
        <f t="shared" si="30"/>
        <v>0</v>
      </c>
      <c r="O150" s="295">
        <f t="shared" si="30"/>
        <v>0</v>
      </c>
      <c r="P150" s="295">
        <f t="shared" si="30"/>
        <v>0</v>
      </c>
      <c r="Q150" s="295">
        <f t="shared" si="30"/>
        <v>0</v>
      </c>
      <c r="R150" s="295">
        <f t="shared" si="30"/>
        <v>0</v>
      </c>
      <c r="S150" s="295">
        <f t="shared" si="30"/>
        <v>0</v>
      </c>
      <c r="T150" s="295">
        <f t="shared" si="30"/>
        <v>0</v>
      </c>
      <c r="U150" s="295">
        <f t="shared" si="30"/>
        <v>0</v>
      </c>
      <c r="V150" s="295">
        <f t="shared" si="30"/>
        <v>0</v>
      </c>
      <c r="W150" s="295">
        <f t="shared" si="30"/>
        <v>0</v>
      </c>
      <c r="X150" s="295">
        <f t="shared" si="30"/>
        <v>0</v>
      </c>
      <c r="Y150" s="295">
        <f t="shared" si="30"/>
        <v>0</v>
      </c>
      <c r="Z150" s="295">
        <f t="shared" si="30"/>
        <v>0</v>
      </c>
      <c r="AA150" s="295">
        <f t="shared" si="30"/>
        <v>0</v>
      </c>
      <c r="AB150" s="295">
        <f t="shared" si="30"/>
        <v>0</v>
      </c>
      <c r="AC150" s="295">
        <f t="shared" si="30"/>
        <v>0</v>
      </c>
      <c r="AD150" s="295">
        <f t="shared" si="30"/>
        <v>0</v>
      </c>
      <c r="AE150" s="296">
        <f t="shared" si="30"/>
        <v>0</v>
      </c>
    </row>
    <row r="151" spans="1:31">
      <c r="A151" s="1711"/>
      <c r="B151" s="116">
        <v>8</v>
      </c>
      <c r="C151" s="294">
        <f t="shared" si="29"/>
        <v>5</v>
      </c>
      <c r="D151" s="295">
        <f t="shared" si="31"/>
        <v>9.4473973327629572</v>
      </c>
      <c r="E151" s="295">
        <f t="shared" si="30"/>
        <v>14.026055249979505</v>
      </c>
      <c r="F151" s="295">
        <f t="shared" si="30"/>
        <v>14.026055249979505</v>
      </c>
      <c r="G151" s="295">
        <f t="shared" si="30"/>
        <v>20.57154769996994</v>
      </c>
      <c r="H151" s="295">
        <f t="shared" si="30"/>
        <v>11.220844199983603</v>
      </c>
      <c r="I151" s="295">
        <f t="shared" si="30"/>
        <v>7.4805627999890687</v>
      </c>
      <c r="J151" s="295">
        <f t="shared" si="30"/>
        <v>1.8701406999972672</v>
      </c>
      <c r="K151" s="295">
        <f t="shared" si="30"/>
        <v>3.7379263458134506</v>
      </c>
      <c r="L151" s="295">
        <f t="shared" si="30"/>
        <v>0</v>
      </c>
      <c r="M151" s="295">
        <f t="shared" si="30"/>
        <v>0</v>
      </c>
      <c r="N151" s="295">
        <f t="shared" si="30"/>
        <v>0</v>
      </c>
      <c r="O151" s="295">
        <f t="shared" si="30"/>
        <v>0</v>
      </c>
      <c r="P151" s="295">
        <f t="shared" si="30"/>
        <v>0</v>
      </c>
      <c r="Q151" s="295">
        <f t="shared" si="30"/>
        <v>0</v>
      </c>
      <c r="R151" s="295">
        <f t="shared" si="30"/>
        <v>0</v>
      </c>
      <c r="S151" s="295">
        <f t="shared" si="30"/>
        <v>0</v>
      </c>
      <c r="T151" s="295">
        <f t="shared" si="30"/>
        <v>0</v>
      </c>
      <c r="U151" s="295">
        <f t="shared" si="30"/>
        <v>0</v>
      </c>
      <c r="V151" s="295">
        <f t="shared" si="30"/>
        <v>0</v>
      </c>
      <c r="W151" s="295">
        <f t="shared" si="30"/>
        <v>0</v>
      </c>
      <c r="X151" s="295">
        <f t="shared" si="30"/>
        <v>0</v>
      </c>
      <c r="Y151" s="295">
        <f t="shared" si="30"/>
        <v>0</v>
      </c>
      <c r="Z151" s="295">
        <f t="shared" si="30"/>
        <v>0</v>
      </c>
      <c r="AA151" s="295">
        <f t="shared" si="30"/>
        <v>0</v>
      </c>
      <c r="AB151" s="295">
        <f t="shared" si="30"/>
        <v>0</v>
      </c>
      <c r="AC151" s="295">
        <f t="shared" si="30"/>
        <v>0</v>
      </c>
      <c r="AD151" s="295">
        <f t="shared" si="30"/>
        <v>0</v>
      </c>
      <c r="AE151" s="296">
        <f t="shared" si="30"/>
        <v>0</v>
      </c>
    </row>
    <row r="152" spans="1:31">
      <c r="A152" s="1711"/>
      <c r="B152" s="116">
        <v>9</v>
      </c>
      <c r="C152" s="294">
        <f t="shared" si="29"/>
        <v>4</v>
      </c>
      <c r="D152" s="295">
        <f t="shared" si="31"/>
        <v>4.4564631699860566</v>
      </c>
      <c r="E152" s="295">
        <f t="shared" si="30"/>
        <v>8.4203956531365236</v>
      </c>
      <c r="F152" s="295">
        <f t="shared" si="30"/>
        <v>12.501319728344647</v>
      </c>
      <c r="G152" s="295">
        <f t="shared" si="30"/>
        <v>12.501319728344647</v>
      </c>
      <c r="H152" s="295">
        <f t="shared" si="30"/>
        <v>18.335268934905482</v>
      </c>
      <c r="I152" s="295">
        <f t="shared" si="30"/>
        <v>10.001055782675715</v>
      </c>
      <c r="J152" s="295">
        <f t="shared" si="30"/>
        <v>6.6673705217838108</v>
      </c>
      <c r="K152" s="295">
        <f t="shared" si="30"/>
        <v>1.6668426304459527</v>
      </c>
      <c r="L152" s="295">
        <f t="shared" si="30"/>
        <v>3.331586218447641</v>
      </c>
      <c r="M152" s="295">
        <f t="shared" si="30"/>
        <v>0</v>
      </c>
      <c r="N152" s="295">
        <f t="shared" si="30"/>
        <v>0</v>
      </c>
      <c r="O152" s="295">
        <f t="shared" si="30"/>
        <v>0</v>
      </c>
      <c r="P152" s="295">
        <f t="shared" si="30"/>
        <v>0</v>
      </c>
      <c r="Q152" s="295">
        <f t="shared" si="30"/>
        <v>0</v>
      </c>
      <c r="R152" s="295">
        <f t="shared" si="30"/>
        <v>0</v>
      </c>
      <c r="S152" s="295">
        <f t="shared" si="30"/>
        <v>0</v>
      </c>
      <c r="T152" s="295">
        <f t="shared" si="30"/>
        <v>0</v>
      </c>
      <c r="U152" s="295">
        <f t="shared" si="30"/>
        <v>0</v>
      </c>
      <c r="V152" s="295">
        <f t="shared" si="30"/>
        <v>0</v>
      </c>
      <c r="W152" s="295">
        <f t="shared" si="30"/>
        <v>0</v>
      </c>
      <c r="X152" s="295">
        <f t="shared" si="30"/>
        <v>0</v>
      </c>
      <c r="Y152" s="295">
        <f t="shared" si="30"/>
        <v>0</v>
      </c>
      <c r="Z152" s="295">
        <f t="shared" si="30"/>
        <v>0</v>
      </c>
      <c r="AA152" s="295">
        <f t="shared" si="30"/>
        <v>0</v>
      </c>
      <c r="AB152" s="295">
        <f t="shared" si="30"/>
        <v>0</v>
      </c>
      <c r="AC152" s="295">
        <f t="shared" si="30"/>
        <v>0</v>
      </c>
      <c r="AD152" s="295">
        <f t="shared" si="30"/>
        <v>0</v>
      </c>
      <c r="AE152" s="296">
        <f t="shared" si="30"/>
        <v>0</v>
      </c>
    </row>
    <row r="153" spans="1:31">
      <c r="A153" s="1711"/>
      <c r="B153" s="116">
        <v>10</v>
      </c>
      <c r="C153" s="294">
        <f t="shared" si="29"/>
        <v>4</v>
      </c>
      <c r="D153" s="295">
        <f t="shared" si="31"/>
        <v>3.3022517983107615</v>
      </c>
      <c r="E153" s="295">
        <f t="shared" si="30"/>
        <v>3.679090879298033</v>
      </c>
      <c r="F153" s="295">
        <f t="shared" si="30"/>
        <v>6.9515666720145513</v>
      </c>
      <c r="G153" s="295">
        <f t="shared" si="30"/>
        <v>10.320626388545978</v>
      </c>
      <c r="H153" s="295">
        <f t="shared" si="30"/>
        <v>10.320626388545978</v>
      </c>
      <c r="I153" s="295">
        <f t="shared" si="30"/>
        <v>15.136918703200767</v>
      </c>
      <c r="J153" s="295">
        <f t="shared" si="30"/>
        <v>8.2565011108367798</v>
      </c>
      <c r="K153" s="295">
        <f t="shared" si="30"/>
        <v>5.5043340738911875</v>
      </c>
      <c r="L153" s="295">
        <f t="shared" si="30"/>
        <v>1.3760835184727969</v>
      </c>
      <c r="M153" s="295">
        <f t="shared" si="30"/>
        <v>2.750434145274018</v>
      </c>
      <c r="N153" s="295">
        <f t="shared" si="30"/>
        <v>0</v>
      </c>
      <c r="O153" s="295">
        <f t="shared" si="30"/>
        <v>0</v>
      </c>
      <c r="P153" s="295">
        <f t="shared" si="30"/>
        <v>0</v>
      </c>
      <c r="Q153" s="295">
        <f t="shared" si="30"/>
        <v>0</v>
      </c>
      <c r="R153" s="295">
        <f t="shared" si="30"/>
        <v>0</v>
      </c>
      <c r="S153" s="295">
        <f t="shared" si="30"/>
        <v>0</v>
      </c>
      <c r="T153" s="295">
        <f t="shared" si="30"/>
        <v>0</v>
      </c>
      <c r="U153" s="295">
        <f t="shared" si="30"/>
        <v>0</v>
      </c>
      <c r="V153" s="295">
        <f t="shared" si="30"/>
        <v>0</v>
      </c>
      <c r="W153" s="295">
        <f t="shared" si="30"/>
        <v>0</v>
      </c>
      <c r="X153" s="295">
        <f t="shared" si="30"/>
        <v>0</v>
      </c>
      <c r="Y153" s="295">
        <f t="shared" si="30"/>
        <v>0</v>
      </c>
      <c r="Z153" s="295">
        <f t="shared" si="30"/>
        <v>0</v>
      </c>
      <c r="AA153" s="295">
        <f t="shared" si="30"/>
        <v>0</v>
      </c>
      <c r="AB153" s="295">
        <f t="shared" si="30"/>
        <v>0</v>
      </c>
      <c r="AC153" s="295">
        <f t="shared" si="30"/>
        <v>0</v>
      </c>
      <c r="AD153" s="295">
        <f t="shared" si="30"/>
        <v>0</v>
      </c>
      <c r="AE153" s="296">
        <f t="shared" si="30"/>
        <v>0</v>
      </c>
    </row>
    <row r="154" spans="1:31">
      <c r="A154" s="1711"/>
      <c r="B154" s="116">
        <v>11</v>
      </c>
      <c r="C154" s="294">
        <f t="shared" si="29"/>
        <v>3</v>
      </c>
      <c r="D154" s="295">
        <f t="shared" si="31"/>
        <v>3.0043836198489271</v>
      </c>
      <c r="E154" s="295">
        <f t="shared" si="31"/>
        <v>2.4803078028653789</v>
      </c>
      <c r="F154" s="295">
        <f t="shared" si="31"/>
        <v>2.7633500934246493</v>
      </c>
      <c r="G154" s="295">
        <f t="shared" si="31"/>
        <v>5.2212932604220592</v>
      </c>
      <c r="H154" s="295">
        <f t="shared" si="31"/>
        <v>7.7517802170820316</v>
      </c>
      <c r="I154" s="295">
        <f t="shared" si="31"/>
        <v>7.7517802170820316</v>
      </c>
      <c r="J154" s="295">
        <f t="shared" si="31"/>
        <v>11.369277651720312</v>
      </c>
      <c r="K154" s="295">
        <f t="shared" si="31"/>
        <v>6.2014241736656235</v>
      </c>
      <c r="L154" s="295">
        <f t="shared" si="31"/>
        <v>4.1342827824437496</v>
      </c>
      <c r="M154" s="295">
        <f t="shared" si="31"/>
        <v>1.0335706956109374</v>
      </c>
      <c r="N154" s="295">
        <f t="shared" si="31"/>
        <v>2.0658398233836111</v>
      </c>
      <c r="O154" s="295">
        <f t="shared" si="31"/>
        <v>0</v>
      </c>
      <c r="P154" s="295">
        <f t="shared" si="31"/>
        <v>0</v>
      </c>
      <c r="Q154" s="295">
        <f t="shared" si="31"/>
        <v>0</v>
      </c>
      <c r="R154" s="295">
        <f t="shared" si="31"/>
        <v>0</v>
      </c>
      <c r="S154" s="295">
        <f t="shared" si="31"/>
        <v>0</v>
      </c>
      <c r="T154" s="295">
        <f t="shared" ref="E154:AE163" si="32">S153*$F39</f>
        <v>0</v>
      </c>
      <c r="U154" s="295">
        <f t="shared" si="32"/>
        <v>0</v>
      </c>
      <c r="V154" s="295">
        <f t="shared" si="32"/>
        <v>0</v>
      </c>
      <c r="W154" s="295">
        <f t="shared" si="32"/>
        <v>0</v>
      </c>
      <c r="X154" s="295">
        <f t="shared" si="32"/>
        <v>0</v>
      </c>
      <c r="Y154" s="295">
        <f t="shared" si="32"/>
        <v>0</v>
      </c>
      <c r="Z154" s="295">
        <f t="shared" si="32"/>
        <v>0</v>
      </c>
      <c r="AA154" s="295">
        <f t="shared" si="32"/>
        <v>0</v>
      </c>
      <c r="AB154" s="295">
        <f t="shared" si="32"/>
        <v>0</v>
      </c>
      <c r="AC154" s="295">
        <f t="shared" si="32"/>
        <v>0</v>
      </c>
      <c r="AD154" s="295">
        <f t="shared" si="32"/>
        <v>0</v>
      </c>
      <c r="AE154" s="296">
        <f t="shared" si="32"/>
        <v>0</v>
      </c>
    </row>
    <row r="155" spans="1:31">
      <c r="A155" s="1711"/>
      <c r="B155" s="116">
        <v>12</v>
      </c>
      <c r="C155" s="294">
        <f t="shared" si="29"/>
        <v>2</v>
      </c>
      <c r="D155" s="295">
        <f t="shared" si="31"/>
        <v>1.9902318520117039</v>
      </c>
      <c r="E155" s="295">
        <f t="shared" si="32"/>
        <v>1.9931399919618522</v>
      </c>
      <c r="F155" s="295">
        <f t="shared" si="32"/>
        <v>1.645462530685281</v>
      </c>
      <c r="G155" s="295">
        <f t="shared" si="32"/>
        <v>1.8332357913977515</v>
      </c>
      <c r="H155" s="295">
        <f t="shared" si="32"/>
        <v>3.4638613851953406</v>
      </c>
      <c r="I155" s="295">
        <f t="shared" si="32"/>
        <v>5.1426132992769533</v>
      </c>
      <c r="J155" s="295">
        <f t="shared" si="32"/>
        <v>5.1426132992769533</v>
      </c>
      <c r="K155" s="295">
        <f t="shared" si="32"/>
        <v>7.5424995056061972</v>
      </c>
      <c r="L155" s="295">
        <f t="shared" si="32"/>
        <v>4.1140906394215611</v>
      </c>
      <c r="M155" s="295">
        <f t="shared" si="32"/>
        <v>2.7427270929477081</v>
      </c>
      <c r="N155" s="295">
        <f t="shared" si="32"/>
        <v>0.68568177323692703</v>
      </c>
      <c r="O155" s="295">
        <f t="shared" si="32"/>
        <v>1.3705000725507652</v>
      </c>
      <c r="P155" s="295">
        <f t="shared" si="32"/>
        <v>0</v>
      </c>
      <c r="Q155" s="295">
        <f t="shared" si="32"/>
        <v>0</v>
      </c>
      <c r="R155" s="295">
        <f t="shared" si="32"/>
        <v>0</v>
      </c>
      <c r="S155" s="295">
        <f t="shared" si="32"/>
        <v>0</v>
      </c>
      <c r="T155" s="295">
        <f t="shared" si="32"/>
        <v>0</v>
      </c>
      <c r="U155" s="295">
        <f t="shared" si="32"/>
        <v>0</v>
      </c>
      <c r="V155" s="295">
        <f t="shared" si="32"/>
        <v>0</v>
      </c>
      <c r="W155" s="295">
        <f t="shared" si="32"/>
        <v>0</v>
      </c>
      <c r="X155" s="295">
        <f t="shared" si="32"/>
        <v>0</v>
      </c>
      <c r="Y155" s="295">
        <f t="shared" si="32"/>
        <v>0</v>
      </c>
      <c r="Z155" s="295">
        <f t="shared" si="32"/>
        <v>0</v>
      </c>
      <c r="AA155" s="295">
        <f t="shared" si="32"/>
        <v>0</v>
      </c>
      <c r="AB155" s="295">
        <f t="shared" si="32"/>
        <v>0</v>
      </c>
      <c r="AC155" s="295">
        <f t="shared" si="32"/>
        <v>0</v>
      </c>
      <c r="AD155" s="295">
        <f t="shared" si="32"/>
        <v>0</v>
      </c>
      <c r="AE155" s="296">
        <f t="shared" si="32"/>
        <v>0</v>
      </c>
    </row>
    <row r="156" spans="1:31">
      <c r="A156" s="1711"/>
      <c r="B156" s="116">
        <v>13</v>
      </c>
      <c r="C156" s="294">
        <f t="shared" si="29"/>
        <v>1</v>
      </c>
      <c r="D156" s="295">
        <f t="shared" si="31"/>
        <v>1.1597928974670335</v>
      </c>
      <c r="E156" s="295">
        <f t="shared" si="32"/>
        <v>1.1541283831379172</v>
      </c>
      <c r="F156" s="295">
        <f t="shared" si="32"/>
        <v>1.1558148031674282</v>
      </c>
      <c r="G156" s="295">
        <f t="shared" si="32"/>
        <v>0.95419787806845979</v>
      </c>
      <c r="H156" s="295">
        <f t="shared" si="32"/>
        <v>1.0630869251227342</v>
      </c>
      <c r="I156" s="295">
        <f t="shared" si="32"/>
        <v>2.0086809161799382</v>
      </c>
      <c r="J156" s="295">
        <f t="shared" si="32"/>
        <v>2.9821831894604593</v>
      </c>
      <c r="K156" s="295">
        <f t="shared" si="32"/>
        <v>2.9821831894604593</v>
      </c>
      <c r="L156" s="295">
        <f t="shared" si="32"/>
        <v>4.3738686778753397</v>
      </c>
      <c r="M156" s="295">
        <f t="shared" si="32"/>
        <v>2.3857465515683662</v>
      </c>
      <c r="N156" s="295">
        <f t="shared" si="32"/>
        <v>1.5904977010455781</v>
      </c>
      <c r="O156" s="295">
        <f t="shared" si="32"/>
        <v>0.39762442526139452</v>
      </c>
      <c r="P156" s="295">
        <f t="shared" si="32"/>
        <v>0.79474812506121584</v>
      </c>
      <c r="Q156" s="295">
        <f t="shared" si="32"/>
        <v>0</v>
      </c>
      <c r="R156" s="295">
        <f t="shared" si="32"/>
        <v>0</v>
      </c>
      <c r="S156" s="295">
        <f t="shared" si="32"/>
        <v>0</v>
      </c>
      <c r="T156" s="295">
        <f t="shared" si="32"/>
        <v>0</v>
      </c>
      <c r="U156" s="295">
        <f t="shared" si="32"/>
        <v>0</v>
      </c>
      <c r="V156" s="295">
        <f t="shared" si="32"/>
        <v>0</v>
      </c>
      <c r="W156" s="295">
        <f t="shared" si="32"/>
        <v>0</v>
      </c>
      <c r="X156" s="295">
        <f t="shared" si="32"/>
        <v>0</v>
      </c>
      <c r="Y156" s="295">
        <f t="shared" si="32"/>
        <v>0</v>
      </c>
      <c r="Z156" s="295">
        <f t="shared" si="32"/>
        <v>0</v>
      </c>
      <c r="AA156" s="295">
        <f t="shared" si="32"/>
        <v>0</v>
      </c>
      <c r="AB156" s="295">
        <f t="shared" si="32"/>
        <v>0</v>
      </c>
      <c r="AC156" s="295">
        <f t="shared" si="32"/>
        <v>0</v>
      </c>
      <c r="AD156" s="295">
        <f t="shared" si="32"/>
        <v>0</v>
      </c>
      <c r="AE156" s="296">
        <f t="shared" si="32"/>
        <v>0</v>
      </c>
    </row>
    <row r="157" spans="1:31">
      <c r="A157" s="1711"/>
      <c r="B157" s="116">
        <v>14</v>
      </c>
      <c r="C157" s="294">
        <f t="shared" si="29"/>
        <v>2</v>
      </c>
      <c r="D157" s="295">
        <f t="shared" si="31"/>
        <v>0.49922175754183179</v>
      </c>
      <c r="E157" s="295">
        <f t="shared" si="32"/>
        <v>0.57899384865802594</v>
      </c>
      <c r="F157" s="295">
        <f t="shared" si="32"/>
        <v>0.57616599985902361</v>
      </c>
      <c r="G157" s="295">
        <f t="shared" si="32"/>
        <v>0.57700789743010994</v>
      </c>
      <c r="H157" s="295">
        <f t="shared" si="32"/>
        <v>0.47635634173202301</v>
      </c>
      <c r="I157" s="295">
        <f t="shared" si="32"/>
        <v>0.53071612317951311</v>
      </c>
      <c r="J157" s="295">
        <f t="shared" si="32"/>
        <v>1.0027772173160856</v>
      </c>
      <c r="K157" s="295">
        <f t="shared" si="32"/>
        <v>1.488770733154156</v>
      </c>
      <c r="L157" s="295">
        <f t="shared" si="32"/>
        <v>1.488770733154156</v>
      </c>
      <c r="M157" s="295">
        <f t="shared" si="32"/>
        <v>2.1835304086260954</v>
      </c>
      <c r="N157" s="295">
        <f t="shared" si="32"/>
        <v>1.1910165865233242</v>
      </c>
      <c r="O157" s="295">
        <f t="shared" si="32"/>
        <v>0.79401105768221647</v>
      </c>
      <c r="P157" s="295">
        <f t="shared" si="32"/>
        <v>0.19850276442055412</v>
      </c>
      <c r="Q157" s="295">
        <f t="shared" si="32"/>
        <v>0.39675555579613569</v>
      </c>
      <c r="R157" s="295">
        <f t="shared" si="32"/>
        <v>0</v>
      </c>
      <c r="S157" s="295">
        <f t="shared" si="32"/>
        <v>0</v>
      </c>
      <c r="T157" s="295">
        <f t="shared" si="32"/>
        <v>0</v>
      </c>
      <c r="U157" s="295">
        <f t="shared" si="32"/>
        <v>0</v>
      </c>
      <c r="V157" s="295">
        <f t="shared" si="32"/>
        <v>0</v>
      </c>
      <c r="W157" s="295">
        <f t="shared" si="32"/>
        <v>0</v>
      </c>
      <c r="X157" s="295">
        <f t="shared" si="32"/>
        <v>0</v>
      </c>
      <c r="Y157" s="295">
        <f t="shared" si="32"/>
        <v>0</v>
      </c>
      <c r="Z157" s="295">
        <f t="shared" si="32"/>
        <v>0</v>
      </c>
      <c r="AA157" s="295">
        <f t="shared" si="32"/>
        <v>0</v>
      </c>
      <c r="AB157" s="295">
        <f t="shared" si="32"/>
        <v>0</v>
      </c>
      <c r="AC157" s="295">
        <f t="shared" si="32"/>
        <v>0</v>
      </c>
      <c r="AD157" s="295">
        <f t="shared" si="32"/>
        <v>0</v>
      </c>
      <c r="AE157" s="296">
        <f t="shared" si="32"/>
        <v>0</v>
      </c>
    </row>
    <row r="158" spans="1:31">
      <c r="A158" s="1711"/>
      <c r="B158" s="116">
        <v>15</v>
      </c>
      <c r="C158" s="294">
        <f t="shared" si="29"/>
        <v>2</v>
      </c>
      <c r="D158" s="295">
        <f t="shared" si="31"/>
        <v>0.83348838073786113</v>
      </c>
      <c r="E158" s="295">
        <f t="shared" si="32"/>
        <v>0.20804776716132525</v>
      </c>
      <c r="F158" s="295">
        <f t="shared" si="32"/>
        <v>0.24129232268758014</v>
      </c>
      <c r="G158" s="295">
        <f t="shared" si="32"/>
        <v>0.24011383312935417</v>
      </c>
      <c r="H158" s="295">
        <f t="shared" si="32"/>
        <v>0.24046468905099011</v>
      </c>
      <c r="I158" s="295">
        <f t="shared" si="32"/>
        <v>0.19851873796221756</v>
      </c>
      <c r="J158" s="295">
        <f t="shared" si="32"/>
        <v>0.22117286107018383</v>
      </c>
      <c r="K158" s="295">
        <f t="shared" si="32"/>
        <v>0.41790157955080126</v>
      </c>
      <c r="L158" s="295">
        <f t="shared" si="32"/>
        <v>0.62043655383328788</v>
      </c>
      <c r="M158" s="295">
        <f t="shared" si="32"/>
        <v>0.62043655383328788</v>
      </c>
      <c r="N158" s="295">
        <f t="shared" si="32"/>
        <v>0.90997361228882223</v>
      </c>
      <c r="O158" s="295">
        <f t="shared" si="32"/>
        <v>0.49634924306663009</v>
      </c>
      <c r="P158" s="295">
        <f t="shared" si="32"/>
        <v>0.33089949537775354</v>
      </c>
      <c r="Q158" s="295">
        <f t="shared" si="32"/>
        <v>8.2724873844438385E-2</v>
      </c>
      <c r="R158" s="295">
        <f t="shared" si="32"/>
        <v>0.16534557287463564</v>
      </c>
      <c r="S158" s="295">
        <f t="shared" si="32"/>
        <v>0</v>
      </c>
      <c r="T158" s="295">
        <f t="shared" si="32"/>
        <v>0</v>
      </c>
      <c r="U158" s="295">
        <f t="shared" si="32"/>
        <v>0</v>
      </c>
      <c r="V158" s="295">
        <f t="shared" si="32"/>
        <v>0</v>
      </c>
      <c r="W158" s="295">
        <f t="shared" si="32"/>
        <v>0</v>
      </c>
      <c r="X158" s="295">
        <f t="shared" si="32"/>
        <v>0</v>
      </c>
      <c r="Y158" s="295">
        <f t="shared" si="32"/>
        <v>0</v>
      </c>
      <c r="Z158" s="295">
        <f t="shared" si="32"/>
        <v>0</v>
      </c>
      <c r="AA158" s="295">
        <f t="shared" si="32"/>
        <v>0</v>
      </c>
      <c r="AB158" s="295">
        <f t="shared" si="32"/>
        <v>0</v>
      </c>
      <c r="AC158" s="295">
        <f t="shared" si="32"/>
        <v>0</v>
      </c>
      <c r="AD158" s="295">
        <f t="shared" si="32"/>
        <v>0</v>
      </c>
      <c r="AE158" s="296">
        <f t="shared" si="32"/>
        <v>0</v>
      </c>
    </row>
    <row r="159" spans="1:31">
      <c r="A159" s="1711"/>
      <c r="B159" s="116">
        <v>16</v>
      </c>
      <c r="C159" s="294">
        <f t="shared" si="29"/>
        <v>0</v>
      </c>
      <c r="D159" s="295">
        <f t="shared" si="31"/>
        <v>0.75013954266407501</v>
      </c>
      <c r="E159" s="295">
        <f t="shared" si="32"/>
        <v>0.31261629637125982</v>
      </c>
      <c r="F159" s="295">
        <f t="shared" si="32"/>
        <v>7.8032428455339239E-2</v>
      </c>
      <c r="G159" s="295">
        <f t="shared" si="32"/>
        <v>9.0501456294606888E-2</v>
      </c>
      <c r="H159" s="295">
        <f t="shared" si="32"/>
        <v>9.0059440485485878E-2</v>
      </c>
      <c r="I159" s="295">
        <f t="shared" si="32"/>
        <v>9.0191035935784369E-2</v>
      </c>
      <c r="J159" s="295">
        <f t="shared" si="32"/>
        <v>7.4458377652613608E-2</v>
      </c>
      <c r="K159" s="295">
        <f t="shared" si="32"/>
        <v>8.2955254426446343E-2</v>
      </c>
      <c r="L159" s="295">
        <f t="shared" si="32"/>
        <v>0.1567422498814163</v>
      </c>
      <c r="M159" s="295">
        <f t="shared" si="32"/>
        <v>0.23270699637228867</v>
      </c>
      <c r="N159" s="295">
        <f t="shared" si="32"/>
        <v>0.23270699637228867</v>
      </c>
      <c r="O159" s="295">
        <f t="shared" si="32"/>
        <v>0.34130359467935673</v>
      </c>
      <c r="P159" s="295">
        <f t="shared" si="32"/>
        <v>0.18616559709783084</v>
      </c>
      <c r="Q159" s="295">
        <f t="shared" si="32"/>
        <v>0.12411039806522062</v>
      </c>
      <c r="R159" s="295">
        <f t="shared" si="32"/>
        <v>3.1027599516305154E-2</v>
      </c>
      <c r="S159" s="295">
        <f t="shared" si="32"/>
        <v>6.2016126208854334E-2</v>
      </c>
      <c r="T159" s="295">
        <f t="shared" si="32"/>
        <v>0</v>
      </c>
      <c r="U159" s="295">
        <f t="shared" si="32"/>
        <v>0</v>
      </c>
      <c r="V159" s="295">
        <f t="shared" si="32"/>
        <v>0</v>
      </c>
      <c r="W159" s="295">
        <f t="shared" si="32"/>
        <v>0</v>
      </c>
      <c r="X159" s="295">
        <f t="shared" si="32"/>
        <v>0</v>
      </c>
      <c r="Y159" s="295">
        <f t="shared" si="32"/>
        <v>0</v>
      </c>
      <c r="Z159" s="295">
        <f t="shared" si="32"/>
        <v>0</v>
      </c>
      <c r="AA159" s="295">
        <f t="shared" si="32"/>
        <v>0</v>
      </c>
      <c r="AB159" s="295">
        <f t="shared" si="32"/>
        <v>0</v>
      </c>
      <c r="AC159" s="295">
        <f t="shared" si="32"/>
        <v>0</v>
      </c>
      <c r="AD159" s="295">
        <f t="shared" si="32"/>
        <v>0</v>
      </c>
      <c r="AE159" s="296">
        <f t="shared" si="32"/>
        <v>0</v>
      </c>
    </row>
    <row r="160" spans="1:31">
      <c r="A160" s="1711"/>
      <c r="B160" s="116">
        <v>17</v>
      </c>
      <c r="C160" s="294">
        <f t="shared" si="29"/>
        <v>0</v>
      </c>
      <c r="D160" s="295">
        <f t="shared" si="31"/>
        <v>0</v>
      </c>
      <c r="E160" s="295">
        <f t="shared" si="32"/>
        <v>0.25009303709700781</v>
      </c>
      <c r="F160" s="295">
        <f t="shared" si="32"/>
        <v>0.10422482026189946</v>
      </c>
      <c r="G160" s="295">
        <f t="shared" si="32"/>
        <v>2.6015648975313478E-2</v>
      </c>
      <c r="H160" s="295">
        <f t="shared" si="32"/>
        <v>3.0172764904564081E-2</v>
      </c>
      <c r="I160" s="295">
        <f t="shared" si="32"/>
        <v>3.002539888816216E-2</v>
      </c>
      <c r="J160" s="295">
        <f t="shared" si="32"/>
        <v>3.0069272199674861E-2</v>
      </c>
      <c r="K160" s="295">
        <f t="shared" si="32"/>
        <v>2.4824077048818022E-2</v>
      </c>
      <c r="L160" s="295">
        <f t="shared" si="32"/>
        <v>2.765689627423842E-2</v>
      </c>
      <c r="M160" s="295">
        <f t="shared" si="32"/>
        <v>5.2257137618748353E-2</v>
      </c>
      <c r="N160" s="295">
        <f t="shared" si="32"/>
        <v>7.758343103708408E-2</v>
      </c>
      <c r="O160" s="295">
        <f t="shared" si="32"/>
        <v>7.758343103708408E-2</v>
      </c>
      <c r="P160" s="295">
        <f t="shared" si="32"/>
        <v>0.11378903218772332</v>
      </c>
      <c r="Q160" s="295">
        <f t="shared" si="32"/>
        <v>6.2066744829667231E-2</v>
      </c>
      <c r="R160" s="295">
        <f t="shared" si="32"/>
        <v>4.1377829886444839E-2</v>
      </c>
      <c r="S160" s="295">
        <f t="shared" si="32"/>
        <v>1.034445747161121E-2</v>
      </c>
      <c r="T160" s="295">
        <f t="shared" si="32"/>
        <v>2.0675888245381132E-2</v>
      </c>
      <c r="U160" s="295">
        <f t="shared" si="32"/>
        <v>0</v>
      </c>
      <c r="V160" s="295">
        <f t="shared" si="32"/>
        <v>0</v>
      </c>
      <c r="W160" s="295">
        <f t="shared" si="32"/>
        <v>0</v>
      </c>
      <c r="X160" s="295">
        <f t="shared" si="32"/>
        <v>0</v>
      </c>
      <c r="Y160" s="295">
        <f t="shared" si="32"/>
        <v>0</v>
      </c>
      <c r="Z160" s="295">
        <f t="shared" si="32"/>
        <v>0</v>
      </c>
      <c r="AA160" s="295">
        <f t="shared" si="32"/>
        <v>0</v>
      </c>
      <c r="AB160" s="295">
        <f t="shared" si="32"/>
        <v>0</v>
      </c>
      <c r="AC160" s="295">
        <f t="shared" si="32"/>
        <v>0</v>
      </c>
      <c r="AD160" s="295">
        <f t="shared" si="32"/>
        <v>0</v>
      </c>
      <c r="AE160" s="296">
        <f t="shared" si="32"/>
        <v>0</v>
      </c>
    </row>
    <row r="161" spans="1:31">
      <c r="A161" s="1711"/>
      <c r="B161" s="116">
        <v>18</v>
      </c>
      <c r="C161" s="294">
        <f t="shared" si="29"/>
        <v>1</v>
      </c>
      <c r="D161" s="295">
        <f t="shared" ref="D161:S168" si="33">C160*$F46</f>
        <v>0</v>
      </c>
      <c r="E161" s="295">
        <f t="shared" si="32"/>
        <v>0</v>
      </c>
      <c r="F161" s="295">
        <f t="shared" si="32"/>
        <v>7.2957374183329607E-2</v>
      </c>
      <c r="G161" s="295">
        <f t="shared" si="32"/>
        <v>3.0404561835474818E-2</v>
      </c>
      <c r="H161" s="295">
        <f t="shared" si="32"/>
        <v>7.5893093983975188E-3</v>
      </c>
      <c r="I161" s="295">
        <f t="shared" si="32"/>
        <v>8.8020271369412487E-3</v>
      </c>
      <c r="J161" s="295">
        <f t="shared" si="32"/>
        <v>8.7590373851059288E-3</v>
      </c>
      <c r="K161" s="295">
        <f t="shared" si="32"/>
        <v>8.7718361484855432E-3</v>
      </c>
      <c r="L161" s="295">
        <f t="shared" si="32"/>
        <v>7.2417029239559326E-3</v>
      </c>
      <c r="M161" s="295">
        <f t="shared" si="32"/>
        <v>8.0680955921474881E-3</v>
      </c>
      <c r="N161" s="295">
        <f t="shared" si="32"/>
        <v>1.5244500955546145E-2</v>
      </c>
      <c r="O161" s="295">
        <f t="shared" si="32"/>
        <v>2.2632710907515355E-2</v>
      </c>
      <c r="P161" s="295">
        <f t="shared" si="32"/>
        <v>2.2632710907515355E-2</v>
      </c>
      <c r="Q161" s="295">
        <f t="shared" si="32"/>
        <v>3.3194642664355851E-2</v>
      </c>
      <c r="R161" s="295">
        <f t="shared" si="32"/>
        <v>1.8106168726012273E-2</v>
      </c>
      <c r="S161" s="295">
        <f t="shared" si="32"/>
        <v>1.2070779150674855E-2</v>
      </c>
      <c r="T161" s="295">
        <f t="shared" si="32"/>
        <v>3.0176947876687137E-3</v>
      </c>
      <c r="U161" s="295">
        <f t="shared" si="32"/>
        <v>6.0315894148858934E-3</v>
      </c>
      <c r="V161" s="295">
        <f t="shared" si="32"/>
        <v>0</v>
      </c>
      <c r="W161" s="295">
        <f t="shared" si="32"/>
        <v>0</v>
      </c>
      <c r="X161" s="295">
        <f t="shared" si="32"/>
        <v>0</v>
      </c>
      <c r="Y161" s="295">
        <f t="shared" si="32"/>
        <v>0</v>
      </c>
      <c r="Z161" s="295">
        <f t="shared" si="32"/>
        <v>0</v>
      </c>
      <c r="AA161" s="295">
        <f t="shared" si="32"/>
        <v>0</v>
      </c>
      <c r="AB161" s="295">
        <f t="shared" si="32"/>
        <v>0</v>
      </c>
      <c r="AC161" s="295">
        <f t="shared" si="32"/>
        <v>0</v>
      </c>
      <c r="AD161" s="295">
        <f t="shared" si="32"/>
        <v>0</v>
      </c>
      <c r="AE161" s="296">
        <f t="shared" si="32"/>
        <v>0</v>
      </c>
    </row>
    <row r="162" spans="1:31">
      <c r="A162" s="1711"/>
      <c r="B162" s="116">
        <v>19</v>
      </c>
      <c r="C162" s="294">
        <f t="shared" ref="C162:C168" si="34">(EXP(18-B162)*$N$47/(EXP(-1)+EXP(-2)+EXP(-3)+EXP(-4)+EXP(-5)+EXP(-6)+EXP(-7)+EXP(-8)+EXP(-9)+EXP(-10)))</f>
        <v>0</v>
      </c>
      <c r="D162" s="295">
        <f t="shared" si="33"/>
        <v>0.25004651422135832</v>
      </c>
      <c r="E162" s="295">
        <f t="shared" si="32"/>
        <v>0</v>
      </c>
      <c r="F162" s="295">
        <f t="shared" si="32"/>
        <v>0</v>
      </c>
      <c r="G162" s="295">
        <f t="shared" si="32"/>
        <v>1.8242737101284885E-2</v>
      </c>
      <c r="H162" s="295">
        <f t="shared" si="32"/>
        <v>7.6025547033882227E-3</v>
      </c>
      <c r="I162" s="295">
        <f t="shared" si="32"/>
        <v>1.8976803604166936E-3</v>
      </c>
      <c r="J162" s="295">
        <f t="shared" si="32"/>
        <v>2.2009162036739616E-3</v>
      </c>
      <c r="K162" s="295">
        <f t="shared" si="32"/>
        <v>2.1901667660802989E-3</v>
      </c>
      <c r="L162" s="295">
        <f t="shared" si="32"/>
        <v>2.1933670522497153E-3</v>
      </c>
      <c r="M162" s="295">
        <f t="shared" si="32"/>
        <v>1.8107625731617993E-3</v>
      </c>
      <c r="N162" s="295">
        <f t="shared" si="32"/>
        <v>2.0173991792211852E-3</v>
      </c>
      <c r="O162" s="295">
        <f t="shared" si="32"/>
        <v>3.8118343249784795E-3</v>
      </c>
      <c r="P162" s="295">
        <f t="shared" si="32"/>
        <v>5.6592304698039296E-3</v>
      </c>
      <c r="Q162" s="295">
        <f t="shared" si="32"/>
        <v>5.6592304698039296E-3</v>
      </c>
      <c r="R162" s="295">
        <f t="shared" si="32"/>
        <v>8.3002046890457634E-3</v>
      </c>
      <c r="S162" s="295">
        <f t="shared" si="32"/>
        <v>4.5273843758431411E-3</v>
      </c>
      <c r="T162" s="295">
        <f t="shared" si="32"/>
        <v>3.0182562505620954E-3</v>
      </c>
      <c r="U162" s="295">
        <f t="shared" si="32"/>
        <v>7.5456406264052384E-4</v>
      </c>
      <c r="V162" s="295">
        <f t="shared" si="32"/>
        <v>1.5081779084066599E-3</v>
      </c>
      <c r="W162" s="295">
        <f t="shared" si="32"/>
        <v>0</v>
      </c>
      <c r="X162" s="295">
        <f t="shared" si="32"/>
        <v>0</v>
      </c>
      <c r="Y162" s="295">
        <f t="shared" si="32"/>
        <v>0</v>
      </c>
      <c r="Z162" s="295">
        <f t="shared" si="32"/>
        <v>0</v>
      </c>
      <c r="AA162" s="295">
        <f t="shared" si="32"/>
        <v>0</v>
      </c>
      <c r="AB162" s="295">
        <f t="shared" si="32"/>
        <v>0</v>
      </c>
      <c r="AC162" s="295">
        <f t="shared" si="32"/>
        <v>0</v>
      </c>
      <c r="AD162" s="295">
        <f t="shared" si="32"/>
        <v>0</v>
      </c>
      <c r="AE162" s="296">
        <f t="shared" si="32"/>
        <v>0</v>
      </c>
    </row>
    <row r="163" spans="1:31">
      <c r="A163" s="1711"/>
      <c r="B163" s="116">
        <v>20</v>
      </c>
      <c r="C163" s="294">
        <f t="shared" si="34"/>
        <v>0</v>
      </c>
      <c r="D163" s="295">
        <f t="shared" si="33"/>
        <v>0</v>
      </c>
      <c r="E163" s="295">
        <f t="shared" si="32"/>
        <v>5.2102716061876622E-2</v>
      </c>
      <c r="F163" s="295">
        <f t="shared" si="32"/>
        <v>0</v>
      </c>
      <c r="G163" s="295">
        <f t="shared" si="32"/>
        <v>0</v>
      </c>
      <c r="H163" s="295">
        <f t="shared" si="32"/>
        <v>3.8012773516941101E-3</v>
      </c>
      <c r="I163" s="295">
        <f t="shared" si="32"/>
        <v>1.5841602522995149E-3</v>
      </c>
      <c r="J163" s="295">
        <f t="shared" si="32"/>
        <v>3.9542363269043758E-4</v>
      </c>
      <c r="K163" s="295">
        <f t="shared" si="32"/>
        <v>4.5860952068498266E-4</v>
      </c>
      <c r="L163" s="295">
        <f t="shared" si="32"/>
        <v>4.5636963785153649E-4</v>
      </c>
      <c r="M163" s="295">
        <f t="shared" si="32"/>
        <v>4.5703648818584767E-4</v>
      </c>
      <c r="N163" s="295">
        <f t="shared" si="32"/>
        <v>3.7731239125133768E-4</v>
      </c>
      <c r="O163" s="295">
        <f t="shared" si="32"/>
        <v>4.203696937977389E-4</v>
      </c>
      <c r="P163" s="295">
        <f t="shared" si="32"/>
        <v>7.9427990479182756E-4</v>
      </c>
      <c r="Q163" s="295">
        <f t="shared" si="32"/>
        <v>1.1792257101248104E-3</v>
      </c>
      <c r="R163" s="295">
        <f t="shared" si="32"/>
        <v>1.1792257101248104E-3</v>
      </c>
      <c r="S163" s="295">
        <f t="shared" si="32"/>
        <v>1.7295310415163887E-3</v>
      </c>
      <c r="T163" s="295">
        <f t="shared" si="32"/>
        <v>9.4338056809984783E-4</v>
      </c>
      <c r="U163" s="295">
        <f t="shared" si="32"/>
        <v>6.289203787332321E-4</v>
      </c>
      <c r="V163" s="295">
        <f t="shared" si="32"/>
        <v>1.5723009468330803E-4</v>
      </c>
      <c r="W163" s="295">
        <f t="shared" si="32"/>
        <v>3.1426219068562023E-4</v>
      </c>
      <c r="X163" s="295">
        <f t="shared" si="32"/>
        <v>0</v>
      </c>
      <c r="Y163" s="295">
        <f t="shared" si="32"/>
        <v>0</v>
      </c>
      <c r="Z163" s="295">
        <f t="shared" si="32"/>
        <v>0</v>
      </c>
      <c r="AA163" s="295">
        <f t="shared" si="32"/>
        <v>0</v>
      </c>
      <c r="AB163" s="295">
        <f t="shared" si="32"/>
        <v>0</v>
      </c>
      <c r="AC163" s="295">
        <f t="shared" si="32"/>
        <v>0</v>
      </c>
      <c r="AD163" s="295">
        <f t="shared" si="32"/>
        <v>0</v>
      </c>
      <c r="AE163" s="296">
        <f t="shared" si="32"/>
        <v>0</v>
      </c>
    </row>
    <row r="164" spans="1:31">
      <c r="A164" s="1711"/>
      <c r="B164" s="116">
        <v>21</v>
      </c>
      <c r="C164" s="294">
        <f t="shared" si="34"/>
        <v>0</v>
      </c>
      <c r="D164" s="295">
        <f t="shared" si="33"/>
        <v>0</v>
      </c>
      <c r="E164" s="295">
        <f t="shared" si="33"/>
        <v>0</v>
      </c>
      <c r="F164" s="295">
        <f t="shared" si="33"/>
        <v>8.6854016884916167E-3</v>
      </c>
      <c r="G164" s="295">
        <f t="shared" si="33"/>
        <v>0</v>
      </c>
      <c r="H164" s="295">
        <f t="shared" si="33"/>
        <v>0</v>
      </c>
      <c r="I164" s="295">
        <f t="shared" si="33"/>
        <v>6.3366410091980564E-4</v>
      </c>
      <c r="J164" s="295">
        <f t="shared" si="33"/>
        <v>2.6407583270368081E-4</v>
      </c>
      <c r="K164" s="295">
        <f t="shared" si="33"/>
        <v>6.5916200663327111E-5</v>
      </c>
      <c r="L164" s="295">
        <f t="shared" si="33"/>
        <v>7.6449141357338554E-5</v>
      </c>
      <c r="M164" s="295">
        <f t="shared" si="33"/>
        <v>7.6075758094160234E-5</v>
      </c>
      <c r="N164" s="295">
        <f t="shared" si="33"/>
        <v>7.6186920495228142E-5</v>
      </c>
      <c r="O164" s="295">
        <f t="shared" si="33"/>
        <v>6.2897098803281547E-5</v>
      </c>
      <c r="P164" s="295">
        <f t="shared" si="33"/>
        <v>7.0074651078949564E-5</v>
      </c>
      <c r="Q164" s="295">
        <f t="shared" si="33"/>
        <v>1.3240461433951256E-4</v>
      </c>
      <c r="R164" s="295">
        <f t="shared" si="33"/>
        <v>1.9657418553127649E-4</v>
      </c>
      <c r="S164" s="295">
        <f t="shared" si="33"/>
        <v>1.9657418553127649E-4</v>
      </c>
      <c r="T164" s="295">
        <f t="shared" ref="E164:AE168" si="35">S163*$F49</f>
        <v>2.8830880544587219E-4</v>
      </c>
      <c r="U164" s="295">
        <f t="shared" si="35"/>
        <v>1.572593484250211E-4</v>
      </c>
      <c r="V164" s="295">
        <f t="shared" si="35"/>
        <v>1.0483956561668077E-4</v>
      </c>
      <c r="W164" s="295">
        <f t="shared" si="35"/>
        <v>2.6209891404170194E-5</v>
      </c>
      <c r="X164" s="295">
        <f t="shared" si="35"/>
        <v>5.2386776888338101E-5</v>
      </c>
      <c r="Y164" s="295">
        <f t="shared" si="35"/>
        <v>0</v>
      </c>
      <c r="Z164" s="295">
        <f t="shared" si="35"/>
        <v>0</v>
      </c>
      <c r="AA164" s="295">
        <f t="shared" si="35"/>
        <v>0</v>
      </c>
      <c r="AB164" s="295">
        <f t="shared" si="35"/>
        <v>0</v>
      </c>
      <c r="AC164" s="295">
        <f t="shared" si="35"/>
        <v>0</v>
      </c>
      <c r="AD164" s="295">
        <f t="shared" si="35"/>
        <v>0</v>
      </c>
      <c r="AE164" s="296">
        <f t="shared" si="35"/>
        <v>0</v>
      </c>
    </row>
    <row r="165" spans="1:31">
      <c r="A165" s="1711"/>
      <c r="B165" s="116">
        <v>22</v>
      </c>
      <c r="C165" s="294">
        <f t="shared" si="34"/>
        <v>0</v>
      </c>
      <c r="D165" s="295">
        <f t="shared" si="33"/>
        <v>0</v>
      </c>
      <c r="E165" s="295">
        <f t="shared" si="35"/>
        <v>0</v>
      </c>
      <c r="F165" s="295">
        <f t="shared" si="35"/>
        <v>0</v>
      </c>
      <c r="G165" s="295">
        <f t="shared" si="35"/>
        <v>1.085877208409814E-3</v>
      </c>
      <c r="H165" s="295">
        <f t="shared" si="35"/>
        <v>0</v>
      </c>
      <c r="I165" s="295">
        <f t="shared" si="35"/>
        <v>0</v>
      </c>
      <c r="J165" s="295">
        <f t="shared" si="35"/>
        <v>7.9222749811104192E-5</v>
      </c>
      <c r="K165" s="295">
        <f t="shared" si="35"/>
        <v>3.3015620728828975E-5</v>
      </c>
      <c r="L165" s="295">
        <f t="shared" si="35"/>
        <v>8.2410581032902637E-6</v>
      </c>
      <c r="M165" s="295">
        <f t="shared" si="35"/>
        <v>9.5579206558091914E-6</v>
      </c>
      <c r="N165" s="295">
        <f t="shared" si="35"/>
        <v>9.5112390640960247E-6</v>
      </c>
      <c r="O165" s="295">
        <f t="shared" si="35"/>
        <v>9.525136949545777E-6</v>
      </c>
      <c r="P165" s="295">
        <f t="shared" si="35"/>
        <v>7.8636001551984575E-6</v>
      </c>
      <c r="Q165" s="295">
        <f t="shared" si="35"/>
        <v>8.7609611187846408E-6</v>
      </c>
      <c r="R165" s="295">
        <f t="shared" si="35"/>
        <v>1.6553656141209191E-5</v>
      </c>
      <c r="S165" s="295">
        <f t="shared" si="35"/>
        <v>2.4576344938999123E-5</v>
      </c>
      <c r="T165" s="295">
        <f t="shared" si="35"/>
        <v>2.4576344938999123E-5</v>
      </c>
      <c r="U165" s="295">
        <f t="shared" si="35"/>
        <v>3.6045305910532045E-5</v>
      </c>
      <c r="V165" s="295">
        <f t="shared" si="35"/>
        <v>1.9661075951199286E-5</v>
      </c>
      <c r="W165" s="295">
        <f t="shared" si="35"/>
        <v>1.3107383967466197E-5</v>
      </c>
      <c r="X165" s="295">
        <f t="shared" si="35"/>
        <v>3.2768459918665492E-6</v>
      </c>
      <c r="Y165" s="295">
        <f t="shared" si="35"/>
        <v>6.5495654761104773E-6</v>
      </c>
      <c r="Z165" s="295">
        <f t="shared" si="35"/>
        <v>0</v>
      </c>
      <c r="AA165" s="295">
        <f t="shared" si="35"/>
        <v>0</v>
      </c>
      <c r="AB165" s="295">
        <f t="shared" si="35"/>
        <v>0</v>
      </c>
      <c r="AC165" s="295">
        <f t="shared" si="35"/>
        <v>0</v>
      </c>
      <c r="AD165" s="295">
        <f t="shared" si="35"/>
        <v>0</v>
      </c>
      <c r="AE165" s="296">
        <f t="shared" si="35"/>
        <v>0</v>
      </c>
    </row>
    <row r="166" spans="1:31">
      <c r="A166" s="1711"/>
      <c r="B166" s="116">
        <v>23</v>
      </c>
      <c r="C166" s="294">
        <f t="shared" si="34"/>
        <v>0</v>
      </c>
      <c r="D166" s="295">
        <f t="shared" si="33"/>
        <v>0</v>
      </c>
      <c r="E166" s="295">
        <f t="shared" si="35"/>
        <v>0</v>
      </c>
      <c r="F166" s="295">
        <f t="shared" si="35"/>
        <v>0</v>
      </c>
      <c r="G166" s="295">
        <f t="shared" si="35"/>
        <v>0</v>
      </c>
      <c r="H166" s="295">
        <f t="shared" si="35"/>
        <v>9.050660361176443E-5</v>
      </c>
      <c r="I166" s="295">
        <f t="shared" si="35"/>
        <v>0</v>
      </c>
      <c r="J166" s="295">
        <f t="shared" si="35"/>
        <v>0</v>
      </c>
      <c r="K166" s="295">
        <f t="shared" si="35"/>
        <v>6.6031241457657891E-6</v>
      </c>
      <c r="L166" s="295">
        <f t="shared" si="35"/>
        <v>2.7518136260327011E-6</v>
      </c>
      <c r="M166" s="295">
        <f t="shared" si="35"/>
        <v>6.8688261740780273E-7</v>
      </c>
      <c r="N166" s="295">
        <f t="shared" si="35"/>
        <v>7.9664158106313549E-7</v>
      </c>
      <c r="O166" s="295">
        <f t="shared" si="35"/>
        <v>7.9275072463440812E-7</v>
      </c>
      <c r="P166" s="295">
        <f t="shared" si="35"/>
        <v>7.9390909723832754E-7</v>
      </c>
      <c r="Q166" s="295">
        <f t="shared" si="35"/>
        <v>6.5542193601263525E-7</v>
      </c>
      <c r="R166" s="295">
        <f t="shared" si="35"/>
        <v>7.302159296603167E-7</v>
      </c>
      <c r="S166" s="295">
        <f t="shared" si="35"/>
        <v>1.3797280052427793E-6</v>
      </c>
      <c r="T166" s="295">
        <f t="shared" si="35"/>
        <v>2.0484097947661497E-6</v>
      </c>
      <c r="U166" s="295">
        <f t="shared" si="35"/>
        <v>2.0484097947661497E-6</v>
      </c>
      <c r="V166" s="295">
        <f t="shared" si="35"/>
        <v>3.0043343656570195E-6</v>
      </c>
      <c r="W166" s="295">
        <f t="shared" si="35"/>
        <v>1.6387278358129186E-6</v>
      </c>
      <c r="X166" s="295">
        <f t="shared" si="35"/>
        <v>1.0924852238752796E-6</v>
      </c>
      <c r="Y166" s="295">
        <f t="shared" si="35"/>
        <v>2.731213059688199E-7</v>
      </c>
      <c r="Z166" s="295">
        <f t="shared" si="35"/>
        <v>5.4589867232199172E-7</v>
      </c>
      <c r="AA166" s="295">
        <f t="shared" si="35"/>
        <v>0</v>
      </c>
      <c r="AB166" s="295">
        <f t="shared" si="35"/>
        <v>0</v>
      </c>
      <c r="AC166" s="295">
        <f t="shared" si="35"/>
        <v>0</v>
      </c>
      <c r="AD166" s="295">
        <f t="shared" si="35"/>
        <v>0</v>
      </c>
      <c r="AE166" s="296">
        <f t="shared" si="35"/>
        <v>0</v>
      </c>
    </row>
    <row r="167" spans="1:31">
      <c r="A167" s="1711"/>
      <c r="B167" s="116">
        <v>24</v>
      </c>
      <c r="C167" s="294">
        <f t="shared" si="34"/>
        <v>0</v>
      </c>
      <c r="D167" s="295">
        <f t="shared" si="33"/>
        <v>0</v>
      </c>
      <c r="E167" s="295">
        <f t="shared" si="35"/>
        <v>0</v>
      </c>
      <c r="F167" s="295">
        <f t="shared" si="35"/>
        <v>0</v>
      </c>
      <c r="G167" s="295">
        <f t="shared" si="35"/>
        <v>0</v>
      </c>
      <c r="H167" s="295">
        <f t="shared" si="35"/>
        <v>0</v>
      </c>
      <c r="I167" s="295">
        <f t="shared" si="35"/>
        <v>3.7718101245226455E-6</v>
      </c>
      <c r="J167" s="295">
        <f t="shared" si="35"/>
        <v>0</v>
      </c>
      <c r="K167" s="295">
        <f t="shared" si="35"/>
        <v>0</v>
      </c>
      <c r="L167" s="295">
        <f t="shared" si="35"/>
        <v>2.751813626032697E-7</v>
      </c>
      <c r="M167" s="295">
        <f t="shared" si="35"/>
        <v>1.1468023416271879E-7</v>
      </c>
      <c r="N167" s="295">
        <f t="shared" si="35"/>
        <v>2.8625434027010636E-8</v>
      </c>
      <c r="O167" s="295">
        <f t="shared" si="35"/>
        <v>3.3199575071438083E-8</v>
      </c>
      <c r="P167" s="295">
        <f t="shared" si="35"/>
        <v>3.3037425890214912E-8</v>
      </c>
      <c r="Q167" s="295">
        <f t="shared" si="35"/>
        <v>3.3085700395511506E-8</v>
      </c>
      <c r="R167" s="295">
        <f t="shared" si="35"/>
        <v>2.7314328407362243E-8</v>
      </c>
      <c r="S167" s="295">
        <f t="shared" si="35"/>
        <v>3.0431324640078433E-8</v>
      </c>
      <c r="T167" s="295">
        <f t="shared" si="35"/>
        <v>5.7499363047424102E-8</v>
      </c>
      <c r="U167" s="295">
        <f t="shared" si="35"/>
        <v>8.5366288146360541E-8</v>
      </c>
      <c r="V167" s="295">
        <f t="shared" si="35"/>
        <v>8.5366288146360541E-8</v>
      </c>
      <c r="W167" s="295">
        <f t="shared" si="35"/>
        <v>1.2520388928132879E-7</v>
      </c>
      <c r="X167" s="295">
        <f t="shared" si="35"/>
        <v>6.829303051708838E-8</v>
      </c>
      <c r="Y167" s="295">
        <f t="shared" si="35"/>
        <v>4.5528687011392275E-8</v>
      </c>
      <c r="Z167" s="295">
        <f t="shared" si="35"/>
        <v>1.1382171752848069E-8</v>
      </c>
      <c r="AA167" s="295">
        <f t="shared" si="35"/>
        <v>2.2750010022030234E-8</v>
      </c>
      <c r="AB167" s="295">
        <f t="shared" si="35"/>
        <v>0</v>
      </c>
      <c r="AC167" s="295">
        <f t="shared" si="35"/>
        <v>0</v>
      </c>
      <c r="AD167" s="295">
        <f t="shared" si="35"/>
        <v>0</v>
      </c>
      <c r="AE167" s="296">
        <f t="shared" si="35"/>
        <v>0</v>
      </c>
    </row>
    <row r="168" spans="1:31" ht="15.75" thickBot="1">
      <c r="A168" s="1711"/>
      <c r="B168" s="116">
        <v>25</v>
      </c>
      <c r="C168" s="297">
        <f t="shared" si="34"/>
        <v>0</v>
      </c>
      <c r="D168" s="298">
        <f t="shared" si="33"/>
        <v>0</v>
      </c>
      <c r="E168" s="298">
        <f t="shared" si="35"/>
        <v>0</v>
      </c>
      <c r="F168" s="298">
        <f t="shared" si="35"/>
        <v>0</v>
      </c>
      <c r="G168" s="298">
        <f t="shared" si="35"/>
        <v>0</v>
      </c>
      <c r="H168" s="298">
        <f t="shared" si="35"/>
        <v>0</v>
      </c>
      <c r="I168" s="298">
        <f t="shared" si="35"/>
        <v>0</v>
      </c>
      <c r="J168" s="298">
        <f t="shared" si="35"/>
        <v>0</v>
      </c>
      <c r="K168" s="298">
        <f t="shared" si="35"/>
        <v>0</v>
      </c>
      <c r="L168" s="298">
        <f t="shared" si="35"/>
        <v>0</v>
      </c>
      <c r="M168" s="298">
        <f t="shared" si="35"/>
        <v>0</v>
      </c>
      <c r="N168" s="298">
        <f t="shared" si="35"/>
        <v>0</v>
      </c>
      <c r="O168" s="298">
        <f t="shared" si="35"/>
        <v>0</v>
      </c>
      <c r="P168" s="298">
        <f t="shared" si="35"/>
        <v>0</v>
      </c>
      <c r="Q168" s="298">
        <f t="shared" si="35"/>
        <v>0</v>
      </c>
      <c r="R168" s="298">
        <f t="shared" si="35"/>
        <v>0</v>
      </c>
      <c r="S168" s="298">
        <f t="shared" si="35"/>
        <v>0</v>
      </c>
      <c r="T168" s="298">
        <f t="shared" si="35"/>
        <v>0</v>
      </c>
      <c r="U168" s="298">
        <f t="shared" si="35"/>
        <v>0</v>
      </c>
      <c r="V168" s="298">
        <f t="shared" si="35"/>
        <v>0</v>
      </c>
      <c r="W168" s="298">
        <f t="shared" si="35"/>
        <v>0</v>
      </c>
      <c r="X168" s="298">
        <f t="shared" si="35"/>
        <v>0</v>
      </c>
      <c r="Y168" s="298">
        <f t="shared" si="35"/>
        <v>0</v>
      </c>
      <c r="Z168" s="298">
        <f t="shared" si="35"/>
        <v>0</v>
      </c>
      <c r="AA168" s="298">
        <f t="shared" si="35"/>
        <v>0</v>
      </c>
      <c r="AB168" s="298">
        <f t="shared" si="35"/>
        <v>0</v>
      </c>
      <c r="AC168" s="298">
        <f t="shared" si="35"/>
        <v>0</v>
      </c>
      <c r="AD168" s="298">
        <f t="shared" si="35"/>
        <v>0</v>
      </c>
      <c r="AE168" s="299">
        <f t="shared" si="35"/>
        <v>0</v>
      </c>
    </row>
    <row r="169" spans="1:31" ht="16.5" thickTop="1" thickBot="1">
      <c r="A169" s="1712"/>
      <c r="B169" s="300" t="s">
        <v>39</v>
      </c>
      <c r="C169" s="349">
        <f>SUM(C143:C168)</f>
        <v>112</v>
      </c>
      <c r="D169" s="349">
        <f>SUM(D143:D168)</f>
        <v>103.53737372338608</v>
      </c>
      <c r="E169" s="349">
        <f t="shared" ref="E169:AE169" si="36">SUM(E143:E168)</f>
        <v>95.998928483562253</v>
      </c>
      <c r="F169" s="349">
        <f t="shared" si="36"/>
        <v>87.897239489252726</v>
      </c>
      <c r="G169" s="349">
        <f t="shared" si="36"/>
        <v>78.260254527985154</v>
      </c>
      <c r="H169" s="349">
        <f t="shared" si="36"/>
        <v>66.927206586231421</v>
      </c>
      <c r="I169" s="349">
        <f t="shared" si="36"/>
        <v>54.360995792053416</v>
      </c>
      <c r="J169" s="349">
        <f t="shared" si="36"/>
        <v>41.584830187831905</v>
      </c>
      <c r="K169" s="349">
        <f t="shared" si="36"/>
        <v>29.661187710443887</v>
      </c>
      <c r="L169" s="349">
        <f t="shared" si="36"/>
        <v>19.633497426612692</v>
      </c>
      <c r="M169" s="349">
        <f t="shared" si="36"/>
        <v>12.011831911746544</v>
      </c>
      <c r="N169" s="349">
        <f t="shared" si="36"/>
        <v>6.7710256598402294</v>
      </c>
      <c r="O169" s="349">
        <f t="shared" si="36"/>
        <v>3.5043099873897918</v>
      </c>
      <c r="P169" s="349">
        <f t="shared" si="36"/>
        <v>1.6532700006249459</v>
      </c>
      <c r="Q169" s="349">
        <f t="shared" si="36"/>
        <v>0.70583252546284125</v>
      </c>
      <c r="R169" s="349">
        <f t="shared" si="36"/>
        <v>0.26555048677449899</v>
      </c>
      <c r="S169" s="349">
        <f t="shared" si="36"/>
        <v>9.0910838938300098E-2</v>
      </c>
      <c r="T169" s="349">
        <f t="shared" si="36"/>
        <v>2.7970210911254473E-2</v>
      </c>
      <c r="U169" s="349">
        <f t="shared" si="36"/>
        <v>7.6105122866781151E-3</v>
      </c>
      <c r="V169" s="349">
        <f t="shared" si="36"/>
        <v>1.7929983453116513E-3</v>
      </c>
      <c r="W169" s="349">
        <f t="shared" si="36"/>
        <v>3.5534339778235088E-4</v>
      </c>
      <c r="X169" s="349">
        <f t="shared" si="36"/>
        <v>5.6824401134597019E-5</v>
      </c>
      <c r="Y169" s="349">
        <f t="shared" si="36"/>
        <v>6.8682154690906891E-6</v>
      </c>
      <c r="Z169" s="349">
        <f t="shared" si="36"/>
        <v>5.5728084407483982E-7</v>
      </c>
      <c r="AA169" s="349">
        <f t="shared" si="36"/>
        <v>2.2750010022030234E-8</v>
      </c>
      <c r="AB169" s="349">
        <f t="shared" si="36"/>
        <v>0</v>
      </c>
      <c r="AC169" s="349">
        <f t="shared" si="36"/>
        <v>0</v>
      </c>
      <c r="AD169" s="349">
        <f t="shared" si="36"/>
        <v>0</v>
      </c>
      <c r="AE169" s="350">
        <f t="shared" si="36"/>
        <v>0</v>
      </c>
    </row>
    <row r="170" spans="1:31" ht="15.75" thickBot="1"/>
    <row r="171" spans="1:31" ht="15.75" customHeight="1" thickBot="1">
      <c r="A171" s="1710" t="s">
        <v>201</v>
      </c>
      <c r="B171" s="169" t="s">
        <v>10</v>
      </c>
      <c r="C171" s="288">
        <v>2012</v>
      </c>
      <c r="D171" s="347">
        <v>2013</v>
      </c>
      <c r="E171" s="347">
        <v>2014</v>
      </c>
      <c r="F171" s="288">
        <v>2015</v>
      </c>
      <c r="G171" s="347">
        <v>2016</v>
      </c>
      <c r="H171" s="347">
        <v>2017</v>
      </c>
      <c r="I171" s="288">
        <v>2018</v>
      </c>
      <c r="J171" s="347">
        <v>2019</v>
      </c>
      <c r="K171" s="347">
        <v>2020</v>
      </c>
      <c r="L171" s="288">
        <v>2021</v>
      </c>
      <c r="M171" s="347">
        <v>2022</v>
      </c>
      <c r="N171" s="347">
        <v>2023</v>
      </c>
      <c r="O171" s="288">
        <v>2024</v>
      </c>
      <c r="P171" s="347">
        <v>2025</v>
      </c>
      <c r="Q171" s="347">
        <v>2026</v>
      </c>
      <c r="R171" s="288">
        <v>2027</v>
      </c>
      <c r="S171" s="347">
        <v>2028</v>
      </c>
      <c r="T171" s="347">
        <v>2029</v>
      </c>
      <c r="U171" s="288">
        <v>2030</v>
      </c>
      <c r="V171" s="347">
        <v>2031</v>
      </c>
      <c r="W171" s="347">
        <v>2032</v>
      </c>
      <c r="X171" s="288">
        <v>2033</v>
      </c>
      <c r="Y171" s="347">
        <v>2034</v>
      </c>
      <c r="Z171" s="347">
        <v>2035</v>
      </c>
      <c r="AA171" s="288">
        <v>2036</v>
      </c>
      <c r="AB171" s="347">
        <v>2037</v>
      </c>
      <c r="AC171" s="347">
        <v>2038</v>
      </c>
      <c r="AD171" s="288">
        <v>2039</v>
      </c>
      <c r="AE171" s="348">
        <v>2040</v>
      </c>
    </row>
    <row r="172" spans="1:31" ht="15" customHeight="1">
      <c r="A172" s="1711" t="s">
        <v>41</v>
      </c>
      <c r="B172" s="116">
        <v>0</v>
      </c>
      <c r="C172" s="291">
        <f t="shared" ref="C172:C190" si="37">O28</f>
        <v>0</v>
      </c>
      <c r="D172" s="292"/>
      <c r="E172" s="292"/>
      <c r="F172" s="292"/>
      <c r="G172" s="292"/>
      <c r="H172" s="292"/>
      <c r="I172" s="292"/>
      <c r="J172" s="292"/>
      <c r="K172" s="292"/>
      <c r="L172" s="292"/>
      <c r="M172" s="292"/>
      <c r="N172" s="292"/>
      <c r="O172" s="292"/>
      <c r="P172" s="292"/>
      <c r="Q172" s="292"/>
      <c r="R172" s="292"/>
      <c r="S172" s="292"/>
      <c r="T172" s="292"/>
      <c r="U172" s="292"/>
      <c r="V172" s="292"/>
      <c r="W172" s="292"/>
      <c r="X172" s="292"/>
      <c r="Y172" s="292"/>
      <c r="Z172" s="292"/>
      <c r="AA172" s="292"/>
      <c r="AB172" s="292"/>
      <c r="AC172" s="292"/>
      <c r="AD172" s="292"/>
      <c r="AE172" s="293"/>
    </row>
    <row r="173" spans="1:31">
      <c r="A173" s="1711"/>
      <c r="B173" s="116">
        <v>1</v>
      </c>
      <c r="C173" s="294">
        <f t="shared" si="37"/>
        <v>0</v>
      </c>
      <c r="D173" s="295">
        <f>C172*$G29</f>
        <v>0</v>
      </c>
      <c r="E173" s="295">
        <f t="shared" ref="E173:AE182" si="38">D172*$G29</f>
        <v>0</v>
      </c>
      <c r="F173" s="295">
        <f t="shared" si="38"/>
        <v>0</v>
      </c>
      <c r="G173" s="295">
        <f t="shared" si="38"/>
        <v>0</v>
      </c>
      <c r="H173" s="295">
        <f t="shared" si="38"/>
        <v>0</v>
      </c>
      <c r="I173" s="295">
        <f t="shared" si="38"/>
        <v>0</v>
      </c>
      <c r="J173" s="295">
        <f t="shared" si="38"/>
        <v>0</v>
      </c>
      <c r="K173" s="295">
        <f t="shared" si="38"/>
        <v>0</v>
      </c>
      <c r="L173" s="295">
        <f t="shared" si="38"/>
        <v>0</v>
      </c>
      <c r="M173" s="295">
        <f t="shared" si="38"/>
        <v>0</v>
      </c>
      <c r="N173" s="295">
        <f t="shared" si="38"/>
        <v>0</v>
      </c>
      <c r="O173" s="295">
        <f t="shared" si="38"/>
        <v>0</v>
      </c>
      <c r="P173" s="295">
        <f t="shared" si="38"/>
        <v>0</v>
      </c>
      <c r="Q173" s="295">
        <f t="shared" si="38"/>
        <v>0</v>
      </c>
      <c r="R173" s="295">
        <f t="shared" si="38"/>
        <v>0</v>
      </c>
      <c r="S173" s="295">
        <f t="shared" si="38"/>
        <v>0</v>
      </c>
      <c r="T173" s="295">
        <f t="shared" si="38"/>
        <v>0</v>
      </c>
      <c r="U173" s="295">
        <f t="shared" si="38"/>
        <v>0</v>
      </c>
      <c r="V173" s="295">
        <f t="shared" si="38"/>
        <v>0</v>
      </c>
      <c r="W173" s="295">
        <f t="shared" si="38"/>
        <v>0</v>
      </c>
      <c r="X173" s="295">
        <f t="shared" si="38"/>
        <v>0</v>
      </c>
      <c r="Y173" s="295">
        <f t="shared" si="38"/>
        <v>0</v>
      </c>
      <c r="Z173" s="295">
        <f t="shared" si="38"/>
        <v>0</v>
      </c>
      <c r="AA173" s="295">
        <f t="shared" si="38"/>
        <v>0</v>
      </c>
      <c r="AB173" s="295">
        <f t="shared" si="38"/>
        <v>0</v>
      </c>
      <c r="AC173" s="295">
        <f t="shared" si="38"/>
        <v>0</v>
      </c>
      <c r="AD173" s="295">
        <f t="shared" si="38"/>
        <v>0</v>
      </c>
      <c r="AE173" s="296">
        <f t="shared" si="38"/>
        <v>0</v>
      </c>
    </row>
    <row r="174" spans="1:31">
      <c r="A174" s="1711"/>
      <c r="B174" s="116">
        <v>2</v>
      </c>
      <c r="C174" s="294">
        <f t="shared" si="37"/>
        <v>3</v>
      </c>
      <c r="D174" s="295">
        <f t="shared" ref="D174:S189" si="39">C173*$G30</f>
        <v>0</v>
      </c>
      <c r="E174" s="295">
        <f t="shared" si="38"/>
        <v>0</v>
      </c>
      <c r="F174" s="295">
        <f t="shared" si="38"/>
        <v>0</v>
      </c>
      <c r="G174" s="295">
        <f t="shared" si="38"/>
        <v>0</v>
      </c>
      <c r="H174" s="295">
        <f t="shared" si="38"/>
        <v>0</v>
      </c>
      <c r="I174" s="295">
        <f t="shared" si="38"/>
        <v>0</v>
      </c>
      <c r="J174" s="295">
        <f t="shared" si="38"/>
        <v>0</v>
      </c>
      <c r="K174" s="295">
        <f t="shared" si="38"/>
        <v>0</v>
      </c>
      <c r="L174" s="295">
        <f t="shared" si="38"/>
        <v>0</v>
      </c>
      <c r="M174" s="295">
        <f t="shared" si="38"/>
        <v>0</v>
      </c>
      <c r="N174" s="295">
        <f t="shared" si="38"/>
        <v>0</v>
      </c>
      <c r="O174" s="295">
        <f t="shared" si="38"/>
        <v>0</v>
      </c>
      <c r="P174" s="295">
        <f t="shared" si="38"/>
        <v>0</v>
      </c>
      <c r="Q174" s="295">
        <f t="shared" si="38"/>
        <v>0</v>
      </c>
      <c r="R174" s="295">
        <f t="shared" si="38"/>
        <v>0</v>
      </c>
      <c r="S174" s="295">
        <f t="shared" si="38"/>
        <v>0</v>
      </c>
      <c r="T174" s="295">
        <f t="shared" si="38"/>
        <v>0</v>
      </c>
      <c r="U174" s="295">
        <f t="shared" si="38"/>
        <v>0</v>
      </c>
      <c r="V174" s="295">
        <f t="shared" si="38"/>
        <v>0</v>
      </c>
      <c r="W174" s="295">
        <f t="shared" si="38"/>
        <v>0</v>
      </c>
      <c r="X174" s="295">
        <f t="shared" si="38"/>
        <v>0</v>
      </c>
      <c r="Y174" s="295">
        <f t="shared" si="38"/>
        <v>0</v>
      </c>
      <c r="Z174" s="295">
        <f t="shared" si="38"/>
        <v>0</v>
      </c>
      <c r="AA174" s="295">
        <f t="shared" si="38"/>
        <v>0</v>
      </c>
      <c r="AB174" s="295">
        <f t="shared" si="38"/>
        <v>0</v>
      </c>
      <c r="AC174" s="295">
        <f t="shared" si="38"/>
        <v>0</v>
      </c>
      <c r="AD174" s="295">
        <f t="shared" si="38"/>
        <v>0</v>
      </c>
      <c r="AE174" s="296">
        <f t="shared" si="38"/>
        <v>0</v>
      </c>
    </row>
    <row r="175" spans="1:31">
      <c r="A175" s="1711"/>
      <c r="B175" s="116">
        <v>3</v>
      </c>
      <c r="C175" s="294">
        <f t="shared" si="37"/>
        <v>1.5</v>
      </c>
      <c r="D175" s="295">
        <f t="shared" si="39"/>
        <v>2.5835066624152185</v>
      </c>
      <c r="E175" s="295">
        <f t="shared" si="38"/>
        <v>0</v>
      </c>
      <c r="F175" s="295">
        <f t="shared" si="38"/>
        <v>0</v>
      </c>
      <c r="G175" s="295">
        <f t="shared" si="38"/>
        <v>0</v>
      </c>
      <c r="H175" s="295">
        <f t="shared" si="38"/>
        <v>0</v>
      </c>
      <c r="I175" s="295">
        <f t="shared" si="38"/>
        <v>0</v>
      </c>
      <c r="J175" s="295">
        <f t="shared" si="38"/>
        <v>0</v>
      </c>
      <c r="K175" s="295">
        <f t="shared" si="38"/>
        <v>0</v>
      </c>
      <c r="L175" s="295">
        <f t="shared" si="38"/>
        <v>0</v>
      </c>
      <c r="M175" s="295">
        <f t="shared" si="38"/>
        <v>0</v>
      </c>
      <c r="N175" s="295">
        <f t="shared" si="38"/>
        <v>0</v>
      </c>
      <c r="O175" s="295">
        <f t="shared" si="38"/>
        <v>0</v>
      </c>
      <c r="P175" s="295">
        <f t="shared" si="38"/>
        <v>0</v>
      </c>
      <c r="Q175" s="295">
        <f t="shared" si="38"/>
        <v>0</v>
      </c>
      <c r="R175" s="295">
        <f t="shared" si="38"/>
        <v>0</v>
      </c>
      <c r="S175" s="295">
        <f t="shared" si="38"/>
        <v>0</v>
      </c>
      <c r="T175" s="295">
        <f t="shared" si="38"/>
        <v>0</v>
      </c>
      <c r="U175" s="295">
        <f t="shared" si="38"/>
        <v>0</v>
      </c>
      <c r="V175" s="295">
        <f t="shared" si="38"/>
        <v>0</v>
      </c>
      <c r="W175" s="295">
        <f t="shared" si="38"/>
        <v>0</v>
      </c>
      <c r="X175" s="295">
        <f t="shared" si="38"/>
        <v>0</v>
      </c>
      <c r="Y175" s="295">
        <f t="shared" si="38"/>
        <v>0</v>
      </c>
      <c r="Z175" s="295">
        <f t="shared" si="38"/>
        <v>0</v>
      </c>
      <c r="AA175" s="295">
        <f t="shared" si="38"/>
        <v>0</v>
      </c>
      <c r="AB175" s="295">
        <f t="shared" si="38"/>
        <v>0</v>
      </c>
      <c r="AC175" s="295">
        <f t="shared" si="38"/>
        <v>0</v>
      </c>
      <c r="AD175" s="295">
        <f t="shared" si="38"/>
        <v>0</v>
      </c>
      <c r="AE175" s="296">
        <f t="shared" si="38"/>
        <v>0</v>
      </c>
    </row>
    <row r="176" spans="1:31">
      <c r="A176" s="1711"/>
      <c r="B176" s="116">
        <v>4</v>
      </c>
      <c r="C176" s="294">
        <f t="shared" si="37"/>
        <v>0</v>
      </c>
      <c r="D176" s="295">
        <f t="shared" si="39"/>
        <v>1.2383907061994557</v>
      </c>
      <c r="E176" s="295">
        <f t="shared" si="38"/>
        <v>2.1329270934262543</v>
      </c>
      <c r="F176" s="295">
        <f t="shared" si="38"/>
        <v>0</v>
      </c>
      <c r="G176" s="295">
        <f t="shared" si="38"/>
        <v>0</v>
      </c>
      <c r="H176" s="295">
        <f t="shared" si="38"/>
        <v>0</v>
      </c>
      <c r="I176" s="295">
        <f t="shared" si="38"/>
        <v>0</v>
      </c>
      <c r="J176" s="295">
        <f t="shared" si="38"/>
        <v>0</v>
      </c>
      <c r="K176" s="295">
        <f t="shared" si="38"/>
        <v>0</v>
      </c>
      <c r="L176" s="295">
        <f t="shared" si="38"/>
        <v>0</v>
      </c>
      <c r="M176" s="295">
        <f t="shared" si="38"/>
        <v>0</v>
      </c>
      <c r="N176" s="295">
        <f t="shared" si="38"/>
        <v>0</v>
      </c>
      <c r="O176" s="295">
        <f t="shared" si="38"/>
        <v>0</v>
      </c>
      <c r="P176" s="295">
        <f t="shared" si="38"/>
        <v>0</v>
      </c>
      <c r="Q176" s="295">
        <f t="shared" si="38"/>
        <v>0</v>
      </c>
      <c r="R176" s="295">
        <f t="shared" si="38"/>
        <v>0</v>
      </c>
      <c r="S176" s="295">
        <f t="shared" si="38"/>
        <v>0</v>
      </c>
      <c r="T176" s="295">
        <f t="shared" si="38"/>
        <v>0</v>
      </c>
      <c r="U176" s="295">
        <f t="shared" si="38"/>
        <v>0</v>
      </c>
      <c r="V176" s="295">
        <f t="shared" si="38"/>
        <v>0</v>
      </c>
      <c r="W176" s="295">
        <f t="shared" si="38"/>
        <v>0</v>
      </c>
      <c r="X176" s="295">
        <f t="shared" si="38"/>
        <v>0</v>
      </c>
      <c r="Y176" s="295">
        <f t="shared" si="38"/>
        <v>0</v>
      </c>
      <c r="Z176" s="295">
        <f t="shared" si="38"/>
        <v>0</v>
      </c>
      <c r="AA176" s="295">
        <f t="shared" si="38"/>
        <v>0</v>
      </c>
      <c r="AB176" s="295">
        <f t="shared" si="38"/>
        <v>0</v>
      </c>
      <c r="AC176" s="295">
        <f t="shared" si="38"/>
        <v>0</v>
      </c>
      <c r="AD176" s="295">
        <f t="shared" si="38"/>
        <v>0</v>
      </c>
      <c r="AE176" s="296">
        <f t="shared" si="38"/>
        <v>0</v>
      </c>
    </row>
    <row r="177" spans="1:31">
      <c r="A177" s="1711"/>
      <c r="B177" s="116">
        <v>5</v>
      </c>
      <c r="C177" s="294">
        <f t="shared" si="37"/>
        <v>0</v>
      </c>
      <c r="D177" s="295">
        <f t="shared" si="39"/>
        <v>0</v>
      </c>
      <c r="E177" s="295">
        <f t="shared" si="38"/>
        <v>1.0008954283037721</v>
      </c>
      <c r="F177" s="295">
        <f t="shared" si="38"/>
        <v>1.7238800049358196</v>
      </c>
      <c r="G177" s="295">
        <f t="shared" si="38"/>
        <v>0</v>
      </c>
      <c r="H177" s="295">
        <f t="shared" si="38"/>
        <v>0</v>
      </c>
      <c r="I177" s="295">
        <f t="shared" si="38"/>
        <v>0</v>
      </c>
      <c r="J177" s="295">
        <f t="shared" si="38"/>
        <v>0</v>
      </c>
      <c r="K177" s="295">
        <f t="shared" si="38"/>
        <v>0</v>
      </c>
      <c r="L177" s="295">
        <f t="shared" si="38"/>
        <v>0</v>
      </c>
      <c r="M177" s="295">
        <f t="shared" si="38"/>
        <v>0</v>
      </c>
      <c r="N177" s="295">
        <f t="shared" si="38"/>
        <v>0</v>
      </c>
      <c r="O177" s="295">
        <f t="shared" si="38"/>
        <v>0</v>
      </c>
      <c r="P177" s="295">
        <f t="shared" si="38"/>
        <v>0</v>
      </c>
      <c r="Q177" s="295">
        <f t="shared" si="38"/>
        <v>0</v>
      </c>
      <c r="R177" s="295">
        <f t="shared" si="38"/>
        <v>0</v>
      </c>
      <c r="S177" s="295">
        <f t="shared" si="38"/>
        <v>0</v>
      </c>
      <c r="T177" s="295">
        <f t="shared" si="38"/>
        <v>0</v>
      </c>
      <c r="U177" s="295">
        <f t="shared" si="38"/>
        <v>0</v>
      </c>
      <c r="V177" s="295">
        <f t="shared" si="38"/>
        <v>0</v>
      </c>
      <c r="W177" s="295">
        <f t="shared" si="38"/>
        <v>0</v>
      </c>
      <c r="X177" s="295">
        <f t="shared" si="38"/>
        <v>0</v>
      </c>
      <c r="Y177" s="295">
        <f t="shared" si="38"/>
        <v>0</v>
      </c>
      <c r="Z177" s="295">
        <f t="shared" si="38"/>
        <v>0</v>
      </c>
      <c r="AA177" s="295">
        <f t="shared" si="38"/>
        <v>0</v>
      </c>
      <c r="AB177" s="295">
        <f t="shared" si="38"/>
        <v>0</v>
      </c>
      <c r="AC177" s="295">
        <f t="shared" si="38"/>
        <v>0</v>
      </c>
      <c r="AD177" s="295">
        <f t="shared" si="38"/>
        <v>0</v>
      </c>
      <c r="AE177" s="296">
        <f t="shared" si="38"/>
        <v>0</v>
      </c>
    </row>
    <row r="178" spans="1:31">
      <c r="A178" s="1711"/>
      <c r="B178" s="116">
        <v>6</v>
      </c>
      <c r="C178" s="294">
        <f t="shared" si="37"/>
        <v>0</v>
      </c>
      <c r="D178" s="295">
        <f t="shared" si="39"/>
        <v>0</v>
      </c>
      <c r="E178" s="295">
        <f t="shared" si="38"/>
        <v>0</v>
      </c>
      <c r="F178" s="295">
        <f t="shared" si="38"/>
        <v>0.77700137651768075</v>
      </c>
      <c r="G178" s="295">
        <f t="shared" si="38"/>
        <v>1.3382588219594829</v>
      </c>
      <c r="H178" s="295">
        <f t="shared" si="38"/>
        <v>0</v>
      </c>
      <c r="I178" s="295">
        <f t="shared" si="38"/>
        <v>0</v>
      </c>
      <c r="J178" s="295">
        <f t="shared" si="38"/>
        <v>0</v>
      </c>
      <c r="K178" s="295">
        <f t="shared" si="38"/>
        <v>0</v>
      </c>
      <c r="L178" s="295">
        <f t="shared" si="38"/>
        <v>0</v>
      </c>
      <c r="M178" s="295">
        <f t="shared" si="38"/>
        <v>0</v>
      </c>
      <c r="N178" s="295">
        <f t="shared" si="38"/>
        <v>0</v>
      </c>
      <c r="O178" s="295">
        <f t="shared" si="38"/>
        <v>0</v>
      </c>
      <c r="P178" s="295">
        <f t="shared" si="38"/>
        <v>0</v>
      </c>
      <c r="Q178" s="295">
        <f t="shared" si="38"/>
        <v>0</v>
      </c>
      <c r="R178" s="295">
        <f t="shared" si="38"/>
        <v>0</v>
      </c>
      <c r="S178" s="295">
        <f t="shared" si="38"/>
        <v>0</v>
      </c>
      <c r="T178" s="295">
        <f t="shared" si="38"/>
        <v>0</v>
      </c>
      <c r="U178" s="295">
        <f t="shared" si="38"/>
        <v>0</v>
      </c>
      <c r="V178" s="295">
        <f t="shared" si="38"/>
        <v>0</v>
      </c>
      <c r="W178" s="295">
        <f t="shared" si="38"/>
        <v>0</v>
      </c>
      <c r="X178" s="295">
        <f t="shared" si="38"/>
        <v>0</v>
      </c>
      <c r="Y178" s="295">
        <f t="shared" si="38"/>
        <v>0</v>
      </c>
      <c r="Z178" s="295">
        <f t="shared" si="38"/>
        <v>0</v>
      </c>
      <c r="AA178" s="295">
        <f t="shared" si="38"/>
        <v>0</v>
      </c>
      <c r="AB178" s="295">
        <f t="shared" si="38"/>
        <v>0</v>
      </c>
      <c r="AC178" s="295">
        <f t="shared" si="38"/>
        <v>0</v>
      </c>
      <c r="AD178" s="295">
        <f t="shared" si="38"/>
        <v>0</v>
      </c>
      <c r="AE178" s="296">
        <f t="shared" si="38"/>
        <v>0</v>
      </c>
    </row>
    <row r="179" spans="1:31">
      <c r="A179" s="1711"/>
      <c r="B179" s="116">
        <v>7</v>
      </c>
      <c r="C179" s="294">
        <f t="shared" si="37"/>
        <v>0</v>
      </c>
      <c r="D179" s="295">
        <f t="shared" si="39"/>
        <v>0</v>
      </c>
      <c r="E179" s="295">
        <f t="shared" si="38"/>
        <v>0</v>
      </c>
      <c r="F179" s="295">
        <f t="shared" si="38"/>
        <v>0</v>
      </c>
      <c r="G179" s="295">
        <f t="shared" si="38"/>
        <v>0.57807522806033973</v>
      </c>
      <c r="H179" s="295">
        <f t="shared" si="38"/>
        <v>0.99564080204738992</v>
      </c>
      <c r="I179" s="295">
        <f t="shared" si="38"/>
        <v>0</v>
      </c>
      <c r="J179" s="295">
        <f t="shared" si="38"/>
        <v>0</v>
      </c>
      <c r="K179" s="295">
        <f t="shared" si="38"/>
        <v>0</v>
      </c>
      <c r="L179" s="295">
        <f t="shared" si="38"/>
        <v>0</v>
      </c>
      <c r="M179" s="295">
        <f t="shared" si="38"/>
        <v>0</v>
      </c>
      <c r="N179" s="295">
        <f t="shared" si="38"/>
        <v>0</v>
      </c>
      <c r="O179" s="295">
        <f t="shared" si="38"/>
        <v>0</v>
      </c>
      <c r="P179" s="295">
        <f t="shared" si="38"/>
        <v>0</v>
      </c>
      <c r="Q179" s="295">
        <f t="shared" si="38"/>
        <v>0</v>
      </c>
      <c r="R179" s="295">
        <f t="shared" si="38"/>
        <v>0</v>
      </c>
      <c r="S179" s="295">
        <f t="shared" si="38"/>
        <v>0</v>
      </c>
      <c r="T179" s="295">
        <f t="shared" si="38"/>
        <v>0</v>
      </c>
      <c r="U179" s="295">
        <f t="shared" si="38"/>
        <v>0</v>
      </c>
      <c r="V179" s="295">
        <f t="shared" si="38"/>
        <v>0</v>
      </c>
      <c r="W179" s="295">
        <f t="shared" si="38"/>
        <v>0</v>
      </c>
      <c r="X179" s="295">
        <f t="shared" si="38"/>
        <v>0</v>
      </c>
      <c r="Y179" s="295">
        <f t="shared" si="38"/>
        <v>0</v>
      </c>
      <c r="Z179" s="295">
        <f t="shared" si="38"/>
        <v>0</v>
      </c>
      <c r="AA179" s="295">
        <f t="shared" si="38"/>
        <v>0</v>
      </c>
      <c r="AB179" s="295">
        <f t="shared" si="38"/>
        <v>0</v>
      </c>
      <c r="AC179" s="295">
        <f t="shared" si="38"/>
        <v>0</v>
      </c>
      <c r="AD179" s="295">
        <f t="shared" si="38"/>
        <v>0</v>
      </c>
      <c r="AE179" s="296">
        <f t="shared" si="38"/>
        <v>0</v>
      </c>
    </row>
    <row r="180" spans="1:31">
      <c r="A180" s="1711"/>
      <c r="B180" s="116">
        <v>8</v>
      </c>
      <c r="C180" s="294">
        <f t="shared" si="37"/>
        <v>3.5</v>
      </c>
      <c r="D180" s="295">
        <f t="shared" si="39"/>
        <v>0</v>
      </c>
      <c r="E180" s="295">
        <f t="shared" si="38"/>
        <v>0</v>
      </c>
      <c r="F180" s="295">
        <f t="shared" si="38"/>
        <v>0</v>
      </c>
      <c r="G180" s="295">
        <f t="shared" si="38"/>
        <v>0</v>
      </c>
      <c r="H180" s="295">
        <f t="shared" si="38"/>
        <v>0.39111086306002624</v>
      </c>
      <c r="I180" s="295">
        <f t="shared" si="38"/>
        <v>0.67362501363902949</v>
      </c>
      <c r="J180" s="295">
        <f t="shared" si="38"/>
        <v>0</v>
      </c>
      <c r="K180" s="295">
        <f t="shared" si="38"/>
        <v>0</v>
      </c>
      <c r="L180" s="295">
        <f t="shared" si="38"/>
        <v>0</v>
      </c>
      <c r="M180" s="295">
        <f t="shared" si="38"/>
        <v>0</v>
      </c>
      <c r="N180" s="295">
        <f t="shared" si="38"/>
        <v>0</v>
      </c>
      <c r="O180" s="295">
        <f t="shared" si="38"/>
        <v>0</v>
      </c>
      <c r="P180" s="295">
        <f t="shared" si="38"/>
        <v>0</v>
      </c>
      <c r="Q180" s="295">
        <f t="shared" si="38"/>
        <v>0</v>
      </c>
      <c r="R180" s="295">
        <f t="shared" si="38"/>
        <v>0</v>
      </c>
      <c r="S180" s="295">
        <f t="shared" si="38"/>
        <v>0</v>
      </c>
      <c r="T180" s="295">
        <f t="shared" si="38"/>
        <v>0</v>
      </c>
      <c r="U180" s="295">
        <f t="shared" si="38"/>
        <v>0</v>
      </c>
      <c r="V180" s="295">
        <f t="shared" si="38"/>
        <v>0</v>
      </c>
      <c r="W180" s="295">
        <f t="shared" si="38"/>
        <v>0</v>
      </c>
      <c r="X180" s="295">
        <f t="shared" si="38"/>
        <v>0</v>
      </c>
      <c r="Y180" s="295">
        <f t="shared" si="38"/>
        <v>0</v>
      </c>
      <c r="Z180" s="295">
        <f t="shared" si="38"/>
        <v>0</v>
      </c>
      <c r="AA180" s="295">
        <f t="shared" si="38"/>
        <v>0</v>
      </c>
      <c r="AB180" s="295">
        <f t="shared" si="38"/>
        <v>0</v>
      </c>
      <c r="AC180" s="295">
        <f t="shared" si="38"/>
        <v>0</v>
      </c>
      <c r="AD180" s="295">
        <f t="shared" si="38"/>
        <v>0</v>
      </c>
      <c r="AE180" s="296">
        <f t="shared" si="38"/>
        <v>0</v>
      </c>
    </row>
    <row r="181" spans="1:31">
      <c r="A181" s="1711"/>
      <c r="B181" s="116">
        <v>9</v>
      </c>
      <c r="C181" s="294">
        <f t="shared" si="37"/>
        <v>0</v>
      </c>
      <c r="D181" s="295">
        <f t="shared" si="39"/>
        <v>2.0615267546365033</v>
      </c>
      <c r="E181" s="295">
        <f t="shared" si="38"/>
        <v>0</v>
      </c>
      <c r="F181" s="295">
        <f t="shared" si="38"/>
        <v>0</v>
      </c>
      <c r="G181" s="295">
        <f t="shared" si="38"/>
        <v>0</v>
      </c>
      <c r="H181" s="295">
        <f t="shared" si="38"/>
        <v>0</v>
      </c>
      <c r="I181" s="295">
        <f t="shared" si="38"/>
        <v>0.23036728806491932</v>
      </c>
      <c r="J181" s="295">
        <f t="shared" si="38"/>
        <v>0.39677028234549672</v>
      </c>
      <c r="K181" s="295">
        <f t="shared" si="38"/>
        <v>0</v>
      </c>
      <c r="L181" s="295">
        <f t="shared" si="38"/>
        <v>0</v>
      </c>
      <c r="M181" s="295">
        <f t="shared" si="38"/>
        <v>0</v>
      </c>
      <c r="N181" s="295">
        <f t="shared" si="38"/>
        <v>0</v>
      </c>
      <c r="O181" s="295">
        <f t="shared" si="38"/>
        <v>0</v>
      </c>
      <c r="P181" s="295">
        <f t="shared" si="38"/>
        <v>0</v>
      </c>
      <c r="Q181" s="295">
        <f t="shared" si="38"/>
        <v>0</v>
      </c>
      <c r="R181" s="295">
        <f t="shared" si="38"/>
        <v>0</v>
      </c>
      <c r="S181" s="295">
        <f t="shared" si="38"/>
        <v>0</v>
      </c>
      <c r="T181" s="295">
        <f t="shared" si="38"/>
        <v>0</v>
      </c>
      <c r="U181" s="295">
        <f t="shared" si="38"/>
        <v>0</v>
      </c>
      <c r="V181" s="295">
        <f t="shared" si="38"/>
        <v>0</v>
      </c>
      <c r="W181" s="295">
        <f t="shared" si="38"/>
        <v>0</v>
      </c>
      <c r="X181" s="295">
        <f t="shared" si="38"/>
        <v>0</v>
      </c>
      <c r="Y181" s="295">
        <f t="shared" si="38"/>
        <v>0</v>
      </c>
      <c r="Z181" s="295">
        <f t="shared" si="38"/>
        <v>0</v>
      </c>
      <c r="AA181" s="295">
        <f t="shared" si="38"/>
        <v>0</v>
      </c>
      <c r="AB181" s="295">
        <f t="shared" si="38"/>
        <v>0</v>
      </c>
      <c r="AC181" s="295">
        <f t="shared" si="38"/>
        <v>0</v>
      </c>
      <c r="AD181" s="295">
        <f t="shared" si="38"/>
        <v>0</v>
      </c>
      <c r="AE181" s="296">
        <f t="shared" si="38"/>
        <v>0</v>
      </c>
    </row>
    <row r="182" spans="1:31">
      <c r="A182" s="1711"/>
      <c r="B182" s="116">
        <v>10</v>
      </c>
      <c r="C182" s="294">
        <f t="shared" si="37"/>
        <v>0</v>
      </c>
      <c r="D182" s="295">
        <f t="shared" si="39"/>
        <v>0</v>
      </c>
      <c r="E182" s="295">
        <f t="shared" si="38"/>
        <v>1.0549138868160866</v>
      </c>
      <c r="F182" s="295">
        <f t="shared" si="38"/>
        <v>0</v>
      </c>
      <c r="G182" s="295">
        <f t="shared" si="38"/>
        <v>0</v>
      </c>
      <c r="H182" s="295">
        <f t="shared" si="38"/>
        <v>0</v>
      </c>
      <c r="I182" s="295">
        <f t="shared" si="38"/>
        <v>0</v>
      </c>
      <c r="J182" s="295">
        <f t="shared" si="38"/>
        <v>0.11788236592189898</v>
      </c>
      <c r="K182" s="295">
        <f t="shared" si="38"/>
        <v>0.20303325182699652</v>
      </c>
      <c r="L182" s="295">
        <f t="shared" si="38"/>
        <v>0</v>
      </c>
      <c r="M182" s="295">
        <f t="shared" si="38"/>
        <v>0</v>
      </c>
      <c r="N182" s="295">
        <f t="shared" si="38"/>
        <v>0</v>
      </c>
      <c r="O182" s="295">
        <f t="shared" si="38"/>
        <v>0</v>
      </c>
      <c r="P182" s="295">
        <f t="shared" si="38"/>
        <v>0</v>
      </c>
      <c r="Q182" s="295">
        <f t="shared" ref="Q182:AE189" si="40">P181*$G38</f>
        <v>0</v>
      </c>
      <c r="R182" s="295">
        <f t="shared" si="40"/>
        <v>0</v>
      </c>
      <c r="S182" s="295">
        <f t="shared" si="40"/>
        <v>0</v>
      </c>
      <c r="T182" s="295">
        <f t="shared" si="40"/>
        <v>0</v>
      </c>
      <c r="U182" s="295">
        <f t="shared" si="40"/>
        <v>0</v>
      </c>
      <c r="V182" s="295">
        <f t="shared" si="40"/>
        <v>0</v>
      </c>
      <c r="W182" s="295">
        <f t="shared" si="40"/>
        <v>0</v>
      </c>
      <c r="X182" s="295">
        <f t="shared" si="40"/>
        <v>0</v>
      </c>
      <c r="Y182" s="295">
        <f t="shared" si="40"/>
        <v>0</v>
      </c>
      <c r="Z182" s="295">
        <f t="shared" si="40"/>
        <v>0</v>
      </c>
      <c r="AA182" s="295">
        <f t="shared" si="40"/>
        <v>0</v>
      </c>
      <c r="AB182" s="295">
        <f t="shared" si="40"/>
        <v>0</v>
      </c>
      <c r="AC182" s="295">
        <f t="shared" si="40"/>
        <v>0</v>
      </c>
      <c r="AD182" s="295">
        <f t="shared" si="40"/>
        <v>0</v>
      </c>
      <c r="AE182" s="296">
        <f t="shared" si="40"/>
        <v>0</v>
      </c>
    </row>
    <row r="183" spans="1:31">
      <c r="A183" s="1711"/>
      <c r="B183" s="116">
        <v>11</v>
      </c>
      <c r="C183" s="294">
        <f t="shared" si="37"/>
        <v>0</v>
      </c>
      <c r="D183" s="295">
        <f t="shared" si="39"/>
        <v>0</v>
      </c>
      <c r="E183" s="295">
        <f t="shared" si="39"/>
        <v>0</v>
      </c>
      <c r="F183" s="295">
        <f t="shared" si="39"/>
        <v>0.46587015897889006</v>
      </c>
      <c r="G183" s="295">
        <f t="shared" si="39"/>
        <v>0</v>
      </c>
      <c r="H183" s="295">
        <f t="shared" si="39"/>
        <v>0</v>
      </c>
      <c r="I183" s="295">
        <f t="shared" si="39"/>
        <v>0</v>
      </c>
      <c r="J183" s="295">
        <f t="shared" si="39"/>
        <v>0</v>
      </c>
      <c r="K183" s="295">
        <f t="shared" si="39"/>
        <v>5.2059108557755807E-2</v>
      </c>
      <c r="L183" s="295">
        <f t="shared" si="39"/>
        <v>8.9663369198906176E-2</v>
      </c>
      <c r="M183" s="295">
        <f t="shared" si="39"/>
        <v>0</v>
      </c>
      <c r="N183" s="295">
        <f t="shared" si="39"/>
        <v>0</v>
      </c>
      <c r="O183" s="295">
        <f t="shared" si="39"/>
        <v>0</v>
      </c>
      <c r="P183" s="295">
        <f t="shared" si="39"/>
        <v>0</v>
      </c>
      <c r="Q183" s="295">
        <f t="shared" si="39"/>
        <v>0</v>
      </c>
      <c r="R183" s="295">
        <f t="shared" si="39"/>
        <v>0</v>
      </c>
      <c r="S183" s="295">
        <f t="shared" si="39"/>
        <v>0</v>
      </c>
      <c r="T183" s="295">
        <f t="shared" si="40"/>
        <v>0</v>
      </c>
      <c r="U183" s="295">
        <f t="shared" si="40"/>
        <v>0</v>
      </c>
      <c r="V183" s="295">
        <f t="shared" si="40"/>
        <v>0</v>
      </c>
      <c r="W183" s="295">
        <f t="shared" si="40"/>
        <v>0</v>
      </c>
      <c r="X183" s="295">
        <f t="shared" si="40"/>
        <v>0</v>
      </c>
      <c r="Y183" s="295">
        <f t="shared" si="40"/>
        <v>0</v>
      </c>
      <c r="Z183" s="295">
        <f t="shared" si="40"/>
        <v>0</v>
      </c>
      <c r="AA183" s="295">
        <f t="shared" si="40"/>
        <v>0</v>
      </c>
      <c r="AB183" s="295">
        <f t="shared" si="40"/>
        <v>0</v>
      </c>
      <c r="AC183" s="295">
        <f t="shared" si="40"/>
        <v>0</v>
      </c>
      <c r="AD183" s="295">
        <f t="shared" si="40"/>
        <v>0</v>
      </c>
      <c r="AE183" s="296">
        <f t="shared" si="40"/>
        <v>0</v>
      </c>
    </row>
    <row r="184" spans="1:31">
      <c r="A184" s="1711"/>
      <c r="B184" s="116">
        <v>12</v>
      </c>
      <c r="C184" s="294">
        <f t="shared" si="37"/>
        <v>0</v>
      </c>
      <c r="D184" s="295">
        <f t="shared" si="39"/>
        <v>0</v>
      </c>
      <c r="E184" s="295">
        <f t="shared" si="39"/>
        <v>0</v>
      </c>
      <c r="F184" s="295">
        <f t="shared" si="39"/>
        <v>0</v>
      </c>
      <c r="G184" s="295">
        <f t="shared" si="39"/>
        <v>0.16810225231628192</v>
      </c>
      <c r="H184" s="295">
        <f t="shared" si="39"/>
        <v>0</v>
      </c>
      <c r="I184" s="295">
        <f t="shared" si="39"/>
        <v>0</v>
      </c>
      <c r="J184" s="295">
        <f t="shared" si="39"/>
        <v>0</v>
      </c>
      <c r="K184" s="295">
        <f t="shared" si="39"/>
        <v>0</v>
      </c>
      <c r="L184" s="295">
        <f t="shared" si="39"/>
        <v>1.8784747710215804E-2</v>
      </c>
      <c r="M184" s="295">
        <f t="shared" si="39"/>
        <v>3.2353680574087711E-2</v>
      </c>
      <c r="N184" s="295">
        <f t="shared" si="39"/>
        <v>0</v>
      </c>
      <c r="O184" s="295">
        <f t="shared" si="39"/>
        <v>0</v>
      </c>
      <c r="P184" s="295">
        <f t="shared" si="39"/>
        <v>0</v>
      </c>
      <c r="Q184" s="295">
        <f t="shared" si="39"/>
        <v>0</v>
      </c>
      <c r="R184" s="295">
        <f t="shared" si="39"/>
        <v>0</v>
      </c>
      <c r="S184" s="295">
        <f t="shared" si="39"/>
        <v>0</v>
      </c>
      <c r="T184" s="295">
        <f t="shared" si="40"/>
        <v>0</v>
      </c>
      <c r="U184" s="295">
        <f t="shared" si="40"/>
        <v>0</v>
      </c>
      <c r="V184" s="295">
        <f t="shared" si="40"/>
        <v>0</v>
      </c>
      <c r="W184" s="295">
        <f t="shared" si="40"/>
        <v>0</v>
      </c>
      <c r="X184" s="295">
        <f t="shared" si="40"/>
        <v>0</v>
      </c>
      <c r="Y184" s="295">
        <f t="shared" si="40"/>
        <v>0</v>
      </c>
      <c r="Z184" s="295">
        <f t="shared" si="40"/>
        <v>0</v>
      </c>
      <c r="AA184" s="295">
        <f t="shared" si="40"/>
        <v>0</v>
      </c>
      <c r="AB184" s="295">
        <f t="shared" si="40"/>
        <v>0</v>
      </c>
      <c r="AC184" s="295">
        <f t="shared" si="40"/>
        <v>0</v>
      </c>
      <c r="AD184" s="295">
        <f t="shared" si="40"/>
        <v>0</v>
      </c>
      <c r="AE184" s="296">
        <f t="shared" si="40"/>
        <v>0</v>
      </c>
    </row>
    <row r="185" spans="1:31">
      <c r="A185" s="1711"/>
      <c r="B185" s="116">
        <v>13</v>
      </c>
      <c r="C185" s="294">
        <f t="shared" si="37"/>
        <v>0</v>
      </c>
      <c r="D185" s="295">
        <f t="shared" si="39"/>
        <v>0</v>
      </c>
      <c r="E185" s="295">
        <f t="shared" si="39"/>
        <v>0</v>
      </c>
      <c r="F185" s="295">
        <f t="shared" si="39"/>
        <v>0</v>
      </c>
      <c r="G185" s="295">
        <f t="shared" si="39"/>
        <v>0</v>
      </c>
      <c r="H185" s="295">
        <f t="shared" si="39"/>
        <v>4.8539590375566141E-2</v>
      </c>
      <c r="I185" s="295">
        <f t="shared" si="39"/>
        <v>0</v>
      </c>
      <c r="J185" s="295">
        <f t="shared" si="39"/>
        <v>0</v>
      </c>
      <c r="K185" s="295">
        <f t="shared" si="39"/>
        <v>0</v>
      </c>
      <c r="L185" s="295">
        <f t="shared" si="39"/>
        <v>0</v>
      </c>
      <c r="M185" s="295">
        <f t="shared" si="39"/>
        <v>5.4241031669622327E-3</v>
      </c>
      <c r="N185" s="295">
        <f t="shared" si="39"/>
        <v>9.3421377796496126E-3</v>
      </c>
      <c r="O185" s="295">
        <f t="shared" si="39"/>
        <v>0</v>
      </c>
      <c r="P185" s="295">
        <f t="shared" si="39"/>
        <v>0</v>
      </c>
      <c r="Q185" s="295">
        <f t="shared" si="39"/>
        <v>0</v>
      </c>
      <c r="R185" s="295">
        <f t="shared" si="39"/>
        <v>0</v>
      </c>
      <c r="S185" s="295">
        <f t="shared" si="39"/>
        <v>0</v>
      </c>
      <c r="T185" s="295">
        <f t="shared" si="40"/>
        <v>0</v>
      </c>
      <c r="U185" s="295">
        <f t="shared" si="40"/>
        <v>0</v>
      </c>
      <c r="V185" s="295">
        <f t="shared" si="40"/>
        <v>0</v>
      </c>
      <c r="W185" s="295">
        <f t="shared" si="40"/>
        <v>0</v>
      </c>
      <c r="X185" s="295">
        <f t="shared" si="40"/>
        <v>0</v>
      </c>
      <c r="Y185" s="295">
        <f t="shared" si="40"/>
        <v>0</v>
      </c>
      <c r="Z185" s="295">
        <f t="shared" si="40"/>
        <v>0</v>
      </c>
      <c r="AA185" s="295">
        <f t="shared" si="40"/>
        <v>0</v>
      </c>
      <c r="AB185" s="295">
        <f t="shared" si="40"/>
        <v>0</v>
      </c>
      <c r="AC185" s="295">
        <f t="shared" si="40"/>
        <v>0</v>
      </c>
      <c r="AD185" s="295">
        <f t="shared" si="40"/>
        <v>0</v>
      </c>
      <c r="AE185" s="296">
        <f t="shared" si="40"/>
        <v>0</v>
      </c>
    </row>
    <row r="186" spans="1:31">
      <c r="A186" s="1711"/>
      <c r="B186" s="116">
        <v>14</v>
      </c>
      <c r="C186" s="294">
        <f t="shared" si="37"/>
        <v>0</v>
      </c>
      <c r="D186" s="295">
        <f t="shared" si="39"/>
        <v>0</v>
      </c>
      <c r="E186" s="295">
        <f t="shared" si="39"/>
        <v>0</v>
      </c>
      <c r="F186" s="295">
        <f t="shared" si="39"/>
        <v>0</v>
      </c>
      <c r="G186" s="295">
        <f t="shared" si="39"/>
        <v>0</v>
      </c>
      <c r="H186" s="295">
        <f t="shared" si="39"/>
        <v>0</v>
      </c>
      <c r="I186" s="295">
        <f t="shared" si="39"/>
        <v>1.0464754628800211E-2</v>
      </c>
      <c r="J186" s="295">
        <f t="shared" si="39"/>
        <v>0</v>
      </c>
      <c r="K186" s="295">
        <f t="shared" si="39"/>
        <v>0</v>
      </c>
      <c r="L186" s="295">
        <f t="shared" si="39"/>
        <v>0</v>
      </c>
      <c r="M186" s="295">
        <f t="shared" si="39"/>
        <v>0</v>
      </c>
      <c r="N186" s="295">
        <f t="shared" si="39"/>
        <v>1.1693940613089872E-3</v>
      </c>
      <c r="O186" s="295">
        <f t="shared" si="39"/>
        <v>2.0140915655870398E-3</v>
      </c>
      <c r="P186" s="295">
        <f t="shared" si="39"/>
        <v>0</v>
      </c>
      <c r="Q186" s="295">
        <f t="shared" si="39"/>
        <v>0</v>
      </c>
      <c r="R186" s="295">
        <f t="shared" si="39"/>
        <v>0</v>
      </c>
      <c r="S186" s="295">
        <f t="shared" si="39"/>
        <v>0</v>
      </c>
      <c r="T186" s="295">
        <f t="shared" si="40"/>
        <v>0</v>
      </c>
      <c r="U186" s="295">
        <f t="shared" si="40"/>
        <v>0</v>
      </c>
      <c r="V186" s="295">
        <f t="shared" si="40"/>
        <v>0</v>
      </c>
      <c r="W186" s="295">
        <f t="shared" si="40"/>
        <v>0</v>
      </c>
      <c r="X186" s="295">
        <f t="shared" si="40"/>
        <v>0</v>
      </c>
      <c r="Y186" s="295">
        <f t="shared" si="40"/>
        <v>0</v>
      </c>
      <c r="Z186" s="295">
        <f t="shared" si="40"/>
        <v>0</v>
      </c>
      <c r="AA186" s="295">
        <f t="shared" si="40"/>
        <v>0</v>
      </c>
      <c r="AB186" s="295">
        <f t="shared" si="40"/>
        <v>0</v>
      </c>
      <c r="AC186" s="295">
        <f t="shared" si="40"/>
        <v>0</v>
      </c>
      <c r="AD186" s="295">
        <f t="shared" si="40"/>
        <v>0</v>
      </c>
      <c r="AE186" s="296">
        <f t="shared" si="40"/>
        <v>0</v>
      </c>
    </row>
    <row r="187" spans="1:31">
      <c r="A187" s="1711"/>
      <c r="B187" s="116">
        <v>15</v>
      </c>
      <c r="C187" s="294">
        <f t="shared" si="37"/>
        <v>0</v>
      </c>
      <c r="D187" s="295">
        <f t="shared" si="39"/>
        <v>0</v>
      </c>
      <c r="E187" s="295">
        <f t="shared" si="39"/>
        <v>0</v>
      </c>
      <c r="F187" s="295">
        <f t="shared" si="39"/>
        <v>0</v>
      </c>
      <c r="G187" s="295">
        <f t="shared" si="39"/>
        <v>0</v>
      </c>
      <c r="H187" s="295">
        <f t="shared" si="39"/>
        <v>0</v>
      </c>
      <c r="I187" s="295">
        <f t="shared" si="39"/>
        <v>0</v>
      </c>
      <c r="J187" s="295">
        <f t="shared" si="39"/>
        <v>1.8019921122626758E-3</v>
      </c>
      <c r="K187" s="295">
        <f t="shared" si="39"/>
        <v>0</v>
      </c>
      <c r="L187" s="295">
        <f t="shared" si="39"/>
        <v>0</v>
      </c>
      <c r="M187" s="295">
        <f t="shared" si="39"/>
        <v>0</v>
      </c>
      <c r="N187" s="295">
        <f t="shared" si="39"/>
        <v>0</v>
      </c>
      <c r="O187" s="295">
        <f t="shared" si="39"/>
        <v>2.0136534007268996E-4</v>
      </c>
      <c r="P187" s="295">
        <f t="shared" si="39"/>
        <v>3.468191317715339E-4</v>
      </c>
      <c r="Q187" s="295">
        <f t="shared" si="39"/>
        <v>0</v>
      </c>
      <c r="R187" s="295">
        <f t="shared" si="39"/>
        <v>0</v>
      </c>
      <c r="S187" s="295">
        <f t="shared" si="39"/>
        <v>0</v>
      </c>
      <c r="T187" s="295">
        <f t="shared" si="40"/>
        <v>0</v>
      </c>
      <c r="U187" s="295">
        <f t="shared" si="40"/>
        <v>0</v>
      </c>
      <c r="V187" s="295">
        <f t="shared" si="40"/>
        <v>0</v>
      </c>
      <c r="W187" s="295">
        <f t="shared" si="40"/>
        <v>0</v>
      </c>
      <c r="X187" s="295">
        <f t="shared" si="40"/>
        <v>0</v>
      </c>
      <c r="Y187" s="295">
        <f t="shared" si="40"/>
        <v>0</v>
      </c>
      <c r="Z187" s="295">
        <f t="shared" si="40"/>
        <v>0</v>
      </c>
      <c r="AA187" s="295">
        <f t="shared" si="40"/>
        <v>0</v>
      </c>
      <c r="AB187" s="295">
        <f t="shared" si="40"/>
        <v>0</v>
      </c>
      <c r="AC187" s="295">
        <f t="shared" si="40"/>
        <v>0</v>
      </c>
      <c r="AD187" s="295">
        <f t="shared" si="40"/>
        <v>0</v>
      </c>
      <c r="AE187" s="296">
        <f t="shared" si="40"/>
        <v>0</v>
      </c>
    </row>
    <row r="188" spans="1:31">
      <c r="A188" s="1711"/>
      <c r="B188" s="116">
        <v>16</v>
      </c>
      <c r="C188" s="294">
        <f t="shared" si="37"/>
        <v>0</v>
      </c>
      <c r="D188" s="295">
        <f t="shared" si="39"/>
        <v>0</v>
      </c>
      <c r="E188" s="295">
        <f t="shared" si="39"/>
        <v>0</v>
      </c>
      <c r="F188" s="295">
        <f t="shared" si="39"/>
        <v>0</v>
      </c>
      <c r="G188" s="295">
        <f t="shared" si="39"/>
        <v>0</v>
      </c>
      <c r="H188" s="295">
        <f t="shared" si="39"/>
        <v>0</v>
      </c>
      <c r="I188" s="295">
        <f t="shared" si="39"/>
        <v>0</v>
      </c>
      <c r="J188" s="295">
        <f t="shared" si="39"/>
        <v>0</v>
      </c>
      <c r="K188" s="295">
        <f t="shared" si="39"/>
        <v>2.792667500629464E-4</v>
      </c>
      <c r="L188" s="295">
        <f t="shared" si="39"/>
        <v>0</v>
      </c>
      <c r="M188" s="295">
        <f t="shared" si="39"/>
        <v>0</v>
      </c>
      <c r="N188" s="295">
        <f t="shared" si="39"/>
        <v>0</v>
      </c>
      <c r="O188" s="295">
        <f t="shared" si="39"/>
        <v>0</v>
      </c>
      <c r="P188" s="295">
        <f t="shared" si="39"/>
        <v>3.1206931326025027E-5</v>
      </c>
      <c r="Q188" s="295">
        <f t="shared" si="39"/>
        <v>5.3748876662879918E-5</v>
      </c>
      <c r="R188" s="295">
        <f t="shared" si="39"/>
        <v>0</v>
      </c>
      <c r="S188" s="295">
        <f t="shared" si="39"/>
        <v>0</v>
      </c>
      <c r="T188" s="295">
        <f t="shared" si="40"/>
        <v>0</v>
      </c>
      <c r="U188" s="295">
        <f t="shared" si="40"/>
        <v>0</v>
      </c>
      <c r="V188" s="295">
        <f t="shared" si="40"/>
        <v>0</v>
      </c>
      <c r="W188" s="295">
        <f t="shared" si="40"/>
        <v>0</v>
      </c>
      <c r="X188" s="295">
        <f t="shared" si="40"/>
        <v>0</v>
      </c>
      <c r="Y188" s="295">
        <f t="shared" si="40"/>
        <v>0</v>
      </c>
      <c r="Z188" s="295">
        <f t="shared" si="40"/>
        <v>0</v>
      </c>
      <c r="AA188" s="295">
        <f t="shared" si="40"/>
        <v>0</v>
      </c>
      <c r="AB188" s="295">
        <f t="shared" si="40"/>
        <v>0</v>
      </c>
      <c r="AC188" s="295">
        <f t="shared" si="40"/>
        <v>0</v>
      </c>
      <c r="AD188" s="295">
        <f t="shared" si="40"/>
        <v>0</v>
      </c>
      <c r="AE188" s="296">
        <f t="shared" si="40"/>
        <v>0</v>
      </c>
    </row>
    <row r="189" spans="1:31">
      <c r="A189" s="1711"/>
      <c r="B189" s="116">
        <v>17</v>
      </c>
      <c r="C189" s="294">
        <f t="shared" si="37"/>
        <v>0</v>
      </c>
      <c r="D189" s="295">
        <f t="shared" si="39"/>
        <v>0</v>
      </c>
      <c r="E189" s="295">
        <f t="shared" si="39"/>
        <v>0</v>
      </c>
      <c r="F189" s="295">
        <f t="shared" si="39"/>
        <v>0</v>
      </c>
      <c r="G189" s="295">
        <f t="shared" si="39"/>
        <v>0</v>
      </c>
      <c r="H189" s="295">
        <f t="shared" si="39"/>
        <v>0</v>
      </c>
      <c r="I189" s="295">
        <f t="shared" si="39"/>
        <v>0</v>
      </c>
      <c r="J189" s="295">
        <f t="shared" si="39"/>
        <v>0</v>
      </c>
      <c r="K189" s="295">
        <f t="shared" si="39"/>
        <v>0</v>
      </c>
      <c r="L189" s="295">
        <f t="shared" si="39"/>
        <v>3.8470962668972413E-5</v>
      </c>
      <c r="M189" s="295">
        <f t="shared" si="39"/>
        <v>0</v>
      </c>
      <c r="N189" s="295">
        <f t="shared" si="39"/>
        <v>0</v>
      </c>
      <c r="O189" s="295">
        <f t="shared" si="39"/>
        <v>0</v>
      </c>
      <c r="P189" s="295">
        <f t="shared" si="39"/>
        <v>0</v>
      </c>
      <c r="Q189" s="295">
        <f t="shared" si="39"/>
        <v>4.2989746892033851E-6</v>
      </c>
      <c r="R189" s="295">
        <f t="shared" si="39"/>
        <v>7.4042865007408956E-6</v>
      </c>
      <c r="S189" s="295">
        <f t="shared" si="39"/>
        <v>0</v>
      </c>
      <c r="T189" s="295">
        <f t="shared" si="40"/>
        <v>0</v>
      </c>
      <c r="U189" s="295">
        <f t="shared" si="40"/>
        <v>0</v>
      </c>
      <c r="V189" s="295">
        <f t="shared" si="40"/>
        <v>0</v>
      </c>
      <c r="W189" s="295">
        <f t="shared" si="40"/>
        <v>0</v>
      </c>
      <c r="X189" s="295">
        <f t="shared" si="40"/>
        <v>0</v>
      </c>
      <c r="Y189" s="295">
        <f t="shared" si="40"/>
        <v>0</v>
      </c>
      <c r="Z189" s="295">
        <f t="shared" si="40"/>
        <v>0</v>
      </c>
      <c r="AA189" s="295">
        <f t="shared" si="40"/>
        <v>0</v>
      </c>
      <c r="AB189" s="295">
        <f t="shared" si="40"/>
        <v>0</v>
      </c>
      <c r="AC189" s="295">
        <f t="shared" si="40"/>
        <v>0</v>
      </c>
      <c r="AD189" s="295">
        <f t="shared" si="40"/>
        <v>0</v>
      </c>
      <c r="AE189" s="296">
        <f t="shared" si="40"/>
        <v>0</v>
      </c>
    </row>
    <row r="190" spans="1:31">
      <c r="A190" s="1711"/>
      <c r="B190" s="116">
        <v>18</v>
      </c>
      <c r="C190" s="294">
        <f t="shared" si="37"/>
        <v>0</v>
      </c>
      <c r="D190" s="295">
        <f t="shared" ref="D190:AE197" si="41">C189*$G46</f>
        <v>0</v>
      </c>
      <c r="E190" s="295">
        <f t="shared" si="41"/>
        <v>0</v>
      </c>
      <c r="F190" s="295">
        <f t="shared" si="41"/>
        <v>0</v>
      </c>
      <c r="G190" s="295">
        <f t="shared" si="41"/>
        <v>0</v>
      </c>
      <c r="H190" s="295">
        <f t="shared" si="41"/>
        <v>0</v>
      </c>
      <c r="I190" s="295">
        <f t="shared" si="41"/>
        <v>0</v>
      </c>
      <c r="J190" s="295">
        <f t="shared" si="41"/>
        <v>0</v>
      </c>
      <c r="K190" s="295">
        <f t="shared" si="41"/>
        <v>0</v>
      </c>
      <c r="L190" s="295">
        <f t="shared" si="41"/>
        <v>0</v>
      </c>
      <c r="M190" s="295">
        <f t="shared" si="41"/>
        <v>4.6371904184830129E-6</v>
      </c>
      <c r="N190" s="295">
        <f t="shared" si="41"/>
        <v>0</v>
      </c>
      <c r="O190" s="295">
        <f t="shared" si="41"/>
        <v>0</v>
      </c>
      <c r="P190" s="295">
        <f t="shared" si="41"/>
        <v>0</v>
      </c>
      <c r="Q190" s="295">
        <f t="shared" si="41"/>
        <v>0</v>
      </c>
      <c r="R190" s="295">
        <f t="shared" si="41"/>
        <v>5.1818729907045001E-7</v>
      </c>
      <c r="S190" s="295">
        <f t="shared" si="41"/>
        <v>8.9249355968497031E-7</v>
      </c>
      <c r="T190" s="295">
        <f t="shared" si="41"/>
        <v>0</v>
      </c>
      <c r="U190" s="295">
        <f t="shared" si="41"/>
        <v>0</v>
      </c>
      <c r="V190" s="295">
        <f t="shared" si="41"/>
        <v>0</v>
      </c>
      <c r="W190" s="295">
        <f t="shared" si="41"/>
        <v>0</v>
      </c>
      <c r="X190" s="295">
        <f t="shared" si="41"/>
        <v>0</v>
      </c>
      <c r="Y190" s="295">
        <f t="shared" si="41"/>
        <v>0</v>
      </c>
      <c r="Z190" s="295">
        <f t="shared" si="41"/>
        <v>0</v>
      </c>
      <c r="AA190" s="295">
        <f t="shared" si="41"/>
        <v>0</v>
      </c>
      <c r="AB190" s="295">
        <f t="shared" si="41"/>
        <v>0</v>
      </c>
      <c r="AC190" s="295">
        <f t="shared" si="41"/>
        <v>0</v>
      </c>
      <c r="AD190" s="295">
        <f t="shared" si="41"/>
        <v>0</v>
      </c>
      <c r="AE190" s="296">
        <f t="shared" si="41"/>
        <v>0</v>
      </c>
    </row>
    <row r="191" spans="1:31">
      <c r="A191" s="1711"/>
      <c r="B191" s="116">
        <v>19</v>
      </c>
      <c r="C191" s="294">
        <f t="shared" ref="C191:C197" si="42">(EXP(18-B191)*$O$47/(EXP(-1)+EXP(-2)+EXP(-3)+EXP(-4)+EXP(-5)+EXP(-6)+EXP(-7)+EXP(-8)+EXP(-9)+EXP(-10)))</f>
        <v>1.8964477750814599</v>
      </c>
      <c r="D191" s="295">
        <f t="shared" si="41"/>
        <v>0</v>
      </c>
      <c r="E191" s="295">
        <f t="shared" si="41"/>
        <v>0</v>
      </c>
      <c r="F191" s="295">
        <f t="shared" si="41"/>
        <v>0</v>
      </c>
      <c r="G191" s="295">
        <f t="shared" si="41"/>
        <v>0</v>
      </c>
      <c r="H191" s="295">
        <f t="shared" si="41"/>
        <v>0</v>
      </c>
      <c r="I191" s="295">
        <f t="shared" si="41"/>
        <v>0</v>
      </c>
      <c r="J191" s="295">
        <f t="shared" si="41"/>
        <v>0</v>
      </c>
      <c r="K191" s="295">
        <f t="shared" si="41"/>
        <v>0</v>
      </c>
      <c r="L191" s="295">
        <f t="shared" si="41"/>
        <v>0</v>
      </c>
      <c r="M191" s="295">
        <f t="shared" si="41"/>
        <v>0</v>
      </c>
      <c r="N191" s="295">
        <f t="shared" si="41"/>
        <v>4.7910424201457757E-7</v>
      </c>
      <c r="O191" s="295">
        <f t="shared" si="41"/>
        <v>0</v>
      </c>
      <c r="P191" s="295">
        <f t="shared" si="41"/>
        <v>0</v>
      </c>
      <c r="Q191" s="295">
        <f t="shared" si="41"/>
        <v>0</v>
      </c>
      <c r="R191" s="295">
        <f t="shared" si="41"/>
        <v>0</v>
      </c>
      <c r="S191" s="295">
        <f t="shared" si="41"/>
        <v>5.3537963882868877E-8</v>
      </c>
      <c r="T191" s="295">
        <f t="shared" si="41"/>
        <v>9.2210457589024759E-8</v>
      </c>
      <c r="U191" s="295">
        <f t="shared" si="41"/>
        <v>0</v>
      </c>
      <c r="V191" s="295">
        <f t="shared" si="41"/>
        <v>0</v>
      </c>
      <c r="W191" s="295">
        <f t="shared" si="41"/>
        <v>0</v>
      </c>
      <c r="X191" s="295">
        <f t="shared" si="41"/>
        <v>0</v>
      </c>
      <c r="Y191" s="295">
        <f t="shared" si="41"/>
        <v>0</v>
      </c>
      <c r="Z191" s="295">
        <f t="shared" si="41"/>
        <v>0</v>
      </c>
      <c r="AA191" s="295">
        <f t="shared" si="41"/>
        <v>0</v>
      </c>
      <c r="AB191" s="295">
        <f t="shared" si="41"/>
        <v>0</v>
      </c>
      <c r="AC191" s="295">
        <f t="shared" si="41"/>
        <v>0</v>
      </c>
      <c r="AD191" s="295">
        <f t="shared" si="41"/>
        <v>0</v>
      </c>
      <c r="AE191" s="296">
        <f t="shared" si="41"/>
        <v>0</v>
      </c>
    </row>
    <row r="192" spans="1:31">
      <c r="A192" s="1711"/>
      <c r="B192" s="116">
        <v>20</v>
      </c>
      <c r="C192" s="294">
        <f t="shared" si="42"/>
        <v>0.69766414770779261</v>
      </c>
      <c r="D192" s="295">
        <f t="shared" si="41"/>
        <v>0.16328065268773034</v>
      </c>
      <c r="E192" s="295">
        <f t="shared" si="41"/>
        <v>0</v>
      </c>
      <c r="F192" s="295">
        <f t="shared" si="41"/>
        <v>0</v>
      </c>
      <c r="G192" s="295">
        <f t="shared" si="41"/>
        <v>0</v>
      </c>
      <c r="H192" s="295">
        <f t="shared" si="41"/>
        <v>0</v>
      </c>
      <c r="I192" s="295">
        <f t="shared" si="41"/>
        <v>0</v>
      </c>
      <c r="J192" s="295">
        <f t="shared" si="41"/>
        <v>0</v>
      </c>
      <c r="K192" s="295">
        <f t="shared" si="41"/>
        <v>0</v>
      </c>
      <c r="L192" s="295">
        <f t="shared" si="41"/>
        <v>0</v>
      </c>
      <c r="M192" s="295">
        <f t="shared" si="41"/>
        <v>0</v>
      </c>
      <c r="N192" s="295">
        <f t="shared" si="41"/>
        <v>0</v>
      </c>
      <c r="O192" s="295">
        <f t="shared" si="41"/>
        <v>4.124999083522894E-8</v>
      </c>
      <c r="P192" s="295">
        <f t="shared" si="41"/>
        <v>0</v>
      </c>
      <c r="Q192" s="295">
        <f t="shared" si="41"/>
        <v>0</v>
      </c>
      <c r="R192" s="295">
        <f t="shared" si="41"/>
        <v>0</v>
      </c>
      <c r="S192" s="295">
        <f t="shared" si="41"/>
        <v>0</v>
      </c>
      <c r="T192" s="295">
        <f t="shared" si="41"/>
        <v>4.6095198619384459E-9</v>
      </c>
      <c r="U192" s="295">
        <f t="shared" si="41"/>
        <v>7.9391501825688386E-9</v>
      </c>
      <c r="V192" s="295">
        <f t="shared" si="41"/>
        <v>0</v>
      </c>
      <c r="W192" s="295">
        <f t="shared" si="41"/>
        <v>0</v>
      </c>
      <c r="X192" s="295">
        <f t="shared" si="41"/>
        <v>0</v>
      </c>
      <c r="Y192" s="295">
        <f t="shared" si="41"/>
        <v>0</v>
      </c>
      <c r="Z192" s="295">
        <f t="shared" si="41"/>
        <v>0</v>
      </c>
      <c r="AA192" s="295">
        <f t="shared" si="41"/>
        <v>0</v>
      </c>
      <c r="AB192" s="295">
        <f t="shared" si="41"/>
        <v>0</v>
      </c>
      <c r="AC192" s="295">
        <f t="shared" si="41"/>
        <v>0</v>
      </c>
      <c r="AD192" s="295">
        <f t="shared" si="41"/>
        <v>0</v>
      </c>
      <c r="AE192" s="296">
        <f t="shared" si="41"/>
        <v>0</v>
      </c>
    </row>
    <row r="193" spans="1:31">
      <c r="A193" s="1711"/>
      <c r="B193" s="116">
        <v>21</v>
      </c>
      <c r="C193" s="294">
        <f t="shared" si="42"/>
        <v>0.25665629678409335</v>
      </c>
      <c r="D193" s="295">
        <f t="shared" si="41"/>
        <v>4.8054076211896481E-2</v>
      </c>
      <c r="E193" s="295">
        <f t="shared" si="41"/>
        <v>1.124653023086219E-2</v>
      </c>
      <c r="F193" s="295">
        <f t="shared" si="41"/>
        <v>0</v>
      </c>
      <c r="G193" s="295">
        <f t="shared" si="41"/>
        <v>0</v>
      </c>
      <c r="H193" s="295">
        <f t="shared" si="41"/>
        <v>0</v>
      </c>
      <c r="I193" s="295">
        <f t="shared" si="41"/>
        <v>0</v>
      </c>
      <c r="J193" s="295">
        <f t="shared" si="41"/>
        <v>0</v>
      </c>
      <c r="K193" s="295">
        <f t="shared" si="41"/>
        <v>0</v>
      </c>
      <c r="L193" s="295">
        <f t="shared" si="41"/>
        <v>0</v>
      </c>
      <c r="M193" s="295">
        <f t="shared" si="41"/>
        <v>0</v>
      </c>
      <c r="N193" s="295">
        <f t="shared" si="41"/>
        <v>0</v>
      </c>
      <c r="O193" s="295">
        <f t="shared" si="41"/>
        <v>0</v>
      </c>
      <c r="P193" s="295">
        <f t="shared" si="41"/>
        <v>2.841238452411279E-9</v>
      </c>
      <c r="Q193" s="295">
        <f t="shared" si="41"/>
        <v>0</v>
      </c>
      <c r="R193" s="295">
        <f t="shared" si="41"/>
        <v>0</v>
      </c>
      <c r="S193" s="295">
        <f t="shared" si="41"/>
        <v>0</v>
      </c>
      <c r="T193" s="295">
        <f t="shared" si="41"/>
        <v>0</v>
      </c>
      <c r="U193" s="295">
        <f t="shared" si="41"/>
        <v>3.1749692093768814E-10</v>
      </c>
      <c r="V193" s="295">
        <f t="shared" si="41"/>
        <v>5.4683694035922372E-10</v>
      </c>
      <c r="W193" s="295">
        <f t="shared" si="41"/>
        <v>0</v>
      </c>
      <c r="X193" s="295">
        <f t="shared" si="41"/>
        <v>0</v>
      </c>
      <c r="Y193" s="295">
        <f t="shared" si="41"/>
        <v>0</v>
      </c>
      <c r="Z193" s="295">
        <f t="shared" si="41"/>
        <v>0</v>
      </c>
      <c r="AA193" s="295">
        <f t="shared" si="41"/>
        <v>0</v>
      </c>
      <c r="AB193" s="295">
        <f t="shared" si="41"/>
        <v>0</v>
      </c>
      <c r="AC193" s="295">
        <f t="shared" si="41"/>
        <v>0</v>
      </c>
      <c r="AD193" s="295">
        <f t="shared" si="41"/>
        <v>0</v>
      </c>
      <c r="AE193" s="296">
        <f t="shared" si="41"/>
        <v>0</v>
      </c>
    </row>
    <row r="194" spans="1:31">
      <c r="A194" s="1711"/>
      <c r="B194" s="116">
        <v>22</v>
      </c>
      <c r="C194" s="294">
        <f t="shared" si="42"/>
        <v>9.4418575034064089E-2</v>
      </c>
      <c r="D194" s="295">
        <f t="shared" si="41"/>
        <v>1.3258580027131784E-2</v>
      </c>
      <c r="E194" s="295">
        <f t="shared" si="41"/>
        <v>2.4824203538683885E-3</v>
      </c>
      <c r="F194" s="295">
        <f t="shared" si="41"/>
        <v>5.8098329541036509E-4</v>
      </c>
      <c r="G194" s="295">
        <f t="shared" si="41"/>
        <v>0</v>
      </c>
      <c r="H194" s="295">
        <f t="shared" si="41"/>
        <v>0</v>
      </c>
      <c r="I194" s="295">
        <f t="shared" si="41"/>
        <v>0</v>
      </c>
      <c r="J194" s="295">
        <f t="shared" si="41"/>
        <v>0</v>
      </c>
      <c r="K194" s="295">
        <f t="shared" si="41"/>
        <v>0</v>
      </c>
      <c r="L194" s="295">
        <f t="shared" si="41"/>
        <v>0</v>
      </c>
      <c r="M194" s="295">
        <f t="shared" si="41"/>
        <v>0</v>
      </c>
      <c r="N194" s="295">
        <f t="shared" si="41"/>
        <v>0</v>
      </c>
      <c r="O194" s="295">
        <f t="shared" si="41"/>
        <v>0</v>
      </c>
      <c r="P194" s="295">
        <f t="shared" si="41"/>
        <v>0</v>
      </c>
      <c r="Q194" s="295">
        <f t="shared" si="41"/>
        <v>1.467752315819812E-10</v>
      </c>
      <c r="R194" s="295">
        <f t="shared" si="41"/>
        <v>0</v>
      </c>
      <c r="S194" s="295">
        <f t="shared" si="41"/>
        <v>0</v>
      </c>
      <c r="T194" s="295">
        <f t="shared" si="41"/>
        <v>0</v>
      </c>
      <c r="U194" s="295">
        <f t="shared" si="41"/>
        <v>0</v>
      </c>
      <c r="V194" s="295">
        <f t="shared" si="41"/>
        <v>1.6401539285675396E-11</v>
      </c>
      <c r="W194" s="295">
        <f t="shared" si="41"/>
        <v>2.8248990678938232E-11</v>
      </c>
      <c r="X194" s="295">
        <f t="shared" si="41"/>
        <v>0</v>
      </c>
      <c r="Y194" s="295">
        <f t="shared" si="41"/>
        <v>0</v>
      </c>
      <c r="Z194" s="295">
        <f t="shared" si="41"/>
        <v>0</v>
      </c>
      <c r="AA194" s="295">
        <f t="shared" si="41"/>
        <v>0</v>
      </c>
      <c r="AB194" s="295">
        <f t="shared" si="41"/>
        <v>0</v>
      </c>
      <c r="AC194" s="295">
        <f t="shared" si="41"/>
        <v>0</v>
      </c>
      <c r="AD194" s="295">
        <f t="shared" si="41"/>
        <v>0</v>
      </c>
      <c r="AE194" s="296">
        <f t="shared" si="41"/>
        <v>0</v>
      </c>
    </row>
    <row r="195" spans="1:31">
      <c r="A195" s="1711"/>
      <c r="B195" s="116">
        <v>23</v>
      </c>
      <c r="C195" s="294">
        <f t="shared" si="42"/>
        <v>3.4734652619735393E-2</v>
      </c>
      <c r="D195" s="295">
        <f t="shared" si="41"/>
        <v>3.2517060074053906E-3</v>
      </c>
      <c r="E195" s="295">
        <f t="shared" si="41"/>
        <v>4.5661570626685848E-4</v>
      </c>
      <c r="F195" s="295">
        <f t="shared" si="41"/>
        <v>8.549272401820322E-5</v>
      </c>
      <c r="G195" s="295">
        <f t="shared" si="41"/>
        <v>2.0008635707608264E-5</v>
      </c>
      <c r="H195" s="295">
        <f t="shared" si="41"/>
        <v>0</v>
      </c>
      <c r="I195" s="295">
        <f t="shared" si="41"/>
        <v>0</v>
      </c>
      <c r="J195" s="295">
        <f t="shared" si="41"/>
        <v>0</v>
      </c>
      <c r="K195" s="295">
        <f t="shared" si="41"/>
        <v>0</v>
      </c>
      <c r="L195" s="295">
        <f t="shared" si="41"/>
        <v>0</v>
      </c>
      <c r="M195" s="295">
        <f t="shared" si="41"/>
        <v>0</v>
      </c>
      <c r="N195" s="295">
        <f t="shared" si="41"/>
        <v>0</v>
      </c>
      <c r="O195" s="295">
        <f t="shared" si="41"/>
        <v>0</v>
      </c>
      <c r="P195" s="295">
        <f t="shared" si="41"/>
        <v>0</v>
      </c>
      <c r="Q195" s="295">
        <f t="shared" si="41"/>
        <v>0</v>
      </c>
      <c r="R195" s="295">
        <f t="shared" si="41"/>
        <v>5.0548305998184942E-12</v>
      </c>
      <c r="S195" s="295">
        <f t="shared" si="41"/>
        <v>0</v>
      </c>
      <c r="T195" s="295">
        <f t="shared" si="41"/>
        <v>0</v>
      </c>
      <c r="U195" s="295">
        <f t="shared" si="41"/>
        <v>0</v>
      </c>
      <c r="V195" s="295">
        <f t="shared" si="41"/>
        <v>0</v>
      </c>
      <c r="W195" s="295">
        <f t="shared" si="41"/>
        <v>5.6485690243349751E-13</v>
      </c>
      <c r="X195" s="295">
        <f t="shared" si="41"/>
        <v>9.728743804987764E-13</v>
      </c>
      <c r="Y195" s="295">
        <f t="shared" si="41"/>
        <v>0</v>
      </c>
      <c r="Z195" s="295">
        <f t="shared" si="41"/>
        <v>0</v>
      </c>
      <c r="AA195" s="295">
        <f t="shared" si="41"/>
        <v>0</v>
      </c>
      <c r="AB195" s="295">
        <f t="shared" si="41"/>
        <v>0</v>
      </c>
      <c r="AC195" s="295">
        <f t="shared" si="41"/>
        <v>0</v>
      </c>
      <c r="AD195" s="295">
        <f t="shared" si="41"/>
        <v>0</v>
      </c>
      <c r="AE195" s="296">
        <f t="shared" si="41"/>
        <v>0</v>
      </c>
    </row>
    <row r="196" spans="1:31">
      <c r="A196" s="1711"/>
      <c r="B196" s="116">
        <v>24</v>
      </c>
      <c r="C196" s="294">
        <f t="shared" si="42"/>
        <v>1.2778164595032433E-2</v>
      </c>
      <c r="D196" s="295">
        <f t="shared" si="41"/>
        <v>5.9811789442905838E-4</v>
      </c>
      <c r="E196" s="295">
        <f t="shared" si="41"/>
        <v>5.5993176950518424E-5</v>
      </c>
      <c r="F196" s="295">
        <f t="shared" si="41"/>
        <v>7.8627538840102367E-6</v>
      </c>
      <c r="G196" s="295">
        <f t="shared" si="41"/>
        <v>1.4721531445435782E-6</v>
      </c>
      <c r="H196" s="295">
        <f t="shared" si="41"/>
        <v>3.4454131989888016E-7</v>
      </c>
      <c r="I196" s="295">
        <f t="shared" si="41"/>
        <v>0</v>
      </c>
      <c r="J196" s="295">
        <f t="shared" si="41"/>
        <v>0</v>
      </c>
      <c r="K196" s="295">
        <f t="shared" si="41"/>
        <v>0</v>
      </c>
      <c r="L196" s="295">
        <f t="shared" si="41"/>
        <v>0</v>
      </c>
      <c r="M196" s="295">
        <f t="shared" si="41"/>
        <v>0</v>
      </c>
      <c r="N196" s="295">
        <f t="shared" si="41"/>
        <v>0</v>
      </c>
      <c r="O196" s="295">
        <f t="shared" si="41"/>
        <v>0</v>
      </c>
      <c r="P196" s="295">
        <f t="shared" si="41"/>
        <v>0</v>
      </c>
      <c r="Q196" s="295">
        <f t="shared" si="41"/>
        <v>0</v>
      </c>
      <c r="R196" s="295">
        <f t="shared" si="41"/>
        <v>0</v>
      </c>
      <c r="S196" s="295">
        <f t="shared" si="41"/>
        <v>8.7042316736491484E-14</v>
      </c>
      <c r="T196" s="295">
        <f t="shared" si="41"/>
        <v>0</v>
      </c>
      <c r="U196" s="295">
        <f t="shared" si="41"/>
        <v>0</v>
      </c>
      <c r="V196" s="295">
        <f t="shared" si="41"/>
        <v>0</v>
      </c>
      <c r="W196" s="295">
        <f t="shared" si="41"/>
        <v>0</v>
      </c>
      <c r="X196" s="295">
        <f t="shared" si="41"/>
        <v>9.7266273204438145E-15</v>
      </c>
      <c r="Y196" s="295">
        <f t="shared" si="41"/>
        <v>1.6752537656797662E-14</v>
      </c>
      <c r="Z196" s="295">
        <f t="shared" si="41"/>
        <v>0</v>
      </c>
      <c r="AA196" s="295">
        <f t="shared" si="41"/>
        <v>0</v>
      </c>
      <c r="AB196" s="295">
        <f t="shared" si="41"/>
        <v>0</v>
      </c>
      <c r="AC196" s="295">
        <f t="shared" si="41"/>
        <v>0</v>
      </c>
      <c r="AD196" s="295">
        <f t="shared" si="41"/>
        <v>0</v>
      </c>
      <c r="AE196" s="296">
        <f t="shared" si="41"/>
        <v>0</v>
      </c>
    </row>
    <row r="197" spans="1:31" ht="15.75" thickBot="1">
      <c r="A197" s="1711"/>
      <c r="B197" s="116">
        <v>25</v>
      </c>
      <c r="C197" s="297">
        <f t="shared" si="42"/>
        <v>4.7008240504172408E-3</v>
      </c>
      <c r="D197" s="298">
        <f t="shared" si="41"/>
        <v>0</v>
      </c>
      <c r="E197" s="298">
        <f t="shared" si="41"/>
        <v>0</v>
      </c>
      <c r="F197" s="298">
        <f t="shared" si="41"/>
        <v>0</v>
      </c>
      <c r="G197" s="298">
        <f t="shared" si="41"/>
        <v>0</v>
      </c>
      <c r="H197" s="298">
        <f t="shared" si="41"/>
        <v>0</v>
      </c>
      <c r="I197" s="298">
        <f t="shared" si="41"/>
        <v>0</v>
      </c>
      <c r="J197" s="298">
        <f t="shared" si="41"/>
        <v>0</v>
      </c>
      <c r="K197" s="298">
        <f t="shared" si="41"/>
        <v>0</v>
      </c>
      <c r="L197" s="298">
        <f t="shared" si="41"/>
        <v>0</v>
      </c>
      <c r="M197" s="298">
        <f t="shared" si="41"/>
        <v>0</v>
      </c>
      <c r="N197" s="298">
        <f t="shared" si="41"/>
        <v>0</v>
      </c>
      <c r="O197" s="298">
        <f t="shared" si="41"/>
        <v>0</v>
      </c>
      <c r="P197" s="298">
        <f t="shared" si="41"/>
        <v>0</v>
      </c>
      <c r="Q197" s="298">
        <f t="shared" si="41"/>
        <v>0</v>
      </c>
      <c r="R197" s="298">
        <f t="shared" si="41"/>
        <v>0</v>
      </c>
      <c r="S197" s="298">
        <f t="shared" si="41"/>
        <v>0</v>
      </c>
      <c r="T197" s="298">
        <f t="shared" si="41"/>
        <v>0</v>
      </c>
      <c r="U197" s="298">
        <f t="shared" si="41"/>
        <v>0</v>
      </c>
      <c r="V197" s="298">
        <f t="shared" si="41"/>
        <v>0</v>
      </c>
      <c r="W197" s="298">
        <f t="shared" si="41"/>
        <v>0</v>
      </c>
      <c r="X197" s="298">
        <f t="shared" si="41"/>
        <v>0</v>
      </c>
      <c r="Y197" s="298">
        <f t="shared" si="41"/>
        <v>0</v>
      </c>
      <c r="Z197" s="298">
        <f t="shared" si="41"/>
        <v>0</v>
      </c>
      <c r="AA197" s="298">
        <f t="shared" si="41"/>
        <v>0</v>
      </c>
      <c r="AB197" s="298">
        <f t="shared" si="41"/>
        <v>0</v>
      </c>
      <c r="AC197" s="298">
        <f t="shared" si="41"/>
        <v>0</v>
      </c>
      <c r="AD197" s="298">
        <f t="shared" si="41"/>
        <v>0</v>
      </c>
      <c r="AE197" s="299">
        <f t="shared" si="41"/>
        <v>0</v>
      </c>
    </row>
    <row r="198" spans="1:31" ht="16.5" thickTop="1" thickBot="1">
      <c r="A198" s="1712"/>
      <c r="B198" s="300" t="s">
        <v>39</v>
      </c>
      <c r="C198" s="349">
        <f>SUM(C172:C197)</f>
        <v>10.997400435872594</v>
      </c>
      <c r="D198" s="349">
        <f>SUM(D172:D197)</f>
        <v>6.1118672560797709</v>
      </c>
      <c r="E198" s="349">
        <f t="shared" ref="E198:AE198" si="43">SUM(E172:E197)</f>
        <v>4.2029779680140607</v>
      </c>
      <c r="F198" s="349">
        <f t="shared" si="43"/>
        <v>2.9674258792057033</v>
      </c>
      <c r="G198" s="349">
        <f t="shared" si="43"/>
        <v>2.0844577831249564</v>
      </c>
      <c r="H198" s="349">
        <f t="shared" si="43"/>
        <v>1.4352916000243021</v>
      </c>
      <c r="I198" s="349">
        <f t="shared" si="43"/>
        <v>0.9144570563327491</v>
      </c>
      <c r="J198" s="349">
        <f t="shared" si="43"/>
        <v>0.51645464037965838</v>
      </c>
      <c r="K198" s="349">
        <f t="shared" si="43"/>
        <v>0.25537162713481532</v>
      </c>
      <c r="L198" s="349">
        <f t="shared" si="43"/>
        <v>0.10848658787179095</v>
      </c>
      <c r="M198" s="349">
        <f t="shared" si="43"/>
        <v>3.7782420931468427E-2</v>
      </c>
      <c r="N198" s="349">
        <f t="shared" si="43"/>
        <v>1.0512010945200613E-2</v>
      </c>
      <c r="O198" s="349">
        <f t="shared" si="43"/>
        <v>2.2154981556505651E-3</v>
      </c>
      <c r="P198" s="349">
        <f t="shared" si="43"/>
        <v>3.7802890433601133E-4</v>
      </c>
      <c r="Q198" s="349">
        <f t="shared" si="43"/>
        <v>5.8047998127314885E-5</v>
      </c>
      <c r="R198" s="349">
        <f t="shared" si="43"/>
        <v>7.9224788546419448E-6</v>
      </c>
      <c r="S198" s="349">
        <f t="shared" si="43"/>
        <v>9.4603161061015587E-7</v>
      </c>
      <c r="T198" s="349">
        <f t="shared" si="43"/>
        <v>9.6819977450963212E-8</v>
      </c>
      <c r="U198" s="349">
        <f t="shared" si="43"/>
        <v>8.2566471035065269E-9</v>
      </c>
      <c r="V198" s="349">
        <f t="shared" si="43"/>
        <v>5.6323847964489908E-10</v>
      </c>
      <c r="W198" s="349">
        <f t="shared" si="43"/>
        <v>2.8813847581371731E-11</v>
      </c>
      <c r="X198" s="349">
        <f t="shared" si="43"/>
        <v>9.8260100781922024E-13</v>
      </c>
      <c r="Y198" s="349">
        <f t="shared" si="43"/>
        <v>1.6752537656797662E-14</v>
      </c>
      <c r="Z198" s="349">
        <f t="shared" si="43"/>
        <v>0</v>
      </c>
      <c r="AA198" s="349">
        <f t="shared" si="43"/>
        <v>0</v>
      </c>
      <c r="AB198" s="349">
        <f t="shared" si="43"/>
        <v>0</v>
      </c>
      <c r="AC198" s="349">
        <f t="shared" si="43"/>
        <v>0</v>
      </c>
      <c r="AD198" s="349">
        <f t="shared" si="43"/>
        <v>0</v>
      </c>
      <c r="AE198" s="350">
        <f t="shared" si="43"/>
        <v>0</v>
      </c>
    </row>
    <row r="199" spans="1:31" ht="15.75" thickBot="1"/>
    <row r="200" spans="1:31" ht="15.75" customHeight="1" thickBot="1">
      <c r="A200" s="1710" t="s">
        <v>202</v>
      </c>
      <c r="B200" s="169" t="s">
        <v>10</v>
      </c>
      <c r="C200" s="288">
        <v>2012</v>
      </c>
      <c r="D200" s="347">
        <v>2013</v>
      </c>
      <c r="E200" s="347">
        <v>2014</v>
      </c>
      <c r="F200" s="288">
        <v>2015</v>
      </c>
      <c r="G200" s="347">
        <v>2016</v>
      </c>
      <c r="H200" s="347">
        <v>2017</v>
      </c>
      <c r="I200" s="288">
        <v>2018</v>
      </c>
      <c r="J200" s="347">
        <v>2019</v>
      </c>
      <c r="K200" s="347">
        <v>2020</v>
      </c>
      <c r="L200" s="288">
        <v>2021</v>
      </c>
      <c r="M200" s="347">
        <v>2022</v>
      </c>
      <c r="N200" s="347">
        <v>2023</v>
      </c>
      <c r="O200" s="288">
        <v>2024</v>
      </c>
      <c r="P200" s="347">
        <v>2025</v>
      </c>
      <c r="Q200" s="347">
        <v>2026</v>
      </c>
      <c r="R200" s="288">
        <v>2027</v>
      </c>
      <c r="S200" s="347">
        <v>2028</v>
      </c>
      <c r="T200" s="347">
        <v>2029</v>
      </c>
      <c r="U200" s="288">
        <v>2030</v>
      </c>
      <c r="V200" s="347">
        <v>2031</v>
      </c>
      <c r="W200" s="347">
        <v>2032</v>
      </c>
      <c r="X200" s="288">
        <v>2033</v>
      </c>
      <c r="Y200" s="347">
        <v>2034</v>
      </c>
      <c r="Z200" s="347">
        <v>2035</v>
      </c>
      <c r="AA200" s="288">
        <v>2036</v>
      </c>
      <c r="AB200" s="347">
        <v>2037</v>
      </c>
      <c r="AC200" s="347">
        <v>2038</v>
      </c>
      <c r="AD200" s="288">
        <v>2039</v>
      </c>
      <c r="AE200" s="348">
        <v>2040</v>
      </c>
    </row>
    <row r="201" spans="1:31" ht="15" customHeight="1">
      <c r="A201" s="1711" t="s">
        <v>41</v>
      </c>
      <c r="B201" s="116">
        <v>0</v>
      </c>
      <c r="C201" s="291">
        <f t="shared" ref="C201:C219" si="44">P28</f>
        <v>0</v>
      </c>
      <c r="D201" s="292"/>
      <c r="E201" s="292"/>
      <c r="F201" s="292"/>
      <c r="G201" s="292"/>
      <c r="H201" s="292"/>
      <c r="I201" s="292"/>
      <c r="J201" s="292"/>
      <c r="K201" s="292"/>
      <c r="L201" s="292"/>
      <c r="M201" s="292"/>
      <c r="N201" s="292"/>
      <c r="O201" s="292"/>
      <c r="P201" s="292"/>
      <c r="Q201" s="292"/>
      <c r="R201" s="292"/>
      <c r="S201" s="292"/>
      <c r="T201" s="292"/>
      <c r="U201" s="292"/>
      <c r="V201" s="292"/>
      <c r="W201" s="292"/>
      <c r="X201" s="292"/>
      <c r="Y201" s="292"/>
      <c r="Z201" s="292"/>
      <c r="AA201" s="292"/>
      <c r="AB201" s="292"/>
      <c r="AC201" s="292"/>
      <c r="AD201" s="292"/>
      <c r="AE201" s="293"/>
    </row>
    <row r="202" spans="1:31">
      <c r="A202" s="1711"/>
      <c r="B202" s="116">
        <v>1</v>
      </c>
      <c r="C202" s="294">
        <f t="shared" si="44"/>
        <v>0</v>
      </c>
      <c r="D202" s="295">
        <f>C201*$H28</f>
        <v>0</v>
      </c>
      <c r="E202" s="295">
        <f t="shared" ref="E202:AE211" si="45">D201*$H28</f>
        <v>0</v>
      </c>
      <c r="F202" s="295">
        <f t="shared" si="45"/>
        <v>0</v>
      </c>
      <c r="G202" s="295">
        <f t="shared" si="45"/>
        <v>0</v>
      </c>
      <c r="H202" s="295">
        <f t="shared" si="45"/>
        <v>0</v>
      </c>
      <c r="I202" s="295">
        <f t="shared" si="45"/>
        <v>0</v>
      </c>
      <c r="J202" s="295">
        <f t="shared" si="45"/>
        <v>0</v>
      </c>
      <c r="K202" s="295">
        <f t="shared" si="45"/>
        <v>0</v>
      </c>
      <c r="L202" s="295">
        <f t="shared" si="45"/>
        <v>0</v>
      </c>
      <c r="M202" s="295">
        <f t="shared" si="45"/>
        <v>0</v>
      </c>
      <c r="N202" s="295">
        <f t="shared" si="45"/>
        <v>0</v>
      </c>
      <c r="O202" s="295">
        <f t="shared" si="45"/>
        <v>0</v>
      </c>
      <c r="P202" s="295">
        <f t="shared" si="45"/>
        <v>0</v>
      </c>
      <c r="Q202" s="295">
        <f t="shared" si="45"/>
        <v>0</v>
      </c>
      <c r="R202" s="295">
        <f t="shared" si="45"/>
        <v>0</v>
      </c>
      <c r="S202" s="295">
        <f t="shared" si="45"/>
        <v>0</v>
      </c>
      <c r="T202" s="295">
        <f t="shared" si="45"/>
        <v>0</v>
      </c>
      <c r="U202" s="295">
        <f t="shared" si="45"/>
        <v>0</v>
      </c>
      <c r="V202" s="295">
        <f t="shared" si="45"/>
        <v>0</v>
      </c>
      <c r="W202" s="295">
        <f t="shared" si="45"/>
        <v>0</v>
      </c>
      <c r="X202" s="295">
        <f t="shared" si="45"/>
        <v>0</v>
      </c>
      <c r="Y202" s="295">
        <f t="shared" si="45"/>
        <v>0</v>
      </c>
      <c r="Z202" s="295">
        <f t="shared" si="45"/>
        <v>0</v>
      </c>
      <c r="AA202" s="295">
        <f t="shared" si="45"/>
        <v>0</v>
      </c>
      <c r="AB202" s="295">
        <f t="shared" si="45"/>
        <v>0</v>
      </c>
      <c r="AC202" s="295">
        <f t="shared" si="45"/>
        <v>0</v>
      </c>
      <c r="AD202" s="295">
        <f t="shared" si="45"/>
        <v>0</v>
      </c>
      <c r="AE202" s="296">
        <f t="shared" si="45"/>
        <v>0</v>
      </c>
    </row>
    <row r="203" spans="1:31">
      <c r="A203" s="1711"/>
      <c r="B203" s="116">
        <v>2</v>
      </c>
      <c r="C203" s="294">
        <f t="shared" si="44"/>
        <v>1</v>
      </c>
      <c r="D203" s="295">
        <f t="shared" ref="D203:S218" si="46">C202*$H29</f>
        <v>0</v>
      </c>
      <c r="E203" s="295">
        <f t="shared" si="45"/>
        <v>0</v>
      </c>
      <c r="F203" s="295">
        <f t="shared" si="45"/>
        <v>0</v>
      </c>
      <c r="G203" s="295">
        <f t="shared" si="45"/>
        <v>0</v>
      </c>
      <c r="H203" s="295">
        <f t="shared" si="45"/>
        <v>0</v>
      </c>
      <c r="I203" s="295">
        <f t="shared" si="45"/>
        <v>0</v>
      </c>
      <c r="J203" s="295">
        <f t="shared" si="45"/>
        <v>0</v>
      </c>
      <c r="K203" s="295">
        <f t="shared" si="45"/>
        <v>0</v>
      </c>
      <c r="L203" s="295">
        <f t="shared" si="45"/>
        <v>0</v>
      </c>
      <c r="M203" s="295">
        <f t="shared" si="45"/>
        <v>0</v>
      </c>
      <c r="N203" s="295">
        <f t="shared" si="45"/>
        <v>0</v>
      </c>
      <c r="O203" s="295">
        <f t="shared" si="45"/>
        <v>0</v>
      </c>
      <c r="P203" s="295">
        <f t="shared" si="45"/>
        <v>0</v>
      </c>
      <c r="Q203" s="295">
        <f t="shared" si="45"/>
        <v>0</v>
      </c>
      <c r="R203" s="295">
        <f t="shared" si="45"/>
        <v>0</v>
      </c>
      <c r="S203" s="295">
        <f t="shared" si="45"/>
        <v>0</v>
      </c>
      <c r="T203" s="295">
        <f t="shared" si="45"/>
        <v>0</v>
      </c>
      <c r="U203" s="295">
        <f t="shared" si="45"/>
        <v>0</v>
      </c>
      <c r="V203" s="295">
        <f t="shared" si="45"/>
        <v>0</v>
      </c>
      <c r="W203" s="295">
        <f t="shared" si="45"/>
        <v>0</v>
      </c>
      <c r="X203" s="295">
        <f t="shared" si="45"/>
        <v>0</v>
      </c>
      <c r="Y203" s="295">
        <f t="shared" si="45"/>
        <v>0</v>
      </c>
      <c r="Z203" s="295">
        <f t="shared" si="45"/>
        <v>0</v>
      </c>
      <c r="AA203" s="295">
        <f t="shared" si="45"/>
        <v>0</v>
      </c>
      <c r="AB203" s="295">
        <f t="shared" si="45"/>
        <v>0</v>
      </c>
      <c r="AC203" s="295">
        <f t="shared" si="45"/>
        <v>0</v>
      </c>
      <c r="AD203" s="295">
        <f t="shared" si="45"/>
        <v>0</v>
      </c>
      <c r="AE203" s="296">
        <f t="shared" si="45"/>
        <v>0</v>
      </c>
    </row>
    <row r="204" spans="1:31">
      <c r="A204" s="1711"/>
      <c r="B204" s="116">
        <v>3</v>
      </c>
      <c r="C204" s="294">
        <f t="shared" si="44"/>
        <v>0.5</v>
      </c>
      <c r="D204" s="295">
        <f t="shared" si="46"/>
        <v>0.98313993866787042</v>
      </c>
      <c r="E204" s="295">
        <f t="shared" si="45"/>
        <v>0</v>
      </c>
      <c r="F204" s="295">
        <f t="shared" si="45"/>
        <v>0</v>
      </c>
      <c r="G204" s="295">
        <f t="shared" si="45"/>
        <v>0</v>
      </c>
      <c r="H204" s="295">
        <f t="shared" si="45"/>
        <v>0</v>
      </c>
      <c r="I204" s="295">
        <f t="shared" si="45"/>
        <v>0</v>
      </c>
      <c r="J204" s="295">
        <f t="shared" si="45"/>
        <v>0</v>
      </c>
      <c r="K204" s="295">
        <f t="shared" si="45"/>
        <v>0</v>
      </c>
      <c r="L204" s="295">
        <f t="shared" si="45"/>
        <v>0</v>
      </c>
      <c r="M204" s="295">
        <f t="shared" si="45"/>
        <v>0</v>
      </c>
      <c r="N204" s="295">
        <f t="shared" si="45"/>
        <v>0</v>
      </c>
      <c r="O204" s="295">
        <f t="shared" si="45"/>
        <v>0</v>
      </c>
      <c r="P204" s="295">
        <f t="shared" si="45"/>
        <v>0</v>
      </c>
      <c r="Q204" s="295">
        <f t="shared" si="45"/>
        <v>0</v>
      </c>
      <c r="R204" s="295">
        <f t="shared" si="45"/>
        <v>0</v>
      </c>
      <c r="S204" s="295">
        <f t="shared" si="45"/>
        <v>0</v>
      </c>
      <c r="T204" s="295">
        <f t="shared" si="45"/>
        <v>0</v>
      </c>
      <c r="U204" s="295">
        <f t="shared" si="45"/>
        <v>0</v>
      </c>
      <c r="V204" s="295">
        <f t="shared" si="45"/>
        <v>0</v>
      </c>
      <c r="W204" s="295">
        <f t="shared" si="45"/>
        <v>0</v>
      </c>
      <c r="X204" s="295">
        <f t="shared" si="45"/>
        <v>0</v>
      </c>
      <c r="Y204" s="295">
        <f t="shared" si="45"/>
        <v>0</v>
      </c>
      <c r="Z204" s="295">
        <f t="shared" si="45"/>
        <v>0</v>
      </c>
      <c r="AA204" s="295">
        <f t="shared" si="45"/>
        <v>0</v>
      </c>
      <c r="AB204" s="295">
        <f t="shared" si="45"/>
        <v>0</v>
      </c>
      <c r="AC204" s="295">
        <f t="shared" si="45"/>
        <v>0</v>
      </c>
      <c r="AD204" s="295">
        <f t="shared" si="45"/>
        <v>0</v>
      </c>
      <c r="AE204" s="296">
        <f t="shared" si="45"/>
        <v>0</v>
      </c>
    </row>
    <row r="205" spans="1:31">
      <c r="A205" s="1711"/>
      <c r="B205" s="116">
        <v>4</v>
      </c>
      <c r="C205" s="294">
        <f t="shared" si="44"/>
        <v>0</v>
      </c>
      <c r="D205" s="295">
        <f t="shared" si="46"/>
        <v>0.4800398712786218</v>
      </c>
      <c r="E205" s="295">
        <f t="shared" si="45"/>
        <v>0.9438927392139933</v>
      </c>
      <c r="F205" s="295">
        <f t="shared" si="45"/>
        <v>0</v>
      </c>
      <c r="G205" s="295">
        <f t="shared" si="45"/>
        <v>0</v>
      </c>
      <c r="H205" s="295">
        <f t="shared" si="45"/>
        <v>0</v>
      </c>
      <c r="I205" s="295">
        <f t="shared" si="45"/>
        <v>0</v>
      </c>
      <c r="J205" s="295">
        <f t="shared" si="45"/>
        <v>0</v>
      </c>
      <c r="K205" s="295">
        <f t="shared" si="45"/>
        <v>0</v>
      </c>
      <c r="L205" s="295">
        <f t="shared" si="45"/>
        <v>0</v>
      </c>
      <c r="M205" s="295">
        <f t="shared" si="45"/>
        <v>0</v>
      </c>
      <c r="N205" s="295">
        <f t="shared" si="45"/>
        <v>0</v>
      </c>
      <c r="O205" s="295">
        <f t="shared" si="45"/>
        <v>0</v>
      </c>
      <c r="P205" s="295">
        <f t="shared" si="45"/>
        <v>0</v>
      </c>
      <c r="Q205" s="295">
        <f t="shared" si="45"/>
        <v>0</v>
      </c>
      <c r="R205" s="295">
        <f t="shared" si="45"/>
        <v>0</v>
      </c>
      <c r="S205" s="295">
        <f t="shared" si="45"/>
        <v>0</v>
      </c>
      <c r="T205" s="295">
        <f t="shared" si="45"/>
        <v>0</v>
      </c>
      <c r="U205" s="295">
        <f t="shared" si="45"/>
        <v>0</v>
      </c>
      <c r="V205" s="295">
        <f t="shared" si="45"/>
        <v>0</v>
      </c>
      <c r="W205" s="295">
        <f t="shared" si="45"/>
        <v>0</v>
      </c>
      <c r="X205" s="295">
        <f t="shared" si="45"/>
        <v>0</v>
      </c>
      <c r="Y205" s="295">
        <f t="shared" si="45"/>
        <v>0</v>
      </c>
      <c r="Z205" s="295">
        <f t="shared" si="45"/>
        <v>0</v>
      </c>
      <c r="AA205" s="295">
        <f t="shared" si="45"/>
        <v>0</v>
      </c>
      <c r="AB205" s="295">
        <f t="shared" si="45"/>
        <v>0</v>
      </c>
      <c r="AC205" s="295">
        <f t="shared" si="45"/>
        <v>0</v>
      </c>
      <c r="AD205" s="295">
        <f t="shared" si="45"/>
        <v>0</v>
      </c>
      <c r="AE205" s="296">
        <f t="shared" si="45"/>
        <v>0</v>
      </c>
    </row>
    <row r="206" spans="1:31">
      <c r="A206" s="1711"/>
      <c r="B206" s="116">
        <v>5</v>
      </c>
      <c r="C206" s="294">
        <f t="shared" si="44"/>
        <v>0</v>
      </c>
      <c r="D206" s="295">
        <f t="shared" si="46"/>
        <v>0</v>
      </c>
      <c r="E206" s="295">
        <f t="shared" si="45"/>
        <v>0.45030528991807767</v>
      </c>
      <c r="F206" s="295">
        <f t="shared" si="45"/>
        <v>0.88542623022375289</v>
      </c>
      <c r="G206" s="295">
        <f t="shared" si="45"/>
        <v>0</v>
      </c>
      <c r="H206" s="295">
        <f t="shared" si="45"/>
        <v>0</v>
      </c>
      <c r="I206" s="295">
        <f t="shared" si="45"/>
        <v>0</v>
      </c>
      <c r="J206" s="295">
        <f t="shared" si="45"/>
        <v>0</v>
      </c>
      <c r="K206" s="295">
        <f t="shared" si="45"/>
        <v>0</v>
      </c>
      <c r="L206" s="295">
        <f t="shared" si="45"/>
        <v>0</v>
      </c>
      <c r="M206" s="295">
        <f t="shared" si="45"/>
        <v>0</v>
      </c>
      <c r="N206" s="295">
        <f t="shared" si="45"/>
        <v>0</v>
      </c>
      <c r="O206" s="295">
        <f t="shared" si="45"/>
        <v>0</v>
      </c>
      <c r="P206" s="295">
        <f t="shared" si="45"/>
        <v>0</v>
      </c>
      <c r="Q206" s="295">
        <f t="shared" si="45"/>
        <v>0</v>
      </c>
      <c r="R206" s="295">
        <f t="shared" si="45"/>
        <v>0</v>
      </c>
      <c r="S206" s="295">
        <f t="shared" si="45"/>
        <v>0</v>
      </c>
      <c r="T206" s="295">
        <f t="shared" si="45"/>
        <v>0</v>
      </c>
      <c r="U206" s="295">
        <f t="shared" si="45"/>
        <v>0</v>
      </c>
      <c r="V206" s="295">
        <f t="shared" si="45"/>
        <v>0</v>
      </c>
      <c r="W206" s="295">
        <f t="shared" si="45"/>
        <v>0</v>
      </c>
      <c r="X206" s="295">
        <f t="shared" si="45"/>
        <v>0</v>
      </c>
      <c r="Y206" s="295">
        <f t="shared" si="45"/>
        <v>0</v>
      </c>
      <c r="Z206" s="295">
        <f t="shared" si="45"/>
        <v>0</v>
      </c>
      <c r="AA206" s="295">
        <f t="shared" si="45"/>
        <v>0</v>
      </c>
      <c r="AB206" s="295">
        <f t="shared" si="45"/>
        <v>0</v>
      </c>
      <c r="AC206" s="295">
        <f t="shared" si="45"/>
        <v>0</v>
      </c>
      <c r="AD206" s="295">
        <f t="shared" si="45"/>
        <v>0</v>
      </c>
      <c r="AE206" s="296">
        <f t="shared" si="45"/>
        <v>0</v>
      </c>
    </row>
    <row r="207" spans="1:31">
      <c r="A207" s="1711"/>
      <c r="B207" s="116">
        <v>6</v>
      </c>
      <c r="C207" s="294">
        <f t="shared" si="44"/>
        <v>0</v>
      </c>
      <c r="D207" s="295">
        <f t="shared" si="46"/>
        <v>0</v>
      </c>
      <c r="E207" s="295">
        <f t="shared" si="45"/>
        <v>0</v>
      </c>
      <c r="F207" s="295">
        <f t="shared" si="45"/>
        <v>0.39224873465517013</v>
      </c>
      <c r="G207" s="295">
        <f t="shared" si="45"/>
        <v>0.77127079386286734</v>
      </c>
      <c r="H207" s="295">
        <f t="shared" si="45"/>
        <v>0</v>
      </c>
      <c r="I207" s="295">
        <f t="shared" si="45"/>
        <v>0</v>
      </c>
      <c r="J207" s="295">
        <f t="shared" si="45"/>
        <v>0</v>
      </c>
      <c r="K207" s="295">
        <f t="shared" si="45"/>
        <v>0</v>
      </c>
      <c r="L207" s="295">
        <f t="shared" si="45"/>
        <v>0</v>
      </c>
      <c r="M207" s="295">
        <f t="shared" si="45"/>
        <v>0</v>
      </c>
      <c r="N207" s="295">
        <f t="shared" si="45"/>
        <v>0</v>
      </c>
      <c r="O207" s="295">
        <f t="shared" si="45"/>
        <v>0</v>
      </c>
      <c r="P207" s="295">
        <f t="shared" si="45"/>
        <v>0</v>
      </c>
      <c r="Q207" s="295">
        <f t="shared" si="45"/>
        <v>0</v>
      </c>
      <c r="R207" s="295">
        <f t="shared" si="45"/>
        <v>0</v>
      </c>
      <c r="S207" s="295">
        <f t="shared" si="45"/>
        <v>0</v>
      </c>
      <c r="T207" s="295">
        <f t="shared" si="45"/>
        <v>0</v>
      </c>
      <c r="U207" s="295">
        <f t="shared" si="45"/>
        <v>0</v>
      </c>
      <c r="V207" s="295">
        <f t="shared" si="45"/>
        <v>0</v>
      </c>
      <c r="W207" s="295">
        <f t="shared" si="45"/>
        <v>0</v>
      </c>
      <c r="X207" s="295">
        <f t="shared" si="45"/>
        <v>0</v>
      </c>
      <c r="Y207" s="295">
        <f t="shared" si="45"/>
        <v>0</v>
      </c>
      <c r="Z207" s="295">
        <f t="shared" si="45"/>
        <v>0</v>
      </c>
      <c r="AA207" s="295">
        <f t="shared" si="45"/>
        <v>0</v>
      </c>
      <c r="AB207" s="295">
        <f t="shared" si="45"/>
        <v>0</v>
      </c>
      <c r="AC207" s="295">
        <f t="shared" si="45"/>
        <v>0</v>
      </c>
      <c r="AD207" s="295">
        <f t="shared" si="45"/>
        <v>0</v>
      </c>
      <c r="AE207" s="296">
        <f t="shared" si="45"/>
        <v>0</v>
      </c>
    </row>
    <row r="208" spans="1:31">
      <c r="A208" s="1711"/>
      <c r="B208" s="116">
        <v>7</v>
      </c>
      <c r="C208" s="294">
        <f t="shared" si="44"/>
        <v>1</v>
      </c>
      <c r="D208" s="295">
        <f t="shared" si="46"/>
        <v>0</v>
      </c>
      <c r="E208" s="295">
        <f t="shared" si="45"/>
        <v>0</v>
      </c>
      <c r="F208" s="295">
        <f t="shared" si="45"/>
        <v>0</v>
      </c>
      <c r="G208" s="295">
        <f t="shared" si="45"/>
        <v>0.31741647301423259</v>
      </c>
      <c r="H208" s="295">
        <f t="shared" si="45"/>
        <v>0.62412962362276869</v>
      </c>
      <c r="I208" s="295">
        <f t="shared" si="45"/>
        <v>0</v>
      </c>
      <c r="J208" s="295">
        <f t="shared" si="45"/>
        <v>0</v>
      </c>
      <c r="K208" s="295">
        <f t="shared" si="45"/>
        <v>0</v>
      </c>
      <c r="L208" s="295">
        <f t="shared" si="45"/>
        <v>0</v>
      </c>
      <c r="M208" s="295">
        <f t="shared" si="45"/>
        <v>0</v>
      </c>
      <c r="N208" s="295">
        <f t="shared" si="45"/>
        <v>0</v>
      </c>
      <c r="O208" s="295">
        <f t="shared" si="45"/>
        <v>0</v>
      </c>
      <c r="P208" s="295">
        <f t="shared" si="45"/>
        <v>0</v>
      </c>
      <c r="Q208" s="295">
        <f t="shared" si="45"/>
        <v>0</v>
      </c>
      <c r="R208" s="295">
        <f t="shared" si="45"/>
        <v>0</v>
      </c>
      <c r="S208" s="295">
        <f t="shared" si="45"/>
        <v>0</v>
      </c>
      <c r="T208" s="295">
        <f t="shared" si="45"/>
        <v>0</v>
      </c>
      <c r="U208" s="295">
        <f t="shared" si="45"/>
        <v>0</v>
      </c>
      <c r="V208" s="295">
        <f t="shared" si="45"/>
        <v>0</v>
      </c>
      <c r="W208" s="295">
        <f t="shared" si="45"/>
        <v>0</v>
      </c>
      <c r="X208" s="295">
        <f t="shared" si="45"/>
        <v>0</v>
      </c>
      <c r="Y208" s="295">
        <f t="shared" si="45"/>
        <v>0</v>
      </c>
      <c r="Z208" s="295">
        <f t="shared" si="45"/>
        <v>0</v>
      </c>
      <c r="AA208" s="295">
        <f t="shared" si="45"/>
        <v>0</v>
      </c>
      <c r="AB208" s="295">
        <f t="shared" si="45"/>
        <v>0</v>
      </c>
      <c r="AC208" s="295">
        <f t="shared" si="45"/>
        <v>0</v>
      </c>
      <c r="AD208" s="295">
        <f t="shared" si="45"/>
        <v>0</v>
      </c>
      <c r="AE208" s="296">
        <f t="shared" si="45"/>
        <v>0</v>
      </c>
    </row>
    <row r="209" spans="1:31">
      <c r="A209" s="1711"/>
      <c r="B209" s="116">
        <v>8</v>
      </c>
      <c r="C209" s="294">
        <f t="shared" si="44"/>
        <v>0.5</v>
      </c>
      <c r="D209" s="295">
        <f t="shared" si="46"/>
        <v>0.75134625754363427</v>
      </c>
      <c r="E209" s="295">
        <f t="shared" si="45"/>
        <v>0</v>
      </c>
      <c r="F209" s="295">
        <f t="shared" si="45"/>
        <v>0</v>
      </c>
      <c r="G209" s="295">
        <f t="shared" si="45"/>
        <v>0</v>
      </c>
      <c r="H209" s="295">
        <f t="shared" si="45"/>
        <v>0.23848967908194363</v>
      </c>
      <c r="I209" s="295">
        <f t="shared" si="45"/>
        <v>0.4689374569310843</v>
      </c>
      <c r="J209" s="295">
        <f t="shared" si="45"/>
        <v>0</v>
      </c>
      <c r="K209" s="295">
        <f t="shared" si="45"/>
        <v>0</v>
      </c>
      <c r="L209" s="295">
        <f t="shared" si="45"/>
        <v>0</v>
      </c>
      <c r="M209" s="295">
        <f t="shared" si="45"/>
        <v>0</v>
      </c>
      <c r="N209" s="295">
        <f t="shared" si="45"/>
        <v>0</v>
      </c>
      <c r="O209" s="295">
        <f t="shared" si="45"/>
        <v>0</v>
      </c>
      <c r="P209" s="295">
        <f t="shared" si="45"/>
        <v>0</v>
      </c>
      <c r="Q209" s="295">
        <f t="shared" si="45"/>
        <v>0</v>
      </c>
      <c r="R209" s="295">
        <f t="shared" si="45"/>
        <v>0</v>
      </c>
      <c r="S209" s="295">
        <f t="shared" si="45"/>
        <v>0</v>
      </c>
      <c r="T209" s="295">
        <f t="shared" si="45"/>
        <v>0</v>
      </c>
      <c r="U209" s="295">
        <f t="shared" si="45"/>
        <v>0</v>
      </c>
      <c r="V209" s="295">
        <f t="shared" si="45"/>
        <v>0</v>
      </c>
      <c r="W209" s="295">
        <f t="shared" si="45"/>
        <v>0</v>
      </c>
      <c r="X209" s="295">
        <f t="shared" si="45"/>
        <v>0</v>
      </c>
      <c r="Y209" s="295">
        <f t="shared" si="45"/>
        <v>0</v>
      </c>
      <c r="Z209" s="295">
        <f t="shared" si="45"/>
        <v>0</v>
      </c>
      <c r="AA209" s="295">
        <f t="shared" si="45"/>
        <v>0</v>
      </c>
      <c r="AB209" s="295">
        <f t="shared" si="45"/>
        <v>0</v>
      </c>
      <c r="AC209" s="295">
        <f t="shared" si="45"/>
        <v>0</v>
      </c>
      <c r="AD209" s="295">
        <f t="shared" si="45"/>
        <v>0</v>
      </c>
      <c r="AE209" s="296">
        <f t="shared" si="45"/>
        <v>0</v>
      </c>
    </row>
    <row r="210" spans="1:31">
      <c r="A210" s="1711"/>
      <c r="B210" s="116">
        <v>9</v>
      </c>
      <c r="C210" s="294">
        <f t="shared" si="44"/>
        <v>0</v>
      </c>
      <c r="D210" s="295">
        <f t="shared" si="46"/>
        <v>0.33025344872699625</v>
      </c>
      <c r="E210" s="295">
        <f t="shared" si="45"/>
        <v>0.49626938548381427</v>
      </c>
      <c r="F210" s="295">
        <f t="shared" si="45"/>
        <v>0</v>
      </c>
      <c r="G210" s="295">
        <f t="shared" si="45"/>
        <v>0</v>
      </c>
      <c r="H210" s="295">
        <f t="shared" si="45"/>
        <v>0</v>
      </c>
      <c r="I210" s="295">
        <f t="shared" si="45"/>
        <v>0.15752407800521293</v>
      </c>
      <c r="J210" s="295">
        <f t="shared" si="45"/>
        <v>0.30973642477751573</v>
      </c>
      <c r="K210" s="295">
        <f t="shared" si="45"/>
        <v>0</v>
      </c>
      <c r="L210" s="295">
        <f t="shared" si="45"/>
        <v>0</v>
      </c>
      <c r="M210" s="295">
        <f t="shared" si="45"/>
        <v>0</v>
      </c>
      <c r="N210" s="295">
        <f t="shared" si="45"/>
        <v>0</v>
      </c>
      <c r="O210" s="295">
        <f t="shared" si="45"/>
        <v>0</v>
      </c>
      <c r="P210" s="295">
        <f t="shared" si="45"/>
        <v>0</v>
      </c>
      <c r="Q210" s="295">
        <f t="shared" si="45"/>
        <v>0</v>
      </c>
      <c r="R210" s="295">
        <f t="shared" si="45"/>
        <v>0</v>
      </c>
      <c r="S210" s="295">
        <f t="shared" si="45"/>
        <v>0</v>
      </c>
      <c r="T210" s="295">
        <f t="shared" si="45"/>
        <v>0</v>
      </c>
      <c r="U210" s="295">
        <f t="shared" si="45"/>
        <v>0</v>
      </c>
      <c r="V210" s="295">
        <f t="shared" si="45"/>
        <v>0</v>
      </c>
      <c r="W210" s="295">
        <f t="shared" si="45"/>
        <v>0</v>
      </c>
      <c r="X210" s="295">
        <f t="shared" si="45"/>
        <v>0</v>
      </c>
      <c r="Y210" s="295">
        <f t="shared" si="45"/>
        <v>0</v>
      </c>
      <c r="Z210" s="295">
        <f t="shared" si="45"/>
        <v>0</v>
      </c>
      <c r="AA210" s="295">
        <f t="shared" si="45"/>
        <v>0</v>
      </c>
      <c r="AB210" s="295">
        <f t="shared" si="45"/>
        <v>0</v>
      </c>
      <c r="AC210" s="295">
        <f t="shared" si="45"/>
        <v>0</v>
      </c>
      <c r="AD210" s="295">
        <f t="shared" si="45"/>
        <v>0</v>
      </c>
      <c r="AE210" s="296">
        <f t="shared" si="45"/>
        <v>0</v>
      </c>
    </row>
    <row r="211" spans="1:31">
      <c r="A211" s="1711"/>
      <c r="B211" s="116">
        <v>10</v>
      </c>
      <c r="C211" s="294">
        <f t="shared" si="44"/>
        <v>0</v>
      </c>
      <c r="D211" s="295">
        <f t="shared" si="46"/>
        <v>0</v>
      </c>
      <c r="E211" s="295">
        <f t="shared" si="45"/>
        <v>0.18127306166472676</v>
      </c>
      <c r="F211" s="295">
        <f t="shared" si="45"/>
        <v>0.27239767295053779</v>
      </c>
      <c r="G211" s="295">
        <f t="shared" si="45"/>
        <v>0</v>
      </c>
      <c r="H211" s="295">
        <f t="shared" si="45"/>
        <v>0</v>
      </c>
      <c r="I211" s="295">
        <f t="shared" si="45"/>
        <v>0</v>
      </c>
      <c r="J211" s="295">
        <f t="shared" si="45"/>
        <v>8.6463508605244127E-2</v>
      </c>
      <c r="K211" s="295">
        <f t="shared" si="45"/>
        <v>0.17001145709433718</v>
      </c>
      <c r="L211" s="295">
        <f t="shared" si="45"/>
        <v>0</v>
      </c>
      <c r="M211" s="295">
        <f t="shared" si="45"/>
        <v>0</v>
      </c>
      <c r="N211" s="295">
        <f t="shared" si="45"/>
        <v>0</v>
      </c>
      <c r="O211" s="295">
        <f t="shared" si="45"/>
        <v>0</v>
      </c>
      <c r="P211" s="295">
        <f t="shared" si="45"/>
        <v>0</v>
      </c>
      <c r="Q211" s="295">
        <f t="shared" ref="Q211:AE218" si="47">P210*$H37</f>
        <v>0</v>
      </c>
      <c r="R211" s="295">
        <f t="shared" si="47"/>
        <v>0</v>
      </c>
      <c r="S211" s="295">
        <f t="shared" si="47"/>
        <v>0</v>
      </c>
      <c r="T211" s="295">
        <f t="shared" si="47"/>
        <v>0</v>
      </c>
      <c r="U211" s="295">
        <f t="shared" si="47"/>
        <v>0</v>
      </c>
      <c r="V211" s="295">
        <f t="shared" si="47"/>
        <v>0</v>
      </c>
      <c r="W211" s="295">
        <f t="shared" si="47"/>
        <v>0</v>
      </c>
      <c r="X211" s="295">
        <f t="shared" si="47"/>
        <v>0</v>
      </c>
      <c r="Y211" s="295">
        <f t="shared" si="47"/>
        <v>0</v>
      </c>
      <c r="Z211" s="295">
        <f t="shared" si="47"/>
        <v>0</v>
      </c>
      <c r="AA211" s="295">
        <f t="shared" si="47"/>
        <v>0</v>
      </c>
      <c r="AB211" s="295">
        <f t="shared" si="47"/>
        <v>0</v>
      </c>
      <c r="AC211" s="295">
        <f t="shared" si="47"/>
        <v>0</v>
      </c>
      <c r="AD211" s="295">
        <f t="shared" si="47"/>
        <v>0</v>
      </c>
      <c r="AE211" s="296">
        <f t="shared" si="47"/>
        <v>0</v>
      </c>
    </row>
    <row r="212" spans="1:31">
      <c r="A212" s="1711"/>
      <c r="B212" s="116">
        <v>11</v>
      </c>
      <c r="C212" s="294">
        <f t="shared" si="44"/>
        <v>0</v>
      </c>
      <c r="D212" s="295">
        <f t="shared" si="46"/>
        <v>0</v>
      </c>
      <c r="E212" s="295">
        <f t="shared" si="46"/>
        <v>0</v>
      </c>
      <c r="F212" s="295">
        <f t="shared" si="46"/>
        <v>8.2423496514913236E-2</v>
      </c>
      <c r="G212" s="295">
        <f t="shared" si="46"/>
        <v>0.12385717128028169</v>
      </c>
      <c r="H212" s="295">
        <f t="shared" si="46"/>
        <v>0</v>
      </c>
      <c r="I212" s="295">
        <f t="shared" si="46"/>
        <v>0</v>
      </c>
      <c r="J212" s="295">
        <f t="shared" si="46"/>
        <v>0</v>
      </c>
      <c r="K212" s="295">
        <f t="shared" si="46"/>
        <v>3.931430646530671E-2</v>
      </c>
      <c r="L212" s="295">
        <f t="shared" si="46"/>
        <v>7.7302929694142999E-2</v>
      </c>
      <c r="M212" s="295">
        <f t="shared" si="46"/>
        <v>0</v>
      </c>
      <c r="N212" s="295">
        <f t="shared" si="46"/>
        <v>0</v>
      </c>
      <c r="O212" s="295">
        <f t="shared" si="46"/>
        <v>0</v>
      </c>
      <c r="P212" s="295">
        <f t="shared" si="46"/>
        <v>0</v>
      </c>
      <c r="Q212" s="295">
        <f t="shared" si="46"/>
        <v>0</v>
      </c>
      <c r="R212" s="295">
        <f t="shared" si="46"/>
        <v>0</v>
      </c>
      <c r="S212" s="295">
        <f t="shared" si="46"/>
        <v>0</v>
      </c>
      <c r="T212" s="295">
        <f t="shared" si="47"/>
        <v>0</v>
      </c>
      <c r="U212" s="295">
        <f t="shared" si="47"/>
        <v>0</v>
      </c>
      <c r="V212" s="295">
        <f t="shared" si="47"/>
        <v>0</v>
      </c>
      <c r="W212" s="295">
        <f t="shared" si="47"/>
        <v>0</v>
      </c>
      <c r="X212" s="295">
        <f t="shared" si="47"/>
        <v>0</v>
      </c>
      <c r="Y212" s="295">
        <f t="shared" si="47"/>
        <v>0</v>
      </c>
      <c r="Z212" s="295">
        <f t="shared" si="47"/>
        <v>0</v>
      </c>
      <c r="AA212" s="295">
        <f t="shared" si="47"/>
        <v>0</v>
      </c>
      <c r="AB212" s="295">
        <f t="shared" si="47"/>
        <v>0</v>
      </c>
      <c r="AC212" s="295">
        <f t="shared" si="47"/>
        <v>0</v>
      </c>
      <c r="AD212" s="295">
        <f t="shared" si="47"/>
        <v>0</v>
      </c>
      <c r="AE212" s="296">
        <f t="shared" si="47"/>
        <v>0</v>
      </c>
    </row>
    <row r="213" spans="1:31">
      <c r="A213" s="1711"/>
      <c r="B213" s="116">
        <v>12</v>
      </c>
      <c r="C213" s="294">
        <f t="shared" si="44"/>
        <v>0</v>
      </c>
      <c r="D213" s="295">
        <f t="shared" si="46"/>
        <v>0</v>
      </c>
      <c r="E213" s="295">
        <f t="shared" si="46"/>
        <v>0</v>
      </c>
      <c r="F213" s="295">
        <f t="shared" si="46"/>
        <v>0</v>
      </c>
      <c r="G213" s="295">
        <f t="shared" si="46"/>
        <v>3.0974112402883062E-2</v>
      </c>
      <c r="H213" s="295">
        <f t="shared" si="46"/>
        <v>4.6544566869284106E-2</v>
      </c>
      <c r="I213" s="295">
        <f t="shared" si="46"/>
        <v>0</v>
      </c>
      <c r="J213" s="295">
        <f t="shared" si="46"/>
        <v>0</v>
      </c>
      <c r="K213" s="295">
        <f t="shared" si="46"/>
        <v>0</v>
      </c>
      <c r="L213" s="295">
        <f t="shared" si="46"/>
        <v>1.4774012253623261E-2</v>
      </c>
      <c r="M213" s="295">
        <f t="shared" si="46"/>
        <v>2.9049843001811078E-2</v>
      </c>
      <c r="N213" s="295">
        <f t="shared" si="46"/>
        <v>0</v>
      </c>
      <c r="O213" s="295">
        <f t="shared" si="46"/>
        <v>0</v>
      </c>
      <c r="P213" s="295">
        <f t="shared" si="46"/>
        <v>0</v>
      </c>
      <c r="Q213" s="295">
        <f t="shared" si="46"/>
        <v>0</v>
      </c>
      <c r="R213" s="295">
        <f t="shared" si="46"/>
        <v>0</v>
      </c>
      <c r="S213" s="295">
        <f t="shared" si="46"/>
        <v>0</v>
      </c>
      <c r="T213" s="295">
        <f t="shared" si="47"/>
        <v>0</v>
      </c>
      <c r="U213" s="295">
        <f t="shared" si="47"/>
        <v>0</v>
      </c>
      <c r="V213" s="295">
        <f t="shared" si="47"/>
        <v>0</v>
      </c>
      <c r="W213" s="295">
        <f t="shared" si="47"/>
        <v>0</v>
      </c>
      <c r="X213" s="295">
        <f t="shared" si="47"/>
        <v>0</v>
      </c>
      <c r="Y213" s="295">
        <f t="shared" si="47"/>
        <v>0</v>
      </c>
      <c r="Z213" s="295">
        <f t="shared" si="47"/>
        <v>0</v>
      </c>
      <c r="AA213" s="295">
        <f t="shared" si="47"/>
        <v>0</v>
      </c>
      <c r="AB213" s="295">
        <f t="shared" si="47"/>
        <v>0</v>
      </c>
      <c r="AC213" s="295">
        <f t="shared" si="47"/>
        <v>0</v>
      </c>
      <c r="AD213" s="295">
        <f t="shared" si="47"/>
        <v>0</v>
      </c>
      <c r="AE213" s="296">
        <f t="shared" si="47"/>
        <v>0</v>
      </c>
    </row>
    <row r="214" spans="1:31">
      <c r="A214" s="1711"/>
      <c r="B214" s="116">
        <v>13</v>
      </c>
      <c r="C214" s="294">
        <f t="shared" si="44"/>
        <v>0</v>
      </c>
      <c r="D214" s="295">
        <f t="shared" si="46"/>
        <v>0</v>
      </c>
      <c r="E214" s="295">
        <f t="shared" si="46"/>
        <v>0</v>
      </c>
      <c r="F214" s="295">
        <f t="shared" si="46"/>
        <v>0</v>
      </c>
      <c r="G214" s="295">
        <f t="shared" si="46"/>
        <v>0</v>
      </c>
      <c r="H214" s="295">
        <f t="shared" si="46"/>
        <v>9.1251211705079271E-3</v>
      </c>
      <c r="I214" s="295">
        <f t="shared" si="46"/>
        <v>1.3712251282186637E-2</v>
      </c>
      <c r="J214" s="295">
        <f t="shared" si="46"/>
        <v>0</v>
      </c>
      <c r="K214" s="295">
        <f t="shared" si="46"/>
        <v>0</v>
      </c>
      <c r="L214" s="295">
        <f t="shared" si="46"/>
        <v>0</v>
      </c>
      <c r="M214" s="295">
        <f t="shared" si="46"/>
        <v>4.3524944390765704E-3</v>
      </c>
      <c r="N214" s="295">
        <f t="shared" si="46"/>
        <v>8.5582222317719722E-3</v>
      </c>
      <c r="O214" s="295">
        <f t="shared" si="46"/>
        <v>0</v>
      </c>
      <c r="P214" s="295">
        <f t="shared" si="46"/>
        <v>0</v>
      </c>
      <c r="Q214" s="295">
        <f t="shared" si="46"/>
        <v>0</v>
      </c>
      <c r="R214" s="295">
        <f t="shared" si="46"/>
        <v>0</v>
      </c>
      <c r="S214" s="295">
        <f t="shared" si="46"/>
        <v>0</v>
      </c>
      <c r="T214" s="295">
        <f t="shared" si="47"/>
        <v>0</v>
      </c>
      <c r="U214" s="295">
        <f t="shared" si="47"/>
        <v>0</v>
      </c>
      <c r="V214" s="295">
        <f t="shared" si="47"/>
        <v>0</v>
      </c>
      <c r="W214" s="295">
        <f t="shared" si="47"/>
        <v>0</v>
      </c>
      <c r="X214" s="295">
        <f t="shared" si="47"/>
        <v>0</v>
      </c>
      <c r="Y214" s="295">
        <f t="shared" si="47"/>
        <v>0</v>
      </c>
      <c r="Z214" s="295">
        <f t="shared" si="47"/>
        <v>0</v>
      </c>
      <c r="AA214" s="295">
        <f t="shared" si="47"/>
        <v>0</v>
      </c>
      <c r="AB214" s="295">
        <f t="shared" si="47"/>
        <v>0</v>
      </c>
      <c r="AC214" s="295">
        <f t="shared" si="47"/>
        <v>0</v>
      </c>
      <c r="AD214" s="295">
        <f t="shared" si="47"/>
        <v>0</v>
      </c>
      <c r="AE214" s="296">
        <f t="shared" si="47"/>
        <v>0</v>
      </c>
    </row>
    <row r="215" spans="1:31">
      <c r="A215" s="1711"/>
      <c r="B215" s="116">
        <v>14</v>
      </c>
      <c r="C215" s="294">
        <f t="shared" si="44"/>
        <v>0</v>
      </c>
      <c r="D215" s="295">
        <f t="shared" si="46"/>
        <v>0</v>
      </c>
      <c r="E215" s="295">
        <f t="shared" si="46"/>
        <v>0</v>
      </c>
      <c r="F215" s="295">
        <f t="shared" si="46"/>
        <v>0</v>
      </c>
      <c r="G215" s="295">
        <f t="shared" si="46"/>
        <v>0</v>
      </c>
      <c r="H215" s="295">
        <f t="shared" si="46"/>
        <v>0</v>
      </c>
      <c r="I215" s="295">
        <f t="shared" si="46"/>
        <v>2.0215697854343863E-3</v>
      </c>
      <c r="J215" s="295">
        <f t="shared" si="46"/>
        <v>3.0377977852988278E-3</v>
      </c>
      <c r="K215" s="295">
        <f t="shared" si="46"/>
        <v>0</v>
      </c>
      <c r="L215" s="295">
        <f t="shared" si="46"/>
        <v>0</v>
      </c>
      <c r="M215" s="295">
        <f t="shared" si="46"/>
        <v>0</v>
      </c>
      <c r="N215" s="295">
        <f t="shared" si="46"/>
        <v>9.6424705874000082E-4</v>
      </c>
      <c r="O215" s="295">
        <f t="shared" si="46"/>
        <v>1.8959795883806375E-3</v>
      </c>
      <c r="P215" s="295">
        <f t="shared" si="46"/>
        <v>0</v>
      </c>
      <c r="Q215" s="295">
        <f t="shared" si="46"/>
        <v>0</v>
      </c>
      <c r="R215" s="295">
        <f t="shared" si="46"/>
        <v>0</v>
      </c>
      <c r="S215" s="295">
        <f t="shared" si="46"/>
        <v>0</v>
      </c>
      <c r="T215" s="295">
        <f t="shared" si="47"/>
        <v>0</v>
      </c>
      <c r="U215" s="295">
        <f t="shared" si="47"/>
        <v>0</v>
      </c>
      <c r="V215" s="295">
        <f t="shared" si="47"/>
        <v>0</v>
      </c>
      <c r="W215" s="295">
        <f t="shared" si="47"/>
        <v>0</v>
      </c>
      <c r="X215" s="295">
        <f t="shared" si="47"/>
        <v>0</v>
      </c>
      <c r="Y215" s="295">
        <f t="shared" si="47"/>
        <v>0</v>
      </c>
      <c r="Z215" s="295">
        <f t="shared" si="47"/>
        <v>0</v>
      </c>
      <c r="AA215" s="295">
        <f t="shared" si="47"/>
        <v>0</v>
      </c>
      <c r="AB215" s="295">
        <f t="shared" si="47"/>
        <v>0</v>
      </c>
      <c r="AC215" s="295">
        <f t="shared" si="47"/>
        <v>0</v>
      </c>
      <c r="AD215" s="295">
        <f t="shared" si="47"/>
        <v>0</v>
      </c>
      <c r="AE215" s="296">
        <f t="shared" si="47"/>
        <v>0</v>
      </c>
    </row>
    <row r="216" spans="1:31">
      <c r="A216" s="1711"/>
      <c r="B216" s="116">
        <v>15</v>
      </c>
      <c r="C216" s="294">
        <f t="shared" si="44"/>
        <v>0</v>
      </c>
      <c r="D216" s="295">
        <f t="shared" si="46"/>
        <v>0</v>
      </c>
      <c r="E216" s="295">
        <f t="shared" si="46"/>
        <v>0</v>
      </c>
      <c r="F216" s="295">
        <f t="shared" si="46"/>
        <v>0</v>
      </c>
      <c r="G216" s="295">
        <f t="shared" si="46"/>
        <v>0</v>
      </c>
      <c r="H216" s="295">
        <f t="shared" si="46"/>
        <v>0</v>
      </c>
      <c r="I216" s="295">
        <f t="shared" si="46"/>
        <v>0</v>
      </c>
      <c r="J216" s="295">
        <f t="shared" si="46"/>
        <v>3.4081523610306192E-4</v>
      </c>
      <c r="K216" s="295">
        <f t="shared" si="46"/>
        <v>5.1214050431977129E-4</v>
      </c>
      <c r="L216" s="295">
        <f t="shared" si="46"/>
        <v>0</v>
      </c>
      <c r="M216" s="295">
        <f t="shared" si="46"/>
        <v>0</v>
      </c>
      <c r="N216" s="295">
        <f t="shared" si="46"/>
        <v>0</v>
      </c>
      <c r="O216" s="295">
        <f t="shared" si="46"/>
        <v>1.6256183256891215E-4</v>
      </c>
      <c r="P216" s="295">
        <f t="shared" si="46"/>
        <v>3.1964206020307378E-4</v>
      </c>
      <c r="Q216" s="295">
        <f t="shared" si="46"/>
        <v>0</v>
      </c>
      <c r="R216" s="295">
        <f t="shared" si="46"/>
        <v>0</v>
      </c>
      <c r="S216" s="295">
        <f t="shared" si="46"/>
        <v>0</v>
      </c>
      <c r="T216" s="295">
        <f t="shared" si="47"/>
        <v>0</v>
      </c>
      <c r="U216" s="295">
        <f t="shared" si="47"/>
        <v>0</v>
      </c>
      <c r="V216" s="295">
        <f t="shared" si="47"/>
        <v>0</v>
      </c>
      <c r="W216" s="295">
        <f t="shared" si="47"/>
        <v>0</v>
      </c>
      <c r="X216" s="295">
        <f t="shared" si="47"/>
        <v>0</v>
      </c>
      <c r="Y216" s="295">
        <f t="shared" si="47"/>
        <v>0</v>
      </c>
      <c r="Z216" s="295">
        <f t="shared" si="47"/>
        <v>0</v>
      </c>
      <c r="AA216" s="295">
        <f t="shared" si="47"/>
        <v>0</v>
      </c>
      <c r="AB216" s="295">
        <f t="shared" si="47"/>
        <v>0</v>
      </c>
      <c r="AC216" s="295">
        <f t="shared" si="47"/>
        <v>0</v>
      </c>
      <c r="AD216" s="295">
        <f t="shared" si="47"/>
        <v>0</v>
      </c>
      <c r="AE216" s="296">
        <f t="shared" si="47"/>
        <v>0</v>
      </c>
    </row>
    <row r="217" spans="1:31">
      <c r="A217" s="1711"/>
      <c r="B217" s="116">
        <v>16</v>
      </c>
      <c r="C217" s="294">
        <f t="shared" si="44"/>
        <v>0</v>
      </c>
      <c r="D217" s="295">
        <f t="shared" si="46"/>
        <v>0</v>
      </c>
      <c r="E217" s="295">
        <f t="shared" si="46"/>
        <v>0</v>
      </c>
      <c r="F217" s="295">
        <f t="shared" si="46"/>
        <v>0</v>
      </c>
      <c r="G217" s="295">
        <f t="shared" si="46"/>
        <v>0</v>
      </c>
      <c r="H217" s="295">
        <f t="shared" si="46"/>
        <v>0</v>
      </c>
      <c r="I217" s="295">
        <f t="shared" si="46"/>
        <v>0</v>
      </c>
      <c r="J217" s="295">
        <f t="shared" si="46"/>
        <v>0</v>
      </c>
      <c r="K217" s="295">
        <f t="shared" si="46"/>
        <v>4.0210261776730402E-5</v>
      </c>
      <c r="L217" s="295">
        <f t="shared" si="46"/>
        <v>6.0423659401592459E-5</v>
      </c>
      <c r="M217" s="295">
        <f t="shared" si="46"/>
        <v>0</v>
      </c>
      <c r="N217" s="295">
        <f t="shared" si="46"/>
        <v>0</v>
      </c>
      <c r="O217" s="295">
        <f t="shared" si="46"/>
        <v>0</v>
      </c>
      <c r="P217" s="295">
        <f t="shared" si="46"/>
        <v>1.9179464853866755E-5</v>
      </c>
      <c r="Q217" s="295">
        <f t="shared" si="46"/>
        <v>3.7712195800226267E-5</v>
      </c>
      <c r="R217" s="295">
        <f t="shared" si="46"/>
        <v>0</v>
      </c>
      <c r="S217" s="295">
        <f t="shared" si="46"/>
        <v>0</v>
      </c>
      <c r="T217" s="295">
        <f t="shared" si="47"/>
        <v>0</v>
      </c>
      <c r="U217" s="295">
        <f t="shared" si="47"/>
        <v>0</v>
      </c>
      <c r="V217" s="295">
        <f t="shared" si="47"/>
        <v>0</v>
      </c>
      <c r="W217" s="295">
        <f t="shared" si="47"/>
        <v>0</v>
      </c>
      <c r="X217" s="295">
        <f t="shared" si="47"/>
        <v>0</v>
      </c>
      <c r="Y217" s="295">
        <f t="shared" si="47"/>
        <v>0</v>
      </c>
      <c r="Z217" s="295">
        <f t="shared" si="47"/>
        <v>0</v>
      </c>
      <c r="AA217" s="295">
        <f t="shared" si="47"/>
        <v>0</v>
      </c>
      <c r="AB217" s="295">
        <f t="shared" si="47"/>
        <v>0</v>
      </c>
      <c r="AC217" s="295">
        <f t="shared" si="47"/>
        <v>0</v>
      </c>
      <c r="AD217" s="295">
        <f t="shared" si="47"/>
        <v>0</v>
      </c>
      <c r="AE217" s="296">
        <f t="shared" si="47"/>
        <v>0</v>
      </c>
    </row>
    <row r="218" spans="1:31">
      <c r="A218" s="1711"/>
      <c r="B218" s="116">
        <v>17</v>
      </c>
      <c r="C218" s="294">
        <f t="shared" si="44"/>
        <v>0</v>
      </c>
      <c r="D218" s="295">
        <f t="shared" si="46"/>
        <v>0</v>
      </c>
      <c r="E218" s="295">
        <f t="shared" si="46"/>
        <v>0</v>
      </c>
      <c r="F218" s="295">
        <f t="shared" si="46"/>
        <v>0</v>
      </c>
      <c r="G218" s="295">
        <f t="shared" si="46"/>
        <v>0</v>
      </c>
      <c r="H218" s="295">
        <f t="shared" si="46"/>
        <v>0</v>
      </c>
      <c r="I218" s="295">
        <f t="shared" si="46"/>
        <v>0</v>
      </c>
      <c r="J218" s="295">
        <f t="shared" si="46"/>
        <v>0</v>
      </c>
      <c r="K218" s="295">
        <f t="shared" si="46"/>
        <v>0</v>
      </c>
      <c r="L218" s="295">
        <f t="shared" si="46"/>
        <v>4.2696994816799329E-6</v>
      </c>
      <c r="M218" s="295">
        <f t="shared" si="46"/>
        <v>6.4160454527924241E-6</v>
      </c>
      <c r="N218" s="295">
        <f t="shared" si="46"/>
        <v>0</v>
      </c>
      <c r="O218" s="295">
        <f t="shared" si="46"/>
        <v>0</v>
      </c>
      <c r="P218" s="295">
        <f t="shared" si="46"/>
        <v>0</v>
      </c>
      <c r="Q218" s="295">
        <f t="shared" si="46"/>
        <v>2.0365585183243761E-6</v>
      </c>
      <c r="R218" s="295">
        <f t="shared" si="46"/>
        <v>4.0044440335979113E-6</v>
      </c>
      <c r="S218" s="295">
        <f t="shared" si="46"/>
        <v>0</v>
      </c>
      <c r="T218" s="295">
        <f t="shared" si="47"/>
        <v>0</v>
      </c>
      <c r="U218" s="295">
        <f t="shared" si="47"/>
        <v>0</v>
      </c>
      <c r="V218" s="295">
        <f t="shared" si="47"/>
        <v>0</v>
      </c>
      <c r="W218" s="295">
        <f t="shared" si="47"/>
        <v>0</v>
      </c>
      <c r="X218" s="295">
        <f t="shared" si="47"/>
        <v>0</v>
      </c>
      <c r="Y218" s="295">
        <f t="shared" si="47"/>
        <v>0</v>
      </c>
      <c r="Z218" s="295">
        <f t="shared" si="47"/>
        <v>0</v>
      </c>
      <c r="AA218" s="295">
        <f t="shared" si="47"/>
        <v>0</v>
      </c>
      <c r="AB218" s="295">
        <f t="shared" si="47"/>
        <v>0</v>
      </c>
      <c r="AC218" s="295">
        <f t="shared" si="47"/>
        <v>0</v>
      </c>
      <c r="AD218" s="295">
        <f t="shared" si="47"/>
        <v>0</v>
      </c>
      <c r="AE218" s="296">
        <f t="shared" si="47"/>
        <v>0</v>
      </c>
    </row>
    <row r="219" spans="1:31">
      <c r="A219" s="1711"/>
      <c r="B219" s="116">
        <v>18</v>
      </c>
      <c r="C219" s="294">
        <f t="shared" si="44"/>
        <v>0</v>
      </c>
      <c r="D219" s="295">
        <f t="shared" ref="D219:AE226" si="48">C218*$H45</f>
        <v>0</v>
      </c>
      <c r="E219" s="295">
        <f t="shared" si="48"/>
        <v>0</v>
      </c>
      <c r="F219" s="295">
        <f t="shared" si="48"/>
        <v>0</v>
      </c>
      <c r="G219" s="295">
        <f t="shared" si="48"/>
        <v>0</v>
      </c>
      <c r="H219" s="295">
        <f t="shared" si="48"/>
        <v>0</v>
      </c>
      <c r="I219" s="295">
        <f t="shared" si="48"/>
        <v>0</v>
      </c>
      <c r="J219" s="295">
        <f t="shared" si="48"/>
        <v>0</v>
      </c>
      <c r="K219" s="295">
        <f t="shared" si="48"/>
        <v>0</v>
      </c>
      <c r="L219" s="295">
        <f t="shared" si="48"/>
        <v>0</v>
      </c>
      <c r="M219" s="295">
        <f t="shared" si="48"/>
        <v>4.03000137738919E-7</v>
      </c>
      <c r="N219" s="295">
        <f t="shared" si="48"/>
        <v>6.0558529055941177E-7</v>
      </c>
      <c r="O219" s="295">
        <f t="shared" si="48"/>
        <v>0</v>
      </c>
      <c r="P219" s="295">
        <f t="shared" si="48"/>
        <v>0</v>
      </c>
      <c r="Q219" s="295">
        <f t="shared" si="48"/>
        <v>0</v>
      </c>
      <c r="R219" s="295">
        <f t="shared" si="48"/>
        <v>1.9222274703866771E-7</v>
      </c>
      <c r="S219" s="295">
        <f t="shared" si="48"/>
        <v>3.7796371946833057E-7</v>
      </c>
      <c r="T219" s="295">
        <f t="shared" si="48"/>
        <v>0</v>
      </c>
      <c r="U219" s="295">
        <f t="shared" si="48"/>
        <v>0</v>
      </c>
      <c r="V219" s="295">
        <f t="shared" si="48"/>
        <v>0</v>
      </c>
      <c r="W219" s="295">
        <f t="shared" si="48"/>
        <v>0</v>
      </c>
      <c r="X219" s="295">
        <f t="shared" si="48"/>
        <v>0</v>
      </c>
      <c r="Y219" s="295">
        <f t="shared" si="48"/>
        <v>0</v>
      </c>
      <c r="Z219" s="295">
        <f t="shared" si="48"/>
        <v>0</v>
      </c>
      <c r="AA219" s="295">
        <f t="shared" si="48"/>
        <v>0</v>
      </c>
      <c r="AB219" s="295">
        <f t="shared" si="48"/>
        <v>0</v>
      </c>
      <c r="AC219" s="295">
        <f t="shared" si="48"/>
        <v>0</v>
      </c>
      <c r="AD219" s="295">
        <f t="shared" si="48"/>
        <v>0</v>
      </c>
      <c r="AE219" s="296">
        <f t="shared" si="48"/>
        <v>0</v>
      </c>
    </row>
    <row r="220" spans="1:31">
      <c r="A220" s="1711"/>
      <c r="B220" s="116">
        <v>19</v>
      </c>
      <c r="C220" s="294">
        <f t="shared" ref="C220:C226" si="49">(EXP(15-B220)*$P$44/(EXP(-1)+EXP(-2)+EXP(-3)+EXP(-4)+EXP(-5)+EXP(-6)+EXP(-7)+EXP(-8)+EXP(-9)+EXP(-10)))</f>
        <v>0</v>
      </c>
      <c r="D220" s="295">
        <f t="shared" si="48"/>
        <v>0</v>
      </c>
      <c r="E220" s="295">
        <f t="shared" si="48"/>
        <v>0</v>
      </c>
      <c r="F220" s="295">
        <f t="shared" si="48"/>
        <v>0</v>
      </c>
      <c r="G220" s="295">
        <f t="shared" si="48"/>
        <v>0</v>
      </c>
      <c r="H220" s="295">
        <f t="shared" si="48"/>
        <v>0</v>
      </c>
      <c r="I220" s="295">
        <f t="shared" si="48"/>
        <v>0</v>
      </c>
      <c r="J220" s="295">
        <f t="shared" si="48"/>
        <v>0</v>
      </c>
      <c r="K220" s="295">
        <f t="shared" si="48"/>
        <v>0</v>
      </c>
      <c r="L220" s="295">
        <f t="shared" si="48"/>
        <v>0</v>
      </c>
      <c r="M220" s="295">
        <f t="shared" si="48"/>
        <v>0</v>
      </c>
      <c r="N220" s="295">
        <f t="shared" si="48"/>
        <v>3.3282897953388553E-8</v>
      </c>
      <c r="O220" s="295">
        <f t="shared" si="48"/>
        <v>5.0013961634970346E-8</v>
      </c>
      <c r="P220" s="295">
        <f t="shared" si="48"/>
        <v>0</v>
      </c>
      <c r="Q220" s="295">
        <f t="shared" si="48"/>
        <v>0</v>
      </c>
      <c r="R220" s="295">
        <f t="shared" si="48"/>
        <v>0</v>
      </c>
      <c r="S220" s="295">
        <f t="shared" si="48"/>
        <v>1.5875255303641426E-8</v>
      </c>
      <c r="T220" s="295">
        <f t="shared" si="48"/>
        <v>3.1215195051117629E-8</v>
      </c>
      <c r="U220" s="295">
        <f t="shared" si="48"/>
        <v>0</v>
      </c>
      <c r="V220" s="295">
        <f t="shared" si="48"/>
        <v>0</v>
      </c>
      <c r="W220" s="295">
        <f t="shared" si="48"/>
        <v>0</v>
      </c>
      <c r="X220" s="295">
        <f t="shared" si="48"/>
        <v>0</v>
      </c>
      <c r="Y220" s="295">
        <f t="shared" si="48"/>
        <v>0</v>
      </c>
      <c r="Z220" s="295">
        <f t="shared" si="48"/>
        <v>0</v>
      </c>
      <c r="AA220" s="295">
        <f t="shared" si="48"/>
        <v>0</v>
      </c>
      <c r="AB220" s="295">
        <f t="shared" si="48"/>
        <v>0</v>
      </c>
      <c r="AC220" s="295">
        <f t="shared" si="48"/>
        <v>0</v>
      </c>
      <c r="AD220" s="295">
        <f t="shared" si="48"/>
        <v>0</v>
      </c>
      <c r="AE220" s="296">
        <f t="shared" si="48"/>
        <v>0</v>
      </c>
    </row>
    <row r="221" spans="1:31">
      <c r="A221" s="1711"/>
      <c r="B221" s="116">
        <v>20</v>
      </c>
      <c r="C221" s="294">
        <f t="shared" si="49"/>
        <v>0</v>
      </c>
      <c r="D221" s="295">
        <f t="shared" si="48"/>
        <v>0</v>
      </c>
      <c r="E221" s="295">
        <f t="shared" si="48"/>
        <v>0</v>
      </c>
      <c r="F221" s="295">
        <f t="shared" si="48"/>
        <v>0</v>
      </c>
      <c r="G221" s="295">
        <f t="shared" si="48"/>
        <v>0</v>
      </c>
      <c r="H221" s="295">
        <f t="shared" si="48"/>
        <v>0</v>
      </c>
      <c r="I221" s="295">
        <f t="shared" si="48"/>
        <v>0</v>
      </c>
      <c r="J221" s="295">
        <f t="shared" si="48"/>
        <v>0</v>
      </c>
      <c r="K221" s="295">
        <f t="shared" si="48"/>
        <v>0</v>
      </c>
      <c r="L221" s="295">
        <f t="shared" si="48"/>
        <v>0</v>
      </c>
      <c r="M221" s="295">
        <f t="shared" si="48"/>
        <v>0</v>
      </c>
      <c r="N221" s="295">
        <f t="shared" si="48"/>
        <v>0</v>
      </c>
      <c r="O221" s="295">
        <f t="shared" si="48"/>
        <v>2.3560813560387671E-9</v>
      </c>
      <c r="P221" s="295">
        <f t="shared" si="48"/>
        <v>3.5404658186561172E-9</v>
      </c>
      <c r="Q221" s="295">
        <f t="shared" si="48"/>
        <v>0</v>
      </c>
      <c r="R221" s="295">
        <f t="shared" si="48"/>
        <v>0</v>
      </c>
      <c r="S221" s="295">
        <f t="shared" si="48"/>
        <v>0</v>
      </c>
      <c r="T221" s="295">
        <f t="shared" si="48"/>
        <v>1.123802172985272E-9</v>
      </c>
      <c r="U221" s="295">
        <f t="shared" si="48"/>
        <v>2.2097095988471196E-9</v>
      </c>
      <c r="V221" s="295">
        <f t="shared" si="48"/>
        <v>0</v>
      </c>
      <c r="W221" s="295">
        <f t="shared" si="48"/>
        <v>0</v>
      </c>
      <c r="X221" s="295">
        <f t="shared" si="48"/>
        <v>0</v>
      </c>
      <c r="Y221" s="295">
        <f t="shared" si="48"/>
        <v>0</v>
      </c>
      <c r="Z221" s="295">
        <f t="shared" si="48"/>
        <v>0</v>
      </c>
      <c r="AA221" s="295">
        <f t="shared" si="48"/>
        <v>0</v>
      </c>
      <c r="AB221" s="295">
        <f t="shared" si="48"/>
        <v>0</v>
      </c>
      <c r="AC221" s="295">
        <f t="shared" si="48"/>
        <v>0</v>
      </c>
      <c r="AD221" s="295">
        <f t="shared" si="48"/>
        <v>0</v>
      </c>
      <c r="AE221" s="296">
        <f t="shared" si="48"/>
        <v>0</v>
      </c>
    </row>
    <row r="222" spans="1:31">
      <c r="A222" s="1711"/>
      <c r="B222" s="116">
        <v>21</v>
      </c>
      <c r="C222" s="294">
        <f t="shared" si="49"/>
        <v>0</v>
      </c>
      <c r="D222" s="295">
        <f t="shared" si="48"/>
        <v>0</v>
      </c>
      <c r="E222" s="295">
        <f t="shared" si="48"/>
        <v>0</v>
      </c>
      <c r="F222" s="295">
        <f t="shared" si="48"/>
        <v>0</v>
      </c>
      <c r="G222" s="295">
        <f t="shared" si="48"/>
        <v>0</v>
      </c>
      <c r="H222" s="295">
        <f t="shared" si="48"/>
        <v>0</v>
      </c>
      <c r="I222" s="295">
        <f t="shared" si="48"/>
        <v>0</v>
      </c>
      <c r="J222" s="295">
        <f t="shared" si="48"/>
        <v>0</v>
      </c>
      <c r="K222" s="295">
        <f t="shared" si="48"/>
        <v>0</v>
      </c>
      <c r="L222" s="295">
        <f t="shared" si="48"/>
        <v>0</v>
      </c>
      <c r="M222" s="295">
        <f t="shared" si="48"/>
        <v>0</v>
      </c>
      <c r="N222" s="295">
        <f t="shared" si="48"/>
        <v>0</v>
      </c>
      <c r="O222" s="295">
        <f t="shared" si="48"/>
        <v>0</v>
      </c>
      <c r="P222" s="295">
        <f t="shared" si="48"/>
        <v>1.3898828171071546E-10</v>
      </c>
      <c r="Q222" s="295">
        <f t="shared" si="48"/>
        <v>2.088566506115328E-10</v>
      </c>
      <c r="R222" s="295">
        <f t="shared" si="48"/>
        <v>0</v>
      </c>
      <c r="S222" s="295">
        <f t="shared" si="48"/>
        <v>0</v>
      </c>
      <c r="T222" s="295">
        <f t="shared" si="48"/>
        <v>0</v>
      </c>
      <c r="U222" s="295">
        <f t="shared" si="48"/>
        <v>6.6294541402678594E-11</v>
      </c>
      <c r="V222" s="295">
        <f t="shared" si="48"/>
        <v>1.3035362273728806E-10</v>
      </c>
      <c r="W222" s="295">
        <f t="shared" si="48"/>
        <v>0</v>
      </c>
      <c r="X222" s="295">
        <f t="shared" si="48"/>
        <v>0</v>
      </c>
      <c r="Y222" s="295">
        <f t="shared" si="48"/>
        <v>0</v>
      </c>
      <c r="Z222" s="295">
        <f t="shared" si="48"/>
        <v>0</v>
      </c>
      <c r="AA222" s="295">
        <f t="shared" si="48"/>
        <v>0</v>
      </c>
      <c r="AB222" s="295">
        <f t="shared" si="48"/>
        <v>0</v>
      </c>
      <c r="AC222" s="295">
        <f t="shared" si="48"/>
        <v>0</v>
      </c>
      <c r="AD222" s="295">
        <f t="shared" si="48"/>
        <v>0</v>
      </c>
      <c r="AE222" s="296">
        <f t="shared" si="48"/>
        <v>0</v>
      </c>
    </row>
    <row r="223" spans="1:31">
      <c r="A223" s="1711"/>
      <c r="B223" s="116">
        <v>22</v>
      </c>
      <c r="C223" s="294">
        <f t="shared" si="49"/>
        <v>0</v>
      </c>
      <c r="D223" s="295">
        <f t="shared" si="48"/>
        <v>0</v>
      </c>
      <c r="E223" s="295">
        <f t="shared" si="48"/>
        <v>0</v>
      </c>
      <c r="F223" s="295">
        <f t="shared" si="48"/>
        <v>0</v>
      </c>
      <c r="G223" s="295">
        <f t="shared" si="48"/>
        <v>0</v>
      </c>
      <c r="H223" s="295">
        <f t="shared" si="48"/>
        <v>0</v>
      </c>
      <c r="I223" s="295">
        <f t="shared" si="48"/>
        <v>0</v>
      </c>
      <c r="J223" s="295">
        <f t="shared" si="48"/>
        <v>0</v>
      </c>
      <c r="K223" s="295">
        <f t="shared" si="48"/>
        <v>0</v>
      </c>
      <c r="L223" s="295">
        <f t="shared" si="48"/>
        <v>0</v>
      </c>
      <c r="M223" s="295">
        <f t="shared" si="48"/>
        <v>0</v>
      </c>
      <c r="N223" s="295">
        <f t="shared" si="48"/>
        <v>0</v>
      </c>
      <c r="O223" s="295">
        <f t="shared" si="48"/>
        <v>0</v>
      </c>
      <c r="P223" s="295">
        <f t="shared" si="48"/>
        <v>0</v>
      </c>
      <c r="Q223" s="295">
        <f t="shared" si="48"/>
        <v>6.5592785761441571E-12</v>
      </c>
      <c r="R223" s="295">
        <f t="shared" si="48"/>
        <v>9.8565788207440997E-12</v>
      </c>
      <c r="S223" s="295">
        <f t="shared" si="48"/>
        <v>0</v>
      </c>
      <c r="T223" s="295">
        <f t="shared" si="48"/>
        <v>0</v>
      </c>
      <c r="U223" s="295">
        <f t="shared" si="48"/>
        <v>0</v>
      </c>
      <c r="V223" s="295">
        <f t="shared" si="48"/>
        <v>3.1286404852673755E-12</v>
      </c>
      <c r="W223" s="295">
        <f t="shared" si="48"/>
        <v>6.1517828295991681E-12</v>
      </c>
      <c r="X223" s="295">
        <f t="shared" si="48"/>
        <v>0</v>
      </c>
      <c r="Y223" s="295">
        <f t="shared" si="48"/>
        <v>0</v>
      </c>
      <c r="Z223" s="295">
        <f t="shared" si="48"/>
        <v>0</v>
      </c>
      <c r="AA223" s="295">
        <f t="shared" si="48"/>
        <v>0</v>
      </c>
      <c r="AB223" s="295">
        <f t="shared" si="48"/>
        <v>0</v>
      </c>
      <c r="AC223" s="295">
        <f t="shared" si="48"/>
        <v>0</v>
      </c>
      <c r="AD223" s="295">
        <f t="shared" si="48"/>
        <v>0</v>
      </c>
      <c r="AE223" s="296">
        <f t="shared" si="48"/>
        <v>0</v>
      </c>
    </row>
    <row r="224" spans="1:31">
      <c r="A224" s="1711"/>
      <c r="B224" s="116">
        <v>23</v>
      </c>
      <c r="C224" s="294">
        <f t="shared" si="49"/>
        <v>0</v>
      </c>
      <c r="D224" s="295">
        <f t="shared" si="48"/>
        <v>0</v>
      </c>
      <c r="E224" s="295">
        <f t="shared" si="48"/>
        <v>0</v>
      </c>
      <c r="F224" s="295">
        <f t="shared" si="48"/>
        <v>0</v>
      </c>
      <c r="G224" s="295">
        <f t="shared" si="48"/>
        <v>0</v>
      </c>
      <c r="H224" s="295">
        <f t="shared" si="48"/>
        <v>0</v>
      </c>
      <c r="I224" s="295">
        <f t="shared" si="48"/>
        <v>0</v>
      </c>
      <c r="J224" s="295">
        <f t="shared" si="48"/>
        <v>0</v>
      </c>
      <c r="K224" s="295">
        <f t="shared" si="48"/>
        <v>0</v>
      </c>
      <c r="L224" s="295">
        <f t="shared" si="48"/>
        <v>0</v>
      </c>
      <c r="M224" s="295">
        <f t="shared" si="48"/>
        <v>0</v>
      </c>
      <c r="N224" s="295">
        <f t="shared" si="48"/>
        <v>0</v>
      </c>
      <c r="O224" s="295">
        <f t="shared" si="48"/>
        <v>0</v>
      </c>
      <c r="P224" s="295">
        <f t="shared" si="48"/>
        <v>0</v>
      </c>
      <c r="Q224" s="295">
        <f t="shared" si="48"/>
        <v>0</v>
      </c>
      <c r="R224" s="295">
        <f t="shared" si="48"/>
        <v>2.3216418810586707E-13</v>
      </c>
      <c r="S224" s="295">
        <f t="shared" si="48"/>
        <v>3.4887138773799906E-13</v>
      </c>
      <c r="T224" s="295">
        <f t="shared" si="48"/>
        <v>0</v>
      </c>
      <c r="U224" s="295">
        <f t="shared" si="48"/>
        <v>0</v>
      </c>
      <c r="V224" s="295">
        <f t="shared" si="48"/>
        <v>0</v>
      </c>
      <c r="W224" s="295">
        <f t="shared" si="48"/>
        <v>1.1073752543137643E-13</v>
      </c>
      <c r="X224" s="295">
        <f t="shared" si="48"/>
        <v>2.1774096792167034E-13</v>
      </c>
      <c r="Y224" s="295">
        <f t="shared" si="48"/>
        <v>0</v>
      </c>
      <c r="Z224" s="295">
        <f t="shared" si="48"/>
        <v>0</v>
      </c>
      <c r="AA224" s="295">
        <f t="shared" si="48"/>
        <v>0</v>
      </c>
      <c r="AB224" s="295">
        <f t="shared" si="48"/>
        <v>0</v>
      </c>
      <c r="AC224" s="295">
        <f t="shared" si="48"/>
        <v>0</v>
      </c>
      <c r="AD224" s="295">
        <f t="shared" si="48"/>
        <v>0</v>
      </c>
      <c r="AE224" s="296">
        <f t="shared" si="48"/>
        <v>0</v>
      </c>
    </row>
    <row r="225" spans="1:31">
      <c r="A225" s="1711"/>
      <c r="B225" s="116">
        <v>24</v>
      </c>
      <c r="C225" s="294">
        <f t="shared" si="49"/>
        <v>0</v>
      </c>
      <c r="D225" s="295">
        <f t="shared" si="48"/>
        <v>0</v>
      </c>
      <c r="E225" s="295">
        <f t="shared" si="48"/>
        <v>0</v>
      </c>
      <c r="F225" s="295">
        <f t="shared" si="48"/>
        <v>0</v>
      </c>
      <c r="G225" s="295">
        <f t="shared" si="48"/>
        <v>0</v>
      </c>
      <c r="H225" s="295">
        <f t="shared" si="48"/>
        <v>0</v>
      </c>
      <c r="I225" s="295">
        <f t="shared" si="48"/>
        <v>0</v>
      </c>
      <c r="J225" s="295">
        <f t="shared" si="48"/>
        <v>0</v>
      </c>
      <c r="K225" s="295">
        <f t="shared" si="48"/>
        <v>0</v>
      </c>
      <c r="L225" s="295">
        <f t="shared" si="48"/>
        <v>0</v>
      </c>
      <c r="M225" s="295">
        <f t="shared" si="48"/>
        <v>0</v>
      </c>
      <c r="N225" s="295">
        <f t="shared" si="48"/>
        <v>0</v>
      </c>
      <c r="O225" s="295">
        <f t="shared" si="48"/>
        <v>0</v>
      </c>
      <c r="P225" s="295">
        <f t="shared" si="48"/>
        <v>0</v>
      </c>
      <c r="Q225" s="295">
        <f t="shared" si="48"/>
        <v>0</v>
      </c>
      <c r="R225" s="295">
        <f t="shared" si="48"/>
        <v>0</v>
      </c>
      <c r="S225" s="295">
        <f t="shared" si="48"/>
        <v>5.4782661043334248E-15</v>
      </c>
      <c r="T225" s="295">
        <f t="shared" si="48"/>
        <v>8.2321494706381249E-15</v>
      </c>
      <c r="U225" s="295">
        <f t="shared" si="48"/>
        <v>0</v>
      </c>
      <c r="V225" s="295">
        <f t="shared" si="48"/>
        <v>0</v>
      </c>
      <c r="W225" s="295">
        <f t="shared" si="48"/>
        <v>0</v>
      </c>
      <c r="X225" s="295">
        <f t="shared" si="48"/>
        <v>2.6130198502959353E-15</v>
      </c>
      <c r="Y225" s="295">
        <f t="shared" si="48"/>
        <v>5.1379283507157475E-15</v>
      </c>
      <c r="Z225" s="295">
        <f t="shared" si="48"/>
        <v>0</v>
      </c>
      <c r="AA225" s="295">
        <f t="shared" si="48"/>
        <v>0</v>
      </c>
      <c r="AB225" s="295">
        <f t="shared" si="48"/>
        <v>0</v>
      </c>
      <c r="AC225" s="295">
        <f t="shared" si="48"/>
        <v>0</v>
      </c>
      <c r="AD225" s="295">
        <f t="shared" si="48"/>
        <v>0</v>
      </c>
      <c r="AE225" s="296">
        <f t="shared" si="48"/>
        <v>0</v>
      </c>
    </row>
    <row r="226" spans="1:31" ht="15.75" thickBot="1">
      <c r="A226" s="1711"/>
      <c r="B226" s="116">
        <v>25</v>
      </c>
      <c r="C226" s="297">
        <f t="shared" si="49"/>
        <v>0</v>
      </c>
      <c r="D226" s="298">
        <f t="shared" si="48"/>
        <v>0</v>
      </c>
      <c r="E226" s="298">
        <f t="shared" si="48"/>
        <v>0</v>
      </c>
      <c r="F226" s="298">
        <f t="shared" si="48"/>
        <v>0</v>
      </c>
      <c r="G226" s="298">
        <f t="shared" si="48"/>
        <v>0</v>
      </c>
      <c r="H226" s="298">
        <f t="shared" si="48"/>
        <v>0</v>
      </c>
      <c r="I226" s="298">
        <f t="shared" si="48"/>
        <v>0</v>
      </c>
      <c r="J226" s="298">
        <f t="shared" si="48"/>
        <v>0</v>
      </c>
      <c r="K226" s="298">
        <f t="shared" si="48"/>
        <v>0</v>
      </c>
      <c r="L226" s="298">
        <f t="shared" si="48"/>
        <v>0</v>
      </c>
      <c r="M226" s="298">
        <f t="shared" si="48"/>
        <v>0</v>
      </c>
      <c r="N226" s="298">
        <f t="shared" si="48"/>
        <v>0</v>
      </c>
      <c r="O226" s="298">
        <f t="shared" si="48"/>
        <v>0</v>
      </c>
      <c r="P226" s="298">
        <f t="shared" si="48"/>
        <v>0</v>
      </c>
      <c r="Q226" s="298">
        <f t="shared" si="48"/>
        <v>0</v>
      </c>
      <c r="R226" s="298">
        <f t="shared" si="48"/>
        <v>0</v>
      </c>
      <c r="S226" s="298">
        <f t="shared" si="48"/>
        <v>0</v>
      </c>
      <c r="T226" s="298">
        <f t="shared" si="48"/>
        <v>6.4633998367145388E-17</v>
      </c>
      <c r="U226" s="298">
        <f t="shared" si="48"/>
        <v>9.71250255664721E-17</v>
      </c>
      <c r="V226" s="298">
        <f t="shared" si="48"/>
        <v>0</v>
      </c>
      <c r="W226" s="298">
        <f t="shared" si="48"/>
        <v>0</v>
      </c>
      <c r="X226" s="298">
        <f t="shared" si="48"/>
        <v>0</v>
      </c>
      <c r="Y226" s="298">
        <f t="shared" si="48"/>
        <v>3.0829083056726737E-17</v>
      </c>
      <c r="Z226" s="298">
        <f t="shared" si="48"/>
        <v>6.0618605651154022E-17</v>
      </c>
      <c r="AA226" s="298">
        <f t="shared" si="48"/>
        <v>0</v>
      </c>
      <c r="AB226" s="298">
        <f t="shared" si="48"/>
        <v>0</v>
      </c>
      <c r="AC226" s="298">
        <f t="shared" si="48"/>
        <v>0</v>
      </c>
      <c r="AD226" s="298">
        <f t="shared" si="48"/>
        <v>0</v>
      </c>
      <c r="AE226" s="299">
        <f t="shared" si="48"/>
        <v>0</v>
      </c>
    </row>
    <row r="227" spans="1:31" ht="16.5" thickTop="1" thickBot="1">
      <c r="A227" s="1712"/>
      <c r="B227" s="300" t="s">
        <v>39</v>
      </c>
      <c r="C227" s="349">
        <f>SUM(C201:C226)</f>
        <v>3</v>
      </c>
      <c r="D227" s="349">
        <f>SUM(D201:D226)</f>
        <v>2.5447795162171229</v>
      </c>
      <c r="E227" s="349">
        <f t="shared" ref="E227:AE227" si="50">SUM(E201:E226)</f>
        <v>2.071740476280612</v>
      </c>
      <c r="F227" s="349">
        <f t="shared" si="50"/>
        <v>1.632496134344374</v>
      </c>
      <c r="G227" s="349">
        <f t="shared" si="50"/>
        <v>1.2435185505602646</v>
      </c>
      <c r="H227" s="349">
        <f t="shared" si="50"/>
        <v>0.91828899074450432</v>
      </c>
      <c r="I227" s="349">
        <f t="shared" si="50"/>
        <v>0.64219535600391831</v>
      </c>
      <c r="J227" s="349">
        <f t="shared" si="50"/>
        <v>0.39957854640416174</v>
      </c>
      <c r="K227" s="349">
        <f t="shared" si="50"/>
        <v>0.20987811432574038</v>
      </c>
      <c r="L227" s="349">
        <f t="shared" si="50"/>
        <v>9.2141635306649539E-2</v>
      </c>
      <c r="M227" s="349">
        <f t="shared" si="50"/>
        <v>3.340915648647818E-2</v>
      </c>
      <c r="N227" s="349">
        <f t="shared" si="50"/>
        <v>9.5231081587004857E-3</v>
      </c>
      <c r="O227" s="349">
        <f t="shared" si="50"/>
        <v>2.0585937909925406E-3</v>
      </c>
      <c r="P227" s="349">
        <f t="shared" si="50"/>
        <v>3.3882520451104087E-4</v>
      </c>
      <c r="Q227" s="349">
        <f t="shared" si="50"/>
        <v>3.974896973447983E-5</v>
      </c>
      <c r="R227" s="349">
        <f t="shared" si="50"/>
        <v>4.1966768693795883E-6</v>
      </c>
      <c r="S227" s="349">
        <f t="shared" si="50"/>
        <v>3.9383932912162582E-7</v>
      </c>
      <c r="T227" s="349">
        <f t="shared" si="50"/>
        <v>3.2339005520886373E-8</v>
      </c>
      <c r="U227" s="349">
        <f t="shared" si="50"/>
        <v>2.2760042373748235E-9</v>
      </c>
      <c r="V227" s="349">
        <f t="shared" si="50"/>
        <v>1.3348226322255543E-10</v>
      </c>
      <c r="W227" s="349">
        <f t="shared" si="50"/>
        <v>6.2625203550305446E-12</v>
      </c>
      <c r="X227" s="349">
        <f t="shared" si="50"/>
        <v>2.2035398777196629E-13</v>
      </c>
      <c r="Y227" s="349">
        <f t="shared" si="50"/>
        <v>5.1687574337724745E-15</v>
      </c>
      <c r="Z227" s="349">
        <f t="shared" si="50"/>
        <v>6.0618605651154022E-17</v>
      </c>
      <c r="AA227" s="349">
        <f t="shared" si="50"/>
        <v>0</v>
      </c>
      <c r="AB227" s="349">
        <f t="shared" si="50"/>
        <v>0</v>
      </c>
      <c r="AC227" s="349">
        <f t="shared" si="50"/>
        <v>0</v>
      </c>
      <c r="AD227" s="349">
        <f t="shared" si="50"/>
        <v>0</v>
      </c>
      <c r="AE227" s="350">
        <f t="shared" si="50"/>
        <v>0</v>
      </c>
    </row>
    <row r="228" spans="1:31" ht="15.75" thickBot="1"/>
    <row r="229" spans="1:31" ht="15.75" customHeight="1" thickBot="1">
      <c r="A229" s="1710" t="s">
        <v>203</v>
      </c>
      <c r="B229" s="169" t="s">
        <v>10</v>
      </c>
      <c r="C229" s="288">
        <v>2012</v>
      </c>
      <c r="D229" s="347">
        <v>2013</v>
      </c>
      <c r="E229" s="347">
        <v>2014</v>
      </c>
      <c r="F229" s="288">
        <v>2015</v>
      </c>
      <c r="G229" s="347">
        <v>2016</v>
      </c>
      <c r="H229" s="347">
        <v>2017</v>
      </c>
      <c r="I229" s="288">
        <v>2018</v>
      </c>
      <c r="J229" s="347">
        <v>2019</v>
      </c>
      <c r="K229" s="347">
        <v>2020</v>
      </c>
      <c r="L229" s="288">
        <v>2021</v>
      </c>
      <c r="M229" s="347">
        <v>2022</v>
      </c>
      <c r="N229" s="347">
        <v>2023</v>
      </c>
      <c r="O229" s="288">
        <v>2024</v>
      </c>
      <c r="P229" s="347">
        <v>2025</v>
      </c>
      <c r="Q229" s="347">
        <v>2026</v>
      </c>
      <c r="R229" s="288">
        <v>2027</v>
      </c>
      <c r="S229" s="347">
        <v>2028</v>
      </c>
      <c r="T229" s="347">
        <v>2029</v>
      </c>
      <c r="U229" s="288">
        <v>2030</v>
      </c>
      <c r="V229" s="347">
        <v>2031</v>
      </c>
      <c r="W229" s="347">
        <v>2032</v>
      </c>
      <c r="X229" s="288">
        <v>2033</v>
      </c>
      <c r="Y229" s="347">
        <v>2034</v>
      </c>
      <c r="Z229" s="347">
        <v>2035</v>
      </c>
      <c r="AA229" s="288">
        <v>2036</v>
      </c>
      <c r="AB229" s="347">
        <v>2037</v>
      </c>
      <c r="AC229" s="347">
        <v>2038</v>
      </c>
      <c r="AD229" s="288">
        <v>2039</v>
      </c>
      <c r="AE229" s="348">
        <v>2040</v>
      </c>
    </row>
    <row r="230" spans="1:31">
      <c r="A230" s="1711"/>
      <c r="B230" s="116">
        <v>0</v>
      </c>
      <c r="C230" s="291">
        <f t="shared" ref="C230:C248" si="51">T28</f>
        <v>145</v>
      </c>
      <c r="D230" s="292">
        <f>0</f>
        <v>0</v>
      </c>
      <c r="E230" s="292">
        <f>0</f>
        <v>0</v>
      </c>
      <c r="F230" s="292"/>
      <c r="G230" s="292"/>
      <c r="H230" s="292">
        <f>0</f>
        <v>0</v>
      </c>
      <c r="I230" s="292">
        <f>0</f>
        <v>0</v>
      </c>
      <c r="J230" s="292">
        <f>0</f>
        <v>0</v>
      </c>
      <c r="K230" s="292">
        <f>0</f>
        <v>0</v>
      </c>
      <c r="L230" s="292">
        <f>0</f>
        <v>0</v>
      </c>
      <c r="M230" s="292">
        <f>0</f>
        <v>0</v>
      </c>
      <c r="N230" s="292"/>
      <c r="O230" s="292"/>
      <c r="P230" s="292">
        <f>0</f>
        <v>0</v>
      </c>
      <c r="Q230" s="292">
        <f>0</f>
        <v>0</v>
      </c>
      <c r="R230" s="292">
        <f>0</f>
        <v>0</v>
      </c>
      <c r="S230" s="292">
        <f>0</f>
        <v>0</v>
      </c>
      <c r="T230" s="292">
        <f>0</f>
        <v>0</v>
      </c>
      <c r="U230" s="292">
        <f>0</f>
        <v>0</v>
      </c>
      <c r="V230" s="292">
        <f>0</f>
        <v>0</v>
      </c>
      <c r="W230" s="292">
        <f>0</f>
        <v>0</v>
      </c>
      <c r="X230" s="292">
        <f>0</f>
        <v>0</v>
      </c>
      <c r="Y230" s="292">
        <f>0</f>
        <v>0</v>
      </c>
      <c r="Z230" s="292">
        <f>0</f>
        <v>0</v>
      </c>
      <c r="AA230" s="292">
        <f>0</f>
        <v>0</v>
      </c>
      <c r="AB230" s="292">
        <f>0</f>
        <v>0</v>
      </c>
      <c r="AC230" s="292">
        <f>0</f>
        <v>0</v>
      </c>
      <c r="AD230" s="292">
        <f>0</f>
        <v>0</v>
      </c>
      <c r="AE230" s="293">
        <f>0</f>
        <v>0</v>
      </c>
    </row>
    <row r="231" spans="1:31">
      <c r="A231" s="1711"/>
      <c r="B231" s="116">
        <v>1</v>
      </c>
      <c r="C231" s="294">
        <f t="shared" si="51"/>
        <v>105</v>
      </c>
      <c r="D231" s="295">
        <f>C230*$C29</f>
        <v>126.88242322109502</v>
      </c>
      <c r="E231" s="295">
        <f t="shared" ref="E231:AE240" si="52">D230*$C29</f>
        <v>0</v>
      </c>
      <c r="F231" s="295">
        <f t="shared" si="52"/>
        <v>0</v>
      </c>
      <c r="G231" s="295">
        <f t="shared" si="52"/>
        <v>0</v>
      </c>
      <c r="H231" s="295">
        <f t="shared" si="52"/>
        <v>0</v>
      </c>
      <c r="I231" s="295">
        <f t="shared" si="52"/>
        <v>0</v>
      </c>
      <c r="J231" s="295">
        <f t="shared" si="52"/>
        <v>0</v>
      </c>
      <c r="K231" s="295">
        <f t="shared" si="52"/>
        <v>0</v>
      </c>
      <c r="L231" s="295">
        <f t="shared" si="52"/>
        <v>0</v>
      </c>
      <c r="M231" s="295">
        <f t="shared" si="52"/>
        <v>0</v>
      </c>
      <c r="N231" s="295">
        <f t="shared" si="52"/>
        <v>0</v>
      </c>
      <c r="O231" s="295">
        <f t="shared" si="52"/>
        <v>0</v>
      </c>
      <c r="P231" s="295">
        <f t="shared" si="52"/>
        <v>0</v>
      </c>
      <c r="Q231" s="295">
        <f t="shared" si="52"/>
        <v>0</v>
      </c>
      <c r="R231" s="295">
        <f t="shared" si="52"/>
        <v>0</v>
      </c>
      <c r="S231" s="295">
        <f t="shared" si="52"/>
        <v>0</v>
      </c>
      <c r="T231" s="295">
        <f t="shared" si="52"/>
        <v>0</v>
      </c>
      <c r="U231" s="295">
        <f t="shared" si="52"/>
        <v>0</v>
      </c>
      <c r="V231" s="295">
        <f t="shared" si="52"/>
        <v>0</v>
      </c>
      <c r="W231" s="295">
        <f t="shared" si="52"/>
        <v>0</v>
      </c>
      <c r="X231" s="295">
        <f t="shared" si="52"/>
        <v>0</v>
      </c>
      <c r="Y231" s="295">
        <f t="shared" si="52"/>
        <v>0</v>
      </c>
      <c r="Z231" s="295">
        <f t="shared" si="52"/>
        <v>0</v>
      </c>
      <c r="AA231" s="295">
        <f t="shared" si="52"/>
        <v>0</v>
      </c>
      <c r="AB231" s="295">
        <f t="shared" si="52"/>
        <v>0</v>
      </c>
      <c r="AC231" s="295">
        <f t="shared" si="52"/>
        <v>0</v>
      </c>
      <c r="AD231" s="295">
        <f t="shared" si="52"/>
        <v>0</v>
      </c>
      <c r="AE231" s="296">
        <f t="shared" si="52"/>
        <v>0</v>
      </c>
    </row>
    <row r="232" spans="1:31">
      <c r="A232" s="1711"/>
      <c r="B232" s="116">
        <v>2</v>
      </c>
      <c r="C232" s="294">
        <f t="shared" si="51"/>
        <v>135</v>
      </c>
      <c r="D232" s="295">
        <f t="shared" ref="D232:S247" si="53">C231*$C30</f>
        <v>91.761150576684983</v>
      </c>
      <c r="E232" s="295">
        <f t="shared" si="52"/>
        <v>110.88454421643402</v>
      </c>
      <c r="F232" s="295">
        <f t="shared" si="52"/>
        <v>0</v>
      </c>
      <c r="G232" s="295">
        <f t="shared" si="52"/>
        <v>0</v>
      </c>
      <c r="H232" s="295">
        <f t="shared" si="52"/>
        <v>0</v>
      </c>
      <c r="I232" s="295">
        <f t="shared" si="52"/>
        <v>0</v>
      </c>
      <c r="J232" s="295">
        <f t="shared" si="52"/>
        <v>0</v>
      </c>
      <c r="K232" s="295">
        <f t="shared" si="52"/>
        <v>0</v>
      </c>
      <c r="L232" s="295">
        <f t="shared" si="52"/>
        <v>0</v>
      </c>
      <c r="M232" s="295">
        <f t="shared" si="52"/>
        <v>0</v>
      </c>
      <c r="N232" s="295">
        <f t="shared" si="52"/>
        <v>0</v>
      </c>
      <c r="O232" s="295">
        <f t="shared" si="52"/>
        <v>0</v>
      </c>
      <c r="P232" s="295">
        <f t="shared" si="52"/>
        <v>0</v>
      </c>
      <c r="Q232" s="295">
        <f t="shared" si="52"/>
        <v>0</v>
      </c>
      <c r="R232" s="295">
        <f t="shared" si="52"/>
        <v>0</v>
      </c>
      <c r="S232" s="295">
        <f t="shared" si="52"/>
        <v>0</v>
      </c>
      <c r="T232" s="295">
        <f t="shared" si="52"/>
        <v>0</v>
      </c>
      <c r="U232" s="295">
        <f t="shared" si="52"/>
        <v>0</v>
      </c>
      <c r="V232" s="295">
        <f t="shared" si="52"/>
        <v>0</v>
      </c>
      <c r="W232" s="295">
        <f t="shared" si="52"/>
        <v>0</v>
      </c>
      <c r="X232" s="295">
        <f t="shared" si="52"/>
        <v>0</v>
      </c>
      <c r="Y232" s="295">
        <f t="shared" si="52"/>
        <v>0</v>
      </c>
      <c r="Z232" s="295">
        <f t="shared" si="52"/>
        <v>0</v>
      </c>
      <c r="AA232" s="295">
        <f t="shared" si="52"/>
        <v>0</v>
      </c>
      <c r="AB232" s="295">
        <f t="shared" si="52"/>
        <v>0</v>
      </c>
      <c r="AC232" s="295">
        <f t="shared" si="52"/>
        <v>0</v>
      </c>
      <c r="AD232" s="295">
        <f t="shared" si="52"/>
        <v>0</v>
      </c>
      <c r="AE232" s="296">
        <f t="shared" si="52"/>
        <v>0</v>
      </c>
    </row>
    <row r="233" spans="1:31">
      <c r="A233" s="1711"/>
      <c r="B233" s="116">
        <v>3</v>
      </c>
      <c r="C233" s="294">
        <f t="shared" si="51"/>
        <v>171</v>
      </c>
      <c r="D233" s="295">
        <f t="shared" si="53"/>
        <v>135</v>
      </c>
      <c r="E233" s="295">
        <f t="shared" si="52"/>
        <v>91.761150576684983</v>
      </c>
      <c r="F233" s="295">
        <f t="shared" si="52"/>
        <v>110.88454421643402</v>
      </c>
      <c r="G233" s="295">
        <f t="shared" si="52"/>
        <v>0</v>
      </c>
      <c r="H233" s="295">
        <f t="shared" si="52"/>
        <v>0</v>
      </c>
      <c r="I233" s="295">
        <f t="shared" si="52"/>
        <v>0</v>
      </c>
      <c r="J233" s="295">
        <f t="shared" si="52"/>
        <v>0</v>
      </c>
      <c r="K233" s="295">
        <f t="shared" si="52"/>
        <v>0</v>
      </c>
      <c r="L233" s="295">
        <f t="shared" si="52"/>
        <v>0</v>
      </c>
      <c r="M233" s="295">
        <f t="shared" si="52"/>
        <v>0</v>
      </c>
      <c r="N233" s="295">
        <f t="shared" si="52"/>
        <v>0</v>
      </c>
      <c r="O233" s="295">
        <f t="shared" si="52"/>
        <v>0</v>
      </c>
      <c r="P233" s="295">
        <f t="shared" si="52"/>
        <v>0</v>
      </c>
      <c r="Q233" s="295">
        <f t="shared" si="52"/>
        <v>0</v>
      </c>
      <c r="R233" s="295">
        <f t="shared" si="52"/>
        <v>0</v>
      </c>
      <c r="S233" s="295">
        <f t="shared" si="52"/>
        <v>0</v>
      </c>
      <c r="T233" s="295">
        <f t="shared" si="52"/>
        <v>0</v>
      </c>
      <c r="U233" s="295">
        <f t="shared" si="52"/>
        <v>0</v>
      </c>
      <c r="V233" s="295">
        <f t="shared" si="52"/>
        <v>0</v>
      </c>
      <c r="W233" s="295">
        <f t="shared" si="52"/>
        <v>0</v>
      </c>
      <c r="X233" s="295">
        <f t="shared" si="52"/>
        <v>0</v>
      </c>
      <c r="Y233" s="295">
        <f t="shared" si="52"/>
        <v>0</v>
      </c>
      <c r="Z233" s="295">
        <f t="shared" si="52"/>
        <v>0</v>
      </c>
      <c r="AA233" s="295">
        <f t="shared" si="52"/>
        <v>0</v>
      </c>
      <c r="AB233" s="295">
        <f t="shared" si="52"/>
        <v>0</v>
      </c>
      <c r="AC233" s="295">
        <f t="shared" si="52"/>
        <v>0</v>
      </c>
      <c r="AD233" s="295">
        <f t="shared" si="52"/>
        <v>0</v>
      </c>
      <c r="AE233" s="296">
        <f t="shared" si="52"/>
        <v>0</v>
      </c>
    </row>
    <row r="234" spans="1:31">
      <c r="A234" s="1711"/>
      <c r="B234" s="116">
        <v>4</v>
      </c>
      <c r="C234" s="294">
        <f t="shared" si="51"/>
        <v>227</v>
      </c>
      <c r="D234" s="295">
        <f t="shared" si="53"/>
        <v>171</v>
      </c>
      <c r="E234" s="295">
        <f t="shared" si="52"/>
        <v>135</v>
      </c>
      <c r="F234" s="295">
        <f t="shared" si="52"/>
        <v>91.761150576684983</v>
      </c>
      <c r="G234" s="295">
        <f t="shared" si="52"/>
        <v>110.88454421643402</v>
      </c>
      <c r="H234" s="295">
        <f t="shared" si="52"/>
        <v>0</v>
      </c>
      <c r="I234" s="295">
        <f t="shared" si="52"/>
        <v>0</v>
      </c>
      <c r="J234" s="295">
        <f t="shared" si="52"/>
        <v>0</v>
      </c>
      <c r="K234" s="295">
        <f t="shared" si="52"/>
        <v>0</v>
      </c>
      <c r="L234" s="295">
        <f t="shared" si="52"/>
        <v>0</v>
      </c>
      <c r="M234" s="295">
        <f t="shared" si="52"/>
        <v>0</v>
      </c>
      <c r="N234" s="295">
        <f t="shared" si="52"/>
        <v>0</v>
      </c>
      <c r="O234" s="295">
        <f t="shared" si="52"/>
        <v>0</v>
      </c>
      <c r="P234" s="295">
        <f t="shared" si="52"/>
        <v>0</v>
      </c>
      <c r="Q234" s="295">
        <f t="shared" si="52"/>
        <v>0</v>
      </c>
      <c r="R234" s="295">
        <f t="shared" si="52"/>
        <v>0</v>
      </c>
      <c r="S234" s="295">
        <f t="shared" si="52"/>
        <v>0</v>
      </c>
      <c r="T234" s="295">
        <f t="shared" si="52"/>
        <v>0</v>
      </c>
      <c r="U234" s="295">
        <f t="shared" si="52"/>
        <v>0</v>
      </c>
      <c r="V234" s="295">
        <f t="shared" si="52"/>
        <v>0</v>
      </c>
      <c r="W234" s="295">
        <f t="shared" si="52"/>
        <v>0</v>
      </c>
      <c r="X234" s="295">
        <f t="shared" si="52"/>
        <v>0</v>
      </c>
      <c r="Y234" s="295">
        <f t="shared" si="52"/>
        <v>0</v>
      </c>
      <c r="Z234" s="295">
        <f t="shared" si="52"/>
        <v>0</v>
      </c>
      <c r="AA234" s="295">
        <f t="shared" si="52"/>
        <v>0</v>
      </c>
      <c r="AB234" s="295">
        <f t="shared" si="52"/>
        <v>0</v>
      </c>
      <c r="AC234" s="295">
        <f t="shared" si="52"/>
        <v>0</v>
      </c>
      <c r="AD234" s="295">
        <f t="shared" si="52"/>
        <v>0</v>
      </c>
      <c r="AE234" s="296">
        <f t="shared" si="52"/>
        <v>0</v>
      </c>
    </row>
    <row r="235" spans="1:31">
      <c r="A235" s="1711"/>
      <c r="B235" s="116">
        <v>5</v>
      </c>
      <c r="C235" s="294">
        <f t="shared" si="51"/>
        <v>159</v>
      </c>
      <c r="D235" s="295">
        <f t="shared" si="53"/>
        <v>227</v>
      </c>
      <c r="E235" s="295">
        <f t="shared" si="52"/>
        <v>171</v>
      </c>
      <c r="F235" s="295">
        <f t="shared" si="52"/>
        <v>135</v>
      </c>
      <c r="G235" s="295">
        <f t="shared" si="52"/>
        <v>91.761150576684983</v>
      </c>
      <c r="H235" s="295">
        <f t="shared" si="52"/>
        <v>110.88454421643402</v>
      </c>
      <c r="I235" s="295">
        <f t="shared" si="52"/>
        <v>0</v>
      </c>
      <c r="J235" s="295">
        <f t="shared" si="52"/>
        <v>0</v>
      </c>
      <c r="K235" s="295">
        <f t="shared" si="52"/>
        <v>0</v>
      </c>
      <c r="L235" s="295">
        <f t="shared" si="52"/>
        <v>0</v>
      </c>
      <c r="M235" s="295">
        <f t="shared" si="52"/>
        <v>0</v>
      </c>
      <c r="N235" s="295">
        <f t="shared" si="52"/>
        <v>0</v>
      </c>
      <c r="O235" s="295">
        <f t="shared" si="52"/>
        <v>0</v>
      </c>
      <c r="P235" s="295">
        <f t="shared" si="52"/>
        <v>0</v>
      </c>
      <c r="Q235" s="295">
        <f t="shared" si="52"/>
        <v>0</v>
      </c>
      <c r="R235" s="295">
        <f t="shared" si="52"/>
        <v>0</v>
      </c>
      <c r="S235" s="295">
        <f t="shared" si="52"/>
        <v>0</v>
      </c>
      <c r="T235" s="295">
        <f t="shared" si="52"/>
        <v>0</v>
      </c>
      <c r="U235" s="295">
        <f t="shared" si="52"/>
        <v>0</v>
      </c>
      <c r="V235" s="295">
        <f t="shared" si="52"/>
        <v>0</v>
      </c>
      <c r="W235" s="295">
        <f t="shared" si="52"/>
        <v>0</v>
      </c>
      <c r="X235" s="295">
        <f t="shared" si="52"/>
        <v>0</v>
      </c>
      <c r="Y235" s="295">
        <f t="shared" si="52"/>
        <v>0</v>
      </c>
      <c r="Z235" s="295">
        <f t="shared" si="52"/>
        <v>0</v>
      </c>
      <c r="AA235" s="295">
        <f t="shared" si="52"/>
        <v>0</v>
      </c>
      <c r="AB235" s="295">
        <f t="shared" si="52"/>
        <v>0</v>
      </c>
      <c r="AC235" s="295">
        <f t="shared" si="52"/>
        <v>0</v>
      </c>
      <c r="AD235" s="295">
        <f t="shared" si="52"/>
        <v>0</v>
      </c>
      <c r="AE235" s="296">
        <f t="shared" si="52"/>
        <v>0</v>
      </c>
    </row>
    <row r="236" spans="1:31">
      <c r="A236" s="1711"/>
      <c r="B236" s="116">
        <v>6</v>
      </c>
      <c r="C236" s="294">
        <f t="shared" si="51"/>
        <v>377</v>
      </c>
      <c r="D236" s="295">
        <f t="shared" si="53"/>
        <v>159</v>
      </c>
      <c r="E236" s="295">
        <f t="shared" si="52"/>
        <v>227</v>
      </c>
      <c r="F236" s="295">
        <f t="shared" si="52"/>
        <v>171</v>
      </c>
      <c r="G236" s="295">
        <f t="shared" si="52"/>
        <v>135</v>
      </c>
      <c r="H236" s="295">
        <f t="shared" si="52"/>
        <v>91.761150576684983</v>
      </c>
      <c r="I236" s="295">
        <f t="shared" si="52"/>
        <v>110.88454421643402</v>
      </c>
      <c r="J236" s="295">
        <f t="shared" si="52"/>
        <v>0</v>
      </c>
      <c r="K236" s="295">
        <f t="shared" si="52"/>
        <v>0</v>
      </c>
      <c r="L236" s="295">
        <f t="shared" si="52"/>
        <v>0</v>
      </c>
      <c r="M236" s="295">
        <f t="shared" si="52"/>
        <v>0</v>
      </c>
      <c r="N236" s="295">
        <f t="shared" si="52"/>
        <v>0</v>
      </c>
      <c r="O236" s="295">
        <f t="shared" si="52"/>
        <v>0</v>
      </c>
      <c r="P236" s="295">
        <f t="shared" si="52"/>
        <v>0</v>
      </c>
      <c r="Q236" s="295">
        <f t="shared" si="52"/>
        <v>0</v>
      </c>
      <c r="R236" s="295">
        <f t="shared" si="52"/>
        <v>0</v>
      </c>
      <c r="S236" s="295">
        <f t="shared" si="52"/>
        <v>0</v>
      </c>
      <c r="T236" s="295">
        <f t="shared" si="52"/>
        <v>0</v>
      </c>
      <c r="U236" s="295">
        <f t="shared" si="52"/>
        <v>0</v>
      </c>
      <c r="V236" s="295">
        <f t="shared" si="52"/>
        <v>0</v>
      </c>
      <c r="W236" s="295">
        <f t="shared" si="52"/>
        <v>0</v>
      </c>
      <c r="X236" s="295">
        <f t="shared" si="52"/>
        <v>0</v>
      </c>
      <c r="Y236" s="295">
        <f t="shared" si="52"/>
        <v>0</v>
      </c>
      <c r="Z236" s="295">
        <f t="shared" si="52"/>
        <v>0</v>
      </c>
      <c r="AA236" s="295">
        <f t="shared" si="52"/>
        <v>0</v>
      </c>
      <c r="AB236" s="295">
        <f t="shared" si="52"/>
        <v>0</v>
      </c>
      <c r="AC236" s="295">
        <f t="shared" si="52"/>
        <v>0</v>
      </c>
      <c r="AD236" s="295">
        <f t="shared" si="52"/>
        <v>0</v>
      </c>
      <c r="AE236" s="296">
        <f t="shared" si="52"/>
        <v>0</v>
      </c>
    </row>
    <row r="237" spans="1:31">
      <c r="A237" s="1711"/>
      <c r="B237" s="116">
        <v>7</v>
      </c>
      <c r="C237" s="294">
        <f t="shared" si="51"/>
        <v>157</v>
      </c>
      <c r="D237" s="295">
        <f t="shared" si="53"/>
        <v>377</v>
      </c>
      <c r="E237" s="295">
        <f t="shared" si="52"/>
        <v>159</v>
      </c>
      <c r="F237" s="295">
        <f t="shared" si="52"/>
        <v>227</v>
      </c>
      <c r="G237" s="295">
        <f t="shared" si="52"/>
        <v>171</v>
      </c>
      <c r="H237" s="295">
        <f t="shared" si="52"/>
        <v>135</v>
      </c>
      <c r="I237" s="295">
        <f t="shared" si="52"/>
        <v>91.761150576684983</v>
      </c>
      <c r="J237" s="295">
        <f t="shared" si="52"/>
        <v>110.88454421643402</v>
      </c>
      <c r="K237" s="295">
        <f t="shared" si="52"/>
        <v>0</v>
      </c>
      <c r="L237" s="295">
        <f t="shared" si="52"/>
        <v>0</v>
      </c>
      <c r="M237" s="295">
        <f t="shared" si="52"/>
        <v>0</v>
      </c>
      <c r="N237" s="295">
        <f t="shared" si="52"/>
        <v>0</v>
      </c>
      <c r="O237" s="295">
        <f t="shared" si="52"/>
        <v>0</v>
      </c>
      <c r="P237" s="295">
        <f t="shared" si="52"/>
        <v>0</v>
      </c>
      <c r="Q237" s="295">
        <f t="shared" si="52"/>
        <v>0</v>
      </c>
      <c r="R237" s="295">
        <f t="shared" si="52"/>
        <v>0</v>
      </c>
      <c r="S237" s="295">
        <f t="shared" si="52"/>
        <v>0</v>
      </c>
      <c r="T237" s="295">
        <f t="shared" si="52"/>
        <v>0</v>
      </c>
      <c r="U237" s="295">
        <f t="shared" si="52"/>
        <v>0</v>
      </c>
      <c r="V237" s="295">
        <f t="shared" si="52"/>
        <v>0</v>
      </c>
      <c r="W237" s="295">
        <f t="shared" si="52"/>
        <v>0</v>
      </c>
      <c r="X237" s="295">
        <f t="shared" si="52"/>
        <v>0</v>
      </c>
      <c r="Y237" s="295">
        <f t="shared" si="52"/>
        <v>0</v>
      </c>
      <c r="Z237" s="295">
        <f t="shared" si="52"/>
        <v>0</v>
      </c>
      <c r="AA237" s="295">
        <f t="shared" si="52"/>
        <v>0</v>
      </c>
      <c r="AB237" s="295">
        <f t="shared" si="52"/>
        <v>0</v>
      </c>
      <c r="AC237" s="295">
        <f t="shared" si="52"/>
        <v>0</v>
      </c>
      <c r="AD237" s="295">
        <f t="shared" si="52"/>
        <v>0</v>
      </c>
      <c r="AE237" s="296">
        <f t="shared" si="52"/>
        <v>0</v>
      </c>
    </row>
    <row r="238" spans="1:31">
      <c r="A238" s="1711"/>
      <c r="B238" s="116">
        <v>8</v>
      </c>
      <c r="C238" s="294">
        <f t="shared" si="51"/>
        <v>13</v>
      </c>
      <c r="D238" s="295">
        <f t="shared" si="53"/>
        <v>151.01007242952986</v>
      </c>
      <c r="E238" s="295">
        <f t="shared" si="52"/>
        <v>362.61654334989015</v>
      </c>
      <c r="F238" s="295">
        <f t="shared" si="52"/>
        <v>152.93376761971493</v>
      </c>
      <c r="G238" s="295">
        <f t="shared" si="52"/>
        <v>218.33940408600813</v>
      </c>
      <c r="H238" s="295">
        <f t="shared" si="52"/>
        <v>164.4759387608255</v>
      </c>
      <c r="I238" s="295">
        <f t="shared" si="52"/>
        <v>129.84942533749381</v>
      </c>
      <c r="J238" s="295">
        <f t="shared" si="52"/>
        <v>88.260242005109518</v>
      </c>
      <c r="K238" s="295">
        <f t="shared" si="52"/>
        <v>106.65403218751024</v>
      </c>
      <c r="L238" s="295">
        <f t="shared" si="52"/>
        <v>0</v>
      </c>
      <c r="M238" s="295">
        <f t="shared" si="52"/>
        <v>0</v>
      </c>
      <c r="N238" s="295">
        <f t="shared" si="52"/>
        <v>0</v>
      </c>
      <c r="O238" s="295">
        <f t="shared" si="52"/>
        <v>0</v>
      </c>
      <c r="P238" s="295">
        <f t="shared" si="52"/>
        <v>0</v>
      </c>
      <c r="Q238" s="295">
        <f t="shared" si="52"/>
        <v>0</v>
      </c>
      <c r="R238" s="295">
        <f t="shared" si="52"/>
        <v>0</v>
      </c>
      <c r="S238" s="295">
        <f t="shared" si="52"/>
        <v>0</v>
      </c>
      <c r="T238" s="295">
        <f t="shared" si="52"/>
        <v>0</v>
      </c>
      <c r="U238" s="295">
        <f t="shared" si="52"/>
        <v>0</v>
      </c>
      <c r="V238" s="295">
        <f t="shared" si="52"/>
        <v>0</v>
      </c>
      <c r="W238" s="295">
        <f t="shared" si="52"/>
        <v>0</v>
      </c>
      <c r="X238" s="295">
        <f t="shared" si="52"/>
        <v>0</v>
      </c>
      <c r="Y238" s="295">
        <f t="shared" si="52"/>
        <v>0</v>
      </c>
      <c r="Z238" s="295">
        <f t="shared" si="52"/>
        <v>0</v>
      </c>
      <c r="AA238" s="295">
        <f t="shared" si="52"/>
        <v>0</v>
      </c>
      <c r="AB238" s="295">
        <f t="shared" si="52"/>
        <v>0</v>
      </c>
      <c r="AC238" s="295">
        <f t="shared" si="52"/>
        <v>0</v>
      </c>
      <c r="AD238" s="295">
        <f t="shared" si="52"/>
        <v>0</v>
      </c>
      <c r="AE238" s="296">
        <f t="shared" si="52"/>
        <v>0</v>
      </c>
    </row>
    <row r="239" spans="1:31">
      <c r="A239" s="1711"/>
      <c r="B239" s="116">
        <v>9</v>
      </c>
      <c r="C239" s="294">
        <f t="shared" si="51"/>
        <v>37</v>
      </c>
      <c r="D239" s="295">
        <f t="shared" si="53"/>
        <v>11.542124839511381</v>
      </c>
      <c r="E239" s="295">
        <f t="shared" si="52"/>
        <v>134.07516215425301</v>
      </c>
      <c r="F239" s="295">
        <f t="shared" si="52"/>
        <v>321.95118555511709</v>
      </c>
      <c r="G239" s="295">
        <f t="shared" si="52"/>
        <v>135.78312600335175</v>
      </c>
      <c r="H239" s="295">
        <f t="shared" si="52"/>
        <v>193.85389687270978</v>
      </c>
      <c r="I239" s="295">
        <f t="shared" si="52"/>
        <v>146.03090909794435</v>
      </c>
      <c r="J239" s="295">
        <f t="shared" si="52"/>
        <v>115.2875598141666</v>
      </c>
      <c r="K239" s="295">
        <f t="shared" si="52"/>
        <v>78.362363968343104</v>
      </c>
      <c r="L239" s="295">
        <f t="shared" si="52"/>
        <v>94.693396472731393</v>
      </c>
      <c r="M239" s="295">
        <f t="shared" si="52"/>
        <v>0</v>
      </c>
      <c r="N239" s="295">
        <f t="shared" si="52"/>
        <v>0</v>
      </c>
      <c r="O239" s="295">
        <f t="shared" si="52"/>
        <v>0</v>
      </c>
      <c r="P239" s="295">
        <f t="shared" si="52"/>
        <v>0</v>
      </c>
      <c r="Q239" s="295">
        <f t="shared" si="52"/>
        <v>0</v>
      </c>
      <c r="R239" s="295">
        <f t="shared" si="52"/>
        <v>0</v>
      </c>
      <c r="S239" s="295">
        <f t="shared" si="52"/>
        <v>0</v>
      </c>
      <c r="T239" s="295">
        <f t="shared" si="52"/>
        <v>0</v>
      </c>
      <c r="U239" s="295">
        <f t="shared" si="52"/>
        <v>0</v>
      </c>
      <c r="V239" s="295">
        <f t="shared" si="52"/>
        <v>0</v>
      </c>
      <c r="W239" s="295">
        <f t="shared" si="52"/>
        <v>0</v>
      </c>
      <c r="X239" s="295">
        <f t="shared" si="52"/>
        <v>0</v>
      </c>
      <c r="Y239" s="295">
        <f t="shared" si="52"/>
        <v>0</v>
      </c>
      <c r="Z239" s="295">
        <f t="shared" si="52"/>
        <v>0</v>
      </c>
      <c r="AA239" s="295">
        <f t="shared" si="52"/>
        <v>0</v>
      </c>
      <c r="AB239" s="295">
        <f t="shared" si="52"/>
        <v>0</v>
      </c>
      <c r="AC239" s="295">
        <f t="shared" si="52"/>
        <v>0</v>
      </c>
      <c r="AD239" s="295">
        <f t="shared" si="52"/>
        <v>0</v>
      </c>
      <c r="AE239" s="296">
        <f t="shared" si="52"/>
        <v>0</v>
      </c>
    </row>
    <row r="240" spans="1:31">
      <c r="A240" s="1711"/>
      <c r="B240" s="116">
        <v>10</v>
      </c>
      <c r="C240" s="294">
        <f t="shared" si="51"/>
        <v>108</v>
      </c>
      <c r="D240" s="295">
        <f t="shared" si="53"/>
        <v>30.9947947538496</v>
      </c>
      <c r="E240" s="295">
        <f t="shared" si="52"/>
        <v>9.6688051465936358</v>
      </c>
      <c r="F240" s="295">
        <f t="shared" si="52"/>
        <v>112.31438196108583</v>
      </c>
      <c r="G240" s="295">
        <f t="shared" si="52"/>
        <v>269.69759235241628</v>
      </c>
      <c r="H240" s="295">
        <f t="shared" si="52"/>
        <v>113.74513841918882</v>
      </c>
      <c r="I240" s="295">
        <f t="shared" si="52"/>
        <v>162.390857994691</v>
      </c>
      <c r="J240" s="295">
        <f t="shared" si="52"/>
        <v>122.32967716780685</v>
      </c>
      <c r="K240" s="295">
        <f t="shared" si="52"/>
        <v>96.576060921952788</v>
      </c>
      <c r="L240" s="295">
        <f t="shared" si="52"/>
        <v>65.643929395277127</v>
      </c>
      <c r="M240" s="295">
        <f t="shared" si="52"/>
        <v>79.324388870735547</v>
      </c>
      <c r="N240" s="295">
        <f t="shared" si="52"/>
        <v>0</v>
      </c>
      <c r="O240" s="295">
        <f t="shared" si="52"/>
        <v>0</v>
      </c>
      <c r="P240" s="295">
        <f t="shared" si="52"/>
        <v>0</v>
      </c>
      <c r="Q240" s="295">
        <f t="shared" ref="Q240:AE247" si="54">P239*$C38</f>
        <v>0</v>
      </c>
      <c r="R240" s="295">
        <f t="shared" si="54"/>
        <v>0</v>
      </c>
      <c r="S240" s="295">
        <f t="shared" si="54"/>
        <v>0</v>
      </c>
      <c r="T240" s="295">
        <f t="shared" si="54"/>
        <v>0</v>
      </c>
      <c r="U240" s="295">
        <f t="shared" si="54"/>
        <v>0</v>
      </c>
      <c r="V240" s="295">
        <f t="shared" si="54"/>
        <v>0</v>
      </c>
      <c r="W240" s="295">
        <f t="shared" si="54"/>
        <v>0</v>
      </c>
      <c r="X240" s="295">
        <f t="shared" si="54"/>
        <v>0</v>
      </c>
      <c r="Y240" s="295">
        <f t="shared" si="54"/>
        <v>0</v>
      </c>
      <c r="Z240" s="295">
        <f t="shared" si="54"/>
        <v>0</v>
      </c>
      <c r="AA240" s="295">
        <f t="shared" si="54"/>
        <v>0</v>
      </c>
      <c r="AB240" s="295">
        <f t="shared" si="54"/>
        <v>0</v>
      </c>
      <c r="AC240" s="295">
        <f t="shared" si="54"/>
        <v>0</v>
      </c>
      <c r="AD240" s="295">
        <f t="shared" si="54"/>
        <v>0</v>
      </c>
      <c r="AE240" s="296">
        <f t="shared" si="54"/>
        <v>0</v>
      </c>
    </row>
    <row r="241" spans="1:31">
      <c r="A241" s="1711"/>
      <c r="B241" s="116">
        <v>11</v>
      </c>
      <c r="C241" s="294">
        <f t="shared" si="51"/>
        <v>41</v>
      </c>
      <c r="D241" s="295">
        <f t="shared" si="53"/>
        <v>82.475863963160862</v>
      </c>
      <c r="E241" s="295">
        <f t="shared" si="53"/>
        <v>23.669652552635107</v>
      </c>
      <c r="F241" s="295">
        <f t="shared" si="53"/>
        <v>7.3837320181182067</v>
      </c>
      <c r="G241" s="295">
        <f t="shared" si="53"/>
        <v>85.770608219712983</v>
      </c>
      <c r="H241" s="295">
        <f t="shared" si="53"/>
        <v>205.95872164861015</v>
      </c>
      <c r="I241" s="295">
        <f t="shared" si="53"/>
        <v>86.863227432702956</v>
      </c>
      <c r="J241" s="295">
        <f t="shared" si="53"/>
        <v>124.01228067436212</v>
      </c>
      <c r="K241" s="295">
        <f t="shared" si="53"/>
        <v>93.41894271064281</v>
      </c>
      <c r="L241" s="295">
        <f t="shared" si="53"/>
        <v>73.751796876823278</v>
      </c>
      <c r="M241" s="295">
        <f t="shared" si="53"/>
        <v>50.129998063076044</v>
      </c>
      <c r="N241" s="295">
        <f t="shared" si="53"/>
        <v>60.577291717256074</v>
      </c>
      <c r="O241" s="295">
        <f t="shared" si="53"/>
        <v>0</v>
      </c>
      <c r="P241" s="295">
        <f t="shared" si="53"/>
        <v>0</v>
      </c>
      <c r="Q241" s="295">
        <f t="shared" si="53"/>
        <v>0</v>
      </c>
      <c r="R241" s="295">
        <f t="shared" si="53"/>
        <v>0</v>
      </c>
      <c r="S241" s="295">
        <f t="shared" si="53"/>
        <v>0</v>
      </c>
      <c r="T241" s="295">
        <f t="shared" si="54"/>
        <v>0</v>
      </c>
      <c r="U241" s="295">
        <f t="shared" si="54"/>
        <v>0</v>
      </c>
      <c r="V241" s="295">
        <f t="shared" si="54"/>
        <v>0</v>
      </c>
      <c r="W241" s="295">
        <f t="shared" si="54"/>
        <v>0</v>
      </c>
      <c r="X241" s="295">
        <f t="shared" si="54"/>
        <v>0</v>
      </c>
      <c r="Y241" s="295">
        <f t="shared" si="54"/>
        <v>0</v>
      </c>
      <c r="Z241" s="295">
        <f t="shared" si="54"/>
        <v>0</v>
      </c>
      <c r="AA241" s="295">
        <f t="shared" si="54"/>
        <v>0</v>
      </c>
      <c r="AB241" s="295">
        <f t="shared" si="54"/>
        <v>0</v>
      </c>
      <c r="AC241" s="295">
        <f t="shared" si="54"/>
        <v>0</v>
      </c>
      <c r="AD241" s="295">
        <f t="shared" si="54"/>
        <v>0</v>
      </c>
      <c r="AE241" s="296">
        <f t="shared" si="54"/>
        <v>0</v>
      </c>
    </row>
    <row r="242" spans="1:31">
      <c r="A242" s="1711"/>
      <c r="B242" s="116">
        <v>12</v>
      </c>
      <c r="C242" s="294">
        <f t="shared" si="51"/>
        <v>28</v>
      </c>
      <c r="D242" s="295">
        <f t="shared" si="53"/>
        <v>27.327484285529746</v>
      </c>
      <c r="E242" s="295">
        <f t="shared" si="53"/>
        <v>54.972143326555305</v>
      </c>
      <c r="F242" s="295">
        <f t="shared" si="53"/>
        <v>15.77639166283134</v>
      </c>
      <c r="G242" s="295">
        <f t="shared" si="53"/>
        <v>4.9214346510655647</v>
      </c>
      <c r="H242" s="295">
        <f t="shared" si="53"/>
        <v>57.168169470354513</v>
      </c>
      <c r="I242" s="295">
        <f t="shared" si="53"/>
        <v>137.27643242244363</v>
      </c>
      <c r="J242" s="295">
        <f t="shared" si="53"/>
        <v>57.896426406282593</v>
      </c>
      <c r="K242" s="295">
        <f t="shared" si="53"/>
        <v>82.657162227837446</v>
      </c>
      <c r="L242" s="295">
        <f t="shared" si="53"/>
        <v>62.265968021851101</v>
      </c>
      <c r="M242" s="295">
        <f t="shared" si="53"/>
        <v>49.157343175145606</v>
      </c>
      <c r="N242" s="295">
        <f t="shared" si="53"/>
        <v>33.412847178106027</v>
      </c>
      <c r="O242" s="295">
        <f t="shared" si="53"/>
        <v>40.37621920642114</v>
      </c>
      <c r="P242" s="295">
        <f t="shared" si="53"/>
        <v>0</v>
      </c>
      <c r="Q242" s="295">
        <f t="shared" si="53"/>
        <v>0</v>
      </c>
      <c r="R242" s="295">
        <f t="shared" si="53"/>
        <v>0</v>
      </c>
      <c r="S242" s="295">
        <f t="shared" si="53"/>
        <v>0</v>
      </c>
      <c r="T242" s="295">
        <f t="shared" si="54"/>
        <v>0</v>
      </c>
      <c r="U242" s="295">
        <f t="shared" si="54"/>
        <v>0</v>
      </c>
      <c r="V242" s="295">
        <f t="shared" si="54"/>
        <v>0</v>
      </c>
      <c r="W242" s="295">
        <f t="shared" si="54"/>
        <v>0</v>
      </c>
      <c r="X242" s="295">
        <f t="shared" si="54"/>
        <v>0</v>
      </c>
      <c r="Y242" s="295">
        <f t="shared" si="54"/>
        <v>0</v>
      </c>
      <c r="Z242" s="295">
        <f t="shared" si="54"/>
        <v>0</v>
      </c>
      <c r="AA242" s="295">
        <f t="shared" si="54"/>
        <v>0</v>
      </c>
      <c r="AB242" s="295">
        <f t="shared" si="54"/>
        <v>0</v>
      </c>
      <c r="AC242" s="295">
        <f t="shared" si="54"/>
        <v>0</v>
      </c>
      <c r="AD242" s="295">
        <f t="shared" si="54"/>
        <v>0</v>
      </c>
      <c r="AE242" s="296">
        <f t="shared" si="54"/>
        <v>0</v>
      </c>
    </row>
    <row r="243" spans="1:31">
      <c r="A243" s="1711"/>
      <c r="B243" s="116">
        <v>13</v>
      </c>
      <c r="C243" s="294">
        <f t="shared" si="51"/>
        <v>11</v>
      </c>
      <c r="D243" s="295">
        <f t="shared" si="53"/>
        <v>15.034597913873801</v>
      </c>
      <c r="E243" s="295">
        <f t="shared" si="53"/>
        <v>14.67349065109445</v>
      </c>
      <c r="F243" s="295">
        <f t="shared" si="53"/>
        <v>29.517288263521429</v>
      </c>
      <c r="G243" s="295">
        <f t="shared" si="53"/>
        <v>8.4711323279450035</v>
      </c>
      <c r="H243" s="295">
        <f t="shared" si="53"/>
        <v>2.6425639692205922</v>
      </c>
      <c r="I243" s="295">
        <f t="shared" si="53"/>
        <v>30.696444337820569</v>
      </c>
      <c r="J243" s="295">
        <f t="shared" si="53"/>
        <v>73.710570161518177</v>
      </c>
      <c r="K243" s="295">
        <f t="shared" si="53"/>
        <v>31.087481845308726</v>
      </c>
      <c r="L243" s="295">
        <f t="shared" si="53"/>
        <v>44.382757099906186</v>
      </c>
      <c r="M243" s="295">
        <f t="shared" si="53"/>
        <v>33.433706890237694</v>
      </c>
      <c r="N243" s="295">
        <f t="shared" si="53"/>
        <v>26.395031755450809</v>
      </c>
      <c r="O243" s="295">
        <f t="shared" si="53"/>
        <v>17.941025802876322</v>
      </c>
      <c r="P243" s="295">
        <f t="shared" si="53"/>
        <v>21.680007894677523</v>
      </c>
      <c r="Q243" s="295">
        <f t="shared" si="53"/>
        <v>0</v>
      </c>
      <c r="R243" s="295">
        <f t="shared" si="53"/>
        <v>0</v>
      </c>
      <c r="S243" s="295">
        <f t="shared" si="53"/>
        <v>0</v>
      </c>
      <c r="T243" s="295">
        <f t="shared" si="54"/>
        <v>0</v>
      </c>
      <c r="U243" s="295">
        <f t="shared" si="54"/>
        <v>0</v>
      </c>
      <c r="V243" s="295">
        <f t="shared" si="54"/>
        <v>0</v>
      </c>
      <c r="W243" s="295">
        <f t="shared" si="54"/>
        <v>0</v>
      </c>
      <c r="X243" s="295">
        <f t="shared" si="54"/>
        <v>0</v>
      </c>
      <c r="Y243" s="295">
        <f t="shared" si="54"/>
        <v>0</v>
      </c>
      <c r="Z243" s="295">
        <f t="shared" si="54"/>
        <v>0</v>
      </c>
      <c r="AA243" s="295">
        <f t="shared" si="54"/>
        <v>0</v>
      </c>
      <c r="AB243" s="295">
        <f t="shared" si="54"/>
        <v>0</v>
      </c>
      <c r="AC243" s="295">
        <f t="shared" si="54"/>
        <v>0</v>
      </c>
      <c r="AD243" s="295">
        <f t="shared" si="54"/>
        <v>0</v>
      </c>
      <c r="AE243" s="296">
        <f t="shared" si="54"/>
        <v>0</v>
      </c>
    </row>
    <row r="244" spans="1:31">
      <c r="A244" s="1711"/>
      <c r="B244" s="116">
        <v>14</v>
      </c>
      <c r="C244" s="294">
        <f t="shared" si="51"/>
        <v>8</v>
      </c>
      <c r="D244" s="295">
        <f t="shared" si="53"/>
        <v>5.442591144122999</v>
      </c>
      <c r="E244" s="295">
        <f t="shared" si="53"/>
        <v>7.4388335874090608</v>
      </c>
      <c r="F244" s="295">
        <f t="shared" si="53"/>
        <v>7.260164570092571</v>
      </c>
      <c r="G244" s="295">
        <f t="shared" si="53"/>
        <v>14.604593791051588</v>
      </c>
      <c r="H244" s="295">
        <f t="shared" si="53"/>
        <v>4.1913554353425022</v>
      </c>
      <c r="I244" s="295">
        <f t="shared" si="53"/>
        <v>1.307490477878047</v>
      </c>
      <c r="J244" s="295">
        <f t="shared" si="53"/>
        <v>15.188017828098801</v>
      </c>
      <c r="K244" s="295">
        <f t="shared" si="53"/>
        <v>36.470590580848707</v>
      </c>
      <c r="L244" s="295">
        <f t="shared" si="53"/>
        <v>15.381495762214708</v>
      </c>
      <c r="M244" s="295">
        <f t="shared" si="53"/>
        <v>21.959745522155597</v>
      </c>
      <c r="N244" s="295">
        <f t="shared" si="53"/>
        <v>16.542363366910163</v>
      </c>
      <c r="O244" s="295">
        <f t="shared" si="53"/>
        <v>13.059760552823811</v>
      </c>
      <c r="P244" s="295">
        <f t="shared" si="53"/>
        <v>8.8768789228378981</v>
      </c>
      <c r="Q244" s="295">
        <f t="shared" si="53"/>
        <v>10.726856270189872</v>
      </c>
      <c r="R244" s="295">
        <f t="shared" si="53"/>
        <v>0</v>
      </c>
      <c r="S244" s="295">
        <f t="shared" si="53"/>
        <v>0</v>
      </c>
      <c r="T244" s="295">
        <f t="shared" si="54"/>
        <v>0</v>
      </c>
      <c r="U244" s="295">
        <f t="shared" si="54"/>
        <v>0</v>
      </c>
      <c r="V244" s="295">
        <f t="shared" si="54"/>
        <v>0</v>
      </c>
      <c r="W244" s="295">
        <f t="shared" si="54"/>
        <v>0</v>
      </c>
      <c r="X244" s="295">
        <f t="shared" si="54"/>
        <v>0</v>
      </c>
      <c r="Y244" s="295">
        <f t="shared" si="54"/>
        <v>0</v>
      </c>
      <c r="Z244" s="295">
        <f t="shared" si="54"/>
        <v>0</v>
      </c>
      <c r="AA244" s="295">
        <f t="shared" si="54"/>
        <v>0</v>
      </c>
      <c r="AB244" s="295">
        <f t="shared" si="54"/>
        <v>0</v>
      </c>
      <c r="AC244" s="295">
        <f t="shared" si="54"/>
        <v>0</v>
      </c>
      <c r="AD244" s="295">
        <f t="shared" si="54"/>
        <v>0</v>
      </c>
      <c r="AE244" s="296">
        <f t="shared" si="54"/>
        <v>0</v>
      </c>
    </row>
    <row r="245" spans="1:31">
      <c r="A245" s="1711"/>
      <c r="B245" s="116">
        <v>15</v>
      </c>
      <c r="C245" s="294">
        <f t="shared" si="51"/>
        <v>5</v>
      </c>
      <c r="D245" s="295">
        <f t="shared" si="53"/>
        <v>3.0509862398984957</v>
      </c>
      <c r="E245" s="295">
        <f t="shared" si="53"/>
        <v>2.0756588362640849</v>
      </c>
      <c r="F245" s="295">
        <f t="shared" si="53"/>
        <v>2.8369723645099758</v>
      </c>
      <c r="G245" s="295">
        <f t="shared" si="53"/>
        <v>2.7688327753438764</v>
      </c>
      <c r="H245" s="295">
        <f t="shared" si="53"/>
        <v>5.5698018369756754</v>
      </c>
      <c r="I245" s="295">
        <f t="shared" si="53"/>
        <v>1.5984709699692179</v>
      </c>
      <c r="J245" s="295">
        <f t="shared" si="53"/>
        <v>0.49864193210052871</v>
      </c>
      <c r="K245" s="295">
        <f t="shared" si="53"/>
        <v>5.7923041756078097</v>
      </c>
      <c r="L245" s="295">
        <f t="shared" si="53"/>
        <v>13.908908752892637</v>
      </c>
      <c r="M245" s="295">
        <f t="shared" si="53"/>
        <v>5.8660914899467622</v>
      </c>
      <c r="N245" s="295">
        <f t="shared" si="53"/>
        <v>8.3748601774711666</v>
      </c>
      <c r="O245" s="295">
        <f t="shared" si="53"/>
        <v>6.3088153759804824</v>
      </c>
      <c r="P245" s="295">
        <f t="shared" si="53"/>
        <v>4.9806437178793272</v>
      </c>
      <c r="Q245" s="295">
        <f t="shared" si="53"/>
        <v>3.3854044308529261</v>
      </c>
      <c r="R245" s="295">
        <f t="shared" si="53"/>
        <v>4.0909363597147745</v>
      </c>
      <c r="S245" s="295">
        <f t="shared" si="53"/>
        <v>0</v>
      </c>
      <c r="T245" s="295">
        <f t="shared" si="54"/>
        <v>0</v>
      </c>
      <c r="U245" s="295">
        <f t="shared" si="54"/>
        <v>0</v>
      </c>
      <c r="V245" s="295">
        <f t="shared" si="54"/>
        <v>0</v>
      </c>
      <c r="W245" s="295">
        <f t="shared" si="54"/>
        <v>0</v>
      </c>
      <c r="X245" s="295">
        <f t="shared" si="54"/>
        <v>0</v>
      </c>
      <c r="Y245" s="295">
        <f t="shared" si="54"/>
        <v>0</v>
      </c>
      <c r="Z245" s="295">
        <f t="shared" si="54"/>
        <v>0</v>
      </c>
      <c r="AA245" s="295">
        <f t="shared" si="54"/>
        <v>0</v>
      </c>
      <c r="AB245" s="295">
        <f t="shared" si="54"/>
        <v>0</v>
      </c>
      <c r="AC245" s="295">
        <f t="shared" si="54"/>
        <v>0</v>
      </c>
      <c r="AD245" s="295">
        <f t="shared" si="54"/>
        <v>0</v>
      </c>
      <c r="AE245" s="296">
        <f t="shared" si="54"/>
        <v>0</v>
      </c>
    </row>
    <row r="246" spans="1:31">
      <c r="A246" s="1711"/>
      <c r="B246" s="116">
        <v>16</v>
      </c>
      <c r="C246" s="294">
        <f t="shared" si="51"/>
        <v>4</v>
      </c>
      <c r="D246" s="295">
        <f t="shared" si="53"/>
        <v>1.7161797599429038</v>
      </c>
      <c r="E246" s="295">
        <f t="shared" si="53"/>
        <v>1.0472081665556205</v>
      </c>
      <c r="F246" s="295">
        <f t="shared" si="53"/>
        <v>0.71244073666861285</v>
      </c>
      <c r="G246" s="295">
        <f t="shared" si="53"/>
        <v>0.97375091029787653</v>
      </c>
      <c r="H246" s="295">
        <f t="shared" si="53"/>
        <v>0.95036295354233957</v>
      </c>
      <c r="I246" s="295">
        <f t="shared" si="53"/>
        <v>1.9117562359020919</v>
      </c>
      <c r="J246" s="295">
        <f t="shared" si="53"/>
        <v>0.54865270510349462</v>
      </c>
      <c r="K246" s="295">
        <f t="shared" si="53"/>
        <v>0.17115183826595021</v>
      </c>
      <c r="L246" s="295">
        <f t="shared" si="53"/>
        <v>1.988127037922178</v>
      </c>
      <c r="M246" s="295">
        <f t="shared" si="53"/>
        <v>4.7740375369214076</v>
      </c>
      <c r="N246" s="295">
        <f t="shared" si="53"/>
        <v>2.0134534970039892</v>
      </c>
      <c r="O246" s="295">
        <f t="shared" si="53"/>
        <v>2.8745531057855702</v>
      </c>
      <c r="P246" s="295">
        <f t="shared" si="53"/>
        <v>2.1654122514948568</v>
      </c>
      <c r="Q246" s="295">
        <f t="shared" si="53"/>
        <v>1.7095359880222551</v>
      </c>
      <c r="R246" s="295">
        <f t="shared" si="53"/>
        <v>1.1619925126901636</v>
      </c>
      <c r="S246" s="295">
        <f t="shared" si="53"/>
        <v>1.4041564359513996</v>
      </c>
      <c r="T246" s="295">
        <f t="shared" si="54"/>
        <v>0</v>
      </c>
      <c r="U246" s="295">
        <f t="shared" si="54"/>
        <v>0</v>
      </c>
      <c r="V246" s="295">
        <f t="shared" si="54"/>
        <v>0</v>
      </c>
      <c r="W246" s="295">
        <f t="shared" si="54"/>
        <v>0</v>
      </c>
      <c r="X246" s="295">
        <f t="shared" si="54"/>
        <v>0</v>
      </c>
      <c r="Y246" s="295">
        <f t="shared" si="54"/>
        <v>0</v>
      </c>
      <c r="Z246" s="295">
        <f t="shared" si="54"/>
        <v>0</v>
      </c>
      <c r="AA246" s="295">
        <f t="shared" si="54"/>
        <v>0</v>
      </c>
      <c r="AB246" s="295">
        <f t="shared" si="54"/>
        <v>0</v>
      </c>
      <c r="AC246" s="295">
        <f t="shared" si="54"/>
        <v>0</v>
      </c>
      <c r="AD246" s="295">
        <f t="shared" si="54"/>
        <v>0</v>
      </c>
      <c r="AE246" s="296">
        <f t="shared" si="54"/>
        <v>0</v>
      </c>
    </row>
    <row r="247" spans="1:31">
      <c r="A247" s="1711"/>
      <c r="B247" s="116">
        <v>17</v>
      </c>
      <c r="C247" s="294">
        <f t="shared" si="51"/>
        <v>4</v>
      </c>
      <c r="D247" s="295">
        <f t="shared" si="53"/>
        <v>1.2203944959593982</v>
      </c>
      <c r="E247" s="295">
        <f t="shared" si="53"/>
        <v>0.52360408327781027</v>
      </c>
      <c r="F247" s="295">
        <f t="shared" si="53"/>
        <v>0.31950177064705299</v>
      </c>
      <c r="G247" s="295">
        <f t="shared" si="53"/>
        <v>0.21736468843190854</v>
      </c>
      <c r="H247" s="295">
        <f t="shared" si="53"/>
        <v>0.29709006284074557</v>
      </c>
      <c r="I247" s="295">
        <f t="shared" si="53"/>
        <v>0.28995442941669713</v>
      </c>
      <c r="J247" s="295">
        <f t="shared" si="53"/>
        <v>0.58327419697774241</v>
      </c>
      <c r="K247" s="295">
        <f t="shared" si="53"/>
        <v>0.16739318537538492</v>
      </c>
      <c r="L247" s="295">
        <f t="shared" si="53"/>
        <v>5.2218190348274685E-2</v>
      </c>
      <c r="M247" s="295">
        <f t="shared" si="53"/>
        <v>0.60657482358707193</v>
      </c>
      <c r="N247" s="295">
        <f t="shared" si="53"/>
        <v>1.4565522833906119</v>
      </c>
      <c r="O247" s="295">
        <f t="shared" si="53"/>
        <v>0.6143018914034678</v>
      </c>
      <c r="P247" s="295">
        <f t="shared" si="53"/>
        <v>0.87702219716092589</v>
      </c>
      <c r="Q247" s="295">
        <f t="shared" si="53"/>
        <v>0.66066429830184281</v>
      </c>
      <c r="R247" s="295">
        <f t="shared" si="53"/>
        <v>0.52157707760671801</v>
      </c>
      <c r="S247" s="295">
        <f t="shared" si="53"/>
        <v>0.35452231670827672</v>
      </c>
      <c r="T247" s="295">
        <f t="shared" si="54"/>
        <v>0.42840619647526335</v>
      </c>
      <c r="U247" s="295">
        <f t="shared" si="54"/>
        <v>0</v>
      </c>
      <c r="V247" s="295">
        <f t="shared" si="54"/>
        <v>0</v>
      </c>
      <c r="W247" s="295">
        <f t="shared" si="54"/>
        <v>0</v>
      </c>
      <c r="X247" s="295">
        <f t="shared" si="54"/>
        <v>0</v>
      </c>
      <c r="Y247" s="295">
        <f t="shared" si="54"/>
        <v>0</v>
      </c>
      <c r="Z247" s="295">
        <f t="shared" si="54"/>
        <v>0</v>
      </c>
      <c r="AA247" s="295">
        <f t="shared" si="54"/>
        <v>0</v>
      </c>
      <c r="AB247" s="295">
        <f t="shared" si="54"/>
        <v>0</v>
      </c>
      <c r="AC247" s="295">
        <f t="shared" si="54"/>
        <v>0</v>
      </c>
      <c r="AD247" s="295">
        <f t="shared" si="54"/>
        <v>0</v>
      </c>
      <c r="AE247" s="296">
        <f t="shared" si="54"/>
        <v>0</v>
      </c>
    </row>
    <row r="248" spans="1:31">
      <c r="A248" s="1711"/>
      <c r="B248" s="116">
        <v>18</v>
      </c>
      <c r="C248" s="294">
        <f t="shared" si="51"/>
        <v>2</v>
      </c>
      <c r="D248" s="295">
        <f t="shared" ref="D248:AE255" si="55">C247*$C46</f>
        <v>1.0678451839644734</v>
      </c>
      <c r="E248" s="295">
        <f t="shared" si="55"/>
        <v>0.3257980962617486</v>
      </c>
      <c r="F248" s="295">
        <f t="shared" si="55"/>
        <v>0.13978202465808567</v>
      </c>
      <c r="G248" s="295">
        <f t="shared" si="55"/>
        <v>8.5294606763394315E-2</v>
      </c>
      <c r="H248" s="295">
        <f t="shared" si="55"/>
        <v>5.8027958926487953E-2</v>
      </c>
      <c r="I248" s="295">
        <f t="shared" si="55"/>
        <v>7.9311548202048221E-2</v>
      </c>
      <c r="J248" s="295">
        <f t="shared" si="55"/>
        <v>7.740661025544672E-2</v>
      </c>
      <c r="K248" s="295">
        <f t="shared" si="55"/>
        <v>0.15571163554335696</v>
      </c>
      <c r="L248" s="295">
        <f t="shared" si="55"/>
        <v>4.4687501707894275E-2</v>
      </c>
      <c r="M248" s="295">
        <f t="shared" si="55"/>
        <v>1.3940235769686317E-2</v>
      </c>
      <c r="N248" s="295">
        <f t="shared" si="55"/>
        <v>0.16193200102038871</v>
      </c>
      <c r="O248" s="295">
        <f t="shared" si="55"/>
        <v>0.38884308525278044</v>
      </c>
      <c r="P248" s="295">
        <f t="shared" si="55"/>
        <v>0.163994829058865</v>
      </c>
      <c r="Q248" s="295">
        <f t="shared" si="55"/>
        <v>0.23413098236705887</v>
      </c>
      <c r="R248" s="295">
        <f t="shared" si="55"/>
        <v>0.17637179728972277</v>
      </c>
      <c r="S248" s="295">
        <f t="shared" si="55"/>
        <v>0.13924089259714956</v>
      </c>
      <c r="T248" s="295">
        <f t="shared" si="55"/>
        <v>9.4643737126215266E-2</v>
      </c>
      <c r="U248" s="295">
        <f t="shared" si="55"/>
        <v>0.11436787342166198</v>
      </c>
      <c r="V248" s="295">
        <f t="shared" si="55"/>
        <v>0</v>
      </c>
      <c r="W248" s="295">
        <f t="shared" si="55"/>
        <v>0</v>
      </c>
      <c r="X248" s="295">
        <f t="shared" si="55"/>
        <v>0</v>
      </c>
      <c r="Y248" s="295">
        <f t="shared" si="55"/>
        <v>0</v>
      </c>
      <c r="Z248" s="295">
        <f t="shared" si="55"/>
        <v>0</v>
      </c>
      <c r="AA248" s="295">
        <f t="shared" si="55"/>
        <v>0</v>
      </c>
      <c r="AB248" s="295">
        <f t="shared" si="55"/>
        <v>0</v>
      </c>
      <c r="AC248" s="295">
        <f t="shared" si="55"/>
        <v>0</v>
      </c>
      <c r="AD248" s="295">
        <f t="shared" si="55"/>
        <v>0</v>
      </c>
      <c r="AE248" s="296">
        <f t="shared" si="55"/>
        <v>0</v>
      </c>
    </row>
    <row r="249" spans="1:31">
      <c r="A249" s="1711"/>
      <c r="B249" s="116">
        <v>19</v>
      </c>
      <c r="C249" s="294">
        <f t="shared" ref="C249:C255" si="56">(EXP(18-B249)*$T$47/(EXP(-1)+EXP(-2)+EXP(-3)+EXP(-4)+EXP(-5)+EXP(-6)+EXP(-7)+EXP(-8)+EXP(-9)+EXP(-10)))</f>
        <v>4.4250448085234062</v>
      </c>
      <c r="D249" s="295">
        <f t="shared" si="55"/>
        <v>0.45764793598477427</v>
      </c>
      <c r="E249" s="295">
        <f t="shared" si="55"/>
        <v>0.2443485721963114</v>
      </c>
      <c r="F249" s="295">
        <f t="shared" si="55"/>
        <v>7.4550413150979031E-2</v>
      </c>
      <c r="G249" s="295">
        <f t="shared" si="55"/>
        <v>3.1985477536272865E-2</v>
      </c>
      <c r="H249" s="295">
        <f t="shared" si="55"/>
        <v>1.9517450367950186E-2</v>
      </c>
      <c r="I249" s="295">
        <f t="shared" si="55"/>
        <v>1.3278187816058235E-2</v>
      </c>
      <c r="J249" s="295">
        <f t="shared" si="55"/>
        <v>1.8148383167212151E-2</v>
      </c>
      <c r="K249" s="295">
        <f t="shared" si="55"/>
        <v>1.7712487707491526E-2</v>
      </c>
      <c r="L249" s="295">
        <f t="shared" si="55"/>
        <v>3.5630554307615366E-2</v>
      </c>
      <c r="M249" s="295">
        <f t="shared" si="55"/>
        <v>1.0225571460466945E-2</v>
      </c>
      <c r="N249" s="295">
        <f t="shared" si="55"/>
        <v>3.1898600635690321E-3</v>
      </c>
      <c r="O249" s="295">
        <f t="shared" si="55"/>
        <v>3.7053923018432626E-2</v>
      </c>
      <c r="P249" s="295">
        <f t="shared" si="55"/>
        <v>8.89766176939433E-2</v>
      </c>
      <c r="Q249" s="295">
        <f t="shared" si="55"/>
        <v>3.7525947515482723E-2</v>
      </c>
      <c r="R249" s="295">
        <f t="shared" si="55"/>
        <v>5.3574780415186034E-2</v>
      </c>
      <c r="S249" s="295">
        <f t="shared" si="55"/>
        <v>4.0358094497783312E-2</v>
      </c>
      <c r="T249" s="295">
        <f t="shared" si="55"/>
        <v>3.1861653550881566E-2</v>
      </c>
      <c r="U249" s="295">
        <f t="shared" si="55"/>
        <v>2.1656755474848983E-2</v>
      </c>
      <c r="V249" s="295">
        <f t="shared" si="55"/>
        <v>2.6170110607195762E-2</v>
      </c>
      <c r="W249" s="295">
        <f t="shared" si="55"/>
        <v>0</v>
      </c>
      <c r="X249" s="295">
        <f t="shared" si="55"/>
        <v>0</v>
      </c>
      <c r="Y249" s="295">
        <f t="shared" si="55"/>
        <v>0</v>
      </c>
      <c r="Z249" s="295">
        <f t="shared" si="55"/>
        <v>0</v>
      </c>
      <c r="AA249" s="295">
        <f t="shared" si="55"/>
        <v>0</v>
      </c>
      <c r="AB249" s="295">
        <f t="shared" si="55"/>
        <v>0</v>
      </c>
      <c r="AC249" s="295">
        <f t="shared" si="55"/>
        <v>0</v>
      </c>
      <c r="AD249" s="295">
        <f t="shared" si="55"/>
        <v>0</v>
      </c>
      <c r="AE249" s="296">
        <f t="shared" si="55"/>
        <v>0</v>
      </c>
    </row>
    <row r="250" spans="1:31">
      <c r="A250" s="1711"/>
      <c r="B250" s="116">
        <v>20</v>
      </c>
      <c r="C250" s="294">
        <f t="shared" si="56"/>
        <v>1.6278830113181828</v>
      </c>
      <c r="D250" s="295">
        <f t="shared" si="55"/>
        <v>0.84379692635869885</v>
      </c>
      <c r="E250" s="295">
        <f t="shared" si="55"/>
        <v>8.7267347212968346E-2</v>
      </c>
      <c r="F250" s="295">
        <f t="shared" si="55"/>
        <v>4.6594008219361875E-2</v>
      </c>
      <c r="G250" s="295">
        <f t="shared" si="55"/>
        <v>1.4215767793899051E-2</v>
      </c>
      <c r="H250" s="295">
        <f t="shared" si="55"/>
        <v>6.0992032399844326E-3</v>
      </c>
      <c r="I250" s="295">
        <f t="shared" si="55"/>
        <v>3.7217170319073646E-3</v>
      </c>
      <c r="J250" s="295">
        <f t="shared" si="55"/>
        <v>2.5319730198488451E-3</v>
      </c>
      <c r="K250" s="295">
        <f t="shared" si="55"/>
        <v>3.4606542074731086E-3</v>
      </c>
      <c r="L250" s="295">
        <f t="shared" si="55"/>
        <v>3.3775347668704926E-3</v>
      </c>
      <c r="M250" s="295">
        <f t="shared" si="55"/>
        <v>6.7942706820306575E-3</v>
      </c>
      <c r="N250" s="295">
        <f t="shared" si="55"/>
        <v>1.9498798638114627E-3</v>
      </c>
      <c r="O250" s="295">
        <f t="shared" si="55"/>
        <v>6.0826369757192844E-4</v>
      </c>
      <c r="P250" s="295">
        <f t="shared" si="55"/>
        <v>7.0656880789685024E-3</v>
      </c>
      <c r="Q250" s="295">
        <f t="shared" si="55"/>
        <v>1.6966652266058122E-2</v>
      </c>
      <c r="R250" s="295">
        <f t="shared" si="55"/>
        <v>7.1556968443056814E-3</v>
      </c>
      <c r="S250" s="295">
        <f t="shared" si="55"/>
        <v>1.0215994865769747E-2</v>
      </c>
      <c r="T250" s="295">
        <f t="shared" si="55"/>
        <v>7.6957494363287526E-3</v>
      </c>
      <c r="U250" s="295">
        <f t="shared" si="55"/>
        <v>6.0755916602595423E-3</v>
      </c>
      <c r="V250" s="295">
        <f t="shared" si="55"/>
        <v>4.1296539346631651E-3</v>
      </c>
      <c r="W250" s="295">
        <f t="shared" si="55"/>
        <v>4.9902904599484947E-3</v>
      </c>
      <c r="X250" s="295">
        <f t="shared" si="55"/>
        <v>0</v>
      </c>
      <c r="Y250" s="295">
        <f t="shared" si="55"/>
        <v>0</v>
      </c>
      <c r="Z250" s="295">
        <f t="shared" si="55"/>
        <v>0</v>
      </c>
      <c r="AA250" s="295">
        <f t="shared" si="55"/>
        <v>0</v>
      </c>
      <c r="AB250" s="295">
        <f t="shared" si="55"/>
        <v>0</v>
      </c>
      <c r="AC250" s="295">
        <f t="shared" si="55"/>
        <v>0</v>
      </c>
      <c r="AD250" s="295">
        <f t="shared" si="55"/>
        <v>0</v>
      </c>
      <c r="AE250" s="296">
        <f t="shared" si="55"/>
        <v>0</v>
      </c>
    </row>
    <row r="251" spans="1:31">
      <c r="A251" s="1711"/>
      <c r="B251" s="116">
        <v>21</v>
      </c>
      <c r="C251" s="294">
        <f t="shared" si="56"/>
        <v>0.59886469249621777</v>
      </c>
      <c r="D251" s="295">
        <f t="shared" si="55"/>
        <v>0.24833243338481503</v>
      </c>
      <c r="E251" s="295">
        <f t="shared" si="55"/>
        <v>0.12872064057945168</v>
      </c>
      <c r="F251" s="295">
        <f t="shared" si="55"/>
        <v>1.3312573776960532E-2</v>
      </c>
      <c r="G251" s="295">
        <f t="shared" si="55"/>
        <v>7.1078838969495213E-3</v>
      </c>
      <c r="H251" s="295">
        <f t="shared" si="55"/>
        <v>2.1686055964389092E-3</v>
      </c>
      <c r="I251" s="295">
        <f t="shared" si="55"/>
        <v>9.3042925797684093E-4</v>
      </c>
      <c r="J251" s="295">
        <f t="shared" si="55"/>
        <v>5.6774537265726174E-4</v>
      </c>
      <c r="K251" s="295">
        <f t="shared" si="55"/>
        <v>3.8625074216765316E-4</v>
      </c>
      <c r="L251" s="295">
        <f t="shared" si="55"/>
        <v>5.2792041840236416E-4</v>
      </c>
      <c r="M251" s="295">
        <f t="shared" si="55"/>
        <v>5.1524060492503208E-4</v>
      </c>
      <c r="N251" s="295">
        <f t="shared" si="55"/>
        <v>1.0364613180510647E-3</v>
      </c>
      <c r="O251" s="295">
        <f t="shared" si="55"/>
        <v>2.9745283169719616E-4</v>
      </c>
      <c r="P251" s="295">
        <f t="shared" si="55"/>
        <v>9.2790208576086643E-5</v>
      </c>
      <c r="Q251" s="295">
        <f t="shared" si="55"/>
        <v>1.0778658552173864E-3</v>
      </c>
      <c r="R251" s="295">
        <f t="shared" si="55"/>
        <v>2.5882511300442971E-3</v>
      </c>
      <c r="S251" s="295">
        <f t="shared" si="55"/>
        <v>1.0915966304430856E-3</v>
      </c>
      <c r="T251" s="295">
        <f t="shared" si="55"/>
        <v>1.5584429881168582E-3</v>
      </c>
      <c r="U251" s="295">
        <f t="shared" si="55"/>
        <v>1.173981281797281E-3</v>
      </c>
      <c r="V251" s="295">
        <f t="shared" si="55"/>
        <v>9.2682732773469558E-4</v>
      </c>
      <c r="W251" s="295">
        <f t="shared" si="55"/>
        <v>6.2997586650999967E-4</v>
      </c>
      <c r="X251" s="295">
        <f t="shared" si="55"/>
        <v>7.6126537631997931E-4</v>
      </c>
      <c r="Y251" s="295">
        <f t="shared" si="55"/>
        <v>0</v>
      </c>
      <c r="Z251" s="295">
        <f t="shared" si="55"/>
        <v>0</v>
      </c>
      <c r="AA251" s="295">
        <f t="shared" si="55"/>
        <v>0</v>
      </c>
      <c r="AB251" s="295">
        <f t="shared" si="55"/>
        <v>0</v>
      </c>
      <c r="AC251" s="295">
        <f t="shared" si="55"/>
        <v>0</v>
      </c>
      <c r="AD251" s="295">
        <f t="shared" si="55"/>
        <v>0</v>
      </c>
      <c r="AE251" s="296">
        <f t="shared" si="55"/>
        <v>0</v>
      </c>
    </row>
    <row r="252" spans="1:31">
      <c r="A252" s="1711"/>
      <c r="B252" s="116">
        <v>22</v>
      </c>
      <c r="C252" s="294">
        <f t="shared" si="56"/>
        <v>0.22031000841281626</v>
      </c>
      <c r="D252" s="295">
        <f t="shared" si="55"/>
        <v>6.8517297613762629E-2</v>
      </c>
      <c r="E252" s="295">
        <f t="shared" si="55"/>
        <v>2.8412206394159253E-2</v>
      </c>
      <c r="F252" s="295">
        <f t="shared" si="55"/>
        <v>1.4727183869956004E-2</v>
      </c>
      <c r="G252" s="295">
        <f t="shared" si="55"/>
        <v>1.523117977917754E-3</v>
      </c>
      <c r="H252" s="295">
        <f t="shared" si="55"/>
        <v>8.132270986645903E-4</v>
      </c>
      <c r="I252" s="295">
        <f t="shared" si="55"/>
        <v>2.481144687938242E-4</v>
      </c>
      <c r="J252" s="295">
        <f t="shared" si="55"/>
        <v>1.0645225737323654E-4</v>
      </c>
      <c r="K252" s="295">
        <f t="shared" si="55"/>
        <v>6.4956874490375559E-5</v>
      </c>
      <c r="L252" s="295">
        <f t="shared" si="55"/>
        <v>4.4191713731403404E-5</v>
      </c>
      <c r="M252" s="295">
        <f t="shared" si="55"/>
        <v>6.0400422461515075E-5</v>
      </c>
      <c r="N252" s="295">
        <f t="shared" si="55"/>
        <v>5.8949699844871841E-5</v>
      </c>
      <c r="O252" s="295">
        <f t="shared" si="55"/>
        <v>1.1858359573353206E-4</v>
      </c>
      <c r="P252" s="295">
        <f t="shared" si="55"/>
        <v>3.4032168619762056E-5</v>
      </c>
      <c r="Q252" s="295">
        <f t="shared" si="55"/>
        <v>1.0616311858610684E-5</v>
      </c>
      <c r="R252" s="295">
        <f t="shared" si="55"/>
        <v>1.2332077097717506E-4</v>
      </c>
      <c r="S252" s="295">
        <f t="shared" si="55"/>
        <v>2.9612694686875795E-4</v>
      </c>
      <c r="T252" s="295">
        <f t="shared" si="55"/>
        <v>1.2489173621255307E-4</v>
      </c>
      <c r="U252" s="295">
        <f t="shared" si="55"/>
        <v>1.78304554215406E-4</v>
      </c>
      <c r="V252" s="295">
        <f t="shared" si="55"/>
        <v>1.3431752762482128E-4</v>
      </c>
      <c r="W252" s="295">
        <f t="shared" si="55"/>
        <v>1.060401533880168E-4</v>
      </c>
      <c r="X252" s="295">
        <f t="shared" si="55"/>
        <v>7.2076788757130227E-5</v>
      </c>
      <c r="Y252" s="295">
        <f t="shared" si="55"/>
        <v>8.7097882052377708E-5</v>
      </c>
      <c r="Z252" s="295">
        <f t="shared" si="55"/>
        <v>0</v>
      </c>
      <c r="AA252" s="295">
        <f t="shared" si="55"/>
        <v>0</v>
      </c>
      <c r="AB252" s="295">
        <f t="shared" si="55"/>
        <v>0</v>
      </c>
      <c r="AC252" s="295">
        <f t="shared" si="55"/>
        <v>0</v>
      </c>
      <c r="AD252" s="295">
        <f t="shared" si="55"/>
        <v>0</v>
      </c>
      <c r="AE252" s="296">
        <f t="shared" si="55"/>
        <v>0</v>
      </c>
    </row>
    <row r="253" spans="1:31">
      <c r="A253" s="1711"/>
      <c r="B253" s="116">
        <v>23</v>
      </c>
      <c r="C253" s="294">
        <f t="shared" si="56"/>
        <v>8.1047522779382597E-2</v>
      </c>
      <c r="D253" s="295">
        <f t="shared" si="55"/>
        <v>1.6804070104485591E-2</v>
      </c>
      <c r="E253" s="295">
        <f t="shared" si="55"/>
        <v>5.2261333053654916E-3</v>
      </c>
      <c r="F253" s="295">
        <f t="shared" si="55"/>
        <v>2.1671312688433969E-3</v>
      </c>
      <c r="G253" s="295">
        <f t="shared" si="55"/>
        <v>1.1233108834922702E-3</v>
      </c>
      <c r="H253" s="295">
        <f t="shared" si="55"/>
        <v>1.1617529980922712E-4</v>
      </c>
      <c r="I253" s="295">
        <f t="shared" si="55"/>
        <v>6.2028617198455982E-5</v>
      </c>
      <c r="J253" s="295">
        <f t="shared" si="55"/>
        <v>1.8924845755242042E-5</v>
      </c>
      <c r="K253" s="295">
        <f t="shared" si="55"/>
        <v>8.1196093112969398E-6</v>
      </c>
      <c r="L253" s="295">
        <f t="shared" si="55"/>
        <v>4.9545632564237321E-6</v>
      </c>
      <c r="M253" s="295">
        <f t="shared" si="55"/>
        <v>3.3707077628011269E-6</v>
      </c>
      <c r="N253" s="295">
        <f t="shared" si="55"/>
        <v>4.6070214453534591E-6</v>
      </c>
      <c r="O253" s="295">
        <f t="shared" si="55"/>
        <v>4.4963680768212582E-6</v>
      </c>
      <c r="P253" s="295">
        <f t="shared" si="55"/>
        <v>9.0449229715172991E-6</v>
      </c>
      <c r="Q253" s="295">
        <f t="shared" si="55"/>
        <v>2.5957919543199832E-6</v>
      </c>
      <c r="R253" s="295">
        <f t="shared" si="55"/>
        <v>8.0975553497730981E-7</v>
      </c>
      <c r="S253" s="295">
        <f t="shared" si="55"/>
        <v>9.4062493836258641E-6</v>
      </c>
      <c r="T253" s="295">
        <f t="shared" si="55"/>
        <v>2.2586981003993317E-5</v>
      </c>
      <c r="U253" s="295">
        <f t="shared" si="55"/>
        <v>9.5260742165382952E-6</v>
      </c>
      <c r="V253" s="295">
        <f t="shared" si="55"/>
        <v>1.3600118535560965E-5</v>
      </c>
      <c r="W253" s="295">
        <f t="shared" si="55"/>
        <v>1.0245023214012887E-5</v>
      </c>
      <c r="X253" s="295">
        <f t="shared" si="55"/>
        <v>8.0881762215891207E-6</v>
      </c>
      <c r="Y253" s="295">
        <f t="shared" si="55"/>
        <v>5.4976322678518686E-6</v>
      </c>
      <c r="Z253" s="295">
        <f t="shared" si="55"/>
        <v>6.6433609916526578E-6</v>
      </c>
      <c r="AA253" s="295">
        <f t="shared" si="55"/>
        <v>0</v>
      </c>
      <c r="AB253" s="295">
        <f t="shared" si="55"/>
        <v>0</v>
      </c>
      <c r="AC253" s="295">
        <f t="shared" si="55"/>
        <v>0</v>
      </c>
      <c r="AD253" s="295">
        <f t="shared" si="55"/>
        <v>0</v>
      </c>
      <c r="AE253" s="296">
        <f t="shared" si="55"/>
        <v>0</v>
      </c>
    </row>
    <row r="254" spans="1:31">
      <c r="A254" s="1711"/>
      <c r="B254" s="116">
        <v>24</v>
      </c>
      <c r="C254" s="294">
        <f t="shared" si="56"/>
        <v>2.9815717388409012E-2</v>
      </c>
      <c r="D254" s="295">
        <f t="shared" si="55"/>
        <v>3.0909359597219477E-3</v>
      </c>
      <c r="E254" s="295">
        <f t="shared" si="55"/>
        <v>6.4086233328843924E-4</v>
      </c>
      <c r="F254" s="295">
        <f t="shared" si="55"/>
        <v>1.9931076003181666E-4</v>
      </c>
      <c r="G254" s="295">
        <f t="shared" si="55"/>
        <v>8.2648596016187019E-5</v>
      </c>
      <c r="H254" s="295">
        <f t="shared" si="55"/>
        <v>4.2840075608289171E-5</v>
      </c>
      <c r="I254" s="295">
        <f t="shared" si="55"/>
        <v>4.4306155141754219E-6</v>
      </c>
      <c r="J254" s="295">
        <f t="shared" si="55"/>
        <v>2.365605719405251E-6</v>
      </c>
      <c r="K254" s="295">
        <f t="shared" si="55"/>
        <v>7.217430498930605E-7</v>
      </c>
      <c r="L254" s="295">
        <f t="shared" si="55"/>
        <v>3.0966020352648283E-7</v>
      </c>
      <c r="M254" s="295">
        <f t="shared" si="55"/>
        <v>1.8895380400069331E-7</v>
      </c>
      <c r="N254" s="295">
        <f t="shared" si="55"/>
        <v>1.2854978753781581E-7</v>
      </c>
      <c r="O254" s="295">
        <f t="shared" si="55"/>
        <v>1.7569948795863328E-7</v>
      </c>
      <c r="P254" s="295">
        <f t="shared" si="55"/>
        <v>1.7147946414875626E-7</v>
      </c>
      <c r="Q254" s="295">
        <f t="shared" si="55"/>
        <v>3.4494919408801315E-7</v>
      </c>
      <c r="R254" s="295">
        <f t="shared" si="55"/>
        <v>9.899656917836851E-8</v>
      </c>
      <c r="S254" s="295">
        <f t="shared" si="55"/>
        <v>3.088191243621767E-8</v>
      </c>
      <c r="T254" s="295">
        <f t="shared" si="55"/>
        <v>3.5872921798120217E-7</v>
      </c>
      <c r="U254" s="295">
        <f t="shared" si="55"/>
        <v>8.6140710305040265E-7</v>
      </c>
      <c r="V254" s="295">
        <f t="shared" si="55"/>
        <v>3.6329901693637672E-7</v>
      </c>
      <c r="W254" s="295">
        <f t="shared" si="55"/>
        <v>5.1867218141231149E-7</v>
      </c>
      <c r="X254" s="295">
        <f t="shared" si="55"/>
        <v>3.9071781066742415E-7</v>
      </c>
      <c r="Y254" s="295">
        <f t="shared" si="55"/>
        <v>3.0846142947428222E-7</v>
      </c>
      <c r="Z254" s="295">
        <f t="shared" si="55"/>
        <v>2.0966500501547483E-7</v>
      </c>
      <c r="AA254" s="295">
        <f t="shared" si="55"/>
        <v>2.5336003715263318E-7</v>
      </c>
      <c r="AB254" s="295">
        <f t="shared" si="55"/>
        <v>0</v>
      </c>
      <c r="AC254" s="295">
        <f t="shared" si="55"/>
        <v>0</v>
      </c>
      <c r="AD254" s="295">
        <f t="shared" si="55"/>
        <v>0</v>
      </c>
      <c r="AE254" s="296">
        <f t="shared" si="55"/>
        <v>0</v>
      </c>
    </row>
    <row r="255" spans="1:31" ht="15.75" thickBot="1">
      <c r="A255" s="1711"/>
      <c r="B255" s="116">
        <v>25</v>
      </c>
      <c r="C255" s="297">
        <f t="shared" si="56"/>
        <v>1.0968589450973563E-2</v>
      </c>
      <c r="D255" s="298">
        <f t="shared" si="55"/>
        <v>0</v>
      </c>
      <c r="E255" s="298">
        <f t="shared" si="55"/>
        <v>0</v>
      </c>
      <c r="F255" s="298">
        <f t="shared" si="55"/>
        <v>0</v>
      </c>
      <c r="G255" s="298">
        <f t="shared" si="55"/>
        <v>0</v>
      </c>
      <c r="H255" s="298">
        <f t="shared" si="55"/>
        <v>0</v>
      </c>
      <c r="I255" s="298">
        <f t="shared" si="55"/>
        <v>0</v>
      </c>
      <c r="J255" s="298">
        <f t="shared" si="55"/>
        <v>0</v>
      </c>
      <c r="K255" s="298">
        <f t="shared" si="55"/>
        <v>0</v>
      </c>
      <c r="L255" s="298">
        <f t="shared" si="55"/>
        <v>0</v>
      </c>
      <c r="M255" s="298">
        <f t="shared" si="55"/>
        <v>0</v>
      </c>
      <c r="N255" s="298">
        <f t="shared" si="55"/>
        <v>0</v>
      </c>
      <c r="O255" s="298">
        <f t="shared" si="55"/>
        <v>0</v>
      </c>
      <c r="P255" s="298">
        <f t="shared" si="55"/>
        <v>0</v>
      </c>
      <c r="Q255" s="298">
        <f t="shared" si="55"/>
        <v>0</v>
      </c>
      <c r="R255" s="298">
        <f t="shared" si="55"/>
        <v>0</v>
      </c>
      <c r="S255" s="298">
        <f t="shared" si="55"/>
        <v>0</v>
      </c>
      <c r="T255" s="298">
        <f t="shared" si="55"/>
        <v>0</v>
      </c>
      <c r="U255" s="298">
        <f t="shared" si="55"/>
        <v>0</v>
      </c>
      <c r="V255" s="298">
        <f t="shared" si="55"/>
        <v>0</v>
      </c>
      <c r="W255" s="298">
        <f t="shared" si="55"/>
        <v>0</v>
      </c>
      <c r="X255" s="298">
        <f t="shared" si="55"/>
        <v>0</v>
      </c>
      <c r="Y255" s="298">
        <f t="shared" si="55"/>
        <v>0</v>
      </c>
      <c r="Z255" s="298">
        <f t="shared" si="55"/>
        <v>0</v>
      </c>
      <c r="AA255" s="298">
        <f t="shared" si="55"/>
        <v>0</v>
      </c>
      <c r="AB255" s="298">
        <f t="shared" si="55"/>
        <v>0</v>
      </c>
      <c r="AC255" s="298">
        <f t="shared" si="55"/>
        <v>0</v>
      </c>
      <c r="AD255" s="298">
        <f t="shared" si="55"/>
        <v>0</v>
      </c>
      <c r="AE255" s="299">
        <f t="shared" si="55"/>
        <v>0</v>
      </c>
    </row>
    <row r="256" spans="1:31" ht="16.5" thickTop="1" thickBot="1">
      <c r="A256" s="1712"/>
      <c r="B256" s="300" t="s">
        <v>39</v>
      </c>
      <c r="C256" s="349">
        <f>SUM(C230:C255)</f>
        <v>1743.993934350369</v>
      </c>
      <c r="D256" s="349">
        <f>SUM(D230:D255)</f>
        <v>1620.1646984065296</v>
      </c>
      <c r="E256" s="349">
        <f t="shared" ref="E256:AE256" si="57">SUM(E230:E255)</f>
        <v>1506.227210505931</v>
      </c>
      <c r="F256" s="349">
        <f t="shared" si="57"/>
        <v>1386.942853961131</v>
      </c>
      <c r="G256" s="349">
        <f t="shared" si="57"/>
        <v>1250.3348674121921</v>
      </c>
      <c r="H256" s="349">
        <f t="shared" si="57"/>
        <v>1086.5855196833343</v>
      </c>
      <c r="I256" s="349">
        <f t="shared" si="57"/>
        <v>900.95821998539088</v>
      </c>
      <c r="J256" s="349">
        <f t="shared" si="57"/>
        <v>709.29866956248441</v>
      </c>
      <c r="K256" s="349">
        <f t="shared" si="57"/>
        <v>531.53482846812039</v>
      </c>
      <c r="L256" s="349">
        <f t="shared" si="57"/>
        <v>372.15287057710486</v>
      </c>
      <c r="M256" s="349">
        <f t="shared" si="57"/>
        <v>245.28342565040685</v>
      </c>
      <c r="N256" s="349">
        <f t="shared" si="57"/>
        <v>148.94057186312574</v>
      </c>
      <c r="O256" s="349">
        <f t="shared" si="57"/>
        <v>81.601601915754571</v>
      </c>
      <c r="P256" s="349">
        <f t="shared" si="57"/>
        <v>38.840138157661933</v>
      </c>
      <c r="Q256" s="349">
        <f t="shared" si="57"/>
        <v>16.772175992423723</v>
      </c>
      <c r="R256" s="349">
        <f t="shared" si="57"/>
        <v>6.0143207052139962</v>
      </c>
      <c r="S256" s="349">
        <f t="shared" si="57"/>
        <v>1.9498908953289869</v>
      </c>
      <c r="T256" s="349">
        <f t="shared" si="57"/>
        <v>0.56431361702324034</v>
      </c>
      <c r="U256" s="349">
        <f t="shared" si="57"/>
        <v>0.14346289387410274</v>
      </c>
      <c r="V256" s="349">
        <f t="shared" si="57"/>
        <v>3.1374872814770943E-2</v>
      </c>
      <c r="W256" s="349">
        <f t="shared" si="57"/>
        <v>5.7370701752419368E-3</v>
      </c>
      <c r="X256" s="349">
        <f t="shared" si="57"/>
        <v>8.4182105910936614E-4</v>
      </c>
      <c r="Y256" s="349">
        <f t="shared" si="57"/>
        <v>9.2903975749703856E-5</v>
      </c>
      <c r="Z256" s="349">
        <f t="shared" si="57"/>
        <v>6.853025996668133E-6</v>
      </c>
      <c r="AA256" s="349">
        <f t="shared" si="57"/>
        <v>2.5336003715263318E-7</v>
      </c>
      <c r="AB256" s="349">
        <f t="shared" si="57"/>
        <v>0</v>
      </c>
      <c r="AC256" s="349">
        <f t="shared" si="57"/>
        <v>0</v>
      </c>
      <c r="AD256" s="349">
        <f t="shared" si="57"/>
        <v>0</v>
      </c>
      <c r="AE256" s="350">
        <f t="shared" si="57"/>
        <v>0</v>
      </c>
    </row>
    <row r="257" spans="1:31" ht="15.75" thickBot="1"/>
    <row r="258" spans="1:31" ht="15.75" customHeight="1" thickBot="1">
      <c r="A258" s="1710" t="s">
        <v>204</v>
      </c>
      <c r="B258" s="169" t="s">
        <v>10</v>
      </c>
      <c r="C258" s="288">
        <v>2012</v>
      </c>
      <c r="D258" s="347">
        <v>2013</v>
      </c>
      <c r="E258" s="347">
        <v>2014</v>
      </c>
      <c r="F258" s="288">
        <v>2015</v>
      </c>
      <c r="G258" s="347">
        <v>2016</v>
      </c>
      <c r="H258" s="347">
        <v>2017</v>
      </c>
      <c r="I258" s="288">
        <v>2018</v>
      </c>
      <c r="J258" s="347">
        <v>2019</v>
      </c>
      <c r="K258" s="347">
        <v>2020</v>
      </c>
      <c r="L258" s="288">
        <v>2021</v>
      </c>
      <c r="M258" s="347">
        <v>2022</v>
      </c>
      <c r="N258" s="347">
        <v>2023</v>
      </c>
      <c r="O258" s="288">
        <v>2024</v>
      </c>
      <c r="P258" s="347">
        <v>2025</v>
      </c>
      <c r="Q258" s="347">
        <v>2026</v>
      </c>
      <c r="R258" s="288">
        <v>2027</v>
      </c>
      <c r="S258" s="347">
        <v>2028</v>
      </c>
      <c r="T258" s="347">
        <v>2029</v>
      </c>
      <c r="U258" s="288">
        <v>2030</v>
      </c>
      <c r="V258" s="347">
        <v>2031</v>
      </c>
      <c r="W258" s="347">
        <v>2032</v>
      </c>
      <c r="X258" s="288">
        <v>2033</v>
      </c>
      <c r="Y258" s="347">
        <v>2034</v>
      </c>
      <c r="Z258" s="347">
        <v>2035</v>
      </c>
      <c r="AA258" s="288">
        <v>2036</v>
      </c>
      <c r="AB258" s="347">
        <v>2037</v>
      </c>
      <c r="AC258" s="347">
        <v>2038</v>
      </c>
      <c r="AD258" s="288">
        <v>2039</v>
      </c>
      <c r="AE258" s="348">
        <v>2040</v>
      </c>
    </row>
    <row r="259" spans="1:31">
      <c r="A259" s="1711"/>
      <c r="B259" s="116">
        <v>0</v>
      </c>
      <c r="C259" s="291">
        <f t="shared" ref="C259:C277" si="58">U28</f>
        <v>5237</v>
      </c>
      <c r="D259" s="292"/>
      <c r="E259" s="292"/>
      <c r="F259" s="292"/>
      <c r="G259" s="292"/>
      <c r="H259" s="292"/>
      <c r="I259" s="292"/>
      <c r="J259" s="292"/>
      <c r="K259" s="292"/>
      <c r="L259" s="292"/>
      <c r="M259" s="292"/>
      <c r="N259" s="292"/>
      <c r="O259" s="292"/>
      <c r="P259" s="292"/>
      <c r="Q259" s="292"/>
      <c r="R259" s="292"/>
      <c r="S259" s="292"/>
      <c r="T259" s="292"/>
      <c r="U259" s="292"/>
      <c r="V259" s="292"/>
      <c r="W259" s="292"/>
      <c r="X259" s="292"/>
      <c r="Y259" s="292"/>
      <c r="Z259" s="292"/>
      <c r="AA259" s="292"/>
      <c r="AB259" s="292"/>
      <c r="AC259" s="292"/>
      <c r="AD259" s="292"/>
      <c r="AE259" s="293"/>
    </row>
    <row r="260" spans="1:31">
      <c r="A260" s="1711"/>
      <c r="B260" s="116">
        <v>1</v>
      </c>
      <c r="C260" s="294">
        <f t="shared" si="58"/>
        <v>5103</v>
      </c>
      <c r="D260" s="295">
        <f>C259*$D$29</f>
        <v>5158.854878580818</v>
      </c>
      <c r="E260" s="295">
        <f t="shared" ref="E260:AE260" si="59">D259*$D$29</f>
        <v>0</v>
      </c>
      <c r="F260" s="295">
        <f t="shared" si="59"/>
        <v>0</v>
      </c>
      <c r="G260" s="295">
        <f t="shared" si="59"/>
        <v>0</v>
      </c>
      <c r="H260" s="295">
        <f t="shared" si="59"/>
        <v>0</v>
      </c>
      <c r="I260" s="295">
        <f t="shared" si="59"/>
        <v>0</v>
      </c>
      <c r="J260" s="295">
        <f t="shared" si="59"/>
        <v>0</v>
      </c>
      <c r="K260" s="295">
        <f t="shared" si="59"/>
        <v>0</v>
      </c>
      <c r="L260" s="295">
        <f t="shared" si="59"/>
        <v>0</v>
      </c>
      <c r="M260" s="295">
        <f t="shared" si="59"/>
        <v>0</v>
      </c>
      <c r="N260" s="295">
        <f t="shared" si="59"/>
        <v>0</v>
      </c>
      <c r="O260" s="295">
        <f t="shared" si="59"/>
        <v>0</v>
      </c>
      <c r="P260" s="295">
        <f t="shared" si="59"/>
        <v>0</v>
      </c>
      <c r="Q260" s="295">
        <f t="shared" si="59"/>
        <v>0</v>
      </c>
      <c r="R260" s="295">
        <f t="shared" si="59"/>
        <v>0</v>
      </c>
      <c r="S260" s="295">
        <f t="shared" si="59"/>
        <v>0</v>
      </c>
      <c r="T260" s="295">
        <f t="shared" si="59"/>
        <v>0</v>
      </c>
      <c r="U260" s="295">
        <f t="shared" si="59"/>
        <v>0</v>
      </c>
      <c r="V260" s="295">
        <f t="shared" si="59"/>
        <v>0</v>
      </c>
      <c r="W260" s="295">
        <f t="shared" si="59"/>
        <v>0</v>
      </c>
      <c r="X260" s="295">
        <f t="shared" si="59"/>
        <v>0</v>
      </c>
      <c r="Y260" s="295">
        <f t="shared" si="59"/>
        <v>0</v>
      </c>
      <c r="Z260" s="295">
        <f t="shared" si="59"/>
        <v>0</v>
      </c>
      <c r="AA260" s="295">
        <f t="shared" si="59"/>
        <v>0</v>
      </c>
      <c r="AB260" s="295">
        <f t="shared" si="59"/>
        <v>0</v>
      </c>
      <c r="AC260" s="295">
        <f t="shared" si="59"/>
        <v>0</v>
      </c>
      <c r="AD260" s="295">
        <f t="shared" si="59"/>
        <v>0</v>
      </c>
      <c r="AE260" s="296">
        <f t="shared" si="59"/>
        <v>0</v>
      </c>
    </row>
    <row r="261" spans="1:31">
      <c r="A261" s="1711"/>
      <c r="B261" s="116">
        <v>2</v>
      </c>
      <c r="C261" s="294">
        <f t="shared" si="58"/>
        <v>4782</v>
      </c>
      <c r="D261" s="295">
        <f t="shared" ref="D261:AE270" si="60">C260*$D30</f>
        <v>5076.9939479509476</v>
      </c>
      <c r="E261" s="295">
        <f t="shared" si="60"/>
        <v>5132.564177329421</v>
      </c>
      <c r="F261" s="295">
        <f t="shared" si="60"/>
        <v>0</v>
      </c>
      <c r="G261" s="295">
        <f t="shared" si="60"/>
        <v>0</v>
      </c>
      <c r="H261" s="295">
        <f t="shared" si="60"/>
        <v>0</v>
      </c>
      <c r="I261" s="295">
        <f t="shared" si="60"/>
        <v>0</v>
      </c>
      <c r="J261" s="295">
        <f t="shared" si="60"/>
        <v>0</v>
      </c>
      <c r="K261" s="295">
        <f t="shared" si="60"/>
        <v>0</v>
      </c>
      <c r="L261" s="295">
        <f t="shared" si="60"/>
        <v>0</v>
      </c>
      <c r="M261" s="295">
        <f t="shared" si="60"/>
        <v>0</v>
      </c>
      <c r="N261" s="295">
        <f t="shared" si="60"/>
        <v>0</v>
      </c>
      <c r="O261" s="295">
        <f t="shared" si="60"/>
        <v>0</v>
      </c>
      <c r="P261" s="295">
        <f t="shared" si="60"/>
        <v>0</v>
      </c>
      <c r="Q261" s="295">
        <f t="shared" si="60"/>
        <v>0</v>
      </c>
      <c r="R261" s="295">
        <f t="shared" si="60"/>
        <v>0</v>
      </c>
      <c r="S261" s="295">
        <f t="shared" si="60"/>
        <v>0</v>
      </c>
      <c r="T261" s="295">
        <f t="shared" si="60"/>
        <v>0</v>
      </c>
      <c r="U261" s="295">
        <f t="shared" si="60"/>
        <v>0</v>
      </c>
      <c r="V261" s="295">
        <f t="shared" si="60"/>
        <v>0</v>
      </c>
      <c r="W261" s="295">
        <f t="shared" si="60"/>
        <v>0</v>
      </c>
      <c r="X261" s="295">
        <f t="shared" si="60"/>
        <v>0</v>
      </c>
      <c r="Y261" s="295">
        <f t="shared" si="60"/>
        <v>0</v>
      </c>
      <c r="Z261" s="295">
        <f t="shared" si="60"/>
        <v>0</v>
      </c>
      <c r="AA261" s="295">
        <f t="shared" si="60"/>
        <v>0</v>
      </c>
      <c r="AB261" s="295">
        <f t="shared" si="60"/>
        <v>0</v>
      </c>
      <c r="AC261" s="295">
        <f t="shared" si="60"/>
        <v>0</v>
      </c>
      <c r="AD261" s="295">
        <f t="shared" si="60"/>
        <v>0</v>
      </c>
      <c r="AE261" s="296">
        <f t="shared" si="60"/>
        <v>0</v>
      </c>
    </row>
    <row r="262" spans="1:31">
      <c r="A262" s="1711"/>
      <c r="B262" s="116">
        <v>3</v>
      </c>
      <c r="C262" s="294">
        <f t="shared" si="58"/>
        <v>4971</v>
      </c>
      <c r="D262" s="295">
        <f t="shared" si="60"/>
        <v>4772.0965791716544</v>
      </c>
      <c r="E262" s="295">
        <f t="shared" si="60"/>
        <v>5066.4796008975136</v>
      </c>
      <c r="F262" s="295">
        <f t="shared" si="60"/>
        <v>5121.93474550663</v>
      </c>
      <c r="G262" s="295">
        <f t="shared" si="60"/>
        <v>0</v>
      </c>
      <c r="H262" s="295">
        <f t="shared" si="60"/>
        <v>0</v>
      </c>
      <c r="I262" s="295">
        <f t="shared" si="60"/>
        <v>0</v>
      </c>
      <c r="J262" s="295">
        <f t="shared" si="60"/>
        <v>0</v>
      </c>
      <c r="K262" s="295">
        <f t="shared" si="60"/>
        <v>0</v>
      </c>
      <c r="L262" s="295">
        <f t="shared" si="60"/>
        <v>0</v>
      </c>
      <c r="M262" s="295">
        <f t="shared" si="60"/>
        <v>0</v>
      </c>
      <c r="N262" s="295">
        <f t="shared" si="60"/>
        <v>0</v>
      </c>
      <c r="O262" s="295">
        <f t="shared" si="60"/>
        <v>0</v>
      </c>
      <c r="P262" s="295">
        <f t="shared" si="60"/>
        <v>0</v>
      </c>
      <c r="Q262" s="295">
        <f t="shared" si="60"/>
        <v>0</v>
      </c>
      <c r="R262" s="295">
        <f t="shared" si="60"/>
        <v>0</v>
      </c>
      <c r="S262" s="295">
        <f t="shared" si="60"/>
        <v>0</v>
      </c>
      <c r="T262" s="295">
        <f t="shared" si="60"/>
        <v>0</v>
      </c>
      <c r="U262" s="295">
        <f t="shared" si="60"/>
        <v>0</v>
      </c>
      <c r="V262" s="295">
        <f t="shared" si="60"/>
        <v>0</v>
      </c>
      <c r="W262" s="295">
        <f t="shared" si="60"/>
        <v>0</v>
      </c>
      <c r="X262" s="295">
        <f t="shared" si="60"/>
        <v>0</v>
      </c>
      <c r="Y262" s="295">
        <f t="shared" si="60"/>
        <v>0</v>
      </c>
      <c r="Z262" s="295">
        <f t="shared" si="60"/>
        <v>0</v>
      </c>
      <c r="AA262" s="295">
        <f t="shared" si="60"/>
        <v>0</v>
      </c>
      <c r="AB262" s="295">
        <f t="shared" si="60"/>
        <v>0</v>
      </c>
      <c r="AC262" s="295">
        <f t="shared" si="60"/>
        <v>0</v>
      </c>
      <c r="AD262" s="295">
        <f t="shared" si="60"/>
        <v>0</v>
      </c>
      <c r="AE262" s="296">
        <f t="shared" si="60"/>
        <v>0</v>
      </c>
    </row>
    <row r="263" spans="1:31">
      <c r="A263" s="1711"/>
      <c r="B263" s="116">
        <v>4</v>
      </c>
      <c r="C263" s="294">
        <f t="shared" si="58"/>
        <v>7929</v>
      </c>
      <c r="D263" s="295">
        <f t="shared" si="60"/>
        <v>4971</v>
      </c>
      <c r="E263" s="295">
        <f t="shared" si="60"/>
        <v>4772.0965791716544</v>
      </c>
      <c r="F263" s="295">
        <f t="shared" si="60"/>
        <v>5066.4796008975136</v>
      </c>
      <c r="G263" s="295">
        <f t="shared" si="60"/>
        <v>5121.93474550663</v>
      </c>
      <c r="H263" s="295">
        <f t="shared" si="60"/>
        <v>0</v>
      </c>
      <c r="I263" s="295">
        <f t="shared" si="60"/>
        <v>0</v>
      </c>
      <c r="J263" s="295">
        <f t="shared" si="60"/>
        <v>0</v>
      </c>
      <c r="K263" s="295">
        <f t="shared" si="60"/>
        <v>0</v>
      </c>
      <c r="L263" s="295">
        <f t="shared" si="60"/>
        <v>0</v>
      </c>
      <c r="M263" s="295">
        <f t="shared" si="60"/>
        <v>0</v>
      </c>
      <c r="N263" s="295">
        <f t="shared" si="60"/>
        <v>0</v>
      </c>
      <c r="O263" s="295">
        <f t="shared" si="60"/>
        <v>0</v>
      </c>
      <c r="P263" s="295">
        <f t="shared" si="60"/>
        <v>0</v>
      </c>
      <c r="Q263" s="295">
        <f t="shared" si="60"/>
        <v>0</v>
      </c>
      <c r="R263" s="295">
        <f t="shared" si="60"/>
        <v>0</v>
      </c>
      <c r="S263" s="295">
        <f t="shared" si="60"/>
        <v>0</v>
      </c>
      <c r="T263" s="295">
        <f t="shared" si="60"/>
        <v>0</v>
      </c>
      <c r="U263" s="295">
        <f t="shared" si="60"/>
        <v>0</v>
      </c>
      <c r="V263" s="295">
        <f t="shared" si="60"/>
        <v>0</v>
      </c>
      <c r="W263" s="295">
        <f t="shared" si="60"/>
        <v>0</v>
      </c>
      <c r="X263" s="295">
        <f t="shared" si="60"/>
        <v>0</v>
      </c>
      <c r="Y263" s="295">
        <f t="shared" si="60"/>
        <v>0</v>
      </c>
      <c r="Z263" s="295">
        <f t="shared" si="60"/>
        <v>0</v>
      </c>
      <c r="AA263" s="295">
        <f t="shared" si="60"/>
        <v>0</v>
      </c>
      <c r="AB263" s="295">
        <f t="shared" si="60"/>
        <v>0</v>
      </c>
      <c r="AC263" s="295">
        <f t="shared" si="60"/>
        <v>0</v>
      </c>
      <c r="AD263" s="295">
        <f t="shared" si="60"/>
        <v>0</v>
      </c>
      <c r="AE263" s="296">
        <f t="shared" si="60"/>
        <v>0</v>
      </c>
    </row>
    <row r="264" spans="1:31">
      <c r="A264" s="1711"/>
      <c r="B264" s="116">
        <v>5</v>
      </c>
      <c r="C264" s="294">
        <f t="shared" si="58"/>
        <v>10099</v>
      </c>
      <c r="D264" s="295">
        <f t="shared" si="60"/>
        <v>7929</v>
      </c>
      <c r="E264" s="295">
        <f t="shared" si="60"/>
        <v>4971</v>
      </c>
      <c r="F264" s="295">
        <f t="shared" si="60"/>
        <v>4772.0965791716544</v>
      </c>
      <c r="G264" s="295">
        <f t="shared" si="60"/>
        <v>5066.4796008975136</v>
      </c>
      <c r="H264" s="295">
        <f t="shared" si="60"/>
        <v>5121.93474550663</v>
      </c>
      <c r="I264" s="295">
        <f t="shared" si="60"/>
        <v>0</v>
      </c>
      <c r="J264" s="295">
        <f t="shared" si="60"/>
        <v>0</v>
      </c>
      <c r="K264" s="295">
        <f t="shared" si="60"/>
        <v>0</v>
      </c>
      <c r="L264" s="295">
        <f t="shared" si="60"/>
        <v>0</v>
      </c>
      <c r="M264" s="295">
        <f t="shared" si="60"/>
        <v>0</v>
      </c>
      <c r="N264" s="295">
        <f t="shared" si="60"/>
        <v>0</v>
      </c>
      <c r="O264" s="295">
        <f t="shared" si="60"/>
        <v>0</v>
      </c>
      <c r="P264" s="295">
        <f t="shared" si="60"/>
        <v>0</v>
      </c>
      <c r="Q264" s="295">
        <f t="shared" si="60"/>
        <v>0</v>
      </c>
      <c r="R264" s="295">
        <f t="shared" si="60"/>
        <v>0</v>
      </c>
      <c r="S264" s="295">
        <f t="shared" si="60"/>
        <v>0</v>
      </c>
      <c r="T264" s="295">
        <f t="shared" si="60"/>
        <v>0</v>
      </c>
      <c r="U264" s="295">
        <f t="shared" si="60"/>
        <v>0</v>
      </c>
      <c r="V264" s="295">
        <f t="shared" si="60"/>
        <v>0</v>
      </c>
      <c r="W264" s="295">
        <f t="shared" si="60"/>
        <v>0</v>
      </c>
      <c r="X264" s="295">
        <f t="shared" si="60"/>
        <v>0</v>
      </c>
      <c r="Y264" s="295">
        <f t="shared" si="60"/>
        <v>0</v>
      </c>
      <c r="Z264" s="295">
        <f t="shared" si="60"/>
        <v>0</v>
      </c>
      <c r="AA264" s="295">
        <f t="shared" si="60"/>
        <v>0</v>
      </c>
      <c r="AB264" s="295">
        <f t="shared" si="60"/>
        <v>0</v>
      </c>
      <c r="AC264" s="295">
        <f t="shared" si="60"/>
        <v>0</v>
      </c>
      <c r="AD264" s="295">
        <f t="shared" si="60"/>
        <v>0</v>
      </c>
      <c r="AE264" s="296">
        <f t="shared" si="60"/>
        <v>0</v>
      </c>
    </row>
    <row r="265" spans="1:31">
      <c r="A265" s="1711"/>
      <c r="B265" s="116">
        <v>6</v>
      </c>
      <c r="C265" s="294">
        <f t="shared" si="58"/>
        <v>11296</v>
      </c>
      <c r="D265" s="295">
        <f t="shared" si="60"/>
        <v>10061.592163620631</v>
      </c>
      <c r="E265" s="295">
        <f t="shared" si="60"/>
        <v>7899.6300886570934</v>
      </c>
      <c r="F265" s="295">
        <f t="shared" si="60"/>
        <v>4952.5868546745378</v>
      </c>
      <c r="G265" s="295">
        <f t="shared" si="60"/>
        <v>4754.4201945771201</v>
      </c>
      <c r="H265" s="295">
        <f t="shared" si="60"/>
        <v>5047.7127883487674</v>
      </c>
      <c r="I265" s="295">
        <f t="shared" si="60"/>
        <v>5102.9625208402558</v>
      </c>
      <c r="J265" s="295">
        <f t="shared" si="60"/>
        <v>0</v>
      </c>
      <c r="K265" s="295">
        <f t="shared" si="60"/>
        <v>0</v>
      </c>
      <c r="L265" s="295">
        <f t="shared" si="60"/>
        <v>0</v>
      </c>
      <c r="M265" s="295">
        <f t="shared" si="60"/>
        <v>0</v>
      </c>
      <c r="N265" s="295">
        <f t="shared" si="60"/>
        <v>0</v>
      </c>
      <c r="O265" s="295">
        <f t="shared" si="60"/>
        <v>0</v>
      </c>
      <c r="P265" s="295">
        <f t="shared" si="60"/>
        <v>0</v>
      </c>
      <c r="Q265" s="295">
        <f t="shared" si="60"/>
        <v>0</v>
      </c>
      <c r="R265" s="295">
        <f t="shared" si="60"/>
        <v>0</v>
      </c>
      <c r="S265" s="295">
        <f t="shared" si="60"/>
        <v>0</v>
      </c>
      <c r="T265" s="295">
        <f t="shared" si="60"/>
        <v>0</v>
      </c>
      <c r="U265" s="295">
        <f t="shared" si="60"/>
        <v>0</v>
      </c>
      <c r="V265" s="295">
        <f t="shared" si="60"/>
        <v>0</v>
      </c>
      <c r="W265" s="295">
        <f t="shared" si="60"/>
        <v>0</v>
      </c>
      <c r="X265" s="295">
        <f t="shared" si="60"/>
        <v>0</v>
      </c>
      <c r="Y265" s="295">
        <f t="shared" si="60"/>
        <v>0</v>
      </c>
      <c r="Z265" s="295">
        <f t="shared" si="60"/>
        <v>0</v>
      </c>
      <c r="AA265" s="295">
        <f t="shared" si="60"/>
        <v>0</v>
      </c>
      <c r="AB265" s="295">
        <f t="shared" si="60"/>
        <v>0</v>
      </c>
      <c r="AC265" s="295">
        <f t="shared" si="60"/>
        <v>0</v>
      </c>
      <c r="AD265" s="295">
        <f t="shared" si="60"/>
        <v>0</v>
      </c>
      <c r="AE265" s="296">
        <f t="shared" si="60"/>
        <v>0</v>
      </c>
    </row>
    <row r="266" spans="1:31">
      <c r="A266" s="1711"/>
      <c r="B266" s="116">
        <v>7</v>
      </c>
      <c r="C266" s="294">
        <f t="shared" si="58"/>
        <v>9474</v>
      </c>
      <c r="D266" s="295">
        <f t="shared" si="60"/>
        <v>10839.548324390631</v>
      </c>
      <c r="E266" s="295">
        <f t="shared" si="60"/>
        <v>9655.0207576023313</v>
      </c>
      <c r="F266" s="295">
        <f t="shared" si="60"/>
        <v>7580.4198026565882</v>
      </c>
      <c r="G266" s="295">
        <f t="shared" si="60"/>
        <v>4752.4614502466766</v>
      </c>
      <c r="H266" s="295">
        <f t="shared" si="60"/>
        <v>4562.3023595589066</v>
      </c>
      <c r="I266" s="295">
        <f t="shared" si="60"/>
        <v>4843.7435107074225</v>
      </c>
      <c r="J266" s="295">
        <f t="shared" si="60"/>
        <v>4896.7606977870209</v>
      </c>
      <c r="K266" s="295">
        <f t="shared" si="60"/>
        <v>0</v>
      </c>
      <c r="L266" s="295">
        <f t="shared" si="60"/>
        <v>0</v>
      </c>
      <c r="M266" s="295">
        <f t="shared" si="60"/>
        <v>0</v>
      </c>
      <c r="N266" s="295">
        <f t="shared" si="60"/>
        <v>0</v>
      </c>
      <c r="O266" s="295">
        <f t="shared" si="60"/>
        <v>0</v>
      </c>
      <c r="P266" s="295">
        <f t="shared" si="60"/>
        <v>0</v>
      </c>
      <c r="Q266" s="295">
        <f t="shared" si="60"/>
        <v>0</v>
      </c>
      <c r="R266" s="295">
        <f t="shared" si="60"/>
        <v>0</v>
      </c>
      <c r="S266" s="295">
        <f t="shared" si="60"/>
        <v>0</v>
      </c>
      <c r="T266" s="295">
        <f t="shared" si="60"/>
        <v>0</v>
      </c>
      <c r="U266" s="295">
        <f t="shared" si="60"/>
        <v>0</v>
      </c>
      <c r="V266" s="295">
        <f t="shared" si="60"/>
        <v>0</v>
      </c>
      <c r="W266" s="295">
        <f t="shared" si="60"/>
        <v>0</v>
      </c>
      <c r="X266" s="295">
        <f t="shared" si="60"/>
        <v>0</v>
      </c>
      <c r="Y266" s="295">
        <f t="shared" si="60"/>
        <v>0</v>
      </c>
      <c r="Z266" s="295">
        <f t="shared" si="60"/>
        <v>0</v>
      </c>
      <c r="AA266" s="295">
        <f t="shared" si="60"/>
        <v>0</v>
      </c>
      <c r="AB266" s="295">
        <f t="shared" si="60"/>
        <v>0</v>
      </c>
      <c r="AC266" s="295">
        <f t="shared" si="60"/>
        <v>0</v>
      </c>
      <c r="AD266" s="295">
        <f t="shared" si="60"/>
        <v>0</v>
      </c>
      <c r="AE266" s="296">
        <f t="shared" si="60"/>
        <v>0</v>
      </c>
    </row>
    <row r="267" spans="1:31">
      <c r="A267" s="1711"/>
      <c r="B267" s="116">
        <v>8</v>
      </c>
      <c r="C267" s="294">
        <f t="shared" si="58"/>
        <v>7093</v>
      </c>
      <c r="D267" s="295">
        <f t="shared" si="60"/>
        <v>8635.3232441177097</v>
      </c>
      <c r="E267" s="295">
        <f t="shared" si="60"/>
        <v>9879.9877138851152</v>
      </c>
      <c r="F267" s="295">
        <f t="shared" si="60"/>
        <v>8800.3193129155989</v>
      </c>
      <c r="G267" s="295">
        <f t="shared" si="60"/>
        <v>6909.3704160914722</v>
      </c>
      <c r="H267" s="295">
        <f t="shared" si="60"/>
        <v>4331.7543622639314</v>
      </c>
      <c r="I267" s="295">
        <f t="shared" si="60"/>
        <v>4158.4289225450812</v>
      </c>
      <c r="J267" s="295">
        <f t="shared" si="60"/>
        <v>4414.9557659442808</v>
      </c>
      <c r="K267" s="295">
        <f t="shared" si="60"/>
        <v>4463.2796574289969</v>
      </c>
      <c r="L267" s="295">
        <f t="shared" si="60"/>
        <v>0</v>
      </c>
      <c r="M267" s="295">
        <f t="shared" si="60"/>
        <v>0</v>
      </c>
      <c r="N267" s="295">
        <f t="shared" si="60"/>
        <v>0</v>
      </c>
      <c r="O267" s="295">
        <f t="shared" si="60"/>
        <v>0</v>
      </c>
      <c r="P267" s="295">
        <f t="shared" si="60"/>
        <v>0</v>
      </c>
      <c r="Q267" s="295">
        <f t="shared" si="60"/>
        <v>0</v>
      </c>
      <c r="R267" s="295">
        <f t="shared" si="60"/>
        <v>0</v>
      </c>
      <c r="S267" s="295">
        <f t="shared" si="60"/>
        <v>0</v>
      </c>
      <c r="T267" s="295">
        <f t="shared" si="60"/>
        <v>0</v>
      </c>
      <c r="U267" s="295">
        <f t="shared" si="60"/>
        <v>0</v>
      </c>
      <c r="V267" s="295">
        <f t="shared" si="60"/>
        <v>0</v>
      </c>
      <c r="W267" s="295">
        <f t="shared" si="60"/>
        <v>0</v>
      </c>
      <c r="X267" s="295">
        <f t="shared" si="60"/>
        <v>0</v>
      </c>
      <c r="Y267" s="295">
        <f t="shared" si="60"/>
        <v>0</v>
      </c>
      <c r="Z267" s="295">
        <f t="shared" si="60"/>
        <v>0</v>
      </c>
      <c r="AA267" s="295">
        <f t="shared" si="60"/>
        <v>0</v>
      </c>
      <c r="AB267" s="295">
        <f t="shared" si="60"/>
        <v>0</v>
      </c>
      <c r="AC267" s="295">
        <f t="shared" si="60"/>
        <v>0</v>
      </c>
      <c r="AD267" s="295">
        <f t="shared" si="60"/>
        <v>0</v>
      </c>
      <c r="AE267" s="296">
        <f t="shared" si="60"/>
        <v>0</v>
      </c>
    </row>
    <row r="268" spans="1:31">
      <c r="A268" s="1711"/>
      <c r="B268" s="116">
        <v>9</v>
      </c>
      <c r="C268" s="294">
        <f t="shared" si="58"/>
        <v>5382</v>
      </c>
      <c r="D268" s="295">
        <f t="shared" si="60"/>
        <v>5962.8529557667198</v>
      </c>
      <c r="E268" s="295">
        <f t="shared" si="60"/>
        <v>7259.4336289564853</v>
      </c>
      <c r="F268" s="295">
        <f t="shared" si="60"/>
        <v>8305.7823125163886</v>
      </c>
      <c r="G268" s="295">
        <f t="shared" si="60"/>
        <v>7398.1404238981713</v>
      </c>
      <c r="H268" s="295">
        <f t="shared" si="60"/>
        <v>5808.4815745211008</v>
      </c>
      <c r="I268" s="295">
        <f t="shared" si="60"/>
        <v>3641.56411993245</v>
      </c>
      <c r="J268" s="295">
        <f t="shared" si="60"/>
        <v>3495.8550954664815</v>
      </c>
      <c r="K268" s="295">
        <f t="shared" si="60"/>
        <v>3711.5088169378514</v>
      </c>
      <c r="L268" s="295">
        <f t="shared" si="60"/>
        <v>3752.1331309338739</v>
      </c>
      <c r="M268" s="295">
        <f t="shared" si="60"/>
        <v>0</v>
      </c>
      <c r="N268" s="295">
        <f t="shared" si="60"/>
        <v>0</v>
      </c>
      <c r="O268" s="295">
        <f t="shared" si="60"/>
        <v>0</v>
      </c>
      <c r="P268" s="295">
        <f t="shared" si="60"/>
        <v>0</v>
      </c>
      <c r="Q268" s="295">
        <f t="shared" si="60"/>
        <v>0</v>
      </c>
      <c r="R268" s="295">
        <f t="shared" si="60"/>
        <v>0</v>
      </c>
      <c r="S268" s="295">
        <f t="shared" si="60"/>
        <v>0</v>
      </c>
      <c r="T268" s="295">
        <f t="shared" si="60"/>
        <v>0</v>
      </c>
      <c r="U268" s="295">
        <f t="shared" si="60"/>
        <v>0</v>
      </c>
      <c r="V268" s="295">
        <f t="shared" si="60"/>
        <v>0</v>
      </c>
      <c r="W268" s="295">
        <f t="shared" si="60"/>
        <v>0</v>
      </c>
      <c r="X268" s="295">
        <f t="shared" si="60"/>
        <v>0</v>
      </c>
      <c r="Y268" s="295">
        <f t="shared" si="60"/>
        <v>0</v>
      </c>
      <c r="Z268" s="295">
        <f t="shared" si="60"/>
        <v>0</v>
      </c>
      <c r="AA268" s="295">
        <f t="shared" si="60"/>
        <v>0</v>
      </c>
      <c r="AB268" s="295">
        <f t="shared" si="60"/>
        <v>0</v>
      </c>
      <c r="AC268" s="295">
        <f t="shared" si="60"/>
        <v>0</v>
      </c>
      <c r="AD268" s="295">
        <f t="shared" si="60"/>
        <v>0</v>
      </c>
      <c r="AE268" s="296">
        <f t="shared" si="60"/>
        <v>0</v>
      </c>
    </row>
    <row r="269" spans="1:31">
      <c r="A269" s="1711"/>
      <c r="B269" s="116">
        <v>10</v>
      </c>
      <c r="C269" s="294">
        <f t="shared" si="58"/>
        <v>5107</v>
      </c>
      <c r="D269" s="295">
        <f t="shared" si="60"/>
        <v>4096.5367668129929</v>
      </c>
      <c r="E269" s="295">
        <f t="shared" si="60"/>
        <v>4538.6559584537154</v>
      </c>
      <c r="F269" s="295">
        <f t="shared" si="60"/>
        <v>5525.5549548976051</v>
      </c>
      <c r="G269" s="295">
        <f t="shared" si="60"/>
        <v>6321.9885953861813</v>
      </c>
      <c r="H269" s="295">
        <f t="shared" si="60"/>
        <v>5631.1323397518245</v>
      </c>
      <c r="I269" s="295">
        <f t="shared" si="60"/>
        <v>4421.1553937906938</v>
      </c>
      <c r="J269" s="295">
        <f t="shared" si="60"/>
        <v>2771.7951144575027</v>
      </c>
      <c r="K269" s="295">
        <f t="shared" si="60"/>
        <v>2660.887946865289</v>
      </c>
      <c r="L269" s="295">
        <f t="shared" si="60"/>
        <v>2825.0338775430141</v>
      </c>
      <c r="M269" s="295">
        <f t="shared" si="60"/>
        <v>2855.9552814655822</v>
      </c>
      <c r="N269" s="295">
        <f t="shared" si="60"/>
        <v>0</v>
      </c>
      <c r="O269" s="295">
        <f t="shared" si="60"/>
        <v>0</v>
      </c>
      <c r="P269" s="295">
        <f t="shared" si="60"/>
        <v>0</v>
      </c>
      <c r="Q269" s="295">
        <f t="shared" si="60"/>
        <v>0</v>
      </c>
      <c r="R269" s="295">
        <f t="shared" si="60"/>
        <v>0</v>
      </c>
      <c r="S269" s="295">
        <f t="shared" si="60"/>
        <v>0</v>
      </c>
      <c r="T269" s="295">
        <f t="shared" si="60"/>
        <v>0</v>
      </c>
      <c r="U269" s="295">
        <f t="shared" si="60"/>
        <v>0</v>
      </c>
      <c r="V269" s="295">
        <f t="shared" si="60"/>
        <v>0</v>
      </c>
      <c r="W269" s="295">
        <f t="shared" si="60"/>
        <v>0</v>
      </c>
      <c r="X269" s="295">
        <f t="shared" si="60"/>
        <v>0</v>
      </c>
      <c r="Y269" s="295">
        <f t="shared" si="60"/>
        <v>0</v>
      </c>
      <c r="Z269" s="295">
        <f t="shared" si="60"/>
        <v>0</v>
      </c>
      <c r="AA269" s="295">
        <f t="shared" si="60"/>
        <v>0</v>
      </c>
      <c r="AB269" s="295">
        <f t="shared" si="60"/>
        <v>0</v>
      </c>
      <c r="AC269" s="295">
        <f t="shared" si="60"/>
        <v>0</v>
      </c>
      <c r="AD269" s="295">
        <f t="shared" si="60"/>
        <v>0</v>
      </c>
      <c r="AE269" s="296">
        <f t="shared" si="60"/>
        <v>0</v>
      </c>
    </row>
    <row r="270" spans="1:31">
      <c r="A270" s="1711"/>
      <c r="B270" s="116">
        <v>11</v>
      </c>
      <c r="C270" s="294">
        <f t="shared" si="58"/>
        <v>5377</v>
      </c>
      <c r="D270" s="295">
        <f t="shared" si="60"/>
        <v>3452.1001265156956</v>
      </c>
      <c r="E270" s="295">
        <f t="shared" si="60"/>
        <v>2769.0728590153381</v>
      </c>
      <c r="F270" s="295">
        <f t="shared" si="60"/>
        <v>3067.9253589953569</v>
      </c>
      <c r="G270" s="295">
        <f t="shared" ref="G270:AE270" si="61">F269*$D39</f>
        <v>3735.0242723460842</v>
      </c>
      <c r="H270" s="295">
        <f t="shared" si="61"/>
        <v>4273.3772527831252</v>
      </c>
      <c r="I270" s="295">
        <f t="shared" si="61"/>
        <v>3806.3897909700213</v>
      </c>
      <c r="J270" s="295">
        <f t="shared" si="61"/>
        <v>2988.5003121696504</v>
      </c>
      <c r="K270" s="295">
        <f t="shared" si="61"/>
        <v>1873.6076493625087</v>
      </c>
      <c r="L270" s="295">
        <f t="shared" si="61"/>
        <v>1798.6394395961922</v>
      </c>
      <c r="M270" s="295">
        <f t="shared" si="61"/>
        <v>1909.5946360049668</v>
      </c>
      <c r="N270" s="295">
        <f t="shared" si="61"/>
        <v>1930.4961011299208</v>
      </c>
      <c r="O270" s="295">
        <f t="shared" si="61"/>
        <v>0</v>
      </c>
      <c r="P270" s="295">
        <f t="shared" si="61"/>
        <v>0</v>
      </c>
      <c r="Q270" s="295">
        <f t="shared" si="61"/>
        <v>0</v>
      </c>
      <c r="R270" s="295">
        <f t="shared" si="61"/>
        <v>0</v>
      </c>
      <c r="S270" s="295">
        <f t="shared" si="61"/>
        <v>0</v>
      </c>
      <c r="T270" s="295">
        <f t="shared" si="61"/>
        <v>0</v>
      </c>
      <c r="U270" s="295">
        <f t="shared" si="61"/>
        <v>0</v>
      </c>
      <c r="V270" s="295">
        <f t="shared" si="61"/>
        <v>0</v>
      </c>
      <c r="W270" s="295">
        <f t="shared" si="61"/>
        <v>0</v>
      </c>
      <c r="X270" s="295">
        <f t="shared" si="61"/>
        <v>0</v>
      </c>
      <c r="Y270" s="295">
        <f t="shared" si="61"/>
        <v>0</v>
      </c>
      <c r="Z270" s="295">
        <f t="shared" si="61"/>
        <v>0</v>
      </c>
      <c r="AA270" s="295">
        <f t="shared" si="61"/>
        <v>0</v>
      </c>
      <c r="AB270" s="295">
        <f t="shared" si="61"/>
        <v>0</v>
      </c>
      <c r="AC270" s="295">
        <f t="shared" si="61"/>
        <v>0</v>
      </c>
      <c r="AD270" s="295">
        <f t="shared" si="61"/>
        <v>0</v>
      </c>
      <c r="AE270" s="296">
        <f t="shared" si="61"/>
        <v>0</v>
      </c>
    </row>
    <row r="271" spans="1:31">
      <c r="A271" s="1711"/>
      <c r="B271" s="116">
        <v>12</v>
      </c>
      <c r="C271" s="294">
        <f t="shared" si="58"/>
        <v>5903</v>
      </c>
      <c r="D271" s="295">
        <f t="shared" ref="D271:AE280" si="62">C270*$D40</f>
        <v>3083.4114920157795</v>
      </c>
      <c r="E271" s="295">
        <f t="shared" si="62"/>
        <v>1979.5880977659701</v>
      </c>
      <c r="F271" s="295">
        <f t="shared" si="62"/>
        <v>1587.9098150858997</v>
      </c>
      <c r="G271" s="295">
        <f t="shared" si="62"/>
        <v>1759.2851606049692</v>
      </c>
      <c r="H271" s="295">
        <f t="shared" si="62"/>
        <v>2141.8294149729941</v>
      </c>
      <c r="I271" s="295">
        <f t="shared" si="62"/>
        <v>2450.545012265261</v>
      </c>
      <c r="J271" s="295">
        <f t="shared" si="62"/>
        <v>2182.7535846324167</v>
      </c>
      <c r="K271" s="295">
        <f t="shared" si="62"/>
        <v>1713.739298202835</v>
      </c>
      <c r="L271" s="295">
        <f t="shared" si="62"/>
        <v>1074.4101464707142</v>
      </c>
      <c r="M271" s="295">
        <f t="shared" si="62"/>
        <v>1031.4200331120924</v>
      </c>
      <c r="N271" s="295">
        <f t="shared" si="62"/>
        <v>1095.0466888133537</v>
      </c>
      <c r="O271" s="295">
        <f t="shared" si="62"/>
        <v>1107.0325206463929</v>
      </c>
      <c r="P271" s="295">
        <f t="shared" si="62"/>
        <v>0</v>
      </c>
      <c r="Q271" s="295">
        <f t="shared" si="62"/>
        <v>0</v>
      </c>
      <c r="R271" s="295">
        <f t="shared" si="62"/>
        <v>0</v>
      </c>
      <c r="S271" s="295">
        <f t="shared" si="62"/>
        <v>0</v>
      </c>
      <c r="T271" s="295">
        <f t="shared" si="62"/>
        <v>0</v>
      </c>
      <c r="U271" s="295">
        <f t="shared" si="62"/>
        <v>0</v>
      </c>
      <c r="V271" s="295">
        <f t="shared" si="62"/>
        <v>0</v>
      </c>
      <c r="W271" s="295">
        <f t="shared" si="62"/>
        <v>0</v>
      </c>
      <c r="X271" s="295">
        <f t="shared" si="62"/>
        <v>0</v>
      </c>
      <c r="Y271" s="295">
        <f t="shared" si="62"/>
        <v>0</v>
      </c>
      <c r="Z271" s="295">
        <f t="shared" si="62"/>
        <v>0</v>
      </c>
      <c r="AA271" s="295">
        <f t="shared" si="62"/>
        <v>0</v>
      </c>
      <c r="AB271" s="295">
        <f t="shared" si="62"/>
        <v>0</v>
      </c>
      <c r="AC271" s="295">
        <f t="shared" si="62"/>
        <v>0</v>
      </c>
      <c r="AD271" s="295">
        <f t="shared" si="62"/>
        <v>0</v>
      </c>
      <c r="AE271" s="296">
        <f t="shared" si="62"/>
        <v>0</v>
      </c>
    </row>
    <row r="272" spans="1:31">
      <c r="A272" s="1711"/>
      <c r="B272" s="116">
        <v>13</v>
      </c>
      <c r="C272" s="294">
        <f t="shared" si="58"/>
        <v>3914</v>
      </c>
      <c r="D272" s="295">
        <f t="shared" si="62"/>
        <v>2786.14120452515</v>
      </c>
      <c r="E272" s="295">
        <f t="shared" si="62"/>
        <v>1455.3311550756453</v>
      </c>
      <c r="F272" s="295">
        <f t="shared" si="62"/>
        <v>934.34049926703881</v>
      </c>
      <c r="G272" s="295">
        <f t="shared" si="62"/>
        <v>749.47331270214079</v>
      </c>
      <c r="H272" s="295">
        <f t="shared" si="62"/>
        <v>830.36030433189069</v>
      </c>
      <c r="I272" s="295">
        <f t="shared" si="62"/>
        <v>1010.9163452685507</v>
      </c>
      <c r="J272" s="295">
        <f t="shared" si="62"/>
        <v>1156.6261955303798</v>
      </c>
      <c r="K272" s="295">
        <f t="shared" si="62"/>
        <v>1030.2320348076148</v>
      </c>
      <c r="L272" s="295">
        <f t="shared" si="62"/>
        <v>808.86323437860949</v>
      </c>
      <c r="M272" s="295">
        <f t="shared" si="62"/>
        <v>507.10797554497009</v>
      </c>
      <c r="N272" s="295">
        <f t="shared" si="62"/>
        <v>486.81718675695328</v>
      </c>
      <c r="O272" s="295">
        <f t="shared" si="62"/>
        <v>516.84816205009565</v>
      </c>
      <c r="P272" s="295">
        <f t="shared" si="62"/>
        <v>522.50532280573509</v>
      </c>
      <c r="Q272" s="295">
        <f t="shared" si="62"/>
        <v>0</v>
      </c>
      <c r="R272" s="295">
        <f t="shared" si="62"/>
        <v>0</v>
      </c>
      <c r="S272" s="295">
        <f t="shared" si="62"/>
        <v>0</v>
      </c>
      <c r="T272" s="295">
        <f t="shared" si="62"/>
        <v>0</v>
      </c>
      <c r="U272" s="295">
        <f t="shared" si="62"/>
        <v>0</v>
      </c>
      <c r="V272" s="295">
        <f t="shared" si="62"/>
        <v>0</v>
      </c>
      <c r="W272" s="295">
        <f t="shared" si="62"/>
        <v>0</v>
      </c>
      <c r="X272" s="295">
        <f t="shared" si="62"/>
        <v>0</v>
      </c>
      <c r="Y272" s="295">
        <f t="shared" si="62"/>
        <v>0</v>
      </c>
      <c r="Z272" s="295">
        <f t="shared" si="62"/>
        <v>0</v>
      </c>
      <c r="AA272" s="295">
        <f t="shared" si="62"/>
        <v>0</v>
      </c>
      <c r="AB272" s="295">
        <f t="shared" si="62"/>
        <v>0</v>
      </c>
      <c r="AC272" s="295">
        <f t="shared" si="62"/>
        <v>0</v>
      </c>
      <c r="AD272" s="295">
        <f t="shared" si="62"/>
        <v>0</v>
      </c>
      <c r="AE272" s="296">
        <f t="shared" si="62"/>
        <v>0</v>
      </c>
    </row>
    <row r="273" spans="1:31">
      <c r="A273" s="1711"/>
      <c r="B273" s="116">
        <v>14</v>
      </c>
      <c r="C273" s="294">
        <f t="shared" si="58"/>
        <v>2365</v>
      </c>
      <c r="D273" s="295">
        <f t="shared" si="62"/>
        <v>1504.744217139415</v>
      </c>
      <c r="E273" s="295">
        <f t="shared" si="62"/>
        <v>1071.1369099752335</v>
      </c>
      <c r="F273" s="295">
        <f t="shared" si="62"/>
        <v>559.50463454851877</v>
      </c>
      <c r="G273" s="295">
        <f t="shared" si="62"/>
        <v>359.2088561858024</v>
      </c>
      <c r="H273" s="295">
        <f t="shared" si="62"/>
        <v>288.13633959858635</v>
      </c>
      <c r="I273" s="295">
        <f t="shared" si="62"/>
        <v>319.23348648071982</v>
      </c>
      <c r="J273" s="295">
        <f t="shared" si="62"/>
        <v>388.64857551215226</v>
      </c>
      <c r="K273" s="295">
        <f t="shared" si="62"/>
        <v>444.66698495562122</v>
      </c>
      <c r="L273" s="295">
        <f t="shared" si="62"/>
        <v>396.07452649170438</v>
      </c>
      <c r="M273" s="295">
        <f t="shared" si="62"/>
        <v>310.96889994580886</v>
      </c>
      <c r="N273" s="295">
        <f t="shared" si="62"/>
        <v>194.95855740075874</v>
      </c>
      <c r="O273" s="295">
        <f t="shared" si="62"/>
        <v>187.15772779167196</v>
      </c>
      <c r="P273" s="295">
        <f t="shared" si="62"/>
        <v>198.70318931630473</v>
      </c>
      <c r="Q273" s="295">
        <f t="shared" si="62"/>
        <v>200.87809476660533</v>
      </c>
      <c r="R273" s="295">
        <f t="shared" si="62"/>
        <v>0</v>
      </c>
      <c r="S273" s="295">
        <f t="shared" si="62"/>
        <v>0</v>
      </c>
      <c r="T273" s="295">
        <f t="shared" si="62"/>
        <v>0</v>
      </c>
      <c r="U273" s="295">
        <f t="shared" si="62"/>
        <v>0</v>
      </c>
      <c r="V273" s="295">
        <f t="shared" si="62"/>
        <v>0</v>
      </c>
      <c r="W273" s="295">
        <f t="shared" si="62"/>
        <v>0</v>
      </c>
      <c r="X273" s="295">
        <f t="shared" si="62"/>
        <v>0</v>
      </c>
      <c r="Y273" s="295">
        <f t="shared" si="62"/>
        <v>0</v>
      </c>
      <c r="Z273" s="295">
        <f t="shared" si="62"/>
        <v>0</v>
      </c>
      <c r="AA273" s="295">
        <f t="shared" si="62"/>
        <v>0</v>
      </c>
      <c r="AB273" s="295">
        <f t="shared" si="62"/>
        <v>0</v>
      </c>
      <c r="AC273" s="295">
        <f t="shared" si="62"/>
        <v>0</v>
      </c>
      <c r="AD273" s="295">
        <f t="shared" si="62"/>
        <v>0</v>
      </c>
      <c r="AE273" s="296">
        <f t="shared" si="62"/>
        <v>0</v>
      </c>
    </row>
    <row r="274" spans="1:31">
      <c r="A274" s="1711"/>
      <c r="B274" s="116">
        <v>15</v>
      </c>
      <c r="C274" s="294">
        <f t="shared" si="58"/>
        <v>1364</v>
      </c>
      <c r="D274" s="295">
        <f t="shared" si="62"/>
        <v>731.81994045185456</v>
      </c>
      <c r="E274" s="295">
        <f t="shared" si="62"/>
        <v>465.62444963308212</v>
      </c>
      <c r="F274" s="295">
        <f t="shared" si="62"/>
        <v>331.45004214539489</v>
      </c>
      <c r="G274" s="295">
        <f t="shared" si="62"/>
        <v>173.13177519570135</v>
      </c>
      <c r="H274" s="295">
        <f t="shared" si="62"/>
        <v>111.15272885567556</v>
      </c>
      <c r="I274" s="295">
        <f t="shared" si="62"/>
        <v>89.160219402559335</v>
      </c>
      <c r="J274" s="295">
        <f t="shared" si="62"/>
        <v>98.782846116937975</v>
      </c>
      <c r="K274" s="295">
        <f t="shared" si="62"/>
        <v>120.26248515348895</v>
      </c>
      <c r="L274" s="295">
        <f t="shared" si="62"/>
        <v>137.59668771717904</v>
      </c>
      <c r="M274" s="295">
        <f t="shared" si="62"/>
        <v>122.560353653977</v>
      </c>
      <c r="N274" s="295">
        <f t="shared" si="62"/>
        <v>96.225472237091154</v>
      </c>
      <c r="O274" s="295">
        <f t="shared" si="62"/>
        <v>60.327509457760144</v>
      </c>
      <c r="P274" s="295">
        <f t="shared" si="62"/>
        <v>57.913639411249804</v>
      </c>
      <c r="Q274" s="295">
        <f t="shared" si="62"/>
        <v>61.486239396639206</v>
      </c>
      <c r="R274" s="295">
        <f t="shared" si="62"/>
        <v>62.159236934536622</v>
      </c>
      <c r="S274" s="295">
        <f t="shared" si="62"/>
        <v>0</v>
      </c>
      <c r="T274" s="295">
        <f t="shared" si="62"/>
        <v>0</v>
      </c>
      <c r="U274" s="295">
        <f t="shared" si="62"/>
        <v>0</v>
      </c>
      <c r="V274" s="295">
        <f t="shared" si="62"/>
        <v>0</v>
      </c>
      <c r="W274" s="295">
        <f t="shared" si="62"/>
        <v>0</v>
      </c>
      <c r="X274" s="295">
        <f t="shared" si="62"/>
        <v>0</v>
      </c>
      <c r="Y274" s="295">
        <f t="shared" si="62"/>
        <v>0</v>
      </c>
      <c r="Z274" s="295">
        <f t="shared" si="62"/>
        <v>0</v>
      </c>
      <c r="AA274" s="295">
        <f t="shared" si="62"/>
        <v>0</v>
      </c>
      <c r="AB274" s="295">
        <f t="shared" si="62"/>
        <v>0</v>
      </c>
      <c r="AC274" s="295">
        <f t="shared" si="62"/>
        <v>0</v>
      </c>
      <c r="AD274" s="295">
        <f t="shared" si="62"/>
        <v>0</v>
      </c>
      <c r="AE274" s="296">
        <f t="shared" si="62"/>
        <v>0</v>
      </c>
    </row>
    <row r="275" spans="1:31">
      <c r="A275" s="1711"/>
      <c r="B275" s="116">
        <v>16</v>
      </c>
      <c r="C275" s="294">
        <f t="shared" si="58"/>
        <v>897</v>
      </c>
      <c r="D275" s="295">
        <f t="shared" si="62"/>
        <v>379.86560629966033</v>
      </c>
      <c r="E275" s="295">
        <f t="shared" si="62"/>
        <v>203.80734998674856</v>
      </c>
      <c r="F275" s="295">
        <f t="shared" si="62"/>
        <v>129.67354389136099</v>
      </c>
      <c r="G275" s="295">
        <f t="shared" si="62"/>
        <v>92.306797080358052</v>
      </c>
      <c r="H275" s="295">
        <f t="shared" si="62"/>
        <v>48.216133984202038</v>
      </c>
      <c r="I275" s="295">
        <f t="shared" si="62"/>
        <v>30.955350981395121</v>
      </c>
      <c r="J275" s="295">
        <f t="shared" si="62"/>
        <v>24.830572434870923</v>
      </c>
      <c r="K275" s="295">
        <f t="shared" si="62"/>
        <v>27.510414759689656</v>
      </c>
      <c r="L275" s="295">
        <f t="shared" si="62"/>
        <v>33.492362051271243</v>
      </c>
      <c r="M275" s="295">
        <f t="shared" si="62"/>
        <v>38.319830795096216</v>
      </c>
      <c r="N275" s="295">
        <f t="shared" si="62"/>
        <v>34.132304288173579</v>
      </c>
      <c r="O275" s="295">
        <f t="shared" si="62"/>
        <v>26.798201871564341</v>
      </c>
      <c r="P275" s="295">
        <f t="shared" si="62"/>
        <v>16.800840144223276</v>
      </c>
      <c r="Q275" s="295">
        <f t="shared" si="62"/>
        <v>16.128592190597001</v>
      </c>
      <c r="R275" s="295">
        <f t="shared" si="62"/>
        <v>17.123539301679187</v>
      </c>
      <c r="S275" s="295">
        <f t="shared" si="62"/>
        <v>17.310964974532251</v>
      </c>
      <c r="T275" s="295">
        <f t="shared" si="62"/>
        <v>0</v>
      </c>
      <c r="U275" s="295">
        <f t="shared" si="62"/>
        <v>0</v>
      </c>
      <c r="V275" s="295">
        <f t="shared" si="62"/>
        <v>0</v>
      </c>
      <c r="W275" s="295">
        <f t="shared" si="62"/>
        <v>0</v>
      </c>
      <c r="X275" s="295">
        <f t="shared" si="62"/>
        <v>0</v>
      </c>
      <c r="Y275" s="295">
        <f t="shared" si="62"/>
        <v>0</v>
      </c>
      <c r="Z275" s="295">
        <f t="shared" si="62"/>
        <v>0</v>
      </c>
      <c r="AA275" s="295">
        <f t="shared" si="62"/>
        <v>0</v>
      </c>
      <c r="AB275" s="295">
        <f t="shared" si="62"/>
        <v>0</v>
      </c>
      <c r="AC275" s="295">
        <f t="shared" si="62"/>
        <v>0</v>
      </c>
      <c r="AD275" s="295">
        <f t="shared" si="62"/>
        <v>0</v>
      </c>
      <c r="AE275" s="296">
        <f t="shared" si="62"/>
        <v>0</v>
      </c>
    </row>
    <row r="276" spans="1:31">
      <c r="A276" s="1711"/>
      <c r="B276" s="116">
        <v>17</v>
      </c>
      <c r="C276" s="294">
        <f t="shared" si="58"/>
        <v>511</v>
      </c>
      <c r="D276" s="295">
        <f t="shared" si="62"/>
        <v>222.05242675190308</v>
      </c>
      <c r="E276" s="295">
        <f t="shared" si="62"/>
        <v>94.035763342723058</v>
      </c>
      <c r="F276" s="295">
        <f t="shared" si="62"/>
        <v>50.452526928017797</v>
      </c>
      <c r="G276" s="295">
        <f t="shared" si="62"/>
        <v>32.10069688583738</v>
      </c>
      <c r="H276" s="295">
        <f t="shared" si="62"/>
        <v>22.850555515483823</v>
      </c>
      <c r="I276" s="295">
        <f t="shared" si="62"/>
        <v>11.935908093407992</v>
      </c>
      <c r="J276" s="295">
        <f t="shared" si="62"/>
        <v>7.6629997841423538</v>
      </c>
      <c r="K276" s="295">
        <f t="shared" si="62"/>
        <v>6.1468103308829427</v>
      </c>
      <c r="L276" s="295">
        <f t="shared" si="62"/>
        <v>6.8102055276928217</v>
      </c>
      <c r="M276" s="295">
        <f t="shared" si="62"/>
        <v>8.2910370915698177</v>
      </c>
      <c r="N276" s="295">
        <f t="shared" si="62"/>
        <v>9.48607739216658</v>
      </c>
      <c r="O276" s="295">
        <f t="shared" si="62"/>
        <v>8.4494548470717188</v>
      </c>
      <c r="P276" s="295">
        <f t="shared" si="62"/>
        <v>6.6338971662968262</v>
      </c>
      <c r="Q276" s="295">
        <f t="shared" si="62"/>
        <v>4.1590494152681963</v>
      </c>
      <c r="R276" s="295">
        <f t="shared" si="62"/>
        <v>3.9926343768270418</v>
      </c>
      <c r="S276" s="295">
        <f t="shared" si="62"/>
        <v>4.2389336193081961</v>
      </c>
      <c r="T276" s="295">
        <f t="shared" si="62"/>
        <v>4.2853308606600695</v>
      </c>
      <c r="U276" s="295">
        <f t="shared" si="62"/>
        <v>0</v>
      </c>
      <c r="V276" s="295">
        <f t="shared" si="62"/>
        <v>0</v>
      </c>
      <c r="W276" s="295">
        <f t="shared" si="62"/>
        <v>0</v>
      </c>
      <c r="X276" s="295">
        <f t="shared" si="62"/>
        <v>0</v>
      </c>
      <c r="Y276" s="295">
        <f t="shared" si="62"/>
        <v>0</v>
      </c>
      <c r="Z276" s="295">
        <f t="shared" si="62"/>
        <v>0</v>
      </c>
      <c r="AA276" s="295">
        <f t="shared" si="62"/>
        <v>0</v>
      </c>
      <c r="AB276" s="295">
        <f t="shared" si="62"/>
        <v>0</v>
      </c>
      <c r="AC276" s="295">
        <f t="shared" si="62"/>
        <v>0</v>
      </c>
      <c r="AD276" s="295">
        <f t="shared" si="62"/>
        <v>0</v>
      </c>
      <c r="AE276" s="296">
        <f t="shared" si="62"/>
        <v>0</v>
      </c>
    </row>
    <row r="277" spans="1:31">
      <c r="A277" s="1711"/>
      <c r="B277" s="116">
        <v>18</v>
      </c>
      <c r="C277" s="294">
        <f t="shared" si="58"/>
        <v>341</v>
      </c>
      <c r="D277" s="295">
        <f t="shared" si="62"/>
        <v>110.68583200829951</v>
      </c>
      <c r="E277" s="295">
        <f t="shared" si="62"/>
        <v>48.097960087077062</v>
      </c>
      <c r="F277" s="295">
        <f t="shared" si="62"/>
        <v>20.368741103962531</v>
      </c>
      <c r="G277" s="295">
        <f t="shared" si="62"/>
        <v>10.92833643825594</v>
      </c>
      <c r="H277" s="295">
        <f t="shared" si="62"/>
        <v>6.9532139781900968</v>
      </c>
      <c r="I277" s="295">
        <f t="shared" si="62"/>
        <v>4.9495748514347637</v>
      </c>
      <c r="J277" s="295">
        <f t="shared" si="62"/>
        <v>2.585393186092876</v>
      </c>
      <c r="K277" s="295">
        <f t="shared" si="62"/>
        <v>1.6598542207186224</v>
      </c>
      <c r="L277" s="295">
        <f t="shared" si="62"/>
        <v>1.3314379954422493</v>
      </c>
      <c r="M277" s="295">
        <f t="shared" si="62"/>
        <v>1.4751335909592964</v>
      </c>
      <c r="N277" s="295">
        <f t="shared" si="62"/>
        <v>1.7958910737614033</v>
      </c>
      <c r="O277" s="295">
        <f t="shared" si="62"/>
        <v>2.0547443613445755</v>
      </c>
      <c r="P277" s="295">
        <f t="shared" si="62"/>
        <v>1.8302053615747405</v>
      </c>
      <c r="Q277" s="295">
        <f t="shared" si="62"/>
        <v>1.4369440847535513</v>
      </c>
      <c r="R277" s="295">
        <f t="shared" si="62"/>
        <v>0.900876408791765</v>
      </c>
      <c r="S277" s="295">
        <f t="shared" si="62"/>
        <v>0.8648298589120148</v>
      </c>
      <c r="T277" s="295">
        <f t="shared" si="62"/>
        <v>0.91817983264399228</v>
      </c>
      <c r="U277" s="295">
        <f t="shared" si="62"/>
        <v>0.92822976857730344</v>
      </c>
      <c r="V277" s="295">
        <f t="shared" si="62"/>
        <v>0</v>
      </c>
      <c r="W277" s="295">
        <f t="shared" si="62"/>
        <v>0</v>
      </c>
      <c r="X277" s="295">
        <f t="shared" si="62"/>
        <v>0</v>
      </c>
      <c r="Y277" s="295">
        <f t="shared" si="62"/>
        <v>0</v>
      </c>
      <c r="Z277" s="295">
        <f t="shared" si="62"/>
        <v>0</v>
      </c>
      <c r="AA277" s="295">
        <f t="shared" si="62"/>
        <v>0</v>
      </c>
      <c r="AB277" s="295">
        <f t="shared" si="62"/>
        <v>0</v>
      </c>
      <c r="AC277" s="295">
        <f t="shared" si="62"/>
        <v>0</v>
      </c>
      <c r="AD277" s="295">
        <f t="shared" si="62"/>
        <v>0</v>
      </c>
      <c r="AE277" s="296">
        <f t="shared" si="62"/>
        <v>0</v>
      </c>
    </row>
    <row r="278" spans="1:31">
      <c r="A278" s="1711"/>
      <c r="B278" s="116">
        <v>19</v>
      </c>
      <c r="C278" s="294">
        <f t="shared" ref="C278:C284" si="63">(EXP(18-B278)*$U$47/(EXP(-1)+EXP(-2)+EXP(-3)+EXP(-4)+EXP(-5)+EXP(-6)+EXP(-7)+EXP(-8)+EXP(-9)+EXP(-10)))</f>
        <v>501.92651113822637</v>
      </c>
      <c r="D278" s="295">
        <f t="shared" si="62"/>
        <v>63.310934383276717</v>
      </c>
      <c r="E278" s="295">
        <f t="shared" si="62"/>
        <v>20.550215388374898</v>
      </c>
      <c r="F278" s="295">
        <f t="shared" si="62"/>
        <v>8.9299906012973551</v>
      </c>
      <c r="G278" s="295">
        <f t="shared" si="62"/>
        <v>3.7817127023546133</v>
      </c>
      <c r="H278" s="295">
        <f t="shared" si="62"/>
        <v>2.0289829652809201</v>
      </c>
      <c r="I278" s="295">
        <f t="shared" si="62"/>
        <v>1.2909515364401045</v>
      </c>
      <c r="J278" s="295">
        <f t="shared" si="62"/>
        <v>0.91895075848769181</v>
      </c>
      <c r="K278" s="295">
        <f t="shared" si="62"/>
        <v>0.48001072832755659</v>
      </c>
      <c r="L278" s="295">
        <f t="shared" si="62"/>
        <v>0.30817279077337717</v>
      </c>
      <c r="M278" s="295">
        <f t="shared" si="62"/>
        <v>0.24719819227227485</v>
      </c>
      <c r="N278" s="295">
        <f t="shared" si="62"/>
        <v>0.27387708499645563</v>
      </c>
      <c r="O278" s="295">
        <f t="shared" si="62"/>
        <v>0.33342974173143863</v>
      </c>
      <c r="P278" s="295">
        <f t="shared" si="62"/>
        <v>0.3814891068489567</v>
      </c>
      <c r="Q278" s="295">
        <f t="shared" si="62"/>
        <v>0.33980062039466163</v>
      </c>
      <c r="R278" s="295">
        <f t="shared" si="62"/>
        <v>0.2667867233497645</v>
      </c>
      <c r="S278" s="295">
        <f t="shared" si="62"/>
        <v>0.16725902405999238</v>
      </c>
      <c r="T278" s="295">
        <f t="shared" si="62"/>
        <v>0.16056652917969802</v>
      </c>
      <c r="U278" s="295">
        <f t="shared" si="62"/>
        <v>0.17047162210138356</v>
      </c>
      <c r="V278" s="295">
        <f t="shared" si="62"/>
        <v>0.17233751897654484</v>
      </c>
      <c r="W278" s="295">
        <f t="shared" si="62"/>
        <v>0</v>
      </c>
      <c r="X278" s="295">
        <f t="shared" si="62"/>
        <v>0</v>
      </c>
      <c r="Y278" s="295">
        <f t="shared" si="62"/>
        <v>0</v>
      </c>
      <c r="Z278" s="295">
        <f t="shared" si="62"/>
        <v>0</v>
      </c>
      <c r="AA278" s="295">
        <f t="shared" si="62"/>
        <v>0</v>
      </c>
      <c r="AB278" s="295">
        <f t="shared" si="62"/>
        <v>0</v>
      </c>
      <c r="AC278" s="295">
        <f t="shared" si="62"/>
        <v>0</v>
      </c>
      <c r="AD278" s="295">
        <f t="shared" si="62"/>
        <v>0</v>
      </c>
      <c r="AE278" s="296">
        <f t="shared" si="62"/>
        <v>0</v>
      </c>
    </row>
    <row r="279" spans="1:31">
      <c r="A279" s="1711"/>
      <c r="B279" s="116">
        <v>20</v>
      </c>
      <c r="C279" s="294">
        <f t="shared" si="63"/>
        <v>184.64844442666245</v>
      </c>
      <c r="D279" s="295">
        <f t="shared" si="62"/>
        <v>77.657469237290471</v>
      </c>
      <c r="E279" s="295">
        <f t="shared" si="62"/>
        <v>9.7953920148669837</v>
      </c>
      <c r="F279" s="295">
        <f t="shared" si="62"/>
        <v>3.1795047361085205</v>
      </c>
      <c r="G279" s="295">
        <f t="shared" si="62"/>
        <v>1.381637460904239</v>
      </c>
      <c r="H279" s="295">
        <f t="shared" si="62"/>
        <v>0.58510206440659085</v>
      </c>
      <c r="I279" s="295">
        <f t="shared" si="62"/>
        <v>0.31392181666590063</v>
      </c>
      <c r="J279" s="295">
        <f t="shared" si="62"/>
        <v>0.19973447706634828</v>
      </c>
      <c r="K279" s="295">
        <f t="shared" si="62"/>
        <v>0.14217896180859391</v>
      </c>
      <c r="L279" s="295">
        <f t="shared" si="62"/>
        <v>7.4266685543535674E-2</v>
      </c>
      <c r="M279" s="295">
        <f t="shared" si="62"/>
        <v>4.7680125452992536E-2</v>
      </c>
      <c r="N279" s="295">
        <f t="shared" si="62"/>
        <v>3.8246208530338742E-2</v>
      </c>
      <c r="O279" s="295">
        <f t="shared" si="62"/>
        <v>4.2373934890747068E-2</v>
      </c>
      <c r="P279" s="295">
        <f t="shared" si="62"/>
        <v>5.1587850684731214E-2</v>
      </c>
      <c r="Q279" s="295">
        <f t="shared" si="62"/>
        <v>5.9023538151635233E-2</v>
      </c>
      <c r="R279" s="295">
        <f t="shared" si="62"/>
        <v>5.2573545408609826E-2</v>
      </c>
      <c r="S279" s="295">
        <f t="shared" si="62"/>
        <v>4.1276922620543346E-2</v>
      </c>
      <c r="T279" s="295">
        <f t="shared" si="62"/>
        <v>2.5878116073492372E-2</v>
      </c>
      <c r="U279" s="295">
        <f t="shared" si="62"/>
        <v>2.4842661273329292E-2</v>
      </c>
      <c r="V279" s="295">
        <f t="shared" si="62"/>
        <v>2.6375165398512802E-2</v>
      </c>
      <c r="W279" s="295">
        <f t="shared" si="62"/>
        <v>2.6663854730451457E-2</v>
      </c>
      <c r="X279" s="295">
        <f t="shared" si="62"/>
        <v>0</v>
      </c>
      <c r="Y279" s="295">
        <f t="shared" si="62"/>
        <v>0</v>
      </c>
      <c r="Z279" s="295">
        <f t="shared" si="62"/>
        <v>0</v>
      </c>
      <c r="AA279" s="295">
        <f t="shared" si="62"/>
        <v>0</v>
      </c>
      <c r="AB279" s="295">
        <f t="shared" si="62"/>
        <v>0</v>
      </c>
      <c r="AC279" s="295">
        <f t="shared" si="62"/>
        <v>0</v>
      </c>
      <c r="AD279" s="295">
        <f t="shared" si="62"/>
        <v>0</v>
      </c>
      <c r="AE279" s="296">
        <f t="shared" si="62"/>
        <v>0</v>
      </c>
    </row>
    <row r="280" spans="1:31">
      <c r="A280" s="1711"/>
      <c r="B280" s="116">
        <v>21</v>
      </c>
      <c r="C280" s="294">
        <f t="shared" si="63"/>
        <v>67.928366548856701</v>
      </c>
      <c r="D280" s="295">
        <f t="shared" si="62"/>
        <v>22.854869108642312</v>
      </c>
      <c r="E280" s="295">
        <f t="shared" si="62"/>
        <v>9.6120565772305504</v>
      </c>
      <c r="F280" s="295">
        <f t="shared" si="62"/>
        <v>1.2124250657120552</v>
      </c>
      <c r="G280" s="295">
        <f t="shared" ref="G280:AE280" si="64">F279*$D49</f>
        <v>0.39354333473916731</v>
      </c>
      <c r="H280" s="295">
        <f t="shared" si="64"/>
        <v>0.17101223583340239</v>
      </c>
      <c r="I280" s="295">
        <f t="shared" si="64"/>
        <v>7.2421033054086842E-2</v>
      </c>
      <c r="J280" s="295">
        <f t="shared" si="64"/>
        <v>3.8855686288199132E-2</v>
      </c>
      <c r="K280" s="295">
        <f t="shared" si="64"/>
        <v>2.472214344403844E-2</v>
      </c>
      <c r="L280" s="295">
        <f t="shared" si="64"/>
        <v>1.7598207080637918E-2</v>
      </c>
      <c r="M280" s="295">
        <f t="shared" si="64"/>
        <v>9.1923621804696626E-3</v>
      </c>
      <c r="N280" s="295">
        <f t="shared" si="64"/>
        <v>5.9016095678217249E-3</v>
      </c>
      <c r="O280" s="295">
        <f t="shared" si="64"/>
        <v>4.733926097113185E-3</v>
      </c>
      <c r="P280" s="295">
        <f t="shared" si="64"/>
        <v>5.2448356039674045E-3</v>
      </c>
      <c r="Q280" s="295">
        <f t="shared" si="64"/>
        <v>6.3852884255626479E-3</v>
      </c>
      <c r="R280" s="295">
        <f t="shared" si="64"/>
        <v>7.305640959896398E-3</v>
      </c>
      <c r="S280" s="295">
        <f t="shared" si="64"/>
        <v>6.507292832181261E-3</v>
      </c>
      <c r="T280" s="295">
        <f t="shared" si="64"/>
        <v>5.109052863289951E-3</v>
      </c>
      <c r="U280" s="295">
        <f t="shared" si="64"/>
        <v>3.2030649241284338E-3</v>
      </c>
      <c r="V280" s="295">
        <f t="shared" si="64"/>
        <v>3.0749014619388471E-3</v>
      </c>
      <c r="W280" s="295">
        <f t="shared" si="64"/>
        <v>3.2645872255978774E-3</v>
      </c>
      <c r="X280" s="295">
        <f t="shared" si="64"/>
        <v>3.3003197600094515E-3</v>
      </c>
      <c r="Y280" s="295">
        <f t="shared" si="64"/>
        <v>0</v>
      </c>
      <c r="Z280" s="295">
        <f t="shared" si="64"/>
        <v>0</v>
      </c>
      <c r="AA280" s="295">
        <f t="shared" si="64"/>
        <v>0</v>
      </c>
      <c r="AB280" s="295">
        <f t="shared" si="64"/>
        <v>0</v>
      </c>
      <c r="AC280" s="295">
        <f t="shared" si="64"/>
        <v>0</v>
      </c>
      <c r="AD280" s="295">
        <f t="shared" si="64"/>
        <v>0</v>
      </c>
      <c r="AE280" s="296">
        <f t="shared" si="64"/>
        <v>0</v>
      </c>
    </row>
    <row r="281" spans="1:31">
      <c r="A281" s="1711"/>
      <c r="B281" s="116">
        <v>22</v>
      </c>
      <c r="C281" s="294">
        <f t="shared" si="63"/>
        <v>24.989449525682296</v>
      </c>
      <c r="D281" s="295">
        <f t="shared" ref="D281:AE284" si="65">C280*$D50</f>
        <v>6.3058773568003446</v>
      </c>
      <c r="E281" s="295">
        <f t="shared" si="65"/>
        <v>2.1216468012839167</v>
      </c>
      <c r="F281" s="295">
        <f t="shared" si="65"/>
        <v>0.89229953555628538</v>
      </c>
      <c r="G281" s="295">
        <f t="shared" si="65"/>
        <v>0.11255097328436345</v>
      </c>
      <c r="H281" s="295">
        <f t="shared" si="65"/>
        <v>3.6533132320597246E-2</v>
      </c>
      <c r="I281" s="295">
        <f t="shared" si="65"/>
        <v>1.5875285104964779E-2</v>
      </c>
      <c r="J281" s="295">
        <f t="shared" si="65"/>
        <v>6.7229373484698025E-3</v>
      </c>
      <c r="K281" s="295">
        <f t="shared" si="65"/>
        <v>3.6070231745005273E-3</v>
      </c>
      <c r="L281" s="295">
        <f t="shared" si="65"/>
        <v>2.294988271846733E-3</v>
      </c>
      <c r="M281" s="295">
        <f t="shared" si="65"/>
        <v>1.6336641257266608E-3</v>
      </c>
      <c r="N281" s="295">
        <f t="shared" si="65"/>
        <v>8.5333876662027739E-4</v>
      </c>
      <c r="O281" s="295">
        <f t="shared" si="65"/>
        <v>5.4785398255730088E-4</v>
      </c>
      <c r="P281" s="295">
        <f t="shared" si="65"/>
        <v>4.3945642889972733E-4</v>
      </c>
      <c r="Q281" s="295">
        <f t="shared" si="65"/>
        <v>4.8688481345139851E-4</v>
      </c>
      <c r="R281" s="295">
        <f t="shared" si="65"/>
        <v>5.9275451103972586E-4</v>
      </c>
      <c r="S281" s="295">
        <f t="shared" si="65"/>
        <v>6.7819201677387026E-4</v>
      </c>
      <c r="T281" s="295">
        <f t="shared" si="65"/>
        <v>6.040803365263851E-4</v>
      </c>
      <c r="U281" s="295">
        <f t="shared" si="65"/>
        <v>4.7427992754903528E-4</v>
      </c>
      <c r="V281" s="295">
        <f t="shared" si="65"/>
        <v>2.973446235144728E-4</v>
      </c>
      <c r="W281" s="295">
        <f t="shared" si="65"/>
        <v>2.8544704500271551E-4</v>
      </c>
      <c r="X281" s="295">
        <f t="shared" si="65"/>
        <v>3.0305581763681903E-4</v>
      </c>
      <c r="Y281" s="295">
        <f t="shared" si="65"/>
        <v>3.063729146184603E-4</v>
      </c>
      <c r="Z281" s="295">
        <f t="shared" si="65"/>
        <v>0</v>
      </c>
      <c r="AA281" s="295">
        <f t="shared" si="65"/>
        <v>0</v>
      </c>
      <c r="AB281" s="295">
        <f t="shared" si="65"/>
        <v>0</v>
      </c>
      <c r="AC281" s="295">
        <f t="shared" si="65"/>
        <v>0</v>
      </c>
      <c r="AD281" s="295">
        <f t="shared" si="65"/>
        <v>0</v>
      </c>
      <c r="AE281" s="296">
        <f t="shared" si="65"/>
        <v>0</v>
      </c>
    </row>
    <row r="282" spans="1:31">
      <c r="A282" s="1711"/>
      <c r="B282" s="116">
        <v>23</v>
      </c>
      <c r="C282" s="294">
        <f t="shared" si="63"/>
        <v>9.1931047266899686</v>
      </c>
      <c r="D282" s="295">
        <f t="shared" si="65"/>
        <v>1.5465350920769079</v>
      </c>
      <c r="E282" s="295">
        <f t="shared" si="65"/>
        <v>0.39025511980975258</v>
      </c>
      <c r="F282" s="295">
        <f t="shared" si="65"/>
        <v>0.1313034617991935</v>
      </c>
      <c r="G282" s="295">
        <f t="shared" si="65"/>
        <v>5.5222206594166427E-2</v>
      </c>
      <c r="H282" s="295">
        <f t="shared" si="65"/>
        <v>6.9655007667451243E-3</v>
      </c>
      <c r="I282" s="295">
        <f t="shared" si="65"/>
        <v>2.2609450079813269E-3</v>
      </c>
      <c r="J282" s="295">
        <f t="shared" si="65"/>
        <v>9.8248204652613387E-4</v>
      </c>
      <c r="K282" s="295">
        <f t="shared" si="65"/>
        <v>4.1606592896564212E-4</v>
      </c>
      <c r="L282" s="295">
        <f t="shared" si="65"/>
        <v>2.232297238707344E-4</v>
      </c>
      <c r="M282" s="295">
        <f t="shared" si="65"/>
        <v>1.4203113576664525E-4</v>
      </c>
      <c r="N282" s="295">
        <f t="shared" si="65"/>
        <v>1.0110342352707108E-4</v>
      </c>
      <c r="O282" s="295">
        <f t="shared" si="65"/>
        <v>5.2811021173218621E-5</v>
      </c>
      <c r="P282" s="295">
        <f t="shared" si="65"/>
        <v>3.3905325064811428E-5</v>
      </c>
      <c r="Q282" s="295">
        <f t="shared" si="65"/>
        <v>2.7196869144066215E-5</v>
      </c>
      <c r="R282" s="295">
        <f t="shared" si="65"/>
        <v>3.0132094307561491E-5</v>
      </c>
      <c r="S282" s="295">
        <f t="shared" si="65"/>
        <v>3.6684107481747159E-5</v>
      </c>
      <c r="T282" s="295">
        <f t="shared" si="65"/>
        <v>4.1971622945486402E-5</v>
      </c>
      <c r="U282" s="295">
        <f t="shared" si="65"/>
        <v>3.7385034748826662E-5</v>
      </c>
      <c r="V282" s="295">
        <f t="shared" si="65"/>
        <v>2.9352009161644377E-5</v>
      </c>
      <c r="W282" s="295">
        <f t="shared" si="65"/>
        <v>1.8401921748333238E-5</v>
      </c>
      <c r="X282" s="295">
        <f t="shared" si="65"/>
        <v>1.7665610103682453E-5</v>
      </c>
      <c r="Y282" s="295">
        <f t="shared" si="65"/>
        <v>1.8755373396749676E-5</v>
      </c>
      <c r="Z282" s="295">
        <f t="shared" si="65"/>
        <v>1.8960660307157942E-5</v>
      </c>
      <c r="AA282" s="295">
        <f t="shared" si="65"/>
        <v>0</v>
      </c>
      <c r="AB282" s="295">
        <f t="shared" si="65"/>
        <v>0</v>
      </c>
      <c r="AC282" s="295">
        <f t="shared" si="65"/>
        <v>0</v>
      </c>
      <c r="AD282" s="295">
        <f t="shared" si="65"/>
        <v>0</v>
      </c>
      <c r="AE282" s="296">
        <f t="shared" si="65"/>
        <v>0</v>
      </c>
    </row>
    <row r="283" spans="1:31">
      <c r="A283" s="1711"/>
      <c r="B283" s="116">
        <v>24</v>
      </c>
      <c r="C283" s="294">
        <f t="shared" si="63"/>
        <v>3.3819542294852507</v>
      </c>
      <c r="D283" s="295">
        <f t="shared" si="65"/>
        <v>0.28446923271263891</v>
      </c>
      <c r="E283" s="295">
        <f t="shared" si="65"/>
        <v>4.7855611796635313E-2</v>
      </c>
      <c r="F283" s="295">
        <f t="shared" si="65"/>
        <v>1.2075961037640772E-2</v>
      </c>
      <c r="G283" s="295">
        <f t="shared" si="65"/>
        <v>4.0630229004231739E-3</v>
      </c>
      <c r="H283" s="295">
        <f t="shared" si="65"/>
        <v>1.7087827459350044E-3</v>
      </c>
      <c r="I283" s="295">
        <f t="shared" si="65"/>
        <v>2.1553878885144861E-4</v>
      </c>
      <c r="J283" s="295">
        <f t="shared" si="65"/>
        <v>6.996214127297298E-5</v>
      </c>
      <c r="K283" s="295">
        <f t="shared" si="65"/>
        <v>3.0401689335466E-5</v>
      </c>
      <c r="L283" s="295">
        <f t="shared" si="65"/>
        <v>1.2874644539521418E-5</v>
      </c>
      <c r="M283" s="295">
        <f t="shared" si="65"/>
        <v>6.9075671556094988E-6</v>
      </c>
      <c r="N283" s="295">
        <f t="shared" si="65"/>
        <v>4.3949774764928337E-6</v>
      </c>
      <c r="O283" s="295">
        <f t="shared" si="65"/>
        <v>3.1285201431314893E-6</v>
      </c>
      <c r="P283" s="295">
        <f t="shared" si="65"/>
        <v>1.6341716012763826E-6</v>
      </c>
      <c r="Q283" s="295">
        <f t="shared" si="65"/>
        <v>1.0491582651133637E-6</v>
      </c>
      <c r="R283" s="295">
        <f t="shared" si="65"/>
        <v>8.4157341046458362E-7</v>
      </c>
      <c r="S283" s="295">
        <f t="shared" si="65"/>
        <v>9.324003155115982E-7</v>
      </c>
      <c r="T283" s="295">
        <f t="shared" si="65"/>
        <v>1.1351442432482713E-6</v>
      </c>
      <c r="U283" s="295">
        <f t="shared" si="65"/>
        <v>1.2987598564327072E-6</v>
      </c>
      <c r="V283" s="295">
        <f t="shared" si="65"/>
        <v>1.1568335688658274E-6</v>
      </c>
      <c r="W283" s="295">
        <f t="shared" si="65"/>
        <v>9.0826154743411668E-7</v>
      </c>
      <c r="X283" s="295">
        <f t="shared" si="65"/>
        <v>5.6942466292029198E-7</v>
      </c>
      <c r="Y283" s="295">
        <f t="shared" si="65"/>
        <v>5.4664041159080605E-7</v>
      </c>
      <c r="Z283" s="295">
        <f t="shared" si="65"/>
        <v>5.8036178614636926E-7</v>
      </c>
      <c r="AA283" s="295">
        <f t="shared" si="65"/>
        <v>5.8671413517598969E-7</v>
      </c>
      <c r="AB283" s="295">
        <f t="shared" si="65"/>
        <v>0</v>
      </c>
      <c r="AC283" s="295">
        <f t="shared" si="65"/>
        <v>0</v>
      </c>
      <c r="AD283" s="295">
        <f t="shared" si="65"/>
        <v>0</v>
      </c>
      <c r="AE283" s="296">
        <f t="shared" si="65"/>
        <v>0</v>
      </c>
    </row>
    <row r="284" spans="1:31" ht="15.75" thickBot="1">
      <c r="A284" s="1711"/>
      <c r="B284" s="116">
        <v>25</v>
      </c>
      <c r="C284" s="297">
        <f t="shared" si="63"/>
        <v>1.2441514320104299</v>
      </c>
      <c r="D284" s="298">
        <f t="shared" si="65"/>
        <v>0</v>
      </c>
      <c r="E284" s="298">
        <f t="shared" si="65"/>
        <v>0</v>
      </c>
      <c r="F284" s="298">
        <f t="shared" si="65"/>
        <v>0</v>
      </c>
      <c r="G284" s="298">
        <f t="shared" si="65"/>
        <v>0</v>
      </c>
      <c r="H284" s="298">
        <f t="shared" si="65"/>
        <v>0</v>
      </c>
      <c r="I284" s="298">
        <f t="shared" si="65"/>
        <v>0</v>
      </c>
      <c r="J284" s="298">
        <f t="shared" si="65"/>
        <v>0</v>
      </c>
      <c r="K284" s="298">
        <f t="shared" si="65"/>
        <v>0</v>
      </c>
      <c r="L284" s="298">
        <f t="shared" si="65"/>
        <v>0</v>
      </c>
      <c r="M284" s="298">
        <f t="shared" si="65"/>
        <v>0</v>
      </c>
      <c r="N284" s="298">
        <f t="shared" si="65"/>
        <v>0</v>
      </c>
      <c r="O284" s="298">
        <f t="shared" si="65"/>
        <v>0</v>
      </c>
      <c r="P284" s="298">
        <f t="shared" si="65"/>
        <v>0</v>
      </c>
      <c r="Q284" s="298">
        <f t="shared" si="65"/>
        <v>0</v>
      </c>
      <c r="R284" s="298">
        <f t="shared" si="65"/>
        <v>0</v>
      </c>
      <c r="S284" s="298">
        <f t="shared" si="65"/>
        <v>0</v>
      </c>
      <c r="T284" s="298">
        <f t="shared" si="65"/>
        <v>0</v>
      </c>
      <c r="U284" s="298">
        <f t="shared" si="65"/>
        <v>0</v>
      </c>
      <c r="V284" s="298">
        <f t="shared" si="65"/>
        <v>0</v>
      </c>
      <c r="W284" s="298">
        <f t="shared" si="65"/>
        <v>0</v>
      </c>
      <c r="X284" s="298">
        <f t="shared" si="65"/>
        <v>0</v>
      </c>
      <c r="Y284" s="298">
        <f t="shared" si="65"/>
        <v>0</v>
      </c>
      <c r="Z284" s="298">
        <f t="shared" si="65"/>
        <v>0</v>
      </c>
      <c r="AA284" s="298">
        <f t="shared" si="65"/>
        <v>0</v>
      </c>
      <c r="AB284" s="298">
        <f t="shared" si="65"/>
        <v>0</v>
      </c>
      <c r="AC284" s="298">
        <f t="shared" si="65"/>
        <v>0</v>
      </c>
      <c r="AD284" s="298">
        <f t="shared" si="65"/>
        <v>0</v>
      </c>
      <c r="AE284" s="299">
        <f t="shared" si="65"/>
        <v>0</v>
      </c>
    </row>
    <row r="285" spans="1:31" ht="16.5" thickTop="1" thickBot="1">
      <c r="A285" s="1712"/>
      <c r="B285" s="300" t="s">
        <v>39</v>
      </c>
      <c r="C285" s="349">
        <f>SUM(C259:C284)</f>
        <v>97938.311982027619</v>
      </c>
      <c r="D285" s="349">
        <f>SUM(D259:D284)</f>
        <v>79946.579860530677</v>
      </c>
      <c r="E285" s="349">
        <f t="shared" ref="E285:AE285" si="66">SUM(E259:E284)</f>
        <v>67304.080471348498</v>
      </c>
      <c r="F285" s="349">
        <f t="shared" si="66"/>
        <v>56821.156924563584</v>
      </c>
      <c r="G285" s="349">
        <f t="shared" si="66"/>
        <v>47241.983363743675</v>
      </c>
      <c r="H285" s="349">
        <f t="shared" si="66"/>
        <v>38229.024418652654</v>
      </c>
      <c r="I285" s="349">
        <f t="shared" si="66"/>
        <v>29893.635802284316</v>
      </c>
      <c r="J285" s="349">
        <f t="shared" si="66"/>
        <v>22430.922469325309</v>
      </c>
      <c r="K285" s="349">
        <f t="shared" si="66"/>
        <v>16054.152918349875</v>
      </c>
      <c r="L285" s="349">
        <f t="shared" si="66"/>
        <v>10834.787617481736</v>
      </c>
      <c r="M285" s="349">
        <f t="shared" si="66"/>
        <v>6785.9990344877551</v>
      </c>
      <c r="N285" s="349">
        <f t="shared" si="66"/>
        <v>3849.2772628324419</v>
      </c>
      <c r="O285" s="349">
        <f t="shared" si="66"/>
        <v>1909.0494624221444</v>
      </c>
      <c r="P285" s="349">
        <f t="shared" si="66"/>
        <v>804.8258909944476</v>
      </c>
      <c r="Q285" s="349">
        <f t="shared" si="66"/>
        <v>284.49464443167597</v>
      </c>
      <c r="R285" s="349">
        <f t="shared" si="66"/>
        <v>84.50357665973165</v>
      </c>
      <c r="S285" s="349">
        <f t="shared" si="66"/>
        <v>22.630487500789748</v>
      </c>
      <c r="T285" s="349">
        <f t="shared" si="66"/>
        <v>5.3957115785242573</v>
      </c>
      <c r="U285" s="349">
        <f t="shared" si="66"/>
        <v>1.1272600805982986</v>
      </c>
      <c r="V285" s="349">
        <f t="shared" si="66"/>
        <v>0.20211543930324147</v>
      </c>
      <c r="W285" s="349">
        <f t="shared" si="66"/>
        <v>3.0233199184347814E-2</v>
      </c>
      <c r="X285" s="349">
        <f t="shared" si="66"/>
        <v>3.6216106124128734E-3</v>
      </c>
      <c r="Y285" s="349">
        <f t="shared" si="66"/>
        <v>3.256749284268008E-4</v>
      </c>
      <c r="Z285" s="349">
        <f t="shared" si="66"/>
        <v>1.9541022093304309E-5</v>
      </c>
      <c r="AA285" s="349">
        <f t="shared" si="66"/>
        <v>5.8671413517598969E-7</v>
      </c>
      <c r="AB285" s="349">
        <f t="shared" si="66"/>
        <v>0</v>
      </c>
      <c r="AC285" s="349">
        <f t="shared" si="66"/>
        <v>0</v>
      </c>
      <c r="AD285" s="349">
        <f t="shared" si="66"/>
        <v>0</v>
      </c>
      <c r="AE285" s="350">
        <f t="shared" si="66"/>
        <v>0</v>
      </c>
    </row>
    <row r="286" spans="1:31" ht="15.75" thickBot="1"/>
    <row r="287" spans="1:31" ht="15.75" customHeight="1" thickBot="1">
      <c r="A287" s="1710" t="s">
        <v>205</v>
      </c>
      <c r="B287" s="169" t="s">
        <v>10</v>
      </c>
      <c r="C287" s="288">
        <v>2012</v>
      </c>
      <c r="D287" s="347">
        <v>2013</v>
      </c>
      <c r="E287" s="347">
        <v>2014</v>
      </c>
      <c r="F287" s="288">
        <v>2015</v>
      </c>
      <c r="G287" s="347">
        <v>2016</v>
      </c>
      <c r="H287" s="347">
        <v>2017</v>
      </c>
      <c r="I287" s="288">
        <v>2018</v>
      </c>
      <c r="J287" s="347">
        <v>2019</v>
      </c>
      <c r="K287" s="347">
        <v>2020</v>
      </c>
      <c r="L287" s="288">
        <v>2021</v>
      </c>
      <c r="M287" s="347">
        <v>2022</v>
      </c>
      <c r="N287" s="347">
        <v>2023</v>
      </c>
      <c r="O287" s="288">
        <v>2024</v>
      </c>
      <c r="P287" s="347">
        <v>2025</v>
      </c>
      <c r="Q287" s="347">
        <v>2026</v>
      </c>
      <c r="R287" s="288">
        <v>2027</v>
      </c>
      <c r="S287" s="347">
        <v>2028</v>
      </c>
      <c r="T287" s="347">
        <v>2029</v>
      </c>
      <c r="U287" s="288">
        <v>2030</v>
      </c>
      <c r="V287" s="347">
        <v>2031</v>
      </c>
      <c r="W287" s="347">
        <v>2032</v>
      </c>
      <c r="X287" s="288">
        <v>2033</v>
      </c>
      <c r="Y287" s="347">
        <v>2034</v>
      </c>
      <c r="Z287" s="347">
        <v>2035</v>
      </c>
      <c r="AA287" s="288">
        <v>2036</v>
      </c>
      <c r="AB287" s="347">
        <v>2037</v>
      </c>
      <c r="AC287" s="347">
        <v>2038</v>
      </c>
      <c r="AD287" s="288">
        <v>2039</v>
      </c>
      <c r="AE287" s="348">
        <v>2040</v>
      </c>
    </row>
    <row r="288" spans="1:31">
      <c r="A288" s="1711"/>
      <c r="B288" s="116">
        <v>0</v>
      </c>
      <c r="C288" s="291">
        <f t="shared" ref="C288:C306" si="67">V28</f>
        <v>4035</v>
      </c>
      <c r="D288" s="292"/>
      <c r="E288" s="292"/>
      <c r="F288" s="292"/>
      <c r="G288" s="292"/>
      <c r="H288" s="292"/>
      <c r="I288" s="292"/>
      <c r="J288" s="292"/>
      <c r="K288" s="292"/>
      <c r="L288" s="292"/>
      <c r="M288" s="292"/>
      <c r="N288" s="292"/>
      <c r="O288" s="292"/>
      <c r="P288" s="292"/>
      <c r="Q288" s="292"/>
      <c r="R288" s="292"/>
      <c r="S288" s="292"/>
      <c r="T288" s="292"/>
      <c r="U288" s="292"/>
      <c r="V288" s="292"/>
      <c r="W288" s="292"/>
      <c r="X288" s="292"/>
      <c r="Y288" s="292"/>
      <c r="Z288" s="292"/>
      <c r="AA288" s="292"/>
      <c r="AB288" s="292"/>
      <c r="AC288" s="292"/>
      <c r="AD288" s="292"/>
      <c r="AE288" s="293"/>
    </row>
    <row r="289" spans="1:31">
      <c r="A289" s="1711"/>
      <c r="B289" s="116">
        <v>1</v>
      </c>
      <c r="C289" s="294">
        <f t="shared" si="67"/>
        <v>4458</v>
      </c>
      <c r="D289" s="295">
        <f>C288*$E29</f>
        <v>3968.4194686895166</v>
      </c>
      <c r="E289" s="295">
        <f t="shared" ref="E289:AE298" si="68">D288*$E29</f>
        <v>0</v>
      </c>
      <c r="F289" s="295">
        <f t="shared" si="68"/>
        <v>0</v>
      </c>
      <c r="G289" s="295">
        <f t="shared" si="68"/>
        <v>0</v>
      </c>
      <c r="H289" s="295">
        <f t="shared" si="68"/>
        <v>0</v>
      </c>
      <c r="I289" s="295">
        <f t="shared" si="68"/>
        <v>0</v>
      </c>
      <c r="J289" s="295">
        <f t="shared" si="68"/>
        <v>0</v>
      </c>
      <c r="K289" s="295">
        <f t="shared" si="68"/>
        <v>0</v>
      </c>
      <c r="L289" s="295">
        <f t="shared" si="68"/>
        <v>0</v>
      </c>
      <c r="M289" s="295">
        <f t="shared" si="68"/>
        <v>0</v>
      </c>
      <c r="N289" s="295">
        <f t="shared" si="68"/>
        <v>0</v>
      </c>
      <c r="O289" s="295">
        <f t="shared" si="68"/>
        <v>0</v>
      </c>
      <c r="P289" s="295">
        <f t="shared" si="68"/>
        <v>0</v>
      </c>
      <c r="Q289" s="295">
        <f t="shared" si="68"/>
        <v>0</v>
      </c>
      <c r="R289" s="295">
        <f t="shared" si="68"/>
        <v>0</v>
      </c>
      <c r="S289" s="295">
        <f t="shared" si="68"/>
        <v>0</v>
      </c>
      <c r="T289" s="295">
        <f t="shared" si="68"/>
        <v>0</v>
      </c>
      <c r="U289" s="295">
        <f t="shared" si="68"/>
        <v>0</v>
      </c>
      <c r="V289" s="295">
        <f t="shared" si="68"/>
        <v>0</v>
      </c>
      <c r="W289" s="295">
        <f t="shared" si="68"/>
        <v>0</v>
      </c>
      <c r="X289" s="295">
        <f t="shared" si="68"/>
        <v>0</v>
      </c>
      <c r="Y289" s="295">
        <f t="shared" si="68"/>
        <v>0</v>
      </c>
      <c r="Z289" s="295">
        <f t="shared" si="68"/>
        <v>0</v>
      </c>
      <c r="AA289" s="295">
        <f t="shared" si="68"/>
        <v>0</v>
      </c>
      <c r="AB289" s="295">
        <f t="shared" si="68"/>
        <v>0</v>
      </c>
      <c r="AC289" s="295">
        <f t="shared" si="68"/>
        <v>0</v>
      </c>
      <c r="AD289" s="295">
        <f t="shared" si="68"/>
        <v>0</v>
      </c>
      <c r="AE289" s="296">
        <f t="shared" si="68"/>
        <v>0</v>
      </c>
    </row>
    <row r="290" spans="1:31">
      <c r="A290" s="1711"/>
      <c r="B290" s="116">
        <v>2</v>
      </c>
      <c r="C290" s="294">
        <f t="shared" si="67"/>
        <v>4880</v>
      </c>
      <c r="D290" s="295">
        <f t="shared" ref="D290:S305" si="69">C289*$E30</f>
        <v>4356.488260887586</v>
      </c>
      <c r="E290" s="295">
        <f t="shared" si="69"/>
        <v>3878.0558164252193</v>
      </c>
      <c r="F290" s="295">
        <f t="shared" si="69"/>
        <v>0</v>
      </c>
      <c r="G290" s="295">
        <f t="shared" si="69"/>
        <v>0</v>
      </c>
      <c r="H290" s="295">
        <f t="shared" si="69"/>
        <v>0</v>
      </c>
      <c r="I290" s="295">
        <f t="shared" si="69"/>
        <v>0</v>
      </c>
      <c r="J290" s="295">
        <f t="shared" si="69"/>
        <v>0</v>
      </c>
      <c r="K290" s="295">
        <f t="shared" si="69"/>
        <v>0</v>
      </c>
      <c r="L290" s="295">
        <f t="shared" si="69"/>
        <v>0</v>
      </c>
      <c r="M290" s="295">
        <f t="shared" si="69"/>
        <v>0</v>
      </c>
      <c r="N290" s="295">
        <f t="shared" si="69"/>
        <v>0</v>
      </c>
      <c r="O290" s="295">
        <f t="shared" si="69"/>
        <v>0</v>
      </c>
      <c r="P290" s="295">
        <f t="shared" si="69"/>
        <v>0</v>
      </c>
      <c r="Q290" s="295">
        <f t="shared" si="69"/>
        <v>0</v>
      </c>
      <c r="R290" s="295">
        <f t="shared" si="69"/>
        <v>0</v>
      </c>
      <c r="S290" s="295">
        <f t="shared" si="69"/>
        <v>0</v>
      </c>
      <c r="T290" s="295">
        <f t="shared" si="68"/>
        <v>0</v>
      </c>
      <c r="U290" s="295">
        <f t="shared" si="68"/>
        <v>0</v>
      </c>
      <c r="V290" s="295">
        <f t="shared" si="68"/>
        <v>0</v>
      </c>
      <c r="W290" s="295">
        <f t="shared" si="68"/>
        <v>0</v>
      </c>
      <c r="X290" s="295">
        <f t="shared" si="68"/>
        <v>0</v>
      </c>
      <c r="Y290" s="295">
        <f t="shared" si="68"/>
        <v>0</v>
      </c>
      <c r="Z290" s="295">
        <f t="shared" si="68"/>
        <v>0</v>
      </c>
      <c r="AA290" s="295">
        <f t="shared" si="68"/>
        <v>0</v>
      </c>
      <c r="AB290" s="295">
        <f t="shared" si="68"/>
        <v>0</v>
      </c>
      <c r="AC290" s="295">
        <f t="shared" si="68"/>
        <v>0</v>
      </c>
      <c r="AD290" s="295">
        <f t="shared" si="68"/>
        <v>0</v>
      </c>
      <c r="AE290" s="296">
        <f t="shared" si="68"/>
        <v>0</v>
      </c>
    </row>
    <row r="291" spans="1:31">
      <c r="A291" s="1711"/>
      <c r="B291" s="116">
        <v>3</v>
      </c>
      <c r="C291" s="294">
        <f t="shared" si="67"/>
        <v>5880</v>
      </c>
      <c r="D291" s="295">
        <f t="shared" si="69"/>
        <v>4730.3014913333545</v>
      </c>
      <c r="E291" s="295">
        <f t="shared" si="68"/>
        <v>4222.8489584944264</v>
      </c>
      <c r="F291" s="295">
        <f t="shared" si="68"/>
        <v>3759.0928712930745</v>
      </c>
      <c r="G291" s="295">
        <f t="shared" si="68"/>
        <v>0</v>
      </c>
      <c r="H291" s="295">
        <f t="shared" si="68"/>
        <v>0</v>
      </c>
      <c r="I291" s="295">
        <f t="shared" si="68"/>
        <v>0</v>
      </c>
      <c r="J291" s="295">
        <f t="shared" si="68"/>
        <v>0</v>
      </c>
      <c r="K291" s="295">
        <f t="shared" si="68"/>
        <v>0</v>
      </c>
      <c r="L291" s="295">
        <f t="shared" si="68"/>
        <v>0</v>
      </c>
      <c r="M291" s="295">
        <f t="shared" si="68"/>
        <v>0</v>
      </c>
      <c r="N291" s="295">
        <f t="shared" si="68"/>
        <v>0</v>
      </c>
      <c r="O291" s="295">
        <f t="shared" si="68"/>
        <v>0</v>
      </c>
      <c r="P291" s="295">
        <f t="shared" si="68"/>
        <v>0</v>
      </c>
      <c r="Q291" s="295">
        <f t="shared" si="68"/>
        <v>0</v>
      </c>
      <c r="R291" s="295">
        <f t="shared" si="68"/>
        <v>0</v>
      </c>
      <c r="S291" s="295">
        <f t="shared" si="68"/>
        <v>0</v>
      </c>
      <c r="T291" s="295">
        <f t="shared" si="68"/>
        <v>0</v>
      </c>
      <c r="U291" s="295">
        <f t="shared" si="68"/>
        <v>0</v>
      </c>
      <c r="V291" s="295">
        <f t="shared" si="68"/>
        <v>0</v>
      </c>
      <c r="W291" s="295">
        <f t="shared" si="68"/>
        <v>0</v>
      </c>
      <c r="X291" s="295">
        <f t="shared" si="68"/>
        <v>0</v>
      </c>
      <c r="Y291" s="295">
        <f t="shared" si="68"/>
        <v>0</v>
      </c>
      <c r="Z291" s="295">
        <f t="shared" si="68"/>
        <v>0</v>
      </c>
      <c r="AA291" s="295">
        <f t="shared" si="68"/>
        <v>0</v>
      </c>
      <c r="AB291" s="295">
        <f t="shared" si="68"/>
        <v>0</v>
      </c>
      <c r="AC291" s="295">
        <f t="shared" si="68"/>
        <v>0</v>
      </c>
      <c r="AD291" s="295">
        <f t="shared" si="68"/>
        <v>0</v>
      </c>
      <c r="AE291" s="296">
        <f t="shared" si="68"/>
        <v>0</v>
      </c>
    </row>
    <row r="292" spans="1:31">
      <c r="A292" s="1711"/>
      <c r="B292" s="116">
        <v>4</v>
      </c>
      <c r="C292" s="294">
        <f t="shared" si="67"/>
        <v>13824</v>
      </c>
      <c r="D292" s="295">
        <f t="shared" si="69"/>
        <v>5709.8871115445781</v>
      </c>
      <c r="E292" s="295">
        <f t="shared" si="68"/>
        <v>4593.4502583476906</v>
      </c>
      <c r="F292" s="295">
        <f t="shared" si="68"/>
        <v>4100.6787146440083</v>
      </c>
      <c r="G292" s="295">
        <f t="shared" si="68"/>
        <v>3650.3394450502428</v>
      </c>
      <c r="H292" s="295">
        <f t="shared" si="68"/>
        <v>0</v>
      </c>
      <c r="I292" s="295">
        <f t="shared" si="68"/>
        <v>0</v>
      </c>
      <c r="J292" s="295">
        <f t="shared" si="68"/>
        <v>0</v>
      </c>
      <c r="K292" s="295">
        <f t="shared" si="68"/>
        <v>0</v>
      </c>
      <c r="L292" s="295">
        <f t="shared" si="68"/>
        <v>0</v>
      </c>
      <c r="M292" s="295">
        <f t="shared" si="68"/>
        <v>0</v>
      </c>
      <c r="N292" s="295">
        <f t="shared" si="68"/>
        <v>0</v>
      </c>
      <c r="O292" s="295">
        <f t="shared" si="68"/>
        <v>0</v>
      </c>
      <c r="P292" s="295">
        <f t="shared" si="68"/>
        <v>0</v>
      </c>
      <c r="Q292" s="295">
        <f t="shared" si="68"/>
        <v>0</v>
      </c>
      <c r="R292" s="295">
        <f t="shared" si="68"/>
        <v>0</v>
      </c>
      <c r="S292" s="295">
        <f t="shared" si="68"/>
        <v>0</v>
      </c>
      <c r="T292" s="295">
        <f t="shared" si="68"/>
        <v>0</v>
      </c>
      <c r="U292" s="295">
        <f t="shared" si="68"/>
        <v>0</v>
      </c>
      <c r="V292" s="295">
        <f t="shared" si="68"/>
        <v>0</v>
      </c>
      <c r="W292" s="295">
        <f t="shared" si="68"/>
        <v>0</v>
      </c>
      <c r="X292" s="295">
        <f t="shared" si="68"/>
        <v>0</v>
      </c>
      <c r="Y292" s="295">
        <f t="shared" si="68"/>
        <v>0</v>
      </c>
      <c r="Z292" s="295">
        <f t="shared" si="68"/>
        <v>0</v>
      </c>
      <c r="AA292" s="295">
        <f t="shared" si="68"/>
        <v>0</v>
      </c>
      <c r="AB292" s="295">
        <f t="shared" si="68"/>
        <v>0</v>
      </c>
      <c r="AC292" s="295">
        <f t="shared" si="68"/>
        <v>0</v>
      </c>
      <c r="AD292" s="295">
        <f t="shared" si="68"/>
        <v>0</v>
      </c>
      <c r="AE292" s="296">
        <f t="shared" si="68"/>
        <v>0</v>
      </c>
    </row>
    <row r="293" spans="1:31">
      <c r="A293" s="1711"/>
      <c r="B293" s="116">
        <v>5</v>
      </c>
      <c r="C293" s="294">
        <f t="shared" si="67"/>
        <v>19082</v>
      </c>
      <c r="D293" s="295">
        <f t="shared" si="69"/>
        <v>13257.744147964664</v>
      </c>
      <c r="E293" s="295">
        <f t="shared" si="68"/>
        <v>5475.999887052878</v>
      </c>
      <c r="F293" s="295">
        <f t="shared" si="68"/>
        <v>4405.294291201958</v>
      </c>
      <c r="G293" s="295">
        <f t="shared" si="68"/>
        <v>3932.7075543804153</v>
      </c>
      <c r="H293" s="295">
        <f t="shared" si="68"/>
        <v>3500.8149895615911</v>
      </c>
      <c r="I293" s="295">
        <f t="shared" si="68"/>
        <v>0</v>
      </c>
      <c r="J293" s="295">
        <f t="shared" si="68"/>
        <v>0</v>
      </c>
      <c r="K293" s="295">
        <f t="shared" si="68"/>
        <v>0</v>
      </c>
      <c r="L293" s="295">
        <f t="shared" si="68"/>
        <v>0</v>
      </c>
      <c r="M293" s="295">
        <f t="shared" si="68"/>
        <v>0</v>
      </c>
      <c r="N293" s="295">
        <f t="shared" si="68"/>
        <v>0</v>
      </c>
      <c r="O293" s="295">
        <f t="shared" si="68"/>
        <v>0</v>
      </c>
      <c r="P293" s="295">
        <f t="shared" si="68"/>
        <v>0</v>
      </c>
      <c r="Q293" s="295">
        <f t="shared" si="68"/>
        <v>0</v>
      </c>
      <c r="R293" s="295">
        <f t="shared" si="68"/>
        <v>0</v>
      </c>
      <c r="S293" s="295">
        <f t="shared" si="68"/>
        <v>0</v>
      </c>
      <c r="T293" s="295">
        <f t="shared" si="68"/>
        <v>0</v>
      </c>
      <c r="U293" s="295">
        <f t="shared" si="68"/>
        <v>0</v>
      </c>
      <c r="V293" s="295">
        <f t="shared" si="68"/>
        <v>0</v>
      </c>
      <c r="W293" s="295">
        <f t="shared" si="68"/>
        <v>0</v>
      </c>
      <c r="X293" s="295">
        <f t="shared" si="68"/>
        <v>0</v>
      </c>
      <c r="Y293" s="295">
        <f t="shared" si="68"/>
        <v>0</v>
      </c>
      <c r="Z293" s="295">
        <f t="shared" si="68"/>
        <v>0</v>
      </c>
      <c r="AA293" s="295">
        <f t="shared" si="68"/>
        <v>0</v>
      </c>
      <c r="AB293" s="295">
        <f t="shared" si="68"/>
        <v>0</v>
      </c>
      <c r="AC293" s="295">
        <f t="shared" si="68"/>
        <v>0</v>
      </c>
      <c r="AD293" s="295">
        <f t="shared" si="68"/>
        <v>0</v>
      </c>
      <c r="AE293" s="296">
        <f t="shared" si="68"/>
        <v>0</v>
      </c>
    </row>
    <row r="294" spans="1:31">
      <c r="A294" s="1711"/>
      <c r="B294" s="116">
        <v>6</v>
      </c>
      <c r="C294" s="294">
        <f t="shared" si="67"/>
        <v>16702</v>
      </c>
      <c r="D294" s="295">
        <f t="shared" si="69"/>
        <v>17977.190572036594</v>
      </c>
      <c r="E294" s="295">
        <f t="shared" si="68"/>
        <v>12490.147421824948</v>
      </c>
      <c r="F294" s="295">
        <f t="shared" si="68"/>
        <v>5158.950505292969</v>
      </c>
      <c r="G294" s="295">
        <f t="shared" si="68"/>
        <v>4150.2366103575341</v>
      </c>
      <c r="H294" s="295">
        <f t="shared" si="68"/>
        <v>3705.0116952722296</v>
      </c>
      <c r="I294" s="295">
        <f t="shared" si="68"/>
        <v>3298.1248414626884</v>
      </c>
      <c r="J294" s="295">
        <f t="shared" si="68"/>
        <v>0</v>
      </c>
      <c r="K294" s="295">
        <f t="shared" si="68"/>
        <v>0</v>
      </c>
      <c r="L294" s="295">
        <f t="shared" si="68"/>
        <v>0</v>
      </c>
      <c r="M294" s="295">
        <f t="shared" si="68"/>
        <v>0</v>
      </c>
      <c r="N294" s="295">
        <f t="shared" si="68"/>
        <v>0</v>
      </c>
      <c r="O294" s="295">
        <f t="shared" si="68"/>
        <v>0</v>
      </c>
      <c r="P294" s="295">
        <f t="shared" si="68"/>
        <v>0</v>
      </c>
      <c r="Q294" s="295">
        <f t="shared" si="68"/>
        <v>0</v>
      </c>
      <c r="R294" s="295">
        <f t="shared" si="68"/>
        <v>0</v>
      </c>
      <c r="S294" s="295">
        <f t="shared" si="68"/>
        <v>0</v>
      </c>
      <c r="T294" s="295">
        <f t="shared" si="68"/>
        <v>0</v>
      </c>
      <c r="U294" s="295">
        <f t="shared" si="68"/>
        <v>0</v>
      </c>
      <c r="V294" s="295">
        <f t="shared" si="68"/>
        <v>0</v>
      </c>
      <c r="W294" s="295">
        <f t="shared" si="68"/>
        <v>0</v>
      </c>
      <c r="X294" s="295">
        <f t="shared" si="68"/>
        <v>0</v>
      </c>
      <c r="Y294" s="295">
        <f t="shared" si="68"/>
        <v>0</v>
      </c>
      <c r="Z294" s="295">
        <f t="shared" si="68"/>
        <v>0</v>
      </c>
      <c r="AA294" s="295">
        <f t="shared" si="68"/>
        <v>0</v>
      </c>
      <c r="AB294" s="295">
        <f t="shared" si="68"/>
        <v>0</v>
      </c>
      <c r="AC294" s="295">
        <f t="shared" si="68"/>
        <v>0</v>
      </c>
      <c r="AD294" s="295">
        <f t="shared" si="68"/>
        <v>0</v>
      </c>
      <c r="AE294" s="296">
        <f t="shared" si="68"/>
        <v>0</v>
      </c>
    </row>
    <row r="295" spans="1:31">
      <c r="A295" s="1711"/>
      <c r="B295" s="116">
        <v>7</v>
      </c>
      <c r="C295" s="294">
        <f t="shared" si="67"/>
        <v>14598</v>
      </c>
      <c r="D295" s="295">
        <f t="shared" si="69"/>
        <v>15308.284737714937</v>
      </c>
      <c r="E295" s="295">
        <f t="shared" si="68"/>
        <v>16477.065744276173</v>
      </c>
      <c r="F295" s="295">
        <f t="shared" si="68"/>
        <v>11447.894452720178</v>
      </c>
      <c r="G295" s="295">
        <f t="shared" si="68"/>
        <v>4728.4566688302666</v>
      </c>
      <c r="H295" s="295">
        <f t="shared" si="68"/>
        <v>3803.9159238559459</v>
      </c>
      <c r="I295" s="295">
        <f t="shared" si="68"/>
        <v>3395.843251574136</v>
      </c>
      <c r="J295" s="295">
        <f t="shared" si="68"/>
        <v>3022.9094823159962</v>
      </c>
      <c r="K295" s="295">
        <f t="shared" si="68"/>
        <v>0</v>
      </c>
      <c r="L295" s="295">
        <f t="shared" si="68"/>
        <v>0</v>
      </c>
      <c r="M295" s="295">
        <f t="shared" si="68"/>
        <v>0</v>
      </c>
      <c r="N295" s="295">
        <f t="shared" si="68"/>
        <v>0</v>
      </c>
      <c r="O295" s="295">
        <f t="shared" si="68"/>
        <v>0</v>
      </c>
      <c r="P295" s="295">
        <f t="shared" si="68"/>
        <v>0</v>
      </c>
      <c r="Q295" s="295">
        <f t="shared" si="68"/>
        <v>0</v>
      </c>
      <c r="R295" s="295">
        <f t="shared" si="68"/>
        <v>0</v>
      </c>
      <c r="S295" s="295">
        <f t="shared" si="68"/>
        <v>0</v>
      </c>
      <c r="T295" s="295">
        <f t="shared" si="68"/>
        <v>0</v>
      </c>
      <c r="U295" s="295">
        <f t="shared" si="68"/>
        <v>0</v>
      </c>
      <c r="V295" s="295">
        <f t="shared" si="68"/>
        <v>0</v>
      </c>
      <c r="W295" s="295">
        <f t="shared" si="68"/>
        <v>0</v>
      </c>
      <c r="X295" s="295">
        <f t="shared" si="68"/>
        <v>0</v>
      </c>
      <c r="Y295" s="295">
        <f t="shared" si="68"/>
        <v>0</v>
      </c>
      <c r="Z295" s="295">
        <f t="shared" si="68"/>
        <v>0</v>
      </c>
      <c r="AA295" s="295">
        <f t="shared" si="68"/>
        <v>0</v>
      </c>
      <c r="AB295" s="295">
        <f t="shared" si="68"/>
        <v>0</v>
      </c>
      <c r="AC295" s="295">
        <f t="shared" si="68"/>
        <v>0</v>
      </c>
      <c r="AD295" s="295">
        <f t="shared" si="68"/>
        <v>0</v>
      </c>
      <c r="AE295" s="296">
        <f t="shared" si="68"/>
        <v>0</v>
      </c>
    </row>
    <row r="296" spans="1:31">
      <c r="A296" s="1711"/>
      <c r="B296" s="116">
        <v>8</v>
      </c>
      <c r="C296" s="294">
        <f t="shared" si="67"/>
        <v>9832</v>
      </c>
      <c r="D296" s="295">
        <f t="shared" si="69"/>
        <v>12788.221368919654</v>
      </c>
      <c r="E296" s="295">
        <f t="shared" si="68"/>
        <v>13410.448965909904</v>
      </c>
      <c r="F296" s="295">
        <f t="shared" si="68"/>
        <v>14434.331021238977</v>
      </c>
      <c r="G296" s="295">
        <f t="shared" si="68"/>
        <v>10028.648340143372</v>
      </c>
      <c r="H296" s="295">
        <f t="shared" si="68"/>
        <v>4142.2489802949622</v>
      </c>
      <c r="I296" s="295">
        <f t="shared" si="68"/>
        <v>3332.3276409801588</v>
      </c>
      <c r="J296" s="295">
        <f t="shared" si="68"/>
        <v>2974.8455429019023</v>
      </c>
      <c r="K296" s="295">
        <f t="shared" si="68"/>
        <v>2648.1460226101708</v>
      </c>
      <c r="L296" s="295">
        <f t="shared" si="68"/>
        <v>0</v>
      </c>
      <c r="M296" s="295">
        <f t="shared" si="68"/>
        <v>0</v>
      </c>
      <c r="N296" s="295">
        <f t="shared" si="68"/>
        <v>0</v>
      </c>
      <c r="O296" s="295">
        <f t="shared" si="68"/>
        <v>0</v>
      </c>
      <c r="P296" s="295">
        <f t="shared" si="68"/>
        <v>0</v>
      </c>
      <c r="Q296" s="295">
        <f t="shared" si="68"/>
        <v>0</v>
      </c>
      <c r="R296" s="295">
        <f t="shared" si="68"/>
        <v>0</v>
      </c>
      <c r="S296" s="295">
        <f t="shared" si="68"/>
        <v>0</v>
      </c>
      <c r="T296" s="295">
        <f t="shared" si="68"/>
        <v>0</v>
      </c>
      <c r="U296" s="295">
        <f t="shared" si="68"/>
        <v>0</v>
      </c>
      <c r="V296" s="295">
        <f t="shared" si="68"/>
        <v>0</v>
      </c>
      <c r="W296" s="295">
        <f t="shared" si="68"/>
        <v>0</v>
      </c>
      <c r="X296" s="295">
        <f t="shared" si="68"/>
        <v>0</v>
      </c>
      <c r="Y296" s="295">
        <f t="shared" si="68"/>
        <v>0</v>
      </c>
      <c r="Z296" s="295">
        <f t="shared" si="68"/>
        <v>0</v>
      </c>
      <c r="AA296" s="295">
        <f t="shared" si="68"/>
        <v>0</v>
      </c>
      <c r="AB296" s="295">
        <f t="shared" si="68"/>
        <v>0</v>
      </c>
      <c r="AC296" s="295">
        <f t="shared" si="68"/>
        <v>0</v>
      </c>
      <c r="AD296" s="295">
        <f t="shared" si="68"/>
        <v>0</v>
      </c>
      <c r="AE296" s="296">
        <f t="shared" si="68"/>
        <v>0</v>
      </c>
    </row>
    <row r="297" spans="1:31">
      <c r="A297" s="1711"/>
      <c r="B297" s="116">
        <v>9</v>
      </c>
      <c r="C297" s="294">
        <f t="shared" si="67"/>
        <v>9794</v>
      </c>
      <c r="D297" s="295">
        <f t="shared" si="69"/>
        <v>8082.2985115883994</v>
      </c>
      <c r="E297" s="295">
        <f t="shared" si="68"/>
        <v>10512.431096001046</v>
      </c>
      <c r="F297" s="295">
        <f t="shared" si="68"/>
        <v>11023.927147773169</v>
      </c>
      <c r="G297" s="295">
        <f t="shared" si="68"/>
        <v>11865.599280790688</v>
      </c>
      <c r="H297" s="295">
        <f t="shared" si="68"/>
        <v>8243.9513377526691</v>
      </c>
      <c r="I297" s="295">
        <f t="shared" si="68"/>
        <v>3405.0948706332933</v>
      </c>
      <c r="J297" s="295">
        <f t="shared" si="68"/>
        <v>2739.3070314095626</v>
      </c>
      <c r="K297" s="295">
        <f t="shared" si="68"/>
        <v>2445.4424027259388</v>
      </c>
      <c r="L297" s="295">
        <f t="shared" si="68"/>
        <v>2176.882288141876</v>
      </c>
      <c r="M297" s="295">
        <f t="shared" si="68"/>
        <v>0</v>
      </c>
      <c r="N297" s="295">
        <f t="shared" si="68"/>
        <v>0</v>
      </c>
      <c r="O297" s="295">
        <f t="shared" si="68"/>
        <v>0</v>
      </c>
      <c r="P297" s="295">
        <f t="shared" si="68"/>
        <v>0</v>
      </c>
      <c r="Q297" s="295">
        <f t="shared" si="68"/>
        <v>0</v>
      </c>
      <c r="R297" s="295">
        <f t="shared" si="68"/>
        <v>0</v>
      </c>
      <c r="S297" s="295">
        <f t="shared" si="68"/>
        <v>0</v>
      </c>
      <c r="T297" s="295">
        <f t="shared" si="68"/>
        <v>0</v>
      </c>
      <c r="U297" s="295">
        <f t="shared" si="68"/>
        <v>0</v>
      </c>
      <c r="V297" s="295">
        <f t="shared" si="68"/>
        <v>0</v>
      </c>
      <c r="W297" s="295">
        <f t="shared" si="68"/>
        <v>0</v>
      </c>
      <c r="X297" s="295">
        <f t="shared" si="68"/>
        <v>0</v>
      </c>
      <c r="Y297" s="295">
        <f t="shared" si="68"/>
        <v>0</v>
      </c>
      <c r="Z297" s="295">
        <f t="shared" si="68"/>
        <v>0</v>
      </c>
      <c r="AA297" s="295">
        <f t="shared" si="68"/>
        <v>0</v>
      </c>
      <c r="AB297" s="295">
        <f t="shared" si="68"/>
        <v>0</v>
      </c>
      <c r="AC297" s="295">
        <f t="shared" si="68"/>
        <v>0</v>
      </c>
      <c r="AD297" s="295">
        <f t="shared" si="68"/>
        <v>0</v>
      </c>
      <c r="AE297" s="296">
        <f t="shared" si="68"/>
        <v>0</v>
      </c>
    </row>
    <row r="298" spans="1:31">
      <c r="A298" s="1711"/>
      <c r="B298" s="116">
        <v>10</v>
      </c>
      <c r="C298" s="294">
        <f t="shared" si="67"/>
        <v>7735</v>
      </c>
      <c r="D298" s="295">
        <f t="shared" si="69"/>
        <v>7544.1707378220935</v>
      </c>
      <c r="E298" s="295">
        <f t="shared" si="68"/>
        <v>6225.6728533253281</v>
      </c>
      <c r="F298" s="295">
        <f t="shared" si="68"/>
        <v>8097.5673941006871</v>
      </c>
      <c r="G298" s="295">
        <f t="shared" si="68"/>
        <v>8491.5651015022377</v>
      </c>
      <c r="H298" s="295">
        <f t="shared" si="68"/>
        <v>9139.8924730308336</v>
      </c>
      <c r="I298" s="295">
        <f t="shared" si="68"/>
        <v>6350.1915914134152</v>
      </c>
      <c r="J298" s="295">
        <f t="shared" si="68"/>
        <v>2622.8933104492339</v>
      </c>
      <c r="K298" s="295">
        <f t="shared" si="68"/>
        <v>2110.0469622493697</v>
      </c>
      <c r="L298" s="295">
        <f t="shared" si="68"/>
        <v>1883.6874633116581</v>
      </c>
      <c r="M298" s="295">
        <f t="shared" si="68"/>
        <v>1676.8196505904782</v>
      </c>
      <c r="N298" s="295">
        <f t="shared" si="68"/>
        <v>0</v>
      </c>
      <c r="O298" s="295">
        <f t="shared" si="68"/>
        <v>0</v>
      </c>
      <c r="P298" s="295">
        <f t="shared" si="68"/>
        <v>0</v>
      </c>
      <c r="Q298" s="295">
        <f t="shared" si="68"/>
        <v>0</v>
      </c>
      <c r="R298" s="295">
        <f t="shared" si="68"/>
        <v>0</v>
      </c>
      <c r="S298" s="295">
        <f t="shared" si="68"/>
        <v>0</v>
      </c>
      <c r="T298" s="295">
        <f t="shared" si="68"/>
        <v>0</v>
      </c>
      <c r="U298" s="295">
        <f t="shared" si="68"/>
        <v>0</v>
      </c>
      <c r="V298" s="295">
        <f t="shared" si="68"/>
        <v>0</v>
      </c>
      <c r="W298" s="295">
        <f t="shared" si="68"/>
        <v>0</v>
      </c>
      <c r="X298" s="295">
        <f t="shared" si="68"/>
        <v>0</v>
      </c>
      <c r="Y298" s="295">
        <f t="shared" si="68"/>
        <v>0</v>
      </c>
      <c r="Z298" s="295">
        <f t="shared" si="68"/>
        <v>0</v>
      </c>
      <c r="AA298" s="295">
        <f t="shared" si="68"/>
        <v>0</v>
      </c>
      <c r="AB298" s="295">
        <f t="shared" si="68"/>
        <v>0</v>
      </c>
      <c r="AC298" s="295">
        <f t="shared" si="68"/>
        <v>0</v>
      </c>
      <c r="AD298" s="295">
        <f t="shared" si="68"/>
        <v>0</v>
      </c>
      <c r="AE298" s="296">
        <f t="shared" si="68"/>
        <v>0</v>
      </c>
    </row>
    <row r="299" spans="1:31">
      <c r="A299" s="1711"/>
      <c r="B299" s="116">
        <v>11</v>
      </c>
      <c r="C299" s="294">
        <f t="shared" si="67"/>
        <v>6042</v>
      </c>
      <c r="D299" s="295">
        <f t="shared" si="69"/>
        <v>5478.8074952120196</v>
      </c>
      <c r="E299" s="295">
        <f t="shared" si="69"/>
        <v>5343.6404891452976</v>
      </c>
      <c r="F299" s="295">
        <f t="shared" si="69"/>
        <v>4409.7301992937055</v>
      </c>
      <c r="G299" s="295">
        <f t="shared" si="69"/>
        <v>5735.618995705664</v>
      </c>
      <c r="H299" s="295">
        <f t="shared" si="69"/>
        <v>6014.6930218734678</v>
      </c>
      <c r="I299" s="295">
        <f t="shared" si="69"/>
        <v>6473.912267184648</v>
      </c>
      <c r="J299" s="295">
        <f t="shared" si="69"/>
        <v>4497.9285439002151</v>
      </c>
      <c r="K299" s="295">
        <f t="shared" si="69"/>
        <v>1857.8316132424991</v>
      </c>
      <c r="L299" s="295">
        <f t="shared" si="69"/>
        <v>1494.5754508107564</v>
      </c>
      <c r="M299" s="295">
        <f t="shared" si="69"/>
        <v>1334.2418865712773</v>
      </c>
      <c r="N299" s="295">
        <f t="shared" si="69"/>
        <v>1187.7145532997947</v>
      </c>
      <c r="O299" s="295">
        <f t="shared" si="69"/>
        <v>0</v>
      </c>
      <c r="P299" s="295">
        <f t="shared" si="69"/>
        <v>0</v>
      </c>
      <c r="Q299" s="295">
        <f t="shared" si="69"/>
        <v>0</v>
      </c>
      <c r="R299" s="295">
        <f t="shared" si="69"/>
        <v>0</v>
      </c>
      <c r="S299" s="295">
        <f t="shared" si="69"/>
        <v>0</v>
      </c>
      <c r="T299" s="295">
        <f t="shared" ref="E299:AE308" si="70">S298*$E39</f>
        <v>0</v>
      </c>
      <c r="U299" s="295">
        <f t="shared" si="70"/>
        <v>0</v>
      </c>
      <c r="V299" s="295">
        <f t="shared" si="70"/>
        <v>0</v>
      </c>
      <c r="W299" s="295">
        <f t="shared" si="70"/>
        <v>0</v>
      </c>
      <c r="X299" s="295">
        <f t="shared" si="70"/>
        <v>0</v>
      </c>
      <c r="Y299" s="295">
        <f t="shared" si="70"/>
        <v>0</v>
      </c>
      <c r="Z299" s="295">
        <f t="shared" si="70"/>
        <v>0</v>
      </c>
      <c r="AA299" s="295">
        <f t="shared" si="70"/>
        <v>0</v>
      </c>
      <c r="AB299" s="295">
        <f t="shared" si="70"/>
        <v>0</v>
      </c>
      <c r="AC299" s="295">
        <f t="shared" si="70"/>
        <v>0</v>
      </c>
      <c r="AD299" s="295">
        <f t="shared" si="70"/>
        <v>0</v>
      </c>
      <c r="AE299" s="296">
        <f t="shared" si="70"/>
        <v>0</v>
      </c>
    </row>
    <row r="300" spans="1:31">
      <c r="A300" s="1711"/>
      <c r="B300" s="116">
        <v>12</v>
      </c>
      <c r="C300" s="294">
        <f t="shared" si="67"/>
        <v>4941</v>
      </c>
      <c r="D300" s="295">
        <f t="shared" si="69"/>
        <v>3822.8254686375367</v>
      </c>
      <c r="E300" s="295">
        <f t="shared" si="70"/>
        <v>3466.4887173880734</v>
      </c>
      <c r="F300" s="295">
        <f t="shared" si="70"/>
        <v>3380.9673878098956</v>
      </c>
      <c r="G300" s="295">
        <f t="shared" si="70"/>
        <v>2790.0742991857096</v>
      </c>
      <c r="H300" s="295">
        <f t="shared" si="70"/>
        <v>3628.9755668958728</v>
      </c>
      <c r="I300" s="295">
        <f t="shared" si="70"/>
        <v>3805.5481082513015</v>
      </c>
      <c r="J300" s="295">
        <f t="shared" si="70"/>
        <v>4096.1000822109318</v>
      </c>
      <c r="K300" s="295">
        <f t="shared" si="70"/>
        <v>2845.8781518923361</v>
      </c>
      <c r="L300" s="295">
        <f t="shared" si="70"/>
        <v>1175.4660720859629</v>
      </c>
      <c r="M300" s="295">
        <f t="shared" si="70"/>
        <v>945.63076765305982</v>
      </c>
      <c r="N300" s="295">
        <f t="shared" si="70"/>
        <v>844.18633983907228</v>
      </c>
      <c r="O300" s="295">
        <f t="shared" si="70"/>
        <v>751.47723333762178</v>
      </c>
      <c r="P300" s="295">
        <f t="shared" si="70"/>
        <v>0</v>
      </c>
      <c r="Q300" s="295">
        <f t="shared" si="70"/>
        <v>0</v>
      </c>
      <c r="R300" s="295">
        <f t="shared" si="70"/>
        <v>0</v>
      </c>
      <c r="S300" s="295">
        <f t="shared" si="70"/>
        <v>0</v>
      </c>
      <c r="T300" s="295">
        <f t="shared" si="70"/>
        <v>0</v>
      </c>
      <c r="U300" s="295">
        <f t="shared" si="70"/>
        <v>0</v>
      </c>
      <c r="V300" s="295">
        <f t="shared" si="70"/>
        <v>0</v>
      </c>
      <c r="W300" s="295">
        <f t="shared" si="70"/>
        <v>0</v>
      </c>
      <c r="X300" s="295">
        <f t="shared" si="70"/>
        <v>0</v>
      </c>
      <c r="Y300" s="295">
        <f t="shared" si="70"/>
        <v>0</v>
      </c>
      <c r="Z300" s="295">
        <f t="shared" si="70"/>
        <v>0</v>
      </c>
      <c r="AA300" s="295">
        <f t="shared" si="70"/>
        <v>0</v>
      </c>
      <c r="AB300" s="295">
        <f t="shared" si="70"/>
        <v>0</v>
      </c>
      <c r="AC300" s="295">
        <f t="shared" si="70"/>
        <v>0</v>
      </c>
      <c r="AD300" s="295">
        <f t="shared" si="70"/>
        <v>0</v>
      </c>
      <c r="AE300" s="296">
        <f t="shared" si="70"/>
        <v>0</v>
      </c>
    </row>
    <row r="301" spans="1:31">
      <c r="A301" s="1711"/>
      <c r="B301" s="116">
        <v>13</v>
      </c>
      <c r="C301" s="294">
        <f t="shared" si="67"/>
        <v>3506</v>
      </c>
      <c r="D301" s="295">
        <f t="shared" si="69"/>
        <v>2772.3869848642457</v>
      </c>
      <c r="E301" s="295">
        <f t="shared" si="70"/>
        <v>2144.9810918150715</v>
      </c>
      <c r="F301" s="295">
        <f t="shared" si="70"/>
        <v>1945.0411259391717</v>
      </c>
      <c r="G301" s="295">
        <f t="shared" si="70"/>
        <v>1897.0552483737345</v>
      </c>
      <c r="H301" s="295">
        <f t="shared" si="70"/>
        <v>1565.5061068339796</v>
      </c>
      <c r="I301" s="295">
        <f t="shared" si="70"/>
        <v>2036.2122303283679</v>
      </c>
      <c r="J301" s="295">
        <f t="shared" si="70"/>
        <v>2135.2867932788222</v>
      </c>
      <c r="K301" s="295">
        <f t="shared" si="70"/>
        <v>2298.315028662812</v>
      </c>
      <c r="L301" s="295">
        <f t="shared" si="70"/>
        <v>1596.8175569349983</v>
      </c>
      <c r="M301" s="295">
        <f t="shared" si="70"/>
        <v>659.5520824530704</v>
      </c>
      <c r="N301" s="295">
        <f t="shared" si="70"/>
        <v>530.59187061901014</v>
      </c>
      <c r="O301" s="295">
        <f t="shared" si="70"/>
        <v>473.67156878567681</v>
      </c>
      <c r="P301" s="295">
        <f t="shared" si="70"/>
        <v>421.65264139385039</v>
      </c>
      <c r="Q301" s="295">
        <f t="shared" si="70"/>
        <v>0</v>
      </c>
      <c r="R301" s="295">
        <f t="shared" si="70"/>
        <v>0</v>
      </c>
      <c r="S301" s="295">
        <f t="shared" si="70"/>
        <v>0</v>
      </c>
      <c r="T301" s="295">
        <f t="shared" si="70"/>
        <v>0</v>
      </c>
      <c r="U301" s="295">
        <f t="shared" si="70"/>
        <v>0</v>
      </c>
      <c r="V301" s="295">
        <f t="shared" si="70"/>
        <v>0</v>
      </c>
      <c r="W301" s="295">
        <f t="shared" si="70"/>
        <v>0</v>
      </c>
      <c r="X301" s="295">
        <f t="shared" si="70"/>
        <v>0</v>
      </c>
      <c r="Y301" s="295">
        <f t="shared" si="70"/>
        <v>0</v>
      </c>
      <c r="Z301" s="295">
        <f t="shared" si="70"/>
        <v>0</v>
      </c>
      <c r="AA301" s="295">
        <f t="shared" si="70"/>
        <v>0</v>
      </c>
      <c r="AB301" s="295">
        <f t="shared" si="70"/>
        <v>0</v>
      </c>
      <c r="AC301" s="295">
        <f t="shared" si="70"/>
        <v>0</v>
      </c>
      <c r="AD301" s="295">
        <f t="shared" si="70"/>
        <v>0</v>
      </c>
      <c r="AE301" s="296">
        <f t="shared" si="70"/>
        <v>0</v>
      </c>
    </row>
    <row r="302" spans="1:31">
      <c r="A302" s="1711"/>
      <c r="B302" s="116">
        <v>14</v>
      </c>
      <c r="C302" s="294">
        <f t="shared" si="67"/>
        <v>3031</v>
      </c>
      <c r="D302" s="295">
        <f t="shared" si="69"/>
        <v>1725.1583837059179</v>
      </c>
      <c r="E302" s="295">
        <f t="shared" si="70"/>
        <v>1364.177595497925</v>
      </c>
      <c r="F302" s="295">
        <f t="shared" si="70"/>
        <v>1055.4569633301323</v>
      </c>
      <c r="G302" s="295">
        <f t="shared" si="70"/>
        <v>957.07473048110671</v>
      </c>
      <c r="H302" s="295">
        <f t="shared" si="70"/>
        <v>933.46285398895054</v>
      </c>
      <c r="I302" s="295">
        <f t="shared" si="70"/>
        <v>770.32115942597045</v>
      </c>
      <c r="J302" s="295">
        <f t="shared" si="70"/>
        <v>1001.936280706078</v>
      </c>
      <c r="K302" s="295">
        <f t="shared" si="70"/>
        <v>1050.6867977870752</v>
      </c>
      <c r="L302" s="295">
        <f t="shared" si="70"/>
        <v>1130.9062863933136</v>
      </c>
      <c r="M302" s="295">
        <f t="shared" si="70"/>
        <v>785.72823605111648</v>
      </c>
      <c r="N302" s="295">
        <f t="shared" si="70"/>
        <v>324.53844966760164</v>
      </c>
      <c r="O302" s="295">
        <f t="shared" si="70"/>
        <v>261.08243409144069</v>
      </c>
      <c r="P302" s="295">
        <f t="shared" si="70"/>
        <v>233.07429492690952</v>
      </c>
      <c r="Q302" s="295">
        <f t="shared" si="70"/>
        <v>207.47792051122246</v>
      </c>
      <c r="R302" s="295">
        <f t="shared" si="70"/>
        <v>0</v>
      </c>
      <c r="S302" s="295">
        <f t="shared" si="70"/>
        <v>0</v>
      </c>
      <c r="T302" s="295">
        <f t="shared" si="70"/>
        <v>0</v>
      </c>
      <c r="U302" s="295">
        <f t="shared" si="70"/>
        <v>0</v>
      </c>
      <c r="V302" s="295">
        <f t="shared" si="70"/>
        <v>0</v>
      </c>
      <c r="W302" s="295">
        <f t="shared" si="70"/>
        <v>0</v>
      </c>
      <c r="X302" s="295">
        <f t="shared" si="70"/>
        <v>0</v>
      </c>
      <c r="Y302" s="295">
        <f t="shared" si="70"/>
        <v>0</v>
      </c>
      <c r="Z302" s="295">
        <f t="shared" si="70"/>
        <v>0</v>
      </c>
      <c r="AA302" s="295">
        <f t="shared" si="70"/>
        <v>0</v>
      </c>
      <c r="AB302" s="295">
        <f t="shared" si="70"/>
        <v>0</v>
      </c>
      <c r="AC302" s="295">
        <f t="shared" si="70"/>
        <v>0</v>
      </c>
      <c r="AD302" s="295">
        <f t="shared" si="70"/>
        <v>0</v>
      </c>
      <c r="AE302" s="296">
        <f t="shared" si="70"/>
        <v>0</v>
      </c>
    </row>
    <row r="303" spans="1:31">
      <c r="A303" s="1711"/>
      <c r="B303" s="116">
        <v>15</v>
      </c>
      <c r="C303" s="294">
        <f t="shared" si="67"/>
        <v>1715</v>
      </c>
      <c r="D303" s="295">
        <f t="shared" si="69"/>
        <v>1331.7507319756689</v>
      </c>
      <c r="E303" s="295">
        <f t="shared" si="70"/>
        <v>757.99437158506043</v>
      </c>
      <c r="F303" s="295">
        <f t="shared" si="70"/>
        <v>599.38782954443082</v>
      </c>
      <c r="G303" s="295">
        <f t="shared" si="70"/>
        <v>463.74318161785567</v>
      </c>
      <c r="H303" s="295">
        <f t="shared" si="70"/>
        <v>420.51632229417021</v>
      </c>
      <c r="I303" s="295">
        <f t="shared" si="70"/>
        <v>410.14181427643746</v>
      </c>
      <c r="J303" s="295">
        <f t="shared" si="70"/>
        <v>338.46115734803107</v>
      </c>
      <c r="K303" s="295">
        <f t="shared" si="70"/>
        <v>440.22744151214079</v>
      </c>
      <c r="L303" s="295">
        <f t="shared" si="70"/>
        <v>461.64728209505409</v>
      </c>
      <c r="M303" s="295">
        <f t="shared" si="70"/>
        <v>496.89385506439487</v>
      </c>
      <c r="N303" s="295">
        <f t="shared" si="70"/>
        <v>345.23066759981049</v>
      </c>
      <c r="O303" s="295">
        <f t="shared" si="70"/>
        <v>142.5946281422228</v>
      </c>
      <c r="P303" s="295">
        <f t="shared" si="70"/>
        <v>114.7135343804901</v>
      </c>
      <c r="Q303" s="295">
        <f t="shared" si="70"/>
        <v>102.40741104375608</v>
      </c>
      <c r="R303" s="295">
        <f t="shared" si="70"/>
        <v>91.160960907162703</v>
      </c>
      <c r="S303" s="295">
        <f t="shared" si="70"/>
        <v>0</v>
      </c>
      <c r="T303" s="295">
        <f t="shared" si="70"/>
        <v>0</v>
      </c>
      <c r="U303" s="295">
        <f t="shared" si="70"/>
        <v>0</v>
      </c>
      <c r="V303" s="295">
        <f t="shared" si="70"/>
        <v>0</v>
      </c>
      <c r="W303" s="295">
        <f t="shared" si="70"/>
        <v>0</v>
      </c>
      <c r="X303" s="295">
        <f t="shared" si="70"/>
        <v>0</v>
      </c>
      <c r="Y303" s="295">
        <f t="shared" si="70"/>
        <v>0</v>
      </c>
      <c r="Z303" s="295">
        <f t="shared" si="70"/>
        <v>0</v>
      </c>
      <c r="AA303" s="295">
        <f t="shared" si="70"/>
        <v>0</v>
      </c>
      <c r="AB303" s="295">
        <f t="shared" si="70"/>
        <v>0</v>
      </c>
      <c r="AC303" s="295">
        <f t="shared" si="70"/>
        <v>0</v>
      </c>
      <c r="AD303" s="295">
        <f t="shared" si="70"/>
        <v>0</v>
      </c>
      <c r="AE303" s="296">
        <f t="shared" si="70"/>
        <v>0</v>
      </c>
    </row>
    <row r="304" spans="1:31">
      <c r="A304" s="1711"/>
      <c r="B304" s="116">
        <v>16</v>
      </c>
      <c r="C304" s="294">
        <f t="shared" si="67"/>
        <v>890</v>
      </c>
      <c r="D304" s="295">
        <f t="shared" si="69"/>
        <v>678.17791316543878</v>
      </c>
      <c r="E304" s="295">
        <f t="shared" si="70"/>
        <v>526.62619957306401</v>
      </c>
      <c r="F304" s="295">
        <f t="shared" si="70"/>
        <v>299.74054875376356</v>
      </c>
      <c r="G304" s="295">
        <f t="shared" si="70"/>
        <v>237.02133377096433</v>
      </c>
      <c r="H304" s="295">
        <f t="shared" si="70"/>
        <v>183.38214761183582</v>
      </c>
      <c r="I304" s="295">
        <f t="shared" si="70"/>
        <v>166.28856087782242</v>
      </c>
      <c r="J304" s="295">
        <f t="shared" si="70"/>
        <v>162.18607563141768</v>
      </c>
      <c r="K304" s="295">
        <f t="shared" si="70"/>
        <v>133.84074715909443</v>
      </c>
      <c r="L304" s="295">
        <f t="shared" si="70"/>
        <v>174.08310647397312</v>
      </c>
      <c r="M304" s="295">
        <f t="shared" si="70"/>
        <v>182.55334716601774</v>
      </c>
      <c r="N304" s="295">
        <f t="shared" si="70"/>
        <v>196.49121731329524</v>
      </c>
      <c r="O304" s="295">
        <f t="shared" si="70"/>
        <v>136.51767563472347</v>
      </c>
      <c r="P304" s="295">
        <f t="shared" si="70"/>
        <v>56.387479499763508</v>
      </c>
      <c r="Q304" s="295">
        <f t="shared" si="70"/>
        <v>45.362207205826586</v>
      </c>
      <c r="R304" s="295">
        <f t="shared" si="70"/>
        <v>40.495885897568407</v>
      </c>
      <c r="S304" s="295">
        <f t="shared" si="70"/>
        <v>36.048600717303643</v>
      </c>
      <c r="T304" s="295">
        <f t="shared" si="70"/>
        <v>0</v>
      </c>
      <c r="U304" s="295">
        <f t="shared" si="70"/>
        <v>0</v>
      </c>
      <c r="V304" s="295">
        <f t="shared" si="70"/>
        <v>0</v>
      </c>
      <c r="W304" s="295">
        <f t="shared" si="70"/>
        <v>0</v>
      </c>
      <c r="X304" s="295">
        <f t="shared" si="70"/>
        <v>0</v>
      </c>
      <c r="Y304" s="295">
        <f t="shared" si="70"/>
        <v>0</v>
      </c>
      <c r="Z304" s="295">
        <f t="shared" si="70"/>
        <v>0</v>
      </c>
      <c r="AA304" s="295">
        <f t="shared" si="70"/>
        <v>0</v>
      </c>
      <c r="AB304" s="295">
        <f t="shared" si="70"/>
        <v>0</v>
      </c>
      <c r="AC304" s="295">
        <f t="shared" si="70"/>
        <v>0</v>
      </c>
      <c r="AD304" s="295">
        <f t="shared" si="70"/>
        <v>0</v>
      </c>
      <c r="AE304" s="296">
        <f t="shared" si="70"/>
        <v>0</v>
      </c>
    </row>
    <row r="305" spans="1:31">
      <c r="A305" s="1711"/>
      <c r="B305" s="116">
        <v>17</v>
      </c>
      <c r="C305" s="294">
        <f t="shared" si="67"/>
        <v>599</v>
      </c>
      <c r="D305" s="295">
        <f t="shared" si="69"/>
        <v>312.83619965908161</v>
      </c>
      <c r="E305" s="295">
        <f t="shared" si="70"/>
        <v>238.380450615059</v>
      </c>
      <c r="F305" s="295">
        <f t="shared" si="70"/>
        <v>185.10981900600271</v>
      </c>
      <c r="G305" s="295">
        <f t="shared" si="70"/>
        <v>105.35920691669108</v>
      </c>
      <c r="H305" s="295">
        <f t="shared" si="70"/>
        <v>83.313318309028332</v>
      </c>
      <c r="I305" s="295">
        <f t="shared" si="70"/>
        <v>64.459072072143201</v>
      </c>
      <c r="J305" s="295">
        <f t="shared" si="70"/>
        <v>58.45065329415258</v>
      </c>
      <c r="K305" s="295">
        <f t="shared" si="70"/>
        <v>57.008624200172008</v>
      </c>
      <c r="L305" s="295">
        <f t="shared" si="70"/>
        <v>47.045203034587779</v>
      </c>
      <c r="M305" s="295">
        <f t="shared" si="70"/>
        <v>61.190446577713502</v>
      </c>
      <c r="N305" s="295">
        <f t="shared" si="70"/>
        <v>64.167747598271873</v>
      </c>
      <c r="O305" s="295">
        <f t="shared" si="70"/>
        <v>69.066927742334855</v>
      </c>
      <c r="P305" s="295">
        <f t="shared" si="70"/>
        <v>47.986147002087741</v>
      </c>
      <c r="Q305" s="295">
        <f t="shared" si="70"/>
        <v>19.820275050629647</v>
      </c>
      <c r="R305" s="295">
        <f t="shared" si="70"/>
        <v>15.944876977998423</v>
      </c>
      <c r="S305" s="295">
        <f t="shared" si="70"/>
        <v>14.234358478677636</v>
      </c>
      <c r="T305" s="295">
        <f t="shared" si="70"/>
        <v>12.671131743178556</v>
      </c>
      <c r="U305" s="295">
        <f t="shared" si="70"/>
        <v>0</v>
      </c>
      <c r="V305" s="295">
        <f t="shared" si="70"/>
        <v>0</v>
      </c>
      <c r="W305" s="295">
        <f t="shared" si="70"/>
        <v>0</v>
      </c>
      <c r="X305" s="295">
        <f t="shared" si="70"/>
        <v>0</v>
      </c>
      <c r="Y305" s="295">
        <f t="shared" si="70"/>
        <v>0</v>
      </c>
      <c r="Z305" s="295">
        <f t="shared" si="70"/>
        <v>0</v>
      </c>
      <c r="AA305" s="295">
        <f t="shared" si="70"/>
        <v>0</v>
      </c>
      <c r="AB305" s="295">
        <f t="shared" si="70"/>
        <v>0</v>
      </c>
      <c r="AC305" s="295">
        <f t="shared" si="70"/>
        <v>0</v>
      </c>
      <c r="AD305" s="295">
        <f t="shared" si="70"/>
        <v>0</v>
      </c>
      <c r="AE305" s="296">
        <f t="shared" si="70"/>
        <v>0</v>
      </c>
    </row>
    <row r="306" spans="1:31">
      <c r="A306" s="1711"/>
      <c r="B306" s="116">
        <v>18</v>
      </c>
      <c r="C306" s="294">
        <f t="shared" si="67"/>
        <v>343</v>
      </c>
      <c r="D306" s="295">
        <f t="shared" ref="D306:S313" si="71">C305*$E46</f>
        <v>184.23064398462489</v>
      </c>
      <c r="E306" s="295">
        <f t="shared" si="70"/>
        <v>96.217052629207501</v>
      </c>
      <c r="F306" s="295">
        <f t="shared" si="70"/>
        <v>73.317168497758573</v>
      </c>
      <c r="G306" s="295">
        <f t="shared" si="70"/>
        <v>56.933057033978685</v>
      </c>
      <c r="H306" s="295">
        <f t="shared" si="70"/>
        <v>32.404665342189219</v>
      </c>
      <c r="I306" s="295">
        <f t="shared" si="70"/>
        <v>25.624150725489699</v>
      </c>
      <c r="J306" s="295">
        <f t="shared" si="70"/>
        <v>19.82526937980349</v>
      </c>
      <c r="K306" s="295">
        <f t="shared" si="70"/>
        <v>17.977297992827655</v>
      </c>
      <c r="L306" s="295">
        <f t="shared" si="70"/>
        <v>17.533782218823305</v>
      </c>
      <c r="M306" s="295">
        <f t="shared" si="70"/>
        <v>14.469395745324766</v>
      </c>
      <c r="N306" s="295">
        <f t="shared" si="70"/>
        <v>18.81995889602495</v>
      </c>
      <c r="O306" s="295">
        <f t="shared" si="70"/>
        <v>19.73566855270867</v>
      </c>
      <c r="P306" s="295">
        <f t="shared" si="70"/>
        <v>21.2424784240566</v>
      </c>
      <c r="Q306" s="295">
        <f t="shared" si="70"/>
        <v>14.758795934116028</v>
      </c>
      <c r="R306" s="295">
        <f t="shared" si="70"/>
        <v>6.0959967220866336</v>
      </c>
      <c r="S306" s="295">
        <f t="shared" si="70"/>
        <v>4.9040650315730696</v>
      </c>
      <c r="T306" s="295">
        <f t="shared" si="70"/>
        <v>4.3779716681715968</v>
      </c>
      <c r="U306" s="295">
        <f t="shared" si="70"/>
        <v>3.8971799016023505</v>
      </c>
      <c r="V306" s="295">
        <f t="shared" si="70"/>
        <v>0</v>
      </c>
      <c r="W306" s="295">
        <f t="shared" si="70"/>
        <v>0</v>
      </c>
      <c r="X306" s="295">
        <f t="shared" si="70"/>
        <v>0</v>
      </c>
      <c r="Y306" s="295">
        <f t="shared" si="70"/>
        <v>0</v>
      </c>
      <c r="Z306" s="295">
        <f t="shared" si="70"/>
        <v>0</v>
      </c>
      <c r="AA306" s="295">
        <f t="shared" si="70"/>
        <v>0</v>
      </c>
      <c r="AB306" s="295">
        <f t="shared" si="70"/>
        <v>0</v>
      </c>
      <c r="AC306" s="295">
        <f t="shared" si="70"/>
        <v>0</v>
      </c>
      <c r="AD306" s="295">
        <f t="shared" si="70"/>
        <v>0</v>
      </c>
      <c r="AE306" s="296">
        <f t="shared" si="70"/>
        <v>0</v>
      </c>
    </row>
    <row r="307" spans="1:31">
      <c r="A307" s="1711"/>
      <c r="B307" s="116">
        <v>19</v>
      </c>
      <c r="C307" s="294">
        <f t="shared" ref="C307:C313" si="72">(EXP(18-B307)*$V$47/(EXP(-1)+EXP(-2)+EXP(-3)+EXP(-4)+EXP(-5)+EXP(-6)+EXP(-7)+EXP(-8)+EXP(-9)+EXP(-10)))</f>
        <v>341.99274877302327</v>
      </c>
      <c r="D307" s="295">
        <f t="shared" si="71"/>
        <v>90.423721755391853</v>
      </c>
      <c r="E307" s="295">
        <f t="shared" si="70"/>
        <v>48.567989768170193</v>
      </c>
      <c r="F307" s="295">
        <f t="shared" si="70"/>
        <v>25.365317769875663</v>
      </c>
      <c r="G307" s="295">
        <f t="shared" si="70"/>
        <v>19.328312665115167</v>
      </c>
      <c r="H307" s="295">
        <f t="shared" si="70"/>
        <v>15.009034716980592</v>
      </c>
      <c r="I307" s="295">
        <f t="shared" si="70"/>
        <v>8.5427126602877763</v>
      </c>
      <c r="J307" s="295">
        <f t="shared" si="70"/>
        <v>6.755192639708171</v>
      </c>
      <c r="K307" s="295">
        <f t="shared" si="70"/>
        <v>5.2264566825802934</v>
      </c>
      <c r="L307" s="295">
        <f t="shared" si="70"/>
        <v>4.7392833574845836</v>
      </c>
      <c r="M307" s="295">
        <f t="shared" si="70"/>
        <v>4.6223610631910077</v>
      </c>
      <c r="N307" s="295">
        <f t="shared" si="70"/>
        <v>3.8145090811775431</v>
      </c>
      <c r="O307" s="295">
        <f t="shared" si="70"/>
        <v>4.9614306899768854</v>
      </c>
      <c r="P307" s="295">
        <f t="shared" si="70"/>
        <v>5.2028355739555856</v>
      </c>
      <c r="Q307" s="295">
        <f t="shared" si="70"/>
        <v>5.6000698495971095</v>
      </c>
      <c r="R307" s="295">
        <f t="shared" si="70"/>
        <v>3.8908024985163738</v>
      </c>
      <c r="S307" s="295">
        <f t="shared" si="70"/>
        <v>1.6070632985998323</v>
      </c>
      <c r="T307" s="295">
        <f t="shared" si="70"/>
        <v>1.2928391017064438</v>
      </c>
      <c r="U307" s="295">
        <f t="shared" si="70"/>
        <v>1.1541472069263474</v>
      </c>
      <c r="V307" s="295">
        <f t="shared" si="70"/>
        <v>1.0273979914087357</v>
      </c>
      <c r="W307" s="295">
        <f t="shared" si="70"/>
        <v>0</v>
      </c>
      <c r="X307" s="295">
        <f t="shared" si="70"/>
        <v>0</v>
      </c>
      <c r="Y307" s="295">
        <f t="shared" si="70"/>
        <v>0</v>
      </c>
      <c r="Z307" s="295">
        <f t="shared" si="70"/>
        <v>0</v>
      </c>
      <c r="AA307" s="295">
        <f t="shared" si="70"/>
        <v>0</v>
      </c>
      <c r="AB307" s="295">
        <f t="shared" si="70"/>
        <v>0</v>
      </c>
      <c r="AC307" s="295">
        <f t="shared" si="70"/>
        <v>0</v>
      </c>
      <c r="AD307" s="295">
        <f t="shared" si="70"/>
        <v>0</v>
      </c>
      <c r="AE307" s="296">
        <f t="shared" si="70"/>
        <v>0</v>
      </c>
    </row>
    <row r="308" spans="1:31">
      <c r="A308" s="1711"/>
      <c r="B308" s="116">
        <v>20</v>
      </c>
      <c r="C308" s="294">
        <f t="shared" si="72"/>
        <v>125.81210130330527</v>
      </c>
      <c r="D308" s="295">
        <f t="shared" si="71"/>
        <v>75.131820110334019</v>
      </c>
      <c r="E308" s="295">
        <f t="shared" si="70"/>
        <v>19.865037551254922</v>
      </c>
      <c r="F308" s="295">
        <f t="shared" si="70"/>
        <v>10.669821168648543</v>
      </c>
      <c r="G308" s="295">
        <f t="shared" si="70"/>
        <v>5.572464616764659</v>
      </c>
      <c r="H308" s="295">
        <f t="shared" si="70"/>
        <v>4.2462049718940484</v>
      </c>
      <c r="I308" s="295">
        <f t="shared" si="70"/>
        <v>3.2973099588563399</v>
      </c>
      <c r="J308" s="295">
        <f t="shared" si="70"/>
        <v>1.876734384426932</v>
      </c>
      <c r="K308" s="295">
        <f t="shared" si="70"/>
        <v>1.4840370739967021</v>
      </c>
      <c r="L308" s="295">
        <f t="shared" si="70"/>
        <v>1.1481916055205268</v>
      </c>
      <c r="M308" s="295">
        <f t="shared" si="70"/>
        <v>1.0411653052408778</v>
      </c>
      <c r="N308" s="295">
        <f t="shared" si="70"/>
        <v>1.0154788402112267</v>
      </c>
      <c r="O308" s="295">
        <f t="shared" si="70"/>
        <v>0.83800317733190866</v>
      </c>
      <c r="P308" s="295">
        <f t="shared" si="70"/>
        <v>1.0899684844974045</v>
      </c>
      <c r="Q308" s="295">
        <f t="shared" si="70"/>
        <v>1.1430023233197628</v>
      </c>
      <c r="R308" s="295">
        <f t="shared" si="70"/>
        <v>1.2302700629026437</v>
      </c>
      <c r="S308" s="295">
        <f t="shared" si="70"/>
        <v>0.85476395172747333</v>
      </c>
      <c r="T308" s="295">
        <f t="shared" si="70"/>
        <v>0.35305307229322996</v>
      </c>
      <c r="U308" s="295">
        <f t="shared" si="70"/>
        <v>0.28402167931777023</v>
      </c>
      <c r="V308" s="295">
        <f t="shared" si="70"/>
        <v>0.25355268684127963</v>
      </c>
      <c r="W308" s="295">
        <f t="shared" si="70"/>
        <v>0.22570736177646253</v>
      </c>
      <c r="X308" s="295">
        <f t="shared" si="70"/>
        <v>0</v>
      </c>
      <c r="Y308" s="295">
        <f t="shared" si="70"/>
        <v>0</v>
      </c>
      <c r="Z308" s="295">
        <f t="shared" si="70"/>
        <v>0</v>
      </c>
      <c r="AA308" s="295">
        <f t="shared" si="70"/>
        <v>0</v>
      </c>
      <c r="AB308" s="295">
        <f t="shared" si="70"/>
        <v>0</v>
      </c>
      <c r="AC308" s="295">
        <f t="shared" si="70"/>
        <v>0</v>
      </c>
      <c r="AD308" s="295">
        <f t="shared" si="70"/>
        <v>0</v>
      </c>
      <c r="AE308" s="296">
        <f t="shared" si="70"/>
        <v>0</v>
      </c>
    </row>
    <row r="309" spans="1:31">
      <c r="A309" s="1711"/>
      <c r="B309" s="116">
        <v>21</v>
      </c>
      <c r="C309" s="294">
        <f t="shared" si="72"/>
        <v>46.283685520064829</v>
      </c>
      <c r="D309" s="295">
        <f t="shared" si="71"/>
        <v>22.111561597106412</v>
      </c>
      <c r="E309" s="295">
        <f t="shared" si="71"/>
        <v>13.204468020666662</v>
      </c>
      <c r="F309" s="295">
        <f t="shared" si="71"/>
        <v>3.4912937379885052</v>
      </c>
      <c r="G309" s="295">
        <f t="shared" si="71"/>
        <v>1.8752282614842872</v>
      </c>
      <c r="H309" s="295">
        <f t="shared" si="71"/>
        <v>0.97936441204682967</v>
      </c>
      <c r="I309" s="295">
        <f t="shared" si="71"/>
        <v>0.74627338560720879</v>
      </c>
      <c r="J309" s="295">
        <f t="shared" si="71"/>
        <v>0.57950444754306751</v>
      </c>
      <c r="K309" s="295">
        <f t="shared" si="71"/>
        <v>0.32983733291777945</v>
      </c>
      <c r="L309" s="295">
        <f t="shared" si="71"/>
        <v>0.2608205159451189</v>
      </c>
      <c r="M309" s="295">
        <f t="shared" si="71"/>
        <v>0.20179544851207923</v>
      </c>
      <c r="N309" s="295">
        <f t="shared" si="71"/>
        <v>0.18298550410586739</v>
      </c>
      <c r="O309" s="295">
        <f t="shared" si="71"/>
        <v>0.17847109056510785</v>
      </c>
      <c r="P309" s="295">
        <f t="shared" si="71"/>
        <v>0.14727962320154481</v>
      </c>
      <c r="Q309" s="295">
        <f t="shared" si="71"/>
        <v>0.19156269575187454</v>
      </c>
      <c r="R309" s="295">
        <f t="shared" si="71"/>
        <v>0.20088342866789635</v>
      </c>
      <c r="S309" s="295">
        <f t="shared" si="71"/>
        <v>0.21622079271505754</v>
      </c>
      <c r="T309" s="295">
        <f t="shared" ref="E309:AE313" si="73">S308*$E49</f>
        <v>0.15022534059775364</v>
      </c>
      <c r="U309" s="295">
        <f t="shared" si="73"/>
        <v>6.2049315401223076E-2</v>
      </c>
      <c r="V309" s="295">
        <f t="shared" si="73"/>
        <v>4.9917001560989681E-2</v>
      </c>
      <c r="W309" s="295">
        <f t="shared" si="73"/>
        <v>4.4562055598188294E-2</v>
      </c>
      <c r="X309" s="295">
        <f t="shared" si="73"/>
        <v>3.9668220951250562E-2</v>
      </c>
      <c r="Y309" s="295">
        <f t="shared" si="73"/>
        <v>0</v>
      </c>
      <c r="Z309" s="295">
        <f t="shared" si="73"/>
        <v>0</v>
      </c>
      <c r="AA309" s="295">
        <f t="shared" si="73"/>
        <v>0</v>
      </c>
      <c r="AB309" s="295">
        <f t="shared" si="73"/>
        <v>0</v>
      </c>
      <c r="AC309" s="295">
        <f t="shared" si="73"/>
        <v>0</v>
      </c>
      <c r="AD309" s="295">
        <f t="shared" si="73"/>
        <v>0</v>
      </c>
      <c r="AE309" s="296">
        <f t="shared" si="73"/>
        <v>0</v>
      </c>
    </row>
    <row r="310" spans="1:31">
      <c r="A310" s="1711"/>
      <c r="B310" s="116">
        <v>22</v>
      </c>
      <c r="C310" s="294">
        <f t="shared" si="72"/>
        <v>17.026816364476225</v>
      </c>
      <c r="D310" s="295">
        <f t="shared" si="71"/>
        <v>6.1007916928285741</v>
      </c>
      <c r="E310" s="295">
        <f t="shared" si="73"/>
        <v>2.9145913898454205</v>
      </c>
      <c r="F310" s="295">
        <f t="shared" si="73"/>
        <v>1.7405206154937787</v>
      </c>
      <c r="G310" s="295">
        <f t="shared" si="73"/>
        <v>0.46019792059798043</v>
      </c>
      <c r="H310" s="295">
        <f t="shared" si="73"/>
        <v>0.24717947309665075</v>
      </c>
      <c r="I310" s="295">
        <f t="shared" si="73"/>
        <v>0.12909296660649486</v>
      </c>
      <c r="J310" s="295">
        <f t="shared" si="73"/>
        <v>9.8368537862391414E-2</v>
      </c>
      <c r="K310" s="295">
        <f t="shared" si="73"/>
        <v>7.63862229163942E-2</v>
      </c>
      <c r="L310" s="295">
        <f t="shared" si="73"/>
        <v>4.3476850169530387E-2</v>
      </c>
      <c r="M310" s="295">
        <f t="shared" si="73"/>
        <v>3.4379536096092102E-2</v>
      </c>
      <c r="N310" s="295">
        <f t="shared" si="73"/>
        <v>2.6599264559418013E-2</v>
      </c>
      <c r="O310" s="295">
        <f t="shared" si="73"/>
        <v>2.4119869254430128E-2</v>
      </c>
      <c r="P310" s="295">
        <f t="shared" si="73"/>
        <v>2.3524810837668594E-2</v>
      </c>
      <c r="Q310" s="295">
        <f t="shared" si="73"/>
        <v>1.9413369779322804E-2</v>
      </c>
      <c r="R310" s="295">
        <f t="shared" si="73"/>
        <v>2.5250454663819668E-2</v>
      </c>
      <c r="S310" s="295">
        <f t="shared" si="73"/>
        <v>2.6479048482704038E-2</v>
      </c>
      <c r="T310" s="295">
        <f t="shared" si="73"/>
        <v>2.850071253381432E-2</v>
      </c>
      <c r="U310" s="295">
        <f t="shared" si="73"/>
        <v>1.9801653642595115E-2</v>
      </c>
      <c r="V310" s="295">
        <f t="shared" si="73"/>
        <v>8.17890675065998E-3</v>
      </c>
      <c r="W310" s="295">
        <f t="shared" si="73"/>
        <v>6.5797100000209805E-3</v>
      </c>
      <c r="X310" s="295">
        <f t="shared" si="73"/>
        <v>5.8738584785114883E-3</v>
      </c>
      <c r="Y310" s="295">
        <f t="shared" si="73"/>
        <v>5.2287874254042079E-3</v>
      </c>
      <c r="Z310" s="295">
        <f t="shared" si="73"/>
        <v>0</v>
      </c>
      <c r="AA310" s="295">
        <f t="shared" si="73"/>
        <v>0</v>
      </c>
      <c r="AB310" s="295">
        <f t="shared" si="73"/>
        <v>0</v>
      </c>
      <c r="AC310" s="295">
        <f t="shared" si="73"/>
        <v>0</v>
      </c>
      <c r="AD310" s="295">
        <f t="shared" si="73"/>
        <v>0</v>
      </c>
      <c r="AE310" s="296">
        <f t="shared" si="73"/>
        <v>0</v>
      </c>
    </row>
    <row r="311" spans="1:31">
      <c r="A311" s="1711"/>
      <c r="B311" s="116">
        <v>23</v>
      </c>
      <c r="C311" s="294">
        <f t="shared" si="72"/>
        <v>6.2638156890922829</v>
      </c>
      <c r="D311" s="295">
        <f t="shared" si="71"/>
        <v>1.4962372257741026</v>
      </c>
      <c r="E311" s="295">
        <f t="shared" si="73"/>
        <v>0.53610912586971549</v>
      </c>
      <c r="F311" s="295">
        <f t="shared" si="73"/>
        <v>0.25612070055009062</v>
      </c>
      <c r="G311" s="295">
        <f t="shared" si="73"/>
        <v>0.15294883561217967</v>
      </c>
      <c r="H311" s="295">
        <f t="shared" si="73"/>
        <v>4.0440047351371924E-2</v>
      </c>
      <c r="I311" s="295">
        <f t="shared" si="73"/>
        <v>2.1720979493620916E-2</v>
      </c>
      <c r="J311" s="295">
        <f t="shared" si="73"/>
        <v>1.134408794266646E-2</v>
      </c>
      <c r="K311" s="295">
        <f t="shared" si="73"/>
        <v>8.6441684131716347E-3</v>
      </c>
      <c r="L311" s="295">
        <f t="shared" si="73"/>
        <v>6.7124650796281521E-3</v>
      </c>
      <c r="M311" s="295">
        <f t="shared" si="73"/>
        <v>3.8205428596020199E-3</v>
      </c>
      <c r="N311" s="295">
        <f t="shared" si="73"/>
        <v>3.0211133197594595E-3</v>
      </c>
      <c r="O311" s="295">
        <f t="shared" si="73"/>
        <v>2.3374193366558511E-3</v>
      </c>
      <c r="P311" s="295">
        <f t="shared" si="73"/>
        <v>2.1195416387162504E-3</v>
      </c>
      <c r="Q311" s="295">
        <f t="shared" si="73"/>
        <v>2.0672506798188267E-3</v>
      </c>
      <c r="R311" s="295">
        <f t="shared" si="73"/>
        <v>1.705956411331408E-3</v>
      </c>
      <c r="S311" s="295">
        <f t="shared" si="73"/>
        <v>2.2188922125542924E-3</v>
      </c>
      <c r="T311" s="295">
        <f t="shared" si="73"/>
        <v>2.3268553084038498E-3</v>
      </c>
      <c r="U311" s="295">
        <f t="shared" si="73"/>
        <v>2.5045097181613566E-3</v>
      </c>
      <c r="V311" s="295">
        <f t="shared" si="73"/>
        <v>1.7400769866614799E-3</v>
      </c>
      <c r="W311" s="295">
        <f t="shared" si="73"/>
        <v>7.1872418686586437E-4</v>
      </c>
      <c r="X311" s="295">
        <f t="shared" si="73"/>
        <v>5.7819423350152256E-4</v>
      </c>
      <c r="Y311" s="295">
        <f t="shared" si="73"/>
        <v>5.1616729318899163E-4</v>
      </c>
      <c r="Z311" s="295">
        <f t="shared" si="73"/>
        <v>4.594814570192828E-4</v>
      </c>
      <c r="AA311" s="295">
        <f t="shared" si="73"/>
        <v>0</v>
      </c>
      <c r="AB311" s="295">
        <f t="shared" si="73"/>
        <v>0</v>
      </c>
      <c r="AC311" s="295">
        <f t="shared" si="73"/>
        <v>0</v>
      </c>
      <c r="AD311" s="295">
        <f t="shared" si="73"/>
        <v>0</v>
      </c>
      <c r="AE311" s="296">
        <f t="shared" si="73"/>
        <v>0</v>
      </c>
    </row>
    <row r="312" spans="1:31">
      <c r="A312" s="1711"/>
      <c r="B312" s="116">
        <v>24</v>
      </c>
      <c r="C312" s="294">
        <f t="shared" si="72"/>
        <v>2.304329015304182</v>
      </c>
      <c r="D312" s="295">
        <f t="shared" si="71"/>
        <v>0.27521745723884311</v>
      </c>
      <c r="E312" s="295">
        <f t="shared" si="73"/>
        <v>6.5741175210620492E-2</v>
      </c>
      <c r="F312" s="295">
        <f t="shared" si="73"/>
        <v>2.3555385047701431E-2</v>
      </c>
      <c r="G312" s="295">
        <f t="shared" si="73"/>
        <v>1.1253346434566302E-2</v>
      </c>
      <c r="H312" s="295">
        <f t="shared" si="73"/>
        <v>6.7202152352803281E-3</v>
      </c>
      <c r="I312" s="295">
        <f t="shared" si="73"/>
        <v>1.7768413943028811E-3</v>
      </c>
      <c r="J312" s="295">
        <f t="shared" si="73"/>
        <v>9.5436919630017083E-4</v>
      </c>
      <c r="K312" s="295">
        <f t="shared" si="73"/>
        <v>4.9843277536266691E-4</v>
      </c>
      <c r="L312" s="295">
        <f t="shared" si="73"/>
        <v>3.7980460612214756E-4</v>
      </c>
      <c r="M312" s="295">
        <f t="shared" si="73"/>
        <v>2.949300654290966E-4</v>
      </c>
      <c r="N312" s="295">
        <f t="shared" si="73"/>
        <v>1.6786574562254735E-4</v>
      </c>
      <c r="O312" s="295">
        <f t="shared" si="73"/>
        <v>1.3274067551867724E-4</v>
      </c>
      <c r="P312" s="295">
        <f t="shared" si="73"/>
        <v>1.0270075593947592E-4</v>
      </c>
      <c r="Q312" s="295">
        <f t="shared" si="73"/>
        <v>9.3127717875726764E-5</v>
      </c>
      <c r="R312" s="295">
        <f t="shared" si="73"/>
        <v>9.0830175058592035E-5</v>
      </c>
      <c r="S312" s="295">
        <f t="shared" si="73"/>
        <v>7.4955747261933026E-5</v>
      </c>
      <c r="T312" s="295">
        <f t="shared" si="73"/>
        <v>9.7492950453457387E-5</v>
      </c>
      <c r="U312" s="295">
        <f t="shared" si="73"/>
        <v>1.0223659716820524E-4</v>
      </c>
      <c r="V312" s="295">
        <f t="shared" si="73"/>
        <v>1.1004231773017374E-4</v>
      </c>
      <c r="W312" s="295">
        <f t="shared" si="73"/>
        <v>7.645492578952307E-5</v>
      </c>
      <c r="X312" s="295">
        <f t="shared" si="73"/>
        <v>3.1579065059295059E-5</v>
      </c>
      <c r="Y312" s="295">
        <f t="shared" si="73"/>
        <v>2.5404506555254512E-5</v>
      </c>
      <c r="Z312" s="295">
        <f t="shared" si="73"/>
        <v>2.2679187414263939E-5</v>
      </c>
      <c r="AA312" s="295">
        <f t="shared" si="73"/>
        <v>2.0188543936478962E-5</v>
      </c>
      <c r="AB312" s="295">
        <f t="shared" si="73"/>
        <v>0</v>
      </c>
      <c r="AC312" s="295">
        <f t="shared" si="73"/>
        <v>0</v>
      </c>
      <c r="AD312" s="295">
        <f t="shared" si="73"/>
        <v>0</v>
      </c>
      <c r="AE312" s="296">
        <f t="shared" si="73"/>
        <v>0</v>
      </c>
    </row>
    <row r="313" spans="1:31" ht="15.75" thickBot="1">
      <c r="A313" s="1711"/>
      <c r="B313" s="116">
        <v>25</v>
      </c>
      <c r="C313" s="297">
        <f t="shared" si="72"/>
        <v>0.84771527042524253</v>
      </c>
      <c r="D313" s="298">
        <f t="shared" si="71"/>
        <v>0</v>
      </c>
      <c r="E313" s="298">
        <f t="shared" si="73"/>
        <v>0</v>
      </c>
      <c r="F313" s="298">
        <f t="shared" si="73"/>
        <v>0</v>
      </c>
      <c r="G313" s="298">
        <f t="shared" si="73"/>
        <v>0</v>
      </c>
      <c r="H313" s="298">
        <f t="shared" si="73"/>
        <v>0</v>
      </c>
      <c r="I313" s="298">
        <f t="shared" si="73"/>
        <v>0</v>
      </c>
      <c r="J313" s="298">
        <f t="shared" si="73"/>
        <v>0</v>
      </c>
      <c r="K313" s="298">
        <f t="shared" si="73"/>
        <v>0</v>
      </c>
      <c r="L313" s="298">
        <f t="shared" si="73"/>
        <v>0</v>
      </c>
      <c r="M313" s="298">
        <f t="shared" si="73"/>
        <v>0</v>
      </c>
      <c r="N313" s="298">
        <f t="shared" si="73"/>
        <v>0</v>
      </c>
      <c r="O313" s="298">
        <f t="shared" si="73"/>
        <v>0</v>
      </c>
      <c r="P313" s="298">
        <f t="shared" si="73"/>
        <v>0</v>
      </c>
      <c r="Q313" s="298">
        <f t="shared" si="73"/>
        <v>0</v>
      </c>
      <c r="R313" s="298">
        <f t="shared" si="73"/>
        <v>0</v>
      </c>
      <c r="S313" s="298">
        <f t="shared" si="73"/>
        <v>0</v>
      </c>
      <c r="T313" s="298">
        <f t="shared" si="73"/>
        <v>0</v>
      </c>
      <c r="U313" s="298">
        <f t="shared" si="73"/>
        <v>0</v>
      </c>
      <c r="V313" s="298">
        <f t="shared" si="73"/>
        <v>0</v>
      </c>
      <c r="W313" s="298">
        <f t="shared" si="73"/>
        <v>0</v>
      </c>
      <c r="X313" s="298">
        <f t="shared" si="73"/>
        <v>0</v>
      </c>
      <c r="Y313" s="298">
        <f t="shared" si="73"/>
        <v>0</v>
      </c>
      <c r="Z313" s="298">
        <f t="shared" si="73"/>
        <v>0</v>
      </c>
      <c r="AA313" s="298">
        <f t="shared" si="73"/>
        <v>0</v>
      </c>
      <c r="AB313" s="298">
        <f t="shared" si="73"/>
        <v>0</v>
      </c>
      <c r="AC313" s="298">
        <f t="shared" si="73"/>
        <v>0</v>
      </c>
      <c r="AD313" s="298">
        <f t="shared" si="73"/>
        <v>0</v>
      </c>
      <c r="AE313" s="299">
        <f t="shared" si="73"/>
        <v>0</v>
      </c>
    </row>
    <row r="314" spans="1:31" ht="16.5" thickTop="1" thickBot="1">
      <c r="A314" s="1712"/>
      <c r="B314" s="300" t="s">
        <v>39</v>
      </c>
      <c r="C314" s="349">
        <f>SUM(C288:C313)</f>
        <v>132427.53121193568</v>
      </c>
      <c r="D314" s="349">
        <f>SUM(D288:D313)</f>
        <v>110224.71957954459</v>
      </c>
      <c r="E314" s="349">
        <f t="shared" ref="E314:AE314" si="74">SUM(E288:E313)</f>
        <v>91309.780906937362</v>
      </c>
      <c r="F314" s="349">
        <f t="shared" si="74"/>
        <v>74418.03406981747</v>
      </c>
      <c r="G314" s="349">
        <f t="shared" si="74"/>
        <v>59117.833459786481</v>
      </c>
      <c r="H314" s="349">
        <f t="shared" si="74"/>
        <v>45418.618346754338</v>
      </c>
      <c r="I314" s="349">
        <f t="shared" si="74"/>
        <v>33546.828445998122</v>
      </c>
      <c r="J314" s="349">
        <f t="shared" si="74"/>
        <v>23679.452321292822</v>
      </c>
      <c r="K314" s="349">
        <f t="shared" si="74"/>
        <v>15912.526949948035</v>
      </c>
      <c r="L314" s="349">
        <f t="shared" si="74"/>
        <v>10164.843356099807</v>
      </c>
      <c r="M314" s="349">
        <f t="shared" si="74"/>
        <v>6162.9834846984177</v>
      </c>
      <c r="N314" s="349">
        <f t="shared" si="74"/>
        <v>3516.7835665020011</v>
      </c>
      <c r="O314" s="349">
        <f t="shared" si="74"/>
        <v>1860.1506312738697</v>
      </c>
      <c r="P314" s="349">
        <f t="shared" si="74"/>
        <v>901.52240636204465</v>
      </c>
      <c r="Q314" s="349">
        <f t="shared" si="74"/>
        <v>396.78281836239665</v>
      </c>
      <c r="R314" s="349">
        <f t="shared" si="74"/>
        <v>159.0467237361533</v>
      </c>
      <c r="S314" s="349">
        <f t="shared" si="74"/>
        <v>57.893845167039224</v>
      </c>
      <c r="T314" s="349">
        <f t="shared" si="74"/>
        <v>18.876145986740248</v>
      </c>
      <c r="U314" s="349">
        <f t="shared" si="74"/>
        <v>5.4198065032056162</v>
      </c>
      <c r="V314" s="349">
        <f t="shared" si="74"/>
        <v>1.3408967058660568</v>
      </c>
      <c r="W314" s="349">
        <f t="shared" si="74"/>
        <v>0.27764430648732719</v>
      </c>
      <c r="X314" s="349">
        <f t="shared" si="74"/>
        <v>4.6151852728322867E-2</v>
      </c>
      <c r="Y314" s="349">
        <f t="shared" si="74"/>
        <v>5.7703592251484546E-3</v>
      </c>
      <c r="Z314" s="349">
        <f t="shared" si="74"/>
        <v>4.8216064443354676E-4</v>
      </c>
      <c r="AA314" s="349">
        <f t="shared" si="74"/>
        <v>2.0188543936478962E-5</v>
      </c>
      <c r="AB314" s="349">
        <f t="shared" si="74"/>
        <v>0</v>
      </c>
      <c r="AC314" s="349">
        <f t="shared" si="74"/>
        <v>0</v>
      </c>
      <c r="AD314" s="349">
        <f t="shared" si="74"/>
        <v>0</v>
      </c>
      <c r="AE314" s="350">
        <f t="shared" si="74"/>
        <v>0</v>
      </c>
    </row>
    <row r="315" spans="1:31" ht="15.75" thickBot="1"/>
    <row r="316" spans="1:31" ht="15.75" customHeight="1" thickBot="1">
      <c r="A316" s="1710" t="s">
        <v>206</v>
      </c>
      <c r="B316" s="169" t="s">
        <v>10</v>
      </c>
      <c r="C316" s="288">
        <v>2012</v>
      </c>
      <c r="D316" s="347">
        <v>2013</v>
      </c>
      <c r="E316" s="347">
        <v>2014</v>
      </c>
      <c r="F316" s="288">
        <v>2015</v>
      </c>
      <c r="G316" s="347">
        <v>2016</v>
      </c>
      <c r="H316" s="347">
        <v>2017</v>
      </c>
      <c r="I316" s="288">
        <v>2018</v>
      </c>
      <c r="J316" s="347">
        <v>2019</v>
      </c>
      <c r="K316" s="347">
        <v>2020</v>
      </c>
      <c r="L316" s="288">
        <v>2021</v>
      </c>
      <c r="M316" s="347">
        <v>2022</v>
      </c>
      <c r="N316" s="347">
        <v>2023</v>
      </c>
      <c r="O316" s="288">
        <v>2024</v>
      </c>
      <c r="P316" s="347">
        <v>2025</v>
      </c>
      <c r="Q316" s="347">
        <v>2026</v>
      </c>
      <c r="R316" s="288">
        <v>2027</v>
      </c>
      <c r="S316" s="347">
        <v>2028</v>
      </c>
      <c r="T316" s="347">
        <v>2029</v>
      </c>
      <c r="U316" s="288">
        <v>2030</v>
      </c>
      <c r="V316" s="347">
        <v>2031</v>
      </c>
      <c r="W316" s="347">
        <v>2032</v>
      </c>
      <c r="X316" s="288">
        <v>2033</v>
      </c>
      <c r="Y316" s="347">
        <v>2034</v>
      </c>
      <c r="Z316" s="347">
        <v>2035</v>
      </c>
      <c r="AA316" s="288">
        <v>2036</v>
      </c>
      <c r="AB316" s="347">
        <v>2037</v>
      </c>
      <c r="AC316" s="347">
        <v>2038</v>
      </c>
      <c r="AD316" s="288">
        <v>2039</v>
      </c>
      <c r="AE316" s="348">
        <v>2040</v>
      </c>
    </row>
    <row r="317" spans="1:31" ht="15" customHeight="1">
      <c r="A317" s="1711" t="s">
        <v>41</v>
      </c>
      <c r="B317" s="116">
        <v>0</v>
      </c>
      <c r="C317" s="291">
        <f>W28</f>
        <v>2767</v>
      </c>
      <c r="D317" s="292"/>
      <c r="E317" s="292"/>
      <c r="F317" s="292"/>
      <c r="G317" s="292"/>
      <c r="H317" s="292"/>
      <c r="I317" s="292"/>
      <c r="J317" s="292"/>
      <c r="K317" s="292"/>
      <c r="L317" s="292"/>
      <c r="M317" s="292"/>
      <c r="N317" s="292"/>
      <c r="O317" s="292"/>
      <c r="P317" s="292"/>
      <c r="Q317" s="292"/>
      <c r="R317" s="292"/>
      <c r="S317" s="292"/>
      <c r="T317" s="292"/>
      <c r="U317" s="292"/>
      <c r="V317" s="292"/>
      <c r="W317" s="292"/>
      <c r="X317" s="292"/>
      <c r="Y317" s="292"/>
      <c r="Z317" s="292"/>
      <c r="AA317" s="292"/>
      <c r="AB317" s="292"/>
      <c r="AC317" s="292"/>
      <c r="AD317" s="292"/>
      <c r="AE317" s="293"/>
    </row>
    <row r="318" spans="1:31">
      <c r="A318" s="1711"/>
      <c r="B318" s="116">
        <v>1</v>
      </c>
      <c r="C318" s="294">
        <f t="shared" ref="C318:C335" si="75">W29</f>
        <v>2945.5</v>
      </c>
      <c r="D318" s="295">
        <f>C317*$F29</f>
        <v>2765.2577688087672</v>
      </c>
      <c r="E318" s="295">
        <f t="shared" ref="E318:AE327" si="76">D317*$F29</f>
        <v>0</v>
      </c>
      <c r="F318" s="295">
        <f t="shared" si="76"/>
        <v>0</v>
      </c>
      <c r="G318" s="295">
        <f t="shared" si="76"/>
        <v>0</v>
      </c>
      <c r="H318" s="295">
        <f t="shared" si="76"/>
        <v>0</v>
      </c>
      <c r="I318" s="295">
        <f t="shared" si="76"/>
        <v>0</v>
      </c>
      <c r="J318" s="295">
        <f t="shared" si="76"/>
        <v>0</v>
      </c>
      <c r="K318" s="295">
        <f t="shared" si="76"/>
        <v>0</v>
      </c>
      <c r="L318" s="295">
        <f t="shared" si="76"/>
        <v>0</v>
      </c>
      <c r="M318" s="295">
        <f t="shared" si="76"/>
        <v>0</v>
      </c>
      <c r="N318" s="295">
        <f t="shared" si="76"/>
        <v>0</v>
      </c>
      <c r="O318" s="295">
        <f t="shared" si="76"/>
        <v>0</v>
      </c>
      <c r="P318" s="295">
        <f t="shared" si="76"/>
        <v>0</v>
      </c>
      <c r="Q318" s="295">
        <f t="shared" si="76"/>
        <v>0</v>
      </c>
      <c r="R318" s="295">
        <f t="shared" si="76"/>
        <v>0</v>
      </c>
      <c r="S318" s="295">
        <f t="shared" si="76"/>
        <v>0</v>
      </c>
      <c r="T318" s="295">
        <f t="shared" si="76"/>
        <v>0</v>
      </c>
      <c r="U318" s="295">
        <f t="shared" si="76"/>
        <v>0</v>
      </c>
      <c r="V318" s="295">
        <f t="shared" si="76"/>
        <v>0</v>
      </c>
      <c r="W318" s="295">
        <f t="shared" si="76"/>
        <v>0</v>
      </c>
      <c r="X318" s="295">
        <f t="shared" si="76"/>
        <v>0</v>
      </c>
      <c r="Y318" s="295">
        <f t="shared" si="76"/>
        <v>0</v>
      </c>
      <c r="Z318" s="295">
        <f t="shared" si="76"/>
        <v>0</v>
      </c>
      <c r="AA318" s="295">
        <f t="shared" si="76"/>
        <v>0</v>
      </c>
      <c r="AB318" s="295">
        <f t="shared" si="76"/>
        <v>0</v>
      </c>
      <c r="AC318" s="295">
        <f t="shared" si="76"/>
        <v>0</v>
      </c>
      <c r="AD318" s="295">
        <f t="shared" si="76"/>
        <v>0</v>
      </c>
      <c r="AE318" s="296">
        <f t="shared" si="76"/>
        <v>0</v>
      </c>
    </row>
    <row r="319" spans="1:31">
      <c r="A319" s="1711"/>
      <c r="B319" s="116">
        <v>2</v>
      </c>
      <c r="C319" s="294">
        <f t="shared" si="75"/>
        <v>3419.5</v>
      </c>
      <c r="D319" s="295">
        <f t="shared" ref="D319:S334" si="77">C318*$F30</f>
        <v>2945.5</v>
      </c>
      <c r="E319" s="295">
        <f t="shared" si="77"/>
        <v>2765.2577688087672</v>
      </c>
      <c r="F319" s="295">
        <f t="shared" si="77"/>
        <v>0</v>
      </c>
      <c r="G319" s="295">
        <f t="shared" si="77"/>
        <v>0</v>
      </c>
      <c r="H319" s="295">
        <f t="shared" si="77"/>
        <v>0</v>
      </c>
      <c r="I319" s="295">
        <f t="shared" si="77"/>
        <v>0</v>
      </c>
      <c r="J319" s="295">
        <f t="shared" si="77"/>
        <v>0</v>
      </c>
      <c r="K319" s="295">
        <f t="shared" si="77"/>
        <v>0</v>
      </c>
      <c r="L319" s="295">
        <f t="shared" si="77"/>
        <v>0</v>
      </c>
      <c r="M319" s="295">
        <f t="shared" si="77"/>
        <v>0</v>
      </c>
      <c r="N319" s="295">
        <f t="shared" si="77"/>
        <v>0</v>
      </c>
      <c r="O319" s="295">
        <f t="shared" si="77"/>
        <v>0</v>
      </c>
      <c r="P319" s="295">
        <f t="shared" si="77"/>
        <v>0</v>
      </c>
      <c r="Q319" s="295">
        <f t="shared" si="77"/>
        <v>0</v>
      </c>
      <c r="R319" s="295">
        <f t="shared" si="77"/>
        <v>0</v>
      </c>
      <c r="S319" s="295">
        <f t="shared" si="77"/>
        <v>0</v>
      </c>
      <c r="T319" s="295">
        <f t="shared" si="76"/>
        <v>0</v>
      </c>
      <c r="U319" s="295">
        <f t="shared" si="76"/>
        <v>0</v>
      </c>
      <c r="V319" s="295">
        <f t="shared" si="76"/>
        <v>0</v>
      </c>
      <c r="W319" s="295">
        <f t="shared" si="76"/>
        <v>0</v>
      </c>
      <c r="X319" s="295">
        <f t="shared" si="76"/>
        <v>0</v>
      </c>
      <c r="Y319" s="295">
        <f t="shared" si="76"/>
        <v>0</v>
      </c>
      <c r="Z319" s="295">
        <f t="shared" si="76"/>
        <v>0</v>
      </c>
      <c r="AA319" s="295">
        <f t="shared" si="76"/>
        <v>0</v>
      </c>
      <c r="AB319" s="295">
        <f t="shared" si="76"/>
        <v>0</v>
      </c>
      <c r="AC319" s="295">
        <f t="shared" si="76"/>
        <v>0</v>
      </c>
      <c r="AD319" s="295">
        <f t="shared" si="76"/>
        <v>0</v>
      </c>
      <c r="AE319" s="296">
        <f t="shared" si="76"/>
        <v>0</v>
      </c>
    </row>
    <row r="320" spans="1:31">
      <c r="A320" s="1711"/>
      <c r="B320" s="116">
        <v>3</v>
      </c>
      <c r="C320" s="294">
        <f t="shared" si="75"/>
        <v>3912.5</v>
      </c>
      <c r="D320" s="295">
        <f t="shared" si="77"/>
        <v>3419.5</v>
      </c>
      <c r="E320" s="295">
        <f t="shared" si="76"/>
        <v>2945.5</v>
      </c>
      <c r="F320" s="295">
        <f t="shared" si="76"/>
        <v>2765.2577688087672</v>
      </c>
      <c r="G320" s="295">
        <f t="shared" si="76"/>
        <v>0</v>
      </c>
      <c r="H320" s="295">
        <f t="shared" si="76"/>
        <v>0</v>
      </c>
      <c r="I320" s="295">
        <f t="shared" si="76"/>
        <v>0</v>
      </c>
      <c r="J320" s="295">
        <f t="shared" si="76"/>
        <v>0</v>
      </c>
      <c r="K320" s="295">
        <f t="shared" si="76"/>
        <v>0</v>
      </c>
      <c r="L320" s="295">
        <f t="shared" si="76"/>
        <v>0</v>
      </c>
      <c r="M320" s="295">
        <f t="shared" si="76"/>
        <v>0</v>
      </c>
      <c r="N320" s="295">
        <f t="shared" si="76"/>
        <v>0</v>
      </c>
      <c r="O320" s="295">
        <f t="shared" si="76"/>
        <v>0</v>
      </c>
      <c r="P320" s="295">
        <f t="shared" si="76"/>
        <v>0</v>
      </c>
      <c r="Q320" s="295">
        <f t="shared" si="76"/>
        <v>0</v>
      </c>
      <c r="R320" s="295">
        <f t="shared" si="76"/>
        <v>0</v>
      </c>
      <c r="S320" s="295">
        <f t="shared" si="76"/>
        <v>0</v>
      </c>
      <c r="T320" s="295">
        <f t="shared" si="76"/>
        <v>0</v>
      </c>
      <c r="U320" s="295">
        <f t="shared" si="76"/>
        <v>0</v>
      </c>
      <c r="V320" s="295">
        <f t="shared" si="76"/>
        <v>0</v>
      </c>
      <c r="W320" s="295">
        <f t="shared" si="76"/>
        <v>0</v>
      </c>
      <c r="X320" s="295">
        <f t="shared" si="76"/>
        <v>0</v>
      </c>
      <c r="Y320" s="295">
        <f t="shared" si="76"/>
        <v>0</v>
      </c>
      <c r="Z320" s="295">
        <f t="shared" si="76"/>
        <v>0</v>
      </c>
      <c r="AA320" s="295">
        <f t="shared" si="76"/>
        <v>0</v>
      </c>
      <c r="AB320" s="295">
        <f t="shared" si="76"/>
        <v>0</v>
      </c>
      <c r="AC320" s="295">
        <f t="shared" si="76"/>
        <v>0</v>
      </c>
      <c r="AD320" s="295">
        <f t="shared" si="76"/>
        <v>0</v>
      </c>
      <c r="AE320" s="296">
        <f t="shared" si="76"/>
        <v>0</v>
      </c>
    </row>
    <row r="321" spans="1:31">
      <c r="A321" s="1711"/>
      <c r="B321" s="116">
        <v>4</v>
      </c>
      <c r="C321" s="294">
        <f t="shared" si="75"/>
        <v>7945</v>
      </c>
      <c r="D321" s="295">
        <f t="shared" si="77"/>
        <v>3912.5</v>
      </c>
      <c r="E321" s="295">
        <f t="shared" si="76"/>
        <v>3419.5</v>
      </c>
      <c r="F321" s="295">
        <f t="shared" si="76"/>
        <v>2945.5</v>
      </c>
      <c r="G321" s="295">
        <f t="shared" si="76"/>
        <v>2765.2577688087672</v>
      </c>
      <c r="H321" s="295">
        <f t="shared" si="76"/>
        <v>0</v>
      </c>
      <c r="I321" s="295">
        <f t="shared" si="76"/>
        <v>0</v>
      </c>
      <c r="J321" s="295">
        <f t="shared" si="76"/>
        <v>0</v>
      </c>
      <c r="K321" s="295">
        <f t="shared" si="76"/>
        <v>0</v>
      </c>
      <c r="L321" s="295">
        <f t="shared" si="76"/>
        <v>0</v>
      </c>
      <c r="M321" s="295">
        <f t="shared" si="76"/>
        <v>0</v>
      </c>
      <c r="N321" s="295">
        <f t="shared" si="76"/>
        <v>0</v>
      </c>
      <c r="O321" s="295">
        <f t="shared" si="76"/>
        <v>0</v>
      </c>
      <c r="P321" s="295">
        <f t="shared" si="76"/>
        <v>0</v>
      </c>
      <c r="Q321" s="295">
        <f t="shared" si="76"/>
        <v>0</v>
      </c>
      <c r="R321" s="295">
        <f t="shared" si="76"/>
        <v>0</v>
      </c>
      <c r="S321" s="295">
        <f t="shared" si="76"/>
        <v>0</v>
      </c>
      <c r="T321" s="295">
        <f t="shared" si="76"/>
        <v>0</v>
      </c>
      <c r="U321" s="295">
        <f t="shared" si="76"/>
        <v>0</v>
      </c>
      <c r="V321" s="295">
        <f t="shared" si="76"/>
        <v>0</v>
      </c>
      <c r="W321" s="295">
        <f t="shared" si="76"/>
        <v>0</v>
      </c>
      <c r="X321" s="295">
        <f t="shared" si="76"/>
        <v>0</v>
      </c>
      <c r="Y321" s="295">
        <f t="shared" si="76"/>
        <v>0</v>
      </c>
      <c r="Z321" s="295">
        <f t="shared" si="76"/>
        <v>0</v>
      </c>
      <c r="AA321" s="295">
        <f t="shared" si="76"/>
        <v>0</v>
      </c>
      <c r="AB321" s="295">
        <f t="shared" si="76"/>
        <v>0</v>
      </c>
      <c r="AC321" s="295">
        <f t="shared" si="76"/>
        <v>0</v>
      </c>
      <c r="AD321" s="295">
        <f t="shared" si="76"/>
        <v>0</v>
      </c>
      <c r="AE321" s="296">
        <f t="shared" si="76"/>
        <v>0</v>
      </c>
    </row>
    <row r="322" spans="1:31">
      <c r="A322" s="1711"/>
      <c r="B322" s="116">
        <v>5</v>
      </c>
      <c r="C322" s="294">
        <f t="shared" si="75"/>
        <v>10493.5</v>
      </c>
      <c r="D322" s="295">
        <f t="shared" si="77"/>
        <v>7945</v>
      </c>
      <c r="E322" s="295">
        <f t="shared" si="76"/>
        <v>3912.5</v>
      </c>
      <c r="F322" s="295">
        <f t="shared" si="76"/>
        <v>3419.5</v>
      </c>
      <c r="G322" s="295">
        <f t="shared" si="76"/>
        <v>2945.5</v>
      </c>
      <c r="H322" s="295">
        <f t="shared" si="76"/>
        <v>2765.2577688087672</v>
      </c>
      <c r="I322" s="295">
        <f t="shared" si="76"/>
        <v>0</v>
      </c>
      <c r="J322" s="295">
        <f t="shared" si="76"/>
        <v>0</v>
      </c>
      <c r="K322" s="295">
        <f t="shared" si="76"/>
        <v>0</v>
      </c>
      <c r="L322" s="295">
        <f t="shared" si="76"/>
        <v>0</v>
      </c>
      <c r="M322" s="295">
        <f t="shared" si="76"/>
        <v>0</v>
      </c>
      <c r="N322" s="295">
        <f t="shared" si="76"/>
        <v>0</v>
      </c>
      <c r="O322" s="295">
        <f t="shared" si="76"/>
        <v>0</v>
      </c>
      <c r="P322" s="295">
        <f t="shared" si="76"/>
        <v>0</v>
      </c>
      <c r="Q322" s="295">
        <f t="shared" si="76"/>
        <v>0</v>
      </c>
      <c r="R322" s="295">
        <f t="shared" si="76"/>
        <v>0</v>
      </c>
      <c r="S322" s="295">
        <f t="shared" si="76"/>
        <v>0</v>
      </c>
      <c r="T322" s="295">
        <f t="shared" si="76"/>
        <v>0</v>
      </c>
      <c r="U322" s="295">
        <f t="shared" si="76"/>
        <v>0</v>
      </c>
      <c r="V322" s="295">
        <f t="shared" si="76"/>
        <v>0</v>
      </c>
      <c r="W322" s="295">
        <f t="shared" si="76"/>
        <v>0</v>
      </c>
      <c r="X322" s="295">
        <f t="shared" si="76"/>
        <v>0</v>
      </c>
      <c r="Y322" s="295">
        <f t="shared" si="76"/>
        <v>0</v>
      </c>
      <c r="Z322" s="295">
        <f t="shared" si="76"/>
        <v>0</v>
      </c>
      <c r="AA322" s="295">
        <f t="shared" si="76"/>
        <v>0</v>
      </c>
      <c r="AB322" s="295">
        <f t="shared" si="76"/>
        <v>0</v>
      </c>
      <c r="AC322" s="295">
        <f t="shared" si="76"/>
        <v>0</v>
      </c>
      <c r="AD322" s="295">
        <f t="shared" si="76"/>
        <v>0</v>
      </c>
      <c r="AE322" s="296">
        <f t="shared" si="76"/>
        <v>0</v>
      </c>
    </row>
    <row r="323" spans="1:31">
      <c r="A323" s="1711"/>
      <c r="B323" s="116">
        <v>6</v>
      </c>
      <c r="C323" s="294">
        <f t="shared" si="75"/>
        <v>8113.5</v>
      </c>
      <c r="D323" s="295">
        <f t="shared" si="77"/>
        <v>10493.5</v>
      </c>
      <c r="E323" s="295">
        <f t="shared" si="76"/>
        <v>7945</v>
      </c>
      <c r="F323" s="295">
        <f t="shared" si="76"/>
        <v>3912.5</v>
      </c>
      <c r="G323" s="295">
        <f t="shared" si="76"/>
        <v>3419.5</v>
      </c>
      <c r="H323" s="295">
        <f t="shared" si="76"/>
        <v>2945.5</v>
      </c>
      <c r="I323" s="295">
        <f t="shared" si="76"/>
        <v>2765.2577688087672</v>
      </c>
      <c r="J323" s="295">
        <f t="shared" si="76"/>
        <v>0</v>
      </c>
      <c r="K323" s="295">
        <f t="shared" si="76"/>
        <v>0</v>
      </c>
      <c r="L323" s="295">
        <f t="shared" si="76"/>
        <v>0</v>
      </c>
      <c r="M323" s="295">
        <f t="shared" si="76"/>
        <v>0</v>
      </c>
      <c r="N323" s="295">
        <f t="shared" si="76"/>
        <v>0</v>
      </c>
      <c r="O323" s="295">
        <f t="shared" si="76"/>
        <v>0</v>
      </c>
      <c r="P323" s="295">
        <f t="shared" si="76"/>
        <v>0</v>
      </c>
      <c r="Q323" s="295">
        <f t="shared" si="76"/>
        <v>0</v>
      </c>
      <c r="R323" s="295">
        <f t="shared" si="76"/>
        <v>0</v>
      </c>
      <c r="S323" s="295">
        <f t="shared" si="76"/>
        <v>0</v>
      </c>
      <c r="T323" s="295">
        <f t="shared" si="76"/>
        <v>0</v>
      </c>
      <c r="U323" s="295">
        <f t="shared" si="76"/>
        <v>0</v>
      </c>
      <c r="V323" s="295">
        <f t="shared" si="76"/>
        <v>0</v>
      </c>
      <c r="W323" s="295">
        <f t="shared" si="76"/>
        <v>0</v>
      </c>
      <c r="X323" s="295">
        <f t="shared" si="76"/>
        <v>0</v>
      </c>
      <c r="Y323" s="295">
        <f t="shared" si="76"/>
        <v>0</v>
      </c>
      <c r="Z323" s="295">
        <f t="shared" si="76"/>
        <v>0</v>
      </c>
      <c r="AA323" s="295">
        <f t="shared" si="76"/>
        <v>0</v>
      </c>
      <c r="AB323" s="295">
        <f t="shared" si="76"/>
        <v>0</v>
      </c>
      <c r="AC323" s="295">
        <f t="shared" si="76"/>
        <v>0</v>
      </c>
      <c r="AD323" s="295">
        <f t="shared" si="76"/>
        <v>0</v>
      </c>
      <c r="AE323" s="296">
        <f t="shared" si="76"/>
        <v>0</v>
      </c>
    </row>
    <row r="324" spans="1:31">
      <c r="A324" s="1711"/>
      <c r="B324" s="116">
        <v>7</v>
      </c>
      <c r="C324" s="294">
        <f t="shared" si="75"/>
        <v>5496.5</v>
      </c>
      <c r="D324" s="295">
        <f t="shared" si="77"/>
        <v>8030.4585670423285</v>
      </c>
      <c r="E324" s="295">
        <f t="shared" si="76"/>
        <v>10386.099337309259</v>
      </c>
      <c r="F324" s="295">
        <f t="shared" si="76"/>
        <v>7863.6831595675476</v>
      </c>
      <c r="G324" s="295">
        <f t="shared" si="76"/>
        <v>3872.4556780123385</v>
      </c>
      <c r="H324" s="295">
        <f t="shared" si="76"/>
        <v>3384.5015184570457</v>
      </c>
      <c r="I324" s="295">
        <f t="shared" si="76"/>
        <v>2915.3528944627078</v>
      </c>
      <c r="J324" s="295">
        <f t="shared" si="76"/>
        <v>2736.9554371862596</v>
      </c>
      <c r="K324" s="295">
        <f t="shared" si="76"/>
        <v>0</v>
      </c>
      <c r="L324" s="295">
        <f t="shared" si="76"/>
        <v>0</v>
      </c>
      <c r="M324" s="295">
        <f t="shared" si="76"/>
        <v>0</v>
      </c>
      <c r="N324" s="295">
        <f t="shared" si="76"/>
        <v>0</v>
      </c>
      <c r="O324" s="295">
        <f t="shared" si="76"/>
        <v>0</v>
      </c>
      <c r="P324" s="295">
        <f t="shared" si="76"/>
        <v>0</v>
      </c>
      <c r="Q324" s="295">
        <f t="shared" si="76"/>
        <v>0</v>
      </c>
      <c r="R324" s="295">
        <f t="shared" si="76"/>
        <v>0</v>
      </c>
      <c r="S324" s="295">
        <f t="shared" si="76"/>
        <v>0</v>
      </c>
      <c r="T324" s="295">
        <f t="shared" si="76"/>
        <v>0</v>
      </c>
      <c r="U324" s="295">
        <f t="shared" si="76"/>
        <v>0</v>
      </c>
      <c r="V324" s="295">
        <f t="shared" si="76"/>
        <v>0</v>
      </c>
      <c r="W324" s="295">
        <f t="shared" si="76"/>
        <v>0</v>
      </c>
      <c r="X324" s="295">
        <f t="shared" si="76"/>
        <v>0</v>
      </c>
      <c r="Y324" s="295">
        <f t="shared" si="76"/>
        <v>0</v>
      </c>
      <c r="Z324" s="295">
        <f t="shared" si="76"/>
        <v>0</v>
      </c>
      <c r="AA324" s="295">
        <f t="shared" si="76"/>
        <v>0</v>
      </c>
      <c r="AB324" s="295">
        <f t="shared" si="76"/>
        <v>0</v>
      </c>
      <c r="AC324" s="295">
        <f t="shared" si="76"/>
        <v>0</v>
      </c>
      <c r="AD324" s="295">
        <f t="shared" si="76"/>
        <v>0</v>
      </c>
      <c r="AE324" s="296">
        <f t="shared" si="76"/>
        <v>0</v>
      </c>
    </row>
    <row r="325" spans="1:31">
      <c r="A325" s="1711"/>
      <c r="B325" s="116">
        <v>8</v>
      </c>
      <c r="C325" s="294">
        <f t="shared" si="75"/>
        <v>3657</v>
      </c>
      <c r="D325" s="295">
        <f t="shared" si="77"/>
        <v>5192.76194395316</v>
      </c>
      <c r="E325" s="295">
        <f t="shared" si="76"/>
        <v>7586.6932847139142</v>
      </c>
      <c r="F325" s="295">
        <f t="shared" si="76"/>
        <v>9812.1607177106616</v>
      </c>
      <c r="G325" s="295">
        <f t="shared" si="76"/>
        <v>7429.1339307391436</v>
      </c>
      <c r="H325" s="295">
        <f t="shared" si="76"/>
        <v>3658.4627443696536</v>
      </c>
      <c r="I325" s="295">
        <f t="shared" si="76"/>
        <v>3197.4730618203275</v>
      </c>
      <c r="J325" s="295">
        <f t="shared" si="76"/>
        <v>2754.2497159209756</v>
      </c>
      <c r="K325" s="295">
        <f t="shared" si="76"/>
        <v>2585.7105497164544</v>
      </c>
      <c r="L325" s="295">
        <f t="shared" si="76"/>
        <v>0</v>
      </c>
      <c r="M325" s="295">
        <f t="shared" si="76"/>
        <v>0</v>
      </c>
      <c r="N325" s="295">
        <f t="shared" si="76"/>
        <v>0</v>
      </c>
      <c r="O325" s="295">
        <f t="shared" si="76"/>
        <v>0</v>
      </c>
      <c r="P325" s="295">
        <f t="shared" si="76"/>
        <v>0</v>
      </c>
      <c r="Q325" s="295">
        <f t="shared" si="76"/>
        <v>0</v>
      </c>
      <c r="R325" s="295">
        <f t="shared" si="76"/>
        <v>0</v>
      </c>
      <c r="S325" s="295">
        <f t="shared" si="76"/>
        <v>0</v>
      </c>
      <c r="T325" s="295">
        <f t="shared" si="76"/>
        <v>0</v>
      </c>
      <c r="U325" s="295">
        <f t="shared" si="76"/>
        <v>0</v>
      </c>
      <c r="V325" s="295">
        <f t="shared" si="76"/>
        <v>0</v>
      </c>
      <c r="W325" s="295">
        <f t="shared" si="76"/>
        <v>0</v>
      </c>
      <c r="X325" s="295">
        <f t="shared" si="76"/>
        <v>0</v>
      </c>
      <c r="Y325" s="295">
        <f t="shared" si="76"/>
        <v>0</v>
      </c>
      <c r="Z325" s="295">
        <f t="shared" si="76"/>
        <v>0</v>
      </c>
      <c r="AA325" s="295">
        <f t="shared" si="76"/>
        <v>0</v>
      </c>
      <c r="AB325" s="295">
        <f t="shared" si="76"/>
        <v>0</v>
      </c>
      <c r="AC325" s="295">
        <f t="shared" si="76"/>
        <v>0</v>
      </c>
      <c r="AD325" s="295">
        <f t="shared" si="76"/>
        <v>0</v>
      </c>
      <c r="AE325" s="296">
        <f t="shared" si="76"/>
        <v>0</v>
      </c>
    </row>
    <row r="326" spans="1:31">
      <c r="A326" s="1711"/>
      <c r="B326" s="116">
        <v>9</v>
      </c>
      <c r="C326" s="294">
        <f t="shared" si="75"/>
        <v>2855</v>
      </c>
      <c r="D326" s="295">
        <f t="shared" si="77"/>
        <v>3259.4571625278018</v>
      </c>
      <c r="E326" s="295">
        <f t="shared" si="76"/>
        <v>4628.2704707464909</v>
      </c>
      <c r="F326" s="295">
        <f t="shared" si="76"/>
        <v>6761.963841061619</v>
      </c>
      <c r="G326" s="295">
        <f t="shared" si="76"/>
        <v>8745.5065712923024</v>
      </c>
      <c r="H326" s="295">
        <f t="shared" si="76"/>
        <v>6621.5323494465465</v>
      </c>
      <c r="I326" s="295">
        <f t="shared" si="76"/>
        <v>3260.7608958098949</v>
      </c>
      <c r="J326" s="295">
        <f t="shared" si="76"/>
        <v>2849.8841874049676</v>
      </c>
      <c r="K326" s="295">
        <f t="shared" si="76"/>
        <v>2454.8424839892773</v>
      </c>
      <c r="L326" s="295">
        <f t="shared" si="76"/>
        <v>2304.6247666111558</v>
      </c>
      <c r="M326" s="295">
        <f t="shared" si="76"/>
        <v>0</v>
      </c>
      <c r="N326" s="295">
        <f t="shared" si="76"/>
        <v>0</v>
      </c>
      <c r="O326" s="295">
        <f t="shared" si="76"/>
        <v>0</v>
      </c>
      <c r="P326" s="295">
        <f t="shared" si="76"/>
        <v>0</v>
      </c>
      <c r="Q326" s="295">
        <f t="shared" si="76"/>
        <v>0</v>
      </c>
      <c r="R326" s="295">
        <f t="shared" si="76"/>
        <v>0</v>
      </c>
      <c r="S326" s="295">
        <f t="shared" si="76"/>
        <v>0</v>
      </c>
      <c r="T326" s="295">
        <f t="shared" si="76"/>
        <v>0</v>
      </c>
      <c r="U326" s="295">
        <f t="shared" si="76"/>
        <v>0</v>
      </c>
      <c r="V326" s="295">
        <f t="shared" si="76"/>
        <v>0</v>
      </c>
      <c r="W326" s="295">
        <f t="shared" si="76"/>
        <v>0</v>
      </c>
      <c r="X326" s="295">
        <f t="shared" si="76"/>
        <v>0</v>
      </c>
      <c r="Y326" s="295">
        <f t="shared" si="76"/>
        <v>0</v>
      </c>
      <c r="Z326" s="295">
        <f t="shared" si="76"/>
        <v>0</v>
      </c>
      <c r="AA326" s="295">
        <f t="shared" si="76"/>
        <v>0</v>
      </c>
      <c r="AB326" s="295">
        <f t="shared" si="76"/>
        <v>0</v>
      </c>
      <c r="AC326" s="295">
        <f t="shared" si="76"/>
        <v>0</v>
      </c>
      <c r="AD326" s="295">
        <f t="shared" si="76"/>
        <v>0</v>
      </c>
      <c r="AE326" s="296">
        <f t="shared" si="76"/>
        <v>0</v>
      </c>
    </row>
    <row r="327" spans="1:31">
      <c r="A327" s="1711"/>
      <c r="B327" s="116">
        <v>10</v>
      </c>
      <c r="C327" s="294">
        <f t="shared" si="75"/>
        <v>1979</v>
      </c>
      <c r="D327" s="295">
        <f t="shared" si="77"/>
        <v>2356.9822210443062</v>
      </c>
      <c r="E327" s="295">
        <f t="shared" si="76"/>
        <v>2690.8870691185812</v>
      </c>
      <c r="F327" s="295">
        <f t="shared" si="76"/>
        <v>3820.9286212727984</v>
      </c>
      <c r="G327" s="295">
        <f t="shared" si="76"/>
        <v>5582.4268135645189</v>
      </c>
      <c r="H327" s="295">
        <f t="shared" si="76"/>
        <v>7219.9662005471473</v>
      </c>
      <c r="I327" s="295">
        <f t="shared" si="76"/>
        <v>5466.4917771331848</v>
      </c>
      <c r="J327" s="295">
        <f t="shared" si="76"/>
        <v>2691.9633830124089</v>
      </c>
      <c r="K327" s="295">
        <f t="shared" si="76"/>
        <v>2352.7587957088645</v>
      </c>
      <c r="L327" s="295">
        <f t="shared" si="76"/>
        <v>2026.6270018308119</v>
      </c>
      <c r="M327" s="295">
        <f t="shared" si="76"/>
        <v>1902.6128199933021</v>
      </c>
      <c r="N327" s="295">
        <f t="shared" si="76"/>
        <v>0</v>
      </c>
      <c r="O327" s="295">
        <f t="shared" si="76"/>
        <v>0</v>
      </c>
      <c r="P327" s="295">
        <f t="shared" si="76"/>
        <v>0</v>
      </c>
      <c r="Q327" s="295">
        <f t="shared" si="76"/>
        <v>0</v>
      </c>
      <c r="R327" s="295">
        <f t="shared" si="76"/>
        <v>0</v>
      </c>
      <c r="S327" s="295">
        <f t="shared" si="76"/>
        <v>0</v>
      </c>
      <c r="T327" s="295">
        <f t="shared" si="76"/>
        <v>0</v>
      </c>
      <c r="U327" s="295">
        <f t="shared" si="76"/>
        <v>0</v>
      </c>
      <c r="V327" s="295">
        <f t="shared" si="76"/>
        <v>0</v>
      </c>
      <c r="W327" s="295">
        <f t="shared" si="76"/>
        <v>0</v>
      </c>
      <c r="X327" s="295">
        <f t="shared" si="76"/>
        <v>0</v>
      </c>
      <c r="Y327" s="295">
        <f t="shared" si="76"/>
        <v>0</v>
      </c>
      <c r="Z327" s="295">
        <f t="shared" si="76"/>
        <v>0</v>
      </c>
      <c r="AA327" s="295">
        <f t="shared" si="76"/>
        <v>0</v>
      </c>
      <c r="AB327" s="295">
        <f t="shared" si="76"/>
        <v>0</v>
      </c>
      <c r="AC327" s="295">
        <f t="shared" si="76"/>
        <v>0</v>
      </c>
      <c r="AD327" s="295">
        <f t="shared" si="76"/>
        <v>0</v>
      </c>
      <c r="AE327" s="296">
        <f t="shared" si="76"/>
        <v>0</v>
      </c>
    </row>
    <row r="328" spans="1:31">
      <c r="A328" s="1711"/>
      <c r="B328" s="116">
        <v>11</v>
      </c>
      <c r="C328" s="294">
        <f t="shared" si="75"/>
        <v>1679</v>
      </c>
      <c r="D328" s="295">
        <f t="shared" si="77"/>
        <v>1486.4187959202566</v>
      </c>
      <c r="E328" s="295">
        <f t="shared" si="77"/>
        <v>1770.3196942951643</v>
      </c>
      <c r="F328" s="295">
        <f t="shared" si="77"/>
        <v>2021.1142583307883</v>
      </c>
      <c r="G328" s="295">
        <f t="shared" si="77"/>
        <v>2869.8838405909851</v>
      </c>
      <c r="H328" s="295">
        <f t="shared" si="77"/>
        <v>4192.9379194196699</v>
      </c>
      <c r="I328" s="295">
        <f t="shared" si="77"/>
        <v>5422.8870471966857</v>
      </c>
      <c r="J328" s="295">
        <f t="shared" si="77"/>
        <v>4105.859588314448</v>
      </c>
      <c r="K328" s="295">
        <f t="shared" si="77"/>
        <v>2021.9226732888962</v>
      </c>
      <c r="L328" s="295">
        <f t="shared" si="77"/>
        <v>1767.1474968208001</v>
      </c>
      <c r="M328" s="295">
        <f t="shared" si="77"/>
        <v>1522.1912419610082</v>
      </c>
      <c r="N328" s="295">
        <f t="shared" si="77"/>
        <v>1429.044697825613</v>
      </c>
      <c r="O328" s="295">
        <f t="shared" si="77"/>
        <v>0</v>
      </c>
      <c r="P328" s="295">
        <f t="shared" si="77"/>
        <v>0</v>
      </c>
      <c r="Q328" s="295">
        <f t="shared" si="77"/>
        <v>0</v>
      </c>
      <c r="R328" s="295">
        <f t="shared" si="77"/>
        <v>0</v>
      </c>
      <c r="S328" s="295">
        <f t="shared" si="77"/>
        <v>0</v>
      </c>
      <c r="T328" s="295">
        <f t="shared" ref="E328:AE337" si="78">S327*$F39</f>
        <v>0</v>
      </c>
      <c r="U328" s="295">
        <f t="shared" si="78"/>
        <v>0</v>
      </c>
      <c r="V328" s="295">
        <f t="shared" si="78"/>
        <v>0</v>
      </c>
      <c r="W328" s="295">
        <f t="shared" si="78"/>
        <v>0</v>
      </c>
      <c r="X328" s="295">
        <f t="shared" si="78"/>
        <v>0</v>
      </c>
      <c r="Y328" s="295">
        <f t="shared" si="78"/>
        <v>0</v>
      </c>
      <c r="Z328" s="295">
        <f t="shared" si="78"/>
        <v>0</v>
      </c>
      <c r="AA328" s="295">
        <f t="shared" si="78"/>
        <v>0</v>
      </c>
      <c r="AB328" s="295">
        <f t="shared" si="78"/>
        <v>0</v>
      </c>
      <c r="AC328" s="295">
        <f t="shared" si="78"/>
        <v>0</v>
      </c>
      <c r="AD328" s="295">
        <f t="shared" si="78"/>
        <v>0</v>
      </c>
      <c r="AE328" s="296">
        <f t="shared" si="78"/>
        <v>0</v>
      </c>
    </row>
    <row r="329" spans="1:31">
      <c r="A329" s="1711"/>
      <c r="B329" s="116">
        <v>12</v>
      </c>
      <c r="C329" s="294">
        <f t="shared" si="75"/>
        <v>1397</v>
      </c>
      <c r="D329" s="295">
        <f t="shared" si="77"/>
        <v>1113.8664265092168</v>
      </c>
      <c r="E329" s="295">
        <f t="shared" si="78"/>
        <v>986.10601102312637</v>
      </c>
      <c r="F329" s="295">
        <f t="shared" si="78"/>
        <v>1174.4488812766194</v>
      </c>
      <c r="G329" s="295">
        <f t="shared" si="78"/>
        <v>1340.8286578283153</v>
      </c>
      <c r="H329" s="295">
        <f t="shared" si="78"/>
        <v>1903.9114103726192</v>
      </c>
      <c r="I329" s="295">
        <f t="shared" si="78"/>
        <v>2781.6395335789034</v>
      </c>
      <c r="J329" s="295">
        <f t="shared" si="78"/>
        <v>3597.6008437308465</v>
      </c>
      <c r="K329" s="295">
        <f t="shared" si="78"/>
        <v>2723.870844183692</v>
      </c>
      <c r="L329" s="295">
        <f t="shared" si="78"/>
        <v>1341.3649688947385</v>
      </c>
      <c r="M329" s="295">
        <f t="shared" si="78"/>
        <v>1172.3444117918359</v>
      </c>
      <c r="N329" s="295">
        <f t="shared" si="78"/>
        <v>1009.8378315346844</v>
      </c>
      <c r="O329" s="295">
        <f t="shared" si="78"/>
        <v>948.04342518699173</v>
      </c>
      <c r="P329" s="295">
        <f t="shared" si="78"/>
        <v>0</v>
      </c>
      <c r="Q329" s="295">
        <f t="shared" si="78"/>
        <v>0</v>
      </c>
      <c r="R329" s="295">
        <f t="shared" si="78"/>
        <v>0</v>
      </c>
      <c r="S329" s="295">
        <f t="shared" si="78"/>
        <v>0</v>
      </c>
      <c r="T329" s="295">
        <f t="shared" si="78"/>
        <v>0</v>
      </c>
      <c r="U329" s="295">
        <f t="shared" si="78"/>
        <v>0</v>
      </c>
      <c r="V329" s="295">
        <f t="shared" si="78"/>
        <v>0</v>
      </c>
      <c r="W329" s="295">
        <f t="shared" si="78"/>
        <v>0</v>
      </c>
      <c r="X329" s="295">
        <f t="shared" si="78"/>
        <v>0</v>
      </c>
      <c r="Y329" s="295">
        <f t="shared" si="78"/>
        <v>0</v>
      </c>
      <c r="Z329" s="295">
        <f t="shared" si="78"/>
        <v>0</v>
      </c>
      <c r="AA329" s="295">
        <f t="shared" si="78"/>
        <v>0</v>
      </c>
      <c r="AB329" s="295">
        <f t="shared" si="78"/>
        <v>0</v>
      </c>
      <c r="AC329" s="295">
        <f t="shared" si="78"/>
        <v>0</v>
      </c>
      <c r="AD329" s="295">
        <f t="shared" si="78"/>
        <v>0</v>
      </c>
      <c r="AE329" s="296">
        <f t="shared" si="78"/>
        <v>0</v>
      </c>
    </row>
    <row r="330" spans="1:31">
      <c r="A330" s="1711"/>
      <c r="B330" s="116">
        <v>13</v>
      </c>
      <c r="C330" s="294">
        <f t="shared" si="75"/>
        <v>893</v>
      </c>
      <c r="D330" s="295">
        <f t="shared" si="77"/>
        <v>810.1153388807229</v>
      </c>
      <c r="E330" s="295">
        <f t="shared" si="78"/>
        <v>645.9271850961876</v>
      </c>
      <c r="F330" s="295">
        <f t="shared" si="78"/>
        <v>571.8393738670851</v>
      </c>
      <c r="G330" s="295">
        <f t="shared" si="78"/>
        <v>681.05873547136321</v>
      </c>
      <c r="H330" s="295">
        <f t="shared" si="78"/>
        <v>777.54177703476773</v>
      </c>
      <c r="I330" s="295">
        <f t="shared" si="78"/>
        <v>1104.0714655783031</v>
      </c>
      <c r="J330" s="295">
        <f t="shared" si="78"/>
        <v>1613.0628871791621</v>
      </c>
      <c r="K330" s="295">
        <f t="shared" si="78"/>
        <v>2086.2359532402215</v>
      </c>
      <c r="L330" s="295">
        <f t="shared" si="78"/>
        <v>1579.5630293508893</v>
      </c>
      <c r="M330" s="295">
        <f t="shared" si="78"/>
        <v>777.85278191760301</v>
      </c>
      <c r="N330" s="295">
        <f t="shared" si="78"/>
        <v>679.8383610906692</v>
      </c>
      <c r="O330" s="295">
        <f t="shared" si="78"/>
        <v>585.60137230371879</v>
      </c>
      <c r="P330" s="295">
        <f t="shared" si="78"/>
        <v>549.76701551109602</v>
      </c>
      <c r="Q330" s="295">
        <f t="shared" si="78"/>
        <v>0</v>
      </c>
      <c r="R330" s="295">
        <f t="shared" si="78"/>
        <v>0</v>
      </c>
      <c r="S330" s="295">
        <f t="shared" si="78"/>
        <v>0</v>
      </c>
      <c r="T330" s="295">
        <f t="shared" si="78"/>
        <v>0</v>
      </c>
      <c r="U330" s="295">
        <f t="shared" si="78"/>
        <v>0</v>
      </c>
      <c r="V330" s="295">
        <f t="shared" si="78"/>
        <v>0</v>
      </c>
      <c r="W330" s="295">
        <f t="shared" si="78"/>
        <v>0</v>
      </c>
      <c r="X330" s="295">
        <f t="shared" si="78"/>
        <v>0</v>
      </c>
      <c r="Y330" s="295">
        <f t="shared" si="78"/>
        <v>0</v>
      </c>
      <c r="Z330" s="295">
        <f t="shared" si="78"/>
        <v>0</v>
      </c>
      <c r="AA330" s="295">
        <f t="shared" si="78"/>
        <v>0</v>
      </c>
      <c r="AB330" s="295">
        <f t="shared" si="78"/>
        <v>0</v>
      </c>
      <c r="AC330" s="295">
        <f t="shared" si="78"/>
        <v>0</v>
      </c>
      <c r="AD330" s="295">
        <f t="shared" si="78"/>
        <v>0</v>
      </c>
      <c r="AE330" s="296">
        <f t="shared" si="78"/>
        <v>0</v>
      </c>
    </row>
    <row r="331" spans="1:31">
      <c r="A331" s="1711"/>
      <c r="B331" s="116">
        <v>14</v>
      </c>
      <c r="C331" s="294">
        <f t="shared" si="75"/>
        <v>614</v>
      </c>
      <c r="D331" s="295">
        <f t="shared" si="77"/>
        <v>445.80502948485577</v>
      </c>
      <c r="E331" s="295">
        <f t="shared" si="78"/>
        <v>404.42720328763113</v>
      </c>
      <c r="F331" s="295">
        <f t="shared" si="78"/>
        <v>322.46090458776689</v>
      </c>
      <c r="G331" s="295">
        <f t="shared" si="78"/>
        <v>285.47465725354687</v>
      </c>
      <c r="H331" s="295">
        <f t="shared" si="78"/>
        <v>339.99933891123146</v>
      </c>
      <c r="I331" s="295">
        <f t="shared" si="78"/>
        <v>388.16577249349587</v>
      </c>
      <c r="J331" s="295">
        <f t="shared" si="78"/>
        <v>551.1764974977865</v>
      </c>
      <c r="K331" s="295">
        <f t="shared" si="78"/>
        <v>805.27608956308279</v>
      </c>
      <c r="L331" s="295">
        <f t="shared" si="78"/>
        <v>1041.4943792235422</v>
      </c>
      <c r="M331" s="295">
        <f t="shared" si="78"/>
        <v>788.55223166065105</v>
      </c>
      <c r="N331" s="295">
        <f t="shared" si="78"/>
        <v>388.32103289770896</v>
      </c>
      <c r="O331" s="295">
        <f t="shared" si="78"/>
        <v>339.39010146804236</v>
      </c>
      <c r="P331" s="295">
        <f t="shared" si="78"/>
        <v>292.34494630037108</v>
      </c>
      <c r="Q331" s="295">
        <f t="shared" si="78"/>
        <v>274.45565572197688</v>
      </c>
      <c r="R331" s="295">
        <f t="shared" si="78"/>
        <v>0</v>
      </c>
      <c r="S331" s="295">
        <f t="shared" si="78"/>
        <v>0</v>
      </c>
      <c r="T331" s="295">
        <f t="shared" si="78"/>
        <v>0</v>
      </c>
      <c r="U331" s="295">
        <f t="shared" si="78"/>
        <v>0</v>
      </c>
      <c r="V331" s="295">
        <f t="shared" si="78"/>
        <v>0</v>
      </c>
      <c r="W331" s="295">
        <f t="shared" si="78"/>
        <v>0</v>
      </c>
      <c r="X331" s="295">
        <f t="shared" si="78"/>
        <v>0</v>
      </c>
      <c r="Y331" s="295">
        <f t="shared" si="78"/>
        <v>0</v>
      </c>
      <c r="Z331" s="295">
        <f t="shared" si="78"/>
        <v>0</v>
      </c>
      <c r="AA331" s="295">
        <f t="shared" si="78"/>
        <v>0</v>
      </c>
      <c r="AB331" s="295">
        <f t="shared" si="78"/>
        <v>0</v>
      </c>
      <c r="AC331" s="295">
        <f t="shared" si="78"/>
        <v>0</v>
      </c>
      <c r="AD331" s="295">
        <f t="shared" si="78"/>
        <v>0</v>
      </c>
      <c r="AE331" s="296">
        <f t="shared" si="78"/>
        <v>0</v>
      </c>
    </row>
    <row r="332" spans="1:31">
      <c r="A332" s="1711"/>
      <c r="B332" s="116">
        <v>15</v>
      </c>
      <c r="C332" s="294">
        <f t="shared" si="75"/>
        <v>372.5</v>
      </c>
      <c r="D332" s="295">
        <f t="shared" si="77"/>
        <v>255.88093288652337</v>
      </c>
      <c r="E332" s="295">
        <f t="shared" si="78"/>
        <v>185.78665607506343</v>
      </c>
      <c r="F332" s="295">
        <f t="shared" si="78"/>
        <v>168.54268739727473</v>
      </c>
      <c r="G332" s="295">
        <f t="shared" si="78"/>
        <v>134.38370860806188</v>
      </c>
      <c r="H332" s="295">
        <f t="shared" si="78"/>
        <v>118.96990490797734</v>
      </c>
      <c r="I332" s="295">
        <f t="shared" si="78"/>
        <v>141.69274922053279</v>
      </c>
      <c r="J332" s="295">
        <f t="shared" si="78"/>
        <v>161.76583058673242</v>
      </c>
      <c r="K332" s="295">
        <f t="shared" si="78"/>
        <v>229.69960320009793</v>
      </c>
      <c r="L332" s="295">
        <f t="shared" si="78"/>
        <v>335.59413196842536</v>
      </c>
      <c r="M332" s="295">
        <f t="shared" si="78"/>
        <v>434.03673184330705</v>
      </c>
      <c r="N332" s="295">
        <f t="shared" si="78"/>
        <v>328.62456134703137</v>
      </c>
      <c r="O332" s="295">
        <f t="shared" si="78"/>
        <v>161.83053445818257</v>
      </c>
      <c r="P332" s="295">
        <f t="shared" si="78"/>
        <v>141.43885305552851</v>
      </c>
      <c r="Q332" s="295">
        <f t="shared" si="78"/>
        <v>121.83305795439662</v>
      </c>
      <c r="R332" s="295">
        <f t="shared" si="78"/>
        <v>114.3778000360292</v>
      </c>
      <c r="S332" s="295">
        <f t="shared" si="78"/>
        <v>0</v>
      </c>
      <c r="T332" s="295">
        <f t="shared" si="78"/>
        <v>0</v>
      </c>
      <c r="U332" s="295">
        <f t="shared" si="78"/>
        <v>0</v>
      </c>
      <c r="V332" s="295">
        <f t="shared" si="78"/>
        <v>0</v>
      </c>
      <c r="W332" s="295">
        <f t="shared" si="78"/>
        <v>0</v>
      </c>
      <c r="X332" s="295">
        <f t="shared" si="78"/>
        <v>0</v>
      </c>
      <c r="Y332" s="295">
        <f t="shared" si="78"/>
        <v>0</v>
      </c>
      <c r="Z332" s="295">
        <f t="shared" si="78"/>
        <v>0</v>
      </c>
      <c r="AA332" s="295">
        <f t="shared" si="78"/>
        <v>0</v>
      </c>
      <c r="AB332" s="295">
        <f t="shared" si="78"/>
        <v>0</v>
      </c>
      <c r="AC332" s="295">
        <f t="shared" si="78"/>
        <v>0</v>
      </c>
      <c r="AD332" s="295">
        <f t="shared" si="78"/>
        <v>0</v>
      </c>
      <c r="AE332" s="296">
        <f t="shared" si="78"/>
        <v>0</v>
      </c>
    </row>
    <row r="333" spans="1:31">
      <c r="A333" s="1711"/>
      <c r="B333" s="116">
        <v>16</v>
      </c>
      <c r="C333" s="294">
        <f t="shared" si="75"/>
        <v>248</v>
      </c>
      <c r="D333" s="295">
        <f t="shared" si="77"/>
        <v>139.71348982118397</v>
      </c>
      <c r="E333" s="295">
        <f t="shared" si="78"/>
        <v>95.973202985976755</v>
      </c>
      <c r="F333" s="295">
        <f t="shared" si="78"/>
        <v>69.682958610617945</v>
      </c>
      <c r="G333" s="295">
        <f t="shared" si="78"/>
        <v>63.215267221782916</v>
      </c>
      <c r="H333" s="295">
        <f t="shared" si="78"/>
        <v>50.403266858376931</v>
      </c>
      <c r="I333" s="295">
        <f t="shared" si="78"/>
        <v>44.62201502922931</v>
      </c>
      <c r="J333" s="295">
        <f t="shared" si="78"/>
        <v>53.144667049552972</v>
      </c>
      <c r="K333" s="295">
        <f t="shared" si="78"/>
        <v>60.673473087502849</v>
      </c>
      <c r="L333" s="295">
        <f t="shared" si="78"/>
        <v>86.153377647320482</v>
      </c>
      <c r="M333" s="295">
        <f t="shared" si="78"/>
        <v>125.87121433777092</v>
      </c>
      <c r="N333" s="295">
        <f t="shared" si="78"/>
        <v>162.79405776217405</v>
      </c>
      <c r="O333" s="295">
        <f t="shared" si="78"/>
        <v>123.25713907852219</v>
      </c>
      <c r="P333" s="295">
        <f t="shared" si="78"/>
        <v>60.697741553771955</v>
      </c>
      <c r="Q333" s="295">
        <f t="shared" si="78"/>
        <v>53.049438273002735</v>
      </c>
      <c r="R333" s="295">
        <f t="shared" si="78"/>
        <v>45.695897187638415</v>
      </c>
      <c r="S333" s="295">
        <f t="shared" si="78"/>
        <v>42.899655304974985</v>
      </c>
      <c r="T333" s="295">
        <f t="shared" si="78"/>
        <v>0</v>
      </c>
      <c r="U333" s="295">
        <f t="shared" si="78"/>
        <v>0</v>
      </c>
      <c r="V333" s="295">
        <f t="shared" si="78"/>
        <v>0</v>
      </c>
      <c r="W333" s="295">
        <f t="shared" si="78"/>
        <v>0</v>
      </c>
      <c r="X333" s="295">
        <f t="shared" si="78"/>
        <v>0</v>
      </c>
      <c r="Y333" s="295">
        <f t="shared" si="78"/>
        <v>0</v>
      </c>
      <c r="Z333" s="295">
        <f t="shared" si="78"/>
        <v>0</v>
      </c>
      <c r="AA333" s="295">
        <f t="shared" si="78"/>
        <v>0</v>
      </c>
      <c r="AB333" s="295">
        <f t="shared" si="78"/>
        <v>0</v>
      </c>
      <c r="AC333" s="295">
        <f t="shared" si="78"/>
        <v>0</v>
      </c>
      <c r="AD333" s="295">
        <f t="shared" si="78"/>
        <v>0</v>
      </c>
      <c r="AE333" s="296">
        <f t="shared" si="78"/>
        <v>0</v>
      </c>
    </row>
    <row r="334" spans="1:31">
      <c r="A334" s="1711"/>
      <c r="B334" s="116">
        <v>17</v>
      </c>
      <c r="C334" s="294">
        <f t="shared" si="75"/>
        <v>168</v>
      </c>
      <c r="D334" s="295">
        <f t="shared" si="77"/>
        <v>82.682047369195828</v>
      </c>
      <c r="E334" s="295">
        <f t="shared" si="78"/>
        <v>46.579828159317707</v>
      </c>
      <c r="F334" s="295">
        <f t="shared" si="78"/>
        <v>31.997019820403128</v>
      </c>
      <c r="G334" s="295">
        <f t="shared" si="78"/>
        <v>23.23197453495494</v>
      </c>
      <c r="H334" s="295">
        <f t="shared" si="78"/>
        <v>21.075676285838011</v>
      </c>
      <c r="I334" s="295">
        <f t="shared" si="78"/>
        <v>16.804214911074755</v>
      </c>
      <c r="J334" s="295">
        <f t="shared" si="78"/>
        <v>14.876772420789136</v>
      </c>
      <c r="K334" s="295">
        <f t="shared" si="78"/>
        <v>17.718184993593866</v>
      </c>
      <c r="L334" s="295">
        <f t="shared" si="78"/>
        <v>20.228253934977978</v>
      </c>
      <c r="M334" s="295">
        <f t="shared" si="78"/>
        <v>28.723135692145036</v>
      </c>
      <c r="N334" s="295">
        <f t="shared" si="78"/>
        <v>41.964877847958775</v>
      </c>
      <c r="O334" s="295">
        <f t="shared" si="78"/>
        <v>54.274782239176112</v>
      </c>
      <c r="P334" s="295">
        <f t="shared" si="78"/>
        <v>41.093357305975516</v>
      </c>
      <c r="Q334" s="295">
        <f t="shared" si="78"/>
        <v>20.236344928839429</v>
      </c>
      <c r="R334" s="295">
        <f t="shared" si="78"/>
        <v>17.686436162087265</v>
      </c>
      <c r="S334" s="295">
        <f t="shared" si="78"/>
        <v>15.23479974131541</v>
      </c>
      <c r="T334" s="295">
        <f t="shared" si="78"/>
        <v>14.302545693742397</v>
      </c>
      <c r="U334" s="295">
        <f t="shared" si="78"/>
        <v>0</v>
      </c>
      <c r="V334" s="295">
        <f t="shared" si="78"/>
        <v>0</v>
      </c>
      <c r="W334" s="295">
        <f t="shared" si="78"/>
        <v>0</v>
      </c>
      <c r="X334" s="295">
        <f t="shared" si="78"/>
        <v>0</v>
      </c>
      <c r="Y334" s="295">
        <f t="shared" si="78"/>
        <v>0</v>
      </c>
      <c r="Z334" s="295">
        <f t="shared" si="78"/>
        <v>0</v>
      </c>
      <c r="AA334" s="295">
        <f t="shared" si="78"/>
        <v>0</v>
      </c>
      <c r="AB334" s="295">
        <f t="shared" si="78"/>
        <v>0</v>
      </c>
      <c r="AC334" s="295">
        <f t="shared" si="78"/>
        <v>0</v>
      </c>
      <c r="AD334" s="295">
        <f t="shared" si="78"/>
        <v>0</v>
      </c>
      <c r="AE334" s="296">
        <f t="shared" si="78"/>
        <v>0</v>
      </c>
    </row>
    <row r="335" spans="1:31">
      <c r="A335" s="1711"/>
      <c r="B335" s="116">
        <v>18</v>
      </c>
      <c r="C335" s="294">
        <f t="shared" si="75"/>
        <v>84.5</v>
      </c>
      <c r="D335" s="295">
        <f t="shared" ref="D335:S342" si="79">C334*$F46</f>
        <v>49.009116787386233</v>
      </c>
      <c r="E335" s="295">
        <f t="shared" si="78"/>
        <v>24.120084022244754</v>
      </c>
      <c r="F335" s="295">
        <f t="shared" si="78"/>
        <v>13.588310941645139</v>
      </c>
      <c r="G335" s="295">
        <f t="shared" si="78"/>
        <v>9.3342004834907684</v>
      </c>
      <c r="H335" s="295">
        <f t="shared" si="78"/>
        <v>6.7772532927689859</v>
      </c>
      <c r="I335" s="295">
        <f t="shared" si="78"/>
        <v>6.1482159551534616</v>
      </c>
      <c r="J335" s="295">
        <f t="shared" si="78"/>
        <v>4.9021412565309515</v>
      </c>
      <c r="K335" s="295">
        <f t="shared" si="78"/>
        <v>4.339865934463222</v>
      </c>
      <c r="L335" s="295">
        <f t="shared" si="78"/>
        <v>5.168765461973547</v>
      </c>
      <c r="M335" s="295">
        <f t="shared" si="78"/>
        <v>5.9010051160966714</v>
      </c>
      <c r="N335" s="295">
        <f t="shared" si="78"/>
        <v>8.37913995021594</v>
      </c>
      <c r="O335" s="295">
        <f t="shared" si="78"/>
        <v>12.242033329875053</v>
      </c>
      <c r="P335" s="295">
        <f t="shared" si="78"/>
        <v>15.833090127200823</v>
      </c>
      <c r="Q335" s="295">
        <f t="shared" si="78"/>
        <v>11.98779254401396</v>
      </c>
      <c r="R335" s="295">
        <f t="shared" si="78"/>
        <v>5.9033654283769206</v>
      </c>
      <c r="S335" s="295">
        <f t="shared" si="78"/>
        <v>5.1595036632165829</v>
      </c>
      <c r="T335" s="295">
        <f t="shared" si="78"/>
        <v>4.4443099985390981</v>
      </c>
      <c r="U335" s="295">
        <f t="shared" si="78"/>
        <v>4.1723519777473168</v>
      </c>
      <c r="V335" s="295">
        <f t="shared" si="78"/>
        <v>0</v>
      </c>
      <c r="W335" s="295">
        <f t="shared" si="78"/>
        <v>0</v>
      </c>
      <c r="X335" s="295">
        <f t="shared" si="78"/>
        <v>0</v>
      </c>
      <c r="Y335" s="295">
        <f t="shared" si="78"/>
        <v>0</v>
      </c>
      <c r="Z335" s="295">
        <f t="shared" si="78"/>
        <v>0</v>
      </c>
      <c r="AA335" s="295">
        <f t="shared" si="78"/>
        <v>0</v>
      </c>
      <c r="AB335" s="295">
        <f t="shared" si="78"/>
        <v>0</v>
      </c>
      <c r="AC335" s="295">
        <f t="shared" si="78"/>
        <v>0</v>
      </c>
      <c r="AD335" s="295">
        <f t="shared" si="78"/>
        <v>0</v>
      </c>
      <c r="AE335" s="296">
        <f t="shared" si="78"/>
        <v>0</v>
      </c>
    </row>
    <row r="336" spans="1:31">
      <c r="A336" s="1711"/>
      <c r="B336" s="116">
        <v>19</v>
      </c>
      <c r="C336" s="294">
        <f t="shared" ref="C336:C342" si="80">(EXP(18-B336)*$W$47/(EXP(-1)+EXP(-2)+EXP(-3)+EXP(-4)+EXP(-5)+EXP(-6)+EXP(-7)+EXP(-8)+EXP(-9)+EXP(-10)))</f>
        <v>111.57434410062589</v>
      </c>
      <c r="D336" s="295">
        <f t="shared" si="79"/>
        <v>21.128930451704779</v>
      </c>
      <c r="E336" s="295">
        <f t="shared" si="78"/>
        <v>12.254558817753383</v>
      </c>
      <c r="F336" s="295">
        <f t="shared" si="78"/>
        <v>6.0311429324885806</v>
      </c>
      <c r="G336" s="295">
        <f t="shared" si="78"/>
        <v>3.3977097851143099</v>
      </c>
      <c r="H336" s="295">
        <f t="shared" si="78"/>
        <v>2.3339842939401843</v>
      </c>
      <c r="I336" s="295">
        <f t="shared" si="78"/>
        <v>1.6946285618521078</v>
      </c>
      <c r="J336" s="295">
        <f t="shared" si="78"/>
        <v>1.5373399682662621</v>
      </c>
      <c r="K336" s="295">
        <f t="shared" si="78"/>
        <v>1.2257633334162739</v>
      </c>
      <c r="L336" s="295">
        <f t="shared" si="78"/>
        <v>1.0851683491005466</v>
      </c>
      <c r="M336" s="295">
        <f t="shared" si="78"/>
        <v>1.2924317865942343</v>
      </c>
      <c r="N336" s="295">
        <f t="shared" si="78"/>
        <v>1.4755257596823745</v>
      </c>
      <c r="O336" s="295">
        <f t="shared" si="78"/>
        <v>2.0951747367244216</v>
      </c>
      <c r="P336" s="295">
        <f t="shared" si="78"/>
        <v>3.0610777611169451</v>
      </c>
      <c r="Q336" s="295">
        <f t="shared" si="78"/>
        <v>3.9590089956591683</v>
      </c>
      <c r="R336" s="295">
        <f t="shared" si="78"/>
        <v>2.9975057388394797</v>
      </c>
      <c r="S336" s="295">
        <f t="shared" si="78"/>
        <v>1.4761159475405248</v>
      </c>
      <c r="T336" s="295">
        <f t="shared" si="78"/>
        <v>1.2901159060996357</v>
      </c>
      <c r="U336" s="295">
        <f t="shared" si="78"/>
        <v>1.1112842232538316</v>
      </c>
      <c r="V336" s="295">
        <f t="shared" si="78"/>
        <v>1.043282068140307</v>
      </c>
      <c r="W336" s="295">
        <f t="shared" si="78"/>
        <v>0</v>
      </c>
      <c r="X336" s="295">
        <f t="shared" si="78"/>
        <v>0</v>
      </c>
      <c r="Y336" s="295">
        <f t="shared" si="78"/>
        <v>0</v>
      </c>
      <c r="Z336" s="295">
        <f t="shared" si="78"/>
        <v>0</v>
      </c>
      <c r="AA336" s="295">
        <f t="shared" si="78"/>
        <v>0</v>
      </c>
      <c r="AB336" s="295">
        <f t="shared" si="78"/>
        <v>0</v>
      </c>
      <c r="AC336" s="295">
        <f t="shared" si="78"/>
        <v>0</v>
      </c>
      <c r="AD336" s="295">
        <f t="shared" si="78"/>
        <v>0</v>
      </c>
      <c r="AE336" s="296">
        <f t="shared" si="78"/>
        <v>0</v>
      </c>
    </row>
    <row r="337" spans="1:31">
      <c r="A337" s="1711"/>
      <c r="B337" s="116">
        <v>20</v>
      </c>
      <c r="C337" s="294">
        <f t="shared" si="80"/>
        <v>41.045907356808463</v>
      </c>
      <c r="D337" s="295">
        <f t="shared" si="79"/>
        <v>23.248979849079898</v>
      </c>
      <c r="E337" s="295">
        <f t="shared" si="78"/>
        <v>4.4026795072285747</v>
      </c>
      <c r="F337" s="295">
        <f t="shared" si="78"/>
        <v>2.553508096416536</v>
      </c>
      <c r="G337" s="295">
        <f t="shared" si="78"/>
        <v>1.2567218891996255</v>
      </c>
      <c r="H337" s="295">
        <f t="shared" si="78"/>
        <v>0.70798790675302792</v>
      </c>
      <c r="I337" s="295">
        <f t="shared" si="78"/>
        <v>0.486337197455951</v>
      </c>
      <c r="J337" s="295">
        <f t="shared" si="78"/>
        <v>0.35311330399256086</v>
      </c>
      <c r="K337" s="295">
        <f t="shared" si="78"/>
        <v>0.32033875019846036</v>
      </c>
      <c r="L337" s="295">
        <f t="shared" si="78"/>
        <v>0.25541487398424323</v>
      </c>
      <c r="M337" s="295">
        <f t="shared" si="78"/>
        <v>0.22611880252994812</v>
      </c>
      <c r="N337" s="295">
        <f t="shared" si="78"/>
        <v>0.26930671925564226</v>
      </c>
      <c r="O337" s="295">
        <f t="shared" si="78"/>
        <v>0.30745839404366615</v>
      </c>
      <c r="P337" s="295">
        <f t="shared" si="78"/>
        <v>0.43657594966882812</v>
      </c>
      <c r="Q337" s="295">
        <f t="shared" si="78"/>
        <v>0.63784318660650985</v>
      </c>
      <c r="R337" s="295">
        <f t="shared" si="78"/>
        <v>0.82494699927964643</v>
      </c>
      <c r="S337" s="295">
        <f t="shared" si="78"/>
        <v>0.6245965511294409</v>
      </c>
      <c r="T337" s="295">
        <f t="shared" si="78"/>
        <v>0.30758137272422137</v>
      </c>
      <c r="U337" s="295">
        <f t="shared" si="78"/>
        <v>0.26882415438478591</v>
      </c>
      <c r="V337" s="295">
        <f t="shared" si="78"/>
        <v>0.23156062194484192</v>
      </c>
      <c r="W337" s="295">
        <f t="shared" si="78"/>
        <v>0.21739087040677782</v>
      </c>
      <c r="X337" s="295">
        <f t="shared" si="78"/>
        <v>0</v>
      </c>
      <c r="Y337" s="295">
        <f t="shared" si="78"/>
        <v>0</v>
      </c>
      <c r="Z337" s="295">
        <f t="shared" si="78"/>
        <v>0</v>
      </c>
      <c r="AA337" s="295">
        <f t="shared" si="78"/>
        <v>0</v>
      </c>
      <c r="AB337" s="295">
        <f t="shared" si="78"/>
        <v>0</v>
      </c>
      <c r="AC337" s="295">
        <f t="shared" si="78"/>
        <v>0</v>
      </c>
      <c r="AD337" s="295">
        <f t="shared" si="78"/>
        <v>0</v>
      </c>
      <c r="AE337" s="296">
        <f t="shared" si="78"/>
        <v>0</v>
      </c>
    </row>
    <row r="338" spans="1:31">
      <c r="A338" s="1711"/>
      <c r="B338" s="116">
        <v>21</v>
      </c>
      <c r="C338" s="294">
        <f t="shared" si="80"/>
        <v>15.099945460797493</v>
      </c>
      <c r="D338" s="295">
        <f t="shared" si="79"/>
        <v>6.8422573717485085</v>
      </c>
      <c r="E338" s="295">
        <f t="shared" si="79"/>
        <v>3.8755509136433526</v>
      </c>
      <c r="F338" s="295">
        <f t="shared" si="79"/>
        <v>0.73391644267754164</v>
      </c>
      <c r="G338" s="295">
        <f t="shared" si="79"/>
        <v>0.42566386569664727</v>
      </c>
      <c r="H338" s="295">
        <f t="shared" si="79"/>
        <v>0.20949261849336426</v>
      </c>
      <c r="I338" s="295">
        <f t="shared" si="79"/>
        <v>0.11801993879631378</v>
      </c>
      <c r="J338" s="295">
        <f t="shared" si="79"/>
        <v>8.1071280640029997E-2</v>
      </c>
      <c r="K338" s="295">
        <f t="shared" si="79"/>
        <v>5.8863167192351122E-2</v>
      </c>
      <c r="L338" s="295">
        <f t="shared" si="79"/>
        <v>5.3399725238100972E-2</v>
      </c>
      <c r="M338" s="295">
        <f t="shared" si="79"/>
        <v>4.2577065946698342E-2</v>
      </c>
      <c r="N338" s="295">
        <f t="shared" si="79"/>
        <v>3.7693478915014123E-2</v>
      </c>
      <c r="O338" s="295">
        <f t="shared" si="79"/>
        <v>4.4892804270842197E-2</v>
      </c>
      <c r="P338" s="295">
        <f t="shared" si="79"/>
        <v>5.1252599799143699E-2</v>
      </c>
      <c r="Q338" s="295">
        <f t="shared" si="79"/>
        <v>7.2776196271713084E-2</v>
      </c>
      <c r="R338" s="295">
        <f t="shared" si="79"/>
        <v>0.10632697695386743</v>
      </c>
      <c r="S338" s="295">
        <f t="shared" si="79"/>
        <v>0.13751674772482997</v>
      </c>
      <c r="T338" s="295">
        <f t="shared" ref="E338:AE342" si="81">S337*$F49</f>
        <v>0.10411879360306606</v>
      </c>
      <c r="U338" s="295">
        <f t="shared" si="81"/>
        <v>5.1273100059407946E-2</v>
      </c>
      <c r="V338" s="295">
        <f t="shared" si="81"/>
        <v>4.4812361828279988E-2</v>
      </c>
      <c r="W338" s="295">
        <f t="shared" si="81"/>
        <v>3.8600617565491657E-2</v>
      </c>
      <c r="X338" s="295">
        <f t="shared" si="81"/>
        <v>3.6238552912507882E-2</v>
      </c>
      <c r="Y338" s="295">
        <f t="shared" si="81"/>
        <v>0</v>
      </c>
      <c r="Z338" s="295">
        <f t="shared" si="81"/>
        <v>0</v>
      </c>
      <c r="AA338" s="295">
        <f t="shared" si="81"/>
        <v>0</v>
      </c>
      <c r="AB338" s="295">
        <f t="shared" si="81"/>
        <v>0</v>
      </c>
      <c r="AC338" s="295">
        <f t="shared" si="81"/>
        <v>0</v>
      </c>
      <c r="AD338" s="295">
        <f t="shared" si="81"/>
        <v>0</v>
      </c>
      <c r="AE338" s="296">
        <f t="shared" si="81"/>
        <v>0</v>
      </c>
    </row>
    <row r="339" spans="1:31">
      <c r="A339" s="1711"/>
      <c r="B339" s="116">
        <v>22</v>
      </c>
      <c r="C339" s="294">
        <f t="shared" si="80"/>
        <v>5.5549594978374373</v>
      </c>
      <c r="D339" s="295">
        <f t="shared" si="79"/>
        <v>1.8878443637025173</v>
      </c>
      <c r="E339" s="295">
        <f t="shared" si="81"/>
        <v>0.8554413026055534</v>
      </c>
      <c r="F339" s="295">
        <f t="shared" si="81"/>
        <v>0.48453399832196026</v>
      </c>
      <c r="G339" s="295">
        <f t="shared" si="81"/>
        <v>9.1756624110629292E-2</v>
      </c>
      <c r="H339" s="295">
        <f t="shared" si="81"/>
        <v>5.321788292371752E-2</v>
      </c>
      <c r="I339" s="295">
        <f t="shared" si="81"/>
        <v>2.6191449504685292E-2</v>
      </c>
      <c r="J339" s="295">
        <f t="shared" si="81"/>
        <v>1.4755237152318154E-2</v>
      </c>
      <c r="K339" s="295">
        <f t="shared" si="81"/>
        <v>1.0135795563750494E-2</v>
      </c>
      <c r="L339" s="295">
        <f t="shared" si="81"/>
        <v>7.3592648862382069E-3</v>
      </c>
      <c r="M339" s="295">
        <f t="shared" si="81"/>
        <v>6.6762075780827188E-3</v>
      </c>
      <c r="N339" s="295">
        <f t="shared" si="81"/>
        <v>5.3231234628724079E-3</v>
      </c>
      <c r="O339" s="295">
        <f t="shared" si="81"/>
        <v>4.7125615057877733E-3</v>
      </c>
      <c r="P339" s="295">
        <f t="shared" si="81"/>
        <v>5.6126446107728984E-3</v>
      </c>
      <c r="Q339" s="295">
        <f t="shared" si="81"/>
        <v>6.4077669622790842E-3</v>
      </c>
      <c r="R339" s="295">
        <f t="shared" si="81"/>
        <v>9.098717098015633E-3</v>
      </c>
      <c r="S339" s="295">
        <f t="shared" si="81"/>
        <v>1.3293344977504623E-2</v>
      </c>
      <c r="T339" s="295">
        <f t="shared" si="81"/>
        <v>1.7192791707825818E-2</v>
      </c>
      <c r="U339" s="295">
        <f t="shared" si="81"/>
        <v>1.301727070268986E-2</v>
      </c>
      <c r="V339" s="295">
        <f t="shared" si="81"/>
        <v>6.4103299715889371E-3</v>
      </c>
      <c r="W339" s="295">
        <f t="shared" si="81"/>
        <v>5.6025874345938323E-3</v>
      </c>
      <c r="X339" s="295">
        <f t="shared" si="81"/>
        <v>4.8259749345214605E-3</v>
      </c>
      <c r="Y339" s="295">
        <f t="shared" si="81"/>
        <v>4.5306619180994229E-3</v>
      </c>
      <c r="Z339" s="295">
        <f t="shared" si="81"/>
        <v>0</v>
      </c>
      <c r="AA339" s="295">
        <f t="shared" si="81"/>
        <v>0</v>
      </c>
      <c r="AB339" s="295">
        <f t="shared" si="81"/>
        <v>0</v>
      </c>
      <c r="AC339" s="295">
        <f t="shared" si="81"/>
        <v>0</v>
      </c>
      <c r="AD339" s="295">
        <f t="shared" si="81"/>
        <v>0</v>
      </c>
      <c r="AE339" s="296">
        <f t="shared" si="81"/>
        <v>0</v>
      </c>
    </row>
    <row r="340" spans="1:31">
      <c r="A340" s="1711"/>
      <c r="B340" s="116">
        <v>23</v>
      </c>
      <c r="C340" s="294">
        <f t="shared" si="80"/>
        <v>2.0435553957944328</v>
      </c>
      <c r="D340" s="295">
        <f t="shared" si="79"/>
        <v>0.46299941969169256</v>
      </c>
      <c r="E340" s="295">
        <f t="shared" si="81"/>
        <v>0.15734963417875081</v>
      </c>
      <c r="F340" s="295">
        <f t="shared" si="81"/>
        <v>7.1300038612498895E-2</v>
      </c>
      <c r="G340" s="295">
        <f t="shared" si="81"/>
        <v>4.0385345767381196E-2</v>
      </c>
      <c r="H340" s="295">
        <f t="shared" si="81"/>
        <v>7.6478080051940959E-3</v>
      </c>
      <c r="I340" s="295">
        <f t="shared" si="81"/>
        <v>4.4356487064386363E-3</v>
      </c>
      <c r="J340" s="295">
        <f t="shared" si="81"/>
        <v>2.1830268836837588E-3</v>
      </c>
      <c r="K340" s="295">
        <f t="shared" si="81"/>
        <v>1.2298318721488781E-3</v>
      </c>
      <c r="L340" s="295">
        <f t="shared" si="81"/>
        <v>8.4480678319203914E-4</v>
      </c>
      <c r="M340" s="295">
        <f t="shared" si="81"/>
        <v>6.1338617734516801E-4</v>
      </c>
      <c r="N340" s="295">
        <f t="shared" si="81"/>
        <v>5.5645414437259998E-4</v>
      </c>
      <c r="O340" s="295">
        <f t="shared" si="81"/>
        <v>4.4367615555372371E-4</v>
      </c>
      <c r="P340" s="295">
        <f t="shared" si="81"/>
        <v>3.9278652585866255E-4</v>
      </c>
      <c r="Q340" s="295">
        <f t="shared" si="81"/>
        <v>4.6780740682901832E-4</v>
      </c>
      <c r="R340" s="295">
        <f t="shared" si="81"/>
        <v>5.3407993095355548E-4</v>
      </c>
      <c r="S340" s="295">
        <f t="shared" si="81"/>
        <v>7.5836749808169365E-4</v>
      </c>
      <c r="T340" s="295">
        <f t="shared" si="81"/>
        <v>1.1079848579890101E-3</v>
      </c>
      <c r="U340" s="295">
        <f t="shared" si="81"/>
        <v>1.432999212091906E-3</v>
      </c>
      <c r="V340" s="295">
        <f t="shared" si="81"/>
        <v>1.0849743879611366E-3</v>
      </c>
      <c r="W340" s="295">
        <f t="shared" si="81"/>
        <v>5.3429355480150392E-4</v>
      </c>
      <c r="X340" s="295">
        <f t="shared" si="81"/>
        <v>4.6696915288018981E-4</v>
      </c>
      <c r="Y340" s="295">
        <f t="shared" si="81"/>
        <v>4.0223940336557953E-4</v>
      </c>
      <c r="Z340" s="295">
        <f t="shared" si="81"/>
        <v>3.7762540657873778E-4</v>
      </c>
      <c r="AA340" s="295">
        <f t="shared" si="81"/>
        <v>0</v>
      </c>
      <c r="AB340" s="295">
        <f t="shared" si="81"/>
        <v>0</v>
      </c>
      <c r="AC340" s="295">
        <f t="shared" si="81"/>
        <v>0</v>
      </c>
      <c r="AD340" s="295">
        <f t="shared" si="81"/>
        <v>0</v>
      </c>
      <c r="AE340" s="296">
        <f t="shared" si="81"/>
        <v>0</v>
      </c>
    </row>
    <row r="341" spans="1:31">
      <c r="A341" s="1711"/>
      <c r="B341" s="116">
        <v>24</v>
      </c>
      <c r="C341" s="294">
        <f t="shared" si="80"/>
        <v>0.7517820170077415</v>
      </c>
      <c r="D341" s="295">
        <f t="shared" si="79"/>
        <v>8.516398388944095E-2</v>
      </c>
      <c r="E341" s="295">
        <f t="shared" si="81"/>
        <v>1.9295231830069891E-2</v>
      </c>
      <c r="F341" s="295">
        <f t="shared" si="81"/>
        <v>6.5574545900670845E-3</v>
      </c>
      <c r="G341" s="295">
        <f t="shared" si="81"/>
        <v>2.9713876864839307E-3</v>
      </c>
      <c r="H341" s="295">
        <f t="shared" si="81"/>
        <v>1.6830358224596577E-3</v>
      </c>
      <c r="I341" s="295">
        <f t="shared" si="81"/>
        <v>3.1871795552216361E-4</v>
      </c>
      <c r="J341" s="295">
        <f t="shared" si="81"/>
        <v>1.8485308289257617E-4</v>
      </c>
      <c r="K341" s="295">
        <f t="shared" si="81"/>
        <v>9.0976377119439671E-5</v>
      </c>
      <c r="L341" s="295">
        <f t="shared" si="81"/>
        <v>5.1252528784858982E-5</v>
      </c>
      <c r="M341" s="295">
        <f t="shared" si="81"/>
        <v>3.5206831887954662E-5</v>
      </c>
      <c r="N341" s="295">
        <f t="shared" si="81"/>
        <v>2.5562512586120505E-5</v>
      </c>
      <c r="O341" s="295">
        <f t="shared" si="81"/>
        <v>2.3189903187399495E-5</v>
      </c>
      <c r="P341" s="295">
        <f t="shared" si="81"/>
        <v>1.848994602322361E-5</v>
      </c>
      <c r="Q341" s="295">
        <f t="shared" si="81"/>
        <v>1.6369150270679318E-5</v>
      </c>
      <c r="R341" s="295">
        <f t="shared" si="81"/>
        <v>1.9495601900754795E-5</v>
      </c>
      <c r="S341" s="295">
        <f t="shared" si="81"/>
        <v>2.225747084175336E-5</v>
      </c>
      <c r="T341" s="295">
        <f t="shared" si="81"/>
        <v>3.1604524899016658E-5</v>
      </c>
      <c r="U341" s="295">
        <f t="shared" si="81"/>
        <v>4.6174625258366406E-5</v>
      </c>
      <c r="V341" s="295">
        <f t="shared" si="81"/>
        <v>5.9719409644255619E-5</v>
      </c>
      <c r="W341" s="295">
        <f t="shared" si="81"/>
        <v>4.5215677288188939E-5</v>
      </c>
      <c r="X341" s="295">
        <f t="shared" si="81"/>
        <v>2.2266373491509035E-5</v>
      </c>
      <c r="Y341" s="295">
        <f t="shared" si="81"/>
        <v>1.9460668154431986E-5</v>
      </c>
      <c r="Z341" s="295">
        <f t="shared" si="81"/>
        <v>1.6763093449006995E-5</v>
      </c>
      <c r="AA341" s="295">
        <f t="shared" si="81"/>
        <v>1.5737319432739413E-5</v>
      </c>
      <c r="AB341" s="295">
        <f t="shared" si="81"/>
        <v>0</v>
      </c>
      <c r="AC341" s="295">
        <f t="shared" si="81"/>
        <v>0</v>
      </c>
      <c r="AD341" s="295">
        <f t="shared" si="81"/>
        <v>0</v>
      </c>
      <c r="AE341" s="296">
        <f t="shared" si="81"/>
        <v>0</v>
      </c>
    </row>
    <row r="342" spans="1:31" ht="15.75" thickBot="1">
      <c r="A342" s="1711"/>
      <c r="B342" s="116">
        <v>25</v>
      </c>
      <c r="C342" s="297">
        <f t="shared" si="80"/>
        <v>0.2765651482995477</v>
      </c>
      <c r="D342" s="298">
        <f t="shared" si="79"/>
        <v>0</v>
      </c>
      <c r="E342" s="298">
        <f t="shared" si="81"/>
        <v>0</v>
      </c>
      <c r="F342" s="298">
        <f t="shared" si="81"/>
        <v>0</v>
      </c>
      <c r="G342" s="298">
        <f t="shared" si="81"/>
        <v>0</v>
      </c>
      <c r="H342" s="298">
        <f t="shared" si="81"/>
        <v>0</v>
      </c>
      <c r="I342" s="298">
        <f t="shared" si="81"/>
        <v>0</v>
      </c>
      <c r="J342" s="298">
        <f t="shared" si="81"/>
        <v>0</v>
      </c>
      <c r="K342" s="298">
        <f t="shared" si="81"/>
        <v>0</v>
      </c>
      <c r="L342" s="298">
        <f t="shared" si="81"/>
        <v>0</v>
      </c>
      <c r="M342" s="298">
        <f t="shared" si="81"/>
        <v>0</v>
      </c>
      <c r="N342" s="298">
        <f t="shared" si="81"/>
        <v>0</v>
      </c>
      <c r="O342" s="298">
        <f t="shared" si="81"/>
        <v>0</v>
      </c>
      <c r="P342" s="298">
        <f t="shared" si="81"/>
        <v>0</v>
      </c>
      <c r="Q342" s="298">
        <f t="shared" si="81"/>
        <v>0</v>
      </c>
      <c r="R342" s="298">
        <f t="shared" si="81"/>
        <v>0</v>
      </c>
      <c r="S342" s="298">
        <f t="shared" si="81"/>
        <v>0</v>
      </c>
      <c r="T342" s="298">
        <f t="shared" si="81"/>
        <v>0</v>
      </c>
      <c r="U342" s="298">
        <f t="shared" si="81"/>
        <v>0</v>
      </c>
      <c r="V342" s="298">
        <f t="shared" si="81"/>
        <v>0</v>
      </c>
      <c r="W342" s="298">
        <f t="shared" si="81"/>
        <v>0</v>
      </c>
      <c r="X342" s="298">
        <f t="shared" si="81"/>
        <v>0</v>
      </c>
      <c r="Y342" s="298">
        <f t="shared" si="81"/>
        <v>0</v>
      </c>
      <c r="Z342" s="298">
        <f t="shared" si="81"/>
        <v>0</v>
      </c>
      <c r="AA342" s="298">
        <f t="shared" si="81"/>
        <v>0</v>
      </c>
      <c r="AB342" s="298">
        <f t="shared" si="81"/>
        <v>0</v>
      </c>
      <c r="AC342" s="298">
        <f t="shared" si="81"/>
        <v>0</v>
      </c>
      <c r="AD342" s="298">
        <f t="shared" si="81"/>
        <v>0</v>
      </c>
      <c r="AE342" s="299">
        <f t="shared" si="81"/>
        <v>0</v>
      </c>
    </row>
    <row r="343" spans="1:31" ht="16.5" thickTop="1" thickBot="1">
      <c r="A343" s="1712"/>
      <c r="B343" s="300" t="s">
        <v>39</v>
      </c>
      <c r="C343" s="349">
        <f>SUM(C317:C342)</f>
        <v>59216.347058977168</v>
      </c>
      <c r="D343" s="349">
        <f>SUM(D317:D342)</f>
        <v>54758.065016475521</v>
      </c>
      <c r="E343" s="349">
        <f t="shared" ref="E343:AE343" si="82">SUM(E317:E342)</f>
        <v>50460.512671048957</v>
      </c>
      <c r="F343" s="349">
        <f t="shared" si="82"/>
        <v>45685.049462216695</v>
      </c>
      <c r="G343" s="349">
        <f t="shared" si="82"/>
        <v>40172.407013307151</v>
      </c>
      <c r="H343" s="349">
        <f t="shared" si="82"/>
        <v>34010.151142258357</v>
      </c>
      <c r="I343" s="349">
        <f t="shared" si="82"/>
        <v>27513.697343512529</v>
      </c>
      <c r="J343" s="349">
        <f t="shared" si="82"/>
        <v>21137.430599230487</v>
      </c>
      <c r="K343" s="349">
        <f t="shared" si="82"/>
        <v>15344.664938760767</v>
      </c>
      <c r="L343" s="349">
        <f t="shared" si="82"/>
        <v>10509.368410017158</v>
      </c>
      <c r="M343" s="349">
        <f t="shared" si="82"/>
        <v>6759.6540267693781</v>
      </c>
      <c r="N343" s="349">
        <f t="shared" si="82"/>
        <v>4050.5929913540285</v>
      </c>
      <c r="O343" s="349">
        <f t="shared" si="82"/>
        <v>2227.0920934271121</v>
      </c>
      <c r="P343" s="349">
        <f t="shared" si="82"/>
        <v>1104.7299340856118</v>
      </c>
      <c r="Q343" s="349">
        <f t="shared" si="82"/>
        <v>486.23880974428647</v>
      </c>
      <c r="R343" s="349">
        <f t="shared" si="82"/>
        <v>187.60193082183571</v>
      </c>
      <c r="S343" s="349">
        <f t="shared" si="82"/>
        <v>65.546261925848199</v>
      </c>
      <c r="T343" s="349">
        <f t="shared" si="82"/>
        <v>20.467004145799134</v>
      </c>
      <c r="U343" s="349">
        <f t="shared" si="82"/>
        <v>5.6182298999853835</v>
      </c>
      <c r="V343" s="349">
        <f t="shared" si="82"/>
        <v>1.3272100756826233</v>
      </c>
      <c r="W343" s="349">
        <f t="shared" si="82"/>
        <v>0.26217358463895302</v>
      </c>
      <c r="X343" s="349">
        <f t="shared" si="82"/>
        <v>4.155376337340104E-2</v>
      </c>
      <c r="Y343" s="349">
        <f t="shared" si="82"/>
        <v>4.9523619896194339E-3</v>
      </c>
      <c r="Z343" s="349">
        <f t="shared" si="82"/>
        <v>3.9438850002774476E-4</v>
      </c>
      <c r="AA343" s="349">
        <f t="shared" si="82"/>
        <v>1.5737319432739413E-5</v>
      </c>
      <c r="AB343" s="349">
        <f t="shared" si="82"/>
        <v>0</v>
      </c>
      <c r="AC343" s="349">
        <f t="shared" si="82"/>
        <v>0</v>
      </c>
      <c r="AD343" s="349">
        <f t="shared" si="82"/>
        <v>0</v>
      </c>
      <c r="AE343" s="350">
        <f t="shared" si="82"/>
        <v>0</v>
      </c>
    </row>
    <row r="344" spans="1:31" ht="15.75" thickBot="1"/>
    <row r="345" spans="1:31" ht="15.75" customHeight="1" thickBot="1">
      <c r="A345" s="1710" t="s">
        <v>207</v>
      </c>
      <c r="B345" s="169" t="s">
        <v>10</v>
      </c>
      <c r="C345" s="288">
        <v>2012</v>
      </c>
      <c r="D345" s="347">
        <v>2013</v>
      </c>
      <c r="E345" s="347">
        <v>2014</v>
      </c>
      <c r="F345" s="288">
        <v>2015</v>
      </c>
      <c r="G345" s="347">
        <v>2016</v>
      </c>
      <c r="H345" s="347">
        <v>2017</v>
      </c>
      <c r="I345" s="288">
        <v>2018</v>
      </c>
      <c r="J345" s="347">
        <v>2019</v>
      </c>
      <c r="K345" s="347">
        <v>2020</v>
      </c>
      <c r="L345" s="288">
        <v>2021</v>
      </c>
      <c r="M345" s="347">
        <v>2022</v>
      </c>
      <c r="N345" s="347">
        <v>2023</v>
      </c>
      <c r="O345" s="288">
        <v>2024</v>
      </c>
      <c r="P345" s="347">
        <v>2025</v>
      </c>
      <c r="Q345" s="347">
        <v>2026</v>
      </c>
      <c r="R345" s="288">
        <v>2027</v>
      </c>
      <c r="S345" s="347">
        <v>2028</v>
      </c>
      <c r="T345" s="347">
        <v>2029</v>
      </c>
      <c r="U345" s="288">
        <v>2030</v>
      </c>
      <c r="V345" s="347">
        <v>2031</v>
      </c>
      <c r="W345" s="347">
        <v>2032</v>
      </c>
      <c r="X345" s="288">
        <v>2033</v>
      </c>
      <c r="Y345" s="347">
        <v>2034</v>
      </c>
      <c r="Z345" s="347">
        <v>2035</v>
      </c>
      <c r="AA345" s="288">
        <v>2036</v>
      </c>
      <c r="AB345" s="347">
        <v>2037</v>
      </c>
      <c r="AC345" s="347">
        <v>2038</v>
      </c>
      <c r="AD345" s="288">
        <v>2039</v>
      </c>
      <c r="AE345" s="348">
        <v>2040</v>
      </c>
    </row>
    <row r="346" spans="1:31" ht="15" customHeight="1">
      <c r="A346" s="1711" t="s">
        <v>41</v>
      </c>
      <c r="B346" s="116">
        <v>0</v>
      </c>
      <c r="C346" s="291">
        <f t="shared" ref="C346:C364" si="83">X28</f>
        <v>524.5</v>
      </c>
      <c r="D346" s="292"/>
      <c r="E346" s="292"/>
      <c r="F346" s="292"/>
      <c r="G346" s="292"/>
      <c r="H346" s="292"/>
      <c r="I346" s="292"/>
      <c r="J346" s="292"/>
      <c r="K346" s="292"/>
      <c r="L346" s="292"/>
      <c r="M346" s="292"/>
      <c r="N346" s="292"/>
      <c r="O346" s="292"/>
      <c r="P346" s="292"/>
      <c r="Q346" s="292"/>
      <c r="R346" s="292"/>
      <c r="S346" s="292"/>
      <c r="T346" s="292"/>
      <c r="U346" s="292"/>
      <c r="V346" s="292"/>
      <c r="W346" s="292"/>
      <c r="X346" s="292"/>
      <c r="Y346" s="292"/>
      <c r="Z346" s="292"/>
      <c r="AA346" s="292"/>
      <c r="AB346" s="292"/>
      <c r="AC346" s="292"/>
      <c r="AD346" s="292"/>
      <c r="AE346" s="293"/>
    </row>
    <row r="347" spans="1:31">
      <c r="A347" s="1711"/>
      <c r="B347" s="116">
        <v>1</v>
      </c>
      <c r="C347" s="294">
        <f t="shared" si="83"/>
        <v>485.5</v>
      </c>
      <c r="D347" s="295">
        <f>C346*$G29</f>
        <v>510.29782399921271</v>
      </c>
      <c r="E347" s="295">
        <f t="shared" ref="E347:AE356" si="84">D346*$G29</f>
        <v>0</v>
      </c>
      <c r="F347" s="295">
        <f t="shared" si="84"/>
        <v>0</v>
      </c>
      <c r="G347" s="295">
        <f t="shared" si="84"/>
        <v>0</v>
      </c>
      <c r="H347" s="295">
        <f t="shared" si="84"/>
        <v>0</v>
      </c>
      <c r="I347" s="295">
        <f t="shared" si="84"/>
        <v>0</v>
      </c>
      <c r="J347" s="295">
        <f t="shared" si="84"/>
        <v>0</v>
      </c>
      <c r="K347" s="295">
        <f t="shared" si="84"/>
        <v>0</v>
      </c>
      <c r="L347" s="295">
        <f t="shared" si="84"/>
        <v>0</v>
      </c>
      <c r="M347" s="295">
        <f t="shared" si="84"/>
        <v>0</v>
      </c>
      <c r="N347" s="295">
        <f t="shared" si="84"/>
        <v>0</v>
      </c>
      <c r="O347" s="295">
        <f t="shared" si="84"/>
        <v>0</v>
      </c>
      <c r="P347" s="295">
        <f t="shared" si="84"/>
        <v>0</v>
      </c>
      <c r="Q347" s="295">
        <f t="shared" si="84"/>
        <v>0</v>
      </c>
      <c r="R347" s="295">
        <f t="shared" si="84"/>
        <v>0</v>
      </c>
      <c r="S347" s="295">
        <f t="shared" si="84"/>
        <v>0</v>
      </c>
      <c r="T347" s="295">
        <f t="shared" si="84"/>
        <v>0</v>
      </c>
      <c r="U347" s="295">
        <f t="shared" si="84"/>
        <v>0</v>
      </c>
      <c r="V347" s="295">
        <f t="shared" si="84"/>
        <v>0</v>
      </c>
      <c r="W347" s="295">
        <f t="shared" si="84"/>
        <v>0</v>
      </c>
      <c r="X347" s="295">
        <f t="shared" si="84"/>
        <v>0</v>
      </c>
      <c r="Y347" s="295">
        <f t="shared" si="84"/>
        <v>0</v>
      </c>
      <c r="Z347" s="295">
        <f t="shared" si="84"/>
        <v>0</v>
      </c>
      <c r="AA347" s="295">
        <f t="shared" si="84"/>
        <v>0</v>
      </c>
      <c r="AB347" s="295">
        <f t="shared" si="84"/>
        <v>0</v>
      </c>
      <c r="AC347" s="295">
        <f t="shared" si="84"/>
        <v>0</v>
      </c>
      <c r="AD347" s="295">
        <f t="shared" si="84"/>
        <v>0</v>
      </c>
      <c r="AE347" s="296">
        <f t="shared" si="84"/>
        <v>0</v>
      </c>
    </row>
    <row r="348" spans="1:31">
      <c r="A348" s="1711"/>
      <c r="B348" s="116">
        <v>2</v>
      </c>
      <c r="C348" s="294">
        <f t="shared" si="83"/>
        <v>489.5</v>
      </c>
      <c r="D348" s="295">
        <f t="shared" ref="D348:S363" si="85">C347*$G30</f>
        <v>444.01472099597527</v>
      </c>
      <c r="E348" s="295">
        <f t="shared" si="85"/>
        <v>466.69360648375635</v>
      </c>
      <c r="F348" s="295">
        <f t="shared" si="85"/>
        <v>0</v>
      </c>
      <c r="G348" s="295">
        <f t="shared" si="85"/>
        <v>0</v>
      </c>
      <c r="H348" s="295">
        <f t="shared" si="85"/>
        <v>0</v>
      </c>
      <c r="I348" s="295">
        <f t="shared" si="85"/>
        <v>0</v>
      </c>
      <c r="J348" s="295">
        <f t="shared" si="85"/>
        <v>0</v>
      </c>
      <c r="K348" s="295">
        <f t="shared" si="85"/>
        <v>0</v>
      </c>
      <c r="L348" s="295">
        <f t="shared" si="85"/>
        <v>0</v>
      </c>
      <c r="M348" s="295">
        <f t="shared" si="85"/>
        <v>0</v>
      </c>
      <c r="N348" s="295">
        <f t="shared" si="85"/>
        <v>0</v>
      </c>
      <c r="O348" s="295">
        <f t="shared" si="85"/>
        <v>0</v>
      </c>
      <c r="P348" s="295">
        <f t="shared" si="85"/>
        <v>0</v>
      </c>
      <c r="Q348" s="295">
        <f t="shared" si="85"/>
        <v>0</v>
      </c>
      <c r="R348" s="295">
        <f t="shared" si="85"/>
        <v>0</v>
      </c>
      <c r="S348" s="295">
        <f t="shared" si="85"/>
        <v>0</v>
      </c>
      <c r="T348" s="295">
        <f t="shared" si="84"/>
        <v>0</v>
      </c>
      <c r="U348" s="295">
        <f t="shared" si="84"/>
        <v>0</v>
      </c>
      <c r="V348" s="295">
        <f t="shared" si="84"/>
        <v>0</v>
      </c>
      <c r="W348" s="295">
        <f t="shared" si="84"/>
        <v>0</v>
      </c>
      <c r="X348" s="295">
        <f t="shared" si="84"/>
        <v>0</v>
      </c>
      <c r="Y348" s="295">
        <f t="shared" si="84"/>
        <v>0</v>
      </c>
      <c r="Z348" s="295">
        <f t="shared" si="84"/>
        <v>0</v>
      </c>
      <c r="AA348" s="295">
        <f t="shared" si="84"/>
        <v>0</v>
      </c>
      <c r="AB348" s="295">
        <f t="shared" si="84"/>
        <v>0</v>
      </c>
      <c r="AC348" s="295">
        <f t="shared" si="84"/>
        <v>0</v>
      </c>
      <c r="AD348" s="295">
        <f t="shared" si="84"/>
        <v>0</v>
      </c>
      <c r="AE348" s="296">
        <f t="shared" si="84"/>
        <v>0</v>
      </c>
    </row>
    <row r="349" spans="1:31">
      <c r="A349" s="1711"/>
      <c r="B349" s="116">
        <v>3</v>
      </c>
      <c r="C349" s="294">
        <f t="shared" si="83"/>
        <v>616</v>
      </c>
      <c r="D349" s="295">
        <f t="shared" si="85"/>
        <v>421.54217041741646</v>
      </c>
      <c r="E349" s="295">
        <f t="shared" si="84"/>
        <v>382.37166330117884</v>
      </c>
      <c r="F349" s="295">
        <f t="shared" si="84"/>
        <v>401.90201388579027</v>
      </c>
      <c r="G349" s="295">
        <f t="shared" si="84"/>
        <v>0</v>
      </c>
      <c r="H349" s="295">
        <f t="shared" si="84"/>
        <v>0</v>
      </c>
      <c r="I349" s="295">
        <f t="shared" si="84"/>
        <v>0</v>
      </c>
      <c r="J349" s="295">
        <f t="shared" si="84"/>
        <v>0</v>
      </c>
      <c r="K349" s="295">
        <f t="shared" si="84"/>
        <v>0</v>
      </c>
      <c r="L349" s="295">
        <f t="shared" si="84"/>
        <v>0</v>
      </c>
      <c r="M349" s="295">
        <f t="shared" si="84"/>
        <v>0</v>
      </c>
      <c r="N349" s="295">
        <f t="shared" si="84"/>
        <v>0</v>
      </c>
      <c r="O349" s="295">
        <f t="shared" si="84"/>
        <v>0</v>
      </c>
      <c r="P349" s="295">
        <f t="shared" si="84"/>
        <v>0</v>
      </c>
      <c r="Q349" s="295">
        <f t="shared" si="84"/>
        <v>0</v>
      </c>
      <c r="R349" s="295">
        <f t="shared" si="84"/>
        <v>0</v>
      </c>
      <c r="S349" s="295">
        <f t="shared" si="84"/>
        <v>0</v>
      </c>
      <c r="T349" s="295">
        <f t="shared" si="84"/>
        <v>0</v>
      </c>
      <c r="U349" s="295">
        <f t="shared" si="84"/>
        <v>0</v>
      </c>
      <c r="V349" s="295">
        <f t="shared" si="84"/>
        <v>0</v>
      </c>
      <c r="W349" s="295">
        <f t="shared" si="84"/>
        <v>0</v>
      </c>
      <c r="X349" s="295">
        <f t="shared" si="84"/>
        <v>0</v>
      </c>
      <c r="Y349" s="295">
        <f t="shared" si="84"/>
        <v>0</v>
      </c>
      <c r="Z349" s="295">
        <f t="shared" si="84"/>
        <v>0</v>
      </c>
      <c r="AA349" s="295">
        <f t="shared" si="84"/>
        <v>0</v>
      </c>
      <c r="AB349" s="295">
        <f t="shared" si="84"/>
        <v>0</v>
      </c>
      <c r="AC349" s="295">
        <f t="shared" si="84"/>
        <v>0</v>
      </c>
      <c r="AD349" s="295">
        <f t="shared" si="84"/>
        <v>0</v>
      </c>
      <c r="AE349" s="296">
        <f t="shared" si="84"/>
        <v>0</v>
      </c>
    </row>
    <row r="350" spans="1:31">
      <c r="A350" s="1711"/>
      <c r="B350" s="116">
        <v>4</v>
      </c>
      <c r="C350" s="294">
        <f t="shared" si="83"/>
        <v>1075</v>
      </c>
      <c r="D350" s="295">
        <f t="shared" si="85"/>
        <v>508.56578334590978</v>
      </c>
      <c r="E350" s="295">
        <f t="shared" si="84"/>
        <v>348.02260407738379</v>
      </c>
      <c r="F350" s="295">
        <f t="shared" si="84"/>
        <v>315.68367609747156</v>
      </c>
      <c r="G350" s="295">
        <f t="shared" si="84"/>
        <v>331.80781253267151</v>
      </c>
      <c r="H350" s="295">
        <f t="shared" si="84"/>
        <v>0</v>
      </c>
      <c r="I350" s="295">
        <f t="shared" si="84"/>
        <v>0</v>
      </c>
      <c r="J350" s="295">
        <f t="shared" si="84"/>
        <v>0</v>
      </c>
      <c r="K350" s="295">
        <f t="shared" si="84"/>
        <v>0</v>
      </c>
      <c r="L350" s="295">
        <f t="shared" si="84"/>
        <v>0</v>
      </c>
      <c r="M350" s="295">
        <f t="shared" si="84"/>
        <v>0</v>
      </c>
      <c r="N350" s="295">
        <f t="shared" si="84"/>
        <v>0</v>
      </c>
      <c r="O350" s="295">
        <f t="shared" si="84"/>
        <v>0</v>
      </c>
      <c r="P350" s="295">
        <f t="shared" si="84"/>
        <v>0</v>
      </c>
      <c r="Q350" s="295">
        <f t="shared" si="84"/>
        <v>0</v>
      </c>
      <c r="R350" s="295">
        <f t="shared" si="84"/>
        <v>0</v>
      </c>
      <c r="S350" s="295">
        <f t="shared" si="84"/>
        <v>0</v>
      </c>
      <c r="T350" s="295">
        <f t="shared" si="84"/>
        <v>0</v>
      </c>
      <c r="U350" s="295">
        <f t="shared" si="84"/>
        <v>0</v>
      </c>
      <c r="V350" s="295">
        <f t="shared" si="84"/>
        <v>0</v>
      </c>
      <c r="W350" s="295">
        <f t="shared" si="84"/>
        <v>0</v>
      </c>
      <c r="X350" s="295">
        <f t="shared" si="84"/>
        <v>0</v>
      </c>
      <c r="Y350" s="295">
        <f t="shared" si="84"/>
        <v>0</v>
      </c>
      <c r="Z350" s="295">
        <f t="shared" si="84"/>
        <v>0</v>
      </c>
      <c r="AA350" s="295">
        <f t="shared" si="84"/>
        <v>0</v>
      </c>
      <c r="AB350" s="295">
        <f t="shared" si="84"/>
        <v>0</v>
      </c>
      <c r="AC350" s="295">
        <f t="shared" si="84"/>
        <v>0</v>
      </c>
      <c r="AD350" s="295">
        <f t="shared" si="84"/>
        <v>0</v>
      </c>
      <c r="AE350" s="296">
        <f t="shared" si="84"/>
        <v>0</v>
      </c>
    </row>
    <row r="351" spans="1:31">
      <c r="A351" s="1711"/>
      <c r="B351" s="116">
        <v>5</v>
      </c>
      <c r="C351" s="294">
        <f t="shared" si="83"/>
        <v>1365.5</v>
      </c>
      <c r="D351" s="295">
        <f t="shared" si="85"/>
        <v>868.83935743398592</v>
      </c>
      <c r="E351" s="295">
        <f t="shared" si="84"/>
        <v>411.03438922341576</v>
      </c>
      <c r="F351" s="295">
        <f t="shared" si="84"/>
        <v>281.27975413869456</v>
      </c>
      <c r="G351" s="295">
        <f t="shared" si="84"/>
        <v>255.14269980737276</v>
      </c>
      <c r="H351" s="295">
        <f t="shared" si="84"/>
        <v>268.17459221624443</v>
      </c>
      <c r="I351" s="295">
        <f t="shared" si="84"/>
        <v>0</v>
      </c>
      <c r="J351" s="295">
        <f t="shared" si="84"/>
        <v>0</v>
      </c>
      <c r="K351" s="295">
        <f t="shared" si="84"/>
        <v>0</v>
      </c>
      <c r="L351" s="295">
        <f t="shared" si="84"/>
        <v>0</v>
      </c>
      <c r="M351" s="295">
        <f t="shared" si="84"/>
        <v>0</v>
      </c>
      <c r="N351" s="295">
        <f t="shared" si="84"/>
        <v>0</v>
      </c>
      <c r="O351" s="295">
        <f t="shared" si="84"/>
        <v>0</v>
      </c>
      <c r="P351" s="295">
        <f t="shared" si="84"/>
        <v>0</v>
      </c>
      <c r="Q351" s="295">
        <f t="shared" si="84"/>
        <v>0</v>
      </c>
      <c r="R351" s="295">
        <f t="shared" si="84"/>
        <v>0</v>
      </c>
      <c r="S351" s="295">
        <f t="shared" si="84"/>
        <v>0</v>
      </c>
      <c r="T351" s="295">
        <f t="shared" si="84"/>
        <v>0</v>
      </c>
      <c r="U351" s="295">
        <f t="shared" si="84"/>
        <v>0</v>
      </c>
      <c r="V351" s="295">
        <f t="shared" si="84"/>
        <v>0</v>
      </c>
      <c r="W351" s="295">
        <f t="shared" si="84"/>
        <v>0</v>
      </c>
      <c r="X351" s="295">
        <f t="shared" si="84"/>
        <v>0</v>
      </c>
      <c r="Y351" s="295">
        <f t="shared" si="84"/>
        <v>0</v>
      </c>
      <c r="Z351" s="295">
        <f t="shared" si="84"/>
        <v>0</v>
      </c>
      <c r="AA351" s="295">
        <f t="shared" si="84"/>
        <v>0</v>
      </c>
      <c r="AB351" s="295">
        <f t="shared" si="84"/>
        <v>0</v>
      </c>
      <c r="AC351" s="295">
        <f t="shared" si="84"/>
        <v>0</v>
      </c>
      <c r="AD351" s="295">
        <f t="shared" si="84"/>
        <v>0</v>
      </c>
      <c r="AE351" s="296">
        <f t="shared" si="84"/>
        <v>0</v>
      </c>
    </row>
    <row r="352" spans="1:31">
      <c r="A352" s="1711"/>
      <c r="B352" s="116">
        <v>6</v>
      </c>
      <c r="C352" s="294">
        <f t="shared" si="83"/>
        <v>1499</v>
      </c>
      <c r="D352" s="295">
        <f t="shared" si="85"/>
        <v>1060.0461842781847</v>
      </c>
      <c r="E352" s="295">
        <f t="shared" si="84"/>
        <v>674.48542336038565</v>
      </c>
      <c r="F352" s="295">
        <f t="shared" si="84"/>
        <v>319.08856528992754</v>
      </c>
      <c r="G352" s="295">
        <f t="shared" si="84"/>
        <v>218.35923111638894</v>
      </c>
      <c r="H352" s="295">
        <f t="shared" si="84"/>
        <v>198.06887248424741</v>
      </c>
      <c r="I352" s="295">
        <f t="shared" si="84"/>
        <v>208.18561200965806</v>
      </c>
      <c r="J352" s="295">
        <f t="shared" si="84"/>
        <v>0</v>
      </c>
      <c r="K352" s="295">
        <f t="shared" si="84"/>
        <v>0</v>
      </c>
      <c r="L352" s="295">
        <f t="shared" si="84"/>
        <v>0</v>
      </c>
      <c r="M352" s="295">
        <f t="shared" si="84"/>
        <v>0</v>
      </c>
      <c r="N352" s="295">
        <f t="shared" si="84"/>
        <v>0</v>
      </c>
      <c r="O352" s="295">
        <f t="shared" si="84"/>
        <v>0</v>
      </c>
      <c r="P352" s="295">
        <f t="shared" si="84"/>
        <v>0</v>
      </c>
      <c r="Q352" s="295">
        <f t="shared" si="84"/>
        <v>0</v>
      </c>
      <c r="R352" s="295">
        <f t="shared" si="84"/>
        <v>0</v>
      </c>
      <c r="S352" s="295">
        <f t="shared" si="84"/>
        <v>0</v>
      </c>
      <c r="T352" s="295">
        <f t="shared" si="84"/>
        <v>0</v>
      </c>
      <c r="U352" s="295">
        <f t="shared" si="84"/>
        <v>0</v>
      </c>
      <c r="V352" s="295">
        <f t="shared" si="84"/>
        <v>0</v>
      </c>
      <c r="W352" s="295">
        <f t="shared" si="84"/>
        <v>0</v>
      </c>
      <c r="X352" s="295">
        <f t="shared" si="84"/>
        <v>0</v>
      </c>
      <c r="Y352" s="295">
        <f t="shared" si="84"/>
        <v>0</v>
      </c>
      <c r="Z352" s="295">
        <f t="shared" si="84"/>
        <v>0</v>
      </c>
      <c r="AA352" s="295">
        <f t="shared" si="84"/>
        <v>0</v>
      </c>
      <c r="AB352" s="295">
        <f t="shared" si="84"/>
        <v>0</v>
      </c>
      <c r="AC352" s="295">
        <f t="shared" si="84"/>
        <v>0</v>
      </c>
      <c r="AD352" s="295">
        <f t="shared" si="84"/>
        <v>0</v>
      </c>
      <c r="AE352" s="296">
        <f t="shared" si="84"/>
        <v>0</v>
      </c>
    </row>
    <row r="353" spans="1:31">
      <c r="A353" s="1711"/>
      <c r="B353" s="116">
        <v>7</v>
      </c>
      <c r="C353" s="294">
        <f t="shared" si="83"/>
        <v>1160</v>
      </c>
      <c r="D353" s="295">
        <f t="shared" si="85"/>
        <v>1115.2293844652297</v>
      </c>
      <c r="E353" s="295">
        <f t="shared" si="84"/>
        <v>788.6555394244665</v>
      </c>
      <c r="F353" s="295">
        <f t="shared" si="84"/>
        <v>501.80517913607252</v>
      </c>
      <c r="G353" s="295">
        <f t="shared" si="84"/>
        <v>237.39622699011284</v>
      </c>
      <c r="H353" s="295">
        <f t="shared" si="84"/>
        <v>162.4553908673991</v>
      </c>
      <c r="I353" s="295">
        <f t="shared" si="84"/>
        <v>147.3597243110936</v>
      </c>
      <c r="J353" s="295">
        <f t="shared" si="84"/>
        <v>154.88639888995868</v>
      </c>
      <c r="K353" s="295">
        <f t="shared" si="84"/>
        <v>0</v>
      </c>
      <c r="L353" s="295">
        <f t="shared" si="84"/>
        <v>0</v>
      </c>
      <c r="M353" s="295">
        <f t="shared" si="84"/>
        <v>0</v>
      </c>
      <c r="N353" s="295">
        <f t="shared" si="84"/>
        <v>0</v>
      </c>
      <c r="O353" s="295">
        <f t="shared" si="84"/>
        <v>0</v>
      </c>
      <c r="P353" s="295">
        <f t="shared" si="84"/>
        <v>0</v>
      </c>
      <c r="Q353" s="295">
        <f t="shared" si="84"/>
        <v>0</v>
      </c>
      <c r="R353" s="295">
        <f t="shared" si="84"/>
        <v>0</v>
      </c>
      <c r="S353" s="295">
        <f t="shared" si="84"/>
        <v>0</v>
      </c>
      <c r="T353" s="295">
        <f t="shared" si="84"/>
        <v>0</v>
      </c>
      <c r="U353" s="295">
        <f t="shared" si="84"/>
        <v>0</v>
      </c>
      <c r="V353" s="295">
        <f t="shared" si="84"/>
        <v>0</v>
      </c>
      <c r="W353" s="295">
        <f t="shared" si="84"/>
        <v>0</v>
      </c>
      <c r="X353" s="295">
        <f t="shared" si="84"/>
        <v>0</v>
      </c>
      <c r="Y353" s="295">
        <f t="shared" si="84"/>
        <v>0</v>
      </c>
      <c r="Z353" s="295">
        <f t="shared" si="84"/>
        <v>0</v>
      </c>
      <c r="AA353" s="295">
        <f t="shared" si="84"/>
        <v>0</v>
      </c>
      <c r="AB353" s="295">
        <f t="shared" si="84"/>
        <v>0</v>
      </c>
      <c r="AC353" s="295">
        <f t="shared" si="84"/>
        <v>0</v>
      </c>
      <c r="AD353" s="295">
        <f t="shared" si="84"/>
        <v>0</v>
      </c>
      <c r="AE353" s="296">
        <f t="shared" si="84"/>
        <v>0</v>
      </c>
    </row>
    <row r="354" spans="1:31">
      <c r="A354" s="1711"/>
      <c r="B354" s="116">
        <v>8</v>
      </c>
      <c r="C354" s="294">
        <f t="shared" si="83"/>
        <v>819.5</v>
      </c>
      <c r="D354" s="295">
        <f t="shared" si="85"/>
        <v>784.82622871062415</v>
      </c>
      <c r="E354" s="295">
        <f t="shared" si="84"/>
        <v>754.5355792733767</v>
      </c>
      <c r="F354" s="295">
        <f t="shared" si="84"/>
        <v>533.58409720538543</v>
      </c>
      <c r="G354" s="295">
        <f t="shared" si="84"/>
        <v>339.50850542139915</v>
      </c>
      <c r="H354" s="295">
        <f t="shared" si="84"/>
        <v>160.61619442998409</v>
      </c>
      <c r="I354" s="295">
        <f t="shared" si="84"/>
        <v>109.91314805876829</v>
      </c>
      <c r="J354" s="295">
        <f t="shared" si="84"/>
        <v>99.69980749561455</v>
      </c>
      <c r="K354" s="295">
        <f t="shared" si="84"/>
        <v>104.79216234428938</v>
      </c>
      <c r="L354" s="295">
        <f t="shared" si="84"/>
        <v>0</v>
      </c>
      <c r="M354" s="295">
        <f t="shared" si="84"/>
        <v>0</v>
      </c>
      <c r="N354" s="295">
        <f t="shared" si="84"/>
        <v>0</v>
      </c>
      <c r="O354" s="295">
        <f t="shared" si="84"/>
        <v>0</v>
      </c>
      <c r="P354" s="295">
        <f t="shared" si="84"/>
        <v>0</v>
      </c>
      <c r="Q354" s="295">
        <f t="shared" si="84"/>
        <v>0</v>
      </c>
      <c r="R354" s="295">
        <f t="shared" si="84"/>
        <v>0</v>
      </c>
      <c r="S354" s="295">
        <f t="shared" si="84"/>
        <v>0</v>
      </c>
      <c r="T354" s="295">
        <f t="shared" si="84"/>
        <v>0</v>
      </c>
      <c r="U354" s="295">
        <f t="shared" si="84"/>
        <v>0</v>
      </c>
      <c r="V354" s="295">
        <f t="shared" si="84"/>
        <v>0</v>
      </c>
      <c r="W354" s="295">
        <f t="shared" si="84"/>
        <v>0</v>
      </c>
      <c r="X354" s="295">
        <f t="shared" si="84"/>
        <v>0</v>
      </c>
      <c r="Y354" s="295">
        <f t="shared" si="84"/>
        <v>0</v>
      </c>
      <c r="Z354" s="295">
        <f t="shared" si="84"/>
        <v>0</v>
      </c>
      <c r="AA354" s="295">
        <f t="shared" si="84"/>
        <v>0</v>
      </c>
      <c r="AB354" s="295">
        <f t="shared" si="84"/>
        <v>0</v>
      </c>
      <c r="AC354" s="295">
        <f t="shared" si="84"/>
        <v>0</v>
      </c>
      <c r="AD354" s="295">
        <f t="shared" si="84"/>
        <v>0</v>
      </c>
      <c r="AE354" s="296">
        <f t="shared" si="84"/>
        <v>0</v>
      </c>
    </row>
    <row r="355" spans="1:31">
      <c r="A355" s="1711"/>
      <c r="B355" s="116">
        <v>9</v>
      </c>
      <c r="C355" s="294">
        <f t="shared" si="83"/>
        <v>580</v>
      </c>
      <c r="D355" s="295">
        <f t="shared" si="85"/>
        <v>482.69176440703268</v>
      </c>
      <c r="E355" s="295">
        <f t="shared" si="84"/>
        <v>462.26864806497684</v>
      </c>
      <c r="F355" s="295">
        <f t="shared" si="84"/>
        <v>444.42722399920518</v>
      </c>
      <c r="G355" s="295">
        <f t="shared" si="84"/>
        <v>314.28511206784759</v>
      </c>
      <c r="H355" s="295">
        <f t="shared" si="84"/>
        <v>199.97310495796188</v>
      </c>
      <c r="I355" s="295">
        <f t="shared" si="84"/>
        <v>94.604166298660203</v>
      </c>
      <c r="J355" s="295">
        <f t="shared" si="84"/>
        <v>64.739684402706871</v>
      </c>
      <c r="K355" s="295">
        <f t="shared" si="84"/>
        <v>58.723948738376677</v>
      </c>
      <c r="L355" s="295">
        <f t="shared" si="84"/>
        <v>61.723384671132699</v>
      </c>
      <c r="M355" s="295">
        <f t="shared" si="84"/>
        <v>0</v>
      </c>
      <c r="N355" s="295">
        <f t="shared" si="84"/>
        <v>0</v>
      </c>
      <c r="O355" s="295">
        <f t="shared" si="84"/>
        <v>0</v>
      </c>
      <c r="P355" s="295">
        <f t="shared" si="84"/>
        <v>0</v>
      </c>
      <c r="Q355" s="295">
        <f t="shared" si="84"/>
        <v>0</v>
      </c>
      <c r="R355" s="295">
        <f t="shared" si="84"/>
        <v>0</v>
      </c>
      <c r="S355" s="295">
        <f t="shared" si="84"/>
        <v>0</v>
      </c>
      <c r="T355" s="295">
        <f t="shared" si="84"/>
        <v>0</v>
      </c>
      <c r="U355" s="295">
        <f t="shared" si="84"/>
        <v>0</v>
      </c>
      <c r="V355" s="295">
        <f t="shared" si="84"/>
        <v>0</v>
      </c>
      <c r="W355" s="295">
        <f t="shared" si="84"/>
        <v>0</v>
      </c>
      <c r="X355" s="295">
        <f t="shared" si="84"/>
        <v>0</v>
      </c>
      <c r="Y355" s="295">
        <f t="shared" si="84"/>
        <v>0</v>
      </c>
      <c r="Z355" s="295">
        <f t="shared" si="84"/>
        <v>0</v>
      </c>
      <c r="AA355" s="295">
        <f t="shared" si="84"/>
        <v>0</v>
      </c>
      <c r="AB355" s="295">
        <f t="shared" si="84"/>
        <v>0</v>
      </c>
      <c r="AC355" s="295">
        <f t="shared" si="84"/>
        <v>0</v>
      </c>
      <c r="AD355" s="295">
        <f t="shared" si="84"/>
        <v>0</v>
      </c>
      <c r="AE355" s="296">
        <f t="shared" si="84"/>
        <v>0</v>
      </c>
    </row>
    <row r="356" spans="1:31">
      <c r="A356" s="1711"/>
      <c r="B356" s="116">
        <v>10</v>
      </c>
      <c r="C356" s="294">
        <f t="shared" si="83"/>
        <v>414.5</v>
      </c>
      <c r="D356" s="295">
        <f t="shared" si="85"/>
        <v>296.79462222706593</v>
      </c>
      <c r="E356" s="295">
        <f t="shared" si="84"/>
        <v>247.00055149879515</v>
      </c>
      <c r="F356" s="295">
        <f t="shared" si="84"/>
        <v>236.54973925838155</v>
      </c>
      <c r="G356" s="295">
        <f t="shared" si="84"/>
        <v>227.42001733494433</v>
      </c>
      <c r="H356" s="295">
        <f t="shared" si="84"/>
        <v>160.82436397891018</v>
      </c>
      <c r="I356" s="295">
        <f t="shared" si="84"/>
        <v>102.32921058891674</v>
      </c>
      <c r="J356" s="295">
        <f t="shared" si="84"/>
        <v>48.410358271926512</v>
      </c>
      <c r="K356" s="295">
        <f t="shared" si="84"/>
        <v>33.12825892310493</v>
      </c>
      <c r="L356" s="295">
        <f t="shared" si="84"/>
        <v>30.049917554289813</v>
      </c>
      <c r="M356" s="295">
        <f t="shared" si="84"/>
        <v>31.584773510421901</v>
      </c>
      <c r="N356" s="295">
        <f t="shared" si="84"/>
        <v>0</v>
      </c>
      <c r="O356" s="295">
        <f t="shared" si="84"/>
        <v>0</v>
      </c>
      <c r="P356" s="295">
        <f t="shared" si="84"/>
        <v>0</v>
      </c>
      <c r="Q356" s="295">
        <f t="shared" si="84"/>
        <v>0</v>
      </c>
      <c r="R356" s="295">
        <f t="shared" si="84"/>
        <v>0</v>
      </c>
      <c r="S356" s="295">
        <f t="shared" si="84"/>
        <v>0</v>
      </c>
      <c r="T356" s="295">
        <f t="shared" si="84"/>
        <v>0</v>
      </c>
      <c r="U356" s="295">
        <f t="shared" si="84"/>
        <v>0</v>
      </c>
      <c r="V356" s="295">
        <f t="shared" si="84"/>
        <v>0</v>
      </c>
      <c r="W356" s="295">
        <f t="shared" si="84"/>
        <v>0</v>
      </c>
      <c r="X356" s="295">
        <f t="shared" si="84"/>
        <v>0</v>
      </c>
      <c r="Y356" s="295">
        <f t="shared" si="84"/>
        <v>0</v>
      </c>
      <c r="Z356" s="295">
        <f t="shared" si="84"/>
        <v>0</v>
      </c>
      <c r="AA356" s="295">
        <f t="shared" si="84"/>
        <v>0</v>
      </c>
      <c r="AB356" s="295">
        <f t="shared" si="84"/>
        <v>0</v>
      </c>
      <c r="AC356" s="295">
        <f t="shared" si="84"/>
        <v>0</v>
      </c>
      <c r="AD356" s="295">
        <f t="shared" si="84"/>
        <v>0</v>
      </c>
      <c r="AE356" s="296">
        <f t="shared" si="84"/>
        <v>0</v>
      </c>
    </row>
    <row r="357" spans="1:31">
      <c r="A357" s="1711"/>
      <c r="B357" s="116">
        <v>11</v>
      </c>
      <c r="C357" s="294">
        <f t="shared" si="83"/>
        <v>393</v>
      </c>
      <c r="D357" s="295">
        <f t="shared" si="85"/>
        <v>183.05113176542673</v>
      </c>
      <c r="E357" s="295">
        <f t="shared" si="85"/>
        <v>131.07018456105357</v>
      </c>
      <c r="F357" s="295">
        <f t="shared" si="85"/>
        <v>109.08017008091441</v>
      </c>
      <c r="G357" s="295">
        <f t="shared" si="85"/>
        <v>104.46489141149178</v>
      </c>
      <c r="H357" s="295">
        <f t="shared" si="85"/>
        <v>100.43303150609054</v>
      </c>
      <c r="I357" s="295">
        <f t="shared" si="85"/>
        <v>71.023116626765841</v>
      </c>
      <c r="J357" s="295">
        <f t="shared" si="85"/>
        <v>45.190537541529309</v>
      </c>
      <c r="K357" s="295">
        <f t="shared" si="85"/>
        <v>21.378940581051715</v>
      </c>
      <c r="L357" s="295">
        <f t="shared" si="85"/>
        <v>14.630073074288189</v>
      </c>
      <c r="M357" s="295">
        <f t="shared" si="85"/>
        <v>13.270618619470481</v>
      </c>
      <c r="N357" s="295">
        <f t="shared" si="85"/>
        <v>13.948440380307357</v>
      </c>
      <c r="O357" s="295">
        <f t="shared" si="85"/>
        <v>0</v>
      </c>
      <c r="P357" s="295">
        <f t="shared" si="85"/>
        <v>0</v>
      </c>
      <c r="Q357" s="295">
        <f t="shared" si="85"/>
        <v>0</v>
      </c>
      <c r="R357" s="295">
        <f t="shared" si="85"/>
        <v>0</v>
      </c>
      <c r="S357" s="295">
        <f t="shared" si="85"/>
        <v>0</v>
      </c>
      <c r="T357" s="295">
        <f t="shared" ref="E357:AE366" si="86">S356*$G39</f>
        <v>0</v>
      </c>
      <c r="U357" s="295">
        <f t="shared" si="86"/>
        <v>0</v>
      </c>
      <c r="V357" s="295">
        <f t="shared" si="86"/>
        <v>0</v>
      </c>
      <c r="W357" s="295">
        <f t="shared" si="86"/>
        <v>0</v>
      </c>
      <c r="X357" s="295">
        <f t="shared" si="86"/>
        <v>0</v>
      </c>
      <c r="Y357" s="295">
        <f t="shared" si="86"/>
        <v>0</v>
      </c>
      <c r="Z357" s="295">
        <f t="shared" si="86"/>
        <v>0</v>
      </c>
      <c r="AA357" s="295">
        <f t="shared" si="86"/>
        <v>0</v>
      </c>
      <c r="AB357" s="295">
        <f t="shared" si="86"/>
        <v>0</v>
      </c>
      <c r="AC357" s="295">
        <f t="shared" si="86"/>
        <v>0</v>
      </c>
      <c r="AD357" s="295">
        <f t="shared" si="86"/>
        <v>0</v>
      </c>
      <c r="AE357" s="296">
        <f t="shared" si="86"/>
        <v>0</v>
      </c>
    </row>
    <row r="358" spans="1:31">
      <c r="A358" s="1711"/>
      <c r="B358" s="116">
        <v>12</v>
      </c>
      <c r="C358" s="294">
        <f t="shared" si="83"/>
        <v>313</v>
      </c>
      <c r="D358" s="295">
        <f t="shared" si="85"/>
        <v>141.80814951766928</v>
      </c>
      <c r="E358" s="295">
        <f t="shared" si="86"/>
        <v>66.051252577023448</v>
      </c>
      <c r="F358" s="295">
        <f t="shared" si="86"/>
        <v>47.294708217665118</v>
      </c>
      <c r="G358" s="295">
        <f t="shared" si="86"/>
        <v>39.35994164948373</v>
      </c>
      <c r="H358" s="295">
        <f t="shared" si="86"/>
        <v>37.69458763518552</v>
      </c>
      <c r="I358" s="295">
        <f t="shared" si="86"/>
        <v>36.239751522464317</v>
      </c>
      <c r="J358" s="295">
        <f t="shared" si="86"/>
        <v>25.627625297250059</v>
      </c>
      <c r="K358" s="295">
        <f t="shared" si="86"/>
        <v>16.306326983391948</v>
      </c>
      <c r="L358" s="295">
        <f t="shared" si="86"/>
        <v>7.7142697263286228</v>
      </c>
      <c r="M358" s="295">
        <f t="shared" si="86"/>
        <v>5.2790422136719766</v>
      </c>
      <c r="N358" s="295">
        <f t="shared" si="86"/>
        <v>4.7885034844321517</v>
      </c>
      <c r="O358" s="295">
        <f t="shared" si="86"/>
        <v>5.0330852900481462</v>
      </c>
      <c r="P358" s="295">
        <f t="shared" si="86"/>
        <v>0</v>
      </c>
      <c r="Q358" s="295">
        <f t="shared" si="86"/>
        <v>0</v>
      </c>
      <c r="R358" s="295">
        <f t="shared" si="86"/>
        <v>0</v>
      </c>
      <c r="S358" s="295">
        <f t="shared" si="86"/>
        <v>0</v>
      </c>
      <c r="T358" s="295">
        <f t="shared" si="86"/>
        <v>0</v>
      </c>
      <c r="U358" s="295">
        <f t="shared" si="86"/>
        <v>0</v>
      </c>
      <c r="V358" s="295">
        <f t="shared" si="86"/>
        <v>0</v>
      </c>
      <c r="W358" s="295">
        <f t="shared" si="86"/>
        <v>0</v>
      </c>
      <c r="X358" s="295">
        <f t="shared" si="86"/>
        <v>0</v>
      </c>
      <c r="Y358" s="295">
        <f t="shared" si="86"/>
        <v>0</v>
      </c>
      <c r="Z358" s="295">
        <f t="shared" si="86"/>
        <v>0</v>
      </c>
      <c r="AA358" s="295">
        <f t="shared" si="86"/>
        <v>0</v>
      </c>
      <c r="AB358" s="295">
        <f t="shared" si="86"/>
        <v>0</v>
      </c>
      <c r="AC358" s="295">
        <f t="shared" si="86"/>
        <v>0</v>
      </c>
      <c r="AD358" s="295">
        <f t="shared" si="86"/>
        <v>0</v>
      </c>
      <c r="AE358" s="296">
        <f t="shared" si="86"/>
        <v>0</v>
      </c>
    </row>
    <row r="359" spans="1:31">
      <c r="A359" s="1711"/>
      <c r="B359" s="116">
        <v>13</v>
      </c>
      <c r="C359" s="294">
        <f t="shared" si="83"/>
        <v>210.5</v>
      </c>
      <c r="D359" s="295">
        <f t="shared" si="85"/>
        <v>90.378871063351355</v>
      </c>
      <c r="E359" s="295">
        <f t="shared" si="86"/>
        <v>40.947158022331898</v>
      </c>
      <c r="F359" s="295">
        <f t="shared" si="86"/>
        <v>19.072324729174621</v>
      </c>
      <c r="G359" s="295">
        <f t="shared" si="86"/>
        <v>13.656365290681086</v>
      </c>
      <c r="H359" s="295">
        <f t="shared" si="86"/>
        <v>11.365198375078988</v>
      </c>
      <c r="I359" s="295">
        <f t="shared" si="86"/>
        <v>10.884326759318309</v>
      </c>
      <c r="J359" s="295">
        <f t="shared" si="86"/>
        <v>10.46424226906292</v>
      </c>
      <c r="K359" s="295">
        <f t="shared" si="86"/>
        <v>7.39998671693305</v>
      </c>
      <c r="L359" s="295">
        <f t="shared" si="86"/>
        <v>4.7084582234786838</v>
      </c>
      <c r="M359" s="295">
        <f t="shared" si="86"/>
        <v>2.22749836723249</v>
      </c>
      <c r="N359" s="295">
        <f t="shared" si="86"/>
        <v>1.5243254810461613</v>
      </c>
      <c r="O359" s="295">
        <f t="shared" si="86"/>
        <v>1.3826822332456938</v>
      </c>
      <c r="P359" s="295">
        <f t="shared" si="86"/>
        <v>1.4533053242176095</v>
      </c>
      <c r="Q359" s="295">
        <f t="shared" si="86"/>
        <v>0</v>
      </c>
      <c r="R359" s="295">
        <f t="shared" si="86"/>
        <v>0</v>
      </c>
      <c r="S359" s="295">
        <f t="shared" si="86"/>
        <v>0</v>
      </c>
      <c r="T359" s="295">
        <f t="shared" si="86"/>
        <v>0</v>
      </c>
      <c r="U359" s="295">
        <f t="shared" si="86"/>
        <v>0</v>
      </c>
      <c r="V359" s="295">
        <f t="shared" si="86"/>
        <v>0</v>
      </c>
      <c r="W359" s="295">
        <f t="shared" si="86"/>
        <v>0</v>
      </c>
      <c r="X359" s="295">
        <f t="shared" si="86"/>
        <v>0</v>
      </c>
      <c r="Y359" s="295">
        <f t="shared" si="86"/>
        <v>0</v>
      </c>
      <c r="Z359" s="295">
        <f t="shared" si="86"/>
        <v>0</v>
      </c>
      <c r="AA359" s="295">
        <f t="shared" si="86"/>
        <v>0</v>
      </c>
      <c r="AB359" s="295">
        <f t="shared" si="86"/>
        <v>0</v>
      </c>
      <c r="AC359" s="295">
        <f t="shared" si="86"/>
        <v>0</v>
      </c>
      <c r="AD359" s="295">
        <f t="shared" si="86"/>
        <v>0</v>
      </c>
      <c r="AE359" s="296">
        <f t="shared" si="86"/>
        <v>0</v>
      </c>
    </row>
    <row r="360" spans="1:31">
      <c r="A360" s="1711"/>
      <c r="B360" s="116">
        <v>14</v>
      </c>
      <c r="C360" s="294">
        <f t="shared" si="83"/>
        <v>119.5</v>
      </c>
      <c r="D360" s="295">
        <f t="shared" si="85"/>
        <v>45.382147486586653</v>
      </c>
      <c r="E360" s="295">
        <f t="shared" si="86"/>
        <v>19.484975089160141</v>
      </c>
      <c r="F360" s="295">
        <f t="shared" si="86"/>
        <v>8.827885817225825</v>
      </c>
      <c r="G360" s="295">
        <f t="shared" si="86"/>
        <v>4.1118434858502448</v>
      </c>
      <c r="H360" s="295">
        <f t="shared" si="86"/>
        <v>2.9442051484674194</v>
      </c>
      <c r="I360" s="295">
        <f t="shared" si="86"/>
        <v>2.4502475480862214</v>
      </c>
      <c r="J360" s="295">
        <f t="shared" si="86"/>
        <v>2.3465754027723764</v>
      </c>
      <c r="K360" s="295">
        <f t="shared" si="86"/>
        <v>2.2560084845130053</v>
      </c>
      <c r="L360" s="295">
        <f t="shared" si="86"/>
        <v>1.5953790431669255</v>
      </c>
      <c r="M360" s="295">
        <f t="shared" si="86"/>
        <v>1.0151066296073226</v>
      </c>
      <c r="N360" s="295">
        <f t="shared" si="86"/>
        <v>0.48023116117755732</v>
      </c>
      <c r="O360" s="295">
        <f t="shared" si="86"/>
        <v>0.32863260711828524</v>
      </c>
      <c r="P360" s="295">
        <f t="shared" si="86"/>
        <v>0.29809543485149209</v>
      </c>
      <c r="Q360" s="295">
        <f t="shared" si="86"/>
        <v>0.31332121884411013</v>
      </c>
      <c r="R360" s="295">
        <f t="shared" si="86"/>
        <v>0</v>
      </c>
      <c r="S360" s="295">
        <f t="shared" si="86"/>
        <v>0</v>
      </c>
      <c r="T360" s="295">
        <f t="shared" si="86"/>
        <v>0</v>
      </c>
      <c r="U360" s="295">
        <f t="shared" si="86"/>
        <v>0</v>
      </c>
      <c r="V360" s="295">
        <f t="shared" si="86"/>
        <v>0</v>
      </c>
      <c r="W360" s="295">
        <f t="shared" si="86"/>
        <v>0</v>
      </c>
      <c r="X360" s="295">
        <f t="shared" si="86"/>
        <v>0</v>
      </c>
      <c r="Y360" s="295">
        <f t="shared" si="86"/>
        <v>0</v>
      </c>
      <c r="Z360" s="295">
        <f t="shared" si="86"/>
        <v>0</v>
      </c>
      <c r="AA360" s="295">
        <f t="shared" si="86"/>
        <v>0</v>
      </c>
      <c r="AB360" s="295">
        <f t="shared" si="86"/>
        <v>0</v>
      </c>
      <c r="AC360" s="295">
        <f t="shared" si="86"/>
        <v>0</v>
      </c>
      <c r="AD360" s="295">
        <f t="shared" si="86"/>
        <v>0</v>
      </c>
      <c r="AE360" s="296">
        <f t="shared" si="86"/>
        <v>0</v>
      </c>
    </row>
    <row r="361" spans="1:31">
      <c r="A361" s="1711"/>
      <c r="B361" s="116">
        <v>15</v>
      </c>
      <c r="C361" s="294">
        <f t="shared" si="83"/>
        <v>73.5</v>
      </c>
      <c r="D361" s="295">
        <f t="shared" si="85"/>
        <v>20.577458818074398</v>
      </c>
      <c r="E361" s="295">
        <f t="shared" si="86"/>
        <v>7.8146382508871577</v>
      </c>
      <c r="F361" s="295">
        <f t="shared" si="86"/>
        <v>3.3552407737941281</v>
      </c>
      <c r="G361" s="295">
        <f t="shared" si="86"/>
        <v>1.5201293460638281</v>
      </c>
      <c r="H361" s="295">
        <f t="shared" si="86"/>
        <v>0.70804426775272711</v>
      </c>
      <c r="I361" s="295">
        <f t="shared" si="86"/>
        <v>0.50698125685816686</v>
      </c>
      <c r="J361" s="295">
        <f t="shared" si="86"/>
        <v>0.42192358171407518</v>
      </c>
      <c r="K361" s="295">
        <f t="shared" si="86"/>
        <v>0.40407162103811645</v>
      </c>
      <c r="L361" s="295">
        <f t="shared" si="86"/>
        <v>0.388476332077764</v>
      </c>
      <c r="M361" s="295">
        <f t="shared" si="86"/>
        <v>0.27471838125511583</v>
      </c>
      <c r="N361" s="295">
        <f t="shared" si="86"/>
        <v>0.17479761394727181</v>
      </c>
      <c r="O361" s="295">
        <f t="shared" si="86"/>
        <v>8.2694032989851327E-2</v>
      </c>
      <c r="P361" s="295">
        <f t="shared" si="86"/>
        <v>5.6589321667388594E-2</v>
      </c>
      <c r="Q361" s="295">
        <f t="shared" si="86"/>
        <v>5.1330933343201317E-2</v>
      </c>
      <c r="R361" s="295">
        <f t="shared" si="86"/>
        <v>5.3952757134674074E-2</v>
      </c>
      <c r="S361" s="295">
        <f t="shared" si="86"/>
        <v>0</v>
      </c>
      <c r="T361" s="295">
        <f t="shared" si="86"/>
        <v>0</v>
      </c>
      <c r="U361" s="295">
        <f t="shared" si="86"/>
        <v>0</v>
      </c>
      <c r="V361" s="295">
        <f t="shared" si="86"/>
        <v>0</v>
      </c>
      <c r="W361" s="295">
        <f t="shared" si="86"/>
        <v>0</v>
      </c>
      <c r="X361" s="295">
        <f t="shared" si="86"/>
        <v>0</v>
      </c>
      <c r="Y361" s="295">
        <f t="shared" si="86"/>
        <v>0</v>
      </c>
      <c r="Z361" s="295">
        <f t="shared" si="86"/>
        <v>0</v>
      </c>
      <c r="AA361" s="295">
        <f t="shared" si="86"/>
        <v>0</v>
      </c>
      <c r="AB361" s="295">
        <f t="shared" si="86"/>
        <v>0</v>
      </c>
      <c r="AC361" s="295">
        <f t="shared" si="86"/>
        <v>0</v>
      </c>
      <c r="AD361" s="295">
        <f t="shared" si="86"/>
        <v>0</v>
      </c>
      <c r="AE361" s="296">
        <f t="shared" si="86"/>
        <v>0</v>
      </c>
    </row>
    <row r="362" spans="1:31">
      <c r="A362" s="1711"/>
      <c r="B362" s="116">
        <v>16</v>
      </c>
      <c r="C362" s="294">
        <f t="shared" si="83"/>
        <v>74.5</v>
      </c>
      <c r="D362" s="295">
        <f t="shared" si="85"/>
        <v>11.39078578088386</v>
      </c>
      <c r="E362" s="295">
        <f t="shared" si="86"/>
        <v>3.1890261947162593</v>
      </c>
      <c r="F362" s="295">
        <f t="shared" si="86"/>
        <v>1.2110866703531504</v>
      </c>
      <c r="G362" s="295">
        <f t="shared" si="86"/>
        <v>0.5199840666336859</v>
      </c>
      <c r="H362" s="295">
        <f t="shared" si="86"/>
        <v>0.23558459510541677</v>
      </c>
      <c r="I362" s="295">
        <f t="shared" si="86"/>
        <v>0.10973034799121209</v>
      </c>
      <c r="J362" s="295">
        <f t="shared" si="86"/>
        <v>7.8570270636661693E-2</v>
      </c>
      <c r="K362" s="295">
        <f t="shared" si="86"/>
        <v>6.5388314764738456E-2</v>
      </c>
      <c r="L362" s="295">
        <f t="shared" si="86"/>
        <v>6.2621677216049915E-2</v>
      </c>
      <c r="M362" s="295">
        <f t="shared" si="86"/>
        <v>6.0204771151582459E-2</v>
      </c>
      <c r="N362" s="295">
        <f t="shared" si="86"/>
        <v>4.2574941917662645E-2</v>
      </c>
      <c r="O362" s="295">
        <f t="shared" si="86"/>
        <v>2.7089553407932107E-2</v>
      </c>
      <c r="P362" s="295">
        <f t="shared" si="86"/>
        <v>1.2815646464554275E-2</v>
      </c>
      <c r="Q362" s="295">
        <f t="shared" si="86"/>
        <v>8.770025042159903E-3</v>
      </c>
      <c r="R362" s="295">
        <f t="shared" si="86"/>
        <v>7.9550974917719022E-3</v>
      </c>
      <c r="S362" s="295">
        <f t="shared" si="86"/>
        <v>8.361419031416675E-3</v>
      </c>
      <c r="T362" s="295">
        <f t="shared" si="86"/>
        <v>0</v>
      </c>
      <c r="U362" s="295">
        <f t="shared" si="86"/>
        <v>0</v>
      </c>
      <c r="V362" s="295">
        <f t="shared" si="86"/>
        <v>0</v>
      </c>
      <c r="W362" s="295">
        <f t="shared" si="86"/>
        <v>0</v>
      </c>
      <c r="X362" s="295">
        <f t="shared" si="86"/>
        <v>0</v>
      </c>
      <c r="Y362" s="295">
        <f t="shared" si="86"/>
        <v>0</v>
      </c>
      <c r="Z362" s="295">
        <f t="shared" si="86"/>
        <v>0</v>
      </c>
      <c r="AA362" s="295">
        <f t="shared" si="86"/>
        <v>0</v>
      </c>
      <c r="AB362" s="295">
        <f t="shared" si="86"/>
        <v>0</v>
      </c>
      <c r="AC362" s="295">
        <f t="shared" si="86"/>
        <v>0</v>
      </c>
      <c r="AD362" s="295">
        <f t="shared" si="86"/>
        <v>0</v>
      </c>
      <c r="AE362" s="296">
        <f t="shared" si="86"/>
        <v>0</v>
      </c>
    </row>
    <row r="363" spans="1:31">
      <c r="A363" s="1711"/>
      <c r="B363" s="116">
        <v>17</v>
      </c>
      <c r="C363" s="294">
        <f t="shared" si="83"/>
        <v>45.5</v>
      </c>
      <c r="D363" s="295">
        <f t="shared" si="85"/>
        <v>10.26289996282204</v>
      </c>
      <c r="E363" s="295">
        <f t="shared" si="86"/>
        <v>1.5691610062704267</v>
      </c>
      <c r="F363" s="295">
        <f t="shared" si="86"/>
        <v>0.43931082973412094</v>
      </c>
      <c r="G363" s="295">
        <f t="shared" si="86"/>
        <v>0.16683572274015593</v>
      </c>
      <c r="H363" s="295">
        <f t="shared" si="86"/>
        <v>7.1631469236549103E-2</v>
      </c>
      <c r="I363" s="295">
        <f t="shared" si="86"/>
        <v>3.245343801810506E-2</v>
      </c>
      <c r="J363" s="295">
        <f t="shared" si="86"/>
        <v>1.5116128648583357E-2</v>
      </c>
      <c r="K363" s="295">
        <f t="shared" si="86"/>
        <v>1.0823608424106214E-2</v>
      </c>
      <c r="L363" s="295">
        <f t="shared" si="86"/>
        <v>9.0077011163493988E-3</v>
      </c>
      <c r="M363" s="295">
        <f t="shared" si="86"/>
        <v>8.6265772989590934E-3</v>
      </c>
      <c r="N363" s="295">
        <f t="shared" si="86"/>
        <v>8.2936314578964439E-3</v>
      </c>
      <c r="O363" s="295">
        <f t="shared" si="86"/>
        <v>5.8649982526702083E-3</v>
      </c>
      <c r="P363" s="295">
        <f t="shared" si="86"/>
        <v>3.7317768679615048E-3</v>
      </c>
      <c r="Q363" s="295">
        <f t="shared" si="86"/>
        <v>1.7654456056995233E-3</v>
      </c>
      <c r="R363" s="295">
        <f t="shared" si="86"/>
        <v>1.2081327473708889E-3</v>
      </c>
      <c r="S363" s="295">
        <f t="shared" si="86"/>
        <v>1.0958707349335781E-3</v>
      </c>
      <c r="T363" s="295">
        <f t="shared" si="86"/>
        <v>1.1518443901565865E-3</v>
      </c>
      <c r="U363" s="295">
        <f t="shared" si="86"/>
        <v>0</v>
      </c>
      <c r="V363" s="295">
        <f t="shared" si="86"/>
        <v>0</v>
      </c>
      <c r="W363" s="295">
        <f t="shared" si="86"/>
        <v>0</v>
      </c>
      <c r="X363" s="295">
        <f t="shared" si="86"/>
        <v>0</v>
      </c>
      <c r="Y363" s="295">
        <f t="shared" si="86"/>
        <v>0</v>
      </c>
      <c r="Z363" s="295">
        <f t="shared" si="86"/>
        <v>0</v>
      </c>
      <c r="AA363" s="295">
        <f t="shared" si="86"/>
        <v>0</v>
      </c>
      <c r="AB363" s="295">
        <f t="shared" si="86"/>
        <v>0</v>
      </c>
      <c r="AC363" s="295">
        <f t="shared" si="86"/>
        <v>0</v>
      </c>
      <c r="AD363" s="295">
        <f t="shared" si="86"/>
        <v>0</v>
      </c>
      <c r="AE363" s="296">
        <f t="shared" si="86"/>
        <v>0</v>
      </c>
    </row>
    <row r="364" spans="1:31">
      <c r="A364" s="1711"/>
      <c r="B364" s="116">
        <v>18</v>
      </c>
      <c r="C364" s="294">
        <f t="shared" si="83"/>
        <v>26.5</v>
      </c>
      <c r="D364" s="295">
        <f t="shared" ref="D364:S371" si="87">C363*$G46</f>
        <v>5.484452413018154</v>
      </c>
      <c r="E364" s="295">
        <f t="shared" si="86"/>
        <v>1.237063438805786</v>
      </c>
      <c r="F364" s="295">
        <f t="shared" si="86"/>
        <v>0.18914261246711728</v>
      </c>
      <c r="G364" s="295">
        <f t="shared" si="86"/>
        <v>5.2953392092314443E-2</v>
      </c>
      <c r="H364" s="295">
        <f t="shared" si="86"/>
        <v>2.0109946860656612E-2</v>
      </c>
      <c r="I364" s="295">
        <f t="shared" si="86"/>
        <v>8.6342721824709326E-3</v>
      </c>
      <c r="J364" s="295">
        <f t="shared" si="86"/>
        <v>3.911853548332558E-3</v>
      </c>
      <c r="K364" s="295">
        <f t="shared" si="86"/>
        <v>1.8220590822465019E-3</v>
      </c>
      <c r="L364" s="295">
        <f t="shared" si="86"/>
        <v>1.3046497876736912E-3</v>
      </c>
      <c r="M364" s="295">
        <f t="shared" si="86"/>
        <v>1.085765013699094E-3</v>
      </c>
      <c r="N364" s="295">
        <f t="shared" si="86"/>
        <v>1.039825333700304E-3</v>
      </c>
      <c r="O364" s="295">
        <f t="shared" si="86"/>
        <v>9.9969290246029502E-4</v>
      </c>
      <c r="P364" s="295">
        <f t="shared" si="86"/>
        <v>7.0695173229020616E-4</v>
      </c>
      <c r="Q364" s="295">
        <f t="shared" si="86"/>
        <v>4.4981873952388581E-4</v>
      </c>
      <c r="R364" s="295">
        <f t="shared" si="86"/>
        <v>2.1280225081826478E-4</v>
      </c>
      <c r="S364" s="295">
        <f t="shared" si="86"/>
        <v>1.4562519915526425E-4</v>
      </c>
      <c r="T364" s="295">
        <f t="shared" si="86"/>
        <v>1.320934262980756E-4</v>
      </c>
      <c r="U364" s="295">
        <f t="shared" si="86"/>
        <v>1.3884034604430141E-4</v>
      </c>
      <c r="V364" s="295">
        <f t="shared" si="86"/>
        <v>0</v>
      </c>
      <c r="W364" s="295">
        <f t="shared" si="86"/>
        <v>0</v>
      </c>
      <c r="X364" s="295">
        <f t="shared" si="86"/>
        <v>0</v>
      </c>
      <c r="Y364" s="295">
        <f t="shared" si="86"/>
        <v>0</v>
      </c>
      <c r="Z364" s="295">
        <f t="shared" si="86"/>
        <v>0</v>
      </c>
      <c r="AA364" s="295">
        <f t="shared" si="86"/>
        <v>0</v>
      </c>
      <c r="AB364" s="295">
        <f t="shared" si="86"/>
        <v>0</v>
      </c>
      <c r="AC364" s="295">
        <f t="shared" si="86"/>
        <v>0</v>
      </c>
      <c r="AD364" s="295">
        <f t="shared" si="86"/>
        <v>0</v>
      </c>
      <c r="AE364" s="296">
        <f t="shared" si="86"/>
        <v>0</v>
      </c>
    </row>
    <row r="365" spans="1:31">
      <c r="A365" s="1711"/>
      <c r="B365" s="116">
        <v>19</v>
      </c>
      <c r="C365" s="294">
        <f t="shared" ref="C365:C371" si="88">(EXP(18-B365)*$X$47/(EXP(-1)+EXP(-2)+EXP(-3)+EXP(-4)+EXP(-5)+EXP(-6)+EXP(-7)+EXP(-8)+EXP(-9)+EXP(-10)))</f>
        <v>22.75737330097752</v>
      </c>
      <c r="D365" s="295">
        <f t="shared" si="87"/>
        <v>2.7379212988065511</v>
      </c>
      <c r="E365" s="295">
        <f t="shared" si="86"/>
        <v>0.5666414744865429</v>
      </c>
      <c r="F365" s="295">
        <f t="shared" si="86"/>
        <v>0.1278106542294806</v>
      </c>
      <c r="G365" s="295">
        <f t="shared" si="86"/>
        <v>1.9541795742854109E-2</v>
      </c>
      <c r="H365" s="295">
        <f t="shared" si="86"/>
        <v>5.4710271718340416E-3</v>
      </c>
      <c r="I365" s="295">
        <f t="shared" si="86"/>
        <v>2.0777151633079123E-3</v>
      </c>
      <c r="J365" s="295">
        <f t="shared" si="86"/>
        <v>8.9207387577660711E-4</v>
      </c>
      <c r="K365" s="295">
        <f t="shared" si="86"/>
        <v>4.0416404331289406E-4</v>
      </c>
      <c r="L365" s="295">
        <f t="shared" si="86"/>
        <v>1.8825110826289112E-4</v>
      </c>
      <c r="M365" s="295">
        <f t="shared" si="86"/>
        <v>1.3479352608132994E-4</v>
      </c>
      <c r="N365" s="295">
        <f t="shared" si="86"/>
        <v>1.1217883609455608E-4</v>
      </c>
      <c r="O365" s="295">
        <f t="shared" si="86"/>
        <v>1.0743245011987515E-4</v>
      </c>
      <c r="P365" s="295">
        <f t="shared" si="86"/>
        <v>1.032860562230861E-4</v>
      </c>
      <c r="Q365" s="295">
        <f t="shared" si="86"/>
        <v>7.304068698360537E-5</v>
      </c>
      <c r="R365" s="295">
        <f t="shared" si="86"/>
        <v>4.6474275756406156E-5</v>
      </c>
      <c r="S365" s="295">
        <f t="shared" si="86"/>
        <v>2.1986257167898148E-5</v>
      </c>
      <c r="T365" s="295">
        <f t="shared" si="86"/>
        <v>1.5045672996609198E-5</v>
      </c>
      <c r="U365" s="295">
        <f t="shared" si="86"/>
        <v>1.3647600199767342E-5</v>
      </c>
      <c r="V365" s="295">
        <f t="shared" si="86"/>
        <v>1.43446770025798E-5</v>
      </c>
      <c r="W365" s="295">
        <f t="shared" si="86"/>
        <v>0</v>
      </c>
      <c r="X365" s="295">
        <f t="shared" si="86"/>
        <v>0</v>
      </c>
      <c r="Y365" s="295">
        <f t="shared" si="86"/>
        <v>0</v>
      </c>
      <c r="Z365" s="295">
        <f t="shared" si="86"/>
        <v>0</v>
      </c>
      <c r="AA365" s="295">
        <f t="shared" si="86"/>
        <v>0</v>
      </c>
      <c r="AB365" s="295">
        <f t="shared" si="86"/>
        <v>0</v>
      </c>
      <c r="AC365" s="295">
        <f t="shared" si="86"/>
        <v>0</v>
      </c>
      <c r="AD365" s="295">
        <f t="shared" si="86"/>
        <v>0</v>
      </c>
      <c r="AE365" s="296">
        <f t="shared" si="86"/>
        <v>0</v>
      </c>
    </row>
    <row r="366" spans="1:31">
      <c r="A366" s="1711"/>
      <c r="B366" s="116">
        <v>20</v>
      </c>
      <c r="C366" s="294">
        <f t="shared" si="88"/>
        <v>8.3719697724935127</v>
      </c>
      <c r="D366" s="295">
        <f t="shared" si="87"/>
        <v>1.9593678322527641</v>
      </c>
      <c r="E366" s="295">
        <f t="shared" si="86"/>
        <v>0.23572996976284752</v>
      </c>
      <c r="F366" s="295">
        <f t="shared" si="86"/>
        <v>4.8786784961756438E-2</v>
      </c>
      <c r="G366" s="295">
        <f t="shared" si="86"/>
        <v>1.1004261397147627E-2</v>
      </c>
      <c r="H366" s="295">
        <f t="shared" si="86"/>
        <v>1.6825125402920582E-3</v>
      </c>
      <c r="I366" s="295">
        <f t="shared" si="86"/>
        <v>4.7104534025515067E-4</v>
      </c>
      <c r="J366" s="295">
        <f t="shared" si="86"/>
        <v>1.7888744020358693E-4</v>
      </c>
      <c r="K366" s="295">
        <f t="shared" si="86"/>
        <v>7.6805913981059179E-5</v>
      </c>
      <c r="L366" s="295">
        <f t="shared" si="86"/>
        <v>3.4797778062834782E-5</v>
      </c>
      <c r="M366" s="295">
        <f t="shared" si="86"/>
        <v>1.6208072919399609E-5</v>
      </c>
      <c r="N366" s="295">
        <f t="shared" si="86"/>
        <v>1.1605473773563195E-5</v>
      </c>
      <c r="O366" s="295">
        <f t="shared" si="86"/>
        <v>9.6583907112771759E-6</v>
      </c>
      <c r="P366" s="295">
        <f t="shared" si="86"/>
        <v>9.2497356404458682E-6</v>
      </c>
      <c r="Q366" s="295">
        <f t="shared" si="86"/>
        <v>8.8927387799659858E-6</v>
      </c>
      <c r="R366" s="295">
        <f t="shared" si="86"/>
        <v>6.2886683198703005E-6</v>
      </c>
      <c r="S366" s="295">
        <f t="shared" si="86"/>
        <v>4.0013493534614262E-6</v>
      </c>
      <c r="T366" s="295">
        <f t="shared" si="86"/>
        <v>1.8929761566360546E-6</v>
      </c>
      <c r="U366" s="295">
        <f t="shared" si="86"/>
        <v>1.2954046714558147E-6</v>
      </c>
      <c r="V366" s="295">
        <f t="shared" si="86"/>
        <v>1.1750331844194825E-6</v>
      </c>
      <c r="W366" s="295">
        <f t="shared" si="86"/>
        <v>1.2350502103730738E-6</v>
      </c>
      <c r="X366" s="295">
        <f t="shared" si="86"/>
        <v>0</v>
      </c>
      <c r="Y366" s="295">
        <f t="shared" si="86"/>
        <v>0</v>
      </c>
      <c r="Z366" s="295">
        <f t="shared" si="86"/>
        <v>0</v>
      </c>
      <c r="AA366" s="295">
        <f t="shared" si="86"/>
        <v>0</v>
      </c>
      <c r="AB366" s="295">
        <f t="shared" si="86"/>
        <v>0</v>
      </c>
      <c r="AC366" s="295">
        <f t="shared" si="86"/>
        <v>0</v>
      </c>
      <c r="AD366" s="295">
        <f t="shared" si="86"/>
        <v>0</v>
      </c>
      <c r="AE366" s="296">
        <f t="shared" si="86"/>
        <v>0</v>
      </c>
    </row>
    <row r="367" spans="1:31">
      <c r="A367" s="1711"/>
      <c r="B367" s="116">
        <v>21</v>
      </c>
      <c r="C367" s="294">
        <f t="shared" si="88"/>
        <v>3.07987556140912</v>
      </c>
      <c r="D367" s="295">
        <f t="shared" si="87"/>
        <v>0.5766489145427578</v>
      </c>
      <c r="E367" s="295">
        <f t="shared" si="87"/>
        <v>0.13495836277034629</v>
      </c>
      <c r="F367" s="295">
        <f t="shared" si="87"/>
        <v>1.6236732200772944E-2</v>
      </c>
      <c r="G367" s="295">
        <f t="shared" si="87"/>
        <v>3.360361701813537E-3</v>
      </c>
      <c r="H367" s="295">
        <f t="shared" si="87"/>
        <v>7.5795727438704961E-4</v>
      </c>
      <c r="I367" s="295">
        <f t="shared" si="87"/>
        <v>1.1588897910879853E-4</v>
      </c>
      <c r="J367" s="295">
        <f t="shared" si="87"/>
        <v>3.244490741605424E-5</v>
      </c>
      <c r="K367" s="295">
        <f t="shared" si="87"/>
        <v>1.2321502707481358E-5</v>
      </c>
      <c r="L367" s="295">
        <f t="shared" si="87"/>
        <v>5.2902779311458062E-6</v>
      </c>
      <c r="M367" s="295">
        <f t="shared" si="87"/>
        <v>2.3968195650158169E-6</v>
      </c>
      <c r="N367" s="295">
        <f t="shared" si="87"/>
        <v>1.1163881272612292E-6</v>
      </c>
      <c r="O367" s="295">
        <f t="shared" si="87"/>
        <v>7.9936789502841534E-7</v>
      </c>
      <c r="P367" s="295">
        <f t="shared" si="87"/>
        <v>6.6525568907172664E-7</v>
      </c>
      <c r="Q367" s="295">
        <f t="shared" si="87"/>
        <v>6.3710813127815838E-7</v>
      </c>
      <c r="R367" s="295">
        <f t="shared" si="87"/>
        <v>6.1251871472683916E-7</v>
      </c>
      <c r="S367" s="295">
        <f t="shared" si="87"/>
        <v>4.331541870214567E-7</v>
      </c>
      <c r="T367" s="295">
        <f t="shared" ref="E367:AE371" si="89">S366*$G49</f>
        <v>2.7560703443541787E-7</v>
      </c>
      <c r="U367" s="295">
        <f t="shared" si="89"/>
        <v>1.3038540219841057E-7</v>
      </c>
      <c r="V367" s="295">
        <f t="shared" si="89"/>
        <v>8.9225560768613274E-8</v>
      </c>
      <c r="W367" s="295">
        <f t="shared" si="89"/>
        <v>8.0934550501297787E-8</v>
      </c>
      <c r="X367" s="295">
        <f t="shared" si="89"/>
        <v>8.5068434618262905E-8</v>
      </c>
      <c r="Y367" s="295">
        <f t="shared" si="89"/>
        <v>0</v>
      </c>
      <c r="Z367" s="295">
        <f t="shared" si="89"/>
        <v>0</v>
      </c>
      <c r="AA367" s="295">
        <f t="shared" si="89"/>
        <v>0</v>
      </c>
      <c r="AB367" s="295">
        <f t="shared" si="89"/>
        <v>0</v>
      </c>
      <c r="AC367" s="295">
        <f t="shared" si="89"/>
        <v>0</v>
      </c>
      <c r="AD367" s="295">
        <f t="shared" si="89"/>
        <v>0</v>
      </c>
      <c r="AE367" s="296">
        <f t="shared" si="89"/>
        <v>0</v>
      </c>
    </row>
    <row r="368" spans="1:31">
      <c r="A368" s="1711"/>
      <c r="B368" s="116">
        <v>22</v>
      </c>
      <c r="C368" s="294">
        <f t="shared" si="88"/>
        <v>1.1330229004087691</v>
      </c>
      <c r="D368" s="295">
        <f t="shared" si="87"/>
        <v>0.15910296032558138</v>
      </c>
      <c r="E368" s="295">
        <f t="shared" si="89"/>
        <v>2.9789044246420666E-2</v>
      </c>
      <c r="F368" s="295">
        <f t="shared" si="89"/>
        <v>6.9717995449243807E-3</v>
      </c>
      <c r="G368" s="295">
        <f t="shared" si="89"/>
        <v>8.3877160217951717E-4</v>
      </c>
      <c r="H368" s="295">
        <f t="shared" si="89"/>
        <v>1.7359256368092664E-4</v>
      </c>
      <c r="I368" s="295">
        <f t="shared" si="89"/>
        <v>3.9155233304333291E-5</v>
      </c>
      <c r="J368" s="295">
        <f t="shared" si="89"/>
        <v>5.9866963056401302E-6</v>
      </c>
      <c r="K368" s="295">
        <f t="shared" si="89"/>
        <v>1.6760679821173872E-6</v>
      </c>
      <c r="L368" s="295">
        <f t="shared" si="89"/>
        <v>6.3651518294558108E-7</v>
      </c>
      <c r="M368" s="295">
        <f t="shared" si="89"/>
        <v>2.7328989857151619E-7</v>
      </c>
      <c r="N368" s="295">
        <f t="shared" si="89"/>
        <v>1.2381704408401995E-7</v>
      </c>
      <c r="O368" s="295">
        <f t="shared" si="89"/>
        <v>5.7671374176665623E-8</v>
      </c>
      <c r="P368" s="295">
        <f t="shared" si="89"/>
        <v>4.129446010151807E-8</v>
      </c>
      <c r="Q368" s="295">
        <f t="shared" si="89"/>
        <v>3.4366372080409603E-8</v>
      </c>
      <c r="R368" s="295">
        <f t="shared" si="89"/>
        <v>3.2912300420175663E-8</v>
      </c>
      <c r="S368" s="295">
        <f t="shared" si="89"/>
        <v>3.164203839562692E-8</v>
      </c>
      <c r="T368" s="295">
        <f t="shared" si="89"/>
        <v>2.23762655530808E-8</v>
      </c>
      <c r="U368" s="295">
        <f t="shared" si="89"/>
        <v>1.4237554144936625E-8</v>
      </c>
      <c r="V368" s="295">
        <f t="shared" si="89"/>
        <v>6.7355654666506944E-9</v>
      </c>
      <c r="W368" s="295">
        <f t="shared" si="89"/>
        <v>4.6092936457800846E-9</v>
      </c>
      <c r="X368" s="295">
        <f t="shared" si="89"/>
        <v>4.1809892382422193E-9</v>
      </c>
      <c r="Y368" s="295">
        <f t="shared" si="89"/>
        <v>4.3945411131598967E-9</v>
      </c>
      <c r="Z368" s="295">
        <f t="shared" si="89"/>
        <v>0</v>
      </c>
      <c r="AA368" s="295">
        <f t="shared" si="89"/>
        <v>0</v>
      </c>
      <c r="AB368" s="295">
        <f t="shared" si="89"/>
        <v>0</v>
      </c>
      <c r="AC368" s="295">
        <f t="shared" si="89"/>
        <v>0</v>
      </c>
      <c r="AD368" s="295">
        <f t="shared" si="89"/>
        <v>0</v>
      </c>
      <c r="AE368" s="296">
        <f t="shared" si="89"/>
        <v>0</v>
      </c>
    </row>
    <row r="369" spans="1:31">
      <c r="A369" s="1711"/>
      <c r="B369" s="116">
        <v>23</v>
      </c>
      <c r="C369" s="294">
        <f t="shared" si="88"/>
        <v>0.41681583143682477</v>
      </c>
      <c r="D369" s="295">
        <f t="shared" si="87"/>
        <v>3.9020472088864687E-2</v>
      </c>
      <c r="E369" s="295">
        <f t="shared" si="89"/>
        <v>5.4793884752023011E-3</v>
      </c>
      <c r="F369" s="295">
        <f t="shared" si="89"/>
        <v>1.0259126882184388E-3</v>
      </c>
      <c r="G369" s="295">
        <f t="shared" si="89"/>
        <v>2.4010362849129915E-4</v>
      </c>
      <c r="H369" s="295">
        <f t="shared" si="89"/>
        <v>2.8886674647061578E-5</v>
      </c>
      <c r="I369" s="295">
        <f t="shared" si="89"/>
        <v>5.978399715930083E-6</v>
      </c>
      <c r="J369" s="295">
        <f t="shared" si="89"/>
        <v>1.348477323568223E-6</v>
      </c>
      <c r="K369" s="295">
        <f t="shared" si="89"/>
        <v>2.061774003106743E-7</v>
      </c>
      <c r="L369" s="295">
        <f t="shared" si="89"/>
        <v>5.7722543729395116E-8</v>
      </c>
      <c r="M369" s="295">
        <f t="shared" si="89"/>
        <v>2.1921112910697546E-8</v>
      </c>
      <c r="N369" s="295">
        <f t="shared" si="89"/>
        <v>9.4119023150646072E-9</v>
      </c>
      <c r="O369" s="295">
        <f t="shared" si="89"/>
        <v>4.2641675742504141E-9</v>
      </c>
      <c r="P369" s="295">
        <f t="shared" si="89"/>
        <v>1.9861595432671059E-9</v>
      </c>
      <c r="Q369" s="295">
        <f t="shared" si="89"/>
        <v>1.4221507149014297E-9</v>
      </c>
      <c r="R369" s="295">
        <f t="shared" si="89"/>
        <v>1.1835524790146447E-9</v>
      </c>
      <c r="S369" s="295">
        <f t="shared" si="89"/>
        <v>1.1334753246933177E-9</v>
      </c>
      <c r="T369" s="295">
        <f t="shared" si="89"/>
        <v>1.0897284385036681E-9</v>
      </c>
      <c r="U369" s="295">
        <f t="shared" si="89"/>
        <v>7.7062206346580213E-10</v>
      </c>
      <c r="V369" s="295">
        <f t="shared" si="89"/>
        <v>4.9033085202935194E-10</v>
      </c>
      <c r="W369" s="295">
        <f t="shared" si="89"/>
        <v>2.3196790126602291E-10</v>
      </c>
      <c r="X369" s="295">
        <f t="shared" si="89"/>
        <v>1.5874066975138355E-10</v>
      </c>
      <c r="Y369" s="295">
        <f t="shared" si="89"/>
        <v>1.4399018220709873E-10</v>
      </c>
      <c r="Z369" s="295">
        <f t="shared" si="89"/>
        <v>1.5134475109687461E-10</v>
      </c>
      <c r="AA369" s="295">
        <f t="shared" si="89"/>
        <v>0</v>
      </c>
      <c r="AB369" s="295">
        <f t="shared" si="89"/>
        <v>0</v>
      </c>
      <c r="AC369" s="295">
        <f t="shared" si="89"/>
        <v>0</v>
      </c>
      <c r="AD369" s="295">
        <f t="shared" si="89"/>
        <v>0</v>
      </c>
      <c r="AE369" s="296">
        <f t="shared" si="89"/>
        <v>0</v>
      </c>
    </row>
    <row r="370" spans="1:31">
      <c r="A370" s="1711"/>
      <c r="B370" s="116">
        <v>24</v>
      </c>
      <c r="C370" s="294">
        <f t="shared" si="88"/>
        <v>0.15333797514038922</v>
      </c>
      <c r="D370" s="295">
        <f t="shared" si="87"/>
        <v>7.1774147331487015E-3</v>
      </c>
      <c r="E370" s="295">
        <f t="shared" si="89"/>
        <v>6.7191812340622109E-4</v>
      </c>
      <c r="F370" s="295">
        <f t="shared" si="89"/>
        <v>9.4353046608122821E-5</v>
      </c>
      <c r="G370" s="295">
        <f t="shared" si="89"/>
        <v>1.7665837734522941E-5</v>
      </c>
      <c r="H370" s="295">
        <f t="shared" si="89"/>
        <v>4.1344958387865611E-6</v>
      </c>
      <c r="I370" s="295">
        <f t="shared" si="89"/>
        <v>4.9741787275399424E-7</v>
      </c>
      <c r="J370" s="295">
        <f t="shared" si="89"/>
        <v>1.029458359435472E-7</v>
      </c>
      <c r="K370" s="295">
        <f t="shared" si="89"/>
        <v>2.3220281667642078E-8</v>
      </c>
      <c r="L370" s="295">
        <f t="shared" si="89"/>
        <v>3.5502987147368521E-9</v>
      </c>
      <c r="M370" s="295">
        <f t="shared" si="89"/>
        <v>9.9396089244027275E-10</v>
      </c>
      <c r="N370" s="295">
        <f t="shared" si="89"/>
        <v>3.7747347126881802E-10</v>
      </c>
      <c r="O370" s="295">
        <f t="shared" si="89"/>
        <v>1.6206948308617654E-10</v>
      </c>
      <c r="P370" s="295">
        <f t="shared" si="89"/>
        <v>7.3427391341009251E-11</v>
      </c>
      <c r="Q370" s="295">
        <f t="shared" si="89"/>
        <v>3.4200934065024524E-11</v>
      </c>
      <c r="R370" s="295">
        <f t="shared" si="89"/>
        <v>2.4488910266928219E-11</v>
      </c>
      <c r="S370" s="295">
        <f t="shared" si="89"/>
        <v>2.038033673301565E-11</v>
      </c>
      <c r="T370" s="295">
        <f t="shared" si="89"/>
        <v>1.9518026623581791E-11</v>
      </c>
      <c r="U370" s="295">
        <f t="shared" si="89"/>
        <v>1.8764721394304383E-11</v>
      </c>
      <c r="V370" s="295">
        <f t="shared" si="89"/>
        <v>1.3269827427001717E-11</v>
      </c>
      <c r="W370" s="295">
        <f t="shared" si="89"/>
        <v>8.4433162467492192E-12</v>
      </c>
      <c r="X370" s="295">
        <f t="shared" si="89"/>
        <v>3.9944016195955922E-12</v>
      </c>
      <c r="Y370" s="295">
        <f t="shared" si="89"/>
        <v>2.7334557276674829E-12</v>
      </c>
      <c r="Z370" s="295">
        <f t="shared" si="89"/>
        <v>2.479457777885859E-12</v>
      </c>
      <c r="AA370" s="295">
        <f t="shared" si="89"/>
        <v>2.6061007389352771E-12</v>
      </c>
      <c r="AB370" s="295">
        <f t="shared" si="89"/>
        <v>0</v>
      </c>
      <c r="AC370" s="295">
        <f t="shared" si="89"/>
        <v>0</v>
      </c>
      <c r="AD370" s="295">
        <f t="shared" si="89"/>
        <v>0</v>
      </c>
      <c r="AE370" s="296">
        <f t="shared" si="89"/>
        <v>0</v>
      </c>
    </row>
    <row r="371" spans="1:31" ht="15.75" thickBot="1">
      <c r="A371" s="1711"/>
      <c r="B371" s="116">
        <v>25</v>
      </c>
      <c r="C371" s="297">
        <f t="shared" si="88"/>
        <v>5.640988860500689E-2</v>
      </c>
      <c r="D371" s="298">
        <f t="shared" si="87"/>
        <v>0</v>
      </c>
      <c r="E371" s="298">
        <f t="shared" si="89"/>
        <v>0</v>
      </c>
      <c r="F371" s="298">
        <f t="shared" si="89"/>
        <v>0</v>
      </c>
      <c r="G371" s="298">
        <f t="shared" si="89"/>
        <v>0</v>
      </c>
      <c r="H371" s="298">
        <f t="shared" si="89"/>
        <v>0</v>
      </c>
      <c r="I371" s="298">
        <f t="shared" si="89"/>
        <v>0</v>
      </c>
      <c r="J371" s="298">
        <f t="shared" si="89"/>
        <v>0</v>
      </c>
      <c r="K371" s="298">
        <f t="shared" si="89"/>
        <v>0</v>
      </c>
      <c r="L371" s="298">
        <f t="shared" si="89"/>
        <v>0</v>
      </c>
      <c r="M371" s="298">
        <f t="shared" si="89"/>
        <v>0</v>
      </c>
      <c r="N371" s="298">
        <f t="shared" si="89"/>
        <v>0</v>
      </c>
      <c r="O371" s="298">
        <f t="shared" si="89"/>
        <v>0</v>
      </c>
      <c r="P371" s="298">
        <f t="shared" si="89"/>
        <v>0</v>
      </c>
      <c r="Q371" s="298">
        <f t="shared" si="89"/>
        <v>0</v>
      </c>
      <c r="R371" s="298">
        <f t="shared" si="89"/>
        <v>0</v>
      </c>
      <c r="S371" s="298">
        <f t="shared" si="89"/>
        <v>0</v>
      </c>
      <c r="T371" s="298">
        <f t="shared" si="89"/>
        <v>0</v>
      </c>
      <c r="U371" s="298">
        <f t="shared" si="89"/>
        <v>0</v>
      </c>
      <c r="V371" s="298">
        <f t="shared" si="89"/>
        <v>0</v>
      </c>
      <c r="W371" s="298">
        <f t="shared" si="89"/>
        <v>0</v>
      </c>
      <c r="X371" s="298">
        <f t="shared" si="89"/>
        <v>0</v>
      </c>
      <c r="Y371" s="298">
        <f t="shared" si="89"/>
        <v>0</v>
      </c>
      <c r="Z371" s="298">
        <f t="shared" si="89"/>
        <v>0</v>
      </c>
      <c r="AA371" s="298">
        <f t="shared" si="89"/>
        <v>0</v>
      </c>
      <c r="AB371" s="298">
        <f t="shared" si="89"/>
        <v>0</v>
      </c>
      <c r="AC371" s="298">
        <f t="shared" si="89"/>
        <v>0</v>
      </c>
      <c r="AD371" s="298">
        <f t="shared" si="89"/>
        <v>0</v>
      </c>
      <c r="AE371" s="299">
        <f t="shared" si="89"/>
        <v>0</v>
      </c>
    </row>
    <row r="372" spans="1:31" ht="16.5" thickTop="1" thickBot="1">
      <c r="A372" s="1712"/>
      <c r="B372" s="300" t="s">
        <v>39</v>
      </c>
      <c r="C372" s="349">
        <f>SUM(C346:C371)</f>
        <v>10320.96880523047</v>
      </c>
      <c r="D372" s="349">
        <f>SUM(D346:D371)</f>
        <v>7006.663175981219</v>
      </c>
      <c r="E372" s="349">
        <f t="shared" ref="E372:AE372" si="90">SUM(E346:E371)</f>
        <v>4807.4047340058514</v>
      </c>
      <c r="F372" s="349">
        <f t="shared" si="90"/>
        <v>3223.991044978929</v>
      </c>
      <c r="G372" s="349">
        <f t="shared" si="90"/>
        <v>2087.8075525956838</v>
      </c>
      <c r="H372" s="349">
        <f t="shared" si="90"/>
        <v>1303.5930299892457</v>
      </c>
      <c r="I372" s="349">
        <f t="shared" si="90"/>
        <v>783.64981331931494</v>
      </c>
      <c r="J372" s="349">
        <f t="shared" si="90"/>
        <v>451.88586224971169</v>
      </c>
      <c r="K372" s="349">
        <f t="shared" si="90"/>
        <v>244.46823357189564</v>
      </c>
      <c r="L372" s="349">
        <f t="shared" si="90"/>
        <v>120.88312168983504</v>
      </c>
      <c r="M372" s="349">
        <f t="shared" si="90"/>
        <v>53.721828529747071</v>
      </c>
      <c r="N372" s="349">
        <f t="shared" si="90"/>
        <v>20.968331553924173</v>
      </c>
      <c r="O372" s="349">
        <f t="shared" si="90"/>
        <v>6.8611663602713771</v>
      </c>
      <c r="P372" s="349">
        <f t="shared" si="90"/>
        <v>1.8253577002028958</v>
      </c>
      <c r="Q372" s="349">
        <f t="shared" si="90"/>
        <v>0.37572004793131331</v>
      </c>
      <c r="R372" s="349">
        <f t="shared" si="90"/>
        <v>6.3382199207767942E-2</v>
      </c>
      <c r="S372" s="349">
        <f t="shared" si="90"/>
        <v>9.6293685221079534E-3</v>
      </c>
      <c r="T372" s="349">
        <f t="shared" si="90"/>
        <v>1.301175558154361E-3</v>
      </c>
      <c r="U372" s="349">
        <f t="shared" si="90"/>
        <v>1.5392876325865277E-4</v>
      </c>
      <c r="V372" s="349">
        <f t="shared" si="90"/>
        <v>1.5616174913913998E-5</v>
      </c>
      <c r="W372" s="349">
        <f t="shared" si="90"/>
        <v>1.3208344657376644E-6</v>
      </c>
      <c r="X372" s="349">
        <f t="shared" si="90"/>
        <v>8.9412158927876099E-8</v>
      </c>
      <c r="Y372" s="349">
        <f t="shared" si="90"/>
        <v>4.5412647510946635E-9</v>
      </c>
      <c r="Z372" s="349">
        <f t="shared" si="90"/>
        <v>1.5382420887476047E-10</v>
      </c>
      <c r="AA372" s="349">
        <f t="shared" si="90"/>
        <v>2.6061007389352771E-12</v>
      </c>
      <c r="AB372" s="349">
        <f t="shared" si="90"/>
        <v>0</v>
      </c>
      <c r="AC372" s="349">
        <f t="shared" si="90"/>
        <v>0</v>
      </c>
      <c r="AD372" s="349">
        <f t="shared" si="90"/>
        <v>0</v>
      </c>
      <c r="AE372" s="350">
        <f t="shared" si="90"/>
        <v>0</v>
      </c>
    </row>
    <row r="373" spans="1:31" ht="15.75" thickBot="1"/>
    <row r="374" spans="1:31" ht="15.75" customHeight="1" thickBot="1">
      <c r="A374" s="1710" t="s">
        <v>208</v>
      </c>
      <c r="B374" s="169" t="s">
        <v>10</v>
      </c>
      <c r="C374" s="288">
        <v>2012</v>
      </c>
      <c r="D374" s="347">
        <v>2013</v>
      </c>
      <c r="E374" s="347">
        <v>2014</v>
      </c>
      <c r="F374" s="288">
        <v>2015</v>
      </c>
      <c r="G374" s="347">
        <v>2016</v>
      </c>
      <c r="H374" s="347">
        <v>2017</v>
      </c>
      <c r="I374" s="288">
        <v>2018</v>
      </c>
      <c r="J374" s="347">
        <v>2019</v>
      </c>
      <c r="K374" s="347">
        <v>2020</v>
      </c>
      <c r="L374" s="288">
        <v>2021</v>
      </c>
      <c r="M374" s="347">
        <v>2022</v>
      </c>
      <c r="N374" s="347">
        <v>2023</v>
      </c>
      <c r="O374" s="288">
        <v>2024</v>
      </c>
      <c r="P374" s="347">
        <v>2025</v>
      </c>
      <c r="Q374" s="347">
        <v>2026</v>
      </c>
      <c r="R374" s="288">
        <v>2027</v>
      </c>
      <c r="S374" s="347">
        <v>2028</v>
      </c>
      <c r="T374" s="347">
        <v>2029</v>
      </c>
      <c r="U374" s="288">
        <v>2030</v>
      </c>
      <c r="V374" s="347">
        <v>2031</v>
      </c>
      <c r="W374" s="347">
        <v>2032</v>
      </c>
      <c r="X374" s="288">
        <v>2033</v>
      </c>
      <c r="Y374" s="347">
        <v>2034</v>
      </c>
      <c r="Z374" s="347">
        <v>2035</v>
      </c>
      <c r="AA374" s="288">
        <v>2036</v>
      </c>
      <c r="AB374" s="347">
        <v>2037</v>
      </c>
      <c r="AC374" s="347">
        <v>2038</v>
      </c>
      <c r="AD374" s="288">
        <v>2039</v>
      </c>
      <c r="AE374" s="348">
        <v>2040</v>
      </c>
    </row>
    <row r="375" spans="1:31" ht="15" customHeight="1">
      <c r="A375" s="1711" t="s">
        <v>41</v>
      </c>
      <c r="B375" s="116">
        <v>0</v>
      </c>
      <c r="C375" s="291">
        <f t="shared" ref="C375:C393" si="91">Y28</f>
        <v>638.5</v>
      </c>
      <c r="D375" s="292"/>
      <c r="E375" s="292"/>
      <c r="F375" s="292"/>
      <c r="G375" s="292"/>
      <c r="H375" s="292"/>
      <c r="I375" s="292"/>
      <c r="J375" s="292"/>
      <c r="K375" s="292"/>
      <c r="L375" s="292"/>
      <c r="M375" s="292"/>
      <c r="N375" s="292"/>
      <c r="O375" s="292"/>
      <c r="P375" s="292"/>
      <c r="Q375" s="292"/>
      <c r="R375" s="292"/>
      <c r="S375" s="292"/>
      <c r="T375" s="292"/>
      <c r="U375" s="292"/>
      <c r="V375" s="292"/>
      <c r="W375" s="292"/>
      <c r="X375" s="292"/>
      <c r="Y375" s="292"/>
      <c r="Z375" s="292"/>
      <c r="AA375" s="292"/>
      <c r="AB375" s="292"/>
      <c r="AC375" s="292"/>
      <c r="AD375" s="292"/>
      <c r="AE375" s="293"/>
    </row>
    <row r="376" spans="1:31">
      <c r="A376" s="1711"/>
      <c r="B376" s="116">
        <v>1</v>
      </c>
      <c r="C376" s="294">
        <f t="shared" si="91"/>
        <v>552</v>
      </c>
      <c r="D376" s="295">
        <f>C375*$H29</f>
        <v>638.5</v>
      </c>
      <c r="E376" s="295">
        <f t="shared" ref="E376:AE385" si="92">D375*$H29</f>
        <v>0</v>
      </c>
      <c r="F376" s="295">
        <f t="shared" si="92"/>
        <v>0</v>
      </c>
      <c r="G376" s="295">
        <f t="shared" si="92"/>
        <v>0</v>
      </c>
      <c r="H376" s="295">
        <f t="shared" si="92"/>
        <v>0</v>
      </c>
      <c r="I376" s="295">
        <f t="shared" si="92"/>
        <v>0</v>
      </c>
      <c r="J376" s="295">
        <f t="shared" si="92"/>
        <v>0</v>
      </c>
      <c r="K376" s="295">
        <f t="shared" si="92"/>
        <v>0</v>
      </c>
      <c r="L376" s="295">
        <f t="shared" si="92"/>
        <v>0</v>
      </c>
      <c r="M376" s="295">
        <f t="shared" si="92"/>
        <v>0</v>
      </c>
      <c r="N376" s="295">
        <f t="shared" si="92"/>
        <v>0</v>
      </c>
      <c r="O376" s="295">
        <f t="shared" si="92"/>
        <v>0</v>
      </c>
      <c r="P376" s="295">
        <f t="shared" si="92"/>
        <v>0</v>
      </c>
      <c r="Q376" s="295">
        <f t="shared" si="92"/>
        <v>0</v>
      </c>
      <c r="R376" s="295">
        <f t="shared" si="92"/>
        <v>0</v>
      </c>
      <c r="S376" s="295">
        <f t="shared" si="92"/>
        <v>0</v>
      </c>
      <c r="T376" s="295">
        <f t="shared" si="92"/>
        <v>0</v>
      </c>
      <c r="U376" s="295">
        <f t="shared" si="92"/>
        <v>0</v>
      </c>
      <c r="V376" s="295">
        <f t="shared" si="92"/>
        <v>0</v>
      </c>
      <c r="W376" s="295">
        <f t="shared" si="92"/>
        <v>0</v>
      </c>
      <c r="X376" s="295">
        <f t="shared" si="92"/>
        <v>0</v>
      </c>
      <c r="Y376" s="295">
        <f t="shared" si="92"/>
        <v>0</v>
      </c>
      <c r="Z376" s="295">
        <f t="shared" si="92"/>
        <v>0</v>
      </c>
      <c r="AA376" s="295">
        <f t="shared" si="92"/>
        <v>0</v>
      </c>
      <c r="AB376" s="295">
        <f t="shared" si="92"/>
        <v>0</v>
      </c>
      <c r="AC376" s="295">
        <f t="shared" si="92"/>
        <v>0</v>
      </c>
      <c r="AD376" s="295">
        <f t="shared" si="92"/>
        <v>0</v>
      </c>
      <c r="AE376" s="296">
        <f t="shared" si="92"/>
        <v>0</v>
      </c>
    </row>
    <row r="377" spans="1:31">
      <c r="A377" s="1711"/>
      <c r="B377" s="116">
        <v>2</v>
      </c>
      <c r="C377" s="294">
        <f t="shared" si="91"/>
        <v>367</v>
      </c>
      <c r="D377" s="295">
        <f t="shared" ref="D377:S392" si="93">C376*$H30</f>
        <v>542.6932461446645</v>
      </c>
      <c r="E377" s="295">
        <f t="shared" si="93"/>
        <v>627.73485083943524</v>
      </c>
      <c r="F377" s="295">
        <f t="shared" si="93"/>
        <v>0</v>
      </c>
      <c r="G377" s="295">
        <f t="shared" si="93"/>
        <v>0</v>
      </c>
      <c r="H377" s="295">
        <f t="shared" si="93"/>
        <v>0</v>
      </c>
      <c r="I377" s="295">
        <f t="shared" si="93"/>
        <v>0</v>
      </c>
      <c r="J377" s="295">
        <f t="shared" si="93"/>
        <v>0</v>
      </c>
      <c r="K377" s="295">
        <f t="shared" si="93"/>
        <v>0</v>
      </c>
      <c r="L377" s="295">
        <f t="shared" si="93"/>
        <v>0</v>
      </c>
      <c r="M377" s="295">
        <f t="shared" si="93"/>
        <v>0</v>
      </c>
      <c r="N377" s="295">
        <f t="shared" si="93"/>
        <v>0</v>
      </c>
      <c r="O377" s="295">
        <f t="shared" si="93"/>
        <v>0</v>
      </c>
      <c r="P377" s="295">
        <f t="shared" si="93"/>
        <v>0</v>
      </c>
      <c r="Q377" s="295">
        <f t="shared" si="93"/>
        <v>0</v>
      </c>
      <c r="R377" s="295">
        <f t="shared" si="93"/>
        <v>0</v>
      </c>
      <c r="S377" s="295">
        <f t="shared" si="93"/>
        <v>0</v>
      </c>
      <c r="T377" s="295">
        <f t="shared" si="92"/>
        <v>0</v>
      </c>
      <c r="U377" s="295">
        <f t="shared" si="92"/>
        <v>0</v>
      </c>
      <c r="V377" s="295">
        <f t="shared" si="92"/>
        <v>0</v>
      </c>
      <c r="W377" s="295">
        <f t="shared" si="92"/>
        <v>0</v>
      </c>
      <c r="X377" s="295">
        <f t="shared" si="92"/>
        <v>0</v>
      </c>
      <c r="Y377" s="295">
        <f t="shared" si="92"/>
        <v>0</v>
      </c>
      <c r="Z377" s="295">
        <f t="shared" si="92"/>
        <v>0</v>
      </c>
      <c r="AA377" s="295">
        <f t="shared" si="92"/>
        <v>0</v>
      </c>
      <c r="AB377" s="295">
        <f t="shared" si="92"/>
        <v>0</v>
      </c>
      <c r="AC377" s="295">
        <f t="shared" si="92"/>
        <v>0</v>
      </c>
      <c r="AD377" s="295">
        <f t="shared" si="92"/>
        <v>0</v>
      </c>
      <c r="AE377" s="296">
        <f t="shared" si="92"/>
        <v>0</v>
      </c>
    </row>
    <row r="378" spans="1:31">
      <c r="A378" s="1711"/>
      <c r="B378" s="116">
        <v>3</v>
      </c>
      <c r="C378" s="294">
        <f t="shared" si="91"/>
        <v>381.5</v>
      </c>
      <c r="D378" s="295">
        <f t="shared" si="93"/>
        <v>352.34926551850839</v>
      </c>
      <c r="E378" s="295">
        <f t="shared" si="92"/>
        <v>521.02879204612429</v>
      </c>
      <c r="F378" s="295">
        <f t="shared" si="92"/>
        <v>602.67551398813464</v>
      </c>
      <c r="G378" s="295">
        <f t="shared" si="92"/>
        <v>0</v>
      </c>
      <c r="H378" s="295">
        <f t="shared" si="92"/>
        <v>0</v>
      </c>
      <c r="I378" s="295">
        <f t="shared" si="92"/>
        <v>0</v>
      </c>
      <c r="J378" s="295">
        <f t="shared" si="92"/>
        <v>0</v>
      </c>
      <c r="K378" s="295">
        <f t="shared" si="92"/>
        <v>0</v>
      </c>
      <c r="L378" s="295">
        <f t="shared" si="92"/>
        <v>0</v>
      </c>
      <c r="M378" s="295">
        <f t="shared" si="92"/>
        <v>0</v>
      </c>
      <c r="N378" s="295">
        <f t="shared" si="92"/>
        <v>0</v>
      </c>
      <c r="O378" s="295">
        <f t="shared" si="92"/>
        <v>0</v>
      </c>
      <c r="P378" s="295">
        <f t="shared" si="92"/>
        <v>0</v>
      </c>
      <c r="Q378" s="295">
        <f t="shared" si="92"/>
        <v>0</v>
      </c>
      <c r="R378" s="295">
        <f t="shared" si="92"/>
        <v>0</v>
      </c>
      <c r="S378" s="295">
        <f t="shared" si="92"/>
        <v>0</v>
      </c>
      <c r="T378" s="295">
        <f t="shared" si="92"/>
        <v>0</v>
      </c>
      <c r="U378" s="295">
        <f t="shared" si="92"/>
        <v>0</v>
      </c>
      <c r="V378" s="295">
        <f t="shared" si="92"/>
        <v>0</v>
      </c>
      <c r="W378" s="295">
        <f t="shared" si="92"/>
        <v>0</v>
      </c>
      <c r="X378" s="295">
        <f t="shared" si="92"/>
        <v>0</v>
      </c>
      <c r="Y378" s="295">
        <f t="shared" si="92"/>
        <v>0</v>
      </c>
      <c r="Z378" s="295">
        <f t="shared" si="92"/>
        <v>0</v>
      </c>
      <c r="AA378" s="295">
        <f t="shared" si="92"/>
        <v>0</v>
      </c>
      <c r="AB378" s="295">
        <f t="shared" si="92"/>
        <v>0</v>
      </c>
      <c r="AC378" s="295">
        <f t="shared" si="92"/>
        <v>0</v>
      </c>
      <c r="AD378" s="295">
        <f t="shared" si="92"/>
        <v>0</v>
      </c>
      <c r="AE378" s="296">
        <f t="shared" si="92"/>
        <v>0</v>
      </c>
    </row>
    <row r="379" spans="1:31">
      <c r="A379" s="1711"/>
      <c r="B379" s="116">
        <v>4</v>
      </c>
      <c r="C379" s="294">
        <f t="shared" si="91"/>
        <v>881</v>
      </c>
      <c r="D379" s="295">
        <f t="shared" si="93"/>
        <v>357.86916542196235</v>
      </c>
      <c r="E379" s="295">
        <f t="shared" si="92"/>
        <v>330.52408279986901</v>
      </c>
      <c r="F379" s="295">
        <f t="shared" si="92"/>
        <v>488.7552790835116</v>
      </c>
      <c r="G379" s="295">
        <f t="shared" si="92"/>
        <v>565.34464799786622</v>
      </c>
      <c r="H379" s="295">
        <f t="shared" si="92"/>
        <v>0</v>
      </c>
      <c r="I379" s="295">
        <f t="shared" si="92"/>
        <v>0</v>
      </c>
      <c r="J379" s="295">
        <f t="shared" si="92"/>
        <v>0</v>
      </c>
      <c r="K379" s="295">
        <f t="shared" si="92"/>
        <v>0</v>
      </c>
      <c r="L379" s="295">
        <f t="shared" si="92"/>
        <v>0</v>
      </c>
      <c r="M379" s="295">
        <f t="shared" si="92"/>
        <v>0</v>
      </c>
      <c r="N379" s="295">
        <f t="shared" si="92"/>
        <v>0</v>
      </c>
      <c r="O379" s="295">
        <f t="shared" si="92"/>
        <v>0</v>
      </c>
      <c r="P379" s="295">
        <f t="shared" si="92"/>
        <v>0</v>
      </c>
      <c r="Q379" s="295">
        <f t="shared" si="92"/>
        <v>0</v>
      </c>
      <c r="R379" s="295">
        <f t="shared" si="92"/>
        <v>0</v>
      </c>
      <c r="S379" s="295">
        <f t="shared" si="92"/>
        <v>0</v>
      </c>
      <c r="T379" s="295">
        <f t="shared" si="92"/>
        <v>0</v>
      </c>
      <c r="U379" s="295">
        <f t="shared" si="92"/>
        <v>0</v>
      </c>
      <c r="V379" s="295">
        <f t="shared" si="92"/>
        <v>0</v>
      </c>
      <c r="W379" s="295">
        <f t="shared" si="92"/>
        <v>0</v>
      </c>
      <c r="X379" s="295">
        <f t="shared" si="92"/>
        <v>0</v>
      </c>
      <c r="Y379" s="295">
        <f t="shared" si="92"/>
        <v>0</v>
      </c>
      <c r="Z379" s="295">
        <f t="shared" si="92"/>
        <v>0</v>
      </c>
      <c r="AA379" s="295">
        <f t="shared" si="92"/>
        <v>0</v>
      </c>
      <c r="AB379" s="295">
        <f t="shared" si="92"/>
        <v>0</v>
      </c>
      <c r="AC379" s="295">
        <f t="shared" si="92"/>
        <v>0</v>
      </c>
      <c r="AD379" s="295">
        <f t="shared" si="92"/>
        <v>0</v>
      </c>
      <c r="AE379" s="296">
        <f t="shared" si="92"/>
        <v>0</v>
      </c>
    </row>
    <row r="380" spans="1:31">
      <c r="A380" s="1711"/>
      <c r="B380" s="116">
        <v>5</v>
      </c>
      <c r="C380" s="294">
        <f t="shared" si="91"/>
        <v>1080</v>
      </c>
      <c r="D380" s="295">
        <f t="shared" si="93"/>
        <v>767.41522466696608</v>
      </c>
      <c r="E380" s="295">
        <f t="shared" si="92"/>
        <v>311.73013165002823</v>
      </c>
      <c r="F380" s="295">
        <f t="shared" si="92"/>
        <v>287.91057123689484</v>
      </c>
      <c r="G380" s="295">
        <f t="shared" si="92"/>
        <v>425.74147821230281</v>
      </c>
      <c r="H380" s="295">
        <f t="shared" si="92"/>
        <v>492.4564018814408</v>
      </c>
      <c r="I380" s="295">
        <f t="shared" si="92"/>
        <v>0</v>
      </c>
      <c r="J380" s="295">
        <f t="shared" si="92"/>
        <v>0</v>
      </c>
      <c r="K380" s="295">
        <f t="shared" si="92"/>
        <v>0</v>
      </c>
      <c r="L380" s="295">
        <f t="shared" si="92"/>
        <v>0</v>
      </c>
      <c r="M380" s="295">
        <f t="shared" si="92"/>
        <v>0</v>
      </c>
      <c r="N380" s="295">
        <f t="shared" si="92"/>
        <v>0</v>
      </c>
      <c r="O380" s="295">
        <f t="shared" si="92"/>
        <v>0</v>
      </c>
      <c r="P380" s="295">
        <f t="shared" si="92"/>
        <v>0</v>
      </c>
      <c r="Q380" s="295">
        <f t="shared" si="92"/>
        <v>0</v>
      </c>
      <c r="R380" s="295">
        <f t="shared" si="92"/>
        <v>0</v>
      </c>
      <c r="S380" s="295">
        <f t="shared" si="92"/>
        <v>0</v>
      </c>
      <c r="T380" s="295">
        <f t="shared" si="92"/>
        <v>0</v>
      </c>
      <c r="U380" s="295">
        <f t="shared" si="92"/>
        <v>0</v>
      </c>
      <c r="V380" s="295">
        <f t="shared" si="92"/>
        <v>0</v>
      </c>
      <c r="W380" s="295">
        <f t="shared" si="92"/>
        <v>0</v>
      </c>
      <c r="X380" s="295">
        <f t="shared" si="92"/>
        <v>0</v>
      </c>
      <c r="Y380" s="295">
        <f t="shared" si="92"/>
        <v>0</v>
      </c>
      <c r="Z380" s="295">
        <f t="shared" si="92"/>
        <v>0</v>
      </c>
      <c r="AA380" s="295">
        <f t="shared" si="92"/>
        <v>0</v>
      </c>
      <c r="AB380" s="295">
        <f t="shared" si="92"/>
        <v>0</v>
      </c>
      <c r="AC380" s="295">
        <f t="shared" si="92"/>
        <v>0</v>
      </c>
      <c r="AD380" s="295">
        <f t="shared" si="92"/>
        <v>0</v>
      </c>
      <c r="AE380" s="296">
        <f t="shared" si="92"/>
        <v>0</v>
      </c>
    </row>
    <row r="381" spans="1:31">
      <c r="A381" s="1711"/>
      <c r="B381" s="116">
        <v>6</v>
      </c>
      <c r="C381" s="294">
        <f t="shared" si="91"/>
        <v>906.5</v>
      </c>
      <c r="D381" s="295">
        <f t="shared" si="93"/>
        <v>873.96022107436193</v>
      </c>
      <c r="E381" s="295">
        <f t="shared" si="92"/>
        <v>621.00961056090068</v>
      </c>
      <c r="F381" s="295">
        <f t="shared" si="92"/>
        <v>252.25901367814686</v>
      </c>
      <c r="G381" s="295">
        <f t="shared" si="92"/>
        <v>232.98369119244668</v>
      </c>
      <c r="H381" s="295">
        <f t="shared" si="92"/>
        <v>344.5195522397683</v>
      </c>
      <c r="I381" s="295">
        <f t="shared" si="92"/>
        <v>398.50676468313776</v>
      </c>
      <c r="J381" s="295">
        <f t="shared" si="92"/>
        <v>0</v>
      </c>
      <c r="K381" s="295">
        <f t="shared" si="92"/>
        <v>0</v>
      </c>
      <c r="L381" s="295">
        <f t="shared" si="92"/>
        <v>0</v>
      </c>
      <c r="M381" s="295">
        <f t="shared" si="92"/>
        <v>0</v>
      </c>
      <c r="N381" s="295">
        <f t="shared" si="92"/>
        <v>0</v>
      </c>
      <c r="O381" s="295">
        <f t="shared" si="92"/>
        <v>0</v>
      </c>
      <c r="P381" s="295">
        <f t="shared" si="92"/>
        <v>0</v>
      </c>
      <c r="Q381" s="295">
        <f t="shared" si="92"/>
        <v>0</v>
      </c>
      <c r="R381" s="295">
        <f t="shared" si="92"/>
        <v>0</v>
      </c>
      <c r="S381" s="295">
        <f t="shared" si="92"/>
        <v>0</v>
      </c>
      <c r="T381" s="295">
        <f t="shared" si="92"/>
        <v>0</v>
      </c>
      <c r="U381" s="295">
        <f t="shared" si="92"/>
        <v>0</v>
      </c>
      <c r="V381" s="295">
        <f t="shared" si="92"/>
        <v>0</v>
      </c>
      <c r="W381" s="295">
        <f t="shared" si="92"/>
        <v>0</v>
      </c>
      <c r="X381" s="295">
        <f t="shared" si="92"/>
        <v>0</v>
      </c>
      <c r="Y381" s="295">
        <f t="shared" si="92"/>
        <v>0</v>
      </c>
      <c r="Z381" s="295">
        <f t="shared" si="92"/>
        <v>0</v>
      </c>
      <c r="AA381" s="295">
        <f t="shared" si="92"/>
        <v>0</v>
      </c>
      <c r="AB381" s="295">
        <f t="shared" si="92"/>
        <v>0</v>
      </c>
      <c r="AC381" s="295">
        <f t="shared" si="92"/>
        <v>0</v>
      </c>
      <c r="AD381" s="295">
        <f t="shared" si="92"/>
        <v>0</v>
      </c>
      <c r="AE381" s="296">
        <f t="shared" si="92"/>
        <v>0</v>
      </c>
    </row>
    <row r="382" spans="1:31">
      <c r="A382" s="1711"/>
      <c r="B382" s="116">
        <v>7</v>
      </c>
      <c r="C382" s="294">
        <f t="shared" si="91"/>
        <v>621.5</v>
      </c>
      <c r="D382" s="295">
        <f t="shared" si="93"/>
        <v>681.09538246330442</v>
      </c>
      <c r="E382" s="295">
        <f t="shared" si="92"/>
        <v>656.64674134622908</v>
      </c>
      <c r="F382" s="295">
        <f t="shared" si="92"/>
        <v>466.59324679356251</v>
      </c>
      <c r="G382" s="295">
        <f t="shared" si="92"/>
        <v>189.53386585872408</v>
      </c>
      <c r="H382" s="295">
        <f t="shared" si="92"/>
        <v>175.0514244461466</v>
      </c>
      <c r="I382" s="295">
        <f t="shared" si="92"/>
        <v>258.8534762259585</v>
      </c>
      <c r="J382" s="295">
        <f t="shared" si="92"/>
        <v>299.41656625049728</v>
      </c>
      <c r="K382" s="295">
        <f t="shared" si="92"/>
        <v>0</v>
      </c>
      <c r="L382" s="295">
        <f t="shared" si="92"/>
        <v>0</v>
      </c>
      <c r="M382" s="295">
        <f t="shared" si="92"/>
        <v>0</v>
      </c>
      <c r="N382" s="295">
        <f t="shared" si="92"/>
        <v>0</v>
      </c>
      <c r="O382" s="295">
        <f t="shared" si="92"/>
        <v>0</v>
      </c>
      <c r="P382" s="295">
        <f t="shared" si="92"/>
        <v>0</v>
      </c>
      <c r="Q382" s="295">
        <f t="shared" si="92"/>
        <v>0</v>
      </c>
      <c r="R382" s="295">
        <f t="shared" si="92"/>
        <v>0</v>
      </c>
      <c r="S382" s="295">
        <f t="shared" si="92"/>
        <v>0</v>
      </c>
      <c r="T382" s="295">
        <f t="shared" si="92"/>
        <v>0</v>
      </c>
      <c r="U382" s="295">
        <f t="shared" si="92"/>
        <v>0</v>
      </c>
      <c r="V382" s="295">
        <f t="shared" si="92"/>
        <v>0</v>
      </c>
      <c r="W382" s="295">
        <f t="shared" si="92"/>
        <v>0</v>
      </c>
      <c r="X382" s="295">
        <f t="shared" si="92"/>
        <v>0</v>
      </c>
      <c r="Y382" s="295">
        <f t="shared" si="92"/>
        <v>0</v>
      </c>
      <c r="Z382" s="295">
        <f t="shared" si="92"/>
        <v>0</v>
      </c>
      <c r="AA382" s="295">
        <f t="shared" si="92"/>
        <v>0</v>
      </c>
      <c r="AB382" s="295">
        <f t="shared" si="92"/>
        <v>0</v>
      </c>
      <c r="AC382" s="295">
        <f t="shared" si="92"/>
        <v>0</v>
      </c>
      <c r="AD382" s="295">
        <f t="shared" si="92"/>
        <v>0</v>
      </c>
      <c r="AE382" s="296">
        <f t="shared" si="92"/>
        <v>0</v>
      </c>
    </row>
    <row r="383" spans="1:31">
      <c r="A383" s="1711"/>
      <c r="B383" s="116">
        <v>8</v>
      </c>
      <c r="C383" s="294">
        <f t="shared" si="91"/>
        <v>418.5</v>
      </c>
      <c r="D383" s="295">
        <f t="shared" si="93"/>
        <v>410.50503676765635</v>
      </c>
      <c r="E383" s="295">
        <f t="shared" si="92"/>
        <v>449.8681979410776</v>
      </c>
      <c r="F383" s="295">
        <f t="shared" si="92"/>
        <v>433.71970184987208</v>
      </c>
      <c r="G383" s="295">
        <f t="shared" si="92"/>
        <v>308.18805781260102</v>
      </c>
      <c r="H383" s="295">
        <f t="shared" si="92"/>
        <v>125.18842570080703</v>
      </c>
      <c r="I383" s="295">
        <f t="shared" si="92"/>
        <v>115.62267325582627</v>
      </c>
      <c r="J383" s="295">
        <f t="shared" si="92"/>
        <v>170.97450647718867</v>
      </c>
      <c r="K383" s="295">
        <f t="shared" si="92"/>
        <v>197.76670722044375</v>
      </c>
      <c r="L383" s="295">
        <f t="shared" si="92"/>
        <v>0</v>
      </c>
      <c r="M383" s="295">
        <f t="shared" si="92"/>
        <v>0</v>
      </c>
      <c r="N383" s="295">
        <f t="shared" si="92"/>
        <v>0</v>
      </c>
      <c r="O383" s="295">
        <f t="shared" si="92"/>
        <v>0</v>
      </c>
      <c r="P383" s="295">
        <f t="shared" si="92"/>
        <v>0</v>
      </c>
      <c r="Q383" s="295">
        <f t="shared" si="92"/>
        <v>0</v>
      </c>
      <c r="R383" s="295">
        <f t="shared" si="92"/>
        <v>0</v>
      </c>
      <c r="S383" s="295">
        <f t="shared" si="92"/>
        <v>0</v>
      </c>
      <c r="T383" s="295">
        <f t="shared" si="92"/>
        <v>0</v>
      </c>
      <c r="U383" s="295">
        <f t="shared" si="92"/>
        <v>0</v>
      </c>
      <c r="V383" s="295">
        <f t="shared" si="92"/>
        <v>0</v>
      </c>
      <c r="W383" s="295">
        <f t="shared" si="92"/>
        <v>0</v>
      </c>
      <c r="X383" s="295">
        <f t="shared" si="92"/>
        <v>0</v>
      </c>
      <c r="Y383" s="295">
        <f t="shared" si="92"/>
        <v>0</v>
      </c>
      <c r="Z383" s="295">
        <f t="shared" si="92"/>
        <v>0</v>
      </c>
      <c r="AA383" s="295">
        <f t="shared" si="92"/>
        <v>0</v>
      </c>
      <c r="AB383" s="295">
        <f t="shared" si="92"/>
        <v>0</v>
      </c>
      <c r="AC383" s="295">
        <f t="shared" si="92"/>
        <v>0</v>
      </c>
      <c r="AD383" s="295">
        <f t="shared" si="92"/>
        <v>0</v>
      </c>
      <c r="AE383" s="296">
        <f t="shared" si="92"/>
        <v>0</v>
      </c>
    </row>
    <row r="384" spans="1:31">
      <c r="A384" s="1711"/>
      <c r="B384" s="116">
        <v>9</v>
      </c>
      <c r="C384" s="294">
        <f t="shared" si="91"/>
        <v>298</v>
      </c>
      <c r="D384" s="295">
        <f t="shared" si="93"/>
        <v>229.71077697783576</v>
      </c>
      <c r="E384" s="295">
        <f t="shared" si="92"/>
        <v>225.32241564925536</v>
      </c>
      <c r="F384" s="295">
        <f t="shared" si="92"/>
        <v>246.92849052966247</v>
      </c>
      <c r="G384" s="295">
        <f t="shared" si="92"/>
        <v>238.06473047199376</v>
      </c>
      <c r="H384" s="295">
        <f t="shared" si="92"/>
        <v>169.16157279670907</v>
      </c>
      <c r="I384" s="295">
        <f t="shared" si="92"/>
        <v>68.714768306725077</v>
      </c>
      <c r="J384" s="295">
        <f t="shared" si="92"/>
        <v>63.464215316249181</v>
      </c>
      <c r="K384" s="295">
        <f t="shared" si="92"/>
        <v>93.846324316074117</v>
      </c>
      <c r="L384" s="295">
        <f t="shared" si="92"/>
        <v>108.55231535473428</v>
      </c>
      <c r="M384" s="295">
        <f t="shared" si="92"/>
        <v>0</v>
      </c>
      <c r="N384" s="295">
        <f t="shared" si="92"/>
        <v>0</v>
      </c>
      <c r="O384" s="295">
        <f t="shared" si="92"/>
        <v>0</v>
      </c>
      <c r="P384" s="295">
        <f t="shared" si="92"/>
        <v>0</v>
      </c>
      <c r="Q384" s="295">
        <f t="shared" si="92"/>
        <v>0</v>
      </c>
      <c r="R384" s="295">
        <f t="shared" si="92"/>
        <v>0</v>
      </c>
      <c r="S384" s="295">
        <f t="shared" si="92"/>
        <v>0</v>
      </c>
      <c r="T384" s="295">
        <f t="shared" si="92"/>
        <v>0</v>
      </c>
      <c r="U384" s="295">
        <f t="shared" si="92"/>
        <v>0</v>
      </c>
      <c r="V384" s="295">
        <f t="shared" si="92"/>
        <v>0</v>
      </c>
      <c r="W384" s="295">
        <f t="shared" si="92"/>
        <v>0</v>
      </c>
      <c r="X384" s="295">
        <f t="shared" si="92"/>
        <v>0</v>
      </c>
      <c r="Y384" s="295">
        <f t="shared" si="92"/>
        <v>0</v>
      </c>
      <c r="Z384" s="295">
        <f t="shared" si="92"/>
        <v>0</v>
      </c>
      <c r="AA384" s="295">
        <f t="shared" si="92"/>
        <v>0</v>
      </c>
      <c r="AB384" s="295">
        <f t="shared" si="92"/>
        <v>0</v>
      </c>
      <c r="AC384" s="295">
        <f t="shared" si="92"/>
        <v>0</v>
      </c>
      <c r="AD384" s="295">
        <f t="shared" si="92"/>
        <v>0</v>
      </c>
      <c r="AE384" s="296">
        <f t="shared" si="92"/>
        <v>0</v>
      </c>
    </row>
    <row r="385" spans="1:31">
      <c r="A385" s="1711"/>
      <c r="B385" s="116">
        <v>10</v>
      </c>
      <c r="C385" s="294">
        <f t="shared" si="91"/>
        <v>154.5</v>
      </c>
      <c r="D385" s="295">
        <f t="shared" si="93"/>
        <v>135.49835665529341</v>
      </c>
      <c r="E385" s="295">
        <f t="shared" si="92"/>
        <v>104.44776102854817</v>
      </c>
      <c r="F385" s="295">
        <f t="shared" si="92"/>
        <v>102.45240616803714</v>
      </c>
      <c r="G385" s="295">
        <f t="shared" si="92"/>
        <v>112.27652576557533</v>
      </c>
      <c r="H385" s="295">
        <f t="shared" si="92"/>
        <v>108.24624079376009</v>
      </c>
      <c r="I385" s="295">
        <f t="shared" si="92"/>
        <v>76.9164937019425</v>
      </c>
      <c r="J385" s="295">
        <f t="shared" si="92"/>
        <v>31.244087864129149</v>
      </c>
      <c r="K385" s="295">
        <f t="shared" si="92"/>
        <v>28.856700945535124</v>
      </c>
      <c r="L385" s="295">
        <f t="shared" si="92"/>
        <v>42.671217191166932</v>
      </c>
      <c r="M385" s="295">
        <f t="shared" si="92"/>
        <v>49.357920609710298</v>
      </c>
      <c r="N385" s="295">
        <f t="shared" si="92"/>
        <v>0</v>
      </c>
      <c r="O385" s="295">
        <f t="shared" si="92"/>
        <v>0</v>
      </c>
      <c r="P385" s="295">
        <f t="shared" si="92"/>
        <v>0</v>
      </c>
      <c r="Q385" s="295">
        <f t="shared" si="92"/>
        <v>0</v>
      </c>
      <c r="R385" s="295">
        <f t="shared" si="92"/>
        <v>0</v>
      </c>
      <c r="S385" s="295">
        <f t="shared" si="92"/>
        <v>0</v>
      </c>
      <c r="T385" s="295">
        <f t="shared" si="92"/>
        <v>0</v>
      </c>
      <c r="U385" s="295">
        <f t="shared" si="92"/>
        <v>0</v>
      </c>
      <c r="V385" s="295">
        <f t="shared" si="92"/>
        <v>0</v>
      </c>
      <c r="W385" s="295">
        <f t="shared" si="92"/>
        <v>0</v>
      </c>
      <c r="X385" s="295">
        <f t="shared" si="92"/>
        <v>0</v>
      </c>
      <c r="Y385" s="295">
        <f t="shared" si="92"/>
        <v>0</v>
      </c>
      <c r="Z385" s="295">
        <f t="shared" si="92"/>
        <v>0</v>
      </c>
      <c r="AA385" s="295">
        <f t="shared" si="92"/>
        <v>0</v>
      </c>
      <c r="AB385" s="295">
        <f t="shared" si="92"/>
        <v>0</v>
      </c>
      <c r="AC385" s="295">
        <f t="shared" si="92"/>
        <v>0</v>
      </c>
      <c r="AD385" s="295">
        <f t="shared" si="92"/>
        <v>0</v>
      </c>
      <c r="AE385" s="296">
        <f t="shared" si="92"/>
        <v>0</v>
      </c>
    </row>
    <row r="386" spans="1:31">
      <c r="A386" s="1711"/>
      <c r="B386" s="116">
        <v>11</v>
      </c>
      <c r="C386" s="294">
        <f t="shared" si="91"/>
        <v>154</v>
      </c>
      <c r="D386" s="295">
        <f t="shared" si="93"/>
        <v>58.059904864380172</v>
      </c>
      <c r="E386" s="295">
        <f t="shared" si="93"/>
        <v>50.919234282758502</v>
      </c>
      <c r="F386" s="295">
        <f t="shared" si="93"/>
        <v>39.250660638284927</v>
      </c>
      <c r="G386" s="295">
        <f t="shared" si="93"/>
        <v>38.500821716783641</v>
      </c>
      <c r="H386" s="295">
        <f t="shared" si="93"/>
        <v>42.192649867006033</v>
      </c>
      <c r="I386" s="295">
        <f t="shared" si="93"/>
        <v>40.678099950889958</v>
      </c>
      <c r="J386" s="295">
        <f t="shared" si="93"/>
        <v>28.904623345219921</v>
      </c>
      <c r="K386" s="295">
        <f t="shared" si="93"/>
        <v>11.741286530522158</v>
      </c>
      <c r="L386" s="295">
        <f t="shared" si="93"/>
        <v>10.844124994159474</v>
      </c>
      <c r="M386" s="295">
        <f t="shared" si="93"/>
        <v>16.035513336999713</v>
      </c>
      <c r="N386" s="295">
        <f t="shared" si="93"/>
        <v>18.54832475665637</v>
      </c>
      <c r="O386" s="295">
        <f t="shared" si="93"/>
        <v>0</v>
      </c>
      <c r="P386" s="295">
        <f t="shared" si="93"/>
        <v>0</v>
      </c>
      <c r="Q386" s="295">
        <f t="shared" si="93"/>
        <v>0</v>
      </c>
      <c r="R386" s="295">
        <f t="shared" si="93"/>
        <v>0</v>
      </c>
      <c r="S386" s="295">
        <f t="shared" si="93"/>
        <v>0</v>
      </c>
      <c r="T386" s="295">
        <f t="shared" ref="E386:AE395" si="94">S385*$H39</f>
        <v>0</v>
      </c>
      <c r="U386" s="295">
        <f t="shared" si="94"/>
        <v>0</v>
      </c>
      <c r="V386" s="295">
        <f t="shared" si="94"/>
        <v>0</v>
      </c>
      <c r="W386" s="295">
        <f t="shared" si="94"/>
        <v>0</v>
      </c>
      <c r="X386" s="295">
        <f t="shared" si="94"/>
        <v>0</v>
      </c>
      <c r="Y386" s="295">
        <f t="shared" si="94"/>
        <v>0</v>
      </c>
      <c r="Z386" s="295">
        <f t="shared" si="94"/>
        <v>0</v>
      </c>
      <c r="AA386" s="295">
        <f t="shared" si="94"/>
        <v>0</v>
      </c>
      <c r="AB386" s="295">
        <f t="shared" si="94"/>
        <v>0</v>
      </c>
      <c r="AC386" s="295">
        <f t="shared" si="94"/>
        <v>0</v>
      </c>
      <c r="AD386" s="295">
        <f t="shared" si="94"/>
        <v>0</v>
      </c>
      <c r="AE386" s="296">
        <f t="shared" si="94"/>
        <v>0</v>
      </c>
    </row>
    <row r="387" spans="1:31">
      <c r="A387" s="1711"/>
      <c r="B387" s="116">
        <v>12</v>
      </c>
      <c r="C387" s="294">
        <f t="shared" si="91"/>
        <v>137</v>
      </c>
      <c r="D387" s="295">
        <f t="shared" si="93"/>
        <v>45.369134133038749</v>
      </c>
      <c r="E387" s="295">
        <f t="shared" si="94"/>
        <v>17.104724750282681</v>
      </c>
      <c r="F387" s="295">
        <f t="shared" si="94"/>
        <v>15.001049156662958</v>
      </c>
      <c r="G387" s="295">
        <f t="shared" si="94"/>
        <v>11.563431735770994</v>
      </c>
      <c r="H387" s="295">
        <f t="shared" si="94"/>
        <v>11.342525614941351</v>
      </c>
      <c r="I387" s="295">
        <f t="shared" si="94"/>
        <v>12.430155787302184</v>
      </c>
      <c r="J387" s="295">
        <f t="shared" si="94"/>
        <v>11.983962162007035</v>
      </c>
      <c r="K387" s="295">
        <f t="shared" si="94"/>
        <v>8.5154398286639328</v>
      </c>
      <c r="L387" s="295">
        <f t="shared" si="94"/>
        <v>3.4590389837513049</v>
      </c>
      <c r="M387" s="295">
        <f t="shared" si="94"/>
        <v>3.1947309182822026</v>
      </c>
      <c r="N387" s="295">
        <f t="shared" si="94"/>
        <v>4.7241386719381282</v>
      </c>
      <c r="O387" s="295">
        <f t="shared" si="94"/>
        <v>5.4644248949864034</v>
      </c>
      <c r="P387" s="295">
        <f t="shared" si="94"/>
        <v>0</v>
      </c>
      <c r="Q387" s="295">
        <f t="shared" si="94"/>
        <v>0</v>
      </c>
      <c r="R387" s="295">
        <f t="shared" si="94"/>
        <v>0</v>
      </c>
      <c r="S387" s="295">
        <f t="shared" si="94"/>
        <v>0</v>
      </c>
      <c r="T387" s="295">
        <f t="shared" si="94"/>
        <v>0</v>
      </c>
      <c r="U387" s="295">
        <f t="shared" si="94"/>
        <v>0</v>
      </c>
      <c r="V387" s="295">
        <f t="shared" si="94"/>
        <v>0</v>
      </c>
      <c r="W387" s="295">
        <f t="shared" si="94"/>
        <v>0</v>
      </c>
      <c r="X387" s="295">
        <f t="shared" si="94"/>
        <v>0</v>
      </c>
      <c r="Y387" s="295">
        <f t="shared" si="94"/>
        <v>0</v>
      </c>
      <c r="Z387" s="295">
        <f t="shared" si="94"/>
        <v>0</v>
      </c>
      <c r="AA387" s="295">
        <f t="shared" si="94"/>
        <v>0</v>
      </c>
      <c r="AB387" s="295">
        <f t="shared" si="94"/>
        <v>0</v>
      </c>
      <c r="AC387" s="295">
        <f t="shared" si="94"/>
        <v>0</v>
      </c>
      <c r="AD387" s="295">
        <f t="shared" si="94"/>
        <v>0</v>
      </c>
      <c r="AE387" s="296">
        <f t="shared" si="94"/>
        <v>0</v>
      </c>
    </row>
    <row r="388" spans="1:31">
      <c r="A388" s="1711"/>
      <c r="B388" s="116">
        <v>13</v>
      </c>
      <c r="C388" s="294">
        <f t="shared" si="91"/>
        <v>69.5</v>
      </c>
      <c r="D388" s="295">
        <f t="shared" si="93"/>
        <v>30.350836490765733</v>
      </c>
      <c r="E388" s="295">
        <f t="shared" si="94"/>
        <v>10.051030451091078</v>
      </c>
      <c r="F388" s="295">
        <f t="shared" si="94"/>
        <v>3.7893628037619229</v>
      </c>
      <c r="G388" s="295">
        <f t="shared" si="94"/>
        <v>3.3233167163782236</v>
      </c>
      <c r="H388" s="295">
        <f t="shared" si="94"/>
        <v>2.5617505539015828</v>
      </c>
      <c r="I388" s="295">
        <f t="shared" si="94"/>
        <v>2.5128112432949417</v>
      </c>
      <c r="J388" s="295">
        <f t="shared" si="94"/>
        <v>2.7537636923733868</v>
      </c>
      <c r="K388" s="295">
        <f t="shared" si="94"/>
        <v>2.6549144240189704</v>
      </c>
      <c r="L388" s="295">
        <f t="shared" si="94"/>
        <v>1.8865016196111912</v>
      </c>
      <c r="M388" s="295">
        <f t="shared" si="94"/>
        <v>0.76631187307314108</v>
      </c>
      <c r="N388" s="295">
        <f t="shared" si="94"/>
        <v>0.70775734111516053</v>
      </c>
      <c r="O388" s="295">
        <f t="shared" si="94"/>
        <v>1.0465807327861119</v>
      </c>
      <c r="P388" s="295">
        <f t="shared" si="94"/>
        <v>1.2105829671810369</v>
      </c>
      <c r="Q388" s="295">
        <f t="shared" si="94"/>
        <v>0</v>
      </c>
      <c r="R388" s="295">
        <f t="shared" si="94"/>
        <v>0</v>
      </c>
      <c r="S388" s="295">
        <f t="shared" si="94"/>
        <v>0</v>
      </c>
      <c r="T388" s="295">
        <f t="shared" si="94"/>
        <v>0</v>
      </c>
      <c r="U388" s="295">
        <f t="shared" si="94"/>
        <v>0</v>
      </c>
      <c r="V388" s="295">
        <f t="shared" si="94"/>
        <v>0</v>
      </c>
      <c r="W388" s="295">
        <f t="shared" si="94"/>
        <v>0</v>
      </c>
      <c r="X388" s="295">
        <f t="shared" si="94"/>
        <v>0</v>
      </c>
      <c r="Y388" s="295">
        <f t="shared" si="94"/>
        <v>0</v>
      </c>
      <c r="Z388" s="295">
        <f t="shared" si="94"/>
        <v>0</v>
      </c>
      <c r="AA388" s="295">
        <f t="shared" si="94"/>
        <v>0</v>
      </c>
      <c r="AB388" s="295">
        <f t="shared" si="94"/>
        <v>0</v>
      </c>
      <c r="AC388" s="295">
        <f t="shared" si="94"/>
        <v>0</v>
      </c>
      <c r="AD388" s="295">
        <f t="shared" si="94"/>
        <v>0</v>
      </c>
      <c r="AE388" s="296">
        <f t="shared" si="94"/>
        <v>0</v>
      </c>
    </row>
    <row r="389" spans="1:31">
      <c r="A389" s="1711"/>
      <c r="B389" s="116">
        <v>14</v>
      </c>
      <c r="C389" s="294">
        <f t="shared" si="91"/>
        <v>31.5</v>
      </c>
      <c r="D389" s="295">
        <f t="shared" si="93"/>
        <v>11.716963262820586</v>
      </c>
      <c r="E389" s="295">
        <f t="shared" si="94"/>
        <v>5.1168292972399509</v>
      </c>
      <c r="F389" s="295">
        <f t="shared" si="94"/>
        <v>1.6944971877543193</v>
      </c>
      <c r="G389" s="295">
        <f t="shared" si="94"/>
        <v>0.63884639944139954</v>
      </c>
      <c r="H389" s="295">
        <f t="shared" si="94"/>
        <v>0.56027596944634805</v>
      </c>
      <c r="I389" s="295">
        <f t="shared" si="94"/>
        <v>0.43188398746151274</v>
      </c>
      <c r="J389" s="295">
        <f t="shared" si="94"/>
        <v>0.42363333847610585</v>
      </c>
      <c r="K389" s="295">
        <f t="shared" si="94"/>
        <v>0.46425536716587262</v>
      </c>
      <c r="L389" s="295">
        <f t="shared" si="94"/>
        <v>0.44759042837644253</v>
      </c>
      <c r="M389" s="295">
        <f t="shared" si="94"/>
        <v>0.31804417514008437</v>
      </c>
      <c r="N389" s="295">
        <f t="shared" si="94"/>
        <v>0.12919205848433421</v>
      </c>
      <c r="O389" s="295">
        <f t="shared" si="94"/>
        <v>0.1193203851055815</v>
      </c>
      <c r="P389" s="295">
        <f t="shared" si="94"/>
        <v>0.17644241723209672</v>
      </c>
      <c r="Q389" s="295">
        <f t="shared" si="94"/>
        <v>0.20409145543966259</v>
      </c>
      <c r="R389" s="295">
        <f t="shared" si="94"/>
        <v>0</v>
      </c>
      <c r="S389" s="295">
        <f t="shared" si="94"/>
        <v>0</v>
      </c>
      <c r="T389" s="295">
        <f t="shared" si="94"/>
        <v>0</v>
      </c>
      <c r="U389" s="295">
        <f t="shared" si="94"/>
        <v>0</v>
      </c>
      <c r="V389" s="295">
        <f t="shared" si="94"/>
        <v>0</v>
      </c>
      <c r="W389" s="295">
        <f t="shared" si="94"/>
        <v>0</v>
      </c>
      <c r="X389" s="295">
        <f t="shared" si="94"/>
        <v>0</v>
      </c>
      <c r="Y389" s="295">
        <f t="shared" si="94"/>
        <v>0</v>
      </c>
      <c r="Z389" s="295">
        <f t="shared" si="94"/>
        <v>0</v>
      </c>
      <c r="AA389" s="295">
        <f t="shared" si="94"/>
        <v>0</v>
      </c>
      <c r="AB389" s="295">
        <f t="shared" si="94"/>
        <v>0</v>
      </c>
      <c r="AC389" s="295">
        <f t="shared" si="94"/>
        <v>0</v>
      </c>
      <c r="AD389" s="295">
        <f t="shared" si="94"/>
        <v>0</v>
      </c>
      <c r="AE389" s="296">
        <f t="shared" si="94"/>
        <v>0</v>
      </c>
    </row>
    <row r="390" spans="1:31">
      <c r="A390" s="1711"/>
      <c r="B390" s="116">
        <v>15</v>
      </c>
      <c r="C390" s="294">
        <f t="shared" si="91"/>
        <v>8</v>
      </c>
      <c r="D390" s="295">
        <f t="shared" si="93"/>
        <v>3.7164513548448963</v>
      </c>
      <c r="E390" s="295">
        <f t="shared" si="94"/>
        <v>1.3823975870722998</v>
      </c>
      <c r="F390" s="295">
        <f t="shared" si="94"/>
        <v>0.60369673569007853</v>
      </c>
      <c r="G390" s="295">
        <f t="shared" si="94"/>
        <v>0.19992115457810813</v>
      </c>
      <c r="H390" s="295">
        <f t="shared" si="94"/>
        <v>7.5372748150532479E-2</v>
      </c>
      <c r="I390" s="295">
        <f t="shared" si="94"/>
        <v>6.6102805896378347E-2</v>
      </c>
      <c r="J390" s="295">
        <f t="shared" si="94"/>
        <v>5.0954788264671591E-2</v>
      </c>
      <c r="K390" s="295">
        <f t="shared" si="94"/>
        <v>4.9981355388475875E-2</v>
      </c>
      <c r="L390" s="295">
        <f t="shared" si="94"/>
        <v>5.4774047247543554E-2</v>
      </c>
      <c r="M390" s="295">
        <f t="shared" si="94"/>
        <v>5.2807874728737693E-2</v>
      </c>
      <c r="N390" s="295">
        <f t="shared" si="94"/>
        <v>3.7523673193647432E-2</v>
      </c>
      <c r="O390" s="295">
        <f t="shared" si="94"/>
        <v>1.5242412723469998E-2</v>
      </c>
      <c r="P390" s="295">
        <f t="shared" si="94"/>
        <v>1.4077727202738196E-2</v>
      </c>
      <c r="Q390" s="295">
        <f t="shared" si="94"/>
        <v>2.08171320817249E-2</v>
      </c>
      <c r="R390" s="295">
        <f t="shared" si="94"/>
        <v>2.4079237018444468E-2</v>
      </c>
      <c r="S390" s="295">
        <f t="shared" si="94"/>
        <v>0</v>
      </c>
      <c r="T390" s="295">
        <f t="shared" si="94"/>
        <v>0</v>
      </c>
      <c r="U390" s="295">
        <f t="shared" si="94"/>
        <v>0</v>
      </c>
      <c r="V390" s="295">
        <f t="shared" si="94"/>
        <v>0</v>
      </c>
      <c r="W390" s="295">
        <f t="shared" si="94"/>
        <v>0</v>
      </c>
      <c r="X390" s="295">
        <f t="shared" si="94"/>
        <v>0</v>
      </c>
      <c r="Y390" s="295">
        <f t="shared" si="94"/>
        <v>0</v>
      </c>
      <c r="Z390" s="295">
        <f t="shared" si="94"/>
        <v>0</v>
      </c>
      <c r="AA390" s="295">
        <f t="shared" si="94"/>
        <v>0</v>
      </c>
      <c r="AB390" s="295">
        <f t="shared" si="94"/>
        <v>0</v>
      </c>
      <c r="AC390" s="295">
        <f t="shared" si="94"/>
        <v>0</v>
      </c>
      <c r="AD390" s="295">
        <f t="shared" si="94"/>
        <v>0</v>
      </c>
      <c r="AE390" s="296">
        <f t="shared" si="94"/>
        <v>0</v>
      </c>
    </row>
    <row r="391" spans="1:31">
      <c r="A391" s="1711"/>
      <c r="B391" s="116">
        <v>16</v>
      </c>
      <c r="C391" s="294">
        <f t="shared" si="91"/>
        <v>12.5</v>
      </c>
      <c r="D391" s="295">
        <f t="shared" si="93"/>
        <v>0.84947459539311909</v>
      </c>
      <c r="E391" s="295">
        <f t="shared" si="94"/>
        <v>0.39462887636938471</v>
      </c>
      <c r="F391" s="295">
        <f t="shared" si="94"/>
        <v>0.14678895386883326</v>
      </c>
      <c r="G391" s="295">
        <f t="shared" si="94"/>
        <v>6.4103130036309533E-2</v>
      </c>
      <c r="H391" s="295">
        <f t="shared" si="94"/>
        <v>2.1228492736970455E-2</v>
      </c>
      <c r="I391" s="295">
        <f t="shared" si="94"/>
        <v>8.0034043423551308E-3</v>
      </c>
      <c r="J391" s="295">
        <f t="shared" si="94"/>
        <v>7.0190817866469853E-3</v>
      </c>
      <c r="K391" s="295">
        <f t="shared" si="94"/>
        <v>5.4105997680592441E-3</v>
      </c>
      <c r="L391" s="295">
        <f t="shared" si="94"/>
        <v>5.3072364557281548E-3</v>
      </c>
      <c r="M391" s="295">
        <f t="shared" si="94"/>
        <v>5.8161452029563314E-3</v>
      </c>
      <c r="N391" s="295">
        <f t="shared" si="94"/>
        <v>5.6073685023456214E-3</v>
      </c>
      <c r="O391" s="295">
        <f t="shared" si="94"/>
        <v>3.9844258879796601E-3</v>
      </c>
      <c r="P391" s="295">
        <f t="shared" si="94"/>
        <v>1.6185052976355758E-3</v>
      </c>
      <c r="Q391" s="295">
        <f t="shared" si="94"/>
        <v>1.494833952450092E-3</v>
      </c>
      <c r="R391" s="295">
        <f t="shared" si="94"/>
        <v>2.2104531065460474E-3</v>
      </c>
      <c r="S391" s="295">
        <f t="shared" si="94"/>
        <v>2.5568375154522661E-3</v>
      </c>
      <c r="T391" s="295">
        <f t="shared" si="94"/>
        <v>0</v>
      </c>
      <c r="U391" s="295">
        <f t="shared" si="94"/>
        <v>0</v>
      </c>
      <c r="V391" s="295">
        <f t="shared" si="94"/>
        <v>0</v>
      </c>
      <c r="W391" s="295">
        <f t="shared" si="94"/>
        <v>0</v>
      </c>
      <c r="X391" s="295">
        <f t="shared" si="94"/>
        <v>0</v>
      </c>
      <c r="Y391" s="295">
        <f t="shared" si="94"/>
        <v>0</v>
      </c>
      <c r="Z391" s="295">
        <f t="shared" si="94"/>
        <v>0</v>
      </c>
      <c r="AA391" s="295">
        <f t="shared" si="94"/>
        <v>0</v>
      </c>
      <c r="AB391" s="295">
        <f t="shared" si="94"/>
        <v>0</v>
      </c>
      <c r="AC391" s="295">
        <f t="shared" si="94"/>
        <v>0</v>
      </c>
      <c r="AD391" s="295">
        <f t="shared" si="94"/>
        <v>0</v>
      </c>
      <c r="AE391" s="296">
        <f t="shared" si="94"/>
        <v>0</v>
      </c>
    </row>
    <row r="392" spans="1:31">
      <c r="A392" s="1711"/>
      <c r="B392" s="116">
        <v>17</v>
      </c>
      <c r="C392" s="294">
        <f t="shared" si="91"/>
        <v>4.5</v>
      </c>
      <c r="D392" s="295">
        <f t="shared" si="93"/>
        <v>1.1798258269348876</v>
      </c>
      <c r="E392" s="295">
        <f t="shared" si="94"/>
        <v>8.0178565357589257E-2</v>
      </c>
      <c r="F392" s="295">
        <f t="shared" si="94"/>
        <v>3.7247467231591586E-2</v>
      </c>
      <c r="G392" s="295">
        <f t="shared" si="94"/>
        <v>1.385483191065626E-2</v>
      </c>
      <c r="H392" s="295">
        <f t="shared" si="94"/>
        <v>6.0504422723362816E-3</v>
      </c>
      <c r="I392" s="295">
        <f t="shared" si="94"/>
        <v>2.0036739198381935E-3</v>
      </c>
      <c r="J392" s="295">
        <f t="shared" si="94"/>
        <v>7.5540985172107297E-4</v>
      </c>
      <c r="K392" s="295">
        <f t="shared" si="94"/>
        <v>6.6250351786035101E-4</v>
      </c>
      <c r="L392" s="295">
        <f t="shared" si="94"/>
        <v>5.1068522764513666E-4</v>
      </c>
      <c r="M392" s="295">
        <f t="shared" si="94"/>
        <v>5.0092917120947618E-4</v>
      </c>
      <c r="N392" s="295">
        <f t="shared" si="94"/>
        <v>5.4896306589210663E-4</v>
      </c>
      <c r="O392" s="295">
        <f t="shared" si="94"/>
        <v>5.2925745441668515E-4</v>
      </c>
      <c r="P392" s="295">
        <f t="shared" si="94"/>
        <v>3.7607428545171007E-4</v>
      </c>
      <c r="Q392" s="295">
        <f t="shared" si="94"/>
        <v>1.5276434809451117E-4</v>
      </c>
      <c r="R392" s="295">
        <f t="shared" si="94"/>
        <v>1.410914963263821E-4</v>
      </c>
      <c r="S392" s="295">
        <f t="shared" si="94"/>
        <v>2.0863597314651851E-4</v>
      </c>
      <c r="T392" s="295">
        <f t="shared" si="94"/>
        <v>2.4132983488052906E-4</v>
      </c>
      <c r="U392" s="295">
        <f t="shared" si="94"/>
        <v>0</v>
      </c>
      <c r="V392" s="295">
        <f t="shared" si="94"/>
        <v>0</v>
      </c>
      <c r="W392" s="295">
        <f t="shared" si="94"/>
        <v>0</v>
      </c>
      <c r="X392" s="295">
        <f t="shared" si="94"/>
        <v>0</v>
      </c>
      <c r="Y392" s="295">
        <f t="shared" si="94"/>
        <v>0</v>
      </c>
      <c r="Z392" s="295">
        <f t="shared" si="94"/>
        <v>0</v>
      </c>
      <c r="AA392" s="295">
        <f t="shared" si="94"/>
        <v>0</v>
      </c>
      <c r="AB392" s="295">
        <f t="shared" si="94"/>
        <v>0</v>
      </c>
      <c r="AC392" s="295">
        <f t="shared" si="94"/>
        <v>0</v>
      </c>
      <c r="AD392" s="295">
        <f t="shared" si="94"/>
        <v>0</v>
      </c>
      <c r="AE392" s="296">
        <f t="shared" si="94"/>
        <v>0</v>
      </c>
    </row>
    <row r="393" spans="1:31">
      <c r="A393" s="1711"/>
      <c r="B393" s="116">
        <v>18</v>
      </c>
      <c r="C393" s="294">
        <f t="shared" si="91"/>
        <v>3</v>
      </c>
      <c r="D393" s="295">
        <f t="shared" ref="D393:S400" si="95">C392*$H46</f>
        <v>0.37164513548448952</v>
      </c>
      <c r="E393" s="295">
        <f t="shared" si="94"/>
        <v>9.7439228733181379E-2</v>
      </c>
      <c r="F393" s="295">
        <f t="shared" si="94"/>
        <v>6.6217719522829463E-3</v>
      </c>
      <c r="G393" s="295">
        <f t="shared" si="94"/>
        <v>3.0761866679419867E-3</v>
      </c>
      <c r="H393" s="295">
        <f t="shared" si="94"/>
        <v>1.1442401961223722E-3</v>
      </c>
      <c r="I393" s="295">
        <f t="shared" si="94"/>
        <v>4.9969276400966666E-4</v>
      </c>
      <c r="J393" s="295">
        <f t="shared" si="94"/>
        <v>1.6547903675666749E-4</v>
      </c>
      <c r="K393" s="295">
        <f t="shared" si="94"/>
        <v>6.2387643708710288E-5</v>
      </c>
      <c r="L393" s="295">
        <f t="shared" si="94"/>
        <v>5.4714713256480244E-5</v>
      </c>
      <c r="M393" s="295">
        <f t="shared" si="94"/>
        <v>4.2176373470689823E-5</v>
      </c>
      <c r="N393" s="295">
        <f t="shared" si="94"/>
        <v>4.1370642156061966E-5</v>
      </c>
      <c r="O393" s="295">
        <f t="shared" si="94"/>
        <v>4.5337656222100608E-5</v>
      </c>
      <c r="P393" s="295">
        <f t="shared" si="94"/>
        <v>4.3710212967303331E-5</v>
      </c>
      <c r="Q393" s="295">
        <f t="shared" si="94"/>
        <v>3.1059150837540749E-5</v>
      </c>
      <c r="R393" s="295">
        <f t="shared" si="94"/>
        <v>1.2616472632174296E-5</v>
      </c>
      <c r="S393" s="295">
        <f t="shared" si="94"/>
        <v>1.1652437392872807E-5</v>
      </c>
      <c r="T393" s="295">
        <f t="shared" si="94"/>
        <v>1.7230787668216932E-5</v>
      </c>
      <c r="U393" s="295">
        <f t="shared" si="94"/>
        <v>1.9930902040138602E-5</v>
      </c>
      <c r="V393" s="295">
        <f t="shared" si="94"/>
        <v>0</v>
      </c>
      <c r="W393" s="295">
        <f t="shared" si="94"/>
        <v>0</v>
      </c>
      <c r="X393" s="295">
        <f t="shared" si="94"/>
        <v>0</v>
      </c>
      <c r="Y393" s="295">
        <f t="shared" si="94"/>
        <v>0</v>
      </c>
      <c r="Z393" s="295">
        <f t="shared" si="94"/>
        <v>0</v>
      </c>
      <c r="AA393" s="295">
        <f t="shared" si="94"/>
        <v>0</v>
      </c>
      <c r="AB393" s="295">
        <f t="shared" si="94"/>
        <v>0</v>
      </c>
      <c r="AC393" s="295">
        <f t="shared" si="94"/>
        <v>0</v>
      </c>
      <c r="AD393" s="295">
        <f t="shared" si="94"/>
        <v>0</v>
      </c>
      <c r="AE393" s="296">
        <f t="shared" si="94"/>
        <v>0</v>
      </c>
    </row>
    <row r="394" spans="1:31">
      <c r="A394" s="1711"/>
      <c r="B394" s="116">
        <v>19</v>
      </c>
      <c r="C394" s="294">
        <f t="shared" ref="C394:C400" si="96">(EXP(18-B394)*$Y$47/(EXP(-1)+EXP(-2)+EXP(-3)+EXP(-4)+EXP(-5)+EXP(-6)+EXP(-7)+EXP(-8)+EXP(-9)+EXP(-10)))</f>
        <v>1.5803731459012167</v>
      </c>
      <c r="D394" s="295">
        <f t="shared" si="95"/>
        <v>0.21236864884827972</v>
      </c>
      <c r="E394" s="295">
        <f t="shared" si="94"/>
        <v>2.6308591757958966E-2</v>
      </c>
      <c r="F394" s="295">
        <f t="shared" si="94"/>
        <v>6.8976791169614009E-3</v>
      </c>
      <c r="G394" s="295">
        <f t="shared" si="94"/>
        <v>4.6875225416258823E-4</v>
      </c>
      <c r="H394" s="295">
        <f t="shared" si="94"/>
        <v>2.1776186875864382E-4</v>
      </c>
      <c r="I394" s="295">
        <f t="shared" si="94"/>
        <v>8.1000248136132928E-5</v>
      </c>
      <c r="J394" s="295">
        <f t="shared" si="94"/>
        <v>3.5373025710665071E-5</v>
      </c>
      <c r="K394" s="295">
        <f t="shared" si="94"/>
        <v>1.171418648290943E-5</v>
      </c>
      <c r="L394" s="295">
        <f t="shared" si="94"/>
        <v>4.4163931997488942E-6</v>
      </c>
      <c r="M394" s="295">
        <f t="shared" si="94"/>
        <v>3.8732299087999228E-6</v>
      </c>
      <c r="N394" s="295">
        <f t="shared" si="94"/>
        <v>2.9856464824302759E-6</v>
      </c>
      <c r="O394" s="295">
        <f t="shared" si="94"/>
        <v>2.928609125556187E-6</v>
      </c>
      <c r="P394" s="295">
        <f t="shared" si="94"/>
        <v>3.2094322646117694E-6</v>
      </c>
      <c r="Q394" s="295">
        <f t="shared" si="94"/>
        <v>3.0942262895789211E-6</v>
      </c>
      <c r="R394" s="295">
        <f t="shared" si="94"/>
        <v>2.1986632992478149E-6</v>
      </c>
      <c r="S394" s="295">
        <f t="shared" si="94"/>
        <v>8.9311441537538474E-7</v>
      </c>
      <c r="T394" s="295">
        <f t="shared" si="94"/>
        <v>8.2487079497118974E-7</v>
      </c>
      <c r="U394" s="295">
        <f t="shared" si="94"/>
        <v>1.2197596985636101E-6</v>
      </c>
      <c r="V394" s="295">
        <f t="shared" si="94"/>
        <v>1.4108995788638856E-6</v>
      </c>
      <c r="W394" s="295">
        <f t="shared" si="94"/>
        <v>0</v>
      </c>
      <c r="X394" s="295">
        <f t="shared" si="94"/>
        <v>0</v>
      </c>
      <c r="Y394" s="295">
        <f t="shared" si="94"/>
        <v>0</v>
      </c>
      <c r="Z394" s="295">
        <f t="shared" si="94"/>
        <v>0</v>
      </c>
      <c r="AA394" s="295">
        <f t="shared" si="94"/>
        <v>0</v>
      </c>
      <c r="AB394" s="295">
        <f t="shared" si="94"/>
        <v>0</v>
      </c>
      <c r="AC394" s="295">
        <f t="shared" si="94"/>
        <v>0</v>
      </c>
      <c r="AD394" s="295">
        <f t="shared" si="94"/>
        <v>0</v>
      </c>
      <c r="AE394" s="296">
        <f t="shared" si="94"/>
        <v>0</v>
      </c>
    </row>
    <row r="395" spans="1:31">
      <c r="A395" s="1711"/>
      <c r="B395" s="116">
        <v>20</v>
      </c>
      <c r="C395" s="294">
        <f t="shared" si="96"/>
        <v>0.58138678975649383</v>
      </c>
      <c r="D395" s="295">
        <f t="shared" si="95"/>
        <v>9.3228252686429605E-2</v>
      </c>
      <c r="E395" s="295">
        <f t="shared" si="94"/>
        <v>1.2527900837123315E-2</v>
      </c>
      <c r="F395" s="295">
        <f t="shared" si="94"/>
        <v>1.5519778013163149E-3</v>
      </c>
      <c r="G395" s="295">
        <f t="shared" si="94"/>
        <v>4.069029984050244E-4</v>
      </c>
      <c r="H395" s="295">
        <f t="shared" si="94"/>
        <v>2.7652300794748405E-5</v>
      </c>
      <c r="I395" s="295">
        <f t="shared" si="94"/>
        <v>1.2846053844152666E-5</v>
      </c>
      <c r="J395" s="295">
        <f t="shared" si="94"/>
        <v>4.7783092369572045E-6</v>
      </c>
      <c r="K395" s="295">
        <f t="shared" si="94"/>
        <v>2.0867004655137223E-6</v>
      </c>
      <c r="L395" s="295">
        <f t="shared" si="94"/>
        <v>6.9103498770340485E-7</v>
      </c>
      <c r="M395" s="295">
        <f t="shared" si="94"/>
        <v>2.6052873794816761E-7</v>
      </c>
      <c r="N395" s="295">
        <f t="shared" si="94"/>
        <v>2.2848683400294035E-7</v>
      </c>
      <c r="O395" s="295">
        <f t="shared" si="94"/>
        <v>1.7612714150342689E-7</v>
      </c>
      <c r="P395" s="295">
        <f t="shared" si="94"/>
        <v>1.7276243416641927E-7</v>
      </c>
      <c r="Q395" s="295">
        <f t="shared" si="94"/>
        <v>1.8932855377935444E-7</v>
      </c>
      <c r="R395" s="295">
        <f t="shared" si="94"/>
        <v>1.8253240454130593E-7</v>
      </c>
      <c r="S395" s="295">
        <f t="shared" si="94"/>
        <v>1.2970198725932203E-7</v>
      </c>
      <c r="T395" s="295">
        <f t="shared" si="94"/>
        <v>5.2685972683386583E-8</v>
      </c>
      <c r="U395" s="295">
        <f t="shared" si="94"/>
        <v>4.8660193389566088E-8</v>
      </c>
      <c r="V395" s="295">
        <f t="shared" si="94"/>
        <v>7.1955199750983003E-8</v>
      </c>
      <c r="W395" s="295">
        <f t="shared" si="94"/>
        <v>8.3230788117758396E-8</v>
      </c>
      <c r="X395" s="295">
        <f t="shared" si="94"/>
        <v>0</v>
      </c>
      <c r="Y395" s="295">
        <f t="shared" si="94"/>
        <v>0</v>
      </c>
      <c r="Z395" s="295">
        <f t="shared" si="94"/>
        <v>0</v>
      </c>
      <c r="AA395" s="295">
        <f t="shared" si="94"/>
        <v>0</v>
      </c>
      <c r="AB395" s="295">
        <f t="shared" si="94"/>
        <v>0</v>
      </c>
      <c r="AC395" s="295">
        <f t="shared" si="94"/>
        <v>0</v>
      </c>
      <c r="AD395" s="295">
        <f t="shared" si="94"/>
        <v>0</v>
      </c>
      <c r="AE395" s="296">
        <f t="shared" si="94"/>
        <v>0</v>
      </c>
    </row>
    <row r="396" spans="1:31">
      <c r="A396" s="1711"/>
      <c r="B396" s="116">
        <v>21</v>
      </c>
      <c r="C396" s="294">
        <f t="shared" si="96"/>
        <v>0.21388024732007779</v>
      </c>
      <c r="D396" s="295">
        <f t="shared" si="95"/>
        <v>2.7437405999738991E-2</v>
      </c>
      <c r="E396" s="295">
        <f t="shared" si="95"/>
        <v>4.3997240127784569E-3</v>
      </c>
      <c r="F396" s="295">
        <f t="shared" si="95"/>
        <v>5.9122963859669123E-4</v>
      </c>
      <c r="G396" s="295">
        <f t="shared" si="95"/>
        <v>7.3242539712904374E-5</v>
      </c>
      <c r="H396" s="295">
        <f t="shared" si="95"/>
        <v>1.9202986663019719E-5</v>
      </c>
      <c r="I396" s="295">
        <f t="shared" si="95"/>
        <v>1.304995946072651E-6</v>
      </c>
      <c r="J396" s="295">
        <f t="shared" si="95"/>
        <v>6.0624424398110026E-7</v>
      </c>
      <c r="K396" s="295">
        <f t="shared" si="95"/>
        <v>2.2550290587374575E-7</v>
      </c>
      <c r="L396" s="295">
        <f t="shared" si="95"/>
        <v>9.8477724091605655E-8</v>
      </c>
      <c r="M396" s="295">
        <f t="shared" si="95"/>
        <v>3.2612037032324368E-8</v>
      </c>
      <c r="N396" s="295">
        <f t="shared" si="95"/>
        <v>1.2295141347599975E-8</v>
      </c>
      <c r="O396" s="295">
        <f t="shared" si="95"/>
        <v>1.0782986714850136E-8</v>
      </c>
      <c r="P396" s="295">
        <f t="shared" si="95"/>
        <v>8.3119740147983408E-9</v>
      </c>
      <c r="Q396" s="295">
        <f t="shared" si="95"/>
        <v>8.1531832701471849E-9</v>
      </c>
      <c r="R396" s="295">
        <f t="shared" si="95"/>
        <v>8.9349887010045248E-9</v>
      </c>
      <c r="S396" s="295">
        <f t="shared" si="95"/>
        <v>8.6142578052143858E-9</v>
      </c>
      <c r="T396" s="295">
        <f t="shared" ref="E396:AE400" si="97">S395*$H49</f>
        <v>6.1210301749331133E-9</v>
      </c>
      <c r="U396" s="295">
        <f t="shared" si="97"/>
        <v>2.4864108515618181E-9</v>
      </c>
      <c r="V396" s="295">
        <f t="shared" si="97"/>
        <v>2.2964221161862537E-9</v>
      </c>
      <c r="W396" s="295">
        <f t="shared" si="97"/>
        <v>3.3957841219387403E-9</v>
      </c>
      <c r="X396" s="295">
        <f t="shared" si="97"/>
        <v>3.9279133366990674E-9</v>
      </c>
      <c r="Y396" s="295">
        <f t="shared" si="97"/>
        <v>0</v>
      </c>
      <c r="Z396" s="295">
        <f t="shared" si="97"/>
        <v>0</v>
      </c>
      <c r="AA396" s="295">
        <f t="shared" si="97"/>
        <v>0</v>
      </c>
      <c r="AB396" s="295">
        <f t="shared" si="97"/>
        <v>0</v>
      </c>
      <c r="AC396" s="295">
        <f t="shared" si="97"/>
        <v>0</v>
      </c>
      <c r="AD396" s="295">
        <f t="shared" si="97"/>
        <v>0</v>
      </c>
      <c r="AE396" s="296">
        <f t="shared" si="97"/>
        <v>0</v>
      </c>
    </row>
    <row r="397" spans="1:31">
      <c r="A397" s="1711"/>
      <c r="B397" s="116">
        <v>22</v>
      </c>
      <c r="C397" s="294">
        <f t="shared" si="96"/>
        <v>7.8682145861720079E-2</v>
      </c>
      <c r="D397" s="295">
        <f t="shared" si="95"/>
        <v>7.5702431897834684E-3</v>
      </c>
      <c r="E397" s="295">
        <f t="shared" si="97"/>
        <v>9.7114080667770857E-4</v>
      </c>
      <c r="F397" s="295">
        <f t="shared" si="97"/>
        <v>1.5572724064984869E-4</v>
      </c>
      <c r="G397" s="295">
        <f t="shared" si="97"/>
        <v>2.0926439917972672E-5</v>
      </c>
      <c r="H397" s="295">
        <f t="shared" si="97"/>
        <v>2.5924031995076614E-6</v>
      </c>
      <c r="I397" s="295">
        <f t="shared" si="97"/>
        <v>6.7968538857950539E-7</v>
      </c>
      <c r="J397" s="295">
        <f t="shared" si="97"/>
        <v>4.6190037636655223E-8</v>
      </c>
      <c r="K397" s="295">
        <f t="shared" si="97"/>
        <v>2.145787849438551E-8</v>
      </c>
      <c r="L397" s="295">
        <f t="shared" si="97"/>
        <v>7.9816245719613626E-9</v>
      </c>
      <c r="M397" s="295">
        <f t="shared" si="97"/>
        <v>3.4855968678313288E-9</v>
      </c>
      <c r="N397" s="295">
        <f t="shared" si="97"/>
        <v>1.1542957067907977E-9</v>
      </c>
      <c r="O397" s="295">
        <f t="shared" si="97"/>
        <v>4.3518375923140388E-10</v>
      </c>
      <c r="P397" s="295">
        <f t="shared" si="97"/>
        <v>3.8166138653027888E-10</v>
      </c>
      <c r="Q397" s="295">
        <f t="shared" si="97"/>
        <v>2.9420044846412238E-10</v>
      </c>
      <c r="R397" s="295">
        <f t="shared" si="97"/>
        <v>2.8858008581559266E-10</v>
      </c>
      <c r="S397" s="295">
        <f t="shared" si="97"/>
        <v>3.1625191298449608E-10</v>
      </c>
      <c r="T397" s="295">
        <f t="shared" si="97"/>
        <v>3.0489971515402105E-10</v>
      </c>
      <c r="U397" s="295">
        <f t="shared" si="97"/>
        <v>2.1665248463501571E-10</v>
      </c>
      <c r="V397" s="295">
        <f t="shared" si="97"/>
        <v>8.8005952171313969E-11</v>
      </c>
      <c r="W397" s="295">
        <f t="shared" si="97"/>
        <v>8.1281343666630306E-11</v>
      </c>
      <c r="X397" s="295">
        <f t="shared" si="97"/>
        <v>1.2019301429276201E-10</v>
      </c>
      <c r="Y397" s="295">
        <f t="shared" si="97"/>
        <v>1.3902760801798647E-10</v>
      </c>
      <c r="Z397" s="295">
        <f t="shared" si="97"/>
        <v>0</v>
      </c>
      <c r="AA397" s="295">
        <f t="shared" si="97"/>
        <v>0</v>
      </c>
      <c r="AB397" s="295">
        <f t="shared" si="97"/>
        <v>0</v>
      </c>
      <c r="AC397" s="295">
        <f t="shared" si="97"/>
        <v>0</v>
      </c>
      <c r="AD397" s="295">
        <f t="shared" si="97"/>
        <v>0</v>
      </c>
      <c r="AE397" s="296">
        <f t="shared" si="97"/>
        <v>0</v>
      </c>
    </row>
    <row r="398" spans="1:31">
      <c r="A398" s="1711"/>
      <c r="B398" s="116">
        <v>23</v>
      </c>
      <c r="C398" s="294">
        <f t="shared" si="96"/>
        <v>2.8945543849779501E-2</v>
      </c>
      <c r="D398" s="295">
        <f t="shared" si="95"/>
        <v>1.8566245561263055E-3</v>
      </c>
      <c r="E398" s="295">
        <f t="shared" si="97"/>
        <v>1.7863136862968952E-4</v>
      </c>
      <c r="F398" s="295">
        <f t="shared" si="97"/>
        <v>2.2915540106174811E-5</v>
      </c>
      <c r="G398" s="295">
        <f t="shared" si="97"/>
        <v>3.674620409519917E-6</v>
      </c>
      <c r="H398" s="295">
        <f t="shared" si="97"/>
        <v>4.9379108562050669E-7</v>
      </c>
      <c r="I398" s="295">
        <f t="shared" si="97"/>
        <v>6.1171684972155455E-8</v>
      </c>
      <c r="J398" s="295">
        <f t="shared" si="97"/>
        <v>1.6038207512727497E-8</v>
      </c>
      <c r="K398" s="295">
        <f t="shared" si="97"/>
        <v>1.0899239870164059E-9</v>
      </c>
      <c r="L398" s="295">
        <f t="shared" si="97"/>
        <v>5.0633118477813419E-10</v>
      </c>
      <c r="M398" s="295">
        <f t="shared" si="97"/>
        <v>1.8833853621796253E-10</v>
      </c>
      <c r="N398" s="295">
        <f t="shared" si="97"/>
        <v>8.2247944139014981E-11</v>
      </c>
      <c r="O398" s="295">
        <f t="shared" si="97"/>
        <v>2.7237357735836851E-11</v>
      </c>
      <c r="P398" s="295">
        <f t="shared" si="97"/>
        <v>1.0268820772076476E-11</v>
      </c>
      <c r="Q398" s="295">
        <f t="shared" si="97"/>
        <v>9.0058792194440346E-12</v>
      </c>
      <c r="R398" s="295">
        <f t="shared" si="97"/>
        <v>6.942105747875955E-12</v>
      </c>
      <c r="S398" s="295">
        <f t="shared" si="97"/>
        <v>6.8094847676864448E-12</v>
      </c>
      <c r="T398" s="295">
        <f t="shared" si="97"/>
        <v>7.46244349513346E-12</v>
      </c>
      <c r="U398" s="295">
        <f t="shared" si="97"/>
        <v>7.1945711712760866E-12</v>
      </c>
      <c r="V398" s="295">
        <f t="shared" si="97"/>
        <v>5.1122439368401052E-12</v>
      </c>
      <c r="W398" s="295">
        <f t="shared" si="97"/>
        <v>2.0766339059142522E-12</v>
      </c>
      <c r="X398" s="295">
        <f t="shared" si="97"/>
        <v>1.9179565701172167E-12</v>
      </c>
      <c r="Y398" s="295">
        <f t="shared" si="97"/>
        <v>2.8361364495950923E-12</v>
      </c>
      <c r="Z398" s="295">
        <f t="shared" si="97"/>
        <v>3.280567251932004E-12</v>
      </c>
      <c r="AA398" s="295">
        <f t="shared" si="97"/>
        <v>0</v>
      </c>
      <c r="AB398" s="295">
        <f t="shared" si="97"/>
        <v>0</v>
      </c>
      <c r="AC398" s="295">
        <f t="shared" si="97"/>
        <v>0</v>
      </c>
      <c r="AD398" s="295">
        <f t="shared" si="97"/>
        <v>0</v>
      </c>
      <c r="AE398" s="296">
        <f t="shared" si="97"/>
        <v>0</v>
      </c>
    </row>
    <row r="399" spans="1:31">
      <c r="A399" s="1711"/>
      <c r="B399" s="116">
        <v>24</v>
      </c>
      <c r="C399" s="294">
        <f t="shared" si="96"/>
        <v>1.0648470495860362E-2</v>
      </c>
      <c r="D399" s="295">
        <f t="shared" si="95"/>
        <v>3.41507002086461E-4</v>
      </c>
      <c r="E399" s="295">
        <f t="shared" si="97"/>
        <v>2.1904936022393341E-5</v>
      </c>
      <c r="F399" s="295">
        <f t="shared" si="97"/>
        <v>2.1075390221003387E-6</v>
      </c>
      <c r="G399" s="295">
        <f t="shared" si="97"/>
        <v>2.7036346055427242E-7</v>
      </c>
      <c r="H399" s="295">
        <f t="shared" si="97"/>
        <v>4.3354120633336458E-8</v>
      </c>
      <c r="I399" s="295">
        <f t="shared" si="97"/>
        <v>5.8258747592528937E-9</v>
      </c>
      <c r="J399" s="295">
        <f t="shared" si="97"/>
        <v>7.2171933807273651E-10</v>
      </c>
      <c r="K399" s="295">
        <f t="shared" si="97"/>
        <v>1.8922291441257019E-10</v>
      </c>
      <c r="L399" s="295">
        <f t="shared" si="97"/>
        <v>1.2859204692777991E-11</v>
      </c>
      <c r="M399" s="295">
        <f t="shared" si="97"/>
        <v>5.9738260878378269E-12</v>
      </c>
      <c r="N399" s="295">
        <f t="shared" si="97"/>
        <v>2.2220666923706363E-12</v>
      </c>
      <c r="O399" s="295">
        <f t="shared" si="97"/>
        <v>9.7038248707507652E-13</v>
      </c>
      <c r="P399" s="295">
        <f t="shared" si="97"/>
        <v>3.2135338114205028E-13</v>
      </c>
      <c r="Q399" s="295">
        <f t="shared" si="97"/>
        <v>1.2115419959061264E-13</v>
      </c>
      <c r="R399" s="295">
        <f t="shared" si="97"/>
        <v>1.0625368897356263E-13</v>
      </c>
      <c r="S399" s="295">
        <f t="shared" si="97"/>
        <v>8.1904756546571743E-14</v>
      </c>
      <c r="T399" s="295">
        <f t="shared" si="97"/>
        <v>8.0340059970361691E-14</v>
      </c>
      <c r="U399" s="295">
        <f t="shared" si="97"/>
        <v>8.804383567600695E-14</v>
      </c>
      <c r="V399" s="295">
        <f t="shared" si="97"/>
        <v>8.4883408815927006E-14</v>
      </c>
      <c r="W399" s="295">
        <f t="shared" si="97"/>
        <v>6.0315574302752336E-14</v>
      </c>
      <c r="X399" s="295">
        <f t="shared" si="97"/>
        <v>2.4500663152863046E-14</v>
      </c>
      <c r="Y399" s="295">
        <f t="shared" si="97"/>
        <v>2.2628546963637428E-14</v>
      </c>
      <c r="Z399" s="295">
        <f t="shared" si="97"/>
        <v>3.3461470319437016E-14</v>
      </c>
      <c r="AA399" s="295">
        <f t="shared" si="97"/>
        <v>3.8704979708261833E-14</v>
      </c>
      <c r="AB399" s="295">
        <f t="shared" si="97"/>
        <v>0</v>
      </c>
      <c r="AC399" s="295">
        <f t="shared" si="97"/>
        <v>0</v>
      </c>
      <c r="AD399" s="295">
        <f t="shared" si="97"/>
        <v>0</v>
      </c>
      <c r="AE399" s="296">
        <f t="shared" si="97"/>
        <v>0</v>
      </c>
    </row>
    <row r="400" spans="1:31" ht="15.75" thickBot="1">
      <c r="A400" s="1711"/>
      <c r="B400" s="116">
        <v>25</v>
      </c>
      <c r="C400" s="297">
        <f t="shared" si="96"/>
        <v>3.917353375347701E-3</v>
      </c>
      <c r="D400" s="298">
        <f t="shared" si="95"/>
        <v>0</v>
      </c>
      <c r="E400" s="298">
        <f t="shared" si="97"/>
        <v>0</v>
      </c>
      <c r="F400" s="298">
        <f t="shared" si="97"/>
        <v>0</v>
      </c>
      <c r="G400" s="298">
        <f t="shared" si="97"/>
        <v>0</v>
      </c>
      <c r="H400" s="298">
        <f t="shared" si="97"/>
        <v>0</v>
      </c>
      <c r="I400" s="298">
        <f t="shared" si="97"/>
        <v>0</v>
      </c>
      <c r="J400" s="298">
        <f t="shared" si="97"/>
        <v>0</v>
      </c>
      <c r="K400" s="298">
        <f t="shared" si="97"/>
        <v>0</v>
      </c>
      <c r="L400" s="298">
        <f t="shared" si="97"/>
        <v>0</v>
      </c>
      <c r="M400" s="298">
        <f t="shared" si="97"/>
        <v>0</v>
      </c>
      <c r="N400" s="298">
        <f t="shared" si="97"/>
        <v>0</v>
      </c>
      <c r="O400" s="298">
        <f t="shared" si="97"/>
        <v>0</v>
      </c>
      <c r="P400" s="298">
        <f t="shared" si="97"/>
        <v>0</v>
      </c>
      <c r="Q400" s="298">
        <f t="shared" si="97"/>
        <v>0</v>
      </c>
      <c r="R400" s="298">
        <f t="shared" si="97"/>
        <v>0</v>
      </c>
      <c r="S400" s="298">
        <f t="shared" si="97"/>
        <v>0</v>
      </c>
      <c r="T400" s="298">
        <f t="shared" si="97"/>
        <v>0</v>
      </c>
      <c r="U400" s="298">
        <f t="shared" si="97"/>
        <v>0</v>
      </c>
      <c r="V400" s="298">
        <f t="shared" si="97"/>
        <v>0</v>
      </c>
      <c r="W400" s="298">
        <f t="shared" si="97"/>
        <v>0</v>
      </c>
      <c r="X400" s="298">
        <f t="shared" si="97"/>
        <v>0</v>
      </c>
      <c r="Y400" s="298">
        <f t="shared" si="97"/>
        <v>0</v>
      </c>
      <c r="Z400" s="298">
        <f t="shared" si="97"/>
        <v>0</v>
      </c>
      <c r="AA400" s="298">
        <f t="shared" si="97"/>
        <v>0</v>
      </c>
      <c r="AB400" s="298">
        <f t="shared" si="97"/>
        <v>0</v>
      </c>
      <c r="AC400" s="298">
        <f t="shared" si="97"/>
        <v>0</v>
      </c>
      <c r="AD400" s="298">
        <f t="shared" si="97"/>
        <v>0</v>
      </c>
      <c r="AE400" s="299">
        <f t="shared" si="97"/>
        <v>0</v>
      </c>
    </row>
    <row r="401" spans="1:31" ht="16.5" thickTop="1" thickBot="1">
      <c r="A401" s="1712"/>
      <c r="B401" s="300" t="s">
        <v>39</v>
      </c>
      <c r="C401" s="349">
        <f>SUM(C375:C400)</f>
        <v>6721.4978336965596</v>
      </c>
      <c r="D401" s="349">
        <f>SUM(D375:D400)</f>
        <v>5141.5537140364995</v>
      </c>
      <c r="E401" s="349">
        <f t="shared" ref="E401:AE401" si="98">SUM(E375:E400)</f>
        <v>3933.5034547940913</v>
      </c>
      <c r="F401" s="349">
        <f t="shared" si="98"/>
        <v>2941.8333696799064</v>
      </c>
      <c r="G401" s="349">
        <f t="shared" si="98"/>
        <v>2126.4413429522929</v>
      </c>
      <c r="H401" s="349">
        <f t="shared" si="98"/>
        <v>1471.3848835339877</v>
      </c>
      <c r="I401" s="349">
        <f t="shared" si="98"/>
        <v>974.74383261744242</v>
      </c>
      <c r="J401" s="349">
        <f t="shared" si="98"/>
        <v>609.22429402560988</v>
      </c>
      <c r="K401" s="349">
        <f t="shared" si="98"/>
        <v>343.90175952786888</v>
      </c>
      <c r="L401" s="349">
        <f t="shared" si="98"/>
        <v>167.92144046985049</v>
      </c>
      <c r="M401" s="349">
        <f t="shared" si="98"/>
        <v>69.731692208732412</v>
      </c>
      <c r="N401" s="349">
        <f t="shared" si="98"/>
        <v>24.153137431265257</v>
      </c>
      <c r="O401" s="349">
        <f t="shared" si="98"/>
        <v>6.6501305625828326</v>
      </c>
      <c r="P401" s="349">
        <f t="shared" si="98"/>
        <v>1.4031447923108507</v>
      </c>
      <c r="Q401" s="349">
        <f t="shared" si="98"/>
        <v>0.22659053698412371</v>
      </c>
      <c r="R401" s="349">
        <f t="shared" si="98"/>
        <v>2.6445788520270009E-2</v>
      </c>
      <c r="S401" s="349">
        <f t="shared" si="98"/>
        <v>2.7781576797954004E-3</v>
      </c>
      <c r="T401" s="349">
        <f t="shared" si="98"/>
        <v>2.5944461278907421E-4</v>
      </c>
      <c r="U401" s="349">
        <f t="shared" si="98"/>
        <v>2.1202032278042985E-5</v>
      </c>
      <c r="V401" s="349">
        <f t="shared" si="98"/>
        <v>1.485244403810572E-6</v>
      </c>
      <c r="W401" s="349">
        <f t="shared" si="98"/>
        <v>8.6709990532843986E-8</v>
      </c>
      <c r="X401" s="349">
        <f t="shared" si="98"/>
        <v>4.0500488082250991E-9</v>
      </c>
      <c r="Y401" s="349">
        <f t="shared" si="98"/>
        <v>1.418863730145452E-10</v>
      </c>
      <c r="Z401" s="349">
        <f t="shared" si="98"/>
        <v>3.314028722251441E-12</v>
      </c>
      <c r="AA401" s="349">
        <f t="shared" si="98"/>
        <v>3.8704979708261833E-14</v>
      </c>
      <c r="AB401" s="349">
        <f t="shared" si="98"/>
        <v>0</v>
      </c>
      <c r="AC401" s="349">
        <f t="shared" si="98"/>
        <v>0</v>
      </c>
      <c r="AD401" s="349">
        <f t="shared" si="98"/>
        <v>0</v>
      </c>
      <c r="AE401" s="350">
        <f t="shared" si="98"/>
        <v>0</v>
      </c>
    </row>
  </sheetData>
  <mergeCells count="18">
    <mergeCell ref="A2:AE2"/>
    <mergeCell ref="AG2:BK2"/>
    <mergeCell ref="A84:A111"/>
    <mergeCell ref="J26:Q26"/>
    <mergeCell ref="S26:Z26"/>
    <mergeCell ref="A26:A53"/>
    <mergeCell ref="B26:H26"/>
    <mergeCell ref="A55:A82"/>
    <mergeCell ref="A287:A314"/>
    <mergeCell ref="A316:A343"/>
    <mergeCell ref="A345:A372"/>
    <mergeCell ref="A374:A401"/>
    <mergeCell ref="A113:A140"/>
    <mergeCell ref="A142:A169"/>
    <mergeCell ref="A171:A198"/>
    <mergeCell ref="A200:A227"/>
    <mergeCell ref="A229:A256"/>
    <mergeCell ref="A258:A285"/>
  </mergeCells>
  <pageMargins left="0.7" right="0.7" top="0.75" bottom="0.75" header="0.3" footer="0.3"/>
  <legacy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0">
    <tabColor theme="5"/>
  </sheetPr>
  <dimension ref="A1:BK215"/>
  <sheetViews>
    <sheetView topLeftCell="A151" workbookViewId="0">
      <selection activeCell="F164" sqref="F164"/>
    </sheetView>
  </sheetViews>
  <sheetFormatPr defaultRowHeight="15"/>
  <cols>
    <col min="1" max="1" width="25.140625" customWidth="1"/>
    <col min="2" max="2" width="14" bestFit="1" customWidth="1"/>
    <col min="3" max="3" width="13.5703125" bestFit="1" customWidth="1"/>
    <col min="4" max="4" width="13.140625" bestFit="1" customWidth="1"/>
    <col min="5" max="5" width="12.85546875" bestFit="1" customWidth="1"/>
    <col min="6" max="9" width="13.140625" bestFit="1" customWidth="1"/>
    <col min="10" max="26" width="12.85546875" bestFit="1" customWidth="1"/>
    <col min="27" max="30" width="10.140625" bestFit="1" customWidth="1"/>
    <col min="31" max="31" width="8" bestFit="1" customWidth="1"/>
    <col min="35" max="36" width="15.7109375" bestFit="1" customWidth="1"/>
    <col min="37" max="40" width="15.28515625" bestFit="1" customWidth="1"/>
    <col min="41" max="41" width="14.85546875" bestFit="1" customWidth="1"/>
    <col min="42" max="46" width="14.42578125" bestFit="1" customWidth="1"/>
    <col min="47" max="47" width="14" bestFit="1" customWidth="1"/>
    <col min="48" max="48" width="13.5703125" bestFit="1" customWidth="1"/>
    <col min="49" max="49" width="13.140625" bestFit="1" customWidth="1"/>
    <col min="50" max="50" width="12.42578125" bestFit="1" customWidth="1"/>
    <col min="51" max="52" width="11.42578125" bestFit="1" customWidth="1"/>
    <col min="53" max="54" width="9.7109375" bestFit="1" customWidth="1"/>
    <col min="55" max="55" width="8.85546875" bestFit="1" customWidth="1"/>
    <col min="56" max="63" width="7.42578125" bestFit="1" customWidth="1"/>
  </cols>
  <sheetData>
    <row r="1" spans="1:9" ht="15.75" thickBot="1">
      <c r="A1" t="s">
        <v>224</v>
      </c>
    </row>
    <row r="2" spans="1:9">
      <c r="A2" s="1800" t="s">
        <v>174</v>
      </c>
      <c r="B2" s="1801"/>
      <c r="C2" s="1801"/>
      <c r="D2" s="1801"/>
      <c r="E2" s="1801"/>
      <c r="F2" s="1801"/>
      <c r="G2" s="1801"/>
      <c r="H2" s="1801"/>
      <c r="I2" s="1802"/>
    </row>
    <row r="3" spans="1:9">
      <c r="A3" s="268"/>
      <c r="B3" s="1803" t="s">
        <v>132</v>
      </c>
      <c r="C3" s="1804"/>
      <c r="D3" s="1804"/>
      <c r="E3" s="1804"/>
      <c r="F3" s="1804"/>
      <c r="G3" s="1804"/>
      <c r="H3" s="1804"/>
      <c r="I3" s="269"/>
    </row>
    <row r="4" spans="1:9">
      <c r="A4" s="270" t="s">
        <v>92</v>
      </c>
      <c r="B4" s="271" t="s">
        <v>172</v>
      </c>
      <c r="C4" s="271" t="s">
        <v>141</v>
      </c>
      <c r="D4" s="271" t="s">
        <v>142</v>
      </c>
      <c r="E4" s="271" t="s">
        <v>143</v>
      </c>
      <c r="F4" s="271" t="s">
        <v>144</v>
      </c>
      <c r="G4" s="271" t="s">
        <v>145</v>
      </c>
      <c r="H4" s="271" t="s">
        <v>146</v>
      </c>
      <c r="I4" s="272" t="s">
        <v>173</v>
      </c>
    </row>
    <row r="5" spans="1:9">
      <c r="A5" s="273">
        <v>2013</v>
      </c>
      <c r="B5" s="274">
        <v>6329.5453048577328</v>
      </c>
      <c r="C5" s="274">
        <v>6329.5453048577328</v>
      </c>
      <c r="D5" s="274">
        <v>12085.720764158932</v>
      </c>
      <c r="E5" s="274">
        <v>12773.251718047515</v>
      </c>
      <c r="F5" s="274">
        <v>10927.280477302995</v>
      </c>
      <c r="G5" s="274">
        <v>10952.474799380378</v>
      </c>
      <c r="H5" s="274">
        <v>13193.700899206098</v>
      </c>
      <c r="I5" s="275">
        <v>11735.340792014264</v>
      </c>
    </row>
    <row r="6" spans="1:9">
      <c r="A6" s="273">
        <v>2012</v>
      </c>
      <c r="B6" s="274">
        <v>5486.2632412169378</v>
      </c>
      <c r="C6" s="274">
        <v>5486.2632412169378</v>
      </c>
      <c r="D6" s="274">
        <v>11648.45431840042</v>
      </c>
      <c r="E6" s="274">
        <v>12595.917356518798</v>
      </c>
      <c r="F6" s="274">
        <v>10678.019282930347</v>
      </c>
      <c r="G6" s="274">
        <v>10921.975445495798</v>
      </c>
      <c r="H6" s="274">
        <v>10012.457175414995</v>
      </c>
      <c r="I6" s="275">
        <v>11095.410367635197</v>
      </c>
    </row>
    <row r="7" spans="1:9">
      <c r="A7" s="273">
        <v>2011</v>
      </c>
      <c r="B7" s="274">
        <v>5510.2907469777174</v>
      </c>
      <c r="C7" s="274">
        <v>5510.2907469777174</v>
      </c>
      <c r="D7" s="274">
        <v>11027.196863860949</v>
      </c>
      <c r="E7" s="274">
        <v>13923.924322826169</v>
      </c>
      <c r="F7" s="274">
        <v>11140.952797442053</v>
      </c>
      <c r="G7" s="274">
        <v>11015.718788373184</v>
      </c>
      <c r="H7" s="274">
        <v>10126.847812071013</v>
      </c>
      <c r="I7" s="275">
        <v>11511.968350633211</v>
      </c>
    </row>
    <row r="8" spans="1:9">
      <c r="A8" s="273">
        <v>2010</v>
      </c>
      <c r="B8" s="274">
        <v>6919.9412708285363</v>
      </c>
      <c r="C8" s="274">
        <v>6919.9412708285363</v>
      </c>
      <c r="D8" s="274">
        <v>10645.449442996334</v>
      </c>
      <c r="E8" s="274">
        <v>14642.815503919912</v>
      </c>
      <c r="F8" s="274">
        <v>12546.836501066011</v>
      </c>
      <c r="G8" s="274">
        <v>12263.203191436902</v>
      </c>
      <c r="H8" s="274">
        <v>12807.743093800129</v>
      </c>
      <c r="I8" s="275">
        <v>12531.935165667599</v>
      </c>
    </row>
    <row r="9" spans="1:9">
      <c r="A9" s="273">
        <v>2009</v>
      </c>
      <c r="B9" s="274">
        <v>842.90389616408117</v>
      </c>
      <c r="C9" s="274">
        <v>7838.9882193308113</v>
      </c>
      <c r="D9" s="274">
        <v>11079.886537101909</v>
      </c>
      <c r="E9" s="274">
        <v>13630.82221689658</v>
      </c>
      <c r="F9" s="274">
        <v>12111.857299617051</v>
      </c>
      <c r="G9" s="274">
        <v>14429.171651997587</v>
      </c>
      <c r="H9" s="274">
        <v>14651.568318039725</v>
      </c>
      <c r="I9" s="275">
        <v>12773.81713008025</v>
      </c>
    </row>
    <row r="10" spans="1:9">
      <c r="A10" s="273">
        <v>2008</v>
      </c>
      <c r="B10" s="274">
        <v>3837.7574130620728</v>
      </c>
      <c r="C10" s="274">
        <v>11980.084194150048</v>
      </c>
      <c r="D10" s="274">
        <v>12606.630162887906</v>
      </c>
      <c r="E10" s="274">
        <v>16003.422214009874</v>
      </c>
      <c r="F10" s="274">
        <v>13475.50204718265</v>
      </c>
      <c r="G10" s="274">
        <v>17081.158803531936</v>
      </c>
      <c r="H10" s="274">
        <v>15555.360681181453</v>
      </c>
      <c r="I10" s="275">
        <v>14552.763446309367</v>
      </c>
    </row>
    <row r="11" spans="1:9">
      <c r="A11" s="273">
        <v>2007</v>
      </c>
      <c r="B11" s="274">
        <v>8548.7910449492028</v>
      </c>
      <c r="C11" s="274">
        <v>10512.8225214585</v>
      </c>
      <c r="D11" s="274">
        <v>12299.738939263729</v>
      </c>
      <c r="E11" s="274">
        <v>15919.388784613453</v>
      </c>
      <c r="F11" s="274">
        <v>15510.353809706401</v>
      </c>
      <c r="G11" s="274">
        <v>15879.081478662589</v>
      </c>
      <c r="H11" s="274">
        <v>15765.784481802131</v>
      </c>
      <c r="I11" s="275">
        <v>14772.149490839462</v>
      </c>
    </row>
    <row r="12" spans="1:9" ht="15.75" thickBot="1">
      <c r="A12" s="276" t="s">
        <v>173</v>
      </c>
      <c r="B12" s="277">
        <v>5270.8224182478061</v>
      </c>
      <c r="C12" s="277">
        <v>8749.7943735573645</v>
      </c>
      <c r="D12" s="277">
        <v>11745.223069021968</v>
      </c>
      <c r="E12" s="277">
        <v>14496.990489295231</v>
      </c>
      <c r="F12" s="277">
        <v>12679.498958887987</v>
      </c>
      <c r="G12" s="277">
        <v>13540.296013184427</v>
      </c>
      <c r="H12" s="277">
        <v>13447.040421625506</v>
      </c>
      <c r="I12" s="278"/>
    </row>
    <row r="13" spans="1:9" ht="15.75" thickBot="1">
      <c r="A13" s="279"/>
      <c r="B13" s="279"/>
      <c r="C13" s="279"/>
      <c r="D13" s="279"/>
      <c r="E13" s="279"/>
      <c r="F13" s="279"/>
      <c r="G13" s="279"/>
      <c r="H13" s="279"/>
      <c r="I13" s="279"/>
    </row>
    <row r="14" spans="1:9">
      <c r="A14" s="1805" t="s">
        <v>175</v>
      </c>
      <c r="B14" s="1806"/>
      <c r="C14" s="1806"/>
      <c r="D14" s="1806"/>
      <c r="E14" s="1806"/>
      <c r="F14" s="1806"/>
      <c r="G14" s="1806"/>
      <c r="H14" s="1806"/>
      <c r="I14" s="1807"/>
    </row>
    <row r="15" spans="1:9">
      <c r="A15" s="280"/>
      <c r="B15" s="1803" t="s">
        <v>132</v>
      </c>
      <c r="C15" s="1804"/>
      <c r="D15" s="1804"/>
      <c r="E15" s="1804"/>
      <c r="F15" s="1804"/>
      <c r="G15" s="1804"/>
      <c r="H15" s="1804"/>
      <c r="I15" s="281"/>
    </row>
    <row r="16" spans="1:9">
      <c r="A16" s="270" t="s">
        <v>92</v>
      </c>
      <c r="B16" s="271" t="s">
        <v>172</v>
      </c>
      <c r="C16" s="271" t="s">
        <v>141</v>
      </c>
      <c r="D16" s="271" t="s">
        <v>142</v>
      </c>
      <c r="E16" s="271" t="s">
        <v>143</v>
      </c>
      <c r="F16" s="271" t="s">
        <v>144</v>
      </c>
      <c r="G16" s="271" t="s">
        <v>145</v>
      </c>
      <c r="H16" s="271" t="s">
        <v>146</v>
      </c>
      <c r="I16" s="272" t="s">
        <v>173</v>
      </c>
    </row>
    <row r="17" spans="1:30">
      <c r="A17" s="273">
        <v>2013</v>
      </c>
      <c r="B17" s="274">
        <v>20668.989065331749</v>
      </c>
      <c r="C17" s="274">
        <v>16012.529976046389</v>
      </c>
      <c r="D17" s="274">
        <v>13375.854534700175</v>
      </c>
      <c r="E17" s="274">
        <v>18023.396639560771</v>
      </c>
      <c r="F17" s="274">
        <v>22294.623330357994</v>
      </c>
      <c r="G17" s="274">
        <v>20126.16169163318</v>
      </c>
      <c r="H17" s="274">
        <v>21186.595919629865</v>
      </c>
      <c r="I17" s="275">
        <v>20465.021145986859</v>
      </c>
    </row>
    <row r="18" spans="1:30">
      <c r="A18" s="273">
        <v>2012</v>
      </c>
      <c r="B18" s="274">
        <v>20772.300279054882</v>
      </c>
      <c r="C18" s="274">
        <v>15334.893087713825</v>
      </c>
      <c r="D18" s="274">
        <v>13302.758099656885</v>
      </c>
      <c r="E18" s="274">
        <v>17878.642525510499</v>
      </c>
      <c r="F18" s="274">
        <v>21799.986933620192</v>
      </c>
      <c r="G18" s="274">
        <v>19959.224041623031</v>
      </c>
      <c r="H18" s="274">
        <v>21150.887860401701</v>
      </c>
      <c r="I18" s="275">
        <v>20246.315405592537</v>
      </c>
    </row>
    <row r="19" spans="1:30">
      <c r="A19" s="273">
        <v>2011</v>
      </c>
      <c r="B19" s="274">
        <v>21320.898396368673</v>
      </c>
      <c r="C19" s="274">
        <v>15067.735484789402</v>
      </c>
      <c r="D19" s="274">
        <v>13359.585232601847</v>
      </c>
      <c r="E19" s="274">
        <v>17615.814349179022</v>
      </c>
      <c r="F19" s="274">
        <v>20910.638834832218</v>
      </c>
      <c r="G19" s="274">
        <v>19788.448455812744</v>
      </c>
      <c r="H19" s="274">
        <v>21184.933821885112</v>
      </c>
      <c r="I19" s="275">
        <v>19954.374480538332</v>
      </c>
    </row>
    <row r="20" spans="1:30">
      <c r="A20" s="273">
        <v>2010</v>
      </c>
      <c r="B20" s="274">
        <v>22144.724578518511</v>
      </c>
      <c r="C20" s="274">
        <v>14522.944202174038</v>
      </c>
      <c r="D20" s="274">
        <v>13359.042388813648</v>
      </c>
      <c r="E20" s="274">
        <v>17512.179086415144</v>
      </c>
      <c r="F20" s="274">
        <v>20092.890407356634</v>
      </c>
      <c r="G20" s="274">
        <v>19695.04793572479</v>
      </c>
      <c r="H20" s="274">
        <v>21386.073191427982</v>
      </c>
      <c r="I20" s="275">
        <v>19787.259071633343</v>
      </c>
    </row>
    <row r="21" spans="1:30">
      <c r="A21" s="273">
        <v>2009</v>
      </c>
      <c r="B21" s="274">
        <v>22956.345923184781</v>
      </c>
      <c r="C21" s="274">
        <v>15109.167385552642</v>
      </c>
      <c r="D21" s="274">
        <v>13685.985172231951</v>
      </c>
      <c r="E21" s="274">
        <v>17848.175668003601</v>
      </c>
      <c r="F21" s="274">
        <v>19740.717322209603</v>
      </c>
      <c r="G21" s="274">
        <v>19957.088075776443</v>
      </c>
      <c r="H21" s="274">
        <v>21702.048855876219</v>
      </c>
      <c r="I21" s="275">
        <v>19936.252233773437</v>
      </c>
    </row>
    <row r="22" spans="1:30">
      <c r="A22" s="273">
        <v>2008</v>
      </c>
      <c r="B22" s="274">
        <v>24136.275848500591</v>
      </c>
      <c r="C22" s="274">
        <v>17195.753655684348</v>
      </c>
      <c r="D22" s="274">
        <v>14948.757706655886</v>
      </c>
      <c r="E22" s="274">
        <v>19238.687768987504</v>
      </c>
      <c r="F22" s="274">
        <v>20511.704460062756</v>
      </c>
      <c r="G22" s="274">
        <v>21132.618044352796</v>
      </c>
      <c r="H22" s="274">
        <v>23085.751663557265</v>
      </c>
      <c r="I22" s="275">
        <v>21124.022752039324</v>
      </c>
    </row>
    <row r="23" spans="1:30">
      <c r="A23" s="273">
        <v>2007</v>
      </c>
      <c r="B23" s="274">
        <v>26421.912315103564</v>
      </c>
      <c r="C23" s="274">
        <v>18579.730916801225</v>
      </c>
      <c r="D23" s="274">
        <v>17115.250613563068</v>
      </c>
      <c r="E23" s="274">
        <v>21252.638606747565</v>
      </c>
      <c r="F23" s="274">
        <v>21875.981188557449</v>
      </c>
      <c r="G23" s="274">
        <v>22826.107526819975</v>
      </c>
      <c r="H23" s="274">
        <v>24820.568951102789</v>
      </c>
      <c r="I23" s="275">
        <v>22797.161547529973</v>
      </c>
    </row>
    <row r="24" spans="1:30" ht="15.75" thickBot="1">
      <c r="A24" s="276" t="s">
        <v>173</v>
      </c>
      <c r="B24" s="277">
        <v>22786.181115306827</v>
      </c>
      <c r="C24" s="277">
        <v>16291.5509551834</v>
      </c>
      <c r="D24" s="277">
        <v>14617.267612066986</v>
      </c>
      <c r="E24" s="277">
        <v>18570.570872899985</v>
      </c>
      <c r="F24" s="277">
        <v>21051.929352043284</v>
      </c>
      <c r="G24" s="277">
        <v>20538.034235265437</v>
      </c>
      <c r="H24" s="277">
        <v>22068.436825011322</v>
      </c>
      <c r="I24" s="278"/>
    </row>
    <row r="25" spans="1:30" ht="15.75" thickBot="1"/>
    <row r="26" spans="1:30" s="650" customFormat="1" ht="15.75" thickBot="1">
      <c r="A26" s="690" t="s">
        <v>833</v>
      </c>
      <c r="B26" s="288">
        <v>2012</v>
      </c>
      <c r="C26" s="289">
        <v>2013</v>
      </c>
      <c r="D26" s="289">
        <v>2014</v>
      </c>
      <c r="E26" s="289">
        <v>2015</v>
      </c>
      <c r="F26" s="288">
        <v>2016</v>
      </c>
      <c r="G26" s="289">
        <v>2017</v>
      </c>
      <c r="H26" s="289">
        <v>2018</v>
      </c>
      <c r="I26" s="289">
        <v>2019</v>
      </c>
      <c r="J26" s="288">
        <v>2020</v>
      </c>
      <c r="K26" s="289">
        <v>2021</v>
      </c>
      <c r="L26" s="289">
        <v>2022</v>
      </c>
      <c r="M26" s="289">
        <v>2023</v>
      </c>
      <c r="N26" s="288">
        <v>2024</v>
      </c>
      <c r="O26" s="289">
        <v>2025</v>
      </c>
      <c r="P26" s="289">
        <v>2026</v>
      </c>
      <c r="Q26" s="289">
        <v>2027</v>
      </c>
      <c r="R26" s="288">
        <v>2028</v>
      </c>
      <c r="S26" s="289">
        <v>2029</v>
      </c>
      <c r="T26" s="289">
        <v>2030</v>
      </c>
      <c r="U26" s="289">
        <v>2031</v>
      </c>
      <c r="V26" s="288">
        <v>2032</v>
      </c>
      <c r="W26" s="289">
        <v>2033</v>
      </c>
      <c r="X26" s="289">
        <v>2034</v>
      </c>
      <c r="Y26" s="289">
        <v>2035</v>
      </c>
      <c r="Z26" s="288">
        <v>2036</v>
      </c>
      <c r="AA26" s="289">
        <v>2037</v>
      </c>
      <c r="AB26" s="289">
        <v>2038</v>
      </c>
      <c r="AC26" s="289">
        <v>2039</v>
      </c>
      <c r="AD26" s="290">
        <v>2040</v>
      </c>
    </row>
    <row r="27" spans="1:30" s="650" customFormat="1">
      <c r="A27" s="577" t="s">
        <v>197</v>
      </c>
      <c r="B27" s="313">
        <f>IFERROR(C70,"")</f>
        <v>6810.5600144008722</v>
      </c>
      <c r="C27" s="314">
        <f t="shared" ref="C27:AD27" si="0">IFERROR(D70,"")</f>
        <v>6151.8988346415717</v>
      </c>
      <c r="D27" s="314">
        <f t="shared" si="0"/>
        <v>7434.241754714114</v>
      </c>
      <c r="E27" s="314">
        <f t="shared" si="0"/>
        <v>8097.4682680796623</v>
      </c>
      <c r="F27" s="314">
        <f t="shared" si="0"/>
        <v>7993.4961224031131</v>
      </c>
      <c r="G27" s="314">
        <f t="shared" si="0"/>
        <v>7993.4961224031113</v>
      </c>
      <c r="H27" s="314">
        <f t="shared" si="0"/>
        <v>7993.4961224031113</v>
      </c>
      <c r="I27" s="314">
        <f t="shared" si="0"/>
        <v>7993.4961224031131</v>
      </c>
      <c r="J27" s="314">
        <f t="shared" si="0"/>
        <v>7993.4961224031131</v>
      </c>
      <c r="K27" s="314">
        <f t="shared" si="0"/>
        <v>7993.4961224031122</v>
      </c>
      <c r="L27" s="314">
        <f t="shared" si="0"/>
        <v>7993.496122403114</v>
      </c>
      <c r="M27" s="314">
        <f t="shared" si="0"/>
        <v>7993.4961224031122</v>
      </c>
      <c r="N27" s="314">
        <f t="shared" si="0"/>
        <v>7993.496122403114</v>
      </c>
      <c r="O27" s="314">
        <f t="shared" si="0"/>
        <v>7993.4961224031122</v>
      </c>
      <c r="P27" s="314">
        <f t="shared" si="0"/>
        <v>7993.4961224031131</v>
      </c>
      <c r="Q27" s="314">
        <f t="shared" si="0"/>
        <v>7993.4961224031131</v>
      </c>
      <c r="R27" s="314">
        <f t="shared" si="0"/>
        <v>7993.4961224031131</v>
      </c>
      <c r="S27" s="314">
        <f t="shared" si="0"/>
        <v>7993.496122403114</v>
      </c>
      <c r="T27" s="314">
        <f t="shared" si="0"/>
        <v>7993.4961224031122</v>
      </c>
      <c r="U27" s="314">
        <f t="shared" si="0"/>
        <v>7993.496122403114</v>
      </c>
      <c r="V27" s="314">
        <f t="shared" si="0"/>
        <v>7993.4961224031131</v>
      </c>
      <c r="W27" s="314">
        <f t="shared" si="0"/>
        <v>7993.496122403114</v>
      </c>
      <c r="X27" s="314">
        <f t="shared" si="0"/>
        <v>7993.4961224031131</v>
      </c>
      <c r="Y27" s="314" t="str">
        <f t="shared" si="0"/>
        <v/>
      </c>
      <c r="Z27" s="314" t="str">
        <f t="shared" si="0"/>
        <v/>
      </c>
      <c r="AA27" s="314" t="str">
        <f t="shared" si="0"/>
        <v/>
      </c>
      <c r="AB27" s="314" t="str">
        <f t="shared" si="0"/>
        <v/>
      </c>
      <c r="AC27" s="314" t="str">
        <f t="shared" si="0"/>
        <v/>
      </c>
      <c r="AD27" s="315" t="str">
        <f t="shared" si="0"/>
        <v/>
      </c>
    </row>
    <row r="28" spans="1:30" s="650" customFormat="1">
      <c r="A28" s="578" t="s">
        <v>198</v>
      </c>
      <c r="B28" s="316">
        <f>IFERROR(C99,"")</f>
        <v>13330.00013510134</v>
      </c>
      <c r="C28" s="317">
        <f t="shared" ref="C28:AD28" si="1">IFERROR(D99,"")</f>
        <v>13332.661466104602</v>
      </c>
      <c r="D28" s="317">
        <f t="shared" si="1"/>
        <v>13334.122416387119</v>
      </c>
      <c r="E28" s="317">
        <f t="shared" si="1"/>
        <v>13327.245233879174</v>
      </c>
      <c r="F28" s="317">
        <f t="shared" si="1"/>
        <v>13297.258760872279</v>
      </c>
      <c r="G28" s="317">
        <f t="shared" si="1"/>
        <v>13218.878503310099</v>
      </c>
      <c r="H28" s="317">
        <f t="shared" si="1"/>
        <v>13198.753621681157</v>
      </c>
      <c r="I28" s="317">
        <f t="shared" si="1"/>
        <v>13198.753621681151</v>
      </c>
      <c r="J28" s="317">
        <f t="shared" si="1"/>
        <v>13198.753621681153</v>
      </c>
      <c r="K28" s="317">
        <f t="shared" si="1"/>
        <v>13198.753621681146</v>
      </c>
      <c r="L28" s="317">
        <f t="shared" si="1"/>
        <v>13198.753621681151</v>
      </c>
      <c r="M28" s="317">
        <f t="shared" si="1"/>
        <v>13198.75362168115</v>
      </c>
      <c r="N28" s="317">
        <f t="shared" si="1"/>
        <v>13198.753621681151</v>
      </c>
      <c r="O28" s="317">
        <f t="shared" si="1"/>
        <v>13198.753621681148</v>
      </c>
      <c r="P28" s="317">
        <f t="shared" si="1"/>
        <v>13198.75362168115</v>
      </c>
      <c r="Q28" s="317">
        <f t="shared" si="1"/>
        <v>13198.75362168115</v>
      </c>
      <c r="R28" s="317">
        <f t="shared" si="1"/>
        <v>13198.75362168115</v>
      </c>
      <c r="S28" s="317">
        <f t="shared" si="1"/>
        <v>13198.753621681157</v>
      </c>
      <c r="T28" s="317">
        <f t="shared" si="1"/>
        <v>13198.753621681148</v>
      </c>
      <c r="U28" s="317">
        <f t="shared" si="1"/>
        <v>13198.753621681153</v>
      </c>
      <c r="V28" s="317">
        <f t="shared" si="1"/>
        <v>13198.75362168115</v>
      </c>
      <c r="W28" s="317">
        <f t="shared" si="1"/>
        <v>13198.753621681151</v>
      </c>
      <c r="X28" s="317">
        <f t="shared" si="1"/>
        <v>13198.753621681151</v>
      </c>
      <c r="Y28" s="317">
        <f t="shared" si="1"/>
        <v>13198.753621681151</v>
      </c>
      <c r="Z28" s="317">
        <f t="shared" si="1"/>
        <v>13198.753621681151</v>
      </c>
      <c r="AA28" s="317" t="str">
        <f t="shared" si="1"/>
        <v/>
      </c>
      <c r="AB28" s="317" t="str">
        <f t="shared" si="1"/>
        <v/>
      </c>
      <c r="AC28" s="317" t="str">
        <f t="shared" si="1"/>
        <v/>
      </c>
      <c r="AD28" s="318" t="str">
        <f t="shared" si="1"/>
        <v/>
      </c>
    </row>
    <row r="29" spans="1:30" s="650" customFormat="1">
      <c r="A29" s="578" t="s">
        <v>199</v>
      </c>
      <c r="B29" s="316">
        <f>IFERROR(C128,"")</f>
        <v>13672.937795748991</v>
      </c>
      <c r="C29" s="317">
        <f t="shared" ref="C29:AD29" si="2">IFERROR(D128,"")</f>
        <v>13891.994162840112</v>
      </c>
      <c r="D29" s="317">
        <f t="shared" si="2"/>
        <v>14061.279060431038</v>
      </c>
      <c r="E29" s="317">
        <f t="shared" si="2"/>
        <v>14216.809814728203</v>
      </c>
      <c r="F29" s="317">
        <f t="shared" si="2"/>
        <v>13926.538744653473</v>
      </c>
      <c r="G29" s="317">
        <f t="shared" si="2"/>
        <v>13539.319860282938</v>
      </c>
      <c r="H29" s="317">
        <f t="shared" si="2"/>
        <v>13502.515542757992</v>
      </c>
      <c r="I29" s="317">
        <f t="shared" si="2"/>
        <v>13502.515542757994</v>
      </c>
      <c r="J29" s="317">
        <f t="shared" si="2"/>
        <v>13502.515542757988</v>
      </c>
      <c r="K29" s="317">
        <f t="shared" si="2"/>
        <v>13502.515542757994</v>
      </c>
      <c r="L29" s="317">
        <f t="shared" si="2"/>
        <v>13502.51554275799</v>
      </c>
      <c r="M29" s="317">
        <f t="shared" si="2"/>
        <v>13502.515542757994</v>
      </c>
      <c r="N29" s="317">
        <f t="shared" si="2"/>
        <v>13502.515542757992</v>
      </c>
      <c r="O29" s="317">
        <f t="shared" si="2"/>
        <v>13502.51554275799</v>
      </c>
      <c r="P29" s="317">
        <f t="shared" si="2"/>
        <v>13502.515542757988</v>
      </c>
      <c r="Q29" s="317">
        <f t="shared" si="2"/>
        <v>13502.515542757992</v>
      </c>
      <c r="R29" s="317">
        <f t="shared" si="2"/>
        <v>13502.515542757996</v>
      </c>
      <c r="S29" s="317">
        <f t="shared" si="2"/>
        <v>13502.51554275799</v>
      </c>
      <c r="T29" s="317">
        <f t="shared" si="2"/>
        <v>13502.51554275799</v>
      </c>
      <c r="U29" s="317">
        <f t="shared" si="2"/>
        <v>13502.51554275799</v>
      </c>
      <c r="V29" s="317">
        <f t="shared" si="2"/>
        <v>13502.515542757994</v>
      </c>
      <c r="W29" s="317">
        <f t="shared" si="2"/>
        <v>13502.515542757992</v>
      </c>
      <c r="X29" s="317">
        <f t="shared" si="2"/>
        <v>13502.515542757994</v>
      </c>
      <c r="Y29" s="317">
        <f t="shared" si="2"/>
        <v>13502.51554275799</v>
      </c>
      <c r="Z29" s="317">
        <f t="shared" si="2"/>
        <v>13502.515542757992</v>
      </c>
      <c r="AA29" s="317" t="str">
        <f t="shared" si="2"/>
        <v/>
      </c>
      <c r="AB29" s="317" t="str">
        <f t="shared" si="2"/>
        <v/>
      </c>
      <c r="AC29" s="317" t="str">
        <f t="shared" si="2"/>
        <v/>
      </c>
      <c r="AD29" s="318" t="str">
        <f t="shared" si="2"/>
        <v/>
      </c>
    </row>
    <row r="30" spans="1:30" s="650" customFormat="1">
      <c r="A30" s="578" t="s">
        <v>203</v>
      </c>
      <c r="B30" s="316">
        <f>IFERROR(C157,"")</f>
        <v>22455.551236299689</v>
      </c>
      <c r="C30" s="317">
        <f t="shared" ref="C30:AD30" si="3">IFERROR(D157,"")</f>
        <v>22744.276557625781</v>
      </c>
      <c r="D30" s="317">
        <f t="shared" si="3"/>
        <v>22729.039214986129</v>
      </c>
      <c r="E30" s="317">
        <f t="shared" si="3"/>
        <v>22696.183671779985</v>
      </c>
      <c r="F30" s="317">
        <f t="shared" si="3"/>
        <v>22636.461841768971</v>
      </c>
      <c r="G30" s="317">
        <f t="shared" si="3"/>
        <v>22621.002569529868</v>
      </c>
      <c r="H30" s="317">
        <f t="shared" si="3"/>
        <v>22261.099204425289</v>
      </c>
      <c r="I30" s="317">
        <f t="shared" si="3"/>
        <v>22261.099204425285</v>
      </c>
      <c r="J30" s="317">
        <f t="shared" si="3"/>
        <v>22261.099204425271</v>
      </c>
      <c r="K30" s="317">
        <f t="shared" si="3"/>
        <v>22261.099204425285</v>
      </c>
      <c r="L30" s="317">
        <f t="shared" si="3"/>
        <v>22261.099204425282</v>
      </c>
      <c r="M30" s="317">
        <f t="shared" si="3"/>
        <v>22261.099204425285</v>
      </c>
      <c r="N30" s="317">
        <f t="shared" si="3"/>
        <v>22261.099204425285</v>
      </c>
      <c r="O30" s="317">
        <f t="shared" si="3"/>
        <v>22261.099204425293</v>
      </c>
      <c r="P30" s="317">
        <f t="shared" si="3"/>
        <v>22261.099204425285</v>
      </c>
      <c r="Q30" s="317">
        <f t="shared" si="3"/>
        <v>22261.099204425289</v>
      </c>
      <c r="R30" s="317">
        <f t="shared" si="3"/>
        <v>22261.099204425285</v>
      </c>
      <c r="S30" s="317">
        <f t="shared" si="3"/>
        <v>22261.099204425285</v>
      </c>
      <c r="T30" s="317">
        <f t="shared" si="3"/>
        <v>22261.099204425293</v>
      </c>
      <c r="U30" s="317">
        <f t="shared" si="3"/>
        <v>22261.099204425289</v>
      </c>
      <c r="V30" s="317">
        <f t="shared" si="3"/>
        <v>22261.099204425285</v>
      </c>
      <c r="W30" s="317">
        <f t="shared" si="3"/>
        <v>22261.099204425282</v>
      </c>
      <c r="X30" s="317">
        <f t="shared" si="3"/>
        <v>22261.099204425285</v>
      </c>
      <c r="Y30" s="317">
        <f t="shared" si="3"/>
        <v>22261.099204425285</v>
      </c>
      <c r="Z30" s="317">
        <f t="shared" si="3"/>
        <v>22261.099204425285</v>
      </c>
      <c r="AA30" s="317" t="str">
        <f t="shared" si="3"/>
        <v/>
      </c>
      <c r="AB30" s="317" t="str">
        <f t="shared" si="3"/>
        <v/>
      </c>
      <c r="AC30" s="317" t="str">
        <f t="shared" si="3"/>
        <v/>
      </c>
      <c r="AD30" s="318" t="str">
        <f t="shared" si="3"/>
        <v/>
      </c>
    </row>
    <row r="31" spans="1:30" s="650" customFormat="1">
      <c r="A31" s="578" t="s">
        <v>204</v>
      </c>
      <c r="B31" s="316">
        <f>IFERROR(C186,"")</f>
        <v>19738.493842907414</v>
      </c>
      <c r="C31" s="317">
        <f t="shared" ref="C31:AD31" si="4">IFERROR(D186,"")</f>
        <v>19699.770078646507</v>
      </c>
      <c r="D31" s="317">
        <f t="shared" si="4"/>
        <v>19663.459143897966</v>
      </c>
      <c r="E31" s="317">
        <f t="shared" si="4"/>
        <v>19745.663289283002</v>
      </c>
      <c r="F31" s="317">
        <f t="shared" si="4"/>
        <v>19879.804390945654</v>
      </c>
      <c r="G31" s="317">
        <f t="shared" si="4"/>
        <v>19918.331069269203</v>
      </c>
      <c r="H31" s="317">
        <f t="shared" si="4"/>
        <v>19677.820664419189</v>
      </c>
      <c r="I31" s="317">
        <f t="shared" si="4"/>
        <v>19677.820664419185</v>
      </c>
      <c r="J31" s="317">
        <f t="shared" si="4"/>
        <v>19677.820664419185</v>
      </c>
      <c r="K31" s="317">
        <f t="shared" si="4"/>
        <v>19677.820664419181</v>
      </c>
      <c r="L31" s="317">
        <f t="shared" si="4"/>
        <v>19677.820664419192</v>
      </c>
      <c r="M31" s="317">
        <f t="shared" si="4"/>
        <v>19677.820664419181</v>
      </c>
      <c r="N31" s="317">
        <f t="shared" si="4"/>
        <v>19677.820664419189</v>
      </c>
      <c r="O31" s="317">
        <f t="shared" si="4"/>
        <v>19677.820664419189</v>
      </c>
      <c r="P31" s="317">
        <f t="shared" si="4"/>
        <v>19677.820664419192</v>
      </c>
      <c r="Q31" s="317">
        <f t="shared" si="4"/>
        <v>19677.820664419185</v>
      </c>
      <c r="R31" s="317">
        <f t="shared" si="4"/>
        <v>19677.820664419189</v>
      </c>
      <c r="S31" s="317">
        <f t="shared" si="4"/>
        <v>19677.820664419181</v>
      </c>
      <c r="T31" s="317">
        <f t="shared" si="4"/>
        <v>19677.820664419192</v>
      </c>
      <c r="U31" s="317">
        <f t="shared" si="4"/>
        <v>19677.820664419185</v>
      </c>
      <c r="V31" s="317">
        <f t="shared" si="4"/>
        <v>19677.820664419189</v>
      </c>
      <c r="W31" s="317">
        <f t="shared" si="4"/>
        <v>19677.820664419189</v>
      </c>
      <c r="X31" s="317">
        <f t="shared" si="4"/>
        <v>19677.820664419185</v>
      </c>
      <c r="Y31" s="317">
        <f t="shared" si="4"/>
        <v>19677.820664419189</v>
      </c>
      <c r="Z31" s="317">
        <f t="shared" si="4"/>
        <v>19677.820664419185</v>
      </c>
      <c r="AA31" s="317" t="str">
        <f t="shared" si="4"/>
        <v/>
      </c>
      <c r="AB31" s="317" t="str">
        <f t="shared" si="4"/>
        <v/>
      </c>
      <c r="AC31" s="317" t="str">
        <f t="shared" si="4"/>
        <v/>
      </c>
      <c r="AD31" s="318" t="str">
        <f t="shared" si="4"/>
        <v/>
      </c>
    </row>
    <row r="32" spans="1:30" s="650" customFormat="1" ht="15.75" thickBot="1">
      <c r="A32" s="579" t="s">
        <v>205</v>
      </c>
      <c r="B32" s="321">
        <f>IFERROR(C215,"")</f>
        <v>15101.430451324257</v>
      </c>
      <c r="C32" s="322">
        <f t="shared" ref="C32:AD32" si="5">IFERROR(D215,"")</f>
        <v>15243.274023387121</v>
      </c>
      <c r="D32" s="322">
        <f t="shared" si="5"/>
        <v>15393.476904331725</v>
      </c>
      <c r="E32" s="322">
        <f t="shared" si="5"/>
        <v>15599.956576362123</v>
      </c>
      <c r="F32" s="322">
        <f t="shared" si="5"/>
        <v>15756.792929441826</v>
      </c>
      <c r="G32" s="322">
        <f t="shared" si="5"/>
        <v>15837.471999337555</v>
      </c>
      <c r="H32" s="322">
        <f t="shared" si="5"/>
        <v>15810.612886984531</v>
      </c>
      <c r="I32" s="322">
        <f t="shared" si="5"/>
        <v>15810.612886984534</v>
      </c>
      <c r="J32" s="322">
        <f t="shared" si="5"/>
        <v>15810.612886984523</v>
      </c>
      <c r="K32" s="322">
        <f t="shared" si="5"/>
        <v>15810.612886984531</v>
      </c>
      <c r="L32" s="322">
        <f t="shared" si="5"/>
        <v>15810.612886984527</v>
      </c>
      <c r="M32" s="322">
        <f t="shared" si="5"/>
        <v>15810.612886984525</v>
      </c>
      <c r="N32" s="322">
        <f t="shared" si="5"/>
        <v>15810.612886984525</v>
      </c>
      <c r="O32" s="322">
        <f t="shared" si="5"/>
        <v>15810.612886984531</v>
      </c>
      <c r="P32" s="322">
        <f t="shared" si="5"/>
        <v>15810.612886984523</v>
      </c>
      <c r="Q32" s="322">
        <f t="shared" si="5"/>
        <v>15810.612886984527</v>
      </c>
      <c r="R32" s="322">
        <f t="shared" si="5"/>
        <v>15810.612886984531</v>
      </c>
      <c r="S32" s="322">
        <f t="shared" si="5"/>
        <v>15810.612886984531</v>
      </c>
      <c r="T32" s="322">
        <f t="shared" si="5"/>
        <v>15810.612886984525</v>
      </c>
      <c r="U32" s="322">
        <f t="shared" si="5"/>
        <v>15810.612886984525</v>
      </c>
      <c r="V32" s="322">
        <f t="shared" si="5"/>
        <v>15810.612886984529</v>
      </c>
      <c r="W32" s="322">
        <f t="shared" si="5"/>
        <v>15810.612886984529</v>
      </c>
      <c r="X32" s="322">
        <f t="shared" si="5"/>
        <v>15810.612886984523</v>
      </c>
      <c r="Y32" s="322">
        <f t="shared" si="5"/>
        <v>15810.612886984527</v>
      </c>
      <c r="Z32" s="322">
        <f t="shared" si="5"/>
        <v>15810.612886984527</v>
      </c>
      <c r="AA32" s="322" t="str">
        <f t="shared" si="5"/>
        <v/>
      </c>
      <c r="AB32" s="322" t="str">
        <f t="shared" si="5"/>
        <v/>
      </c>
      <c r="AC32" s="322" t="str">
        <f t="shared" si="5"/>
        <v/>
      </c>
      <c r="AD32" s="323" t="str">
        <f t="shared" si="5"/>
        <v/>
      </c>
    </row>
    <row r="33" spans="1:63" s="650" customFormat="1" ht="15.75" thickBot="1"/>
    <row r="34" spans="1:63" s="650" customFormat="1" ht="15.75" thickBot="1">
      <c r="A34" s="690" t="s">
        <v>89</v>
      </c>
      <c r="B34" s="288">
        <v>2012</v>
      </c>
      <c r="C34" s="289">
        <v>2013</v>
      </c>
      <c r="D34" s="289">
        <v>2014</v>
      </c>
      <c r="E34" s="289">
        <v>2015</v>
      </c>
      <c r="F34" s="288">
        <v>2016</v>
      </c>
      <c r="G34" s="289">
        <v>2017</v>
      </c>
      <c r="H34" s="289">
        <v>2018</v>
      </c>
      <c r="I34" s="289">
        <v>2019</v>
      </c>
      <c r="J34" s="288">
        <v>2020</v>
      </c>
      <c r="K34" s="289">
        <v>2021</v>
      </c>
      <c r="L34" s="289">
        <v>2022</v>
      </c>
      <c r="M34" s="289">
        <v>2023</v>
      </c>
      <c r="N34" s="288">
        <v>2024</v>
      </c>
      <c r="O34" s="289">
        <v>2025</v>
      </c>
      <c r="P34" s="289">
        <v>2026</v>
      </c>
      <c r="Q34" s="289">
        <v>2027</v>
      </c>
      <c r="R34" s="288">
        <v>2028</v>
      </c>
      <c r="S34" s="289">
        <v>2029</v>
      </c>
      <c r="T34" s="289">
        <v>2030</v>
      </c>
      <c r="U34" s="289">
        <v>2031</v>
      </c>
      <c r="V34" s="288">
        <v>2032</v>
      </c>
      <c r="W34" s="289">
        <v>2033</v>
      </c>
      <c r="X34" s="289">
        <v>2034</v>
      </c>
      <c r="Y34" s="289">
        <v>2035</v>
      </c>
      <c r="Z34" s="288">
        <v>2036</v>
      </c>
      <c r="AA34" s="289">
        <v>2037</v>
      </c>
      <c r="AB34" s="289">
        <v>2038</v>
      </c>
      <c r="AC34" s="289">
        <v>2039</v>
      </c>
      <c r="AD34" s="290">
        <v>2040</v>
      </c>
    </row>
    <row r="35" spans="1:63" s="650" customFormat="1">
      <c r="A35" s="577" t="s">
        <v>197</v>
      </c>
      <c r="B35" s="313">
        <f>'FREH Stock'!C82</f>
        <v>22.993067828993588</v>
      </c>
      <c r="C35" s="314">
        <f>'FREH Stock'!D82</f>
        <v>14.233896754820417</v>
      </c>
      <c r="D35" s="314">
        <f>'FREH Stock'!E82</f>
        <v>11.882951721066213</v>
      </c>
      <c r="E35" s="314">
        <f>'FREH Stock'!F82</f>
        <v>10.681609366292903</v>
      </c>
      <c r="F35" s="314">
        <f>'FREH Stock'!G82</f>
        <v>9.5943685008231139</v>
      </c>
      <c r="G35" s="314">
        <f>'FREH Stock'!H82</f>
        <v>8.3302813896857977</v>
      </c>
      <c r="H35" s="314">
        <f>'FREH Stock'!I82</f>
        <v>6.8752910185627263</v>
      </c>
      <c r="I35" s="314">
        <f>'FREH Stock'!J82</f>
        <v>5.3296972670530867</v>
      </c>
      <c r="J35" s="314">
        <f>'FREH Stock'!K82</f>
        <v>3.8861603613373745</v>
      </c>
      <c r="K35" s="314">
        <f>'FREH Stock'!L82</f>
        <v>2.5717653655425781</v>
      </c>
      <c r="L35" s="314">
        <f>'FREH Stock'!M82</f>
        <v>1.4797826231925828</v>
      </c>
      <c r="M35" s="314">
        <f>'FREH Stock'!N82</f>
        <v>0.74006068944660652</v>
      </c>
      <c r="N35" s="314">
        <f>'FREH Stock'!O82</f>
        <v>0.3230780946658201</v>
      </c>
      <c r="O35" s="314">
        <f>'FREH Stock'!P82</f>
        <v>0.11720325518552854</v>
      </c>
      <c r="P35" s="314">
        <f>'FREH Stock'!Q82</f>
        <v>3.8282994505865621E-2</v>
      </c>
      <c r="Q35" s="314">
        <f>'FREH Stock'!R82</f>
        <v>1.1116967340921895E-2</v>
      </c>
      <c r="R35" s="314">
        <f>'FREH Stock'!S82</f>
        <v>2.8243701830481601E-3</v>
      </c>
      <c r="S35" s="314">
        <f>'FREH Stock'!T82</f>
        <v>6.1481062501879348E-4</v>
      </c>
      <c r="T35" s="314">
        <f>'FREH Stock'!U82</f>
        <v>1.114548930088276E-4</v>
      </c>
      <c r="U35" s="314">
        <f>'FREH Stock'!V82</f>
        <v>1.6149420394700036E-5</v>
      </c>
      <c r="V35" s="314">
        <f>'FREH Stock'!W82</f>
        <v>1.752987384224261E-6</v>
      </c>
      <c r="W35" s="314">
        <f>'FREH Stock'!X82</f>
        <v>1.2667953134519323E-7</v>
      </c>
      <c r="X35" s="314">
        <f>'FREH Stock'!Y82</f>
        <v>4.5697989551745509E-9</v>
      </c>
      <c r="Y35" s="314">
        <f>'FREH Stock'!Z82</f>
        <v>0</v>
      </c>
      <c r="Z35" s="314">
        <f>'FREH Stock'!AA82</f>
        <v>0</v>
      </c>
      <c r="AA35" s="314">
        <f>'FREH Stock'!AB82</f>
        <v>0</v>
      </c>
      <c r="AB35" s="314">
        <f>'FREH Stock'!AC82</f>
        <v>0</v>
      </c>
      <c r="AC35" s="314">
        <f>'FREH Stock'!AD82</f>
        <v>0</v>
      </c>
      <c r="AD35" s="315">
        <f>'FREH Stock'!AE82</f>
        <v>0</v>
      </c>
    </row>
    <row r="36" spans="1:63" s="650" customFormat="1">
      <c r="A36" s="578" t="s">
        <v>198</v>
      </c>
      <c r="B36" s="316">
        <f>'FREH Stock'!C111</f>
        <v>418.96620566634374</v>
      </c>
      <c r="C36" s="317">
        <f>'FREH Stock'!D111</f>
        <v>271.0170406441793</v>
      </c>
      <c r="D36" s="317">
        <f>'FREH Stock'!E111</f>
        <v>201.5853832747172</v>
      </c>
      <c r="E36" s="317">
        <f>'FREH Stock'!F111</f>
        <v>155.26067288467505</v>
      </c>
      <c r="F36" s="317">
        <f>'FREH Stock'!G111</f>
        <v>117.87747122356225</v>
      </c>
      <c r="G36" s="317">
        <f>'FREH Stock'!H111</f>
        <v>86.002488855220676</v>
      </c>
      <c r="H36" s="317">
        <f>'FREH Stock'!I111</f>
        <v>59.488788738115048</v>
      </c>
      <c r="I36" s="317">
        <f>'FREH Stock'!J111</f>
        <v>38.749904017337577</v>
      </c>
      <c r="J36" s="317">
        <f>'FREH Stock'!K111</f>
        <v>23.672778254583285</v>
      </c>
      <c r="K36" s="317">
        <f>'FREH Stock'!L111</f>
        <v>13.481127424087099</v>
      </c>
      <c r="L36" s="317">
        <f>'FREH Stock'!M111</f>
        <v>7.0657966297991228</v>
      </c>
      <c r="M36" s="317">
        <f>'FREH Stock'!N111</f>
        <v>3.3345418163500922</v>
      </c>
      <c r="N36" s="317">
        <f>'FREH Stock'!O111</f>
        <v>1.3823304541125947</v>
      </c>
      <c r="O36" s="317">
        <f>'FREH Stock'!P111</f>
        <v>0.49567521008934262</v>
      </c>
      <c r="P36" s="317">
        <f>'FREH Stock'!Q111</f>
        <v>0.15287442990123168</v>
      </c>
      <c r="Q36" s="317">
        <f>'FREH Stock'!R111</f>
        <v>4.1800185588095701E-2</v>
      </c>
      <c r="R36" s="317">
        <f>'FREH Stock'!S111</f>
        <v>1.0284825202228207E-2</v>
      </c>
      <c r="S36" s="317">
        <f>'FREH Stock'!T111</f>
        <v>2.2471120791910382E-3</v>
      </c>
      <c r="T36" s="317">
        <f>'FREH Stock'!U111</f>
        <v>4.2875457236468597E-4</v>
      </c>
      <c r="U36" s="317">
        <f>'FREH Stock'!V111</f>
        <v>6.990725909194635E-5</v>
      </c>
      <c r="V36" s="317">
        <f>'FREH Stock'!W111</f>
        <v>9.4574770810092427E-6</v>
      </c>
      <c r="W36" s="317">
        <f>'FREH Stock'!X111</f>
        <v>1.0175621151188437E-6</v>
      </c>
      <c r="X36" s="317">
        <f>'FREH Stock'!Y111</f>
        <v>8.1468276784450084E-8</v>
      </c>
      <c r="Y36" s="317">
        <f>'FREH Stock'!Z111</f>
        <v>4.302896613576186E-9</v>
      </c>
      <c r="Z36" s="317">
        <f>'FREH Stock'!AA111</f>
        <v>1.1203248714454641E-10</v>
      </c>
      <c r="AA36" s="317">
        <f>'FREH Stock'!AB111</f>
        <v>0</v>
      </c>
      <c r="AB36" s="317">
        <f>'FREH Stock'!AC111</f>
        <v>0</v>
      </c>
      <c r="AC36" s="317">
        <f>'FREH Stock'!AD111</f>
        <v>0</v>
      </c>
      <c r="AD36" s="318">
        <f>'FREH Stock'!AE111</f>
        <v>0</v>
      </c>
    </row>
    <row r="37" spans="1:63" s="650" customFormat="1">
      <c r="A37" s="578" t="s">
        <v>199</v>
      </c>
      <c r="B37" s="316">
        <f>'FREH Stock'!C140</f>
        <v>194.98960174349037</v>
      </c>
      <c r="C37" s="317">
        <f>'FREH Stock'!D140</f>
        <v>139.17984793843945</v>
      </c>
      <c r="D37" s="317">
        <f>'FREH Stock'!E140</f>
        <v>107.69346766465637</v>
      </c>
      <c r="E37" s="317">
        <f>'FREH Stock'!F140</f>
        <v>86.233798152063187</v>
      </c>
      <c r="F37" s="317">
        <f>'FREH Stock'!G140</f>
        <v>69.351860122859037</v>
      </c>
      <c r="G37" s="317">
        <f>'FREH Stock'!H140</f>
        <v>54.942310160348661</v>
      </c>
      <c r="H37" s="317">
        <f>'FREH Stock'!I140</f>
        <v>42.289248448724827</v>
      </c>
      <c r="I37" s="317">
        <f>'FREH Stock'!J140</f>
        <v>31.236588038347467</v>
      </c>
      <c r="J37" s="317">
        <f>'FREH Stock'!K140</f>
        <v>21.917585534508088</v>
      </c>
      <c r="K37" s="317">
        <f>'FREH Stock'!L140</f>
        <v>14.530579787289259</v>
      </c>
      <c r="L37" s="317">
        <f>'FREH Stock'!M140</f>
        <v>8.9798082272967399</v>
      </c>
      <c r="M37" s="317">
        <f>'FREH Stock'!N140</f>
        <v>5.0916498335856755</v>
      </c>
      <c r="N37" s="317">
        <f>'FREH Stock'!O140</f>
        <v>2.619285869054067</v>
      </c>
      <c r="O37" s="317">
        <f>'FREH Stock'!P140</f>
        <v>1.2130939006746182</v>
      </c>
      <c r="P37" s="317">
        <f>'FREH Stock'!Q140</f>
        <v>0.50843495295810281</v>
      </c>
      <c r="Q37" s="317">
        <f>'FREH Stock'!R140</f>
        <v>0.19297652153577885</v>
      </c>
      <c r="R37" s="317">
        <f>'FREH Stock'!S140</f>
        <v>6.5637051252172479E-2</v>
      </c>
      <c r="S37" s="317">
        <f>'FREH Stock'!T140</f>
        <v>1.9711995754457211E-2</v>
      </c>
      <c r="T37" s="317">
        <f>'FREH Stock'!U140</f>
        <v>5.1297960288075274E-3</v>
      </c>
      <c r="U37" s="317">
        <f>'FREH Stock'!V140</f>
        <v>1.128700611725302E-3</v>
      </c>
      <c r="V37" s="317">
        <f>'FREH Stock'!W140</f>
        <v>2.0301431939810216E-4</v>
      </c>
      <c r="W37" s="317">
        <f>'FREH Stock'!X140</f>
        <v>2.8419210147137434E-5</v>
      </c>
      <c r="X37" s="317">
        <f>'FREH Stock'!Y140</f>
        <v>2.8635266733025719E-6</v>
      </c>
      <c r="Y37" s="317">
        <f>'FREH Stock'!Z140</f>
        <v>1.8000887874921143E-7</v>
      </c>
      <c r="Z37" s="317">
        <f>'FREH Stock'!AA140</f>
        <v>5.0033566137494323E-9</v>
      </c>
      <c r="AA37" s="317">
        <f>'FREH Stock'!AB140</f>
        <v>0</v>
      </c>
      <c r="AB37" s="317">
        <f>'FREH Stock'!AC140</f>
        <v>0</v>
      </c>
      <c r="AC37" s="317">
        <f>'FREH Stock'!AD140</f>
        <v>0</v>
      </c>
      <c r="AD37" s="318">
        <f>'FREH Stock'!AE140</f>
        <v>0</v>
      </c>
    </row>
    <row r="38" spans="1:63" s="650" customFormat="1">
      <c r="A38" s="578" t="s">
        <v>203</v>
      </c>
      <c r="B38" s="316">
        <f>'FREH Stock'!C256</f>
        <v>1743.993934350369</v>
      </c>
      <c r="C38" s="317">
        <f>'FREH Stock'!D256</f>
        <v>1620.1646984065296</v>
      </c>
      <c r="D38" s="317">
        <f>'FREH Stock'!E256</f>
        <v>1506.227210505931</v>
      </c>
      <c r="E38" s="317">
        <f>'FREH Stock'!F256</f>
        <v>1386.942853961131</v>
      </c>
      <c r="F38" s="317">
        <f>'FREH Stock'!G256</f>
        <v>1250.3348674121921</v>
      </c>
      <c r="G38" s="317">
        <f>'FREH Stock'!H256</f>
        <v>1086.5855196833343</v>
      </c>
      <c r="H38" s="317">
        <f>'FREH Stock'!I256</f>
        <v>900.95821998539088</v>
      </c>
      <c r="I38" s="317">
        <f>'FREH Stock'!J256</f>
        <v>709.29866956248441</v>
      </c>
      <c r="J38" s="317">
        <f>'FREH Stock'!K256</f>
        <v>531.53482846812039</v>
      </c>
      <c r="K38" s="317">
        <f>'FREH Stock'!L256</f>
        <v>372.15287057710486</v>
      </c>
      <c r="L38" s="317">
        <f>'FREH Stock'!M256</f>
        <v>245.28342565040685</v>
      </c>
      <c r="M38" s="317">
        <f>'FREH Stock'!N256</f>
        <v>148.94057186312574</v>
      </c>
      <c r="N38" s="317">
        <f>'FREH Stock'!O256</f>
        <v>81.601601915754571</v>
      </c>
      <c r="O38" s="317">
        <f>'FREH Stock'!P256</f>
        <v>38.840138157661933</v>
      </c>
      <c r="P38" s="317">
        <f>'FREH Stock'!Q256</f>
        <v>16.772175992423723</v>
      </c>
      <c r="Q38" s="317">
        <f>'FREH Stock'!R256</f>
        <v>6.0143207052139962</v>
      </c>
      <c r="R38" s="317">
        <f>'FREH Stock'!S256</f>
        <v>1.9498908953289869</v>
      </c>
      <c r="S38" s="317">
        <f>'FREH Stock'!T256</f>
        <v>0.56431361702324034</v>
      </c>
      <c r="T38" s="317">
        <f>'FREH Stock'!U256</f>
        <v>0.14346289387410274</v>
      </c>
      <c r="U38" s="317">
        <f>'FREH Stock'!V256</f>
        <v>3.1374872814770943E-2</v>
      </c>
      <c r="V38" s="317">
        <f>'FREH Stock'!W256</f>
        <v>5.7370701752419368E-3</v>
      </c>
      <c r="W38" s="317">
        <f>'FREH Stock'!X256</f>
        <v>8.4182105910936614E-4</v>
      </c>
      <c r="X38" s="317">
        <f>'FREH Stock'!Y256</f>
        <v>9.2903975749703856E-5</v>
      </c>
      <c r="Y38" s="317">
        <f>'FREH Stock'!Z256</f>
        <v>6.853025996668133E-6</v>
      </c>
      <c r="Z38" s="317">
        <f>'FREH Stock'!AA256</f>
        <v>2.5336003715263318E-7</v>
      </c>
      <c r="AA38" s="317">
        <f>'FREH Stock'!AB256</f>
        <v>0</v>
      </c>
      <c r="AB38" s="317">
        <f>'FREH Stock'!AC256</f>
        <v>0</v>
      </c>
      <c r="AC38" s="317">
        <f>'FREH Stock'!AD256</f>
        <v>0</v>
      </c>
      <c r="AD38" s="318">
        <f>'FREH Stock'!AE256</f>
        <v>0</v>
      </c>
    </row>
    <row r="39" spans="1:63" s="650" customFormat="1">
      <c r="A39" s="578" t="s">
        <v>204</v>
      </c>
      <c r="B39" s="316">
        <f>'FREH Stock'!C285</f>
        <v>97938.311982027619</v>
      </c>
      <c r="C39" s="317">
        <f>'FREH Stock'!D285</f>
        <v>79946.579860530677</v>
      </c>
      <c r="D39" s="317">
        <f>'FREH Stock'!E285</f>
        <v>67304.080471348498</v>
      </c>
      <c r="E39" s="317">
        <f>'FREH Stock'!F285</f>
        <v>56821.156924563584</v>
      </c>
      <c r="F39" s="317">
        <f>'FREH Stock'!G285</f>
        <v>47241.983363743675</v>
      </c>
      <c r="G39" s="317">
        <f>'FREH Stock'!H285</f>
        <v>38229.024418652654</v>
      </c>
      <c r="H39" s="317">
        <f>'FREH Stock'!I285</f>
        <v>29893.635802284316</v>
      </c>
      <c r="I39" s="317">
        <f>'FREH Stock'!J285</f>
        <v>22430.922469325309</v>
      </c>
      <c r="J39" s="317">
        <f>'FREH Stock'!K285</f>
        <v>16054.152918349875</v>
      </c>
      <c r="K39" s="317">
        <f>'FREH Stock'!L285</f>
        <v>10834.787617481736</v>
      </c>
      <c r="L39" s="317">
        <f>'FREH Stock'!M285</f>
        <v>6785.9990344877551</v>
      </c>
      <c r="M39" s="317">
        <f>'FREH Stock'!N285</f>
        <v>3849.2772628324419</v>
      </c>
      <c r="N39" s="317">
        <f>'FREH Stock'!O285</f>
        <v>1909.0494624221444</v>
      </c>
      <c r="O39" s="317">
        <f>'FREH Stock'!P285</f>
        <v>804.8258909944476</v>
      </c>
      <c r="P39" s="317">
        <f>'FREH Stock'!Q285</f>
        <v>284.49464443167597</v>
      </c>
      <c r="Q39" s="317">
        <f>'FREH Stock'!R285</f>
        <v>84.50357665973165</v>
      </c>
      <c r="R39" s="317">
        <f>'FREH Stock'!S285</f>
        <v>22.630487500789748</v>
      </c>
      <c r="S39" s="317">
        <f>'FREH Stock'!T285</f>
        <v>5.3957115785242573</v>
      </c>
      <c r="T39" s="317">
        <f>'FREH Stock'!U285</f>
        <v>1.1272600805982986</v>
      </c>
      <c r="U39" s="317">
        <f>'FREH Stock'!V285</f>
        <v>0.20211543930324147</v>
      </c>
      <c r="V39" s="317">
        <f>'FREH Stock'!W285</f>
        <v>3.0233199184347814E-2</v>
      </c>
      <c r="W39" s="317">
        <f>'FREH Stock'!X285</f>
        <v>3.6216106124128734E-3</v>
      </c>
      <c r="X39" s="317">
        <f>'FREH Stock'!Y285</f>
        <v>3.256749284268008E-4</v>
      </c>
      <c r="Y39" s="317">
        <f>'FREH Stock'!Z285</f>
        <v>1.9541022093304309E-5</v>
      </c>
      <c r="Z39" s="317">
        <f>'FREH Stock'!AA285</f>
        <v>5.8671413517598969E-7</v>
      </c>
      <c r="AA39" s="317">
        <f>'FREH Stock'!AB285</f>
        <v>0</v>
      </c>
      <c r="AB39" s="317">
        <f>'FREH Stock'!AC285</f>
        <v>0</v>
      </c>
      <c r="AC39" s="317">
        <f>'FREH Stock'!AD285</f>
        <v>0</v>
      </c>
      <c r="AD39" s="318">
        <f>'FREH Stock'!AE285</f>
        <v>0</v>
      </c>
    </row>
    <row r="40" spans="1:63" s="650" customFormat="1" ht="15.75" thickBot="1">
      <c r="A40" s="579" t="s">
        <v>205</v>
      </c>
      <c r="B40" s="321">
        <f>'FREH Stock'!C314</f>
        <v>132427.53121193568</v>
      </c>
      <c r="C40" s="322">
        <f>'FREH Stock'!D314</f>
        <v>110224.71957954459</v>
      </c>
      <c r="D40" s="322">
        <f>'FREH Stock'!E314</f>
        <v>91309.780906937362</v>
      </c>
      <c r="E40" s="322">
        <f>'FREH Stock'!F314</f>
        <v>74418.03406981747</v>
      </c>
      <c r="F40" s="322">
        <f>'FREH Stock'!G314</f>
        <v>59117.833459786481</v>
      </c>
      <c r="G40" s="322">
        <f>'FREH Stock'!H314</f>
        <v>45418.618346754338</v>
      </c>
      <c r="H40" s="322">
        <f>'FREH Stock'!I314</f>
        <v>33546.828445998122</v>
      </c>
      <c r="I40" s="322">
        <f>'FREH Stock'!J314</f>
        <v>23679.452321292822</v>
      </c>
      <c r="J40" s="322">
        <f>'FREH Stock'!K314</f>
        <v>15912.526949948035</v>
      </c>
      <c r="K40" s="322">
        <f>'FREH Stock'!L314</f>
        <v>10164.843356099807</v>
      </c>
      <c r="L40" s="322">
        <f>'FREH Stock'!M314</f>
        <v>6162.9834846984177</v>
      </c>
      <c r="M40" s="322">
        <f>'FREH Stock'!N314</f>
        <v>3516.7835665020011</v>
      </c>
      <c r="N40" s="322">
        <f>'FREH Stock'!O314</f>
        <v>1860.1506312738697</v>
      </c>
      <c r="O40" s="322">
        <f>'FREH Stock'!P314</f>
        <v>901.52240636204465</v>
      </c>
      <c r="P40" s="322">
        <f>'FREH Stock'!Q314</f>
        <v>396.78281836239665</v>
      </c>
      <c r="Q40" s="322">
        <f>'FREH Stock'!R314</f>
        <v>159.0467237361533</v>
      </c>
      <c r="R40" s="322">
        <f>'FREH Stock'!S314</f>
        <v>57.893845167039224</v>
      </c>
      <c r="S40" s="322">
        <f>'FREH Stock'!T314</f>
        <v>18.876145986740248</v>
      </c>
      <c r="T40" s="322">
        <f>'FREH Stock'!U314</f>
        <v>5.4198065032056162</v>
      </c>
      <c r="U40" s="322">
        <f>'FREH Stock'!V314</f>
        <v>1.3408967058660568</v>
      </c>
      <c r="V40" s="322">
        <f>'FREH Stock'!W314</f>
        <v>0.27764430648732719</v>
      </c>
      <c r="W40" s="322">
        <f>'FREH Stock'!X314</f>
        <v>4.6151852728322867E-2</v>
      </c>
      <c r="X40" s="322">
        <f>'FREH Stock'!Y314</f>
        <v>5.7703592251484546E-3</v>
      </c>
      <c r="Y40" s="322">
        <f>'FREH Stock'!Z314</f>
        <v>4.8216064443354676E-4</v>
      </c>
      <c r="Z40" s="322">
        <f>'FREH Stock'!AA314</f>
        <v>2.0188543936478962E-5</v>
      </c>
      <c r="AA40" s="322">
        <f>'FREH Stock'!AB314</f>
        <v>0</v>
      </c>
      <c r="AB40" s="322">
        <f>'FREH Stock'!AC314</f>
        <v>0</v>
      </c>
      <c r="AC40" s="322">
        <f>'FREH Stock'!AD314</f>
        <v>0</v>
      </c>
      <c r="AD40" s="323">
        <f>'FREH Stock'!AE314</f>
        <v>0</v>
      </c>
    </row>
    <row r="41" spans="1:63" s="650" customFormat="1">
      <c r="A41" s="948"/>
      <c r="B41" s="947"/>
      <c r="C41" s="947"/>
      <c r="D41" s="947"/>
      <c r="E41" s="947"/>
      <c r="F41" s="947"/>
      <c r="G41" s="947"/>
      <c r="H41" s="947"/>
      <c r="I41" s="947"/>
      <c r="J41" s="947"/>
      <c r="K41" s="947"/>
      <c r="L41" s="947"/>
      <c r="M41" s="947"/>
      <c r="N41" s="947"/>
      <c r="O41" s="947"/>
      <c r="P41" s="947"/>
      <c r="Q41" s="947"/>
      <c r="R41" s="947"/>
      <c r="S41" s="947"/>
      <c r="T41" s="947"/>
      <c r="U41" s="947"/>
      <c r="V41" s="947"/>
      <c r="W41" s="947"/>
      <c r="X41" s="947"/>
      <c r="Y41" s="947"/>
      <c r="Z41" s="947"/>
      <c r="AA41" s="947"/>
      <c r="AB41" s="947"/>
      <c r="AC41" s="947"/>
      <c r="AD41" s="947"/>
    </row>
    <row r="42" spans="1:63" s="650" customFormat="1" ht="15.75" thickBot="1">
      <c r="A42" s="650" t="s">
        <v>1097</v>
      </c>
      <c r="AG42" t="s">
        <v>1098</v>
      </c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</row>
    <row r="43" spans="1:63" ht="15.75" customHeight="1" thickBot="1">
      <c r="A43" s="1710" t="s">
        <v>197</v>
      </c>
      <c r="B43" s="169" t="s">
        <v>10</v>
      </c>
      <c r="C43" s="288">
        <v>2012</v>
      </c>
      <c r="D43" s="347">
        <v>2013</v>
      </c>
      <c r="E43" s="347">
        <v>2014</v>
      </c>
      <c r="F43" s="288">
        <v>2015</v>
      </c>
      <c r="G43" s="347">
        <v>2016</v>
      </c>
      <c r="H43" s="347">
        <v>2017</v>
      </c>
      <c r="I43" s="288">
        <v>2018</v>
      </c>
      <c r="J43" s="347">
        <v>2019</v>
      </c>
      <c r="K43" s="347">
        <v>2020</v>
      </c>
      <c r="L43" s="288">
        <v>2021</v>
      </c>
      <c r="M43" s="347">
        <v>2022</v>
      </c>
      <c r="N43" s="347">
        <v>2023</v>
      </c>
      <c r="O43" s="288">
        <v>2024</v>
      </c>
      <c r="P43" s="347">
        <v>2025</v>
      </c>
      <c r="Q43" s="347">
        <v>2026</v>
      </c>
      <c r="R43" s="288">
        <v>2027</v>
      </c>
      <c r="S43" s="347">
        <v>2028</v>
      </c>
      <c r="T43" s="347">
        <v>2029</v>
      </c>
      <c r="U43" s="288">
        <v>2030</v>
      </c>
      <c r="V43" s="347">
        <v>2031</v>
      </c>
      <c r="W43" s="347">
        <v>2032</v>
      </c>
      <c r="X43" s="288">
        <v>2033</v>
      </c>
      <c r="Y43" s="347">
        <v>2034</v>
      </c>
      <c r="Z43" s="347">
        <v>2035</v>
      </c>
      <c r="AA43" s="288">
        <v>2036</v>
      </c>
      <c r="AB43" s="347">
        <v>2037</v>
      </c>
      <c r="AC43" s="347">
        <v>2038</v>
      </c>
      <c r="AD43" s="288">
        <v>2039</v>
      </c>
      <c r="AE43" s="348">
        <v>2040</v>
      </c>
      <c r="AG43" s="1710" t="s">
        <v>197</v>
      </c>
      <c r="AH43" s="169" t="s">
        <v>10</v>
      </c>
      <c r="AI43" s="288">
        <v>2012</v>
      </c>
      <c r="AJ43" s="347">
        <v>2013</v>
      </c>
      <c r="AK43" s="347">
        <v>2014</v>
      </c>
      <c r="AL43" s="288">
        <v>2015</v>
      </c>
      <c r="AM43" s="347">
        <v>2016</v>
      </c>
      <c r="AN43" s="347">
        <v>2017</v>
      </c>
      <c r="AO43" s="288">
        <v>2018</v>
      </c>
      <c r="AP43" s="347">
        <v>2019</v>
      </c>
      <c r="AQ43" s="347">
        <v>2020</v>
      </c>
      <c r="AR43" s="288">
        <v>2021</v>
      </c>
      <c r="AS43" s="347">
        <v>2022</v>
      </c>
      <c r="AT43" s="347">
        <v>2023</v>
      </c>
      <c r="AU43" s="288">
        <v>2024</v>
      </c>
      <c r="AV43" s="347">
        <v>2025</v>
      </c>
      <c r="AW43" s="347">
        <v>2026</v>
      </c>
      <c r="AX43" s="288">
        <v>2027</v>
      </c>
      <c r="AY43" s="347">
        <v>2028</v>
      </c>
      <c r="AZ43" s="347">
        <v>2029</v>
      </c>
      <c r="BA43" s="288">
        <v>2030</v>
      </c>
      <c r="BB43" s="347">
        <v>2031</v>
      </c>
      <c r="BC43" s="347">
        <v>2032</v>
      </c>
      <c r="BD43" s="288">
        <v>2033</v>
      </c>
      <c r="BE43" s="347">
        <v>2034</v>
      </c>
      <c r="BF43" s="347">
        <v>2035</v>
      </c>
      <c r="BG43" s="288">
        <v>2036</v>
      </c>
      <c r="BH43" s="347">
        <v>2037</v>
      </c>
      <c r="BI43" s="347">
        <v>2038</v>
      </c>
      <c r="BJ43" s="288">
        <v>2039</v>
      </c>
      <c r="BK43" s="348">
        <v>2040</v>
      </c>
    </row>
    <row r="44" spans="1:63">
      <c r="A44" s="1711"/>
      <c r="B44" s="116">
        <v>0</v>
      </c>
      <c r="C44" s="487">
        <f t="shared" ref="C44:C49" si="6">B6</f>
        <v>5486.2632412169378</v>
      </c>
      <c r="D44" s="292">
        <f>C44</f>
        <v>5486.2632412169378</v>
      </c>
      <c r="E44" s="292">
        <f t="shared" ref="E44:AE50" si="7">D44</f>
        <v>5486.2632412169378</v>
      </c>
      <c r="F44" s="292">
        <f t="shared" si="7"/>
        <v>5486.2632412169378</v>
      </c>
      <c r="G44" s="292">
        <f t="shared" si="7"/>
        <v>5486.2632412169378</v>
      </c>
      <c r="H44" s="292">
        <f t="shared" si="7"/>
        <v>5486.2632412169378</v>
      </c>
      <c r="I44" s="292">
        <f t="shared" si="7"/>
        <v>5486.2632412169378</v>
      </c>
      <c r="J44" s="292">
        <f t="shared" si="7"/>
        <v>5486.2632412169378</v>
      </c>
      <c r="K44" s="292">
        <f t="shared" si="7"/>
        <v>5486.2632412169378</v>
      </c>
      <c r="L44" s="292">
        <f t="shared" si="7"/>
        <v>5486.2632412169378</v>
      </c>
      <c r="M44" s="292">
        <f t="shared" si="7"/>
        <v>5486.2632412169378</v>
      </c>
      <c r="N44" s="292">
        <f t="shared" si="7"/>
        <v>5486.2632412169378</v>
      </c>
      <c r="O44" s="292">
        <f t="shared" si="7"/>
        <v>5486.2632412169378</v>
      </c>
      <c r="P44" s="292">
        <f t="shared" si="7"/>
        <v>5486.2632412169378</v>
      </c>
      <c r="Q44" s="292">
        <f t="shared" si="7"/>
        <v>5486.2632412169378</v>
      </c>
      <c r="R44" s="292">
        <f t="shared" si="7"/>
        <v>5486.2632412169378</v>
      </c>
      <c r="S44" s="292">
        <f t="shared" si="7"/>
        <v>5486.2632412169378</v>
      </c>
      <c r="T44" s="292">
        <f t="shared" si="7"/>
        <v>5486.2632412169378</v>
      </c>
      <c r="U44" s="292">
        <f t="shared" si="7"/>
        <v>5486.2632412169378</v>
      </c>
      <c r="V44" s="292">
        <f t="shared" si="7"/>
        <v>5486.2632412169378</v>
      </c>
      <c r="W44" s="292">
        <f t="shared" si="7"/>
        <v>5486.2632412169378</v>
      </c>
      <c r="X44" s="292">
        <f t="shared" si="7"/>
        <v>5486.2632412169378</v>
      </c>
      <c r="Y44" s="292">
        <f t="shared" si="7"/>
        <v>5486.2632412169378</v>
      </c>
      <c r="Z44" s="292">
        <f t="shared" si="7"/>
        <v>5486.2632412169378</v>
      </c>
      <c r="AA44" s="292">
        <f t="shared" si="7"/>
        <v>5486.2632412169378</v>
      </c>
      <c r="AB44" s="292">
        <f t="shared" si="7"/>
        <v>5486.2632412169378</v>
      </c>
      <c r="AC44" s="292">
        <f t="shared" si="7"/>
        <v>5486.2632412169378</v>
      </c>
      <c r="AD44" s="292">
        <f t="shared" si="7"/>
        <v>5486.2632412169378</v>
      </c>
      <c r="AE44" s="293">
        <f t="shared" si="7"/>
        <v>5486.2632412169378</v>
      </c>
      <c r="AG44" s="1711"/>
      <c r="AH44" s="116">
        <v>0</v>
      </c>
      <c r="AI44" s="291">
        <f>'FREH LGV vkm'!C44*'FREH Stock'!C56</f>
        <v>0</v>
      </c>
      <c r="AJ44" s="292">
        <f>'FREH LGV vkm'!D44*'FREH Stock'!D56</f>
        <v>0</v>
      </c>
      <c r="AK44" s="292">
        <f>'FREH LGV vkm'!E44*'FREH Stock'!E56</f>
        <v>0</v>
      </c>
      <c r="AL44" s="292">
        <f>'FREH LGV vkm'!F44*'FREH Stock'!F56</f>
        <v>0</v>
      </c>
      <c r="AM44" s="292">
        <f>'FREH LGV vkm'!G44*'FREH Stock'!G56</f>
        <v>0</v>
      </c>
      <c r="AN44" s="292">
        <f>'FREH LGV vkm'!H44*'FREH Stock'!H56</f>
        <v>0</v>
      </c>
      <c r="AO44" s="292">
        <f>'FREH LGV vkm'!I44*'FREH Stock'!I56</f>
        <v>0</v>
      </c>
      <c r="AP44" s="292">
        <f>'FREH LGV vkm'!J44*'FREH Stock'!J56</f>
        <v>0</v>
      </c>
      <c r="AQ44" s="292">
        <f>'FREH LGV vkm'!K44*'FREH Stock'!K56</f>
        <v>0</v>
      </c>
      <c r="AR44" s="292">
        <f>'FREH LGV vkm'!L44*'FREH Stock'!L56</f>
        <v>0</v>
      </c>
      <c r="AS44" s="292">
        <f>'FREH LGV vkm'!M44*'FREH Stock'!M56</f>
        <v>0</v>
      </c>
      <c r="AT44" s="292">
        <f>'FREH LGV vkm'!N44*'FREH Stock'!N56</f>
        <v>0</v>
      </c>
      <c r="AU44" s="292">
        <f>'FREH LGV vkm'!O44*'FREH Stock'!O56</f>
        <v>0</v>
      </c>
      <c r="AV44" s="292">
        <f>'FREH LGV vkm'!P44*'FREH Stock'!P56</f>
        <v>0</v>
      </c>
      <c r="AW44" s="292">
        <f>'FREH LGV vkm'!Q44*'FREH Stock'!Q56</f>
        <v>0</v>
      </c>
      <c r="AX44" s="292">
        <f>'FREH LGV vkm'!R44*'FREH Stock'!R56</f>
        <v>0</v>
      </c>
      <c r="AY44" s="292">
        <f>'FREH LGV vkm'!S44*'FREH Stock'!S56</f>
        <v>0</v>
      </c>
      <c r="AZ44" s="292">
        <f>'FREH LGV vkm'!T44*'FREH Stock'!T56</f>
        <v>0</v>
      </c>
      <c r="BA44" s="292">
        <f>'FREH LGV vkm'!U44*'FREH Stock'!U56</f>
        <v>0</v>
      </c>
      <c r="BB44" s="292">
        <f>'FREH LGV vkm'!V44*'FREH Stock'!V56</f>
        <v>0</v>
      </c>
      <c r="BC44" s="292">
        <f>'FREH LGV vkm'!W44*'FREH Stock'!W56</f>
        <v>0</v>
      </c>
      <c r="BD44" s="292">
        <f>'FREH LGV vkm'!X44*'FREH Stock'!X56</f>
        <v>0</v>
      </c>
      <c r="BE44" s="292">
        <f>'FREH LGV vkm'!Y44*'FREH Stock'!Y56</f>
        <v>0</v>
      </c>
      <c r="BF44" s="292">
        <f>'FREH LGV vkm'!Z44*'FREH Stock'!Z56</f>
        <v>0</v>
      </c>
      <c r="BG44" s="292">
        <f>'FREH LGV vkm'!AA44*'FREH Stock'!AA56</f>
        <v>0</v>
      </c>
      <c r="BH44" s="292">
        <f>'FREH LGV vkm'!AB44*'FREH Stock'!AB56</f>
        <v>0</v>
      </c>
      <c r="BI44" s="292">
        <f>'FREH LGV vkm'!AC44*'FREH Stock'!AC56</f>
        <v>0</v>
      </c>
      <c r="BJ44" s="292">
        <f>'FREH LGV vkm'!AD44*'FREH Stock'!AD56</f>
        <v>0</v>
      </c>
      <c r="BK44" s="293">
        <f>'FREH LGV vkm'!AE44*'FREH Stock'!AE56</f>
        <v>0</v>
      </c>
    </row>
    <row r="45" spans="1:63">
      <c r="A45" s="1711"/>
      <c r="B45" s="116">
        <v>1</v>
      </c>
      <c r="C45" s="294">
        <f t="shared" si="6"/>
        <v>5510.2907469777174</v>
      </c>
      <c r="D45" s="295">
        <f>C45</f>
        <v>5510.2907469777174</v>
      </c>
      <c r="E45" s="295">
        <f t="shared" si="7"/>
        <v>5510.2907469777174</v>
      </c>
      <c r="F45" s="295">
        <f t="shared" si="7"/>
        <v>5510.2907469777174</v>
      </c>
      <c r="G45" s="295">
        <f t="shared" si="7"/>
        <v>5510.2907469777174</v>
      </c>
      <c r="H45" s="295">
        <f t="shared" si="7"/>
        <v>5510.2907469777174</v>
      </c>
      <c r="I45" s="295">
        <f t="shared" si="7"/>
        <v>5510.2907469777174</v>
      </c>
      <c r="J45" s="295">
        <f t="shared" si="7"/>
        <v>5510.2907469777174</v>
      </c>
      <c r="K45" s="295">
        <f t="shared" si="7"/>
        <v>5510.2907469777174</v>
      </c>
      <c r="L45" s="295">
        <f t="shared" si="7"/>
        <v>5510.2907469777174</v>
      </c>
      <c r="M45" s="295">
        <f t="shared" si="7"/>
        <v>5510.2907469777174</v>
      </c>
      <c r="N45" s="295">
        <f t="shared" si="7"/>
        <v>5510.2907469777174</v>
      </c>
      <c r="O45" s="295">
        <f t="shared" si="7"/>
        <v>5510.2907469777174</v>
      </c>
      <c r="P45" s="295">
        <f t="shared" si="7"/>
        <v>5510.2907469777174</v>
      </c>
      <c r="Q45" s="295">
        <f t="shared" si="7"/>
        <v>5510.2907469777174</v>
      </c>
      <c r="R45" s="295">
        <f t="shared" si="7"/>
        <v>5510.2907469777174</v>
      </c>
      <c r="S45" s="295">
        <f t="shared" si="7"/>
        <v>5510.2907469777174</v>
      </c>
      <c r="T45" s="295">
        <f t="shared" si="7"/>
        <v>5510.2907469777174</v>
      </c>
      <c r="U45" s="295">
        <f t="shared" si="7"/>
        <v>5510.2907469777174</v>
      </c>
      <c r="V45" s="295">
        <f t="shared" si="7"/>
        <v>5510.2907469777174</v>
      </c>
      <c r="W45" s="295">
        <f t="shared" si="7"/>
        <v>5510.2907469777174</v>
      </c>
      <c r="X45" s="295">
        <f t="shared" si="7"/>
        <v>5510.2907469777174</v>
      </c>
      <c r="Y45" s="295">
        <f t="shared" si="7"/>
        <v>5510.2907469777174</v>
      </c>
      <c r="Z45" s="295">
        <f t="shared" si="7"/>
        <v>5510.2907469777174</v>
      </c>
      <c r="AA45" s="295">
        <f t="shared" si="7"/>
        <v>5510.2907469777174</v>
      </c>
      <c r="AB45" s="295">
        <f t="shared" si="7"/>
        <v>5510.2907469777174</v>
      </c>
      <c r="AC45" s="295">
        <f t="shared" si="7"/>
        <v>5510.2907469777174</v>
      </c>
      <c r="AD45" s="295">
        <f t="shared" si="7"/>
        <v>5510.2907469777174</v>
      </c>
      <c r="AE45" s="296">
        <f t="shared" si="7"/>
        <v>5510.2907469777174</v>
      </c>
      <c r="AG45" s="1711"/>
      <c r="AH45" s="116">
        <v>1</v>
      </c>
      <c r="AI45" s="294">
        <f>'FREH LGV vkm'!C45*'FREH Stock'!C57</f>
        <v>0</v>
      </c>
      <c r="AJ45" s="295">
        <f>'FREH LGV vkm'!D45*'FREH Stock'!D57</f>
        <v>0</v>
      </c>
      <c r="AK45" s="295">
        <f>'FREH LGV vkm'!E45*'FREH Stock'!E57</f>
        <v>0</v>
      </c>
      <c r="AL45" s="295">
        <f>'FREH LGV vkm'!F45*'FREH Stock'!F57</f>
        <v>0</v>
      </c>
      <c r="AM45" s="295">
        <f>'FREH LGV vkm'!G45*'FREH Stock'!G57</f>
        <v>0</v>
      </c>
      <c r="AN45" s="295">
        <f>'FREH LGV vkm'!H45*'FREH Stock'!H57</f>
        <v>0</v>
      </c>
      <c r="AO45" s="295">
        <f>'FREH LGV vkm'!I45*'FREH Stock'!I57</f>
        <v>0</v>
      </c>
      <c r="AP45" s="295">
        <f>'FREH LGV vkm'!J45*'FREH Stock'!J57</f>
        <v>0</v>
      </c>
      <c r="AQ45" s="295">
        <f>'FREH LGV vkm'!K45*'FREH Stock'!K57</f>
        <v>0</v>
      </c>
      <c r="AR45" s="295">
        <f>'FREH LGV vkm'!L45*'FREH Stock'!L57</f>
        <v>0</v>
      </c>
      <c r="AS45" s="295">
        <f>'FREH LGV vkm'!M45*'FREH Stock'!M57</f>
        <v>0</v>
      </c>
      <c r="AT45" s="295">
        <f>'FREH LGV vkm'!N45*'FREH Stock'!N57</f>
        <v>0</v>
      </c>
      <c r="AU45" s="295">
        <f>'FREH LGV vkm'!O45*'FREH Stock'!O57</f>
        <v>0</v>
      </c>
      <c r="AV45" s="295">
        <f>'FREH LGV vkm'!P45*'FREH Stock'!P57</f>
        <v>0</v>
      </c>
      <c r="AW45" s="295">
        <f>'FREH LGV vkm'!Q45*'FREH Stock'!Q57</f>
        <v>0</v>
      </c>
      <c r="AX45" s="295">
        <f>'FREH LGV vkm'!R45*'FREH Stock'!R57</f>
        <v>0</v>
      </c>
      <c r="AY45" s="295">
        <f>'FREH LGV vkm'!S45*'FREH Stock'!S57</f>
        <v>0</v>
      </c>
      <c r="AZ45" s="295">
        <f>'FREH LGV vkm'!T45*'FREH Stock'!T57</f>
        <v>0</v>
      </c>
      <c r="BA45" s="295">
        <f>'FREH LGV vkm'!U45*'FREH Stock'!U57</f>
        <v>0</v>
      </c>
      <c r="BB45" s="295">
        <f>'FREH LGV vkm'!V45*'FREH Stock'!V57</f>
        <v>0</v>
      </c>
      <c r="BC45" s="295">
        <f>'FREH LGV vkm'!W45*'FREH Stock'!W57</f>
        <v>0</v>
      </c>
      <c r="BD45" s="295">
        <f>'FREH LGV vkm'!X45*'FREH Stock'!X57</f>
        <v>0</v>
      </c>
      <c r="BE45" s="295">
        <f>'FREH LGV vkm'!Y45*'FREH Stock'!Y57</f>
        <v>0</v>
      </c>
      <c r="BF45" s="295">
        <f>'FREH LGV vkm'!Z45*'FREH Stock'!Z57</f>
        <v>0</v>
      </c>
      <c r="BG45" s="295">
        <f>'FREH LGV vkm'!AA45*'FREH Stock'!AA57</f>
        <v>0</v>
      </c>
      <c r="BH45" s="295">
        <f>'FREH LGV vkm'!AB45*'FREH Stock'!AB57</f>
        <v>0</v>
      </c>
      <c r="BI45" s="295">
        <f>'FREH LGV vkm'!AC45*'FREH Stock'!AC57</f>
        <v>0</v>
      </c>
      <c r="BJ45" s="295">
        <f>'FREH LGV vkm'!AD45*'FREH Stock'!AD57</f>
        <v>0</v>
      </c>
      <c r="BK45" s="296">
        <f>'FREH LGV vkm'!AE45*'FREH Stock'!AE57</f>
        <v>0</v>
      </c>
    </row>
    <row r="46" spans="1:63">
      <c r="A46" s="1711"/>
      <c r="B46" s="116">
        <v>2</v>
      </c>
      <c r="C46" s="294">
        <f t="shared" si="6"/>
        <v>6919.9412708285363</v>
      </c>
      <c r="D46" s="295">
        <f t="shared" ref="D46:S50" si="8">C46</f>
        <v>6919.9412708285363</v>
      </c>
      <c r="E46" s="295">
        <f t="shared" si="8"/>
        <v>6919.9412708285363</v>
      </c>
      <c r="F46" s="295">
        <f t="shared" si="8"/>
        <v>6919.9412708285363</v>
      </c>
      <c r="G46" s="295">
        <f t="shared" si="8"/>
        <v>6919.9412708285363</v>
      </c>
      <c r="H46" s="295">
        <f t="shared" si="8"/>
        <v>6919.9412708285363</v>
      </c>
      <c r="I46" s="295">
        <f t="shared" si="8"/>
        <v>6919.9412708285363</v>
      </c>
      <c r="J46" s="295">
        <f t="shared" si="8"/>
        <v>6919.9412708285363</v>
      </c>
      <c r="K46" s="295">
        <f t="shared" si="8"/>
        <v>6919.9412708285363</v>
      </c>
      <c r="L46" s="295">
        <f t="shared" si="8"/>
        <v>6919.9412708285363</v>
      </c>
      <c r="M46" s="295">
        <f t="shared" si="8"/>
        <v>6919.9412708285363</v>
      </c>
      <c r="N46" s="295">
        <f t="shared" si="8"/>
        <v>6919.9412708285363</v>
      </c>
      <c r="O46" s="295">
        <f t="shared" si="8"/>
        <v>6919.9412708285363</v>
      </c>
      <c r="P46" s="295">
        <f t="shared" si="8"/>
        <v>6919.9412708285363</v>
      </c>
      <c r="Q46" s="295">
        <f t="shared" si="8"/>
        <v>6919.9412708285363</v>
      </c>
      <c r="R46" s="295">
        <f t="shared" si="8"/>
        <v>6919.9412708285363</v>
      </c>
      <c r="S46" s="295">
        <f t="shared" si="8"/>
        <v>6919.9412708285363</v>
      </c>
      <c r="T46" s="295">
        <f t="shared" si="7"/>
        <v>6919.9412708285363</v>
      </c>
      <c r="U46" s="295">
        <f t="shared" si="7"/>
        <v>6919.9412708285363</v>
      </c>
      <c r="V46" s="295">
        <f t="shared" si="7"/>
        <v>6919.9412708285363</v>
      </c>
      <c r="W46" s="295">
        <f t="shared" si="7"/>
        <v>6919.9412708285363</v>
      </c>
      <c r="X46" s="295">
        <f t="shared" si="7"/>
        <v>6919.9412708285363</v>
      </c>
      <c r="Y46" s="295">
        <f t="shared" si="7"/>
        <v>6919.9412708285363</v>
      </c>
      <c r="Z46" s="295">
        <f t="shared" si="7"/>
        <v>6919.9412708285363</v>
      </c>
      <c r="AA46" s="295">
        <f t="shared" si="7"/>
        <v>6919.9412708285363</v>
      </c>
      <c r="AB46" s="295">
        <f t="shared" si="7"/>
        <v>6919.9412708285363</v>
      </c>
      <c r="AC46" s="295">
        <f t="shared" si="7"/>
        <v>6919.9412708285363</v>
      </c>
      <c r="AD46" s="295">
        <f t="shared" si="7"/>
        <v>6919.9412708285363</v>
      </c>
      <c r="AE46" s="296">
        <f t="shared" si="7"/>
        <v>6919.9412708285363</v>
      </c>
      <c r="AG46" s="1711"/>
      <c r="AH46" s="116">
        <v>2</v>
      </c>
      <c r="AI46" s="294">
        <f>'FREH LGV vkm'!C46*'FREH Stock'!C58</f>
        <v>13839.882541657073</v>
      </c>
      <c r="AJ46" s="295">
        <f>'FREH LGV vkm'!D46*'FREH Stock'!D58</f>
        <v>0</v>
      </c>
      <c r="AK46" s="295">
        <f>'FREH LGV vkm'!E46*'FREH Stock'!E58</f>
        <v>0</v>
      </c>
      <c r="AL46" s="295">
        <f>'FREH LGV vkm'!F46*'FREH Stock'!F58</f>
        <v>0</v>
      </c>
      <c r="AM46" s="295">
        <f>'FREH LGV vkm'!G46*'FREH Stock'!G58</f>
        <v>0</v>
      </c>
      <c r="AN46" s="295">
        <f>'FREH LGV vkm'!H46*'FREH Stock'!H58</f>
        <v>0</v>
      </c>
      <c r="AO46" s="295">
        <f>'FREH LGV vkm'!I46*'FREH Stock'!I58</f>
        <v>0</v>
      </c>
      <c r="AP46" s="295">
        <f>'FREH LGV vkm'!J46*'FREH Stock'!J58</f>
        <v>0</v>
      </c>
      <c r="AQ46" s="295">
        <f>'FREH LGV vkm'!K46*'FREH Stock'!K58</f>
        <v>0</v>
      </c>
      <c r="AR46" s="295">
        <f>'FREH LGV vkm'!L46*'FREH Stock'!L58</f>
        <v>0</v>
      </c>
      <c r="AS46" s="295">
        <f>'FREH LGV vkm'!M46*'FREH Stock'!M58</f>
        <v>0</v>
      </c>
      <c r="AT46" s="295">
        <f>'FREH LGV vkm'!N46*'FREH Stock'!N58</f>
        <v>0</v>
      </c>
      <c r="AU46" s="295">
        <f>'FREH LGV vkm'!O46*'FREH Stock'!O58</f>
        <v>0</v>
      </c>
      <c r="AV46" s="295">
        <f>'FREH LGV vkm'!P46*'FREH Stock'!P58</f>
        <v>0</v>
      </c>
      <c r="AW46" s="295">
        <f>'FREH LGV vkm'!Q46*'FREH Stock'!Q58</f>
        <v>0</v>
      </c>
      <c r="AX46" s="295">
        <f>'FREH LGV vkm'!R46*'FREH Stock'!R58</f>
        <v>0</v>
      </c>
      <c r="AY46" s="295">
        <f>'FREH LGV vkm'!S46*'FREH Stock'!S58</f>
        <v>0</v>
      </c>
      <c r="AZ46" s="295">
        <f>'FREH LGV vkm'!T46*'FREH Stock'!T58</f>
        <v>0</v>
      </c>
      <c r="BA46" s="295">
        <f>'FREH LGV vkm'!U46*'FREH Stock'!U58</f>
        <v>0</v>
      </c>
      <c r="BB46" s="295">
        <f>'FREH LGV vkm'!V46*'FREH Stock'!V58</f>
        <v>0</v>
      </c>
      <c r="BC46" s="295">
        <f>'FREH LGV vkm'!W46*'FREH Stock'!W58</f>
        <v>0</v>
      </c>
      <c r="BD46" s="295">
        <f>'FREH LGV vkm'!X46*'FREH Stock'!X58</f>
        <v>0</v>
      </c>
      <c r="BE46" s="295">
        <f>'FREH LGV vkm'!Y46*'FREH Stock'!Y58</f>
        <v>0</v>
      </c>
      <c r="BF46" s="295">
        <f>'FREH LGV vkm'!Z46*'FREH Stock'!Z58</f>
        <v>0</v>
      </c>
      <c r="BG46" s="295">
        <f>'FREH LGV vkm'!AA46*'FREH Stock'!AA58</f>
        <v>0</v>
      </c>
      <c r="BH46" s="295">
        <f>'FREH LGV vkm'!AB46*'FREH Stock'!AB58</f>
        <v>0</v>
      </c>
      <c r="BI46" s="295">
        <f>'FREH LGV vkm'!AC46*'FREH Stock'!AC58</f>
        <v>0</v>
      </c>
      <c r="BJ46" s="295">
        <f>'FREH LGV vkm'!AD46*'FREH Stock'!AD58</f>
        <v>0</v>
      </c>
      <c r="BK46" s="296">
        <f>'FREH LGV vkm'!AE46*'FREH Stock'!AE58</f>
        <v>0</v>
      </c>
    </row>
    <row r="47" spans="1:63">
      <c r="A47" s="1711"/>
      <c r="B47" s="116">
        <v>3</v>
      </c>
      <c r="C47" s="294">
        <f t="shared" si="6"/>
        <v>842.90389616408117</v>
      </c>
      <c r="D47" s="295">
        <f t="shared" si="8"/>
        <v>842.90389616408117</v>
      </c>
      <c r="E47" s="295">
        <f t="shared" si="7"/>
        <v>842.90389616408117</v>
      </c>
      <c r="F47" s="295">
        <f t="shared" si="7"/>
        <v>842.90389616408117</v>
      </c>
      <c r="G47" s="295">
        <f t="shared" si="7"/>
        <v>842.90389616408117</v>
      </c>
      <c r="H47" s="295">
        <f t="shared" si="7"/>
        <v>842.90389616408117</v>
      </c>
      <c r="I47" s="295">
        <f t="shared" si="7"/>
        <v>842.90389616408117</v>
      </c>
      <c r="J47" s="295">
        <f t="shared" si="7"/>
        <v>842.90389616408117</v>
      </c>
      <c r="K47" s="295">
        <f t="shared" si="7"/>
        <v>842.90389616408117</v>
      </c>
      <c r="L47" s="295">
        <f t="shared" si="7"/>
        <v>842.90389616408117</v>
      </c>
      <c r="M47" s="295">
        <f t="shared" si="7"/>
        <v>842.90389616408117</v>
      </c>
      <c r="N47" s="295">
        <f t="shared" si="7"/>
        <v>842.90389616408117</v>
      </c>
      <c r="O47" s="295">
        <f t="shared" si="7"/>
        <v>842.90389616408117</v>
      </c>
      <c r="P47" s="295">
        <f t="shared" si="7"/>
        <v>842.90389616408117</v>
      </c>
      <c r="Q47" s="295">
        <f t="shared" si="7"/>
        <v>842.90389616408117</v>
      </c>
      <c r="R47" s="295">
        <f t="shared" si="7"/>
        <v>842.90389616408117</v>
      </c>
      <c r="S47" s="295">
        <f t="shared" si="7"/>
        <v>842.90389616408117</v>
      </c>
      <c r="T47" s="295">
        <f t="shared" si="7"/>
        <v>842.90389616408117</v>
      </c>
      <c r="U47" s="295">
        <f t="shared" si="7"/>
        <v>842.90389616408117</v>
      </c>
      <c r="V47" s="295">
        <f t="shared" si="7"/>
        <v>842.90389616408117</v>
      </c>
      <c r="W47" s="295">
        <f t="shared" si="7"/>
        <v>842.90389616408117</v>
      </c>
      <c r="X47" s="295">
        <f t="shared" si="7"/>
        <v>842.90389616408117</v>
      </c>
      <c r="Y47" s="295">
        <f t="shared" si="7"/>
        <v>842.90389616408117</v>
      </c>
      <c r="Z47" s="295">
        <f t="shared" si="7"/>
        <v>842.90389616408117</v>
      </c>
      <c r="AA47" s="295">
        <f t="shared" si="7"/>
        <v>842.90389616408117</v>
      </c>
      <c r="AB47" s="295">
        <f t="shared" si="7"/>
        <v>842.90389616408117</v>
      </c>
      <c r="AC47" s="295">
        <f t="shared" si="7"/>
        <v>842.90389616408117</v>
      </c>
      <c r="AD47" s="295">
        <f t="shared" si="7"/>
        <v>842.90389616408117</v>
      </c>
      <c r="AE47" s="296">
        <f t="shared" si="7"/>
        <v>842.90389616408117</v>
      </c>
      <c r="AG47" s="1711"/>
      <c r="AH47" s="116">
        <v>3</v>
      </c>
      <c r="AI47" s="294">
        <f>'FREH LGV vkm'!C47*'FREH Stock'!C59</f>
        <v>2528.7116884922434</v>
      </c>
      <c r="AJ47" s="295">
        <f>'FREH LGV vkm'!D47*'FREH Stock'!D59</f>
        <v>1685.8077923281623</v>
      </c>
      <c r="AK47" s="295">
        <f>'FREH LGV vkm'!E47*'FREH Stock'!E59</f>
        <v>0</v>
      </c>
      <c r="AL47" s="295">
        <f>'FREH LGV vkm'!F47*'FREH Stock'!F59</f>
        <v>0</v>
      </c>
      <c r="AM47" s="295">
        <f>'FREH LGV vkm'!G47*'FREH Stock'!G59</f>
        <v>0</v>
      </c>
      <c r="AN47" s="295">
        <f>'FREH LGV vkm'!H47*'FREH Stock'!H59</f>
        <v>0</v>
      </c>
      <c r="AO47" s="295">
        <f>'FREH LGV vkm'!I47*'FREH Stock'!I59</f>
        <v>0</v>
      </c>
      <c r="AP47" s="295">
        <f>'FREH LGV vkm'!J47*'FREH Stock'!J59</f>
        <v>0</v>
      </c>
      <c r="AQ47" s="295">
        <f>'FREH LGV vkm'!K47*'FREH Stock'!K59</f>
        <v>0</v>
      </c>
      <c r="AR47" s="295">
        <f>'FREH LGV vkm'!L47*'FREH Stock'!L59</f>
        <v>0</v>
      </c>
      <c r="AS47" s="295">
        <f>'FREH LGV vkm'!M47*'FREH Stock'!M59</f>
        <v>0</v>
      </c>
      <c r="AT47" s="295">
        <f>'FREH LGV vkm'!N47*'FREH Stock'!N59</f>
        <v>0</v>
      </c>
      <c r="AU47" s="295">
        <f>'FREH LGV vkm'!O47*'FREH Stock'!O59</f>
        <v>0</v>
      </c>
      <c r="AV47" s="295">
        <f>'FREH LGV vkm'!P47*'FREH Stock'!P59</f>
        <v>0</v>
      </c>
      <c r="AW47" s="295">
        <f>'FREH LGV vkm'!Q47*'FREH Stock'!Q59</f>
        <v>0</v>
      </c>
      <c r="AX47" s="295">
        <f>'FREH LGV vkm'!R47*'FREH Stock'!R59</f>
        <v>0</v>
      </c>
      <c r="AY47" s="295">
        <f>'FREH LGV vkm'!S47*'FREH Stock'!S59</f>
        <v>0</v>
      </c>
      <c r="AZ47" s="295">
        <f>'FREH LGV vkm'!T47*'FREH Stock'!T59</f>
        <v>0</v>
      </c>
      <c r="BA47" s="295">
        <f>'FREH LGV vkm'!U47*'FREH Stock'!U59</f>
        <v>0</v>
      </c>
      <c r="BB47" s="295">
        <f>'FREH LGV vkm'!V47*'FREH Stock'!V59</f>
        <v>0</v>
      </c>
      <c r="BC47" s="295">
        <f>'FREH LGV vkm'!W47*'FREH Stock'!W59</f>
        <v>0</v>
      </c>
      <c r="BD47" s="295">
        <f>'FREH LGV vkm'!X47*'FREH Stock'!X59</f>
        <v>0</v>
      </c>
      <c r="BE47" s="295">
        <f>'FREH LGV vkm'!Y47*'FREH Stock'!Y59</f>
        <v>0</v>
      </c>
      <c r="BF47" s="295">
        <f>'FREH LGV vkm'!Z47*'FREH Stock'!Z59</f>
        <v>0</v>
      </c>
      <c r="BG47" s="295">
        <f>'FREH LGV vkm'!AA47*'FREH Stock'!AA59</f>
        <v>0</v>
      </c>
      <c r="BH47" s="295">
        <f>'FREH LGV vkm'!AB47*'FREH Stock'!AB59</f>
        <v>0</v>
      </c>
      <c r="BI47" s="295">
        <f>'FREH LGV vkm'!AC47*'FREH Stock'!AC59</f>
        <v>0</v>
      </c>
      <c r="BJ47" s="295">
        <f>'FREH LGV vkm'!AD47*'FREH Stock'!AD59</f>
        <v>0</v>
      </c>
      <c r="BK47" s="296">
        <f>'FREH LGV vkm'!AE47*'FREH Stock'!AE59</f>
        <v>0</v>
      </c>
    </row>
    <row r="48" spans="1:63">
      <c r="A48" s="1711"/>
      <c r="B48" s="116">
        <v>4</v>
      </c>
      <c r="C48" s="294">
        <f t="shared" si="6"/>
        <v>3837.7574130620728</v>
      </c>
      <c r="D48" s="295">
        <f t="shared" si="8"/>
        <v>3837.7574130620728</v>
      </c>
      <c r="E48" s="295">
        <f t="shared" si="7"/>
        <v>3837.7574130620728</v>
      </c>
      <c r="F48" s="295">
        <f t="shared" si="7"/>
        <v>3837.7574130620728</v>
      </c>
      <c r="G48" s="295">
        <f t="shared" si="7"/>
        <v>3837.7574130620728</v>
      </c>
      <c r="H48" s="295">
        <f t="shared" si="7"/>
        <v>3837.7574130620728</v>
      </c>
      <c r="I48" s="295">
        <f t="shared" si="7"/>
        <v>3837.7574130620728</v>
      </c>
      <c r="J48" s="295">
        <f t="shared" si="7"/>
        <v>3837.7574130620728</v>
      </c>
      <c r="K48" s="295">
        <f t="shared" si="7"/>
        <v>3837.7574130620728</v>
      </c>
      <c r="L48" s="295">
        <f t="shared" si="7"/>
        <v>3837.7574130620728</v>
      </c>
      <c r="M48" s="295">
        <f t="shared" si="7"/>
        <v>3837.7574130620728</v>
      </c>
      <c r="N48" s="295">
        <f t="shared" si="7"/>
        <v>3837.7574130620728</v>
      </c>
      <c r="O48" s="295">
        <f t="shared" si="7"/>
        <v>3837.7574130620728</v>
      </c>
      <c r="P48" s="295">
        <f t="shared" si="7"/>
        <v>3837.7574130620728</v>
      </c>
      <c r="Q48" s="295">
        <f t="shared" si="7"/>
        <v>3837.7574130620728</v>
      </c>
      <c r="R48" s="295">
        <f t="shared" si="7"/>
        <v>3837.7574130620728</v>
      </c>
      <c r="S48" s="295">
        <f t="shared" si="7"/>
        <v>3837.7574130620728</v>
      </c>
      <c r="T48" s="295">
        <f t="shared" si="7"/>
        <v>3837.7574130620728</v>
      </c>
      <c r="U48" s="295">
        <f t="shared" si="7"/>
        <v>3837.7574130620728</v>
      </c>
      <c r="V48" s="295">
        <f t="shared" si="7"/>
        <v>3837.7574130620728</v>
      </c>
      <c r="W48" s="295">
        <f t="shared" si="7"/>
        <v>3837.7574130620728</v>
      </c>
      <c r="X48" s="295">
        <f t="shared" si="7"/>
        <v>3837.7574130620728</v>
      </c>
      <c r="Y48" s="295">
        <f t="shared" si="7"/>
        <v>3837.7574130620728</v>
      </c>
      <c r="Z48" s="295">
        <f t="shared" si="7"/>
        <v>3837.7574130620728</v>
      </c>
      <c r="AA48" s="295">
        <f t="shared" si="7"/>
        <v>3837.7574130620728</v>
      </c>
      <c r="AB48" s="295">
        <f t="shared" si="7"/>
        <v>3837.7574130620728</v>
      </c>
      <c r="AC48" s="295">
        <f t="shared" si="7"/>
        <v>3837.7574130620728</v>
      </c>
      <c r="AD48" s="295">
        <f t="shared" si="7"/>
        <v>3837.7574130620728</v>
      </c>
      <c r="AE48" s="296">
        <f t="shared" si="7"/>
        <v>3837.7574130620728</v>
      </c>
      <c r="AG48" s="1711"/>
      <c r="AH48" s="116">
        <v>4</v>
      </c>
      <c r="AI48" s="294">
        <f>'FREH LGV vkm'!C48*'FREH Stock'!C60</f>
        <v>3837.7574130620728</v>
      </c>
      <c r="AJ48" s="295">
        <f>'FREH LGV vkm'!D48*'FREH Stock'!D60</f>
        <v>11513.272239186219</v>
      </c>
      <c r="AK48" s="295">
        <f>'FREH LGV vkm'!E48*'FREH Stock'!E60</f>
        <v>7675.5148261241457</v>
      </c>
      <c r="AL48" s="295">
        <f>'FREH LGV vkm'!F48*'FREH Stock'!F60</f>
        <v>0</v>
      </c>
      <c r="AM48" s="295">
        <f>'FREH LGV vkm'!G48*'FREH Stock'!G60</f>
        <v>0</v>
      </c>
      <c r="AN48" s="295">
        <f>'FREH LGV vkm'!H48*'FREH Stock'!H60</f>
        <v>0</v>
      </c>
      <c r="AO48" s="295">
        <f>'FREH LGV vkm'!I48*'FREH Stock'!I60</f>
        <v>0</v>
      </c>
      <c r="AP48" s="295">
        <f>'FREH LGV vkm'!J48*'FREH Stock'!J60</f>
        <v>0</v>
      </c>
      <c r="AQ48" s="295">
        <f>'FREH LGV vkm'!K48*'FREH Stock'!K60</f>
        <v>0</v>
      </c>
      <c r="AR48" s="295">
        <f>'FREH LGV vkm'!L48*'FREH Stock'!L60</f>
        <v>0</v>
      </c>
      <c r="AS48" s="295">
        <f>'FREH LGV vkm'!M48*'FREH Stock'!M60</f>
        <v>0</v>
      </c>
      <c r="AT48" s="295">
        <f>'FREH LGV vkm'!N48*'FREH Stock'!N60</f>
        <v>0</v>
      </c>
      <c r="AU48" s="295">
        <f>'FREH LGV vkm'!O48*'FREH Stock'!O60</f>
        <v>0</v>
      </c>
      <c r="AV48" s="295">
        <f>'FREH LGV vkm'!P48*'FREH Stock'!P60</f>
        <v>0</v>
      </c>
      <c r="AW48" s="295">
        <f>'FREH LGV vkm'!Q48*'FREH Stock'!Q60</f>
        <v>0</v>
      </c>
      <c r="AX48" s="295">
        <f>'FREH LGV vkm'!R48*'FREH Stock'!R60</f>
        <v>0</v>
      </c>
      <c r="AY48" s="295">
        <f>'FREH LGV vkm'!S48*'FREH Stock'!S60</f>
        <v>0</v>
      </c>
      <c r="AZ48" s="295">
        <f>'FREH LGV vkm'!T48*'FREH Stock'!T60</f>
        <v>0</v>
      </c>
      <c r="BA48" s="295">
        <f>'FREH LGV vkm'!U48*'FREH Stock'!U60</f>
        <v>0</v>
      </c>
      <c r="BB48" s="295">
        <f>'FREH LGV vkm'!V48*'FREH Stock'!V60</f>
        <v>0</v>
      </c>
      <c r="BC48" s="295">
        <f>'FREH LGV vkm'!W48*'FREH Stock'!W60</f>
        <v>0</v>
      </c>
      <c r="BD48" s="295">
        <f>'FREH LGV vkm'!X48*'FREH Stock'!X60</f>
        <v>0</v>
      </c>
      <c r="BE48" s="295">
        <f>'FREH LGV vkm'!Y48*'FREH Stock'!Y60</f>
        <v>0</v>
      </c>
      <c r="BF48" s="295">
        <f>'FREH LGV vkm'!Z48*'FREH Stock'!Z60</f>
        <v>0</v>
      </c>
      <c r="BG48" s="295">
        <f>'FREH LGV vkm'!AA48*'FREH Stock'!AA60</f>
        <v>0</v>
      </c>
      <c r="BH48" s="295">
        <f>'FREH LGV vkm'!AB48*'FREH Stock'!AB60</f>
        <v>0</v>
      </c>
      <c r="BI48" s="295">
        <f>'FREH LGV vkm'!AC48*'FREH Stock'!AC60</f>
        <v>0</v>
      </c>
      <c r="BJ48" s="295">
        <f>'FREH LGV vkm'!AD48*'FREH Stock'!AD60</f>
        <v>0</v>
      </c>
      <c r="BK48" s="296">
        <f>'FREH LGV vkm'!AE48*'FREH Stock'!AE60</f>
        <v>0</v>
      </c>
    </row>
    <row r="49" spans="1:63">
      <c r="A49" s="1711"/>
      <c r="B49" s="116">
        <v>5</v>
      </c>
      <c r="C49" s="294">
        <f t="shared" si="6"/>
        <v>8548.7910449492028</v>
      </c>
      <c r="D49" s="295">
        <f t="shared" si="8"/>
        <v>8548.7910449492028</v>
      </c>
      <c r="E49" s="295">
        <f t="shared" si="7"/>
        <v>8548.7910449492028</v>
      </c>
      <c r="F49" s="295">
        <f t="shared" si="7"/>
        <v>8548.7910449492028</v>
      </c>
      <c r="G49" s="295">
        <f t="shared" si="7"/>
        <v>8548.7910449492028</v>
      </c>
      <c r="H49" s="295">
        <f t="shared" si="7"/>
        <v>8548.7910449492028</v>
      </c>
      <c r="I49" s="295">
        <f t="shared" si="7"/>
        <v>8548.7910449492028</v>
      </c>
      <c r="J49" s="295">
        <f t="shared" si="7"/>
        <v>8548.7910449492028</v>
      </c>
      <c r="K49" s="295">
        <f t="shared" si="7"/>
        <v>8548.7910449492028</v>
      </c>
      <c r="L49" s="295">
        <f t="shared" si="7"/>
        <v>8548.7910449492028</v>
      </c>
      <c r="M49" s="295">
        <f t="shared" si="7"/>
        <v>8548.7910449492028</v>
      </c>
      <c r="N49" s="295">
        <f t="shared" si="7"/>
        <v>8548.7910449492028</v>
      </c>
      <c r="O49" s="295">
        <f t="shared" si="7"/>
        <v>8548.7910449492028</v>
      </c>
      <c r="P49" s="295">
        <f t="shared" si="7"/>
        <v>8548.7910449492028</v>
      </c>
      <c r="Q49" s="295">
        <f t="shared" si="7"/>
        <v>8548.7910449492028</v>
      </c>
      <c r="R49" s="295">
        <f t="shared" si="7"/>
        <v>8548.7910449492028</v>
      </c>
      <c r="S49" s="295">
        <f t="shared" si="7"/>
        <v>8548.7910449492028</v>
      </c>
      <c r="T49" s="295">
        <f t="shared" si="7"/>
        <v>8548.7910449492028</v>
      </c>
      <c r="U49" s="295">
        <f t="shared" si="7"/>
        <v>8548.7910449492028</v>
      </c>
      <c r="V49" s="295">
        <f t="shared" si="7"/>
        <v>8548.7910449492028</v>
      </c>
      <c r="W49" s="295">
        <f t="shared" si="7"/>
        <v>8548.7910449492028</v>
      </c>
      <c r="X49" s="295">
        <f t="shared" si="7"/>
        <v>8548.7910449492028</v>
      </c>
      <c r="Y49" s="295">
        <f t="shared" si="7"/>
        <v>8548.7910449492028</v>
      </c>
      <c r="Z49" s="295">
        <f t="shared" si="7"/>
        <v>8548.7910449492028</v>
      </c>
      <c r="AA49" s="295">
        <f t="shared" si="7"/>
        <v>8548.7910449492028</v>
      </c>
      <c r="AB49" s="295">
        <f t="shared" si="7"/>
        <v>8548.7910449492028</v>
      </c>
      <c r="AC49" s="295">
        <f t="shared" si="7"/>
        <v>8548.7910449492028</v>
      </c>
      <c r="AD49" s="295">
        <f t="shared" si="7"/>
        <v>8548.7910449492028</v>
      </c>
      <c r="AE49" s="296">
        <f t="shared" si="7"/>
        <v>8548.7910449492028</v>
      </c>
      <c r="AG49" s="1711"/>
      <c r="AH49" s="116">
        <v>5</v>
      </c>
      <c r="AI49" s="294">
        <f>'FREH LGV vkm'!C49*'FREH Stock'!C61</f>
        <v>8548.7910449492028</v>
      </c>
      <c r="AJ49" s="295">
        <f>'FREH LGV vkm'!D49*'FREH Stock'!D61</f>
        <v>8548.7910449492028</v>
      </c>
      <c r="AK49" s="295">
        <f>'FREH LGV vkm'!E49*'FREH Stock'!E61</f>
        <v>25646.373134847607</v>
      </c>
      <c r="AL49" s="295">
        <f>'FREH LGV vkm'!F49*'FREH Stock'!F61</f>
        <v>17097.582089898406</v>
      </c>
      <c r="AM49" s="295">
        <f>'FREH LGV vkm'!G49*'FREH Stock'!G61</f>
        <v>0</v>
      </c>
      <c r="AN49" s="295">
        <f>'FREH LGV vkm'!H49*'FREH Stock'!H61</f>
        <v>0</v>
      </c>
      <c r="AO49" s="295">
        <f>'FREH LGV vkm'!I49*'FREH Stock'!I61</f>
        <v>0</v>
      </c>
      <c r="AP49" s="295">
        <f>'FREH LGV vkm'!J49*'FREH Stock'!J61</f>
        <v>0</v>
      </c>
      <c r="AQ49" s="295">
        <f>'FREH LGV vkm'!K49*'FREH Stock'!K61</f>
        <v>0</v>
      </c>
      <c r="AR49" s="295">
        <f>'FREH LGV vkm'!L49*'FREH Stock'!L61</f>
        <v>0</v>
      </c>
      <c r="AS49" s="295">
        <f>'FREH LGV vkm'!M49*'FREH Stock'!M61</f>
        <v>0</v>
      </c>
      <c r="AT49" s="295">
        <f>'FREH LGV vkm'!N49*'FREH Stock'!N61</f>
        <v>0</v>
      </c>
      <c r="AU49" s="295">
        <f>'FREH LGV vkm'!O49*'FREH Stock'!O61</f>
        <v>0</v>
      </c>
      <c r="AV49" s="295">
        <f>'FREH LGV vkm'!P49*'FREH Stock'!P61</f>
        <v>0</v>
      </c>
      <c r="AW49" s="295">
        <f>'FREH LGV vkm'!Q49*'FREH Stock'!Q61</f>
        <v>0</v>
      </c>
      <c r="AX49" s="295">
        <f>'FREH LGV vkm'!R49*'FREH Stock'!R61</f>
        <v>0</v>
      </c>
      <c r="AY49" s="295">
        <f>'FREH LGV vkm'!S49*'FREH Stock'!S61</f>
        <v>0</v>
      </c>
      <c r="AZ49" s="295">
        <f>'FREH LGV vkm'!T49*'FREH Stock'!T61</f>
        <v>0</v>
      </c>
      <c r="BA49" s="295">
        <f>'FREH LGV vkm'!U49*'FREH Stock'!U61</f>
        <v>0</v>
      </c>
      <c r="BB49" s="295">
        <f>'FREH LGV vkm'!V49*'FREH Stock'!V61</f>
        <v>0</v>
      </c>
      <c r="BC49" s="295">
        <f>'FREH LGV vkm'!W49*'FREH Stock'!W61</f>
        <v>0</v>
      </c>
      <c r="BD49" s="295">
        <f>'FREH LGV vkm'!X49*'FREH Stock'!X61</f>
        <v>0</v>
      </c>
      <c r="BE49" s="295">
        <f>'FREH LGV vkm'!Y49*'FREH Stock'!Y61</f>
        <v>0</v>
      </c>
      <c r="BF49" s="295">
        <f>'FREH LGV vkm'!Z49*'FREH Stock'!Z61</f>
        <v>0</v>
      </c>
      <c r="BG49" s="295">
        <f>'FREH LGV vkm'!AA49*'FREH Stock'!AA61</f>
        <v>0</v>
      </c>
      <c r="BH49" s="295">
        <f>'FREH LGV vkm'!AB49*'FREH Stock'!AB61</f>
        <v>0</v>
      </c>
      <c r="BI49" s="295">
        <f>'FREH LGV vkm'!AC49*'FREH Stock'!AC61</f>
        <v>0</v>
      </c>
      <c r="BJ49" s="295">
        <f>'FREH LGV vkm'!AD49*'FREH Stock'!AD61</f>
        <v>0</v>
      </c>
      <c r="BK49" s="296">
        <f>'FREH LGV vkm'!AE49*'FREH Stock'!AE61</f>
        <v>0</v>
      </c>
    </row>
    <row r="50" spans="1:63">
      <c r="A50" s="1711"/>
      <c r="B50" s="116">
        <v>6</v>
      </c>
      <c r="C50" s="486">
        <f>SUMPRODUCT(B12:C12,'FREH Stock'!B24:C24)/SUM('FREH Stock'!B24:C24)</f>
        <v>7993.4961224031131</v>
      </c>
      <c r="D50" s="295">
        <f t="shared" si="8"/>
        <v>7993.4961224031131</v>
      </c>
      <c r="E50" s="295">
        <f t="shared" si="7"/>
        <v>7993.4961224031131</v>
      </c>
      <c r="F50" s="295">
        <f t="shared" si="7"/>
        <v>7993.4961224031131</v>
      </c>
      <c r="G50" s="295">
        <f t="shared" si="7"/>
        <v>7993.4961224031131</v>
      </c>
      <c r="H50" s="295">
        <f t="shared" si="7"/>
        <v>7993.4961224031131</v>
      </c>
      <c r="I50" s="295">
        <f t="shared" si="7"/>
        <v>7993.4961224031131</v>
      </c>
      <c r="J50" s="295">
        <f t="shared" si="7"/>
        <v>7993.4961224031131</v>
      </c>
      <c r="K50" s="295">
        <f t="shared" si="7"/>
        <v>7993.4961224031131</v>
      </c>
      <c r="L50" s="295">
        <f t="shared" si="7"/>
        <v>7993.4961224031131</v>
      </c>
      <c r="M50" s="295">
        <f t="shared" si="7"/>
        <v>7993.4961224031131</v>
      </c>
      <c r="N50" s="295">
        <f t="shared" si="7"/>
        <v>7993.4961224031131</v>
      </c>
      <c r="O50" s="295">
        <f t="shared" si="7"/>
        <v>7993.4961224031131</v>
      </c>
      <c r="P50" s="295">
        <f t="shared" si="7"/>
        <v>7993.4961224031131</v>
      </c>
      <c r="Q50" s="295">
        <f t="shared" si="7"/>
        <v>7993.4961224031131</v>
      </c>
      <c r="R50" s="295">
        <f t="shared" si="7"/>
        <v>7993.4961224031131</v>
      </c>
      <c r="S50" s="295">
        <f t="shared" si="7"/>
        <v>7993.4961224031131</v>
      </c>
      <c r="T50" s="295">
        <f t="shared" si="7"/>
        <v>7993.4961224031131</v>
      </c>
      <c r="U50" s="295">
        <f t="shared" si="7"/>
        <v>7993.4961224031131</v>
      </c>
      <c r="V50" s="295">
        <f t="shared" si="7"/>
        <v>7993.4961224031131</v>
      </c>
      <c r="W50" s="295">
        <f t="shared" si="7"/>
        <v>7993.4961224031131</v>
      </c>
      <c r="X50" s="295">
        <f t="shared" si="7"/>
        <v>7993.4961224031131</v>
      </c>
      <c r="Y50" s="295">
        <f t="shared" si="7"/>
        <v>7993.4961224031131</v>
      </c>
      <c r="Z50" s="295">
        <f t="shared" si="7"/>
        <v>7993.4961224031131</v>
      </c>
      <c r="AA50" s="295">
        <f t="shared" si="7"/>
        <v>7993.4961224031131</v>
      </c>
      <c r="AB50" s="295">
        <f t="shared" si="7"/>
        <v>7993.4961224031131</v>
      </c>
      <c r="AC50" s="295">
        <f t="shared" si="7"/>
        <v>7993.4961224031131</v>
      </c>
      <c r="AD50" s="295">
        <f t="shared" si="7"/>
        <v>7993.4961224031131</v>
      </c>
      <c r="AE50" s="296">
        <f t="shared" si="7"/>
        <v>7993.4961224031131</v>
      </c>
      <c r="AG50" s="1711"/>
      <c r="AH50" s="116">
        <v>6</v>
      </c>
      <c r="AI50" s="294">
        <f>'FREH LGV vkm'!C50*'FREH Stock'!C62</f>
        <v>15986.992244806226</v>
      </c>
      <c r="AJ50" s="295">
        <f>'FREH LGV vkm'!D50*'FREH Stock'!D62</f>
        <v>7993.4961224031131</v>
      </c>
      <c r="AK50" s="295">
        <f>'FREH LGV vkm'!E50*'FREH Stock'!E62</f>
        <v>7993.4961224031131</v>
      </c>
      <c r="AL50" s="295">
        <f>'FREH LGV vkm'!F50*'FREH Stock'!F62</f>
        <v>23980.488367209338</v>
      </c>
      <c r="AM50" s="295">
        <f>'FREH LGV vkm'!G50*'FREH Stock'!G62</f>
        <v>15986.992244806226</v>
      </c>
      <c r="AN50" s="295">
        <f>'FREH LGV vkm'!H50*'FREH Stock'!H62</f>
        <v>0</v>
      </c>
      <c r="AO50" s="295">
        <f>'FREH LGV vkm'!I50*'FREH Stock'!I62</f>
        <v>0</v>
      </c>
      <c r="AP50" s="295">
        <f>'FREH LGV vkm'!J50*'FREH Stock'!J62</f>
        <v>0</v>
      </c>
      <c r="AQ50" s="295">
        <f>'FREH LGV vkm'!K50*'FREH Stock'!K62</f>
        <v>0</v>
      </c>
      <c r="AR50" s="295">
        <f>'FREH LGV vkm'!L50*'FREH Stock'!L62</f>
        <v>0</v>
      </c>
      <c r="AS50" s="295">
        <f>'FREH LGV vkm'!M50*'FREH Stock'!M62</f>
        <v>0</v>
      </c>
      <c r="AT50" s="295">
        <f>'FREH LGV vkm'!N50*'FREH Stock'!N62</f>
        <v>0</v>
      </c>
      <c r="AU50" s="295">
        <f>'FREH LGV vkm'!O50*'FREH Stock'!O62</f>
        <v>0</v>
      </c>
      <c r="AV50" s="295">
        <f>'FREH LGV vkm'!P50*'FREH Stock'!P62</f>
        <v>0</v>
      </c>
      <c r="AW50" s="295">
        <f>'FREH LGV vkm'!Q50*'FREH Stock'!Q62</f>
        <v>0</v>
      </c>
      <c r="AX50" s="295">
        <f>'FREH LGV vkm'!R50*'FREH Stock'!R62</f>
        <v>0</v>
      </c>
      <c r="AY50" s="295">
        <f>'FREH LGV vkm'!S50*'FREH Stock'!S62</f>
        <v>0</v>
      </c>
      <c r="AZ50" s="295">
        <f>'FREH LGV vkm'!T50*'FREH Stock'!T62</f>
        <v>0</v>
      </c>
      <c r="BA50" s="295">
        <f>'FREH LGV vkm'!U50*'FREH Stock'!U62</f>
        <v>0</v>
      </c>
      <c r="BB50" s="295">
        <f>'FREH LGV vkm'!V50*'FREH Stock'!V62</f>
        <v>0</v>
      </c>
      <c r="BC50" s="295">
        <f>'FREH LGV vkm'!W50*'FREH Stock'!W62</f>
        <v>0</v>
      </c>
      <c r="BD50" s="295">
        <f>'FREH LGV vkm'!X50*'FREH Stock'!X62</f>
        <v>0</v>
      </c>
      <c r="BE50" s="295">
        <f>'FREH LGV vkm'!Y50*'FREH Stock'!Y62</f>
        <v>0</v>
      </c>
      <c r="BF50" s="295">
        <f>'FREH LGV vkm'!Z50*'FREH Stock'!Z62</f>
        <v>0</v>
      </c>
      <c r="BG50" s="295">
        <f>'FREH LGV vkm'!AA50*'FREH Stock'!AA62</f>
        <v>0</v>
      </c>
      <c r="BH50" s="295">
        <f>'FREH LGV vkm'!AB50*'FREH Stock'!AB62</f>
        <v>0</v>
      </c>
      <c r="BI50" s="295">
        <f>'FREH LGV vkm'!AC50*'FREH Stock'!AC62</f>
        <v>0</v>
      </c>
      <c r="BJ50" s="295">
        <f>'FREH LGV vkm'!AD50*'FREH Stock'!AD62</f>
        <v>0</v>
      </c>
      <c r="BK50" s="296">
        <f>'FREH LGV vkm'!AE50*'FREH Stock'!AE62</f>
        <v>0</v>
      </c>
    </row>
    <row r="51" spans="1:63">
      <c r="A51" s="1711"/>
      <c r="B51" s="116">
        <v>7</v>
      </c>
      <c r="C51" s="294">
        <f>C50</f>
        <v>7993.4961224031131</v>
      </c>
      <c r="D51" s="295">
        <f>D50</f>
        <v>7993.4961224031131</v>
      </c>
      <c r="E51" s="295">
        <f t="shared" ref="E51:AE60" si="9">E50</f>
        <v>7993.4961224031131</v>
      </c>
      <c r="F51" s="295">
        <f t="shared" si="9"/>
        <v>7993.4961224031131</v>
      </c>
      <c r="G51" s="295">
        <f t="shared" si="9"/>
        <v>7993.4961224031131</v>
      </c>
      <c r="H51" s="295">
        <f t="shared" si="9"/>
        <v>7993.4961224031131</v>
      </c>
      <c r="I51" s="295">
        <f t="shared" si="9"/>
        <v>7993.4961224031131</v>
      </c>
      <c r="J51" s="295">
        <f t="shared" si="9"/>
        <v>7993.4961224031131</v>
      </c>
      <c r="K51" s="295">
        <f t="shared" si="9"/>
        <v>7993.4961224031131</v>
      </c>
      <c r="L51" s="295">
        <f t="shared" si="9"/>
        <v>7993.4961224031131</v>
      </c>
      <c r="M51" s="295">
        <f t="shared" si="9"/>
        <v>7993.4961224031131</v>
      </c>
      <c r="N51" s="295">
        <f t="shared" si="9"/>
        <v>7993.4961224031131</v>
      </c>
      <c r="O51" s="295">
        <f t="shared" si="9"/>
        <v>7993.4961224031131</v>
      </c>
      <c r="P51" s="295">
        <f t="shared" si="9"/>
        <v>7993.4961224031131</v>
      </c>
      <c r="Q51" s="295">
        <f t="shared" si="9"/>
        <v>7993.4961224031131</v>
      </c>
      <c r="R51" s="295">
        <f t="shared" si="9"/>
        <v>7993.4961224031131</v>
      </c>
      <c r="S51" s="295">
        <f t="shared" si="9"/>
        <v>7993.4961224031131</v>
      </c>
      <c r="T51" s="295">
        <f t="shared" si="9"/>
        <v>7993.4961224031131</v>
      </c>
      <c r="U51" s="295">
        <f t="shared" si="9"/>
        <v>7993.4961224031131</v>
      </c>
      <c r="V51" s="295">
        <f t="shared" si="9"/>
        <v>7993.4961224031131</v>
      </c>
      <c r="W51" s="295">
        <f t="shared" si="9"/>
        <v>7993.4961224031131</v>
      </c>
      <c r="X51" s="295">
        <f t="shared" si="9"/>
        <v>7993.4961224031131</v>
      </c>
      <c r="Y51" s="295">
        <f t="shared" si="9"/>
        <v>7993.4961224031131</v>
      </c>
      <c r="Z51" s="295">
        <f t="shared" si="9"/>
        <v>7993.4961224031131</v>
      </c>
      <c r="AA51" s="295">
        <f t="shared" si="9"/>
        <v>7993.4961224031131</v>
      </c>
      <c r="AB51" s="295">
        <f t="shared" si="9"/>
        <v>7993.4961224031131</v>
      </c>
      <c r="AC51" s="295">
        <f t="shared" si="9"/>
        <v>7993.4961224031131</v>
      </c>
      <c r="AD51" s="295">
        <f t="shared" si="9"/>
        <v>7993.4961224031131</v>
      </c>
      <c r="AE51" s="296">
        <f t="shared" si="9"/>
        <v>7993.4961224031131</v>
      </c>
      <c r="AG51" s="1711"/>
      <c r="AH51" s="116">
        <v>7</v>
      </c>
      <c r="AI51" s="294">
        <f>'FREH LGV vkm'!C51*'FREH Stock'!C63</f>
        <v>7993.4961224031131</v>
      </c>
      <c r="AJ51" s="295">
        <f>'FREH LGV vkm'!D51*'FREH Stock'!D63</f>
        <v>15986.992244806226</v>
      </c>
      <c r="AK51" s="295">
        <f>'FREH LGV vkm'!E51*'FREH Stock'!E63</f>
        <v>7993.4961224031131</v>
      </c>
      <c r="AL51" s="295">
        <f>'FREH LGV vkm'!F51*'FREH Stock'!F63</f>
        <v>7993.4961224031131</v>
      </c>
      <c r="AM51" s="295">
        <f>'FREH LGV vkm'!G51*'FREH Stock'!G63</f>
        <v>23980.488367209338</v>
      </c>
      <c r="AN51" s="295">
        <f>'FREH LGV vkm'!H51*'FREH Stock'!H63</f>
        <v>15986.992244806226</v>
      </c>
      <c r="AO51" s="295">
        <f>'FREH LGV vkm'!I51*'FREH Stock'!I63</f>
        <v>0</v>
      </c>
      <c r="AP51" s="295">
        <f>'FREH LGV vkm'!J51*'FREH Stock'!J63</f>
        <v>0</v>
      </c>
      <c r="AQ51" s="295">
        <f>'FREH LGV vkm'!K51*'FREH Stock'!K63</f>
        <v>0</v>
      </c>
      <c r="AR51" s="295">
        <f>'FREH LGV vkm'!L51*'FREH Stock'!L63</f>
        <v>0</v>
      </c>
      <c r="AS51" s="295">
        <f>'FREH LGV vkm'!M51*'FREH Stock'!M63</f>
        <v>0</v>
      </c>
      <c r="AT51" s="295">
        <f>'FREH LGV vkm'!N51*'FREH Stock'!N63</f>
        <v>0</v>
      </c>
      <c r="AU51" s="295">
        <f>'FREH LGV vkm'!O51*'FREH Stock'!O63</f>
        <v>0</v>
      </c>
      <c r="AV51" s="295">
        <f>'FREH LGV vkm'!P51*'FREH Stock'!P63</f>
        <v>0</v>
      </c>
      <c r="AW51" s="295">
        <f>'FREH LGV vkm'!Q51*'FREH Stock'!Q63</f>
        <v>0</v>
      </c>
      <c r="AX51" s="295">
        <f>'FREH LGV vkm'!R51*'FREH Stock'!R63</f>
        <v>0</v>
      </c>
      <c r="AY51" s="295">
        <f>'FREH LGV vkm'!S51*'FREH Stock'!S63</f>
        <v>0</v>
      </c>
      <c r="AZ51" s="295">
        <f>'FREH LGV vkm'!T51*'FREH Stock'!T63</f>
        <v>0</v>
      </c>
      <c r="BA51" s="295">
        <f>'FREH LGV vkm'!U51*'FREH Stock'!U63</f>
        <v>0</v>
      </c>
      <c r="BB51" s="295">
        <f>'FREH LGV vkm'!V51*'FREH Stock'!V63</f>
        <v>0</v>
      </c>
      <c r="BC51" s="295">
        <f>'FREH LGV vkm'!W51*'FREH Stock'!W63</f>
        <v>0</v>
      </c>
      <c r="BD51" s="295">
        <f>'FREH LGV vkm'!X51*'FREH Stock'!X63</f>
        <v>0</v>
      </c>
      <c r="BE51" s="295">
        <f>'FREH LGV vkm'!Y51*'FREH Stock'!Y63</f>
        <v>0</v>
      </c>
      <c r="BF51" s="295">
        <f>'FREH LGV vkm'!Z51*'FREH Stock'!Z63</f>
        <v>0</v>
      </c>
      <c r="BG51" s="295">
        <f>'FREH LGV vkm'!AA51*'FREH Stock'!AA63</f>
        <v>0</v>
      </c>
      <c r="BH51" s="295">
        <f>'FREH LGV vkm'!AB51*'FREH Stock'!AB63</f>
        <v>0</v>
      </c>
      <c r="BI51" s="295">
        <f>'FREH LGV vkm'!AC51*'FREH Stock'!AC63</f>
        <v>0</v>
      </c>
      <c r="BJ51" s="295">
        <f>'FREH LGV vkm'!AD51*'FREH Stock'!AD63</f>
        <v>0</v>
      </c>
      <c r="BK51" s="296">
        <f>'FREH LGV vkm'!AE51*'FREH Stock'!AE63</f>
        <v>0</v>
      </c>
    </row>
    <row r="52" spans="1:63">
      <c r="A52" s="1711"/>
      <c r="B52" s="116">
        <v>8</v>
      </c>
      <c r="C52" s="294">
        <f t="shared" ref="C52:P67" si="10">C51</f>
        <v>7993.4961224031131</v>
      </c>
      <c r="D52" s="295">
        <f t="shared" si="10"/>
        <v>7993.4961224031131</v>
      </c>
      <c r="E52" s="295">
        <f t="shared" si="9"/>
        <v>7993.4961224031131</v>
      </c>
      <c r="F52" s="295">
        <f t="shared" si="9"/>
        <v>7993.4961224031131</v>
      </c>
      <c r="G52" s="295">
        <f t="shared" si="9"/>
        <v>7993.4961224031131</v>
      </c>
      <c r="H52" s="295">
        <f t="shared" si="9"/>
        <v>7993.4961224031131</v>
      </c>
      <c r="I52" s="295">
        <f t="shared" si="9"/>
        <v>7993.4961224031131</v>
      </c>
      <c r="J52" s="295">
        <f t="shared" si="9"/>
        <v>7993.4961224031131</v>
      </c>
      <c r="K52" s="295">
        <f t="shared" si="9"/>
        <v>7993.4961224031131</v>
      </c>
      <c r="L52" s="295">
        <f t="shared" si="9"/>
        <v>7993.4961224031131</v>
      </c>
      <c r="M52" s="295">
        <f t="shared" si="9"/>
        <v>7993.4961224031131</v>
      </c>
      <c r="N52" s="295">
        <f t="shared" si="9"/>
        <v>7993.4961224031131</v>
      </c>
      <c r="O52" s="295">
        <f t="shared" si="9"/>
        <v>7993.4961224031131</v>
      </c>
      <c r="P52" s="295">
        <f t="shared" si="9"/>
        <v>7993.4961224031131</v>
      </c>
      <c r="Q52" s="295">
        <f t="shared" si="9"/>
        <v>7993.4961224031131</v>
      </c>
      <c r="R52" s="295">
        <f t="shared" si="9"/>
        <v>7993.4961224031131</v>
      </c>
      <c r="S52" s="295">
        <f t="shared" si="9"/>
        <v>7993.4961224031131</v>
      </c>
      <c r="T52" s="295">
        <f t="shared" si="9"/>
        <v>7993.4961224031131</v>
      </c>
      <c r="U52" s="295">
        <f t="shared" si="9"/>
        <v>7993.4961224031131</v>
      </c>
      <c r="V52" s="295">
        <f t="shared" si="9"/>
        <v>7993.4961224031131</v>
      </c>
      <c r="W52" s="295">
        <f t="shared" si="9"/>
        <v>7993.4961224031131</v>
      </c>
      <c r="X52" s="295">
        <f t="shared" si="9"/>
        <v>7993.4961224031131</v>
      </c>
      <c r="Y52" s="295">
        <f t="shared" si="9"/>
        <v>7993.4961224031131</v>
      </c>
      <c r="Z52" s="295">
        <f t="shared" si="9"/>
        <v>7993.4961224031131</v>
      </c>
      <c r="AA52" s="295">
        <f t="shared" si="9"/>
        <v>7993.4961224031131</v>
      </c>
      <c r="AB52" s="295">
        <f t="shared" si="9"/>
        <v>7993.4961224031131</v>
      </c>
      <c r="AC52" s="295">
        <f t="shared" si="9"/>
        <v>7993.4961224031131</v>
      </c>
      <c r="AD52" s="295">
        <f t="shared" si="9"/>
        <v>7993.4961224031131</v>
      </c>
      <c r="AE52" s="296">
        <f t="shared" si="9"/>
        <v>7993.4961224031131</v>
      </c>
      <c r="AG52" s="1711"/>
      <c r="AH52" s="116">
        <v>8</v>
      </c>
      <c r="AI52" s="294">
        <f>'FREH LGV vkm'!C52*'FREH Stock'!C64</f>
        <v>15986.992244806226</v>
      </c>
      <c r="AJ52" s="295">
        <f>'FREH LGV vkm'!D52*'FREH Stock'!D64</f>
        <v>7688.5250217150324</v>
      </c>
      <c r="AK52" s="295">
        <f>'FREH LGV vkm'!E52*'FREH Stock'!E64</f>
        <v>15377.050043430065</v>
      </c>
      <c r="AL52" s="295">
        <f>'FREH LGV vkm'!F52*'FREH Stock'!F64</f>
        <v>7688.5250217150324</v>
      </c>
      <c r="AM52" s="295">
        <f>'FREH LGV vkm'!G52*'FREH Stock'!G64</f>
        <v>7688.5250217150324</v>
      </c>
      <c r="AN52" s="295">
        <f>'FREH LGV vkm'!H52*'FREH Stock'!H64</f>
        <v>23065.575065145098</v>
      </c>
      <c r="AO52" s="295">
        <f>'FREH LGV vkm'!I52*'FREH Stock'!I64</f>
        <v>15377.050043430065</v>
      </c>
      <c r="AP52" s="295">
        <f>'FREH LGV vkm'!J52*'FREH Stock'!J64</f>
        <v>0</v>
      </c>
      <c r="AQ52" s="295">
        <f>'FREH LGV vkm'!K52*'FREH Stock'!K64</f>
        <v>0</v>
      </c>
      <c r="AR52" s="295">
        <f>'FREH LGV vkm'!L52*'FREH Stock'!L64</f>
        <v>0</v>
      </c>
      <c r="AS52" s="295">
        <f>'FREH LGV vkm'!M52*'FREH Stock'!M64</f>
        <v>0</v>
      </c>
      <c r="AT52" s="295">
        <f>'FREH LGV vkm'!N52*'FREH Stock'!N64</f>
        <v>0</v>
      </c>
      <c r="AU52" s="295">
        <f>'FREH LGV vkm'!O52*'FREH Stock'!O64</f>
        <v>0</v>
      </c>
      <c r="AV52" s="295">
        <f>'FREH LGV vkm'!P52*'FREH Stock'!P64</f>
        <v>0</v>
      </c>
      <c r="AW52" s="295">
        <f>'FREH LGV vkm'!Q52*'FREH Stock'!Q64</f>
        <v>0</v>
      </c>
      <c r="AX52" s="295">
        <f>'FREH LGV vkm'!R52*'FREH Stock'!R64</f>
        <v>0</v>
      </c>
      <c r="AY52" s="295">
        <f>'FREH LGV vkm'!S52*'FREH Stock'!S64</f>
        <v>0</v>
      </c>
      <c r="AZ52" s="295">
        <f>'FREH LGV vkm'!T52*'FREH Stock'!T64</f>
        <v>0</v>
      </c>
      <c r="BA52" s="295">
        <f>'FREH LGV vkm'!U52*'FREH Stock'!U64</f>
        <v>0</v>
      </c>
      <c r="BB52" s="295">
        <f>'FREH LGV vkm'!V52*'FREH Stock'!V64</f>
        <v>0</v>
      </c>
      <c r="BC52" s="295">
        <f>'FREH LGV vkm'!W52*'FREH Stock'!W64</f>
        <v>0</v>
      </c>
      <c r="BD52" s="295">
        <f>'FREH LGV vkm'!X52*'FREH Stock'!X64</f>
        <v>0</v>
      </c>
      <c r="BE52" s="295">
        <f>'FREH LGV vkm'!Y52*'FREH Stock'!Y64</f>
        <v>0</v>
      </c>
      <c r="BF52" s="295">
        <f>'FREH LGV vkm'!Z52*'FREH Stock'!Z64</f>
        <v>0</v>
      </c>
      <c r="BG52" s="295">
        <f>'FREH LGV vkm'!AA52*'FREH Stock'!AA64</f>
        <v>0</v>
      </c>
      <c r="BH52" s="295">
        <f>'FREH LGV vkm'!AB52*'FREH Stock'!AB64</f>
        <v>0</v>
      </c>
      <c r="BI52" s="295">
        <f>'FREH LGV vkm'!AC52*'FREH Stock'!AC64</f>
        <v>0</v>
      </c>
      <c r="BJ52" s="295">
        <f>'FREH LGV vkm'!AD52*'FREH Stock'!AD64</f>
        <v>0</v>
      </c>
      <c r="BK52" s="296">
        <f>'FREH LGV vkm'!AE52*'FREH Stock'!AE64</f>
        <v>0</v>
      </c>
    </row>
    <row r="53" spans="1:63">
      <c r="A53" s="1711"/>
      <c r="B53" s="116">
        <v>9</v>
      </c>
      <c r="C53" s="294">
        <f t="shared" si="10"/>
        <v>7993.4961224031131</v>
      </c>
      <c r="D53" s="295">
        <f t="shared" si="10"/>
        <v>7993.4961224031131</v>
      </c>
      <c r="E53" s="295">
        <f t="shared" si="9"/>
        <v>7993.4961224031131</v>
      </c>
      <c r="F53" s="295">
        <f t="shared" si="9"/>
        <v>7993.4961224031131</v>
      </c>
      <c r="G53" s="295">
        <f t="shared" si="9"/>
        <v>7993.4961224031131</v>
      </c>
      <c r="H53" s="295">
        <f t="shared" si="9"/>
        <v>7993.4961224031131</v>
      </c>
      <c r="I53" s="295">
        <f t="shared" si="9"/>
        <v>7993.4961224031131</v>
      </c>
      <c r="J53" s="295">
        <f t="shared" si="9"/>
        <v>7993.4961224031131</v>
      </c>
      <c r="K53" s="295">
        <f t="shared" si="9"/>
        <v>7993.4961224031131</v>
      </c>
      <c r="L53" s="295">
        <f t="shared" si="9"/>
        <v>7993.4961224031131</v>
      </c>
      <c r="M53" s="295">
        <f t="shared" si="9"/>
        <v>7993.4961224031131</v>
      </c>
      <c r="N53" s="295">
        <f t="shared" si="9"/>
        <v>7993.4961224031131</v>
      </c>
      <c r="O53" s="295">
        <f t="shared" si="9"/>
        <v>7993.4961224031131</v>
      </c>
      <c r="P53" s="295">
        <f t="shared" si="9"/>
        <v>7993.4961224031131</v>
      </c>
      <c r="Q53" s="295">
        <f t="shared" si="9"/>
        <v>7993.4961224031131</v>
      </c>
      <c r="R53" s="295">
        <f t="shared" si="9"/>
        <v>7993.4961224031131</v>
      </c>
      <c r="S53" s="295">
        <f t="shared" si="9"/>
        <v>7993.4961224031131</v>
      </c>
      <c r="T53" s="295">
        <f t="shared" si="9"/>
        <v>7993.4961224031131</v>
      </c>
      <c r="U53" s="295">
        <f t="shared" si="9"/>
        <v>7993.4961224031131</v>
      </c>
      <c r="V53" s="295">
        <f t="shared" si="9"/>
        <v>7993.4961224031131</v>
      </c>
      <c r="W53" s="295">
        <f t="shared" si="9"/>
        <v>7993.4961224031131</v>
      </c>
      <c r="X53" s="295">
        <f t="shared" si="9"/>
        <v>7993.4961224031131</v>
      </c>
      <c r="Y53" s="295">
        <f t="shared" si="9"/>
        <v>7993.4961224031131</v>
      </c>
      <c r="Z53" s="295">
        <f t="shared" si="9"/>
        <v>7993.4961224031131</v>
      </c>
      <c r="AA53" s="295">
        <f t="shared" si="9"/>
        <v>7993.4961224031131</v>
      </c>
      <c r="AB53" s="295">
        <f t="shared" si="9"/>
        <v>7993.4961224031131</v>
      </c>
      <c r="AC53" s="295">
        <f t="shared" si="9"/>
        <v>7993.4961224031131</v>
      </c>
      <c r="AD53" s="295">
        <f t="shared" si="9"/>
        <v>7993.4961224031131</v>
      </c>
      <c r="AE53" s="296">
        <f t="shared" si="9"/>
        <v>7993.4961224031131</v>
      </c>
      <c r="AG53" s="1711"/>
      <c r="AH53" s="116">
        <v>9</v>
      </c>
      <c r="AI53" s="294">
        <f>'FREH LGV vkm'!C53*'FREH Stock'!C65</f>
        <v>0</v>
      </c>
      <c r="AJ53" s="295">
        <f>'FREH LGV vkm'!D53*'FREH Stock'!D65</f>
        <v>14194.143099834904</v>
      </c>
      <c r="AK53" s="295">
        <f>'FREH LGV vkm'!E53*'FREH Stock'!E65</f>
        <v>6826.3012024878353</v>
      </c>
      <c r="AL53" s="295">
        <f>'FREH LGV vkm'!F53*'FREH Stock'!F65</f>
        <v>13652.602404975671</v>
      </c>
      <c r="AM53" s="295">
        <f>'FREH LGV vkm'!G53*'FREH Stock'!G65</f>
        <v>6826.3012024878353</v>
      </c>
      <c r="AN53" s="295">
        <f>'FREH LGV vkm'!H53*'FREH Stock'!H65</f>
        <v>6826.3012024878353</v>
      </c>
      <c r="AO53" s="295">
        <f>'FREH LGV vkm'!I53*'FREH Stock'!I65</f>
        <v>20478.903607463504</v>
      </c>
      <c r="AP53" s="295">
        <f>'FREH LGV vkm'!J53*'FREH Stock'!J65</f>
        <v>13652.602404975671</v>
      </c>
      <c r="AQ53" s="295">
        <f>'FREH LGV vkm'!K53*'FREH Stock'!K65</f>
        <v>0</v>
      </c>
      <c r="AR53" s="295">
        <f>'FREH LGV vkm'!L53*'FREH Stock'!L65</f>
        <v>0</v>
      </c>
      <c r="AS53" s="295">
        <f>'FREH LGV vkm'!M53*'FREH Stock'!M65</f>
        <v>0</v>
      </c>
      <c r="AT53" s="295">
        <f>'FREH LGV vkm'!N53*'FREH Stock'!N65</f>
        <v>0</v>
      </c>
      <c r="AU53" s="295">
        <f>'FREH LGV vkm'!O53*'FREH Stock'!O65</f>
        <v>0</v>
      </c>
      <c r="AV53" s="295">
        <f>'FREH LGV vkm'!P53*'FREH Stock'!P65</f>
        <v>0</v>
      </c>
      <c r="AW53" s="295">
        <f>'FREH LGV vkm'!Q53*'FREH Stock'!Q65</f>
        <v>0</v>
      </c>
      <c r="AX53" s="295">
        <f>'FREH LGV vkm'!R53*'FREH Stock'!R65</f>
        <v>0</v>
      </c>
      <c r="AY53" s="295">
        <f>'FREH LGV vkm'!S53*'FREH Stock'!S65</f>
        <v>0</v>
      </c>
      <c r="AZ53" s="295">
        <f>'FREH LGV vkm'!T53*'FREH Stock'!T65</f>
        <v>0</v>
      </c>
      <c r="BA53" s="295">
        <f>'FREH LGV vkm'!U53*'FREH Stock'!U65</f>
        <v>0</v>
      </c>
      <c r="BB53" s="295">
        <f>'FREH LGV vkm'!V53*'FREH Stock'!V65</f>
        <v>0</v>
      </c>
      <c r="BC53" s="295">
        <f>'FREH LGV vkm'!W53*'FREH Stock'!W65</f>
        <v>0</v>
      </c>
      <c r="BD53" s="295">
        <f>'FREH LGV vkm'!X53*'FREH Stock'!X65</f>
        <v>0</v>
      </c>
      <c r="BE53" s="295">
        <f>'FREH LGV vkm'!Y53*'FREH Stock'!Y65</f>
        <v>0</v>
      </c>
      <c r="BF53" s="295">
        <f>'FREH LGV vkm'!Z53*'FREH Stock'!Z65</f>
        <v>0</v>
      </c>
      <c r="BG53" s="295">
        <f>'FREH LGV vkm'!AA53*'FREH Stock'!AA65</f>
        <v>0</v>
      </c>
      <c r="BH53" s="295">
        <f>'FREH LGV vkm'!AB53*'FREH Stock'!AB65</f>
        <v>0</v>
      </c>
      <c r="BI53" s="295">
        <f>'FREH LGV vkm'!AC53*'FREH Stock'!AC65</f>
        <v>0</v>
      </c>
      <c r="BJ53" s="295">
        <f>'FREH LGV vkm'!AD53*'FREH Stock'!AD65</f>
        <v>0</v>
      </c>
      <c r="BK53" s="296">
        <f>'FREH LGV vkm'!AE53*'FREH Stock'!AE65</f>
        <v>0</v>
      </c>
    </row>
    <row r="54" spans="1:63">
      <c r="A54" s="1711"/>
      <c r="B54" s="116">
        <v>10</v>
      </c>
      <c r="C54" s="294">
        <f t="shared" si="10"/>
        <v>7993.4961224031131</v>
      </c>
      <c r="D54" s="295">
        <f t="shared" si="10"/>
        <v>7993.4961224031131</v>
      </c>
      <c r="E54" s="295">
        <f t="shared" si="9"/>
        <v>7993.4961224031131</v>
      </c>
      <c r="F54" s="295">
        <f t="shared" si="9"/>
        <v>7993.4961224031131</v>
      </c>
      <c r="G54" s="295">
        <f t="shared" si="9"/>
        <v>7993.4961224031131</v>
      </c>
      <c r="H54" s="295">
        <f t="shared" si="9"/>
        <v>7993.4961224031131</v>
      </c>
      <c r="I54" s="295">
        <f t="shared" si="9"/>
        <v>7993.4961224031131</v>
      </c>
      <c r="J54" s="295">
        <f t="shared" si="9"/>
        <v>7993.4961224031131</v>
      </c>
      <c r="K54" s="295">
        <f t="shared" si="9"/>
        <v>7993.4961224031131</v>
      </c>
      <c r="L54" s="295">
        <f t="shared" si="9"/>
        <v>7993.4961224031131</v>
      </c>
      <c r="M54" s="295">
        <f t="shared" si="9"/>
        <v>7993.4961224031131</v>
      </c>
      <c r="N54" s="295">
        <f t="shared" si="9"/>
        <v>7993.4961224031131</v>
      </c>
      <c r="O54" s="295">
        <f t="shared" si="9"/>
        <v>7993.4961224031131</v>
      </c>
      <c r="P54" s="295">
        <f t="shared" si="9"/>
        <v>7993.4961224031131</v>
      </c>
      <c r="Q54" s="295">
        <f t="shared" si="9"/>
        <v>7993.4961224031131</v>
      </c>
      <c r="R54" s="295">
        <f t="shared" si="9"/>
        <v>7993.4961224031131</v>
      </c>
      <c r="S54" s="295">
        <f t="shared" si="9"/>
        <v>7993.4961224031131</v>
      </c>
      <c r="T54" s="295">
        <f t="shared" si="9"/>
        <v>7993.4961224031131</v>
      </c>
      <c r="U54" s="295">
        <f t="shared" si="9"/>
        <v>7993.4961224031131</v>
      </c>
      <c r="V54" s="295">
        <f t="shared" si="9"/>
        <v>7993.4961224031131</v>
      </c>
      <c r="W54" s="295">
        <f t="shared" si="9"/>
        <v>7993.4961224031131</v>
      </c>
      <c r="X54" s="295">
        <f t="shared" si="9"/>
        <v>7993.4961224031131</v>
      </c>
      <c r="Y54" s="295">
        <f t="shared" si="9"/>
        <v>7993.4961224031131</v>
      </c>
      <c r="Z54" s="295">
        <f t="shared" si="9"/>
        <v>7993.4961224031131</v>
      </c>
      <c r="AA54" s="295">
        <f t="shared" si="9"/>
        <v>7993.4961224031131</v>
      </c>
      <c r="AB54" s="295">
        <f t="shared" si="9"/>
        <v>7993.4961224031131</v>
      </c>
      <c r="AC54" s="295">
        <f t="shared" si="9"/>
        <v>7993.4961224031131</v>
      </c>
      <c r="AD54" s="295">
        <f t="shared" si="9"/>
        <v>7993.4961224031131</v>
      </c>
      <c r="AE54" s="296">
        <f t="shared" si="9"/>
        <v>7993.4961224031131</v>
      </c>
      <c r="AG54" s="1711"/>
      <c r="AH54" s="116">
        <v>10</v>
      </c>
      <c r="AI54" s="294">
        <f>'FREH LGV vkm'!C54*'FREH Stock'!C66</f>
        <v>0</v>
      </c>
      <c r="AJ54" s="295">
        <f>'FREH LGV vkm'!D54*'FREH Stock'!D66</f>
        <v>0</v>
      </c>
      <c r="AK54" s="295">
        <f>'FREH LGV vkm'!E54*'FREH Stock'!E66</f>
        <v>11890.393299625766</v>
      </c>
      <c r="AL54" s="295">
        <f>'FREH LGV vkm'!F54*'FREH Stock'!F66</f>
        <v>5718.3730999747886</v>
      </c>
      <c r="AM54" s="295">
        <f>'FREH LGV vkm'!G54*'FREH Stock'!G66</f>
        <v>11436.746199949577</v>
      </c>
      <c r="AN54" s="295">
        <f>'FREH LGV vkm'!H54*'FREH Stock'!H66</f>
        <v>5718.3730999747886</v>
      </c>
      <c r="AO54" s="295">
        <f>'FREH LGV vkm'!I54*'FREH Stock'!I66</f>
        <v>5718.3730999747886</v>
      </c>
      <c r="AP54" s="295">
        <f>'FREH LGV vkm'!J54*'FREH Stock'!J66</f>
        <v>17155.119299924365</v>
      </c>
      <c r="AQ54" s="295">
        <f>'FREH LGV vkm'!K54*'FREH Stock'!K66</f>
        <v>11436.746199949577</v>
      </c>
      <c r="AR54" s="295">
        <f>'FREH LGV vkm'!L54*'FREH Stock'!L66</f>
        <v>0</v>
      </c>
      <c r="AS54" s="295">
        <f>'FREH LGV vkm'!M54*'FREH Stock'!M66</f>
        <v>0</v>
      </c>
      <c r="AT54" s="295">
        <f>'FREH LGV vkm'!N54*'FREH Stock'!N66</f>
        <v>0</v>
      </c>
      <c r="AU54" s="295">
        <f>'FREH LGV vkm'!O54*'FREH Stock'!O66</f>
        <v>0</v>
      </c>
      <c r="AV54" s="295">
        <f>'FREH LGV vkm'!P54*'FREH Stock'!P66</f>
        <v>0</v>
      </c>
      <c r="AW54" s="295">
        <f>'FREH LGV vkm'!Q54*'FREH Stock'!Q66</f>
        <v>0</v>
      </c>
      <c r="AX54" s="295">
        <f>'FREH LGV vkm'!R54*'FREH Stock'!R66</f>
        <v>0</v>
      </c>
      <c r="AY54" s="295">
        <f>'FREH LGV vkm'!S54*'FREH Stock'!S66</f>
        <v>0</v>
      </c>
      <c r="AZ54" s="295">
        <f>'FREH LGV vkm'!T54*'FREH Stock'!T66</f>
        <v>0</v>
      </c>
      <c r="BA54" s="295">
        <f>'FREH LGV vkm'!U54*'FREH Stock'!U66</f>
        <v>0</v>
      </c>
      <c r="BB54" s="295">
        <f>'FREH LGV vkm'!V54*'FREH Stock'!V66</f>
        <v>0</v>
      </c>
      <c r="BC54" s="295">
        <f>'FREH LGV vkm'!W54*'FREH Stock'!W66</f>
        <v>0</v>
      </c>
      <c r="BD54" s="295">
        <f>'FREH LGV vkm'!X54*'FREH Stock'!X66</f>
        <v>0</v>
      </c>
      <c r="BE54" s="295">
        <f>'FREH LGV vkm'!Y54*'FREH Stock'!Y66</f>
        <v>0</v>
      </c>
      <c r="BF54" s="295">
        <f>'FREH LGV vkm'!Z54*'FREH Stock'!Z66</f>
        <v>0</v>
      </c>
      <c r="BG54" s="295">
        <f>'FREH LGV vkm'!AA54*'FREH Stock'!AA66</f>
        <v>0</v>
      </c>
      <c r="BH54" s="295">
        <f>'FREH LGV vkm'!AB54*'FREH Stock'!AB66</f>
        <v>0</v>
      </c>
      <c r="BI54" s="295">
        <f>'FREH LGV vkm'!AC54*'FREH Stock'!AC66</f>
        <v>0</v>
      </c>
      <c r="BJ54" s="295">
        <f>'FREH LGV vkm'!AD54*'FREH Stock'!AD66</f>
        <v>0</v>
      </c>
      <c r="BK54" s="296">
        <f>'FREH LGV vkm'!AE54*'FREH Stock'!AE66</f>
        <v>0</v>
      </c>
    </row>
    <row r="55" spans="1:63">
      <c r="A55" s="1711"/>
      <c r="B55" s="116">
        <v>11</v>
      </c>
      <c r="C55" s="294">
        <f t="shared" si="10"/>
        <v>7993.4961224031131</v>
      </c>
      <c r="D55" s="295">
        <f t="shared" si="10"/>
        <v>7993.4961224031131</v>
      </c>
      <c r="E55" s="295">
        <f t="shared" si="9"/>
        <v>7993.4961224031131</v>
      </c>
      <c r="F55" s="295">
        <f t="shared" si="9"/>
        <v>7993.4961224031131</v>
      </c>
      <c r="G55" s="295">
        <f t="shared" si="9"/>
        <v>7993.4961224031131</v>
      </c>
      <c r="H55" s="295">
        <f t="shared" si="9"/>
        <v>7993.4961224031131</v>
      </c>
      <c r="I55" s="295">
        <f t="shared" si="9"/>
        <v>7993.4961224031131</v>
      </c>
      <c r="J55" s="295">
        <f t="shared" si="9"/>
        <v>7993.4961224031131</v>
      </c>
      <c r="K55" s="295">
        <f t="shared" si="9"/>
        <v>7993.4961224031131</v>
      </c>
      <c r="L55" s="295">
        <f t="shared" si="9"/>
        <v>7993.4961224031131</v>
      </c>
      <c r="M55" s="295">
        <f t="shared" si="9"/>
        <v>7993.4961224031131</v>
      </c>
      <c r="N55" s="295">
        <f t="shared" si="9"/>
        <v>7993.4961224031131</v>
      </c>
      <c r="O55" s="295">
        <f t="shared" si="9"/>
        <v>7993.4961224031131</v>
      </c>
      <c r="P55" s="295">
        <f t="shared" si="9"/>
        <v>7993.4961224031131</v>
      </c>
      <c r="Q55" s="295">
        <f t="shared" si="9"/>
        <v>7993.4961224031131</v>
      </c>
      <c r="R55" s="295">
        <f t="shared" si="9"/>
        <v>7993.4961224031131</v>
      </c>
      <c r="S55" s="295">
        <f t="shared" si="9"/>
        <v>7993.4961224031131</v>
      </c>
      <c r="T55" s="295">
        <f t="shared" si="9"/>
        <v>7993.4961224031131</v>
      </c>
      <c r="U55" s="295">
        <f t="shared" si="9"/>
        <v>7993.4961224031131</v>
      </c>
      <c r="V55" s="295">
        <f t="shared" si="9"/>
        <v>7993.4961224031131</v>
      </c>
      <c r="W55" s="295">
        <f t="shared" si="9"/>
        <v>7993.4961224031131</v>
      </c>
      <c r="X55" s="295">
        <f t="shared" si="9"/>
        <v>7993.4961224031131</v>
      </c>
      <c r="Y55" s="295">
        <f t="shared" si="9"/>
        <v>7993.4961224031131</v>
      </c>
      <c r="Z55" s="295">
        <f t="shared" si="9"/>
        <v>7993.4961224031131</v>
      </c>
      <c r="AA55" s="295">
        <f t="shared" si="9"/>
        <v>7993.4961224031131</v>
      </c>
      <c r="AB55" s="295">
        <f t="shared" si="9"/>
        <v>7993.4961224031131</v>
      </c>
      <c r="AC55" s="295">
        <f t="shared" si="9"/>
        <v>7993.4961224031131</v>
      </c>
      <c r="AD55" s="295">
        <f t="shared" si="9"/>
        <v>7993.4961224031131</v>
      </c>
      <c r="AE55" s="296">
        <f t="shared" si="9"/>
        <v>7993.4961224031131</v>
      </c>
      <c r="AG55" s="1711"/>
      <c r="AH55" s="116">
        <v>11</v>
      </c>
      <c r="AI55" s="294">
        <f>'FREH LGV vkm'!C55*'FREH Stock'!C67</f>
        <v>0</v>
      </c>
      <c r="AJ55" s="295">
        <f>'FREH LGV vkm'!D55*'FREH Stock'!D67</f>
        <v>0</v>
      </c>
      <c r="AK55" s="295">
        <f>'FREH LGV vkm'!E55*'FREH Stock'!E67</f>
        <v>0</v>
      </c>
      <c r="AL55" s="295">
        <f>'FREH LGV vkm'!F55*'FREH Stock'!F67</f>
        <v>9080.2820393371676</v>
      </c>
      <c r="AM55" s="295">
        <f>'FREH LGV vkm'!G55*'FREH Stock'!G67</f>
        <v>4366.9237211492509</v>
      </c>
      <c r="AN55" s="295">
        <f>'FREH LGV vkm'!H55*'FREH Stock'!H67</f>
        <v>8733.8474422985018</v>
      </c>
      <c r="AO55" s="295">
        <f>'FREH LGV vkm'!I55*'FREH Stock'!I67</f>
        <v>4366.9237211492509</v>
      </c>
      <c r="AP55" s="295">
        <f>'FREH LGV vkm'!J55*'FREH Stock'!J67</f>
        <v>4366.9237211492509</v>
      </c>
      <c r="AQ55" s="295">
        <f>'FREH LGV vkm'!K55*'FREH Stock'!K67</f>
        <v>13100.771163447751</v>
      </c>
      <c r="AR55" s="295">
        <f>'FREH LGV vkm'!L55*'FREH Stock'!L67</f>
        <v>8733.8474422985018</v>
      </c>
      <c r="AS55" s="295">
        <f>'FREH LGV vkm'!M55*'FREH Stock'!M67</f>
        <v>0</v>
      </c>
      <c r="AT55" s="295">
        <f>'FREH LGV vkm'!N55*'FREH Stock'!N67</f>
        <v>0</v>
      </c>
      <c r="AU55" s="295">
        <f>'FREH LGV vkm'!O55*'FREH Stock'!O67</f>
        <v>0</v>
      </c>
      <c r="AV55" s="295">
        <f>'FREH LGV vkm'!P55*'FREH Stock'!P67</f>
        <v>0</v>
      </c>
      <c r="AW55" s="295">
        <f>'FREH LGV vkm'!Q55*'FREH Stock'!Q67</f>
        <v>0</v>
      </c>
      <c r="AX55" s="295">
        <f>'FREH LGV vkm'!R55*'FREH Stock'!R67</f>
        <v>0</v>
      </c>
      <c r="AY55" s="295">
        <f>'FREH LGV vkm'!S55*'FREH Stock'!S67</f>
        <v>0</v>
      </c>
      <c r="AZ55" s="295">
        <f>'FREH LGV vkm'!T55*'FREH Stock'!T67</f>
        <v>0</v>
      </c>
      <c r="BA55" s="295">
        <f>'FREH LGV vkm'!U55*'FREH Stock'!U67</f>
        <v>0</v>
      </c>
      <c r="BB55" s="295">
        <f>'FREH LGV vkm'!V55*'FREH Stock'!V67</f>
        <v>0</v>
      </c>
      <c r="BC55" s="295">
        <f>'FREH LGV vkm'!W55*'FREH Stock'!W67</f>
        <v>0</v>
      </c>
      <c r="BD55" s="295">
        <f>'FREH LGV vkm'!X55*'FREH Stock'!X67</f>
        <v>0</v>
      </c>
      <c r="BE55" s="295">
        <f>'FREH LGV vkm'!Y55*'FREH Stock'!Y67</f>
        <v>0</v>
      </c>
      <c r="BF55" s="295">
        <f>'FREH LGV vkm'!Z55*'FREH Stock'!Z67</f>
        <v>0</v>
      </c>
      <c r="BG55" s="295">
        <f>'FREH LGV vkm'!AA55*'FREH Stock'!AA67</f>
        <v>0</v>
      </c>
      <c r="BH55" s="295">
        <f>'FREH LGV vkm'!AB55*'FREH Stock'!AB67</f>
        <v>0</v>
      </c>
      <c r="BI55" s="295">
        <f>'FREH LGV vkm'!AC55*'FREH Stock'!AC67</f>
        <v>0</v>
      </c>
      <c r="BJ55" s="295">
        <f>'FREH LGV vkm'!AD55*'FREH Stock'!AD67</f>
        <v>0</v>
      </c>
      <c r="BK55" s="296">
        <f>'FREH LGV vkm'!AE55*'FREH Stock'!AE67</f>
        <v>0</v>
      </c>
    </row>
    <row r="56" spans="1:63">
      <c r="A56" s="1711"/>
      <c r="B56" s="116">
        <v>12</v>
      </c>
      <c r="C56" s="294">
        <f t="shared" si="10"/>
        <v>7993.4961224031131</v>
      </c>
      <c r="D56" s="295">
        <f t="shared" si="10"/>
        <v>7993.4961224031131</v>
      </c>
      <c r="E56" s="295">
        <f t="shared" si="9"/>
        <v>7993.4961224031131</v>
      </c>
      <c r="F56" s="295">
        <f t="shared" si="9"/>
        <v>7993.4961224031131</v>
      </c>
      <c r="G56" s="295">
        <f t="shared" si="9"/>
        <v>7993.4961224031131</v>
      </c>
      <c r="H56" s="295">
        <f t="shared" si="9"/>
        <v>7993.4961224031131</v>
      </c>
      <c r="I56" s="295">
        <f t="shared" si="9"/>
        <v>7993.4961224031131</v>
      </c>
      <c r="J56" s="295">
        <f t="shared" si="9"/>
        <v>7993.4961224031131</v>
      </c>
      <c r="K56" s="295">
        <f t="shared" si="9"/>
        <v>7993.4961224031131</v>
      </c>
      <c r="L56" s="295">
        <f t="shared" si="9"/>
        <v>7993.4961224031131</v>
      </c>
      <c r="M56" s="295">
        <f t="shared" si="9"/>
        <v>7993.4961224031131</v>
      </c>
      <c r="N56" s="295">
        <f t="shared" si="9"/>
        <v>7993.4961224031131</v>
      </c>
      <c r="O56" s="295">
        <f t="shared" si="9"/>
        <v>7993.4961224031131</v>
      </c>
      <c r="P56" s="295">
        <f t="shared" si="9"/>
        <v>7993.4961224031131</v>
      </c>
      <c r="Q56" s="295">
        <f t="shared" si="9"/>
        <v>7993.4961224031131</v>
      </c>
      <c r="R56" s="295">
        <f t="shared" si="9"/>
        <v>7993.4961224031131</v>
      </c>
      <c r="S56" s="295">
        <f t="shared" si="9"/>
        <v>7993.4961224031131</v>
      </c>
      <c r="T56" s="295">
        <f t="shared" si="9"/>
        <v>7993.4961224031131</v>
      </c>
      <c r="U56" s="295">
        <f t="shared" si="9"/>
        <v>7993.4961224031131</v>
      </c>
      <c r="V56" s="295">
        <f t="shared" si="9"/>
        <v>7993.4961224031131</v>
      </c>
      <c r="W56" s="295">
        <f t="shared" si="9"/>
        <v>7993.4961224031131</v>
      </c>
      <c r="X56" s="295">
        <f t="shared" si="9"/>
        <v>7993.4961224031131</v>
      </c>
      <c r="Y56" s="295">
        <f t="shared" si="9"/>
        <v>7993.4961224031131</v>
      </c>
      <c r="Z56" s="295">
        <f t="shared" si="9"/>
        <v>7993.4961224031131</v>
      </c>
      <c r="AA56" s="295">
        <f t="shared" si="9"/>
        <v>7993.4961224031131</v>
      </c>
      <c r="AB56" s="295">
        <f t="shared" si="9"/>
        <v>7993.4961224031131</v>
      </c>
      <c r="AC56" s="295">
        <f t="shared" si="9"/>
        <v>7993.4961224031131</v>
      </c>
      <c r="AD56" s="295">
        <f t="shared" si="9"/>
        <v>7993.4961224031131</v>
      </c>
      <c r="AE56" s="296">
        <f t="shared" si="9"/>
        <v>7993.4961224031131</v>
      </c>
      <c r="AG56" s="1711"/>
      <c r="AH56" s="116">
        <v>12</v>
      </c>
      <c r="AI56" s="294">
        <f>'FREH LGV vkm'!C56*'FREH Stock'!C68</f>
        <v>7993.4961224031131</v>
      </c>
      <c r="AJ56" s="295">
        <f>'FREH LGV vkm'!D56*'FREH Stock'!D68</f>
        <v>0</v>
      </c>
      <c r="AK56" s="295">
        <f>'FREH LGV vkm'!E56*'FREH Stock'!E68</f>
        <v>0</v>
      </c>
      <c r="AL56" s="295">
        <f>'FREH LGV vkm'!F56*'FREH Stock'!F68</f>
        <v>0</v>
      </c>
      <c r="AM56" s="295">
        <f>'FREH LGV vkm'!G56*'FREH Stock'!G68</f>
        <v>6052.225969223523</v>
      </c>
      <c r="AN56" s="295">
        <f>'FREH LGV vkm'!H56*'FREH Stock'!H68</f>
        <v>2910.6594967271526</v>
      </c>
      <c r="AO56" s="295">
        <f>'FREH LGV vkm'!I56*'FREH Stock'!I68</f>
        <v>5821.3189934543052</v>
      </c>
      <c r="AP56" s="295">
        <f>'FREH LGV vkm'!J56*'FREH Stock'!J68</f>
        <v>2910.6594967271526</v>
      </c>
      <c r="AQ56" s="295">
        <f>'FREH LGV vkm'!K56*'FREH Stock'!K68</f>
        <v>2910.6594967271526</v>
      </c>
      <c r="AR56" s="295">
        <f>'FREH LGV vkm'!L56*'FREH Stock'!L68</f>
        <v>8731.9784901814546</v>
      </c>
      <c r="AS56" s="295">
        <f>'FREH LGV vkm'!M56*'FREH Stock'!M68</f>
        <v>5821.3189934543052</v>
      </c>
      <c r="AT56" s="295">
        <f>'FREH LGV vkm'!N56*'FREH Stock'!N68</f>
        <v>0</v>
      </c>
      <c r="AU56" s="295">
        <f>'FREH LGV vkm'!O56*'FREH Stock'!O68</f>
        <v>0</v>
      </c>
      <c r="AV56" s="295">
        <f>'FREH LGV vkm'!P56*'FREH Stock'!P68</f>
        <v>0</v>
      </c>
      <c r="AW56" s="295">
        <f>'FREH LGV vkm'!Q56*'FREH Stock'!Q68</f>
        <v>0</v>
      </c>
      <c r="AX56" s="295">
        <f>'FREH LGV vkm'!R56*'FREH Stock'!R68</f>
        <v>0</v>
      </c>
      <c r="AY56" s="295">
        <f>'FREH LGV vkm'!S56*'FREH Stock'!S68</f>
        <v>0</v>
      </c>
      <c r="AZ56" s="295">
        <f>'FREH LGV vkm'!T56*'FREH Stock'!T68</f>
        <v>0</v>
      </c>
      <c r="BA56" s="295">
        <f>'FREH LGV vkm'!U56*'FREH Stock'!U68</f>
        <v>0</v>
      </c>
      <c r="BB56" s="295">
        <f>'FREH LGV vkm'!V56*'FREH Stock'!V68</f>
        <v>0</v>
      </c>
      <c r="BC56" s="295">
        <f>'FREH LGV vkm'!W56*'FREH Stock'!W68</f>
        <v>0</v>
      </c>
      <c r="BD56" s="295">
        <f>'FREH LGV vkm'!X56*'FREH Stock'!X68</f>
        <v>0</v>
      </c>
      <c r="BE56" s="295">
        <f>'FREH LGV vkm'!Y56*'FREH Stock'!Y68</f>
        <v>0</v>
      </c>
      <c r="BF56" s="295">
        <f>'FREH LGV vkm'!Z56*'FREH Stock'!Z68</f>
        <v>0</v>
      </c>
      <c r="BG56" s="295">
        <f>'FREH LGV vkm'!AA56*'FREH Stock'!AA68</f>
        <v>0</v>
      </c>
      <c r="BH56" s="295">
        <f>'FREH LGV vkm'!AB56*'FREH Stock'!AB68</f>
        <v>0</v>
      </c>
      <c r="BI56" s="295">
        <f>'FREH LGV vkm'!AC56*'FREH Stock'!AC68</f>
        <v>0</v>
      </c>
      <c r="BJ56" s="295">
        <f>'FREH LGV vkm'!AD56*'FREH Stock'!AD68</f>
        <v>0</v>
      </c>
      <c r="BK56" s="296">
        <f>'FREH LGV vkm'!AE56*'FREH Stock'!AE68</f>
        <v>0</v>
      </c>
    </row>
    <row r="57" spans="1:63">
      <c r="A57" s="1711"/>
      <c r="B57" s="116">
        <v>13</v>
      </c>
      <c r="C57" s="294">
        <f t="shared" si="10"/>
        <v>7993.4961224031131</v>
      </c>
      <c r="D57" s="295">
        <f t="shared" si="10"/>
        <v>7993.4961224031131</v>
      </c>
      <c r="E57" s="295">
        <f t="shared" si="9"/>
        <v>7993.4961224031131</v>
      </c>
      <c r="F57" s="295">
        <f t="shared" si="9"/>
        <v>7993.4961224031131</v>
      </c>
      <c r="G57" s="295">
        <f t="shared" si="9"/>
        <v>7993.4961224031131</v>
      </c>
      <c r="H57" s="295">
        <f t="shared" si="9"/>
        <v>7993.4961224031131</v>
      </c>
      <c r="I57" s="295">
        <f t="shared" si="9"/>
        <v>7993.4961224031131</v>
      </c>
      <c r="J57" s="295">
        <f t="shared" si="9"/>
        <v>7993.4961224031131</v>
      </c>
      <c r="K57" s="295">
        <f t="shared" si="9"/>
        <v>7993.4961224031131</v>
      </c>
      <c r="L57" s="295">
        <f t="shared" si="9"/>
        <v>7993.4961224031131</v>
      </c>
      <c r="M57" s="295">
        <f t="shared" si="9"/>
        <v>7993.4961224031131</v>
      </c>
      <c r="N57" s="295">
        <f t="shared" si="9"/>
        <v>7993.4961224031131</v>
      </c>
      <c r="O57" s="295">
        <f t="shared" si="9"/>
        <v>7993.4961224031131</v>
      </c>
      <c r="P57" s="295">
        <f t="shared" si="9"/>
        <v>7993.4961224031131</v>
      </c>
      <c r="Q57" s="295">
        <f t="shared" si="9"/>
        <v>7993.4961224031131</v>
      </c>
      <c r="R57" s="295">
        <f t="shared" si="9"/>
        <v>7993.4961224031131</v>
      </c>
      <c r="S57" s="295">
        <f t="shared" si="9"/>
        <v>7993.4961224031131</v>
      </c>
      <c r="T57" s="295">
        <f t="shared" si="9"/>
        <v>7993.4961224031131</v>
      </c>
      <c r="U57" s="295">
        <f t="shared" si="9"/>
        <v>7993.4961224031131</v>
      </c>
      <c r="V57" s="295">
        <f t="shared" si="9"/>
        <v>7993.4961224031131</v>
      </c>
      <c r="W57" s="295">
        <f t="shared" si="9"/>
        <v>7993.4961224031131</v>
      </c>
      <c r="X57" s="295">
        <f t="shared" si="9"/>
        <v>7993.4961224031131</v>
      </c>
      <c r="Y57" s="295">
        <f t="shared" si="9"/>
        <v>7993.4961224031131</v>
      </c>
      <c r="Z57" s="295">
        <f t="shared" si="9"/>
        <v>7993.4961224031131</v>
      </c>
      <c r="AA57" s="295">
        <f t="shared" si="9"/>
        <v>7993.4961224031131</v>
      </c>
      <c r="AB57" s="295">
        <f t="shared" si="9"/>
        <v>7993.4961224031131</v>
      </c>
      <c r="AC57" s="295">
        <f t="shared" si="9"/>
        <v>7993.4961224031131</v>
      </c>
      <c r="AD57" s="295">
        <f t="shared" si="9"/>
        <v>7993.4961224031131</v>
      </c>
      <c r="AE57" s="296">
        <f t="shared" si="9"/>
        <v>7993.4961224031131</v>
      </c>
      <c r="AG57" s="1711"/>
      <c r="AH57" s="116">
        <v>13</v>
      </c>
      <c r="AI57" s="294">
        <f>'FREH LGV vkm'!C57*'FREH Stock'!C69</f>
        <v>0</v>
      </c>
      <c r="AJ57" s="295">
        <f>'FREH LGV vkm'!D57*'FREH Stock'!D69</f>
        <v>4292.1071473728634</v>
      </c>
      <c r="AK57" s="295">
        <f>'FREH LGV vkm'!E57*'FREH Stock'!E69</f>
        <v>0</v>
      </c>
      <c r="AL57" s="295">
        <f>'FREH LGV vkm'!F57*'FREH Stock'!F69</f>
        <v>0</v>
      </c>
      <c r="AM57" s="295">
        <f>'FREH LGV vkm'!G57*'FREH Stock'!G69</f>
        <v>0</v>
      </c>
      <c r="AN57" s="295">
        <f>'FREH LGV vkm'!H57*'FREH Stock'!H69</f>
        <v>3249.742283256458</v>
      </c>
      <c r="AO57" s="295">
        <f>'FREH LGV vkm'!I57*'FREH Stock'!I69</f>
        <v>1562.8783999103937</v>
      </c>
      <c r="AP57" s="295">
        <f>'FREH LGV vkm'!J57*'FREH Stock'!J69</f>
        <v>3125.7567998207874</v>
      </c>
      <c r="AQ57" s="295">
        <f>'FREH LGV vkm'!K57*'FREH Stock'!K69</f>
        <v>1562.8783999103937</v>
      </c>
      <c r="AR57" s="295">
        <f>'FREH LGV vkm'!L57*'FREH Stock'!L69</f>
        <v>1562.8783999103937</v>
      </c>
      <c r="AS57" s="295">
        <f>'FREH LGV vkm'!M57*'FREH Stock'!M69</f>
        <v>4688.6351997311785</v>
      </c>
      <c r="AT57" s="295">
        <f>'FREH LGV vkm'!N57*'FREH Stock'!N69</f>
        <v>3125.7567998207874</v>
      </c>
      <c r="AU57" s="295">
        <f>'FREH LGV vkm'!O57*'FREH Stock'!O69</f>
        <v>0</v>
      </c>
      <c r="AV57" s="295">
        <f>'FREH LGV vkm'!P57*'FREH Stock'!P69</f>
        <v>0</v>
      </c>
      <c r="AW57" s="295">
        <f>'FREH LGV vkm'!Q57*'FREH Stock'!Q69</f>
        <v>0</v>
      </c>
      <c r="AX57" s="295">
        <f>'FREH LGV vkm'!R57*'FREH Stock'!R69</f>
        <v>0</v>
      </c>
      <c r="AY57" s="295">
        <f>'FREH LGV vkm'!S57*'FREH Stock'!S69</f>
        <v>0</v>
      </c>
      <c r="AZ57" s="295">
        <f>'FREH LGV vkm'!T57*'FREH Stock'!T69</f>
        <v>0</v>
      </c>
      <c r="BA57" s="295">
        <f>'FREH LGV vkm'!U57*'FREH Stock'!U69</f>
        <v>0</v>
      </c>
      <c r="BB57" s="295">
        <f>'FREH LGV vkm'!V57*'FREH Stock'!V69</f>
        <v>0</v>
      </c>
      <c r="BC57" s="295">
        <f>'FREH LGV vkm'!W57*'FREH Stock'!W69</f>
        <v>0</v>
      </c>
      <c r="BD57" s="295">
        <f>'FREH LGV vkm'!X57*'FREH Stock'!X69</f>
        <v>0</v>
      </c>
      <c r="BE57" s="295">
        <f>'FREH LGV vkm'!Y57*'FREH Stock'!Y69</f>
        <v>0</v>
      </c>
      <c r="BF57" s="295">
        <f>'FREH LGV vkm'!Z57*'FREH Stock'!Z69</f>
        <v>0</v>
      </c>
      <c r="BG57" s="295">
        <f>'FREH LGV vkm'!AA57*'FREH Stock'!AA69</f>
        <v>0</v>
      </c>
      <c r="BH57" s="295">
        <f>'FREH LGV vkm'!AB57*'FREH Stock'!AB69</f>
        <v>0</v>
      </c>
      <c r="BI57" s="295">
        <f>'FREH LGV vkm'!AC57*'FREH Stock'!AC69</f>
        <v>0</v>
      </c>
      <c r="BJ57" s="295">
        <f>'FREH LGV vkm'!AD57*'FREH Stock'!AD69</f>
        <v>0</v>
      </c>
      <c r="BK57" s="296">
        <f>'FREH LGV vkm'!AE57*'FREH Stock'!AE69</f>
        <v>0</v>
      </c>
    </row>
    <row r="58" spans="1:63">
      <c r="A58" s="1711"/>
      <c r="B58" s="116">
        <v>14</v>
      </c>
      <c r="C58" s="294">
        <f t="shared" si="10"/>
        <v>7993.4961224031131</v>
      </c>
      <c r="D58" s="295">
        <f t="shared" si="10"/>
        <v>7993.4961224031131</v>
      </c>
      <c r="E58" s="295">
        <f t="shared" si="9"/>
        <v>7993.4961224031131</v>
      </c>
      <c r="F58" s="295">
        <f t="shared" si="9"/>
        <v>7993.4961224031131</v>
      </c>
      <c r="G58" s="295">
        <f t="shared" si="9"/>
        <v>7993.4961224031131</v>
      </c>
      <c r="H58" s="295">
        <f t="shared" si="9"/>
        <v>7993.4961224031131</v>
      </c>
      <c r="I58" s="295">
        <f t="shared" si="9"/>
        <v>7993.4961224031131</v>
      </c>
      <c r="J58" s="295">
        <f t="shared" si="9"/>
        <v>7993.4961224031131</v>
      </c>
      <c r="K58" s="295">
        <f t="shared" si="9"/>
        <v>7993.4961224031131</v>
      </c>
      <c r="L58" s="295">
        <f t="shared" si="9"/>
        <v>7993.4961224031131</v>
      </c>
      <c r="M58" s="295">
        <f t="shared" si="9"/>
        <v>7993.4961224031131</v>
      </c>
      <c r="N58" s="295">
        <f t="shared" si="9"/>
        <v>7993.4961224031131</v>
      </c>
      <c r="O58" s="295">
        <f t="shared" si="9"/>
        <v>7993.4961224031131</v>
      </c>
      <c r="P58" s="295">
        <f t="shared" si="9"/>
        <v>7993.4961224031131</v>
      </c>
      <c r="Q58" s="295">
        <f t="shared" si="9"/>
        <v>7993.4961224031131</v>
      </c>
      <c r="R58" s="295">
        <f t="shared" si="9"/>
        <v>7993.4961224031131</v>
      </c>
      <c r="S58" s="295">
        <f t="shared" si="9"/>
        <v>7993.4961224031131</v>
      </c>
      <c r="T58" s="295">
        <f t="shared" si="9"/>
        <v>7993.4961224031131</v>
      </c>
      <c r="U58" s="295">
        <f t="shared" si="9"/>
        <v>7993.4961224031131</v>
      </c>
      <c r="V58" s="295">
        <f t="shared" si="9"/>
        <v>7993.4961224031131</v>
      </c>
      <c r="W58" s="295">
        <f t="shared" si="9"/>
        <v>7993.4961224031131</v>
      </c>
      <c r="X58" s="295">
        <f t="shared" si="9"/>
        <v>7993.4961224031131</v>
      </c>
      <c r="Y58" s="295">
        <f t="shared" si="9"/>
        <v>7993.4961224031131</v>
      </c>
      <c r="Z58" s="295">
        <f t="shared" si="9"/>
        <v>7993.4961224031131</v>
      </c>
      <c r="AA58" s="295">
        <f t="shared" si="9"/>
        <v>7993.4961224031131</v>
      </c>
      <c r="AB58" s="295">
        <f t="shared" si="9"/>
        <v>7993.4961224031131</v>
      </c>
      <c r="AC58" s="295">
        <f t="shared" si="9"/>
        <v>7993.4961224031131</v>
      </c>
      <c r="AD58" s="295">
        <f t="shared" si="9"/>
        <v>7993.4961224031131</v>
      </c>
      <c r="AE58" s="296">
        <f t="shared" si="9"/>
        <v>7993.4961224031131</v>
      </c>
      <c r="AG58" s="1711"/>
      <c r="AH58" s="116">
        <v>14</v>
      </c>
      <c r="AI58" s="294">
        <f>'FREH LGV vkm'!C58*'FREH Stock'!C70</f>
        <v>0</v>
      </c>
      <c r="AJ58" s="295">
        <f>'FREH LGV vkm'!D58*'FREH Stock'!D70</f>
        <v>0</v>
      </c>
      <c r="AK58" s="295">
        <f>'FREH LGV vkm'!E58*'FREH Stock'!E70</f>
        <v>2123.6531227198702</v>
      </c>
      <c r="AL58" s="295">
        <f>'FREH LGV vkm'!F58*'FREH Stock'!F70</f>
        <v>0</v>
      </c>
      <c r="AM58" s="295">
        <f>'FREH LGV vkm'!G58*'FREH Stock'!G70</f>
        <v>0</v>
      </c>
      <c r="AN58" s="295">
        <f>'FREH LGV vkm'!H58*'FREH Stock'!H70</f>
        <v>0</v>
      </c>
      <c r="AO58" s="295">
        <f>'FREH LGV vkm'!I58*'FREH Stock'!I70</f>
        <v>1607.9107792303321</v>
      </c>
      <c r="AP58" s="295">
        <f>'FREH LGV vkm'!J58*'FREH Stock'!J70</f>
        <v>773.28255806303923</v>
      </c>
      <c r="AQ58" s="295">
        <f>'FREH LGV vkm'!K58*'FREH Stock'!K70</f>
        <v>1546.5651161260785</v>
      </c>
      <c r="AR58" s="295">
        <f>'FREH LGV vkm'!L58*'FREH Stock'!L70</f>
        <v>773.28255806303923</v>
      </c>
      <c r="AS58" s="295">
        <f>'FREH LGV vkm'!M58*'FREH Stock'!M70</f>
        <v>773.28255806303923</v>
      </c>
      <c r="AT58" s="295">
        <f>'FREH LGV vkm'!N58*'FREH Stock'!N70</f>
        <v>2319.8476741891163</v>
      </c>
      <c r="AU58" s="295">
        <f>'FREH LGV vkm'!O58*'FREH Stock'!O70</f>
        <v>1546.5651161260785</v>
      </c>
      <c r="AV58" s="295">
        <f>'FREH LGV vkm'!P58*'FREH Stock'!P70</f>
        <v>0</v>
      </c>
      <c r="AW58" s="295">
        <f>'FREH LGV vkm'!Q58*'FREH Stock'!Q70</f>
        <v>0</v>
      </c>
      <c r="AX58" s="295">
        <f>'FREH LGV vkm'!R58*'FREH Stock'!R70</f>
        <v>0</v>
      </c>
      <c r="AY58" s="295">
        <f>'FREH LGV vkm'!S58*'FREH Stock'!S70</f>
        <v>0</v>
      </c>
      <c r="AZ58" s="295">
        <f>'FREH LGV vkm'!T58*'FREH Stock'!T70</f>
        <v>0</v>
      </c>
      <c r="BA58" s="295">
        <f>'FREH LGV vkm'!U58*'FREH Stock'!U70</f>
        <v>0</v>
      </c>
      <c r="BB58" s="295">
        <f>'FREH LGV vkm'!V58*'FREH Stock'!V70</f>
        <v>0</v>
      </c>
      <c r="BC58" s="295">
        <f>'FREH LGV vkm'!W58*'FREH Stock'!W70</f>
        <v>0</v>
      </c>
      <c r="BD58" s="295">
        <f>'FREH LGV vkm'!X58*'FREH Stock'!X70</f>
        <v>0</v>
      </c>
      <c r="BE58" s="295">
        <f>'FREH LGV vkm'!Y58*'FREH Stock'!Y70</f>
        <v>0</v>
      </c>
      <c r="BF58" s="295">
        <f>'FREH LGV vkm'!Z58*'FREH Stock'!Z70</f>
        <v>0</v>
      </c>
      <c r="BG58" s="295">
        <f>'FREH LGV vkm'!AA58*'FREH Stock'!AA70</f>
        <v>0</v>
      </c>
      <c r="BH58" s="295">
        <f>'FREH LGV vkm'!AB58*'FREH Stock'!AB70</f>
        <v>0</v>
      </c>
      <c r="BI58" s="295">
        <f>'FREH LGV vkm'!AC58*'FREH Stock'!AC70</f>
        <v>0</v>
      </c>
      <c r="BJ58" s="295">
        <f>'FREH LGV vkm'!AD58*'FREH Stock'!AD70</f>
        <v>0</v>
      </c>
      <c r="BK58" s="296">
        <f>'FREH LGV vkm'!AE58*'FREH Stock'!AE70</f>
        <v>0</v>
      </c>
    </row>
    <row r="59" spans="1:63">
      <c r="A59" s="1711"/>
      <c r="B59" s="116">
        <v>15</v>
      </c>
      <c r="C59" s="294">
        <f t="shared" si="10"/>
        <v>7993.4961224031131</v>
      </c>
      <c r="D59" s="295">
        <f t="shared" si="10"/>
        <v>7993.4961224031131</v>
      </c>
      <c r="E59" s="295">
        <f t="shared" si="9"/>
        <v>7993.4961224031131</v>
      </c>
      <c r="F59" s="295">
        <f t="shared" si="9"/>
        <v>7993.4961224031131</v>
      </c>
      <c r="G59" s="295">
        <f t="shared" si="9"/>
        <v>7993.4961224031131</v>
      </c>
      <c r="H59" s="295">
        <f t="shared" si="9"/>
        <v>7993.4961224031131</v>
      </c>
      <c r="I59" s="295">
        <f t="shared" si="9"/>
        <v>7993.4961224031131</v>
      </c>
      <c r="J59" s="295">
        <f t="shared" si="9"/>
        <v>7993.4961224031131</v>
      </c>
      <c r="K59" s="295">
        <f t="shared" si="9"/>
        <v>7993.4961224031131</v>
      </c>
      <c r="L59" s="295">
        <f t="shared" si="9"/>
        <v>7993.4961224031131</v>
      </c>
      <c r="M59" s="295">
        <f t="shared" si="9"/>
        <v>7993.4961224031131</v>
      </c>
      <c r="N59" s="295">
        <f t="shared" si="9"/>
        <v>7993.4961224031131</v>
      </c>
      <c r="O59" s="295">
        <f t="shared" si="9"/>
        <v>7993.4961224031131</v>
      </c>
      <c r="P59" s="295">
        <f t="shared" si="9"/>
        <v>7993.4961224031131</v>
      </c>
      <c r="Q59" s="295">
        <f t="shared" si="9"/>
        <v>7993.4961224031131</v>
      </c>
      <c r="R59" s="295">
        <f t="shared" si="9"/>
        <v>7993.4961224031131</v>
      </c>
      <c r="S59" s="295">
        <f t="shared" si="9"/>
        <v>7993.4961224031131</v>
      </c>
      <c r="T59" s="295">
        <f t="shared" si="9"/>
        <v>7993.4961224031131</v>
      </c>
      <c r="U59" s="295">
        <f t="shared" si="9"/>
        <v>7993.4961224031131</v>
      </c>
      <c r="V59" s="295">
        <f t="shared" si="9"/>
        <v>7993.4961224031131</v>
      </c>
      <c r="W59" s="295">
        <f t="shared" si="9"/>
        <v>7993.4961224031131</v>
      </c>
      <c r="X59" s="295">
        <f t="shared" si="9"/>
        <v>7993.4961224031131</v>
      </c>
      <c r="Y59" s="295">
        <f t="shared" si="9"/>
        <v>7993.4961224031131</v>
      </c>
      <c r="Z59" s="295">
        <f t="shared" si="9"/>
        <v>7993.4961224031131</v>
      </c>
      <c r="AA59" s="295">
        <f t="shared" si="9"/>
        <v>7993.4961224031131</v>
      </c>
      <c r="AB59" s="295">
        <f t="shared" si="9"/>
        <v>7993.4961224031131</v>
      </c>
      <c r="AC59" s="295">
        <f t="shared" si="9"/>
        <v>7993.4961224031131</v>
      </c>
      <c r="AD59" s="295">
        <f t="shared" si="9"/>
        <v>7993.4961224031131</v>
      </c>
      <c r="AE59" s="296">
        <f t="shared" si="9"/>
        <v>7993.4961224031131</v>
      </c>
      <c r="AG59" s="1711"/>
      <c r="AH59" s="116">
        <v>15</v>
      </c>
      <c r="AI59" s="294">
        <f>'FREH LGV vkm'!C59*'FREH Stock'!C71</f>
        <v>7993.4961224031131</v>
      </c>
      <c r="AJ59" s="295">
        <f>'FREH LGV vkm'!D59*'FREH Stock'!D71</f>
        <v>0</v>
      </c>
      <c r="AK59" s="295">
        <f>'FREH LGV vkm'!E59*'FREH Stock'!E71</f>
        <v>0</v>
      </c>
      <c r="AL59" s="295">
        <f>'FREH LGV vkm'!F59*'FREH Stock'!F71</f>
        <v>809.9045569669745</v>
      </c>
      <c r="AM59" s="295">
        <f>'FREH LGV vkm'!G59*'FREH Stock'!G71</f>
        <v>0</v>
      </c>
      <c r="AN59" s="295">
        <f>'FREH LGV vkm'!H59*'FREH Stock'!H71</f>
        <v>0</v>
      </c>
      <c r="AO59" s="295">
        <f>'FREH LGV vkm'!I59*'FREH Stock'!I71</f>
        <v>0</v>
      </c>
      <c r="AP59" s="295">
        <f>'FREH LGV vkm'!J59*'FREH Stock'!J71</f>
        <v>613.21420780202629</v>
      </c>
      <c r="AQ59" s="295">
        <f>'FREH LGV vkm'!K59*'FREH Stock'!K71</f>
        <v>294.90930552548025</v>
      </c>
      <c r="AR59" s="295">
        <f>'FREH LGV vkm'!L59*'FREH Stock'!L71</f>
        <v>589.8186110509605</v>
      </c>
      <c r="AS59" s="295">
        <f>'FREH LGV vkm'!M59*'FREH Stock'!M71</f>
        <v>294.90930552548025</v>
      </c>
      <c r="AT59" s="295">
        <f>'FREH LGV vkm'!N59*'FREH Stock'!N71</f>
        <v>294.90930552548025</v>
      </c>
      <c r="AU59" s="295">
        <f>'FREH LGV vkm'!O59*'FREH Stock'!O71</f>
        <v>884.72791657644041</v>
      </c>
      <c r="AV59" s="295">
        <f>'FREH LGV vkm'!P59*'FREH Stock'!P71</f>
        <v>589.8186110509605</v>
      </c>
      <c r="AW59" s="295">
        <f>'FREH LGV vkm'!Q59*'FREH Stock'!Q71</f>
        <v>0</v>
      </c>
      <c r="AX59" s="295">
        <f>'FREH LGV vkm'!R59*'FREH Stock'!R71</f>
        <v>0</v>
      </c>
      <c r="AY59" s="295">
        <f>'FREH LGV vkm'!S59*'FREH Stock'!S71</f>
        <v>0</v>
      </c>
      <c r="AZ59" s="295">
        <f>'FREH LGV vkm'!T59*'FREH Stock'!T71</f>
        <v>0</v>
      </c>
      <c r="BA59" s="295">
        <f>'FREH LGV vkm'!U59*'FREH Stock'!U71</f>
        <v>0</v>
      </c>
      <c r="BB59" s="295">
        <f>'FREH LGV vkm'!V59*'FREH Stock'!V71</f>
        <v>0</v>
      </c>
      <c r="BC59" s="295">
        <f>'FREH LGV vkm'!W59*'FREH Stock'!W71</f>
        <v>0</v>
      </c>
      <c r="BD59" s="295">
        <f>'FREH LGV vkm'!X59*'FREH Stock'!X71</f>
        <v>0</v>
      </c>
      <c r="BE59" s="295">
        <f>'FREH LGV vkm'!Y59*'FREH Stock'!Y71</f>
        <v>0</v>
      </c>
      <c r="BF59" s="295">
        <f>'FREH LGV vkm'!Z59*'FREH Stock'!Z71</f>
        <v>0</v>
      </c>
      <c r="BG59" s="295">
        <f>'FREH LGV vkm'!AA59*'FREH Stock'!AA71</f>
        <v>0</v>
      </c>
      <c r="BH59" s="295">
        <f>'FREH LGV vkm'!AB59*'FREH Stock'!AB71</f>
        <v>0</v>
      </c>
      <c r="BI59" s="295">
        <f>'FREH LGV vkm'!AC59*'FREH Stock'!AC71</f>
        <v>0</v>
      </c>
      <c r="BJ59" s="295">
        <f>'FREH LGV vkm'!AD59*'FREH Stock'!AD71</f>
        <v>0</v>
      </c>
      <c r="BK59" s="296">
        <f>'FREH LGV vkm'!AE59*'FREH Stock'!AE71</f>
        <v>0</v>
      </c>
    </row>
    <row r="60" spans="1:63">
      <c r="A60" s="1711"/>
      <c r="B60" s="116">
        <v>16</v>
      </c>
      <c r="C60" s="294">
        <f t="shared" si="10"/>
        <v>7993.4961224031131</v>
      </c>
      <c r="D60" s="295">
        <f t="shared" si="10"/>
        <v>7993.4961224031131</v>
      </c>
      <c r="E60" s="295">
        <f t="shared" si="9"/>
        <v>7993.4961224031131</v>
      </c>
      <c r="F60" s="295">
        <f t="shared" si="9"/>
        <v>7993.4961224031131</v>
      </c>
      <c r="G60" s="295">
        <f t="shared" si="9"/>
        <v>7993.4961224031131</v>
      </c>
      <c r="H60" s="295">
        <f t="shared" si="9"/>
        <v>7993.4961224031131</v>
      </c>
      <c r="I60" s="295">
        <f t="shared" si="9"/>
        <v>7993.4961224031131</v>
      </c>
      <c r="J60" s="295">
        <f t="shared" si="9"/>
        <v>7993.4961224031131</v>
      </c>
      <c r="K60" s="295">
        <f t="shared" si="9"/>
        <v>7993.4961224031131</v>
      </c>
      <c r="L60" s="295">
        <f t="shared" si="9"/>
        <v>7993.4961224031131</v>
      </c>
      <c r="M60" s="295">
        <f t="shared" si="9"/>
        <v>7993.4961224031131</v>
      </c>
      <c r="N60" s="295">
        <f t="shared" si="9"/>
        <v>7993.4961224031131</v>
      </c>
      <c r="O60" s="295">
        <f t="shared" si="9"/>
        <v>7993.4961224031131</v>
      </c>
      <c r="P60" s="295">
        <f t="shared" si="9"/>
        <v>7993.4961224031131</v>
      </c>
      <c r="Q60" s="295">
        <f t="shared" ref="Q60:AE69" si="11">Q59</f>
        <v>7993.4961224031131</v>
      </c>
      <c r="R60" s="295">
        <f t="shared" si="11"/>
        <v>7993.4961224031131</v>
      </c>
      <c r="S60" s="295">
        <f t="shared" si="11"/>
        <v>7993.4961224031131</v>
      </c>
      <c r="T60" s="295">
        <f t="shared" si="11"/>
        <v>7993.4961224031131</v>
      </c>
      <c r="U60" s="295">
        <f t="shared" si="11"/>
        <v>7993.4961224031131</v>
      </c>
      <c r="V60" s="295">
        <f t="shared" si="11"/>
        <v>7993.4961224031131</v>
      </c>
      <c r="W60" s="295">
        <f t="shared" si="11"/>
        <v>7993.4961224031131</v>
      </c>
      <c r="X60" s="295">
        <f t="shared" si="11"/>
        <v>7993.4961224031131</v>
      </c>
      <c r="Y60" s="295">
        <f t="shared" si="11"/>
        <v>7993.4961224031131</v>
      </c>
      <c r="Z60" s="295">
        <f t="shared" si="11"/>
        <v>7993.4961224031131</v>
      </c>
      <c r="AA60" s="295">
        <f t="shared" si="11"/>
        <v>7993.4961224031131</v>
      </c>
      <c r="AB60" s="295">
        <f t="shared" si="11"/>
        <v>7993.4961224031131</v>
      </c>
      <c r="AC60" s="295">
        <f t="shared" si="11"/>
        <v>7993.4961224031131</v>
      </c>
      <c r="AD60" s="295">
        <f t="shared" si="11"/>
        <v>7993.4961224031131</v>
      </c>
      <c r="AE60" s="296">
        <f t="shared" si="11"/>
        <v>7993.4961224031131</v>
      </c>
      <c r="AG60" s="1711"/>
      <c r="AH60" s="116">
        <v>16</v>
      </c>
      <c r="AI60" s="294">
        <f>'FREH LGV vkm'!C60*'FREH Stock'!C72</f>
        <v>0</v>
      </c>
      <c r="AJ60" s="295">
        <f>'FREH LGV vkm'!D60*'FREH Stock'!D72</f>
        <v>2743.6552512900612</v>
      </c>
      <c r="AK60" s="295">
        <f>'FREH LGV vkm'!E60*'FREH Stock'!E72</f>
        <v>0</v>
      </c>
      <c r="AL60" s="295">
        <f>'FREH LGV vkm'!F60*'FREH Stock'!F72</f>
        <v>0</v>
      </c>
      <c r="AM60" s="295">
        <f>'FREH LGV vkm'!G60*'FREH Stock'!G72</f>
        <v>277.98836163044922</v>
      </c>
      <c r="AN60" s="295">
        <f>'FREH LGV vkm'!H60*'FREH Stock'!H72</f>
        <v>0</v>
      </c>
      <c r="AO60" s="295">
        <f>'FREH LGV vkm'!I60*'FREH Stock'!I72</f>
        <v>0</v>
      </c>
      <c r="AP60" s="295">
        <f>'FREH LGV vkm'!J60*'FREH Stock'!J72</f>
        <v>0</v>
      </c>
      <c r="AQ60" s="295">
        <f>'FREH LGV vkm'!K60*'FREH Stock'!K72</f>
        <v>210.47716238785191</v>
      </c>
      <c r="AR60" s="295">
        <f>'FREH LGV vkm'!L60*'FREH Stock'!L72</f>
        <v>101.22347623232943</v>
      </c>
      <c r="AS60" s="295">
        <f>'FREH LGV vkm'!M60*'FREH Stock'!M72</f>
        <v>202.44695246465886</v>
      </c>
      <c r="AT60" s="295">
        <f>'FREH LGV vkm'!N60*'FREH Stock'!N72</f>
        <v>101.22347623232943</v>
      </c>
      <c r="AU60" s="295">
        <f>'FREH LGV vkm'!O60*'FREH Stock'!O72</f>
        <v>101.22347623232943</v>
      </c>
      <c r="AV60" s="295">
        <f>'FREH LGV vkm'!P60*'FREH Stock'!P72</f>
        <v>303.67042869698821</v>
      </c>
      <c r="AW60" s="295">
        <f>'FREH LGV vkm'!Q60*'FREH Stock'!Q72</f>
        <v>202.44695246465886</v>
      </c>
      <c r="AX60" s="295">
        <f>'FREH LGV vkm'!R60*'FREH Stock'!R72</f>
        <v>0</v>
      </c>
      <c r="AY60" s="295">
        <f>'FREH LGV vkm'!S60*'FREH Stock'!S72</f>
        <v>0</v>
      </c>
      <c r="AZ60" s="295">
        <f>'FREH LGV vkm'!T60*'FREH Stock'!T72</f>
        <v>0</v>
      </c>
      <c r="BA60" s="295">
        <f>'FREH LGV vkm'!U60*'FREH Stock'!U72</f>
        <v>0</v>
      </c>
      <c r="BB60" s="295">
        <f>'FREH LGV vkm'!V60*'FREH Stock'!V72</f>
        <v>0</v>
      </c>
      <c r="BC60" s="295">
        <f>'FREH LGV vkm'!W60*'FREH Stock'!W72</f>
        <v>0</v>
      </c>
      <c r="BD60" s="295">
        <f>'FREH LGV vkm'!X60*'FREH Stock'!X72</f>
        <v>0</v>
      </c>
      <c r="BE60" s="295">
        <f>'FREH LGV vkm'!Y60*'FREH Stock'!Y72</f>
        <v>0</v>
      </c>
      <c r="BF60" s="295">
        <f>'FREH LGV vkm'!Z60*'FREH Stock'!Z72</f>
        <v>0</v>
      </c>
      <c r="BG60" s="295">
        <f>'FREH LGV vkm'!AA60*'FREH Stock'!AA72</f>
        <v>0</v>
      </c>
      <c r="BH60" s="295">
        <f>'FREH LGV vkm'!AB60*'FREH Stock'!AB72</f>
        <v>0</v>
      </c>
      <c r="BI60" s="295">
        <f>'FREH LGV vkm'!AC60*'FREH Stock'!AC72</f>
        <v>0</v>
      </c>
      <c r="BJ60" s="295">
        <f>'FREH LGV vkm'!AD60*'FREH Stock'!AD72</f>
        <v>0</v>
      </c>
      <c r="BK60" s="296">
        <f>'FREH LGV vkm'!AE60*'FREH Stock'!AE72</f>
        <v>0</v>
      </c>
    </row>
    <row r="61" spans="1:63">
      <c r="A61" s="1711"/>
      <c r="B61" s="116">
        <v>17</v>
      </c>
      <c r="C61" s="294">
        <f t="shared" si="10"/>
        <v>7993.4961224031131</v>
      </c>
      <c r="D61" s="295">
        <f t="shared" si="10"/>
        <v>7993.4961224031131</v>
      </c>
      <c r="E61" s="295">
        <f t="shared" si="10"/>
        <v>7993.4961224031131</v>
      </c>
      <c r="F61" s="295">
        <f t="shared" si="10"/>
        <v>7993.4961224031131</v>
      </c>
      <c r="G61" s="295">
        <f t="shared" si="10"/>
        <v>7993.4961224031131</v>
      </c>
      <c r="H61" s="295">
        <f t="shared" si="10"/>
        <v>7993.4961224031131</v>
      </c>
      <c r="I61" s="295">
        <f t="shared" si="10"/>
        <v>7993.4961224031131</v>
      </c>
      <c r="J61" s="295">
        <f t="shared" si="10"/>
        <v>7993.4961224031131</v>
      </c>
      <c r="K61" s="295">
        <f t="shared" si="10"/>
        <v>7993.4961224031131</v>
      </c>
      <c r="L61" s="295">
        <f t="shared" si="10"/>
        <v>7993.4961224031131</v>
      </c>
      <c r="M61" s="295">
        <f t="shared" si="10"/>
        <v>7993.4961224031131</v>
      </c>
      <c r="N61" s="295">
        <f t="shared" si="10"/>
        <v>7993.4961224031131</v>
      </c>
      <c r="O61" s="295">
        <f t="shared" si="10"/>
        <v>7993.4961224031131</v>
      </c>
      <c r="P61" s="295">
        <f t="shared" si="10"/>
        <v>7993.4961224031131</v>
      </c>
      <c r="Q61" s="295">
        <f t="shared" si="11"/>
        <v>7993.4961224031131</v>
      </c>
      <c r="R61" s="295">
        <f t="shared" si="11"/>
        <v>7993.4961224031131</v>
      </c>
      <c r="S61" s="295">
        <f t="shared" si="11"/>
        <v>7993.4961224031131</v>
      </c>
      <c r="T61" s="295">
        <f t="shared" si="11"/>
        <v>7993.4961224031131</v>
      </c>
      <c r="U61" s="295">
        <f t="shared" si="11"/>
        <v>7993.4961224031131</v>
      </c>
      <c r="V61" s="295">
        <f t="shared" si="11"/>
        <v>7993.4961224031131</v>
      </c>
      <c r="W61" s="295">
        <f t="shared" si="11"/>
        <v>7993.4961224031131</v>
      </c>
      <c r="X61" s="295">
        <f t="shared" si="11"/>
        <v>7993.4961224031131</v>
      </c>
      <c r="Y61" s="295">
        <f t="shared" si="11"/>
        <v>7993.4961224031131</v>
      </c>
      <c r="Z61" s="295">
        <f t="shared" si="11"/>
        <v>7993.4961224031131</v>
      </c>
      <c r="AA61" s="295">
        <f t="shared" si="11"/>
        <v>7993.4961224031131</v>
      </c>
      <c r="AB61" s="295">
        <f t="shared" si="11"/>
        <v>7993.4961224031131</v>
      </c>
      <c r="AC61" s="295">
        <f t="shared" si="11"/>
        <v>7993.4961224031131</v>
      </c>
      <c r="AD61" s="295">
        <f t="shared" si="11"/>
        <v>7993.4961224031131</v>
      </c>
      <c r="AE61" s="296">
        <f t="shared" si="11"/>
        <v>7993.4961224031131</v>
      </c>
      <c r="AG61" s="1711"/>
      <c r="AH61" s="116">
        <v>17</v>
      </c>
      <c r="AI61" s="294">
        <f>'FREH LGV vkm'!C61*'FREH Stock'!C73</f>
        <v>7993.4961224031131</v>
      </c>
      <c r="AJ61" s="295">
        <f>'FREH LGV vkm'!D61*'FREH Stock'!D73</f>
        <v>0</v>
      </c>
      <c r="AK61" s="295">
        <f>'FREH LGV vkm'!E61*'FREH Stock'!E73</f>
        <v>837.08544187112261</v>
      </c>
      <c r="AL61" s="295">
        <f>'FREH LGV vkm'!F61*'FREH Stock'!F73</f>
        <v>0</v>
      </c>
      <c r="AM61" s="295">
        <f>'FREH LGV vkm'!G61*'FREH Stock'!G73</f>
        <v>0</v>
      </c>
      <c r="AN61" s="295">
        <f>'FREH LGV vkm'!H61*'FREH Stock'!H73</f>
        <v>84.813866618642734</v>
      </c>
      <c r="AO61" s="295">
        <f>'FREH LGV vkm'!I61*'FREH Stock'!I73</f>
        <v>0</v>
      </c>
      <c r="AP61" s="295">
        <f>'FREH LGV vkm'!J61*'FREH Stock'!J73</f>
        <v>0</v>
      </c>
      <c r="AQ61" s="295">
        <f>'FREH LGV vkm'!K61*'FREH Stock'!K73</f>
        <v>0</v>
      </c>
      <c r="AR61" s="295">
        <f>'FREH LGV vkm'!L61*'FREH Stock'!L73</f>
        <v>64.216292625821737</v>
      </c>
      <c r="AS61" s="295">
        <f>'FREH LGV vkm'!M61*'FREH Stock'!M73</f>
        <v>30.883143313952949</v>
      </c>
      <c r="AT61" s="295">
        <f>'FREH LGV vkm'!N61*'FREH Stock'!N73</f>
        <v>61.766286627905899</v>
      </c>
      <c r="AU61" s="295">
        <f>'FREH LGV vkm'!O61*'FREH Stock'!O73</f>
        <v>30.883143313952949</v>
      </c>
      <c r="AV61" s="295">
        <f>'FREH LGV vkm'!P61*'FREH Stock'!P73</f>
        <v>30.883143313952949</v>
      </c>
      <c r="AW61" s="295">
        <f>'FREH LGV vkm'!Q61*'FREH Stock'!Q73</f>
        <v>92.649429941858827</v>
      </c>
      <c r="AX61" s="295">
        <f>'FREH LGV vkm'!R61*'FREH Stock'!R73</f>
        <v>61.766286627905899</v>
      </c>
      <c r="AY61" s="295">
        <f>'FREH LGV vkm'!S61*'FREH Stock'!S73</f>
        <v>0</v>
      </c>
      <c r="AZ61" s="295">
        <f>'FREH LGV vkm'!T61*'FREH Stock'!T73</f>
        <v>0</v>
      </c>
      <c r="BA61" s="295">
        <f>'FREH LGV vkm'!U61*'FREH Stock'!U73</f>
        <v>0</v>
      </c>
      <c r="BB61" s="295">
        <f>'FREH LGV vkm'!V61*'FREH Stock'!V73</f>
        <v>0</v>
      </c>
      <c r="BC61" s="295">
        <f>'FREH LGV vkm'!W61*'FREH Stock'!W73</f>
        <v>0</v>
      </c>
      <c r="BD61" s="295">
        <f>'FREH LGV vkm'!X61*'FREH Stock'!X73</f>
        <v>0</v>
      </c>
      <c r="BE61" s="295">
        <f>'FREH LGV vkm'!Y61*'FREH Stock'!Y73</f>
        <v>0</v>
      </c>
      <c r="BF61" s="295">
        <f>'FREH LGV vkm'!Z61*'FREH Stock'!Z73</f>
        <v>0</v>
      </c>
      <c r="BG61" s="295">
        <f>'FREH LGV vkm'!AA61*'FREH Stock'!AA73</f>
        <v>0</v>
      </c>
      <c r="BH61" s="295">
        <f>'FREH LGV vkm'!AB61*'FREH Stock'!AB73</f>
        <v>0</v>
      </c>
      <c r="BI61" s="295">
        <f>'FREH LGV vkm'!AC61*'FREH Stock'!AC73</f>
        <v>0</v>
      </c>
      <c r="BJ61" s="295">
        <f>'FREH LGV vkm'!AD61*'FREH Stock'!AD73</f>
        <v>0</v>
      </c>
      <c r="BK61" s="296">
        <f>'FREH LGV vkm'!AE61*'FREH Stock'!AE73</f>
        <v>0</v>
      </c>
    </row>
    <row r="62" spans="1:63">
      <c r="A62" s="1711"/>
      <c r="B62" s="116">
        <v>18</v>
      </c>
      <c r="C62" s="294">
        <f t="shared" si="10"/>
        <v>7993.4961224031131</v>
      </c>
      <c r="D62" s="295">
        <f t="shared" si="10"/>
        <v>7993.4961224031131</v>
      </c>
      <c r="E62" s="295">
        <f t="shared" si="10"/>
        <v>7993.4961224031131</v>
      </c>
      <c r="F62" s="295">
        <f t="shared" si="10"/>
        <v>7993.4961224031131</v>
      </c>
      <c r="G62" s="295">
        <f t="shared" si="10"/>
        <v>7993.4961224031131</v>
      </c>
      <c r="H62" s="295">
        <f t="shared" si="10"/>
        <v>7993.4961224031131</v>
      </c>
      <c r="I62" s="295">
        <f t="shared" si="10"/>
        <v>7993.4961224031131</v>
      </c>
      <c r="J62" s="295">
        <f t="shared" si="10"/>
        <v>7993.4961224031131</v>
      </c>
      <c r="K62" s="295">
        <f t="shared" si="10"/>
        <v>7993.4961224031131</v>
      </c>
      <c r="L62" s="295">
        <f t="shared" si="10"/>
        <v>7993.4961224031131</v>
      </c>
      <c r="M62" s="295">
        <f t="shared" si="10"/>
        <v>7993.4961224031131</v>
      </c>
      <c r="N62" s="295">
        <f t="shared" si="10"/>
        <v>7993.4961224031131</v>
      </c>
      <c r="O62" s="295">
        <f t="shared" si="10"/>
        <v>7993.4961224031131</v>
      </c>
      <c r="P62" s="295">
        <f t="shared" si="10"/>
        <v>7993.4961224031131</v>
      </c>
      <c r="Q62" s="295">
        <f t="shared" si="11"/>
        <v>7993.4961224031131</v>
      </c>
      <c r="R62" s="295">
        <f t="shared" si="11"/>
        <v>7993.4961224031131</v>
      </c>
      <c r="S62" s="295">
        <f t="shared" si="11"/>
        <v>7993.4961224031131</v>
      </c>
      <c r="T62" s="295">
        <f t="shared" si="11"/>
        <v>7993.4961224031131</v>
      </c>
      <c r="U62" s="295">
        <f t="shared" si="11"/>
        <v>7993.4961224031131</v>
      </c>
      <c r="V62" s="295">
        <f t="shared" si="11"/>
        <v>7993.4961224031131</v>
      </c>
      <c r="W62" s="295">
        <f t="shared" si="11"/>
        <v>7993.4961224031131</v>
      </c>
      <c r="X62" s="295">
        <f t="shared" si="11"/>
        <v>7993.4961224031131</v>
      </c>
      <c r="Y62" s="295">
        <f t="shared" si="11"/>
        <v>7993.4961224031131</v>
      </c>
      <c r="Z62" s="295">
        <f t="shared" si="11"/>
        <v>7993.4961224031131</v>
      </c>
      <c r="AA62" s="295">
        <f t="shared" si="11"/>
        <v>7993.4961224031131</v>
      </c>
      <c r="AB62" s="295">
        <f t="shared" si="11"/>
        <v>7993.4961224031131</v>
      </c>
      <c r="AC62" s="295">
        <f t="shared" si="11"/>
        <v>7993.4961224031131</v>
      </c>
      <c r="AD62" s="295">
        <f t="shared" si="11"/>
        <v>7993.4961224031131</v>
      </c>
      <c r="AE62" s="296">
        <f t="shared" si="11"/>
        <v>7993.4961224031131</v>
      </c>
      <c r="AG62" s="1711"/>
      <c r="AH62" s="116">
        <v>18</v>
      </c>
      <c r="AI62" s="294">
        <f>'FREH LGV vkm'!C62*'FREH Stock'!C74</f>
        <v>0</v>
      </c>
      <c r="AJ62" s="295">
        <f>'FREH LGV vkm'!D62*'FREH Stock'!D74</f>
        <v>2133.954084336714</v>
      </c>
      <c r="AK62" s="295">
        <f>'FREH LGV vkm'!E62*'FREH Stock'!E74</f>
        <v>0</v>
      </c>
      <c r="AL62" s="295">
        <f>'FREH LGV vkm'!F62*'FREH Stock'!F74</f>
        <v>223.46941441721287</v>
      </c>
      <c r="AM62" s="295">
        <f>'FREH LGV vkm'!G62*'FREH Stock'!G74</f>
        <v>0</v>
      </c>
      <c r="AN62" s="295">
        <f>'FREH LGV vkm'!H62*'FREH Stock'!H74</f>
        <v>0</v>
      </c>
      <c r="AO62" s="295">
        <f>'FREH LGV vkm'!I62*'FREH Stock'!I74</f>
        <v>22.642019750530714</v>
      </c>
      <c r="AP62" s="295">
        <f>'FREH LGV vkm'!J62*'FREH Stock'!J74</f>
        <v>0</v>
      </c>
      <c r="AQ62" s="295">
        <f>'FREH LGV vkm'!K62*'FREH Stock'!K74</f>
        <v>0</v>
      </c>
      <c r="AR62" s="295">
        <f>'FREH LGV vkm'!L62*'FREH Stock'!L74</f>
        <v>0</v>
      </c>
      <c r="AS62" s="295">
        <f>'FREH LGV vkm'!M62*'FREH Stock'!M74</f>
        <v>17.143264703134268</v>
      </c>
      <c r="AT62" s="295">
        <f>'FREH LGV vkm'!N62*'FREH Stock'!N74</f>
        <v>8.244603963372322</v>
      </c>
      <c r="AU62" s="295">
        <f>'FREH LGV vkm'!O62*'FREH Stock'!O74</f>
        <v>16.489207926744644</v>
      </c>
      <c r="AV62" s="295">
        <f>'FREH LGV vkm'!P62*'FREH Stock'!P74</f>
        <v>8.244603963372322</v>
      </c>
      <c r="AW62" s="295">
        <f>'FREH LGV vkm'!Q62*'FREH Stock'!Q74</f>
        <v>8.244603963372322</v>
      </c>
      <c r="AX62" s="295">
        <f>'FREH LGV vkm'!R62*'FREH Stock'!R74</f>
        <v>24.733811890116954</v>
      </c>
      <c r="AY62" s="295">
        <f>'FREH LGV vkm'!S62*'FREH Stock'!S74</f>
        <v>16.489207926744644</v>
      </c>
      <c r="AZ62" s="295">
        <f>'FREH LGV vkm'!T62*'FREH Stock'!T74</f>
        <v>0</v>
      </c>
      <c r="BA62" s="295">
        <f>'FREH LGV vkm'!U62*'FREH Stock'!U74</f>
        <v>0</v>
      </c>
      <c r="BB62" s="295">
        <f>'FREH LGV vkm'!V62*'FREH Stock'!V74</f>
        <v>0</v>
      </c>
      <c r="BC62" s="295">
        <f>'FREH LGV vkm'!W62*'FREH Stock'!W74</f>
        <v>0</v>
      </c>
      <c r="BD62" s="295">
        <f>'FREH LGV vkm'!X62*'FREH Stock'!X74</f>
        <v>0</v>
      </c>
      <c r="BE62" s="295">
        <f>'FREH LGV vkm'!Y62*'FREH Stock'!Y74</f>
        <v>0</v>
      </c>
      <c r="BF62" s="295">
        <f>'FREH LGV vkm'!Z62*'FREH Stock'!Z74</f>
        <v>0</v>
      </c>
      <c r="BG62" s="295">
        <f>'FREH LGV vkm'!AA62*'FREH Stock'!AA74</f>
        <v>0</v>
      </c>
      <c r="BH62" s="295">
        <f>'FREH LGV vkm'!AB62*'FREH Stock'!AB74</f>
        <v>0</v>
      </c>
      <c r="BI62" s="295">
        <f>'FREH LGV vkm'!AC62*'FREH Stock'!AC74</f>
        <v>0</v>
      </c>
      <c r="BJ62" s="295">
        <f>'FREH LGV vkm'!AD62*'FREH Stock'!AD74</f>
        <v>0</v>
      </c>
      <c r="BK62" s="296">
        <f>'FREH LGV vkm'!AE62*'FREH Stock'!AE74</f>
        <v>0</v>
      </c>
    </row>
    <row r="63" spans="1:63">
      <c r="A63" s="1711"/>
      <c r="B63" s="116">
        <v>19</v>
      </c>
      <c r="C63" s="294">
        <f t="shared" si="10"/>
        <v>7993.4961224031131</v>
      </c>
      <c r="D63" s="295">
        <f t="shared" si="10"/>
        <v>7993.4961224031131</v>
      </c>
      <c r="E63" s="295">
        <f t="shared" si="10"/>
        <v>7993.4961224031131</v>
      </c>
      <c r="F63" s="295">
        <f t="shared" si="10"/>
        <v>7993.4961224031131</v>
      </c>
      <c r="G63" s="295">
        <f t="shared" si="10"/>
        <v>7993.4961224031131</v>
      </c>
      <c r="H63" s="295">
        <f t="shared" si="10"/>
        <v>7993.4961224031131</v>
      </c>
      <c r="I63" s="295">
        <f t="shared" si="10"/>
        <v>7993.4961224031131</v>
      </c>
      <c r="J63" s="295">
        <f t="shared" si="10"/>
        <v>7993.4961224031131</v>
      </c>
      <c r="K63" s="295">
        <f t="shared" si="10"/>
        <v>7993.4961224031131</v>
      </c>
      <c r="L63" s="295">
        <f t="shared" si="10"/>
        <v>7993.4961224031131</v>
      </c>
      <c r="M63" s="295">
        <f t="shared" si="10"/>
        <v>7993.4961224031131</v>
      </c>
      <c r="N63" s="295">
        <f t="shared" si="10"/>
        <v>7993.4961224031131</v>
      </c>
      <c r="O63" s="295">
        <f t="shared" si="10"/>
        <v>7993.4961224031131</v>
      </c>
      <c r="P63" s="295">
        <f t="shared" si="10"/>
        <v>7993.4961224031131</v>
      </c>
      <c r="Q63" s="295">
        <f t="shared" si="11"/>
        <v>7993.4961224031131</v>
      </c>
      <c r="R63" s="295">
        <f t="shared" si="11"/>
        <v>7993.4961224031131</v>
      </c>
      <c r="S63" s="295">
        <f t="shared" si="11"/>
        <v>7993.4961224031131</v>
      </c>
      <c r="T63" s="295">
        <f t="shared" si="11"/>
        <v>7993.4961224031131</v>
      </c>
      <c r="U63" s="295">
        <f t="shared" si="11"/>
        <v>7993.4961224031131</v>
      </c>
      <c r="V63" s="295">
        <f t="shared" si="11"/>
        <v>7993.4961224031131</v>
      </c>
      <c r="W63" s="295">
        <f t="shared" si="11"/>
        <v>7993.4961224031131</v>
      </c>
      <c r="X63" s="295">
        <f t="shared" si="11"/>
        <v>7993.4961224031131</v>
      </c>
      <c r="Y63" s="295">
        <f t="shared" si="11"/>
        <v>7993.4961224031131</v>
      </c>
      <c r="Z63" s="295">
        <f t="shared" si="11"/>
        <v>7993.4961224031131</v>
      </c>
      <c r="AA63" s="295">
        <f t="shared" si="11"/>
        <v>7993.4961224031131</v>
      </c>
      <c r="AB63" s="295">
        <f t="shared" si="11"/>
        <v>7993.4961224031131</v>
      </c>
      <c r="AC63" s="295">
        <f t="shared" si="11"/>
        <v>7993.4961224031131</v>
      </c>
      <c r="AD63" s="295">
        <f t="shared" si="11"/>
        <v>7993.4961224031131</v>
      </c>
      <c r="AE63" s="296">
        <f t="shared" si="11"/>
        <v>7993.4961224031131</v>
      </c>
      <c r="AG63" s="1711"/>
      <c r="AH63" s="116">
        <v>19</v>
      </c>
      <c r="AI63" s="294">
        <f>'FREH LGV vkm'!C63*'FREH Stock'!C75</f>
        <v>40424.66116387643</v>
      </c>
      <c r="AJ63" s="295">
        <f>'FREH LGV vkm'!D63*'FREH Stock'!D75</f>
        <v>0</v>
      </c>
      <c r="AK63" s="295">
        <f>'FREH LGV vkm'!E63*'FREH Stock'!E75</f>
        <v>488.29984109148808</v>
      </c>
      <c r="AL63" s="295">
        <f>'FREH LGV vkm'!F63*'FREH Stock'!F75</f>
        <v>0</v>
      </c>
      <c r="AM63" s="295">
        <f>'FREH LGV vkm'!G63*'FREH Stock'!G75</f>
        <v>51.135158131881809</v>
      </c>
      <c r="AN63" s="295">
        <f>'FREH LGV vkm'!H63*'FREH Stock'!H75</f>
        <v>0</v>
      </c>
      <c r="AO63" s="295">
        <f>'FREH LGV vkm'!I63*'FREH Stock'!I75</f>
        <v>0</v>
      </c>
      <c r="AP63" s="295">
        <f>'FREH LGV vkm'!J63*'FREH Stock'!J75</f>
        <v>5.1810368026784372</v>
      </c>
      <c r="AQ63" s="295">
        <f>'FREH LGV vkm'!K63*'FREH Stock'!K75</f>
        <v>0</v>
      </c>
      <c r="AR63" s="295">
        <f>'FREH LGV vkm'!L63*'FREH Stock'!L75</f>
        <v>0</v>
      </c>
      <c r="AS63" s="295">
        <f>'FREH LGV vkm'!M63*'FREH Stock'!M75</f>
        <v>0</v>
      </c>
      <c r="AT63" s="295">
        <f>'FREH LGV vkm'!N63*'FREH Stock'!N75</f>
        <v>3.9227898537150154</v>
      </c>
      <c r="AU63" s="295">
        <f>'FREH LGV vkm'!O63*'FREH Stock'!O75</f>
        <v>1.8865629934246162</v>
      </c>
      <c r="AV63" s="295">
        <f>'FREH LGV vkm'!P63*'FREH Stock'!P75</f>
        <v>3.7731259868492324</v>
      </c>
      <c r="AW63" s="295">
        <f>'FREH LGV vkm'!Q63*'FREH Stock'!Q75</f>
        <v>1.8865629934246162</v>
      </c>
      <c r="AX63" s="295">
        <f>'FREH LGV vkm'!R63*'FREH Stock'!R75</f>
        <v>1.8865629934246162</v>
      </c>
      <c r="AY63" s="295">
        <f>'FREH LGV vkm'!S63*'FREH Stock'!S75</f>
        <v>5.6596889802738461</v>
      </c>
      <c r="AZ63" s="295">
        <f>'FREH LGV vkm'!T63*'FREH Stock'!T75</f>
        <v>3.7731259868492324</v>
      </c>
      <c r="BA63" s="295">
        <f>'FREH LGV vkm'!U63*'FREH Stock'!U75</f>
        <v>0</v>
      </c>
      <c r="BB63" s="295">
        <f>'FREH LGV vkm'!V63*'FREH Stock'!V75</f>
        <v>0</v>
      </c>
      <c r="BC63" s="295">
        <f>'FREH LGV vkm'!W63*'FREH Stock'!W75</f>
        <v>0</v>
      </c>
      <c r="BD63" s="295">
        <f>'FREH LGV vkm'!X63*'FREH Stock'!X75</f>
        <v>0</v>
      </c>
      <c r="BE63" s="295">
        <f>'FREH LGV vkm'!Y63*'FREH Stock'!Y75</f>
        <v>0</v>
      </c>
      <c r="BF63" s="295">
        <f>'FREH LGV vkm'!Z63*'FREH Stock'!Z75</f>
        <v>0</v>
      </c>
      <c r="BG63" s="295">
        <f>'FREH LGV vkm'!AA63*'FREH Stock'!AA75</f>
        <v>0</v>
      </c>
      <c r="BH63" s="295">
        <f>'FREH LGV vkm'!AB63*'FREH Stock'!AB75</f>
        <v>0</v>
      </c>
      <c r="BI63" s="295">
        <f>'FREH LGV vkm'!AC63*'FREH Stock'!AC75</f>
        <v>0</v>
      </c>
      <c r="BJ63" s="295">
        <f>'FREH LGV vkm'!AD63*'FREH Stock'!AD75</f>
        <v>0</v>
      </c>
      <c r="BK63" s="296">
        <f>'FREH LGV vkm'!AE63*'FREH Stock'!AE75</f>
        <v>0</v>
      </c>
    </row>
    <row r="64" spans="1:63">
      <c r="A64" s="1711"/>
      <c r="B64" s="116">
        <v>20</v>
      </c>
      <c r="C64" s="294">
        <f t="shared" si="10"/>
        <v>7993.4961224031131</v>
      </c>
      <c r="D64" s="295">
        <f t="shared" si="10"/>
        <v>7993.4961224031131</v>
      </c>
      <c r="E64" s="295">
        <f t="shared" si="10"/>
        <v>7993.4961224031131</v>
      </c>
      <c r="F64" s="295">
        <f t="shared" si="10"/>
        <v>7993.4961224031131</v>
      </c>
      <c r="G64" s="295">
        <f t="shared" si="10"/>
        <v>7993.4961224031131</v>
      </c>
      <c r="H64" s="295">
        <f t="shared" si="10"/>
        <v>7993.4961224031131</v>
      </c>
      <c r="I64" s="295">
        <f t="shared" si="10"/>
        <v>7993.4961224031131</v>
      </c>
      <c r="J64" s="295">
        <f t="shared" si="10"/>
        <v>7993.4961224031131</v>
      </c>
      <c r="K64" s="295">
        <f t="shared" si="10"/>
        <v>7993.4961224031131</v>
      </c>
      <c r="L64" s="295">
        <f t="shared" si="10"/>
        <v>7993.4961224031131</v>
      </c>
      <c r="M64" s="295">
        <f t="shared" si="10"/>
        <v>7993.4961224031131</v>
      </c>
      <c r="N64" s="295">
        <f t="shared" si="10"/>
        <v>7993.4961224031131</v>
      </c>
      <c r="O64" s="295">
        <f t="shared" si="10"/>
        <v>7993.4961224031131</v>
      </c>
      <c r="P64" s="295">
        <f t="shared" si="10"/>
        <v>7993.4961224031131</v>
      </c>
      <c r="Q64" s="295">
        <f t="shared" si="11"/>
        <v>7993.4961224031131</v>
      </c>
      <c r="R64" s="295">
        <f t="shared" si="11"/>
        <v>7993.4961224031131</v>
      </c>
      <c r="S64" s="295">
        <f t="shared" si="11"/>
        <v>7993.4961224031131</v>
      </c>
      <c r="T64" s="295">
        <f t="shared" si="11"/>
        <v>7993.4961224031131</v>
      </c>
      <c r="U64" s="295">
        <f t="shared" si="11"/>
        <v>7993.4961224031131</v>
      </c>
      <c r="V64" s="295">
        <f t="shared" si="11"/>
        <v>7993.4961224031131</v>
      </c>
      <c r="W64" s="295">
        <f t="shared" si="11"/>
        <v>7993.4961224031131</v>
      </c>
      <c r="X64" s="295">
        <f t="shared" si="11"/>
        <v>7993.4961224031131</v>
      </c>
      <c r="Y64" s="295">
        <f t="shared" si="11"/>
        <v>7993.4961224031131</v>
      </c>
      <c r="Z64" s="295">
        <f t="shared" si="11"/>
        <v>7993.4961224031131</v>
      </c>
      <c r="AA64" s="295">
        <f t="shared" si="11"/>
        <v>7993.4961224031131</v>
      </c>
      <c r="AB64" s="295">
        <f t="shared" si="11"/>
        <v>7993.4961224031131</v>
      </c>
      <c r="AC64" s="295">
        <f t="shared" si="11"/>
        <v>7993.4961224031131</v>
      </c>
      <c r="AD64" s="295">
        <f t="shared" si="11"/>
        <v>7993.4961224031131</v>
      </c>
      <c r="AE64" s="296">
        <f t="shared" si="11"/>
        <v>7993.4961224031131</v>
      </c>
      <c r="AG64" s="1711"/>
      <c r="AH64" s="116">
        <v>20</v>
      </c>
      <c r="AI64" s="294">
        <f>'FREH LGV vkm'!C64*'FREH Stock'!C76</f>
        <v>14871.401758511769</v>
      </c>
      <c r="AJ64" s="295">
        <f>'FREH LGV vkm'!D64*'FREH Stock'!D76</f>
        <v>7708.4428102216289</v>
      </c>
      <c r="AK64" s="295">
        <f>'FREH LGV vkm'!E64*'FREH Stock'!E76</f>
        <v>0</v>
      </c>
      <c r="AL64" s="295">
        <f>'FREH LGV vkm'!F64*'FREH Stock'!F76</f>
        <v>93.112256007171979</v>
      </c>
      <c r="AM64" s="295">
        <f>'FREH LGV vkm'!G64*'FREH Stock'!G76</f>
        <v>0</v>
      </c>
      <c r="AN64" s="295">
        <f>'FREH LGV vkm'!H64*'FREH Stock'!H76</f>
        <v>9.7507914897128138</v>
      </c>
      <c r="AO64" s="295">
        <f>'FREH LGV vkm'!I64*'FREH Stock'!I76</f>
        <v>0</v>
      </c>
      <c r="AP64" s="295">
        <f>'FREH LGV vkm'!J64*'FREH Stock'!J76</f>
        <v>0</v>
      </c>
      <c r="AQ64" s="295">
        <f>'FREH LGV vkm'!K64*'FREH Stock'!K76</f>
        <v>0.98795449958622528</v>
      </c>
      <c r="AR64" s="295">
        <f>'FREH LGV vkm'!L64*'FREH Stock'!L76</f>
        <v>0</v>
      </c>
      <c r="AS64" s="295">
        <f>'FREH LGV vkm'!M64*'FREH Stock'!M76</f>
        <v>0</v>
      </c>
      <c r="AT64" s="295">
        <f>'FREH LGV vkm'!N64*'FREH Stock'!N76</f>
        <v>0</v>
      </c>
      <c r="AU64" s="295">
        <f>'FREH LGV vkm'!O64*'FREH Stock'!O76</f>
        <v>0.74802361660612138</v>
      </c>
      <c r="AV64" s="295">
        <f>'FREH LGV vkm'!P64*'FREH Stock'!P76</f>
        <v>0.35974235835251367</v>
      </c>
      <c r="AW64" s="295">
        <f>'FREH LGV vkm'!Q64*'FREH Stock'!Q76</f>
        <v>0.71948471670502734</v>
      </c>
      <c r="AX64" s="295">
        <f>'FREH LGV vkm'!R64*'FREH Stock'!R76</f>
        <v>0.35974235835251367</v>
      </c>
      <c r="AY64" s="295">
        <f>'FREH LGV vkm'!S64*'FREH Stock'!S76</f>
        <v>0.35974235835251367</v>
      </c>
      <c r="AZ64" s="295">
        <f>'FREH LGV vkm'!T64*'FREH Stock'!T76</f>
        <v>1.0792270750575408</v>
      </c>
      <c r="BA64" s="295">
        <f>'FREH LGV vkm'!U64*'FREH Stock'!U76</f>
        <v>0.71948471670502734</v>
      </c>
      <c r="BB64" s="295">
        <f>'FREH LGV vkm'!V64*'FREH Stock'!V76</f>
        <v>0</v>
      </c>
      <c r="BC64" s="295">
        <f>'FREH LGV vkm'!W64*'FREH Stock'!W76</f>
        <v>0</v>
      </c>
      <c r="BD64" s="295">
        <f>'FREH LGV vkm'!X64*'FREH Stock'!X76</f>
        <v>0</v>
      </c>
      <c r="BE64" s="295">
        <f>'FREH LGV vkm'!Y64*'FREH Stock'!Y76</f>
        <v>0</v>
      </c>
      <c r="BF64" s="295">
        <f>'FREH LGV vkm'!Z64*'FREH Stock'!Z76</f>
        <v>0</v>
      </c>
      <c r="BG64" s="295">
        <f>'FREH LGV vkm'!AA64*'FREH Stock'!AA76</f>
        <v>0</v>
      </c>
      <c r="BH64" s="295">
        <f>'FREH LGV vkm'!AB64*'FREH Stock'!AB76</f>
        <v>0</v>
      </c>
      <c r="BI64" s="295">
        <f>'FREH LGV vkm'!AC64*'FREH Stock'!AC76</f>
        <v>0</v>
      </c>
      <c r="BJ64" s="295">
        <f>'FREH LGV vkm'!AD64*'FREH Stock'!AD76</f>
        <v>0</v>
      </c>
      <c r="BK64" s="296">
        <f>'FREH LGV vkm'!AE64*'FREH Stock'!AE76</f>
        <v>0</v>
      </c>
    </row>
    <row r="65" spans="1:63">
      <c r="A65" s="1711"/>
      <c r="B65" s="116">
        <v>21</v>
      </c>
      <c r="C65" s="294">
        <f t="shared" si="10"/>
        <v>7993.4961224031131</v>
      </c>
      <c r="D65" s="295">
        <f t="shared" si="10"/>
        <v>7993.4961224031131</v>
      </c>
      <c r="E65" s="295">
        <f t="shared" si="10"/>
        <v>7993.4961224031131</v>
      </c>
      <c r="F65" s="295">
        <f t="shared" si="10"/>
        <v>7993.4961224031131</v>
      </c>
      <c r="G65" s="295">
        <f t="shared" si="10"/>
        <v>7993.4961224031131</v>
      </c>
      <c r="H65" s="295">
        <f t="shared" si="10"/>
        <v>7993.4961224031131</v>
      </c>
      <c r="I65" s="295">
        <f t="shared" si="10"/>
        <v>7993.4961224031131</v>
      </c>
      <c r="J65" s="295">
        <f t="shared" si="10"/>
        <v>7993.4961224031131</v>
      </c>
      <c r="K65" s="295">
        <f t="shared" si="10"/>
        <v>7993.4961224031131</v>
      </c>
      <c r="L65" s="295">
        <f t="shared" si="10"/>
        <v>7993.4961224031131</v>
      </c>
      <c r="M65" s="295">
        <f t="shared" si="10"/>
        <v>7993.4961224031131</v>
      </c>
      <c r="N65" s="295">
        <f t="shared" si="10"/>
        <v>7993.4961224031131</v>
      </c>
      <c r="O65" s="295">
        <f t="shared" si="10"/>
        <v>7993.4961224031131</v>
      </c>
      <c r="P65" s="295">
        <f t="shared" si="10"/>
        <v>7993.4961224031131</v>
      </c>
      <c r="Q65" s="295">
        <f t="shared" si="11"/>
        <v>7993.4961224031131</v>
      </c>
      <c r="R65" s="295">
        <f t="shared" si="11"/>
        <v>7993.4961224031131</v>
      </c>
      <c r="S65" s="295">
        <f t="shared" si="11"/>
        <v>7993.4961224031131</v>
      </c>
      <c r="T65" s="295">
        <f t="shared" si="11"/>
        <v>7993.4961224031131</v>
      </c>
      <c r="U65" s="295">
        <f t="shared" si="11"/>
        <v>7993.4961224031131</v>
      </c>
      <c r="V65" s="295">
        <f t="shared" si="11"/>
        <v>7993.4961224031131</v>
      </c>
      <c r="W65" s="295">
        <f t="shared" si="11"/>
        <v>7993.4961224031131</v>
      </c>
      <c r="X65" s="295">
        <f t="shared" si="11"/>
        <v>7993.4961224031131</v>
      </c>
      <c r="Y65" s="295">
        <f t="shared" si="11"/>
        <v>7993.4961224031131</v>
      </c>
      <c r="Z65" s="295">
        <f t="shared" si="11"/>
        <v>7993.4961224031131</v>
      </c>
      <c r="AA65" s="295">
        <f t="shared" si="11"/>
        <v>7993.4961224031131</v>
      </c>
      <c r="AB65" s="295">
        <f t="shared" si="11"/>
        <v>7993.4961224031131</v>
      </c>
      <c r="AC65" s="295">
        <f t="shared" si="11"/>
        <v>7993.4961224031131</v>
      </c>
      <c r="AD65" s="295">
        <f t="shared" si="11"/>
        <v>7993.4961224031131</v>
      </c>
      <c r="AE65" s="296">
        <f t="shared" si="11"/>
        <v>7993.4961224031131</v>
      </c>
      <c r="AG65" s="1711"/>
      <c r="AH65" s="116">
        <v>21</v>
      </c>
      <c r="AI65" s="294">
        <f>'FREH LGV vkm'!C65*'FREH Stock'!C77</f>
        <v>5470.882968357314</v>
      </c>
      <c r="AJ65" s="295">
        <f>'FREH LGV vkm'!D65*'FREH Stock'!D77</f>
        <v>2268.6221066610838</v>
      </c>
      <c r="AK65" s="295">
        <f>'FREH LGV vkm'!E65*'FREH Stock'!E77</f>
        <v>1175.9176472515335</v>
      </c>
      <c r="AL65" s="295">
        <f>'FREH LGV vkm'!F65*'FREH Stock'!F77</f>
        <v>0</v>
      </c>
      <c r="AM65" s="295">
        <f>'FREH LGV vkm'!G65*'FREH Stock'!G77</f>
        <v>14.204210592189382</v>
      </c>
      <c r="AN65" s="295">
        <f>'FREH LGV vkm'!H65*'FREH Stock'!H77</f>
        <v>0</v>
      </c>
      <c r="AO65" s="295">
        <f>'FREH LGV vkm'!I65*'FREH Stock'!I77</f>
        <v>1.4874765331616568</v>
      </c>
      <c r="AP65" s="295">
        <f>'FREH LGV vkm'!J65*'FREH Stock'!J77</f>
        <v>0</v>
      </c>
      <c r="AQ65" s="295">
        <f>'FREH LGV vkm'!K65*'FREH Stock'!K77</f>
        <v>0</v>
      </c>
      <c r="AR65" s="295">
        <f>'FREH LGV vkm'!L65*'FREH Stock'!L77</f>
        <v>0.15071177919416881</v>
      </c>
      <c r="AS65" s="295">
        <f>'FREH LGV vkm'!M65*'FREH Stock'!M77</f>
        <v>0</v>
      </c>
      <c r="AT65" s="295">
        <f>'FREH LGV vkm'!N65*'FREH Stock'!N77</f>
        <v>0</v>
      </c>
      <c r="AU65" s="295">
        <f>'FREH LGV vkm'!O65*'FREH Stock'!O77</f>
        <v>0</v>
      </c>
      <c r="AV65" s="295">
        <f>'FREH LGV vkm'!P65*'FREH Stock'!P77</f>
        <v>0.11411048806921917</v>
      </c>
      <c r="AW65" s="295">
        <f>'FREH LGV vkm'!Q65*'FREH Stock'!Q77</f>
        <v>5.4878449262107616E-2</v>
      </c>
      <c r="AX65" s="295">
        <f>'FREH LGV vkm'!R65*'FREH Stock'!R77</f>
        <v>0.10975689852421523</v>
      </c>
      <c r="AY65" s="295">
        <f>'FREH LGV vkm'!S65*'FREH Stock'!S77</f>
        <v>5.4878449262107616E-2</v>
      </c>
      <c r="AZ65" s="295">
        <f>'FREH LGV vkm'!T65*'FREH Stock'!T77</f>
        <v>5.4878449262107616E-2</v>
      </c>
      <c r="BA65" s="295">
        <f>'FREH LGV vkm'!U65*'FREH Stock'!U77</f>
        <v>0.1646353477863228</v>
      </c>
      <c r="BB65" s="295">
        <f>'FREH LGV vkm'!V65*'FREH Stock'!V77</f>
        <v>0.10975689852421523</v>
      </c>
      <c r="BC65" s="295">
        <f>'FREH LGV vkm'!W65*'FREH Stock'!W77</f>
        <v>0</v>
      </c>
      <c r="BD65" s="295">
        <f>'FREH LGV vkm'!X65*'FREH Stock'!X77</f>
        <v>0</v>
      </c>
      <c r="BE65" s="295">
        <f>'FREH LGV vkm'!Y65*'FREH Stock'!Y77</f>
        <v>0</v>
      </c>
      <c r="BF65" s="295">
        <f>'FREH LGV vkm'!Z65*'FREH Stock'!Z77</f>
        <v>0</v>
      </c>
      <c r="BG65" s="295">
        <f>'FREH LGV vkm'!AA65*'FREH Stock'!AA77</f>
        <v>0</v>
      </c>
      <c r="BH65" s="295">
        <f>'FREH LGV vkm'!AB65*'FREH Stock'!AB77</f>
        <v>0</v>
      </c>
      <c r="BI65" s="295">
        <f>'FREH LGV vkm'!AC65*'FREH Stock'!AC77</f>
        <v>0</v>
      </c>
      <c r="BJ65" s="295">
        <f>'FREH LGV vkm'!AD65*'FREH Stock'!AD77</f>
        <v>0</v>
      </c>
      <c r="BK65" s="296">
        <f>'FREH LGV vkm'!AE65*'FREH Stock'!AE77</f>
        <v>0</v>
      </c>
    </row>
    <row r="66" spans="1:63">
      <c r="A66" s="1711"/>
      <c r="B66" s="116">
        <v>22</v>
      </c>
      <c r="C66" s="294">
        <f t="shared" si="10"/>
        <v>7993.4961224031131</v>
      </c>
      <c r="D66" s="295">
        <f t="shared" si="10"/>
        <v>7993.4961224031131</v>
      </c>
      <c r="E66" s="295">
        <f t="shared" si="10"/>
        <v>7993.4961224031131</v>
      </c>
      <c r="F66" s="295">
        <f t="shared" si="10"/>
        <v>7993.4961224031131</v>
      </c>
      <c r="G66" s="295">
        <f t="shared" si="10"/>
        <v>7993.4961224031131</v>
      </c>
      <c r="H66" s="295">
        <f t="shared" si="10"/>
        <v>7993.4961224031131</v>
      </c>
      <c r="I66" s="295">
        <f t="shared" si="10"/>
        <v>7993.4961224031131</v>
      </c>
      <c r="J66" s="295">
        <f t="shared" si="10"/>
        <v>7993.4961224031131</v>
      </c>
      <c r="K66" s="295">
        <f t="shared" si="10"/>
        <v>7993.4961224031131</v>
      </c>
      <c r="L66" s="295">
        <f t="shared" si="10"/>
        <v>7993.4961224031131</v>
      </c>
      <c r="M66" s="295">
        <f t="shared" si="10"/>
        <v>7993.4961224031131</v>
      </c>
      <c r="N66" s="295">
        <f t="shared" si="10"/>
        <v>7993.4961224031131</v>
      </c>
      <c r="O66" s="295">
        <f t="shared" si="10"/>
        <v>7993.4961224031131</v>
      </c>
      <c r="P66" s="295">
        <f t="shared" si="10"/>
        <v>7993.4961224031131</v>
      </c>
      <c r="Q66" s="295">
        <f t="shared" si="11"/>
        <v>7993.4961224031131</v>
      </c>
      <c r="R66" s="295">
        <f t="shared" si="11"/>
        <v>7993.4961224031131</v>
      </c>
      <c r="S66" s="295">
        <f t="shared" si="11"/>
        <v>7993.4961224031131</v>
      </c>
      <c r="T66" s="295">
        <f t="shared" si="11"/>
        <v>7993.4961224031131</v>
      </c>
      <c r="U66" s="295">
        <f t="shared" si="11"/>
        <v>7993.4961224031131</v>
      </c>
      <c r="V66" s="295">
        <f t="shared" si="11"/>
        <v>7993.4961224031131</v>
      </c>
      <c r="W66" s="295">
        <f t="shared" si="11"/>
        <v>7993.4961224031131</v>
      </c>
      <c r="X66" s="295">
        <f t="shared" si="11"/>
        <v>7993.4961224031131</v>
      </c>
      <c r="Y66" s="295">
        <f t="shared" si="11"/>
        <v>7993.4961224031131</v>
      </c>
      <c r="Z66" s="295">
        <f t="shared" si="11"/>
        <v>7993.4961224031131</v>
      </c>
      <c r="AA66" s="295">
        <f t="shared" si="11"/>
        <v>7993.4961224031131</v>
      </c>
      <c r="AB66" s="295">
        <f t="shared" si="11"/>
        <v>7993.4961224031131</v>
      </c>
      <c r="AC66" s="295">
        <f t="shared" si="11"/>
        <v>7993.4961224031131</v>
      </c>
      <c r="AD66" s="295">
        <f t="shared" si="11"/>
        <v>7993.4961224031131</v>
      </c>
      <c r="AE66" s="296">
        <f t="shared" si="11"/>
        <v>7993.4961224031131</v>
      </c>
      <c r="AG66" s="1711"/>
      <c r="AH66" s="116">
        <v>22</v>
      </c>
      <c r="AI66" s="294">
        <f>'FREH LGV vkm'!C66*'FREH Stock'!C78</f>
        <v>2012.6253691136501</v>
      </c>
      <c r="AJ66" s="295">
        <f>'FREH LGV vkm'!D66*'FREH Stock'!D78</f>
        <v>625.9345746207448</v>
      </c>
      <c r="AK66" s="295">
        <f>'FREH LGV vkm'!E66*'FREH Stock'!E78</f>
        <v>259.55755616071878</v>
      </c>
      <c r="AL66" s="295">
        <f>'FREH LGV vkm'!F66*'FREH Stock'!F78</f>
        <v>134.53907103818398</v>
      </c>
      <c r="AM66" s="295">
        <f>'FREH LGV vkm'!G66*'FREH Stock'!G78</f>
        <v>0</v>
      </c>
      <c r="AN66" s="295">
        <f>'FREH LGV vkm'!H66*'FREH Stock'!H78</f>
        <v>1.6251319149521342</v>
      </c>
      <c r="AO66" s="295">
        <f>'FREH LGV vkm'!I66*'FREH Stock'!I78</f>
        <v>0</v>
      </c>
      <c r="AP66" s="295">
        <f>'FREH LGV vkm'!J66*'FREH Stock'!J78</f>
        <v>0.17018514130680493</v>
      </c>
      <c r="AQ66" s="295">
        <f>'FREH LGV vkm'!K66*'FREH Stock'!K78</f>
        <v>0</v>
      </c>
      <c r="AR66" s="295">
        <f>'FREH LGV vkm'!L66*'FREH Stock'!L78</f>
        <v>0</v>
      </c>
      <c r="AS66" s="295">
        <f>'FREH LGV vkm'!M66*'FREH Stock'!M78</f>
        <v>1.7243233669201094E-2</v>
      </c>
      <c r="AT66" s="295">
        <f>'FREH LGV vkm'!N66*'FREH Stock'!N78</f>
        <v>0</v>
      </c>
      <c r="AU66" s="295">
        <f>'FREH LGV vkm'!O66*'FREH Stock'!O78</f>
        <v>0</v>
      </c>
      <c r="AV66" s="295">
        <f>'FREH LGV vkm'!P66*'FREH Stock'!P78</f>
        <v>0</v>
      </c>
      <c r="AW66" s="295">
        <f>'FREH LGV vkm'!Q66*'FREH Stock'!Q78</f>
        <v>1.3055607334773336E-2</v>
      </c>
      <c r="AX66" s="295">
        <f>'FREH LGV vkm'!R66*'FREH Stock'!R78</f>
        <v>6.2787522587121752E-3</v>
      </c>
      <c r="AY66" s="295">
        <f>'FREH LGV vkm'!S66*'FREH Stock'!S78</f>
        <v>1.255750451742435E-2</v>
      </c>
      <c r="AZ66" s="295">
        <f>'FREH LGV vkm'!T66*'FREH Stock'!T78</f>
        <v>6.2787522587121752E-3</v>
      </c>
      <c r="BA66" s="295">
        <f>'FREH LGV vkm'!U66*'FREH Stock'!U78</f>
        <v>6.2787522587121752E-3</v>
      </c>
      <c r="BB66" s="295">
        <f>'FREH LGV vkm'!V66*'FREH Stock'!V78</f>
        <v>1.8836256776136522E-2</v>
      </c>
      <c r="BC66" s="295">
        <f>'FREH LGV vkm'!W66*'FREH Stock'!W78</f>
        <v>1.255750451742435E-2</v>
      </c>
      <c r="BD66" s="295">
        <f>'FREH LGV vkm'!X66*'FREH Stock'!X78</f>
        <v>0</v>
      </c>
      <c r="BE66" s="295">
        <f>'FREH LGV vkm'!Y66*'FREH Stock'!Y78</f>
        <v>0</v>
      </c>
      <c r="BF66" s="295">
        <f>'FREH LGV vkm'!Z66*'FREH Stock'!Z78</f>
        <v>0</v>
      </c>
      <c r="BG66" s="295">
        <f>'FREH LGV vkm'!AA66*'FREH Stock'!AA78</f>
        <v>0</v>
      </c>
      <c r="BH66" s="295">
        <f>'FREH LGV vkm'!AB66*'FREH Stock'!AB78</f>
        <v>0</v>
      </c>
      <c r="BI66" s="295">
        <f>'FREH LGV vkm'!AC66*'FREH Stock'!AC78</f>
        <v>0</v>
      </c>
      <c r="BJ66" s="295">
        <f>'FREH LGV vkm'!AD66*'FREH Stock'!AD78</f>
        <v>0</v>
      </c>
      <c r="BK66" s="296">
        <f>'FREH LGV vkm'!AE66*'FREH Stock'!AE78</f>
        <v>0</v>
      </c>
    </row>
    <row r="67" spans="1:63">
      <c r="A67" s="1711"/>
      <c r="B67" s="116">
        <v>23</v>
      </c>
      <c r="C67" s="294">
        <f t="shared" si="10"/>
        <v>7993.4961224031131</v>
      </c>
      <c r="D67" s="295">
        <f t="shared" si="10"/>
        <v>7993.4961224031131</v>
      </c>
      <c r="E67" s="295">
        <f t="shared" si="10"/>
        <v>7993.4961224031131</v>
      </c>
      <c r="F67" s="295">
        <f t="shared" si="10"/>
        <v>7993.4961224031131</v>
      </c>
      <c r="G67" s="295">
        <f t="shared" si="10"/>
        <v>7993.4961224031131</v>
      </c>
      <c r="H67" s="295">
        <f t="shared" si="10"/>
        <v>7993.4961224031131</v>
      </c>
      <c r="I67" s="295">
        <f t="shared" si="10"/>
        <v>7993.4961224031131</v>
      </c>
      <c r="J67" s="295">
        <f t="shared" si="10"/>
        <v>7993.4961224031131</v>
      </c>
      <c r="K67" s="295">
        <f t="shared" si="10"/>
        <v>7993.4961224031131</v>
      </c>
      <c r="L67" s="295">
        <f t="shared" si="10"/>
        <v>7993.4961224031131</v>
      </c>
      <c r="M67" s="295">
        <f t="shared" si="10"/>
        <v>7993.4961224031131</v>
      </c>
      <c r="N67" s="295">
        <f t="shared" si="10"/>
        <v>7993.4961224031131</v>
      </c>
      <c r="O67" s="295">
        <f t="shared" si="10"/>
        <v>7993.4961224031131</v>
      </c>
      <c r="P67" s="295">
        <f t="shared" si="10"/>
        <v>7993.4961224031131</v>
      </c>
      <c r="Q67" s="295">
        <f t="shared" si="11"/>
        <v>7993.4961224031131</v>
      </c>
      <c r="R67" s="295">
        <f t="shared" si="11"/>
        <v>7993.4961224031131</v>
      </c>
      <c r="S67" s="295">
        <f t="shared" si="11"/>
        <v>7993.4961224031131</v>
      </c>
      <c r="T67" s="295">
        <f t="shared" si="11"/>
        <v>7993.4961224031131</v>
      </c>
      <c r="U67" s="295">
        <f t="shared" si="11"/>
        <v>7993.4961224031131</v>
      </c>
      <c r="V67" s="295">
        <f t="shared" si="11"/>
        <v>7993.4961224031131</v>
      </c>
      <c r="W67" s="295">
        <f t="shared" si="11"/>
        <v>7993.4961224031131</v>
      </c>
      <c r="X67" s="295">
        <f t="shared" si="11"/>
        <v>7993.4961224031131</v>
      </c>
      <c r="Y67" s="295">
        <f t="shared" si="11"/>
        <v>7993.4961224031131</v>
      </c>
      <c r="Z67" s="295">
        <f t="shared" si="11"/>
        <v>7993.4961224031131</v>
      </c>
      <c r="AA67" s="295">
        <f t="shared" si="11"/>
        <v>7993.4961224031131</v>
      </c>
      <c r="AB67" s="295">
        <f t="shared" si="11"/>
        <v>7993.4961224031131</v>
      </c>
      <c r="AC67" s="295">
        <f t="shared" si="11"/>
        <v>7993.4961224031131</v>
      </c>
      <c r="AD67" s="295">
        <f t="shared" si="11"/>
        <v>7993.4961224031131</v>
      </c>
      <c r="AE67" s="296">
        <f t="shared" si="11"/>
        <v>7993.4961224031131</v>
      </c>
      <c r="AG67" s="1711"/>
      <c r="AH67" s="116">
        <v>23</v>
      </c>
      <c r="AI67" s="294">
        <f>'FREH LGV vkm'!C67*'FREH Stock'!C79</f>
        <v>740.40349607699738</v>
      </c>
      <c r="AJ67" s="295">
        <f>'FREH LGV vkm'!D67*'FREH Stock'!D79</f>
        <v>153.51230768090932</v>
      </c>
      <c r="AK67" s="295">
        <f>'FREH LGV vkm'!E67*'FREH Stock'!E79</f>
        <v>47.742944356115224</v>
      </c>
      <c r="AL67" s="295">
        <f>'FREH LGV vkm'!F67*'FREH Stock'!F79</f>
        <v>19.797663307700834</v>
      </c>
      <c r="AM67" s="295">
        <f>'FREH LGV vkm'!G67*'FREH Stock'!G79</f>
        <v>10.261921361655631</v>
      </c>
      <c r="AN67" s="295">
        <f>'FREH LGV vkm'!H67*'FREH Stock'!H79</f>
        <v>0</v>
      </c>
      <c r="AO67" s="295">
        <f>'FREH LGV vkm'!I67*'FREH Stock'!I79</f>
        <v>0.12395637776347124</v>
      </c>
      <c r="AP67" s="295">
        <f>'FREH LGV vkm'!J67*'FREH Stock'!J79</f>
        <v>0</v>
      </c>
      <c r="AQ67" s="295">
        <f>'FREH LGV vkm'!K67*'FREH Stock'!K79</f>
        <v>1.2980813109056064E-2</v>
      </c>
      <c r="AR67" s="295">
        <f>'FREH LGV vkm'!L67*'FREH Stock'!L79</f>
        <v>0</v>
      </c>
      <c r="AS67" s="295">
        <f>'FREH LGV vkm'!M67*'FREH Stock'!M79</f>
        <v>0</v>
      </c>
      <c r="AT67" s="295">
        <f>'FREH LGV vkm'!N67*'FREH Stock'!N79</f>
        <v>1.3152217164021738E-3</v>
      </c>
      <c r="AU67" s="295">
        <f>'FREH LGV vkm'!O67*'FREH Stock'!O79</f>
        <v>0</v>
      </c>
      <c r="AV67" s="295">
        <f>'FREH LGV vkm'!P67*'FREH Stock'!P79</f>
        <v>0</v>
      </c>
      <c r="AW67" s="295">
        <f>'FREH LGV vkm'!Q67*'FREH Stock'!Q79</f>
        <v>0</v>
      </c>
      <c r="AX67" s="295">
        <f>'FREH LGV vkm'!R67*'FREH Stock'!R79</f>
        <v>9.9581195829778215E-4</v>
      </c>
      <c r="AY67" s="295">
        <f>'FREH LGV vkm'!S67*'FREH Stock'!S79</f>
        <v>4.7890966862656071E-4</v>
      </c>
      <c r="AZ67" s="295">
        <f>'FREH LGV vkm'!T67*'FREH Stock'!T79</f>
        <v>9.5781933725312142E-4</v>
      </c>
      <c r="BA67" s="295">
        <f>'FREH LGV vkm'!U67*'FREH Stock'!U79</f>
        <v>4.7890966862656071E-4</v>
      </c>
      <c r="BB67" s="295">
        <f>'FREH LGV vkm'!V67*'FREH Stock'!V79</f>
        <v>4.7890966862656071E-4</v>
      </c>
      <c r="BC67" s="295">
        <f>'FREH LGV vkm'!W67*'FREH Stock'!W79</f>
        <v>1.436729005879682E-3</v>
      </c>
      <c r="BD67" s="295">
        <f>'FREH LGV vkm'!X67*'FREH Stock'!X79</f>
        <v>9.5781933725312142E-4</v>
      </c>
      <c r="BE67" s="295">
        <f>'FREH LGV vkm'!Y67*'FREH Stock'!Y79</f>
        <v>0</v>
      </c>
      <c r="BF67" s="295">
        <f>'FREH LGV vkm'!Z67*'FREH Stock'!Z79</f>
        <v>0</v>
      </c>
      <c r="BG67" s="295">
        <f>'FREH LGV vkm'!AA67*'FREH Stock'!AA79</f>
        <v>0</v>
      </c>
      <c r="BH67" s="295">
        <f>'FREH LGV vkm'!AB67*'FREH Stock'!AB79</f>
        <v>0</v>
      </c>
      <c r="BI67" s="295">
        <f>'FREH LGV vkm'!AC67*'FREH Stock'!AC79</f>
        <v>0</v>
      </c>
      <c r="BJ67" s="295">
        <f>'FREH LGV vkm'!AD67*'FREH Stock'!AD79</f>
        <v>0</v>
      </c>
      <c r="BK67" s="296">
        <f>'FREH LGV vkm'!AE67*'FREH Stock'!AE79</f>
        <v>0</v>
      </c>
    </row>
    <row r="68" spans="1:63">
      <c r="A68" s="1711"/>
      <c r="B68" s="116">
        <v>24</v>
      </c>
      <c r="C68" s="294">
        <f t="shared" ref="C68:P69" si="12">C67</f>
        <v>7993.4961224031131</v>
      </c>
      <c r="D68" s="295">
        <f t="shared" si="12"/>
        <v>7993.4961224031131</v>
      </c>
      <c r="E68" s="295">
        <f t="shared" si="12"/>
        <v>7993.4961224031131</v>
      </c>
      <c r="F68" s="295">
        <f t="shared" si="12"/>
        <v>7993.4961224031131</v>
      </c>
      <c r="G68" s="295">
        <f t="shared" si="12"/>
        <v>7993.4961224031131</v>
      </c>
      <c r="H68" s="295">
        <f t="shared" si="12"/>
        <v>7993.4961224031131</v>
      </c>
      <c r="I68" s="295">
        <f t="shared" si="12"/>
        <v>7993.4961224031131</v>
      </c>
      <c r="J68" s="295">
        <f t="shared" si="12"/>
        <v>7993.4961224031131</v>
      </c>
      <c r="K68" s="295">
        <f t="shared" si="12"/>
        <v>7993.4961224031131</v>
      </c>
      <c r="L68" s="295">
        <f t="shared" si="12"/>
        <v>7993.4961224031131</v>
      </c>
      <c r="M68" s="295">
        <f t="shared" si="12"/>
        <v>7993.4961224031131</v>
      </c>
      <c r="N68" s="295">
        <f t="shared" si="12"/>
        <v>7993.4961224031131</v>
      </c>
      <c r="O68" s="295">
        <f t="shared" si="12"/>
        <v>7993.4961224031131</v>
      </c>
      <c r="P68" s="295">
        <f t="shared" si="12"/>
        <v>7993.4961224031131</v>
      </c>
      <c r="Q68" s="295">
        <f t="shared" si="11"/>
        <v>7993.4961224031131</v>
      </c>
      <c r="R68" s="295">
        <f t="shared" si="11"/>
        <v>7993.4961224031131</v>
      </c>
      <c r="S68" s="295">
        <f t="shared" si="11"/>
        <v>7993.4961224031131</v>
      </c>
      <c r="T68" s="295">
        <f t="shared" si="11"/>
        <v>7993.4961224031131</v>
      </c>
      <c r="U68" s="295">
        <f t="shared" si="11"/>
        <v>7993.4961224031131</v>
      </c>
      <c r="V68" s="295">
        <f t="shared" si="11"/>
        <v>7993.4961224031131</v>
      </c>
      <c r="W68" s="295">
        <f t="shared" si="11"/>
        <v>7993.4961224031131</v>
      </c>
      <c r="X68" s="295">
        <f t="shared" si="11"/>
        <v>7993.4961224031131</v>
      </c>
      <c r="Y68" s="295">
        <f t="shared" si="11"/>
        <v>7993.4961224031131</v>
      </c>
      <c r="Z68" s="295">
        <f t="shared" si="11"/>
        <v>7993.4961224031131</v>
      </c>
      <c r="AA68" s="295">
        <f t="shared" si="11"/>
        <v>7993.4961224031131</v>
      </c>
      <c r="AB68" s="295">
        <f t="shared" si="11"/>
        <v>7993.4961224031131</v>
      </c>
      <c r="AC68" s="295">
        <f t="shared" si="11"/>
        <v>7993.4961224031131</v>
      </c>
      <c r="AD68" s="295">
        <f t="shared" si="11"/>
        <v>7993.4961224031131</v>
      </c>
      <c r="AE68" s="296">
        <f t="shared" si="11"/>
        <v>7993.4961224031131</v>
      </c>
      <c r="AG68" s="1711"/>
      <c r="AH68" s="116">
        <v>24</v>
      </c>
      <c r="AI68" s="294">
        <f>'FREH LGV vkm'!C68*'FREH Stock'!C80</f>
        <v>272.37922437818798</v>
      </c>
      <c r="AJ68" s="295">
        <f>'FREH LGV vkm'!D68*'FREH Stock'!D80</f>
        <v>28.237010981295693</v>
      </c>
      <c r="AK68" s="295">
        <f>'FREH LGV vkm'!E68*'FREH Stock'!E80</f>
        <v>5.8545492298689723</v>
      </c>
      <c r="AL68" s="295">
        <f>'FREH LGV vkm'!F68*'FREH Stock'!F80</f>
        <v>1.820788328534336</v>
      </c>
      <c r="AM68" s="295">
        <f>'FREH LGV vkm'!G68*'FREH Stock'!G80</f>
        <v>0.75502997917423109</v>
      </c>
      <c r="AN68" s="295">
        <f>'FREH LGV vkm'!H68*'FREH Stock'!H80</f>
        <v>0.39136226086664644</v>
      </c>
      <c r="AO68" s="295">
        <f>'FREH LGV vkm'!I68*'FREH Stock'!I80</f>
        <v>0</v>
      </c>
      <c r="AP68" s="295">
        <f>'FREH LGV vkm'!J68*'FREH Stock'!J80</f>
        <v>4.7273650363001251E-3</v>
      </c>
      <c r="AQ68" s="295">
        <f>'FREH LGV vkm'!K68*'FREH Stock'!K80</f>
        <v>0</v>
      </c>
      <c r="AR68" s="295">
        <f>'FREH LGV vkm'!L68*'FREH Stock'!L80</f>
        <v>4.9505352723029996E-4</v>
      </c>
      <c r="AS68" s="295">
        <f>'FREH LGV vkm'!M68*'FREH Stock'!M80</f>
        <v>0</v>
      </c>
      <c r="AT68" s="295">
        <f>'FREH LGV vkm'!N68*'FREH Stock'!N80</f>
        <v>0</v>
      </c>
      <c r="AU68" s="295">
        <f>'FREH LGV vkm'!O68*'FREH Stock'!O80</f>
        <v>5.0159041989483842E-5</v>
      </c>
      <c r="AV68" s="295">
        <f>'FREH LGV vkm'!P68*'FREH Stock'!P80</f>
        <v>0</v>
      </c>
      <c r="AW68" s="295">
        <f>'FREH LGV vkm'!Q68*'FREH Stock'!Q80</f>
        <v>0</v>
      </c>
      <c r="AX68" s="295">
        <f>'FREH LGV vkm'!R68*'FREH Stock'!R80</f>
        <v>0</v>
      </c>
      <c r="AY68" s="295">
        <f>'FREH LGV vkm'!S68*'FREH Stock'!S80</f>
        <v>3.7977607278661296E-5</v>
      </c>
      <c r="AZ68" s="295">
        <f>'FREH LGV vkm'!T68*'FREH Stock'!T80</f>
        <v>1.8264335114174786E-5</v>
      </c>
      <c r="BA68" s="295">
        <f>'FREH LGV vkm'!U68*'FREH Stock'!U80</f>
        <v>3.6528670228349572E-5</v>
      </c>
      <c r="BB68" s="295">
        <f>'FREH LGV vkm'!V68*'FREH Stock'!V80</f>
        <v>1.8264335114174786E-5</v>
      </c>
      <c r="BC68" s="295">
        <f>'FREH LGV vkm'!W68*'FREH Stock'!W80</f>
        <v>1.8264335114174786E-5</v>
      </c>
      <c r="BD68" s="295">
        <f>'FREH LGV vkm'!X68*'FREH Stock'!X80</f>
        <v>5.4793005342524351E-5</v>
      </c>
      <c r="BE68" s="295">
        <f>'FREH LGV vkm'!Y68*'FREH Stock'!Y80</f>
        <v>3.6528670228349572E-5</v>
      </c>
      <c r="BF68" s="295">
        <f>'FREH LGV vkm'!Z68*'FREH Stock'!Z80</f>
        <v>0</v>
      </c>
      <c r="BG68" s="295">
        <f>'FREH LGV vkm'!AA68*'FREH Stock'!AA80</f>
        <v>0</v>
      </c>
      <c r="BH68" s="295">
        <f>'FREH LGV vkm'!AB68*'FREH Stock'!AB80</f>
        <v>0</v>
      </c>
      <c r="BI68" s="295">
        <f>'FREH LGV vkm'!AC68*'FREH Stock'!AC80</f>
        <v>0</v>
      </c>
      <c r="BJ68" s="295">
        <f>'FREH LGV vkm'!AD68*'FREH Stock'!AD80</f>
        <v>0</v>
      </c>
      <c r="BK68" s="296">
        <f>'FREH LGV vkm'!AE68*'FREH Stock'!AE80</f>
        <v>0</v>
      </c>
    </row>
    <row r="69" spans="1:63" ht="15.75" thickBot="1">
      <c r="A69" s="1711"/>
      <c r="B69" s="116">
        <v>25</v>
      </c>
      <c r="C69" s="294">
        <f t="shared" si="12"/>
        <v>7993.4961224031131</v>
      </c>
      <c r="D69" s="295">
        <f t="shared" si="12"/>
        <v>7993.4961224031131</v>
      </c>
      <c r="E69" s="295">
        <f t="shared" si="12"/>
        <v>7993.4961224031131</v>
      </c>
      <c r="F69" s="295">
        <f t="shared" si="12"/>
        <v>7993.4961224031131</v>
      </c>
      <c r="G69" s="295">
        <f t="shared" si="12"/>
        <v>7993.4961224031131</v>
      </c>
      <c r="H69" s="295">
        <f t="shared" si="12"/>
        <v>7993.4961224031131</v>
      </c>
      <c r="I69" s="295">
        <f t="shared" si="12"/>
        <v>7993.4961224031131</v>
      </c>
      <c r="J69" s="295">
        <f t="shared" si="12"/>
        <v>7993.4961224031131</v>
      </c>
      <c r="K69" s="295">
        <f t="shared" si="12"/>
        <v>7993.4961224031131</v>
      </c>
      <c r="L69" s="295">
        <f t="shared" si="12"/>
        <v>7993.4961224031131</v>
      </c>
      <c r="M69" s="295">
        <f t="shared" si="12"/>
        <v>7993.4961224031131</v>
      </c>
      <c r="N69" s="295">
        <f t="shared" si="12"/>
        <v>7993.4961224031131</v>
      </c>
      <c r="O69" s="295">
        <f t="shared" si="12"/>
        <v>7993.4961224031131</v>
      </c>
      <c r="P69" s="295">
        <f t="shared" si="12"/>
        <v>7993.4961224031131</v>
      </c>
      <c r="Q69" s="295">
        <f t="shared" si="11"/>
        <v>7993.4961224031131</v>
      </c>
      <c r="R69" s="295">
        <f t="shared" si="11"/>
        <v>7993.4961224031131</v>
      </c>
      <c r="S69" s="295">
        <f t="shared" si="11"/>
        <v>7993.4961224031131</v>
      </c>
      <c r="T69" s="295">
        <f t="shared" si="11"/>
        <v>7993.4961224031131</v>
      </c>
      <c r="U69" s="295">
        <f t="shared" si="11"/>
        <v>7993.4961224031131</v>
      </c>
      <c r="V69" s="295">
        <f t="shared" si="11"/>
        <v>7993.4961224031131</v>
      </c>
      <c r="W69" s="295">
        <f t="shared" si="11"/>
        <v>7993.4961224031131</v>
      </c>
      <c r="X69" s="295">
        <f t="shared" si="11"/>
        <v>7993.4961224031131</v>
      </c>
      <c r="Y69" s="295">
        <f t="shared" si="11"/>
        <v>7993.4961224031131</v>
      </c>
      <c r="Z69" s="295">
        <f t="shared" si="11"/>
        <v>7993.4961224031131</v>
      </c>
      <c r="AA69" s="295">
        <f t="shared" si="11"/>
        <v>7993.4961224031131</v>
      </c>
      <c r="AB69" s="295">
        <f t="shared" si="11"/>
        <v>7993.4961224031131</v>
      </c>
      <c r="AC69" s="295">
        <f t="shared" si="11"/>
        <v>7993.4961224031131</v>
      </c>
      <c r="AD69" s="295">
        <f t="shared" si="11"/>
        <v>7993.4961224031131</v>
      </c>
      <c r="AE69" s="296">
        <f t="shared" si="11"/>
        <v>7993.4961224031131</v>
      </c>
      <c r="AG69" s="1711"/>
      <c r="AH69" s="116">
        <v>25</v>
      </c>
      <c r="AI69" s="294">
        <f>'FREH LGV vkm'!C69*'FREH Stock'!C81</f>
        <v>100.20271685095869</v>
      </c>
      <c r="AJ69" s="295">
        <f>'FREH LGV vkm'!D69*'FREH Stock'!D81</f>
        <v>0</v>
      </c>
      <c r="AK69" s="295">
        <f>'FREH LGV vkm'!E69*'FREH Stock'!E81</f>
        <v>0</v>
      </c>
      <c r="AL69" s="295">
        <f>'FREH LGV vkm'!F69*'FREH Stock'!F81</f>
        <v>0</v>
      </c>
      <c r="AM69" s="295">
        <f>'FREH LGV vkm'!G69*'FREH Stock'!G81</f>
        <v>0</v>
      </c>
      <c r="AN69" s="295">
        <f>'FREH LGV vkm'!H69*'FREH Stock'!H81</f>
        <v>0</v>
      </c>
      <c r="AO69" s="295">
        <f>'FREH LGV vkm'!I69*'FREH Stock'!I81</f>
        <v>0</v>
      </c>
      <c r="AP69" s="295">
        <f>'FREH LGV vkm'!J69*'FREH Stock'!J81</f>
        <v>0</v>
      </c>
      <c r="AQ69" s="295">
        <f>'FREH LGV vkm'!K69*'FREH Stock'!K81</f>
        <v>0</v>
      </c>
      <c r="AR69" s="295">
        <f>'FREH LGV vkm'!L69*'FREH Stock'!L81</f>
        <v>0</v>
      </c>
      <c r="AS69" s="295">
        <f>'FREH LGV vkm'!M69*'FREH Stock'!M81</f>
        <v>0</v>
      </c>
      <c r="AT69" s="295">
        <f>'FREH LGV vkm'!N69*'FREH Stock'!N81</f>
        <v>0</v>
      </c>
      <c r="AU69" s="295">
        <f>'FREH LGV vkm'!O69*'FREH Stock'!O81</f>
        <v>0</v>
      </c>
      <c r="AV69" s="295">
        <f>'FREH LGV vkm'!P69*'FREH Stock'!P81</f>
        <v>0</v>
      </c>
      <c r="AW69" s="295">
        <f>'FREH LGV vkm'!Q69*'FREH Stock'!Q81</f>
        <v>0</v>
      </c>
      <c r="AX69" s="295">
        <f>'FREH LGV vkm'!R69*'FREH Stock'!R81</f>
        <v>0</v>
      </c>
      <c r="AY69" s="295">
        <f>'FREH LGV vkm'!S69*'FREH Stock'!S81</f>
        <v>0</v>
      </c>
      <c r="AZ69" s="295">
        <f>'FREH LGV vkm'!T69*'FREH Stock'!T81</f>
        <v>0</v>
      </c>
      <c r="BA69" s="295">
        <f>'FREH LGV vkm'!U69*'FREH Stock'!U81</f>
        <v>0</v>
      </c>
      <c r="BB69" s="295">
        <f>'FREH LGV vkm'!V69*'FREH Stock'!V81</f>
        <v>0</v>
      </c>
      <c r="BC69" s="295">
        <f>'FREH LGV vkm'!W69*'FREH Stock'!W81</f>
        <v>0</v>
      </c>
      <c r="BD69" s="295">
        <f>'FREH LGV vkm'!X69*'FREH Stock'!X81</f>
        <v>0</v>
      </c>
      <c r="BE69" s="295">
        <f>'FREH LGV vkm'!Y69*'FREH Stock'!Y81</f>
        <v>0</v>
      </c>
      <c r="BF69" s="295">
        <f>'FREH LGV vkm'!Z69*'FREH Stock'!Z81</f>
        <v>0</v>
      </c>
      <c r="BG69" s="295">
        <f>'FREH LGV vkm'!AA69*'FREH Stock'!AA81</f>
        <v>0</v>
      </c>
      <c r="BH69" s="295">
        <f>'FREH LGV vkm'!AB69*'FREH Stock'!AB81</f>
        <v>0</v>
      </c>
      <c r="BI69" s="295">
        <f>'FREH LGV vkm'!AC69*'FREH Stock'!AC81</f>
        <v>0</v>
      </c>
      <c r="BJ69" s="295">
        <f>'FREH LGV vkm'!AD69*'FREH Stock'!AD81</f>
        <v>0</v>
      </c>
      <c r="BK69" s="296">
        <f>'FREH LGV vkm'!AE69*'FREH Stock'!AE81</f>
        <v>0</v>
      </c>
    </row>
    <row r="70" spans="1:63" ht="16.5" thickTop="1" thickBot="1">
      <c r="A70" s="1712"/>
      <c r="B70" s="300" t="s">
        <v>39</v>
      </c>
      <c r="C70" s="463">
        <f>SUMPRODUCT(C44:C69,'FREH Stock'!C56:C81)/'FREH Stock'!C82</f>
        <v>6810.5600144008722</v>
      </c>
      <c r="D70" s="464">
        <f>SUMPRODUCT(D44:D69,'FREH Stock'!D56:D81)/'FREH Stock'!D82</f>
        <v>6151.8988346415717</v>
      </c>
      <c r="E70" s="464">
        <f>SUMPRODUCT(E44:E69,'FREH Stock'!E56:E81)/'FREH Stock'!E82</f>
        <v>7434.241754714114</v>
      </c>
      <c r="F70" s="464">
        <f>SUMPRODUCT(F44:F69,'FREH Stock'!F56:F81)/'FREH Stock'!F82</f>
        <v>8097.4682680796623</v>
      </c>
      <c r="G70" s="464">
        <f>SUMPRODUCT(G44:G69,'FREH Stock'!G56:G81)/'FREH Stock'!G82</f>
        <v>7993.4961224031131</v>
      </c>
      <c r="H70" s="464">
        <f>SUMPRODUCT(H44:H69,'FREH Stock'!H56:H81)/'FREH Stock'!H82</f>
        <v>7993.4961224031113</v>
      </c>
      <c r="I70" s="464">
        <f>SUMPRODUCT(I44:I69,'FREH Stock'!I56:I81)/'FREH Stock'!I82</f>
        <v>7993.4961224031113</v>
      </c>
      <c r="J70" s="464">
        <f>SUMPRODUCT(J44:J69,'FREH Stock'!J56:J81)/'FREH Stock'!J82</f>
        <v>7993.4961224031131</v>
      </c>
      <c r="K70" s="464">
        <f>SUMPRODUCT(K44:K69,'FREH Stock'!K56:K81)/'FREH Stock'!K82</f>
        <v>7993.4961224031131</v>
      </c>
      <c r="L70" s="464">
        <f>SUMPRODUCT(L44:L69,'FREH Stock'!L56:L81)/'FREH Stock'!L82</f>
        <v>7993.4961224031122</v>
      </c>
      <c r="M70" s="464">
        <f>SUMPRODUCT(M44:M69,'FREH Stock'!M56:M81)/'FREH Stock'!M82</f>
        <v>7993.496122403114</v>
      </c>
      <c r="N70" s="464">
        <f>SUMPRODUCT(N44:N69,'FREH Stock'!N56:N81)/'FREH Stock'!N82</f>
        <v>7993.4961224031122</v>
      </c>
      <c r="O70" s="464">
        <f>SUMPRODUCT(O44:O69,'FREH Stock'!O56:O81)/'FREH Stock'!O82</f>
        <v>7993.496122403114</v>
      </c>
      <c r="P70" s="464">
        <f>SUMPRODUCT(P44:P69,'FREH Stock'!P56:P81)/'FREH Stock'!P82</f>
        <v>7993.4961224031122</v>
      </c>
      <c r="Q70" s="464">
        <f>SUMPRODUCT(Q44:Q69,'FREH Stock'!Q56:Q81)/'FREH Stock'!Q82</f>
        <v>7993.4961224031131</v>
      </c>
      <c r="R70" s="464">
        <f>SUMPRODUCT(R44:R69,'FREH Stock'!R56:R81)/'FREH Stock'!R82</f>
        <v>7993.4961224031131</v>
      </c>
      <c r="S70" s="464">
        <f>SUMPRODUCT(S44:S69,'FREH Stock'!S56:S81)/'FREH Stock'!S82</f>
        <v>7993.4961224031131</v>
      </c>
      <c r="T70" s="464">
        <f>SUMPRODUCT(T44:T69,'FREH Stock'!T56:T81)/'FREH Stock'!T82</f>
        <v>7993.496122403114</v>
      </c>
      <c r="U70" s="464">
        <f>SUMPRODUCT(U44:U69,'FREH Stock'!U56:U81)/'FREH Stock'!U82</f>
        <v>7993.4961224031122</v>
      </c>
      <c r="V70" s="464">
        <f>SUMPRODUCT(V44:V69,'FREH Stock'!V56:V81)/'FREH Stock'!V82</f>
        <v>7993.496122403114</v>
      </c>
      <c r="W70" s="464">
        <f>SUMPRODUCT(W44:W69,'FREH Stock'!W56:W81)/'FREH Stock'!W82</f>
        <v>7993.4961224031131</v>
      </c>
      <c r="X70" s="464">
        <f>SUMPRODUCT(X44:X69,'FREH Stock'!X56:X81)/'FREH Stock'!X82</f>
        <v>7993.496122403114</v>
      </c>
      <c r="Y70" s="464">
        <f>SUMPRODUCT(Y44:Y69,'FREH Stock'!Y56:Y81)/'FREH Stock'!Y82</f>
        <v>7993.4961224031131</v>
      </c>
      <c r="Z70" s="464" t="e">
        <f>SUMPRODUCT(Z44:Z69,'FREH Stock'!Z56:Z81)/'FREH Stock'!Z82</f>
        <v>#DIV/0!</v>
      </c>
      <c r="AA70" s="464" t="e">
        <f>SUMPRODUCT(AA44:AA69,'FREH Stock'!AA56:AA81)/'FREH Stock'!AA82</f>
        <v>#DIV/0!</v>
      </c>
      <c r="AB70" s="464" t="e">
        <f>SUMPRODUCT(AB44:AB69,'FREH Stock'!AB56:AB81)/'FREH Stock'!AB82</f>
        <v>#DIV/0!</v>
      </c>
      <c r="AC70" s="464" t="e">
        <f>SUMPRODUCT(AC44:AC69,'FREH Stock'!AC56:AC81)/'FREH Stock'!AC82</f>
        <v>#DIV/0!</v>
      </c>
      <c r="AD70" s="464" t="e">
        <f>SUMPRODUCT(AD44:AD69,'FREH Stock'!AD56:AD81)/'FREH Stock'!AD82</f>
        <v>#DIV/0!</v>
      </c>
      <c r="AE70" s="465" t="e">
        <f>SUMPRODUCT(AE44:AE69,'FREH Stock'!AE56:AE81)/'FREH Stock'!AE82</f>
        <v>#DIV/0!</v>
      </c>
      <c r="AG70" s="1712"/>
      <c r="AH70" s="300" t="s">
        <v>39</v>
      </c>
      <c r="AI70" s="362">
        <f t="shared" ref="AI70:BK70" si="13">SUM(AI44:AI69)</f>
        <v>156595.6683645508</v>
      </c>
      <c r="AJ70" s="363">
        <f t="shared" si="13"/>
        <v>87565.49285838817</v>
      </c>
      <c r="AK70" s="363">
        <f t="shared" si="13"/>
        <v>88340.735854002385</v>
      </c>
      <c r="AL70" s="363">
        <f t="shared" si="13"/>
        <v>86493.9928955793</v>
      </c>
      <c r="AM70" s="363">
        <f t="shared" si="13"/>
        <v>76692.547408236132</v>
      </c>
      <c r="AN70" s="363">
        <f t="shared" si="13"/>
        <v>66588.071986980227</v>
      </c>
      <c r="AO70" s="363">
        <f t="shared" si="13"/>
        <v>54957.61209727409</v>
      </c>
      <c r="AP70" s="363">
        <f t="shared" si="13"/>
        <v>42602.914437771316</v>
      </c>
      <c r="AQ70" s="363">
        <f t="shared" si="13"/>
        <v>31064.007779386982</v>
      </c>
      <c r="AR70" s="363">
        <f t="shared" si="13"/>
        <v>20557.39647719522</v>
      </c>
      <c r="AS70" s="363">
        <f t="shared" si="13"/>
        <v>11828.636660489419</v>
      </c>
      <c r="AT70" s="363">
        <f t="shared" si="13"/>
        <v>5915.6722514344228</v>
      </c>
      <c r="AU70" s="363">
        <f t="shared" si="13"/>
        <v>2582.5234969446192</v>
      </c>
      <c r="AV70" s="363">
        <f t="shared" si="13"/>
        <v>936.86376585854487</v>
      </c>
      <c r="AW70" s="363">
        <f t="shared" si="13"/>
        <v>306.01496813661652</v>
      </c>
      <c r="AX70" s="363">
        <f t="shared" si="13"/>
        <v>88.863435332541215</v>
      </c>
      <c r="AY70" s="363">
        <f t="shared" si="13"/>
        <v>22.576592106426439</v>
      </c>
      <c r="AZ70" s="363">
        <f t="shared" si="13"/>
        <v>4.9144863470999605</v>
      </c>
      <c r="BA70" s="363">
        <f t="shared" si="13"/>
        <v>0.8909142550889172</v>
      </c>
      <c r="BB70" s="363">
        <f t="shared" si="13"/>
        <v>0.1290903293040925</v>
      </c>
      <c r="BC70" s="363">
        <f t="shared" si="13"/>
        <v>1.4012497858418207E-2</v>
      </c>
      <c r="BD70" s="363">
        <f t="shared" si="13"/>
        <v>1.0126123425956458E-3</v>
      </c>
      <c r="BE70" s="363">
        <f t="shared" si="13"/>
        <v>3.6528670228349572E-5</v>
      </c>
      <c r="BF70" s="363">
        <f t="shared" si="13"/>
        <v>0</v>
      </c>
      <c r="BG70" s="363">
        <f t="shared" si="13"/>
        <v>0</v>
      </c>
      <c r="BH70" s="363">
        <f t="shared" si="13"/>
        <v>0</v>
      </c>
      <c r="BI70" s="363">
        <f t="shared" si="13"/>
        <v>0</v>
      </c>
      <c r="BJ70" s="363">
        <f t="shared" si="13"/>
        <v>0</v>
      </c>
      <c r="BK70" s="364">
        <f t="shared" si="13"/>
        <v>0</v>
      </c>
    </row>
    <row r="71" spans="1:63" ht="15.75" thickBot="1">
      <c r="A71" s="650"/>
      <c r="C71" s="351"/>
      <c r="AG71" s="650"/>
      <c r="AI71" s="351"/>
    </row>
    <row r="72" spans="1:63" ht="15.75" customHeight="1" thickBot="1">
      <c r="A72" s="1710" t="s">
        <v>198</v>
      </c>
      <c r="B72" s="169" t="s">
        <v>10</v>
      </c>
      <c r="C72" s="288">
        <v>2012</v>
      </c>
      <c r="D72" s="347">
        <v>2013</v>
      </c>
      <c r="E72" s="347">
        <v>2014</v>
      </c>
      <c r="F72" s="288">
        <v>2015</v>
      </c>
      <c r="G72" s="347">
        <v>2016</v>
      </c>
      <c r="H72" s="347">
        <v>2017</v>
      </c>
      <c r="I72" s="288">
        <v>2018</v>
      </c>
      <c r="J72" s="347">
        <v>2019</v>
      </c>
      <c r="K72" s="347">
        <v>2020</v>
      </c>
      <c r="L72" s="288">
        <v>2021</v>
      </c>
      <c r="M72" s="347">
        <v>2022</v>
      </c>
      <c r="N72" s="347">
        <v>2023</v>
      </c>
      <c r="O72" s="288">
        <v>2024</v>
      </c>
      <c r="P72" s="347">
        <v>2025</v>
      </c>
      <c r="Q72" s="347">
        <v>2026</v>
      </c>
      <c r="R72" s="288">
        <v>2027</v>
      </c>
      <c r="S72" s="347">
        <v>2028</v>
      </c>
      <c r="T72" s="347">
        <v>2029</v>
      </c>
      <c r="U72" s="288">
        <v>2030</v>
      </c>
      <c r="V72" s="347">
        <v>2031</v>
      </c>
      <c r="W72" s="347">
        <v>2032</v>
      </c>
      <c r="X72" s="288">
        <v>2033</v>
      </c>
      <c r="Y72" s="347">
        <v>2034</v>
      </c>
      <c r="Z72" s="347">
        <v>2035</v>
      </c>
      <c r="AA72" s="288">
        <v>2036</v>
      </c>
      <c r="AB72" s="347">
        <v>2037</v>
      </c>
      <c r="AC72" s="347">
        <v>2038</v>
      </c>
      <c r="AD72" s="288">
        <v>2039</v>
      </c>
      <c r="AE72" s="348">
        <v>2040</v>
      </c>
      <c r="AG72" s="1710" t="s">
        <v>198</v>
      </c>
      <c r="AH72" s="169" t="s">
        <v>10</v>
      </c>
      <c r="AI72" s="288">
        <v>2012</v>
      </c>
      <c r="AJ72" s="347">
        <v>2013</v>
      </c>
      <c r="AK72" s="347">
        <v>2014</v>
      </c>
      <c r="AL72" s="288">
        <v>2015</v>
      </c>
      <c r="AM72" s="347">
        <v>2016</v>
      </c>
      <c r="AN72" s="347">
        <v>2017</v>
      </c>
      <c r="AO72" s="288">
        <v>2018</v>
      </c>
      <c r="AP72" s="347">
        <v>2019</v>
      </c>
      <c r="AQ72" s="347">
        <v>2020</v>
      </c>
      <c r="AR72" s="288">
        <v>2021</v>
      </c>
      <c r="AS72" s="347">
        <v>2022</v>
      </c>
      <c r="AT72" s="347">
        <v>2023</v>
      </c>
      <c r="AU72" s="288">
        <v>2024</v>
      </c>
      <c r="AV72" s="347">
        <v>2025</v>
      </c>
      <c r="AW72" s="347">
        <v>2026</v>
      </c>
      <c r="AX72" s="288">
        <v>2027</v>
      </c>
      <c r="AY72" s="347">
        <v>2028</v>
      </c>
      <c r="AZ72" s="347">
        <v>2029</v>
      </c>
      <c r="BA72" s="288">
        <v>2030</v>
      </c>
      <c r="BB72" s="347">
        <v>2031</v>
      </c>
      <c r="BC72" s="347">
        <v>2032</v>
      </c>
      <c r="BD72" s="288">
        <v>2033</v>
      </c>
      <c r="BE72" s="347">
        <v>2034</v>
      </c>
      <c r="BF72" s="347">
        <v>2035</v>
      </c>
      <c r="BG72" s="288">
        <v>2036</v>
      </c>
      <c r="BH72" s="347">
        <v>2037</v>
      </c>
      <c r="BI72" s="347">
        <v>2038</v>
      </c>
      <c r="BJ72" s="288">
        <v>2039</v>
      </c>
      <c r="BK72" s="348">
        <v>2040</v>
      </c>
    </row>
    <row r="73" spans="1:63">
      <c r="A73" s="1711"/>
      <c r="B73" s="116">
        <v>0</v>
      </c>
      <c r="C73" s="487">
        <f>SUMPRODUCT(D6:F6,'FREH Stock'!$D$24:$F$24)/SUM('FREH Stock'!$D$24:$F$24)</f>
        <v>11655.510933413683</v>
      </c>
      <c r="D73" s="292">
        <f>C73</f>
        <v>11655.510933413683</v>
      </c>
      <c r="E73" s="292">
        <f t="shared" ref="E73:AE74" si="14">D73</f>
        <v>11655.510933413683</v>
      </c>
      <c r="F73" s="292">
        <f t="shared" si="14"/>
        <v>11655.510933413683</v>
      </c>
      <c r="G73" s="292">
        <f t="shared" si="14"/>
        <v>11655.510933413683</v>
      </c>
      <c r="H73" s="292">
        <f t="shared" si="14"/>
        <v>11655.510933413683</v>
      </c>
      <c r="I73" s="292">
        <f t="shared" si="14"/>
        <v>11655.510933413683</v>
      </c>
      <c r="J73" s="292">
        <f t="shared" si="14"/>
        <v>11655.510933413683</v>
      </c>
      <c r="K73" s="292">
        <f t="shared" si="14"/>
        <v>11655.510933413683</v>
      </c>
      <c r="L73" s="292">
        <f t="shared" si="14"/>
        <v>11655.510933413683</v>
      </c>
      <c r="M73" s="292">
        <f t="shared" si="14"/>
        <v>11655.510933413683</v>
      </c>
      <c r="N73" s="292">
        <f t="shared" si="14"/>
        <v>11655.510933413683</v>
      </c>
      <c r="O73" s="292">
        <f t="shared" si="14"/>
        <v>11655.510933413683</v>
      </c>
      <c r="P73" s="292">
        <f t="shared" si="14"/>
        <v>11655.510933413683</v>
      </c>
      <c r="Q73" s="292">
        <f t="shared" si="14"/>
        <v>11655.510933413683</v>
      </c>
      <c r="R73" s="292">
        <f t="shared" si="14"/>
        <v>11655.510933413683</v>
      </c>
      <c r="S73" s="292">
        <f t="shared" si="14"/>
        <v>11655.510933413683</v>
      </c>
      <c r="T73" s="292">
        <f t="shared" si="14"/>
        <v>11655.510933413683</v>
      </c>
      <c r="U73" s="292">
        <f t="shared" si="14"/>
        <v>11655.510933413683</v>
      </c>
      <c r="V73" s="292">
        <f t="shared" si="14"/>
        <v>11655.510933413683</v>
      </c>
      <c r="W73" s="292">
        <f t="shared" si="14"/>
        <v>11655.510933413683</v>
      </c>
      <c r="X73" s="292">
        <f t="shared" si="14"/>
        <v>11655.510933413683</v>
      </c>
      <c r="Y73" s="292">
        <f t="shared" si="14"/>
        <v>11655.510933413683</v>
      </c>
      <c r="Z73" s="292">
        <f t="shared" si="14"/>
        <v>11655.510933413683</v>
      </c>
      <c r="AA73" s="292">
        <f t="shared" si="14"/>
        <v>11655.510933413683</v>
      </c>
      <c r="AB73" s="292">
        <f t="shared" si="14"/>
        <v>11655.510933413683</v>
      </c>
      <c r="AC73" s="292">
        <f t="shared" si="14"/>
        <v>11655.510933413683</v>
      </c>
      <c r="AD73" s="292">
        <f t="shared" si="14"/>
        <v>11655.510933413683</v>
      </c>
      <c r="AE73" s="293">
        <f t="shared" si="14"/>
        <v>11655.510933413683</v>
      </c>
      <c r="AG73" s="1711"/>
      <c r="AH73" s="116">
        <v>0</v>
      </c>
      <c r="AI73" s="291">
        <f>'FREH LGV vkm'!C73*'FREH Stock'!C85</f>
        <v>11655.510933413683</v>
      </c>
      <c r="AJ73" s="292">
        <f>'FREH LGV vkm'!D73*'FREH Stock'!D85</f>
        <v>0</v>
      </c>
      <c r="AK73" s="292">
        <f>'FREH LGV vkm'!E73*'FREH Stock'!E85</f>
        <v>0</v>
      </c>
      <c r="AL73" s="292">
        <f>'FREH LGV vkm'!F73*'FREH Stock'!F85</f>
        <v>0</v>
      </c>
      <c r="AM73" s="292">
        <f>'FREH LGV vkm'!G73*'FREH Stock'!G85</f>
        <v>0</v>
      </c>
      <c r="AN73" s="292">
        <f>'FREH LGV vkm'!H73*'FREH Stock'!H85</f>
        <v>0</v>
      </c>
      <c r="AO73" s="292">
        <f>'FREH LGV vkm'!I73*'FREH Stock'!I85</f>
        <v>0</v>
      </c>
      <c r="AP73" s="292">
        <f>'FREH LGV vkm'!J73*'FREH Stock'!J85</f>
        <v>0</v>
      </c>
      <c r="AQ73" s="292">
        <f>'FREH LGV vkm'!K73*'FREH Stock'!K85</f>
        <v>0</v>
      </c>
      <c r="AR73" s="292">
        <f>'FREH LGV vkm'!L73*'FREH Stock'!L85</f>
        <v>0</v>
      </c>
      <c r="AS73" s="292">
        <f>'FREH LGV vkm'!M73*'FREH Stock'!M85</f>
        <v>0</v>
      </c>
      <c r="AT73" s="292">
        <f>'FREH LGV vkm'!N73*'FREH Stock'!N85</f>
        <v>0</v>
      </c>
      <c r="AU73" s="292">
        <f>'FREH LGV vkm'!O73*'FREH Stock'!O85</f>
        <v>0</v>
      </c>
      <c r="AV73" s="292">
        <f>'FREH LGV vkm'!P73*'FREH Stock'!P85</f>
        <v>0</v>
      </c>
      <c r="AW73" s="292">
        <f>'FREH LGV vkm'!Q73*'FREH Stock'!Q85</f>
        <v>0</v>
      </c>
      <c r="AX73" s="292">
        <f>'FREH LGV vkm'!R73*'FREH Stock'!R85</f>
        <v>0</v>
      </c>
      <c r="AY73" s="292">
        <f>'FREH LGV vkm'!S73*'FREH Stock'!S85</f>
        <v>0</v>
      </c>
      <c r="AZ73" s="292">
        <f>'FREH LGV vkm'!T73*'FREH Stock'!T85</f>
        <v>0</v>
      </c>
      <c r="BA73" s="292">
        <f>'FREH LGV vkm'!U73*'FREH Stock'!U85</f>
        <v>0</v>
      </c>
      <c r="BB73" s="292">
        <f>'FREH LGV vkm'!V73*'FREH Stock'!V85</f>
        <v>0</v>
      </c>
      <c r="BC73" s="292">
        <f>'FREH LGV vkm'!W73*'FREH Stock'!W85</f>
        <v>0</v>
      </c>
      <c r="BD73" s="292">
        <f>'FREH LGV vkm'!X73*'FREH Stock'!X85</f>
        <v>0</v>
      </c>
      <c r="BE73" s="292">
        <f>'FREH LGV vkm'!Y73*'FREH Stock'!Y85</f>
        <v>0</v>
      </c>
      <c r="BF73" s="292">
        <f>'FREH LGV vkm'!Z73*'FREH Stock'!Z85</f>
        <v>0</v>
      </c>
      <c r="BG73" s="292">
        <f>'FREH LGV vkm'!AA73*'FREH Stock'!AA85</f>
        <v>0</v>
      </c>
      <c r="BH73" s="292">
        <f>'FREH LGV vkm'!AB73*'FREH Stock'!AB85</f>
        <v>0</v>
      </c>
      <c r="BI73" s="292">
        <f>'FREH LGV vkm'!AC73*'FREH Stock'!AC85</f>
        <v>0</v>
      </c>
      <c r="BJ73" s="292">
        <f>'FREH LGV vkm'!AD73*'FREH Stock'!AD85</f>
        <v>0</v>
      </c>
      <c r="BK73" s="293">
        <f>'FREH LGV vkm'!AE73*'FREH Stock'!AE85</f>
        <v>0</v>
      </c>
    </row>
    <row r="74" spans="1:63">
      <c r="A74" s="1711"/>
      <c r="B74" s="116">
        <v>1</v>
      </c>
      <c r="C74" s="294">
        <f>SUMPRODUCT(D7:F7,'FREH Stock'!$D$24:$F$24)/SUM('FREH Stock'!$D$24:$F$24)</f>
        <v>12225.178809016481</v>
      </c>
      <c r="D74" s="295">
        <f>C74</f>
        <v>12225.178809016481</v>
      </c>
      <c r="E74" s="295">
        <f t="shared" si="14"/>
        <v>12225.178809016481</v>
      </c>
      <c r="F74" s="295">
        <f t="shared" si="14"/>
        <v>12225.178809016481</v>
      </c>
      <c r="G74" s="295">
        <f t="shared" si="14"/>
        <v>12225.178809016481</v>
      </c>
      <c r="H74" s="295">
        <f t="shared" si="14"/>
        <v>12225.178809016481</v>
      </c>
      <c r="I74" s="295">
        <f t="shared" si="14"/>
        <v>12225.178809016481</v>
      </c>
      <c r="J74" s="295">
        <f t="shared" si="14"/>
        <v>12225.178809016481</v>
      </c>
      <c r="K74" s="295">
        <f t="shared" si="14"/>
        <v>12225.178809016481</v>
      </c>
      <c r="L74" s="295">
        <f t="shared" si="14"/>
        <v>12225.178809016481</v>
      </c>
      <c r="M74" s="295">
        <f t="shared" si="14"/>
        <v>12225.178809016481</v>
      </c>
      <c r="N74" s="295">
        <f t="shared" si="14"/>
        <v>12225.178809016481</v>
      </c>
      <c r="O74" s="295">
        <f t="shared" si="14"/>
        <v>12225.178809016481</v>
      </c>
      <c r="P74" s="295">
        <f t="shared" si="14"/>
        <v>12225.178809016481</v>
      </c>
      <c r="Q74" s="295">
        <f t="shared" si="14"/>
        <v>12225.178809016481</v>
      </c>
      <c r="R74" s="295">
        <f t="shared" si="14"/>
        <v>12225.178809016481</v>
      </c>
      <c r="S74" s="295">
        <f t="shared" si="14"/>
        <v>12225.178809016481</v>
      </c>
      <c r="T74" s="295">
        <f t="shared" si="14"/>
        <v>12225.178809016481</v>
      </c>
      <c r="U74" s="295">
        <f t="shared" si="14"/>
        <v>12225.178809016481</v>
      </c>
      <c r="V74" s="295">
        <f t="shared" si="14"/>
        <v>12225.178809016481</v>
      </c>
      <c r="W74" s="295">
        <f t="shared" si="14"/>
        <v>12225.178809016481</v>
      </c>
      <c r="X74" s="295">
        <f t="shared" si="14"/>
        <v>12225.178809016481</v>
      </c>
      <c r="Y74" s="295">
        <f t="shared" si="14"/>
        <v>12225.178809016481</v>
      </c>
      <c r="Z74" s="295">
        <f t="shared" si="14"/>
        <v>12225.178809016481</v>
      </c>
      <c r="AA74" s="295">
        <f t="shared" si="14"/>
        <v>12225.178809016481</v>
      </c>
      <c r="AB74" s="295">
        <f t="shared" si="14"/>
        <v>12225.178809016481</v>
      </c>
      <c r="AC74" s="295">
        <f t="shared" si="14"/>
        <v>12225.178809016481</v>
      </c>
      <c r="AD74" s="295">
        <f t="shared" si="14"/>
        <v>12225.178809016481</v>
      </c>
      <c r="AE74" s="296">
        <f t="shared" si="14"/>
        <v>12225.178809016481</v>
      </c>
      <c r="AG74" s="1711"/>
      <c r="AH74" s="116">
        <v>1</v>
      </c>
      <c r="AI74" s="294">
        <f>'FREH LGV vkm'!C74*'FREH Stock'!C86</f>
        <v>73351.072854098893</v>
      </c>
      <c r="AJ74" s="295">
        <f>'FREH LGV vkm'!D74*'FREH Stock'!D86</f>
        <v>12042.757941649324</v>
      </c>
      <c r="AK74" s="295">
        <f>'FREH LGV vkm'!E74*'FREH Stock'!E86</f>
        <v>0</v>
      </c>
      <c r="AL74" s="295">
        <f>'FREH LGV vkm'!F74*'FREH Stock'!F86</f>
        <v>0</v>
      </c>
      <c r="AM74" s="295">
        <f>'FREH LGV vkm'!G74*'FREH Stock'!G86</f>
        <v>0</v>
      </c>
      <c r="AN74" s="295">
        <f>'FREH LGV vkm'!H74*'FREH Stock'!H86</f>
        <v>0</v>
      </c>
      <c r="AO74" s="295">
        <f>'FREH LGV vkm'!I74*'FREH Stock'!I86</f>
        <v>0</v>
      </c>
      <c r="AP74" s="295">
        <f>'FREH LGV vkm'!J74*'FREH Stock'!J86</f>
        <v>0</v>
      </c>
      <c r="AQ74" s="295">
        <f>'FREH LGV vkm'!K74*'FREH Stock'!K86</f>
        <v>0</v>
      </c>
      <c r="AR74" s="295">
        <f>'FREH LGV vkm'!L74*'FREH Stock'!L86</f>
        <v>0</v>
      </c>
      <c r="AS74" s="295">
        <f>'FREH LGV vkm'!M74*'FREH Stock'!M86</f>
        <v>0</v>
      </c>
      <c r="AT74" s="295">
        <f>'FREH LGV vkm'!N74*'FREH Stock'!N86</f>
        <v>0</v>
      </c>
      <c r="AU74" s="295">
        <f>'FREH LGV vkm'!O74*'FREH Stock'!O86</f>
        <v>0</v>
      </c>
      <c r="AV74" s="295">
        <f>'FREH LGV vkm'!P74*'FREH Stock'!P86</f>
        <v>0</v>
      </c>
      <c r="AW74" s="295">
        <f>'FREH LGV vkm'!Q74*'FREH Stock'!Q86</f>
        <v>0</v>
      </c>
      <c r="AX74" s="295">
        <f>'FREH LGV vkm'!R74*'FREH Stock'!R86</f>
        <v>0</v>
      </c>
      <c r="AY74" s="295">
        <f>'FREH LGV vkm'!S74*'FREH Stock'!S86</f>
        <v>0</v>
      </c>
      <c r="AZ74" s="295">
        <f>'FREH LGV vkm'!T74*'FREH Stock'!T86</f>
        <v>0</v>
      </c>
      <c r="BA74" s="295">
        <f>'FREH LGV vkm'!U74*'FREH Stock'!U86</f>
        <v>0</v>
      </c>
      <c r="BB74" s="295">
        <f>'FREH LGV vkm'!V74*'FREH Stock'!V86</f>
        <v>0</v>
      </c>
      <c r="BC74" s="295">
        <f>'FREH LGV vkm'!W74*'FREH Stock'!W86</f>
        <v>0</v>
      </c>
      <c r="BD74" s="295">
        <f>'FREH LGV vkm'!X74*'FREH Stock'!X86</f>
        <v>0</v>
      </c>
      <c r="BE74" s="295">
        <f>'FREH LGV vkm'!Y74*'FREH Stock'!Y86</f>
        <v>0</v>
      </c>
      <c r="BF74" s="295">
        <f>'FREH LGV vkm'!Z74*'FREH Stock'!Z86</f>
        <v>0</v>
      </c>
      <c r="BG74" s="295">
        <f>'FREH LGV vkm'!AA74*'FREH Stock'!AA86</f>
        <v>0</v>
      </c>
      <c r="BH74" s="295">
        <f>'FREH LGV vkm'!AB74*'FREH Stock'!AB86</f>
        <v>0</v>
      </c>
      <c r="BI74" s="295">
        <f>'FREH LGV vkm'!AC74*'FREH Stock'!AC86</f>
        <v>0</v>
      </c>
      <c r="BJ74" s="295">
        <f>'FREH LGV vkm'!AD74*'FREH Stock'!AD86</f>
        <v>0</v>
      </c>
      <c r="BK74" s="296">
        <f>'FREH LGV vkm'!AE74*'FREH Stock'!AE86</f>
        <v>0</v>
      </c>
    </row>
    <row r="75" spans="1:63">
      <c r="A75" s="1711"/>
      <c r="B75" s="116">
        <v>2</v>
      </c>
      <c r="C75" s="294">
        <f>SUMPRODUCT(D8:F8,'FREH Stock'!$D$24:$F$24)/SUM('FREH Stock'!$D$24:$F$24)</f>
        <v>12964.738372507996</v>
      </c>
      <c r="D75" s="295">
        <f t="shared" ref="D75:AE79" si="15">C75</f>
        <v>12964.738372507996</v>
      </c>
      <c r="E75" s="295">
        <f t="shared" si="15"/>
        <v>12964.738372507996</v>
      </c>
      <c r="F75" s="295">
        <f t="shared" si="15"/>
        <v>12964.738372507996</v>
      </c>
      <c r="G75" s="295">
        <f t="shared" si="15"/>
        <v>12964.738372507996</v>
      </c>
      <c r="H75" s="295">
        <f t="shared" si="15"/>
        <v>12964.738372507996</v>
      </c>
      <c r="I75" s="295">
        <f t="shared" si="15"/>
        <v>12964.738372507996</v>
      </c>
      <c r="J75" s="295">
        <f t="shared" si="15"/>
        <v>12964.738372507996</v>
      </c>
      <c r="K75" s="295">
        <f t="shared" si="15"/>
        <v>12964.738372507996</v>
      </c>
      <c r="L75" s="295">
        <f t="shared" si="15"/>
        <v>12964.738372507996</v>
      </c>
      <c r="M75" s="295">
        <f t="shared" si="15"/>
        <v>12964.738372507996</v>
      </c>
      <c r="N75" s="295">
        <f t="shared" si="15"/>
        <v>12964.738372507996</v>
      </c>
      <c r="O75" s="295">
        <f t="shared" si="15"/>
        <v>12964.738372507996</v>
      </c>
      <c r="P75" s="295">
        <f t="shared" si="15"/>
        <v>12964.738372507996</v>
      </c>
      <c r="Q75" s="295">
        <f t="shared" si="15"/>
        <v>12964.738372507996</v>
      </c>
      <c r="R75" s="295">
        <f t="shared" si="15"/>
        <v>12964.738372507996</v>
      </c>
      <c r="S75" s="295">
        <f t="shared" si="15"/>
        <v>12964.738372507996</v>
      </c>
      <c r="T75" s="295">
        <f t="shared" si="15"/>
        <v>12964.738372507996</v>
      </c>
      <c r="U75" s="295">
        <f t="shared" si="15"/>
        <v>12964.738372507996</v>
      </c>
      <c r="V75" s="295">
        <f t="shared" si="15"/>
        <v>12964.738372507996</v>
      </c>
      <c r="W75" s="295">
        <f t="shared" si="15"/>
        <v>12964.738372507996</v>
      </c>
      <c r="X75" s="295">
        <f t="shared" si="15"/>
        <v>12964.738372507996</v>
      </c>
      <c r="Y75" s="295">
        <f t="shared" si="15"/>
        <v>12964.738372507996</v>
      </c>
      <c r="Z75" s="295">
        <f t="shared" si="15"/>
        <v>12964.738372507996</v>
      </c>
      <c r="AA75" s="295">
        <f t="shared" si="15"/>
        <v>12964.738372507996</v>
      </c>
      <c r="AB75" s="295">
        <f t="shared" si="15"/>
        <v>12964.738372507996</v>
      </c>
      <c r="AC75" s="295">
        <f t="shared" si="15"/>
        <v>12964.738372507996</v>
      </c>
      <c r="AD75" s="295">
        <f t="shared" si="15"/>
        <v>12964.738372507996</v>
      </c>
      <c r="AE75" s="296">
        <f t="shared" si="15"/>
        <v>12964.738372507996</v>
      </c>
      <c r="AG75" s="1711"/>
      <c r="AH75" s="116">
        <v>2</v>
      </c>
      <c r="AI75" s="294">
        <f>'FREH LGV vkm'!C75*'FREH Stock'!C87</f>
        <v>103717.90698006397</v>
      </c>
      <c r="AJ75" s="295">
        <f>'FREH LGV vkm'!D75*'FREH Stock'!D87</f>
        <v>77392.002650194612</v>
      </c>
      <c r="AK75" s="295">
        <f>'FREH LGV vkm'!E75*'FREH Stock'!E87</f>
        <v>12706.196627684301</v>
      </c>
      <c r="AL75" s="295">
        <f>'FREH LGV vkm'!F75*'FREH Stock'!F87</f>
        <v>0</v>
      </c>
      <c r="AM75" s="295">
        <f>'FREH LGV vkm'!G75*'FREH Stock'!G87</f>
        <v>0</v>
      </c>
      <c r="AN75" s="295">
        <f>'FREH LGV vkm'!H75*'FREH Stock'!H87</f>
        <v>0</v>
      </c>
      <c r="AO75" s="295">
        <f>'FREH LGV vkm'!I75*'FREH Stock'!I87</f>
        <v>0</v>
      </c>
      <c r="AP75" s="295">
        <f>'FREH LGV vkm'!J75*'FREH Stock'!J87</f>
        <v>0</v>
      </c>
      <c r="AQ75" s="295">
        <f>'FREH LGV vkm'!K75*'FREH Stock'!K87</f>
        <v>0</v>
      </c>
      <c r="AR75" s="295">
        <f>'FREH LGV vkm'!L75*'FREH Stock'!L87</f>
        <v>0</v>
      </c>
      <c r="AS75" s="295">
        <f>'FREH LGV vkm'!M75*'FREH Stock'!M87</f>
        <v>0</v>
      </c>
      <c r="AT75" s="295">
        <f>'FREH LGV vkm'!N75*'FREH Stock'!N87</f>
        <v>0</v>
      </c>
      <c r="AU75" s="295">
        <f>'FREH LGV vkm'!O75*'FREH Stock'!O87</f>
        <v>0</v>
      </c>
      <c r="AV75" s="295">
        <f>'FREH LGV vkm'!P75*'FREH Stock'!P87</f>
        <v>0</v>
      </c>
      <c r="AW75" s="295">
        <f>'FREH LGV vkm'!Q75*'FREH Stock'!Q87</f>
        <v>0</v>
      </c>
      <c r="AX75" s="295">
        <f>'FREH LGV vkm'!R75*'FREH Stock'!R87</f>
        <v>0</v>
      </c>
      <c r="AY75" s="295">
        <f>'FREH LGV vkm'!S75*'FREH Stock'!S87</f>
        <v>0</v>
      </c>
      <c r="AZ75" s="295">
        <f>'FREH LGV vkm'!T75*'FREH Stock'!T87</f>
        <v>0</v>
      </c>
      <c r="BA75" s="295">
        <f>'FREH LGV vkm'!U75*'FREH Stock'!U87</f>
        <v>0</v>
      </c>
      <c r="BB75" s="295">
        <f>'FREH LGV vkm'!V75*'FREH Stock'!V87</f>
        <v>0</v>
      </c>
      <c r="BC75" s="295">
        <f>'FREH LGV vkm'!W75*'FREH Stock'!W87</f>
        <v>0</v>
      </c>
      <c r="BD75" s="295">
        <f>'FREH LGV vkm'!X75*'FREH Stock'!X87</f>
        <v>0</v>
      </c>
      <c r="BE75" s="295">
        <f>'FREH LGV vkm'!Y75*'FREH Stock'!Y87</f>
        <v>0</v>
      </c>
      <c r="BF75" s="295">
        <f>'FREH LGV vkm'!Z75*'FREH Stock'!Z87</f>
        <v>0</v>
      </c>
      <c r="BG75" s="295">
        <f>'FREH LGV vkm'!AA75*'FREH Stock'!AA87</f>
        <v>0</v>
      </c>
      <c r="BH75" s="295">
        <f>'FREH LGV vkm'!AB75*'FREH Stock'!AB87</f>
        <v>0</v>
      </c>
      <c r="BI75" s="295">
        <f>'FREH LGV vkm'!AC75*'FREH Stock'!AC87</f>
        <v>0</v>
      </c>
      <c r="BJ75" s="295">
        <f>'FREH LGV vkm'!AD75*'FREH Stock'!AD87</f>
        <v>0</v>
      </c>
      <c r="BK75" s="296">
        <f>'FREH LGV vkm'!AE75*'FREH Stock'!AE87</f>
        <v>0</v>
      </c>
    </row>
    <row r="76" spans="1:63">
      <c r="A76" s="1711"/>
      <c r="B76" s="116">
        <v>3</v>
      </c>
      <c r="C76" s="294">
        <f>SUMPRODUCT(D9:F9,'FREH Stock'!$D$24:$F$24)/SUM('FREH Stock'!$D$24:$F$24)</f>
        <v>12490.677898744232</v>
      </c>
      <c r="D76" s="295">
        <f t="shared" si="15"/>
        <v>12490.677898744232</v>
      </c>
      <c r="E76" s="295">
        <f t="shared" si="15"/>
        <v>12490.677898744232</v>
      </c>
      <c r="F76" s="295">
        <f t="shared" si="15"/>
        <v>12490.677898744232</v>
      </c>
      <c r="G76" s="295">
        <f t="shared" si="15"/>
        <v>12490.677898744232</v>
      </c>
      <c r="H76" s="295">
        <f t="shared" si="15"/>
        <v>12490.677898744232</v>
      </c>
      <c r="I76" s="295">
        <f t="shared" si="15"/>
        <v>12490.677898744232</v>
      </c>
      <c r="J76" s="295">
        <f t="shared" si="15"/>
        <v>12490.677898744232</v>
      </c>
      <c r="K76" s="295">
        <f t="shared" si="15"/>
        <v>12490.677898744232</v>
      </c>
      <c r="L76" s="295">
        <f t="shared" si="15"/>
        <v>12490.677898744232</v>
      </c>
      <c r="M76" s="295">
        <f t="shared" si="15"/>
        <v>12490.677898744232</v>
      </c>
      <c r="N76" s="295">
        <f t="shared" si="15"/>
        <v>12490.677898744232</v>
      </c>
      <c r="O76" s="295">
        <f t="shared" si="15"/>
        <v>12490.677898744232</v>
      </c>
      <c r="P76" s="295">
        <f t="shared" si="15"/>
        <v>12490.677898744232</v>
      </c>
      <c r="Q76" s="295">
        <f t="shared" si="15"/>
        <v>12490.677898744232</v>
      </c>
      <c r="R76" s="295">
        <f t="shared" si="15"/>
        <v>12490.677898744232</v>
      </c>
      <c r="S76" s="295">
        <f t="shared" si="15"/>
        <v>12490.677898744232</v>
      </c>
      <c r="T76" s="295">
        <f t="shared" si="15"/>
        <v>12490.677898744232</v>
      </c>
      <c r="U76" s="295">
        <f t="shared" si="15"/>
        <v>12490.677898744232</v>
      </c>
      <c r="V76" s="295">
        <f t="shared" si="15"/>
        <v>12490.677898744232</v>
      </c>
      <c r="W76" s="295">
        <f t="shared" si="15"/>
        <v>12490.677898744232</v>
      </c>
      <c r="X76" s="295">
        <f t="shared" si="15"/>
        <v>12490.677898744232</v>
      </c>
      <c r="Y76" s="295">
        <f t="shared" si="15"/>
        <v>12490.677898744232</v>
      </c>
      <c r="Z76" s="295">
        <f t="shared" si="15"/>
        <v>12490.677898744232</v>
      </c>
      <c r="AA76" s="295">
        <f t="shared" si="15"/>
        <v>12490.677898744232</v>
      </c>
      <c r="AB76" s="295">
        <f t="shared" si="15"/>
        <v>12490.677898744232</v>
      </c>
      <c r="AC76" s="295">
        <f t="shared" si="15"/>
        <v>12490.677898744232</v>
      </c>
      <c r="AD76" s="295">
        <f t="shared" si="15"/>
        <v>12490.677898744232</v>
      </c>
      <c r="AE76" s="296">
        <f t="shared" si="15"/>
        <v>12490.677898744232</v>
      </c>
      <c r="AG76" s="1711"/>
      <c r="AH76" s="116">
        <v>3</v>
      </c>
      <c r="AI76" s="294">
        <f>'FREH LGV vkm'!C76*'FREH Stock'!C88</f>
        <v>162378.81268367503</v>
      </c>
      <c r="AJ76" s="295">
        <f>'FREH LGV vkm'!D76*'FREH Stock'!D88</f>
        <v>99718.479752626241</v>
      </c>
      <c r="AK76" s="295">
        <f>'FREH LGV vkm'!E76*'FREH Stock'!E88</f>
        <v>74407.718724713792</v>
      </c>
      <c r="AL76" s="295">
        <f>'FREH LGV vkm'!F76*'FREH Stock'!F88</f>
        <v>12216.237755300714</v>
      </c>
      <c r="AM76" s="295">
        <f>'FREH LGV vkm'!G76*'FREH Stock'!G88</f>
        <v>0</v>
      </c>
      <c r="AN76" s="295">
        <f>'FREH LGV vkm'!H76*'FREH Stock'!H88</f>
        <v>0</v>
      </c>
      <c r="AO76" s="295">
        <f>'FREH LGV vkm'!I76*'FREH Stock'!I88</f>
        <v>0</v>
      </c>
      <c r="AP76" s="295">
        <f>'FREH LGV vkm'!J76*'FREH Stock'!J88</f>
        <v>0</v>
      </c>
      <c r="AQ76" s="295">
        <f>'FREH LGV vkm'!K76*'FREH Stock'!K88</f>
        <v>0</v>
      </c>
      <c r="AR76" s="295">
        <f>'FREH LGV vkm'!L76*'FREH Stock'!L88</f>
        <v>0</v>
      </c>
      <c r="AS76" s="295">
        <f>'FREH LGV vkm'!M76*'FREH Stock'!M88</f>
        <v>0</v>
      </c>
      <c r="AT76" s="295">
        <f>'FREH LGV vkm'!N76*'FREH Stock'!N88</f>
        <v>0</v>
      </c>
      <c r="AU76" s="295">
        <f>'FREH LGV vkm'!O76*'FREH Stock'!O88</f>
        <v>0</v>
      </c>
      <c r="AV76" s="295">
        <f>'FREH LGV vkm'!P76*'FREH Stock'!P88</f>
        <v>0</v>
      </c>
      <c r="AW76" s="295">
        <f>'FREH LGV vkm'!Q76*'FREH Stock'!Q88</f>
        <v>0</v>
      </c>
      <c r="AX76" s="295">
        <f>'FREH LGV vkm'!R76*'FREH Stock'!R88</f>
        <v>0</v>
      </c>
      <c r="AY76" s="295">
        <f>'FREH LGV vkm'!S76*'FREH Stock'!S88</f>
        <v>0</v>
      </c>
      <c r="AZ76" s="295">
        <f>'FREH LGV vkm'!T76*'FREH Stock'!T88</f>
        <v>0</v>
      </c>
      <c r="BA76" s="295">
        <f>'FREH LGV vkm'!U76*'FREH Stock'!U88</f>
        <v>0</v>
      </c>
      <c r="BB76" s="295">
        <f>'FREH LGV vkm'!V76*'FREH Stock'!V88</f>
        <v>0</v>
      </c>
      <c r="BC76" s="295">
        <f>'FREH LGV vkm'!W76*'FREH Stock'!W88</f>
        <v>0</v>
      </c>
      <c r="BD76" s="295">
        <f>'FREH LGV vkm'!X76*'FREH Stock'!X88</f>
        <v>0</v>
      </c>
      <c r="BE76" s="295">
        <f>'FREH LGV vkm'!Y76*'FREH Stock'!Y88</f>
        <v>0</v>
      </c>
      <c r="BF76" s="295">
        <f>'FREH LGV vkm'!Z76*'FREH Stock'!Z88</f>
        <v>0</v>
      </c>
      <c r="BG76" s="295">
        <f>'FREH LGV vkm'!AA76*'FREH Stock'!AA88</f>
        <v>0</v>
      </c>
      <c r="BH76" s="295">
        <f>'FREH LGV vkm'!AB76*'FREH Stock'!AB88</f>
        <v>0</v>
      </c>
      <c r="BI76" s="295">
        <f>'FREH LGV vkm'!AC76*'FREH Stock'!AC88</f>
        <v>0</v>
      </c>
      <c r="BJ76" s="295">
        <f>'FREH LGV vkm'!AD76*'FREH Stock'!AD88</f>
        <v>0</v>
      </c>
      <c r="BK76" s="296">
        <f>'FREH LGV vkm'!AE76*'FREH Stock'!AE88</f>
        <v>0</v>
      </c>
    </row>
    <row r="77" spans="1:63">
      <c r="A77" s="1711"/>
      <c r="B77" s="116">
        <v>4</v>
      </c>
      <c r="C77" s="294">
        <f>SUMPRODUCT(D10:F10,'FREH Stock'!$D$24:$F$24)/SUM('FREH Stock'!$D$24:$F$24)</f>
        <v>14292.271628340239</v>
      </c>
      <c r="D77" s="295">
        <f t="shared" si="15"/>
        <v>14292.271628340239</v>
      </c>
      <c r="E77" s="295">
        <f t="shared" si="15"/>
        <v>14292.271628340239</v>
      </c>
      <c r="F77" s="295">
        <f t="shared" si="15"/>
        <v>14292.271628340239</v>
      </c>
      <c r="G77" s="295">
        <f t="shared" si="15"/>
        <v>14292.271628340239</v>
      </c>
      <c r="H77" s="295">
        <f t="shared" si="15"/>
        <v>14292.271628340239</v>
      </c>
      <c r="I77" s="295">
        <f t="shared" si="15"/>
        <v>14292.271628340239</v>
      </c>
      <c r="J77" s="295">
        <f t="shared" si="15"/>
        <v>14292.271628340239</v>
      </c>
      <c r="K77" s="295">
        <f t="shared" si="15"/>
        <v>14292.271628340239</v>
      </c>
      <c r="L77" s="295">
        <f t="shared" si="15"/>
        <v>14292.271628340239</v>
      </c>
      <c r="M77" s="295">
        <f t="shared" si="15"/>
        <v>14292.271628340239</v>
      </c>
      <c r="N77" s="295">
        <f t="shared" si="15"/>
        <v>14292.271628340239</v>
      </c>
      <c r="O77" s="295">
        <f t="shared" si="15"/>
        <v>14292.271628340239</v>
      </c>
      <c r="P77" s="295">
        <f t="shared" si="15"/>
        <v>14292.271628340239</v>
      </c>
      <c r="Q77" s="295">
        <f t="shared" si="15"/>
        <v>14292.271628340239</v>
      </c>
      <c r="R77" s="295">
        <f t="shared" si="15"/>
        <v>14292.271628340239</v>
      </c>
      <c r="S77" s="295">
        <f t="shared" si="15"/>
        <v>14292.271628340239</v>
      </c>
      <c r="T77" s="295">
        <f t="shared" si="15"/>
        <v>14292.271628340239</v>
      </c>
      <c r="U77" s="295">
        <f t="shared" si="15"/>
        <v>14292.271628340239</v>
      </c>
      <c r="V77" s="295">
        <f t="shared" si="15"/>
        <v>14292.271628340239</v>
      </c>
      <c r="W77" s="295">
        <f t="shared" si="15"/>
        <v>14292.271628340239</v>
      </c>
      <c r="X77" s="295">
        <f t="shared" si="15"/>
        <v>14292.271628340239</v>
      </c>
      <c r="Y77" s="295">
        <f t="shared" si="15"/>
        <v>14292.271628340239</v>
      </c>
      <c r="Z77" s="295">
        <f t="shared" si="15"/>
        <v>14292.271628340239</v>
      </c>
      <c r="AA77" s="295">
        <f t="shared" si="15"/>
        <v>14292.271628340239</v>
      </c>
      <c r="AB77" s="295">
        <f t="shared" si="15"/>
        <v>14292.271628340239</v>
      </c>
      <c r="AC77" s="295">
        <f t="shared" si="15"/>
        <v>14292.271628340239</v>
      </c>
      <c r="AD77" s="295">
        <f t="shared" si="15"/>
        <v>14292.271628340239</v>
      </c>
      <c r="AE77" s="296">
        <f t="shared" si="15"/>
        <v>14292.271628340239</v>
      </c>
      <c r="AG77" s="1711"/>
      <c r="AH77" s="116">
        <v>4</v>
      </c>
      <c r="AI77" s="294">
        <f>'FREH LGV vkm'!C77*'FREH Stock'!C89</f>
        <v>242968.61768178406</v>
      </c>
      <c r="AJ77" s="295">
        <f>'FREH LGV vkm'!D77*'FREH Stock'!D89</f>
        <v>185799.5311684231</v>
      </c>
      <c r="AK77" s="295">
        <f>'FREH LGV vkm'!E77*'FREH Stock'!E89</f>
        <v>114101.38108940952</v>
      </c>
      <c r="AL77" s="295">
        <f>'FREH LGV vkm'!F77*'FREH Stock'!F89</f>
        <v>85139.920817721475</v>
      </c>
      <c r="AM77" s="295">
        <f>'FREH LGV vkm'!G77*'FREH Stock'!G89</f>
        <v>13978.247593166794</v>
      </c>
      <c r="AN77" s="295">
        <f>'FREH LGV vkm'!H77*'FREH Stock'!H89</f>
        <v>0</v>
      </c>
      <c r="AO77" s="295">
        <f>'FREH LGV vkm'!I77*'FREH Stock'!I89</f>
        <v>0</v>
      </c>
      <c r="AP77" s="295">
        <f>'FREH LGV vkm'!J77*'FREH Stock'!J89</f>
        <v>0</v>
      </c>
      <c r="AQ77" s="295">
        <f>'FREH LGV vkm'!K77*'FREH Stock'!K89</f>
        <v>0</v>
      </c>
      <c r="AR77" s="295">
        <f>'FREH LGV vkm'!L77*'FREH Stock'!L89</f>
        <v>0</v>
      </c>
      <c r="AS77" s="295">
        <f>'FREH LGV vkm'!M77*'FREH Stock'!M89</f>
        <v>0</v>
      </c>
      <c r="AT77" s="295">
        <f>'FREH LGV vkm'!N77*'FREH Stock'!N89</f>
        <v>0</v>
      </c>
      <c r="AU77" s="295">
        <f>'FREH LGV vkm'!O77*'FREH Stock'!O89</f>
        <v>0</v>
      </c>
      <c r="AV77" s="295">
        <f>'FREH LGV vkm'!P77*'FREH Stock'!P89</f>
        <v>0</v>
      </c>
      <c r="AW77" s="295">
        <f>'FREH LGV vkm'!Q77*'FREH Stock'!Q89</f>
        <v>0</v>
      </c>
      <c r="AX77" s="295">
        <f>'FREH LGV vkm'!R77*'FREH Stock'!R89</f>
        <v>0</v>
      </c>
      <c r="AY77" s="295">
        <f>'FREH LGV vkm'!S77*'FREH Stock'!S89</f>
        <v>0</v>
      </c>
      <c r="AZ77" s="295">
        <f>'FREH LGV vkm'!T77*'FREH Stock'!T89</f>
        <v>0</v>
      </c>
      <c r="BA77" s="295">
        <f>'FREH LGV vkm'!U77*'FREH Stock'!U89</f>
        <v>0</v>
      </c>
      <c r="BB77" s="295">
        <f>'FREH LGV vkm'!V77*'FREH Stock'!V89</f>
        <v>0</v>
      </c>
      <c r="BC77" s="295">
        <f>'FREH LGV vkm'!W77*'FREH Stock'!W89</f>
        <v>0</v>
      </c>
      <c r="BD77" s="295">
        <f>'FREH LGV vkm'!X77*'FREH Stock'!X89</f>
        <v>0</v>
      </c>
      <c r="BE77" s="295">
        <f>'FREH LGV vkm'!Y77*'FREH Stock'!Y89</f>
        <v>0</v>
      </c>
      <c r="BF77" s="295">
        <f>'FREH LGV vkm'!Z77*'FREH Stock'!Z89</f>
        <v>0</v>
      </c>
      <c r="BG77" s="295">
        <f>'FREH LGV vkm'!AA77*'FREH Stock'!AA89</f>
        <v>0</v>
      </c>
      <c r="BH77" s="295">
        <f>'FREH LGV vkm'!AB77*'FREH Stock'!AB89</f>
        <v>0</v>
      </c>
      <c r="BI77" s="295">
        <f>'FREH LGV vkm'!AC77*'FREH Stock'!AC89</f>
        <v>0</v>
      </c>
      <c r="BJ77" s="295">
        <f>'FREH LGV vkm'!AD77*'FREH Stock'!AD89</f>
        <v>0</v>
      </c>
      <c r="BK77" s="296">
        <f>'FREH LGV vkm'!AE77*'FREH Stock'!AE89</f>
        <v>0</v>
      </c>
    </row>
    <row r="78" spans="1:63">
      <c r="A78" s="1711"/>
      <c r="B78" s="116">
        <v>5</v>
      </c>
      <c r="C78" s="294">
        <f>SUMPRODUCT(D11:F11,'FREH Stock'!$D$24:$F$24)/SUM('FREH Stock'!$D$24:$F$24)</f>
        <v>14968.426059655689</v>
      </c>
      <c r="D78" s="295">
        <f t="shared" si="15"/>
        <v>14968.426059655689</v>
      </c>
      <c r="E78" s="295">
        <f t="shared" si="15"/>
        <v>14968.426059655689</v>
      </c>
      <c r="F78" s="295">
        <f t="shared" si="15"/>
        <v>14968.426059655689</v>
      </c>
      <c r="G78" s="295">
        <f t="shared" si="15"/>
        <v>14968.426059655689</v>
      </c>
      <c r="H78" s="295">
        <f t="shared" si="15"/>
        <v>14968.426059655689</v>
      </c>
      <c r="I78" s="295">
        <f t="shared" si="15"/>
        <v>14968.426059655689</v>
      </c>
      <c r="J78" s="295">
        <f t="shared" si="15"/>
        <v>14968.426059655689</v>
      </c>
      <c r="K78" s="295">
        <f t="shared" si="15"/>
        <v>14968.426059655689</v>
      </c>
      <c r="L78" s="295">
        <f t="shared" si="15"/>
        <v>14968.426059655689</v>
      </c>
      <c r="M78" s="295">
        <f t="shared" si="15"/>
        <v>14968.426059655689</v>
      </c>
      <c r="N78" s="295">
        <f t="shared" si="15"/>
        <v>14968.426059655689</v>
      </c>
      <c r="O78" s="295">
        <f t="shared" si="15"/>
        <v>14968.426059655689</v>
      </c>
      <c r="P78" s="295">
        <f t="shared" si="15"/>
        <v>14968.426059655689</v>
      </c>
      <c r="Q78" s="295">
        <f t="shared" si="15"/>
        <v>14968.426059655689</v>
      </c>
      <c r="R78" s="295">
        <f t="shared" si="15"/>
        <v>14968.426059655689</v>
      </c>
      <c r="S78" s="295">
        <f t="shared" si="15"/>
        <v>14968.426059655689</v>
      </c>
      <c r="T78" s="295">
        <f t="shared" si="15"/>
        <v>14968.426059655689</v>
      </c>
      <c r="U78" s="295">
        <f t="shared" si="15"/>
        <v>14968.426059655689</v>
      </c>
      <c r="V78" s="295">
        <f t="shared" si="15"/>
        <v>14968.426059655689</v>
      </c>
      <c r="W78" s="295">
        <f t="shared" si="15"/>
        <v>14968.426059655689</v>
      </c>
      <c r="X78" s="295">
        <f t="shared" si="15"/>
        <v>14968.426059655689</v>
      </c>
      <c r="Y78" s="295">
        <f t="shared" si="15"/>
        <v>14968.426059655689</v>
      </c>
      <c r="Z78" s="295">
        <f t="shared" si="15"/>
        <v>14968.426059655689</v>
      </c>
      <c r="AA78" s="295">
        <f t="shared" si="15"/>
        <v>14968.426059655689</v>
      </c>
      <c r="AB78" s="295">
        <f t="shared" si="15"/>
        <v>14968.426059655689</v>
      </c>
      <c r="AC78" s="295">
        <f t="shared" si="15"/>
        <v>14968.426059655689</v>
      </c>
      <c r="AD78" s="295">
        <f t="shared" si="15"/>
        <v>14968.426059655689</v>
      </c>
      <c r="AE78" s="296">
        <f t="shared" si="15"/>
        <v>14968.426059655689</v>
      </c>
      <c r="AG78" s="1711"/>
      <c r="AH78" s="116">
        <v>5</v>
      </c>
      <c r="AI78" s="294">
        <f>'FREH LGV vkm'!C78*'FREH Stock'!C90</f>
        <v>464021.20784932637</v>
      </c>
      <c r="AJ78" s="295">
        <f>'FREH LGV vkm'!D78*'FREH Stock'!D90</f>
        <v>254463.24301414672</v>
      </c>
      <c r="AK78" s="295">
        <f>'FREH LGV vkm'!E78*'FREH Stock'!E90</f>
        <v>194589.53877552395</v>
      </c>
      <c r="AL78" s="295">
        <f>'FREH LGV vkm'!F78*'FREH Stock'!F90</f>
        <v>119499.41412775702</v>
      </c>
      <c r="AM78" s="295">
        <f>'FREH LGV vkm'!G78*'FREH Stock'!G90</f>
        <v>89167.813390697585</v>
      </c>
      <c r="AN78" s="295">
        <f>'FREH LGV vkm'!H78*'FREH Stock'!H90</f>
        <v>14639.545831677942</v>
      </c>
      <c r="AO78" s="295">
        <f>'FREH LGV vkm'!I78*'FREH Stock'!I90</f>
        <v>0</v>
      </c>
      <c r="AP78" s="295">
        <f>'FREH LGV vkm'!J78*'FREH Stock'!J90</f>
        <v>0</v>
      </c>
      <c r="AQ78" s="295">
        <f>'FREH LGV vkm'!K78*'FREH Stock'!K90</f>
        <v>0</v>
      </c>
      <c r="AR78" s="295">
        <f>'FREH LGV vkm'!L78*'FREH Stock'!L90</f>
        <v>0</v>
      </c>
      <c r="AS78" s="295">
        <f>'FREH LGV vkm'!M78*'FREH Stock'!M90</f>
        <v>0</v>
      </c>
      <c r="AT78" s="295">
        <f>'FREH LGV vkm'!N78*'FREH Stock'!N90</f>
        <v>0</v>
      </c>
      <c r="AU78" s="295">
        <f>'FREH LGV vkm'!O78*'FREH Stock'!O90</f>
        <v>0</v>
      </c>
      <c r="AV78" s="295">
        <f>'FREH LGV vkm'!P78*'FREH Stock'!P90</f>
        <v>0</v>
      </c>
      <c r="AW78" s="295">
        <f>'FREH LGV vkm'!Q78*'FREH Stock'!Q90</f>
        <v>0</v>
      </c>
      <c r="AX78" s="295">
        <f>'FREH LGV vkm'!R78*'FREH Stock'!R90</f>
        <v>0</v>
      </c>
      <c r="AY78" s="295">
        <f>'FREH LGV vkm'!S78*'FREH Stock'!S90</f>
        <v>0</v>
      </c>
      <c r="AZ78" s="295">
        <f>'FREH LGV vkm'!T78*'FREH Stock'!T90</f>
        <v>0</v>
      </c>
      <c r="BA78" s="295">
        <f>'FREH LGV vkm'!U78*'FREH Stock'!U90</f>
        <v>0</v>
      </c>
      <c r="BB78" s="295">
        <f>'FREH LGV vkm'!V78*'FREH Stock'!V90</f>
        <v>0</v>
      </c>
      <c r="BC78" s="295">
        <f>'FREH LGV vkm'!W78*'FREH Stock'!W90</f>
        <v>0</v>
      </c>
      <c r="BD78" s="295">
        <f>'FREH LGV vkm'!X78*'FREH Stock'!X90</f>
        <v>0</v>
      </c>
      <c r="BE78" s="295">
        <f>'FREH LGV vkm'!Y78*'FREH Stock'!Y90</f>
        <v>0</v>
      </c>
      <c r="BF78" s="295">
        <f>'FREH LGV vkm'!Z78*'FREH Stock'!Z90</f>
        <v>0</v>
      </c>
      <c r="BG78" s="295">
        <f>'FREH LGV vkm'!AA78*'FREH Stock'!AA90</f>
        <v>0</v>
      </c>
      <c r="BH78" s="295">
        <f>'FREH LGV vkm'!AB78*'FREH Stock'!AB90</f>
        <v>0</v>
      </c>
      <c r="BI78" s="295">
        <f>'FREH LGV vkm'!AC78*'FREH Stock'!AC90</f>
        <v>0</v>
      </c>
      <c r="BJ78" s="295">
        <f>'FREH LGV vkm'!AD78*'FREH Stock'!AD90</f>
        <v>0</v>
      </c>
      <c r="BK78" s="296">
        <f>'FREH LGV vkm'!AE78*'FREH Stock'!AE90</f>
        <v>0</v>
      </c>
    </row>
    <row r="79" spans="1:63">
      <c r="A79" s="1711"/>
      <c r="B79" s="116">
        <v>6</v>
      </c>
      <c r="C79" s="486">
        <f>SUMPRODUCT(D12:F12,'FREH Stock'!$D$24:$F$24)/SUM('FREH Stock'!$D$24:$F$24)</f>
        <v>13198.753621681151</v>
      </c>
      <c r="D79" s="295">
        <f t="shared" si="15"/>
        <v>13198.753621681151</v>
      </c>
      <c r="E79" s="295">
        <f t="shared" si="15"/>
        <v>13198.753621681151</v>
      </c>
      <c r="F79" s="295">
        <f t="shared" si="15"/>
        <v>13198.753621681151</v>
      </c>
      <c r="G79" s="295">
        <f t="shared" si="15"/>
        <v>13198.753621681151</v>
      </c>
      <c r="H79" s="295">
        <f t="shared" si="15"/>
        <v>13198.753621681151</v>
      </c>
      <c r="I79" s="295">
        <f t="shared" si="15"/>
        <v>13198.753621681151</v>
      </c>
      <c r="J79" s="295">
        <f t="shared" si="15"/>
        <v>13198.753621681151</v>
      </c>
      <c r="K79" s="295">
        <f t="shared" si="15"/>
        <v>13198.753621681151</v>
      </c>
      <c r="L79" s="295">
        <f t="shared" si="15"/>
        <v>13198.753621681151</v>
      </c>
      <c r="M79" s="295">
        <f t="shared" si="15"/>
        <v>13198.753621681151</v>
      </c>
      <c r="N79" s="295">
        <f t="shared" si="15"/>
        <v>13198.753621681151</v>
      </c>
      <c r="O79" s="295">
        <f t="shared" si="15"/>
        <v>13198.753621681151</v>
      </c>
      <c r="P79" s="295">
        <f t="shared" si="15"/>
        <v>13198.753621681151</v>
      </c>
      <c r="Q79" s="295">
        <f t="shared" si="15"/>
        <v>13198.753621681151</v>
      </c>
      <c r="R79" s="295">
        <f t="shared" si="15"/>
        <v>13198.753621681151</v>
      </c>
      <c r="S79" s="295">
        <f t="shared" si="15"/>
        <v>13198.753621681151</v>
      </c>
      <c r="T79" s="295">
        <f t="shared" si="15"/>
        <v>13198.753621681151</v>
      </c>
      <c r="U79" s="295">
        <f t="shared" si="15"/>
        <v>13198.753621681151</v>
      </c>
      <c r="V79" s="295">
        <f t="shared" si="15"/>
        <v>13198.753621681151</v>
      </c>
      <c r="W79" s="295">
        <f t="shared" si="15"/>
        <v>13198.753621681151</v>
      </c>
      <c r="X79" s="295">
        <f t="shared" si="15"/>
        <v>13198.753621681151</v>
      </c>
      <c r="Y79" s="295">
        <f t="shared" si="15"/>
        <v>13198.753621681151</v>
      </c>
      <c r="Z79" s="295">
        <f t="shared" si="15"/>
        <v>13198.753621681151</v>
      </c>
      <c r="AA79" s="295">
        <f t="shared" si="15"/>
        <v>13198.753621681151</v>
      </c>
      <c r="AB79" s="295">
        <f t="shared" si="15"/>
        <v>13198.753621681151</v>
      </c>
      <c r="AC79" s="295">
        <f t="shared" si="15"/>
        <v>13198.753621681151</v>
      </c>
      <c r="AD79" s="295">
        <f t="shared" si="15"/>
        <v>13198.753621681151</v>
      </c>
      <c r="AE79" s="296">
        <f t="shared" si="15"/>
        <v>13198.753621681151</v>
      </c>
      <c r="AG79" s="1711"/>
      <c r="AH79" s="116">
        <v>6</v>
      </c>
      <c r="AI79" s="294">
        <f>'FREH LGV vkm'!C79*'FREH Stock'!C91</f>
        <v>527950.14486724604</v>
      </c>
      <c r="AJ79" s="295">
        <f>'FREH LGV vkm'!D79*'FREH Stock'!D91</f>
        <v>407645.78238374705</v>
      </c>
      <c r="AK79" s="295">
        <f>'FREH LGV vkm'!E79*'FREH Stock'!E91</f>
        <v>223547.68711366772</v>
      </c>
      <c r="AL79" s="295">
        <f>'FREH LGV vkm'!F79*'FREH Stock'!F91</f>
        <v>170948.23132221651</v>
      </c>
      <c r="AM79" s="295">
        <f>'FREH LGV vkm'!G79*'FREH Stock'!G91</f>
        <v>104981.04686268301</v>
      </c>
      <c r="AN79" s="295">
        <f>'FREH LGV vkm'!H79*'FREH Stock'!H91</f>
        <v>78334.529625425712</v>
      </c>
      <c r="AO79" s="295">
        <f>'FREH LGV vkm'!I79*'FREH Stock'!I91</f>
        <v>12860.940434073613</v>
      </c>
      <c r="AP79" s="295">
        <f>'FREH LGV vkm'!J79*'FREH Stock'!J91</f>
        <v>0</v>
      </c>
      <c r="AQ79" s="295">
        <f>'FREH LGV vkm'!K79*'FREH Stock'!K91</f>
        <v>0</v>
      </c>
      <c r="AR79" s="295">
        <f>'FREH LGV vkm'!L79*'FREH Stock'!L91</f>
        <v>0</v>
      </c>
      <c r="AS79" s="295">
        <f>'FREH LGV vkm'!M79*'FREH Stock'!M91</f>
        <v>0</v>
      </c>
      <c r="AT79" s="295">
        <f>'FREH LGV vkm'!N79*'FREH Stock'!N91</f>
        <v>0</v>
      </c>
      <c r="AU79" s="295">
        <f>'FREH LGV vkm'!O79*'FREH Stock'!O91</f>
        <v>0</v>
      </c>
      <c r="AV79" s="295">
        <f>'FREH LGV vkm'!P79*'FREH Stock'!P91</f>
        <v>0</v>
      </c>
      <c r="AW79" s="295">
        <f>'FREH LGV vkm'!Q79*'FREH Stock'!Q91</f>
        <v>0</v>
      </c>
      <c r="AX79" s="295">
        <f>'FREH LGV vkm'!R79*'FREH Stock'!R91</f>
        <v>0</v>
      </c>
      <c r="AY79" s="295">
        <f>'FREH LGV vkm'!S79*'FREH Stock'!S91</f>
        <v>0</v>
      </c>
      <c r="AZ79" s="295">
        <f>'FREH LGV vkm'!T79*'FREH Stock'!T91</f>
        <v>0</v>
      </c>
      <c r="BA79" s="295">
        <f>'FREH LGV vkm'!U79*'FREH Stock'!U91</f>
        <v>0</v>
      </c>
      <c r="BB79" s="295">
        <f>'FREH LGV vkm'!V79*'FREH Stock'!V91</f>
        <v>0</v>
      </c>
      <c r="BC79" s="295">
        <f>'FREH LGV vkm'!W79*'FREH Stock'!W91</f>
        <v>0</v>
      </c>
      <c r="BD79" s="295">
        <f>'FREH LGV vkm'!X79*'FREH Stock'!X91</f>
        <v>0</v>
      </c>
      <c r="BE79" s="295">
        <f>'FREH LGV vkm'!Y79*'FREH Stock'!Y91</f>
        <v>0</v>
      </c>
      <c r="BF79" s="295">
        <f>'FREH LGV vkm'!Z79*'FREH Stock'!Z91</f>
        <v>0</v>
      </c>
      <c r="BG79" s="295">
        <f>'FREH LGV vkm'!AA79*'FREH Stock'!AA91</f>
        <v>0</v>
      </c>
      <c r="BH79" s="295">
        <f>'FREH LGV vkm'!AB79*'FREH Stock'!AB91</f>
        <v>0</v>
      </c>
      <c r="BI79" s="295">
        <f>'FREH LGV vkm'!AC79*'FREH Stock'!AC91</f>
        <v>0</v>
      </c>
      <c r="BJ79" s="295">
        <f>'FREH LGV vkm'!AD79*'FREH Stock'!AD91</f>
        <v>0</v>
      </c>
      <c r="BK79" s="296">
        <f>'FREH LGV vkm'!AE79*'FREH Stock'!AE91</f>
        <v>0</v>
      </c>
    </row>
    <row r="80" spans="1:63">
      <c r="A80" s="1711"/>
      <c r="B80" s="116">
        <v>7</v>
      </c>
      <c r="C80" s="294">
        <f>C79</f>
        <v>13198.753621681151</v>
      </c>
      <c r="D80" s="295">
        <f>D79</f>
        <v>13198.753621681151</v>
      </c>
      <c r="E80" s="295">
        <f t="shared" ref="E80:AE89" si="16">E79</f>
        <v>13198.753621681151</v>
      </c>
      <c r="F80" s="295">
        <f t="shared" si="16"/>
        <v>13198.753621681151</v>
      </c>
      <c r="G80" s="295">
        <f t="shared" si="16"/>
        <v>13198.753621681151</v>
      </c>
      <c r="H80" s="295">
        <f t="shared" si="16"/>
        <v>13198.753621681151</v>
      </c>
      <c r="I80" s="295">
        <f t="shared" si="16"/>
        <v>13198.753621681151</v>
      </c>
      <c r="J80" s="295">
        <f t="shared" si="16"/>
        <v>13198.753621681151</v>
      </c>
      <c r="K80" s="295">
        <f t="shared" si="16"/>
        <v>13198.753621681151</v>
      </c>
      <c r="L80" s="295">
        <f t="shared" si="16"/>
        <v>13198.753621681151</v>
      </c>
      <c r="M80" s="295">
        <f t="shared" si="16"/>
        <v>13198.753621681151</v>
      </c>
      <c r="N80" s="295">
        <f t="shared" si="16"/>
        <v>13198.753621681151</v>
      </c>
      <c r="O80" s="295">
        <f t="shared" si="16"/>
        <v>13198.753621681151</v>
      </c>
      <c r="P80" s="295">
        <f t="shared" si="16"/>
        <v>13198.753621681151</v>
      </c>
      <c r="Q80" s="295">
        <f t="shared" si="16"/>
        <v>13198.753621681151</v>
      </c>
      <c r="R80" s="295">
        <f t="shared" si="16"/>
        <v>13198.753621681151</v>
      </c>
      <c r="S80" s="295">
        <f t="shared" si="16"/>
        <v>13198.753621681151</v>
      </c>
      <c r="T80" s="295">
        <f t="shared" si="16"/>
        <v>13198.753621681151</v>
      </c>
      <c r="U80" s="295">
        <f t="shared" si="16"/>
        <v>13198.753621681151</v>
      </c>
      <c r="V80" s="295">
        <f t="shared" si="16"/>
        <v>13198.753621681151</v>
      </c>
      <c r="W80" s="295">
        <f t="shared" si="16"/>
        <v>13198.753621681151</v>
      </c>
      <c r="X80" s="295">
        <f t="shared" si="16"/>
        <v>13198.753621681151</v>
      </c>
      <c r="Y80" s="295">
        <f t="shared" si="16"/>
        <v>13198.753621681151</v>
      </c>
      <c r="Z80" s="295">
        <f t="shared" si="16"/>
        <v>13198.753621681151</v>
      </c>
      <c r="AA80" s="295">
        <f t="shared" si="16"/>
        <v>13198.753621681151</v>
      </c>
      <c r="AB80" s="295">
        <f t="shared" si="16"/>
        <v>13198.753621681151</v>
      </c>
      <c r="AC80" s="295">
        <f t="shared" si="16"/>
        <v>13198.753621681151</v>
      </c>
      <c r="AD80" s="295">
        <f t="shared" si="16"/>
        <v>13198.753621681151</v>
      </c>
      <c r="AE80" s="296">
        <f t="shared" si="16"/>
        <v>13198.753621681151</v>
      </c>
      <c r="AG80" s="1711"/>
      <c r="AH80" s="116">
        <v>7</v>
      </c>
      <c r="AI80" s="294">
        <f>'FREH LGV vkm'!C80*'FREH Stock'!C92</f>
        <v>567546.40573228954</v>
      </c>
      <c r="AJ80" s="295">
        <f>'FREH LGV vkm'!D80*'FREH Stock'!D92</f>
        <v>506616.59951819654</v>
      </c>
      <c r="AK80" s="295">
        <f>'FREH LGV vkm'!E80*'FREH Stock'!E92</f>
        <v>391173.52668047574</v>
      </c>
      <c r="AL80" s="295">
        <f>'FREH LGV vkm'!F80*'FREH Stock'!F92</f>
        <v>214514.51463122861</v>
      </c>
      <c r="AM80" s="295">
        <f>'FREH LGV vkm'!G80*'FREH Stock'!G92</f>
        <v>164040.51118858659</v>
      </c>
      <c r="AN80" s="295">
        <f>'FREH LGV vkm'!H80*'FREH Stock'!H92</f>
        <v>100738.94569875798</v>
      </c>
      <c r="AO80" s="295">
        <f>'FREH LGV vkm'!I80*'FREH Stock'!I92</f>
        <v>75169.167788882041</v>
      </c>
      <c r="AP80" s="295">
        <f>'FREH LGV vkm'!J80*'FREH Stock'!J92</f>
        <v>12341.252242585902</v>
      </c>
      <c r="AQ80" s="295">
        <f>'FREH LGV vkm'!K80*'FREH Stock'!K92</f>
        <v>0</v>
      </c>
      <c r="AR80" s="295">
        <f>'FREH LGV vkm'!L80*'FREH Stock'!L92</f>
        <v>0</v>
      </c>
      <c r="AS80" s="295">
        <f>'FREH LGV vkm'!M80*'FREH Stock'!M92</f>
        <v>0</v>
      </c>
      <c r="AT80" s="295">
        <f>'FREH LGV vkm'!N80*'FREH Stock'!N92</f>
        <v>0</v>
      </c>
      <c r="AU80" s="295">
        <f>'FREH LGV vkm'!O80*'FREH Stock'!O92</f>
        <v>0</v>
      </c>
      <c r="AV80" s="295">
        <f>'FREH LGV vkm'!P80*'FREH Stock'!P92</f>
        <v>0</v>
      </c>
      <c r="AW80" s="295">
        <f>'FREH LGV vkm'!Q80*'FREH Stock'!Q92</f>
        <v>0</v>
      </c>
      <c r="AX80" s="295">
        <f>'FREH LGV vkm'!R80*'FREH Stock'!R92</f>
        <v>0</v>
      </c>
      <c r="AY80" s="295">
        <f>'FREH LGV vkm'!S80*'FREH Stock'!S92</f>
        <v>0</v>
      </c>
      <c r="AZ80" s="295">
        <f>'FREH LGV vkm'!T80*'FREH Stock'!T92</f>
        <v>0</v>
      </c>
      <c r="BA80" s="295">
        <f>'FREH LGV vkm'!U80*'FREH Stock'!U92</f>
        <v>0</v>
      </c>
      <c r="BB80" s="295">
        <f>'FREH LGV vkm'!V80*'FREH Stock'!V92</f>
        <v>0</v>
      </c>
      <c r="BC80" s="295">
        <f>'FREH LGV vkm'!W80*'FREH Stock'!W92</f>
        <v>0</v>
      </c>
      <c r="BD80" s="295">
        <f>'FREH LGV vkm'!X80*'FREH Stock'!X92</f>
        <v>0</v>
      </c>
      <c r="BE80" s="295">
        <f>'FREH LGV vkm'!Y80*'FREH Stock'!Y92</f>
        <v>0</v>
      </c>
      <c r="BF80" s="295">
        <f>'FREH LGV vkm'!Z80*'FREH Stock'!Z92</f>
        <v>0</v>
      </c>
      <c r="BG80" s="295">
        <f>'FREH LGV vkm'!AA80*'FREH Stock'!AA92</f>
        <v>0</v>
      </c>
      <c r="BH80" s="295">
        <f>'FREH LGV vkm'!AB80*'FREH Stock'!AB92</f>
        <v>0</v>
      </c>
      <c r="BI80" s="295">
        <f>'FREH LGV vkm'!AC80*'FREH Stock'!AC92</f>
        <v>0</v>
      </c>
      <c r="BJ80" s="295">
        <f>'FREH LGV vkm'!AD80*'FREH Stock'!AD92</f>
        <v>0</v>
      </c>
      <c r="BK80" s="296">
        <f>'FREH LGV vkm'!AE80*'FREH Stock'!AE92</f>
        <v>0</v>
      </c>
    </row>
    <row r="81" spans="1:63">
      <c r="A81" s="1711"/>
      <c r="B81" s="116">
        <v>8</v>
      </c>
      <c r="C81" s="294">
        <f t="shared" ref="C81:D96" si="17">C80</f>
        <v>13198.753621681151</v>
      </c>
      <c r="D81" s="295">
        <f t="shared" si="17"/>
        <v>13198.753621681151</v>
      </c>
      <c r="E81" s="295">
        <f t="shared" si="16"/>
        <v>13198.753621681151</v>
      </c>
      <c r="F81" s="295">
        <f t="shared" si="16"/>
        <v>13198.753621681151</v>
      </c>
      <c r="G81" s="295">
        <f t="shared" si="16"/>
        <v>13198.753621681151</v>
      </c>
      <c r="H81" s="295">
        <f t="shared" si="16"/>
        <v>13198.753621681151</v>
      </c>
      <c r="I81" s="295">
        <f t="shared" si="16"/>
        <v>13198.753621681151</v>
      </c>
      <c r="J81" s="295">
        <f t="shared" si="16"/>
        <v>13198.753621681151</v>
      </c>
      <c r="K81" s="295">
        <f t="shared" si="16"/>
        <v>13198.753621681151</v>
      </c>
      <c r="L81" s="295">
        <f t="shared" si="16"/>
        <v>13198.753621681151</v>
      </c>
      <c r="M81" s="295">
        <f t="shared" si="16"/>
        <v>13198.753621681151</v>
      </c>
      <c r="N81" s="295">
        <f t="shared" si="16"/>
        <v>13198.753621681151</v>
      </c>
      <c r="O81" s="295">
        <f t="shared" si="16"/>
        <v>13198.753621681151</v>
      </c>
      <c r="P81" s="295">
        <f t="shared" si="16"/>
        <v>13198.753621681151</v>
      </c>
      <c r="Q81" s="295">
        <f t="shared" si="16"/>
        <v>13198.753621681151</v>
      </c>
      <c r="R81" s="295">
        <f t="shared" si="16"/>
        <v>13198.753621681151</v>
      </c>
      <c r="S81" s="295">
        <f t="shared" si="16"/>
        <v>13198.753621681151</v>
      </c>
      <c r="T81" s="295">
        <f t="shared" si="16"/>
        <v>13198.753621681151</v>
      </c>
      <c r="U81" s="295">
        <f t="shared" si="16"/>
        <v>13198.753621681151</v>
      </c>
      <c r="V81" s="295">
        <f t="shared" si="16"/>
        <v>13198.753621681151</v>
      </c>
      <c r="W81" s="295">
        <f t="shared" si="16"/>
        <v>13198.753621681151</v>
      </c>
      <c r="X81" s="295">
        <f t="shared" si="16"/>
        <v>13198.753621681151</v>
      </c>
      <c r="Y81" s="295">
        <f t="shared" si="16"/>
        <v>13198.753621681151</v>
      </c>
      <c r="Z81" s="295">
        <f t="shared" si="16"/>
        <v>13198.753621681151</v>
      </c>
      <c r="AA81" s="295">
        <f t="shared" si="16"/>
        <v>13198.753621681151</v>
      </c>
      <c r="AB81" s="295">
        <f t="shared" si="16"/>
        <v>13198.753621681151</v>
      </c>
      <c r="AC81" s="295">
        <f t="shared" si="16"/>
        <v>13198.753621681151</v>
      </c>
      <c r="AD81" s="295">
        <f t="shared" si="16"/>
        <v>13198.753621681151</v>
      </c>
      <c r="AE81" s="296">
        <f t="shared" si="16"/>
        <v>13198.753621681151</v>
      </c>
      <c r="AG81" s="1711"/>
      <c r="AH81" s="116">
        <v>8</v>
      </c>
      <c r="AI81" s="294">
        <f>'FREH LGV vkm'!C81*'FREH Stock'!C93</f>
        <v>369565.10140707222</v>
      </c>
      <c r="AJ81" s="295">
        <f>'FREH LGV vkm'!D81*'FREH Stock'!D93</f>
        <v>517304.90495413757</v>
      </c>
      <c r="AK81" s="295">
        <f>'FREH LGV vkm'!E81*'FREH Stock'!E93</f>
        <v>461768.85134846473</v>
      </c>
      <c r="AL81" s="295">
        <f>'FREH LGV vkm'!F81*'FREH Stock'!F93</f>
        <v>356545.26571959158</v>
      </c>
      <c r="AM81" s="295">
        <f>'FREH LGV vkm'!G81*'FREH Stock'!G93</f>
        <v>195524.82313655023</v>
      </c>
      <c r="AN81" s="295">
        <f>'FREH LGV vkm'!H81*'FREH Stock'!H93</f>
        <v>149518.98239853838</v>
      </c>
      <c r="AO81" s="295">
        <f>'FREH LGV vkm'!I81*'FREH Stock'!I93</f>
        <v>91821.127230356389</v>
      </c>
      <c r="AP81" s="295">
        <f>'FREH LGV vkm'!J81*'FREH Stock'!J93</f>
        <v>68514.889365454641</v>
      </c>
      <c r="AQ81" s="295">
        <f>'FREH LGV vkm'!K81*'FREH Stock'!K93</f>
        <v>11248.75473421172</v>
      </c>
      <c r="AR81" s="295">
        <f>'FREH LGV vkm'!L81*'FREH Stock'!L93</f>
        <v>0</v>
      </c>
      <c r="AS81" s="295">
        <f>'FREH LGV vkm'!M81*'FREH Stock'!M93</f>
        <v>0</v>
      </c>
      <c r="AT81" s="295">
        <f>'FREH LGV vkm'!N81*'FREH Stock'!N93</f>
        <v>0</v>
      </c>
      <c r="AU81" s="295">
        <f>'FREH LGV vkm'!O81*'FREH Stock'!O93</f>
        <v>0</v>
      </c>
      <c r="AV81" s="295">
        <f>'FREH LGV vkm'!P81*'FREH Stock'!P93</f>
        <v>0</v>
      </c>
      <c r="AW81" s="295">
        <f>'FREH LGV vkm'!Q81*'FREH Stock'!Q93</f>
        <v>0</v>
      </c>
      <c r="AX81" s="295">
        <f>'FREH LGV vkm'!R81*'FREH Stock'!R93</f>
        <v>0</v>
      </c>
      <c r="AY81" s="295">
        <f>'FREH LGV vkm'!S81*'FREH Stock'!S93</f>
        <v>0</v>
      </c>
      <c r="AZ81" s="295">
        <f>'FREH LGV vkm'!T81*'FREH Stock'!T93</f>
        <v>0</v>
      </c>
      <c r="BA81" s="295">
        <f>'FREH LGV vkm'!U81*'FREH Stock'!U93</f>
        <v>0</v>
      </c>
      <c r="BB81" s="295">
        <f>'FREH LGV vkm'!V81*'FREH Stock'!V93</f>
        <v>0</v>
      </c>
      <c r="BC81" s="295">
        <f>'FREH LGV vkm'!W81*'FREH Stock'!W93</f>
        <v>0</v>
      </c>
      <c r="BD81" s="295">
        <f>'FREH LGV vkm'!X81*'FREH Stock'!X93</f>
        <v>0</v>
      </c>
      <c r="BE81" s="295">
        <f>'FREH LGV vkm'!Y81*'FREH Stock'!Y93</f>
        <v>0</v>
      </c>
      <c r="BF81" s="295">
        <f>'FREH LGV vkm'!Z81*'FREH Stock'!Z93</f>
        <v>0</v>
      </c>
      <c r="BG81" s="295">
        <f>'FREH LGV vkm'!AA81*'FREH Stock'!AA93</f>
        <v>0</v>
      </c>
      <c r="BH81" s="295">
        <f>'FREH LGV vkm'!AB81*'FREH Stock'!AB93</f>
        <v>0</v>
      </c>
      <c r="BI81" s="295">
        <f>'FREH LGV vkm'!AC81*'FREH Stock'!AC93</f>
        <v>0</v>
      </c>
      <c r="BJ81" s="295">
        <f>'FREH LGV vkm'!AD81*'FREH Stock'!AD93</f>
        <v>0</v>
      </c>
      <c r="BK81" s="296">
        <f>'FREH LGV vkm'!AE81*'FREH Stock'!AE93</f>
        <v>0</v>
      </c>
    </row>
    <row r="82" spans="1:63">
      <c r="A82" s="1711"/>
      <c r="B82" s="116">
        <v>9</v>
      </c>
      <c r="C82" s="294">
        <f t="shared" si="17"/>
        <v>13198.753621681151</v>
      </c>
      <c r="D82" s="295">
        <f t="shared" si="17"/>
        <v>13198.753621681151</v>
      </c>
      <c r="E82" s="295">
        <f t="shared" si="16"/>
        <v>13198.753621681151</v>
      </c>
      <c r="F82" s="295">
        <f t="shared" si="16"/>
        <v>13198.753621681151</v>
      </c>
      <c r="G82" s="295">
        <f t="shared" si="16"/>
        <v>13198.753621681151</v>
      </c>
      <c r="H82" s="295">
        <f t="shared" si="16"/>
        <v>13198.753621681151</v>
      </c>
      <c r="I82" s="295">
        <f t="shared" si="16"/>
        <v>13198.753621681151</v>
      </c>
      <c r="J82" s="295">
        <f t="shared" si="16"/>
        <v>13198.753621681151</v>
      </c>
      <c r="K82" s="295">
        <f t="shared" si="16"/>
        <v>13198.753621681151</v>
      </c>
      <c r="L82" s="295">
        <f t="shared" si="16"/>
        <v>13198.753621681151</v>
      </c>
      <c r="M82" s="295">
        <f t="shared" si="16"/>
        <v>13198.753621681151</v>
      </c>
      <c r="N82" s="295">
        <f t="shared" si="16"/>
        <v>13198.753621681151</v>
      </c>
      <c r="O82" s="295">
        <f t="shared" si="16"/>
        <v>13198.753621681151</v>
      </c>
      <c r="P82" s="295">
        <f t="shared" si="16"/>
        <v>13198.753621681151</v>
      </c>
      <c r="Q82" s="295">
        <f t="shared" si="16"/>
        <v>13198.753621681151</v>
      </c>
      <c r="R82" s="295">
        <f t="shared" si="16"/>
        <v>13198.753621681151</v>
      </c>
      <c r="S82" s="295">
        <f t="shared" si="16"/>
        <v>13198.753621681151</v>
      </c>
      <c r="T82" s="295">
        <f t="shared" si="16"/>
        <v>13198.753621681151</v>
      </c>
      <c r="U82" s="295">
        <f t="shared" si="16"/>
        <v>13198.753621681151</v>
      </c>
      <c r="V82" s="295">
        <f t="shared" si="16"/>
        <v>13198.753621681151</v>
      </c>
      <c r="W82" s="295">
        <f t="shared" si="16"/>
        <v>13198.753621681151</v>
      </c>
      <c r="X82" s="295">
        <f t="shared" si="16"/>
        <v>13198.753621681151</v>
      </c>
      <c r="Y82" s="295">
        <f t="shared" si="16"/>
        <v>13198.753621681151</v>
      </c>
      <c r="Z82" s="295">
        <f t="shared" si="16"/>
        <v>13198.753621681151</v>
      </c>
      <c r="AA82" s="295">
        <f t="shared" si="16"/>
        <v>13198.753621681151</v>
      </c>
      <c r="AB82" s="295">
        <f t="shared" si="16"/>
        <v>13198.753621681151</v>
      </c>
      <c r="AC82" s="295">
        <f t="shared" si="16"/>
        <v>13198.753621681151</v>
      </c>
      <c r="AD82" s="295">
        <f t="shared" si="16"/>
        <v>13198.753621681151</v>
      </c>
      <c r="AE82" s="296">
        <f t="shared" si="16"/>
        <v>13198.753621681151</v>
      </c>
      <c r="AG82" s="1711"/>
      <c r="AH82" s="116">
        <v>9</v>
      </c>
      <c r="AI82" s="294">
        <f>'FREH LGV vkm'!C82*'FREH Stock'!C94</f>
        <v>329968.84054202877</v>
      </c>
      <c r="AJ82" s="295">
        <f>'FREH LGV vkm'!D82*'FREH Stock'!D94</f>
        <v>310681.2853902987</v>
      </c>
      <c r="AK82" s="295">
        <f>'FREH LGV vkm'!E82*'FREH Stock'!E94</f>
        <v>434881.30290968582</v>
      </c>
      <c r="AL82" s="295">
        <f>'FREH LGV vkm'!F82*'FREH Stock'!F94</f>
        <v>388193.96026282199</v>
      </c>
      <c r="AM82" s="295">
        <f>'FREH LGV vkm'!G82*'FREH Stock'!G94</f>
        <v>299735.93564932997</v>
      </c>
      <c r="AN82" s="295">
        <f>'FREH LGV vkm'!H82*'FREH Stock'!H94</f>
        <v>164371.31954963255</v>
      </c>
      <c r="AO82" s="295">
        <f>'FREH LGV vkm'!I82*'FREH Stock'!I94</f>
        <v>125695.714949719</v>
      </c>
      <c r="AP82" s="295">
        <f>'FREH LGV vkm'!J82*'FREH Stock'!J94</f>
        <v>77191.016482075662</v>
      </c>
      <c r="AQ82" s="295">
        <f>'FREH LGV vkm'!K82*'FREH Stock'!K94</f>
        <v>57598.225090487947</v>
      </c>
      <c r="AR82" s="295">
        <f>'FREH LGV vkm'!L82*'FREH Stock'!L94</f>
        <v>9456.4599486238894</v>
      </c>
      <c r="AS82" s="295">
        <f>'FREH LGV vkm'!M82*'FREH Stock'!M94</f>
        <v>0</v>
      </c>
      <c r="AT82" s="295">
        <f>'FREH LGV vkm'!N82*'FREH Stock'!N94</f>
        <v>0</v>
      </c>
      <c r="AU82" s="295">
        <f>'FREH LGV vkm'!O82*'FREH Stock'!O94</f>
        <v>0</v>
      </c>
      <c r="AV82" s="295">
        <f>'FREH LGV vkm'!P82*'FREH Stock'!P94</f>
        <v>0</v>
      </c>
      <c r="AW82" s="295">
        <f>'FREH LGV vkm'!Q82*'FREH Stock'!Q94</f>
        <v>0</v>
      </c>
      <c r="AX82" s="295">
        <f>'FREH LGV vkm'!R82*'FREH Stock'!R94</f>
        <v>0</v>
      </c>
      <c r="AY82" s="295">
        <f>'FREH LGV vkm'!S82*'FREH Stock'!S94</f>
        <v>0</v>
      </c>
      <c r="AZ82" s="295">
        <f>'FREH LGV vkm'!T82*'FREH Stock'!T94</f>
        <v>0</v>
      </c>
      <c r="BA82" s="295">
        <f>'FREH LGV vkm'!U82*'FREH Stock'!U94</f>
        <v>0</v>
      </c>
      <c r="BB82" s="295">
        <f>'FREH LGV vkm'!V82*'FREH Stock'!V94</f>
        <v>0</v>
      </c>
      <c r="BC82" s="295">
        <f>'FREH LGV vkm'!W82*'FREH Stock'!W94</f>
        <v>0</v>
      </c>
      <c r="BD82" s="295">
        <f>'FREH LGV vkm'!X82*'FREH Stock'!X94</f>
        <v>0</v>
      </c>
      <c r="BE82" s="295">
        <f>'FREH LGV vkm'!Y82*'FREH Stock'!Y94</f>
        <v>0</v>
      </c>
      <c r="BF82" s="295">
        <f>'FREH LGV vkm'!Z82*'FREH Stock'!Z94</f>
        <v>0</v>
      </c>
      <c r="BG82" s="295">
        <f>'FREH LGV vkm'!AA82*'FREH Stock'!AA94</f>
        <v>0</v>
      </c>
      <c r="BH82" s="295">
        <f>'FREH LGV vkm'!AB82*'FREH Stock'!AB94</f>
        <v>0</v>
      </c>
      <c r="BI82" s="295">
        <f>'FREH LGV vkm'!AC82*'FREH Stock'!AC94</f>
        <v>0</v>
      </c>
      <c r="BJ82" s="295">
        <f>'FREH LGV vkm'!AD82*'FREH Stock'!AD94</f>
        <v>0</v>
      </c>
      <c r="BK82" s="296">
        <f>'FREH LGV vkm'!AE82*'FREH Stock'!AE94</f>
        <v>0</v>
      </c>
    </row>
    <row r="83" spans="1:63">
      <c r="A83" s="1711"/>
      <c r="B83" s="116">
        <v>10</v>
      </c>
      <c r="C83" s="294">
        <f t="shared" si="17"/>
        <v>13198.753621681151</v>
      </c>
      <c r="D83" s="295">
        <f t="shared" si="17"/>
        <v>13198.753621681151</v>
      </c>
      <c r="E83" s="295">
        <f t="shared" si="16"/>
        <v>13198.753621681151</v>
      </c>
      <c r="F83" s="295">
        <f t="shared" si="16"/>
        <v>13198.753621681151</v>
      </c>
      <c r="G83" s="295">
        <f t="shared" si="16"/>
        <v>13198.753621681151</v>
      </c>
      <c r="H83" s="295">
        <f t="shared" si="16"/>
        <v>13198.753621681151</v>
      </c>
      <c r="I83" s="295">
        <f t="shared" si="16"/>
        <v>13198.753621681151</v>
      </c>
      <c r="J83" s="295">
        <f t="shared" si="16"/>
        <v>13198.753621681151</v>
      </c>
      <c r="K83" s="295">
        <f t="shared" si="16"/>
        <v>13198.753621681151</v>
      </c>
      <c r="L83" s="295">
        <f t="shared" si="16"/>
        <v>13198.753621681151</v>
      </c>
      <c r="M83" s="295">
        <f t="shared" si="16"/>
        <v>13198.753621681151</v>
      </c>
      <c r="N83" s="295">
        <f t="shared" si="16"/>
        <v>13198.753621681151</v>
      </c>
      <c r="O83" s="295">
        <f t="shared" si="16"/>
        <v>13198.753621681151</v>
      </c>
      <c r="P83" s="295">
        <f t="shared" si="16"/>
        <v>13198.753621681151</v>
      </c>
      <c r="Q83" s="295">
        <f t="shared" si="16"/>
        <v>13198.753621681151</v>
      </c>
      <c r="R83" s="295">
        <f t="shared" si="16"/>
        <v>13198.753621681151</v>
      </c>
      <c r="S83" s="295">
        <f t="shared" si="16"/>
        <v>13198.753621681151</v>
      </c>
      <c r="T83" s="295">
        <f t="shared" si="16"/>
        <v>13198.753621681151</v>
      </c>
      <c r="U83" s="295">
        <f t="shared" si="16"/>
        <v>13198.753621681151</v>
      </c>
      <c r="V83" s="295">
        <f t="shared" si="16"/>
        <v>13198.753621681151</v>
      </c>
      <c r="W83" s="295">
        <f t="shared" si="16"/>
        <v>13198.753621681151</v>
      </c>
      <c r="X83" s="295">
        <f t="shared" si="16"/>
        <v>13198.753621681151</v>
      </c>
      <c r="Y83" s="295">
        <f t="shared" si="16"/>
        <v>13198.753621681151</v>
      </c>
      <c r="Z83" s="295">
        <f t="shared" si="16"/>
        <v>13198.753621681151</v>
      </c>
      <c r="AA83" s="295">
        <f t="shared" si="16"/>
        <v>13198.753621681151</v>
      </c>
      <c r="AB83" s="295">
        <f t="shared" si="16"/>
        <v>13198.753621681151</v>
      </c>
      <c r="AC83" s="295">
        <f t="shared" si="16"/>
        <v>13198.753621681151</v>
      </c>
      <c r="AD83" s="295">
        <f t="shared" si="16"/>
        <v>13198.753621681151</v>
      </c>
      <c r="AE83" s="296">
        <f t="shared" si="16"/>
        <v>13198.753621681151</v>
      </c>
      <c r="AG83" s="1711"/>
      <c r="AH83" s="116">
        <v>10</v>
      </c>
      <c r="AI83" s="294">
        <f>'FREH LGV vkm'!C83*'FREH Stock'!C95</f>
        <v>343167.59416370996</v>
      </c>
      <c r="AJ83" s="295">
        <f>'FREH LGV vkm'!D83*'FREH Stock'!D95</f>
        <v>251157.46696080911</v>
      </c>
      <c r="AK83" s="295">
        <f>'FREH LGV vkm'!E83*'FREH Stock'!E95</f>
        <v>236476.64592383482</v>
      </c>
      <c r="AL83" s="295">
        <f>'FREH LGV vkm'!F83*'FREH Stock'!F95</f>
        <v>331012.12310833629</v>
      </c>
      <c r="AM83" s="295">
        <f>'FREH LGV vkm'!G83*'FREH Stock'!G95</f>
        <v>295475.81398576591</v>
      </c>
      <c r="AN83" s="295">
        <f>'FREH LGV vkm'!H83*'FREH Stock'!H95</f>
        <v>228145.5371093596</v>
      </c>
      <c r="AO83" s="295">
        <f>'FREH LGV vkm'!I83*'FREH Stock'!I95</f>
        <v>125112.06873739076</v>
      </c>
      <c r="AP83" s="295">
        <f>'FREH LGV vkm'!J83*'FREH Stock'!J95</f>
        <v>95673.934916828221</v>
      </c>
      <c r="AQ83" s="295">
        <f>'FREH LGV vkm'!K83*'FREH Stock'!K95</f>
        <v>58754.336136471691</v>
      </c>
      <c r="AR83" s="295">
        <f>'FREH LGV vkm'!L83*'FREH Stock'!L95</f>
        <v>43841.18297776932</v>
      </c>
      <c r="AS83" s="295">
        <f>'FREH LGV vkm'!M83*'FREH Stock'!M95</f>
        <v>7197.8327505448287</v>
      </c>
      <c r="AT83" s="295">
        <f>'FREH LGV vkm'!N83*'FREH Stock'!N95</f>
        <v>0</v>
      </c>
      <c r="AU83" s="295">
        <f>'FREH LGV vkm'!O83*'FREH Stock'!O95</f>
        <v>0</v>
      </c>
      <c r="AV83" s="295">
        <f>'FREH LGV vkm'!P83*'FREH Stock'!P95</f>
        <v>0</v>
      </c>
      <c r="AW83" s="295">
        <f>'FREH LGV vkm'!Q83*'FREH Stock'!Q95</f>
        <v>0</v>
      </c>
      <c r="AX83" s="295">
        <f>'FREH LGV vkm'!R83*'FREH Stock'!R95</f>
        <v>0</v>
      </c>
      <c r="AY83" s="295">
        <f>'FREH LGV vkm'!S83*'FREH Stock'!S95</f>
        <v>0</v>
      </c>
      <c r="AZ83" s="295">
        <f>'FREH LGV vkm'!T83*'FREH Stock'!T95</f>
        <v>0</v>
      </c>
      <c r="BA83" s="295">
        <f>'FREH LGV vkm'!U83*'FREH Stock'!U95</f>
        <v>0</v>
      </c>
      <c r="BB83" s="295">
        <f>'FREH LGV vkm'!V83*'FREH Stock'!V95</f>
        <v>0</v>
      </c>
      <c r="BC83" s="295">
        <f>'FREH LGV vkm'!W83*'FREH Stock'!W95</f>
        <v>0</v>
      </c>
      <c r="BD83" s="295">
        <f>'FREH LGV vkm'!X83*'FREH Stock'!X95</f>
        <v>0</v>
      </c>
      <c r="BE83" s="295">
        <f>'FREH LGV vkm'!Y83*'FREH Stock'!Y95</f>
        <v>0</v>
      </c>
      <c r="BF83" s="295">
        <f>'FREH LGV vkm'!Z83*'FREH Stock'!Z95</f>
        <v>0</v>
      </c>
      <c r="BG83" s="295">
        <f>'FREH LGV vkm'!AA83*'FREH Stock'!AA95</f>
        <v>0</v>
      </c>
      <c r="BH83" s="295">
        <f>'FREH LGV vkm'!AB83*'FREH Stock'!AB95</f>
        <v>0</v>
      </c>
      <c r="BI83" s="295">
        <f>'FREH LGV vkm'!AC83*'FREH Stock'!AC95</f>
        <v>0</v>
      </c>
      <c r="BJ83" s="295">
        <f>'FREH LGV vkm'!AD83*'FREH Stock'!AD95</f>
        <v>0</v>
      </c>
      <c r="BK83" s="296">
        <f>'FREH LGV vkm'!AE83*'FREH Stock'!AE95</f>
        <v>0</v>
      </c>
    </row>
    <row r="84" spans="1:63">
      <c r="A84" s="1711"/>
      <c r="B84" s="116">
        <v>11</v>
      </c>
      <c r="C84" s="294">
        <f t="shared" si="17"/>
        <v>13198.753621681151</v>
      </c>
      <c r="D84" s="295">
        <f t="shared" si="17"/>
        <v>13198.753621681151</v>
      </c>
      <c r="E84" s="295">
        <f t="shared" si="16"/>
        <v>13198.753621681151</v>
      </c>
      <c r="F84" s="295">
        <f t="shared" si="16"/>
        <v>13198.753621681151</v>
      </c>
      <c r="G84" s="295">
        <f t="shared" si="16"/>
        <v>13198.753621681151</v>
      </c>
      <c r="H84" s="295">
        <f t="shared" si="16"/>
        <v>13198.753621681151</v>
      </c>
      <c r="I84" s="295">
        <f t="shared" si="16"/>
        <v>13198.753621681151</v>
      </c>
      <c r="J84" s="295">
        <f t="shared" si="16"/>
        <v>13198.753621681151</v>
      </c>
      <c r="K84" s="295">
        <f t="shared" si="16"/>
        <v>13198.753621681151</v>
      </c>
      <c r="L84" s="295">
        <f t="shared" si="16"/>
        <v>13198.753621681151</v>
      </c>
      <c r="M84" s="295">
        <f t="shared" si="16"/>
        <v>13198.753621681151</v>
      </c>
      <c r="N84" s="295">
        <f t="shared" si="16"/>
        <v>13198.753621681151</v>
      </c>
      <c r="O84" s="295">
        <f t="shared" si="16"/>
        <v>13198.753621681151</v>
      </c>
      <c r="P84" s="295">
        <f t="shared" si="16"/>
        <v>13198.753621681151</v>
      </c>
      <c r="Q84" s="295">
        <f t="shared" si="16"/>
        <v>13198.753621681151</v>
      </c>
      <c r="R84" s="295">
        <f t="shared" si="16"/>
        <v>13198.753621681151</v>
      </c>
      <c r="S84" s="295">
        <f t="shared" si="16"/>
        <v>13198.753621681151</v>
      </c>
      <c r="T84" s="295">
        <f t="shared" si="16"/>
        <v>13198.753621681151</v>
      </c>
      <c r="U84" s="295">
        <f t="shared" si="16"/>
        <v>13198.753621681151</v>
      </c>
      <c r="V84" s="295">
        <f t="shared" si="16"/>
        <v>13198.753621681151</v>
      </c>
      <c r="W84" s="295">
        <f t="shared" si="16"/>
        <v>13198.753621681151</v>
      </c>
      <c r="X84" s="295">
        <f t="shared" si="16"/>
        <v>13198.753621681151</v>
      </c>
      <c r="Y84" s="295">
        <f t="shared" si="16"/>
        <v>13198.753621681151</v>
      </c>
      <c r="Z84" s="295">
        <f t="shared" si="16"/>
        <v>13198.753621681151</v>
      </c>
      <c r="AA84" s="295">
        <f t="shared" si="16"/>
        <v>13198.753621681151</v>
      </c>
      <c r="AB84" s="295">
        <f t="shared" si="16"/>
        <v>13198.753621681151</v>
      </c>
      <c r="AC84" s="295">
        <f t="shared" si="16"/>
        <v>13198.753621681151</v>
      </c>
      <c r="AD84" s="295">
        <f t="shared" si="16"/>
        <v>13198.753621681151</v>
      </c>
      <c r="AE84" s="296">
        <f t="shared" si="16"/>
        <v>13198.753621681151</v>
      </c>
      <c r="AG84" s="1711"/>
      <c r="AH84" s="116">
        <v>11</v>
      </c>
      <c r="AI84" s="294">
        <f>'FREH LGV vkm'!C84*'FREH Stock'!C96</f>
        <v>224378.81156857958</v>
      </c>
      <c r="AJ84" s="295">
        <f>'FREH LGV vkm'!D84*'FREH Stock'!D96</f>
        <v>231965.71279197768</v>
      </c>
      <c r="AK84" s="295">
        <f>'FREH LGV vkm'!E84*'FREH Stock'!E96</f>
        <v>169771.04434516758</v>
      </c>
      <c r="AL84" s="295">
        <f>'FREH LGV vkm'!F84*'FREH Stock'!F96</f>
        <v>159847.47587853487</v>
      </c>
      <c r="AM84" s="295">
        <f>'FREH LGV vkm'!G84*'FREH Stock'!G96</f>
        <v>223749.16625426218</v>
      </c>
      <c r="AN84" s="295">
        <f>'FREH LGV vkm'!H84*'FREH Stock'!H96</f>
        <v>199728.23474497566</v>
      </c>
      <c r="AO84" s="295">
        <f>'FREH LGV vkm'!I84*'FREH Stock'!I96</f>
        <v>154216.0245778758</v>
      </c>
      <c r="AP84" s="295">
        <f>'FREH LGV vkm'!J84*'FREH Stock'!J96</f>
        <v>84570.077994318985</v>
      </c>
      <c r="AQ84" s="295">
        <f>'FREH LGV vkm'!K84*'FREH Stock'!K96</f>
        <v>64671.236113302752</v>
      </c>
      <c r="AR84" s="295">
        <f>'FREH LGV vkm'!L84*'FREH Stock'!L96</f>
        <v>39715.263600951563</v>
      </c>
      <c r="AS84" s="295">
        <f>'FREH LGV vkm'!M84*'FREH Stock'!M96</f>
        <v>29634.649168622524</v>
      </c>
      <c r="AT84" s="295">
        <f>'FREH LGV vkm'!N84*'FREH Stock'!N96</f>
        <v>4865.4081356558881</v>
      </c>
      <c r="AU84" s="295">
        <f>'FREH LGV vkm'!O84*'FREH Stock'!O96</f>
        <v>0</v>
      </c>
      <c r="AV84" s="295">
        <f>'FREH LGV vkm'!P84*'FREH Stock'!P96</f>
        <v>0</v>
      </c>
      <c r="AW84" s="295">
        <f>'FREH LGV vkm'!Q84*'FREH Stock'!Q96</f>
        <v>0</v>
      </c>
      <c r="AX84" s="295">
        <f>'FREH LGV vkm'!R84*'FREH Stock'!R96</f>
        <v>0</v>
      </c>
      <c r="AY84" s="295">
        <f>'FREH LGV vkm'!S84*'FREH Stock'!S96</f>
        <v>0</v>
      </c>
      <c r="AZ84" s="295">
        <f>'FREH LGV vkm'!T84*'FREH Stock'!T96</f>
        <v>0</v>
      </c>
      <c r="BA84" s="295">
        <f>'FREH LGV vkm'!U84*'FREH Stock'!U96</f>
        <v>0</v>
      </c>
      <c r="BB84" s="295">
        <f>'FREH LGV vkm'!V84*'FREH Stock'!V96</f>
        <v>0</v>
      </c>
      <c r="BC84" s="295">
        <f>'FREH LGV vkm'!W84*'FREH Stock'!W96</f>
        <v>0</v>
      </c>
      <c r="BD84" s="295">
        <f>'FREH LGV vkm'!X84*'FREH Stock'!X96</f>
        <v>0</v>
      </c>
      <c r="BE84" s="295">
        <f>'FREH LGV vkm'!Y84*'FREH Stock'!Y96</f>
        <v>0</v>
      </c>
      <c r="BF84" s="295">
        <f>'FREH LGV vkm'!Z84*'FREH Stock'!Z96</f>
        <v>0</v>
      </c>
      <c r="BG84" s="295">
        <f>'FREH LGV vkm'!AA84*'FREH Stock'!AA96</f>
        <v>0</v>
      </c>
      <c r="BH84" s="295">
        <f>'FREH LGV vkm'!AB84*'FREH Stock'!AB96</f>
        <v>0</v>
      </c>
      <c r="BI84" s="295">
        <f>'FREH LGV vkm'!AC84*'FREH Stock'!AC96</f>
        <v>0</v>
      </c>
      <c r="BJ84" s="295">
        <f>'FREH LGV vkm'!AD84*'FREH Stock'!AD96</f>
        <v>0</v>
      </c>
      <c r="BK84" s="296">
        <f>'FREH LGV vkm'!AE84*'FREH Stock'!AE96</f>
        <v>0</v>
      </c>
    </row>
    <row r="85" spans="1:63">
      <c r="A85" s="1711"/>
      <c r="B85" s="116">
        <v>12</v>
      </c>
      <c r="C85" s="294">
        <f t="shared" si="17"/>
        <v>13198.753621681151</v>
      </c>
      <c r="D85" s="295">
        <f t="shared" si="17"/>
        <v>13198.753621681151</v>
      </c>
      <c r="E85" s="295">
        <f t="shared" si="16"/>
        <v>13198.753621681151</v>
      </c>
      <c r="F85" s="295">
        <f t="shared" si="16"/>
        <v>13198.753621681151</v>
      </c>
      <c r="G85" s="295">
        <f t="shared" si="16"/>
        <v>13198.753621681151</v>
      </c>
      <c r="H85" s="295">
        <f t="shared" si="16"/>
        <v>13198.753621681151</v>
      </c>
      <c r="I85" s="295">
        <f t="shared" si="16"/>
        <v>13198.753621681151</v>
      </c>
      <c r="J85" s="295">
        <f t="shared" si="16"/>
        <v>13198.753621681151</v>
      </c>
      <c r="K85" s="295">
        <f t="shared" si="16"/>
        <v>13198.753621681151</v>
      </c>
      <c r="L85" s="295">
        <f t="shared" si="16"/>
        <v>13198.753621681151</v>
      </c>
      <c r="M85" s="295">
        <f t="shared" si="16"/>
        <v>13198.753621681151</v>
      </c>
      <c r="N85" s="295">
        <f t="shared" si="16"/>
        <v>13198.753621681151</v>
      </c>
      <c r="O85" s="295">
        <f t="shared" si="16"/>
        <v>13198.753621681151</v>
      </c>
      <c r="P85" s="295">
        <f t="shared" si="16"/>
        <v>13198.753621681151</v>
      </c>
      <c r="Q85" s="295">
        <f t="shared" si="16"/>
        <v>13198.753621681151</v>
      </c>
      <c r="R85" s="295">
        <f t="shared" si="16"/>
        <v>13198.753621681151</v>
      </c>
      <c r="S85" s="295">
        <f t="shared" si="16"/>
        <v>13198.753621681151</v>
      </c>
      <c r="T85" s="295">
        <f t="shared" si="16"/>
        <v>13198.753621681151</v>
      </c>
      <c r="U85" s="295">
        <f t="shared" si="16"/>
        <v>13198.753621681151</v>
      </c>
      <c r="V85" s="295">
        <f t="shared" si="16"/>
        <v>13198.753621681151</v>
      </c>
      <c r="W85" s="295">
        <f t="shared" si="16"/>
        <v>13198.753621681151</v>
      </c>
      <c r="X85" s="295">
        <f t="shared" si="16"/>
        <v>13198.753621681151</v>
      </c>
      <c r="Y85" s="295">
        <f t="shared" si="16"/>
        <v>13198.753621681151</v>
      </c>
      <c r="Z85" s="295">
        <f t="shared" si="16"/>
        <v>13198.753621681151</v>
      </c>
      <c r="AA85" s="295">
        <f t="shared" si="16"/>
        <v>13198.753621681151</v>
      </c>
      <c r="AB85" s="295">
        <f t="shared" si="16"/>
        <v>13198.753621681151</v>
      </c>
      <c r="AC85" s="295">
        <f t="shared" si="16"/>
        <v>13198.753621681151</v>
      </c>
      <c r="AD85" s="295">
        <f t="shared" si="16"/>
        <v>13198.753621681151</v>
      </c>
      <c r="AE85" s="296">
        <f t="shared" si="16"/>
        <v>13198.753621681151</v>
      </c>
      <c r="AG85" s="1711"/>
      <c r="AH85" s="116">
        <v>12</v>
      </c>
      <c r="AI85" s="294">
        <f>'FREH LGV vkm'!C85*'FREH Stock'!C97</f>
        <v>488353.8840022026</v>
      </c>
      <c r="AJ85" s="295">
        <f>'FREH LGV vkm'!D85*'FREH Stock'!D97</f>
        <v>128668.81274974918</v>
      </c>
      <c r="AK85" s="295">
        <f>'FREH LGV vkm'!E85*'FREH Stock'!E97</f>
        <v>133019.48011463933</v>
      </c>
      <c r="AL85" s="295">
        <f>'FREH LGV vkm'!F85*'FREH Stock'!F97</f>
        <v>97354.284758305788</v>
      </c>
      <c r="AM85" s="295">
        <f>'FREH LGV vkm'!G85*'FREH Stock'!G97</f>
        <v>91663.668233883101</v>
      </c>
      <c r="AN85" s="295">
        <f>'FREH LGV vkm'!H85*'FREH Stock'!H97</f>
        <v>128307.7460586463</v>
      </c>
      <c r="AO85" s="295">
        <f>'FREH LGV vkm'!I85*'FREH Stock'!I97</f>
        <v>114533.07314351556</v>
      </c>
      <c r="AP85" s="295">
        <f>'FREH LGV vkm'!J85*'FREH Stock'!J97</f>
        <v>88434.343023323439</v>
      </c>
      <c r="AQ85" s="295">
        <f>'FREH LGV vkm'!K85*'FREH Stock'!K97</f>
        <v>48496.252625693494</v>
      </c>
      <c r="AR85" s="295">
        <f>'FREH LGV vkm'!L85*'FREH Stock'!L97</f>
        <v>37085.369654942086</v>
      </c>
      <c r="AS85" s="295">
        <f>'FREH LGV vkm'!M85*'FREH Stock'!M97</f>
        <v>22774.502547072723</v>
      </c>
      <c r="AT85" s="295">
        <f>'FREH LGV vkm'!N85*'FREH Stock'!N97</f>
        <v>16993.828865238338</v>
      </c>
      <c r="AU85" s="295">
        <f>'FREH LGV vkm'!O85*'FREH Stock'!O97</f>
        <v>2790.0419116288699</v>
      </c>
      <c r="AV85" s="295">
        <f>'FREH LGV vkm'!P85*'FREH Stock'!P97</f>
        <v>0</v>
      </c>
      <c r="AW85" s="295">
        <f>'FREH LGV vkm'!Q85*'FREH Stock'!Q97</f>
        <v>0</v>
      </c>
      <c r="AX85" s="295">
        <f>'FREH LGV vkm'!R85*'FREH Stock'!R97</f>
        <v>0</v>
      </c>
      <c r="AY85" s="295">
        <f>'FREH LGV vkm'!S85*'FREH Stock'!S97</f>
        <v>0</v>
      </c>
      <c r="AZ85" s="295">
        <f>'FREH LGV vkm'!T85*'FREH Stock'!T97</f>
        <v>0</v>
      </c>
      <c r="BA85" s="295">
        <f>'FREH LGV vkm'!U85*'FREH Stock'!U97</f>
        <v>0</v>
      </c>
      <c r="BB85" s="295">
        <f>'FREH LGV vkm'!V85*'FREH Stock'!V97</f>
        <v>0</v>
      </c>
      <c r="BC85" s="295">
        <f>'FREH LGV vkm'!W85*'FREH Stock'!W97</f>
        <v>0</v>
      </c>
      <c r="BD85" s="295">
        <f>'FREH LGV vkm'!X85*'FREH Stock'!X97</f>
        <v>0</v>
      </c>
      <c r="BE85" s="295">
        <f>'FREH LGV vkm'!Y85*'FREH Stock'!Y97</f>
        <v>0</v>
      </c>
      <c r="BF85" s="295">
        <f>'FREH LGV vkm'!Z85*'FREH Stock'!Z97</f>
        <v>0</v>
      </c>
      <c r="BG85" s="295">
        <f>'FREH LGV vkm'!AA85*'FREH Stock'!AA97</f>
        <v>0</v>
      </c>
      <c r="BH85" s="295">
        <f>'FREH LGV vkm'!AB85*'FREH Stock'!AB97</f>
        <v>0</v>
      </c>
      <c r="BI85" s="295">
        <f>'FREH LGV vkm'!AC85*'FREH Stock'!AC97</f>
        <v>0</v>
      </c>
      <c r="BJ85" s="295">
        <f>'FREH LGV vkm'!AD85*'FREH Stock'!AD97</f>
        <v>0</v>
      </c>
      <c r="BK85" s="296">
        <f>'FREH LGV vkm'!AE85*'FREH Stock'!AE97</f>
        <v>0</v>
      </c>
    </row>
    <row r="86" spans="1:63">
      <c r="A86" s="1711"/>
      <c r="B86" s="116">
        <v>13</v>
      </c>
      <c r="C86" s="294">
        <f t="shared" si="17"/>
        <v>13198.753621681151</v>
      </c>
      <c r="D86" s="295">
        <f t="shared" si="17"/>
        <v>13198.753621681151</v>
      </c>
      <c r="E86" s="295">
        <f t="shared" si="16"/>
        <v>13198.753621681151</v>
      </c>
      <c r="F86" s="295">
        <f t="shared" si="16"/>
        <v>13198.753621681151</v>
      </c>
      <c r="G86" s="295">
        <f t="shared" si="16"/>
        <v>13198.753621681151</v>
      </c>
      <c r="H86" s="295">
        <f t="shared" si="16"/>
        <v>13198.753621681151</v>
      </c>
      <c r="I86" s="295">
        <f t="shared" si="16"/>
        <v>13198.753621681151</v>
      </c>
      <c r="J86" s="295">
        <f t="shared" si="16"/>
        <v>13198.753621681151</v>
      </c>
      <c r="K86" s="295">
        <f t="shared" si="16"/>
        <v>13198.753621681151</v>
      </c>
      <c r="L86" s="295">
        <f t="shared" si="16"/>
        <v>13198.753621681151</v>
      </c>
      <c r="M86" s="295">
        <f t="shared" si="16"/>
        <v>13198.753621681151</v>
      </c>
      <c r="N86" s="295">
        <f t="shared" si="16"/>
        <v>13198.753621681151</v>
      </c>
      <c r="O86" s="295">
        <f t="shared" si="16"/>
        <v>13198.753621681151</v>
      </c>
      <c r="P86" s="295">
        <f t="shared" si="16"/>
        <v>13198.753621681151</v>
      </c>
      <c r="Q86" s="295">
        <f t="shared" si="16"/>
        <v>13198.753621681151</v>
      </c>
      <c r="R86" s="295">
        <f t="shared" si="16"/>
        <v>13198.753621681151</v>
      </c>
      <c r="S86" s="295">
        <f t="shared" si="16"/>
        <v>13198.753621681151</v>
      </c>
      <c r="T86" s="295">
        <f t="shared" si="16"/>
        <v>13198.753621681151</v>
      </c>
      <c r="U86" s="295">
        <f t="shared" si="16"/>
        <v>13198.753621681151</v>
      </c>
      <c r="V86" s="295">
        <f t="shared" si="16"/>
        <v>13198.753621681151</v>
      </c>
      <c r="W86" s="295">
        <f t="shared" si="16"/>
        <v>13198.753621681151</v>
      </c>
      <c r="X86" s="295">
        <f t="shared" si="16"/>
        <v>13198.753621681151</v>
      </c>
      <c r="Y86" s="295">
        <f t="shared" si="16"/>
        <v>13198.753621681151</v>
      </c>
      <c r="Z86" s="295">
        <f t="shared" si="16"/>
        <v>13198.753621681151</v>
      </c>
      <c r="AA86" s="295">
        <f t="shared" si="16"/>
        <v>13198.753621681151</v>
      </c>
      <c r="AB86" s="295">
        <f t="shared" si="16"/>
        <v>13198.753621681151</v>
      </c>
      <c r="AC86" s="295">
        <f t="shared" si="16"/>
        <v>13198.753621681151</v>
      </c>
      <c r="AD86" s="295">
        <f t="shared" si="16"/>
        <v>13198.753621681151</v>
      </c>
      <c r="AE86" s="296">
        <f t="shared" si="16"/>
        <v>13198.753621681151</v>
      </c>
      <c r="AG86" s="1711"/>
      <c r="AH86" s="116">
        <v>13</v>
      </c>
      <c r="AI86" s="294">
        <f>'FREH LGV vkm'!C86*'FREH Stock'!C98</f>
        <v>171583.79708185498</v>
      </c>
      <c r="AJ86" s="295">
        <f>'FREH LGV vkm'!D86*'FREH Stock'!D98</f>
        <v>230496.84543595323</v>
      </c>
      <c r="AK86" s="295">
        <f>'FREH LGV vkm'!E86*'FREH Stock'!E98</f>
        <v>60730.049286702895</v>
      </c>
      <c r="AL86" s="295">
        <f>'FREH LGV vkm'!F86*'FREH Stock'!F98</f>
        <v>62783.509156684813</v>
      </c>
      <c r="AM86" s="295">
        <f>'FREH LGV vkm'!G86*'FREH Stock'!G98</f>
        <v>45949.988853496616</v>
      </c>
      <c r="AN86" s="295">
        <f>'FREH LGV vkm'!H86*'FREH Stock'!H98</f>
        <v>43264.089958384684</v>
      </c>
      <c r="AO86" s="295">
        <f>'FREH LGV vkm'!I86*'FREH Stock'!I98</f>
        <v>60559.630383490403</v>
      </c>
      <c r="AP86" s="295">
        <f>'FREH LGV vkm'!J86*'FREH Stock'!J98</f>
        <v>54058.159303073284</v>
      </c>
      <c r="AQ86" s="295">
        <f>'FREH LGV vkm'!K86*'FREH Stock'!K98</f>
        <v>41739.889376993502</v>
      </c>
      <c r="AR86" s="295">
        <f>'FREH LGV vkm'!L86*'FREH Stock'!L98</f>
        <v>22889.616755125469</v>
      </c>
      <c r="AS86" s="295">
        <f>'FREH LGV vkm'!M86*'FREH Stock'!M98</f>
        <v>17503.824577448886</v>
      </c>
      <c r="AT86" s="295">
        <f>'FREH LGV vkm'!N86*'FREH Stock'!N98</f>
        <v>10749.276632045112</v>
      </c>
      <c r="AU86" s="295">
        <f>'FREH LGV vkm'!O86*'FREH Stock'!O98</f>
        <v>8020.8718997271571</v>
      </c>
      <c r="AV86" s="295">
        <f>'FREH LGV vkm'!P86*'FREH Stock'!P98</f>
        <v>1316.864430347503</v>
      </c>
      <c r="AW86" s="295">
        <f>'FREH LGV vkm'!Q86*'FREH Stock'!Q98</f>
        <v>0</v>
      </c>
      <c r="AX86" s="295">
        <f>'FREH LGV vkm'!R86*'FREH Stock'!R98</f>
        <v>0</v>
      </c>
      <c r="AY86" s="295">
        <f>'FREH LGV vkm'!S86*'FREH Stock'!S98</f>
        <v>0</v>
      </c>
      <c r="AZ86" s="295">
        <f>'FREH LGV vkm'!T86*'FREH Stock'!T98</f>
        <v>0</v>
      </c>
      <c r="BA86" s="295">
        <f>'FREH LGV vkm'!U86*'FREH Stock'!U98</f>
        <v>0</v>
      </c>
      <c r="BB86" s="295">
        <f>'FREH LGV vkm'!V86*'FREH Stock'!V98</f>
        <v>0</v>
      </c>
      <c r="BC86" s="295">
        <f>'FREH LGV vkm'!W86*'FREH Stock'!W98</f>
        <v>0</v>
      </c>
      <c r="BD86" s="295">
        <f>'FREH LGV vkm'!X86*'FREH Stock'!X98</f>
        <v>0</v>
      </c>
      <c r="BE86" s="295">
        <f>'FREH LGV vkm'!Y86*'FREH Stock'!Y98</f>
        <v>0</v>
      </c>
      <c r="BF86" s="295">
        <f>'FREH LGV vkm'!Z86*'FREH Stock'!Z98</f>
        <v>0</v>
      </c>
      <c r="BG86" s="295">
        <f>'FREH LGV vkm'!AA86*'FREH Stock'!AA98</f>
        <v>0</v>
      </c>
      <c r="BH86" s="295">
        <f>'FREH LGV vkm'!AB86*'FREH Stock'!AB98</f>
        <v>0</v>
      </c>
      <c r="BI86" s="295">
        <f>'FREH LGV vkm'!AC86*'FREH Stock'!AC98</f>
        <v>0</v>
      </c>
      <c r="BJ86" s="295">
        <f>'FREH LGV vkm'!AD86*'FREH Stock'!AD98</f>
        <v>0</v>
      </c>
      <c r="BK86" s="296">
        <f>'FREH LGV vkm'!AE86*'FREH Stock'!AE98</f>
        <v>0</v>
      </c>
    </row>
    <row r="87" spans="1:63">
      <c r="A87" s="1711"/>
      <c r="B87" s="116">
        <v>14</v>
      </c>
      <c r="C87" s="294">
        <f t="shared" si="17"/>
        <v>13198.753621681151</v>
      </c>
      <c r="D87" s="295">
        <f t="shared" si="17"/>
        <v>13198.753621681151</v>
      </c>
      <c r="E87" s="295">
        <f t="shared" si="16"/>
        <v>13198.753621681151</v>
      </c>
      <c r="F87" s="295">
        <f t="shared" si="16"/>
        <v>13198.753621681151</v>
      </c>
      <c r="G87" s="295">
        <f t="shared" si="16"/>
        <v>13198.753621681151</v>
      </c>
      <c r="H87" s="295">
        <f t="shared" si="16"/>
        <v>13198.753621681151</v>
      </c>
      <c r="I87" s="295">
        <f t="shared" si="16"/>
        <v>13198.753621681151</v>
      </c>
      <c r="J87" s="295">
        <f t="shared" si="16"/>
        <v>13198.753621681151</v>
      </c>
      <c r="K87" s="295">
        <f t="shared" si="16"/>
        <v>13198.753621681151</v>
      </c>
      <c r="L87" s="295">
        <f t="shared" si="16"/>
        <v>13198.753621681151</v>
      </c>
      <c r="M87" s="295">
        <f t="shared" si="16"/>
        <v>13198.753621681151</v>
      </c>
      <c r="N87" s="295">
        <f t="shared" si="16"/>
        <v>13198.753621681151</v>
      </c>
      <c r="O87" s="295">
        <f t="shared" si="16"/>
        <v>13198.753621681151</v>
      </c>
      <c r="P87" s="295">
        <f t="shared" si="16"/>
        <v>13198.753621681151</v>
      </c>
      <c r="Q87" s="295">
        <f t="shared" si="16"/>
        <v>13198.753621681151</v>
      </c>
      <c r="R87" s="295">
        <f t="shared" si="16"/>
        <v>13198.753621681151</v>
      </c>
      <c r="S87" s="295">
        <f t="shared" si="16"/>
        <v>13198.753621681151</v>
      </c>
      <c r="T87" s="295">
        <f t="shared" si="16"/>
        <v>13198.753621681151</v>
      </c>
      <c r="U87" s="295">
        <f t="shared" si="16"/>
        <v>13198.753621681151</v>
      </c>
      <c r="V87" s="295">
        <f t="shared" si="16"/>
        <v>13198.753621681151</v>
      </c>
      <c r="W87" s="295">
        <f t="shared" si="16"/>
        <v>13198.753621681151</v>
      </c>
      <c r="X87" s="295">
        <f t="shared" si="16"/>
        <v>13198.753621681151</v>
      </c>
      <c r="Y87" s="295">
        <f t="shared" si="16"/>
        <v>13198.753621681151</v>
      </c>
      <c r="Z87" s="295">
        <f t="shared" si="16"/>
        <v>13198.753621681151</v>
      </c>
      <c r="AA87" s="295">
        <f t="shared" si="16"/>
        <v>13198.753621681151</v>
      </c>
      <c r="AB87" s="295">
        <f t="shared" si="16"/>
        <v>13198.753621681151</v>
      </c>
      <c r="AC87" s="295">
        <f t="shared" si="16"/>
        <v>13198.753621681151</v>
      </c>
      <c r="AD87" s="295">
        <f t="shared" si="16"/>
        <v>13198.753621681151</v>
      </c>
      <c r="AE87" s="296">
        <f t="shared" si="16"/>
        <v>13198.753621681151</v>
      </c>
      <c r="AG87" s="1711"/>
      <c r="AH87" s="116">
        <v>14</v>
      </c>
      <c r="AI87" s="294">
        <f>'FREH LGV vkm'!C87*'FREH Stock'!C99</f>
        <v>395962.60865043453</v>
      </c>
      <c r="AJ87" s="295">
        <f>'FREH LGV vkm'!D87*'FREH Stock'!D99</f>
        <v>65965.694024972938</v>
      </c>
      <c r="AK87" s="295">
        <f>'FREH LGV vkm'!E87*'FREH Stock'!E99</f>
        <v>88614.919580640839</v>
      </c>
      <c r="AL87" s="295">
        <f>'FREH LGV vkm'!F87*'FREH Stock'!F99</f>
        <v>23347.774775359692</v>
      </c>
      <c r="AM87" s="295">
        <f>'FREH LGV vkm'!G87*'FREH Stock'!G99</f>
        <v>24137.231051415685</v>
      </c>
      <c r="AN87" s="295">
        <f>'FREH LGV vkm'!H87*'FREH Stock'!H99</f>
        <v>17665.554421287587</v>
      </c>
      <c r="AO87" s="295">
        <f>'FREH LGV vkm'!I87*'FREH Stock'!I99</f>
        <v>16632.955844322638</v>
      </c>
      <c r="AP87" s="295">
        <f>'FREH LGV vkm'!J87*'FREH Stock'!J99</f>
        <v>23282.256926841492</v>
      </c>
      <c r="AQ87" s="295">
        <f>'FREH LGV vkm'!K87*'FREH Stock'!K99</f>
        <v>20782.754880046195</v>
      </c>
      <c r="AR87" s="295">
        <f>'FREH LGV vkm'!L87*'FREH Stock'!L99</f>
        <v>16046.97423711545</v>
      </c>
      <c r="AS87" s="295">
        <f>'FREH LGV vkm'!M87*'FREH Stock'!M99</f>
        <v>8799.953613902022</v>
      </c>
      <c r="AT87" s="295">
        <f>'FREH LGV vkm'!N87*'FREH Stock'!N99</f>
        <v>6729.3762929838977</v>
      </c>
      <c r="AU87" s="295">
        <f>'FREH LGV vkm'!O87*'FREH Stock'!O99</f>
        <v>4132.5783981864406</v>
      </c>
      <c r="AV87" s="295">
        <f>'FREH LGV vkm'!P87*'FREH Stock'!P99</f>
        <v>3083.6383769878576</v>
      </c>
      <c r="AW87" s="295">
        <f>'FREH LGV vkm'!Q87*'FREH Stock'!Q99</f>
        <v>506.27085751711684</v>
      </c>
      <c r="AX87" s="295">
        <f>'FREH LGV vkm'!R87*'FREH Stock'!R99</f>
        <v>0</v>
      </c>
      <c r="AY87" s="295">
        <f>'FREH LGV vkm'!S87*'FREH Stock'!S99</f>
        <v>0</v>
      </c>
      <c r="AZ87" s="295">
        <f>'FREH LGV vkm'!T87*'FREH Stock'!T99</f>
        <v>0</v>
      </c>
      <c r="BA87" s="295">
        <f>'FREH LGV vkm'!U87*'FREH Stock'!U99</f>
        <v>0</v>
      </c>
      <c r="BB87" s="295">
        <f>'FREH LGV vkm'!V87*'FREH Stock'!V99</f>
        <v>0</v>
      </c>
      <c r="BC87" s="295">
        <f>'FREH LGV vkm'!W87*'FREH Stock'!W99</f>
        <v>0</v>
      </c>
      <c r="BD87" s="295">
        <f>'FREH LGV vkm'!X87*'FREH Stock'!X99</f>
        <v>0</v>
      </c>
      <c r="BE87" s="295">
        <f>'FREH LGV vkm'!Y87*'FREH Stock'!Y99</f>
        <v>0</v>
      </c>
      <c r="BF87" s="295">
        <f>'FREH LGV vkm'!Z87*'FREH Stock'!Z99</f>
        <v>0</v>
      </c>
      <c r="BG87" s="295">
        <f>'FREH LGV vkm'!AA87*'FREH Stock'!AA99</f>
        <v>0</v>
      </c>
      <c r="BH87" s="295">
        <f>'FREH LGV vkm'!AB87*'FREH Stock'!AB99</f>
        <v>0</v>
      </c>
      <c r="BI87" s="295">
        <f>'FREH LGV vkm'!AC87*'FREH Stock'!AC99</f>
        <v>0</v>
      </c>
      <c r="BJ87" s="295">
        <f>'FREH LGV vkm'!AD87*'FREH Stock'!AD99</f>
        <v>0</v>
      </c>
      <c r="BK87" s="296">
        <f>'FREH LGV vkm'!AE87*'FREH Stock'!AE99</f>
        <v>0</v>
      </c>
    </row>
    <row r="88" spans="1:63">
      <c r="A88" s="1711"/>
      <c r="B88" s="116">
        <v>15</v>
      </c>
      <c r="C88" s="294">
        <f t="shared" si="17"/>
        <v>13198.753621681151</v>
      </c>
      <c r="D88" s="295">
        <f t="shared" si="17"/>
        <v>13198.753621681151</v>
      </c>
      <c r="E88" s="295">
        <f t="shared" si="16"/>
        <v>13198.753621681151</v>
      </c>
      <c r="F88" s="295">
        <f t="shared" si="16"/>
        <v>13198.753621681151</v>
      </c>
      <c r="G88" s="295">
        <f t="shared" si="16"/>
        <v>13198.753621681151</v>
      </c>
      <c r="H88" s="295">
        <f t="shared" si="16"/>
        <v>13198.753621681151</v>
      </c>
      <c r="I88" s="295">
        <f t="shared" si="16"/>
        <v>13198.753621681151</v>
      </c>
      <c r="J88" s="295">
        <f t="shared" si="16"/>
        <v>13198.753621681151</v>
      </c>
      <c r="K88" s="295">
        <f t="shared" si="16"/>
        <v>13198.753621681151</v>
      </c>
      <c r="L88" s="295">
        <f t="shared" si="16"/>
        <v>13198.753621681151</v>
      </c>
      <c r="M88" s="295">
        <f t="shared" si="16"/>
        <v>13198.753621681151</v>
      </c>
      <c r="N88" s="295">
        <f t="shared" si="16"/>
        <v>13198.753621681151</v>
      </c>
      <c r="O88" s="295">
        <f t="shared" si="16"/>
        <v>13198.753621681151</v>
      </c>
      <c r="P88" s="295">
        <f t="shared" si="16"/>
        <v>13198.753621681151</v>
      </c>
      <c r="Q88" s="295">
        <f t="shared" si="16"/>
        <v>13198.753621681151</v>
      </c>
      <c r="R88" s="295">
        <f t="shared" si="16"/>
        <v>13198.753621681151</v>
      </c>
      <c r="S88" s="295">
        <f t="shared" si="16"/>
        <v>13198.753621681151</v>
      </c>
      <c r="T88" s="295">
        <f t="shared" si="16"/>
        <v>13198.753621681151</v>
      </c>
      <c r="U88" s="295">
        <f t="shared" si="16"/>
        <v>13198.753621681151</v>
      </c>
      <c r="V88" s="295">
        <f t="shared" si="16"/>
        <v>13198.753621681151</v>
      </c>
      <c r="W88" s="295">
        <f t="shared" si="16"/>
        <v>13198.753621681151</v>
      </c>
      <c r="X88" s="295">
        <f t="shared" si="16"/>
        <v>13198.753621681151</v>
      </c>
      <c r="Y88" s="295">
        <f t="shared" si="16"/>
        <v>13198.753621681151</v>
      </c>
      <c r="Z88" s="295">
        <f t="shared" si="16"/>
        <v>13198.753621681151</v>
      </c>
      <c r="AA88" s="295">
        <f t="shared" si="16"/>
        <v>13198.753621681151</v>
      </c>
      <c r="AB88" s="295">
        <f t="shared" si="16"/>
        <v>13198.753621681151</v>
      </c>
      <c r="AC88" s="295">
        <f t="shared" si="16"/>
        <v>13198.753621681151</v>
      </c>
      <c r="AD88" s="295">
        <f t="shared" si="16"/>
        <v>13198.753621681151</v>
      </c>
      <c r="AE88" s="296">
        <f t="shared" si="16"/>
        <v>13198.753621681151</v>
      </c>
      <c r="AG88" s="1711"/>
      <c r="AH88" s="116">
        <v>15</v>
      </c>
      <c r="AI88" s="294">
        <f>'FREH LGV vkm'!C88*'FREH Stock'!C100</f>
        <v>211180.05794689842</v>
      </c>
      <c r="AJ88" s="295">
        <f>'FREH LGV vkm'!D88*'FREH Stock'!D100</f>
        <v>122525.72206499874</v>
      </c>
      <c r="AK88" s="295">
        <f>'FREH LGV vkm'!E88*'FREH Stock'!E100</f>
        <v>20412.266500304842</v>
      </c>
      <c r="AL88" s="295">
        <f>'FREH LGV vkm'!F88*'FREH Stock'!F100</f>
        <v>27420.788655666158</v>
      </c>
      <c r="AM88" s="295">
        <f>'FREH LGV vkm'!G88*'FREH Stock'!G100</f>
        <v>7224.6795542439932</v>
      </c>
      <c r="AN88" s="295">
        <f>'FREH LGV vkm'!H88*'FREH Stock'!H100</f>
        <v>7468.9670151034597</v>
      </c>
      <c r="AO88" s="295">
        <f>'FREH LGV vkm'!I88*'FREH Stock'!I100</f>
        <v>5466.3868856810477</v>
      </c>
      <c r="AP88" s="295">
        <f>'FREH LGV vkm'!J88*'FREH Stock'!J100</f>
        <v>5146.8620530784438</v>
      </c>
      <c r="AQ88" s="295">
        <f>'FREH LGV vkm'!K88*'FREH Stock'!K100</f>
        <v>7204.4058679855898</v>
      </c>
      <c r="AR88" s="295">
        <f>'FREH LGV vkm'!L88*'FREH Stock'!L100</f>
        <v>6430.9659360426622</v>
      </c>
      <c r="AS88" s="295">
        <f>'FREH LGV vkm'!M88*'FREH Stock'!M100</f>
        <v>4965.537306823795</v>
      </c>
      <c r="AT88" s="295">
        <f>'FREH LGV vkm'!N88*'FREH Stock'!N100</f>
        <v>2723.0365876130486</v>
      </c>
      <c r="AU88" s="295">
        <f>'FREH LGV vkm'!O88*'FREH Stock'!O100</f>
        <v>2082.3220964099783</v>
      </c>
      <c r="AV88" s="295">
        <f>'FREH LGV vkm'!P88*'FREH Stock'!P100</f>
        <v>1278.77517009447</v>
      </c>
      <c r="AW88" s="295">
        <f>'FREH LGV vkm'!Q88*'FREH Stock'!Q100</f>
        <v>954.19368009399886</v>
      </c>
      <c r="AX88" s="295">
        <f>'FREH LGV vkm'!R88*'FREH Stock'!R100</f>
        <v>156.65924262185447</v>
      </c>
      <c r="AY88" s="295">
        <f>'FREH LGV vkm'!S88*'FREH Stock'!S100</f>
        <v>0</v>
      </c>
      <c r="AZ88" s="295">
        <f>'FREH LGV vkm'!T88*'FREH Stock'!T100</f>
        <v>0</v>
      </c>
      <c r="BA88" s="295">
        <f>'FREH LGV vkm'!U88*'FREH Stock'!U100</f>
        <v>0</v>
      </c>
      <c r="BB88" s="295">
        <f>'FREH LGV vkm'!V88*'FREH Stock'!V100</f>
        <v>0</v>
      </c>
      <c r="BC88" s="295">
        <f>'FREH LGV vkm'!W88*'FREH Stock'!W100</f>
        <v>0</v>
      </c>
      <c r="BD88" s="295">
        <f>'FREH LGV vkm'!X88*'FREH Stock'!X100</f>
        <v>0</v>
      </c>
      <c r="BE88" s="295">
        <f>'FREH LGV vkm'!Y88*'FREH Stock'!Y100</f>
        <v>0</v>
      </c>
      <c r="BF88" s="295">
        <f>'FREH LGV vkm'!Z88*'FREH Stock'!Z100</f>
        <v>0</v>
      </c>
      <c r="BG88" s="295">
        <f>'FREH LGV vkm'!AA88*'FREH Stock'!AA100</f>
        <v>0</v>
      </c>
      <c r="BH88" s="295">
        <f>'FREH LGV vkm'!AB88*'FREH Stock'!AB100</f>
        <v>0</v>
      </c>
      <c r="BI88" s="295">
        <f>'FREH LGV vkm'!AC88*'FREH Stock'!AC100</f>
        <v>0</v>
      </c>
      <c r="BJ88" s="295">
        <f>'FREH LGV vkm'!AD88*'FREH Stock'!AD100</f>
        <v>0</v>
      </c>
      <c r="BK88" s="296">
        <f>'FREH LGV vkm'!AE88*'FREH Stock'!AE100</f>
        <v>0</v>
      </c>
    </row>
    <row r="89" spans="1:63">
      <c r="A89" s="1711"/>
      <c r="B89" s="116">
        <v>16</v>
      </c>
      <c r="C89" s="294">
        <f t="shared" si="17"/>
        <v>13198.753621681151</v>
      </c>
      <c r="D89" s="295">
        <f t="shared" si="17"/>
        <v>13198.753621681151</v>
      </c>
      <c r="E89" s="295">
        <f t="shared" si="16"/>
        <v>13198.753621681151</v>
      </c>
      <c r="F89" s="295">
        <f t="shared" si="16"/>
        <v>13198.753621681151</v>
      </c>
      <c r="G89" s="295">
        <f t="shared" si="16"/>
        <v>13198.753621681151</v>
      </c>
      <c r="H89" s="295">
        <f t="shared" si="16"/>
        <v>13198.753621681151</v>
      </c>
      <c r="I89" s="295">
        <f t="shared" si="16"/>
        <v>13198.753621681151</v>
      </c>
      <c r="J89" s="295">
        <f t="shared" si="16"/>
        <v>13198.753621681151</v>
      </c>
      <c r="K89" s="295">
        <f t="shared" si="16"/>
        <v>13198.753621681151</v>
      </c>
      <c r="L89" s="295">
        <f t="shared" si="16"/>
        <v>13198.753621681151</v>
      </c>
      <c r="M89" s="295">
        <f t="shared" si="16"/>
        <v>13198.753621681151</v>
      </c>
      <c r="N89" s="295">
        <f t="shared" si="16"/>
        <v>13198.753621681151</v>
      </c>
      <c r="O89" s="295">
        <f t="shared" si="16"/>
        <v>13198.753621681151</v>
      </c>
      <c r="P89" s="295">
        <f t="shared" si="16"/>
        <v>13198.753621681151</v>
      </c>
      <c r="Q89" s="295">
        <f t="shared" ref="E89:AE98" si="18">Q88</f>
        <v>13198.753621681151</v>
      </c>
      <c r="R89" s="295">
        <f t="shared" si="18"/>
        <v>13198.753621681151</v>
      </c>
      <c r="S89" s="295">
        <f t="shared" si="18"/>
        <v>13198.753621681151</v>
      </c>
      <c r="T89" s="295">
        <f t="shared" si="18"/>
        <v>13198.753621681151</v>
      </c>
      <c r="U89" s="295">
        <f t="shared" si="18"/>
        <v>13198.753621681151</v>
      </c>
      <c r="V89" s="295">
        <f t="shared" si="18"/>
        <v>13198.753621681151</v>
      </c>
      <c r="W89" s="295">
        <f t="shared" si="18"/>
        <v>13198.753621681151</v>
      </c>
      <c r="X89" s="295">
        <f t="shared" si="18"/>
        <v>13198.753621681151</v>
      </c>
      <c r="Y89" s="295">
        <f t="shared" si="18"/>
        <v>13198.753621681151</v>
      </c>
      <c r="Z89" s="295">
        <f t="shared" si="18"/>
        <v>13198.753621681151</v>
      </c>
      <c r="AA89" s="295">
        <f t="shared" si="18"/>
        <v>13198.753621681151</v>
      </c>
      <c r="AB89" s="295">
        <f t="shared" si="18"/>
        <v>13198.753621681151</v>
      </c>
      <c r="AC89" s="295">
        <f t="shared" si="18"/>
        <v>13198.753621681151</v>
      </c>
      <c r="AD89" s="295">
        <f t="shared" si="18"/>
        <v>13198.753621681151</v>
      </c>
      <c r="AE89" s="296">
        <f t="shared" si="18"/>
        <v>13198.753621681151</v>
      </c>
      <c r="AG89" s="1711"/>
      <c r="AH89" s="116">
        <v>16</v>
      </c>
      <c r="AI89" s="294">
        <f>'FREH LGV vkm'!C89*'FREH Stock'!C101</f>
        <v>131987.53621681151</v>
      </c>
      <c r="AJ89" s="295">
        <f>'FREH LGV vkm'!D89*'FREH Stock'!D101</f>
        <v>58812.346591199384</v>
      </c>
      <c r="AK89" s="295">
        <f>'FREH LGV vkm'!E89*'FREH Stock'!E101</f>
        <v>34122.659603756903</v>
      </c>
      <c r="AL89" s="295">
        <f>'FREH LGV vkm'!F89*'FREH Stock'!F101</f>
        <v>5684.6906085693145</v>
      </c>
      <c r="AM89" s="295">
        <f>'FREH LGV vkm'!G89*'FREH Stock'!G101</f>
        <v>7636.5209002195543</v>
      </c>
      <c r="AN89" s="295">
        <f>'FREH LGV vkm'!H89*'FREH Stock'!H101</f>
        <v>2012.028797062796</v>
      </c>
      <c r="AO89" s="295">
        <f>'FREH LGV vkm'!I89*'FREH Stock'!I101</f>
        <v>2080.0613516308208</v>
      </c>
      <c r="AP89" s="295">
        <f>'FREH LGV vkm'!J89*'FREH Stock'!J101</f>
        <v>1522.3551089426269</v>
      </c>
      <c r="AQ89" s="295">
        <f>'FREH LGV vkm'!K89*'FREH Stock'!K101</f>
        <v>1433.369409335306</v>
      </c>
      <c r="AR89" s="295">
        <f>'FREH LGV vkm'!L89*'FREH Stock'!L101</f>
        <v>2006.38270019881</v>
      </c>
      <c r="AS89" s="295">
        <f>'FREH LGV vkm'!M89*'FREH Stock'!M101</f>
        <v>1790.9844387003727</v>
      </c>
      <c r="AT89" s="295">
        <f>'FREH LGV vkm'!N89*'FREH Stock'!N101</f>
        <v>1382.8715833285946</v>
      </c>
      <c r="AU89" s="295">
        <f>'FREH LGV vkm'!O89*'FREH Stock'!O101</f>
        <v>758.3489327931004</v>
      </c>
      <c r="AV89" s="295">
        <f>'FREH LGV vkm'!P89*'FREH Stock'!P101</f>
        <v>579.9138897829589</v>
      </c>
      <c r="AW89" s="295">
        <f>'FREH LGV vkm'!Q89*'FREH Stock'!Q101</f>
        <v>356.13101562235124</v>
      </c>
      <c r="AX89" s="295">
        <f>'FREH LGV vkm'!R89*'FREH Stock'!R101</f>
        <v>265.73706804707552</v>
      </c>
      <c r="AY89" s="295">
        <f>'FREH LGV vkm'!S89*'FREH Stock'!S101</f>
        <v>43.628635030055968</v>
      </c>
      <c r="AZ89" s="295">
        <f>'FREH LGV vkm'!T89*'FREH Stock'!T101</f>
        <v>0</v>
      </c>
      <c r="BA89" s="295">
        <f>'FREH LGV vkm'!U89*'FREH Stock'!U101</f>
        <v>0</v>
      </c>
      <c r="BB89" s="295">
        <f>'FREH LGV vkm'!V89*'FREH Stock'!V101</f>
        <v>0</v>
      </c>
      <c r="BC89" s="295">
        <f>'FREH LGV vkm'!W89*'FREH Stock'!W101</f>
        <v>0</v>
      </c>
      <c r="BD89" s="295">
        <f>'FREH LGV vkm'!X89*'FREH Stock'!X101</f>
        <v>0</v>
      </c>
      <c r="BE89" s="295">
        <f>'FREH LGV vkm'!Y89*'FREH Stock'!Y101</f>
        <v>0</v>
      </c>
      <c r="BF89" s="295">
        <f>'FREH LGV vkm'!Z89*'FREH Stock'!Z101</f>
        <v>0</v>
      </c>
      <c r="BG89" s="295">
        <f>'FREH LGV vkm'!AA89*'FREH Stock'!AA101</f>
        <v>0</v>
      </c>
      <c r="BH89" s="295">
        <f>'FREH LGV vkm'!AB89*'FREH Stock'!AB101</f>
        <v>0</v>
      </c>
      <c r="BI89" s="295">
        <f>'FREH LGV vkm'!AC89*'FREH Stock'!AC101</f>
        <v>0</v>
      </c>
      <c r="BJ89" s="295">
        <f>'FREH LGV vkm'!AD89*'FREH Stock'!AD101</f>
        <v>0</v>
      </c>
      <c r="BK89" s="296">
        <f>'FREH LGV vkm'!AE89*'FREH Stock'!AE101</f>
        <v>0</v>
      </c>
    </row>
    <row r="90" spans="1:63">
      <c r="A90" s="1711"/>
      <c r="B90" s="116">
        <v>17</v>
      </c>
      <c r="C90" s="294">
        <f t="shared" si="17"/>
        <v>13198.753621681151</v>
      </c>
      <c r="D90" s="295">
        <f t="shared" si="17"/>
        <v>13198.753621681151</v>
      </c>
      <c r="E90" s="295">
        <f t="shared" si="18"/>
        <v>13198.753621681151</v>
      </c>
      <c r="F90" s="295">
        <f t="shared" si="18"/>
        <v>13198.753621681151</v>
      </c>
      <c r="G90" s="295">
        <f t="shared" si="18"/>
        <v>13198.753621681151</v>
      </c>
      <c r="H90" s="295">
        <f t="shared" si="18"/>
        <v>13198.753621681151</v>
      </c>
      <c r="I90" s="295">
        <f t="shared" si="18"/>
        <v>13198.753621681151</v>
      </c>
      <c r="J90" s="295">
        <f t="shared" si="18"/>
        <v>13198.753621681151</v>
      </c>
      <c r="K90" s="295">
        <f t="shared" si="18"/>
        <v>13198.753621681151</v>
      </c>
      <c r="L90" s="295">
        <f t="shared" si="18"/>
        <v>13198.753621681151</v>
      </c>
      <c r="M90" s="295">
        <f t="shared" si="18"/>
        <v>13198.753621681151</v>
      </c>
      <c r="N90" s="295">
        <f t="shared" si="18"/>
        <v>13198.753621681151</v>
      </c>
      <c r="O90" s="295">
        <f t="shared" si="18"/>
        <v>13198.753621681151</v>
      </c>
      <c r="P90" s="295">
        <f t="shared" si="18"/>
        <v>13198.753621681151</v>
      </c>
      <c r="Q90" s="295">
        <f t="shared" si="18"/>
        <v>13198.753621681151</v>
      </c>
      <c r="R90" s="295">
        <f t="shared" si="18"/>
        <v>13198.753621681151</v>
      </c>
      <c r="S90" s="295">
        <f t="shared" si="18"/>
        <v>13198.753621681151</v>
      </c>
      <c r="T90" s="295">
        <f t="shared" si="18"/>
        <v>13198.753621681151</v>
      </c>
      <c r="U90" s="295">
        <f t="shared" si="18"/>
        <v>13198.753621681151</v>
      </c>
      <c r="V90" s="295">
        <f t="shared" si="18"/>
        <v>13198.753621681151</v>
      </c>
      <c r="W90" s="295">
        <f t="shared" si="18"/>
        <v>13198.753621681151</v>
      </c>
      <c r="X90" s="295">
        <f t="shared" si="18"/>
        <v>13198.753621681151</v>
      </c>
      <c r="Y90" s="295">
        <f t="shared" si="18"/>
        <v>13198.753621681151</v>
      </c>
      <c r="Z90" s="295">
        <f t="shared" si="18"/>
        <v>13198.753621681151</v>
      </c>
      <c r="AA90" s="295">
        <f t="shared" si="18"/>
        <v>13198.753621681151</v>
      </c>
      <c r="AB90" s="295">
        <f t="shared" si="18"/>
        <v>13198.753621681151</v>
      </c>
      <c r="AC90" s="295">
        <f t="shared" si="18"/>
        <v>13198.753621681151</v>
      </c>
      <c r="AD90" s="295">
        <f t="shared" si="18"/>
        <v>13198.753621681151</v>
      </c>
      <c r="AE90" s="296">
        <f t="shared" si="18"/>
        <v>13198.753621681151</v>
      </c>
      <c r="AG90" s="1711"/>
      <c r="AH90" s="116">
        <v>17</v>
      </c>
      <c r="AI90" s="294">
        <f>'FREH LGV vkm'!C90*'FREH Stock'!C102</f>
        <v>79192.521730086912</v>
      </c>
      <c r="AJ90" s="295">
        <f>'FREH LGV vkm'!D90*'FREH Stock'!D102</f>
        <v>32673.525883999657</v>
      </c>
      <c r="AK90" s="295">
        <f>'FREH LGV vkm'!E90*'FREH Stock'!E102</f>
        <v>14559.001430936276</v>
      </c>
      <c r="AL90" s="295">
        <f>'FREH LGV vkm'!F90*'FREH Stock'!F102</f>
        <v>8447.0673046191223</v>
      </c>
      <c r="AM90" s="295">
        <f>'FREH LGV vkm'!G90*'FREH Stock'!G102</f>
        <v>1407.2456465625073</v>
      </c>
      <c r="AN90" s="295">
        <f>'FREH LGV vkm'!H90*'FREH Stock'!H102</f>
        <v>1890.4214022690965</v>
      </c>
      <c r="AO90" s="295">
        <f>'FREH LGV vkm'!I90*'FREH Stock'!I102</f>
        <v>498.07790087235918</v>
      </c>
      <c r="AP90" s="295">
        <f>'FREH LGV vkm'!J90*'FREH Stock'!J102</f>
        <v>514.91936557688666</v>
      </c>
      <c r="AQ90" s="295">
        <f>'FREH LGV vkm'!K90*'FREH Stock'!K102</f>
        <v>376.85913747922871</v>
      </c>
      <c r="AR90" s="295">
        <f>'FREH LGV vkm'!L90*'FREH Stock'!L102</f>
        <v>354.83071992736524</v>
      </c>
      <c r="AS90" s="295">
        <f>'FREH LGV vkm'!M90*'FREH Stock'!M102</f>
        <v>496.6802091105705</v>
      </c>
      <c r="AT90" s="295">
        <f>'FREH LGV vkm'!N90*'FREH Stock'!N102</f>
        <v>443.35835104605661</v>
      </c>
      <c r="AU90" s="295">
        <f>'FREH LGV vkm'!O90*'FREH Stock'!O102</f>
        <v>342.32997877855189</v>
      </c>
      <c r="AV90" s="295">
        <f>'FREH LGV vkm'!P90*'FREH Stock'!P102</f>
        <v>187.72934320114135</v>
      </c>
      <c r="AW90" s="295">
        <f>'FREH LGV vkm'!Q90*'FREH Stock'!Q102</f>
        <v>143.55773303616689</v>
      </c>
      <c r="AX90" s="295">
        <f>'FREH LGV vkm'!R90*'FREH Stock'!R102</f>
        <v>88.160263389702351</v>
      </c>
      <c r="AY90" s="295">
        <f>'FREH LGV vkm'!S90*'FREH Stock'!S102</f>
        <v>65.783233932874836</v>
      </c>
      <c r="AZ90" s="295">
        <f>'FREH LGV vkm'!T90*'FREH Stock'!T102</f>
        <v>10.800272334779281</v>
      </c>
      <c r="BA90" s="295">
        <f>'FREH LGV vkm'!U90*'FREH Stock'!U102</f>
        <v>0</v>
      </c>
      <c r="BB90" s="295">
        <f>'FREH LGV vkm'!V90*'FREH Stock'!V102</f>
        <v>0</v>
      </c>
      <c r="BC90" s="295">
        <f>'FREH LGV vkm'!W90*'FREH Stock'!W102</f>
        <v>0</v>
      </c>
      <c r="BD90" s="295">
        <f>'FREH LGV vkm'!X90*'FREH Stock'!X102</f>
        <v>0</v>
      </c>
      <c r="BE90" s="295">
        <f>'FREH LGV vkm'!Y90*'FREH Stock'!Y102</f>
        <v>0</v>
      </c>
      <c r="BF90" s="295">
        <f>'FREH LGV vkm'!Z90*'FREH Stock'!Z102</f>
        <v>0</v>
      </c>
      <c r="BG90" s="295">
        <f>'FREH LGV vkm'!AA90*'FREH Stock'!AA102</f>
        <v>0</v>
      </c>
      <c r="BH90" s="295">
        <f>'FREH LGV vkm'!AB90*'FREH Stock'!AB102</f>
        <v>0</v>
      </c>
      <c r="BI90" s="295">
        <f>'FREH LGV vkm'!AC90*'FREH Stock'!AC102</f>
        <v>0</v>
      </c>
      <c r="BJ90" s="295">
        <f>'FREH LGV vkm'!AD90*'FREH Stock'!AD102</f>
        <v>0</v>
      </c>
      <c r="BK90" s="296">
        <f>'FREH LGV vkm'!AE90*'FREH Stock'!AE102</f>
        <v>0</v>
      </c>
    </row>
    <row r="91" spans="1:63">
      <c r="A91" s="1711"/>
      <c r="B91" s="116">
        <v>18</v>
      </c>
      <c r="C91" s="294">
        <f t="shared" si="17"/>
        <v>13198.753621681151</v>
      </c>
      <c r="D91" s="295">
        <f t="shared" si="17"/>
        <v>13198.753621681151</v>
      </c>
      <c r="E91" s="295">
        <f t="shared" si="18"/>
        <v>13198.753621681151</v>
      </c>
      <c r="F91" s="295">
        <f t="shared" si="18"/>
        <v>13198.753621681151</v>
      </c>
      <c r="G91" s="295">
        <f t="shared" si="18"/>
        <v>13198.753621681151</v>
      </c>
      <c r="H91" s="295">
        <f t="shared" si="18"/>
        <v>13198.753621681151</v>
      </c>
      <c r="I91" s="295">
        <f t="shared" si="18"/>
        <v>13198.753621681151</v>
      </c>
      <c r="J91" s="295">
        <f t="shared" si="18"/>
        <v>13198.753621681151</v>
      </c>
      <c r="K91" s="295">
        <f t="shared" si="18"/>
        <v>13198.753621681151</v>
      </c>
      <c r="L91" s="295">
        <f t="shared" si="18"/>
        <v>13198.753621681151</v>
      </c>
      <c r="M91" s="295">
        <f t="shared" si="18"/>
        <v>13198.753621681151</v>
      </c>
      <c r="N91" s="295">
        <f t="shared" si="18"/>
        <v>13198.753621681151</v>
      </c>
      <c r="O91" s="295">
        <f t="shared" si="18"/>
        <v>13198.753621681151</v>
      </c>
      <c r="P91" s="295">
        <f t="shared" si="18"/>
        <v>13198.753621681151</v>
      </c>
      <c r="Q91" s="295">
        <f t="shared" si="18"/>
        <v>13198.753621681151</v>
      </c>
      <c r="R91" s="295">
        <f t="shared" si="18"/>
        <v>13198.753621681151</v>
      </c>
      <c r="S91" s="295">
        <f t="shared" si="18"/>
        <v>13198.753621681151</v>
      </c>
      <c r="T91" s="295">
        <f t="shared" si="18"/>
        <v>13198.753621681151</v>
      </c>
      <c r="U91" s="295">
        <f t="shared" si="18"/>
        <v>13198.753621681151</v>
      </c>
      <c r="V91" s="295">
        <f t="shared" si="18"/>
        <v>13198.753621681151</v>
      </c>
      <c r="W91" s="295">
        <f t="shared" si="18"/>
        <v>13198.753621681151</v>
      </c>
      <c r="X91" s="295">
        <f t="shared" si="18"/>
        <v>13198.753621681151</v>
      </c>
      <c r="Y91" s="295">
        <f t="shared" si="18"/>
        <v>13198.753621681151</v>
      </c>
      <c r="Z91" s="295">
        <f t="shared" si="18"/>
        <v>13198.753621681151</v>
      </c>
      <c r="AA91" s="295">
        <f t="shared" si="18"/>
        <v>13198.753621681151</v>
      </c>
      <c r="AB91" s="295">
        <f t="shared" si="18"/>
        <v>13198.753621681151</v>
      </c>
      <c r="AC91" s="295">
        <f t="shared" si="18"/>
        <v>13198.753621681151</v>
      </c>
      <c r="AD91" s="295">
        <f t="shared" si="18"/>
        <v>13198.753621681151</v>
      </c>
      <c r="AE91" s="296">
        <f t="shared" si="18"/>
        <v>13198.753621681151</v>
      </c>
      <c r="AG91" s="1711"/>
      <c r="AH91" s="116">
        <v>18</v>
      </c>
      <c r="AI91" s="294">
        <f>'FREH LGV vkm'!C91*'FREH Stock'!C103</f>
        <v>171583.79708185498</v>
      </c>
      <c r="AJ91" s="295">
        <f>'FREH LGV vkm'!D91*'FREH Stock'!D103</f>
        <v>17153.601089099819</v>
      </c>
      <c r="AK91" s="295">
        <f>'FREH LGV vkm'!E91*'FREH Stock'!E103</f>
        <v>7077.2923622606886</v>
      </c>
      <c r="AL91" s="295">
        <f>'FREH LGV vkm'!F91*'FREH Stock'!F103</f>
        <v>3153.5717937244713</v>
      </c>
      <c r="AM91" s="295">
        <f>'FREH LGV vkm'!G91*'FREH Stock'!G103</f>
        <v>1829.6882047786137</v>
      </c>
      <c r="AN91" s="295">
        <f>'FREH LGV vkm'!H91*'FREH Stock'!H103</f>
        <v>304.81830769046678</v>
      </c>
      <c r="AO91" s="295">
        <f>'FREH LGV vkm'!I91*'FREH Stock'!I103</f>
        <v>409.47723240010021</v>
      </c>
      <c r="AP91" s="295">
        <f>'FREH LGV vkm'!J91*'FREH Stock'!J103</f>
        <v>107.88682360666225</v>
      </c>
      <c r="AQ91" s="295">
        <f>'FREH LGV vkm'!K91*'FREH Stock'!K103</f>
        <v>111.53479138172887</v>
      </c>
      <c r="AR91" s="295">
        <f>'FREH LGV vkm'!L91*'FREH Stock'!L103</f>
        <v>81.630072762854326</v>
      </c>
      <c r="AS91" s="295">
        <f>'FREH LGV vkm'!M91*'FREH Stock'!M103</f>
        <v>76.858578194255031</v>
      </c>
      <c r="AT91" s="295">
        <f>'FREH LGV vkm'!N91*'FREH Stock'!N103</f>
        <v>107.58407473084085</v>
      </c>
      <c r="AU91" s="295">
        <f>'FREH LGV vkm'!O91*'FREH Stock'!O103</f>
        <v>96.034223020274965</v>
      </c>
      <c r="AV91" s="295">
        <f>'FREH LGV vkm'!P91*'FREH Stock'!P103</f>
        <v>74.150838595866006</v>
      </c>
      <c r="AW91" s="295">
        <f>'FREH LGV vkm'!Q91*'FREH Stock'!Q103</f>
        <v>40.663363100958783</v>
      </c>
      <c r="AX91" s="295">
        <f>'FREH LGV vkm'!R91*'FREH Stock'!R103</f>
        <v>31.095512959556707</v>
      </c>
      <c r="AY91" s="295">
        <f>'FREH LGV vkm'!S91*'FREH Stock'!S103</f>
        <v>19.09607065236797</v>
      </c>
      <c r="AZ91" s="295">
        <f>'FREH LGV vkm'!T91*'FREH Stock'!T103</f>
        <v>14.249064540228673</v>
      </c>
      <c r="BA91" s="295">
        <f>'FREH LGV vkm'!U91*'FREH Stock'!U103</f>
        <v>2.3394072980259577</v>
      </c>
      <c r="BB91" s="295">
        <f>'FREH LGV vkm'!V91*'FREH Stock'!V103</f>
        <v>0</v>
      </c>
      <c r="BC91" s="295">
        <f>'FREH LGV vkm'!W91*'FREH Stock'!W103</f>
        <v>0</v>
      </c>
      <c r="BD91" s="295">
        <f>'FREH LGV vkm'!X91*'FREH Stock'!X103</f>
        <v>0</v>
      </c>
      <c r="BE91" s="295">
        <f>'FREH LGV vkm'!Y91*'FREH Stock'!Y103</f>
        <v>0</v>
      </c>
      <c r="BF91" s="295">
        <f>'FREH LGV vkm'!Z91*'FREH Stock'!Z103</f>
        <v>0</v>
      </c>
      <c r="BG91" s="295">
        <f>'FREH LGV vkm'!AA91*'FREH Stock'!AA103</f>
        <v>0</v>
      </c>
      <c r="BH91" s="295">
        <f>'FREH LGV vkm'!AB91*'FREH Stock'!AB103</f>
        <v>0</v>
      </c>
      <c r="BI91" s="295">
        <f>'FREH LGV vkm'!AC91*'FREH Stock'!AC103</f>
        <v>0</v>
      </c>
      <c r="BJ91" s="295">
        <f>'FREH LGV vkm'!AD91*'FREH Stock'!AD103</f>
        <v>0</v>
      </c>
      <c r="BK91" s="296">
        <f>'FREH LGV vkm'!AE91*'FREH Stock'!AE103</f>
        <v>0</v>
      </c>
    </row>
    <row r="92" spans="1:63">
      <c r="A92" s="1711"/>
      <c r="B92" s="116">
        <v>19</v>
      </c>
      <c r="C92" s="294">
        <f t="shared" si="17"/>
        <v>13198.753621681151</v>
      </c>
      <c r="D92" s="295">
        <f t="shared" si="17"/>
        <v>13198.753621681151</v>
      </c>
      <c r="E92" s="295">
        <f t="shared" si="18"/>
        <v>13198.753621681151</v>
      </c>
      <c r="F92" s="295">
        <f t="shared" si="18"/>
        <v>13198.753621681151</v>
      </c>
      <c r="G92" s="295">
        <f t="shared" si="18"/>
        <v>13198.753621681151</v>
      </c>
      <c r="H92" s="295">
        <f t="shared" si="18"/>
        <v>13198.753621681151</v>
      </c>
      <c r="I92" s="295">
        <f t="shared" si="18"/>
        <v>13198.753621681151</v>
      </c>
      <c r="J92" s="295">
        <f t="shared" si="18"/>
        <v>13198.753621681151</v>
      </c>
      <c r="K92" s="295">
        <f t="shared" si="18"/>
        <v>13198.753621681151</v>
      </c>
      <c r="L92" s="295">
        <f t="shared" si="18"/>
        <v>13198.753621681151</v>
      </c>
      <c r="M92" s="295">
        <f t="shared" si="18"/>
        <v>13198.753621681151</v>
      </c>
      <c r="N92" s="295">
        <f t="shared" si="18"/>
        <v>13198.753621681151</v>
      </c>
      <c r="O92" s="295">
        <f t="shared" si="18"/>
        <v>13198.753621681151</v>
      </c>
      <c r="P92" s="295">
        <f t="shared" si="18"/>
        <v>13198.753621681151</v>
      </c>
      <c r="Q92" s="295">
        <f t="shared" si="18"/>
        <v>13198.753621681151</v>
      </c>
      <c r="R92" s="295">
        <f t="shared" si="18"/>
        <v>13198.753621681151</v>
      </c>
      <c r="S92" s="295">
        <f t="shared" si="18"/>
        <v>13198.753621681151</v>
      </c>
      <c r="T92" s="295">
        <f t="shared" si="18"/>
        <v>13198.753621681151</v>
      </c>
      <c r="U92" s="295">
        <f t="shared" si="18"/>
        <v>13198.753621681151</v>
      </c>
      <c r="V92" s="295">
        <f t="shared" si="18"/>
        <v>13198.753621681151</v>
      </c>
      <c r="W92" s="295">
        <f t="shared" si="18"/>
        <v>13198.753621681151</v>
      </c>
      <c r="X92" s="295">
        <f t="shared" si="18"/>
        <v>13198.753621681151</v>
      </c>
      <c r="Y92" s="295">
        <f t="shared" si="18"/>
        <v>13198.753621681151</v>
      </c>
      <c r="Z92" s="295">
        <f t="shared" si="18"/>
        <v>13198.753621681151</v>
      </c>
      <c r="AA92" s="295">
        <f t="shared" si="18"/>
        <v>13198.753621681151</v>
      </c>
      <c r="AB92" s="295">
        <f t="shared" si="18"/>
        <v>13198.753621681151</v>
      </c>
      <c r="AC92" s="295">
        <f t="shared" si="18"/>
        <v>13198.753621681151</v>
      </c>
      <c r="AD92" s="295">
        <f t="shared" si="18"/>
        <v>13198.753621681151</v>
      </c>
      <c r="AE92" s="296">
        <f t="shared" si="18"/>
        <v>13198.753621681151</v>
      </c>
      <c r="AG92" s="1711"/>
      <c r="AH92" s="116">
        <v>19</v>
      </c>
      <c r="AI92" s="294">
        <f>'FREH LGV vkm'!C92*'FREH Stock'!C104</f>
        <v>325399.71021591255</v>
      </c>
      <c r="AJ92" s="295">
        <f>'FREH LGV vkm'!D92*'FREH Stock'!D104</f>
        <v>31856.687736899665</v>
      </c>
      <c r="AK92" s="295">
        <f>'FREH LGV vkm'!E92*'FREH Stock'!E104</f>
        <v>3184.78156301731</v>
      </c>
      <c r="AL92" s="295">
        <f>'FREH LGV vkm'!F92*'FREH Stock'!F104</f>
        <v>1313.9882473851962</v>
      </c>
      <c r="AM92" s="295">
        <f>'FREH LGV vkm'!G92*'FREH Stock'!G104</f>
        <v>585.50022552915618</v>
      </c>
      <c r="AN92" s="295">
        <f>'FREH LGV vkm'!H92*'FREH Stock'!H104</f>
        <v>339.70460373781282</v>
      </c>
      <c r="AO92" s="295">
        <f>'FREH LGV vkm'!I92*'FREH Stock'!I104</f>
        <v>56.593348612940162</v>
      </c>
      <c r="AP92" s="295">
        <f>'FREH LGV vkm'!J92*'FREH Stock'!J104</f>
        <v>76.024592938206723</v>
      </c>
      <c r="AQ92" s="295">
        <f>'FREH LGV vkm'!K92*'FREH Stock'!K104</f>
        <v>20.030544311382823</v>
      </c>
      <c r="AR92" s="295">
        <f>'FREH LGV vkm'!L92*'FREH Stock'!L104</f>
        <v>20.707835362525202</v>
      </c>
      <c r="AS92" s="295">
        <f>'FREH LGV vkm'!M92*'FREH Stock'!M104</f>
        <v>15.155648622848016</v>
      </c>
      <c r="AT92" s="295">
        <f>'FREH LGV vkm'!N92*'FREH Stock'!N104</f>
        <v>14.26976070630036</v>
      </c>
      <c r="AU92" s="295">
        <f>'FREH LGV vkm'!O92*'FREH Stock'!O104</f>
        <v>19.974335178797077</v>
      </c>
      <c r="AV92" s="295">
        <f>'FREH LGV vkm'!P92*'FREH Stock'!P104</f>
        <v>17.829960094385896</v>
      </c>
      <c r="AW92" s="295">
        <f>'FREH LGV vkm'!Q92*'FREH Stock'!Q104</f>
        <v>13.767034829348432</v>
      </c>
      <c r="AX92" s="295">
        <f>'FREH LGV vkm'!R92*'FREH Stock'!R104</f>
        <v>7.5496642612555922</v>
      </c>
      <c r="AY92" s="295">
        <f>'FREH LGV vkm'!S92*'FREH Stock'!S104</f>
        <v>5.7732726703719219</v>
      </c>
      <c r="AZ92" s="295">
        <f>'FREH LGV vkm'!T92*'FREH Stock'!T104</f>
        <v>3.5454254429632983</v>
      </c>
      <c r="BA92" s="295">
        <f>'FREH LGV vkm'!U92*'FREH Stock'!U104</f>
        <v>2.6455178596172799</v>
      </c>
      <c r="BB92" s="295">
        <f>'FREH LGV vkm'!V92*'FREH Stock'!V104</f>
        <v>0.43434035759847534</v>
      </c>
      <c r="BC92" s="295">
        <f>'FREH LGV vkm'!W92*'FREH Stock'!W104</f>
        <v>0</v>
      </c>
      <c r="BD92" s="295">
        <f>'FREH LGV vkm'!X92*'FREH Stock'!X104</f>
        <v>0</v>
      </c>
      <c r="BE92" s="295">
        <f>'FREH LGV vkm'!Y92*'FREH Stock'!Y104</f>
        <v>0</v>
      </c>
      <c r="BF92" s="295">
        <f>'FREH LGV vkm'!Z92*'FREH Stock'!Z104</f>
        <v>0</v>
      </c>
      <c r="BG92" s="295">
        <f>'FREH LGV vkm'!AA92*'FREH Stock'!AA104</f>
        <v>0</v>
      </c>
      <c r="BH92" s="295">
        <f>'FREH LGV vkm'!AB92*'FREH Stock'!AB104</f>
        <v>0</v>
      </c>
      <c r="BI92" s="295">
        <f>'FREH LGV vkm'!AC92*'FREH Stock'!AC104</f>
        <v>0</v>
      </c>
      <c r="BJ92" s="295">
        <f>'FREH LGV vkm'!AD92*'FREH Stock'!AD104</f>
        <v>0</v>
      </c>
      <c r="BK92" s="296">
        <f>'FREH LGV vkm'!AE92*'FREH Stock'!AE104</f>
        <v>0</v>
      </c>
    </row>
    <row r="93" spans="1:63">
      <c r="A93" s="1711"/>
      <c r="B93" s="116">
        <v>20</v>
      </c>
      <c r="C93" s="294">
        <f t="shared" si="17"/>
        <v>13198.753621681151</v>
      </c>
      <c r="D93" s="295">
        <f t="shared" si="17"/>
        <v>13198.753621681151</v>
      </c>
      <c r="E93" s="295">
        <f t="shared" si="18"/>
        <v>13198.753621681151</v>
      </c>
      <c r="F93" s="295">
        <f t="shared" si="18"/>
        <v>13198.753621681151</v>
      </c>
      <c r="G93" s="295">
        <f t="shared" si="18"/>
        <v>13198.753621681151</v>
      </c>
      <c r="H93" s="295">
        <f t="shared" si="18"/>
        <v>13198.753621681151</v>
      </c>
      <c r="I93" s="295">
        <f t="shared" si="18"/>
        <v>13198.753621681151</v>
      </c>
      <c r="J93" s="295">
        <f t="shared" si="18"/>
        <v>13198.753621681151</v>
      </c>
      <c r="K93" s="295">
        <f t="shared" si="18"/>
        <v>13198.753621681151</v>
      </c>
      <c r="L93" s="295">
        <f t="shared" si="18"/>
        <v>13198.753621681151</v>
      </c>
      <c r="M93" s="295">
        <f t="shared" si="18"/>
        <v>13198.753621681151</v>
      </c>
      <c r="N93" s="295">
        <f t="shared" si="18"/>
        <v>13198.753621681151</v>
      </c>
      <c r="O93" s="295">
        <f t="shared" si="18"/>
        <v>13198.753621681151</v>
      </c>
      <c r="P93" s="295">
        <f t="shared" si="18"/>
        <v>13198.753621681151</v>
      </c>
      <c r="Q93" s="295">
        <f t="shared" si="18"/>
        <v>13198.753621681151</v>
      </c>
      <c r="R93" s="295">
        <f t="shared" si="18"/>
        <v>13198.753621681151</v>
      </c>
      <c r="S93" s="295">
        <f t="shared" si="18"/>
        <v>13198.753621681151</v>
      </c>
      <c r="T93" s="295">
        <f t="shared" si="18"/>
        <v>13198.753621681151</v>
      </c>
      <c r="U93" s="295">
        <f t="shared" si="18"/>
        <v>13198.753621681151</v>
      </c>
      <c r="V93" s="295">
        <f t="shared" si="18"/>
        <v>13198.753621681151</v>
      </c>
      <c r="W93" s="295">
        <f t="shared" si="18"/>
        <v>13198.753621681151</v>
      </c>
      <c r="X93" s="295">
        <f t="shared" si="18"/>
        <v>13198.753621681151</v>
      </c>
      <c r="Y93" s="295">
        <f t="shared" si="18"/>
        <v>13198.753621681151</v>
      </c>
      <c r="Z93" s="295">
        <f t="shared" si="18"/>
        <v>13198.753621681151</v>
      </c>
      <c r="AA93" s="295">
        <f t="shared" si="18"/>
        <v>13198.753621681151</v>
      </c>
      <c r="AB93" s="295">
        <f t="shared" si="18"/>
        <v>13198.753621681151</v>
      </c>
      <c r="AC93" s="295">
        <f t="shared" si="18"/>
        <v>13198.753621681151</v>
      </c>
      <c r="AD93" s="295">
        <f t="shared" si="18"/>
        <v>13198.753621681151</v>
      </c>
      <c r="AE93" s="296">
        <f t="shared" si="18"/>
        <v>13198.753621681151</v>
      </c>
      <c r="AG93" s="1711"/>
      <c r="AH93" s="116">
        <v>20</v>
      </c>
      <c r="AI93" s="294">
        <f>'FREH LGV vkm'!C93*'FREH Stock'!C105</f>
        <v>119707.8635515792</v>
      </c>
      <c r="AJ93" s="295">
        <f>'FREH LGV vkm'!D93*'FREH Stock'!D105</f>
        <v>50345.453816756832</v>
      </c>
      <c r="AK93" s="295">
        <f>'FREH LGV vkm'!E93*'FREH Stock'!E105</f>
        <v>4928.8286094315508</v>
      </c>
      <c r="AL93" s="295">
        <f>'FREH LGV vkm'!F93*'FREH Stock'!F105</f>
        <v>492.74559276944859</v>
      </c>
      <c r="AM93" s="295">
        <f>'FREH LGV vkm'!G93*'FREH Stock'!G105</f>
        <v>203.29868941984586</v>
      </c>
      <c r="AN93" s="295">
        <f>'FREH LGV vkm'!H93*'FREH Stock'!H105</f>
        <v>90.587894330083387</v>
      </c>
      <c r="AO93" s="295">
        <f>'FREH LGV vkm'!I93*'FREH Stock'!I105</f>
        <v>52.558689826348207</v>
      </c>
      <c r="AP93" s="295">
        <f>'FREH LGV vkm'!J93*'FREH Stock'!J105</f>
        <v>8.7560551822183736</v>
      </c>
      <c r="AQ93" s="295">
        <f>'FREH LGV vkm'!K93*'FREH Stock'!K105</f>
        <v>11.762434054316051</v>
      </c>
      <c r="AR93" s="295">
        <f>'FREH LGV vkm'!L93*'FREH Stock'!L105</f>
        <v>3.0991018488740822</v>
      </c>
      <c r="AS93" s="295">
        <f>'FREH LGV vkm'!M93*'FREH Stock'!M105</f>
        <v>3.2038915099133192</v>
      </c>
      <c r="AT93" s="295">
        <f>'FREH LGV vkm'!N93*'FREH Stock'!N105</f>
        <v>2.3448638208629737</v>
      </c>
      <c r="AU93" s="295">
        <f>'FREH LGV vkm'!O93*'FREH Stock'!O105</f>
        <v>2.207800302398931</v>
      </c>
      <c r="AV93" s="295">
        <f>'FREH LGV vkm'!P93*'FREH Stock'!P105</f>
        <v>3.0904052391358685</v>
      </c>
      <c r="AW93" s="295">
        <f>'FREH LGV vkm'!Q93*'FREH Stock'!Q105</f>
        <v>2.7586300918673206</v>
      </c>
      <c r="AX93" s="295">
        <f>'FREH LGV vkm'!R93*'FREH Stock'!R105</f>
        <v>2.1300191562394031</v>
      </c>
      <c r="AY93" s="295">
        <f>'FREH LGV vkm'!S93*'FREH Stock'!S105</f>
        <v>1.1680750211635438</v>
      </c>
      <c r="AZ93" s="295">
        <f>'FREH LGV vkm'!T93*'FREH Stock'!T105</f>
        <v>0.89323383971329773</v>
      </c>
      <c r="BA93" s="295">
        <f>'FREH LGV vkm'!U93*'FREH Stock'!U105</f>
        <v>0.5485439823564251</v>
      </c>
      <c r="BB93" s="295">
        <f>'FREH LGV vkm'!V93*'FREH Stock'!V105</f>
        <v>0.40931135782017664</v>
      </c>
      <c r="BC93" s="295">
        <f>'FREH LGV vkm'!W93*'FREH Stock'!W105</f>
        <v>6.7200620429926722E-2</v>
      </c>
      <c r="BD93" s="295">
        <f>'FREH LGV vkm'!X93*'FREH Stock'!X105</f>
        <v>0</v>
      </c>
      <c r="BE93" s="295">
        <f>'FREH LGV vkm'!Y93*'FREH Stock'!Y105</f>
        <v>0</v>
      </c>
      <c r="BF93" s="295">
        <f>'FREH LGV vkm'!Z93*'FREH Stock'!Z105</f>
        <v>0</v>
      </c>
      <c r="BG93" s="295">
        <f>'FREH LGV vkm'!AA93*'FREH Stock'!AA105</f>
        <v>0</v>
      </c>
      <c r="BH93" s="295">
        <f>'FREH LGV vkm'!AB93*'FREH Stock'!AB105</f>
        <v>0</v>
      </c>
      <c r="BI93" s="295">
        <f>'FREH LGV vkm'!AC93*'FREH Stock'!AC105</f>
        <v>0</v>
      </c>
      <c r="BJ93" s="295">
        <f>'FREH LGV vkm'!AD93*'FREH Stock'!AD105</f>
        <v>0</v>
      </c>
      <c r="BK93" s="296">
        <f>'FREH LGV vkm'!AE93*'FREH Stock'!AE105</f>
        <v>0</v>
      </c>
    </row>
    <row r="94" spans="1:63">
      <c r="A94" s="1711"/>
      <c r="B94" s="116">
        <v>21</v>
      </c>
      <c r="C94" s="294">
        <f t="shared" si="17"/>
        <v>13198.753621681151</v>
      </c>
      <c r="D94" s="295">
        <f t="shared" si="17"/>
        <v>13198.753621681151</v>
      </c>
      <c r="E94" s="295">
        <f t="shared" si="18"/>
        <v>13198.753621681151</v>
      </c>
      <c r="F94" s="295">
        <f t="shared" si="18"/>
        <v>13198.753621681151</v>
      </c>
      <c r="G94" s="295">
        <f t="shared" si="18"/>
        <v>13198.753621681151</v>
      </c>
      <c r="H94" s="295">
        <f t="shared" si="18"/>
        <v>13198.753621681151</v>
      </c>
      <c r="I94" s="295">
        <f t="shared" si="18"/>
        <v>13198.753621681151</v>
      </c>
      <c r="J94" s="295">
        <f t="shared" si="18"/>
        <v>13198.753621681151</v>
      </c>
      <c r="K94" s="295">
        <f t="shared" si="18"/>
        <v>13198.753621681151</v>
      </c>
      <c r="L94" s="295">
        <f t="shared" si="18"/>
        <v>13198.753621681151</v>
      </c>
      <c r="M94" s="295">
        <f t="shared" si="18"/>
        <v>13198.753621681151</v>
      </c>
      <c r="N94" s="295">
        <f t="shared" si="18"/>
        <v>13198.753621681151</v>
      </c>
      <c r="O94" s="295">
        <f t="shared" si="18"/>
        <v>13198.753621681151</v>
      </c>
      <c r="P94" s="295">
        <f t="shared" si="18"/>
        <v>13198.753621681151</v>
      </c>
      <c r="Q94" s="295">
        <f t="shared" si="18"/>
        <v>13198.753621681151</v>
      </c>
      <c r="R94" s="295">
        <f t="shared" si="18"/>
        <v>13198.753621681151</v>
      </c>
      <c r="S94" s="295">
        <f t="shared" si="18"/>
        <v>13198.753621681151</v>
      </c>
      <c r="T94" s="295">
        <f t="shared" si="18"/>
        <v>13198.753621681151</v>
      </c>
      <c r="U94" s="295">
        <f t="shared" si="18"/>
        <v>13198.753621681151</v>
      </c>
      <c r="V94" s="295">
        <f t="shared" si="18"/>
        <v>13198.753621681151</v>
      </c>
      <c r="W94" s="295">
        <f t="shared" si="18"/>
        <v>13198.753621681151</v>
      </c>
      <c r="X94" s="295">
        <f t="shared" si="18"/>
        <v>13198.753621681151</v>
      </c>
      <c r="Y94" s="295">
        <f t="shared" si="18"/>
        <v>13198.753621681151</v>
      </c>
      <c r="Z94" s="295">
        <f t="shared" si="18"/>
        <v>13198.753621681151</v>
      </c>
      <c r="AA94" s="295">
        <f t="shared" si="18"/>
        <v>13198.753621681151</v>
      </c>
      <c r="AB94" s="295">
        <f t="shared" si="18"/>
        <v>13198.753621681151</v>
      </c>
      <c r="AC94" s="295">
        <f t="shared" si="18"/>
        <v>13198.753621681151</v>
      </c>
      <c r="AD94" s="295">
        <f t="shared" si="18"/>
        <v>13198.753621681151</v>
      </c>
      <c r="AE94" s="296">
        <f t="shared" si="18"/>
        <v>13198.753621681151</v>
      </c>
      <c r="AG94" s="1711"/>
      <c r="AH94" s="116">
        <v>21</v>
      </c>
      <c r="AI94" s="294">
        <f>'FREH LGV vkm'!C94*'FREH Stock'!C106</f>
        <v>44038.061947182214</v>
      </c>
      <c r="AJ94" s="295">
        <f>'FREH LGV vkm'!D94*'FREH Stock'!D106</f>
        <v>14816.845932504932</v>
      </c>
      <c r="AK94" s="295">
        <f>'FREH LGV vkm'!E94*'FREH Stock'!E106</f>
        <v>6231.5107000762073</v>
      </c>
      <c r="AL94" s="295">
        <f>'FREH LGV vkm'!F94*'FREH Stock'!F106</f>
        <v>610.06597200026954</v>
      </c>
      <c r="AM94" s="295">
        <f>'FREH LGV vkm'!G94*'FREH Stock'!G106</f>
        <v>60.989606825953757</v>
      </c>
      <c r="AN94" s="295">
        <f>'FREH LGV vkm'!H94*'FREH Stock'!H106</f>
        <v>25.163303980578714</v>
      </c>
      <c r="AO94" s="295">
        <f>'FREH LGV vkm'!I94*'FREH Stock'!I106</f>
        <v>11.212520496287611</v>
      </c>
      <c r="AP94" s="295">
        <f>'FREH LGV vkm'!J94*'FREH Stock'!J106</f>
        <v>6.5054540818512701</v>
      </c>
      <c r="AQ94" s="295">
        <f>'FREH LGV vkm'!K94*'FREH Stock'!K106</f>
        <v>1.0837811047854886</v>
      </c>
      <c r="AR94" s="295">
        <f>'FREH LGV vkm'!L94*'FREH Stock'!L106</f>
        <v>1.4558957782999471</v>
      </c>
      <c r="AS94" s="295">
        <f>'FREH LGV vkm'!M94*'FREH Stock'!M106</f>
        <v>0.38359146393188381</v>
      </c>
      <c r="AT94" s="295">
        <f>'FREH LGV vkm'!N94*'FREH Stock'!N106</f>
        <v>0.3965618087101847</v>
      </c>
      <c r="AU94" s="295">
        <f>'FREH LGV vkm'!O94*'FREH Stock'!O106</f>
        <v>0.29023561974657919</v>
      </c>
      <c r="AV94" s="295">
        <f>'FREH LGV vkm'!P94*'FREH Stock'!P106</f>
        <v>0.2732705768847648</v>
      </c>
      <c r="AW94" s="295">
        <f>'FREH LGV vkm'!Q94*'FREH Stock'!Q106</f>
        <v>0.38251504068947323</v>
      </c>
      <c r="AX94" s="295">
        <f>'FREH LGV vkm'!R94*'FREH Stock'!R106</f>
        <v>0.34144955764212032</v>
      </c>
      <c r="AY94" s="295">
        <f>'FREH LGV vkm'!S94*'FREH Stock'!S106</f>
        <v>0.26364321219119313</v>
      </c>
      <c r="AZ94" s="295">
        <f>'FREH LGV vkm'!T94*'FREH Stock'!T106</f>
        <v>0.14457853571775106</v>
      </c>
      <c r="BA94" s="295">
        <f>'FREH LGV vkm'!U94*'FREH Stock'!U106</f>
        <v>0.11056005672533901</v>
      </c>
      <c r="BB94" s="295">
        <f>'FREH LGV vkm'!V94*'FREH Stock'!V106</f>
        <v>6.7896054884279425E-2</v>
      </c>
      <c r="BC94" s="295">
        <f>'FREH LGV vkm'!W94*'FREH Stock'!W106</f>
        <v>5.0662530825577902E-2</v>
      </c>
      <c r="BD94" s="295">
        <f>'FREH LGV vkm'!X94*'FREH Stock'!X106</f>
        <v>8.3177596687283965E-3</v>
      </c>
      <c r="BE94" s="295">
        <f>'FREH LGV vkm'!Y94*'FREH Stock'!Y106</f>
        <v>0</v>
      </c>
      <c r="BF94" s="295">
        <f>'FREH LGV vkm'!Z94*'FREH Stock'!Z106</f>
        <v>0</v>
      </c>
      <c r="BG94" s="295">
        <f>'FREH LGV vkm'!AA94*'FREH Stock'!AA106</f>
        <v>0</v>
      </c>
      <c r="BH94" s="295">
        <f>'FREH LGV vkm'!AB94*'FREH Stock'!AB106</f>
        <v>0</v>
      </c>
      <c r="BI94" s="295">
        <f>'FREH LGV vkm'!AC94*'FREH Stock'!AC106</f>
        <v>0</v>
      </c>
      <c r="BJ94" s="295">
        <f>'FREH LGV vkm'!AD94*'FREH Stock'!AD106</f>
        <v>0</v>
      </c>
      <c r="BK94" s="296">
        <f>'FREH LGV vkm'!AE94*'FREH Stock'!AE106</f>
        <v>0</v>
      </c>
    </row>
    <row r="95" spans="1:63">
      <c r="A95" s="1711"/>
      <c r="B95" s="116">
        <v>22</v>
      </c>
      <c r="C95" s="294">
        <f t="shared" si="17"/>
        <v>13198.753621681151</v>
      </c>
      <c r="D95" s="295">
        <f t="shared" si="17"/>
        <v>13198.753621681151</v>
      </c>
      <c r="E95" s="295">
        <f t="shared" si="18"/>
        <v>13198.753621681151</v>
      </c>
      <c r="F95" s="295">
        <f t="shared" si="18"/>
        <v>13198.753621681151</v>
      </c>
      <c r="G95" s="295">
        <f t="shared" si="18"/>
        <v>13198.753621681151</v>
      </c>
      <c r="H95" s="295">
        <f t="shared" si="18"/>
        <v>13198.753621681151</v>
      </c>
      <c r="I95" s="295">
        <f t="shared" si="18"/>
        <v>13198.753621681151</v>
      </c>
      <c r="J95" s="295">
        <f t="shared" si="18"/>
        <v>13198.753621681151</v>
      </c>
      <c r="K95" s="295">
        <f t="shared" si="18"/>
        <v>13198.753621681151</v>
      </c>
      <c r="L95" s="295">
        <f t="shared" si="18"/>
        <v>13198.753621681151</v>
      </c>
      <c r="M95" s="295">
        <f t="shared" si="18"/>
        <v>13198.753621681151</v>
      </c>
      <c r="N95" s="295">
        <f t="shared" si="18"/>
        <v>13198.753621681151</v>
      </c>
      <c r="O95" s="295">
        <f t="shared" si="18"/>
        <v>13198.753621681151</v>
      </c>
      <c r="P95" s="295">
        <f t="shared" si="18"/>
        <v>13198.753621681151</v>
      </c>
      <c r="Q95" s="295">
        <f t="shared" si="18"/>
        <v>13198.753621681151</v>
      </c>
      <c r="R95" s="295">
        <f t="shared" si="18"/>
        <v>13198.753621681151</v>
      </c>
      <c r="S95" s="295">
        <f t="shared" si="18"/>
        <v>13198.753621681151</v>
      </c>
      <c r="T95" s="295">
        <f t="shared" si="18"/>
        <v>13198.753621681151</v>
      </c>
      <c r="U95" s="295">
        <f t="shared" si="18"/>
        <v>13198.753621681151</v>
      </c>
      <c r="V95" s="295">
        <f t="shared" si="18"/>
        <v>13198.753621681151</v>
      </c>
      <c r="W95" s="295">
        <f t="shared" si="18"/>
        <v>13198.753621681151</v>
      </c>
      <c r="X95" s="295">
        <f t="shared" si="18"/>
        <v>13198.753621681151</v>
      </c>
      <c r="Y95" s="295">
        <f t="shared" si="18"/>
        <v>13198.753621681151</v>
      </c>
      <c r="Z95" s="295">
        <f t="shared" si="18"/>
        <v>13198.753621681151</v>
      </c>
      <c r="AA95" s="295">
        <f t="shared" si="18"/>
        <v>13198.753621681151</v>
      </c>
      <c r="AB95" s="295">
        <f t="shared" si="18"/>
        <v>13198.753621681151</v>
      </c>
      <c r="AC95" s="295">
        <f t="shared" si="18"/>
        <v>13198.753621681151</v>
      </c>
      <c r="AD95" s="295">
        <f t="shared" si="18"/>
        <v>13198.753621681151</v>
      </c>
      <c r="AE95" s="296">
        <f t="shared" si="18"/>
        <v>13198.753621681151</v>
      </c>
      <c r="AG95" s="1711"/>
      <c r="AH95" s="116">
        <v>22</v>
      </c>
      <c r="AI95" s="294">
        <f>'FREH LGV vkm'!C95*'FREH Stock'!C107</f>
        <v>16200.69761940275</v>
      </c>
      <c r="AJ95" s="295">
        <f>'FREH LGV vkm'!D95*'FREH Stock'!D107</f>
        <v>4088.109751179953</v>
      </c>
      <c r="AK95" s="295">
        <f>'FREH LGV vkm'!E95*'FREH Stock'!E107</f>
        <v>1375.466804398739</v>
      </c>
      <c r="AL95" s="295">
        <f>'FREH LGV vkm'!F95*'FREH Stock'!F107</f>
        <v>578.47912762640976</v>
      </c>
      <c r="AM95" s="295">
        <f>'FREH LGV vkm'!G95*'FREH Stock'!G107</f>
        <v>56.633206338385612</v>
      </c>
      <c r="AN95" s="295">
        <f>'FREH LGV vkm'!H95*'FREH Stock'!H107</f>
        <v>5.6617433956302108</v>
      </c>
      <c r="AO95" s="295">
        <f>'FREH LGV vkm'!I95*'FREH Stock'!I107</f>
        <v>2.3359417700599185</v>
      </c>
      <c r="AP95" s="295">
        <f>'FREH LGV vkm'!J95*'FREH Stock'!J107</f>
        <v>1.0408726530962027</v>
      </c>
      <c r="AQ95" s="295">
        <f>'FREH LGV vkm'!K95*'FREH Stock'!K107</f>
        <v>0.60390964297581429</v>
      </c>
      <c r="AR95" s="295">
        <f>'FREH LGV vkm'!L95*'FREH Stock'!L107</f>
        <v>0.10060878945881116</v>
      </c>
      <c r="AS95" s="295">
        <f>'FREH LGV vkm'!M95*'FREH Stock'!M107</f>
        <v>0.13515267168451248</v>
      </c>
      <c r="AT95" s="295">
        <f>'FREH LGV vkm'!N95*'FREH Stock'!N107</f>
        <v>3.5609287394393764E-2</v>
      </c>
      <c r="AU95" s="295">
        <f>'FREH LGV vkm'!O95*'FREH Stock'!O107</f>
        <v>3.6813341129272779E-2</v>
      </c>
      <c r="AV95" s="295">
        <f>'FREH LGV vkm'!P95*'FREH Stock'!P107</f>
        <v>2.6942944688365576E-2</v>
      </c>
      <c r="AW95" s="295">
        <f>'FREH LGV vkm'!Q95*'FREH Stock'!Q107</f>
        <v>2.5368058008843865E-2</v>
      </c>
      <c r="AX95" s="295">
        <f>'FREH LGV vkm'!R95*'FREH Stock'!R107</f>
        <v>3.5509361644732639E-2</v>
      </c>
      <c r="AY95" s="295">
        <f>'FREH LGV vkm'!S95*'FREH Stock'!S107</f>
        <v>3.1697200203928348E-2</v>
      </c>
      <c r="AZ95" s="295">
        <f>'FREH LGV vkm'!T95*'FREH Stock'!T107</f>
        <v>2.4474337401221298E-2</v>
      </c>
      <c r="BA95" s="295">
        <f>'FREH LGV vkm'!U95*'FREH Stock'!U107</f>
        <v>1.342141083292781E-2</v>
      </c>
      <c r="BB95" s="295">
        <f>'FREH LGV vkm'!V95*'FREH Stock'!V107</f>
        <v>1.0263431813415378E-2</v>
      </c>
      <c r="BC95" s="295">
        <f>'FREH LGV vkm'!W95*'FREH Stock'!W107</f>
        <v>6.3028778235512742E-3</v>
      </c>
      <c r="BD95" s="295">
        <f>'FREH LGV vkm'!X95*'FREH Stock'!X107</f>
        <v>4.7030676903062991E-3</v>
      </c>
      <c r="BE95" s="295">
        <f>'FREH LGV vkm'!Y95*'FREH Stock'!Y107</f>
        <v>7.7214829413889874E-4</v>
      </c>
      <c r="BF95" s="295">
        <f>'FREH LGV vkm'!Z95*'FREH Stock'!Z107</f>
        <v>0</v>
      </c>
      <c r="BG95" s="295">
        <f>'FREH LGV vkm'!AA95*'FREH Stock'!AA107</f>
        <v>0</v>
      </c>
      <c r="BH95" s="295">
        <f>'FREH LGV vkm'!AB95*'FREH Stock'!AB107</f>
        <v>0</v>
      </c>
      <c r="BI95" s="295">
        <f>'FREH LGV vkm'!AC95*'FREH Stock'!AC107</f>
        <v>0</v>
      </c>
      <c r="BJ95" s="295">
        <f>'FREH LGV vkm'!AD95*'FREH Stock'!AD107</f>
        <v>0</v>
      </c>
      <c r="BK95" s="296">
        <f>'FREH LGV vkm'!AE95*'FREH Stock'!AE107</f>
        <v>0</v>
      </c>
    </row>
    <row r="96" spans="1:63">
      <c r="A96" s="1711"/>
      <c r="B96" s="116">
        <v>23</v>
      </c>
      <c r="C96" s="294">
        <f t="shared" si="17"/>
        <v>13198.753621681151</v>
      </c>
      <c r="D96" s="295">
        <f t="shared" si="17"/>
        <v>13198.753621681151</v>
      </c>
      <c r="E96" s="295">
        <f t="shared" si="18"/>
        <v>13198.753621681151</v>
      </c>
      <c r="F96" s="295">
        <f t="shared" si="18"/>
        <v>13198.753621681151</v>
      </c>
      <c r="G96" s="295">
        <f t="shared" si="18"/>
        <v>13198.753621681151</v>
      </c>
      <c r="H96" s="295">
        <f t="shared" si="18"/>
        <v>13198.753621681151</v>
      </c>
      <c r="I96" s="295">
        <f t="shared" si="18"/>
        <v>13198.753621681151</v>
      </c>
      <c r="J96" s="295">
        <f t="shared" si="18"/>
        <v>13198.753621681151</v>
      </c>
      <c r="K96" s="295">
        <f t="shared" si="18"/>
        <v>13198.753621681151</v>
      </c>
      <c r="L96" s="295">
        <f t="shared" si="18"/>
        <v>13198.753621681151</v>
      </c>
      <c r="M96" s="295">
        <f t="shared" si="18"/>
        <v>13198.753621681151</v>
      </c>
      <c r="N96" s="295">
        <f t="shared" si="18"/>
        <v>13198.753621681151</v>
      </c>
      <c r="O96" s="295">
        <f t="shared" si="18"/>
        <v>13198.753621681151</v>
      </c>
      <c r="P96" s="295">
        <f t="shared" si="18"/>
        <v>13198.753621681151</v>
      </c>
      <c r="Q96" s="295">
        <f t="shared" si="18"/>
        <v>13198.753621681151</v>
      </c>
      <c r="R96" s="295">
        <f t="shared" si="18"/>
        <v>13198.753621681151</v>
      </c>
      <c r="S96" s="295">
        <f t="shared" si="18"/>
        <v>13198.753621681151</v>
      </c>
      <c r="T96" s="295">
        <f t="shared" si="18"/>
        <v>13198.753621681151</v>
      </c>
      <c r="U96" s="295">
        <f t="shared" si="18"/>
        <v>13198.753621681151</v>
      </c>
      <c r="V96" s="295">
        <f t="shared" si="18"/>
        <v>13198.753621681151</v>
      </c>
      <c r="W96" s="295">
        <f t="shared" si="18"/>
        <v>13198.753621681151</v>
      </c>
      <c r="X96" s="295">
        <f t="shared" si="18"/>
        <v>13198.753621681151</v>
      </c>
      <c r="Y96" s="295">
        <f t="shared" si="18"/>
        <v>13198.753621681151</v>
      </c>
      <c r="Z96" s="295">
        <f t="shared" si="18"/>
        <v>13198.753621681151</v>
      </c>
      <c r="AA96" s="295">
        <f t="shared" si="18"/>
        <v>13198.753621681151</v>
      </c>
      <c r="AB96" s="295">
        <f t="shared" si="18"/>
        <v>13198.753621681151</v>
      </c>
      <c r="AC96" s="295">
        <f t="shared" si="18"/>
        <v>13198.753621681151</v>
      </c>
      <c r="AD96" s="295">
        <f t="shared" si="18"/>
        <v>13198.753621681151</v>
      </c>
      <c r="AE96" s="296">
        <f t="shared" si="18"/>
        <v>13198.753621681151</v>
      </c>
      <c r="AG96" s="1711"/>
      <c r="AH96" s="116">
        <v>23</v>
      </c>
      <c r="AI96" s="294">
        <f>'FREH LGV vkm'!C96*'FREH Stock'!C108</f>
        <v>5959.9035868134006</v>
      </c>
      <c r="AJ96" s="295">
        <f>'FREH LGV vkm'!D96*'FREH Stock'!D108</f>
        <v>1002.6210204744032</v>
      </c>
      <c r="AK96" s="295">
        <f>'FREH LGV vkm'!E96*'FREH Stock'!E108</f>
        <v>253.00297967603871</v>
      </c>
      <c r="AL96" s="295">
        <f>'FREH LGV vkm'!F96*'FREH Stock'!F108</f>
        <v>85.124231280218808</v>
      </c>
      <c r="AM96" s="295">
        <f>'FREH LGV vkm'!G96*'FREH Stock'!G108</f>
        <v>35.800639385386873</v>
      </c>
      <c r="AN96" s="295">
        <f>'FREH LGV vkm'!H96*'FREH Stock'!H108</f>
        <v>3.504888768723462</v>
      </c>
      <c r="AO96" s="295">
        <f>'FREH LGV vkm'!I96*'FREH Stock'!I108</f>
        <v>0.35039126550898775</v>
      </c>
      <c r="AP96" s="295">
        <f>'FREH LGV vkm'!J96*'FREH Stock'!J108</f>
        <v>0.14456564626336141</v>
      </c>
      <c r="AQ96" s="295">
        <f>'FREH LGV vkm'!K96*'FREH Stock'!K108</f>
        <v>6.4417028584086808E-2</v>
      </c>
      <c r="AR96" s="295">
        <f>'FREH LGV vkm'!L96*'FREH Stock'!L108</f>
        <v>3.7374470948064356E-2</v>
      </c>
      <c r="AS96" s="295">
        <f>'FREH LGV vkm'!M96*'FREH Stock'!M108</f>
        <v>6.2264286097826914E-3</v>
      </c>
      <c r="AT96" s="295">
        <f>'FREH LGV vkm'!N96*'FREH Stock'!N108</f>
        <v>8.3642638599635468E-3</v>
      </c>
      <c r="AU96" s="295">
        <f>'FREH LGV vkm'!O96*'FREH Stock'!O108</f>
        <v>2.2037705353486858E-3</v>
      </c>
      <c r="AV96" s="295">
        <f>'FREH LGV vkm'!P96*'FREH Stock'!P108</f>
        <v>2.2782864366222579E-3</v>
      </c>
      <c r="AW96" s="295">
        <f>'FREH LGV vkm'!Q96*'FREH Stock'!Q108</f>
        <v>1.667432065745226E-3</v>
      </c>
      <c r="AX96" s="295">
        <f>'FREH LGV vkm'!R96*'FREH Stock'!R108</f>
        <v>1.5699662326774885E-3</v>
      </c>
      <c r="AY96" s="295">
        <f>'FREH LGV vkm'!S96*'FREH Stock'!S108</f>
        <v>2.1975863783789931E-3</v>
      </c>
      <c r="AZ96" s="295">
        <f>'FREH LGV vkm'!T96*'FREH Stock'!T108</f>
        <v>1.9616611556642154E-3</v>
      </c>
      <c r="BA96" s="295">
        <f>'FREH LGV vkm'!U96*'FREH Stock'!U108</f>
        <v>1.5146560794554215E-3</v>
      </c>
      <c r="BB96" s="295">
        <f>'FREH LGV vkm'!V96*'FREH Stock'!V108</f>
        <v>8.3061785002394096E-4</v>
      </c>
      <c r="BC96" s="295">
        <f>'FREH LGV vkm'!W96*'FREH Stock'!W108</f>
        <v>6.3517835590066042E-4</v>
      </c>
      <c r="BD96" s="295">
        <f>'FREH LGV vkm'!X96*'FREH Stock'!X108</f>
        <v>3.9006948613163689E-4</v>
      </c>
      <c r="BE96" s="295">
        <f>'FREH LGV vkm'!Y96*'FREH Stock'!Y108</f>
        <v>2.9106120228845629E-4</v>
      </c>
      <c r="BF96" s="295">
        <f>'FREH LGV vkm'!Z96*'FREH Stock'!Z108</f>
        <v>4.7786344070759385E-5</v>
      </c>
      <c r="BG96" s="295">
        <f>'FREH LGV vkm'!AA96*'FREH Stock'!AA108</f>
        <v>0</v>
      </c>
      <c r="BH96" s="295">
        <f>'FREH LGV vkm'!AB96*'FREH Stock'!AB108</f>
        <v>0</v>
      </c>
      <c r="BI96" s="295">
        <f>'FREH LGV vkm'!AC96*'FREH Stock'!AC108</f>
        <v>0</v>
      </c>
      <c r="BJ96" s="295">
        <f>'FREH LGV vkm'!AD96*'FREH Stock'!AD108</f>
        <v>0</v>
      </c>
      <c r="BK96" s="296">
        <f>'FREH LGV vkm'!AE96*'FREH Stock'!AE108</f>
        <v>0</v>
      </c>
    </row>
    <row r="97" spans="1:63">
      <c r="A97" s="1711"/>
      <c r="B97" s="116">
        <v>24</v>
      </c>
      <c r="C97" s="294">
        <f t="shared" ref="C97:D98" si="19">C96</f>
        <v>13198.753621681151</v>
      </c>
      <c r="D97" s="295">
        <f t="shared" si="19"/>
        <v>13198.753621681151</v>
      </c>
      <c r="E97" s="295">
        <f t="shared" si="18"/>
        <v>13198.753621681151</v>
      </c>
      <c r="F97" s="295">
        <f t="shared" si="18"/>
        <v>13198.753621681151</v>
      </c>
      <c r="G97" s="295">
        <f t="shared" si="18"/>
        <v>13198.753621681151</v>
      </c>
      <c r="H97" s="295">
        <f t="shared" si="18"/>
        <v>13198.753621681151</v>
      </c>
      <c r="I97" s="295">
        <f t="shared" si="18"/>
        <v>13198.753621681151</v>
      </c>
      <c r="J97" s="295">
        <f t="shared" si="18"/>
        <v>13198.753621681151</v>
      </c>
      <c r="K97" s="295">
        <f t="shared" si="18"/>
        <v>13198.753621681151</v>
      </c>
      <c r="L97" s="295">
        <f t="shared" si="18"/>
        <v>13198.753621681151</v>
      </c>
      <c r="M97" s="295">
        <f t="shared" si="18"/>
        <v>13198.753621681151</v>
      </c>
      <c r="N97" s="295">
        <f t="shared" si="18"/>
        <v>13198.753621681151</v>
      </c>
      <c r="O97" s="295">
        <f t="shared" si="18"/>
        <v>13198.753621681151</v>
      </c>
      <c r="P97" s="295">
        <f t="shared" si="18"/>
        <v>13198.753621681151</v>
      </c>
      <c r="Q97" s="295">
        <f t="shared" si="18"/>
        <v>13198.753621681151</v>
      </c>
      <c r="R97" s="295">
        <f t="shared" si="18"/>
        <v>13198.753621681151</v>
      </c>
      <c r="S97" s="295">
        <f t="shared" si="18"/>
        <v>13198.753621681151</v>
      </c>
      <c r="T97" s="295">
        <f t="shared" si="18"/>
        <v>13198.753621681151</v>
      </c>
      <c r="U97" s="295">
        <f t="shared" si="18"/>
        <v>13198.753621681151</v>
      </c>
      <c r="V97" s="295">
        <f t="shared" si="18"/>
        <v>13198.753621681151</v>
      </c>
      <c r="W97" s="295">
        <f t="shared" si="18"/>
        <v>13198.753621681151</v>
      </c>
      <c r="X97" s="295">
        <f t="shared" si="18"/>
        <v>13198.753621681151</v>
      </c>
      <c r="Y97" s="295">
        <f t="shared" si="18"/>
        <v>13198.753621681151</v>
      </c>
      <c r="Z97" s="295">
        <f t="shared" si="18"/>
        <v>13198.753621681151</v>
      </c>
      <c r="AA97" s="295">
        <f t="shared" si="18"/>
        <v>13198.753621681151</v>
      </c>
      <c r="AB97" s="295">
        <f t="shared" si="18"/>
        <v>13198.753621681151</v>
      </c>
      <c r="AC97" s="295">
        <f t="shared" si="18"/>
        <v>13198.753621681151</v>
      </c>
      <c r="AD97" s="295">
        <f t="shared" si="18"/>
        <v>13198.753621681151</v>
      </c>
      <c r="AE97" s="296">
        <f t="shared" si="18"/>
        <v>13198.753621681151</v>
      </c>
      <c r="AG97" s="1711"/>
      <c r="AH97" s="116">
        <v>24</v>
      </c>
      <c r="AI97" s="294">
        <f>'FREH LGV vkm'!C97*'FREH Stock'!C109</f>
        <v>2192.5260009525887</v>
      </c>
      <c r="AJ97" s="295">
        <f>'FREH LGV vkm'!D97*'FREH Stock'!D109</f>
        <v>184.42183035943228</v>
      </c>
      <c r="AK97" s="295">
        <f>'FREH LGV vkm'!E97*'FREH Stock'!E109</f>
        <v>31.024864925976942</v>
      </c>
      <c r="AL97" s="295">
        <f>'FREH LGV vkm'!F97*'FREH Stock'!F109</f>
        <v>7.8288636583788689</v>
      </c>
      <c r="AM97" s="295">
        <f>'FREH LGV vkm'!G97*'FREH Stock'!G109</f>
        <v>2.6340638421352889</v>
      </c>
      <c r="AN97" s="295">
        <f>'FREH LGV vkm'!H97*'FREH Stock'!H109</f>
        <v>1.1078064178922671</v>
      </c>
      <c r="AO97" s="295">
        <f>'FREH LGV vkm'!I97*'FREH Stock'!I109</f>
        <v>0.10845443932421038</v>
      </c>
      <c r="AP97" s="295">
        <f>'FREH LGV vkm'!J97*'FREH Stock'!J109</f>
        <v>1.0842423469752099E-2</v>
      </c>
      <c r="AQ97" s="295">
        <f>'FREH LGV vkm'!K97*'FREH Stock'!K109</f>
        <v>4.4734047627838025E-3</v>
      </c>
      <c r="AR97" s="295">
        <f>'FREH LGV vkm'!L97*'FREH Stock'!L109</f>
        <v>1.9933051172300962E-3</v>
      </c>
      <c r="AS97" s="295">
        <f>'FREH LGV vkm'!M97*'FREH Stock'!M109</f>
        <v>1.1565066851430023E-3</v>
      </c>
      <c r="AT97" s="295">
        <f>'FREH LGV vkm'!N97*'FREH Stock'!N109</f>
        <v>1.9266911688959362E-4</v>
      </c>
      <c r="AU97" s="295">
        <f>'FREH LGV vkm'!O97*'FREH Stock'!O109</f>
        <v>2.5882177927789076E-4</v>
      </c>
      <c r="AV97" s="295">
        <f>'FREH LGV vkm'!P97*'FREH Stock'!P109</f>
        <v>6.8192948073929205E-5</v>
      </c>
      <c r="AW97" s="295">
        <f>'FREH LGV vkm'!Q97*'FREH Stock'!Q109</f>
        <v>7.049875029095846E-5</v>
      </c>
      <c r="AX97" s="295">
        <f>'FREH LGV vkm'!R97*'FREH Stock'!R109</f>
        <v>5.1596618818654683E-5</v>
      </c>
      <c r="AY97" s="295">
        <f>'FREH LGV vkm'!S97*'FREH Stock'!S109</f>
        <v>4.8580659404205547E-5</v>
      </c>
      <c r="AZ97" s="295">
        <f>'FREH LGV vkm'!T97*'FREH Stock'!T109</f>
        <v>6.8001587000554773E-5</v>
      </c>
      <c r="BA97" s="295">
        <f>'FREH LGV vkm'!U97*'FREH Stock'!U109</f>
        <v>6.0701173366803424E-5</v>
      </c>
      <c r="BB97" s="295">
        <f>'FREH LGV vkm'!V97*'FREH Stock'!V109</f>
        <v>4.6869155258862795E-5</v>
      </c>
      <c r="BC97" s="295">
        <f>'FREH LGV vkm'!W97*'FREH Stock'!W109</f>
        <v>2.5702439980666696E-5</v>
      </c>
      <c r="BD97" s="295">
        <f>'FREH LGV vkm'!X97*'FREH Stock'!X109</f>
        <v>1.9654807044039228E-5</v>
      </c>
      <c r="BE97" s="295">
        <f>'FREH LGV vkm'!Y97*'FREH Stock'!Y109</f>
        <v>1.2070216833528109E-5</v>
      </c>
      <c r="BF97" s="295">
        <f>'FREH LGV vkm'!Z97*'FREH Stock'!Z109</f>
        <v>9.0065281913988623E-6</v>
      </c>
      <c r="BG97" s="295">
        <f>'FREH LGV vkm'!AA97*'FREH Stock'!AA109</f>
        <v>1.478689195445029E-6</v>
      </c>
      <c r="BH97" s="295">
        <f>'FREH LGV vkm'!AB97*'FREH Stock'!AB109</f>
        <v>0</v>
      </c>
      <c r="BI97" s="295">
        <f>'FREH LGV vkm'!AC97*'FREH Stock'!AC109</f>
        <v>0</v>
      </c>
      <c r="BJ97" s="295">
        <f>'FREH LGV vkm'!AD97*'FREH Stock'!AD109</f>
        <v>0</v>
      </c>
      <c r="BK97" s="296">
        <f>'FREH LGV vkm'!AE97*'FREH Stock'!AE109</f>
        <v>0</v>
      </c>
    </row>
    <row r="98" spans="1:63" ht="15.75" thickBot="1">
      <c r="A98" s="1711"/>
      <c r="B98" s="116">
        <v>25</v>
      </c>
      <c r="C98" s="294">
        <f t="shared" si="19"/>
        <v>13198.753621681151</v>
      </c>
      <c r="D98" s="295">
        <f t="shared" si="19"/>
        <v>13198.753621681151</v>
      </c>
      <c r="E98" s="295">
        <f t="shared" si="18"/>
        <v>13198.753621681151</v>
      </c>
      <c r="F98" s="295">
        <f t="shared" si="18"/>
        <v>13198.753621681151</v>
      </c>
      <c r="G98" s="295">
        <f t="shared" si="18"/>
        <v>13198.753621681151</v>
      </c>
      <c r="H98" s="295">
        <f t="shared" si="18"/>
        <v>13198.753621681151</v>
      </c>
      <c r="I98" s="295">
        <f t="shared" si="18"/>
        <v>13198.753621681151</v>
      </c>
      <c r="J98" s="295">
        <f t="shared" si="18"/>
        <v>13198.753621681151</v>
      </c>
      <c r="K98" s="295">
        <f t="shared" si="18"/>
        <v>13198.753621681151</v>
      </c>
      <c r="L98" s="295">
        <f t="shared" si="18"/>
        <v>13198.753621681151</v>
      </c>
      <c r="M98" s="295">
        <f t="shared" si="18"/>
        <v>13198.753621681151</v>
      </c>
      <c r="N98" s="295">
        <f t="shared" si="18"/>
        <v>13198.753621681151</v>
      </c>
      <c r="O98" s="295">
        <f t="shared" si="18"/>
        <v>13198.753621681151</v>
      </c>
      <c r="P98" s="295">
        <f t="shared" si="18"/>
        <v>13198.753621681151</v>
      </c>
      <c r="Q98" s="295">
        <f t="shared" si="18"/>
        <v>13198.753621681151</v>
      </c>
      <c r="R98" s="295">
        <f t="shared" si="18"/>
        <v>13198.753621681151</v>
      </c>
      <c r="S98" s="295">
        <f t="shared" si="18"/>
        <v>13198.753621681151</v>
      </c>
      <c r="T98" s="295">
        <f t="shared" si="18"/>
        <v>13198.753621681151</v>
      </c>
      <c r="U98" s="295">
        <f t="shared" si="18"/>
        <v>13198.753621681151</v>
      </c>
      <c r="V98" s="295">
        <f t="shared" si="18"/>
        <v>13198.753621681151</v>
      </c>
      <c r="W98" s="295">
        <f t="shared" si="18"/>
        <v>13198.753621681151</v>
      </c>
      <c r="X98" s="295">
        <f t="shared" si="18"/>
        <v>13198.753621681151</v>
      </c>
      <c r="Y98" s="295">
        <f t="shared" si="18"/>
        <v>13198.753621681151</v>
      </c>
      <c r="Z98" s="295">
        <f t="shared" si="18"/>
        <v>13198.753621681151</v>
      </c>
      <c r="AA98" s="295">
        <f t="shared" si="18"/>
        <v>13198.753621681151</v>
      </c>
      <c r="AB98" s="295">
        <f t="shared" si="18"/>
        <v>13198.753621681151</v>
      </c>
      <c r="AC98" s="295">
        <f t="shared" ref="AC98:AE98" si="20">AC97</f>
        <v>13198.753621681151</v>
      </c>
      <c r="AD98" s="295">
        <f t="shared" si="20"/>
        <v>13198.753621681151</v>
      </c>
      <c r="AE98" s="296">
        <f t="shared" si="20"/>
        <v>13198.753621681151</v>
      </c>
      <c r="AG98" s="1711"/>
      <c r="AH98" s="116">
        <v>25</v>
      </c>
      <c r="AI98" s="294">
        <f>'FREH LGV vkm'!C98*'FREH Stock'!C110</f>
        <v>806.58523998429553</v>
      </c>
      <c r="AJ98" s="295">
        <f>'FREH LGV vkm'!D98*'FREH Stock'!D110</f>
        <v>0</v>
      </c>
      <c r="AK98" s="295">
        <f>'FREH LGV vkm'!E98*'FREH Stock'!E110</f>
        <v>0</v>
      </c>
      <c r="AL98" s="295">
        <f>'FREH LGV vkm'!F98*'FREH Stock'!F110</f>
        <v>0</v>
      </c>
      <c r="AM98" s="295">
        <f>'FREH LGV vkm'!G98*'FREH Stock'!G110</f>
        <v>0</v>
      </c>
      <c r="AN98" s="295">
        <f>'FREH LGV vkm'!H98*'FREH Stock'!H110</f>
        <v>0</v>
      </c>
      <c r="AO98" s="295">
        <f>'FREH LGV vkm'!I98*'FREH Stock'!I110</f>
        <v>0</v>
      </c>
      <c r="AP98" s="295">
        <f>'FREH LGV vkm'!J98*'FREH Stock'!J110</f>
        <v>0</v>
      </c>
      <c r="AQ98" s="295">
        <f>'FREH LGV vkm'!K98*'FREH Stock'!K110</f>
        <v>0</v>
      </c>
      <c r="AR98" s="295">
        <f>'FREH LGV vkm'!L98*'FREH Stock'!L110</f>
        <v>0</v>
      </c>
      <c r="AS98" s="295">
        <f>'FREH LGV vkm'!M98*'FREH Stock'!M110</f>
        <v>0</v>
      </c>
      <c r="AT98" s="295">
        <f>'FREH LGV vkm'!N98*'FREH Stock'!N110</f>
        <v>0</v>
      </c>
      <c r="AU98" s="295">
        <f>'FREH LGV vkm'!O98*'FREH Stock'!O110</f>
        <v>0</v>
      </c>
      <c r="AV98" s="295">
        <f>'FREH LGV vkm'!P98*'FREH Stock'!P110</f>
        <v>0</v>
      </c>
      <c r="AW98" s="295">
        <f>'FREH LGV vkm'!Q98*'FREH Stock'!Q110</f>
        <v>0</v>
      </c>
      <c r="AX98" s="295">
        <f>'FREH LGV vkm'!R98*'FREH Stock'!R110</f>
        <v>0</v>
      </c>
      <c r="AY98" s="295">
        <f>'FREH LGV vkm'!S98*'FREH Stock'!S110</f>
        <v>0</v>
      </c>
      <c r="AZ98" s="295">
        <f>'FREH LGV vkm'!T98*'FREH Stock'!T110</f>
        <v>0</v>
      </c>
      <c r="BA98" s="295">
        <f>'FREH LGV vkm'!U98*'FREH Stock'!U110</f>
        <v>0</v>
      </c>
      <c r="BB98" s="295">
        <f>'FREH LGV vkm'!V98*'FREH Stock'!V110</f>
        <v>0</v>
      </c>
      <c r="BC98" s="295">
        <f>'FREH LGV vkm'!W98*'FREH Stock'!W110</f>
        <v>0</v>
      </c>
      <c r="BD98" s="295">
        <f>'FREH LGV vkm'!X98*'FREH Stock'!X110</f>
        <v>0</v>
      </c>
      <c r="BE98" s="295">
        <f>'FREH LGV vkm'!Y98*'FREH Stock'!Y110</f>
        <v>0</v>
      </c>
      <c r="BF98" s="295">
        <f>'FREH LGV vkm'!Z98*'FREH Stock'!Z110</f>
        <v>0</v>
      </c>
      <c r="BG98" s="295">
        <f>'FREH LGV vkm'!AA98*'FREH Stock'!AA110</f>
        <v>0</v>
      </c>
      <c r="BH98" s="295">
        <f>'FREH LGV vkm'!AB98*'FREH Stock'!AB110</f>
        <v>0</v>
      </c>
      <c r="BI98" s="295">
        <f>'FREH LGV vkm'!AC98*'FREH Stock'!AC110</f>
        <v>0</v>
      </c>
      <c r="BJ98" s="295">
        <f>'FREH LGV vkm'!AD98*'FREH Stock'!AD110</f>
        <v>0</v>
      </c>
      <c r="BK98" s="296">
        <f>'FREH LGV vkm'!AE98*'FREH Stock'!AE110</f>
        <v>0</v>
      </c>
    </row>
    <row r="99" spans="1:63" ht="16.5" thickTop="1" thickBot="1">
      <c r="A99" s="1712"/>
      <c r="B99" s="300" t="s">
        <v>39</v>
      </c>
      <c r="C99" s="463">
        <f>SUMPRODUCT(C73:C98,'FREH Stock'!C85:C110)/'FREH Stock'!C111</f>
        <v>13330.00013510134</v>
      </c>
      <c r="D99" s="464">
        <f>SUMPRODUCT(D73:D98,'FREH Stock'!D85:D110)/'FREH Stock'!D111</f>
        <v>13332.661466104602</v>
      </c>
      <c r="E99" s="464">
        <f>SUMPRODUCT(E73:E98,'FREH Stock'!E85:E110)/'FREH Stock'!E111</f>
        <v>13334.122416387119</v>
      </c>
      <c r="F99" s="464">
        <f>SUMPRODUCT(F73:F98,'FREH Stock'!F85:F110)/'FREH Stock'!F111</f>
        <v>13327.245233879174</v>
      </c>
      <c r="G99" s="464">
        <f>SUMPRODUCT(G73:G98,'FREH Stock'!G85:G110)/'FREH Stock'!G111</f>
        <v>13297.258760872279</v>
      </c>
      <c r="H99" s="464">
        <f>SUMPRODUCT(H73:H98,'FREH Stock'!H85:H110)/'FREH Stock'!H111</f>
        <v>13218.878503310099</v>
      </c>
      <c r="I99" s="464">
        <f>SUMPRODUCT(I73:I98,'FREH Stock'!I85:I110)/'FREH Stock'!I111</f>
        <v>13198.753621681157</v>
      </c>
      <c r="J99" s="464">
        <f>SUMPRODUCT(J73:J98,'FREH Stock'!J85:J110)/'FREH Stock'!J111</f>
        <v>13198.753621681151</v>
      </c>
      <c r="K99" s="464">
        <f>SUMPRODUCT(K73:K98,'FREH Stock'!K85:K110)/'FREH Stock'!K111</f>
        <v>13198.753621681153</v>
      </c>
      <c r="L99" s="464">
        <f>SUMPRODUCT(L73:L98,'FREH Stock'!L85:L110)/'FREH Stock'!L111</f>
        <v>13198.753621681146</v>
      </c>
      <c r="M99" s="464">
        <f>SUMPRODUCT(M73:M98,'FREH Stock'!M85:M110)/'FREH Stock'!M111</f>
        <v>13198.753621681151</v>
      </c>
      <c r="N99" s="464">
        <f>SUMPRODUCT(N73:N98,'FREH Stock'!N85:N110)/'FREH Stock'!N111</f>
        <v>13198.75362168115</v>
      </c>
      <c r="O99" s="464">
        <f>SUMPRODUCT(O73:O98,'FREH Stock'!O85:O110)/'FREH Stock'!O111</f>
        <v>13198.753621681151</v>
      </c>
      <c r="P99" s="464">
        <f>SUMPRODUCT(P73:P98,'FREH Stock'!P85:P110)/'FREH Stock'!P111</f>
        <v>13198.753621681148</v>
      </c>
      <c r="Q99" s="464">
        <f>SUMPRODUCT(Q73:Q98,'FREH Stock'!Q85:Q110)/'FREH Stock'!Q111</f>
        <v>13198.75362168115</v>
      </c>
      <c r="R99" s="464">
        <f>SUMPRODUCT(R73:R98,'FREH Stock'!R85:R110)/'FREH Stock'!R111</f>
        <v>13198.75362168115</v>
      </c>
      <c r="S99" s="464">
        <f>SUMPRODUCT(S73:S98,'FREH Stock'!S85:S110)/'FREH Stock'!S111</f>
        <v>13198.75362168115</v>
      </c>
      <c r="T99" s="464">
        <f>SUMPRODUCT(T73:T98,'FREH Stock'!T85:T110)/'FREH Stock'!T111</f>
        <v>13198.753621681157</v>
      </c>
      <c r="U99" s="464">
        <f>SUMPRODUCT(U73:U98,'FREH Stock'!U85:U110)/'FREH Stock'!U111</f>
        <v>13198.753621681148</v>
      </c>
      <c r="V99" s="464">
        <f>SUMPRODUCT(V73:V98,'FREH Stock'!V85:V110)/'FREH Stock'!V111</f>
        <v>13198.753621681153</v>
      </c>
      <c r="W99" s="464">
        <f>SUMPRODUCT(W73:W98,'FREH Stock'!W85:W110)/'FREH Stock'!W111</f>
        <v>13198.75362168115</v>
      </c>
      <c r="X99" s="464">
        <f>SUMPRODUCT(X73:X98,'FREH Stock'!X85:X110)/'FREH Stock'!X111</f>
        <v>13198.753621681151</v>
      </c>
      <c r="Y99" s="464">
        <f>SUMPRODUCT(Y73:Y98,'FREH Stock'!Y85:Y110)/'FREH Stock'!Y111</f>
        <v>13198.753621681151</v>
      </c>
      <c r="Z99" s="464">
        <f>SUMPRODUCT(Z73:Z98,'FREH Stock'!Z85:Z110)/'FREH Stock'!Z111</f>
        <v>13198.753621681151</v>
      </c>
      <c r="AA99" s="464">
        <f>SUMPRODUCT(AA73:AA98,'FREH Stock'!AA85:AA110)/'FREH Stock'!AA111</f>
        <v>13198.753621681151</v>
      </c>
      <c r="AB99" s="464" t="e">
        <f>SUMPRODUCT(AB73:AB98,'FREH Stock'!AB85:AB110)/'FREH Stock'!AB111</f>
        <v>#DIV/0!</v>
      </c>
      <c r="AC99" s="464" t="e">
        <f>SUMPRODUCT(AC73:AC98,'FREH Stock'!AC85:AC110)/'FREH Stock'!AC111</f>
        <v>#DIV/0!</v>
      </c>
      <c r="AD99" s="464" t="e">
        <f>SUMPRODUCT(AD73:AD98,'FREH Stock'!AD85:AD110)/'FREH Stock'!AD111</f>
        <v>#DIV/0!</v>
      </c>
      <c r="AE99" s="465" t="e">
        <f>SUMPRODUCT(AE73:AE98,'FREH Stock'!AE85:AE110)/'FREH Stock'!AE111</f>
        <v>#DIV/0!</v>
      </c>
      <c r="AG99" s="1712"/>
      <c r="AH99" s="300" t="s">
        <v>39</v>
      </c>
      <c r="AI99" s="362">
        <f t="shared" ref="AI99:BK99" si="21">SUM(AI73:AI98)</f>
        <v>5584819.5781352576</v>
      </c>
      <c r="AJ99" s="363">
        <f t="shared" si="21"/>
        <v>3613378.4544543545</v>
      </c>
      <c r="AK99" s="363">
        <f t="shared" si="21"/>
        <v>2687964.1779393959</v>
      </c>
      <c r="AL99" s="363">
        <f t="shared" si="21"/>
        <v>2069197.062711159</v>
      </c>
      <c r="AM99" s="363">
        <f t="shared" si="21"/>
        <v>1567447.2369369832</v>
      </c>
      <c r="AN99" s="363">
        <f t="shared" si="21"/>
        <v>1136856.451159443</v>
      </c>
      <c r="AO99" s="363">
        <f t="shared" si="21"/>
        <v>785177.86580662115</v>
      </c>
      <c r="AP99" s="363">
        <f t="shared" si="21"/>
        <v>511450.43598863133</v>
      </c>
      <c r="AQ99" s="363">
        <f t="shared" si="21"/>
        <v>312451.16772293596</v>
      </c>
      <c r="AR99" s="363">
        <f t="shared" si="21"/>
        <v>177934.07941301461</v>
      </c>
      <c r="AS99" s="363">
        <f t="shared" si="21"/>
        <v>93259.708857623642</v>
      </c>
      <c r="AT99" s="363">
        <f t="shared" si="21"/>
        <v>44011.795875198019</v>
      </c>
      <c r="AU99" s="363">
        <f t="shared" si="21"/>
        <v>18245.03908757876</v>
      </c>
      <c r="AV99" s="363">
        <f t="shared" si="21"/>
        <v>6542.294974344275</v>
      </c>
      <c r="AW99" s="363">
        <f t="shared" si="21"/>
        <v>2017.7519353213227</v>
      </c>
      <c r="AX99" s="363">
        <f t="shared" si="21"/>
        <v>551.71035091782232</v>
      </c>
      <c r="AY99" s="363">
        <f t="shared" si="21"/>
        <v>135.74687388626711</v>
      </c>
      <c r="AZ99" s="363">
        <f t="shared" si="21"/>
        <v>29.659078693546189</v>
      </c>
      <c r="BA99" s="363">
        <f t="shared" si="21"/>
        <v>5.659025964810751</v>
      </c>
      <c r="BB99" s="363">
        <f t="shared" si="21"/>
        <v>0.9226886891216296</v>
      </c>
      <c r="BC99" s="363">
        <f t="shared" si="21"/>
        <v>0.12482690987493721</v>
      </c>
      <c r="BD99" s="363">
        <f t="shared" si="21"/>
        <v>1.3430551652210371E-2</v>
      </c>
      <c r="BE99" s="363">
        <f t="shared" si="21"/>
        <v>1.075279713260883E-3</v>
      </c>
      <c r="BF99" s="363">
        <f t="shared" si="21"/>
        <v>5.6792872262158249E-5</v>
      </c>
      <c r="BG99" s="363">
        <f t="shared" si="21"/>
        <v>1.478689195445029E-6</v>
      </c>
      <c r="BH99" s="363">
        <f t="shared" si="21"/>
        <v>0</v>
      </c>
      <c r="BI99" s="363">
        <f t="shared" si="21"/>
        <v>0</v>
      </c>
      <c r="BJ99" s="363">
        <f t="shared" si="21"/>
        <v>0</v>
      </c>
      <c r="BK99" s="364">
        <f t="shared" si="21"/>
        <v>0</v>
      </c>
    </row>
    <row r="100" spans="1:63" ht="15.75" thickBot="1">
      <c r="A100" s="650"/>
      <c r="AG100" s="650"/>
    </row>
    <row r="101" spans="1:63" ht="15.75" customHeight="1" thickBot="1">
      <c r="A101" s="1710" t="s">
        <v>199</v>
      </c>
      <c r="B101" s="169" t="s">
        <v>10</v>
      </c>
      <c r="C101" s="288">
        <v>2012</v>
      </c>
      <c r="D101" s="347">
        <v>2013</v>
      </c>
      <c r="E101" s="347">
        <v>2014</v>
      </c>
      <c r="F101" s="288">
        <v>2015</v>
      </c>
      <c r="G101" s="347">
        <v>2016</v>
      </c>
      <c r="H101" s="347">
        <v>2017</v>
      </c>
      <c r="I101" s="288">
        <v>2018</v>
      </c>
      <c r="J101" s="347">
        <v>2019</v>
      </c>
      <c r="K101" s="347">
        <v>2020</v>
      </c>
      <c r="L101" s="288">
        <v>2021</v>
      </c>
      <c r="M101" s="347">
        <v>2022</v>
      </c>
      <c r="N101" s="347">
        <v>2023</v>
      </c>
      <c r="O101" s="288">
        <v>2024</v>
      </c>
      <c r="P101" s="347">
        <v>2025</v>
      </c>
      <c r="Q101" s="347">
        <v>2026</v>
      </c>
      <c r="R101" s="288">
        <v>2027</v>
      </c>
      <c r="S101" s="347">
        <v>2028</v>
      </c>
      <c r="T101" s="347">
        <v>2029</v>
      </c>
      <c r="U101" s="288">
        <v>2030</v>
      </c>
      <c r="V101" s="347">
        <v>2031</v>
      </c>
      <c r="W101" s="347">
        <v>2032</v>
      </c>
      <c r="X101" s="288">
        <v>2033</v>
      </c>
      <c r="Y101" s="347">
        <v>2034</v>
      </c>
      <c r="Z101" s="347">
        <v>2035</v>
      </c>
      <c r="AA101" s="288">
        <v>2036</v>
      </c>
      <c r="AB101" s="347">
        <v>2037</v>
      </c>
      <c r="AC101" s="347">
        <v>2038</v>
      </c>
      <c r="AD101" s="288">
        <v>2039</v>
      </c>
      <c r="AE101" s="348">
        <v>2040</v>
      </c>
      <c r="AG101" s="1710" t="s">
        <v>199</v>
      </c>
      <c r="AH101" s="169" t="s">
        <v>10</v>
      </c>
      <c r="AI101" s="288">
        <v>2012</v>
      </c>
      <c r="AJ101" s="347">
        <v>2013</v>
      </c>
      <c r="AK101" s="347">
        <v>2014</v>
      </c>
      <c r="AL101" s="288">
        <v>2015</v>
      </c>
      <c r="AM101" s="347">
        <v>2016</v>
      </c>
      <c r="AN101" s="347">
        <v>2017</v>
      </c>
      <c r="AO101" s="288">
        <v>2018</v>
      </c>
      <c r="AP101" s="347">
        <v>2019</v>
      </c>
      <c r="AQ101" s="347">
        <v>2020</v>
      </c>
      <c r="AR101" s="288">
        <v>2021</v>
      </c>
      <c r="AS101" s="347">
        <v>2022</v>
      </c>
      <c r="AT101" s="347">
        <v>2023</v>
      </c>
      <c r="AU101" s="288">
        <v>2024</v>
      </c>
      <c r="AV101" s="347">
        <v>2025</v>
      </c>
      <c r="AW101" s="347">
        <v>2026</v>
      </c>
      <c r="AX101" s="288">
        <v>2027</v>
      </c>
      <c r="AY101" s="347">
        <v>2028</v>
      </c>
      <c r="AZ101" s="347">
        <v>2029</v>
      </c>
      <c r="BA101" s="288">
        <v>2030</v>
      </c>
      <c r="BB101" s="347">
        <v>2031</v>
      </c>
      <c r="BC101" s="347">
        <v>2032</v>
      </c>
      <c r="BD101" s="288">
        <v>2033</v>
      </c>
      <c r="BE101" s="347">
        <v>2034</v>
      </c>
      <c r="BF101" s="347">
        <v>2035</v>
      </c>
      <c r="BG101" s="288">
        <v>2036</v>
      </c>
      <c r="BH101" s="347">
        <v>2037</v>
      </c>
      <c r="BI101" s="347">
        <v>2038</v>
      </c>
      <c r="BJ101" s="288">
        <v>2039</v>
      </c>
      <c r="BK101" s="348">
        <v>2040</v>
      </c>
    </row>
    <row r="102" spans="1:63">
      <c r="A102" s="1711"/>
      <c r="B102" s="116">
        <v>0</v>
      </c>
      <c r="C102" s="487">
        <f>SUMPRODUCT(G6:H6,'FREH Stock'!$G$24:$H$24/SUM('FREH Stock'!$G$24:$H$24))</f>
        <v>10553.503941206653</v>
      </c>
      <c r="D102" s="292">
        <f>C102</f>
        <v>10553.503941206653</v>
      </c>
      <c r="E102" s="292">
        <f t="shared" ref="E102:AE103" si="22">D102</f>
        <v>10553.503941206653</v>
      </c>
      <c r="F102" s="292">
        <f t="shared" si="22"/>
        <v>10553.503941206653</v>
      </c>
      <c r="G102" s="292">
        <f t="shared" si="22"/>
        <v>10553.503941206653</v>
      </c>
      <c r="H102" s="292">
        <f t="shared" si="22"/>
        <v>10553.503941206653</v>
      </c>
      <c r="I102" s="292">
        <f t="shared" si="22"/>
        <v>10553.503941206653</v>
      </c>
      <c r="J102" s="292">
        <f t="shared" si="22"/>
        <v>10553.503941206653</v>
      </c>
      <c r="K102" s="292">
        <f t="shared" si="22"/>
        <v>10553.503941206653</v>
      </c>
      <c r="L102" s="292">
        <f t="shared" si="22"/>
        <v>10553.503941206653</v>
      </c>
      <c r="M102" s="292">
        <f t="shared" si="22"/>
        <v>10553.503941206653</v>
      </c>
      <c r="N102" s="292">
        <f t="shared" si="22"/>
        <v>10553.503941206653</v>
      </c>
      <c r="O102" s="292">
        <f t="shared" si="22"/>
        <v>10553.503941206653</v>
      </c>
      <c r="P102" s="292">
        <f t="shared" si="22"/>
        <v>10553.503941206653</v>
      </c>
      <c r="Q102" s="292">
        <f t="shared" si="22"/>
        <v>10553.503941206653</v>
      </c>
      <c r="R102" s="292">
        <f t="shared" si="22"/>
        <v>10553.503941206653</v>
      </c>
      <c r="S102" s="292">
        <f t="shared" si="22"/>
        <v>10553.503941206653</v>
      </c>
      <c r="T102" s="292">
        <f t="shared" si="22"/>
        <v>10553.503941206653</v>
      </c>
      <c r="U102" s="292">
        <f t="shared" si="22"/>
        <v>10553.503941206653</v>
      </c>
      <c r="V102" s="292">
        <f t="shared" si="22"/>
        <v>10553.503941206653</v>
      </c>
      <c r="W102" s="292">
        <f t="shared" si="22"/>
        <v>10553.503941206653</v>
      </c>
      <c r="X102" s="292">
        <f t="shared" si="22"/>
        <v>10553.503941206653</v>
      </c>
      <c r="Y102" s="292">
        <f t="shared" si="22"/>
        <v>10553.503941206653</v>
      </c>
      <c r="Z102" s="292">
        <f t="shared" si="22"/>
        <v>10553.503941206653</v>
      </c>
      <c r="AA102" s="292">
        <f t="shared" si="22"/>
        <v>10553.503941206653</v>
      </c>
      <c r="AB102" s="292">
        <f t="shared" si="22"/>
        <v>10553.503941206653</v>
      </c>
      <c r="AC102" s="292">
        <f t="shared" si="22"/>
        <v>10553.503941206653</v>
      </c>
      <c r="AD102" s="292">
        <f t="shared" si="22"/>
        <v>10553.503941206653</v>
      </c>
      <c r="AE102" s="293">
        <f t="shared" si="22"/>
        <v>10553.503941206653</v>
      </c>
      <c r="AG102" s="1711"/>
      <c r="AH102" s="116">
        <v>0</v>
      </c>
      <c r="AI102" s="291">
        <f>'FREH LGV vkm'!C102*'FREH Stock'!C114</f>
        <v>10553.503941206653</v>
      </c>
      <c r="AJ102" s="292">
        <f>'FREH LGV vkm'!D102*'FREH Stock'!D114</f>
        <v>0</v>
      </c>
      <c r="AK102" s="292">
        <f>'FREH LGV vkm'!E102*'FREH Stock'!E114</f>
        <v>0</v>
      </c>
      <c r="AL102" s="292">
        <f>'FREH LGV vkm'!F102*'FREH Stock'!F114</f>
        <v>0</v>
      </c>
      <c r="AM102" s="292">
        <f>'FREH LGV vkm'!G102*'FREH Stock'!G114</f>
        <v>0</v>
      </c>
      <c r="AN102" s="292">
        <f>'FREH LGV vkm'!H102*'FREH Stock'!H114</f>
        <v>0</v>
      </c>
      <c r="AO102" s="292">
        <f>'FREH LGV vkm'!I102*'FREH Stock'!I114</f>
        <v>0</v>
      </c>
      <c r="AP102" s="292">
        <f>'FREH LGV vkm'!J102*'FREH Stock'!J114</f>
        <v>0</v>
      </c>
      <c r="AQ102" s="292">
        <f>'FREH LGV vkm'!K102*'FREH Stock'!K114</f>
        <v>0</v>
      </c>
      <c r="AR102" s="292">
        <f>'FREH LGV vkm'!L102*'FREH Stock'!L114</f>
        <v>0</v>
      </c>
      <c r="AS102" s="292">
        <f>'FREH LGV vkm'!M102*'FREH Stock'!M114</f>
        <v>0</v>
      </c>
      <c r="AT102" s="292">
        <f>'FREH LGV vkm'!N102*'FREH Stock'!N114</f>
        <v>0</v>
      </c>
      <c r="AU102" s="292">
        <f>'FREH LGV vkm'!O102*'FREH Stock'!O114</f>
        <v>0</v>
      </c>
      <c r="AV102" s="292">
        <f>'FREH LGV vkm'!P102*'FREH Stock'!P114</f>
        <v>0</v>
      </c>
      <c r="AW102" s="292">
        <f>'FREH LGV vkm'!Q102*'FREH Stock'!Q114</f>
        <v>0</v>
      </c>
      <c r="AX102" s="292">
        <f>'FREH LGV vkm'!R102*'FREH Stock'!R114</f>
        <v>0</v>
      </c>
      <c r="AY102" s="292">
        <f>'FREH LGV vkm'!S102*'FREH Stock'!S114</f>
        <v>0</v>
      </c>
      <c r="AZ102" s="292">
        <f>'FREH LGV vkm'!T102*'FREH Stock'!T114</f>
        <v>0</v>
      </c>
      <c r="BA102" s="292">
        <f>'FREH LGV vkm'!U102*'FREH Stock'!U114</f>
        <v>0</v>
      </c>
      <c r="BB102" s="292">
        <f>'FREH LGV vkm'!V102*'FREH Stock'!V114</f>
        <v>0</v>
      </c>
      <c r="BC102" s="292">
        <f>'FREH LGV vkm'!W102*'FREH Stock'!W114</f>
        <v>0</v>
      </c>
      <c r="BD102" s="292">
        <f>'FREH LGV vkm'!X102*'FREH Stock'!X114</f>
        <v>0</v>
      </c>
      <c r="BE102" s="292">
        <f>'FREH LGV vkm'!Y102*'FREH Stock'!Y114</f>
        <v>0</v>
      </c>
      <c r="BF102" s="292">
        <f>'FREH LGV vkm'!Z102*'FREH Stock'!Z114</f>
        <v>0</v>
      </c>
      <c r="BG102" s="292">
        <f>'FREH LGV vkm'!AA102*'FREH Stock'!AA114</f>
        <v>0</v>
      </c>
      <c r="BH102" s="292">
        <f>'FREH LGV vkm'!AB102*'FREH Stock'!AB114</f>
        <v>0</v>
      </c>
      <c r="BI102" s="292">
        <f>'FREH LGV vkm'!AC102*'FREH Stock'!AC114</f>
        <v>0</v>
      </c>
      <c r="BJ102" s="292">
        <f>'FREH LGV vkm'!AD102*'FREH Stock'!AD114</f>
        <v>0</v>
      </c>
      <c r="BK102" s="293">
        <f>'FREH LGV vkm'!AE102*'FREH Stock'!AE114</f>
        <v>0</v>
      </c>
    </row>
    <row r="103" spans="1:63">
      <c r="A103" s="1711"/>
      <c r="B103" s="116">
        <v>1</v>
      </c>
      <c r="C103" s="294">
        <f>SUMPRODUCT(G7:H7,'FREH Stock'!$G$24:$H$24/SUM('FREH Stock'!$G$24:$H$24))</f>
        <v>10655.612085153331</v>
      </c>
      <c r="D103" s="295">
        <f>C103</f>
        <v>10655.612085153331</v>
      </c>
      <c r="E103" s="295">
        <f t="shared" si="22"/>
        <v>10655.612085153331</v>
      </c>
      <c r="F103" s="295">
        <f t="shared" si="22"/>
        <v>10655.612085153331</v>
      </c>
      <c r="G103" s="295">
        <f t="shared" si="22"/>
        <v>10655.612085153331</v>
      </c>
      <c r="H103" s="295">
        <f t="shared" si="22"/>
        <v>10655.612085153331</v>
      </c>
      <c r="I103" s="295">
        <f t="shared" si="22"/>
        <v>10655.612085153331</v>
      </c>
      <c r="J103" s="295">
        <f t="shared" si="22"/>
        <v>10655.612085153331</v>
      </c>
      <c r="K103" s="295">
        <f t="shared" si="22"/>
        <v>10655.612085153331</v>
      </c>
      <c r="L103" s="295">
        <f t="shared" si="22"/>
        <v>10655.612085153331</v>
      </c>
      <c r="M103" s="295">
        <f t="shared" si="22"/>
        <v>10655.612085153331</v>
      </c>
      <c r="N103" s="295">
        <f t="shared" si="22"/>
        <v>10655.612085153331</v>
      </c>
      <c r="O103" s="295">
        <f t="shared" si="22"/>
        <v>10655.612085153331</v>
      </c>
      <c r="P103" s="295">
        <f t="shared" si="22"/>
        <v>10655.612085153331</v>
      </c>
      <c r="Q103" s="295">
        <f t="shared" si="22"/>
        <v>10655.612085153331</v>
      </c>
      <c r="R103" s="295">
        <f t="shared" si="22"/>
        <v>10655.612085153331</v>
      </c>
      <c r="S103" s="295">
        <f t="shared" si="22"/>
        <v>10655.612085153331</v>
      </c>
      <c r="T103" s="295">
        <f t="shared" si="22"/>
        <v>10655.612085153331</v>
      </c>
      <c r="U103" s="295">
        <f t="shared" si="22"/>
        <v>10655.612085153331</v>
      </c>
      <c r="V103" s="295">
        <f t="shared" si="22"/>
        <v>10655.612085153331</v>
      </c>
      <c r="W103" s="295">
        <f t="shared" si="22"/>
        <v>10655.612085153331</v>
      </c>
      <c r="X103" s="295">
        <f t="shared" si="22"/>
        <v>10655.612085153331</v>
      </c>
      <c r="Y103" s="295">
        <f t="shared" si="22"/>
        <v>10655.612085153331</v>
      </c>
      <c r="Z103" s="295">
        <f t="shared" si="22"/>
        <v>10655.612085153331</v>
      </c>
      <c r="AA103" s="295">
        <f t="shared" si="22"/>
        <v>10655.612085153331</v>
      </c>
      <c r="AB103" s="295">
        <f t="shared" si="22"/>
        <v>10655.612085153331</v>
      </c>
      <c r="AC103" s="295">
        <f t="shared" si="22"/>
        <v>10655.612085153331</v>
      </c>
      <c r="AD103" s="295">
        <f t="shared" si="22"/>
        <v>10655.612085153331</v>
      </c>
      <c r="AE103" s="296">
        <f t="shared" si="22"/>
        <v>10655.612085153331</v>
      </c>
      <c r="AG103" s="1711"/>
      <c r="AH103" s="116">
        <v>1</v>
      </c>
      <c r="AI103" s="294">
        <f>'FREH LGV vkm'!C103*'FREH Stock'!C115</f>
        <v>138522.9571069933</v>
      </c>
      <c r="AJ103" s="295">
        <f>'FREH LGV vkm'!D103*'FREH Stock'!D115</f>
        <v>10479.786480675531</v>
      </c>
      <c r="AK103" s="295">
        <f>'FREH LGV vkm'!E103*'FREH Stock'!E115</f>
        <v>0</v>
      </c>
      <c r="AL103" s="295">
        <f>'FREH LGV vkm'!F103*'FREH Stock'!F115</f>
        <v>0</v>
      </c>
      <c r="AM103" s="295">
        <f>'FREH LGV vkm'!G103*'FREH Stock'!G115</f>
        <v>0</v>
      </c>
      <c r="AN103" s="295">
        <f>'FREH LGV vkm'!H103*'FREH Stock'!H115</f>
        <v>0</v>
      </c>
      <c r="AO103" s="295">
        <f>'FREH LGV vkm'!I103*'FREH Stock'!I115</f>
        <v>0</v>
      </c>
      <c r="AP103" s="295">
        <f>'FREH LGV vkm'!J103*'FREH Stock'!J115</f>
        <v>0</v>
      </c>
      <c r="AQ103" s="295">
        <f>'FREH LGV vkm'!K103*'FREH Stock'!K115</f>
        <v>0</v>
      </c>
      <c r="AR103" s="295">
        <f>'FREH LGV vkm'!L103*'FREH Stock'!L115</f>
        <v>0</v>
      </c>
      <c r="AS103" s="295">
        <f>'FREH LGV vkm'!M103*'FREH Stock'!M115</f>
        <v>0</v>
      </c>
      <c r="AT103" s="295">
        <f>'FREH LGV vkm'!N103*'FREH Stock'!N115</f>
        <v>0</v>
      </c>
      <c r="AU103" s="295">
        <f>'FREH LGV vkm'!O103*'FREH Stock'!O115</f>
        <v>0</v>
      </c>
      <c r="AV103" s="295">
        <f>'FREH LGV vkm'!P103*'FREH Stock'!P115</f>
        <v>0</v>
      </c>
      <c r="AW103" s="295">
        <f>'FREH LGV vkm'!Q103*'FREH Stock'!Q115</f>
        <v>0</v>
      </c>
      <c r="AX103" s="295">
        <f>'FREH LGV vkm'!R103*'FREH Stock'!R115</f>
        <v>0</v>
      </c>
      <c r="AY103" s="295">
        <f>'FREH LGV vkm'!S103*'FREH Stock'!S115</f>
        <v>0</v>
      </c>
      <c r="AZ103" s="295">
        <f>'FREH LGV vkm'!T103*'FREH Stock'!T115</f>
        <v>0</v>
      </c>
      <c r="BA103" s="295">
        <f>'FREH LGV vkm'!U103*'FREH Stock'!U115</f>
        <v>0</v>
      </c>
      <c r="BB103" s="295">
        <f>'FREH LGV vkm'!V103*'FREH Stock'!V115</f>
        <v>0</v>
      </c>
      <c r="BC103" s="295">
        <f>'FREH LGV vkm'!W103*'FREH Stock'!W115</f>
        <v>0</v>
      </c>
      <c r="BD103" s="295">
        <f>'FREH LGV vkm'!X103*'FREH Stock'!X115</f>
        <v>0</v>
      </c>
      <c r="BE103" s="295">
        <f>'FREH LGV vkm'!Y103*'FREH Stock'!Y115</f>
        <v>0</v>
      </c>
      <c r="BF103" s="295">
        <f>'FREH LGV vkm'!Z103*'FREH Stock'!Z115</f>
        <v>0</v>
      </c>
      <c r="BG103" s="295">
        <f>'FREH LGV vkm'!AA103*'FREH Stock'!AA115</f>
        <v>0</v>
      </c>
      <c r="BH103" s="295">
        <f>'FREH LGV vkm'!AB103*'FREH Stock'!AB115</f>
        <v>0</v>
      </c>
      <c r="BI103" s="295">
        <f>'FREH LGV vkm'!AC103*'FREH Stock'!AC115</f>
        <v>0</v>
      </c>
      <c r="BJ103" s="295">
        <f>'FREH LGV vkm'!AD103*'FREH Stock'!AD115</f>
        <v>0</v>
      </c>
      <c r="BK103" s="296">
        <f>'FREH LGV vkm'!AE103*'FREH Stock'!AE115</f>
        <v>0</v>
      </c>
    </row>
    <row r="104" spans="1:63">
      <c r="A104" s="1711"/>
      <c r="B104" s="116">
        <v>2</v>
      </c>
      <c r="C104" s="294">
        <f>SUMPRODUCT(G8:H8,'FREH Stock'!$G$24:$H$24/SUM('FREH Stock'!$G$24:$H$24))</f>
        <v>12483.811664702003</v>
      </c>
      <c r="D104" s="295">
        <f t="shared" ref="D104:AE108" si="23">C104</f>
        <v>12483.811664702003</v>
      </c>
      <c r="E104" s="295">
        <f t="shared" si="23"/>
        <v>12483.811664702003</v>
      </c>
      <c r="F104" s="295">
        <f t="shared" si="23"/>
        <v>12483.811664702003</v>
      </c>
      <c r="G104" s="295">
        <f t="shared" si="23"/>
        <v>12483.811664702003</v>
      </c>
      <c r="H104" s="295">
        <f t="shared" si="23"/>
        <v>12483.811664702003</v>
      </c>
      <c r="I104" s="295">
        <f t="shared" si="23"/>
        <v>12483.811664702003</v>
      </c>
      <c r="J104" s="295">
        <f t="shared" si="23"/>
        <v>12483.811664702003</v>
      </c>
      <c r="K104" s="295">
        <f t="shared" si="23"/>
        <v>12483.811664702003</v>
      </c>
      <c r="L104" s="295">
        <f t="shared" si="23"/>
        <v>12483.811664702003</v>
      </c>
      <c r="M104" s="295">
        <f t="shared" si="23"/>
        <v>12483.811664702003</v>
      </c>
      <c r="N104" s="295">
        <f t="shared" si="23"/>
        <v>12483.811664702003</v>
      </c>
      <c r="O104" s="295">
        <f t="shared" si="23"/>
        <v>12483.811664702003</v>
      </c>
      <c r="P104" s="295">
        <f t="shared" si="23"/>
        <v>12483.811664702003</v>
      </c>
      <c r="Q104" s="295">
        <f t="shared" si="23"/>
        <v>12483.811664702003</v>
      </c>
      <c r="R104" s="295">
        <f t="shared" si="23"/>
        <v>12483.811664702003</v>
      </c>
      <c r="S104" s="295">
        <f t="shared" si="23"/>
        <v>12483.811664702003</v>
      </c>
      <c r="T104" s="295">
        <f t="shared" si="23"/>
        <v>12483.811664702003</v>
      </c>
      <c r="U104" s="295">
        <f t="shared" si="23"/>
        <v>12483.811664702003</v>
      </c>
      <c r="V104" s="295">
        <f t="shared" si="23"/>
        <v>12483.811664702003</v>
      </c>
      <c r="W104" s="295">
        <f t="shared" si="23"/>
        <v>12483.811664702003</v>
      </c>
      <c r="X104" s="295">
        <f t="shared" si="23"/>
        <v>12483.811664702003</v>
      </c>
      <c r="Y104" s="295">
        <f t="shared" si="23"/>
        <v>12483.811664702003</v>
      </c>
      <c r="Z104" s="295">
        <f t="shared" si="23"/>
        <v>12483.811664702003</v>
      </c>
      <c r="AA104" s="295">
        <f t="shared" si="23"/>
        <v>12483.811664702003</v>
      </c>
      <c r="AB104" s="295">
        <f t="shared" si="23"/>
        <v>12483.811664702003</v>
      </c>
      <c r="AC104" s="295">
        <f t="shared" si="23"/>
        <v>12483.811664702003</v>
      </c>
      <c r="AD104" s="295">
        <f t="shared" si="23"/>
        <v>12483.811664702003</v>
      </c>
      <c r="AE104" s="296">
        <f t="shared" si="23"/>
        <v>12483.811664702003</v>
      </c>
      <c r="AG104" s="1711"/>
      <c r="AH104" s="116">
        <v>2</v>
      </c>
      <c r="AI104" s="294">
        <f>'FREH LGV vkm'!C104*'FREH Stock'!C116</f>
        <v>149805.73997642403</v>
      </c>
      <c r="AJ104" s="295">
        <f>'FREH LGV vkm'!D104*'FREH Stock'!D116</f>
        <v>158594.10645789036</v>
      </c>
      <c r="AK104" s="295">
        <f>'FREH LGV vkm'!E104*'FREH Stock'!E116</f>
        <v>11998.244965911921</v>
      </c>
      <c r="AL104" s="295">
        <f>'FREH LGV vkm'!F104*'FREH Stock'!F116</f>
        <v>0</v>
      </c>
      <c r="AM104" s="295">
        <f>'FREH LGV vkm'!G104*'FREH Stock'!G116</f>
        <v>0</v>
      </c>
      <c r="AN104" s="295">
        <f>'FREH LGV vkm'!H104*'FREH Stock'!H116</f>
        <v>0</v>
      </c>
      <c r="AO104" s="295">
        <f>'FREH LGV vkm'!I104*'FREH Stock'!I116</f>
        <v>0</v>
      </c>
      <c r="AP104" s="295">
        <f>'FREH LGV vkm'!J104*'FREH Stock'!J116</f>
        <v>0</v>
      </c>
      <c r="AQ104" s="295">
        <f>'FREH LGV vkm'!K104*'FREH Stock'!K116</f>
        <v>0</v>
      </c>
      <c r="AR104" s="295">
        <f>'FREH LGV vkm'!L104*'FREH Stock'!L116</f>
        <v>0</v>
      </c>
      <c r="AS104" s="295">
        <f>'FREH LGV vkm'!M104*'FREH Stock'!M116</f>
        <v>0</v>
      </c>
      <c r="AT104" s="295">
        <f>'FREH LGV vkm'!N104*'FREH Stock'!N116</f>
        <v>0</v>
      </c>
      <c r="AU104" s="295">
        <f>'FREH LGV vkm'!O104*'FREH Stock'!O116</f>
        <v>0</v>
      </c>
      <c r="AV104" s="295">
        <f>'FREH LGV vkm'!P104*'FREH Stock'!P116</f>
        <v>0</v>
      </c>
      <c r="AW104" s="295">
        <f>'FREH LGV vkm'!Q104*'FREH Stock'!Q116</f>
        <v>0</v>
      </c>
      <c r="AX104" s="295">
        <f>'FREH LGV vkm'!R104*'FREH Stock'!R116</f>
        <v>0</v>
      </c>
      <c r="AY104" s="295">
        <f>'FREH LGV vkm'!S104*'FREH Stock'!S116</f>
        <v>0</v>
      </c>
      <c r="AZ104" s="295">
        <f>'FREH LGV vkm'!T104*'FREH Stock'!T116</f>
        <v>0</v>
      </c>
      <c r="BA104" s="295">
        <f>'FREH LGV vkm'!U104*'FREH Stock'!U116</f>
        <v>0</v>
      </c>
      <c r="BB104" s="295">
        <f>'FREH LGV vkm'!V104*'FREH Stock'!V116</f>
        <v>0</v>
      </c>
      <c r="BC104" s="295">
        <f>'FREH LGV vkm'!W104*'FREH Stock'!W116</f>
        <v>0</v>
      </c>
      <c r="BD104" s="295">
        <f>'FREH LGV vkm'!X104*'FREH Stock'!X116</f>
        <v>0</v>
      </c>
      <c r="BE104" s="295">
        <f>'FREH LGV vkm'!Y104*'FREH Stock'!Y116</f>
        <v>0</v>
      </c>
      <c r="BF104" s="295">
        <f>'FREH LGV vkm'!Z104*'FREH Stock'!Z116</f>
        <v>0</v>
      </c>
      <c r="BG104" s="295">
        <f>'FREH LGV vkm'!AA104*'FREH Stock'!AA116</f>
        <v>0</v>
      </c>
      <c r="BH104" s="295">
        <f>'FREH LGV vkm'!AB104*'FREH Stock'!AB116</f>
        <v>0</v>
      </c>
      <c r="BI104" s="295">
        <f>'FREH LGV vkm'!AC104*'FREH Stock'!AC116</f>
        <v>0</v>
      </c>
      <c r="BJ104" s="295">
        <f>'FREH LGV vkm'!AD104*'FREH Stock'!AD116</f>
        <v>0</v>
      </c>
      <c r="BK104" s="296">
        <f>'FREH LGV vkm'!AE104*'FREH Stock'!AE116</f>
        <v>0</v>
      </c>
    </row>
    <row r="105" spans="1:63">
      <c r="A105" s="1711"/>
      <c r="B105" s="116">
        <v>3</v>
      </c>
      <c r="C105" s="294">
        <f>SUMPRODUCT(G9:H9,'FREH Stock'!$G$24:$H$24/SUM('FREH Stock'!$G$24:$H$24))</f>
        <v>14519.270814137737</v>
      </c>
      <c r="D105" s="295">
        <f t="shared" si="23"/>
        <v>14519.270814137737</v>
      </c>
      <c r="E105" s="295">
        <f t="shared" si="23"/>
        <v>14519.270814137737</v>
      </c>
      <c r="F105" s="295">
        <f t="shared" si="23"/>
        <v>14519.270814137737</v>
      </c>
      <c r="G105" s="295">
        <f t="shared" si="23"/>
        <v>14519.270814137737</v>
      </c>
      <c r="H105" s="295">
        <f t="shared" si="23"/>
        <v>14519.270814137737</v>
      </c>
      <c r="I105" s="295">
        <f t="shared" si="23"/>
        <v>14519.270814137737</v>
      </c>
      <c r="J105" s="295">
        <f t="shared" si="23"/>
        <v>14519.270814137737</v>
      </c>
      <c r="K105" s="295">
        <f t="shared" si="23"/>
        <v>14519.270814137737</v>
      </c>
      <c r="L105" s="295">
        <f t="shared" si="23"/>
        <v>14519.270814137737</v>
      </c>
      <c r="M105" s="295">
        <f t="shared" si="23"/>
        <v>14519.270814137737</v>
      </c>
      <c r="N105" s="295">
        <f t="shared" si="23"/>
        <v>14519.270814137737</v>
      </c>
      <c r="O105" s="295">
        <f t="shared" si="23"/>
        <v>14519.270814137737</v>
      </c>
      <c r="P105" s="295">
        <f t="shared" si="23"/>
        <v>14519.270814137737</v>
      </c>
      <c r="Q105" s="295">
        <f t="shared" si="23"/>
        <v>14519.270814137737</v>
      </c>
      <c r="R105" s="295">
        <f t="shared" si="23"/>
        <v>14519.270814137737</v>
      </c>
      <c r="S105" s="295">
        <f t="shared" si="23"/>
        <v>14519.270814137737</v>
      </c>
      <c r="T105" s="295">
        <f t="shared" si="23"/>
        <v>14519.270814137737</v>
      </c>
      <c r="U105" s="295">
        <f t="shared" si="23"/>
        <v>14519.270814137737</v>
      </c>
      <c r="V105" s="295">
        <f t="shared" si="23"/>
        <v>14519.270814137737</v>
      </c>
      <c r="W105" s="295">
        <f t="shared" si="23"/>
        <v>14519.270814137737</v>
      </c>
      <c r="X105" s="295">
        <f t="shared" si="23"/>
        <v>14519.270814137737</v>
      </c>
      <c r="Y105" s="295">
        <f t="shared" si="23"/>
        <v>14519.270814137737</v>
      </c>
      <c r="Z105" s="295">
        <f t="shared" si="23"/>
        <v>14519.270814137737</v>
      </c>
      <c r="AA105" s="295">
        <f t="shared" si="23"/>
        <v>14519.270814137737</v>
      </c>
      <c r="AB105" s="295">
        <f t="shared" si="23"/>
        <v>14519.270814137737</v>
      </c>
      <c r="AC105" s="295">
        <f t="shared" si="23"/>
        <v>14519.270814137737</v>
      </c>
      <c r="AD105" s="295">
        <f t="shared" si="23"/>
        <v>14519.270814137737</v>
      </c>
      <c r="AE105" s="296">
        <f t="shared" si="23"/>
        <v>14519.270814137737</v>
      </c>
      <c r="AG105" s="1711"/>
      <c r="AH105" s="116">
        <v>3</v>
      </c>
      <c r="AI105" s="294">
        <f>'FREH LGV vkm'!C105*'FREH Stock'!C117</f>
        <v>101634.89569896416</v>
      </c>
      <c r="AJ105" s="295">
        <f>'FREH LGV vkm'!D105*'FREH Stock'!D117</f>
        <v>168886.54520948013</v>
      </c>
      <c r="AK105" s="295">
        <f>'FREH LGV vkm'!E105*'FREH Stock'!E117</f>
        <v>178794.2887533739</v>
      </c>
      <c r="AL105" s="295">
        <f>'FREH LGV vkm'!F105*'FREH Stock'!F117</f>
        <v>13526.465282230176</v>
      </c>
      <c r="AM105" s="295">
        <f>'FREH LGV vkm'!G105*'FREH Stock'!G117</f>
        <v>0</v>
      </c>
      <c r="AN105" s="295">
        <f>'FREH LGV vkm'!H105*'FREH Stock'!H117</f>
        <v>0</v>
      </c>
      <c r="AO105" s="295">
        <f>'FREH LGV vkm'!I105*'FREH Stock'!I117</f>
        <v>0</v>
      </c>
      <c r="AP105" s="295">
        <f>'FREH LGV vkm'!J105*'FREH Stock'!J117</f>
        <v>0</v>
      </c>
      <c r="AQ105" s="295">
        <f>'FREH LGV vkm'!K105*'FREH Stock'!K117</f>
        <v>0</v>
      </c>
      <c r="AR105" s="295">
        <f>'FREH LGV vkm'!L105*'FREH Stock'!L117</f>
        <v>0</v>
      </c>
      <c r="AS105" s="295">
        <f>'FREH LGV vkm'!M105*'FREH Stock'!M117</f>
        <v>0</v>
      </c>
      <c r="AT105" s="295">
        <f>'FREH LGV vkm'!N105*'FREH Stock'!N117</f>
        <v>0</v>
      </c>
      <c r="AU105" s="295">
        <f>'FREH LGV vkm'!O105*'FREH Stock'!O117</f>
        <v>0</v>
      </c>
      <c r="AV105" s="295">
        <f>'FREH LGV vkm'!P105*'FREH Stock'!P117</f>
        <v>0</v>
      </c>
      <c r="AW105" s="295">
        <f>'FREH LGV vkm'!Q105*'FREH Stock'!Q117</f>
        <v>0</v>
      </c>
      <c r="AX105" s="295">
        <f>'FREH LGV vkm'!R105*'FREH Stock'!R117</f>
        <v>0</v>
      </c>
      <c r="AY105" s="295">
        <f>'FREH LGV vkm'!S105*'FREH Stock'!S117</f>
        <v>0</v>
      </c>
      <c r="AZ105" s="295">
        <f>'FREH LGV vkm'!T105*'FREH Stock'!T117</f>
        <v>0</v>
      </c>
      <c r="BA105" s="295">
        <f>'FREH LGV vkm'!U105*'FREH Stock'!U117</f>
        <v>0</v>
      </c>
      <c r="BB105" s="295">
        <f>'FREH LGV vkm'!V105*'FREH Stock'!V117</f>
        <v>0</v>
      </c>
      <c r="BC105" s="295">
        <f>'FREH LGV vkm'!W105*'FREH Stock'!W117</f>
        <v>0</v>
      </c>
      <c r="BD105" s="295">
        <f>'FREH LGV vkm'!X105*'FREH Stock'!X117</f>
        <v>0</v>
      </c>
      <c r="BE105" s="295">
        <f>'FREH LGV vkm'!Y105*'FREH Stock'!Y117</f>
        <v>0</v>
      </c>
      <c r="BF105" s="295">
        <f>'FREH LGV vkm'!Z105*'FREH Stock'!Z117</f>
        <v>0</v>
      </c>
      <c r="BG105" s="295">
        <f>'FREH LGV vkm'!AA105*'FREH Stock'!AA117</f>
        <v>0</v>
      </c>
      <c r="BH105" s="295">
        <f>'FREH LGV vkm'!AB105*'FREH Stock'!AB117</f>
        <v>0</v>
      </c>
      <c r="BI105" s="295">
        <f>'FREH LGV vkm'!AC105*'FREH Stock'!AC117</f>
        <v>0</v>
      </c>
      <c r="BJ105" s="295">
        <f>'FREH LGV vkm'!AD105*'FREH Stock'!AD117</f>
        <v>0</v>
      </c>
      <c r="BK105" s="296">
        <f>'FREH LGV vkm'!AE105*'FREH Stock'!AE117</f>
        <v>0</v>
      </c>
    </row>
    <row r="106" spans="1:63">
      <c r="A106" s="1711"/>
      <c r="B106" s="116">
        <v>4</v>
      </c>
      <c r="C106" s="294">
        <f>SUMPRODUCT(G10:H10,'FREH Stock'!$G$24:$H$24/SUM('FREH Stock'!$G$24:$H$24))</f>
        <v>16463.014948836098</v>
      </c>
      <c r="D106" s="295">
        <f t="shared" si="23"/>
        <v>16463.014948836098</v>
      </c>
      <c r="E106" s="295">
        <f t="shared" si="23"/>
        <v>16463.014948836098</v>
      </c>
      <c r="F106" s="295">
        <f t="shared" si="23"/>
        <v>16463.014948836098</v>
      </c>
      <c r="G106" s="295">
        <f t="shared" si="23"/>
        <v>16463.014948836098</v>
      </c>
      <c r="H106" s="295">
        <f t="shared" si="23"/>
        <v>16463.014948836098</v>
      </c>
      <c r="I106" s="295">
        <f t="shared" si="23"/>
        <v>16463.014948836098</v>
      </c>
      <c r="J106" s="295">
        <f t="shared" si="23"/>
        <v>16463.014948836098</v>
      </c>
      <c r="K106" s="295">
        <f t="shared" si="23"/>
        <v>16463.014948836098</v>
      </c>
      <c r="L106" s="295">
        <f t="shared" si="23"/>
        <v>16463.014948836098</v>
      </c>
      <c r="M106" s="295">
        <f t="shared" si="23"/>
        <v>16463.014948836098</v>
      </c>
      <c r="N106" s="295">
        <f t="shared" si="23"/>
        <v>16463.014948836098</v>
      </c>
      <c r="O106" s="295">
        <f t="shared" si="23"/>
        <v>16463.014948836098</v>
      </c>
      <c r="P106" s="295">
        <f t="shared" si="23"/>
        <v>16463.014948836098</v>
      </c>
      <c r="Q106" s="295">
        <f t="shared" si="23"/>
        <v>16463.014948836098</v>
      </c>
      <c r="R106" s="295">
        <f t="shared" si="23"/>
        <v>16463.014948836098</v>
      </c>
      <c r="S106" s="295">
        <f t="shared" si="23"/>
        <v>16463.014948836098</v>
      </c>
      <c r="T106" s="295">
        <f t="shared" si="23"/>
        <v>16463.014948836098</v>
      </c>
      <c r="U106" s="295">
        <f t="shared" si="23"/>
        <v>16463.014948836098</v>
      </c>
      <c r="V106" s="295">
        <f t="shared" si="23"/>
        <v>16463.014948836098</v>
      </c>
      <c r="W106" s="295">
        <f t="shared" si="23"/>
        <v>16463.014948836098</v>
      </c>
      <c r="X106" s="295">
        <f t="shared" si="23"/>
        <v>16463.014948836098</v>
      </c>
      <c r="Y106" s="295">
        <f t="shared" si="23"/>
        <v>16463.014948836098</v>
      </c>
      <c r="Z106" s="295">
        <f t="shared" si="23"/>
        <v>16463.014948836098</v>
      </c>
      <c r="AA106" s="295">
        <f t="shared" si="23"/>
        <v>16463.014948836098</v>
      </c>
      <c r="AB106" s="295">
        <f t="shared" si="23"/>
        <v>16463.014948836098</v>
      </c>
      <c r="AC106" s="295">
        <f t="shared" si="23"/>
        <v>16463.014948836098</v>
      </c>
      <c r="AD106" s="295">
        <f t="shared" si="23"/>
        <v>16463.014948836098</v>
      </c>
      <c r="AE106" s="296">
        <f t="shared" si="23"/>
        <v>16463.014948836098</v>
      </c>
      <c r="AG106" s="1711"/>
      <c r="AH106" s="116">
        <v>4</v>
      </c>
      <c r="AI106" s="294">
        <f>'FREH LGV vkm'!C106*'FREH Stock'!C118</f>
        <v>279871.2541302137</v>
      </c>
      <c r="AJ106" s="295">
        <f>'FREH LGV vkm'!D106*'FREH Stock'!D118</f>
        <v>111907.09151610115</v>
      </c>
      <c r="AK106" s="295">
        <f>'FREH LGV vkm'!E106*'FREH Stock'!E118</f>
        <v>185955.83672929442</v>
      </c>
      <c r="AL106" s="295">
        <f>'FREH LGV vkm'!F106*'FREH Stock'!F118</f>
        <v>196864.95171248497</v>
      </c>
      <c r="AM106" s="295">
        <f>'FREH LGV vkm'!G106*'FREH Stock'!G118</f>
        <v>14893.579393355196</v>
      </c>
      <c r="AN106" s="295">
        <f>'FREH LGV vkm'!H106*'FREH Stock'!H118</f>
        <v>0</v>
      </c>
      <c r="AO106" s="295">
        <f>'FREH LGV vkm'!I106*'FREH Stock'!I118</f>
        <v>0</v>
      </c>
      <c r="AP106" s="295">
        <f>'FREH LGV vkm'!J106*'FREH Stock'!J118</f>
        <v>0</v>
      </c>
      <c r="AQ106" s="295">
        <f>'FREH LGV vkm'!K106*'FREH Stock'!K118</f>
        <v>0</v>
      </c>
      <c r="AR106" s="295">
        <f>'FREH LGV vkm'!L106*'FREH Stock'!L118</f>
        <v>0</v>
      </c>
      <c r="AS106" s="295">
        <f>'FREH LGV vkm'!M106*'FREH Stock'!M118</f>
        <v>0</v>
      </c>
      <c r="AT106" s="295">
        <f>'FREH LGV vkm'!N106*'FREH Stock'!N118</f>
        <v>0</v>
      </c>
      <c r="AU106" s="295">
        <f>'FREH LGV vkm'!O106*'FREH Stock'!O118</f>
        <v>0</v>
      </c>
      <c r="AV106" s="295">
        <f>'FREH LGV vkm'!P106*'FREH Stock'!P118</f>
        <v>0</v>
      </c>
      <c r="AW106" s="295">
        <f>'FREH LGV vkm'!Q106*'FREH Stock'!Q118</f>
        <v>0</v>
      </c>
      <c r="AX106" s="295">
        <f>'FREH LGV vkm'!R106*'FREH Stock'!R118</f>
        <v>0</v>
      </c>
      <c r="AY106" s="295">
        <f>'FREH LGV vkm'!S106*'FREH Stock'!S118</f>
        <v>0</v>
      </c>
      <c r="AZ106" s="295">
        <f>'FREH LGV vkm'!T106*'FREH Stock'!T118</f>
        <v>0</v>
      </c>
      <c r="BA106" s="295">
        <f>'FREH LGV vkm'!U106*'FREH Stock'!U118</f>
        <v>0</v>
      </c>
      <c r="BB106" s="295">
        <f>'FREH LGV vkm'!V106*'FREH Stock'!V118</f>
        <v>0</v>
      </c>
      <c r="BC106" s="295">
        <f>'FREH LGV vkm'!W106*'FREH Stock'!W118</f>
        <v>0</v>
      </c>
      <c r="BD106" s="295">
        <f>'FREH LGV vkm'!X106*'FREH Stock'!X118</f>
        <v>0</v>
      </c>
      <c r="BE106" s="295">
        <f>'FREH LGV vkm'!Y106*'FREH Stock'!Y118</f>
        <v>0</v>
      </c>
      <c r="BF106" s="295">
        <f>'FREH LGV vkm'!Z106*'FREH Stock'!Z118</f>
        <v>0</v>
      </c>
      <c r="BG106" s="295">
        <f>'FREH LGV vkm'!AA106*'FREH Stock'!AA118</f>
        <v>0</v>
      </c>
      <c r="BH106" s="295">
        <f>'FREH LGV vkm'!AB106*'FREH Stock'!AB118</f>
        <v>0</v>
      </c>
      <c r="BI106" s="295">
        <f>'FREH LGV vkm'!AC106*'FREH Stock'!AC118</f>
        <v>0</v>
      </c>
      <c r="BJ106" s="295">
        <f>'FREH LGV vkm'!AD106*'FREH Stock'!AD118</f>
        <v>0</v>
      </c>
      <c r="BK106" s="296">
        <f>'FREH LGV vkm'!AE106*'FREH Stock'!AE118</f>
        <v>0</v>
      </c>
    </row>
    <row r="107" spans="1:63">
      <c r="A107" s="1711"/>
      <c r="B107" s="116">
        <v>5</v>
      </c>
      <c r="C107" s="294">
        <f>SUMPRODUCT(G11:H11,'FREH Stock'!$G$24:$H$24/SUM('FREH Stock'!$G$24:$H$24))</f>
        <v>15833.181669678095</v>
      </c>
      <c r="D107" s="295">
        <f t="shared" si="23"/>
        <v>15833.181669678095</v>
      </c>
      <c r="E107" s="295">
        <f t="shared" si="23"/>
        <v>15833.181669678095</v>
      </c>
      <c r="F107" s="295">
        <f t="shared" si="23"/>
        <v>15833.181669678095</v>
      </c>
      <c r="G107" s="295">
        <f t="shared" si="23"/>
        <v>15833.181669678095</v>
      </c>
      <c r="H107" s="295">
        <f t="shared" si="23"/>
        <v>15833.181669678095</v>
      </c>
      <c r="I107" s="295">
        <f t="shared" si="23"/>
        <v>15833.181669678095</v>
      </c>
      <c r="J107" s="295">
        <f t="shared" si="23"/>
        <v>15833.181669678095</v>
      </c>
      <c r="K107" s="295">
        <f t="shared" si="23"/>
        <v>15833.181669678095</v>
      </c>
      <c r="L107" s="295">
        <f t="shared" si="23"/>
        <v>15833.181669678095</v>
      </c>
      <c r="M107" s="295">
        <f t="shared" si="23"/>
        <v>15833.181669678095</v>
      </c>
      <c r="N107" s="295">
        <f t="shared" si="23"/>
        <v>15833.181669678095</v>
      </c>
      <c r="O107" s="295">
        <f t="shared" si="23"/>
        <v>15833.181669678095</v>
      </c>
      <c r="P107" s="295">
        <f t="shared" si="23"/>
        <v>15833.181669678095</v>
      </c>
      <c r="Q107" s="295">
        <f t="shared" si="23"/>
        <v>15833.181669678095</v>
      </c>
      <c r="R107" s="295">
        <f t="shared" si="23"/>
        <v>15833.181669678095</v>
      </c>
      <c r="S107" s="295">
        <f t="shared" si="23"/>
        <v>15833.181669678095</v>
      </c>
      <c r="T107" s="295">
        <f t="shared" si="23"/>
        <v>15833.181669678095</v>
      </c>
      <c r="U107" s="295">
        <f t="shared" si="23"/>
        <v>15833.181669678095</v>
      </c>
      <c r="V107" s="295">
        <f t="shared" si="23"/>
        <v>15833.181669678095</v>
      </c>
      <c r="W107" s="295">
        <f t="shared" si="23"/>
        <v>15833.181669678095</v>
      </c>
      <c r="X107" s="295">
        <f t="shared" si="23"/>
        <v>15833.181669678095</v>
      </c>
      <c r="Y107" s="295">
        <f t="shared" si="23"/>
        <v>15833.181669678095</v>
      </c>
      <c r="Z107" s="295">
        <f t="shared" si="23"/>
        <v>15833.181669678095</v>
      </c>
      <c r="AA107" s="295">
        <f t="shared" si="23"/>
        <v>15833.181669678095</v>
      </c>
      <c r="AB107" s="295">
        <f t="shared" si="23"/>
        <v>15833.181669678095</v>
      </c>
      <c r="AC107" s="295">
        <f t="shared" si="23"/>
        <v>15833.181669678095</v>
      </c>
      <c r="AD107" s="295">
        <f t="shared" si="23"/>
        <v>15833.181669678095</v>
      </c>
      <c r="AE107" s="296">
        <f t="shared" si="23"/>
        <v>15833.181669678095</v>
      </c>
      <c r="AG107" s="1711"/>
      <c r="AH107" s="116">
        <v>5</v>
      </c>
      <c r="AI107" s="294">
        <f>'FREH LGV vkm'!C107*'FREH Stock'!C119</f>
        <v>189998.18003613714</v>
      </c>
      <c r="AJ107" s="295">
        <f>'FREH LGV vkm'!D107*'FREH Stock'!D119</f>
        <v>258138.64421456994</v>
      </c>
      <c r="AK107" s="295">
        <f>'FREH LGV vkm'!E107*'FREH Stock'!E119</f>
        <v>103217.26313672018</v>
      </c>
      <c r="AL107" s="295">
        <f>'FREH LGV vkm'!F107*'FREH Stock'!F119</f>
        <v>171515.9626745813</v>
      </c>
      <c r="AM107" s="295">
        <f>'FREH LGV vkm'!G107*'FREH Stock'!G119</f>
        <v>181577.96121778095</v>
      </c>
      <c r="AN107" s="295">
        <f>'FREH LGV vkm'!H107*'FREH Stock'!H119</f>
        <v>13737.060649730085</v>
      </c>
      <c r="AO107" s="295">
        <f>'FREH LGV vkm'!I107*'FREH Stock'!I119</f>
        <v>0</v>
      </c>
      <c r="AP107" s="295">
        <f>'FREH LGV vkm'!J107*'FREH Stock'!J119</f>
        <v>0</v>
      </c>
      <c r="AQ107" s="295">
        <f>'FREH LGV vkm'!K107*'FREH Stock'!K119</f>
        <v>0</v>
      </c>
      <c r="AR107" s="295">
        <f>'FREH LGV vkm'!L107*'FREH Stock'!L119</f>
        <v>0</v>
      </c>
      <c r="AS107" s="295">
        <f>'FREH LGV vkm'!M107*'FREH Stock'!M119</f>
        <v>0</v>
      </c>
      <c r="AT107" s="295">
        <f>'FREH LGV vkm'!N107*'FREH Stock'!N119</f>
        <v>0</v>
      </c>
      <c r="AU107" s="295">
        <f>'FREH LGV vkm'!O107*'FREH Stock'!O119</f>
        <v>0</v>
      </c>
      <c r="AV107" s="295">
        <f>'FREH LGV vkm'!P107*'FREH Stock'!P119</f>
        <v>0</v>
      </c>
      <c r="AW107" s="295">
        <f>'FREH LGV vkm'!Q107*'FREH Stock'!Q119</f>
        <v>0</v>
      </c>
      <c r="AX107" s="295">
        <f>'FREH LGV vkm'!R107*'FREH Stock'!R119</f>
        <v>0</v>
      </c>
      <c r="AY107" s="295">
        <f>'FREH LGV vkm'!S107*'FREH Stock'!S119</f>
        <v>0</v>
      </c>
      <c r="AZ107" s="295">
        <f>'FREH LGV vkm'!T107*'FREH Stock'!T119</f>
        <v>0</v>
      </c>
      <c r="BA107" s="295">
        <f>'FREH LGV vkm'!U107*'FREH Stock'!U119</f>
        <v>0</v>
      </c>
      <c r="BB107" s="295">
        <f>'FREH LGV vkm'!V107*'FREH Stock'!V119</f>
        <v>0</v>
      </c>
      <c r="BC107" s="295">
        <f>'FREH LGV vkm'!W107*'FREH Stock'!W119</f>
        <v>0</v>
      </c>
      <c r="BD107" s="295">
        <f>'FREH LGV vkm'!X107*'FREH Stock'!X119</f>
        <v>0</v>
      </c>
      <c r="BE107" s="295">
        <f>'FREH LGV vkm'!Y107*'FREH Stock'!Y119</f>
        <v>0</v>
      </c>
      <c r="BF107" s="295">
        <f>'FREH LGV vkm'!Z107*'FREH Stock'!Z119</f>
        <v>0</v>
      </c>
      <c r="BG107" s="295">
        <f>'FREH LGV vkm'!AA107*'FREH Stock'!AA119</f>
        <v>0</v>
      </c>
      <c r="BH107" s="295">
        <f>'FREH LGV vkm'!AB107*'FREH Stock'!AB119</f>
        <v>0</v>
      </c>
      <c r="BI107" s="295">
        <f>'FREH LGV vkm'!AC107*'FREH Stock'!AC119</f>
        <v>0</v>
      </c>
      <c r="BJ107" s="295">
        <f>'FREH LGV vkm'!AD107*'FREH Stock'!AD119</f>
        <v>0</v>
      </c>
      <c r="BK107" s="296">
        <f>'FREH LGV vkm'!AE107*'FREH Stock'!AE119</f>
        <v>0</v>
      </c>
    </row>
    <row r="108" spans="1:63">
      <c r="A108" s="1711"/>
      <c r="B108" s="116">
        <v>6</v>
      </c>
      <c r="C108" s="486">
        <f>SUMPRODUCT(G12:H12,'FREH Stock'!$G$24:$H$24/SUM('FREH Stock'!$G$24:$H$24))</f>
        <v>13502.515542757992</v>
      </c>
      <c r="D108" s="295">
        <f t="shared" si="23"/>
        <v>13502.515542757992</v>
      </c>
      <c r="E108" s="295">
        <f t="shared" si="23"/>
        <v>13502.515542757992</v>
      </c>
      <c r="F108" s="295">
        <f t="shared" si="23"/>
        <v>13502.515542757992</v>
      </c>
      <c r="G108" s="295">
        <f t="shared" si="23"/>
        <v>13502.515542757992</v>
      </c>
      <c r="H108" s="295">
        <f t="shared" si="23"/>
        <v>13502.515542757992</v>
      </c>
      <c r="I108" s="295">
        <f t="shared" si="23"/>
        <v>13502.515542757992</v>
      </c>
      <c r="J108" s="295">
        <f t="shared" si="23"/>
        <v>13502.515542757992</v>
      </c>
      <c r="K108" s="295">
        <f t="shared" si="23"/>
        <v>13502.515542757992</v>
      </c>
      <c r="L108" s="295">
        <f t="shared" si="23"/>
        <v>13502.515542757992</v>
      </c>
      <c r="M108" s="295">
        <f t="shared" si="23"/>
        <v>13502.515542757992</v>
      </c>
      <c r="N108" s="295">
        <f t="shared" si="23"/>
        <v>13502.515542757992</v>
      </c>
      <c r="O108" s="295">
        <f t="shared" si="23"/>
        <v>13502.515542757992</v>
      </c>
      <c r="P108" s="295">
        <f t="shared" si="23"/>
        <v>13502.515542757992</v>
      </c>
      <c r="Q108" s="295">
        <f t="shared" si="23"/>
        <v>13502.515542757992</v>
      </c>
      <c r="R108" s="295">
        <f t="shared" si="23"/>
        <v>13502.515542757992</v>
      </c>
      <c r="S108" s="295">
        <f t="shared" si="23"/>
        <v>13502.515542757992</v>
      </c>
      <c r="T108" s="295">
        <f t="shared" si="23"/>
        <v>13502.515542757992</v>
      </c>
      <c r="U108" s="295">
        <f t="shared" si="23"/>
        <v>13502.515542757992</v>
      </c>
      <c r="V108" s="295">
        <f t="shared" si="23"/>
        <v>13502.515542757992</v>
      </c>
      <c r="W108" s="295">
        <f t="shared" si="23"/>
        <v>13502.515542757992</v>
      </c>
      <c r="X108" s="295">
        <f t="shared" si="23"/>
        <v>13502.515542757992</v>
      </c>
      <c r="Y108" s="295">
        <f t="shared" si="23"/>
        <v>13502.515542757992</v>
      </c>
      <c r="Z108" s="295">
        <f t="shared" si="23"/>
        <v>13502.515542757992</v>
      </c>
      <c r="AA108" s="295">
        <f t="shared" si="23"/>
        <v>13502.515542757992</v>
      </c>
      <c r="AB108" s="295">
        <f t="shared" si="23"/>
        <v>13502.515542757992</v>
      </c>
      <c r="AC108" s="295">
        <f t="shared" si="23"/>
        <v>13502.515542757992</v>
      </c>
      <c r="AD108" s="295">
        <f t="shared" si="23"/>
        <v>13502.515542757992</v>
      </c>
      <c r="AE108" s="296">
        <f t="shared" si="23"/>
        <v>13502.515542757992</v>
      </c>
      <c r="AG108" s="1711"/>
      <c r="AH108" s="116">
        <v>6</v>
      </c>
      <c r="AI108" s="294">
        <f>'FREH LGV vkm'!C108*'FREH Stock'!C120</f>
        <v>283552.82639791782</v>
      </c>
      <c r="AJ108" s="295">
        <f>'FREH LGV vkm'!D108*'FREH Stock'!D120</f>
        <v>152648.96454085308</v>
      </c>
      <c r="AK108" s="295">
        <f>'FREH LGV vkm'!E108*'FREH Stock'!E120</f>
        <v>207394.6010421738</v>
      </c>
      <c r="AL108" s="295">
        <f>'FREH LGV vkm'!F108*'FREH Stock'!F120</f>
        <v>82927.154026235134</v>
      </c>
      <c r="AM108" s="295">
        <f>'FREH LGV vkm'!G108*'FREH Stock'!G120</f>
        <v>137799.92050198978</v>
      </c>
      <c r="AN108" s="295">
        <f>'FREH LGV vkm'!H108*'FREH Stock'!H120</f>
        <v>145883.96456251113</v>
      </c>
      <c r="AO108" s="295">
        <f>'FREH LGV vkm'!I108*'FREH Stock'!I120</f>
        <v>11036.674580868943</v>
      </c>
      <c r="AP108" s="295">
        <f>'FREH LGV vkm'!J108*'FREH Stock'!J120</f>
        <v>0</v>
      </c>
      <c r="AQ108" s="295">
        <f>'FREH LGV vkm'!K108*'FREH Stock'!K120</f>
        <v>0</v>
      </c>
      <c r="AR108" s="295">
        <f>'FREH LGV vkm'!L108*'FREH Stock'!L120</f>
        <v>0</v>
      </c>
      <c r="AS108" s="295">
        <f>'FREH LGV vkm'!M108*'FREH Stock'!M120</f>
        <v>0</v>
      </c>
      <c r="AT108" s="295">
        <f>'FREH LGV vkm'!N108*'FREH Stock'!N120</f>
        <v>0</v>
      </c>
      <c r="AU108" s="295">
        <f>'FREH LGV vkm'!O108*'FREH Stock'!O120</f>
        <v>0</v>
      </c>
      <c r="AV108" s="295">
        <f>'FREH LGV vkm'!P108*'FREH Stock'!P120</f>
        <v>0</v>
      </c>
      <c r="AW108" s="295">
        <f>'FREH LGV vkm'!Q108*'FREH Stock'!Q120</f>
        <v>0</v>
      </c>
      <c r="AX108" s="295">
        <f>'FREH LGV vkm'!R108*'FREH Stock'!R120</f>
        <v>0</v>
      </c>
      <c r="AY108" s="295">
        <f>'FREH LGV vkm'!S108*'FREH Stock'!S120</f>
        <v>0</v>
      </c>
      <c r="AZ108" s="295">
        <f>'FREH LGV vkm'!T108*'FREH Stock'!T120</f>
        <v>0</v>
      </c>
      <c r="BA108" s="295">
        <f>'FREH LGV vkm'!U108*'FREH Stock'!U120</f>
        <v>0</v>
      </c>
      <c r="BB108" s="295">
        <f>'FREH LGV vkm'!V108*'FREH Stock'!V120</f>
        <v>0</v>
      </c>
      <c r="BC108" s="295">
        <f>'FREH LGV vkm'!W108*'FREH Stock'!W120</f>
        <v>0</v>
      </c>
      <c r="BD108" s="295">
        <f>'FREH LGV vkm'!X108*'FREH Stock'!X120</f>
        <v>0</v>
      </c>
      <c r="BE108" s="295">
        <f>'FREH LGV vkm'!Y108*'FREH Stock'!Y120</f>
        <v>0</v>
      </c>
      <c r="BF108" s="295">
        <f>'FREH LGV vkm'!Z108*'FREH Stock'!Z120</f>
        <v>0</v>
      </c>
      <c r="BG108" s="295">
        <f>'FREH LGV vkm'!AA108*'FREH Stock'!AA120</f>
        <v>0</v>
      </c>
      <c r="BH108" s="295">
        <f>'FREH LGV vkm'!AB108*'FREH Stock'!AB120</f>
        <v>0</v>
      </c>
      <c r="BI108" s="295">
        <f>'FREH LGV vkm'!AC108*'FREH Stock'!AC120</f>
        <v>0</v>
      </c>
      <c r="BJ108" s="295">
        <f>'FREH LGV vkm'!AD108*'FREH Stock'!AD120</f>
        <v>0</v>
      </c>
      <c r="BK108" s="296">
        <f>'FREH LGV vkm'!AE108*'FREH Stock'!AE120</f>
        <v>0</v>
      </c>
    </row>
    <row r="109" spans="1:63">
      <c r="A109" s="1711"/>
      <c r="B109" s="116">
        <v>7</v>
      </c>
      <c r="C109" s="294">
        <f>C108</f>
        <v>13502.515542757992</v>
      </c>
      <c r="D109" s="295">
        <f>D108</f>
        <v>13502.515542757992</v>
      </c>
      <c r="E109" s="295">
        <f t="shared" ref="E109:AE118" si="24">E108</f>
        <v>13502.515542757992</v>
      </c>
      <c r="F109" s="295">
        <f t="shared" si="24"/>
        <v>13502.515542757992</v>
      </c>
      <c r="G109" s="295">
        <f t="shared" si="24"/>
        <v>13502.515542757992</v>
      </c>
      <c r="H109" s="295">
        <f t="shared" si="24"/>
        <v>13502.515542757992</v>
      </c>
      <c r="I109" s="295">
        <f t="shared" si="24"/>
        <v>13502.515542757992</v>
      </c>
      <c r="J109" s="295">
        <f t="shared" si="24"/>
        <v>13502.515542757992</v>
      </c>
      <c r="K109" s="295">
        <f t="shared" si="24"/>
        <v>13502.515542757992</v>
      </c>
      <c r="L109" s="295">
        <f t="shared" si="24"/>
        <v>13502.515542757992</v>
      </c>
      <c r="M109" s="295">
        <f t="shared" si="24"/>
        <v>13502.515542757992</v>
      </c>
      <c r="N109" s="295">
        <f t="shared" si="24"/>
        <v>13502.515542757992</v>
      </c>
      <c r="O109" s="295">
        <f t="shared" si="24"/>
        <v>13502.515542757992</v>
      </c>
      <c r="P109" s="295">
        <f t="shared" si="24"/>
        <v>13502.515542757992</v>
      </c>
      <c r="Q109" s="295">
        <f t="shared" si="24"/>
        <v>13502.515542757992</v>
      </c>
      <c r="R109" s="295">
        <f t="shared" si="24"/>
        <v>13502.515542757992</v>
      </c>
      <c r="S109" s="295">
        <f t="shared" si="24"/>
        <v>13502.515542757992</v>
      </c>
      <c r="T109" s="295">
        <f t="shared" si="24"/>
        <v>13502.515542757992</v>
      </c>
      <c r="U109" s="295">
        <f t="shared" si="24"/>
        <v>13502.515542757992</v>
      </c>
      <c r="V109" s="295">
        <f t="shared" si="24"/>
        <v>13502.515542757992</v>
      </c>
      <c r="W109" s="295">
        <f t="shared" si="24"/>
        <v>13502.515542757992</v>
      </c>
      <c r="X109" s="295">
        <f t="shared" si="24"/>
        <v>13502.515542757992</v>
      </c>
      <c r="Y109" s="295">
        <f t="shared" si="24"/>
        <v>13502.515542757992</v>
      </c>
      <c r="Z109" s="295">
        <f t="shared" si="24"/>
        <v>13502.515542757992</v>
      </c>
      <c r="AA109" s="295">
        <f t="shared" si="24"/>
        <v>13502.515542757992</v>
      </c>
      <c r="AB109" s="295">
        <f t="shared" si="24"/>
        <v>13502.515542757992</v>
      </c>
      <c r="AC109" s="295">
        <f t="shared" si="24"/>
        <v>13502.515542757992</v>
      </c>
      <c r="AD109" s="295">
        <f t="shared" si="24"/>
        <v>13502.515542757992</v>
      </c>
      <c r="AE109" s="296">
        <f t="shared" si="24"/>
        <v>13502.515542757992</v>
      </c>
      <c r="AG109" s="1711"/>
      <c r="AH109" s="116">
        <v>7</v>
      </c>
      <c r="AI109" s="294">
        <f>'FREH LGV vkm'!C109*'FREH Stock'!C121</f>
        <v>121522.63988482193</v>
      </c>
      <c r="AJ109" s="295">
        <f>'FREH LGV vkm'!D109*'FREH Stock'!D121</f>
        <v>259891.47435535738</v>
      </c>
      <c r="AK109" s="295">
        <f>'FREH LGV vkm'!E109*'FREH Stock'!E121</f>
        <v>139911.01748944615</v>
      </c>
      <c r="AL109" s="295">
        <f>'FREH LGV vkm'!F109*'FREH Stock'!F121</f>
        <v>190088.3490491191</v>
      </c>
      <c r="AM109" s="295">
        <f>'FREH LGV vkm'!G109*'FREH Stock'!G121</f>
        <v>76007.213885878999</v>
      </c>
      <c r="AN109" s="295">
        <f>'FREH LGV vkm'!H109*'FREH Stock'!H121</f>
        <v>126301.06693084312</v>
      </c>
      <c r="AO109" s="295">
        <f>'FREH LGV vkm'!I109*'FREH Stock'!I121</f>
        <v>133710.52976826942</v>
      </c>
      <c r="AP109" s="295">
        <f>'FREH LGV vkm'!J109*'FREH Stock'!J121</f>
        <v>10115.708121269454</v>
      </c>
      <c r="AQ109" s="295">
        <f>'FREH LGV vkm'!K109*'FREH Stock'!K121</f>
        <v>0</v>
      </c>
      <c r="AR109" s="295">
        <f>'FREH LGV vkm'!L109*'FREH Stock'!L121</f>
        <v>0</v>
      </c>
      <c r="AS109" s="295">
        <f>'FREH LGV vkm'!M109*'FREH Stock'!M121</f>
        <v>0</v>
      </c>
      <c r="AT109" s="295">
        <f>'FREH LGV vkm'!N109*'FREH Stock'!N121</f>
        <v>0</v>
      </c>
      <c r="AU109" s="295">
        <f>'FREH LGV vkm'!O109*'FREH Stock'!O121</f>
        <v>0</v>
      </c>
      <c r="AV109" s="295">
        <f>'FREH LGV vkm'!P109*'FREH Stock'!P121</f>
        <v>0</v>
      </c>
      <c r="AW109" s="295">
        <f>'FREH LGV vkm'!Q109*'FREH Stock'!Q121</f>
        <v>0</v>
      </c>
      <c r="AX109" s="295">
        <f>'FREH LGV vkm'!R109*'FREH Stock'!R121</f>
        <v>0</v>
      </c>
      <c r="AY109" s="295">
        <f>'FREH LGV vkm'!S109*'FREH Stock'!S121</f>
        <v>0</v>
      </c>
      <c r="AZ109" s="295">
        <f>'FREH LGV vkm'!T109*'FREH Stock'!T121</f>
        <v>0</v>
      </c>
      <c r="BA109" s="295">
        <f>'FREH LGV vkm'!U109*'FREH Stock'!U121</f>
        <v>0</v>
      </c>
      <c r="BB109" s="295">
        <f>'FREH LGV vkm'!V109*'FREH Stock'!V121</f>
        <v>0</v>
      </c>
      <c r="BC109" s="295">
        <f>'FREH LGV vkm'!W109*'FREH Stock'!W121</f>
        <v>0</v>
      </c>
      <c r="BD109" s="295">
        <f>'FREH LGV vkm'!X109*'FREH Stock'!X121</f>
        <v>0</v>
      </c>
      <c r="BE109" s="295">
        <f>'FREH LGV vkm'!Y109*'FREH Stock'!Y121</f>
        <v>0</v>
      </c>
      <c r="BF109" s="295">
        <f>'FREH LGV vkm'!Z109*'FREH Stock'!Z121</f>
        <v>0</v>
      </c>
      <c r="BG109" s="295">
        <f>'FREH LGV vkm'!AA109*'FREH Stock'!AA121</f>
        <v>0</v>
      </c>
      <c r="BH109" s="295">
        <f>'FREH LGV vkm'!AB109*'FREH Stock'!AB121</f>
        <v>0</v>
      </c>
      <c r="BI109" s="295">
        <f>'FREH LGV vkm'!AC109*'FREH Stock'!AC121</f>
        <v>0</v>
      </c>
      <c r="BJ109" s="295">
        <f>'FREH LGV vkm'!AD109*'FREH Stock'!AD121</f>
        <v>0</v>
      </c>
      <c r="BK109" s="296">
        <f>'FREH LGV vkm'!AE109*'FREH Stock'!AE121</f>
        <v>0</v>
      </c>
    </row>
    <row r="110" spans="1:63">
      <c r="A110" s="1711"/>
      <c r="B110" s="116">
        <v>8</v>
      </c>
      <c r="C110" s="294">
        <f t="shared" ref="C110:D125" si="25">C109</f>
        <v>13502.515542757992</v>
      </c>
      <c r="D110" s="295">
        <f t="shared" si="25"/>
        <v>13502.515542757992</v>
      </c>
      <c r="E110" s="295">
        <f t="shared" si="24"/>
        <v>13502.515542757992</v>
      </c>
      <c r="F110" s="295">
        <f t="shared" si="24"/>
        <v>13502.515542757992</v>
      </c>
      <c r="G110" s="295">
        <f t="shared" si="24"/>
        <v>13502.515542757992</v>
      </c>
      <c r="H110" s="295">
        <f t="shared" si="24"/>
        <v>13502.515542757992</v>
      </c>
      <c r="I110" s="295">
        <f t="shared" si="24"/>
        <v>13502.515542757992</v>
      </c>
      <c r="J110" s="295">
        <f t="shared" si="24"/>
        <v>13502.515542757992</v>
      </c>
      <c r="K110" s="295">
        <f t="shared" si="24"/>
        <v>13502.515542757992</v>
      </c>
      <c r="L110" s="295">
        <f t="shared" si="24"/>
        <v>13502.515542757992</v>
      </c>
      <c r="M110" s="295">
        <f t="shared" si="24"/>
        <v>13502.515542757992</v>
      </c>
      <c r="N110" s="295">
        <f t="shared" si="24"/>
        <v>13502.515542757992</v>
      </c>
      <c r="O110" s="295">
        <f t="shared" si="24"/>
        <v>13502.515542757992</v>
      </c>
      <c r="P110" s="295">
        <f t="shared" si="24"/>
        <v>13502.515542757992</v>
      </c>
      <c r="Q110" s="295">
        <f t="shared" si="24"/>
        <v>13502.515542757992</v>
      </c>
      <c r="R110" s="295">
        <f t="shared" si="24"/>
        <v>13502.515542757992</v>
      </c>
      <c r="S110" s="295">
        <f t="shared" si="24"/>
        <v>13502.515542757992</v>
      </c>
      <c r="T110" s="295">
        <f t="shared" si="24"/>
        <v>13502.515542757992</v>
      </c>
      <c r="U110" s="295">
        <f t="shared" si="24"/>
        <v>13502.515542757992</v>
      </c>
      <c r="V110" s="295">
        <f t="shared" si="24"/>
        <v>13502.515542757992</v>
      </c>
      <c r="W110" s="295">
        <f t="shared" si="24"/>
        <v>13502.515542757992</v>
      </c>
      <c r="X110" s="295">
        <f t="shared" si="24"/>
        <v>13502.515542757992</v>
      </c>
      <c r="Y110" s="295">
        <f t="shared" si="24"/>
        <v>13502.515542757992</v>
      </c>
      <c r="Z110" s="295">
        <f t="shared" si="24"/>
        <v>13502.515542757992</v>
      </c>
      <c r="AA110" s="295">
        <f t="shared" si="24"/>
        <v>13502.515542757992</v>
      </c>
      <c r="AB110" s="295">
        <f t="shared" si="24"/>
        <v>13502.515542757992</v>
      </c>
      <c r="AC110" s="295">
        <f t="shared" si="24"/>
        <v>13502.515542757992</v>
      </c>
      <c r="AD110" s="295">
        <f t="shared" si="24"/>
        <v>13502.515542757992</v>
      </c>
      <c r="AE110" s="296">
        <f t="shared" si="24"/>
        <v>13502.515542757992</v>
      </c>
      <c r="AG110" s="1711"/>
      <c r="AH110" s="116">
        <v>8</v>
      </c>
      <c r="AI110" s="294">
        <f>'FREH LGV vkm'!C110*'FREH Stock'!C122</f>
        <v>94517.608799305948</v>
      </c>
      <c r="AJ110" s="295">
        <f>'FREH LGV vkm'!D110*'FREH Stock'!D122</f>
        <v>106456.94068931413</v>
      </c>
      <c r="AK110" s="295">
        <f>'FREH LGV vkm'!E110*'FREH Stock'!E122</f>
        <v>227671.57870607034</v>
      </c>
      <c r="AL110" s="295">
        <f>'FREH LGV vkm'!F110*'FREH Stock'!F122</f>
        <v>122565.62978530119</v>
      </c>
      <c r="AM110" s="295">
        <f>'FREH LGV vkm'!G110*'FREH Stock'!G122</f>
        <v>166522.25560300061</v>
      </c>
      <c r="AN110" s="295">
        <f>'FREH LGV vkm'!H110*'FREH Stock'!H122</f>
        <v>66584.263379054973</v>
      </c>
      <c r="AO110" s="295">
        <f>'FREH LGV vkm'!I110*'FREH Stock'!I122</f>
        <v>110642.96499810654</v>
      </c>
      <c r="AP110" s="295">
        <f>'FREH LGV vkm'!J110*'FREH Stock'!J122</f>
        <v>117133.84395342859</v>
      </c>
      <c r="AQ110" s="295">
        <f>'FREH LGV vkm'!K110*'FREH Stock'!K122</f>
        <v>8861.6190408393013</v>
      </c>
      <c r="AR110" s="295">
        <f>'FREH LGV vkm'!L110*'FREH Stock'!L122</f>
        <v>0</v>
      </c>
      <c r="AS110" s="295">
        <f>'FREH LGV vkm'!M110*'FREH Stock'!M122</f>
        <v>0</v>
      </c>
      <c r="AT110" s="295">
        <f>'FREH LGV vkm'!N110*'FREH Stock'!N122</f>
        <v>0</v>
      </c>
      <c r="AU110" s="295">
        <f>'FREH LGV vkm'!O110*'FREH Stock'!O122</f>
        <v>0</v>
      </c>
      <c r="AV110" s="295">
        <f>'FREH LGV vkm'!P110*'FREH Stock'!P122</f>
        <v>0</v>
      </c>
      <c r="AW110" s="295">
        <f>'FREH LGV vkm'!Q110*'FREH Stock'!Q122</f>
        <v>0</v>
      </c>
      <c r="AX110" s="295">
        <f>'FREH LGV vkm'!R110*'FREH Stock'!R122</f>
        <v>0</v>
      </c>
      <c r="AY110" s="295">
        <f>'FREH LGV vkm'!S110*'FREH Stock'!S122</f>
        <v>0</v>
      </c>
      <c r="AZ110" s="295">
        <f>'FREH LGV vkm'!T110*'FREH Stock'!T122</f>
        <v>0</v>
      </c>
      <c r="BA110" s="295">
        <f>'FREH LGV vkm'!U110*'FREH Stock'!U122</f>
        <v>0</v>
      </c>
      <c r="BB110" s="295">
        <f>'FREH LGV vkm'!V110*'FREH Stock'!V122</f>
        <v>0</v>
      </c>
      <c r="BC110" s="295">
        <f>'FREH LGV vkm'!W110*'FREH Stock'!W122</f>
        <v>0</v>
      </c>
      <c r="BD110" s="295">
        <f>'FREH LGV vkm'!X110*'FREH Stock'!X122</f>
        <v>0</v>
      </c>
      <c r="BE110" s="295">
        <f>'FREH LGV vkm'!Y110*'FREH Stock'!Y122</f>
        <v>0</v>
      </c>
      <c r="BF110" s="295">
        <f>'FREH LGV vkm'!Z110*'FREH Stock'!Z122</f>
        <v>0</v>
      </c>
      <c r="BG110" s="295">
        <f>'FREH LGV vkm'!AA110*'FREH Stock'!AA122</f>
        <v>0</v>
      </c>
      <c r="BH110" s="295">
        <f>'FREH LGV vkm'!AB110*'FREH Stock'!AB122</f>
        <v>0</v>
      </c>
      <c r="BI110" s="295">
        <f>'FREH LGV vkm'!AC110*'FREH Stock'!AC122</f>
        <v>0</v>
      </c>
      <c r="BJ110" s="295">
        <f>'FREH LGV vkm'!AD110*'FREH Stock'!AD122</f>
        <v>0</v>
      </c>
      <c r="BK110" s="296">
        <f>'FREH LGV vkm'!AE110*'FREH Stock'!AE122</f>
        <v>0</v>
      </c>
    </row>
    <row r="111" spans="1:63">
      <c r="A111" s="1711"/>
      <c r="B111" s="116">
        <v>9</v>
      </c>
      <c r="C111" s="294">
        <f t="shared" si="25"/>
        <v>13502.515542757992</v>
      </c>
      <c r="D111" s="295">
        <f t="shared" si="25"/>
        <v>13502.515542757992</v>
      </c>
      <c r="E111" s="295">
        <f t="shared" si="24"/>
        <v>13502.515542757992</v>
      </c>
      <c r="F111" s="295">
        <f t="shared" si="24"/>
        <v>13502.515542757992</v>
      </c>
      <c r="G111" s="295">
        <f t="shared" si="24"/>
        <v>13502.515542757992</v>
      </c>
      <c r="H111" s="295">
        <f t="shared" si="24"/>
        <v>13502.515542757992</v>
      </c>
      <c r="I111" s="295">
        <f t="shared" si="24"/>
        <v>13502.515542757992</v>
      </c>
      <c r="J111" s="295">
        <f t="shared" si="24"/>
        <v>13502.515542757992</v>
      </c>
      <c r="K111" s="295">
        <f t="shared" si="24"/>
        <v>13502.515542757992</v>
      </c>
      <c r="L111" s="295">
        <f t="shared" si="24"/>
        <v>13502.515542757992</v>
      </c>
      <c r="M111" s="295">
        <f t="shared" si="24"/>
        <v>13502.515542757992</v>
      </c>
      <c r="N111" s="295">
        <f t="shared" si="24"/>
        <v>13502.515542757992</v>
      </c>
      <c r="O111" s="295">
        <f t="shared" si="24"/>
        <v>13502.515542757992</v>
      </c>
      <c r="P111" s="295">
        <f t="shared" si="24"/>
        <v>13502.515542757992</v>
      </c>
      <c r="Q111" s="295">
        <f t="shared" si="24"/>
        <v>13502.515542757992</v>
      </c>
      <c r="R111" s="295">
        <f t="shared" si="24"/>
        <v>13502.515542757992</v>
      </c>
      <c r="S111" s="295">
        <f t="shared" si="24"/>
        <v>13502.515542757992</v>
      </c>
      <c r="T111" s="295">
        <f t="shared" si="24"/>
        <v>13502.515542757992</v>
      </c>
      <c r="U111" s="295">
        <f t="shared" si="24"/>
        <v>13502.515542757992</v>
      </c>
      <c r="V111" s="295">
        <f t="shared" si="24"/>
        <v>13502.515542757992</v>
      </c>
      <c r="W111" s="295">
        <f t="shared" si="24"/>
        <v>13502.515542757992</v>
      </c>
      <c r="X111" s="295">
        <f t="shared" si="24"/>
        <v>13502.515542757992</v>
      </c>
      <c r="Y111" s="295">
        <f t="shared" si="24"/>
        <v>13502.515542757992</v>
      </c>
      <c r="Z111" s="295">
        <f t="shared" si="24"/>
        <v>13502.515542757992</v>
      </c>
      <c r="AA111" s="295">
        <f t="shared" si="24"/>
        <v>13502.515542757992</v>
      </c>
      <c r="AB111" s="295">
        <f t="shared" si="24"/>
        <v>13502.515542757992</v>
      </c>
      <c r="AC111" s="295">
        <f t="shared" si="24"/>
        <v>13502.515542757992</v>
      </c>
      <c r="AD111" s="295">
        <f t="shared" si="24"/>
        <v>13502.515542757992</v>
      </c>
      <c r="AE111" s="296">
        <f t="shared" si="24"/>
        <v>13502.515542757992</v>
      </c>
      <c r="AG111" s="1711"/>
      <c r="AH111" s="116">
        <v>9</v>
      </c>
      <c r="AI111" s="294">
        <f>'FREH LGV vkm'!C111*'FREH Stock'!C123</f>
        <v>135025.15542757991</v>
      </c>
      <c r="AJ111" s="295">
        <f>'FREH LGV vkm'!D111*'FREH Stock'!D123</f>
        <v>77697.266976965533</v>
      </c>
      <c r="AK111" s="295">
        <f>'FREH LGV vkm'!E111*'FREH Stock'!E123</f>
        <v>87511.876859387514</v>
      </c>
      <c r="AL111" s="295">
        <f>'FREH LGV vkm'!F111*'FREH Stock'!F123</f>
        <v>187155.17307842287</v>
      </c>
      <c r="AM111" s="295">
        <f>'FREH LGV vkm'!G111*'FREH Stock'!G123</f>
        <v>100753.86566167968</v>
      </c>
      <c r="AN111" s="295">
        <f>'FREH LGV vkm'!H111*'FREH Stock'!H123</f>
        <v>136887.9758550117</v>
      </c>
      <c r="AO111" s="295">
        <f>'FREH LGV vkm'!I111*'FREH Stock'!I123</f>
        <v>54734.936208680432</v>
      </c>
      <c r="AP111" s="295">
        <f>'FREH LGV vkm'!J111*'FREH Stock'!J123</f>
        <v>90952.956806542294</v>
      </c>
      <c r="AQ111" s="295">
        <f>'FREH LGV vkm'!K111*'FREH Stock'!K123</f>
        <v>96288.719756043909</v>
      </c>
      <c r="AR111" s="295">
        <f>'FREH LGV vkm'!L111*'FREH Stock'!L123</f>
        <v>7284.6064263668541</v>
      </c>
      <c r="AS111" s="295">
        <f>'FREH LGV vkm'!M111*'FREH Stock'!M123</f>
        <v>0</v>
      </c>
      <c r="AT111" s="295">
        <f>'FREH LGV vkm'!N111*'FREH Stock'!N123</f>
        <v>0</v>
      </c>
      <c r="AU111" s="295">
        <f>'FREH LGV vkm'!O111*'FREH Stock'!O123</f>
        <v>0</v>
      </c>
      <c r="AV111" s="295">
        <f>'FREH LGV vkm'!P111*'FREH Stock'!P123</f>
        <v>0</v>
      </c>
      <c r="AW111" s="295">
        <f>'FREH LGV vkm'!Q111*'FREH Stock'!Q123</f>
        <v>0</v>
      </c>
      <c r="AX111" s="295">
        <f>'FREH LGV vkm'!R111*'FREH Stock'!R123</f>
        <v>0</v>
      </c>
      <c r="AY111" s="295">
        <f>'FREH LGV vkm'!S111*'FREH Stock'!S123</f>
        <v>0</v>
      </c>
      <c r="AZ111" s="295">
        <f>'FREH LGV vkm'!T111*'FREH Stock'!T123</f>
        <v>0</v>
      </c>
      <c r="BA111" s="295">
        <f>'FREH LGV vkm'!U111*'FREH Stock'!U123</f>
        <v>0</v>
      </c>
      <c r="BB111" s="295">
        <f>'FREH LGV vkm'!V111*'FREH Stock'!V123</f>
        <v>0</v>
      </c>
      <c r="BC111" s="295">
        <f>'FREH LGV vkm'!W111*'FREH Stock'!W123</f>
        <v>0</v>
      </c>
      <c r="BD111" s="295">
        <f>'FREH LGV vkm'!X111*'FREH Stock'!X123</f>
        <v>0</v>
      </c>
      <c r="BE111" s="295">
        <f>'FREH LGV vkm'!Y111*'FREH Stock'!Y123</f>
        <v>0</v>
      </c>
      <c r="BF111" s="295">
        <f>'FREH LGV vkm'!Z111*'FREH Stock'!Z123</f>
        <v>0</v>
      </c>
      <c r="BG111" s="295">
        <f>'FREH LGV vkm'!AA111*'FREH Stock'!AA123</f>
        <v>0</v>
      </c>
      <c r="BH111" s="295">
        <f>'FREH LGV vkm'!AB111*'FREH Stock'!AB123</f>
        <v>0</v>
      </c>
      <c r="BI111" s="295">
        <f>'FREH LGV vkm'!AC111*'FREH Stock'!AC123</f>
        <v>0</v>
      </c>
      <c r="BJ111" s="295">
        <f>'FREH LGV vkm'!AD111*'FREH Stock'!AD123</f>
        <v>0</v>
      </c>
      <c r="BK111" s="296">
        <f>'FREH LGV vkm'!AE111*'FREH Stock'!AE123</f>
        <v>0</v>
      </c>
    </row>
    <row r="112" spans="1:63">
      <c r="A112" s="1711"/>
      <c r="B112" s="116">
        <v>10</v>
      </c>
      <c r="C112" s="294">
        <f t="shared" si="25"/>
        <v>13502.515542757992</v>
      </c>
      <c r="D112" s="295">
        <f t="shared" si="25"/>
        <v>13502.515542757992</v>
      </c>
      <c r="E112" s="295">
        <f t="shared" si="24"/>
        <v>13502.515542757992</v>
      </c>
      <c r="F112" s="295">
        <f t="shared" si="24"/>
        <v>13502.515542757992</v>
      </c>
      <c r="G112" s="295">
        <f t="shared" si="24"/>
        <v>13502.515542757992</v>
      </c>
      <c r="H112" s="295">
        <f t="shared" si="24"/>
        <v>13502.515542757992</v>
      </c>
      <c r="I112" s="295">
        <f t="shared" si="24"/>
        <v>13502.515542757992</v>
      </c>
      <c r="J112" s="295">
        <f t="shared" si="24"/>
        <v>13502.515542757992</v>
      </c>
      <c r="K112" s="295">
        <f t="shared" si="24"/>
        <v>13502.515542757992</v>
      </c>
      <c r="L112" s="295">
        <f t="shared" si="24"/>
        <v>13502.515542757992</v>
      </c>
      <c r="M112" s="295">
        <f t="shared" si="24"/>
        <v>13502.515542757992</v>
      </c>
      <c r="N112" s="295">
        <f t="shared" si="24"/>
        <v>13502.515542757992</v>
      </c>
      <c r="O112" s="295">
        <f t="shared" si="24"/>
        <v>13502.515542757992</v>
      </c>
      <c r="P112" s="295">
        <f t="shared" si="24"/>
        <v>13502.515542757992</v>
      </c>
      <c r="Q112" s="295">
        <f t="shared" si="24"/>
        <v>13502.515542757992</v>
      </c>
      <c r="R112" s="295">
        <f t="shared" si="24"/>
        <v>13502.515542757992</v>
      </c>
      <c r="S112" s="295">
        <f t="shared" si="24"/>
        <v>13502.515542757992</v>
      </c>
      <c r="T112" s="295">
        <f t="shared" si="24"/>
        <v>13502.515542757992</v>
      </c>
      <c r="U112" s="295">
        <f t="shared" si="24"/>
        <v>13502.515542757992</v>
      </c>
      <c r="V112" s="295">
        <f t="shared" si="24"/>
        <v>13502.515542757992</v>
      </c>
      <c r="W112" s="295">
        <f t="shared" si="24"/>
        <v>13502.515542757992</v>
      </c>
      <c r="X112" s="295">
        <f t="shared" si="24"/>
        <v>13502.515542757992</v>
      </c>
      <c r="Y112" s="295">
        <f t="shared" si="24"/>
        <v>13502.515542757992</v>
      </c>
      <c r="Z112" s="295">
        <f t="shared" si="24"/>
        <v>13502.515542757992</v>
      </c>
      <c r="AA112" s="295">
        <f t="shared" si="24"/>
        <v>13502.515542757992</v>
      </c>
      <c r="AB112" s="295">
        <f t="shared" si="24"/>
        <v>13502.515542757992</v>
      </c>
      <c r="AC112" s="295">
        <f t="shared" si="24"/>
        <v>13502.515542757992</v>
      </c>
      <c r="AD112" s="295">
        <f t="shared" si="24"/>
        <v>13502.515542757992</v>
      </c>
      <c r="AE112" s="296">
        <f t="shared" si="24"/>
        <v>13502.515542757992</v>
      </c>
      <c r="AG112" s="1711"/>
      <c r="AH112" s="116">
        <v>10</v>
      </c>
      <c r="AI112" s="294">
        <f>'FREH LGV vkm'!C112*'FREH Stock'!C124</f>
        <v>162030.18651309592</v>
      </c>
      <c r="AJ112" s="295">
        <f>'FREH LGV vkm'!D112*'FREH Stock'!D124</f>
        <v>104007.84423592285</v>
      </c>
      <c r="AK112" s="295">
        <f>'FREH LGV vkm'!E112*'FREH Stock'!E124</f>
        <v>59849.034912841969</v>
      </c>
      <c r="AL112" s="295">
        <f>'FREH LGV vkm'!F112*'FREH Stock'!F124</f>
        <v>67409.081132783511</v>
      </c>
      <c r="AM112" s="295">
        <f>'FREH LGV vkm'!G112*'FREH Stock'!G124</f>
        <v>144162.81194305362</v>
      </c>
      <c r="AN112" s="295">
        <f>'FREH LGV vkm'!H112*'FREH Stock'!H124</f>
        <v>77609.185730784375</v>
      </c>
      <c r="AO112" s="295">
        <f>'FREH LGV vkm'!I112*'FREH Stock'!I124</f>
        <v>105442.74676384281</v>
      </c>
      <c r="AP112" s="295">
        <f>'FREH LGV vkm'!J112*'FREH Stock'!J124</f>
        <v>42161.497251591369</v>
      </c>
      <c r="AQ112" s="295">
        <f>'FREH LGV vkm'!K112*'FREH Stock'!K124</f>
        <v>70059.693205872303</v>
      </c>
      <c r="AR112" s="295">
        <f>'FREH LGV vkm'!L112*'FREH Stock'!L124</f>
        <v>74169.751068603087</v>
      </c>
      <c r="AS112" s="295">
        <f>'FREH LGV vkm'!M112*'FREH Stock'!M124</f>
        <v>5611.2226504336932</v>
      </c>
      <c r="AT112" s="295">
        <f>'FREH LGV vkm'!N112*'FREH Stock'!N124</f>
        <v>0</v>
      </c>
      <c r="AU112" s="295">
        <f>'FREH LGV vkm'!O112*'FREH Stock'!O124</f>
        <v>0</v>
      </c>
      <c r="AV112" s="295">
        <f>'FREH LGV vkm'!P112*'FREH Stock'!P124</f>
        <v>0</v>
      </c>
      <c r="AW112" s="295">
        <f>'FREH LGV vkm'!Q112*'FREH Stock'!Q124</f>
        <v>0</v>
      </c>
      <c r="AX112" s="295">
        <f>'FREH LGV vkm'!R112*'FREH Stock'!R124</f>
        <v>0</v>
      </c>
      <c r="AY112" s="295">
        <f>'FREH LGV vkm'!S112*'FREH Stock'!S124</f>
        <v>0</v>
      </c>
      <c r="AZ112" s="295">
        <f>'FREH LGV vkm'!T112*'FREH Stock'!T124</f>
        <v>0</v>
      </c>
      <c r="BA112" s="295">
        <f>'FREH LGV vkm'!U112*'FREH Stock'!U124</f>
        <v>0</v>
      </c>
      <c r="BB112" s="295">
        <f>'FREH LGV vkm'!V112*'FREH Stock'!V124</f>
        <v>0</v>
      </c>
      <c r="BC112" s="295">
        <f>'FREH LGV vkm'!W112*'FREH Stock'!W124</f>
        <v>0</v>
      </c>
      <c r="BD112" s="295">
        <f>'FREH LGV vkm'!X112*'FREH Stock'!X124</f>
        <v>0</v>
      </c>
      <c r="BE112" s="295">
        <f>'FREH LGV vkm'!Y112*'FREH Stock'!Y124</f>
        <v>0</v>
      </c>
      <c r="BF112" s="295">
        <f>'FREH LGV vkm'!Z112*'FREH Stock'!Z124</f>
        <v>0</v>
      </c>
      <c r="BG112" s="295">
        <f>'FREH LGV vkm'!AA112*'FREH Stock'!AA124</f>
        <v>0</v>
      </c>
      <c r="BH112" s="295">
        <f>'FREH LGV vkm'!AB112*'FREH Stock'!AB124</f>
        <v>0</v>
      </c>
      <c r="BI112" s="295">
        <f>'FREH LGV vkm'!AC112*'FREH Stock'!AC124</f>
        <v>0</v>
      </c>
      <c r="BJ112" s="295">
        <f>'FREH LGV vkm'!AD112*'FREH Stock'!AD124</f>
        <v>0</v>
      </c>
      <c r="BK112" s="296">
        <f>'FREH LGV vkm'!AE112*'FREH Stock'!AE124</f>
        <v>0</v>
      </c>
    </row>
    <row r="113" spans="1:63">
      <c r="A113" s="1711"/>
      <c r="B113" s="116">
        <v>11</v>
      </c>
      <c r="C113" s="294">
        <f t="shared" si="25"/>
        <v>13502.515542757992</v>
      </c>
      <c r="D113" s="295">
        <f t="shared" si="25"/>
        <v>13502.515542757992</v>
      </c>
      <c r="E113" s="295">
        <f t="shared" si="24"/>
        <v>13502.515542757992</v>
      </c>
      <c r="F113" s="295">
        <f t="shared" si="24"/>
        <v>13502.515542757992</v>
      </c>
      <c r="G113" s="295">
        <f t="shared" si="24"/>
        <v>13502.515542757992</v>
      </c>
      <c r="H113" s="295">
        <f t="shared" si="24"/>
        <v>13502.515542757992</v>
      </c>
      <c r="I113" s="295">
        <f t="shared" si="24"/>
        <v>13502.515542757992</v>
      </c>
      <c r="J113" s="295">
        <f t="shared" si="24"/>
        <v>13502.515542757992</v>
      </c>
      <c r="K113" s="295">
        <f t="shared" si="24"/>
        <v>13502.515542757992</v>
      </c>
      <c r="L113" s="295">
        <f t="shared" si="24"/>
        <v>13502.515542757992</v>
      </c>
      <c r="M113" s="295">
        <f t="shared" si="24"/>
        <v>13502.515542757992</v>
      </c>
      <c r="N113" s="295">
        <f t="shared" si="24"/>
        <v>13502.515542757992</v>
      </c>
      <c r="O113" s="295">
        <f t="shared" si="24"/>
        <v>13502.515542757992</v>
      </c>
      <c r="P113" s="295">
        <f t="shared" si="24"/>
        <v>13502.515542757992</v>
      </c>
      <c r="Q113" s="295">
        <f t="shared" si="24"/>
        <v>13502.515542757992</v>
      </c>
      <c r="R113" s="295">
        <f t="shared" si="24"/>
        <v>13502.515542757992</v>
      </c>
      <c r="S113" s="295">
        <f t="shared" si="24"/>
        <v>13502.515542757992</v>
      </c>
      <c r="T113" s="295">
        <f t="shared" si="24"/>
        <v>13502.515542757992</v>
      </c>
      <c r="U113" s="295">
        <f t="shared" si="24"/>
        <v>13502.515542757992</v>
      </c>
      <c r="V113" s="295">
        <f t="shared" si="24"/>
        <v>13502.515542757992</v>
      </c>
      <c r="W113" s="295">
        <f t="shared" si="24"/>
        <v>13502.515542757992</v>
      </c>
      <c r="X113" s="295">
        <f t="shared" si="24"/>
        <v>13502.515542757992</v>
      </c>
      <c r="Y113" s="295">
        <f t="shared" si="24"/>
        <v>13502.515542757992</v>
      </c>
      <c r="Z113" s="295">
        <f t="shared" si="24"/>
        <v>13502.515542757992</v>
      </c>
      <c r="AA113" s="295">
        <f t="shared" si="24"/>
        <v>13502.515542757992</v>
      </c>
      <c r="AB113" s="295">
        <f t="shared" si="24"/>
        <v>13502.515542757992</v>
      </c>
      <c r="AC113" s="295">
        <f t="shared" si="24"/>
        <v>13502.515542757992</v>
      </c>
      <c r="AD113" s="295">
        <f t="shared" si="24"/>
        <v>13502.515542757992</v>
      </c>
      <c r="AE113" s="296">
        <f t="shared" si="24"/>
        <v>13502.515542757992</v>
      </c>
      <c r="AG113" s="1711"/>
      <c r="AH113" s="116">
        <v>11</v>
      </c>
      <c r="AI113" s="294">
        <f>'FREH LGV vkm'!C113*'FREH Stock'!C125</f>
        <v>94517.608799305948</v>
      </c>
      <c r="AJ113" s="295">
        <f>'FREH LGV vkm'!D113*'FREH Stock'!D125</f>
        <v>114768.22240705253</v>
      </c>
      <c r="AK113" s="295">
        <f>'FREH LGV vkm'!E113*'FREH Stock'!E125</f>
        <v>73670.194771896364</v>
      </c>
      <c r="AL113" s="295">
        <f>'FREH LGV vkm'!F113*'FREH Stock'!F125</f>
        <v>42391.899296921067</v>
      </c>
      <c r="AM113" s="295">
        <f>'FREH LGV vkm'!G113*'FREH Stock'!G125</f>
        <v>47746.784609650866</v>
      </c>
      <c r="AN113" s="295">
        <f>'FREH LGV vkm'!H113*'FREH Stock'!H125</f>
        <v>102112.51384672825</v>
      </c>
      <c r="AO113" s="295">
        <f>'FREH LGV vkm'!I113*'FREH Stock'!I125</f>
        <v>54971.659790449026</v>
      </c>
      <c r="AP113" s="295">
        <f>'FREH LGV vkm'!J113*'FREH Stock'!J125</f>
        <v>74686.556080864248</v>
      </c>
      <c r="AQ113" s="295">
        <f>'FREH LGV vkm'!K113*'FREH Stock'!K125</f>
        <v>29863.571706707142</v>
      </c>
      <c r="AR113" s="295">
        <f>'FREH LGV vkm'!L113*'FREH Stock'!L125</f>
        <v>49624.249805893698</v>
      </c>
      <c r="AS113" s="295">
        <f>'FREH LGV vkm'!M113*'FREH Stock'!M125</f>
        <v>52535.460642879421</v>
      </c>
      <c r="AT113" s="295">
        <f>'FREH LGV vkm'!N113*'FREH Stock'!N125</f>
        <v>3974.5066211376311</v>
      </c>
      <c r="AU113" s="295">
        <f>'FREH LGV vkm'!O113*'FREH Stock'!O125</f>
        <v>0</v>
      </c>
      <c r="AV113" s="295">
        <f>'FREH LGV vkm'!P113*'FREH Stock'!P125</f>
        <v>0</v>
      </c>
      <c r="AW113" s="295">
        <f>'FREH LGV vkm'!Q113*'FREH Stock'!Q125</f>
        <v>0</v>
      </c>
      <c r="AX113" s="295">
        <f>'FREH LGV vkm'!R113*'FREH Stock'!R125</f>
        <v>0</v>
      </c>
      <c r="AY113" s="295">
        <f>'FREH LGV vkm'!S113*'FREH Stock'!S125</f>
        <v>0</v>
      </c>
      <c r="AZ113" s="295">
        <f>'FREH LGV vkm'!T113*'FREH Stock'!T125</f>
        <v>0</v>
      </c>
      <c r="BA113" s="295">
        <f>'FREH LGV vkm'!U113*'FREH Stock'!U125</f>
        <v>0</v>
      </c>
      <c r="BB113" s="295">
        <f>'FREH LGV vkm'!V113*'FREH Stock'!V125</f>
        <v>0</v>
      </c>
      <c r="BC113" s="295">
        <f>'FREH LGV vkm'!W113*'FREH Stock'!W125</f>
        <v>0</v>
      </c>
      <c r="BD113" s="295">
        <f>'FREH LGV vkm'!X113*'FREH Stock'!X125</f>
        <v>0</v>
      </c>
      <c r="BE113" s="295">
        <f>'FREH LGV vkm'!Y113*'FREH Stock'!Y125</f>
        <v>0</v>
      </c>
      <c r="BF113" s="295">
        <f>'FREH LGV vkm'!Z113*'FREH Stock'!Z125</f>
        <v>0</v>
      </c>
      <c r="BG113" s="295">
        <f>'FREH LGV vkm'!AA113*'FREH Stock'!AA125</f>
        <v>0</v>
      </c>
      <c r="BH113" s="295">
        <f>'FREH LGV vkm'!AB113*'FREH Stock'!AB125</f>
        <v>0</v>
      </c>
      <c r="BI113" s="295">
        <f>'FREH LGV vkm'!AC113*'FREH Stock'!AC125</f>
        <v>0</v>
      </c>
      <c r="BJ113" s="295">
        <f>'FREH LGV vkm'!AD113*'FREH Stock'!AD125</f>
        <v>0</v>
      </c>
      <c r="BK113" s="296">
        <f>'FREH LGV vkm'!AE113*'FREH Stock'!AE125</f>
        <v>0</v>
      </c>
    </row>
    <row r="114" spans="1:63">
      <c r="A114" s="1711"/>
      <c r="B114" s="116">
        <v>12</v>
      </c>
      <c r="C114" s="294">
        <f t="shared" si="25"/>
        <v>13502.515542757992</v>
      </c>
      <c r="D114" s="295">
        <f t="shared" si="25"/>
        <v>13502.515542757992</v>
      </c>
      <c r="E114" s="295">
        <f t="shared" si="24"/>
        <v>13502.515542757992</v>
      </c>
      <c r="F114" s="295">
        <f t="shared" si="24"/>
        <v>13502.515542757992</v>
      </c>
      <c r="G114" s="295">
        <f t="shared" si="24"/>
        <v>13502.515542757992</v>
      </c>
      <c r="H114" s="295">
        <f t="shared" si="24"/>
        <v>13502.515542757992</v>
      </c>
      <c r="I114" s="295">
        <f t="shared" si="24"/>
        <v>13502.515542757992</v>
      </c>
      <c r="J114" s="295">
        <f t="shared" si="24"/>
        <v>13502.515542757992</v>
      </c>
      <c r="K114" s="295">
        <f t="shared" si="24"/>
        <v>13502.515542757992</v>
      </c>
      <c r="L114" s="295">
        <f t="shared" si="24"/>
        <v>13502.515542757992</v>
      </c>
      <c r="M114" s="295">
        <f t="shared" si="24"/>
        <v>13502.515542757992</v>
      </c>
      <c r="N114" s="295">
        <f t="shared" si="24"/>
        <v>13502.515542757992</v>
      </c>
      <c r="O114" s="295">
        <f t="shared" si="24"/>
        <v>13502.515542757992</v>
      </c>
      <c r="P114" s="295">
        <f t="shared" si="24"/>
        <v>13502.515542757992</v>
      </c>
      <c r="Q114" s="295">
        <f t="shared" si="24"/>
        <v>13502.515542757992</v>
      </c>
      <c r="R114" s="295">
        <f t="shared" si="24"/>
        <v>13502.515542757992</v>
      </c>
      <c r="S114" s="295">
        <f t="shared" si="24"/>
        <v>13502.515542757992</v>
      </c>
      <c r="T114" s="295">
        <f t="shared" si="24"/>
        <v>13502.515542757992</v>
      </c>
      <c r="U114" s="295">
        <f t="shared" si="24"/>
        <v>13502.515542757992</v>
      </c>
      <c r="V114" s="295">
        <f t="shared" si="24"/>
        <v>13502.515542757992</v>
      </c>
      <c r="W114" s="295">
        <f t="shared" si="24"/>
        <v>13502.515542757992</v>
      </c>
      <c r="X114" s="295">
        <f t="shared" si="24"/>
        <v>13502.515542757992</v>
      </c>
      <c r="Y114" s="295">
        <f t="shared" si="24"/>
        <v>13502.515542757992</v>
      </c>
      <c r="Z114" s="295">
        <f t="shared" si="24"/>
        <v>13502.515542757992</v>
      </c>
      <c r="AA114" s="295">
        <f t="shared" si="24"/>
        <v>13502.515542757992</v>
      </c>
      <c r="AB114" s="295">
        <f t="shared" si="24"/>
        <v>13502.515542757992</v>
      </c>
      <c r="AC114" s="295">
        <f t="shared" si="24"/>
        <v>13502.515542757992</v>
      </c>
      <c r="AD114" s="295">
        <f t="shared" si="24"/>
        <v>13502.515542757992</v>
      </c>
      <c r="AE114" s="296">
        <f t="shared" si="24"/>
        <v>13502.515542757992</v>
      </c>
      <c r="AG114" s="1711"/>
      <c r="AH114" s="116">
        <v>12</v>
      </c>
      <c r="AI114" s="294">
        <f>'FREH LGV vkm'!C114*'FREH Stock'!C126</f>
        <v>162030.18651309592</v>
      </c>
      <c r="AJ114" s="295">
        <f>'FREH LGV vkm'!D114*'FREH Stock'!D126</f>
        <v>59802.105619448215</v>
      </c>
      <c r="AK114" s="295">
        <f>'FREH LGV vkm'!E114*'FREH Stock'!E126</f>
        <v>72614.843364438537</v>
      </c>
      <c r="AL114" s="295">
        <f>'FREH LGV vkm'!F114*'FREH Stock'!F126</f>
        <v>46611.76710584134</v>
      </c>
      <c r="AM114" s="295">
        <f>'FREH LGV vkm'!G114*'FREH Stock'!G126</f>
        <v>26821.720009299497</v>
      </c>
      <c r="AN114" s="295">
        <f>'FREH LGV vkm'!H114*'FREH Stock'!H126</f>
        <v>30209.802093896742</v>
      </c>
      <c r="AO114" s="295">
        <f>'FREH LGV vkm'!I114*'FREH Stock'!I126</f>
        <v>64607.467494186683</v>
      </c>
      <c r="AP114" s="295">
        <f>'FREH LGV vkm'!J114*'FREH Stock'!J126</f>
        <v>34781.042883185459</v>
      </c>
      <c r="AQ114" s="295">
        <f>'FREH LGV vkm'!K114*'FREH Stock'!K126</f>
        <v>47254.827664805285</v>
      </c>
      <c r="AR114" s="295">
        <f>'FREH LGV vkm'!L114*'FREH Stock'!L126</f>
        <v>18894.93917657786</v>
      </c>
      <c r="AS114" s="295">
        <f>'FREH LGV vkm'!M114*'FREH Stock'!M126</f>
        <v>31397.69050314495</v>
      </c>
      <c r="AT114" s="295">
        <f>'FREH LGV vkm'!N114*'FREH Stock'!N126</f>
        <v>33239.638687885534</v>
      </c>
      <c r="AU114" s="295">
        <f>'FREH LGV vkm'!O114*'FREH Stock'!O126</f>
        <v>2514.704590624538</v>
      </c>
      <c r="AV114" s="295">
        <f>'FREH LGV vkm'!P114*'FREH Stock'!P126</f>
        <v>0</v>
      </c>
      <c r="AW114" s="295">
        <f>'FREH LGV vkm'!Q114*'FREH Stock'!Q126</f>
        <v>0</v>
      </c>
      <c r="AX114" s="295">
        <f>'FREH LGV vkm'!R114*'FREH Stock'!R126</f>
        <v>0</v>
      </c>
      <c r="AY114" s="295">
        <f>'FREH LGV vkm'!S114*'FREH Stock'!S126</f>
        <v>0</v>
      </c>
      <c r="AZ114" s="295">
        <f>'FREH LGV vkm'!T114*'FREH Stock'!T126</f>
        <v>0</v>
      </c>
      <c r="BA114" s="295">
        <f>'FREH LGV vkm'!U114*'FREH Stock'!U126</f>
        <v>0</v>
      </c>
      <c r="BB114" s="295">
        <f>'FREH LGV vkm'!V114*'FREH Stock'!V126</f>
        <v>0</v>
      </c>
      <c r="BC114" s="295">
        <f>'FREH LGV vkm'!W114*'FREH Stock'!W126</f>
        <v>0</v>
      </c>
      <c r="BD114" s="295">
        <f>'FREH LGV vkm'!X114*'FREH Stock'!X126</f>
        <v>0</v>
      </c>
      <c r="BE114" s="295">
        <f>'FREH LGV vkm'!Y114*'FREH Stock'!Y126</f>
        <v>0</v>
      </c>
      <c r="BF114" s="295">
        <f>'FREH LGV vkm'!Z114*'FREH Stock'!Z126</f>
        <v>0</v>
      </c>
      <c r="BG114" s="295">
        <f>'FREH LGV vkm'!AA114*'FREH Stock'!AA126</f>
        <v>0</v>
      </c>
      <c r="BH114" s="295">
        <f>'FREH LGV vkm'!AB114*'FREH Stock'!AB126</f>
        <v>0</v>
      </c>
      <c r="BI114" s="295">
        <f>'FREH LGV vkm'!AC114*'FREH Stock'!AC126</f>
        <v>0</v>
      </c>
      <c r="BJ114" s="295">
        <f>'FREH LGV vkm'!AD114*'FREH Stock'!AD126</f>
        <v>0</v>
      </c>
      <c r="BK114" s="296">
        <f>'FREH LGV vkm'!AE114*'FREH Stock'!AE126</f>
        <v>0</v>
      </c>
    </row>
    <row r="115" spans="1:63">
      <c r="A115" s="1711"/>
      <c r="B115" s="116">
        <v>13</v>
      </c>
      <c r="C115" s="294">
        <f t="shared" si="25"/>
        <v>13502.515542757992</v>
      </c>
      <c r="D115" s="295">
        <f t="shared" si="25"/>
        <v>13502.515542757992</v>
      </c>
      <c r="E115" s="295">
        <f t="shared" si="24"/>
        <v>13502.515542757992</v>
      </c>
      <c r="F115" s="295">
        <f t="shared" si="24"/>
        <v>13502.515542757992</v>
      </c>
      <c r="G115" s="295">
        <f t="shared" si="24"/>
        <v>13502.515542757992</v>
      </c>
      <c r="H115" s="295">
        <f t="shared" si="24"/>
        <v>13502.515542757992</v>
      </c>
      <c r="I115" s="295">
        <f t="shared" si="24"/>
        <v>13502.515542757992</v>
      </c>
      <c r="J115" s="295">
        <f t="shared" si="24"/>
        <v>13502.515542757992</v>
      </c>
      <c r="K115" s="295">
        <f t="shared" si="24"/>
        <v>13502.515542757992</v>
      </c>
      <c r="L115" s="295">
        <f t="shared" si="24"/>
        <v>13502.515542757992</v>
      </c>
      <c r="M115" s="295">
        <f t="shared" si="24"/>
        <v>13502.515542757992</v>
      </c>
      <c r="N115" s="295">
        <f t="shared" si="24"/>
        <v>13502.515542757992</v>
      </c>
      <c r="O115" s="295">
        <f t="shared" si="24"/>
        <v>13502.515542757992</v>
      </c>
      <c r="P115" s="295">
        <f t="shared" si="24"/>
        <v>13502.515542757992</v>
      </c>
      <c r="Q115" s="295">
        <f t="shared" si="24"/>
        <v>13502.515542757992</v>
      </c>
      <c r="R115" s="295">
        <f t="shared" si="24"/>
        <v>13502.515542757992</v>
      </c>
      <c r="S115" s="295">
        <f t="shared" si="24"/>
        <v>13502.515542757992</v>
      </c>
      <c r="T115" s="295">
        <f t="shared" si="24"/>
        <v>13502.515542757992</v>
      </c>
      <c r="U115" s="295">
        <f t="shared" si="24"/>
        <v>13502.515542757992</v>
      </c>
      <c r="V115" s="295">
        <f t="shared" si="24"/>
        <v>13502.515542757992</v>
      </c>
      <c r="W115" s="295">
        <f t="shared" si="24"/>
        <v>13502.515542757992</v>
      </c>
      <c r="X115" s="295">
        <f t="shared" si="24"/>
        <v>13502.515542757992</v>
      </c>
      <c r="Y115" s="295">
        <f t="shared" si="24"/>
        <v>13502.515542757992</v>
      </c>
      <c r="Z115" s="295">
        <f t="shared" si="24"/>
        <v>13502.515542757992</v>
      </c>
      <c r="AA115" s="295">
        <f t="shared" si="24"/>
        <v>13502.515542757992</v>
      </c>
      <c r="AB115" s="295">
        <f t="shared" si="24"/>
        <v>13502.515542757992</v>
      </c>
      <c r="AC115" s="295">
        <f t="shared" si="24"/>
        <v>13502.515542757992</v>
      </c>
      <c r="AD115" s="295">
        <f t="shared" si="24"/>
        <v>13502.515542757992</v>
      </c>
      <c r="AE115" s="296">
        <f t="shared" si="24"/>
        <v>13502.515542757992</v>
      </c>
      <c r="AG115" s="1711"/>
      <c r="AH115" s="116">
        <v>13</v>
      </c>
      <c r="AI115" s="294">
        <f>'FREH LGV vkm'!C115*'FREH Stock'!C127</f>
        <v>135025.15542757991</v>
      </c>
      <c r="AJ115" s="295">
        <f>'FREH LGV vkm'!D115*'FREH Stock'!D127</f>
        <v>90914.871532894831</v>
      </c>
      <c r="AK115" s="295">
        <f>'FREH LGV vkm'!E115*'FREH Stock'!E127</f>
        <v>33554.863243642016</v>
      </c>
      <c r="AL115" s="295">
        <f>'FREH LGV vkm'!F115*'FREH Stock'!F127</f>
        <v>40744.069348618752</v>
      </c>
      <c r="AM115" s="295">
        <f>'FREH LGV vkm'!G115*'FREH Stock'!G127</f>
        <v>26153.785967568892</v>
      </c>
      <c r="AN115" s="295">
        <f>'FREH LGV vkm'!H115*'FREH Stock'!H127</f>
        <v>15049.623045022232</v>
      </c>
      <c r="AO115" s="295">
        <f>'FREH LGV vkm'!I115*'FREH Stock'!I127</f>
        <v>16950.670338078118</v>
      </c>
      <c r="AP115" s="295">
        <f>'FREH LGV vkm'!J115*'FREH Stock'!J127</f>
        <v>36251.1438991951</v>
      </c>
      <c r="AQ115" s="295">
        <f>'FREH LGV vkm'!K115*'FREH Stock'!K127</f>
        <v>19515.586037107583</v>
      </c>
      <c r="AR115" s="295">
        <f>'FREH LGV vkm'!L115*'FREH Stock'!L127</f>
        <v>26514.60619103604</v>
      </c>
      <c r="AS115" s="295">
        <f>'FREH LGV vkm'!M115*'FREH Stock'!M127</f>
        <v>10601.919338786887</v>
      </c>
      <c r="AT115" s="295">
        <f>'FREH LGV vkm'!N115*'FREH Stock'!N127</f>
        <v>17617.192573510383</v>
      </c>
      <c r="AU115" s="295">
        <f>'FREH LGV vkm'!O115*'FREH Stock'!O127</f>
        <v>18650.7066747387</v>
      </c>
      <c r="AV115" s="295">
        <f>'FREH LGV vkm'!P115*'FREH Stock'!P127</f>
        <v>1410.9966156295975</v>
      </c>
      <c r="AW115" s="295">
        <f>'FREH LGV vkm'!Q115*'FREH Stock'!Q127</f>
        <v>0</v>
      </c>
      <c r="AX115" s="295">
        <f>'FREH LGV vkm'!R115*'FREH Stock'!R127</f>
        <v>0</v>
      </c>
      <c r="AY115" s="295">
        <f>'FREH LGV vkm'!S115*'FREH Stock'!S127</f>
        <v>0</v>
      </c>
      <c r="AZ115" s="295">
        <f>'FREH LGV vkm'!T115*'FREH Stock'!T127</f>
        <v>0</v>
      </c>
      <c r="BA115" s="295">
        <f>'FREH LGV vkm'!U115*'FREH Stock'!U127</f>
        <v>0</v>
      </c>
      <c r="BB115" s="295">
        <f>'FREH LGV vkm'!V115*'FREH Stock'!V127</f>
        <v>0</v>
      </c>
      <c r="BC115" s="295">
        <f>'FREH LGV vkm'!W115*'FREH Stock'!W127</f>
        <v>0</v>
      </c>
      <c r="BD115" s="295">
        <f>'FREH LGV vkm'!X115*'FREH Stock'!X127</f>
        <v>0</v>
      </c>
      <c r="BE115" s="295">
        <f>'FREH LGV vkm'!Y115*'FREH Stock'!Y127</f>
        <v>0</v>
      </c>
      <c r="BF115" s="295">
        <f>'FREH LGV vkm'!Z115*'FREH Stock'!Z127</f>
        <v>0</v>
      </c>
      <c r="BG115" s="295">
        <f>'FREH LGV vkm'!AA115*'FREH Stock'!AA127</f>
        <v>0</v>
      </c>
      <c r="BH115" s="295">
        <f>'FREH LGV vkm'!AB115*'FREH Stock'!AB127</f>
        <v>0</v>
      </c>
      <c r="BI115" s="295">
        <f>'FREH LGV vkm'!AC115*'FREH Stock'!AC127</f>
        <v>0</v>
      </c>
      <c r="BJ115" s="295">
        <f>'FREH LGV vkm'!AD115*'FREH Stock'!AD127</f>
        <v>0</v>
      </c>
      <c r="BK115" s="296">
        <f>'FREH LGV vkm'!AE115*'FREH Stock'!AE127</f>
        <v>0</v>
      </c>
    </row>
    <row r="116" spans="1:63">
      <c r="A116" s="1711"/>
      <c r="B116" s="116">
        <v>14</v>
      </c>
      <c r="C116" s="294">
        <f t="shared" si="25"/>
        <v>13502.515542757992</v>
      </c>
      <c r="D116" s="295">
        <f t="shared" si="25"/>
        <v>13502.515542757992</v>
      </c>
      <c r="E116" s="295">
        <f t="shared" si="24"/>
        <v>13502.515542757992</v>
      </c>
      <c r="F116" s="295">
        <f t="shared" si="24"/>
        <v>13502.515542757992</v>
      </c>
      <c r="G116" s="295">
        <f t="shared" si="24"/>
        <v>13502.515542757992</v>
      </c>
      <c r="H116" s="295">
        <f t="shared" si="24"/>
        <v>13502.515542757992</v>
      </c>
      <c r="I116" s="295">
        <f t="shared" si="24"/>
        <v>13502.515542757992</v>
      </c>
      <c r="J116" s="295">
        <f t="shared" si="24"/>
        <v>13502.515542757992</v>
      </c>
      <c r="K116" s="295">
        <f t="shared" si="24"/>
        <v>13502.515542757992</v>
      </c>
      <c r="L116" s="295">
        <f t="shared" si="24"/>
        <v>13502.515542757992</v>
      </c>
      <c r="M116" s="295">
        <f t="shared" si="24"/>
        <v>13502.515542757992</v>
      </c>
      <c r="N116" s="295">
        <f t="shared" si="24"/>
        <v>13502.515542757992</v>
      </c>
      <c r="O116" s="295">
        <f t="shared" si="24"/>
        <v>13502.515542757992</v>
      </c>
      <c r="P116" s="295">
        <f t="shared" si="24"/>
        <v>13502.515542757992</v>
      </c>
      <c r="Q116" s="295">
        <f t="shared" si="24"/>
        <v>13502.515542757992</v>
      </c>
      <c r="R116" s="295">
        <f t="shared" si="24"/>
        <v>13502.515542757992</v>
      </c>
      <c r="S116" s="295">
        <f t="shared" si="24"/>
        <v>13502.515542757992</v>
      </c>
      <c r="T116" s="295">
        <f t="shared" si="24"/>
        <v>13502.515542757992</v>
      </c>
      <c r="U116" s="295">
        <f t="shared" si="24"/>
        <v>13502.515542757992</v>
      </c>
      <c r="V116" s="295">
        <f t="shared" si="24"/>
        <v>13502.515542757992</v>
      </c>
      <c r="W116" s="295">
        <f t="shared" si="24"/>
        <v>13502.515542757992</v>
      </c>
      <c r="X116" s="295">
        <f t="shared" si="24"/>
        <v>13502.515542757992</v>
      </c>
      <c r="Y116" s="295">
        <f t="shared" si="24"/>
        <v>13502.515542757992</v>
      </c>
      <c r="Z116" s="295">
        <f t="shared" si="24"/>
        <v>13502.515542757992</v>
      </c>
      <c r="AA116" s="295">
        <f t="shared" si="24"/>
        <v>13502.515542757992</v>
      </c>
      <c r="AB116" s="295">
        <f t="shared" si="24"/>
        <v>13502.515542757992</v>
      </c>
      <c r="AC116" s="295">
        <f t="shared" si="24"/>
        <v>13502.515542757992</v>
      </c>
      <c r="AD116" s="295">
        <f t="shared" si="24"/>
        <v>13502.515542757992</v>
      </c>
      <c r="AE116" s="296">
        <f t="shared" si="24"/>
        <v>13502.515542757992</v>
      </c>
      <c r="AG116" s="1711"/>
      <c r="AH116" s="116">
        <v>14</v>
      </c>
      <c r="AI116" s="294">
        <f>'FREH LGV vkm'!C116*'FREH Stock'!C128</f>
        <v>135025.15542757991</v>
      </c>
      <c r="AJ116" s="295">
        <f>'FREH LGV vkm'!D116*'FREH Stock'!D128</f>
        <v>66440.324842294387</v>
      </c>
      <c r="AK116" s="295">
        <f>'FREH LGV vkm'!E116*'FREH Stock'!E128</f>
        <v>44735.468576303487</v>
      </c>
      <c r="AL116" s="295">
        <f>'FREH LGV vkm'!F116*'FREH Stock'!F128</f>
        <v>16510.967951761144</v>
      </c>
      <c r="AM116" s="295">
        <f>'FREH LGV vkm'!G116*'FREH Stock'!G128</f>
        <v>20048.480554211343</v>
      </c>
      <c r="AN116" s="295">
        <f>'FREH LGV vkm'!H116*'FREH Stock'!H128</f>
        <v>12869.202261152786</v>
      </c>
      <c r="AO116" s="295">
        <f>'FREH LGV vkm'!I116*'FREH Stock'!I128</f>
        <v>7405.3004471574113</v>
      </c>
      <c r="AP116" s="295">
        <f>'FREH LGV vkm'!J116*'FREH Stock'!J128</f>
        <v>8340.727622125125</v>
      </c>
      <c r="AQ116" s="295">
        <f>'FREH LGV vkm'!K116*'FREH Stock'!K128</f>
        <v>17837.696753173437</v>
      </c>
      <c r="AR116" s="295">
        <f>'FREH LGV vkm'!L116*'FREH Stock'!L128</f>
        <v>9602.8171320166275</v>
      </c>
      <c r="AS116" s="295">
        <f>'FREH LGV vkm'!M116*'FREH Stock'!M128</f>
        <v>13046.747051091461</v>
      </c>
      <c r="AT116" s="295">
        <f>'FREH LGV vkm'!N116*'FREH Stock'!N128</f>
        <v>5216.7684057849683</v>
      </c>
      <c r="AU116" s="295">
        <f>'FREH LGV vkm'!O116*'FREH Stock'!O128</f>
        <v>8668.6957973625413</v>
      </c>
      <c r="AV116" s="295">
        <f>'FREH LGV vkm'!P116*'FREH Stock'!P128</f>
        <v>9177.2455738634872</v>
      </c>
      <c r="AW116" s="295">
        <f>'FREH LGV vkm'!Q116*'FREH Stock'!Q128</f>
        <v>694.29339441930301</v>
      </c>
      <c r="AX116" s="295">
        <f>'FREH LGV vkm'!R116*'FREH Stock'!R128</f>
        <v>0</v>
      </c>
      <c r="AY116" s="295">
        <f>'FREH LGV vkm'!S116*'FREH Stock'!S128</f>
        <v>0</v>
      </c>
      <c r="AZ116" s="295">
        <f>'FREH LGV vkm'!T116*'FREH Stock'!T128</f>
        <v>0</v>
      </c>
      <c r="BA116" s="295">
        <f>'FREH LGV vkm'!U116*'FREH Stock'!U128</f>
        <v>0</v>
      </c>
      <c r="BB116" s="295">
        <f>'FREH LGV vkm'!V116*'FREH Stock'!V128</f>
        <v>0</v>
      </c>
      <c r="BC116" s="295">
        <f>'FREH LGV vkm'!W116*'FREH Stock'!W128</f>
        <v>0</v>
      </c>
      <c r="BD116" s="295">
        <f>'FREH LGV vkm'!X116*'FREH Stock'!X128</f>
        <v>0</v>
      </c>
      <c r="BE116" s="295">
        <f>'FREH LGV vkm'!Y116*'FREH Stock'!Y128</f>
        <v>0</v>
      </c>
      <c r="BF116" s="295">
        <f>'FREH LGV vkm'!Z116*'FREH Stock'!Z128</f>
        <v>0</v>
      </c>
      <c r="BG116" s="295">
        <f>'FREH LGV vkm'!AA116*'FREH Stock'!AA128</f>
        <v>0</v>
      </c>
      <c r="BH116" s="295">
        <f>'FREH LGV vkm'!AB116*'FREH Stock'!AB128</f>
        <v>0</v>
      </c>
      <c r="BI116" s="295">
        <f>'FREH LGV vkm'!AC116*'FREH Stock'!AC128</f>
        <v>0</v>
      </c>
      <c r="BJ116" s="295">
        <f>'FREH LGV vkm'!AD116*'FREH Stock'!AD128</f>
        <v>0</v>
      </c>
      <c r="BK116" s="296">
        <f>'FREH LGV vkm'!AE116*'FREH Stock'!AE128</f>
        <v>0</v>
      </c>
    </row>
    <row r="117" spans="1:63">
      <c r="A117" s="1711"/>
      <c r="B117" s="116">
        <v>15</v>
      </c>
      <c r="C117" s="294">
        <f t="shared" si="25"/>
        <v>13502.515542757992</v>
      </c>
      <c r="D117" s="295">
        <f t="shared" si="25"/>
        <v>13502.515542757992</v>
      </c>
      <c r="E117" s="295">
        <f t="shared" si="24"/>
        <v>13502.515542757992</v>
      </c>
      <c r="F117" s="295">
        <f t="shared" si="24"/>
        <v>13502.515542757992</v>
      </c>
      <c r="G117" s="295">
        <f t="shared" si="24"/>
        <v>13502.515542757992</v>
      </c>
      <c r="H117" s="295">
        <f t="shared" si="24"/>
        <v>13502.515542757992</v>
      </c>
      <c r="I117" s="295">
        <f t="shared" si="24"/>
        <v>13502.515542757992</v>
      </c>
      <c r="J117" s="295">
        <f t="shared" si="24"/>
        <v>13502.515542757992</v>
      </c>
      <c r="K117" s="295">
        <f t="shared" si="24"/>
        <v>13502.515542757992</v>
      </c>
      <c r="L117" s="295">
        <f t="shared" si="24"/>
        <v>13502.515542757992</v>
      </c>
      <c r="M117" s="295">
        <f t="shared" si="24"/>
        <v>13502.515542757992</v>
      </c>
      <c r="N117" s="295">
        <f t="shared" si="24"/>
        <v>13502.515542757992</v>
      </c>
      <c r="O117" s="295">
        <f t="shared" si="24"/>
        <v>13502.515542757992</v>
      </c>
      <c r="P117" s="295">
        <f t="shared" si="24"/>
        <v>13502.515542757992</v>
      </c>
      <c r="Q117" s="295">
        <f t="shared" si="24"/>
        <v>13502.515542757992</v>
      </c>
      <c r="R117" s="295">
        <f t="shared" si="24"/>
        <v>13502.515542757992</v>
      </c>
      <c r="S117" s="295">
        <f t="shared" si="24"/>
        <v>13502.515542757992</v>
      </c>
      <c r="T117" s="295">
        <f t="shared" si="24"/>
        <v>13502.515542757992</v>
      </c>
      <c r="U117" s="295">
        <f t="shared" si="24"/>
        <v>13502.515542757992</v>
      </c>
      <c r="V117" s="295">
        <f t="shared" si="24"/>
        <v>13502.515542757992</v>
      </c>
      <c r="W117" s="295">
        <f t="shared" si="24"/>
        <v>13502.515542757992</v>
      </c>
      <c r="X117" s="295">
        <f t="shared" si="24"/>
        <v>13502.515542757992</v>
      </c>
      <c r="Y117" s="295">
        <f t="shared" si="24"/>
        <v>13502.515542757992</v>
      </c>
      <c r="Z117" s="295">
        <f t="shared" si="24"/>
        <v>13502.515542757992</v>
      </c>
      <c r="AA117" s="295">
        <f t="shared" si="24"/>
        <v>13502.515542757992</v>
      </c>
      <c r="AB117" s="295">
        <f t="shared" si="24"/>
        <v>13502.515542757992</v>
      </c>
      <c r="AC117" s="295">
        <f t="shared" si="24"/>
        <v>13502.515542757992</v>
      </c>
      <c r="AD117" s="295">
        <f t="shared" si="24"/>
        <v>13502.515542757992</v>
      </c>
      <c r="AE117" s="296">
        <f t="shared" si="24"/>
        <v>13502.515542757992</v>
      </c>
      <c r="AG117" s="1711"/>
      <c r="AH117" s="116">
        <v>15</v>
      </c>
      <c r="AI117" s="294">
        <f>'FREH LGV vkm'!C117*'FREH Stock'!C129</f>
        <v>67512.577713789957</v>
      </c>
      <c r="AJ117" s="295">
        <f>'FREH LGV vkm'!D117*'FREH Stock'!D129</f>
        <v>59326.905171827122</v>
      </c>
      <c r="AK117" s="295">
        <f>'FREH LGV vkm'!E117*'FREH Stock'!E129</f>
        <v>29192.329673845852</v>
      </c>
      <c r="AL117" s="295">
        <f>'FREH LGV vkm'!F117*'FREH Stock'!F129</f>
        <v>19655.721881150348</v>
      </c>
      <c r="AM117" s="295">
        <f>'FREH LGV vkm'!G117*'FREH Stock'!G129</f>
        <v>7254.5343633733801</v>
      </c>
      <c r="AN117" s="295">
        <f>'FREH LGV vkm'!H117*'FREH Stock'!H129</f>
        <v>8808.834923481003</v>
      </c>
      <c r="AO117" s="295">
        <f>'FREH LGV vkm'!I117*'FREH Stock'!I129</f>
        <v>5654.4274269987318</v>
      </c>
      <c r="AP117" s="295">
        <f>'FREH LGV vkm'!J117*'FREH Stock'!J129</f>
        <v>3253.7163612674467</v>
      </c>
      <c r="AQ117" s="295">
        <f>'FREH LGV vkm'!K117*'FREH Stock'!K129</f>
        <v>3664.7212523836406</v>
      </c>
      <c r="AR117" s="295">
        <f>'FREH LGV vkm'!L117*'FREH Stock'!L129</f>
        <v>7837.4680659184223</v>
      </c>
      <c r="AS117" s="295">
        <f>'FREH LGV vkm'!M117*'FREH Stock'!M129</f>
        <v>4219.2539573050608</v>
      </c>
      <c r="AT117" s="295">
        <f>'FREH LGV vkm'!N117*'FREH Stock'!N129</f>
        <v>5732.4364682258183</v>
      </c>
      <c r="AU117" s="295">
        <f>'FREH LGV vkm'!O117*'FREH Stock'!O129</f>
        <v>2292.1264081001896</v>
      </c>
      <c r="AV117" s="295">
        <f>'FREH LGV vkm'!P117*'FREH Stock'!P129</f>
        <v>3808.8228219768957</v>
      </c>
      <c r="AW117" s="295">
        <f>'FREH LGV vkm'!Q117*'FREH Stock'!Q129</f>
        <v>4032.2677368898608</v>
      </c>
      <c r="AX117" s="295">
        <f>'FREH LGV vkm'!R117*'FREH Stock'!R129</f>
        <v>305.05632999794744</v>
      </c>
      <c r="AY117" s="295">
        <f>'FREH LGV vkm'!S117*'FREH Stock'!S129</f>
        <v>0</v>
      </c>
      <c r="AZ117" s="295">
        <f>'FREH LGV vkm'!T117*'FREH Stock'!T129</f>
        <v>0</v>
      </c>
      <c r="BA117" s="295">
        <f>'FREH LGV vkm'!U117*'FREH Stock'!U129</f>
        <v>0</v>
      </c>
      <c r="BB117" s="295">
        <f>'FREH LGV vkm'!V117*'FREH Stock'!V129</f>
        <v>0</v>
      </c>
      <c r="BC117" s="295">
        <f>'FREH LGV vkm'!W117*'FREH Stock'!W129</f>
        <v>0</v>
      </c>
      <c r="BD117" s="295">
        <f>'FREH LGV vkm'!X117*'FREH Stock'!X129</f>
        <v>0</v>
      </c>
      <c r="BE117" s="295">
        <f>'FREH LGV vkm'!Y117*'FREH Stock'!Y129</f>
        <v>0</v>
      </c>
      <c r="BF117" s="295">
        <f>'FREH LGV vkm'!Z117*'FREH Stock'!Z129</f>
        <v>0</v>
      </c>
      <c r="BG117" s="295">
        <f>'FREH LGV vkm'!AA117*'FREH Stock'!AA129</f>
        <v>0</v>
      </c>
      <c r="BH117" s="295">
        <f>'FREH LGV vkm'!AB117*'FREH Stock'!AB129</f>
        <v>0</v>
      </c>
      <c r="BI117" s="295">
        <f>'FREH LGV vkm'!AC117*'FREH Stock'!AC129</f>
        <v>0</v>
      </c>
      <c r="BJ117" s="295">
        <f>'FREH LGV vkm'!AD117*'FREH Stock'!AD129</f>
        <v>0</v>
      </c>
      <c r="BK117" s="296">
        <f>'FREH LGV vkm'!AE117*'FREH Stock'!AE129</f>
        <v>0</v>
      </c>
    </row>
    <row r="118" spans="1:63">
      <c r="A118" s="1711"/>
      <c r="B118" s="116">
        <v>16</v>
      </c>
      <c r="C118" s="294">
        <f t="shared" si="25"/>
        <v>13502.515542757992</v>
      </c>
      <c r="D118" s="295">
        <f t="shared" si="25"/>
        <v>13502.515542757992</v>
      </c>
      <c r="E118" s="295">
        <f t="shared" si="24"/>
        <v>13502.515542757992</v>
      </c>
      <c r="F118" s="295">
        <f t="shared" si="24"/>
        <v>13502.515542757992</v>
      </c>
      <c r="G118" s="295">
        <f t="shared" si="24"/>
        <v>13502.515542757992</v>
      </c>
      <c r="H118" s="295">
        <f t="shared" si="24"/>
        <v>13502.515542757992</v>
      </c>
      <c r="I118" s="295">
        <f t="shared" si="24"/>
        <v>13502.515542757992</v>
      </c>
      <c r="J118" s="295">
        <f t="shared" si="24"/>
        <v>13502.515542757992</v>
      </c>
      <c r="K118" s="295">
        <f t="shared" si="24"/>
        <v>13502.515542757992</v>
      </c>
      <c r="L118" s="295">
        <f t="shared" si="24"/>
        <v>13502.515542757992</v>
      </c>
      <c r="M118" s="295">
        <f t="shared" si="24"/>
        <v>13502.515542757992</v>
      </c>
      <c r="N118" s="295">
        <f t="shared" si="24"/>
        <v>13502.515542757992</v>
      </c>
      <c r="O118" s="295">
        <f t="shared" si="24"/>
        <v>13502.515542757992</v>
      </c>
      <c r="P118" s="295">
        <f t="shared" si="24"/>
        <v>13502.515542757992</v>
      </c>
      <c r="Q118" s="295">
        <f t="shared" ref="E118:AE127" si="26">Q117</f>
        <v>13502.515542757992</v>
      </c>
      <c r="R118" s="295">
        <f t="shared" si="26"/>
        <v>13502.515542757992</v>
      </c>
      <c r="S118" s="295">
        <f t="shared" si="26"/>
        <v>13502.515542757992</v>
      </c>
      <c r="T118" s="295">
        <f t="shared" si="26"/>
        <v>13502.515542757992</v>
      </c>
      <c r="U118" s="295">
        <f t="shared" si="26"/>
        <v>13502.515542757992</v>
      </c>
      <c r="V118" s="295">
        <f t="shared" si="26"/>
        <v>13502.515542757992</v>
      </c>
      <c r="W118" s="295">
        <f t="shared" si="26"/>
        <v>13502.515542757992</v>
      </c>
      <c r="X118" s="295">
        <f t="shared" si="26"/>
        <v>13502.515542757992</v>
      </c>
      <c r="Y118" s="295">
        <f t="shared" si="26"/>
        <v>13502.515542757992</v>
      </c>
      <c r="Z118" s="295">
        <f t="shared" si="26"/>
        <v>13502.515542757992</v>
      </c>
      <c r="AA118" s="295">
        <f t="shared" si="26"/>
        <v>13502.515542757992</v>
      </c>
      <c r="AB118" s="295">
        <f t="shared" si="26"/>
        <v>13502.515542757992</v>
      </c>
      <c r="AC118" s="295">
        <f t="shared" si="26"/>
        <v>13502.515542757992</v>
      </c>
      <c r="AD118" s="295">
        <f t="shared" si="26"/>
        <v>13502.515542757992</v>
      </c>
      <c r="AE118" s="296">
        <f t="shared" si="26"/>
        <v>13502.515542757992</v>
      </c>
      <c r="AG118" s="1711"/>
      <c r="AH118" s="116">
        <v>16</v>
      </c>
      <c r="AI118" s="294">
        <f>'FREH LGV vkm'!C118*'FREH Stock'!C130</f>
        <v>94517.608799305948</v>
      </c>
      <c r="AJ118" s="295">
        <f>'FREH LGV vkm'!D118*'FREH Stock'!D130</f>
        <v>26697.10732732221</v>
      </c>
      <c r="AK118" s="295">
        <f>'FREH LGV vkm'!E118*'FREH Stock'!E130</f>
        <v>23460.173028567697</v>
      </c>
      <c r="AL118" s="295">
        <f>'FREH LGV vkm'!F118*'FREH Stock'!F130</f>
        <v>11543.786133321453</v>
      </c>
      <c r="AM118" s="295">
        <f>'FREH LGV vkm'!G118*'FREH Stock'!G130</f>
        <v>7772.6393277660618</v>
      </c>
      <c r="AN118" s="295">
        <f>'FREH LGV vkm'!H118*'FREH Stock'!H130</f>
        <v>2868.725933259198</v>
      </c>
      <c r="AO118" s="295">
        <f>'FREH LGV vkm'!I118*'FREH Stock'!I130</f>
        <v>3483.3570179738686</v>
      </c>
      <c r="AP118" s="295">
        <f>'FREH LGV vkm'!J118*'FREH Stock'!J130</f>
        <v>2235.9812201675927</v>
      </c>
      <c r="AQ118" s="295">
        <f>'FREH LGV vkm'!K118*'FREH Stock'!K130</f>
        <v>1286.64639761901</v>
      </c>
      <c r="AR118" s="295">
        <f>'FREH LGV vkm'!L118*'FREH Stock'!L130</f>
        <v>1449.1737675070383</v>
      </c>
      <c r="AS118" s="295">
        <f>'FREH LGV vkm'!M118*'FREH Stock'!M130</f>
        <v>3099.2406632334246</v>
      </c>
      <c r="AT118" s="295">
        <f>'FREH LGV vkm'!N118*'FREH Stock'!N130</f>
        <v>1668.4576349155482</v>
      </c>
      <c r="AU118" s="295">
        <f>'FREH LGV vkm'!O118*'FREH Stock'!O130</f>
        <v>2266.8290387025327</v>
      </c>
      <c r="AV118" s="295">
        <f>'FREH LGV vkm'!P118*'FREH Stock'!P130</f>
        <v>906.39621233631465</v>
      </c>
      <c r="AW118" s="295">
        <f>'FREH LGV vkm'!Q118*'FREH Stock'!Q130</f>
        <v>1506.1571504520052</v>
      </c>
      <c r="AX118" s="295">
        <f>'FREH LGV vkm'!R118*'FREH Stock'!R130</f>
        <v>1594.5159878299082</v>
      </c>
      <c r="AY118" s="295">
        <f>'FREH LGV vkm'!S118*'FREH Stock'!S130</f>
        <v>120.63117508799736</v>
      </c>
      <c r="AZ118" s="295">
        <f>'FREH LGV vkm'!T118*'FREH Stock'!T130</f>
        <v>0</v>
      </c>
      <c r="BA118" s="295">
        <f>'FREH LGV vkm'!U118*'FREH Stock'!U130</f>
        <v>0</v>
      </c>
      <c r="BB118" s="295">
        <f>'FREH LGV vkm'!V118*'FREH Stock'!V130</f>
        <v>0</v>
      </c>
      <c r="BC118" s="295">
        <f>'FREH LGV vkm'!W118*'FREH Stock'!W130</f>
        <v>0</v>
      </c>
      <c r="BD118" s="295">
        <f>'FREH LGV vkm'!X118*'FREH Stock'!X130</f>
        <v>0</v>
      </c>
      <c r="BE118" s="295">
        <f>'FREH LGV vkm'!Y118*'FREH Stock'!Y130</f>
        <v>0</v>
      </c>
      <c r="BF118" s="295">
        <f>'FREH LGV vkm'!Z118*'FREH Stock'!Z130</f>
        <v>0</v>
      </c>
      <c r="BG118" s="295">
        <f>'FREH LGV vkm'!AA118*'FREH Stock'!AA130</f>
        <v>0</v>
      </c>
      <c r="BH118" s="295">
        <f>'FREH LGV vkm'!AB118*'FREH Stock'!AB130</f>
        <v>0</v>
      </c>
      <c r="BI118" s="295">
        <f>'FREH LGV vkm'!AC118*'FREH Stock'!AC130</f>
        <v>0</v>
      </c>
      <c r="BJ118" s="295">
        <f>'FREH LGV vkm'!AD118*'FREH Stock'!AD130</f>
        <v>0</v>
      </c>
      <c r="BK118" s="296">
        <f>'FREH LGV vkm'!AE118*'FREH Stock'!AE130</f>
        <v>0</v>
      </c>
    </row>
    <row r="119" spans="1:63">
      <c r="A119" s="1711"/>
      <c r="B119" s="116">
        <v>17</v>
      </c>
      <c r="C119" s="294">
        <f t="shared" si="25"/>
        <v>13502.515542757992</v>
      </c>
      <c r="D119" s="295">
        <f t="shared" si="25"/>
        <v>13502.515542757992</v>
      </c>
      <c r="E119" s="295">
        <f t="shared" si="26"/>
        <v>13502.515542757992</v>
      </c>
      <c r="F119" s="295">
        <f t="shared" si="26"/>
        <v>13502.515542757992</v>
      </c>
      <c r="G119" s="295">
        <f t="shared" si="26"/>
        <v>13502.515542757992</v>
      </c>
      <c r="H119" s="295">
        <f t="shared" si="26"/>
        <v>13502.515542757992</v>
      </c>
      <c r="I119" s="295">
        <f t="shared" si="26"/>
        <v>13502.515542757992</v>
      </c>
      <c r="J119" s="295">
        <f t="shared" si="26"/>
        <v>13502.515542757992</v>
      </c>
      <c r="K119" s="295">
        <f t="shared" si="26"/>
        <v>13502.515542757992</v>
      </c>
      <c r="L119" s="295">
        <f t="shared" si="26"/>
        <v>13502.515542757992</v>
      </c>
      <c r="M119" s="295">
        <f t="shared" si="26"/>
        <v>13502.515542757992</v>
      </c>
      <c r="N119" s="295">
        <f t="shared" si="26"/>
        <v>13502.515542757992</v>
      </c>
      <c r="O119" s="295">
        <f t="shared" si="26"/>
        <v>13502.515542757992</v>
      </c>
      <c r="P119" s="295">
        <f t="shared" si="26"/>
        <v>13502.515542757992</v>
      </c>
      <c r="Q119" s="295">
        <f t="shared" si="26"/>
        <v>13502.515542757992</v>
      </c>
      <c r="R119" s="295">
        <f t="shared" si="26"/>
        <v>13502.515542757992</v>
      </c>
      <c r="S119" s="295">
        <f t="shared" si="26"/>
        <v>13502.515542757992</v>
      </c>
      <c r="T119" s="295">
        <f t="shared" si="26"/>
        <v>13502.515542757992</v>
      </c>
      <c r="U119" s="295">
        <f t="shared" si="26"/>
        <v>13502.515542757992</v>
      </c>
      <c r="V119" s="295">
        <f t="shared" si="26"/>
        <v>13502.515542757992</v>
      </c>
      <c r="W119" s="295">
        <f t="shared" si="26"/>
        <v>13502.515542757992</v>
      </c>
      <c r="X119" s="295">
        <f t="shared" si="26"/>
        <v>13502.515542757992</v>
      </c>
      <c r="Y119" s="295">
        <f t="shared" si="26"/>
        <v>13502.515542757992</v>
      </c>
      <c r="Z119" s="295">
        <f t="shared" si="26"/>
        <v>13502.515542757992</v>
      </c>
      <c r="AA119" s="295">
        <f t="shared" si="26"/>
        <v>13502.515542757992</v>
      </c>
      <c r="AB119" s="295">
        <f t="shared" si="26"/>
        <v>13502.515542757992</v>
      </c>
      <c r="AC119" s="295">
        <f t="shared" si="26"/>
        <v>13502.515542757992</v>
      </c>
      <c r="AD119" s="295">
        <f t="shared" si="26"/>
        <v>13502.515542757992</v>
      </c>
      <c r="AE119" s="296">
        <f t="shared" si="26"/>
        <v>13502.515542757992</v>
      </c>
      <c r="AG119" s="1711"/>
      <c r="AH119" s="116">
        <v>17</v>
      </c>
      <c r="AI119" s="294">
        <f>'FREH LGV vkm'!C119*'FREH Stock'!C131</f>
        <v>67512.577713789957</v>
      </c>
      <c r="AJ119" s="295">
        <f>'FREH LGV vkm'!D119*'FREH Stock'!D131</f>
        <v>33223.066896223194</v>
      </c>
      <c r="AK119" s="295">
        <f>'FREH LGV vkm'!E119*'FREH Stock'!E131</f>
        <v>9384.0692114270787</v>
      </c>
      <c r="AL119" s="295">
        <f>'FREH LGV vkm'!F119*'FREH Stock'!F131</f>
        <v>8246.2824422489939</v>
      </c>
      <c r="AM119" s="295">
        <f>'FREH LGV vkm'!G119*'FREH Stock'!G131</f>
        <v>4057.6563860960541</v>
      </c>
      <c r="AN119" s="295">
        <f>'FREH LGV vkm'!H119*'FREH Stock'!H131</f>
        <v>2732.0932006955659</v>
      </c>
      <c r="AO119" s="295">
        <f>'FREH LGV vkm'!I119*'FREH Stock'!I131</f>
        <v>1008.3610323868086</v>
      </c>
      <c r="AP119" s="295">
        <f>'FREH LGV vkm'!J119*'FREH Stock'!J131</f>
        <v>1224.4046871446474</v>
      </c>
      <c r="AQ119" s="295">
        <f>'FREH LGV vkm'!K119*'FREH Stock'!K131</f>
        <v>785.95041283854596</v>
      </c>
      <c r="AR119" s="295">
        <f>'FREH LGV vkm'!L119*'FREH Stock'!L131</f>
        <v>452.25794307435808</v>
      </c>
      <c r="AS119" s="295">
        <f>'FREH LGV vkm'!M119*'FREH Stock'!M131</f>
        <v>509.38653266577006</v>
      </c>
      <c r="AT119" s="295">
        <f>'FREH LGV vkm'!N119*'FREH Stock'!N131</f>
        <v>1089.3872706908271</v>
      </c>
      <c r="AU119" s="295">
        <f>'FREH LGV vkm'!O119*'FREH Stock'!O131</f>
        <v>586.46510763950505</v>
      </c>
      <c r="AV119" s="295">
        <f>'FREH LGV vkm'!P119*'FREH Stock'!P131</f>
        <v>796.79346263432535</v>
      </c>
      <c r="AW119" s="295">
        <f>'FREH LGV vkm'!Q119*'FREH Stock'!Q131</f>
        <v>318.59949039626815</v>
      </c>
      <c r="AX119" s="295">
        <f>'FREH LGV vkm'!R119*'FREH Stock'!R131</f>
        <v>529.4162685806258</v>
      </c>
      <c r="AY119" s="295">
        <f>'FREH LGV vkm'!S119*'FREH Stock'!S131</f>
        <v>560.47451902062346</v>
      </c>
      <c r="AZ119" s="295">
        <f>'FREH LGV vkm'!T119*'FREH Stock'!T131</f>
        <v>42.402020645998171</v>
      </c>
      <c r="BA119" s="295">
        <f>'FREH LGV vkm'!U119*'FREH Stock'!U131</f>
        <v>0</v>
      </c>
      <c r="BB119" s="295">
        <f>'FREH LGV vkm'!V119*'FREH Stock'!V131</f>
        <v>0</v>
      </c>
      <c r="BC119" s="295">
        <f>'FREH LGV vkm'!W119*'FREH Stock'!W131</f>
        <v>0</v>
      </c>
      <c r="BD119" s="295">
        <f>'FREH LGV vkm'!X119*'FREH Stock'!X131</f>
        <v>0</v>
      </c>
      <c r="BE119" s="295">
        <f>'FREH LGV vkm'!Y119*'FREH Stock'!Y131</f>
        <v>0</v>
      </c>
      <c r="BF119" s="295">
        <f>'FREH LGV vkm'!Z119*'FREH Stock'!Z131</f>
        <v>0</v>
      </c>
      <c r="BG119" s="295">
        <f>'FREH LGV vkm'!AA119*'FREH Stock'!AA131</f>
        <v>0</v>
      </c>
      <c r="BH119" s="295">
        <f>'FREH LGV vkm'!AB119*'FREH Stock'!AB131</f>
        <v>0</v>
      </c>
      <c r="BI119" s="295">
        <f>'FREH LGV vkm'!AC119*'FREH Stock'!AC131</f>
        <v>0</v>
      </c>
      <c r="BJ119" s="295">
        <f>'FREH LGV vkm'!AD119*'FREH Stock'!AD131</f>
        <v>0</v>
      </c>
      <c r="BK119" s="296">
        <f>'FREH LGV vkm'!AE119*'FREH Stock'!AE131</f>
        <v>0</v>
      </c>
    </row>
    <row r="120" spans="1:63">
      <c r="A120" s="1711"/>
      <c r="B120" s="116">
        <v>18</v>
      </c>
      <c r="C120" s="294">
        <f t="shared" si="25"/>
        <v>13502.515542757992</v>
      </c>
      <c r="D120" s="295">
        <f t="shared" si="25"/>
        <v>13502.515542757992</v>
      </c>
      <c r="E120" s="295">
        <f t="shared" si="26"/>
        <v>13502.515542757992</v>
      </c>
      <c r="F120" s="295">
        <f t="shared" si="26"/>
        <v>13502.515542757992</v>
      </c>
      <c r="G120" s="295">
        <f t="shared" si="26"/>
        <v>13502.515542757992</v>
      </c>
      <c r="H120" s="295">
        <f t="shared" si="26"/>
        <v>13502.515542757992</v>
      </c>
      <c r="I120" s="295">
        <f t="shared" si="26"/>
        <v>13502.515542757992</v>
      </c>
      <c r="J120" s="295">
        <f t="shared" si="26"/>
        <v>13502.515542757992</v>
      </c>
      <c r="K120" s="295">
        <f t="shared" si="26"/>
        <v>13502.515542757992</v>
      </c>
      <c r="L120" s="295">
        <f t="shared" si="26"/>
        <v>13502.515542757992</v>
      </c>
      <c r="M120" s="295">
        <f t="shared" si="26"/>
        <v>13502.515542757992</v>
      </c>
      <c r="N120" s="295">
        <f t="shared" si="26"/>
        <v>13502.515542757992</v>
      </c>
      <c r="O120" s="295">
        <f t="shared" si="26"/>
        <v>13502.515542757992</v>
      </c>
      <c r="P120" s="295">
        <f t="shared" si="26"/>
        <v>13502.515542757992</v>
      </c>
      <c r="Q120" s="295">
        <f t="shared" si="26"/>
        <v>13502.515542757992</v>
      </c>
      <c r="R120" s="295">
        <f t="shared" si="26"/>
        <v>13502.515542757992</v>
      </c>
      <c r="S120" s="295">
        <f t="shared" si="26"/>
        <v>13502.515542757992</v>
      </c>
      <c r="T120" s="295">
        <f t="shared" si="26"/>
        <v>13502.515542757992</v>
      </c>
      <c r="U120" s="295">
        <f t="shared" si="26"/>
        <v>13502.515542757992</v>
      </c>
      <c r="V120" s="295">
        <f t="shared" si="26"/>
        <v>13502.515542757992</v>
      </c>
      <c r="W120" s="295">
        <f t="shared" si="26"/>
        <v>13502.515542757992</v>
      </c>
      <c r="X120" s="295">
        <f t="shared" si="26"/>
        <v>13502.515542757992</v>
      </c>
      <c r="Y120" s="295">
        <f t="shared" si="26"/>
        <v>13502.515542757992</v>
      </c>
      <c r="Z120" s="295">
        <f t="shared" si="26"/>
        <v>13502.515542757992</v>
      </c>
      <c r="AA120" s="295">
        <f t="shared" si="26"/>
        <v>13502.515542757992</v>
      </c>
      <c r="AB120" s="295">
        <f t="shared" si="26"/>
        <v>13502.515542757992</v>
      </c>
      <c r="AC120" s="295">
        <f t="shared" si="26"/>
        <v>13502.515542757992</v>
      </c>
      <c r="AD120" s="295">
        <f t="shared" si="26"/>
        <v>13502.515542757992</v>
      </c>
      <c r="AE120" s="296">
        <f t="shared" si="26"/>
        <v>13502.515542757992</v>
      </c>
      <c r="AG120" s="1711"/>
      <c r="AH120" s="116">
        <v>18</v>
      </c>
      <c r="AI120" s="294">
        <f>'FREH LGV vkm'!C120*'FREH Stock'!C132</f>
        <v>81015.09325654796</v>
      </c>
      <c r="AJ120" s="295">
        <f>'FREH LGV vkm'!D120*'FREH Stock'!D132</f>
        <v>20764.416810139493</v>
      </c>
      <c r="AK120" s="295">
        <f>'FREH LGV vkm'!E120*'FREH Stock'!E132</f>
        <v>10218.208696887265</v>
      </c>
      <c r="AL120" s="295">
        <f>'FREH LGV vkm'!F120*'FREH Stock'!F132</f>
        <v>2886.1988547871479</v>
      </c>
      <c r="AM120" s="295">
        <f>'FREH LGV vkm'!G120*'FREH Stock'!G132</f>
        <v>2536.256969640463</v>
      </c>
      <c r="AN120" s="295">
        <f>'FREH LGV vkm'!H120*'FREH Stock'!H132</f>
        <v>1247.9877280113553</v>
      </c>
      <c r="AO120" s="295">
        <f>'FREH LGV vkm'!I120*'FREH Stock'!I132</f>
        <v>840.29263737923054</v>
      </c>
      <c r="AP120" s="295">
        <f>'FREH LGV vkm'!J120*'FREH Stock'!J132</f>
        <v>310.13522932491304</v>
      </c>
      <c r="AQ120" s="295">
        <f>'FREH LGV vkm'!K120*'FREH Stock'!K132</f>
        <v>376.58241070192247</v>
      </c>
      <c r="AR120" s="295">
        <f>'FREH LGV vkm'!L120*'FREH Stock'!L132</f>
        <v>241.72980083009534</v>
      </c>
      <c r="AS120" s="295">
        <f>'FREH LGV vkm'!M120*'FREH Stock'!M132</f>
        <v>139.09811702796461</v>
      </c>
      <c r="AT120" s="295">
        <f>'FREH LGV vkm'!N120*'FREH Stock'!N132</f>
        <v>156.66879624392317</v>
      </c>
      <c r="AU120" s="295">
        <f>'FREH LGV vkm'!O120*'FREH Stock'!O132</f>
        <v>335.05595730888808</v>
      </c>
      <c r="AV120" s="295">
        <f>'FREH LGV vkm'!P120*'FREH Stock'!P132</f>
        <v>180.37536636884533</v>
      </c>
      <c r="AW120" s="295">
        <f>'FREH LGV vkm'!Q120*'FREH Stock'!Q132</f>
        <v>245.06472912163755</v>
      </c>
      <c r="AX120" s="295">
        <f>'FREH LGV vkm'!R120*'FREH Stock'!R132</f>
        <v>97.989631534019694</v>
      </c>
      <c r="AY120" s="295">
        <f>'FREH LGV vkm'!S120*'FREH Stock'!S132</f>
        <v>162.82921552010987</v>
      </c>
      <c r="AZ120" s="295">
        <f>'FREH LGV vkm'!T120*'FREH Stock'!T132</f>
        <v>172.38160530240793</v>
      </c>
      <c r="BA120" s="295">
        <f>'FREH LGV vkm'!U120*'FREH Stock'!U132</f>
        <v>13.041321485578635</v>
      </c>
      <c r="BB120" s="295">
        <f>'FREH LGV vkm'!V120*'FREH Stock'!V132</f>
        <v>0</v>
      </c>
      <c r="BC120" s="295">
        <f>'FREH LGV vkm'!W120*'FREH Stock'!W132</f>
        <v>0</v>
      </c>
      <c r="BD120" s="295">
        <f>'FREH LGV vkm'!X120*'FREH Stock'!X132</f>
        <v>0</v>
      </c>
      <c r="BE120" s="295">
        <f>'FREH LGV vkm'!Y120*'FREH Stock'!Y132</f>
        <v>0</v>
      </c>
      <c r="BF120" s="295">
        <f>'FREH LGV vkm'!Z120*'FREH Stock'!Z132</f>
        <v>0</v>
      </c>
      <c r="BG120" s="295">
        <f>'FREH LGV vkm'!AA120*'FREH Stock'!AA132</f>
        <v>0</v>
      </c>
      <c r="BH120" s="295">
        <f>'FREH LGV vkm'!AB120*'FREH Stock'!AB132</f>
        <v>0</v>
      </c>
      <c r="BI120" s="295">
        <f>'FREH LGV vkm'!AC120*'FREH Stock'!AC132</f>
        <v>0</v>
      </c>
      <c r="BJ120" s="295">
        <f>'FREH LGV vkm'!AD120*'FREH Stock'!AD132</f>
        <v>0</v>
      </c>
      <c r="BK120" s="296">
        <f>'FREH LGV vkm'!AE120*'FREH Stock'!AE132</f>
        <v>0</v>
      </c>
    </row>
    <row r="121" spans="1:63">
      <c r="A121" s="1711"/>
      <c r="B121" s="116">
        <v>19</v>
      </c>
      <c r="C121" s="294">
        <f t="shared" si="25"/>
        <v>13502.515542757992</v>
      </c>
      <c r="D121" s="295">
        <f t="shared" si="25"/>
        <v>13502.515542757992</v>
      </c>
      <c r="E121" s="295">
        <f t="shared" si="26"/>
        <v>13502.515542757992</v>
      </c>
      <c r="F121" s="295">
        <f t="shared" si="26"/>
        <v>13502.515542757992</v>
      </c>
      <c r="G121" s="295">
        <f t="shared" si="26"/>
        <v>13502.515542757992</v>
      </c>
      <c r="H121" s="295">
        <f t="shared" si="26"/>
        <v>13502.515542757992</v>
      </c>
      <c r="I121" s="295">
        <f t="shared" si="26"/>
        <v>13502.515542757992</v>
      </c>
      <c r="J121" s="295">
        <f t="shared" si="26"/>
        <v>13502.515542757992</v>
      </c>
      <c r="K121" s="295">
        <f t="shared" si="26"/>
        <v>13502.515542757992</v>
      </c>
      <c r="L121" s="295">
        <f t="shared" si="26"/>
        <v>13502.515542757992</v>
      </c>
      <c r="M121" s="295">
        <f t="shared" si="26"/>
        <v>13502.515542757992</v>
      </c>
      <c r="N121" s="295">
        <f t="shared" si="26"/>
        <v>13502.515542757992</v>
      </c>
      <c r="O121" s="295">
        <f t="shared" si="26"/>
        <v>13502.515542757992</v>
      </c>
      <c r="P121" s="295">
        <f t="shared" si="26"/>
        <v>13502.515542757992</v>
      </c>
      <c r="Q121" s="295">
        <f t="shared" si="26"/>
        <v>13502.515542757992</v>
      </c>
      <c r="R121" s="295">
        <f t="shared" si="26"/>
        <v>13502.515542757992</v>
      </c>
      <c r="S121" s="295">
        <f t="shared" si="26"/>
        <v>13502.515542757992</v>
      </c>
      <c r="T121" s="295">
        <f t="shared" si="26"/>
        <v>13502.515542757992</v>
      </c>
      <c r="U121" s="295">
        <f t="shared" si="26"/>
        <v>13502.515542757992</v>
      </c>
      <c r="V121" s="295">
        <f t="shared" si="26"/>
        <v>13502.515542757992</v>
      </c>
      <c r="W121" s="295">
        <f t="shared" si="26"/>
        <v>13502.515542757992</v>
      </c>
      <c r="X121" s="295">
        <f t="shared" si="26"/>
        <v>13502.515542757992</v>
      </c>
      <c r="Y121" s="295">
        <f t="shared" si="26"/>
        <v>13502.515542757992</v>
      </c>
      <c r="Z121" s="295">
        <f t="shared" si="26"/>
        <v>13502.515542757992</v>
      </c>
      <c r="AA121" s="295">
        <f t="shared" si="26"/>
        <v>13502.515542757992</v>
      </c>
      <c r="AB121" s="295">
        <f t="shared" si="26"/>
        <v>13502.515542757992</v>
      </c>
      <c r="AC121" s="295">
        <f t="shared" si="26"/>
        <v>13502.515542757992</v>
      </c>
      <c r="AD121" s="295">
        <f t="shared" si="26"/>
        <v>13502.515542757992</v>
      </c>
      <c r="AE121" s="296">
        <f t="shared" si="26"/>
        <v>13502.515542757992</v>
      </c>
      <c r="AG121" s="1711"/>
      <c r="AH121" s="116">
        <v>19</v>
      </c>
      <c r="AI121" s="294">
        <f>'FREH LGV vkm'!C121*'FREH Stock'!C133</f>
        <v>102427.2622362649</v>
      </c>
      <c r="AJ121" s="295">
        <f>'FREH LGV vkm'!D121*'FREH Stock'!D133</f>
        <v>21357.685861857768</v>
      </c>
      <c r="AK121" s="295">
        <f>'FREH LGV vkm'!E121*'FREH Stock'!E133</f>
        <v>5474.0403733324629</v>
      </c>
      <c r="AL121" s="295">
        <f>'FREH LGV vkm'!F121*'FREH Stock'!F133</f>
        <v>2693.7855978013386</v>
      </c>
      <c r="AM121" s="295">
        <f>'FREH LGV vkm'!G121*'FREH Stock'!G133</f>
        <v>760.87709089213899</v>
      </c>
      <c r="AN121" s="295">
        <f>'FREH LGV vkm'!H121*'FREH Stock'!H133</f>
        <v>668.6233076470628</v>
      </c>
      <c r="AO121" s="295">
        <f>'FREH LGV vkm'!I121*'FREH Stock'!I133</f>
        <v>329.00202644852021</v>
      </c>
      <c r="AP121" s="295">
        <f>'FREH LGV vkm'!J121*'FREH Stock'!J133</f>
        <v>221.52299602181904</v>
      </c>
      <c r="AQ121" s="295">
        <f>'FREH LGV vkm'!K121*'FREH Stock'!K133</f>
        <v>81.759713361576033</v>
      </c>
      <c r="AR121" s="295">
        <f>'FREH LGV vkm'!L121*'FREH Stock'!L133</f>
        <v>99.2769187267794</v>
      </c>
      <c r="AS121" s="295">
        <f>'FREH LGV vkm'!M121*'FREH Stock'!M133</f>
        <v>63.726263120253158</v>
      </c>
      <c r="AT121" s="295">
        <f>'FREH LGV vkm'!N121*'FREH Stock'!N133</f>
        <v>36.66988172255278</v>
      </c>
      <c r="AU121" s="295">
        <f>'FREH LGV vkm'!O121*'FREH Stock'!O133</f>
        <v>41.301969793914544</v>
      </c>
      <c r="AV121" s="295">
        <f>'FREH LGV vkm'!P121*'FREH Stock'!P133</f>
        <v>88.32946546992811</v>
      </c>
      <c r="AW121" s="295">
        <f>'FREH LGV vkm'!Q121*'FREH Stock'!Q133</f>
        <v>47.551638309222554</v>
      </c>
      <c r="AX121" s="295">
        <f>'FREH LGV vkm'!R121*'FREH Stock'!R133</f>
        <v>64.605436962552275</v>
      </c>
      <c r="AY121" s="295">
        <f>'FREH LGV vkm'!S121*'FREH Stock'!S133</f>
        <v>25.832615675643055</v>
      </c>
      <c r="AZ121" s="295">
        <f>'FREH LGV vkm'!T121*'FREH Stock'!T133</f>
        <v>42.926016553466901</v>
      </c>
      <c r="BA121" s="295">
        <f>'FREH LGV vkm'!U121*'FREH Stock'!U133</f>
        <v>45.444274966800918</v>
      </c>
      <c r="BB121" s="295">
        <f>'FREH LGV vkm'!V121*'FREH Stock'!V133</f>
        <v>3.4380315607422043</v>
      </c>
      <c r="BC121" s="295">
        <f>'FREH LGV vkm'!W121*'FREH Stock'!W133</f>
        <v>0</v>
      </c>
      <c r="BD121" s="295">
        <f>'FREH LGV vkm'!X121*'FREH Stock'!X133</f>
        <v>0</v>
      </c>
      <c r="BE121" s="295">
        <f>'FREH LGV vkm'!Y121*'FREH Stock'!Y133</f>
        <v>0</v>
      </c>
      <c r="BF121" s="295">
        <f>'FREH LGV vkm'!Z121*'FREH Stock'!Z133</f>
        <v>0</v>
      </c>
      <c r="BG121" s="295">
        <f>'FREH LGV vkm'!AA121*'FREH Stock'!AA133</f>
        <v>0</v>
      </c>
      <c r="BH121" s="295">
        <f>'FREH LGV vkm'!AB121*'FREH Stock'!AB133</f>
        <v>0</v>
      </c>
      <c r="BI121" s="295">
        <f>'FREH LGV vkm'!AC121*'FREH Stock'!AC133</f>
        <v>0</v>
      </c>
      <c r="BJ121" s="295">
        <f>'FREH LGV vkm'!AD121*'FREH Stock'!AD133</f>
        <v>0</v>
      </c>
      <c r="BK121" s="296">
        <f>'FREH LGV vkm'!AE121*'FREH Stock'!AE133</f>
        <v>0</v>
      </c>
    </row>
    <row r="122" spans="1:63">
      <c r="A122" s="1711"/>
      <c r="B122" s="116">
        <v>20</v>
      </c>
      <c r="C122" s="294">
        <f t="shared" si="25"/>
        <v>13502.515542757992</v>
      </c>
      <c r="D122" s="295">
        <f t="shared" si="25"/>
        <v>13502.515542757992</v>
      </c>
      <c r="E122" s="295">
        <f t="shared" si="26"/>
        <v>13502.515542757992</v>
      </c>
      <c r="F122" s="295">
        <f t="shared" si="26"/>
        <v>13502.515542757992</v>
      </c>
      <c r="G122" s="295">
        <f t="shared" si="26"/>
        <v>13502.515542757992</v>
      </c>
      <c r="H122" s="295">
        <f t="shared" si="26"/>
        <v>13502.515542757992</v>
      </c>
      <c r="I122" s="295">
        <f t="shared" si="26"/>
        <v>13502.515542757992</v>
      </c>
      <c r="J122" s="295">
        <f t="shared" si="26"/>
        <v>13502.515542757992</v>
      </c>
      <c r="K122" s="295">
        <f t="shared" si="26"/>
        <v>13502.515542757992</v>
      </c>
      <c r="L122" s="295">
        <f t="shared" si="26"/>
        <v>13502.515542757992</v>
      </c>
      <c r="M122" s="295">
        <f t="shared" si="26"/>
        <v>13502.515542757992</v>
      </c>
      <c r="N122" s="295">
        <f t="shared" si="26"/>
        <v>13502.515542757992</v>
      </c>
      <c r="O122" s="295">
        <f t="shared" si="26"/>
        <v>13502.515542757992</v>
      </c>
      <c r="P122" s="295">
        <f t="shared" si="26"/>
        <v>13502.515542757992</v>
      </c>
      <c r="Q122" s="295">
        <f t="shared" si="26"/>
        <v>13502.515542757992</v>
      </c>
      <c r="R122" s="295">
        <f t="shared" si="26"/>
        <v>13502.515542757992</v>
      </c>
      <c r="S122" s="295">
        <f t="shared" si="26"/>
        <v>13502.515542757992</v>
      </c>
      <c r="T122" s="295">
        <f t="shared" si="26"/>
        <v>13502.515542757992</v>
      </c>
      <c r="U122" s="295">
        <f t="shared" si="26"/>
        <v>13502.515542757992</v>
      </c>
      <c r="V122" s="295">
        <f t="shared" si="26"/>
        <v>13502.515542757992</v>
      </c>
      <c r="W122" s="295">
        <f t="shared" si="26"/>
        <v>13502.515542757992</v>
      </c>
      <c r="X122" s="295">
        <f t="shared" si="26"/>
        <v>13502.515542757992</v>
      </c>
      <c r="Y122" s="295">
        <f t="shared" si="26"/>
        <v>13502.515542757992</v>
      </c>
      <c r="Z122" s="295">
        <f t="shared" si="26"/>
        <v>13502.515542757992</v>
      </c>
      <c r="AA122" s="295">
        <f t="shared" si="26"/>
        <v>13502.515542757992</v>
      </c>
      <c r="AB122" s="295">
        <f t="shared" si="26"/>
        <v>13502.515542757992</v>
      </c>
      <c r="AC122" s="295">
        <f t="shared" si="26"/>
        <v>13502.515542757992</v>
      </c>
      <c r="AD122" s="295">
        <f t="shared" si="26"/>
        <v>13502.515542757992</v>
      </c>
      <c r="AE122" s="296">
        <f t="shared" si="26"/>
        <v>13502.515542757992</v>
      </c>
      <c r="AG122" s="1711"/>
      <c r="AH122" s="116">
        <v>20</v>
      </c>
      <c r="AI122" s="294">
        <f>'FREH LGV vkm'!C122*'FREH Stock'!C134</f>
        <v>37680.883992197909</v>
      </c>
      <c r="AJ122" s="295">
        <f>'FREH LGV vkm'!D122*'FREH Stock'!D134</f>
        <v>22502.075463116067</v>
      </c>
      <c r="AK122" s="295">
        <f>'FREH LGV vkm'!E122*'FREH Stock'!E134</f>
        <v>4692.0346057135403</v>
      </c>
      <c r="AL122" s="295">
        <f>'FREH LGV vkm'!F122*'FREH Stock'!F134</f>
        <v>1202.5828561613118</v>
      </c>
      <c r="AM122" s="295">
        <f>'FREH LGV vkm'!G122*'FREH Stock'!G134</f>
        <v>591.79329291610827</v>
      </c>
      <c r="AN122" s="295">
        <f>'FREH LGV vkm'!H122*'FREH Stock'!H134</f>
        <v>167.15582691176573</v>
      </c>
      <c r="AO122" s="295">
        <f>'FREH LGV vkm'!I122*'FREH Stock'!I134</f>
        <v>146.88874618524727</v>
      </c>
      <c r="AP122" s="295">
        <f>'FREH LGV vkm'!J122*'FREH Stock'!J134</f>
        <v>72.277909855541935</v>
      </c>
      <c r="AQ122" s="295">
        <f>'FREH LGV vkm'!K122*'FREH Stock'!K134</f>
        <v>48.666019812190818</v>
      </c>
      <c r="AR122" s="295">
        <f>'FREH LGV vkm'!L122*'FREH Stock'!L134</f>
        <v>17.961655908182081</v>
      </c>
      <c r="AS122" s="295">
        <f>'FREH LGV vkm'!M122*'FREH Stock'!M134</f>
        <v>21.809981719346332</v>
      </c>
      <c r="AT122" s="295">
        <f>'FREH LGV vkm'!N122*'FREH Stock'!N134</f>
        <v>13.9999171158811</v>
      </c>
      <c r="AU122" s="295">
        <f>'FREH LGV vkm'!O122*'FREH Stock'!O134</f>
        <v>8.0559455337299362</v>
      </c>
      <c r="AV122" s="295">
        <f>'FREH LGV vkm'!P122*'FREH Stock'!P134</f>
        <v>9.0735612842432651</v>
      </c>
      <c r="AW122" s="295">
        <f>'FREH LGV vkm'!Q122*'FREH Stock'!Q134</f>
        <v>19.404953859220779</v>
      </c>
      <c r="AX122" s="295">
        <f>'FREH LGV vkm'!R122*'FREH Stock'!R134</f>
        <v>10.446540601278357</v>
      </c>
      <c r="AY122" s="295">
        <f>'FREH LGV vkm'!S122*'FREH Stock'!S134</f>
        <v>14.193061360027539</v>
      </c>
      <c r="AZ122" s="295">
        <f>'FREH LGV vkm'!T122*'FREH Stock'!T134</f>
        <v>5.6751245191164275</v>
      </c>
      <c r="BA122" s="295">
        <f>'FREH LGV vkm'!U122*'FREH Stock'!U134</f>
        <v>9.4303454249223417</v>
      </c>
      <c r="BB122" s="295">
        <f>'FREH LGV vkm'!V122*'FREH Stock'!V134</f>
        <v>9.9835774416266414</v>
      </c>
      <c r="BC122" s="295">
        <f>'FREH LGV vkm'!W122*'FREH Stock'!W134</f>
        <v>0.75529545489506467</v>
      </c>
      <c r="BD122" s="295">
        <f>'FREH LGV vkm'!X122*'FREH Stock'!X134</f>
        <v>0</v>
      </c>
      <c r="BE122" s="295">
        <f>'FREH LGV vkm'!Y122*'FREH Stock'!Y134</f>
        <v>0</v>
      </c>
      <c r="BF122" s="295">
        <f>'FREH LGV vkm'!Z122*'FREH Stock'!Z134</f>
        <v>0</v>
      </c>
      <c r="BG122" s="295">
        <f>'FREH LGV vkm'!AA122*'FREH Stock'!AA134</f>
        <v>0</v>
      </c>
      <c r="BH122" s="295">
        <f>'FREH LGV vkm'!AB122*'FREH Stock'!AB134</f>
        <v>0</v>
      </c>
      <c r="BI122" s="295">
        <f>'FREH LGV vkm'!AC122*'FREH Stock'!AC134</f>
        <v>0</v>
      </c>
      <c r="BJ122" s="295">
        <f>'FREH LGV vkm'!AD122*'FREH Stock'!AD134</f>
        <v>0</v>
      </c>
      <c r="BK122" s="296">
        <f>'FREH LGV vkm'!AE122*'FREH Stock'!AE134</f>
        <v>0</v>
      </c>
    </row>
    <row r="123" spans="1:63">
      <c r="A123" s="1711"/>
      <c r="B123" s="116">
        <v>21</v>
      </c>
      <c r="C123" s="294">
        <f t="shared" si="25"/>
        <v>13502.515542757992</v>
      </c>
      <c r="D123" s="295">
        <f t="shared" si="25"/>
        <v>13502.515542757992</v>
      </c>
      <c r="E123" s="295">
        <f t="shared" si="26"/>
        <v>13502.515542757992</v>
      </c>
      <c r="F123" s="295">
        <f t="shared" si="26"/>
        <v>13502.515542757992</v>
      </c>
      <c r="G123" s="295">
        <f t="shared" si="26"/>
        <v>13502.515542757992</v>
      </c>
      <c r="H123" s="295">
        <f t="shared" si="26"/>
        <v>13502.515542757992</v>
      </c>
      <c r="I123" s="295">
        <f t="shared" si="26"/>
        <v>13502.515542757992</v>
      </c>
      <c r="J123" s="295">
        <f t="shared" si="26"/>
        <v>13502.515542757992</v>
      </c>
      <c r="K123" s="295">
        <f t="shared" si="26"/>
        <v>13502.515542757992</v>
      </c>
      <c r="L123" s="295">
        <f t="shared" si="26"/>
        <v>13502.515542757992</v>
      </c>
      <c r="M123" s="295">
        <f t="shared" si="26"/>
        <v>13502.515542757992</v>
      </c>
      <c r="N123" s="295">
        <f t="shared" si="26"/>
        <v>13502.515542757992</v>
      </c>
      <c r="O123" s="295">
        <f t="shared" si="26"/>
        <v>13502.515542757992</v>
      </c>
      <c r="P123" s="295">
        <f t="shared" si="26"/>
        <v>13502.515542757992</v>
      </c>
      <c r="Q123" s="295">
        <f t="shared" si="26"/>
        <v>13502.515542757992</v>
      </c>
      <c r="R123" s="295">
        <f t="shared" si="26"/>
        <v>13502.515542757992</v>
      </c>
      <c r="S123" s="295">
        <f t="shared" si="26"/>
        <v>13502.515542757992</v>
      </c>
      <c r="T123" s="295">
        <f t="shared" si="26"/>
        <v>13502.515542757992</v>
      </c>
      <c r="U123" s="295">
        <f t="shared" si="26"/>
        <v>13502.515542757992</v>
      </c>
      <c r="V123" s="295">
        <f t="shared" si="26"/>
        <v>13502.515542757992</v>
      </c>
      <c r="W123" s="295">
        <f t="shared" si="26"/>
        <v>13502.515542757992</v>
      </c>
      <c r="X123" s="295">
        <f t="shared" si="26"/>
        <v>13502.515542757992</v>
      </c>
      <c r="Y123" s="295">
        <f t="shared" si="26"/>
        <v>13502.515542757992</v>
      </c>
      <c r="Z123" s="295">
        <f t="shared" si="26"/>
        <v>13502.515542757992</v>
      </c>
      <c r="AA123" s="295">
        <f t="shared" si="26"/>
        <v>13502.515542757992</v>
      </c>
      <c r="AB123" s="295">
        <f t="shared" si="26"/>
        <v>13502.515542757992</v>
      </c>
      <c r="AC123" s="295">
        <f t="shared" si="26"/>
        <v>13502.515542757992</v>
      </c>
      <c r="AD123" s="295">
        <f t="shared" si="26"/>
        <v>13502.515542757992</v>
      </c>
      <c r="AE123" s="296">
        <f t="shared" si="26"/>
        <v>13502.515542757992</v>
      </c>
      <c r="AG123" s="1711"/>
      <c r="AH123" s="116">
        <v>21</v>
      </c>
      <c r="AI123" s="294">
        <f>'FREH LGV vkm'!C123*'FREH Stock'!C135</f>
        <v>13862.022545895714</v>
      </c>
      <c r="AJ123" s="295">
        <f>'FREH LGV vkm'!D123*'FREH Stock'!D135</f>
        <v>6622.4407572550108</v>
      </c>
      <c r="AK123" s="295">
        <f>'FREH LGV vkm'!E123*'FREH Stock'!E135</f>
        <v>3954.7549282714044</v>
      </c>
      <c r="AL123" s="295">
        <f>'FREH LGV vkm'!F123*'FREH Stock'!F135</f>
        <v>824.62824422489973</v>
      </c>
      <c r="AM123" s="295">
        <f>'FREH LGV vkm'!G123*'FREH Stock'!G135</f>
        <v>211.35474747003866</v>
      </c>
      <c r="AN123" s="295">
        <f>'FREH LGV vkm'!H123*'FREH Stock'!H135</f>
        <v>104.00807007843204</v>
      </c>
      <c r="AO123" s="295">
        <f>'FREH LGV vkm'!I123*'FREH Stock'!I135</f>
        <v>29.377749237049457</v>
      </c>
      <c r="AP123" s="295">
        <f>'FREH LGV vkm'!J123*'FREH Stock'!J135</f>
        <v>25.815796140045045</v>
      </c>
      <c r="AQ123" s="295">
        <f>'FREH LGV vkm'!K123*'FREH Stock'!K135</f>
        <v>12.702891369949114</v>
      </c>
      <c r="AR123" s="295">
        <f>'FREH LGV vkm'!L123*'FREH Stock'!L135</f>
        <v>8.5530857812243539</v>
      </c>
      <c r="AS123" s="295">
        <f>'FREH LGV vkm'!M123*'FREH Stock'!M135</f>
        <v>3.1567731314043668</v>
      </c>
      <c r="AT123" s="295">
        <f>'FREH LGV vkm'!N123*'FREH Stock'!N135</f>
        <v>3.8331189863563759</v>
      </c>
      <c r="AU123" s="295">
        <f>'FREH LGV vkm'!O123*'FREH Stock'!O135</f>
        <v>2.4604948685811094</v>
      </c>
      <c r="AV123" s="295">
        <f>'FREH LGV vkm'!P123*'FREH Stock'!P135</f>
        <v>1.4158378569846211</v>
      </c>
      <c r="AW123" s="295">
        <f>'FREH LGV vkm'!Q123*'FREH Stock'!Q135</f>
        <v>1.5946845109755277</v>
      </c>
      <c r="AX123" s="295">
        <f>'FREH LGV vkm'!R123*'FREH Stock'!R135</f>
        <v>3.4104337190328415</v>
      </c>
      <c r="AY123" s="295">
        <f>'FREH LGV vkm'!S123*'FREH Stock'!S135</f>
        <v>1.8359865512855162</v>
      </c>
      <c r="AZ123" s="295">
        <f>'FREH LGV vkm'!T123*'FREH Stock'!T135</f>
        <v>2.4944400996624561</v>
      </c>
      <c r="BA123" s="295">
        <f>'FREH LGV vkm'!U123*'FREH Stock'!U135</f>
        <v>0.99740695907441379</v>
      </c>
      <c r="BB123" s="295">
        <f>'FREH LGV vkm'!V123*'FREH Stock'!V135</f>
        <v>1.6573895641601759</v>
      </c>
      <c r="BC123" s="295">
        <f>'FREH LGV vkm'!W123*'FREH Stock'!W135</f>
        <v>1.7546204639554019</v>
      </c>
      <c r="BD123" s="295">
        <f>'FREH LGV vkm'!X123*'FREH Stock'!X135</f>
        <v>0.13274368524109514</v>
      </c>
      <c r="BE123" s="295">
        <f>'FREH LGV vkm'!Y123*'FREH Stock'!Y135</f>
        <v>0</v>
      </c>
      <c r="BF123" s="295">
        <f>'FREH LGV vkm'!Z123*'FREH Stock'!Z135</f>
        <v>0</v>
      </c>
      <c r="BG123" s="295">
        <f>'FREH LGV vkm'!AA123*'FREH Stock'!AA135</f>
        <v>0</v>
      </c>
      <c r="BH123" s="295">
        <f>'FREH LGV vkm'!AB123*'FREH Stock'!AB135</f>
        <v>0</v>
      </c>
      <c r="BI123" s="295">
        <f>'FREH LGV vkm'!AC123*'FREH Stock'!AC135</f>
        <v>0</v>
      </c>
      <c r="BJ123" s="295">
        <f>'FREH LGV vkm'!AD123*'FREH Stock'!AD135</f>
        <v>0</v>
      </c>
      <c r="BK123" s="296">
        <f>'FREH LGV vkm'!AE123*'FREH Stock'!AE135</f>
        <v>0</v>
      </c>
    </row>
    <row r="124" spans="1:63">
      <c r="A124" s="1711"/>
      <c r="B124" s="116">
        <v>22</v>
      </c>
      <c r="C124" s="294">
        <f t="shared" si="25"/>
        <v>13502.515542757992</v>
      </c>
      <c r="D124" s="295">
        <f t="shared" si="25"/>
        <v>13502.515542757992</v>
      </c>
      <c r="E124" s="295">
        <f t="shared" si="26"/>
        <v>13502.515542757992</v>
      </c>
      <c r="F124" s="295">
        <f t="shared" si="26"/>
        <v>13502.515542757992</v>
      </c>
      <c r="G124" s="295">
        <f t="shared" si="26"/>
        <v>13502.515542757992</v>
      </c>
      <c r="H124" s="295">
        <f t="shared" si="26"/>
        <v>13502.515542757992</v>
      </c>
      <c r="I124" s="295">
        <f t="shared" si="26"/>
        <v>13502.515542757992</v>
      </c>
      <c r="J124" s="295">
        <f t="shared" si="26"/>
        <v>13502.515542757992</v>
      </c>
      <c r="K124" s="295">
        <f t="shared" si="26"/>
        <v>13502.515542757992</v>
      </c>
      <c r="L124" s="295">
        <f t="shared" si="26"/>
        <v>13502.515542757992</v>
      </c>
      <c r="M124" s="295">
        <f t="shared" si="26"/>
        <v>13502.515542757992</v>
      </c>
      <c r="N124" s="295">
        <f t="shared" si="26"/>
        <v>13502.515542757992</v>
      </c>
      <c r="O124" s="295">
        <f t="shared" si="26"/>
        <v>13502.515542757992</v>
      </c>
      <c r="P124" s="295">
        <f t="shared" si="26"/>
        <v>13502.515542757992</v>
      </c>
      <c r="Q124" s="295">
        <f t="shared" si="26"/>
        <v>13502.515542757992</v>
      </c>
      <c r="R124" s="295">
        <f t="shared" si="26"/>
        <v>13502.515542757992</v>
      </c>
      <c r="S124" s="295">
        <f t="shared" si="26"/>
        <v>13502.515542757992</v>
      </c>
      <c r="T124" s="295">
        <f t="shared" si="26"/>
        <v>13502.515542757992</v>
      </c>
      <c r="U124" s="295">
        <f t="shared" si="26"/>
        <v>13502.515542757992</v>
      </c>
      <c r="V124" s="295">
        <f t="shared" si="26"/>
        <v>13502.515542757992</v>
      </c>
      <c r="W124" s="295">
        <f t="shared" si="26"/>
        <v>13502.515542757992</v>
      </c>
      <c r="X124" s="295">
        <f t="shared" si="26"/>
        <v>13502.515542757992</v>
      </c>
      <c r="Y124" s="295">
        <f t="shared" si="26"/>
        <v>13502.515542757992</v>
      </c>
      <c r="Z124" s="295">
        <f t="shared" si="26"/>
        <v>13502.515542757992</v>
      </c>
      <c r="AA124" s="295">
        <f t="shared" si="26"/>
        <v>13502.515542757992</v>
      </c>
      <c r="AB124" s="295">
        <f t="shared" si="26"/>
        <v>13502.515542757992</v>
      </c>
      <c r="AC124" s="295">
        <f t="shared" si="26"/>
        <v>13502.515542757992</v>
      </c>
      <c r="AD124" s="295">
        <f t="shared" si="26"/>
        <v>13502.515542757992</v>
      </c>
      <c r="AE124" s="296">
        <f t="shared" si="26"/>
        <v>13502.515542757992</v>
      </c>
      <c r="AG124" s="1711"/>
      <c r="AH124" s="116">
        <v>22</v>
      </c>
      <c r="AI124" s="294">
        <f>'FREH LGV vkm'!C124*'FREH Stock'!C136</f>
        <v>5099.5531076900479</v>
      </c>
      <c r="AJ124" s="295">
        <f>'FREH LGV vkm'!D124*'FREH Stock'!D136</f>
        <v>1827.1948537274675</v>
      </c>
      <c r="AK124" s="295">
        <f>'FREH LGV vkm'!E124*'FREH Stock'!E136</f>
        <v>872.92381978949527</v>
      </c>
      <c r="AL124" s="295">
        <f>'FREH LGV vkm'!F124*'FREH Stock'!F136</f>
        <v>521.28813300988077</v>
      </c>
      <c r="AM124" s="295">
        <f>'FREH LGV vkm'!G124*'FREH Stock'!G136</f>
        <v>108.69672727030562</v>
      </c>
      <c r="AN124" s="295">
        <f>'FREH LGV vkm'!H124*'FREH Stock'!H136</f>
        <v>27.859304485294302</v>
      </c>
      <c r="AO124" s="295">
        <f>'FREH LGV vkm'!I124*'FREH Stock'!I136</f>
        <v>13.709616310623087</v>
      </c>
      <c r="AP124" s="295">
        <f>'FREH LGV vkm'!J124*'FREH Stock'!J136</f>
        <v>3.8723694210067579</v>
      </c>
      <c r="AQ124" s="295">
        <f>'FREH LGV vkm'!K124*'FREH Stock'!K136</f>
        <v>3.4028576779320008</v>
      </c>
      <c r="AR124" s="295">
        <f>'FREH LGV vkm'!L124*'FREH Stock'!L136</f>
        <v>1.6744062896869494</v>
      </c>
      <c r="AS124" s="295">
        <f>'FREH LGV vkm'!M124*'FREH Stock'!M136</f>
        <v>1.1274079429029584</v>
      </c>
      <c r="AT124" s="295">
        <f>'FREH LGV vkm'!N124*'FREH Stock'!N136</f>
        <v>0.41610375405102851</v>
      </c>
      <c r="AU124" s="295">
        <f>'FREH LGV vkm'!O124*'FREH Stock'!O136</f>
        <v>0.50525493393235965</v>
      </c>
      <c r="AV124" s="295">
        <f>'FREH LGV vkm'!P124*'FREH Stock'!P136</f>
        <v>0.32432522358184795</v>
      </c>
      <c r="AW124" s="295">
        <f>'FREH LGV vkm'!Q124*'FREH Stock'!Q136</f>
        <v>0.18662584319348061</v>
      </c>
      <c r="AX124" s="295">
        <f>'FREH LGV vkm'!R124*'FREH Stock'!R136</f>
        <v>0.21020015817504994</v>
      </c>
      <c r="AY124" s="295">
        <f>'FREH LGV vkm'!S124*'FREH Stock'!S136</f>
        <v>0.44953951847672297</v>
      </c>
      <c r="AZ124" s="295">
        <f>'FREH LGV vkm'!T124*'FREH Stock'!T136</f>
        <v>0.24200690533539801</v>
      </c>
      <c r="BA124" s="295">
        <f>'FREH LGV vkm'!U124*'FREH Stock'!U136</f>
        <v>0.328799646512201</v>
      </c>
      <c r="BB124" s="295">
        <f>'FREH LGV vkm'!V124*'FREH Stock'!V136</f>
        <v>0.13147120895661271</v>
      </c>
      <c r="BC124" s="295">
        <f>'FREH LGV vkm'!W124*'FREH Stock'!W136</f>
        <v>0.21846549969374629</v>
      </c>
      <c r="BD124" s="295">
        <f>'FREH LGV vkm'!X124*'FREH Stock'!X136</f>
        <v>0.23128179682072866</v>
      </c>
      <c r="BE124" s="295">
        <f>'FREH LGV vkm'!Y124*'FREH Stock'!Y136</f>
        <v>1.7497344109367499E-2</v>
      </c>
      <c r="BF124" s="295">
        <f>'FREH LGV vkm'!Z124*'FREH Stock'!Z136</f>
        <v>0</v>
      </c>
      <c r="BG124" s="295">
        <f>'FREH LGV vkm'!AA124*'FREH Stock'!AA136</f>
        <v>0</v>
      </c>
      <c r="BH124" s="295">
        <f>'FREH LGV vkm'!AB124*'FREH Stock'!AB136</f>
        <v>0</v>
      </c>
      <c r="BI124" s="295">
        <f>'FREH LGV vkm'!AC124*'FREH Stock'!AC136</f>
        <v>0</v>
      </c>
      <c r="BJ124" s="295">
        <f>'FREH LGV vkm'!AD124*'FREH Stock'!AD136</f>
        <v>0</v>
      </c>
      <c r="BK124" s="296">
        <f>'FREH LGV vkm'!AE124*'FREH Stock'!AE136</f>
        <v>0</v>
      </c>
    </row>
    <row r="125" spans="1:63">
      <c r="A125" s="1711"/>
      <c r="B125" s="116">
        <v>23</v>
      </c>
      <c r="C125" s="294">
        <f t="shared" si="25"/>
        <v>13502.515542757992</v>
      </c>
      <c r="D125" s="295">
        <f t="shared" si="25"/>
        <v>13502.515542757992</v>
      </c>
      <c r="E125" s="295">
        <f t="shared" si="26"/>
        <v>13502.515542757992</v>
      </c>
      <c r="F125" s="295">
        <f t="shared" si="26"/>
        <v>13502.515542757992</v>
      </c>
      <c r="G125" s="295">
        <f t="shared" si="26"/>
        <v>13502.515542757992</v>
      </c>
      <c r="H125" s="295">
        <f t="shared" si="26"/>
        <v>13502.515542757992</v>
      </c>
      <c r="I125" s="295">
        <f t="shared" si="26"/>
        <v>13502.515542757992</v>
      </c>
      <c r="J125" s="295">
        <f t="shared" si="26"/>
        <v>13502.515542757992</v>
      </c>
      <c r="K125" s="295">
        <f t="shared" si="26"/>
        <v>13502.515542757992</v>
      </c>
      <c r="L125" s="295">
        <f t="shared" si="26"/>
        <v>13502.515542757992</v>
      </c>
      <c r="M125" s="295">
        <f t="shared" si="26"/>
        <v>13502.515542757992</v>
      </c>
      <c r="N125" s="295">
        <f t="shared" si="26"/>
        <v>13502.515542757992</v>
      </c>
      <c r="O125" s="295">
        <f t="shared" si="26"/>
        <v>13502.515542757992</v>
      </c>
      <c r="P125" s="295">
        <f t="shared" si="26"/>
        <v>13502.515542757992</v>
      </c>
      <c r="Q125" s="295">
        <f t="shared" si="26"/>
        <v>13502.515542757992</v>
      </c>
      <c r="R125" s="295">
        <f t="shared" si="26"/>
        <v>13502.515542757992</v>
      </c>
      <c r="S125" s="295">
        <f t="shared" si="26"/>
        <v>13502.515542757992</v>
      </c>
      <c r="T125" s="295">
        <f t="shared" si="26"/>
        <v>13502.515542757992</v>
      </c>
      <c r="U125" s="295">
        <f t="shared" si="26"/>
        <v>13502.515542757992</v>
      </c>
      <c r="V125" s="295">
        <f t="shared" si="26"/>
        <v>13502.515542757992</v>
      </c>
      <c r="W125" s="295">
        <f t="shared" si="26"/>
        <v>13502.515542757992</v>
      </c>
      <c r="X125" s="295">
        <f t="shared" si="26"/>
        <v>13502.515542757992</v>
      </c>
      <c r="Y125" s="295">
        <f t="shared" si="26"/>
        <v>13502.515542757992</v>
      </c>
      <c r="Z125" s="295">
        <f t="shared" si="26"/>
        <v>13502.515542757992</v>
      </c>
      <c r="AA125" s="295">
        <f t="shared" si="26"/>
        <v>13502.515542757992</v>
      </c>
      <c r="AB125" s="295">
        <f t="shared" si="26"/>
        <v>13502.515542757992</v>
      </c>
      <c r="AC125" s="295">
        <f t="shared" si="26"/>
        <v>13502.515542757992</v>
      </c>
      <c r="AD125" s="295">
        <f t="shared" si="26"/>
        <v>13502.515542757992</v>
      </c>
      <c r="AE125" s="296">
        <f t="shared" si="26"/>
        <v>13502.515542757992</v>
      </c>
      <c r="AG125" s="1711"/>
      <c r="AH125" s="116">
        <v>23</v>
      </c>
      <c r="AI125" s="294">
        <f>'FREH LGV vkm'!C125*'FREH Stock'!C137</f>
        <v>1876.020747481107</v>
      </c>
      <c r="AJ125" s="295">
        <f>'FREH LGV vkm'!D125*'FREH Stock'!D137</f>
        <v>448.12494780039736</v>
      </c>
      <c r="AK125" s="295">
        <f>'FREH LGV vkm'!E125*'FREH Stock'!E137</f>
        <v>160.5653635047002</v>
      </c>
      <c r="AL125" s="295">
        <f>'FREH LGV vkm'!F125*'FREH Stock'!F137</f>
        <v>76.7084748243918</v>
      </c>
      <c r="AM125" s="295">
        <f>'FREH LGV vkm'!G125*'FREH Stock'!G137</f>
        <v>45.808370353423882</v>
      </c>
      <c r="AN125" s="295">
        <f>'FREH LGV vkm'!H125*'FREH Stock'!H137</f>
        <v>9.5517615378151923</v>
      </c>
      <c r="AO125" s="295">
        <f>'FREH LGV vkm'!I125*'FREH Stock'!I137</f>
        <v>2.4481457697541233</v>
      </c>
      <c r="AP125" s="295">
        <f>'FREH LGV vkm'!J125*'FREH Stock'!J137</f>
        <v>1.2047371532021034</v>
      </c>
      <c r="AQ125" s="295">
        <f>'FREH LGV vkm'!K125*'FREH Stock'!K137</f>
        <v>0.34028576779320024</v>
      </c>
      <c r="AR125" s="295">
        <f>'FREH LGV vkm'!L125*'FREH Stock'!L137</f>
        <v>0.29902726515308276</v>
      </c>
      <c r="AS125" s="295">
        <f>'FREH LGV vkm'!M125*'FREH Stock'!M137</f>
        <v>0.14713901695250808</v>
      </c>
      <c r="AT125" s="295">
        <f>'FREH LGV vkm'!N125*'FREH Stock'!N137</f>
        <v>9.9071352899782181E-2</v>
      </c>
      <c r="AU125" s="295">
        <f>'FREH LGV vkm'!O125*'FREH Stock'!O137</f>
        <v>3.6565257607078933E-2</v>
      </c>
      <c r="AV125" s="295">
        <f>'FREH LGV vkm'!P125*'FREH Stock'!P137</f>
        <v>4.4399447581572979E-2</v>
      </c>
      <c r="AW125" s="295">
        <f>'FREH LGV vkm'!Q125*'FREH Stock'!Q137</f>
        <v>2.8500188314305428E-2</v>
      </c>
      <c r="AX125" s="295">
        <f>'FREH LGV vkm'!R125*'FREH Stock'!R137</f>
        <v>1.6399808860342747E-2</v>
      </c>
      <c r="AY125" s="295">
        <f>'FREH LGV vkm'!S125*'FREH Stock'!S137</f>
        <v>1.8471409733488899E-2</v>
      </c>
      <c r="AZ125" s="295">
        <f>'FREH LGV vkm'!T125*'FREH Stock'!T137</f>
        <v>3.9503436673267292E-2</v>
      </c>
      <c r="BA125" s="295">
        <f>'FREH LGV vkm'!U125*'FREH Stock'!U137</f>
        <v>2.1266438358534007E-2</v>
      </c>
      <c r="BB125" s="295">
        <f>'FREH LGV vkm'!V125*'FREH Stock'!V137</f>
        <v>2.8893379737114162E-2</v>
      </c>
      <c r="BC125" s="295">
        <f>'FREH LGV vkm'!W125*'FREH Stock'!W137</f>
        <v>1.1553076790610042E-2</v>
      </c>
      <c r="BD125" s="295">
        <f>'FREH LGV vkm'!X125*'FREH Stock'!X137</f>
        <v>1.9197729404723002E-2</v>
      </c>
      <c r="BE125" s="295">
        <f>'FREH LGV vkm'!Y125*'FREH Stock'!Y137</f>
        <v>2.0323965833629398E-2</v>
      </c>
      <c r="BF125" s="295">
        <f>'FREH LGV vkm'!Z125*'FREH Stock'!Z137</f>
        <v>1.5375850099162214E-3</v>
      </c>
      <c r="BG125" s="295">
        <f>'FREH LGV vkm'!AA125*'FREH Stock'!AA137</f>
        <v>0</v>
      </c>
      <c r="BH125" s="295">
        <f>'FREH LGV vkm'!AB125*'FREH Stock'!AB137</f>
        <v>0</v>
      </c>
      <c r="BI125" s="295">
        <f>'FREH LGV vkm'!AC125*'FREH Stock'!AC137</f>
        <v>0</v>
      </c>
      <c r="BJ125" s="295">
        <f>'FREH LGV vkm'!AD125*'FREH Stock'!AD137</f>
        <v>0</v>
      </c>
      <c r="BK125" s="296">
        <f>'FREH LGV vkm'!AE125*'FREH Stock'!AE137</f>
        <v>0</v>
      </c>
    </row>
    <row r="126" spans="1:63">
      <c r="A126" s="1711"/>
      <c r="B126" s="116">
        <v>24</v>
      </c>
      <c r="C126" s="294">
        <f t="shared" ref="C126:D127" si="27">C125</f>
        <v>13502.515542757992</v>
      </c>
      <c r="D126" s="295">
        <f t="shared" si="27"/>
        <v>13502.515542757992</v>
      </c>
      <c r="E126" s="295">
        <f t="shared" si="26"/>
        <v>13502.515542757992</v>
      </c>
      <c r="F126" s="295">
        <f t="shared" si="26"/>
        <v>13502.515542757992</v>
      </c>
      <c r="G126" s="295">
        <f t="shared" si="26"/>
        <v>13502.515542757992</v>
      </c>
      <c r="H126" s="295">
        <f t="shared" si="26"/>
        <v>13502.515542757992</v>
      </c>
      <c r="I126" s="295">
        <f t="shared" si="26"/>
        <v>13502.515542757992</v>
      </c>
      <c r="J126" s="295">
        <f t="shared" si="26"/>
        <v>13502.515542757992</v>
      </c>
      <c r="K126" s="295">
        <f t="shared" si="26"/>
        <v>13502.515542757992</v>
      </c>
      <c r="L126" s="295">
        <f t="shared" si="26"/>
        <v>13502.515542757992</v>
      </c>
      <c r="M126" s="295">
        <f t="shared" si="26"/>
        <v>13502.515542757992</v>
      </c>
      <c r="N126" s="295">
        <f t="shared" si="26"/>
        <v>13502.515542757992</v>
      </c>
      <c r="O126" s="295">
        <f t="shared" si="26"/>
        <v>13502.515542757992</v>
      </c>
      <c r="P126" s="295">
        <f t="shared" si="26"/>
        <v>13502.515542757992</v>
      </c>
      <c r="Q126" s="295">
        <f t="shared" si="26"/>
        <v>13502.515542757992</v>
      </c>
      <c r="R126" s="295">
        <f t="shared" si="26"/>
        <v>13502.515542757992</v>
      </c>
      <c r="S126" s="295">
        <f t="shared" si="26"/>
        <v>13502.515542757992</v>
      </c>
      <c r="T126" s="295">
        <f t="shared" si="26"/>
        <v>13502.515542757992</v>
      </c>
      <c r="U126" s="295">
        <f t="shared" si="26"/>
        <v>13502.515542757992</v>
      </c>
      <c r="V126" s="295">
        <f t="shared" si="26"/>
        <v>13502.515542757992</v>
      </c>
      <c r="W126" s="295">
        <f t="shared" si="26"/>
        <v>13502.515542757992</v>
      </c>
      <c r="X126" s="295">
        <f t="shared" si="26"/>
        <v>13502.515542757992</v>
      </c>
      <c r="Y126" s="295">
        <f t="shared" si="26"/>
        <v>13502.515542757992</v>
      </c>
      <c r="Z126" s="295">
        <f t="shared" si="26"/>
        <v>13502.515542757992</v>
      </c>
      <c r="AA126" s="295">
        <f t="shared" si="26"/>
        <v>13502.515542757992</v>
      </c>
      <c r="AB126" s="295">
        <f t="shared" si="26"/>
        <v>13502.515542757992</v>
      </c>
      <c r="AC126" s="295">
        <f t="shared" si="26"/>
        <v>13502.515542757992</v>
      </c>
      <c r="AD126" s="295">
        <f t="shared" si="26"/>
        <v>13502.515542757992</v>
      </c>
      <c r="AE126" s="296">
        <f t="shared" si="26"/>
        <v>13502.515542757992</v>
      </c>
      <c r="AG126" s="1711"/>
      <c r="AH126" s="116">
        <v>24</v>
      </c>
      <c r="AI126" s="294">
        <f>'FREH LGV vkm'!C126*'FREH Stock'!C138</f>
        <v>690.14946420938122</v>
      </c>
      <c r="AJ126" s="295">
        <f>'FREH LGV vkm'!D126*'FREH Stock'!D138</f>
        <v>82.42797768589601</v>
      </c>
      <c r="AK126" s="295">
        <f>'FREH LGV vkm'!E126*'FREH Stock'!E138</f>
        <v>19.689565399199545</v>
      </c>
      <c r="AL126" s="295">
        <f>'FREH LGV vkm'!F126*'FREH Stock'!F138</f>
        <v>7.0548677128777317</v>
      </c>
      <c r="AM126" s="295">
        <f>'FREH LGV vkm'!G126*'FREH Stock'!G138</f>
        <v>3.3703915373184112</v>
      </c>
      <c r="AN126" s="295">
        <f>'FREH LGV vkm'!H126*'FREH Stock'!H138</f>
        <v>2.0127129907220342</v>
      </c>
      <c r="AO126" s="295">
        <f>'FREH LGV vkm'!I126*'FREH Stock'!I138</f>
        <v>0.41968213195785004</v>
      </c>
      <c r="AP126" s="295">
        <f>'FREH LGV vkm'!J126*'FREH Stock'!J138</f>
        <v>0.10756581725018788</v>
      </c>
      <c r="AQ126" s="295">
        <f>'FREH LGV vkm'!K126*'FREH Stock'!K138</f>
        <v>5.2933341656720111E-2</v>
      </c>
      <c r="AR126" s="295">
        <f>'FREH LGV vkm'!L126*'FREH Stock'!L138</f>
        <v>1.4951363257654152E-2</v>
      </c>
      <c r="AS126" s="295">
        <f>'FREH LGV vkm'!M126*'FREH Stock'!M138</f>
        <v>1.31385608461993E-2</v>
      </c>
      <c r="AT126" s="295">
        <f>'FREH LGV vkm'!N126*'FREH Stock'!N138</f>
        <v>6.4649453490162713E-3</v>
      </c>
      <c r="AU126" s="295">
        <f>'FREH LGV vkm'!O126*'FREH Stock'!O138</f>
        <v>4.3529642607094974E-3</v>
      </c>
      <c r="AV126" s="295">
        <f>'FREH LGV vkm'!P126*'FREH Stock'!P138</f>
        <v>1.606592167044088E-3</v>
      </c>
      <c r="AW126" s="295">
        <f>'FREH LGV vkm'!Q126*'FREH Stock'!Q138</f>
        <v>1.9508082090424024E-3</v>
      </c>
      <c r="AX126" s="295">
        <f>'FREH LGV vkm'!R126*'FREH Stock'!R138</f>
        <v>1.2522318260976806E-3</v>
      </c>
      <c r="AY126" s="295">
        <f>'FREH LGV vkm'!S126*'FREH Stock'!S138</f>
        <v>7.2056936502878704E-4</v>
      </c>
      <c r="AZ126" s="295">
        <f>'FREH LGV vkm'!T126*'FREH Stock'!T138</f>
        <v>8.1159067743966887E-4</v>
      </c>
      <c r="BA126" s="295">
        <f>'FREH LGV vkm'!U126*'FREH Stock'!U138</f>
        <v>1.7356889048227731E-3</v>
      </c>
      <c r="BB126" s="295">
        <f>'FREH LGV vkm'!V126*'FREH Stock'!V138</f>
        <v>9.3439771859099737E-4</v>
      </c>
      <c r="BC126" s="295">
        <f>'FREH LGV vkm'!W126*'FREH Stock'!W138</f>
        <v>1.2695077404867297E-3</v>
      </c>
      <c r="BD126" s="295">
        <f>'FREH LGV vkm'!X126*'FREH Stock'!X138</f>
        <v>5.0761525808202081E-4</v>
      </c>
      <c r="BE126" s="295">
        <f>'FREH LGV vkm'!Y126*'FREH Stock'!Y138</f>
        <v>8.435034703731675E-4</v>
      </c>
      <c r="BF126" s="295">
        <f>'FREH LGV vkm'!Z126*'FREH Stock'!Z138</f>
        <v>8.9298767322944445E-4</v>
      </c>
      <c r="BG126" s="295">
        <f>'FREH LGV vkm'!AA126*'FREH Stock'!AA138</f>
        <v>6.7557900443112709E-5</v>
      </c>
      <c r="BH126" s="295">
        <f>'FREH LGV vkm'!AB126*'FREH Stock'!AB138</f>
        <v>0</v>
      </c>
      <c r="BI126" s="295">
        <f>'FREH LGV vkm'!AC126*'FREH Stock'!AC138</f>
        <v>0</v>
      </c>
      <c r="BJ126" s="295">
        <f>'FREH LGV vkm'!AD126*'FREH Stock'!AD138</f>
        <v>0</v>
      </c>
      <c r="BK126" s="296">
        <f>'FREH LGV vkm'!AE126*'FREH Stock'!AE138</f>
        <v>0</v>
      </c>
    </row>
    <row r="127" spans="1:63" ht="15.75" thickBot="1">
      <c r="A127" s="1711"/>
      <c r="B127" s="116">
        <v>25</v>
      </c>
      <c r="C127" s="294">
        <f t="shared" si="27"/>
        <v>13502.515542757992</v>
      </c>
      <c r="D127" s="295">
        <f t="shared" si="27"/>
        <v>13502.515542757992</v>
      </c>
      <c r="E127" s="295">
        <f t="shared" si="26"/>
        <v>13502.515542757992</v>
      </c>
      <c r="F127" s="295">
        <f t="shared" si="26"/>
        <v>13502.515542757992</v>
      </c>
      <c r="G127" s="295">
        <f t="shared" si="26"/>
        <v>13502.515542757992</v>
      </c>
      <c r="H127" s="295">
        <f t="shared" si="26"/>
        <v>13502.515542757992</v>
      </c>
      <c r="I127" s="295">
        <f t="shared" si="26"/>
        <v>13502.515542757992</v>
      </c>
      <c r="J127" s="295">
        <f t="shared" si="26"/>
        <v>13502.515542757992</v>
      </c>
      <c r="K127" s="295">
        <f t="shared" si="26"/>
        <v>13502.515542757992</v>
      </c>
      <c r="L127" s="295">
        <f t="shared" si="26"/>
        <v>13502.515542757992</v>
      </c>
      <c r="M127" s="295">
        <f t="shared" si="26"/>
        <v>13502.515542757992</v>
      </c>
      <c r="N127" s="295">
        <f t="shared" si="26"/>
        <v>13502.515542757992</v>
      </c>
      <c r="O127" s="295">
        <f t="shared" si="26"/>
        <v>13502.515542757992</v>
      </c>
      <c r="P127" s="295">
        <f t="shared" si="26"/>
        <v>13502.515542757992</v>
      </c>
      <c r="Q127" s="295">
        <f t="shared" si="26"/>
        <v>13502.515542757992</v>
      </c>
      <c r="R127" s="295">
        <f t="shared" si="26"/>
        <v>13502.515542757992</v>
      </c>
      <c r="S127" s="295">
        <f t="shared" si="26"/>
        <v>13502.515542757992</v>
      </c>
      <c r="T127" s="295">
        <f t="shared" si="26"/>
        <v>13502.515542757992</v>
      </c>
      <c r="U127" s="295">
        <f t="shared" si="26"/>
        <v>13502.515542757992</v>
      </c>
      <c r="V127" s="295">
        <f t="shared" si="26"/>
        <v>13502.515542757992</v>
      </c>
      <c r="W127" s="295">
        <f t="shared" si="26"/>
        <v>13502.515542757992</v>
      </c>
      <c r="X127" s="295">
        <f t="shared" si="26"/>
        <v>13502.515542757992</v>
      </c>
      <c r="Y127" s="295">
        <f t="shared" si="26"/>
        <v>13502.515542757992</v>
      </c>
      <c r="Z127" s="295">
        <f t="shared" si="26"/>
        <v>13502.515542757992</v>
      </c>
      <c r="AA127" s="295">
        <f t="shared" si="26"/>
        <v>13502.515542757992</v>
      </c>
      <c r="AB127" s="295">
        <f t="shared" si="26"/>
        <v>13502.515542757992</v>
      </c>
      <c r="AC127" s="295">
        <f t="shared" ref="AC127:AE127" si="28">AC126</f>
        <v>13502.515542757992</v>
      </c>
      <c r="AD127" s="295">
        <f t="shared" si="28"/>
        <v>13502.515542757992</v>
      </c>
      <c r="AE127" s="296">
        <f t="shared" si="28"/>
        <v>13502.515542757992</v>
      </c>
      <c r="AG127" s="1711"/>
      <c r="AH127" s="116">
        <v>25</v>
      </c>
      <c r="AI127" s="294">
        <f>'FREH LGV vkm'!C127*'FREH Stock'!C139</f>
        <v>253.89179921811748</v>
      </c>
      <c r="AJ127" s="295">
        <f>'FREH LGV vkm'!D127*'FREH Stock'!D139</f>
        <v>0</v>
      </c>
      <c r="AK127" s="295">
        <f>'FREH LGV vkm'!E127*'FREH Stock'!E139</f>
        <v>0</v>
      </c>
      <c r="AL127" s="295">
        <f>'FREH LGV vkm'!F127*'FREH Stock'!F139</f>
        <v>0</v>
      </c>
      <c r="AM127" s="295">
        <f>'FREH LGV vkm'!G127*'FREH Stock'!G139</f>
        <v>0</v>
      </c>
      <c r="AN127" s="295">
        <f>'FREH LGV vkm'!H127*'FREH Stock'!H139</f>
        <v>0</v>
      </c>
      <c r="AO127" s="295">
        <f>'FREH LGV vkm'!I127*'FREH Stock'!I139</f>
        <v>0</v>
      </c>
      <c r="AP127" s="295">
        <f>'FREH LGV vkm'!J127*'FREH Stock'!J139</f>
        <v>0</v>
      </c>
      <c r="AQ127" s="295">
        <f>'FREH LGV vkm'!K127*'FREH Stock'!K139</f>
        <v>0</v>
      </c>
      <c r="AR127" s="295">
        <f>'FREH LGV vkm'!L127*'FREH Stock'!L139</f>
        <v>0</v>
      </c>
      <c r="AS127" s="295">
        <f>'FREH LGV vkm'!M127*'FREH Stock'!M139</f>
        <v>0</v>
      </c>
      <c r="AT127" s="295">
        <f>'FREH LGV vkm'!N127*'FREH Stock'!N139</f>
        <v>0</v>
      </c>
      <c r="AU127" s="295">
        <f>'FREH LGV vkm'!O127*'FREH Stock'!O139</f>
        <v>0</v>
      </c>
      <c r="AV127" s="295">
        <f>'FREH LGV vkm'!P127*'FREH Stock'!P139</f>
        <v>0</v>
      </c>
      <c r="AW127" s="295">
        <f>'FREH LGV vkm'!Q127*'FREH Stock'!Q139</f>
        <v>0</v>
      </c>
      <c r="AX127" s="295">
        <f>'FREH LGV vkm'!R127*'FREH Stock'!R139</f>
        <v>0</v>
      </c>
      <c r="AY127" s="295">
        <f>'FREH LGV vkm'!S127*'FREH Stock'!S139</f>
        <v>0</v>
      </c>
      <c r="AZ127" s="295">
        <f>'FREH LGV vkm'!T127*'FREH Stock'!T139</f>
        <v>0</v>
      </c>
      <c r="BA127" s="295">
        <f>'FREH LGV vkm'!U127*'FREH Stock'!U139</f>
        <v>0</v>
      </c>
      <c r="BB127" s="295">
        <f>'FREH LGV vkm'!V127*'FREH Stock'!V139</f>
        <v>0</v>
      </c>
      <c r="BC127" s="295">
        <f>'FREH LGV vkm'!W127*'FREH Stock'!W139</f>
        <v>0</v>
      </c>
      <c r="BD127" s="295">
        <f>'FREH LGV vkm'!X127*'FREH Stock'!X139</f>
        <v>0</v>
      </c>
      <c r="BE127" s="295">
        <f>'FREH LGV vkm'!Y127*'FREH Stock'!Y139</f>
        <v>0</v>
      </c>
      <c r="BF127" s="295">
        <f>'FREH LGV vkm'!Z127*'FREH Stock'!Z139</f>
        <v>0</v>
      </c>
      <c r="BG127" s="295">
        <f>'FREH LGV vkm'!AA127*'FREH Stock'!AA139</f>
        <v>0</v>
      </c>
      <c r="BH127" s="295">
        <f>'FREH LGV vkm'!AB127*'FREH Stock'!AB139</f>
        <v>0</v>
      </c>
      <c r="BI127" s="295">
        <f>'FREH LGV vkm'!AC127*'FREH Stock'!AC139</f>
        <v>0</v>
      </c>
      <c r="BJ127" s="295">
        <f>'FREH LGV vkm'!AD127*'FREH Stock'!AD139</f>
        <v>0</v>
      </c>
      <c r="BK127" s="296">
        <f>'FREH LGV vkm'!AE127*'FREH Stock'!AE139</f>
        <v>0</v>
      </c>
    </row>
    <row r="128" spans="1:63" ht="16.5" thickTop="1" thickBot="1">
      <c r="A128" s="1712"/>
      <c r="B128" s="300" t="s">
        <v>39</v>
      </c>
      <c r="C128" s="463">
        <f>SUMPRODUCT(C102:C127,'FREH Stock'!C114:C139)/'FREH Stock'!C140</f>
        <v>13672.937795748991</v>
      </c>
      <c r="D128" s="464">
        <f>SUMPRODUCT(D102:D127,'FREH Stock'!D114:D139)/'FREH Stock'!D140</f>
        <v>13891.994162840112</v>
      </c>
      <c r="E128" s="464">
        <f>SUMPRODUCT(E102:E127,'FREH Stock'!E114:E139)/'FREH Stock'!E140</f>
        <v>14061.279060431038</v>
      </c>
      <c r="F128" s="464">
        <f>SUMPRODUCT(F102:F127,'FREH Stock'!F114:F139)/'FREH Stock'!F140</f>
        <v>14216.809814728203</v>
      </c>
      <c r="G128" s="464">
        <f>SUMPRODUCT(G102:G127,'FREH Stock'!G114:G139)/'FREH Stock'!G140</f>
        <v>13926.538744653473</v>
      </c>
      <c r="H128" s="464">
        <f>SUMPRODUCT(H102:H127,'FREH Stock'!H114:H139)/'FREH Stock'!H140</f>
        <v>13539.319860282938</v>
      </c>
      <c r="I128" s="464">
        <f>SUMPRODUCT(I102:I127,'FREH Stock'!I114:I139)/'FREH Stock'!I140</f>
        <v>13502.515542757992</v>
      </c>
      <c r="J128" s="464">
        <f>SUMPRODUCT(J102:J127,'FREH Stock'!J114:J139)/'FREH Stock'!J140</f>
        <v>13502.515542757994</v>
      </c>
      <c r="K128" s="464">
        <f>SUMPRODUCT(K102:K127,'FREH Stock'!K114:K139)/'FREH Stock'!K140</f>
        <v>13502.515542757988</v>
      </c>
      <c r="L128" s="464">
        <f>SUMPRODUCT(L102:L127,'FREH Stock'!L114:L139)/'FREH Stock'!L140</f>
        <v>13502.515542757994</v>
      </c>
      <c r="M128" s="464">
        <f>SUMPRODUCT(M102:M127,'FREH Stock'!M114:M139)/'FREH Stock'!M140</f>
        <v>13502.51554275799</v>
      </c>
      <c r="N128" s="464">
        <f>SUMPRODUCT(N102:N127,'FREH Stock'!N114:N139)/'FREH Stock'!N140</f>
        <v>13502.515542757994</v>
      </c>
      <c r="O128" s="464">
        <f>SUMPRODUCT(O102:O127,'FREH Stock'!O114:O139)/'FREH Stock'!O140</f>
        <v>13502.515542757992</v>
      </c>
      <c r="P128" s="464">
        <f>SUMPRODUCT(P102:P127,'FREH Stock'!P114:P139)/'FREH Stock'!P140</f>
        <v>13502.51554275799</v>
      </c>
      <c r="Q128" s="464">
        <f>SUMPRODUCT(Q102:Q127,'FREH Stock'!Q114:Q139)/'FREH Stock'!Q140</f>
        <v>13502.515542757988</v>
      </c>
      <c r="R128" s="464">
        <f>SUMPRODUCT(R102:R127,'FREH Stock'!R114:R139)/'FREH Stock'!R140</f>
        <v>13502.515542757992</v>
      </c>
      <c r="S128" s="464">
        <f>SUMPRODUCT(S102:S127,'FREH Stock'!S114:S139)/'FREH Stock'!S140</f>
        <v>13502.515542757996</v>
      </c>
      <c r="T128" s="464">
        <f>SUMPRODUCT(T102:T127,'FREH Stock'!T114:T139)/'FREH Stock'!T140</f>
        <v>13502.51554275799</v>
      </c>
      <c r="U128" s="464">
        <f>SUMPRODUCT(U102:U127,'FREH Stock'!U114:U139)/'FREH Stock'!U140</f>
        <v>13502.51554275799</v>
      </c>
      <c r="V128" s="464">
        <f>SUMPRODUCT(V102:V127,'FREH Stock'!V114:V139)/'FREH Stock'!V140</f>
        <v>13502.51554275799</v>
      </c>
      <c r="W128" s="464">
        <f>SUMPRODUCT(W102:W127,'FREH Stock'!W114:W139)/'FREH Stock'!W140</f>
        <v>13502.515542757994</v>
      </c>
      <c r="X128" s="464">
        <f>SUMPRODUCT(X102:X127,'FREH Stock'!X114:X139)/'FREH Stock'!X140</f>
        <v>13502.515542757992</v>
      </c>
      <c r="Y128" s="464">
        <f>SUMPRODUCT(Y102:Y127,'FREH Stock'!Y114:Y139)/'FREH Stock'!Y140</f>
        <v>13502.515542757994</v>
      </c>
      <c r="Z128" s="464">
        <f>SUMPRODUCT(Z102:Z127,'FREH Stock'!Z114:Z139)/'FREH Stock'!Z140</f>
        <v>13502.51554275799</v>
      </c>
      <c r="AA128" s="464">
        <f>SUMPRODUCT(AA102:AA127,'FREH Stock'!AA114:AA139)/'FREH Stock'!AA140</f>
        <v>13502.515542757992</v>
      </c>
      <c r="AB128" s="464" t="e">
        <f>SUMPRODUCT(AB102:AB127,'FREH Stock'!AB114:AB139)/'FREH Stock'!AB140</f>
        <v>#DIV/0!</v>
      </c>
      <c r="AC128" s="464" t="e">
        <f>SUMPRODUCT(AC102:AC127,'FREH Stock'!AC114:AC139)/'FREH Stock'!AC140</f>
        <v>#DIV/0!</v>
      </c>
      <c r="AD128" s="464" t="e">
        <f>SUMPRODUCT(AD102:AD127,'FREH Stock'!AD114:AD139)/'FREH Stock'!AD140</f>
        <v>#DIV/0!</v>
      </c>
      <c r="AE128" s="465" t="e">
        <f>SUMPRODUCT(AE102:AE127,'FREH Stock'!AE114:AE139)/'FREH Stock'!AE140</f>
        <v>#DIV/0!</v>
      </c>
      <c r="AG128" s="1712"/>
      <c r="AH128" s="300" t="s">
        <v>39</v>
      </c>
      <c r="AI128" s="362">
        <f t="shared" ref="AI128:BK128" si="29">SUM(AI102:AI127)</f>
        <v>2666080.6954566129</v>
      </c>
      <c r="AJ128" s="363">
        <f t="shared" si="29"/>
        <v>1933485.6351457753</v>
      </c>
      <c r="AK128" s="363">
        <f t="shared" si="29"/>
        <v>1514307.9018182396</v>
      </c>
      <c r="AL128" s="363">
        <f t="shared" si="29"/>
        <v>1225969.5079295428</v>
      </c>
      <c r="AM128" s="363">
        <f t="shared" si="29"/>
        <v>965831.3670147846</v>
      </c>
      <c r="AN128" s="363">
        <f t="shared" si="29"/>
        <v>743881.51112383371</v>
      </c>
      <c r="AO128" s="363">
        <f t="shared" si="29"/>
        <v>571011.23447046126</v>
      </c>
      <c r="AP128" s="363">
        <f t="shared" si="29"/>
        <v>421772.5154905151</v>
      </c>
      <c r="AQ128" s="363">
        <f t="shared" si="29"/>
        <v>295942.53933942312</v>
      </c>
      <c r="AR128" s="363">
        <f t="shared" si="29"/>
        <v>196199.37942315836</v>
      </c>
      <c r="AS128" s="363">
        <f t="shared" si="29"/>
        <v>121250.00016006031</v>
      </c>
      <c r="AT128" s="363">
        <f t="shared" si="29"/>
        <v>68750.081016271739</v>
      </c>
      <c r="AU128" s="363">
        <f t="shared" si="29"/>
        <v>35366.948157828912</v>
      </c>
      <c r="AV128" s="363">
        <f t="shared" si="29"/>
        <v>16379.819248683951</v>
      </c>
      <c r="AW128" s="363">
        <f t="shared" si="29"/>
        <v>6865.1508547982103</v>
      </c>
      <c r="AX128" s="363">
        <f t="shared" si="29"/>
        <v>2605.6684814242262</v>
      </c>
      <c r="AY128" s="363">
        <f t="shared" si="29"/>
        <v>886.26530471326203</v>
      </c>
      <c r="AZ128" s="363">
        <f t="shared" si="29"/>
        <v>266.16152905333803</v>
      </c>
      <c r="BA128" s="363">
        <f t="shared" si="29"/>
        <v>69.265150610151849</v>
      </c>
      <c r="BB128" s="363">
        <f t="shared" si="29"/>
        <v>15.240297552941342</v>
      </c>
      <c r="BC128" s="363">
        <f t="shared" si="29"/>
        <v>2.74120400307531</v>
      </c>
      <c r="BD128" s="363">
        <f t="shared" si="29"/>
        <v>0.38373082672462883</v>
      </c>
      <c r="BE128" s="363">
        <f t="shared" si="29"/>
        <v>3.8664813413370067E-2</v>
      </c>
      <c r="BF128" s="363">
        <f t="shared" si="29"/>
        <v>2.4305726831456657E-3</v>
      </c>
      <c r="BG128" s="363">
        <f t="shared" si="29"/>
        <v>6.7557900443112709E-5</v>
      </c>
      <c r="BH128" s="363">
        <f t="shared" si="29"/>
        <v>0</v>
      </c>
      <c r="BI128" s="363">
        <f t="shared" si="29"/>
        <v>0</v>
      </c>
      <c r="BJ128" s="363">
        <f t="shared" si="29"/>
        <v>0</v>
      </c>
      <c r="BK128" s="364">
        <f t="shared" si="29"/>
        <v>0</v>
      </c>
    </row>
    <row r="129" spans="1:63" ht="15.75" thickBot="1">
      <c r="A129" s="650"/>
      <c r="AG129" s="650"/>
    </row>
    <row r="130" spans="1:63" ht="15.75" customHeight="1" thickBot="1">
      <c r="A130" s="1710" t="s">
        <v>203</v>
      </c>
      <c r="B130" s="169" t="s">
        <v>10</v>
      </c>
      <c r="C130" s="288">
        <v>2012</v>
      </c>
      <c r="D130" s="347">
        <v>2013</v>
      </c>
      <c r="E130" s="347">
        <v>2014</v>
      </c>
      <c r="F130" s="288">
        <v>2015</v>
      </c>
      <c r="G130" s="347">
        <v>2016</v>
      </c>
      <c r="H130" s="347">
        <v>2017</v>
      </c>
      <c r="I130" s="288">
        <v>2018</v>
      </c>
      <c r="J130" s="347">
        <v>2019</v>
      </c>
      <c r="K130" s="347">
        <v>2020</v>
      </c>
      <c r="L130" s="288">
        <v>2021</v>
      </c>
      <c r="M130" s="347">
        <v>2022</v>
      </c>
      <c r="N130" s="347">
        <v>2023</v>
      </c>
      <c r="O130" s="288">
        <v>2024</v>
      </c>
      <c r="P130" s="347">
        <v>2025</v>
      </c>
      <c r="Q130" s="347">
        <v>2026</v>
      </c>
      <c r="R130" s="288">
        <v>2027</v>
      </c>
      <c r="S130" s="347">
        <v>2028</v>
      </c>
      <c r="T130" s="347">
        <v>2029</v>
      </c>
      <c r="U130" s="288">
        <v>2030</v>
      </c>
      <c r="V130" s="347">
        <v>2031</v>
      </c>
      <c r="W130" s="347">
        <v>2032</v>
      </c>
      <c r="X130" s="288">
        <v>2033</v>
      </c>
      <c r="Y130" s="347">
        <v>2034</v>
      </c>
      <c r="Z130" s="347">
        <v>2035</v>
      </c>
      <c r="AA130" s="288">
        <v>2036</v>
      </c>
      <c r="AB130" s="347">
        <v>2037</v>
      </c>
      <c r="AC130" s="347">
        <v>2038</v>
      </c>
      <c r="AD130" s="288">
        <v>2039</v>
      </c>
      <c r="AE130" s="348">
        <v>2040</v>
      </c>
      <c r="AG130" s="1710" t="s">
        <v>203</v>
      </c>
      <c r="AH130" s="169" t="s">
        <v>10</v>
      </c>
      <c r="AI130" s="288">
        <v>2012</v>
      </c>
      <c r="AJ130" s="347">
        <v>2013</v>
      </c>
      <c r="AK130" s="347">
        <v>2014</v>
      </c>
      <c r="AL130" s="288">
        <v>2015</v>
      </c>
      <c r="AM130" s="347">
        <v>2016</v>
      </c>
      <c r="AN130" s="347">
        <v>2017</v>
      </c>
      <c r="AO130" s="288">
        <v>2018</v>
      </c>
      <c r="AP130" s="347">
        <v>2019</v>
      </c>
      <c r="AQ130" s="347">
        <v>2020</v>
      </c>
      <c r="AR130" s="288">
        <v>2021</v>
      </c>
      <c r="AS130" s="347">
        <v>2022</v>
      </c>
      <c r="AT130" s="347">
        <v>2023</v>
      </c>
      <c r="AU130" s="288">
        <v>2024</v>
      </c>
      <c r="AV130" s="347">
        <v>2025</v>
      </c>
      <c r="AW130" s="347">
        <v>2026</v>
      </c>
      <c r="AX130" s="288">
        <v>2027</v>
      </c>
      <c r="AY130" s="347">
        <v>2028</v>
      </c>
      <c r="AZ130" s="347">
        <v>2029</v>
      </c>
      <c r="BA130" s="288">
        <v>2030</v>
      </c>
      <c r="BB130" s="347">
        <v>2031</v>
      </c>
      <c r="BC130" s="347">
        <v>2032</v>
      </c>
      <c r="BD130" s="288">
        <v>2033</v>
      </c>
      <c r="BE130" s="347">
        <v>2034</v>
      </c>
      <c r="BF130" s="347">
        <v>2035</v>
      </c>
      <c r="BG130" s="288">
        <v>2036</v>
      </c>
      <c r="BH130" s="347">
        <v>2037</v>
      </c>
      <c r="BI130" s="347">
        <v>2038</v>
      </c>
      <c r="BJ130" s="288">
        <v>2039</v>
      </c>
      <c r="BK130" s="348">
        <v>2040</v>
      </c>
    </row>
    <row r="131" spans="1:63" ht="15" customHeight="1">
      <c r="A131" s="1711"/>
      <c r="B131" s="116">
        <v>0</v>
      </c>
      <c r="C131" s="487">
        <f>SUMPRODUCT(B18:C18,'FREH Stock'!$AH$24:$AI$24)/SUM('FREH Stock'!$AH$24:$AI$24)</f>
        <v>20332.693390305401</v>
      </c>
      <c r="D131" s="292">
        <f>C131</f>
        <v>20332.693390305401</v>
      </c>
      <c r="E131" s="292">
        <f t="shared" ref="E131:AE132" si="30">D131</f>
        <v>20332.693390305401</v>
      </c>
      <c r="F131" s="292">
        <f t="shared" si="30"/>
        <v>20332.693390305401</v>
      </c>
      <c r="G131" s="292">
        <f t="shared" si="30"/>
        <v>20332.693390305401</v>
      </c>
      <c r="H131" s="292">
        <f t="shared" si="30"/>
        <v>20332.693390305401</v>
      </c>
      <c r="I131" s="292">
        <f t="shared" si="30"/>
        <v>20332.693390305401</v>
      </c>
      <c r="J131" s="292">
        <f t="shared" si="30"/>
        <v>20332.693390305401</v>
      </c>
      <c r="K131" s="292">
        <f t="shared" si="30"/>
        <v>20332.693390305401</v>
      </c>
      <c r="L131" s="292">
        <f t="shared" si="30"/>
        <v>20332.693390305401</v>
      </c>
      <c r="M131" s="292">
        <f t="shared" si="30"/>
        <v>20332.693390305401</v>
      </c>
      <c r="N131" s="292">
        <f t="shared" si="30"/>
        <v>20332.693390305401</v>
      </c>
      <c r="O131" s="292">
        <f t="shared" si="30"/>
        <v>20332.693390305401</v>
      </c>
      <c r="P131" s="292">
        <f t="shared" si="30"/>
        <v>20332.693390305401</v>
      </c>
      <c r="Q131" s="292">
        <f t="shared" si="30"/>
        <v>20332.693390305401</v>
      </c>
      <c r="R131" s="292">
        <f t="shared" si="30"/>
        <v>20332.693390305401</v>
      </c>
      <c r="S131" s="292">
        <f t="shared" si="30"/>
        <v>20332.693390305401</v>
      </c>
      <c r="T131" s="292">
        <f t="shared" si="30"/>
        <v>20332.693390305401</v>
      </c>
      <c r="U131" s="292">
        <f t="shared" si="30"/>
        <v>20332.693390305401</v>
      </c>
      <c r="V131" s="292">
        <f t="shared" si="30"/>
        <v>20332.693390305401</v>
      </c>
      <c r="W131" s="292">
        <f t="shared" si="30"/>
        <v>20332.693390305401</v>
      </c>
      <c r="X131" s="292">
        <f t="shared" si="30"/>
        <v>20332.693390305401</v>
      </c>
      <c r="Y131" s="292">
        <f t="shared" si="30"/>
        <v>20332.693390305401</v>
      </c>
      <c r="Z131" s="292">
        <f t="shared" si="30"/>
        <v>20332.693390305401</v>
      </c>
      <c r="AA131" s="292">
        <f t="shared" si="30"/>
        <v>20332.693390305401</v>
      </c>
      <c r="AB131" s="292">
        <f t="shared" si="30"/>
        <v>20332.693390305401</v>
      </c>
      <c r="AC131" s="292">
        <f t="shared" si="30"/>
        <v>20332.693390305401</v>
      </c>
      <c r="AD131" s="292">
        <f t="shared" si="30"/>
        <v>20332.693390305401</v>
      </c>
      <c r="AE131" s="293">
        <f t="shared" si="30"/>
        <v>20332.693390305401</v>
      </c>
      <c r="AG131" s="1711"/>
      <c r="AH131" s="116">
        <v>0</v>
      </c>
      <c r="AI131" s="291">
        <f>'FREH LGV vkm'!C131*'FREH Stock'!C230</f>
        <v>2948240.5415942832</v>
      </c>
      <c r="AJ131" s="292">
        <f>'FREH LGV vkm'!D131*'FREH Stock'!D230</f>
        <v>0</v>
      </c>
      <c r="AK131" s="292">
        <f>'FREH LGV vkm'!E131*'FREH Stock'!E230</f>
        <v>0</v>
      </c>
      <c r="AL131" s="292">
        <f>'FREH LGV vkm'!F131*'FREH Stock'!F230</f>
        <v>0</v>
      </c>
      <c r="AM131" s="292">
        <f>'FREH LGV vkm'!G131*'FREH Stock'!G230</f>
        <v>0</v>
      </c>
      <c r="AN131" s="292">
        <f>'FREH LGV vkm'!H131*'FREH Stock'!H230</f>
        <v>0</v>
      </c>
      <c r="AO131" s="292">
        <f>'FREH LGV vkm'!I131*'FREH Stock'!I230</f>
        <v>0</v>
      </c>
      <c r="AP131" s="292">
        <f>'FREH LGV vkm'!J131*'FREH Stock'!J230</f>
        <v>0</v>
      </c>
      <c r="AQ131" s="292">
        <f>'FREH LGV vkm'!K131*'FREH Stock'!K230</f>
        <v>0</v>
      </c>
      <c r="AR131" s="292">
        <f>'FREH LGV vkm'!L131*'FREH Stock'!L230</f>
        <v>0</v>
      </c>
      <c r="AS131" s="292">
        <f>'FREH LGV vkm'!M131*'FREH Stock'!M230</f>
        <v>0</v>
      </c>
      <c r="AT131" s="292">
        <f>'FREH LGV vkm'!N131*'FREH Stock'!N230</f>
        <v>0</v>
      </c>
      <c r="AU131" s="292">
        <f>'FREH LGV vkm'!O131*'FREH Stock'!O230</f>
        <v>0</v>
      </c>
      <c r="AV131" s="292">
        <f>'FREH LGV vkm'!P131*'FREH Stock'!P230</f>
        <v>0</v>
      </c>
      <c r="AW131" s="292">
        <f>'FREH LGV vkm'!Q131*'FREH Stock'!Q230</f>
        <v>0</v>
      </c>
      <c r="AX131" s="292">
        <f>'FREH LGV vkm'!R131*'FREH Stock'!R230</f>
        <v>0</v>
      </c>
      <c r="AY131" s="292">
        <f>'FREH LGV vkm'!S131*'FREH Stock'!S230</f>
        <v>0</v>
      </c>
      <c r="AZ131" s="292">
        <f>'FREH LGV vkm'!T131*'FREH Stock'!T230</f>
        <v>0</v>
      </c>
      <c r="BA131" s="292">
        <f>'FREH LGV vkm'!U131*'FREH Stock'!U230</f>
        <v>0</v>
      </c>
      <c r="BB131" s="292">
        <f>'FREH LGV vkm'!V131*'FREH Stock'!V230</f>
        <v>0</v>
      </c>
      <c r="BC131" s="292">
        <f>'FREH LGV vkm'!W131*'FREH Stock'!W230</f>
        <v>0</v>
      </c>
      <c r="BD131" s="292">
        <f>'FREH LGV vkm'!X131*'FREH Stock'!X230</f>
        <v>0</v>
      </c>
      <c r="BE131" s="292">
        <f>'FREH LGV vkm'!Y131*'FREH Stock'!Y230</f>
        <v>0</v>
      </c>
      <c r="BF131" s="292">
        <f>'FREH LGV vkm'!Z131*'FREH Stock'!Z230</f>
        <v>0</v>
      </c>
      <c r="BG131" s="292">
        <f>'FREH LGV vkm'!AA131*'FREH Stock'!AA230</f>
        <v>0</v>
      </c>
      <c r="BH131" s="292">
        <f>'FREH LGV vkm'!AB131*'FREH Stock'!AB230</f>
        <v>0</v>
      </c>
      <c r="BI131" s="292">
        <f>'FREH LGV vkm'!AC131*'FREH Stock'!AC230</f>
        <v>0</v>
      </c>
      <c r="BJ131" s="292">
        <f>'FREH LGV vkm'!AD131*'FREH Stock'!AD230</f>
        <v>0</v>
      </c>
      <c r="BK131" s="293">
        <f>'FREH LGV vkm'!AE131*'FREH Stock'!AE230</f>
        <v>0</v>
      </c>
    </row>
    <row r="132" spans="1:63">
      <c r="A132" s="1711"/>
      <c r="B132" s="116">
        <v>1</v>
      </c>
      <c r="C132" s="294">
        <f>SUMPRODUCT(B19:C19,'FREH Stock'!$AH$24:$AI$24)/SUM('FREH Stock'!$AH$24:$AI$24)</f>
        <v>20815.338780237551</v>
      </c>
      <c r="D132" s="295">
        <f>C132</f>
        <v>20815.338780237551</v>
      </c>
      <c r="E132" s="295">
        <f t="shared" si="30"/>
        <v>20815.338780237551</v>
      </c>
      <c r="F132" s="295">
        <f t="shared" si="30"/>
        <v>20815.338780237551</v>
      </c>
      <c r="G132" s="295">
        <f t="shared" si="30"/>
        <v>20815.338780237551</v>
      </c>
      <c r="H132" s="295">
        <f t="shared" si="30"/>
        <v>20815.338780237551</v>
      </c>
      <c r="I132" s="295">
        <f t="shared" si="30"/>
        <v>20815.338780237551</v>
      </c>
      <c r="J132" s="295">
        <f t="shared" si="30"/>
        <v>20815.338780237551</v>
      </c>
      <c r="K132" s="295">
        <f t="shared" si="30"/>
        <v>20815.338780237551</v>
      </c>
      <c r="L132" s="295">
        <f t="shared" si="30"/>
        <v>20815.338780237551</v>
      </c>
      <c r="M132" s="295">
        <f t="shared" si="30"/>
        <v>20815.338780237551</v>
      </c>
      <c r="N132" s="295">
        <f t="shared" si="30"/>
        <v>20815.338780237551</v>
      </c>
      <c r="O132" s="295">
        <f t="shared" si="30"/>
        <v>20815.338780237551</v>
      </c>
      <c r="P132" s="295">
        <f t="shared" si="30"/>
        <v>20815.338780237551</v>
      </c>
      <c r="Q132" s="295">
        <f t="shared" si="30"/>
        <v>20815.338780237551</v>
      </c>
      <c r="R132" s="295">
        <f t="shared" si="30"/>
        <v>20815.338780237551</v>
      </c>
      <c r="S132" s="295">
        <f t="shared" si="30"/>
        <v>20815.338780237551</v>
      </c>
      <c r="T132" s="295">
        <f t="shared" si="30"/>
        <v>20815.338780237551</v>
      </c>
      <c r="U132" s="295">
        <f t="shared" si="30"/>
        <v>20815.338780237551</v>
      </c>
      <c r="V132" s="295">
        <f t="shared" si="30"/>
        <v>20815.338780237551</v>
      </c>
      <c r="W132" s="295">
        <f t="shared" si="30"/>
        <v>20815.338780237551</v>
      </c>
      <c r="X132" s="295">
        <f t="shared" si="30"/>
        <v>20815.338780237551</v>
      </c>
      <c r="Y132" s="295">
        <f t="shared" si="30"/>
        <v>20815.338780237551</v>
      </c>
      <c r="Z132" s="295">
        <f t="shared" si="30"/>
        <v>20815.338780237551</v>
      </c>
      <c r="AA132" s="295">
        <f t="shared" si="30"/>
        <v>20815.338780237551</v>
      </c>
      <c r="AB132" s="295">
        <f t="shared" si="30"/>
        <v>20815.338780237551</v>
      </c>
      <c r="AC132" s="295">
        <f t="shared" si="30"/>
        <v>20815.338780237551</v>
      </c>
      <c r="AD132" s="295">
        <f t="shared" si="30"/>
        <v>20815.338780237551</v>
      </c>
      <c r="AE132" s="296">
        <f t="shared" si="30"/>
        <v>20815.338780237551</v>
      </c>
      <c r="AG132" s="1711"/>
      <c r="AH132" s="116">
        <v>1</v>
      </c>
      <c r="AI132" s="294">
        <f>'FREH LGV vkm'!C132*'FREH Stock'!C231</f>
        <v>2185610.571924943</v>
      </c>
      <c r="AJ132" s="295">
        <f>'FREH LGV vkm'!D132*'FREH Stock'!D231</f>
        <v>2641100.624604573</v>
      </c>
      <c r="AK132" s="295">
        <f>'FREH LGV vkm'!E132*'FREH Stock'!E231</f>
        <v>0</v>
      </c>
      <c r="AL132" s="295">
        <f>'FREH LGV vkm'!F132*'FREH Stock'!F231</f>
        <v>0</v>
      </c>
      <c r="AM132" s="295">
        <f>'FREH LGV vkm'!G132*'FREH Stock'!G231</f>
        <v>0</v>
      </c>
      <c r="AN132" s="295">
        <f>'FREH LGV vkm'!H132*'FREH Stock'!H231</f>
        <v>0</v>
      </c>
      <c r="AO132" s="295">
        <f>'FREH LGV vkm'!I132*'FREH Stock'!I231</f>
        <v>0</v>
      </c>
      <c r="AP132" s="295">
        <f>'FREH LGV vkm'!J132*'FREH Stock'!J231</f>
        <v>0</v>
      </c>
      <c r="AQ132" s="295">
        <f>'FREH LGV vkm'!K132*'FREH Stock'!K231</f>
        <v>0</v>
      </c>
      <c r="AR132" s="295">
        <f>'FREH LGV vkm'!L132*'FREH Stock'!L231</f>
        <v>0</v>
      </c>
      <c r="AS132" s="295">
        <f>'FREH LGV vkm'!M132*'FREH Stock'!M231</f>
        <v>0</v>
      </c>
      <c r="AT132" s="295">
        <f>'FREH LGV vkm'!N132*'FREH Stock'!N231</f>
        <v>0</v>
      </c>
      <c r="AU132" s="295">
        <f>'FREH LGV vkm'!O132*'FREH Stock'!O231</f>
        <v>0</v>
      </c>
      <c r="AV132" s="295">
        <f>'FREH LGV vkm'!P132*'FREH Stock'!P231</f>
        <v>0</v>
      </c>
      <c r="AW132" s="295">
        <f>'FREH LGV vkm'!Q132*'FREH Stock'!Q231</f>
        <v>0</v>
      </c>
      <c r="AX132" s="295">
        <f>'FREH LGV vkm'!R132*'FREH Stock'!R231</f>
        <v>0</v>
      </c>
      <c r="AY132" s="295">
        <f>'FREH LGV vkm'!S132*'FREH Stock'!S231</f>
        <v>0</v>
      </c>
      <c r="AZ132" s="295">
        <f>'FREH LGV vkm'!T132*'FREH Stock'!T231</f>
        <v>0</v>
      </c>
      <c r="BA132" s="295">
        <f>'FREH LGV vkm'!U132*'FREH Stock'!U231</f>
        <v>0</v>
      </c>
      <c r="BB132" s="295">
        <f>'FREH LGV vkm'!V132*'FREH Stock'!V231</f>
        <v>0</v>
      </c>
      <c r="BC132" s="295">
        <f>'FREH LGV vkm'!W132*'FREH Stock'!W231</f>
        <v>0</v>
      </c>
      <c r="BD132" s="295">
        <f>'FREH LGV vkm'!X132*'FREH Stock'!X231</f>
        <v>0</v>
      </c>
      <c r="BE132" s="295">
        <f>'FREH LGV vkm'!Y132*'FREH Stock'!Y231</f>
        <v>0</v>
      </c>
      <c r="BF132" s="295">
        <f>'FREH LGV vkm'!Z132*'FREH Stock'!Z231</f>
        <v>0</v>
      </c>
      <c r="BG132" s="295">
        <f>'FREH LGV vkm'!AA132*'FREH Stock'!AA231</f>
        <v>0</v>
      </c>
      <c r="BH132" s="295">
        <f>'FREH LGV vkm'!AB132*'FREH Stock'!AB231</f>
        <v>0</v>
      </c>
      <c r="BI132" s="295">
        <f>'FREH LGV vkm'!AC132*'FREH Stock'!AC231</f>
        <v>0</v>
      </c>
      <c r="BJ132" s="295">
        <f>'FREH LGV vkm'!AD132*'FREH Stock'!AD231</f>
        <v>0</v>
      </c>
      <c r="BK132" s="296">
        <f>'FREH LGV vkm'!AE132*'FREH Stock'!AE231</f>
        <v>0</v>
      </c>
    </row>
    <row r="133" spans="1:63">
      <c r="A133" s="1711"/>
      <c r="B133" s="116">
        <v>2</v>
      </c>
      <c r="C133" s="294">
        <f>SUMPRODUCT(B20:C20,'FREH Stock'!$AH$24:$AI$24)/SUM('FREH Stock'!$AH$24:$AI$24)</f>
        <v>21528.514123779652</v>
      </c>
      <c r="D133" s="295">
        <f t="shared" ref="D133:AE137" si="31">C133</f>
        <v>21528.514123779652</v>
      </c>
      <c r="E133" s="295">
        <f t="shared" si="31"/>
        <v>21528.514123779652</v>
      </c>
      <c r="F133" s="295">
        <f t="shared" si="31"/>
        <v>21528.514123779652</v>
      </c>
      <c r="G133" s="295">
        <f t="shared" si="31"/>
        <v>21528.514123779652</v>
      </c>
      <c r="H133" s="295">
        <f t="shared" si="31"/>
        <v>21528.514123779652</v>
      </c>
      <c r="I133" s="295">
        <f t="shared" si="31"/>
        <v>21528.514123779652</v>
      </c>
      <c r="J133" s="295">
        <f t="shared" si="31"/>
        <v>21528.514123779652</v>
      </c>
      <c r="K133" s="295">
        <f t="shared" si="31"/>
        <v>21528.514123779652</v>
      </c>
      <c r="L133" s="295">
        <f t="shared" si="31"/>
        <v>21528.514123779652</v>
      </c>
      <c r="M133" s="295">
        <f t="shared" si="31"/>
        <v>21528.514123779652</v>
      </c>
      <c r="N133" s="295">
        <f t="shared" si="31"/>
        <v>21528.514123779652</v>
      </c>
      <c r="O133" s="295">
        <f t="shared" si="31"/>
        <v>21528.514123779652</v>
      </c>
      <c r="P133" s="295">
        <f t="shared" si="31"/>
        <v>21528.514123779652</v>
      </c>
      <c r="Q133" s="295">
        <f t="shared" si="31"/>
        <v>21528.514123779652</v>
      </c>
      <c r="R133" s="295">
        <f t="shared" si="31"/>
        <v>21528.514123779652</v>
      </c>
      <c r="S133" s="295">
        <f t="shared" si="31"/>
        <v>21528.514123779652</v>
      </c>
      <c r="T133" s="295">
        <f t="shared" si="31"/>
        <v>21528.514123779652</v>
      </c>
      <c r="U133" s="295">
        <f t="shared" si="31"/>
        <v>21528.514123779652</v>
      </c>
      <c r="V133" s="295">
        <f t="shared" si="31"/>
        <v>21528.514123779652</v>
      </c>
      <c r="W133" s="295">
        <f t="shared" si="31"/>
        <v>21528.514123779652</v>
      </c>
      <c r="X133" s="295">
        <f t="shared" si="31"/>
        <v>21528.514123779652</v>
      </c>
      <c r="Y133" s="295">
        <f t="shared" si="31"/>
        <v>21528.514123779652</v>
      </c>
      <c r="Z133" s="295">
        <f t="shared" si="31"/>
        <v>21528.514123779652</v>
      </c>
      <c r="AA133" s="295">
        <f t="shared" si="31"/>
        <v>21528.514123779652</v>
      </c>
      <c r="AB133" s="295">
        <f t="shared" si="31"/>
        <v>21528.514123779652</v>
      </c>
      <c r="AC133" s="295">
        <f t="shared" si="31"/>
        <v>21528.514123779652</v>
      </c>
      <c r="AD133" s="295">
        <f t="shared" si="31"/>
        <v>21528.514123779652</v>
      </c>
      <c r="AE133" s="296">
        <f t="shared" si="31"/>
        <v>21528.514123779652</v>
      </c>
      <c r="AG133" s="1711"/>
      <c r="AH133" s="116">
        <v>2</v>
      </c>
      <c r="AI133" s="294">
        <f>'FREH LGV vkm'!C133*'FREH Stock'!C232</f>
        <v>2906349.4067102531</v>
      </c>
      <c r="AJ133" s="295">
        <f>'FREH LGV vkm'!D133*'FREH Stock'!D232</f>
        <v>1975481.2262044339</v>
      </c>
      <c r="AK133" s="295">
        <f>'FREH LGV vkm'!E133*'FREH Stock'!E232</f>
        <v>2387179.4762723693</v>
      </c>
      <c r="AL133" s="295">
        <f>'FREH LGV vkm'!F133*'FREH Stock'!F232</f>
        <v>0</v>
      </c>
      <c r="AM133" s="295">
        <f>'FREH LGV vkm'!G133*'FREH Stock'!G232</f>
        <v>0</v>
      </c>
      <c r="AN133" s="295">
        <f>'FREH LGV vkm'!H133*'FREH Stock'!H232</f>
        <v>0</v>
      </c>
      <c r="AO133" s="295">
        <f>'FREH LGV vkm'!I133*'FREH Stock'!I232</f>
        <v>0</v>
      </c>
      <c r="AP133" s="295">
        <f>'FREH LGV vkm'!J133*'FREH Stock'!J232</f>
        <v>0</v>
      </c>
      <c r="AQ133" s="295">
        <f>'FREH LGV vkm'!K133*'FREH Stock'!K232</f>
        <v>0</v>
      </c>
      <c r="AR133" s="295">
        <f>'FREH LGV vkm'!L133*'FREH Stock'!L232</f>
        <v>0</v>
      </c>
      <c r="AS133" s="295">
        <f>'FREH LGV vkm'!M133*'FREH Stock'!M232</f>
        <v>0</v>
      </c>
      <c r="AT133" s="295">
        <f>'FREH LGV vkm'!N133*'FREH Stock'!N232</f>
        <v>0</v>
      </c>
      <c r="AU133" s="295">
        <f>'FREH LGV vkm'!O133*'FREH Stock'!O232</f>
        <v>0</v>
      </c>
      <c r="AV133" s="295">
        <f>'FREH LGV vkm'!P133*'FREH Stock'!P232</f>
        <v>0</v>
      </c>
      <c r="AW133" s="295">
        <f>'FREH LGV vkm'!Q133*'FREH Stock'!Q232</f>
        <v>0</v>
      </c>
      <c r="AX133" s="295">
        <f>'FREH LGV vkm'!R133*'FREH Stock'!R232</f>
        <v>0</v>
      </c>
      <c r="AY133" s="295">
        <f>'FREH LGV vkm'!S133*'FREH Stock'!S232</f>
        <v>0</v>
      </c>
      <c r="AZ133" s="295">
        <f>'FREH LGV vkm'!T133*'FREH Stock'!T232</f>
        <v>0</v>
      </c>
      <c r="BA133" s="295">
        <f>'FREH LGV vkm'!U133*'FREH Stock'!U232</f>
        <v>0</v>
      </c>
      <c r="BB133" s="295">
        <f>'FREH LGV vkm'!V133*'FREH Stock'!V232</f>
        <v>0</v>
      </c>
      <c r="BC133" s="295">
        <f>'FREH LGV vkm'!W133*'FREH Stock'!W232</f>
        <v>0</v>
      </c>
      <c r="BD133" s="295">
        <f>'FREH LGV vkm'!X133*'FREH Stock'!X232</f>
        <v>0</v>
      </c>
      <c r="BE133" s="295">
        <f>'FREH LGV vkm'!Y133*'FREH Stock'!Y232</f>
        <v>0</v>
      </c>
      <c r="BF133" s="295">
        <f>'FREH LGV vkm'!Z133*'FREH Stock'!Z232</f>
        <v>0</v>
      </c>
      <c r="BG133" s="295">
        <f>'FREH LGV vkm'!AA133*'FREH Stock'!AA232</f>
        <v>0</v>
      </c>
      <c r="BH133" s="295">
        <f>'FREH LGV vkm'!AB133*'FREH Stock'!AB232</f>
        <v>0</v>
      </c>
      <c r="BI133" s="295">
        <f>'FREH LGV vkm'!AC133*'FREH Stock'!AC232</f>
        <v>0</v>
      </c>
      <c r="BJ133" s="295">
        <f>'FREH LGV vkm'!AD133*'FREH Stock'!AD232</f>
        <v>0</v>
      </c>
      <c r="BK133" s="296">
        <f>'FREH LGV vkm'!AE133*'FREH Stock'!AE232</f>
        <v>0</v>
      </c>
    </row>
    <row r="134" spans="1:63">
      <c r="A134" s="1711"/>
      <c r="B134" s="116">
        <v>3</v>
      </c>
      <c r="C134" s="294">
        <f>SUMPRODUCT(B21:C21,'FREH Stock'!$AH$24:$AI$24)/SUM('FREH Stock'!$AH$24:$AI$24)</f>
        <v>22321.912337286769</v>
      </c>
      <c r="D134" s="295">
        <f t="shared" si="31"/>
        <v>22321.912337286769</v>
      </c>
      <c r="E134" s="295">
        <f t="shared" si="31"/>
        <v>22321.912337286769</v>
      </c>
      <c r="F134" s="295">
        <f t="shared" si="31"/>
        <v>22321.912337286769</v>
      </c>
      <c r="G134" s="295">
        <f t="shared" si="31"/>
        <v>22321.912337286769</v>
      </c>
      <c r="H134" s="295">
        <f t="shared" si="31"/>
        <v>22321.912337286769</v>
      </c>
      <c r="I134" s="295">
        <f t="shared" si="31"/>
        <v>22321.912337286769</v>
      </c>
      <c r="J134" s="295">
        <f t="shared" si="31"/>
        <v>22321.912337286769</v>
      </c>
      <c r="K134" s="295">
        <f t="shared" si="31"/>
        <v>22321.912337286769</v>
      </c>
      <c r="L134" s="295">
        <f t="shared" si="31"/>
        <v>22321.912337286769</v>
      </c>
      <c r="M134" s="295">
        <f t="shared" si="31"/>
        <v>22321.912337286769</v>
      </c>
      <c r="N134" s="295">
        <f t="shared" si="31"/>
        <v>22321.912337286769</v>
      </c>
      <c r="O134" s="295">
        <f t="shared" si="31"/>
        <v>22321.912337286769</v>
      </c>
      <c r="P134" s="295">
        <f t="shared" si="31"/>
        <v>22321.912337286769</v>
      </c>
      <c r="Q134" s="295">
        <f t="shared" si="31"/>
        <v>22321.912337286769</v>
      </c>
      <c r="R134" s="295">
        <f t="shared" si="31"/>
        <v>22321.912337286769</v>
      </c>
      <c r="S134" s="295">
        <f t="shared" si="31"/>
        <v>22321.912337286769</v>
      </c>
      <c r="T134" s="295">
        <f t="shared" si="31"/>
        <v>22321.912337286769</v>
      </c>
      <c r="U134" s="295">
        <f t="shared" si="31"/>
        <v>22321.912337286769</v>
      </c>
      <c r="V134" s="295">
        <f t="shared" si="31"/>
        <v>22321.912337286769</v>
      </c>
      <c r="W134" s="295">
        <f t="shared" si="31"/>
        <v>22321.912337286769</v>
      </c>
      <c r="X134" s="295">
        <f t="shared" si="31"/>
        <v>22321.912337286769</v>
      </c>
      <c r="Y134" s="295">
        <f t="shared" si="31"/>
        <v>22321.912337286769</v>
      </c>
      <c r="Z134" s="295">
        <f t="shared" si="31"/>
        <v>22321.912337286769</v>
      </c>
      <c r="AA134" s="295">
        <f t="shared" si="31"/>
        <v>22321.912337286769</v>
      </c>
      <c r="AB134" s="295">
        <f t="shared" si="31"/>
        <v>22321.912337286769</v>
      </c>
      <c r="AC134" s="295">
        <f t="shared" si="31"/>
        <v>22321.912337286769</v>
      </c>
      <c r="AD134" s="295">
        <f t="shared" si="31"/>
        <v>22321.912337286769</v>
      </c>
      <c r="AE134" s="296">
        <f t="shared" si="31"/>
        <v>22321.912337286769</v>
      </c>
      <c r="AG134" s="1711"/>
      <c r="AH134" s="116">
        <v>3</v>
      </c>
      <c r="AI134" s="294">
        <f>'FREH LGV vkm'!C134*'FREH Stock'!C233</f>
        <v>3817047.0096760374</v>
      </c>
      <c r="AJ134" s="295">
        <f>'FREH LGV vkm'!D134*'FREH Stock'!D233</f>
        <v>3013458.165533714</v>
      </c>
      <c r="AK134" s="295">
        <f>'FREH LGV vkm'!E134*'FREH Stock'!E233</f>
        <v>2048284.3591413335</v>
      </c>
      <c r="AL134" s="295">
        <f>'FREH LGV vkm'!F134*'FREH Stock'!F233</f>
        <v>2475155.0755592389</v>
      </c>
      <c r="AM134" s="295">
        <f>'FREH LGV vkm'!G134*'FREH Stock'!G233</f>
        <v>0</v>
      </c>
      <c r="AN134" s="295">
        <f>'FREH LGV vkm'!H134*'FREH Stock'!H233</f>
        <v>0</v>
      </c>
      <c r="AO134" s="295">
        <f>'FREH LGV vkm'!I134*'FREH Stock'!I233</f>
        <v>0</v>
      </c>
      <c r="AP134" s="295">
        <f>'FREH LGV vkm'!J134*'FREH Stock'!J233</f>
        <v>0</v>
      </c>
      <c r="AQ134" s="295">
        <f>'FREH LGV vkm'!K134*'FREH Stock'!K233</f>
        <v>0</v>
      </c>
      <c r="AR134" s="295">
        <f>'FREH LGV vkm'!L134*'FREH Stock'!L233</f>
        <v>0</v>
      </c>
      <c r="AS134" s="295">
        <f>'FREH LGV vkm'!M134*'FREH Stock'!M233</f>
        <v>0</v>
      </c>
      <c r="AT134" s="295">
        <f>'FREH LGV vkm'!N134*'FREH Stock'!N233</f>
        <v>0</v>
      </c>
      <c r="AU134" s="295">
        <f>'FREH LGV vkm'!O134*'FREH Stock'!O233</f>
        <v>0</v>
      </c>
      <c r="AV134" s="295">
        <f>'FREH LGV vkm'!P134*'FREH Stock'!P233</f>
        <v>0</v>
      </c>
      <c r="AW134" s="295">
        <f>'FREH LGV vkm'!Q134*'FREH Stock'!Q233</f>
        <v>0</v>
      </c>
      <c r="AX134" s="295">
        <f>'FREH LGV vkm'!R134*'FREH Stock'!R233</f>
        <v>0</v>
      </c>
      <c r="AY134" s="295">
        <f>'FREH LGV vkm'!S134*'FREH Stock'!S233</f>
        <v>0</v>
      </c>
      <c r="AZ134" s="295">
        <f>'FREH LGV vkm'!T134*'FREH Stock'!T233</f>
        <v>0</v>
      </c>
      <c r="BA134" s="295">
        <f>'FREH LGV vkm'!U134*'FREH Stock'!U233</f>
        <v>0</v>
      </c>
      <c r="BB134" s="295">
        <f>'FREH LGV vkm'!V134*'FREH Stock'!V233</f>
        <v>0</v>
      </c>
      <c r="BC134" s="295">
        <f>'FREH LGV vkm'!W134*'FREH Stock'!W233</f>
        <v>0</v>
      </c>
      <c r="BD134" s="295">
        <f>'FREH LGV vkm'!X134*'FREH Stock'!X233</f>
        <v>0</v>
      </c>
      <c r="BE134" s="295">
        <f>'FREH LGV vkm'!Y134*'FREH Stock'!Y233</f>
        <v>0</v>
      </c>
      <c r="BF134" s="295">
        <f>'FREH LGV vkm'!Z134*'FREH Stock'!Z233</f>
        <v>0</v>
      </c>
      <c r="BG134" s="295">
        <f>'FREH LGV vkm'!AA134*'FREH Stock'!AA233</f>
        <v>0</v>
      </c>
      <c r="BH134" s="295">
        <f>'FREH LGV vkm'!AB134*'FREH Stock'!AB233</f>
        <v>0</v>
      </c>
      <c r="BI134" s="295">
        <f>'FREH LGV vkm'!AC134*'FREH Stock'!AC233</f>
        <v>0</v>
      </c>
      <c r="BJ134" s="295">
        <f>'FREH LGV vkm'!AD134*'FREH Stock'!AD233</f>
        <v>0</v>
      </c>
      <c r="BK134" s="296">
        <f>'FREH LGV vkm'!AE134*'FREH Stock'!AE233</f>
        <v>0</v>
      </c>
    </row>
    <row r="135" spans="1:63">
      <c r="A135" s="1711"/>
      <c r="B135" s="116">
        <v>4</v>
      </c>
      <c r="C135" s="294">
        <f>SUMPRODUCT(B22:C22,'FREH Stock'!$AH$24:$AI$24)/SUM('FREH Stock'!$AH$24:$AI$24)</f>
        <v>23575.144180388725</v>
      </c>
      <c r="D135" s="295">
        <f t="shared" si="31"/>
        <v>23575.144180388725</v>
      </c>
      <c r="E135" s="295">
        <f t="shared" si="31"/>
        <v>23575.144180388725</v>
      </c>
      <c r="F135" s="295">
        <f t="shared" si="31"/>
        <v>23575.144180388725</v>
      </c>
      <c r="G135" s="295">
        <f t="shared" si="31"/>
        <v>23575.144180388725</v>
      </c>
      <c r="H135" s="295">
        <f t="shared" si="31"/>
        <v>23575.144180388725</v>
      </c>
      <c r="I135" s="295">
        <f t="shared" si="31"/>
        <v>23575.144180388725</v>
      </c>
      <c r="J135" s="295">
        <f t="shared" si="31"/>
        <v>23575.144180388725</v>
      </c>
      <c r="K135" s="295">
        <f t="shared" si="31"/>
        <v>23575.144180388725</v>
      </c>
      <c r="L135" s="295">
        <f t="shared" si="31"/>
        <v>23575.144180388725</v>
      </c>
      <c r="M135" s="295">
        <f t="shared" si="31"/>
        <v>23575.144180388725</v>
      </c>
      <c r="N135" s="295">
        <f t="shared" si="31"/>
        <v>23575.144180388725</v>
      </c>
      <c r="O135" s="295">
        <f t="shared" si="31"/>
        <v>23575.144180388725</v>
      </c>
      <c r="P135" s="295">
        <f t="shared" si="31"/>
        <v>23575.144180388725</v>
      </c>
      <c r="Q135" s="295">
        <f t="shared" si="31"/>
        <v>23575.144180388725</v>
      </c>
      <c r="R135" s="295">
        <f t="shared" si="31"/>
        <v>23575.144180388725</v>
      </c>
      <c r="S135" s="295">
        <f t="shared" si="31"/>
        <v>23575.144180388725</v>
      </c>
      <c r="T135" s="295">
        <f t="shared" si="31"/>
        <v>23575.144180388725</v>
      </c>
      <c r="U135" s="295">
        <f t="shared" si="31"/>
        <v>23575.144180388725</v>
      </c>
      <c r="V135" s="295">
        <f t="shared" si="31"/>
        <v>23575.144180388725</v>
      </c>
      <c r="W135" s="295">
        <f t="shared" si="31"/>
        <v>23575.144180388725</v>
      </c>
      <c r="X135" s="295">
        <f t="shared" si="31"/>
        <v>23575.144180388725</v>
      </c>
      <c r="Y135" s="295">
        <f t="shared" si="31"/>
        <v>23575.144180388725</v>
      </c>
      <c r="Z135" s="295">
        <f t="shared" si="31"/>
        <v>23575.144180388725</v>
      </c>
      <c r="AA135" s="295">
        <f t="shared" si="31"/>
        <v>23575.144180388725</v>
      </c>
      <c r="AB135" s="295">
        <f t="shared" si="31"/>
        <v>23575.144180388725</v>
      </c>
      <c r="AC135" s="295">
        <f t="shared" si="31"/>
        <v>23575.144180388725</v>
      </c>
      <c r="AD135" s="295">
        <f t="shared" si="31"/>
        <v>23575.144180388725</v>
      </c>
      <c r="AE135" s="296">
        <f t="shared" si="31"/>
        <v>23575.144180388725</v>
      </c>
      <c r="AG135" s="1711"/>
      <c r="AH135" s="116">
        <v>4</v>
      </c>
      <c r="AI135" s="294">
        <f>'FREH LGV vkm'!C135*'FREH Stock'!C234</f>
        <v>5351557.7289482402</v>
      </c>
      <c r="AJ135" s="295">
        <f>'FREH LGV vkm'!D135*'FREH Stock'!D234</f>
        <v>4031349.6548464717</v>
      </c>
      <c r="AK135" s="295">
        <f>'FREH LGV vkm'!E135*'FREH Stock'!E234</f>
        <v>3182644.4643524778</v>
      </c>
      <c r="AL135" s="295">
        <f>'FREH LGV vkm'!F135*'FREH Stock'!F234</f>
        <v>2163282.3550037085</v>
      </c>
      <c r="AM135" s="295">
        <f>'FREH LGV vkm'!G135*'FREH Stock'!G234</f>
        <v>2614119.1172791207</v>
      </c>
      <c r="AN135" s="295">
        <f>'FREH LGV vkm'!H135*'FREH Stock'!H234</f>
        <v>0</v>
      </c>
      <c r="AO135" s="295">
        <f>'FREH LGV vkm'!I135*'FREH Stock'!I234</f>
        <v>0</v>
      </c>
      <c r="AP135" s="295">
        <f>'FREH LGV vkm'!J135*'FREH Stock'!J234</f>
        <v>0</v>
      </c>
      <c r="AQ135" s="295">
        <f>'FREH LGV vkm'!K135*'FREH Stock'!K234</f>
        <v>0</v>
      </c>
      <c r="AR135" s="295">
        <f>'FREH LGV vkm'!L135*'FREH Stock'!L234</f>
        <v>0</v>
      </c>
      <c r="AS135" s="295">
        <f>'FREH LGV vkm'!M135*'FREH Stock'!M234</f>
        <v>0</v>
      </c>
      <c r="AT135" s="295">
        <f>'FREH LGV vkm'!N135*'FREH Stock'!N234</f>
        <v>0</v>
      </c>
      <c r="AU135" s="295">
        <f>'FREH LGV vkm'!O135*'FREH Stock'!O234</f>
        <v>0</v>
      </c>
      <c r="AV135" s="295">
        <f>'FREH LGV vkm'!P135*'FREH Stock'!P234</f>
        <v>0</v>
      </c>
      <c r="AW135" s="295">
        <f>'FREH LGV vkm'!Q135*'FREH Stock'!Q234</f>
        <v>0</v>
      </c>
      <c r="AX135" s="295">
        <f>'FREH LGV vkm'!R135*'FREH Stock'!R234</f>
        <v>0</v>
      </c>
      <c r="AY135" s="295">
        <f>'FREH LGV vkm'!S135*'FREH Stock'!S234</f>
        <v>0</v>
      </c>
      <c r="AZ135" s="295">
        <f>'FREH LGV vkm'!T135*'FREH Stock'!T234</f>
        <v>0</v>
      </c>
      <c r="BA135" s="295">
        <f>'FREH LGV vkm'!U135*'FREH Stock'!U234</f>
        <v>0</v>
      </c>
      <c r="BB135" s="295">
        <f>'FREH LGV vkm'!V135*'FREH Stock'!V234</f>
        <v>0</v>
      </c>
      <c r="BC135" s="295">
        <f>'FREH LGV vkm'!W135*'FREH Stock'!W234</f>
        <v>0</v>
      </c>
      <c r="BD135" s="295">
        <f>'FREH LGV vkm'!X135*'FREH Stock'!X234</f>
        <v>0</v>
      </c>
      <c r="BE135" s="295">
        <f>'FREH LGV vkm'!Y135*'FREH Stock'!Y234</f>
        <v>0</v>
      </c>
      <c r="BF135" s="295">
        <f>'FREH LGV vkm'!Z135*'FREH Stock'!Z234</f>
        <v>0</v>
      </c>
      <c r="BG135" s="295">
        <f>'FREH LGV vkm'!AA135*'FREH Stock'!AA234</f>
        <v>0</v>
      </c>
      <c r="BH135" s="295">
        <f>'FREH LGV vkm'!AB135*'FREH Stock'!AB234</f>
        <v>0</v>
      </c>
      <c r="BI135" s="295">
        <f>'FREH LGV vkm'!AC135*'FREH Stock'!AC234</f>
        <v>0</v>
      </c>
      <c r="BJ135" s="295">
        <f>'FREH LGV vkm'!AD135*'FREH Stock'!AD234</f>
        <v>0</v>
      </c>
      <c r="BK135" s="296">
        <f>'FREH LGV vkm'!AE135*'FREH Stock'!AE234</f>
        <v>0</v>
      </c>
    </row>
    <row r="136" spans="1:63">
      <c r="A136" s="1711"/>
      <c r="B136" s="116">
        <v>5</v>
      </c>
      <c r="C136" s="294">
        <f>SUMPRODUCT(B23:C23,'FREH Stock'!$AH$24:$AI$24)/SUM('FREH Stock'!$AH$24:$AI$24)</f>
        <v>25787.88274104357</v>
      </c>
      <c r="D136" s="295">
        <f t="shared" si="31"/>
        <v>25787.88274104357</v>
      </c>
      <c r="E136" s="295">
        <f t="shared" si="31"/>
        <v>25787.88274104357</v>
      </c>
      <c r="F136" s="295">
        <f t="shared" si="31"/>
        <v>25787.88274104357</v>
      </c>
      <c r="G136" s="295">
        <f t="shared" si="31"/>
        <v>25787.88274104357</v>
      </c>
      <c r="H136" s="295">
        <f t="shared" si="31"/>
        <v>25787.88274104357</v>
      </c>
      <c r="I136" s="295">
        <f t="shared" si="31"/>
        <v>25787.88274104357</v>
      </c>
      <c r="J136" s="295">
        <f t="shared" si="31"/>
        <v>25787.88274104357</v>
      </c>
      <c r="K136" s="295">
        <f t="shared" si="31"/>
        <v>25787.88274104357</v>
      </c>
      <c r="L136" s="295">
        <f t="shared" si="31"/>
        <v>25787.88274104357</v>
      </c>
      <c r="M136" s="295">
        <f t="shared" si="31"/>
        <v>25787.88274104357</v>
      </c>
      <c r="N136" s="295">
        <f t="shared" si="31"/>
        <v>25787.88274104357</v>
      </c>
      <c r="O136" s="295">
        <f t="shared" si="31"/>
        <v>25787.88274104357</v>
      </c>
      <c r="P136" s="295">
        <f t="shared" si="31"/>
        <v>25787.88274104357</v>
      </c>
      <c r="Q136" s="295">
        <f t="shared" si="31"/>
        <v>25787.88274104357</v>
      </c>
      <c r="R136" s="295">
        <f t="shared" si="31"/>
        <v>25787.88274104357</v>
      </c>
      <c r="S136" s="295">
        <f t="shared" si="31"/>
        <v>25787.88274104357</v>
      </c>
      <c r="T136" s="295">
        <f t="shared" si="31"/>
        <v>25787.88274104357</v>
      </c>
      <c r="U136" s="295">
        <f t="shared" si="31"/>
        <v>25787.88274104357</v>
      </c>
      <c r="V136" s="295">
        <f t="shared" si="31"/>
        <v>25787.88274104357</v>
      </c>
      <c r="W136" s="295">
        <f t="shared" si="31"/>
        <v>25787.88274104357</v>
      </c>
      <c r="X136" s="295">
        <f t="shared" si="31"/>
        <v>25787.88274104357</v>
      </c>
      <c r="Y136" s="295">
        <f t="shared" si="31"/>
        <v>25787.88274104357</v>
      </c>
      <c r="Z136" s="295">
        <f t="shared" si="31"/>
        <v>25787.88274104357</v>
      </c>
      <c r="AA136" s="295">
        <f t="shared" si="31"/>
        <v>25787.88274104357</v>
      </c>
      <c r="AB136" s="295">
        <f t="shared" si="31"/>
        <v>25787.88274104357</v>
      </c>
      <c r="AC136" s="295">
        <f t="shared" si="31"/>
        <v>25787.88274104357</v>
      </c>
      <c r="AD136" s="295">
        <f t="shared" si="31"/>
        <v>25787.88274104357</v>
      </c>
      <c r="AE136" s="296">
        <f t="shared" si="31"/>
        <v>25787.88274104357</v>
      </c>
      <c r="AG136" s="1711"/>
      <c r="AH136" s="116">
        <v>5</v>
      </c>
      <c r="AI136" s="294">
        <f>'FREH LGV vkm'!C136*'FREH Stock'!C235</f>
        <v>4100273.3558259276</v>
      </c>
      <c r="AJ136" s="295">
        <f>'FREH LGV vkm'!D136*'FREH Stock'!D235</f>
        <v>5853849.3822168903</v>
      </c>
      <c r="AK136" s="295">
        <f>'FREH LGV vkm'!E136*'FREH Stock'!E235</f>
        <v>4409727.94871845</v>
      </c>
      <c r="AL136" s="295">
        <f>'FREH LGV vkm'!F136*'FREH Stock'!F235</f>
        <v>3481364.1700408817</v>
      </c>
      <c r="AM136" s="295">
        <f>'FREH LGV vkm'!G136*'FREH Stock'!G235</f>
        <v>2366325.7912547947</v>
      </c>
      <c r="AN136" s="295">
        <f>'FREH LGV vkm'!H136*'FREH Stock'!H235</f>
        <v>2859477.6240474614</v>
      </c>
      <c r="AO136" s="295">
        <f>'FREH LGV vkm'!I136*'FREH Stock'!I235</f>
        <v>0</v>
      </c>
      <c r="AP136" s="295">
        <f>'FREH LGV vkm'!J136*'FREH Stock'!J235</f>
        <v>0</v>
      </c>
      <c r="AQ136" s="295">
        <f>'FREH LGV vkm'!K136*'FREH Stock'!K235</f>
        <v>0</v>
      </c>
      <c r="AR136" s="295">
        <f>'FREH LGV vkm'!L136*'FREH Stock'!L235</f>
        <v>0</v>
      </c>
      <c r="AS136" s="295">
        <f>'FREH LGV vkm'!M136*'FREH Stock'!M235</f>
        <v>0</v>
      </c>
      <c r="AT136" s="295">
        <f>'FREH LGV vkm'!N136*'FREH Stock'!N235</f>
        <v>0</v>
      </c>
      <c r="AU136" s="295">
        <f>'FREH LGV vkm'!O136*'FREH Stock'!O235</f>
        <v>0</v>
      </c>
      <c r="AV136" s="295">
        <f>'FREH LGV vkm'!P136*'FREH Stock'!P235</f>
        <v>0</v>
      </c>
      <c r="AW136" s="295">
        <f>'FREH LGV vkm'!Q136*'FREH Stock'!Q235</f>
        <v>0</v>
      </c>
      <c r="AX136" s="295">
        <f>'FREH LGV vkm'!R136*'FREH Stock'!R235</f>
        <v>0</v>
      </c>
      <c r="AY136" s="295">
        <f>'FREH LGV vkm'!S136*'FREH Stock'!S235</f>
        <v>0</v>
      </c>
      <c r="AZ136" s="295">
        <f>'FREH LGV vkm'!T136*'FREH Stock'!T235</f>
        <v>0</v>
      </c>
      <c r="BA136" s="295">
        <f>'FREH LGV vkm'!U136*'FREH Stock'!U235</f>
        <v>0</v>
      </c>
      <c r="BB136" s="295">
        <f>'FREH LGV vkm'!V136*'FREH Stock'!V235</f>
        <v>0</v>
      </c>
      <c r="BC136" s="295">
        <f>'FREH LGV vkm'!W136*'FREH Stock'!W235</f>
        <v>0</v>
      </c>
      <c r="BD136" s="295">
        <f>'FREH LGV vkm'!X136*'FREH Stock'!X235</f>
        <v>0</v>
      </c>
      <c r="BE136" s="295">
        <f>'FREH LGV vkm'!Y136*'FREH Stock'!Y235</f>
        <v>0</v>
      </c>
      <c r="BF136" s="295">
        <f>'FREH LGV vkm'!Z136*'FREH Stock'!Z235</f>
        <v>0</v>
      </c>
      <c r="BG136" s="295">
        <f>'FREH LGV vkm'!AA136*'FREH Stock'!AA235</f>
        <v>0</v>
      </c>
      <c r="BH136" s="295">
        <f>'FREH LGV vkm'!AB136*'FREH Stock'!AB235</f>
        <v>0</v>
      </c>
      <c r="BI136" s="295">
        <f>'FREH LGV vkm'!AC136*'FREH Stock'!AC235</f>
        <v>0</v>
      </c>
      <c r="BJ136" s="295">
        <f>'FREH LGV vkm'!AD136*'FREH Stock'!AD235</f>
        <v>0</v>
      </c>
      <c r="BK136" s="296">
        <f>'FREH LGV vkm'!AE136*'FREH Stock'!AE235</f>
        <v>0</v>
      </c>
    </row>
    <row r="137" spans="1:63">
      <c r="A137" s="1711"/>
      <c r="B137" s="116">
        <v>6</v>
      </c>
      <c r="C137" s="486">
        <f>SUMPRODUCT(B24:C24,'FREH Stock'!$AH$24:$AI$24)/SUM('FREH Stock'!$AH$24:$AI$24)</f>
        <v>22261.099204425285</v>
      </c>
      <c r="D137" s="295">
        <f t="shared" si="31"/>
        <v>22261.099204425285</v>
      </c>
      <c r="E137" s="295">
        <f t="shared" si="31"/>
        <v>22261.099204425285</v>
      </c>
      <c r="F137" s="295">
        <f t="shared" si="31"/>
        <v>22261.099204425285</v>
      </c>
      <c r="G137" s="295">
        <f t="shared" si="31"/>
        <v>22261.099204425285</v>
      </c>
      <c r="H137" s="295">
        <f t="shared" si="31"/>
        <v>22261.099204425285</v>
      </c>
      <c r="I137" s="295">
        <f t="shared" si="31"/>
        <v>22261.099204425285</v>
      </c>
      <c r="J137" s="295">
        <f t="shared" si="31"/>
        <v>22261.099204425285</v>
      </c>
      <c r="K137" s="295">
        <f t="shared" si="31"/>
        <v>22261.099204425285</v>
      </c>
      <c r="L137" s="295">
        <f t="shared" si="31"/>
        <v>22261.099204425285</v>
      </c>
      <c r="M137" s="295">
        <f t="shared" si="31"/>
        <v>22261.099204425285</v>
      </c>
      <c r="N137" s="295">
        <f t="shared" si="31"/>
        <v>22261.099204425285</v>
      </c>
      <c r="O137" s="295">
        <f t="shared" si="31"/>
        <v>22261.099204425285</v>
      </c>
      <c r="P137" s="295">
        <f t="shared" si="31"/>
        <v>22261.099204425285</v>
      </c>
      <c r="Q137" s="295">
        <f t="shared" si="31"/>
        <v>22261.099204425285</v>
      </c>
      <c r="R137" s="295">
        <f t="shared" si="31"/>
        <v>22261.099204425285</v>
      </c>
      <c r="S137" s="295">
        <f t="shared" si="31"/>
        <v>22261.099204425285</v>
      </c>
      <c r="T137" s="295">
        <f t="shared" si="31"/>
        <v>22261.099204425285</v>
      </c>
      <c r="U137" s="295">
        <f t="shared" si="31"/>
        <v>22261.099204425285</v>
      </c>
      <c r="V137" s="295">
        <f t="shared" si="31"/>
        <v>22261.099204425285</v>
      </c>
      <c r="W137" s="295">
        <f t="shared" si="31"/>
        <v>22261.099204425285</v>
      </c>
      <c r="X137" s="295">
        <f t="shared" si="31"/>
        <v>22261.099204425285</v>
      </c>
      <c r="Y137" s="295">
        <f t="shared" si="31"/>
        <v>22261.099204425285</v>
      </c>
      <c r="Z137" s="295">
        <f t="shared" si="31"/>
        <v>22261.099204425285</v>
      </c>
      <c r="AA137" s="295">
        <f t="shared" si="31"/>
        <v>22261.099204425285</v>
      </c>
      <c r="AB137" s="295">
        <f t="shared" si="31"/>
        <v>22261.099204425285</v>
      </c>
      <c r="AC137" s="295">
        <f t="shared" si="31"/>
        <v>22261.099204425285</v>
      </c>
      <c r="AD137" s="295">
        <f t="shared" si="31"/>
        <v>22261.099204425285</v>
      </c>
      <c r="AE137" s="296">
        <f t="shared" si="31"/>
        <v>22261.099204425285</v>
      </c>
      <c r="AG137" s="1711"/>
      <c r="AH137" s="116">
        <v>6</v>
      </c>
      <c r="AI137" s="294">
        <f>'FREH LGV vkm'!C137*'FREH Stock'!C236</f>
        <v>8392434.4000683334</v>
      </c>
      <c r="AJ137" s="295">
        <f>'FREH LGV vkm'!D137*'FREH Stock'!D236</f>
        <v>3539514.7735036202</v>
      </c>
      <c r="AK137" s="295">
        <f>'FREH LGV vkm'!E137*'FREH Stock'!E236</f>
        <v>5053269.5194045398</v>
      </c>
      <c r="AL137" s="295">
        <f>'FREH LGV vkm'!F137*'FREH Stock'!F236</f>
        <v>3806647.9639567239</v>
      </c>
      <c r="AM137" s="295">
        <f>'FREH LGV vkm'!G137*'FREH Stock'!G236</f>
        <v>3005248.3925974136</v>
      </c>
      <c r="AN137" s="295">
        <f>'FREH LGV vkm'!H137*'FREH Stock'!H236</f>
        <v>2042704.0760997909</v>
      </c>
      <c r="AO137" s="295">
        <f>'FREH LGV vkm'!I137*'FREH Stock'!I236</f>
        <v>2468411.8390395199</v>
      </c>
      <c r="AP137" s="295">
        <f>'FREH LGV vkm'!J137*'FREH Stock'!J236</f>
        <v>0</v>
      </c>
      <c r="AQ137" s="295">
        <f>'FREH LGV vkm'!K137*'FREH Stock'!K236</f>
        <v>0</v>
      </c>
      <c r="AR137" s="295">
        <f>'FREH LGV vkm'!L137*'FREH Stock'!L236</f>
        <v>0</v>
      </c>
      <c r="AS137" s="295">
        <f>'FREH LGV vkm'!M137*'FREH Stock'!M236</f>
        <v>0</v>
      </c>
      <c r="AT137" s="295">
        <f>'FREH LGV vkm'!N137*'FREH Stock'!N236</f>
        <v>0</v>
      </c>
      <c r="AU137" s="295">
        <f>'FREH LGV vkm'!O137*'FREH Stock'!O236</f>
        <v>0</v>
      </c>
      <c r="AV137" s="295">
        <f>'FREH LGV vkm'!P137*'FREH Stock'!P236</f>
        <v>0</v>
      </c>
      <c r="AW137" s="295">
        <f>'FREH LGV vkm'!Q137*'FREH Stock'!Q236</f>
        <v>0</v>
      </c>
      <c r="AX137" s="295">
        <f>'FREH LGV vkm'!R137*'FREH Stock'!R236</f>
        <v>0</v>
      </c>
      <c r="AY137" s="295">
        <f>'FREH LGV vkm'!S137*'FREH Stock'!S236</f>
        <v>0</v>
      </c>
      <c r="AZ137" s="295">
        <f>'FREH LGV vkm'!T137*'FREH Stock'!T236</f>
        <v>0</v>
      </c>
      <c r="BA137" s="295">
        <f>'FREH LGV vkm'!U137*'FREH Stock'!U236</f>
        <v>0</v>
      </c>
      <c r="BB137" s="295">
        <f>'FREH LGV vkm'!V137*'FREH Stock'!V236</f>
        <v>0</v>
      </c>
      <c r="BC137" s="295">
        <f>'FREH LGV vkm'!W137*'FREH Stock'!W236</f>
        <v>0</v>
      </c>
      <c r="BD137" s="295">
        <f>'FREH LGV vkm'!X137*'FREH Stock'!X236</f>
        <v>0</v>
      </c>
      <c r="BE137" s="295">
        <f>'FREH LGV vkm'!Y137*'FREH Stock'!Y236</f>
        <v>0</v>
      </c>
      <c r="BF137" s="295">
        <f>'FREH LGV vkm'!Z137*'FREH Stock'!Z236</f>
        <v>0</v>
      </c>
      <c r="BG137" s="295">
        <f>'FREH LGV vkm'!AA137*'FREH Stock'!AA236</f>
        <v>0</v>
      </c>
      <c r="BH137" s="295">
        <f>'FREH LGV vkm'!AB137*'FREH Stock'!AB236</f>
        <v>0</v>
      </c>
      <c r="BI137" s="295">
        <f>'FREH LGV vkm'!AC137*'FREH Stock'!AC236</f>
        <v>0</v>
      </c>
      <c r="BJ137" s="295">
        <f>'FREH LGV vkm'!AD137*'FREH Stock'!AD236</f>
        <v>0</v>
      </c>
      <c r="BK137" s="296">
        <f>'FREH LGV vkm'!AE137*'FREH Stock'!AE236</f>
        <v>0</v>
      </c>
    </row>
    <row r="138" spans="1:63">
      <c r="A138" s="1711"/>
      <c r="B138" s="116">
        <v>7</v>
      </c>
      <c r="C138" s="294">
        <f>C137</f>
        <v>22261.099204425285</v>
      </c>
      <c r="D138" s="295">
        <f>D137</f>
        <v>22261.099204425285</v>
      </c>
      <c r="E138" s="295">
        <f t="shared" ref="E138:AE147" si="32">E137</f>
        <v>22261.099204425285</v>
      </c>
      <c r="F138" s="295">
        <f t="shared" si="32"/>
        <v>22261.099204425285</v>
      </c>
      <c r="G138" s="295">
        <f t="shared" si="32"/>
        <v>22261.099204425285</v>
      </c>
      <c r="H138" s="295">
        <f t="shared" si="32"/>
        <v>22261.099204425285</v>
      </c>
      <c r="I138" s="295">
        <f t="shared" si="32"/>
        <v>22261.099204425285</v>
      </c>
      <c r="J138" s="295">
        <f t="shared" si="32"/>
        <v>22261.099204425285</v>
      </c>
      <c r="K138" s="295">
        <f t="shared" si="32"/>
        <v>22261.099204425285</v>
      </c>
      <c r="L138" s="295">
        <f t="shared" si="32"/>
        <v>22261.099204425285</v>
      </c>
      <c r="M138" s="295">
        <f t="shared" si="32"/>
        <v>22261.099204425285</v>
      </c>
      <c r="N138" s="295">
        <f t="shared" si="32"/>
        <v>22261.099204425285</v>
      </c>
      <c r="O138" s="295">
        <f t="shared" si="32"/>
        <v>22261.099204425285</v>
      </c>
      <c r="P138" s="295">
        <f t="shared" si="32"/>
        <v>22261.099204425285</v>
      </c>
      <c r="Q138" s="295">
        <f t="shared" si="32"/>
        <v>22261.099204425285</v>
      </c>
      <c r="R138" s="295">
        <f t="shared" si="32"/>
        <v>22261.099204425285</v>
      </c>
      <c r="S138" s="295">
        <f t="shared" si="32"/>
        <v>22261.099204425285</v>
      </c>
      <c r="T138" s="295">
        <f t="shared" si="32"/>
        <v>22261.099204425285</v>
      </c>
      <c r="U138" s="295">
        <f t="shared" si="32"/>
        <v>22261.099204425285</v>
      </c>
      <c r="V138" s="295">
        <f t="shared" si="32"/>
        <v>22261.099204425285</v>
      </c>
      <c r="W138" s="295">
        <f t="shared" si="32"/>
        <v>22261.099204425285</v>
      </c>
      <c r="X138" s="295">
        <f t="shared" si="32"/>
        <v>22261.099204425285</v>
      </c>
      <c r="Y138" s="295">
        <f t="shared" si="32"/>
        <v>22261.099204425285</v>
      </c>
      <c r="Z138" s="295">
        <f t="shared" si="32"/>
        <v>22261.099204425285</v>
      </c>
      <c r="AA138" s="295">
        <f t="shared" si="32"/>
        <v>22261.099204425285</v>
      </c>
      <c r="AB138" s="295">
        <f t="shared" si="32"/>
        <v>22261.099204425285</v>
      </c>
      <c r="AC138" s="295">
        <f t="shared" si="32"/>
        <v>22261.099204425285</v>
      </c>
      <c r="AD138" s="295">
        <f t="shared" si="32"/>
        <v>22261.099204425285</v>
      </c>
      <c r="AE138" s="296">
        <f t="shared" si="32"/>
        <v>22261.099204425285</v>
      </c>
      <c r="AG138" s="1711"/>
      <c r="AH138" s="116">
        <v>7</v>
      </c>
      <c r="AI138" s="294">
        <f>'FREH LGV vkm'!C138*'FREH Stock'!C237</f>
        <v>3494992.5750947697</v>
      </c>
      <c r="AJ138" s="295">
        <f>'FREH LGV vkm'!D138*'FREH Stock'!D237</f>
        <v>8392434.4000683334</v>
      </c>
      <c r="AK138" s="295">
        <f>'FREH LGV vkm'!E138*'FREH Stock'!E237</f>
        <v>3539514.7735036202</v>
      </c>
      <c r="AL138" s="295">
        <f>'FREH LGV vkm'!F138*'FREH Stock'!F237</f>
        <v>5053269.5194045398</v>
      </c>
      <c r="AM138" s="295">
        <f>'FREH LGV vkm'!G138*'FREH Stock'!G237</f>
        <v>3806647.9639567239</v>
      </c>
      <c r="AN138" s="295">
        <f>'FREH LGV vkm'!H138*'FREH Stock'!H237</f>
        <v>3005248.3925974136</v>
      </c>
      <c r="AO138" s="295">
        <f>'FREH LGV vkm'!I138*'FREH Stock'!I237</f>
        <v>2042704.0760997909</v>
      </c>
      <c r="AP138" s="295">
        <f>'FREH LGV vkm'!J138*'FREH Stock'!J237</f>
        <v>2468411.8390395199</v>
      </c>
      <c r="AQ138" s="295">
        <f>'FREH LGV vkm'!K138*'FREH Stock'!K237</f>
        <v>0</v>
      </c>
      <c r="AR138" s="295">
        <f>'FREH LGV vkm'!L138*'FREH Stock'!L237</f>
        <v>0</v>
      </c>
      <c r="AS138" s="295">
        <f>'FREH LGV vkm'!M138*'FREH Stock'!M237</f>
        <v>0</v>
      </c>
      <c r="AT138" s="295">
        <f>'FREH LGV vkm'!N138*'FREH Stock'!N237</f>
        <v>0</v>
      </c>
      <c r="AU138" s="295">
        <f>'FREH LGV vkm'!O138*'FREH Stock'!O237</f>
        <v>0</v>
      </c>
      <c r="AV138" s="295">
        <f>'FREH LGV vkm'!P138*'FREH Stock'!P237</f>
        <v>0</v>
      </c>
      <c r="AW138" s="295">
        <f>'FREH LGV vkm'!Q138*'FREH Stock'!Q237</f>
        <v>0</v>
      </c>
      <c r="AX138" s="295">
        <f>'FREH LGV vkm'!R138*'FREH Stock'!R237</f>
        <v>0</v>
      </c>
      <c r="AY138" s="295">
        <f>'FREH LGV vkm'!S138*'FREH Stock'!S237</f>
        <v>0</v>
      </c>
      <c r="AZ138" s="295">
        <f>'FREH LGV vkm'!T138*'FREH Stock'!T237</f>
        <v>0</v>
      </c>
      <c r="BA138" s="295">
        <f>'FREH LGV vkm'!U138*'FREH Stock'!U237</f>
        <v>0</v>
      </c>
      <c r="BB138" s="295">
        <f>'FREH LGV vkm'!V138*'FREH Stock'!V237</f>
        <v>0</v>
      </c>
      <c r="BC138" s="295">
        <f>'FREH LGV vkm'!W138*'FREH Stock'!W237</f>
        <v>0</v>
      </c>
      <c r="BD138" s="295">
        <f>'FREH LGV vkm'!X138*'FREH Stock'!X237</f>
        <v>0</v>
      </c>
      <c r="BE138" s="295">
        <f>'FREH LGV vkm'!Y138*'FREH Stock'!Y237</f>
        <v>0</v>
      </c>
      <c r="BF138" s="295">
        <f>'FREH LGV vkm'!Z138*'FREH Stock'!Z237</f>
        <v>0</v>
      </c>
      <c r="BG138" s="295">
        <f>'FREH LGV vkm'!AA138*'FREH Stock'!AA237</f>
        <v>0</v>
      </c>
      <c r="BH138" s="295">
        <f>'FREH LGV vkm'!AB138*'FREH Stock'!AB237</f>
        <v>0</v>
      </c>
      <c r="BI138" s="295">
        <f>'FREH LGV vkm'!AC138*'FREH Stock'!AC237</f>
        <v>0</v>
      </c>
      <c r="BJ138" s="295">
        <f>'FREH LGV vkm'!AD138*'FREH Stock'!AD237</f>
        <v>0</v>
      </c>
      <c r="BK138" s="296">
        <f>'FREH LGV vkm'!AE138*'FREH Stock'!AE237</f>
        <v>0</v>
      </c>
    </row>
    <row r="139" spans="1:63">
      <c r="A139" s="1711"/>
      <c r="B139" s="116">
        <v>8</v>
      </c>
      <c r="C139" s="294">
        <f t="shared" ref="C139:D154" si="33">C138</f>
        <v>22261.099204425285</v>
      </c>
      <c r="D139" s="295">
        <f t="shared" si="33"/>
        <v>22261.099204425285</v>
      </c>
      <c r="E139" s="295">
        <f t="shared" si="32"/>
        <v>22261.099204425285</v>
      </c>
      <c r="F139" s="295">
        <f t="shared" si="32"/>
        <v>22261.099204425285</v>
      </c>
      <c r="G139" s="295">
        <f t="shared" si="32"/>
        <v>22261.099204425285</v>
      </c>
      <c r="H139" s="295">
        <f t="shared" si="32"/>
        <v>22261.099204425285</v>
      </c>
      <c r="I139" s="295">
        <f t="shared" si="32"/>
        <v>22261.099204425285</v>
      </c>
      <c r="J139" s="295">
        <f t="shared" si="32"/>
        <v>22261.099204425285</v>
      </c>
      <c r="K139" s="295">
        <f t="shared" si="32"/>
        <v>22261.099204425285</v>
      </c>
      <c r="L139" s="295">
        <f t="shared" si="32"/>
        <v>22261.099204425285</v>
      </c>
      <c r="M139" s="295">
        <f t="shared" si="32"/>
        <v>22261.099204425285</v>
      </c>
      <c r="N139" s="295">
        <f t="shared" si="32"/>
        <v>22261.099204425285</v>
      </c>
      <c r="O139" s="295">
        <f t="shared" si="32"/>
        <v>22261.099204425285</v>
      </c>
      <c r="P139" s="295">
        <f t="shared" si="32"/>
        <v>22261.099204425285</v>
      </c>
      <c r="Q139" s="295">
        <f t="shared" si="32"/>
        <v>22261.099204425285</v>
      </c>
      <c r="R139" s="295">
        <f t="shared" si="32"/>
        <v>22261.099204425285</v>
      </c>
      <c r="S139" s="295">
        <f t="shared" si="32"/>
        <v>22261.099204425285</v>
      </c>
      <c r="T139" s="295">
        <f t="shared" si="32"/>
        <v>22261.099204425285</v>
      </c>
      <c r="U139" s="295">
        <f t="shared" si="32"/>
        <v>22261.099204425285</v>
      </c>
      <c r="V139" s="295">
        <f t="shared" si="32"/>
        <v>22261.099204425285</v>
      </c>
      <c r="W139" s="295">
        <f t="shared" si="32"/>
        <v>22261.099204425285</v>
      </c>
      <c r="X139" s="295">
        <f t="shared" si="32"/>
        <v>22261.099204425285</v>
      </c>
      <c r="Y139" s="295">
        <f t="shared" si="32"/>
        <v>22261.099204425285</v>
      </c>
      <c r="Z139" s="295">
        <f t="shared" si="32"/>
        <v>22261.099204425285</v>
      </c>
      <c r="AA139" s="295">
        <f t="shared" si="32"/>
        <v>22261.099204425285</v>
      </c>
      <c r="AB139" s="295">
        <f t="shared" si="32"/>
        <v>22261.099204425285</v>
      </c>
      <c r="AC139" s="295">
        <f t="shared" si="32"/>
        <v>22261.099204425285</v>
      </c>
      <c r="AD139" s="295">
        <f t="shared" si="32"/>
        <v>22261.099204425285</v>
      </c>
      <c r="AE139" s="296">
        <f t="shared" si="32"/>
        <v>22261.099204425285</v>
      </c>
      <c r="AG139" s="1711"/>
      <c r="AH139" s="116">
        <v>8</v>
      </c>
      <c r="AI139" s="294">
        <f>'FREH LGV vkm'!C139*'FREH Stock'!C238</f>
        <v>289394.28965752869</v>
      </c>
      <c r="AJ139" s="295">
        <f>'FREH LGV vkm'!D139*'FREH Stock'!D238</f>
        <v>3361650.2032212117</v>
      </c>
      <c r="AK139" s="295">
        <f>'FREH LGV vkm'!E139*'FREH Stock'!E238</f>
        <v>8072242.8446776867</v>
      </c>
      <c r="AL139" s="295">
        <f>'FREH LGV vkm'!F139*'FREH Stock'!F238</f>
        <v>3404473.7726889974</v>
      </c>
      <c r="AM139" s="295">
        <f>'FREH LGV vkm'!G139*'FREH Stock'!G238</f>
        <v>4860475.1345937261</v>
      </c>
      <c r="AN139" s="295">
        <f>'FREH LGV vkm'!H139*'FREH Stock'!H238</f>
        <v>3661415.1894957144</v>
      </c>
      <c r="AO139" s="295">
        <f>'FREH LGV vkm'!I139*'FREH Stock'!I238</f>
        <v>2890590.939075564</v>
      </c>
      <c r="AP139" s="295">
        <f>'FREH LGV vkm'!J139*'FREH Stock'!J238</f>
        <v>1964770.0030823266</v>
      </c>
      <c r="AQ139" s="295">
        <f>'FREH LGV vkm'!K139*'FREH Stock'!K238</f>
        <v>2374235.9910781328</v>
      </c>
      <c r="AR139" s="295">
        <f>'FREH LGV vkm'!L139*'FREH Stock'!L238</f>
        <v>0</v>
      </c>
      <c r="AS139" s="295">
        <f>'FREH LGV vkm'!M139*'FREH Stock'!M238</f>
        <v>0</v>
      </c>
      <c r="AT139" s="295">
        <f>'FREH LGV vkm'!N139*'FREH Stock'!N238</f>
        <v>0</v>
      </c>
      <c r="AU139" s="295">
        <f>'FREH LGV vkm'!O139*'FREH Stock'!O238</f>
        <v>0</v>
      </c>
      <c r="AV139" s="295">
        <f>'FREH LGV vkm'!P139*'FREH Stock'!P238</f>
        <v>0</v>
      </c>
      <c r="AW139" s="295">
        <f>'FREH LGV vkm'!Q139*'FREH Stock'!Q238</f>
        <v>0</v>
      </c>
      <c r="AX139" s="295">
        <f>'FREH LGV vkm'!R139*'FREH Stock'!R238</f>
        <v>0</v>
      </c>
      <c r="AY139" s="295">
        <f>'FREH LGV vkm'!S139*'FREH Stock'!S238</f>
        <v>0</v>
      </c>
      <c r="AZ139" s="295">
        <f>'FREH LGV vkm'!T139*'FREH Stock'!T238</f>
        <v>0</v>
      </c>
      <c r="BA139" s="295">
        <f>'FREH LGV vkm'!U139*'FREH Stock'!U238</f>
        <v>0</v>
      </c>
      <c r="BB139" s="295">
        <f>'FREH LGV vkm'!V139*'FREH Stock'!V238</f>
        <v>0</v>
      </c>
      <c r="BC139" s="295">
        <f>'FREH LGV vkm'!W139*'FREH Stock'!W238</f>
        <v>0</v>
      </c>
      <c r="BD139" s="295">
        <f>'FREH LGV vkm'!X139*'FREH Stock'!X238</f>
        <v>0</v>
      </c>
      <c r="BE139" s="295">
        <f>'FREH LGV vkm'!Y139*'FREH Stock'!Y238</f>
        <v>0</v>
      </c>
      <c r="BF139" s="295">
        <f>'FREH LGV vkm'!Z139*'FREH Stock'!Z238</f>
        <v>0</v>
      </c>
      <c r="BG139" s="295">
        <f>'FREH LGV vkm'!AA139*'FREH Stock'!AA238</f>
        <v>0</v>
      </c>
      <c r="BH139" s="295">
        <f>'FREH LGV vkm'!AB139*'FREH Stock'!AB238</f>
        <v>0</v>
      </c>
      <c r="BI139" s="295">
        <f>'FREH LGV vkm'!AC139*'FREH Stock'!AC238</f>
        <v>0</v>
      </c>
      <c r="BJ139" s="295">
        <f>'FREH LGV vkm'!AD139*'FREH Stock'!AD238</f>
        <v>0</v>
      </c>
      <c r="BK139" s="296">
        <f>'FREH LGV vkm'!AE139*'FREH Stock'!AE238</f>
        <v>0</v>
      </c>
    </row>
    <row r="140" spans="1:63">
      <c r="A140" s="1711"/>
      <c r="B140" s="116">
        <v>9</v>
      </c>
      <c r="C140" s="294">
        <f t="shared" si="33"/>
        <v>22261.099204425285</v>
      </c>
      <c r="D140" s="295">
        <f t="shared" si="33"/>
        <v>22261.099204425285</v>
      </c>
      <c r="E140" s="295">
        <f t="shared" si="32"/>
        <v>22261.099204425285</v>
      </c>
      <c r="F140" s="295">
        <f t="shared" si="32"/>
        <v>22261.099204425285</v>
      </c>
      <c r="G140" s="295">
        <f t="shared" si="32"/>
        <v>22261.099204425285</v>
      </c>
      <c r="H140" s="295">
        <f t="shared" si="32"/>
        <v>22261.099204425285</v>
      </c>
      <c r="I140" s="295">
        <f t="shared" si="32"/>
        <v>22261.099204425285</v>
      </c>
      <c r="J140" s="295">
        <f t="shared" si="32"/>
        <v>22261.099204425285</v>
      </c>
      <c r="K140" s="295">
        <f t="shared" si="32"/>
        <v>22261.099204425285</v>
      </c>
      <c r="L140" s="295">
        <f t="shared" si="32"/>
        <v>22261.099204425285</v>
      </c>
      <c r="M140" s="295">
        <f t="shared" si="32"/>
        <v>22261.099204425285</v>
      </c>
      <c r="N140" s="295">
        <f t="shared" si="32"/>
        <v>22261.099204425285</v>
      </c>
      <c r="O140" s="295">
        <f t="shared" si="32"/>
        <v>22261.099204425285</v>
      </c>
      <c r="P140" s="295">
        <f t="shared" si="32"/>
        <v>22261.099204425285</v>
      </c>
      <c r="Q140" s="295">
        <f t="shared" si="32"/>
        <v>22261.099204425285</v>
      </c>
      <c r="R140" s="295">
        <f t="shared" si="32"/>
        <v>22261.099204425285</v>
      </c>
      <c r="S140" s="295">
        <f t="shared" si="32"/>
        <v>22261.099204425285</v>
      </c>
      <c r="T140" s="295">
        <f t="shared" si="32"/>
        <v>22261.099204425285</v>
      </c>
      <c r="U140" s="295">
        <f t="shared" si="32"/>
        <v>22261.099204425285</v>
      </c>
      <c r="V140" s="295">
        <f t="shared" si="32"/>
        <v>22261.099204425285</v>
      </c>
      <c r="W140" s="295">
        <f t="shared" si="32"/>
        <v>22261.099204425285</v>
      </c>
      <c r="X140" s="295">
        <f t="shared" si="32"/>
        <v>22261.099204425285</v>
      </c>
      <c r="Y140" s="295">
        <f t="shared" si="32"/>
        <v>22261.099204425285</v>
      </c>
      <c r="Z140" s="295">
        <f t="shared" si="32"/>
        <v>22261.099204425285</v>
      </c>
      <c r="AA140" s="295">
        <f t="shared" si="32"/>
        <v>22261.099204425285</v>
      </c>
      <c r="AB140" s="295">
        <f t="shared" si="32"/>
        <v>22261.099204425285</v>
      </c>
      <c r="AC140" s="295">
        <f t="shared" si="32"/>
        <v>22261.099204425285</v>
      </c>
      <c r="AD140" s="295">
        <f t="shared" si="32"/>
        <v>22261.099204425285</v>
      </c>
      <c r="AE140" s="296">
        <f t="shared" si="32"/>
        <v>22261.099204425285</v>
      </c>
      <c r="AG140" s="1711"/>
      <c r="AH140" s="116">
        <v>9</v>
      </c>
      <c r="AI140" s="294">
        <f>'FREH LGV vkm'!C140*'FREH Stock'!C239</f>
        <v>823660.67056373553</v>
      </c>
      <c r="AJ140" s="295">
        <f>'FREH LGV vkm'!D140*'FREH Stock'!D239</f>
        <v>256940.38608222411</v>
      </c>
      <c r="AK140" s="295">
        <f>'FREH LGV vkm'!E140*'FREH Stock'!E239</f>
        <v>2984660.4855652326</v>
      </c>
      <c r="AL140" s="295">
        <f>'FREH LGV vkm'!F140*'FREH Stock'!F239</f>
        <v>7166987.2806247948</v>
      </c>
      <c r="AM140" s="295">
        <f>'FREH LGV vkm'!G140*'FREH Stock'!G239</f>
        <v>3022681.6382475919</v>
      </c>
      <c r="AN140" s="295">
        <f>'FREH LGV vkm'!H140*'FREH Stock'!H239</f>
        <v>4315400.8294478208</v>
      </c>
      <c r="AO140" s="295">
        <f>'FREH LGV vkm'!I140*'FREH Stock'!I239</f>
        <v>3250808.5543417502</v>
      </c>
      <c r="AP140" s="295">
        <f>'FREH LGV vkm'!J140*'FREH Stock'!J239</f>
        <v>2566427.8060592767</v>
      </c>
      <c r="AQ140" s="295">
        <f>'FREH LGV vkm'!K140*'FREH Stock'!K239</f>
        <v>1744432.3581925672</v>
      </c>
      <c r="AR140" s="295">
        <f>'FREH LGV vkm'!L140*'FREH Stock'!L239</f>
        <v>2107979.092883449</v>
      </c>
      <c r="AS140" s="295">
        <f>'FREH LGV vkm'!M140*'FREH Stock'!M239</f>
        <v>0</v>
      </c>
      <c r="AT140" s="295">
        <f>'FREH LGV vkm'!N140*'FREH Stock'!N239</f>
        <v>0</v>
      </c>
      <c r="AU140" s="295">
        <f>'FREH LGV vkm'!O140*'FREH Stock'!O239</f>
        <v>0</v>
      </c>
      <c r="AV140" s="295">
        <f>'FREH LGV vkm'!P140*'FREH Stock'!P239</f>
        <v>0</v>
      </c>
      <c r="AW140" s="295">
        <f>'FREH LGV vkm'!Q140*'FREH Stock'!Q239</f>
        <v>0</v>
      </c>
      <c r="AX140" s="295">
        <f>'FREH LGV vkm'!R140*'FREH Stock'!R239</f>
        <v>0</v>
      </c>
      <c r="AY140" s="295">
        <f>'FREH LGV vkm'!S140*'FREH Stock'!S239</f>
        <v>0</v>
      </c>
      <c r="AZ140" s="295">
        <f>'FREH LGV vkm'!T140*'FREH Stock'!T239</f>
        <v>0</v>
      </c>
      <c r="BA140" s="295">
        <f>'FREH LGV vkm'!U140*'FREH Stock'!U239</f>
        <v>0</v>
      </c>
      <c r="BB140" s="295">
        <f>'FREH LGV vkm'!V140*'FREH Stock'!V239</f>
        <v>0</v>
      </c>
      <c r="BC140" s="295">
        <f>'FREH LGV vkm'!W140*'FREH Stock'!W239</f>
        <v>0</v>
      </c>
      <c r="BD140" s="295">
        <f>'FREH LGV vkm'!X140*'FREH Stock'!X239</f>
        <v>0</v>
      </c>
      <c r="BE140" s="295">
        <f>'FREH LGV vkm'!Y140*'FREH Stock'!Y239</f>
        <v>0</v>
      </c>
      <c r="BF140" s="295">
        <f>'FREH LGV vkm'!Z140*'FREH Stock'!Z239</f>
        <v>0</v>
      </c>
      <c r="BG140" s="295">
        <f>'FREH LGV vkm'!AA140*'FREH Stock'!AA239</f>
        <v>0</v>
      </c>
      <c r="BH140" s="295">
        <f>'FREH LGV vkm'!AB140*'FREH Stock'!AB239</f>
        <v>0</v>
      </c>
      <c r="BI140" s="295">
        <f>'FREH LGV vkm'!AC140*'FREH Stock'!AC239</f>
        <v>0</v>
      </c>
      <c r="BJ140" s="295">
        <f>'FREH LGV vkm'!AD140*'FREH Stock'!AD239</f>
        <v>0</v>
      </c>
      <c r="BK140" s="296">
        <f>'FREH LGV vkm'!AE140*'FREH Stock'!AE239</f>
        <v>0</v>
      </c>
    </row>
    <row r="141" spans="1:63">
      <c r="A141" s="1711"/>
      <c r="B141" s="116">
        <v>10</v>
      </c>
      <c r="C141" s="294">
        <f t="shared" si="33"/>
        <v>22261.099204425285</v>
      </c>
      <c r="D141" s="295">
        <f t="shared" si="33"/>
        <v>22261.099204425285</v>
      </c>
      <c r="E141" s="295">
        <f t="shared" si="32"/>
        <v>22261.099204425285</v>
      </c>
      <c r="F141" s="295">
        <f t="shared" si="32"/>
        <v>22261.099204425285</v>
      </c>
      <c r="G141" s="295">
        <f t="shared" si="32"/>
        <v>22261.099204425285</v>
      </c>
      <c r="H141" s="295">
        <f t="shared" si="32"/>
        <v>22261.099204425285</v>
      </c>
      <c r="I141" s="295">
        <f t="shared" si="32"/>
        <v>22261.099204425285</v>
      </c>
      <c r="J141" s="295">
        <f t="shared" si="32"/>
        <v>22261.099204425285</v>
      </c>
      <c r="K141" s="295">
        <f t="shared" si="32"/>
        <v>22261.099204425285</v>
      </c>
      <c r="L141" s="295">
        <f t="shared" si="32"/>
        <v>22261.099204425285</v>
      </c>
      <c r="M141" s="295">
        <f t="shared" si="32"/>
        <v>22261.099204425285</v>
      </c>
      <c r="N141" s="295">
        <f t="shared" si="32"/>
        <v>22261.099204425285</v>
      </c>
      <c r="O141" s="295">
        <f t="shared" si="32"/>
        <v>22261.099204425285</v>
      </c>
      <c r="P141" s="295">
        <f t="shared" si="32"/>
        <v>22261.099204425285</v>
      </c>
      <c r="Q141" s="295">
        <f t="shared" si="32"/>
        <v>22261.099204425285</v>
      </c>
      <c r="R141" s="295">
        <f t="shared" si="32"/>
        <v>22261.099204425285</v>
      </c>
      <c r="S141" s="295">
        <f t="shared" si="32"/>
        <v>22261.099204425285</v>
      </c>
      <c r="T141" s="295">
        <f t="shared" si="32"/>
        <v>22261.099204425285</v>
      </c>
      <c r="U141" s="295">
        <f t="shared" si="32"/>
        <v>22261.099204425285</v>
      </c>
      <c r="V141" s="295">
        <f t="shared" si="32"/>
        <v>22261.099204425285</v>
      </c>
      <c r="W141" s="295">
        <f t="shared" si="32"/>
        <v>22261.099204425285</v>
      </c>
      <c r="X141" s="295">
        <f t="shared" si="32"/>
        <v>22261.099204425285</v>
      </c>
      <c r="Y141" s="295">
        <f t="shared" si="32"/>
        <v>22261.099204425285</v>
      </c>
      <c r="Z141" s="295">
        <f t="shared" si="32"/>
        <v>22261.099204425285</v>
      </c>
      <c r="AA141" s="295">
        <f t="shared" si="32"/>
        <v>22261.099204425285</v>
      </c>
      <c r="AB141" s="295">
        <f t="shared" si="32"/>
        <v>22261.099204425285</v>
      </c>
      <c r="AC141" s="295">
        <f t="shared" si="32"/>
        <v>22261.099204425285</v>
      </c>
      <c r="AD141" s="295">
        <f t="shared" si="32"/>
        <v>22261.099204425285</v>
      </c>
      <c r="AE141" s="296">
        <f t="shared" si="32"/>
        <v>22261.099204425285</v>
      </c>
      <c r="AG141" s="1711"/>
      <c r="AH141" s="116">
        <v>10</v>
      </c>
      <c r="AI141" s="294">
        <f>'FREH LGV vkm'!C141*'FREH Stock'!C240</f>
        <v>2404198.7140779309</v>
      </c>
      <c r="AJ141" s="295">
        <f>'FREH LGV vkm'!D141*'FREH Stock'!D240</f>
        <v>689978.20083624637</v>
      </c>
      <c r="AK141" s="295">
        <f>'FREH LGV vkm'!E141*'FREH Stock'!E240</f>
        <v>215238.2305565787</v>
      </c>
      <c r="AL141" s="295">
        <f>'FREH LGV vkm'!F141*'FREH Stock'!F240</f>
        <v>2500241.5989194452</v>
      </c>
      <c r="AM141" s="295">
        <f>'FREH LGV vkm'!G141*'FREH Stock'!G240</f>
        <v>6003764.8585517891</v>
      </c>
      <c r="AN141" s="295">
        <f>'FREH LGV vkm'!H141*'FREH Stock'!H240</f>
        <v>2532091.8103706483</v>
      </c>
      <c r="AO141" s="295">
        <f>'FREH LGV vkm'!I141*'FREH Stock'!I240</f>
        <v>3614998.9997115554</v>
      </c>
      <c r="AP141" s="295">
        <f>'FREH LGV vkm'!J141*'FREH Stock'!J240</f>
        <v>2723193.0790778669</v>
      </c>
      <c r="AQ141" s="295">
        <f>'FREH LGV vkm'!K141*'FREH Stock'!K240</f>
        <v>2149889.2729562111</v>
      </c>
      <c r="AR141" s="295">
        <f>'FREH LGV vkm'!L141*'FREH Stock'!L240</f>
        <v>1461306.0244365532</v>
      </c>
      <c r="AS141" s="295">
        <f>'FREH LGV vkm'!M141*'FREH Stock'!M240</f>
        <v>1765848.089981853</v>
      </c>
      <c r="AT141" s="295">
        <f>'FREH LGV vkm'!N141*'FREH Stock'!N240</f>
        <v>0</v>
      </c>
      <c r="AU141" s="295">
        <f>'FREH LGV vkm'!O141*'FREH Stock'!O240</f>
        <v>0</v>
      </c>
      <c r="AV141" s="295">
        <f>'FREH LGV vkm'!P141*'FREH Stock'!P240</f>
        <v>0</v>
      </c>
      <c r="AW141" s="295">
        <f>'FREH LGV vkm'!Q141*'FREH Stock'!Q240</f>
        <v>0</v>
      </c>
      <c r="AX141" s="295">
        <f>'FREH LGV vkm'!R141*'FREH Stock'!R240</f>
        <v>0</v>
      </c>
      <c r="AY141" s="295">
        <f>'FREH LGV vkm'!S141*'FREH Stock'!S240</f>
        <v>0</v>
      </c>
      <c r="AZ141" s="295">
        <f>'FREH LGV vkm'!T141*'FREH Stock'!T240</f>
        <v>0</v>
      </c>
      <c r="BA141" s="295">
        <f>'FREH LGV vkm'!U141*'FREH Stock'!U240</f>
        <v>0</v>
      </c>
      <c r="BB141" s="295">
        <f>'FREH LGV vkm'!V141*'FREH Stock'!V240</f>
        <v>0</v>
      </c>
      <c r="BC141" s="295">
        <f>'FREH LGV vkm'!W141*'FREH Stock'!W240</f>
        <v>0</v>
      </c>
      <c r="BD141" s="295">
        <f>'FREH LGV vkm'!X141*'FREH Stock'!X240</f>
        <v>0</v>
      </c>
      <c r="BE141" s="295">
        <f>'FREH LGV vkm'!Y141*'FREH Stock'!Y240</f>
        <v>0</v>
      </c>
      <c r="BF141" s="295">
        <f>'FREH LGV vkm'!Z141*'FREH Stock'!Z240</f>
        <v>0</v>
      </c>
      <c r="BG141" s="295">
        <f>'FREH LGV vkm'!AA141*'FREH Stock'!AA240</f>
        <v>0</v>
      </c>
      <c r="BH141" s="295">
        <f>'FREH LGV vkm'!AB141*'FREH Stock'!AB240</f>
        <v>0</v>
      </c>
      <c r="BI141" s="295">
        <f>'FREH LGV vkm'!AC141*'FREH Stock'!AC240</f>
        <v>0</v>
      </c>
      <c r="BJ141" s="295">
        <f>'FREH LGV vkm'!AD141*'FREH Stock'!AD240</f>
        <v>0</v>
      </c>
      <c r="BK141" s="296">
        <f>'FREH LGV vkm'!AE141*'FREH Stock'!AE240</f>
        <v>0</v>
      </c>
    </row>
    <row r="142" spans="1:63">
      <c r="A142" s="1711"/>
      <c r="B142" s="116">
        <v>11</v>
      </c>
      <c r="C142" s="294">
        <f t="shared" si="33"/>
        <v>22261.099204425285</v>
      </c>
      <c r="D142" s="295">
        <f t="shared" si="33"/>
        <v>22261.099204425285</v>
      </c>
      <c r="E142" s="295">
        <f t="shared" si="32"/>
        <v>22261.099204425285</v>
      </c>
      <c r="F142" s="295">
        <f t="shared" si="32"/>
        <v>22261.099204425285</v>
      </c>
      <c r="G142" s="295">
        <f t="shared" si="32"/>
        <v>22261.099204425285</v>
      </c>
      <c r="H142" s="295">
        <f t="shared" si="32"/>
        <v>22261.099204425285</v>
      </c>
      <c r="I142" s="295">
        <f t="shared" si="32"/>
        <v>22261.099204425285</v>
      </c>
      <c r="J142" s="295">
        <f t="shared" si="32"/>
        <v>22261.099204425285</v>
      </c>
      <c r="K142" s="295">
        <f t="shared" si="32"/>
        <v>22261.099204425285</v>
      </c>
      <c r="L142" s="295">
        <f t="shared" si="32"/>
        <v>22261.099204425285</v>
      </c>
      <c r="M142" s="295">
        <f t="shared" si="32"/>
        <v>22261.099204425285</v>
      </c>
      <c r="N142" s="295">
        <f t="shared" si="32"/>
        <v>22261.099204425285</v>
      </c>
      <c r="O142" s="295">
        <f t="shared" si="32"/>
        <v>22261.099204425285</v>
      </c>
      <c r="P142" s="295">
        <f t="shared" si="32"/>
        <v>22261.099204425285</v>
      </c>
      <c r="Q142" s="295">
        <f t="shared" si="32"/>
        <v>22261.099204425285</v>
      </c>
      <c r="R142" s="295">
        <f t="shared" si="32"/>
        <v>22261.099204425285</v>
      </c>
      <c r="S142" s="295">
        <f t="shared" si="32"/>
        <v>22261.099204425285</v>
      </c>
      <c r="T142" s="295">
        <f t="shared" si="32"/>
        <v>22261.099204425285</v>
      </c>
      <c r="U142" s="295">
        <f t="shared" si="32"/>
        <v>22261.099204425285</v>
      </c>
      <c r="V142" s="295">
        <f t="shared" si="32"/>
        <v>22261.099204425285</v>
      </c>
      <c r="W142" s="295">
        <f t="shared" si="32"/>
        <v>22261.099204425285</v>
      </c>
      <c r="X142" s="295">
        <f t="shared" si="32"/>
        <v>22261.099204425285</v>
      </c>
      <c r="Y142" s="295">
        <f t="shared" si="32"/>
        <v>22261.099204425285</v>
      </c>
      <c r="Z142" s="295">
        <f t="shared" si="32"/>
        <v>22261.099204425285</v>
      </c>
      <c r="AA142" s="295">
        <f t="shared" si="32"/>
        <v>22261.099204425285</v>
      </c>
      <c r="AB142" s="295">
        <f t="shared" si="32"/>
        <v>22261.099204425285</v>
      </c>
      <c r="AC142" s="295">
        <f t="shared" si="32"/>
        <v>22261.099204425285</v>
      </c>
      <c r="AD142" s="295">
        <f t="shared" si="32"/>
        <v>22261.099204425285</v>
      </c>
      <c r="AE142" s="296">
        <f t="shared" si="32"/>
        <v>22261.099204425285</v>
      </c>
      <c r="AG142" s="1711"/>
      <c r="AH142" s="116">
        <v>11</v>
      </c>
      <c r="AI142" s="294">
        <f>'FREH LGV vkm'!C142*'FREH Stock'!C241</f>
        <v>912705.0673814367</v>
      </c>
      <c r="AJ142" s="295">
        <f>'FREH LGV vkm'!D142*'FREH Stock'!D241</f>
        <v>1836003.3896546082</v>
      </c>
      <c r="AK142" s="295">
        <f>'FREH LGV vkm'!E142*'FREH Stock'!E241</f>
        <v>526912.48360848834</v>
      </c>
      <c r="AL142" s="295">
        <f>'FREH LGV vkm'!F142*'FREH Stock'!F241</f>
        <v>164369.9909542207</v>
      </c>
      <c r="AM142" s="295">
        <f>'FREH LGV vkm'!G142*'FREH Stock'!G241</f>
        <v>1909348.0184029255</v>
      </c>
      <c r="AN142" s="295">
        <f>'FREH LGV vkm'!H142*'FREH Stock'!H241</f>
        <v>4584867.5346363243</v>
      </c>
      <c r="AO142" s="295">
        <f>'FREH LGV vkm'!I142*'FREH Stock'!I241</f>
        <v>1933670.9230959564</v>
      </c>
      <c r="AP142" s="295">
        <f>'FREH LGV vkm'!J142*'FREH Stock'!J241</f>
        <v>2760649.6826590076</v>
      </c>
      <c r="AQ142" s="295">
        <f>'FREH LGV vkm'!K142*'FREH Stock'!K241</f>
        <v>2079608.3512541419</v>
      </c>
      <c r="AR142" s="295">
        <f>'FREH LGV vkm'!L142*'FREH Stock'!L241</f>
        <v>1641796.066779586</v>
      </c>
      <c r="AS142" s="295">
        <f>'FREH LGV vkm'!M142*'FREH Stock'!M241</f>
        <v>1115948.8599997833</v>
      </c>
      <c r="AT142" s="295">
        <f>'FREH LGV vkm'!N142*'FREH Stock'!N241</f>
        <v>1348517.1004532475</v>
      </c>
      <c r="AU142" s="295">
        <f>'FREH LGV vkm'!O142*'FREH Stock'!O241</f>
        <v>0</v>
      </c>
      <c r="AV142" s="295">
        <f>'FREH LGV vkm'!P142*'FREH Stock'!P241</f>
        <v>0</v>
      </c>
      <c r="AW142" s="295">
        <f>'FREH LGV vkm'!Q142*'FREH Stock'!Q241</f>
        <v>0</v>
      </c>
      <c r="AX142" s="295">
        <f>'FREH LGV vkm'!R142*'FREH Stock'!R241</f>
        <v>0</v>
      </c>
      <c r="AY142" s="295">
        <f>'FREH LGV vkm'!S142*'FREH Stock'!S241</f>
        <v>0</v>
      </c>
      <c r="AZ142" s="295">
        <f>'FREH LGV vkm'!T142*'FREH Stock'!T241</f>
        <v>0</v>
      </c>
      <c r="BA142" s="295">
        <f>'FREH LGV vkm'!U142*'FREH Stock'!U241</f>
        <v>0</v>
      </c>
      <c r="BB142" s="295">
        <f>'FREH LGV vkm'!V142*'FREH Stock'!V241</f>
        <v>0</v>
      </c>
      <c r="BC142" s="295">
        <f>'FREH LGV vkm'!W142*'FREH Stock'!W241</f>
        <v>0</v>
      </c>
      <c r="BD142" s="295">
        <f>'FREH LGV vkm'!X142*'FREH Stock'!X241</f>
        <v>0</v>
      </c>
      <c r="BE142" s="295">
        <f>'FREH LGV vkm'!Y142*'FREH Stock'!Y241</f>
        <v>0</v>
      </c>
      <c r="BF142" s="295">
        <f>'FREH LGV vkm'!Z142*'FREH Stock'!Z241</f>
        <v>0</v>
      </c>
      <c r="BG142" s="295">
        <f>'FREH LGV vkm'!AA142*'FREH Stock'!AA241</f>
        <v>0</v>
      </c>
      <c r="BH142" s="295">
        <f>'FREH LGV vkm'!AB142*'FREH Stock'!AB241</f>
        <v>0</v>
      </c>
      <c r="BI142" s="295">
        <f>'FREH LGV vkm'!AC142*'FREH Stock'!AC241</f>
        <v>0</v>
      </c>
      <c r="BJ142" s="295">
        <f>'FREH LGV vkm'!AD142*'FREH Stock'!AD241</f>
        <v>0</v>
      </c>
      <c r="BK142" s="296">
        <f>'FREH LGV vkm'!AE142*'FREH Stock'!AE241</f>
        <v>0</v>
      </c>
    </row>
    <row r="143" spans="1:63">
      <c r="A143" s="1711"/>
      <c r="B143" s="116">
        <v>12</v>
      </c>
      <c r="C143" s="294">
        <f t="shared" si="33"/>
        <v>22261.099204425285</v>
      </c>
      <c r="D143" s="295">
        <f t="shared" si="33"/>
        <v>22261.099204425285</v>
      </c>
      <c r="E143" s="295">
        <f t="shared" si="32"/>
        <v>22261.099204425285</v>
      </c>
      <c r="F143" s="295">
        <f t="shared" si="32"/>
        <v>22261.099204425285</v>
      </c>
      <c r="G143" s="295">
        <f t="shared" si="32"/>
        <v>22261.099204425285</v>
      </c>
      <c r="H143" s="295">
        <f t="shared" si="32"/>
        <v>22261.099204425285</v>
      </c>
      <c r="I143" s="295">
        <f t="shared" si="32"/>
        <v>22261.099204425285</v>
      </c>
      <c r="J143" s="295">
        <f t="shared" si="32"/>
        <v>22261.099204425285</v>
      </c>
      <c r="K143" s="295">
        <f t="shared" si="32"/>
        <v>22261.099204425285</v>
      </c>
      <c r="L143" s="295">
        <f t="shared" si="32"/>
        <v>22261.099204425285</v>
      </c>
      <c r="M143" s="295">
        <f t="shared" si="32"/>
        <v>22261.099204425285</v>
      </c>
      <c r="N143" s="295">
        <f t="shared" si="32"/>
        <v>22261.099204425285</v>
      </c>
      <c r="O143" s="295">
        <f t="shared" si="32"/>
        <v>22261.099204425285</v>
      </c>
      <c r="P143" s="295">
        <f t="shared" si="32"/>
        <v>22261.099204425285</v>
      </c>
      <c r="Q143" s="295">
        <f t="shared" si="32"/>
        <v>22261.099204425285</v>
      </c>
      <c r="R143" s="295">
        <f t="shared" si="32"/>
        <v>22261.099204425285</v>
      </c>
      <c r="S143" s="295">
        <f t="shared" si="32"/>
        <v>22261.099204425285</v>
      </c>
      <c r="T143" s="295">
        <f t="shared" si="32"/>
        <v>22261.099204425285</v>
      </c>
      <c r="U143" s="295">
        <f t="shared" si="32"/>
        <v>22261.099204425285</v>
      </c>
      <c r="V143" s="295">
        <f t="shared" si="32"/>
        <v>22261.099204425285</v>
      </c>
      <c r="W143" s="295">
        <f t="shared" si="32"/>
        <v>22261.099204425285</v>
      </c>
      <c r="X143" s="295">
        <f t="shared" si="32"/>
        <v>22261.099204425285</v>
      </c>
      <c r="Y143" s="295">
        <f t="shared" si="32"/>
        <v>22261.099204425285</v>
      </c>
      <c r="Z143" s="295">
        <f t="shared" si="32"/>
        <v>22261.099204425285</v>
      </c>
      <c r="AA143" s="295">
        <f t="shared" si="32"/>
        <v>22261.099204425285</v>
      </c>
      <c r="AB143" s="295">
        <f t="shared" si="32"/>
        <v>22261.099204425285</v>
      </c>
      <c r="AC143" s="295">
        <f t="shared" si="32"/>
        <v>22261.099204425285</v>
      </c>
      <c r="AD143" s="295">
        <f t="shared" si="32"/>
        <v>22261.099204425285</v>
      </c>
      <c r="AE143" s="296">
        <f t="shared" si="32"/>
        <v>22261.099204425285</v>
      </c>
      <c r="AG143" s="1711"/>
      <c r="AH143" s="116">
        <v>12</v>
      </c>
      <c r="AI143" s="294">
        <f>'FREH LGV vkm'!C143*'FREH Stock'!C242</f>
        <v>623310.77772390796</v>
      </c>
      <c r="AJ143" s="295">
        <f>'FREH LGV vkm'!D143*'FREH Stock'!D242</f>
        <v>608339.83868755074</v>
      </c>
      <c r="AK143" s="295">
        <f>'FREH LGV vkm'!E143*'FREH Stock'!E242</f>
        <v>1223740.3360723332</v>
      </c>
      <c r="AL143" s="295">
        <f>'FREH LGV vkm'!F143*'FREH Stock'!F242</f>
        <v>351199.81989415648</v>
      </c>
      <c r="AM143" s="295">
        <f>'FREH LGV vkm'!G143*'FREH Stock'!G242</f>
        <v>109556.54499546667</v>
      </c>
      <c r="AN143" s="295">
        <f>'FREH LGV vkm'!H143*'FREH Stock'!H242</f>
        <v>1272626.2919149587</v>
      </c>
      <c r="AO143" s="295">
        <f>'FREH LGV vkm'!I143*'FREH Stock'!I242</f>
        <v>3055924.2805856015</v>
      </c>
      <c r="AP143" s="295">
        <f>'FREH LGV vkm'!J143*'FREH Stock'!J242</f>
        <v>1288838.0918119645</v>
      </c>
      <c r="AQ143" s="295">
        <f>'FREH LGV vkm'!K143*'FREH Stock'!K242</f>
        <v>1840039.2883101639</v>
      </c>
      <c r="AR143" s="295">
        <f>'FREH LGV vkm'!L143*'FREH Stock'!L242</f>
        <v>1386108.8911939999</v>
      </c>
      <c r="AS143" s="295">
        <f>'FREH LGV vkm'!M143*'FREH Stock'!M242</f>
        <v>1094296.4930478947</v>
      </c>
      <c r="AT143" s="295">
        <f>'FREH LGV vkm'!N143*'FREH Stock'!N242</f>
        <v>743806.70573411975</v>
      </c>
      <c r="AU143" s="295">
        <f>'FREH LGV vkm'!O143*'FREH Stock'!O242</f>
        <v>898819.02125376253</v>
      </c>
      <c r="AV143" s="295">
        <f>'FREH LGV vkm'!P143*'FREH Stock'!P242</f>
        <v>0</v>
      </c>
      <c r="AW143" s="295">
        <f>'FREH LGV vkm'!Q143*'FREH Stock'!Q242</f>
        <v>0</v>
      </c>
      <c r="AX143" s="295">
        <f>'FREH LGV vkm'!R143*'FREH Stock'!R242</f>
        <v>0</v>
      </c>
      <c r="AY143" s="295">
        <f>'FREH LGV vkm'!S143*'FREH Stock'!S242</f>
        <v>0</v>
      </c>
      <c r="AZ143" s="295">
        <f>'FREH LGV vkm'!T143*'FREH Stock'!T242</f>
        <v>0</v>
      </c>
      <c r="BA143" s="295">
        <f>'FREH LGV vkm'!U143*'FREH Stock'!U242</f>
        <v>0</v>
      </c>
      <c r="BB143" s="295">
        <f>'FREH LGV vkm'!V143*'FREH Stock'!V242</f>
        <v>0</v>
      </c>
      <c r="BC143" s="295">
        <f>'FREH LGV vkm'!W143*'FREH Stock'!W242</f>
        <v>0</v>
      </c>
      <c r="BD143" s="295">
        <f>'FREH LGV vkm'!X143*'FREH Stock'!X242</f>
        <v>0</v>
      </c>
      <c r="BE143" s="295">
        <f>'FREH LGV vkm'!Y143*'FREH Stock'!Y242</f>
        <v>0</v>
      </c>
      <c r="BF143" s="295">
        <f>'FREH LGV vkm'!Z143*'FREH Stock'!Z242</f>
        <v>0</v>
      </c>
      <c r="BG143" s="295">
        <f>'FREH LGV vkm'!AA143*'FREH Stock'!AA242</f>
        <v>0</v>
      </c>
      <c r="BH143" s="295">
        <f>'FREH LGV vkm'!AB143*'FREH Stock'!AB242</f>
        <v>0</v>
      </c>
      <c r="BI143" s="295">
        <f>'FREH LGV vkm'!AC143*'FREH Stock'!AC242</f>
        <v>0</v>
      </c>
      <c r="BJ143" s="295">
        <f>'FREH LGV vkm'!AD143*'FREH Stock'!AD242</f>
        <v>0</v>
      </c>
      <c r="BK143" s="296">
        <f>'FREH LGV vkm'!AE143*'FREH Stock'!AE242</f>
        <v>0</v>
      </c>
    </row>
    <row r="144" spans="1:63">
      <c r="A144" s="1711"/>
      <c r="B144" s="116">
        <v>13</v>
      </c>
      <c r="C144" s="294">
        <f t="shared" si="33"/>
        <v>22261.099204425285</v>
      </c>
      <c r="D144" s="295">
        <f t="shared" si="33"/>
        <v>22261.099204425285</v>
      </c>
      <c r="E144" s="295">
        <f t="shared" si="32"/>
        <v>22261.099204425285</v>
      </c>
      <c r="F144" s="295">
        <f t="shared" si="32"/>
        <v>22261.099204425285</v>
      </c>
      <c r="G144" s="295">
        <f t="shared" si="32"/>
        <v>22261.099204425285</v>
      </c>
      <c r="H144" s="295">
        <f t="shared" si="32"/>
        <v>22261.099204425285</v>
      </c>
      <c r="I144" s="295">
        <f t="shared" si="32"/>
        <v>22261.099204425285</v>
      </c>
      <c r="J144" s="295">
        <f t="shared" si="32"/>
        <v>22261.099204425285</v>
      </c>
      <c r="K144" s="295">
        <f t="shared" si="32"/>
        <v>22261.099204425285</v>
      </c>
      <c r="L144" s="295">
        <f t="shared" si="32"/>
        <v>22261.099204425285</v>
      </c>
      <c r="M144" s="295">
        <f t="shared" si="32"/>
        <v>22261.099204425285</v>
      </c>
      <c r="N144" s="295">
        <f t="shared" si="32"/>
        <v>22261.099204425285</v>
      </c>
      <c r="O144" s="295">
        <f t="shared" si="32"/>
        <v>22261.099204425285</v>
      </c>
      <c r="P144" s="295">
        <f t="shared" si="32"/>
        <v>22261.099204425285</v>
      </c>
      <c r="Q144" s="295">
        <f t="shared" si="32"/>
        <v>22261.099204425285</v>
      </c>
      <c r="R144" s="295">
        <f t="shared" si="32"/>
        <v>22261.099204425285</v>
      </c>
      <c r="S144" s="295">
        <f t="shared" si="32"/>
        <v>22261.099204425285</v>
      </c>
      <c r="T144" s="295">
        <f t="shared" si="32"/>
        <v>22261.099204425285</v>
      </c>
      <c r="U144" s="295">
        <f t="shared" si="32"/>
        <v>22261.099204425285</v>
      </c>
      <c r="V144" s="295">
        <f t="shared" si="32"/>
        <v>22261.099204425285</v>
      </c>
      <c r="W144" s="295">
        <f t="shared" si="32"/>
        <v>22261.099204425285</v>
      </c>
      <c r="X144" s="295">
        <f t="shared" si="32"/>
        <v>22261.099204425285</v>
      </c>
      <c r="Y144" s="295">
        <f t="shared" si="32"/>
        <v>22261.099204425285</v>
      </c>
      <c r="Z144" s="295">
        <f t="shared" si="32"/>
        <v>22261.099204425285</v>
      </c>
      <c r="AA144" s="295">
        <f t="shared" si="32"/>
        <v>22261.099204425285</v>
      </c>
      <c r="AB144" s="295">
        <f t="shared" si="32"/>
        <v>22261.099204425285</v>
      </c>
      <c r="AC144" s="295">
        <f t="shared" si="32"/>
        <v>22261.099204425285</v>
      </c>
      <c r="AD144" s="295">
        <f t="shared" si="32"/>
        <v>22261.099204425285</v>
      </c>
      <c r="AE144" s="296">
        <f t="shared" si="32"/>
        <v>22261.099204425285</v>
      </c>
      <c r="AG144" s="1711"/>
      <c r="AH144" s="116">
        <v>13</v>
      </c>
      <c r="AI144" s="294">
        <f>'FREH LGV vkm'!C144*'FREH Stock'!C243</f>
        <v>244872.09124867813</v>
      </c>
      <c r="AJ144" s="295">
        <f>'FREH LGV vkm'!D144*'FREH Stock'!D243</f>
        <v>334686.67565939011</v>
      </c>
      <c r="AK144" s="295">
        <f>'FREH LGV vkm'!E144*'FREH Stock'!E243</f>
        <v>326648.03105922055</v>
      </c>
      <c r="AL144" s="295">
        <f>'FREH LGV vkm'!F144*'FREH Stock'!F243</f>
        <v>657087.28227986873</v>
      </c>
      <c r="AM144" s="295">
        <f>'FREH LGV vkm'!G144*'FREH Stock'!G243</f>
        <v>188576.71712619782</v>
      </c>
      <c r="AN144" s="295">
        <f>'FREH LGV vkm'!H144*'FREH Stock'!H243</f>
        <v>58826.37867285945</v>
      </c>
      <c r="AO144" s="295">
        <f>'FREH LGV vkm'!I144*'FREH Stock'!I243</f>
        <v>683336.59262734256</v>
      </c>
      <c r="AP144" s="295">
        <f>'FREH LGV vkm'!J144*'FREH Stock'!J243</f>
        <v>1640878.3147803065</v>
      </c>
      <c r="AQ144" s="295">
        <f>'FREH LGV vkm'!K144*'FREH Stock'!K243</f>
        <v>692041.51737418759</v>
      </c>
      <c r="AR144" s="295">
        <f>'FREH LGV vkm'!L144*'FREH Stock'!L243</f>
        <v>988008.95876692224</v>
      </c>
      <c r="AS144" s="295">
        <f>'FREH LGV vkm'!M144*'FREH Stock'!M243</f>
        <v>744271.06585525849</v>
      </c>
      <c r="AT144" s="295">
        <f>'FREH LGV vkm'!N144*'FREH Stock'!N243</f>
        <v>587582.42041204614</v>
      </c>
      <c r="AU144" s="295">
        <f>'FREH LGV vkm'!O144*'FREH Stock'!O243</f>
        <v>399386.95522698358</v>
      </c>
      <c r="AV144" s="295">
        <f>'FREH LGV vkm'!P144*'FREH Stock'!P243</f>
        <v>482620.80649613973</v>
      </c>
      <c r="AW144" s="295">
        <f>'FREH LGV vkm'!Q144*'FREH Stock'!Q243</f>
        <v>0</v>
      </c>
      <c r="AX144" s="295">
        <f>'FREH LGV vkm'!R144*'FREH Stock'!R243</f>
        <v>0</v>
      </c>
      <c r="AY144" s="295">
        <f>'FREH LGV vkm'!S144*'FREH Stock'!S243</f>
        <v>0</v>
      </c>
      <c r="AZ144" s="295">
        <f>'FREH LGV vkm'!T144*'FREH Stock'!T243</f>
        <v>0</v>
      </c>
      <c r="BA144" s="295">
        <f>'FREH LGV vkm'!U144*'FREH Stock'!U243</f>
        <v>0</v>
      </c>
      <c r="BB144" s="295">
        <f>'FREH LGV vkm'!V144*'FREH Stock'!V243</f>
        <v>0</v>
      </c>
      <c r="BC144" s="295">
        <f>'FREH LGV vkm'!W144*'FREH Stock'!W243</f>
        <v>0</v>
      </c>
      <c r="BD144" s="295">
        <f>'FREH LGV vkm'!X144*'FREH Stock'!X243</f>
        <v>0</v>
      </c>
      <c r="BE144" s="295">
        <f>'FREH LGV vkm'!Y144*'FREH Stock'!Y243</f>
        <v>0</v>
      </c>
      <c r="BF144" s="295">
        <f>'FREH LGV vkm'!Z144*'FREH Stock'!Z243</f>
        <v>0</v>
      </c>
      <c r="BG144" s="295">
        <f>'FREH LGV vkm'!AA144*'FREH Stock'!AA243</f>
        <v>0</v>
      </c>
      <c r="BH144" s="295">
        <f>'FREH LGV vkm'!AB144*'FREH Stock'!AB243</f>
        <v>0</v>
      </c>
      <c r="BI144" s="295">
        <f>'FREH LGV vkm'!AC144*'FREH Stock'!AC243</f>
        <v>0</v>
      </c>
      <c r="BJ144" s="295">
        <f>'FREH LGV vkm'!AD144*'FREH Stock'!AD243</f>
        <v>0</v>
      </c>
      <c r="BK144" s="296">
        <f>'FREH LGV vkm'!AE144*'FREH Stock'!AE243</f>
        <v>0</v>
      </c>
    </row>
    <row r="145" spans="1:63">
      <c r="A145" s="1711"/>
      <c r="B145" s="116">
        <v>14</v>
      </c>
      <c r="C145" s="294">
        <f t="shared" si="33"/>
        <v>22261.099204425285</v>
      </c>
      <c r="D145" s="295">
        <f t="shared" si="33"/>
        <v>22261.099204425285</v>
      </c>
      <c r="E145" s="295">
        <f t="shared" si="32"/>
        <v>22261.099204425285</v>
      </c>
      <c r="F145" s="295">
        <f t="shared" si="32"/>
        <v>22261.099204425285</v>
      </c>
      <c r="G145" s="295">
        <f t="shared" si="32"/>
        <v>22261.099204425285</v>
      </c>
      <c r="H145" s="295">
        <f t="shared" si="32"/>
        <v>22261.099204425285</v>
      </c>
      <c r="I145" s="295">
        <f t="shared" si="32"/>
        <v>22261.099204425285</v>
      </c>
      <c r="J145" s="295">
        <f t="shared" si="32"/>
        <v>22261.099204425285</v>
      </c>
      <c r="K145" s="295">
        <f t="shared" si="32"/>
        <v>22261.099204425285</v>
      </c>
      <c r="L145" s="295">
        <f t="shared" si="32"/>
        <v>22261.099204425285</v>
      </c>
      <c r="M145" s="295">
        <f t="shared" si="32"/>
        <v>22261.099204425285</v>
      </c>
      <c r="N145" s="295">
        <f t="shared" si="32"/>
        <v>22261.099204425285</v>
      </c>
      <c r="O145" s="295">
        <f t="shared" si="32"/>
        <v>22261.099204425285</v>
      </c>
      <c r="P145" s="295">
        <f t="shared" si="32"/>
        <v>22261.099204425285</v>
      </c>
      <c r="Q145" s="295">
        <f t="shared" si="32"/>
        <v>22261.099204425285</v>
      </c>
      <c r="R145" s="295">
        <f t="shared" si="32"/>
        <v>22261.099204425285</v>
      </c>
      <c r="S145" s="295">
        <f t="shared" si="32"/>
        <v>22261.099204425285</v>
      </c>
      <c r="T145" s="295">
        <f t="shared" si="32"/>
        <v>22261.099204425285</v>
      </c>
      <c r="U145" s="295">
        <f t="shared" si="32"/>
        <v>22261.099204425285</v>
      </c>
      <c r="V145" s="295">
        <f t="shared" si="32"/>
        <v>22261.099204425285</v>
      </c>
      <c r="W145" s="295">
        <f t="shared" si="32"/>
        <v>22261.099204425285</v>
      </c>
      <c r="X145" s="295">
        <f t="shared" si="32"/>
        <v>22261.099204425285</v>
      </c>
      <c r="Y145" s="295">
        <f t="shared" si="32"/>
        <v>22261.099204425285</v>
      </c>
      <c r="Z145" s="295">
        <f t="shared" si="32"/>
        <v>22261.099204425285</v>
      </c>
      <c r="AA145" s="295">
        <f t="shared" si="32"/>
        <v>22261.099204425285</v>
      </c>
      <c r="AB145" s="295">
        <f t="shared" si="32"/>
        <v>22261.099204425285</v>
      </c>
      <c r="AC145" s="295">
        <f t="shared" si="32"/>
        <v>22261.099204425285</v>
      </c>
      <c r="AD145" s="295">
        <f t="shared" si="32"/>
        <v>22261.099204425285</v>
      </c>
      <c r="AE145" s="296">
        <f t="shared" si="32"/>
        <v>22261.099204425285</v>
      </c>
      <c r="AG145" s="1711"/>
      <c r="AH145" s="116">
        <v>14</v>
      </c>
      <c r="AI145" s="294">
        <f>'FREH LGV vkm'!C145*'FREH Stock'!C244</f>
        <v>178088.79363540228</v>
      </c>
      <c r="AJ145" s="295">
        <f>'FREH LGV vkm'!D145*'FREH Stock'!D244</f>
        <v>121158.06138844859</v>
      </c>
      <c r="AK145" s="295">
        <f>'FREH LGV vkm'!E145*'FREH Stock'!E244</f>
        <v>165596.61245452394</v>
      </c>
      <c r="AL145" s="295">
        <f>'FREH LGV vkm'!F145*'FREH Stock'!F244</f>
        <v>161619.24373528437</v>
      </c>
      <c r="AM145" s="295">
        <f>'FREH LGV vkm'!G145*'FREH Stock'!G244</f>
        <v>325114.31122293294</v>
      </c>
      <c r="AN145" s="295">
        <f>'FREH LGV vkm'!H145*'FREH Stock'!H244</f>
        <v>93304.179147166578</v>
      </c>
      <c r="AO145" s="295">
        <f>'FREH LGV vkm'!I145*'FREH Stock'!I244</f>
        <v>29106.175236884628</v>
      </c>
      <c r="AP145" s="295">
        <f>'FREH LGV vkm'!J145*'FREH Stock'!J244</f>
        <v>338101.97158988728</v>
      </c>
      <c r="AQ145" s="295">
        <f>'FREH LGV vkm'!K145*'FREH Stock'!K244</f>
        <v>811875.43496425147</v>
      </c>
      <c r="AR145" s="295">
        <f>'FREH LGV vkm'!L145*'FREH Stock'!L244</f>
        <v>342409.00307510875</v>
      </c>
      <c r="AS145" s="295">
        <f>'FREH LGV vkm'!M145*'FREH Stock'!M244</f>
        <v>488848.07357263967</v>
      </c>
      <c r="AT145" s="295">
        <f>'FREH LGV vkm'!N145*'FREH Stock'!N244</f>
        <v>368251.19198643783</v>
      </c>
      <c r="AU145" s="295">
        <f>'FREH LGV vkm'!O145*'FREH Stock'!O244</f>
        <v>290724.62525245087</v>
      </c>
      <c r="AV145" s="295">
        <f>'FREH LGV vkm'!P145*'FREH Stock'!P244</f>
        <v>197609.08232696631</v>
      </c>
      <c r="AW145" s="295">
        <f>'FREH LGV vkm'!Q145*'FREH Stock'!Q244</f>
        <v>238791.61158230813</v>
      </c>
      <c r="AX145" s="295">
        <f>'FREH LGV vkm'!R145*'FREH Stock'!R244</f>
        <v>0</v>
      </c>
      <c r="AY145" s="295">
        <f>'FREH LGV vkm'!S145*'FREH Stock'!S244</f>
        <v>0</v>
      </c>
      <c r="AZ145" s="295">
        <f>'FREH LGV vkm'!T145*'FREH Stock'!T244</f>
        <v>0</v>
      </c>
      <c r="BA145" s="295">
        <f>'FREH LGV vkm'!U145*'FREH Stock'!U244</f>
        <v>0</v>
      </c>
      <c r="BB145" s="295">
        <f>'FREH LGV vkm'!V145*'FREH Stock'!V244</f>
        <v>0</v>
      </c>
      <c r="BC145" s="295">
        <f>'FREH LGV vkm'!W145*'FREH Stock'!W244</f>
        <v>0</v>
      </c>
      <c r="BD145" s="295">
        <f>'FREH LGV vkm'!X145*'FREH Stock'!X244</f>
        <v>0</v>
      </c>
      <c r="BE145" s="295">
        <f>'FREH LGV vkm'!Y145*'FREH Stock'!Y244</f>
        <v>0</v>
      </c>
      <c r="BF145" s="295">
        <f>'FREH LGV vkm'!Z145*'FREH Stock'!Z244</f>
        <v>0</v>
      </c>
      <c r="BG145" s="295">
        <f>'FREH LGV vkm'!AA145*'FREH Stock'!AA244</f>
        <v>0</v>
      </c>
      <c r="BH145" s="295">
        <f>'FREH LGV vkm'!AB145*'FREH Stock'!AB244</f>
        <v>0</v>
      </c>
      <c r="BI145" s="295">
        <f>'FREH LGV vkm'!AC145*'FREH Stock'!AC244</f>
        <v>0</v>
      </c>
      <c r="BJ145" s="295">
        <f>'FREH LGV vkm'!AD145*'FREH Stock'!AD244</f>
        <v>0</v>
      </c>
      <c r="BK145" s="296">
        <f>'FREH LGV vkm'!AE145*'FREH Stock'!AE244</f>
        <v>0</v>
      </c>
    </row>
    <row r="146" spans="1:63">
      <c r="A146" s="1711"/>
      <c r="B146" s="116">
        <v>15</v>
      </c>
      <c r="C146" s="294">
        <f t="shared" si="33"/>
        <v>22261.099204425285</v>
      </c>
      <c r="D146" s="295">
        <f t="shared" si="33"/>
        <v>22261.099204425285</v>
      </c>
      <c r="E146" s="295">
        <f t="shared" si="32"/>
        <v>22261.099204425285</v>
      </c>
      <c r="F146" s="295">
        <f t="shared" si="32"/>
        <v>22261.099204425285</v>
      </c>
      <c r="G146" s="295">
        <f t="shared" si="32"/>
        <v>22261.099204425285</v>
      </c>
      <c r="H146" s="295">
        <f t="shared" si="32"/>
        <v>22261.099204425285</v>
      </c>
      <c r="I146" s="295">
        <f t="shared" si="32"/>
        <v>22261.099204425285</v>
      </c>
      <c r="J146" s="295">
        <f t="shared" si="32"/>
        <v>22261.099204425285</v>
      </c>
      <c r="K146" s="295">
        <f t="shared" si="32"/>
        <v>22261.099204425285</v>
      </c>
      <c r="L146" s="295">
        <f t="shared" si="32"/>
        <v>22261.099204425285</v>
      </c>
      <c r="M146" s="295">
        <f t="shared" si="32"/>
        <v>22261.099204425285</v>
      </c>
      <c r="N146" s="295">
        <f t="shared" si="32"/>
        <v>22261.099204425285</v>
      </c>
      <c r="O146" s="295">
        <f t="shared" si="32"/>
        <v>22261.099204425285</v>
      </c>
      <c r="P146" s="295">
        <f t="shared" si="32"/>
        <v>22261.099204425285</v>
      </c>
      <c r="Q146" s="295">
        <f t="shared" si="32"/>
        <v>22261.099204425285</v>
      </c>
      <c r="R146" s="295">
        <f t="shared" si="32"/>
        <v>22261.099204425285</v>
      </c>
      <c r="S146" s="295">
        <f t="shared" si="32"/>
        <v>22261.099204425285</v>
      </c>
      <c r="T146" s="295">
        <f t="shared" si="32"/>
        <v>22261.099204425285</v>
      </c>
      <c r="U146" s="295">
        <f t="shared" si="32"/>
        <v>22261.099204425285</v>
      </c>
      <c r="V146" s="295">
        <f t="shared" si="32"/>
        <v>22261.099204425285</v>
      </c>
      <c r="W146" s="295">
        <f t="shared" si="32"/>
        <v>22261.099204425285</v>
      </c>
      <c r="X146" s="295">
        <f t="shared" si="32"/>
        <v>22261.099204425285</v>
      </c>
      <c r="Y146" s="295">
        <f t="shared" si="32"/>
        <v>22261.099204425285</v>
      </c>
      <c r="Z146" s="295">
        <f t="shared" si="32"/>
        <v>22261.099204425285</v>
      </c>
      <c r="AA146" s="295">
        <f t="shared" si="32"/>
        <v>22261.099204425285</v>
      </c>
      <c r="AB146" s="295">
        <f t="shared" si="32"/>
        <v>22261.099204425285</v>
      </c>
      <c r="AC146" s="295">
        <f t="shared" si="32"/>
        <v>22261.099204425285</v>
      </c>
      <c r="AD146" s="295">
        <f t="shared" si="32"/>
        <v>22261.099204425285</v>
      </c>
      <c r="AE146" s="296">
        <f t="shared" si="32"/>
        <v>22261.099204425285</v>
      </c>
      <c r="AG146" s="1711"/>
      <c r="AH146" s="116">
        <v>15</v>
      </c>
      <c r="AI146" s="294">
        <f>'FREH LGV vkm'!C146*'FREH Stock'!C245</f>
        <v>111305.49602212643</v>
      </c>
      <c r="AJ146" s="295">
        <f>'FREH LGV vkm'!D146*'FREH Stock'!D245</f>
        <v>67918.307357716898</v>
      </c>
      <c r="AK146" s="295">
        <f>'FREH LGV vkm'!E146*'FREH Stock'!E245</f>
        <v>46206.447268616736</v>
      </c>
      <c r="AL146" s="295">
        <f>'FREH LGV vkm'!F146*'FREH Stock'!F245</f>
        <v>63154.123246569543</v>
      </c>
      <c r="AM146" s="295">
        <f>'FREH LGV vkm'!G146*'FREH Stock'!G245</f>
        <v>61637.261092394219</v>
      </c>
      <c r="AN146" s="295">
        <f>'FREH LGV vkm'!H146*'FREH Stock'!H245</f>
        <v>123989.91124190571</v>
      </c>
      <c r="AO146" s="295">
        <f>'FREH LGV vkm'!I146*'FREH Stock'!I245</f>
        <v>35583.720837878667</v>
      </c>
      <c r="AP146" s="295">
        <f>'FREH LGV vkm'!J146*'FREH Stock'!J245</f>
        <v>11100.317517976167</v>
      </c>
      <c r="AQ146" s="295">
        <f>'FREH LGV vkm'!K146*'FREH Stock'!K245</f>
        <v>128943.05787541227</v>
      </c>
      <c r="AR146" s="295">
        <f>'FREH LGV vkm'!L146*'FREH Stock'!L245</f>
        <v>309627.59757344215</v>
      </c>
      <c r="AS146" s="295">
        <f>'FREH LGV vkm'!M146*'FREH Stock'!M245</f>
        <v>130585.6445999398</v>
      </c>
      <c r="AT146" s="295">
        <f>'FREH LGV vkm'!N146*'FREH Stock'!N245</f>
        <v>186433.5932338764</v>
      </c>
      <c r="AU146" s="295">
        <f>'FREH LGV vkm'!O146*'FREH Stock'!O245</f>
        <v>140441.16494710514</v>
      </c>
      <c r="AV146" s="295">
        <f>'FREH LGV vkm'!P146*'FREH Stock'!P245</f>
        <v>110874.60390560928</v>
      </c>
      <c r="AW146" s="295">
        <f>'FREH LGV vkm'!Q146*'FREH Stock'!Q245</f>
        <v>75362.823882317913</v>
      </c>
      <c r="AX146" s="295">
        <f>'FREH LGV vkm'!R146*'FREH Stock'!R245</f>
        <v>91068.740142601047</v>
      </c>
      <c r="AY146" s="295">
        <f>'FREH LGV vkm'!S146*'FREH Stock'!S245</f>
        <v>0</v>
      </c>
      <c r="AZ146" s="295">
        <f>'FREH LGV vkm'!T146*'FREH Stock'!T245</f>
        <v>0</v>
      </c>
      <c r="BA146" s="295">
        <f>'FREH LGV vkm'!U146*'FREH Stock'!U245</f>
        <v>0</v>
      </c>
      <c r="BB146" s="295">
        <f>'FREH LGV vkm'!V146*'FREH Stock'!V245</f>
        <v>0</v>
      </c>
      <c r="BC146" s="295">
        <f>'FREH LGV vkm'!W146*'FREH Stock'!W245</f>
        <v>0</v>
      </c>
      <c r="BD146" s="295">
        <f>'FREH LGV vkm'!X146*'FREH Stock'!X245</f>
        <v>0</v>
      </c>
      <c r="BE146" s="295">
        <f>'FREH LGV vkm'!Y146*'FREH Stock'!Y245</f>
        <v>0</v>
      </c>
      <c r="BF146" s="295">
        <f>'FREH LGV vkm'!Z146*'FREH Stock'!Z245</f>
        <v>0</v>
      </c>
      <c r="BG146" s="295">
        <f>'FREH LGV vkm'!AA146*'FREH Stock'!AA245</f>
        <v>0</v>
      </c>
      <c r="BH146" s="295">
        <f>'FREH LGV vkm'!AB146*'FREH Stock'!AB245</f>
        <v>0</v>
      </c>
      <c r="BI146" s="295">
        <f>'FREH LGV vkm'!AC146*'FREH Stock'!AC245</f>
        <v>0</v>
      </c>
      <c r="BJ146" s="295">
        <f>'FREH LGV vkm'!AD146*'FREH Stock'!AD245</f>
        <v>0</v>
      </c>
      <c r="BK146" s="296">
        <f>'FREH LGV vkm'!AE146*'FREH Stock'!AE245</f>
        <v>0</v>
      </c>
    </row>
    <row r="147" spans="1:63">
      <c r="A147" s="1711"/>
      <c r="B147" s="116">
        <v>16</v>
      </c>
      <c r="C147" s="294">
        <f t="shared" si="33"/>
        <v>22261.099204425285</v>
      </c>
      <c r="D147" s="295">
        <f t="shared" si="33"/>
        <v>22261.099204425285</v>
      </c>
      <c r="E147" s="295">
        <f t="shared" si="32"/>
        <v>22261.099204425285</v>
      </c>
      <c r="F147" s="295">
        <f t="shared" si="32"/>
        <v>22261.099204425285</v>
      </c>
      <c r="G147" s="295">
        <f t="shared" si="32"/>
        <v>22261.099204425285</v>
      </c>
      <c r="H147" s="295">
        <f t="shared" si="32"/>
        <v>22261.099204425285</v>
      </c>
      <c r="I147" s="295">
        <f t="shared" si="32"/>
        <v>22261.099204425285</v>
      </c>
      <c r="J147" s="295">
        <f t="shared" si="32"/>
        <v>22261.099204425285</v>
      </c>
      <c r="K147" s="295">
        <f t="shared" si="32"/>
        <v>22261.099204425285</v>
      </c>
      <c r="L147" s="295">
        <f t="shared" si="32"/>
        <v>22261.099204425285</v>
      </c>
      <c r="M147" s="295">
        <f t="shared" si="32"/>
        <v>22261.099204425285</v>
      </c>
      <c r="N147" s="295">
        <f t="shared" si="32"/>
        <v>22261.099204425285</v>
      </c>
      <c r="O147" s="295">
        <f t="shared" si="32"/>
        <v>22261.099204425285</v>
      </c>
      <c r="P147" s="295">
        <f t="shared" si="32"/>
        <v>22261.099204425285</v>
      </c>
      <c r="Q147" s="295">
        <f t="shared" ref="E147:AE156" si="34">Q146</f>
        <v>22261.099204425285</v>
      </c>
      <c r="R147" s="295">
        <f t="shared" si="34"/>
        <v>22261.099204425285</v>
      </c>
      <c r="S147" s="295">
        <f t="shared" si="34"/>
        <v>22261.099204425285</v>
      </c>
      <c r="T147" s="295">
        <f t="shared" si="34"/>
        <v>22261.099204425285</v>
      </c>
      <c r="U147" s="295">
        <f t="shared" si="34"/>
        <v>22261.099204425285</v>
      </c>
      <c r="V147" s="295">
        <f t="shared" si="34"/>
        <v>22261.099204425285</v>
      </c>
      <c r="W147" s="295">
        <f t="shared" si="34"/>
        <v>22261.099204425285</v>
      </c>
      <c r="X147" s="295">
        <f t="shared" si="34"/>
        <v>22261.099204425285</v>
      </c>
      <c r="Y147" s="295">
        <f t="shared" si="34"/>
        <v>22261.099204425285</v>
      </c>
      <c r="Z147" s="295">
        <f t="shared" si="34"/>
        <v>22261.099204425285</v>
      </c>
      <c r="AA147" s="295">
        <f t="shared" si="34"/>
        <v>22261.099204425285</v>
      </c>
      <c r="AB147" s="295">
        <f t="shared" si="34"/>
        <v>22261.099204425285</v>
      </c>
      <c r="AC147" s="295">
        <f t="shared" si="34"/>
        <v>22261.099204425285</v>
      </c>
      <c r="AD147" s="295">
        <f t="shared" si="34"/>
        <v>22261.099204425285</v>
      </c>
      <c r="AE147" s="296">
        <f t="shared" si="34"/>
        <v>22261.099204425285</v>
      </c>
      <c r="AG147" s="1711"/>
      <c r="AH147" s="116">
        <v>16</v>
      </c>
      <c r="AI147" s="294">
        <f>'FREH LGV vkm'!C147*'FREH Stock'!C246</f>
        <v>89044.396817701141</v>
      </c>
      <c r="AJ147" s="295">
        <f>'FREH LGV vkm'!D147*'FREH Stock'!D246</f>
        <v>38204.047888715751</v>
      </c>
      <c r="AK147" s="295">
        <f>'FREH LGV vkm'!E147*'FREH Stock'!E246</f>
        <v>23312.004883378988</v>
      </c>
      <c r="AL147" s="295">
        <f>'FREH LGV vkm'!F147*'FREH Stock'!F246</f>
        <v>15859.713916253822</v>
      </c>
      <c r="AM147" s="295">
        <f>'FREH LGV vkm'!G147*'FREH Stock'!G246</f>
        <v>21676.765614540458</v>
      </c>
      <c r="AN147" s="295">
        <f>'FREH LGV vkm'!H147*'FREH Stock'!H246</f>
        <v>21156.12398901664</v>
      </c>
      <c r="AO147" s="295">
        <f>'FREH LGV vkm'!I147*'FREH Stock'!I246</f>
        <v>42557.795222095134</v>
      </c>
      <c r="AP147" s="295">
        <f>'FREH LGV vkm'!J147*'FREH Stock'!J246</f>
        <v>12213.612297085185</v>
      </c>
      <c r="AQ147" s="295">
        <f>'FREH LGV vkm'!K147*'FREH Stock'!K246</f>
        <v>3810.0280506580693</v>
      </c>
      <c r="AR147" s="295">
        <f>'FREH LGV vkm'!L147*'FREH Stock'!L246</f>
        <v>44257.893222185798</v>
      </c>
      <c r="AS147" s="295">
        <f>'FREH LGV vkm'!M147*'FREH Stock'!M246</f>
        <v>106275.32321505759</v>
      </c>
      <c r="AT147" s="295">
        <f>'FREH LGV vkm'!N147*'FREH Stock'!N246</f>
        <v>44821.688040302812</v>
      </c>
      <c r="AU147" s="295">
        <f>'FREH LGV vkm'!O147*'FREH Stock'!O246</f>
        <v>63990.711856281392</v>
      </c>
      <c r="AV147" s="295">
        <f>'FREH LGV vkm'!P147*'FREH Stock'!P246</f>
        <v>48204.456949004925</v>
      </c>
      <c r="AW147" s="295">
        <f>'FREH LGV vkm'!Q147*'FREH Stock'!Q246</f>
        <v>38056.150222898621</v>
      </c>
      <c r="AX147" s="295">
        <f>'FREH LGV vkm'!R147*'FREH Stock'!R246</f>
        <v>25867.230599795137</v>
      </c>
      <c r="AY147" s="295">
        <f>'FREH LGV vkm'!S147*'FREH Stock'!S246</f>
        <v>31258.065719246344</v>
      </c>
      <c r="AZ147" s="295">
        <f>'FREH LGV vkm'!T147*'FREH Stock'!T246</f>
        <v>0</v>
      </c>
      <c r="BA147" s="295">
        <f>'FREH LGV vkm'!U147*'FREH Stock'!U246</f>
        <v>0</v>
      </c>
      <c r="BB147" s="295">
        <f>'FREH LGV vkm'!V147*'FREH Stock'!V246</f>
        <v>0</v>
      </c>
      <c r="BC147" s="295">
        <f>'FREH LGV vkm'!W147*'FREH Stock'!W246</f>
        <v>0</v>
      </c>
      <c r="BD147" s="295">
        <f>'FREH LGV vkm'!X147*'FREH Stock'!X246</f>
        <v>0</v>
      </c>
      <c r="BE147" s="295">
        <f>'FREH LGV vkm'!Y147*'FREH Stock'!Y246</f>
        <v>0</v>
      </c>
      <c r="BF147" s="295">
        <f>'FREH LGV vkm'!Z147*'FREH Stock'!Z246</f>
        <v>0</v>
      </c>
      <c r="BG147" s="295">
        <f>'FREH LGV vkm'!AA147*'FREH Stock'!AA246</f>
        <v>0</v>
      </c>
      <c r="BH147" s="295">
        <f>'FREH LGV vkm'!AB147*'FREH Stock'!AB246</f>
        <v>0</v>
      </c>
      <c r="BI147" s="295">
        <f>'FREH LGV vkm'!AC147*'FREH Stock'!AC246</f>
        <v>0</v>
      </c>
      <c r="BJ147" s="295">
        <f>'FREH LGV vkm'!AD147*'FREH Stock'!AD246</f>
        <v>0</v>
      </c>
      <c r="BK147" s="296">
        <f>'FREH LGV vkm'!AE147*'FREH Stock'!AE246</f>
        <v>0</v>
      </c>
    </row>
    <row r="148" spans="1:63">
      <c r="A148" s="1711"/>
      <c r="B148" s="116">
        <v>17</v>
      </c>
      <c r="C148" s="294">
        <f t="shared" si="33"/>
        <v>22261.099204425285</v>
      </c>
      <c r="D148" s="295">
        <f t="shared" si="33"/>
        <v>22261.099204425285</v>
      </c>
      <c r="E148" s="295">
        <f t="shared" si="34"/>
        <v>22261.099204425285</v>
      </c>
      <c r="F148" s="295">
        <f t="shared" si="34"/>
        <v>22261.099204425285</v>
      </c>
      <c r="G148" s="295">
        <f t="shared" si="34"/>
        <v>22261.099204425285</v>
      </c>
      <c r="H148" s="295">
        <f t="shared" si="34"/>
        <v>22261.099204425285</v>
      </c>
      <c r="I148" s="295">
        <f t="shared" si="34"/>
        <v>22261.099204425285</v>
      </c>
      <c r="J148" s="295">
        <f t="shared" si="34"/>
        <v>22261.099204425285</v>
      </c>
      <c r="K148" s="295">
        <f t="shared" si="34"/>
        <v>22261.099204425285</v>
      </c>
      <c r="L148" s="295">
        <f t="shared" si="34"/>
        <v>22261.099204425285</v>
      </c>
      <c r="M148" s="295">
        <f t="shared" si="34"/>
        <v>22261.099204425285</v>
      </c>
      <c r="N148" s="295">
        <f t="shared" si="34"/>
        <v>22261.099204425285</v>
      </c>
      <c r="O148" s="295">
        <f t="shared" si="34"/>
        <v>22261.099204425285</v>
      </c>
      <c r="P148" s="295">
        <f t="shared" si="34"/>
        <v>22261.099204425285</v>
      </c>
      <c r="Q148" s="295">
        <f t="shared" si="34"/>
        <v>22261.099204425285</v>
      </c>
      <c r="R148" s="295">
        <f t="shared" si="34"/>
        <v>22261.099204425285</v>
      </c>
      <c r="S148" s="295">
        <f t="shared" si="34"/>
        <v>22261.099204425285</v>
      </c>
      <c r="T148" s="295">
        <f t="shared" si="34"/>
        <v>22261.099204425285</v>
      </c>
      <c r="U148" s="295">
        <f t="shared" si="34"/>
        <v>22261.099204425285</v>
      </c>
      <c r="V148" s="295">
        <f t="shared" si="34"/>
        <v>22261.099204425285</v>
      </c>
      <c r="W148" s="295">
        <f t="shared" si="34"/>
        <v>22261.099204425285</v>
      </c>
      <c r="X148" s="295">
        <f t="shared" si="34"/>
        <v>22261.099204425285</v>
      </c>
      <c r="Y148" s="295">
        <f t="shared" si="34"/>
        <v>22261.099204425285</v>
      </c>
      <c r="Z148" s="295">
        <f t="shared" si="34"/>
        <v>22261.099204425285</v>
      </c>
      <c r="AA148" s="295">
        <f t="shared" si="34"/>
        <v>22261.099204425285</v>
      </c>
      <c r="AB148" s="295">
        <f t="shared" si="34"/>
        <v>22261.099204425285</v>
      </c>
      <c r="AC148" s="295">
        <f t="shared" si="34"/>
        <v>22261.099204425285</v>
      </c>
      <c r="AD148" s="295">
        <f t="shared" si="34"/>
        <v>22261.099204425285</v>
      </c>
      <c r="AE148" s="296">
        <f t="shared" si="34"/>
        <v>22261.099204425285</v>
      </c>
      <c r="AG148" s="1711"/>
      <c r="AH148" s="116">
        <v>17</v>
      </c>
      <c r="AI148" s="294">
        <f>'FREH LGV vkm'!C148*'FREH Stock'!C247</f>
        <v>89044.396817701141</v>
      </c>
      <c r="AJ148" s="295">
        <f>'FREH LGV vkm'!D148*'FREH Stock'!D247</f>
        <v>27167.322943086758</v>
      </c>
      <c r="AK148" s="295">
        <f>'FREH LGV vkm'!E148*'FREH Stock'!E247</f>
        <v>11656.002441689494</v>
      </c>
      <c r="AL148" s="295">
        <f>'FREH LGV vkm'!F148*'FREH Stock'!F247</f>
        <v>7112.4606123635813</v>
      </c>
      <c r="AM148" s="295">
        <f>'FREH LGV vkm'!G148*'FREH Stock'!G247</f>
        <v>4838.7768927217094</v>
      </c>
      <c r="AN148" s="295">
        <f>'FREH LGV vkm'!H148*'FREH Stock'!H247</f>
        <v>6613.5513615467789</v>
      </c>
      <c r="AO148" s="295">
        <f>'FREH LGV vkm'!I148*'FREH Stock'!I247</f>
        <v>6454.7043180076244</v>
      </c>
      <c r="AP148" s="295">
        <f>'FREH LGV vkm'!J148*'FREH Stock'!J247</f>
        <v>12984.324762303018</v>
      </c>
      <c r="AQ148" s="295">
        <f>'FREH LGV vkm'!K148*'FREH Stock'!K247</f>
        <v>3726.3563057861957</v>
      </c>
      <c r="AR148" s="295">
        <f>'FREH LGV vkm'!L148*'FREH Stock'!L247</f>
        <v>1162.4343156185057</v>
      </c>
      <c r="AS148" s="295">
        <f>'FREH LGV vkm'!M148*'FREH Stock'!M247</f>
        <v>13503.022322778575</v>
      </c>
      <c r="AT148" s="295">
        <f>'FREH LGV vkm'!N148*'FREH Stock'!N247</f>
        <v>32424.454876990585</v>
      </c>
      <c r="AU148" s="295">
        <f>'FREH LGV vkm'!O148*'FREH Stock'!O247</f>
        <v>13675.035345998685</v>
      </c>
      <c r="AV148" s="295">
        <f>'FREH LGV vkm'!P148*'FREH Stock'!P247</f>
        <v>19523.478135482404</v>
      </c>
      <c r="AW148" s="295">
        <f>'FREH LGV vkm'!Q148*'FREH Stock'!Q247</f>
        <v>14707.113485319342</v>
      </c>
      <c r="AX148" s="295">
        <f>'FREH LGV vkm'!R148*'FREH Stock'!R247</f>
        <v>11610.879067357375</v>
      </c>
      <c r="AY148" s="295">
        <f>'FREH LGV vkm'!S148*'FREH Stock'!S247</f>
        <v>7892.0564624256276</v>
      </c>
      <c r="AZ148" s="295">
        <f>'FREH LGV vkm'!T148*'FREH Stock'!T247</f>
        <v>9536.792839526348</v>
      </c>
      <c r="BA148" s="295">
        <f>'FREH LGV vkm'!U148*'FREH Stock'!U247</f>
        <v>0</v>
      </c>
      <c r="BB148" s="295">
        <f>'FREH LGV vkm'!V148*'FREH Stock'!V247</f>
        <v>0</v>
      </c>
      <c r="BC148" s="295">
        <f>'FREH LGV vkm'!W148*'FREH Stock'!W247</f>
        <v>0</v>
      </c>
      <c r="BD148" s="295">
        <f>'FREH LGV vkm'!X148*'FREH Stock'!X247</f>
        <v>0</v>
      </c>
      <c r="BE148" s="295">
        <f>'FREH LGV vkm'!Y148*'FREH Stock'!Y247</f>
        <v>0</v>
      </c>
      <c r="BF148" s="295">
        <f>'FREH LGV vkm'!Z148*'FREH Stock'!Z247</f>
        <v>0</v>
      </c>
      <c r="BG148" s="295">
        <f>'FREH LGV vkm'!AA148*'FREH Stock'!AA247</f>
        <v>0</v>
      </c>
      <c r="BH148" s="295">
        <f>'FREH LGV vkm'!AB148*'FREH Stock'!AB247</f>
        <v>0</v>
      </c>
      <c r="BI148" s="295">
        <f>'FREH LGV vkm'!AC148*'FREH Stock'!AC247</f>
        <v>0</v>
      </c>
      <c r="BJ148" s="295">
        <f>'FREH LGV vkm'!AD148*'FREH Stock'!AD247</f>
        <v>0</v>
      </c>
      <c r="BK148" s="296">
        <f>'FREH LGV vkm'!AE148*'FREH Stock'!AE247</f>
        <v>0</v>
      </c>
    </row>
    <row r="149" spans="1:63">
      <c r="A149" s="1711"/>
      <c r="B149" s="116">
        <v>18</v>
      </c>
      <c r="C149" s="294">
        <f t="shared" si="33"/>
        <v>22261.099204425285</v>
      </c>
      <c r="D149" s="295">
        <f t="shared" si="33"/>
        <v>22261.099204425285</v>
      </c>
      <c r="E149" s="295">
        <f t="shared" si="34"/>
        <v>22261.099204425285</v>
      </c>
      <c r="F149" s="295">
        <f t="shared" si="34"/>
        <v>22261.099204425285</v>
      </c>
      <c r="G149" s="295">
        <f t="shared" si="34"/>
        <v>22261.099204425285</v>
      </c>
      <c r="H149" s="295">
        <f t="shared" si="34"/>
        <v>22261.099204425285</v>
      </c>
      <c r="I149" s="295">
        <f t="shared" si="34"/>
        <v>22261.099204425285</v>
      </c>
      <c r="J149" s="295">
        <f t="shared" si="34"/>
        <v>22261.099204425285</v>
      </c>
      <c r="K149" s="295">
        <f t="shared" si="34"/>
        <v>22261.099204425285</v>
      </c>
      <c r="L149" s="295">
        <f t="shared" si="34"/>
        <v>22261.099204425285</v>
      </c>
      <c r="M149" s="295">
        <f t="shared" si="34"/>
        <v>22261.099204425285</v>
      </c>
      <c r="N149" s="295">
        <f t="shared" si="34"/>
        <v>22261.099204425285</v>
      </c>
      <c r="O149" s="295">
        <f t="shared" si="34"/>
        <v>22261.099204425285</v>
      </c>
      <c r="P149" s="295">
        <f t="shared" si="34"/>
        <v>22261.099204425285</v>
      </c>
      <c r="Q149" s="295">
        <f t="shared" si="34"/>
        <v>22261.099204425285</v>
      </c>
      <c r="R149" s="295">
        <f t="shared" si="34"/>
        <v>22261.099204425285</v>
      </c>
      <c r="S149" s="295">
        <f t="shared" si="34"/>
        <v>22261.099204425285</v>
      </c>
      <c r="T149" s="295">
        <f t="shared" si="34"/>
        <v>22261.099204425285</v>
      </c>
      <c r="U149" s="295">
        <f t="shared" si="34"/>
        <v>22261.099204425285</v>
      </c>
      <c r="V149" s="295">
        <f t="shared" si="34"/>
        <v>22261.099204425285</v>
      </c>
      <c r="W149" s="295">
        <f t="shared" si="34"/>
        <v>22261.099204425285</v>
      </c>
      <c r="X149" s="295">
        <f t="shared" si="34"/>
        <v>22261.099204425285</v>
      </c>
      <c r="Y149" s="295">
        <f t="shared" si="34"/>
        <v>22261.099204425285</v>
      </c>
      <c r="Z149" s="295">
        <f t="shared" si="34"/>
        <v>22261.099204425285</v>
      </c>
      <c r="AA149" s="295">
        <f t="shared" si="34"/>
        <v>22261.099204425285</v>
      </c>
      <c r="AB149" s="295">
        <f t="shared" si="34"/>
        <v>22261.099204425285</v>
      </c>
      <c r="AC149" s="295">
        <f t="shared" si="34"/>
        <v>22261.099204425285</v>
      </c>
      <c r="AD149" s="295">
        <f t="shared" si="34"/>
        <v>22261.099204425285</v>
      </c>
      <c r="AE149" s="296">
        <f t="shared" si="34"/>
        <v>22261.099204425285</v>
      </c>
      <c r="AG149" s="1711"/>
      <c r="AH149" s="116">
        <v>18</v>
      </c>
      <c r="AI149" s="294">
        <f>'FREH LGV vkm'!C149*'FREH Stock'!C248</f>
        <v>44522.198408850571</v>
      </c>
      <c r="AJ149" s="295">
        <f>'FREH LGV vkm'!D149*'FREH Stock'!D248</f>
        <v>23771.407575200912</v>
      </c>
      <c r="AK149" s="295">
        <f>'FREH LGV vkm'!E149*'FREH Stock'!E248</f>
        <v>7252.623741495684</v>
      </c>
      <c r="AL149" s="295">
        <f>'FREH LGV vkm'!F149*'FREH Stock'!F248</f>
        <v>3111.7015179090668</v>
      </c>
      <c r="AM149" s="295">
        <f>'FREH LGV vkm'!G149*'FREH Stock'!G248</f>
        <v>1898.7517027623646</v>
      </c>
      <c r="AN149" s="295">
        <f>'FREH LGV vkm'!H149*'FREH Stock'!H248</f>
        <v>1291.766150292864</v>
      </c>
      <c r="AO149" s="295">
        <f>'FREH LGV vkm'!I149*'FREH Stock'!I248</f>
        <v>1765.5622425823533</v>
      </c>
      <c r="AP149" s="295">
        <f>'FREH LGV vkm'!J149*'FREH Stock'!J248</f>
        <v>1723.1562299747832</v>
      </c>
      <c r="AQ149" s="295">
        <f>'FREH LGV vkm'!K149*'FREH Stock'!K248</f>
        <v>3466.3121661139835</v>
      </c>
      <c r="AR149" s="295">
        <f>'FREH LGV vkm'!L149*'FREH Stock'!L248</f>
        <v>994.79290871735884</v>
      </c>
      <c r="AS149" s="295">
        <f>'FREH LGV vkm'!M149*'FREH Stock'!M248</f>
        <v>310.32497140206499</v>
      </c>
      <c r="AT149" s="295">
        <f>'FREH LGV vkm'!N149*'FREH Stock'!N248</f>
        <v>3604.7843390859698</v>
      </c>
      <c r="AU149" s="295">
        <f>'FREH LGV vkm'!O149*'FREH Stock'!O248</f>
        <v>8656.0744957669449</v>
      </c>
      <c r="AV149" s="295">
        <f>'FREH LGV vkm'!P149*'FREH Stock'!P248</f>
        <v>3650.7051586921602</v>
      </c>
      <c r="AW149" s="295">
        <f>'FREH LGV vkm'!Q149*'FREH Stock'!Q248</f>
        <v>5212.0130253026446</v>
      </c>
      <c r="AX149" s="295">
        <f>'FREH LGV vkm'!R149*'FREH Stock'!R248</f>
        <v>3926.2300763293051</v>
      </c>
      <c r="AY149" s="295">
        <f>'FREH LGV vkm'!S149*'FREH Stock'!S248</f>
        <v>3099.6553234178728</v>
      </c>
      <c r="AZ149" s="295">
        <f>'FREH LGV vkm'!T149*'FREH Stock'!T248</f>
        <v>2106.8736212442263</v>
      </c>
      <c r="BA149" s="295">
        <f>'FREH LGV vkm'!U149*'FREH Stock'!U248</f>
        <v>2545.9545760387714</v>
      </c>
      <c r="BB149" s="295">
        <f>'FREH LGV vkm'!V149*'FREH Stock'!V248</f>
        <v>0</v>
      </c>
      <c r="BC149" s="295">
        <f>'FREH LGV vkm'!W149*'FREH Stock'!W248</f>
        <v>0</v>
      </c>
      <c r="BD149" s="295">
        <f>'FREH LGV vkm'!X149*'FREH Stock'!X248</f>
        <v>0</v>
      </c>
      <c r="BE149" s="295">
        <f>'FREH LGV vkm'!Y149*'FREH Stock'!Y248</f>
        <v>0</v>
      </c>
      <c r="BF149" s="295">
        <f>'FREH LGV vkm'!Z149*'FREH Stock'!Z248</f>
        <v>0</v>
      </c>
      <c r="BG149" s="295">
        <f>'FREH LGV vkm'!AA149*'FREH Stock'!AA248</f>
        <v>0</v>
      </c>
      <c r="BH149" s="295">
        <f>'FREH LGV vkm'!AB149*'FREH Stock'!AB248</f>
        <v>0</v>
      </c>
      <c r="BI149" s="295">
        <f>'FREH LGV vkm'!AC149*'FREH Stock'!AC248</f>
        <v>0</v>
      </c>
      <c r="BJ149" s="295">
        <f>'FREH LGV vkm'!AD149*'FREH Stock'!AD248</f>
        <v>0</v>
      </c>
      <c r="BK149" s="296">
        <f>'FREH LGV vkm'!AE149*'FREH Stock'!AE248</f>
        <v>0</v>
      </c>
    </row>
    <row r="150" spans="1:63">
      <c r="A150" s="1711"/>
      <c r="B150" s="116">
        <v>19</v>
      </c>
      <c r="C150" s="294">
        <f t="shared" si="33"/>
        <v>22261.099204425285</v>
      </c>
      <c r="D150" s="295">
        <f t="shared" si="33"/>
        <v>22261.099204425285</v>
      </c>
      <c r="E150" s="295">
        <f t="shared" si="34"/>
        <v>22261.099204425285</v>
      </c>
      <c r="F150" s="295">
        <f t="shared" si="34"/>
        <v>22261.099204425285</v>
      </c>
      <c r="G150" s="295">
        <f t="shared" si="34"/>
        <v>22261.099204425285</v>
      </c>
      <c r="H150" s="295">
        <f t="shared" si="34"/>
        <v>22261.099204425285</v>
      </c>
      <c r="I150" s="295">
        <f t="shared" si="34"/>
        <v>22261.099204425285</v>
      </c>
      <c r="J150" s="295">
        <f t="shared" si="34"/>
        <v>22261.099204425285</v>
      </c>
      <c r="K150" s="295">
        <f t="shared" si="34"/>
        <v>22261.099204425285</v>
      </c>
      <c r="L150" s="295">
        <f t="shared" si="34"/>
        <v>22261.099204425285</v>
      </c>
      <c r="M150" s="295">
        <f t="shared" si="34"/>
        <v>22261.099204425285</v>
      </c>
      <c r="N150" s="295">
        <f t="shared" si="34"/>
        <v>22261.099204425285</v>
      </c>
      <c r="O150" s="295">
        <f t="shared" si="34"/>
        <v>22261.099204425285</v>
      </c>
      <c r="P150" s="295">
        <f t="shared" si="34"/>
        <v>22261.099204425285</v>
      </c>
      <c r="Q150" s="295">
        <f t="shared" si="34"/>
        <v>22261.099204425285</v>
      </c>
      <c r="R150" s="295">
        <f t="shared" si="34"/>
        <v>22261.099204425285</v>
      </c>
      <c r="S150" s="295">
        <f t="shared" si="34"/>
        <v>22261.099204425285</v>
      </c>
      <c r="T150" s="295">
        <f t="shared" si="34"/>
        <v>22261.099204425285</v>
      </c>
      <c r="U150" s="295">
        <f t="shared" si="34"/>
        <v>22261.099204425285</v>
      </c>
      <c r="V150" s="295">
        <f t="shared" si="34"/>
        <v>22261.099204425285</v>
      </c>
      <c r="W150" s="295">
        <f t="shared" si="34"/>
        <v>22261.099204425285</v>
      </c>
      <c r="X150" s="295">
        <f t="shared" si="34"/>
        <v>22261.099204425285</v>
      </c>
      <c r="Y150" s="295">
        <f t="shared" si="34"/>
        <v>22261.099204425285</v>
      </c>
      <c r="Z150" s="295">
        <f t="shared" si="34"/>
        <v>22261.099204425285</v>
      </c>
      <c r="AA150" s="295">
        <f t="shared" si="34"/>
        <v>22261.099204425285</v>
      </c>
      <c r="AB150" s="295">
        <f t="shared" si="34"/>
        <v>22261.099204425285</v>
      </c>
      <c r="AC150" s="295">
        <f t="shared" si="34"/>
        <v>22261.099204425285</v>
      </c>
      <c r="AD150" s="295">
        <f t="shared" si="34"/>
        <v>22261.099204425285</v>
      </c>
      <c r="AE150" s="296">
        <f t="shared" si="34"/>
        <v>22261.099204425285</v>
      </c>
      <c r="AG150" s="1711"/>
      <c r="AH150" s="116">
        <v>19</v>
      </c>
      <c r="AI150" s="294">
        <f>'FREH LGV vkm'!C150*'FREH Stock'!C249</f>
        <v>98506.361466566639</v>
      </c>
      <c r="AJ150" s="295">
        <f>'FREH LGV vkm'!D150*'FREH Stock'!D249</f>
        <v>10187.746103657533</v>
      </c>
      <c r="AK150" s="295">
        <f>'FREH LGV vkm'!E150*'FREH Stock'!E249</f>
        <v>5439.4678061217619</v>
      </c>
      <c r="AL150" s="295">
        <f>'FREH LGV vkm'!F150*'FREH Stock'!F249</f>
        <v>1659.5741428848357</v>
      </c>
      <c r="AM150" s="295">
        <f>'FREH LGV vkm'!G150*'FREH Stock'!G249</f>
        <v>712.03188853588665</v>
      </c>
      <c r="AN150" s="295">
        <f>'FREH LGV vkm'!H150*'FREH Stock'!H249</f>
        <v>434.47989885838587</v>
      </c>
      <c r="AO150" s="295">
        <f>'FREH LGV vkm'!I150*'FREH Stock'!I249</f>
        <v>295.58705622826352</v>
      </c>
      <c r="AP150" s="295">
        <f>'FREH LGV vkm'!J150*'FREH Stock'!J249</f>
        <v>404.00295808523163</v>
      </c>
      <c r="AQ150" s="295">
        <f>'FREH LGV vkm'!K150*'FREH Stock'!K249</f>
        <v>394.29944601363223</v>
      </c>
      <c r="AR150" s="295">
        <f>'FREH LGV vkm'!L150*'FREH Stock'!L249</f>
        <v>793.17530415048839</v>
      </c>
      <c r="AS150" s="295">
        <f>'FREH LGV vkm'!M150*'FREH Stock'!M249</f>
        <v>227.63246070339463</v>
      </c>
      <c r="AT150" s="295">
        <f>'FREH LGV vkm'!N150*'FREH Stock'!N249</f>
        <v>71.009791323344572</v>
      </c>
      <c r="AU150" s="295">
        <f>'FREH LGV vkm'!O150*'FREH Stock'!O249</f>
        <v>824.8610562264663</v>
      </c>
      <c r="AV150" s="295">
        <f>'FREH LGV vkm'!P150*'FREH Stock'!P249</f>
        <v>1980.7173133590939</v>
      </c>
      <c r="AW150" s="295">
        <f>'FREH LGV vkm'!Q150*'FREH Stock'!Q249</f>
        <v>835.3688403822174</v>
      </c>
      <c r="AX150" s="295">
        <f>'FREH LGV vkm'!R150*'FREH Stock'!R249</f>
        <v>1192.6335016777571</v>
      </c>
      <c r="AY150" s="295">
        <f>'FREH LGV vkm'!S150*'FREH Stock'!S249</f>
        <v>898.41554531672455</v>
      </c>
      <c r="AZ150" s="295">
        <f>'FREH LGV vkm'!T150*'FREH Stock'!T249</f>
        <v>709.27543051320367</v>
      </c>
      <c r="BA150" s="295">
        <f>'FREH LGV vkm'!U150*'FREH Stock'!U249</f>
        <v>482.10318207159361</v>
      </c>
      <c r="BB150" s="295">
        <f>'FREH LGV vkm'!V150*'FREH Stock'!V249</f>
        <v>582.57542841756731</v>
      </c>
      <c r="BC150" s="295">
        <f>'FREH LGV vkm'!W150*'FREH Stock'!W249</f>
        <v>0</v>
      </c>
      <c r="BD150" s="295">
        <f>'FREH LGV vkm'!X150*'FREH Stock'!X249</f>
        <v>0</v>
      </c>
      <c r="BE150" s="295">
        <f>'FREH LGV vkm'!Y150*'FREH Stock'!Y249</f>
        <v>0</v>
      </c>
      <c r="BF150" s="295">
        <f>'FREH LGV vkm'!Z150*'FREH Stock'!Z249</f>
        <v>0</v>
      </c>
      <c r="BG150" s="295">
        <f>'FREH LGV vkm'!AA150*'FREH Stock'!AA249</f>
        <v>0</v>
      </c>
      <c r="BH150" s="295">
        <f>'FREH LGV vkm'!AB150*'FREH Stock'!AB249</f>
        <v>0</v>
      </c>
      <c r="BI150" s="295">
        <f>'FREH LGV vkm'!AC150*'FREH Stock'!AC249</f>
        <v>0</v>
      </c>
      <c r="BJ150" s="295">
        <f>'FREH LGV vkm'!AD150*'FREH Stock'!AD249</f>
        <v>0</v>
      </c>
      <c r="BK150" s="296">
        <f>'FREH LGV vkm'!AE150*'FREH Stock'!AE249</f>
        <v>0</v>
      </c>
    </row>
    <row r="151" spans="1:63">
      <c r="A151" s="1711"/>
      <c r="B151" s="116">
        <v>20</v>
      </c>
      <c r="C151" s="294">
        <f t="shared" si="33"/>
        <v>22261.099204425285</v>
      </c>
      <c r="D151" s="295">
        <f t="shared" si="33"/>
        <v>22261.099204425285</v>
      </c>
      <c r="E151" s="295">
        <f t="shared" si="34"/>
        <v>22261.099204425285</v>
      </c>
      <c r="F151" s="295">
        <f t="shared" si="34"/>
        <v>22261.099204425285</v>
      </c>
      <c r="G151" s="295">
        <f t="shared" si="34"/>
        <v>22261.099204425285</v>
      </c>
      <c r="H151" s="295">
        <f t="shared" si="34"/>
        <v>22261.099204425285</v>
      </c>
      <c r="I151" s="295">
        <f t="shared" si="34"/>
        <v>22261.099204425285</v>
      </c>
      <c r="J151" s="295">
        <f t="shared" si="34"/>
        <v>22261.099204425285</v>
      </c>
      <c r="K151" s="295">
        <f t="shared" si="34"/>
        <v>22261.099204425285</v>
      </c>
      <c r="L151" s="295">
        <f t="shared" si="34"/>
        <v>22261.099204425285</v>
      </c>
      <c r="M151" s="295">
        <f t="shared" si="34"/>
        <v>22261.099204425285</v>
      </c>
      <c r="N151" s="295">
        <f t="shared" si="34"/>
        <v>22261.099204425285</v>
      </c>
      <c r="O151" s="295">
        <f t="shared" si="34"/>
        <v>22261.099204425285</v>
      </c>
      <c r="P151" s="295">
        <f t="shared" si="34"/>
        <v>22261.099204425285</v>
      </c>
      <c r="Q151" s="295">
        <f t="shared" si="34"/>
        <v>22261.099204425285</v>
      </c>
      <c r="R151" s="295">
        <f t="shared" si="34"/>
        <v>22261.099204425285</v>
      </c>
      <c r="S151" s="295">
        <f t="shared" si="34"/>
        <v>22261.099204425285</v>
      </c>
      <c r="T151" s="295">
        <f t="shared" si="34"/>
        <v>22261.099204425285</v>
      </c>
      <c r="U151" s="295">
        <f t="shared" si="34"/>
        <v>22261.099204425285</v>
      </c>
      <c r="V151" s="295">
        <f t="shared" si="34"/>
        <v>22261.099204425285</v>
      </c>
      <c r="W151" s="295">
        <f t="shared" si="34"/>
        <v>22261.099204425285</v>
      </c>
      <c r="X151" s="295">
        <f t="shared" si="34"/>
        <v>22261.099204425285</v>
      </c>
      <c r="Y151" s="295">
        <f t="shared" si="34"/>
        <v>22261.099204425285</v>
      </c>
      <c r="Z151" s="295">
        <f t="shared" si="34"/>
        <v>22261.099204425285</v>
      </c>
      <c r="AA151" s="295">
        <f t="shared" si="34"/>
        <v>22261.099204425285</v>
      </c>
      <c r="AB151" s="295">
        <f t="shared" si="34"/>
        <v>22261.099204425285</v>
      </c>
      <c r="AC151" s="295">
        <f t="shared" si="34"/>
        <v>22261.099204425285</v>
      </c>
      <c r="AD151" s="295">
        <f t="shared" si="34"/>
        <v>22261.099204425285</v>
      </c>
      <c r="AE151" s="296">
        <f t="shared" si="34"/>
        <v>22261.099204425285</v>
      </c>
      <c r="AG151" s="1711"/>
      <c r="AH151" s="116">
        <v>20</v>
      </c>
      <c r="AI151" s="294">
        <f>'FREH LGV vkm'!C151*'FREH Stock'!C250</f>
        <v>36238.465208152636</v>
      </c>
      <c r="AJ151" s="295">
        <f>'FREH LGV vkm'!D151*'FREH Stock'!D250</f>
        <v>18783.847086060134</v>
      </c>
      <c r="AK151" s="295">
        <f>'FREH LGV vkm'!E151*'FREH Stock'!E250</f>
        <v>1942.6670736149149</v>
      </c>
      <c r="AL151" s="295">
        <f>'FREH LGV vkm'!F151*'FREH Stock'!F250</f>
        <v>1037.2338393030218</v>
      </c>
      <c r="AM151" s="295">
        <f>'FREH LGV vkm'!G151*'FREH Stock'!G250</f>
        <v>316.45861712706079</v>
      </c>
      <c r="AN151" s="295">
        <f>'FREH LGV vkm'!H151*'FREH Stock'!H250</f>
        <v>135.77496839324559</v>
      </c>
      <c r="AO151" s="295">
        <f>'FREH LGV vkm'!I151*'FREH Stock'!I250</f>
        <v>82.849512058089061</v>
      </c>
      <c r="AP151" s="295">
        <f>'FREH LGV vkm'!J151*'FREH Stock'!J250</f>
        <v>56.364502577783412</v>
      </c>
      <c r="AQ151" s="295">
        <f>'FREH LGV vkm'!K151*'FREH Stock'!K250</f>
        <v>77.037966624770633</v>
      </c>
      <c r="AR151" s="295">
        <f>'FREH LGV vkm'!L151*'FREH Stock'!L250</f>
        <v>75.187636511699466</v>
      </c>
      <c r="AS151" s="295">
        <f>'FREH LGV vkm'!M151*'FREH Stock'!M250</f>
        <v>151.2479336744027</v>
      </c>
      <c r="AT151" s="295">
        <f>'FREH LGV vkm'!N151*'FREH Stock'!N250</f>
        <v>43.406469085018237</v>
      </c>
      <c r="AU151" s="295">
        <f>'FREH LGV vkm'!O151*'FREH Stock'!O250</f>
        <v>13.540618514099238</v>
      </c>
      <c r="AV151" s="295">
        <f>'FREH LGV vkm'!P151*'FREH Stock'!P250</f>
        <v>157.28998327344294</v>
      </c>
      <c r="AW151" s="295">
        <f>'FREH LGV vkm'!Q151*'FREH Stock'!Q250</f>
        <v>377.69632926170692</v>
      </c>
      <c r="AX151" s="295">
        <f>'FREH LGV vkm'!R151*'FREH Stock'!R250</f>
        <v>159.29367732788174</v>
      </c>
      <c r="AY151" s="295">
        <f>'FREH LGV vkm'!S151*'FREH Stock'!S250</f>
        <v>227.41927517879969</v>
      </c>
      <c r="AZ151" s="295">
        <f>'FREH LGV vkm'!T151*'FREH Stock'!T250</f>
        <v>171.31584165451434</v>
      </c>
      <c r="BA151" s="295">
        <f>'FREH LGV vkm'!U151*'FREH Stock'!U250</f>
        <v>135.24934867461658</v>
      </c>
      <c r="BB151" s="295">
        <f>'FREH LGV vkm'!V151*'FREH Stock'!V250</f>
        <v>91.930635919481929</v>
      </c>
      <c r="BC151" s="295">
        <f>'FREH LGV vkm'!W151*'FREH Stock'!W250</f>
        <v>111.08935098781053</v>
      </c>
      <c r="BD151" s="295">
        <f>'FREH LGV vkm'!X151*'FREH Stock'!X250</f>
        <v>0</v>
      </c>
      <c r="BE151" s="295">
        <f>'FREH LGV vkm'!Y151*'FREH Stock'!Y250</f>
        <v>0</v>
      </c>
      <c r="BF151" s="295">
        <f>'FREH LGV vkm'!Z151*'FREH Stock'!Z250</f>
        <v>0</v>
      </c>
      <c r="BG151" s="295">
        <f>'FREH LGV vkm'!AA151*'FREH Stock'!AA250</f>
        <v>0</v>
      </c>
      <c r="BH151" s="295">
        <f>'FREH LGV vkm'!AB151*'FREH Stock'!AB250</f>
        <v>0</v>
      </c>
      <c r="BI151" s="295">
        <f>'FREH LGV vkm'!AC151*'FREH Stock'!AC250</f>
        <v>0</v>
      </c>
      <c r="BJ151" s="295">
        <f>'FREH LGV vkm'!AD151*'FREH Stock'!AD250</f>
        <v>0</v>
      </c>
      <c r="BK151" s="296">
        <f>'FREH LGV vkm'!AE151*'FREH Stock'!AE250</f>
        <v>0</v>
      </c>
    </row>
    <row r="152" spans="1:63">
      <c r="A152" s="1711"/>
      <c r="B152" s="116">
        <v>21</v>
      </c>
      <c r="C152" s="294">
        <f t="shared" si="33"/>
        <v>22261.099204425285</v>
      </c>
      <c r="D152" s="295">
        <f t="shared" si="33"/>
        <v>22261.099204425285</v>
      </c>
      <c r="E152" s="295">
        <f t="shared" si="34"/>
        <v>22261.099204425285</v>
      </c>
      <c r="F152" s="295">
        <f t="shared" si="34"/>
        <v>22261.099204425285</v>
      </c>
      <c r="G152" s="295">
        <f t="shared" si="34"/>
        <v>22261.099204425285</v>
      </c>
      <c r="H152" s="295">
        <f t="shared" si="34"/>
        <v>22261.099204425285</v>
      </c>
      <c r="I152" s="295">
        <f t="shared" si="34"/>
        <v>22261.099204425285</v>
      </c>
      <c r="J152" s="295">
        <f t="shared" si="34"/>
        <v>22261.099204425285</v>
      </c>
      <c r="K152" s="295">
        <f t="shared" si="34"/>
        <v>22261.099204425285</v>
      </c>
      <c r="L152" s="295">
        <f t="shared" si="34"/>
        <v>22261.099204425285</v>
      </c>
      <c r="M152" s="295">
        <f t="shared" si="34"/>
        <v>22261.099204425285</v>
      </c>
      <c r="N152" s="295">
        <f t="shared" si="34"/>
        <v>22261.099204425285</v>
      </c>
      <c r="O152" s="295">
        <f t="shared" si="34"/>
        <v>22261.099204425285</v>
      </c>
      <c r="P152" s="295">
        <f t="shared" si="34"/>
        <v>22261.099204425285</v>
      </c>
      <c r="Q152" s="295">
        <f t="shared" si="34"/>
        <v>22261.099204425285</v>
      </c>
      <c r="R152" s="295">
        <f t="shared" si="34"/>
        <v>22261.099204425285</v>
      </c>
      <c r="S152" s="295">
        <f t="shared" si="34"/>
        <v>22261.099204425285</v>
      </c>
      <c r="T152" s="295">
        <f t="shared" si="34"/>
        <v>22261.099204425285</v>
      </c>
      <c r="U152" s="295">
        <f t="shared" si="34"/>
        <v>22261.099204425285</v>
      </c>
      <c r="V152" s="295">
        <f t="shared" si="34"/>
        <v>22261.099204425285</v>
      </c>
      <c r="W152" s="295">
        <f t="shared" si="34"/>
        <v>22261.099204425285</v>
      </c>
      <c r="X152" s="295">
        <f t="shared" si="34"/>
        <v>22261.099204425285</v>
      </c>
      <c r="Y152" s="295">
        <f t="shared" si="34"/>
        <v>22261.099204425285</v>
      </c>
      <c r="Z152" s="295">
        <f t="shared" si="34"/>
        <v>22261.099204425285</v>
      </c>
      <c r="AA152" s="295">
        <f t="shared" si="34"/>
        <v>22261.099204425285</v>
      </c>
      <c r="AB152" s="295">
        <f t="shared" si="34"/>
        <v>22261.099204425285</v>
      </c>
      <c r="AC152" s="295">
        <f t="shared" si="34"/>
        <v>22261.099204425285</v>
      </c>
      <c r="AD152" s="295">
        <f t="shared" si="34"/>
        <v>22261.099204425285</v>
      </c>
      <c r="AE152" s="296">
        <f t="shared" si="34"/>
        <v>22261.099204425285</v>
      </c>
      <c r="AG152" s="1711"/>
      <c r="AH152" s="116">
        <v>21</v>
      </c>
      <c r="AI152" s="294">
        <f>'FREH LGV vkm'!C152*'FREH Stock'!C251</f>
        <v>13331.386329685947</v>
      </c>
      <c r="AJ152" s="295">
        <f>'FREH LGV vkm'!D152*'FREH Stock'!D251</f>
        <v>5528.1529352557009</v>
      </c>
      <c r="AK152" s="295">
        <f>'FREH LGV vkm'!E152*'FREH Stock'!E251</f>
        <v>2865.462949596345</v>
      </c>
      <c r="AL152" s="295">
        <f>'FREH LGV vkm'!F152*'FREH Stock'!F251</f>
        <v>296.35252551514901</v>
      </c>
      <c r="AM152" s="295">
        <f>'FREH LGV vkm'!G152*'FREH Stock'!G251</f>
        <v>158.22930856353028</v>
      </c>
      <c r="AN152" s="295">
        <f>'FREH LGV vkm'!H152*'FREH Stock'!H251</f>
        <v>48.275544317598424</v>
      </c>
      <c r="AO152" s="295">
        <f>'FREH LGV vkm'!I152*'FREH Stock'!I251</f>
        <v>20.712378014522262</v>
      </c>
      <c r="AP152" s="295">
        <f>'FREH LGV vkm'!J152*'FREH Stock'!J251</f>
        <v>12.638636063576707</v>
      </c>
      <c r="AQ152" s="295">
        <f>'FREH LGV vkm'!K152*'FREH Stock'!K251</f>
        <v>8.5983660891770199</v>
      </c>
      <c r="AR152" s="295">
        <f>'FREH LGV vkm'!L152*'FREH Stock'!L251</f>
        <v>11.752088806096733</v>
      </c>
      <c r="AS152" s="295">
        <f>'FREH LGV vkm'!M152*'FREH Stock'!M251</f>
        <v>11.469822220384234</v>
      </c>
      <c r="AT152" s="295">
        <f>'FREH LGV vkm'!N152*'FREH Stock'!N251</f>
        <v>23.07276822268414</v>
      </c>
      <c r="AU152" s="295">
        <f>'FREH LGV vkm'!O152*'FREH Stock'!O251</f>
        <v>6.6216269950485014</v>
      </c>
      <c r="AV152" s="295">
        <f>'FREH LGV vkm'!P152*'FREH Stock'!P251</f>
        <v>2.0656120383115786</v>
      </c>
      <c r="AW152" s="295">
        <f>'FREH LGV vkm'!Q152*'FREH Stock'!Q251</f>
        <v>23.99447873205694</v>
      </c>
      <c r="AX152" s="295">
        <f>'FREH LGV vkm'!R152*'FREH Stock'!R251</f>
        <v>57.617315171881948</v>
      </c>
      <c r="AY152" s="295">
        <f>'FREH LGV vkm'!S152*'FREH Stock'!S251</f>
        <v>24.300140881509893</v>
      </c>
      <c r="AZ152" s="295">
        <f>'FREH LGV vkm'!T152*'FREH Stock'!T251</f>
        <v>34.692653962910356</v>
      </c>
      <c r="BA152" s="295">
        <f>'FREH LGV vkm'!U152*'FREH Stock'!U251</f>
        <v>26.134113778227629</v>
      </c>
      <c r="BB152" s="295">
        <f>'FREH LGV vkm'!V152*'FREH Stock'!V251</f>
        <v>20.632195088074443</v>
      </c>
      <c r="BC152" s="295">
        <f>'FREH LGV vkm'!W152*'FREH Stock'!W251</f>
        <v>14.023955260772883</v>
      </c>
      <c r="BD152" s="295">
        <f>'FREH LGV vkm'!X152*'FREH Stock'!X251</f>
        <v>16.946604063153206</v>
      </c>
      <c r="BE152" s="295">
        <f>'FREH LGV vkm'!Y152*'FREH Stock'!Y251</f>
        <v>0</v>
      </c>
      <c r="BF152" s="295">
        <f>'FREH LGV vkm'!Z152*'FREH Stock'!Z251</f>
        <v>0</v>
      </c>
      <c r="BG152" s="295">
        <f>'FREH LGV vkm'!AA152*'FREH Stock'!AA251</f>
        <v>0</v>
      </c>
      <c r="BH152" s="295">
        <f>'FREH LGV vkm'!AB152*'FREH Stock'!AB251</f>
        <v>0</v>
      </c>
      <c r="BI152" s="295">
        <f>'FREH LGV vkm'!AC152*'FREH Stock'!AC251</f>
        <v>0</v>
      </c>
      <c r="BJ152" s="295">
        <f>'FREH LGV vkm'!AD152*'FREH Stock'!AD251</f>
        <v>0</v>
      </c>
      <c r="BK152" s="296">
        <f>'FREH LGV vkm'!AE152*'FREH Stock'!AE251</f>
        <v>0</v>
      </c>
    </row>
    <row r="153" spans="1:63">
      <c r="A153" s="1711"/>
      <c r="B153" s="116">
        <v>22</v>
      </c>
      <c r="C153" s="294">
        <f t="shared" si="33"/>
        <v>22261.099204425285</v>
      </c>
      <c r="D153" s="295">
        <f t="shared" si="33"/>
        <v>22261.099204425285</v>
      </c>
      <c r="E153" s="295">
        <f t="shared" si="34"/>
        <v>22261.099204425285</v>
      </c>
      <c r="F153" s="295">
        <f t="shared" si="34"/>
        <v>22261.099204425285</v>
      </c>
      <c r="G153" s="295">
        <f t="shared" si="34"/>
        <v>22261.099204425285</v>
      </c>
      <c r="H153" s="295">
        <f t="shared" si="34"/>
        <v>22261.099204425285</v>
      </c>
      <c r="I153" s="295">
        <f t="shared" si="34"/>
        <v>22261.099204425285</v>
      </c>
      <c r="J153" s="295">
        <f t="shared" si="34"/>
        <v>22261.099204425285</v>
      </c>
      <c r="K153" s="295">
        <f t="shared" si="34"/>
        <v>22261.099204425285</v>
      </c>
      <c r="L153" s="295">
        <f t="shared" si="34"/>
        <v>22261.099204425285</v>
      </c>
      <c r="M153" s="295">
        <f t="shared" si="34"/>
        <v>22261.099204425285</v>
      </c>
      <c r="N153" s="295">
        <f t="shared" si="34"/>
        <v>22261.099204425285</v>
      </c>
      <c r="O153" s="295">
        <f t="shared" si="34"/>
        <v>22261.099204425285</v>
      </c>
      <c r="P153" s="295">
        <f t="shared" si="34"/>
        <v>22261.099204425285</v>
      </c>
      <c r="Q153" s="295">
        <f t="shared" si="34"/>
        <v>22261.099204425285</v>
      </c>
      <c r="R153" s="295">
        <f t="shared" si="34"/>
        <v>22261.099204425285</v>
      </c>
      <c r="S153" s="295">
        <f t="shared" si="34"/>
        <v>22261.099204425285</v>
      </c>
      <c r="T153" s="295">
        <f t="shared" si="34"/>
        <v>22261.099204425285</v>
      </c>
      <c r="U153" s="295">
        <f t="shared" si="34"/>
        <v>22261.099204425285</v>
      </c>
      <c r="V153" s="295">
        <f t="shared" si="34"/>
        <v>22261.099204425285</v>
      </c>
      <c r="W153" s="295">
        <f t="shared" si="34"/>
        <v>22261.099204425285</v>
      </c>
      <c r="X153" s="295">
        <f t="shared" si="34"/>
        <v>22261.099204425285</v>
      </c>
      <c r="Y153" s="295">
        <f t="shared" si="34"/>
        <v>22261.099204425285</v>
      </c>
      <c r="Z153" s="295">
        <f t="shared" si="34"/>
        <v>22261.099204425285</v>
      </c>
      <c r="AA153" s="295">
        <f t="shared" si="34"/>
        <v>22261.099204425285</v>
      </c>
      <c r="AB153" s="295">
        <f t="shared" si="34"/>
        <v>22261.099204425285</v>
      </c>
      <c r="AC153" s="295">
        <f t="shared" si="34"/>
        <v>22261.099204425285</v>
      </c>
      <c r="AD153" s="295">
        <f t="shared" si="34"/>
        <v>22261.099204425285</v>
      </c>
      <c r="AE153" s="296">
        <f t="shared" si="34"/>
        <v>22261.099204425285</v>
      </c>
      <c r="AG153" s="1711"/>
      <c r="AH153" s="116">
        <v>22</v>
      </c>
      <c r="AI153" s="294">
        <f>'FREH LGV vkm'!C153*'FREH Stock'!C252</f>
        <v>4904.3429530054718</v>
      </c>
      <c r="AJ153" s="295">
        <f>'FREH LGV vkm'!D153*'FREH Stock'!D252</f>
        <v>1525.2703593991018</v>
      </c>
      <c r="AK153" s="295">
        <f>'FREH LGV vkm'!E153*'FREH Stock'!E252</f>
        <v>632.4869451569856</v>
      </c>
      <c r="AL153" s="295">
        <f>'FREH LGV vkm'!F153*'FREH Stock'!F252</f>
        <v>327.84330113090249</v>
      </c>
      <c r="AM153" s="295">
        <f>'FREH LGV vkm'!G153*'FREH Stock'!G252</f>
        <v>33.906280406470763</v>
      </c>
      <c r="AN153" s="295">
        <f>'FREH LGV vkm'!H153*'FREH Stock'!H252</f>
        <v>18.103329119099396</v>
      </c>
      <c r="AO153" s="295">
        <f>'FREH LGV vkm'!I153*'FREH Stock'!I252</f>
        <v>5.5233008038726021</v>
      </c>
      <c r="AP153" s="295">
        <f>'FREH LGV vkm'!J153*'FREH Stock'!J252</f>
        <v>2.3697442619206317</v>
      </c>
      <c r="AQ153" s="295">
        <f>'FREH LGV vkm'!K153*'FREH Stock'!K252</f>
        <v>1.4460114270396525</v>
      </c>
      <c r="AR153" s="295">
        <f>'FREH LGV vkm'!L153*'FREH Stock'!L252</f>
        <v>0.98375612338833429</v>
      </c>
      <c r="AS153" s="295">
        <f>'FREH LGV vkm'!M153*'FREH Stock'!M252</f>
        <v>1.3445797964049844</v>
      </c>
      <c r="AT153" s="295">
        <f>'FREH LGV vkm'!N153*'FREH Stock'!N252</f>
        <v>1.312285116317786</v>
      </c>
      <c r="AU153" s="295">
        <f>'FREH LGV vkm'!O153*'FREH Stock'!O252</f>
        <v>2.6398011886416199</v>
      </c>
      <c r="AV153" s="295">
        <f>'FREH LGV vkm'!P153*'FREH Stock'!P252</f>
        <v>0.7575934817862523</v>
      </c>
      <c r="AW153" s="295">
        <f>'FREH LGV vkm'!Q153*'FREH Stock'!Q252</f>
        <v>0.23633077146964901</v>
      </c>
      <c r="AX153" s="295">
        <f>'FREH LGV vkm'!R153*'FREH Stock'!R252</f>
        <v>2.7452559166891048</v>
      </c>
      <c r="AY153" s="295">
        <f>'FREH LGV vkm'!S153*'FREH Stock'!S252</f>
        <v>6.5921113413489962</v>
      </c>
      <c r="AZ153" s="295">
        <f>'FREH LGV vkm'!T153*'FREH Stock'!T252</f>
        <v>2.780227329640558</v>
      </c>
      <c r="BA153" s="295">
        <f>'FREH LGV vkm'!U153*'FREH Stock'!U252</f>
        <v>3.9692553699899795</v>
      </c>
      <c r="BB153" s="295">
        <f>'FREH LGV vkm'!V153*'FREH Stock'!V252</f>
        <v>2.9900558073492802</v>
      </c>
      <c r="BC153" s="295">
        <f>'FREH LGV vkm'!W153*'FREH Stock'!W252</f>
        <v>2.3605703742231161</v>
      </c>
      <c r="BD153" s="295">
        <f>'FREH LGV vkm'!X153*'FREH Stock'!X252</f>
        <v>1.6045085448588809</v>
      </c>
      <c r="BE153" s="295">
        <f>'FREH LGV vkm'!Y153*'FREH Stock'!Y252</f>
        <v>1.9388945928633128</v>
      </c>
      <c r="BF153" s="295">
        <f>'FREH LGV vkm'!Z153*'FREH Stock'!Z252</f>
        <v>0</v>
      </c>
      <c r="BG153" s="295">
        <f>'FREH LGV vkm'!AA153*'FREH Stock'!AA252</f>
        <v>0</v>
      </c>
      <c r="BH153" s="295">
        <f>'FREH LGV vkm'!AB153*'FREH Stock'!AB252</f>
        <v>0</v>
      </c>
      <c r="BI153" s="295">
        <f>'FREH LGV vkm'!AC153*'FREH Stock'!AC252</f>
        <v>0</v>
      </c>
      <c r="BJ153" s="295">
        <f>'FREH LGV vkm'!AD153*'FREH Stock'!AD252</f>
        <v>0</v>
      </c>
      <c r="BK153" s="296">
        <f>'FREH LGV vkm'!AE153*'FREH Stock'!AE252</f>
        <v>0</v>
      </c>
    </row>
    <row r="154" spans="1:63">
      <c r="A154" s="1711"/>
      <c r="B154" s="116">
        <v>23</v>
      </c>
      <c r="C154" s="294">
        <f t="shared" si="33"/>
        <v>22261.099204425285</v>
      </c>
      <c r="D154" s="295">
        <f t="shared" si="33"/>
        <v>22261.099204425285</v>
      </c>
      <c r="E154" s="295">
        <f t="shared" si="34"/>
        <v>22261.099204425285</v>
      </c>
      <c r="F154" s="295">
        <f t="shared" si="34"/>
        <v>22261.099204425285</v>
      </c>
      <c r="G154" s="295">
        <f t="shared" si="34"/>
        <v>22261.099204425285</v>
      </c>
      <c r="H154" s="295">
        <f t="shared" si="34"/>
        <v>22261.099204425285</v>
      </c>
      <c r="I154" s="295">
        <f t="shared" si="34"/>
        <v>22261.099204425285</v>
      </c>
      <c r="J154" s="295">
        <f t="shared" si="34"/>
        <v>22261.099204425285</v>
      </c>
      <c r="K154" s="295">
        <f t="shared" si="34"/>
        <v>22261.099204425285</v>
      </c>
      <c r="L154" s="295">
        <f t="shared" si="34"/>
        <v>22261.099204425285</v>
      </c>
      <c r="M154" s="295">
        <f t="shared" si="34"/>
        <v>22261.099204425285</v>
      </c>
      <c r="N154" s="295">
        <f t="shared" si="34"/>
        <v>22261.099204425285</v>
      </c>
      <c r="O154" s="295">
        <f t="shared" si="34"/>
        <v>22261.099204425285</v>
      </c>
      <c r="P154" s="295">
        <f t="shared" si="34"/>
        <v>22261.099204425285</v>
      </c>
      <c r="Q154" s="295">
        <f t="shared" si="34"/>
        <v>22261.099204425285</v>
      </c>
      <c r="R154" s="295">
        <f t="shared" si="34"/>
        <v>22261.099204425285</v>
      </c>
      <c r="S154" s="295">
        <f t="shared" si="34"/>
        <v>22261.099204425285</v>
      </c>
      <c r="T154" s="295">
        <f t="shared" si="34"/>
        <v>22261.099204425285</v>
      </c>
      <c r="U154" s="295">
        <f t="shared" si="34"/>
        <v>22261.099204425285</v>
      </c>
      <c r="V154" s="295">
        <f t="shared" si="34"/>
        <v>22261.099204425285</v>
      </c>
      <c r="W154" s="295">
        <f t="shared" si="34"/>
        <v>22261.099204425285</v>
      </c>
      <c r="X154" s="295">
        <f t="shared" si="34"/>
        <v>22261.099204425285</v>
      </c>
      <c r="Y154" s="295">
        <f t="shared" si="34"/>
        <v>22261.099204425285</v>
      </c>
      <c r="Z154" s="295">
        <f t="shared" si="34"/>
        <v>22261.099204425285</v>
      </c>
      <c r="AA154" s="295">
        <f t="shared" si="34"/>
        <v>22261.099204425285</v>
      </c>
      <c r="AB154" s="295">
        <f t="shared" si="34"/>
        <v>22261.099204425285</v>
      </c>
      <c r="AC154" s="295">
        <f t="shared" si="34"/>
        <v>22261.099204425285</v>
      </c>
      <c r="AD154" s="295">
        <f t="shared" si="34"/>
        <v>22261.099204425285</v>
      </c>
      <c r="AE154" s="296">
        <f t="shared" si="34"/>
        <v>22261.099204425285</v>
      </c>
      <c r="AG154" s="1711"/>
      <c r="AH154" s="116">
        <v>23</v>
      </c>
      <c r="AI154" s="294">
        <f>'FREH LGV vkm'!C154*'FREH Stock'!C253</f>
        <v>1804.2069448647542</v>
      </c>
      <c r="AJ154" s="295">
        <f>'FREH LGV vkm'!D154*'FREH Stock'!D253</f>
        <v>374.07707163407093</v>
      </c>
      <c r="AK154" s="295">
        <f>'FREH LGV vkm'!E154*'FREH Stock'!E253</f>
        <v>116.33947196629224</v>
      </c>
      <c r="AL154" s="295">
        <f>'FREH LGV vkm'!F154*'FREH Stock'!F253</f>
        <v>48.242724164734902</v>
      </c>
      <c r="AM154" s="295">
        <f>'FREH LGV vkm'!G154*'FREH Stock'!G253</f>
        <v>25.00613501483204</v>
      </c>
      <c r="AN154" s="295">
        <f>'FREH LGV vkm'!H154*'FREH Stock'!H253</f>
        <v>2.5861898741570548</v>
      </c>
      <c r="AO154" s="295">
        <f>'FREH LGV vkm'!I154*'FREH Stock'!I253</f>
        <v>1.380825200968149</v>
      </c>
      <c r="AP154" s="295">
        <f>'FREH LGV vkm'!J154*'FREH Stock'!J253</f>
        <v>0.42128786878588986</v>
      </c>
      <c r="AQ154" s="295">
        <f>'FREH LGV vkm'!K154*'FREH Stock'!K253</f>
        <v>0.18075142837995645</v>
      </c>
      <c r="AR154" s="295">
        <f>'FREH LGV vkm'!L154*'FREH Stock'!L253</f>
        <v>0.11029402416584909</v>
      </c>
      <c r="AS154" s="295">
        <f>'FREH LGV vkm'!M154*'FREH Stock'!M253</f>
        <v>7.5035659896842299E-2</v>
      </c>
      <c r="AT154" s="295">
        <f>'FREH LGV vkm'!N154*'FREH Stock'!N253</f>
        <v>0.10255736143192812</v>
      </c>
      <c r="AU154" s="295">
        <f>'FREH LGV vkm'!O154*'FREH Stock'!O253</f>
        <v>0.10009409581772896</v>
      </c>
      <c r="AV154" s="295">
        <f>'FREH LGV vkm'!P154*'FREH Stock'!P253</f>
        <v>0.20134992756533174</v>
      </c>
      <c r="AW154" s="295">
        <f>'FREH LGV vkm'!Q154*'FREH Stock'!Q253</f>
        <v>5.7785182209166133E-2</v>
      </c>
      <c r="AX154" s="295">
        <f>'FREH LGV vkm'!R154*'FREH Stock'!R253</f>
        <v>1.8026048295462362E-2</v>
      </c>
      <c r="AY154" s="295">
        <f>'FREH LGV vkm'!S154*'FREH Stock'!S253</f>
        <v>0.20939345067045956</v>
      </c>
      <c r="AZ154" s="295">
        <f>'FREH LGV vkm'!T154*'FREH Stock'!T253</f>
        <v>0.50281102485836471</v>
      </c>
      <c r="BA154" s="295">
        <f>'FREH LGV vkm'!U154*'FREH Stock'!U253</f>
        <v>0.21206088316307686</v>
      </c>
      <c r="BB154" s="295">
        <f>'FREH LGV vkm'!V154*'FREH Stock'!V253</f>
        <v>0.30275358791206575</v>
      </c>
      <c r="BC154" s="295">
        <f>'FREH LGV vkm'!W154*'FREH Stock'!W253</f>
        <v>0.22806547811878086</v>
      </c>
      <c r="BD154" s="295">
        <f>'FREH LGV vkm'!X154*'FREH Stock'!X253</f>
        <v>0.18005169325166909</v>
      </c>
      <c r="BE154" s="295">
        <f>'FREH LGV vkm'!Y154*'FREH Stock'!Y253</f>
        <v>0.1223833373041</v>
      </c>
      <c r="BF154" s="295">
        <f>'FREH LGV vkm'!Z154*'FREH Stock'!Z253</f>
        <v>0.14788851808598896</v>
      </c>
      <c r="BG154" s="295">
        <f>'FREH LGV vkm'!AA154*'FREH Stock'!AA253</f>
        <v>0</v>
      </c>
      <c r="BH154" s="295">
        <f>'FREH LGV vkm'!AB154*'FREH Stock'!AB253</f>
        <v>0</v>
      </c>
      <c r="BI154" s="295">
        <f>'FREH LGV vkm'!AC154*'FREH Stock'!AC253</f>
        <v>0</v>
      </c>
      <c r="BJ154" s="295">
        <f>'FREH LGV vkm'!AD154*'FREH Stock'!AD253</f>
        <v>0</v>
      </c>
      <c r="BK154" s="296">
        <f>'FREH LGV vkm'!AE154*'FREH Stock'!AE253</f>
        <v>0</v>
      </c>
    </row>
    <row r="155" spans="1:63">
      <c r="A155" s="1711"/>
      <c r="B155" s="116">
        <v>24</v>
      </c>
      <c r="C155" s="294">
        <f t="shared" ref="C155:D156" si="35">C154</f>
        <v>22261.099204425285</v>
      </c>
      <c r="D155" s="295">
        <f t="shared" si="35"/>
        <v>22261.099204425285</v>
      </c>
      <c r="E155" s="295">
        <f t="shared" si="34"/>
        <v>22261.099204425285</v>
      </c>
      <c r="F155" s="295">
        <f t="shared" si="34"/>
        <v>22261.099204425285</v>
      </c>
      <c r="G155" s="295">
        <f t="shared" si="34"/>
        <v>22261.099204425285</v>
      </c>
      <c r="H155" s="295">
        <f t="shared" si="34"/>
        <v>22261.099204425285</v>
      </c>
      <c r="I155" s="295">
        <f t="shared" si="34"/>
        <v>22261.099204425285</v>
      </c>
      <c r="J155" s="295">
        <f t="shared" si="34"/>
        <v>22261.099204425285</v>
      </c>
      <c r="K155" s="295">
        <f t="shared" si="34"/>
        <v>22261.099204425285</v>
      </c>
      <c r="L155" s="295">
        <f t="shared" si="34"/>
        <v>22261.099204425285</v>
      </c>
      <c r="M155" s="295">
        <f t="shared" si="34"/>
        <v>22261.099204425285</v>
      </c>
      <c r="N155" s="295">
        <f t="shared" si="34"/>
        <v>22261.099204425285</v>
      </c>
      <c r="O155" s="295">
        <f t="shared" si="34"/>
        <v>22261.099204425285</v>
      </c>
      <c r="P155" s="295">
        <f t="shared" si="34"/>
        <v>22261.099204425285</v>
      </c>
      <c r="Q155" s="295">
        <f t="shared" si="34"/>
        <v>22261.099204425285</v>
      </c>
      <c r="R155" s="295">
        <f t="shared" si="34"/>
        <v>22261.099204425285</v>
      </c>
      <c r="S155" s="295">
        <f t="shared" si="34"/>
        <v>22261.099204425285</v>
      </c>
      <c r="T155" s="295">
        <f t="shared" si="34"/>
        <v>22261.099204425285</v>
      </c>
      <c r="U155" s="295">
        <f t="shared" si="34"/>
        <v>22261.099204425285</v>
      </c>
      <c r="V155" s="295">
        <f t="shared" si="34"/>
        <v>22261.099204425285</v>
      </c>
      <c r="W155" s="295">
        <f t="shared" si="34"/>
        <v>22261.099204425285</v>
      </c>
      <c r="X155" s="295">
        <f t="shared" si="34"/>
        <v>22261.099204425285</v>
      </c>
      <c r="Y155" s="295">
        <f t="shared" si="34"/>
        <v>22261.099204425285</v>
      </c>
      <c r="Z155" s="295">
        <f t="shared" si="34"/>
        <v>22261.099204425285</v>
      </c>
      <c r="AA155" s="295">
        <f t="shared" si="34"/>
        <v>22261.099204425285</v>
      </c>
      <c r="AB155" s="295">
        <f t="shared" si="34"/>
        <v>22261.099204425285</v>
      </c>
      <c r="AC155" s="295">
        <f t="shared" si="34"/>
        <v>22261.099204425285</v>
      </c>
      <c r="AD155" s="295">
        <f t="shared" si="34"/>
        <v>22261.099204425285</v>
      </c>
      <c r="AE155" s="296">
        <f t="shared" si="34"/>
        <v>22261.099204425285</v>
      </c>
      <c r="AG155" s="1711"/>
      <c r="AH155" s="116">
        <v>24</v>
      </c>
      <c r="AI155" s="294">
        <f>'FREH LGV vkm'!C155*'FREH Stock'!C254</f>
        <v>663.730642634481</v>
      </c>
      <c r="AJ155" s="295">
        <f>'FREH LGV vkm'!D155*'FREH Stock'!D254</f>
        <v>68.807632033895757</v>
      </c>
      <c r="AK155" s="295">
        <f>'FREH LGV vkm'!E155*'FREH Stock'!E254</f>
        <v>14.266299977713407</v>
      </c>
      <c r="AL155" s="295">
        <f>'FREH LGV vkm'!F155*'FREH Stock'!F254</f>
        <v>4.4368766015776728</v>
      </c>
      <c r="AM155" s="295">
        <f>'FREH LGV vkm'!G155*'FREH Stock'!G254</f>
        <v>1.8398485950228076</v>
      </c>
      <c r="AN155" s="295">
        <f>'FREH LGV vkm'!H155*'FREH Stock'!H254</f>
        <v>0.95366717304120507</v>
      </c>
      <c r="AO155" s="295">
        <f>'FREH LGV vkm'!I155*'FREH Stock'!I254</f>
        <v>9.8630371497724814E-2</v>
      </c>
      <c r="AP155" s="295">
        <f>'FREH LGV vkm'!J155*'FREH Stock'!J254</f>
        <v>5.2660983598236136E-2</v>
      </c>
      <c r="AQ155" s="295">
        <f>'FREH LGV vkm'!K155*'FREH Stock'!K254</f>
        <v>1.6066793633773887E-2</v>
      </c>
      <c r="AR155" s="295">
        <f>'FREH LGV vkm'!L155*'FREH Stock'!L254</f>
        <v>6.8933765103655585E-3</v>
      </c>
      <c r="AS155" s="295">
        <f>'FREH LGV vkm'!M155*'FREH Stock'!M254</f>
        <v>4.2063193759129648E-3</v>
      </c>
      <c r="AT155" s="295">
        <f>'FREH LGV vkm'!N155*'FREH Stock'!N254</f>
        <v>2.8616595730871111E-3</v>
      </c>
      <c r="AU155" s="295">
        <f>'FREH LGV vkm'!O155*'FREH Stock'!O254</f>
        <v>3.9112637316138614E-3</v>
      </c>
      <c r="AV155" s="295">
        <f>'FREH LGV vkm'!P155*'FREH Stock'!P254</f>
        <v>3.8173213629371519E-3</v>
      </c>
      <c r="AW155" s="295">
        <f>'FREH LGV vkm'!Q155*'FREH Stock'!Q254</f>
        <v>7.6789482300798125E-3</v>
      </c>
      <c r="AX155" s="295">
        <f>'FREH LGV vkm'!R155*'FREH Stock'!R254</f>
        <v>2.2037724473774121E-3</v>
      </c>
      <c r="AY155" s="295">
        <f>'FREH LGV vkm'!S155*'FREH Stock'!S254</f>
        <v>6.8746531636501649E-4</v>
      </c>
      <c r="AZ155" s="295">
        <f>'FREH LGV vkm'!T155*'FREH Stock'!T254</f>
        <v>7.985706709005445E-3</v>
      </c>
      <c r="BA155" s="295">
        <f>'FREH LGV vkm'!U155*'FREH Stock'!U254</f>
        <v>1.9175868976401608E-2</v>
      </c>
      <c r="BB155" s="295">
        <f>'FREH LGV vkm'!V155*'FREH Stock'!V254</f>
        <v>8.0874354568908641E-3</v>
      </c>
      <c r="BC155" s="295">
        <f>'FREH LGV vkm'!W155*'FREH Stock'!W254</f>
        <v>1.1546212884995135E-2</v>
      </c>
      <c r="BD155" s="295">
        <f>'FREH LGV vkm'!X155*'FREH Stock'!X254</f>
        <v>8.6978079442033857E-3</v>
      </c>
      <c r="BE155" s="295">
        <f>'FREH LGV vkm'!Y155*'FREH Stock'!Y254</f>
        <v>6.8666904822658305E-3</v>
      </c>
      <c r="BF155" s="295">
        <f>'FREH LGV vkm'!Z155*'FREH Stock'!Z254</f>
        <v>4.6673734763458099E-3</v>
      </c>
      <c r="BG155" s="295">
        <f>'FREH LGV vkm'!AA155*'FREH Stock'!AA254</f>
        <v>5.6400729214916429E-3</v>
      </c>
      <c r="BH155" s="295">
        <f>'FREH LGV vkm'!AB155*'FREH Stock'!AB254</f>
        <v>0</v>
      </c>
      <c r="BI155" s="295">
        <f>'FREH LGV vkm'!AC155*'FREH Stock'!AC254</f>
        <v>0</v>
      </c>
      <c r="BJ155" s="295">
        <f>'FREH LGV vkm'!AD155*'FREH Stock'!AD254</f>
        <v>0</v>
      </c>
      <c r="BK155" s="296">
        <f>'FREH LGV vkm'!AE155*'FREH Stock'!AE254</f>
        <v>0</v>
      </c>
    </row>
    <row r="156" spans="1:63" ht="15.75" thickBot="1">
      <c r="A156" s="1711"/>
      <c r="B156" s="116">
        <v>25</v>
      </c>
      <c r="C156" s="294">
        <f t="shared" si="35"/>
        <v>22261.099204425285</v>
      </c>
      <c r="D156" s="295">
        <f t="shared" si="35"/>
        <v>22261.099204425285</v>
      </c>
      <c r="E156" s="295">
        <f t="shared" si="34"/>
        <v>22261.099204425285</v>
      </c>
      <c r="F156" s="295">
        <f t="shared" si="34"/>
        <v>22261.099204425285</v>
      </c>
      <c r="G156" s="295">
        <f t="shared" si="34"/>
        <v>22261.099204425285</v>
      </c>
      <c r="H156" s="295">
        <f t="shared" si="34"/>
        <v>22261.099204425285</v>
      </c>
      <c r="I156" s="295">
        <f t="shared" si="34"/>
        <v>22261.099204425285</v>
      </c>
      <c r="J156" s="295">
        <f t="shared" si="34"/>
        <v>22261.099204425285</v>
      </c>
      <c r="K156" s="295">
        <f t="shared" si="34"/>
        <v>22261.099204425285</v>
      </c>
      <c r="L156" s="295">
        <f t="shared" si="34"/>
        <v>22261.099204425285</v>
      </c>
      <c r="M156" s="295">
        <f t="shared" si="34"/>
        <v>22261.099204425285</v>
      </c>
      <c r="N156" s="295">
        <f t="shared" si="34"/>
        <v>22261.099204425285</v>
      </c>
      <c r="O156" s="295">
        <f t="shared" si="34"/>
        <v>22261.099204425285</v>
      </c>
      <c r="P156" s="295">
        <f t="shared" si="34"/>
        <v>22261.099204425285</v>
      </c>
      <c r="Q156" s="295">
        <f t="shared" si="34"/>
        <v>22261.099204425285</v>
      </c>
      <c r="R156" s="295">
        <f t="shared" si="34"/>
        <v>22261.099204425285</v>
      </c>
      <c r="S156" s="295">
        <f t="shared" si="34"/>
        <v>22261.099204425285</v>
      </c>
      <c r="T156" s="295">
        <f t="shared" si="34"/>
        <v>22261.099204425285</v>
      </c>
      <c r="U156" s="295">
        <f t="shared" si="34"/>
        <v>22261.099204425285</v>
      </c>
      <c r="V156" s="295">
        <f t="shared" si="34"/>
        <v>22261.099204425285</v>
      </c>
      <c r="W156" s="295">
        <f t="shared" si="34"/>
        <v>22261.099204425285</v>
      </c>
      <c r="X156" s="295">
        <f t="shared" si="34"/>
        <v>22261.099204425285</v>
      </c>
      <c r="Y156" s="295">
        <f t="shared" si="34"/>
        <v>22261.099204425285</v>
      </c>
      <c r="Z156" s="295">
        <f t="shared" si="34"/>
        <v>22261.099204425285</v>
      </c>
      <c r="AA156" s="295">
        <f t="shared" si="34"/>
        <v>22261.099204425285</v>
      </c>
      <c r="AB156" s="295">
        <f t="shared" si="34"/>
        <v>22261.099204425285</v>
      </c>
      <c r="AC156" s="295">
        <f t="shared" ref="AC156:AE156" si="36">AC155</f>
        <v>22261.099204425285</v>
      </c>
      <c r="AD156" s="295">
        <f t="shared" si="36"/>
        <v>22261.099204425285</v>
      </c>
      <c r="AE156" s="296">
        <f t="shared" si="36"/>
        <v>22261.099204425285</v>
      </c>
      <c r="AG156" s="1711"/>
      <c r="AH156" s="116">
        <v>25</v>
      </c>
      <c r="AI156" s="294">
        <f>'FREH LGV vkm'!C156*'FREH Stock'!C255</f>
        <v>244.17285790073515</v>
      </c>
      <c r="AJ156" s="295">
        <f>'FREH LGV vkm'!D156*'FREH Stock'!D255</f>
        <v>0</v>
      </c>
      <c r="AK156" s="295">
        <f>'FREH LGV vkm'!E156*'FREH Stock'!E255</f>
        <v>0</v>
      </c>
      <c r="AL156" s="295">
        <f>'FREH LGV vkm'!F156*'FREH Stock'!F255</f>
        <v>0</v>
      </c>
      <c r="AM156" s="295">
        <f>'FREH LGV vkm'!G156*'FREH Stock'!G255</f>
        <v>0</v>
      </c>
      <c r="AN156" s="295">
        <f>'FREH LGV vkm'!H156*'FREH Stock'!H255</f>
        <v>0</v>
      </c>
      <c r="AO156" s="295">
        <f>'FREH LGV vkm'!I156*'FREH Stock'!I255</f>
        <v>0</v>
      </c>
      <c r="AP156" s="295">
        <f>'FREH LGV vkm'!J156*'FREH Stock'!J255</f>
        <v>0</v>
      </c>
      <c r="AQ156" s="295">
        <f>'FREH LGV vkm'!K156*'FREH Stock'!K255</f>
        <v>0</v>
      </c>
      <c r="AR156" s="295">
        <f>'FREH LGV vkm'!L156*'FREH Stock'!L255</f>
        <v>0</v>
      </c>
      <c r="AS156" s="295">
        <f>'FREH LGV vkm'!M156*'FREH Stock'!M255</f>
        <v>0</v>
      </c>
      <c r="AT156" s="295">
        <f>'FREH LGV vkm'!N156*'FREH Stock'!N255</f>
        <v>0</v>
      </c>
      <c r="AU156" s="295">
        <f>'FREH LGV vkm'!O156*'FREH Stock'!O255</f>
        <v>0</v>
      </c>
      <c r="AV156" s="295">
        <f>'FREH LGV vkm'!P156*'FREH Stock'!P255</f>
        <v>0</v>
      </c>
      <c r="AW156" s="295">
        <f>'FREH LGV vkm'!Q156*'FREH Stock'!Q255</f>
        <v>0</v>
      </c>
      <c r="AX156" s="295">
        <f>'FREH LGV vkm'!R156*'FREH Stock'!R255</f>
        <v>0</v>
      </c>
      <c r="AY156" s="295">
        <f>'FREH LGV vkm'!S156*'FREH Stock'!S255</f>
        <v>0</v>
      </c>
      <c r="AZ156" s="295">
        <f>'FREH LGV vkm'!T156*'FREH Stock'!T255</f>
        <v>0</v>
      </c>
      <c r="BA156" s="295">
        <f>'FREH LGV vkm'!U156*'FREH Stock'!U255</f>
        <v>0</v>
      </c>
      <c r="BB156" s="295">
        <f>'FREH LGV vkm'!V156*'FREH Stock'!V255</f>
        <v>0</v>
      </c>
      <c r="BC156" s="295">
        <f>'FREH LGV vkm'!W156*'FREH Stock'!W255</f>
        <v>0</v>
      </c>
      <c r="BD156" s="295">
        <f>'FREH LGV vkm'!X156*'FREH Stock'!X255</f>
        <v>0</v>
      </c>
      <c r="BE156" s="295">
        <f>'FREH LGV vkm'!Y156*'FREH Stock'!Y255</f>
        <v>0</v>
      </c>
      <c r="BF156" s="295">
        <f>'FREH LGV vkm'!Z156*'FREH Stock'!Z255</f>
        <v>0</v>
      </c>
      <c r="BG156" s="295">
        <f>'FREH LGV vkm'!AA156*'FREH Stock'!AA255</f>
        <v>0</v>
      </c>
      <c r="BH156" s="295">
        <f>'FREH LGV vkm'!AB156*'FREH Stock'!AB255</f>
        <v>0</v>
      </c>
      <c r="BI156" s="295">
        <f>'FREH LGV vkm'!AC156*'FREH Stock'!AC255</f>
        <v>0</v>
      </c>
      <c r="BJ156" s="295">
        <f>'FREH LGV vkm'!AD156*'FREH Stock'!AD255</f>
        <v>0</v>
      </c>
      <c r="BK156" s="296">
        <f>'FREH LGV vkm'!AE156*'FREH Stock'!AE255</f>
        <v>0</v>
      </c>
    </row>
    <row r="157" spans="1:63" ht="16.5" thickTop="1" thickBot="1">
      <c r="A157" s="1712"/>
      <c r="B157" s="300" t="s">
        <v>39</v>
      </c>
      <c r="C157" s="463">
        <f>SUMPRODUCT(C131:C156,'FREH Stock'!C230:C255)/'FREH Stock'!C256</f>
        <v>22455.551236299689</v>
      </c>
      <c r="D157" s="464">
        <f>SUMPRODUCT(D131:D156,'FREH Stock'!D230:D255)/'FREH Stock'!D256</f>
        <v>22744.276557625781</v>
      </c>
      <c r="E157" s="464">
        <f>SUMPRODUCT(E131:E156,'FREH Stock'!E230:E255)/'FREH Stock'!E256</f>
        <v>22729.039214986129</v>
      </c>
      <c r="F157" s="464">
        <f>SUMPRODUCT(F131:F156,'FREH Stock'!F230:F255)/'FREH Stock'!F256</f>
        <v>22696.183671779985</v>
      </c>
      <c r="G157" s="464">
        <f>SUMPRODUCT(G131:G156,'FREH Stock'!G230:G255)/'FREH Stock'!G256</f>
        <v>22636.461841768971</v>
      </c>
      <c r="H157" s="464">
        <f>SUMPRODUCT(H131:H156,'FREH Stock'!H230:H255)/'FREH Stock'!H256</f>
        <v>22621.002569529868</v>
      </c>
      <c r="I157" s="464">
        <f>SUMPRODUCT(I131:I156,'FREH Stock'!I230:I255)/'FREH Stock'!I256</f>
        <v>22261.099204425289</v>
      </c>
      <c r="J157" s="464">
        <f>SUMPRODUCT(J131:J156,'FREH Stock'!J230:J255)/'FREH Stock'!J256</f>
        <v>22261.099204425285</v>
      </c>
      <c r="K157" s="464">
        <f>SUMPRODUCT(K131:K156,'FREH Stock'!K230:K255)/'FREH Stock'!K256</f>
        <v>22261.099204425271</v>
      </c>
      <c r="L157" s="464">
        <f>SUMPRODUCT(L131:L156,'FREH Stock'!L230:L255)/'FREH Stock'!L256</f>
        <v>22261.099204425285</v>
      </c>
      <c r="M157" s="464">
        <f>SUMPRODUCT(M131:M156,'FREH Stock'!M230:M255)/'FREH Stock'!M256</f>
        <v>22261.099204425282</v>
      </c>
      <c r="N157" s="464">
        <f>SUMPRODUCT(N131:N156,'FREH Stock'!N230:N255)/'FREH Stock'!N256</f>
        <v>22261.099204425285</v>
      </c>
      <c r="O157" s="464">
        <f>SUMPRODUCT(O131:O156,'FREH Stock'!O230:O255)/'FREH Stock'!O256</f>
        <v>22261.099204425285</v>
      </c>
      <c r="P157" s="464">
        <f>SUMPRODUCT(P131:P156,'FREH Stock'!P230:P255)/'FREH Stock'!P256</f>
        <v>22261.099204425293</v>
      </c>
      <c r="Q157" s="464">
        <f>SUMPRODUCT(Q131:Q156,'FREH Stock'!Q230:Q255)/'FREH Stock'!Q256</f>
        <v>22261.099204425285</v>
      </c>
      <c r="R157" s="464">
        <f>SUMPRODUCT(R131:R156,'FREH Stock'!R230:R255)/'FREH Stock'!R256</f>
        <v>22261.099204425289</v>
      </c>
      <c r="S157" s="464">
        <f>SUMPRODUCT(S131:S156,'FREH Stock'!S230:S255)/'FREH Stock'!S256</f>
        <v>22261.099204425285</v>
      </c>
      <c r="T157" s="464">
        <f>SUMPRODUCT(T131:T156,'FREH Stock'!T230:T255)/'FREH Stock'!T256</f>
        <v>22261.099204425285</v>
      </c>
      <c r="U157" s="464">
        <f>SUMPRODUCT(U131:U156,'FREH Stock'!U230:U255)/'FREH Stock'!U256</f>
        <v>22261.099204425293</v>
      </c>
      <c r="V157" s="464">
        <f>SUMPRODUCT(V131:V156,'FREH Stock'!V230:V255)/'FREH Stock'!V256</f>
        <v>22261.099204425289</v>
      </c>
      <c r="W157" s="464">
        <f>SUMPRODUCT(W131:W156,'FREH Stock'!W230:W255)/'FREH Stock'!W256</f>
        <v>22261.099204425285</v>
      </c>
      <c r="X157" s="464">
        <f>SUMPRODUCT(X131:X156,'FREH Stock'!X230:X255)/'FREH Stock'!X256</f>
        <v>22261.099204425282</v>
      </c>
      <c r="Y157" s="464">
        <f>SUMPRODUCT(Y131:Y156,'FREH Stock'!Y230:Y255)/'FREH Stock'!Y256</f>
        <v>22261.099204425285</v>
      </c>
      <c r="Z157" s="464">
        <f>SUMPRODUCT(Z131:Z156,'FREH Stock'!Z230:Z255)/'FREH Stock'!Z256</f>
        <v>22261.099204425285</v>
      </c>
      <c r="AA157" s="464">
        <f>SUMPRODUCT(AA131:AA156,'FREH Stock'!AA230:AA255)/'FREH Stock'!AA256</f>
        <v>22261.099204425285</v>
      </c>
      <c r="AB157" s="464" t="e">
        <f>SUMPRODUCT(AB131:AB156,'FREH Stock'!AB230:AB255)/'FREH Stock'!AB256</f>
        <v>#DIV/0!</v>
      </c>
      <c r="AC157" s="464" t="e">
        <f>SUMPRODUCT(AC131:AC156,'FREH Stock'!AC230:AC255)/'FREH Stock'!AC256</f>
        <v>#DIV/0!</v>
      </c>
      <c r="AD157" s="464" t="e">
        <f>SUMPRODUCT(AD131:AD156,'FREH Stock'!AD230:AD255)/'FREH Stock'!AD256</f>
        <v>#DIV/0!</v>
      </c>
      <c r="AE157" s="465" t="e">
        <f>SUMPRODUCT(AE131:AE156,'FREH Stock'!AE230:AE255)/'FREH Stock'!AE256</f>
        <v>#DIV/0!</v>
      </c>
      <c r="AG157" s="1712"/>
      <c r="AH157" s="300" t="s">
        <v>39</v>
      </c>
      <c r="AI157" s="362">
        <f t="shared" ref="AI157:BK157" si="37">SUM(AI131:AI156)</f>
        <v>39162345.148600586</v>
      </c>
      <c r="AJ157" s="363">
        <f t="shared" si="37"/>
        <v>36849473.969460472</v>
      </c>
      <c r="AK157" s="363">
        <f t="shared" si="37"/>
        <v>34235097.334268473</v>
      </c>
      <c r="AL157" s="363">
        <f t="shared" si="37"/>
        <v>31478309.755764555</v>
      </c>
      <c r="AM157" s="363">
        <f t="shared" si="37"/>
        <v>28303157.515609354</v>
      </c>
      <c r="AN157" s="363">
        <f t="shared" si="37"/>
        <v>24579653.832770653</v>
      </c>
      <c r="AO157" s="363">
        <f t="shared" si="37"/>
        <v>20056320.314137209</v>
      </c>
      <c r="AP157" s="363">
        <f t="shared" si="37"/>
        <v>15789768.048697336</v>
      </c>
      <c r="AQ157" s="363">
        <f t="shared" si="37"/>
        <v>11832549.547135998</v>
      </c>
      <c r="AR157" s="363">
        <f t="shared" si="37"/>
        <v>8284531.9711285746</v>
      </c>
      <c r="AS157" s="363">
        <f t="shared" si="37"/>
        <v>5460278.6716049798</v>
      </c>
      <c r="AT157" s="363">
        <f t="shared" si="37"/>
        <v>3315580.8458088753</v>
      </c>
      <c r="AU157" s="363">
        <f t="shared" si="37"/>
        <v>1816541.355486633</v>
      </c>
      <c r="AV157" s="363">
        <f t="shared" si="37"/>
        <v>864624.16864129656</v>
      </c>
      <c r="AW157" s="363">
        <f t="shared" si="37"/>
        <v>373367.07364142459</v>
      </c>
      <c r="AX157" s="363">
        <f t="shared" si="37"/>
        <v>133885.38986599783</v>
      </c>
      <c r="AY157" s="363">
        <f t="shared" si="37"/>
        <v>43406.714658724217</v>
      </c>
      <c r="AZ157" s="363">
        <f t="shared" si="37"/>
        <v>12562.241410962411</v>
      </c>
      <c r="BA157" s="363">
        <f t="shared" si="37"/>
        <v>3193.6417126853389</v>
      </c>
      <c r="BB157" s="363">
        <f t="shared" si="37"/>
        <v>698.43915625584202</v>
      </c>
      <c r="BC157" s="363">
        <f t="shared" si="37"/>
        <v>127.7134883138103</v>
      </c>
      <c r="BD157" s="363">
        <f t="shared" si="37"/>
        <v>18.739862109207959</v>
      </c>
      <c r="BE157" s="363">
        <f t="shared" si="37"/>
        <v>2.0681446206496785</v>
      </c>
      <c r="BF157" s="363">
        <f t="shared" si="37"/>
        <v>0.15255589156233476</v>
      </c>
      <c r="BG157" s="363">
        <f t="shared" si="37"/>
        <v>5.6400729214916429E-3</v>
      </c>
      <c r="BH157" s="363">
        <f t="shared" si="37"/>
        <v>0</v>
      </c>
      <c r="BI157" s="363">
        <f t="shared" si="37"/>
        <v>0</v>
      </c>
      <c r="BJ157" s="363">
        <f t="shared" si="37"/>
        <v>0</v>
      </c>
      <c r="BK157" s="364">
        <f t="shared" si="37"/>
        <v>0</v>
      </c>
    </row>
    <row r="158" spans="1:63" ht="15.75" thickBot="1">
      <c r="A158" s="650"/>
      <c r="AG158" s="650"/>
    </row>
    <row r="159" spans="1:63" ht="15.75" customHeight="1" thickBot="1">
      <c r="A159" s="1710" t="s">
        <v>204</v>
      </c>
      <c r="B159" s="169" t="s">
        <v>10</v>
      </c>
      <c r="C159" s="288">
        <v>2012</v>
      </c>
      <c r="D159" s="347">
        <v>2013</v>
      </c>
      <c r="E159" s="347">
        <v>2014</v>
      </c>
      <c r="F159" s="288">
        <v>2015</v>
      </c>
      <c r="G159" s="347">
        <v>2016</v>
      </c>
      <c r="H159" s="347">
        <v>2017</v>
      </c>
      <c r="I159" s="288">
        <v>2018</v>
      </c>
      <c r="J159" s="347">
        <v>2019</v>
      </c>
      <c r="K159" s="347">
        <v>2020</v>
      </c>
      <c r="L159" s="288">
        <v>2021</v>
      </c>
      <c r="M159" s="347">
        <v>2022</v>
      </c>
      <c r="N159" s="347">
        <v>2023</v>
      </c>
      <c r="O159" s="288">
        <v>2024</v>
      </c>
      <c r="P159" s="347">
        <v>2025</v>
      </c>
      <c r="Q159" s="347">
        <v>2026</v>
      </c>
      <c r="R159" s="288">
        <v>2027</v>
      </c>
      <c r="S159" s="347">
        <v>2028</v>
      </c>
      <c r="T159" s="347">
        <v>2029</v>
      </c>
      <c r="U159" s="288">
        <v>2030</v>
      </c>
      <c r="V159" s="347">
        <v>2031</v>
      </c>
      <c r="W159" s="347">
        <v>2032</v>
      </c>
      <c r="X159" s="288">
        <v>2033</v>
      </c>
      <c r="Y159" s="347">
        <v>2034</v>
      </c>
      <c r="Z159" s="347">
        <v>2035</v>
      </c>
      <c r="AA159" s="288">
        <v>2036</v>
      </c>
      <c r="AB159" s="347">
        <v>2037</v>
      </c>
      <c r="AC159" s="347">
        <v>2038</v>
      </c>
      <c r="AD159" s="288">
        <v>2039</v>
      </c>
      <c r="AE159" s="348">
        <v>2040</v>
      </c>
      <c r="AG159" s="1710" t="s">
        <v>204</v>
      </c>
      <c r="AH159" s="169" t="s">
        <v>10</v>
      </c>
      <c r="AI159" s="288">
        <v>2012</v>
      </c>
      <c r="AJ159" s="347">
        <v>2013</v>
      </c>
      <c r="AK159" s="347">
        <v>2014</v>
      </c>
      <c r="AL159" s="288">
        <v>2015</v>
      </c>
      <c r="AM159" s="347">
        <v>2016</v>
      </c>
      <c r="AN159" s="347">
        <v>2017</v>
      </c>
      <c r="AO159" s="288">
        <v>2018</v>
      </c>
      <c r="AP159" s="347">
        <v>2019</v>
      </c>
      <c r="AQ159" s="347">
        <v>2020</v>
      </c>
      <c r="AR159" s="288">
        <v>2021</v>
      </c>
      <c r="AS159" s="347">
        <v>2022</v>
      </c>
      <c r="AT159" s="347">
        <v>2023</v>
      </c>
      <c r="AU159" s="288">
        <v>2024</v>
      </c>
      <c r="AV159" s="347">
        <v>2025</v>
      </c>
      <c r="AW159" s="347">
        <v>2026</v>
      </c>
      <c r="AX159" s="288">
        <v>2027</v>
      </c>
      <c r="AY159" s="347">
        <v>2028</v>
      </c>
      <c r="AZ159" s="347">
        <v>2029</v>
      </c>
      <c r="BA159" s="288">
        <v>2030</v>
      </c>
      <c r="BB159" s="347">
        <v>2031</v>
      </c>
      <c r="BC159" s="347">
        <v>2032</v>
      </c>
      <c r="BD159" s="288">
        <v>2033</v>
      </c>
      <c r="BE159" s="347">
        <v>2034</v>
      </c>
      <c r="BF159" s="347">
        <v>2035</v>
      </c>
      <c r="BG159" s="288">
        <v>2036</v>
      </c>
      <c r="BH159" s="347">
        <v>2037</v>
      </c>
      <c r="BI159" s="347">
        <v>2038</v>
      </c>
      <c r="BJ159" s="288">
        <v>2039</v>
      </c>
      <c r="BK159" s="348">
        <v>2040</v>
      </c>
    </row>
    <row r="160" spans="1:63" ht="15" customHeight="1">
      <c r="A160" s="1711"/>
      <c r="B160" s="116">
        <v>0</v>
      </c>
      <c r="C160" s="487">
        <f>SUMPRODUCT(D18:F18,'FREH Stock'!$AJ$24:$AL$24)/SUM('FREH Stock'!$AJ$24:$AL$24)</f>
        <v>19659.209518515458</v>
      </c>
      <c r="D160" s="292">
        <f>C160</f>
        <v>19659.209518515458</v>
      </c>
      <c r="E160" s="292">
        <f t="shared" ref="E160:AE161" si="38">D160</f>
        <v>19659.209518515458</v>
      </c>
      <c r="F160" s="292">
        <f t="shared" si="38"/>
        <v>19659.209518515458</v>
      </c>
      <c r="G160" s="292">
        <f t="shared" si="38"/>
        <v>19659.209518515458</v>
      </c>
      <c r="H160" s="292">
        <f t="shared" si="38"/>
        <v>19659.209518515458</v>
      </c>
      <c r="I160" s="292">
        <f t="shared" si="38"/>
        <v>19659.209518515458</v>
      </c>
      <c r="J160" s="292">
        <f t="shared" si="38"/>
        <v>19659.209518515458</v>
      </c>
      <c r="K160" s="292">
        <f t="shared" si="38"/>
        <v>19659.209518515458</v>
      </c>
      <c r="L160" s="292">
        <f t="shared" si="38"/>
        <v>19659.209518515458</v>
      </c>
      <c r="M160" s="292">
        <f t="shared" si="38"/>
        <v>19659.209518515458</v>
      </c>
      <c r="N160" s="292">
        <f t="shared" si="38"/>
        <v>19659.209518515458</v>
      </c>
      <c r="O160" s="292">
        <f t="shared" si="38"/>
        <v>19659.209518515458</v>
      </c>
      <c r="P160" s="292">
        <f t="shared" si="38"/>
        <v>19659.209518515458</v>
      </c>
      <c r="Q160" s="292">
        <f t="shared" si="38"/>
        <v>19659.209518515458</v>
      </c>
      <c r="R160" s="292">
        <f t="shared" si="38"/>
        <v>19659.209518515458</v>
      </c>
      <c r="S160" s="292">
        <f t="shared" si="38"/>
        <v>19659.209518515458</v>
      </c>
      <c r="T160" s="292">
        <f t="shared" si="38"/>
        <v>19659.209518515458</v>
      </c>
      <c r="U160" s="292">
        <f t="shared" si="38"/>
        <v>19659.209518515458</v>
      </c>
      <c r="V160" s="292">
        <f t="shared" si="38"/>
        <v>19659.209518515458</v>
      </c>
      <c r="W160" s="292">
        <f t="shared" si="38"/>
        <v>19659.209518515458</v>
      </c>
      <c r="X160" s="292">
        <f t="shared" si="38"/>
        <v>19659.209518515458</v>
      </c>
      <c r="Y160" s="292">
        <f t="shared" si="38"/>
        <v>19659.209518515458</v>
      </c>
      <c r="Z160" s="292">
        <f t="shared" si="38"/>
        <v>19659.209518515458</v>
      </c>
      <c r="AA160" s="292">
        <f t="shared" si="38"/>
        <v>19659.209518515458</v>
      </c>
      <c r="AB160" s="292">
        <f t="shared" si="38"/>
        <v>19659.209518515458</v>
      </c>
      <c r="AC160" s="292">
        <f t="shared" si="38"/>
        <v>19659.209518515458</v>
      </c>
      <c r="AD160" s="292">
        <f t="shared" si="38"/>
        <v>19659.209518515458</v>
      </c>
      <c r="AE160" s="293">
        <f t="shared" si="38"/>
        <v>19659.209518515458</v>
      </c>
      <c r="AG160" s="1711"/>
      <c r="AH160" s="116">
        <v>0</v>
      </c>
      <c r="AI160" s="291">
        <f>'FREH LGV vkm'!C160*'FREH Stock'!C259</f>
        <v>102955280.24846545</v>
      </c>
      <c r="AJ160" s="292">
        <f>'FREH LGV vkm'!D160*'FREH Stock'!D259</f>
        <v>0</v>
      </c>
      <c r="AK160" s="292">
        <f>'FREH LGV vkm'!E160*'FREH Stock'!E259</f>
        <v>0</v>
      </c>
      <c r="AL160" s="292">
        <f>'FREH LGV vkm'!F160*'FREH Stock'!F259</f>
        <v>0</v>
      </c>
      <c r="AM160" s="292">
        <f>'FREH LGV vkm'!G160*'FREH Stock'!G259</f>
        <v>0</v>
      </c>
      <c r="AN160" s="292">
        <f>'FREH LGV vkm'!H160*'FREH Stock'!H259</f>
        <v>0</v>
      </c>
      <c r="AO160" s="292">
        <f>'FREH LGV vkm'!I160*'FREH Stock'!I259</f>
        <v>0</v>
      </c>
      <c r="AP160" s="292">
        <f>'FREH LGV vkm'!J160*'FREH Stock'!J259</f>
        <v>0</v>
      </c>
      <c r="AQ160" s="292">
        <f>'FREH LGV vkm'!K160*'FREH Stock'!K259</f>
        <v>0</v>
      </c>
      <c r="AR160" s="292">
        <f>'FREH LGV vkm'!L160*'FREH Stock'!L259</f>
        <v>0</v>
      </c>
      <c r="AS160" s="292">
        <f>'FREH LGV vkm'!M160*'FREH Stock'!M259</f>
        <v>0</v>
      </c>
      <c r="AT160" s="292">
        <f>'FREH LGV vkm'!N160*'FREH Stock'!N259</f>
        <v>0</v>
      </c>
      <c r="AU160" s="292">
        <f>'FREH LGV vkm'!O160*'FREH Stock'!O259</f>
        <v>0</v>
      </c>
      <c r="AV160" s="292">
        <f>'FREH LGV vkm'!P160*'FREH Stock'!P259</f>
        <v>0</v>
      </c>
      <c r="AW160" s="292">
        <f>'FREH LGV vkm'!Q160*'FREH Stock'!Q259</f>
        <v>0</v>
      </c>
      <c r="AX160" s="292">
        <f>'FREH LGV vkm'!R160*'FREH Stock'!R259</f>
        <v>0</v>
      </c>
      <c r="AY160" s="292">
        <f>'FREH LGV vkm'!S160*'FREH Stock'!S259</f>
        <v>0</v>
      </c>
      <c r="AZ160" s="292">
        <f>'FREH LGV vkm'!T160*'FREH Stock'!T259</f>
        <v>0</v>
      </c>
      <c r="BA160" s="292">
        <f>'FREH LGV vkm'!U160*'FREH Stock'!U259</f>
        <v>0</v>
      </c>
      <c r="BB160" s="292">
        <f>'FREH LGV vkm'!V160*'FREH Stock'!V259</f>
        <v>0</v>
      </c>
      <c r="BC160" s="292">
        <f>'FREH LGV vkm'!W160*'FREH Stock'!W259</f>
        <v>0</v>
      </c>
      <c r="BD160" s="292">
        <f>'FREH LGV vkm'!X160*'FREH Stock'!X259</f>
        <v>0</v>
      </c>
      <c r="BE160" s="292">
        <f>'FREH LGV vkm'!Y160*'FREH Stock'!Y259</f>
        <v>0</v>
      </c>
      <c r="BF160" s="292">
        <f>'FREH LGV vkm'!Z160*'FREH Stock'!Z259</f>
        <v>0</v>
      </c>
      <c r="BG160" s="292">
        <f>'FREH LGV vkm'!AA160*'FREH Stock'!AA259</f>
        <v>0</v>
      </c>
      <c r="BH160" s="292">
        <f>'FREH LGV vkm'!AB160*'FREH Stock'!AB259</f>
        <v>0</v>
      </c>
      <c r="BI160" s="292">
        <f>'FREH LGV vkm'!AC160*'FREH Stock'!AC259</f>
        <v>0</v>
      </c>
      <c r="BJ160" s="292">
        <f>'FREH LGV vkm'!AD160*'FREH Stock'!AD259</f>
        <v>0</v>
      </c>
      <c r="BK160" s="293">
        <f>'FREH LGV vkm'!AE160*'FREH Stock'!AE259</f>
        <v>0</v>
      </c>
    </row>
    <row r="161" spans="1:63">
      <c r="A161" s="1711"/>
      <c r="B161" s="116">
        <v>1</v>
      </c>
      <c r="C161" s="294">
        <f>SUMPRODUCT(D19:F19,'FREH Stock'!$AJ$24:$AL$24)/SUM('FREH Stock'!$AJ$24:$AL$24)</f>
        <v>19104.326900121341</v>
      </c>
      <c r="D161" s="295">
        <f>C161</f>
        <v>19104.326900121341</v>
      </c>
      <c r="E161" s="295">
        <f t="shared" si="38"/>
        <v>19104.326900121341</v>
      </c>
      <c r="F161" s="295">
        <f t="shared" si="38"/>
        <v>19104.326900121341</v>
      </c>
      <c r="G161" s="295">
        <f t="shared" si="38"/>
        <v>19104.326900121341</v>
      </c>
      <c r="H161" s="295">
        <f t="shared" si="38"/>
        <v>19104.326900121341</v>
      </c>
      <c r="I161" s="295">
        <f t="shared" si="38"/>
        <v>19104.326900121341</v>
      </c>
      <c r="J161" s="295">
        <f t="shared" si="38"/>
        <v>19104.326900121341</v>
      </c>
      <c r="K161" s="295">
        <f t="shared" si="38"/>
        <v>19104.326900121341</v>
      </c>
      <c r="L161" s="295">
        <f t="shared" si="38"/>
        <v>19104.326900121341</v>
      </c>
      <c r="M161" s="295">
        <f t="shared" si="38"/>
        <v>19104.326900121341</v>
      </c>
      <c r="N161" s="295">
        <f t="shared" si="38"/>
        <v>19104.326900121341</v>
      </c>
      <c r="O161" s="295">
        <f t="shared" si="38"/>
        <v>19104.326900121341</v>
      </c>
      <c r="P161" s="295">
        <f t="shared" si="38"/>
        <v>19104.326900121341</v>
      </c>
      <c r="Q161" s="295">
        <f t="shared" si="38"/>
        <v>19104.326900121341</v>
      </c>
      <c r="R161" s="295">
        <f t="shared" si="38"/>
        <v>19104.326900121341</v>
      </c>
      <c r="S161" s="295">
        <f t="shared" si="38"/>
        <v>19104.326900121341</v>
      </c>
      <c r="T161" s="295">
        <f t="shared" si="38"/>
        <v>19104.326900121341</v>
      </c>
      <c r="U161" s="295">
        <f t="shared" si="38"/>
        <v>19104.326900121341</v>
      </c>
      <c r="V161" s="295">
        <f t="shared" si="38"/>
        <v>19104.326900121341</v>
      </c>
      <c r="W161" s="295">
        <f t="shared" si="38"/>
        <v>19104.326900121341</v>
      </c>
      <c r="X161" s="295">
        <f t="shared" si="38"/>
        <v>19104.326900121341</v>
      </c>
      <c r="Y161" s="295">
        <f t="shared" si="38"/>
        <v>19104.326900121341</v>
      </c>
      <c r="Z161" s="295">
        <f t="shared" si="38"/>
        <v>19104.326900121341</v>
      </c>
      <c r="AA161" s="295">
        <f t="shared" si="38"/>
        <v>19104.326900121341</v>
      </c>
      <c r="AB161" s="295">
        <f t="shared" si="38"/>
        <v>19104.326900121341</v>
      </c>
      <c r="AC161" s="295">
        <f t="shared" si="38"/>
        <v>19104.326900121341</v>
      </c>
      <c r="AD161" s="295">
        <f t="shared" si="38"/>
        <v>19104.326900121341</v>
      </c>
      <c r="AE161" s="296">
        <f t="shared" si="38"/>
        <v>19104.326900121341</v>
      </c>
      <c r="AG161" s="1711"/>
      <c r="AH161" s="116">
        <v>1</v>
      </c>
      <c r="AI161" s="294">
        <f>'FREH LGV vkm'!C161*'FREH Stock'!C260</f>
        <v>97489380.171319202</v>
      </c>
      <c r="AJ161" s="295">
        <f>'FREH LGV vkm'!D161*'FREH Stock'!D260</f>
        <v>98556450.03069374</v>
      </c>
      <c r="AK161" s="295">
        <f>'FREH LGV vkm'!E161*'FREH Stock'!E260</f>
        <v>0</v>
      </c>
      <c r="AL161" s="295">
        <f>'FREH LGV vkm'!F161*'FREH Stock'!F260</f>
        <v>0</v>
      </c>
      <c r="AM161" s="295">
        <f>'FREH LGV vkm'!G161*'FREH Stock'!G260</f>
        <v>0</v>
      </c>
      <c r="AN161" s="295">
        <f>'FREH LGV vkm'!H161*'FREH Stock'!H260</f>
        <v>0</v>
      </c>
      <c r="AO161" s="295">
        <f>'FREH LGV vkm'!I161*'FREH Stock'!I260</f>
        <v>0</v>
      </c>
      <c r="AP161" s="295">
        <f>'FREH LGV vkm'!J161*'FREH Stock'!J260</f>
        <v>0</v>
      </c>
      <c r="AQ161" s="295">
        <f>'FREH LGV vkm'!K161*'FREH Stock'!K260</f>
        <v>0</v>
      </c>
      <c r="AR161" s="295">
        <f>'FREH LGV vkm'!L161*'FREH Stock'!L260</f>
        <v>0</v>
      </c>
      <c r="AS161" s="295">
        <f>'FREH LGV vkm'!M161*'FREH Stock'!M260</f>
        <v>0</v>
      </c>
      <c r="AT161" s="295">
        <f>'FREH LGV vkm'!N161*'FREH Stock'!N260</f>
        <v>0</v>
      </c>
      <c r="AU161" s="295">
        <f>'FREH LGV vkm'!O161*'FREH Stock'!O260</f>
        <v>0</v>
      </c>
      <c r="AV161" s="295">
        <f>'FREH LGV vkm'!P161*'FREH Stock'!P260</f>
        <v>0</v>
      </c>
      <c r="AW161" s="295">
        <f>'FREH LGV vkm'!Q161*'FREH Stock'!Q260</f>
        <v>0</v>
      </c>
      <c r="AX161" s="295">
        <f>'FREH LGV vkm'!R161*'FREH Stock'!R260</f>
        <v>0</v>
      </c>
      <c r="AY161" s="295">
        <f>'FREH LGV vkm'!S161*'FREH Stock'!S260</f>
        <v>0</v>
      </c>
      <c r="AZ161" s="295">
        <f>'FREH LGV vkm'!T161*'FREH Stock'!T260</f>
        <v>0</v>
      </c>
      <c r="BA161" s="295">
        <f>'FREH LGV vkm'!U161*'FREH Stock'!U260</f>
        <v>0</v>
      </c>
      <c r="BB161" s="295">
        <f>'FREH LGV vkm'!V161*'FREH Stock'!V260</f>
        <v>0</v>
      </c>
      <c r="BC161" s="295">
        <f>'FREH LGV vkm'!W161*'FREH Stock'!W260</f>
        <v>0</v>
      </c>
      <c r="BD161" s="295">
        <f>'FREH LGV vkm'!X161*'FREH Stock'!X260</f>
        <v>0</v>
      </c>
      <c r="BE161" s="295">
        <f>'FREH LGV vkm'!Y161*'FREH Stock'!Y260</f>
        <v>0</v>
      </c>
      <c r="BF161" s="295">
        <f>'FREH LGV vkm'!Z161*'FREH Stock'!Z260</f>
        <v>0</v>
      </c>
      <c r="BG161" s="295">
        <f>'FREH LGV vkm'!AA161*'FREH Stock'!AA260</f>
        <v>0</v>
      </c>
      <c r="BH161" s="295">
        <f>'FREH LGV vkm'!AB161*'FREH Stock'!AB260</f>
        <v>0</v>
      </c>
      <c r="BI161" s="295">
        <f>'FREH LGV vkm'!AC161*'FREH Stock'!AC260</f>
        <v>0</v>
      </c>
      <c r="BJ161" s="295">
        <f>'FREH LGV vkm'!AD161*'FREH Stock'!AD260</f>
        <v>0</v>
      </c>
      <c r="BK161" s="296">
        <f>'FREH LGV vkm'!AE161*'FREH Stock'!AE260</f>
        <v>0</v>
      </c>
    </row>
    <row r="162" spans="1:63">
      <c r="A162" s="1711"/>
      <c r="B162" s="116">
        <v>2</v>
      </c>
      <c r="C162" s="294">
        <f>SUMPRODUCT(D20:F20,'FREH Stock'!$AJ$24:$AL$24)/SUM('FREH Stock'!$AJ$24:$AL$24)</f>
        <v>18662.998440630025</v>
      </c>
      <c r="D162" s="295">
        <f t="shared" ref="D162:AE166" si="39">C162</f>
        <v>18662.998440630025</v>
      </c>
      <c r="E162" s="295">
        <f t="shared" si="39"/>
        <v>18662.998440630025</v>
      </c>
      <c r="F162" s="295">
        <f t="shared" si="39"/>
        <v>18662.998440630025</v>
      </c>
      <c r="G162" s="295">
        <f t="shared" si="39"/>
        <v>18662.998440630025</v>
      </c>
      <c r="H162" s="295">
        <f t="shared" si="39"/>
        <v>18662.998440630025</v>
      </c>
      <c r="I162" s="295">
        <f t="shared" si="39"/>
        <v>18662.998440630025</v>
      </c>
      <c r="J162" s="295">
        <f t="shared" si="39"/>
        <v>18662.998440630025</v>
      </c>
      <c r="K162" s="295">
        <f t="shared" si="39"/>
        <v>18662.998440630025</v>
      </c>
      <c r="L162" s="295">
        <f t="shared" si="39"/>
        <v>18662.998440630025</v>
      </c>
      <c r="M162" s="295">
        <f t="shared" si="39"/>
        <v>18662.998440630025</v>
      </c>
      <c r="N162" s="295">
        <f t="shared" si="39"/>
        <v>18662.998440630025</v>
      </c>
      <c r="O162" s="295">
        <f t="shared" si="39"/>
        <v>18662.998440630025</v>
      </c>
      <c r="P162" s="295">
        <f t="shared" si="39"/>
        <v>18662.998440630025</v>
      </c>
      <c r="Q162" s="295">
        <f t="shared" si="39"/>
        <v>18662.998440630025</v>
      </c>
      <c r="R162" s="295">
        <f t="shared" si="39"/>
        <v>18662.998440630025</v>
      </c>
      <c r="S162" s="295">
        <f t="shared" si="39"/>
        <v>18662.998440630025</v>
      </c>
      <c r="T162" s="295">
        <f t="shared" si="39"/>
        <v>18662.998440630025</v>
      </c>
      <c r="U162" s="295">
        <f t="shared" si="39"/>
        <v>18662.998440630025</v>
      </c>
      <c r="V162" s="295">
        <f t="shared" si="39"/>
        <v>18662.998440630025</v>
      </c>
      <c r="W162" s="295">
        <f t="shared" si="39"/>
        <v>18662.998440630025</v>
      </c>
      <c r="X162" s="295">
        <f t="shared" si="39"/>
        <v>18662.998440630025</v>
      </c>
      <c r="Y162" s="295">
        <f t="shared" si="39"/>
        <v>18662.998440630025</v>
      </c>
      <c r="Z162" s="295">
        <f t="shared" si="39"/>
        <v>18662.998440630025</v>
      </c>
      <c r="AA162" s="295">
        <f t="shared" si="39"/>
        <v>18662.998440630025</v>
      </c>
      <c r="AB162" s="295">
        <f t="shared" si="39"/>
        <v>18662.998440630025</v>
      </c>
      <c r="AC162" s="295">
        <f t="shared" si="39"/>
        <v>18662.998440630025</v>
      </c>
      <c r="AD162" s="295">
        <f t="shared" si="39"/>
        <v>18662.998440630025</v>
      </c>
      <c r="AE162" s="296">
        <f t="shared" si="39"/>
        <v>18662.998440630025</v>
      </c>
      <c r="AG162" s="1711"/>
      <c r="AH162" s="116">
        <v>2</v>
      </c>
      <c r="AI162" s="294">
        <f>'FREH LGV vkm'!C162*'FREH Stock'!C261</f>
        <v>89246458.543092772</v>
      </c>
      <c r="AJ162" s="295">
        <f>'FREH LGV vkm'!D162*'FREH Stock'!D261</f>
        <v>94751930.133696601</v>
      </c>
      <c r="AK162" s="295">
        <f>'FREH LGV vkm'!E162*'FREH Stock'!E261</f>
        <v>95789037.237932503</v>
      </c>
      <c r="AL162" s="295">
        <f>'FREH LGV vkm'!F162*'FREH Stock'!F261</f>
        <v>0</v>
      </c>
      <c r="AM162" s="295">
        <f>'FREH LGV vkm'!G162*'FREH Stock'!G261</f>
        <v>0</v>
      </c>
      <c r="AN162" s="295">
        <f>'FREH LGV vkm'!H162*'FREH Stock'!H261</f>
        <v>0</v>
      </c>
      <c r="AO162" s="295">
        <f>'FREH LGV vkm'!I162*'FREH Stock'!I261</f>
        <v>0</v>
      </c>
      <c r="AP162" s="295">
        <f>'FREH LGV vkm'!J162*'FREH Stock'!J261</f>
        <v>0</v>
      </c>
      <c r="AQ162" s="295">
        <f>'FREH LGV vkm'!K162*'FREH Stock'!K261</f>
        <v>0</v>
      </c>
      <c r="AR162" s="295">
        <f>'FREH LGV vkm'!L162*'FREH Stock'!L261</f>
        <v>0</v>
      </c>
      <c r="AS162" s="295">
        <f>'FREH LGV vkm'!M162*'FREH Stock'!M261</f>
        <v>0</v>
      </c>
      <c r="AT162" s="295">
        <f>'FREH LGV vkm'!N162*'FREH Stock'!N261</f>
        <v>0</v>
      </c>
      <c r="AU162" s="295">
        <f>'FREH LGV vkm'!O162*'FREH Stock'!O261</f>
        <v>0</v>
      </c>
      <c r="AV162" s="295">
        <f>'FREH LGV vkm'!P162*'FREH Stock'!P261</f>
        <v>0</v>
      </c>
      <c r="AW162" s="295">
        <f>'FREH LGV vkm'!Q162*'FREH Stock'!Q261</f>
        <v>0</v>
      </c>
      <c r="AX162" s="295">
        <f>'FREH LGV vkm'!R162*'FREH Stock'!R261</f>
        <v>0</v>
      </c>
      <c r="AY162" s="295">
        <f>'FREH LGV vkm'!S162*'FREH Stock'!S261</f>
        <v>0</v>
      </c>
      <c r="AZ162" s="295">
        <f>'FREH LGV vkm'!T162*'FREH Stock'!T261</f>
        <v>0</v>
      </c>
      <c r="BA162" s="295">
        <f>'FREH LGV vkm'!U162*'FREH Stock'!U261</f>
        <v>0</v>
      </c>
      <c r="BB162" s="295">
        <f>'FREH LGV vkm'!V162*'FREH Stock'!V261</f>
        <v>0</v>
      </c>
      <c r="BC162" s="295">
        <f>'FREH LGV vkm'!W162*'FREH Stock'!W261</f>
        <v>0</v>
      </c>
      <c r="BD162" s="295">
        <f>'FREH LGV vkm'!X162*'FREH Stock'!X261</f>
        <v>0</v>
      </c>
      <c r="BE162" s="295">
        <f>'FREH LGV vkm'!Y162*'FREH Stock'!Y261</f>
        <v>0</v>
      </c>
      <c r="BF162" s="295">
        <f>'FREH LGV vkm'!Z162*'FREH Stock'!Z261</f>
        <v>0</v>
      </c>
      <c r="BG162" s="295">
        <f>'FREH LGV vkm'!AA162*'FREH Stock'!AA261</f>
        <v>0</v>
      </c>
      <c r="BH162" s="295">
        <f>'FREH LGV vkm'!AB162*'FREH Stock'!AB261</f>
        <v>0</v>
      </c>
      <c r="BI162" s="295">
        <f>'FREH LGV vkm'!AC162*'FREH Stock'!AC261</f>
        <v>0</v>
      </c>
      <c r="BJ162" s="295">
        <f>'FREH LGV vkm'!AD162*'FREH Stock'!AD261</f>
        <v>0</v>
      </c>
      <c r="BK162" s="296">
        <f>'FREH LGV vkm'!AE162*'FREH Stock'!AE261</f>
        <v>0</v>
      </c>
    </row>
    <row r="163" spans="1:63">
      <c r="A163" s="1711"/>
      <c r="B163" s="116">
        <v>3</v>
      </c>
      <c r="C163" s="294">
        <f>SUMPRODUCT(D21:F21,'FREH Stock'!$AJ$24:$AL$24)/SUM('FREH Stock'!$AJ$24:$AL$24)</f>
        <v>18671.57561827479</v>
      </c>
      <c r="D163" s="295">
        <f t="shared" si="39"/>
        <v>18671.57561827479</v>
      </c>
      <c r="E163" s="295">
        <f t="shared" si="39"/>
        <v>18671.57561827479</v>
      </c>
      <c r="F163" s="295">
        <f t="shared" si="39"/>
        <v>18671.57561827479</v>
      </c>
      <c r="G163" s="295">
        <f t="shared" si="39"/>
        <v>18671.57561827479</v>
      </c>
      <c r="H163" s="295">
        <f t="shared" si="39"/>
        <v>18671.57561827479</v>
      </c>
      <c r="I163" s="295">
        <f t="shared" si="39"/>
        <v>18671.57561827479</v>
      </c>
      <c r="J163" s="295">
        <f t="shared" si="39"/>
        <v>18671.57561827479</v>
      </c>
      <c r="K163" s="295">
        <f t="shared" si="39"/>
        <v>18671.57561827479</v>
      </c>
      <c r="L163" s="295">
        <f t="shared" si="39"/>
        <v>18671.57561827479</v>
      </c>
      <c r="M163" s="295">
        <f t="shared" si="39"/>
        <v>18671.57561827479</v>
      </c>
      <c r="N163" s="295">
        <f t="shared" si="39"/>
        <v>18671.57561827479</v>
      </c>
      <c r="O163" s="295">
        <f t="shared" si="39"/>
        <v>18671.57561827479</v>
      </c>
      <c r="P163" s="295">
        <f t="shared" si="39"/>
        <v>18671.57561827479</v>
      </c>
      <c r="Q163" s="295">
        <f t="shared" si="39"/>
        <v>18671.57561827479</v>
      </c>
      <c r="R163" s="295">
        <f t="shared" si="39"/>
        <v>18671.57561827479</v>
      </c>
      <c r="S163" s="295">
        <f t="shared" si="39"/>
        <v>18671.57561827479</v>
      </c>
      <c r="T163" s="295">
        <f t="shared" si="39"/>
        <v>18671.57561827479</v>
      </c>
      <c r="U163" s="295">
        <f t="shared" si="39"/>
        <v>18671.57561827479</v>
      </c>
      <c r="V163" s="295">
        <f t="shared" si="39"/>
        <v>18671.57561827479</v>
      </c>
      <c r="W163" s="295">
        <f t="shared" si="39"/>
        <v>18671.57561827479</v>
      </c>
      <c r="X163" s="295">
        <f t="shared" si="39"/>
        <v>18671.57561827479</v>
      </c>
      <c r="Y163" s="295">
        <f t="shared" si="39"/>
        <v>18671.57561827479</v>
      </c>
      <c r="Z163" s="295">
        <f t="shared" si="39"/>
        <v>18671.57561827479</v>
      </c>
      <c r="AA163" s="295">
        <f t="shared" si="39"/>
        <v>18671.57561827479</v>
      </c>
      <c r="AB163" s="295">
        <f t="shared" si="39"/>
        <v>18671.57561827479</v>
      </c>
      <c r="AC163" s="295">
        <f t="shared" si="39"/>
        <v>18671.57561827479</v>
      </c>
      <c r="AD163" s="295">
        <f t="shared" si="39"/>
        <v>18671.57561827479</v>
      </c>
      <c r="AE163" s="296">
        <f t="shared" si="39"/>
        <v>18671.57561827479</v>
      </c>
      <c r="AG163" s="1711"/>
      <c r="AH163" s="116">
        <v>3</v>
      </c>
      <c r="AI163" s="294">
        <f>'FREH LGV vkm'!C163*'FREH Stock'!C262</f>
        <v>92816402.398443982</v>
      </c>
      <c r="AJ163" s="295">
        <f>'FREH LGV vkm'!D163*'FREH Stock'!D262</f>
        <v>89102562.135713995</v>
      </c>
      <c r="AK163" s="295">
        <f>'FREH LGV vkm'!E163*'FREH Stock'!E262</f>
        <v>94599156.986604601</v>
      </c>
      <c r="AL163" s="295">
        <f>'FREH LGV vkm'!F163*'FREH Stock'!F262</f>
        <v>95634591.912596077</v>
      </c>
      <c r="AM163" s="295">
        <f>'FREH LGV vkm'!G163*'FREH Stock'!G262</f>
        <v>0</v>
      </c>
      <c r="AN163" s="295">
        <f>'FREH LGV vkm'!H163*'FREH Stock'!H262</f>
        <v>0</v>
      </c>
      <c r="AO163" s="295">
        <f>'FREH LGV vkm'!I163*'FREH Stock'!I262</f>
        <v>0</v>
      </c>
      <c r="AP163" s="295">
        <f>'FREH LGV vkm'!J163*'FREH Stock'!J262</f>
        <v>0</v>
      </c>
      <c r="AQ163" s="295">
        <f>'FREH LGV vkm'!K163*'FREH Stock'!K262</f>
        <v>0</v>
      </c>
      <c r="AR163" s="295">
        <f>'FREH LGV vkm'!L163*'FREH Stock'!L262</f>
        <v>0</v>
      </c>
      <c r="AS163" s="295">
        <f>'FREH LGV vkm'!M163*'FREH Stock'!M262</f>
        <v>0</v>
      </c>
      <c r="AT163" s="295">
        <f>'FREH LGV vkm'!N163*'FREH Stock'!N262</f>
        <v>0</v>
      </c>
      <c r="AU163" s="295">
        <f>'FREH LGV vkm'!O163*'FREH Stock'!O262</f>
        <v>0</v>
      </c>
      <c r="AV163" s="295">
        <f>'FREH LGV vkm'!P163*'FREH Stock'!P262</f>
        <v>0</v>
      </c>
      <c r="AW163" s="295">
        <f>'FREH LGV vkm'!Q163*'FREH Stock'!Q262</f>
        <v>0</v>
      </c>
      <c r="AX163" s="295">
        <f>'FREH LGV vkm'!R163*'FREH Stock'!R262</f>
        <v>0</v>
      </c>
      <c r="AY163" s="295">
        <f>'FREH LGV vkm'!S163*'FREH Stock'!S262</f>
        <v>0</v>
      </c>
      <c r="AZ163" s="295">
        <f>'FREH LGV vkm'!T163*'FREH Stock'!T262</f>
        <v>0</v>
      </c>
      <c r="BA163" s="295">
        <f>'FREH LGV vkm'!U163*'FREH Stock'!U262</f>
        <v>0</v>
      </c>
      <c r="BB163" s="295">
        <f>'FREH LGV vkm'!V163*'FREH Stock'!V262</f>
        <v>0</v>
      </c>
      <c r="BC163" s="295">
        <f>'FREH LGV vkm'!W163*'FREH Stock'!W262</f>
        <v>0</v>
      </c>
      <c r="BD163" s="295">
        <f>'FREH LGV vkm'!X163*'FREH Stock'!X262</f>
        <v>0</v>
      </c>
      <c r="BE163" s="295">
        <f>'FREH LGV vkm'!Y163*'FREH Stock'!Y262</f>
        <v>0</v>
      </c>
      <c r="BF163" s="295">
        <f>'FREH LGV vkm'!Z163*'FREH Stock'!Z262</f>
        <v>0</v>
      </c>
      <c r="BG163" s="295">
        <f>'FREH LGV vkm'!AA163*'FREH Stock'!AA262</f>
        <v>0</v>
      </c>
      <c r="BH163" s="295">
        <f>'FREH LGV vkm'!AB163*'FREH Stock'!AB262</f>
        <v>0</v>
      </c>
      <c r="BI163" s="295">
        <f>'FREH LGV vkm'!AC163*'FREH Stock'!AC262</f>
        <v>0</v>
      </c>
      <c r="BJ163" s="295">
        <f>'FREH LGV vkm'!AD163*'FREH Stock'!AD262</f>
        <v>0</v>
      </c>
      <c r="BK163" s="296">
        <f>'FREH LGV vkm'!AE163*'FREH Stock'!AE262</f>
        <v>0</v>
      </c>
    </row>
    <row r="164" spans="1:63">
      <c r="A164" s="1711"/>
      <c r="B164" s="116">
        <v>4</v>
      </c>
      <c r="C164" s="294">
        <f>SUMPRODUCT(D22:F22,'FREH Stock'!$AJ$24:$AL$24)/SUM('FREH Stock'!$AJ$24:$AL$24)</f>
        <v>19765.127955203588</v>
      </c>
      <c r="D164" s="295">
        <f t="shared" si="39"/>
        <v>19765.127955203588</v>
      </c>
      <c r="E164" s="295">
        <f t="shared" si="39"/>
        <v>19765.127955203588</v>
      </c>
      <c r="F164" s="295">
        <f t="shared" si="39"/>
        <v>19765.127955203588</v>
      </c>
      <c r="G164" s="295">
        <f t="shared" si="39"/>
        <v>19765.127955203588</v>
      </c>
      <c r="H164" s="295">
        <f t="shared" si="39"/>
        <v>19765.127955203588</v>
      </c>
      <c r="I164" s="295">
        <f t="shared" si="39"/>
        <v>19765.127955203588</v>
      </c>
      <c r="J164" s="295">
        <f t="shared" si="39"/>
        <v>19765.127955203588</v>
      </c>
      <c r="K164" s="295">
        <f t="shared" si="39"/>
        <v>19765.127955203588</v>
      </c>
      <c r="L164" s="295">
        <f t="shared" si="39"/>
        <v>19765.127955203588</v>
      </c>
      <c r="M164" s="295">
        <f t="shared" si="39"/>
        <v>19765.127955203588</v>
      </c>
      <c r="N164" s="295">
        <f t="shared" si="39"/>
        <v>19765.127955203588</v>
      </c>
      <c r="O164" s="295">
        <f t="shared" si="39"/>
        <v>19765.127955203588</v>
      </c>
      <c r="P164" s="295">
        <f t="shared" si="39"/>
        <v>19765.127955203588</v>
      </c>
      <c r="Q164" s="295">
        <f t="shared" si="39"/>
        <v>19765.127955203588</v>
      </c>
      <c r="R164" s="295">
        <f t="shared" si="39"/>
        <v>19765.127955203588</v>
      </c>
      <c r="S164" s="295">
        <f t="shared" si="39"/>
        <v>19765.127955203588</v>
      </c>
      <c r="T164" s="295">
        <f t="shared" si="39"/>
        <v>19765.127955203588</v>
      </c>
      <c r="U164" s="295">
        <f t="shared" si="39"/>
        <v>19765.127955203588</v>
      </c>
      <c r="V164" s="295">
        <f t="shared" si="39"/>
        <v>19765.127955203588</v>
      </c>
      <c r="W164" s="295">
        <f t="shared" si="39"/>
        <v>19765.127955203588</v>
      </c>
      <c r="X164" s="295">
        <f t="shared" si="39"/>
        <v>19765.127955203588</v>
      </c>
      <c r="Y164" s="295">
        <f t="shared" si="39"/>
        <v>19765.127955203588</v>
      </c>
      <c r="Z164" s="295">
        <f t="shared" si="39"/>
        <v>19765.127955203588</v>
      </c>
      <c r="AA164" s="295">
        <f t="shared" si="39"/>
        <v>19765.127955203588</v>
      </c>
      <c r="AB164" s="295">
        <f t="shared" si="39"/>
        <v>19765.127955203588</v>
      </c>
      <c r="AC164" s="295">
        <f t="shared" si="39"/>
        <v>19765.127955203588</v>
      </c>
      <c r="AD164" s="295">
        <f t="shared" si="39"/>
        <v>19765.127955203588</v>
      </c>
      <c r="AE164" s="296">
        <f t="shared" si="39"/>
        <v>19765.127955203588</v>
      </c>
      <c r="AG164" s="1711"/>
      <c r="AH164" s="116">
        <v>4</v>
      </c>
      <c r="AI164" s="294">
        <f>'FREH LGV vkm'!C164*'FREH Stock'!C263</f>
        <v>156717699.55680925</v>
      </c>
      <c r="AJ164" s="295">
        <f>'FREH LGV vkm'!D164*'FREH Stock'!D263</f>
        <v>98252451.065317035</v>
      </c>
      <c r="AK164" s="295">
        <f>'FREH LGV vkm'!E164*'FREH Stock'!E263</f>
        <v>94321099.501917079</v>
      </c>
      <c r="AL164" s="295">
        <f>'FREH LGV vkm'!F164*'FREH Stock'!F263</f>
        <v>100139617.59416817</v>
      </c>
      <c r="AM164" s="295">
        <f>'FREH LGV vkm'!G164*'FREH Stock'!G263</f>
        <v>101235695.62314168</v>
      </c>
      <c r="AN164" s="295">
        <f>'FREH LGV vkm'!H164*'FREH Stock'!H263</f>
        <v>0</v>
      </c>
      <c r="AO164" s="295">
        <f>'FREH LGV vkm'!I164*'FREH Stock'!I263</f>
        <v>0</v>
      </c>
      <c r="AP164" s="295">
        <f>'FREH LGV vkm'!J164*'FREH Stock'!J263</f>
        <v>0</v>
      </c>
      <c r="AQ164" s="295">
        <f>'FREH LGV vkm'!K164*'FREH Stock'!K263</f>
        <v>0</v>
      </c>
      <c r="AR164" s="295">
        <f>'FREH LGV vkm'!L164*'FREH Stock'!L263</f>
        <v>0</v>
      </c>
      <c r="AS164" s="295">
        <f>'FREH LGV vkm'!M164*'FREH Stock'!M263</f>
        <v>0</v>
      </c>
      <c r="AT164" s="295">
        <f>'FREH LGV vkm'!N164*'FREH Stock'!N263</f>
        <v>0</v>
      </c>
      <c r="AU164" s="295">
        <f>'FREH LGV vkm'!O164*'FREH Stock'!O263</f>
        <v>0</v>
      </c>
      <c r="AV164" s="295">
        <f>'FREH LGV vkm'!P164*'FREH Stock'!P263</f>
        <v>0</v>
      </c>
      <c r="AW164" s="295">
        <f>'FREH LGV vkm'!Q164*'FREH Stock'!Q263</f>
        <v>0</v>
      </c>
      <c r="AX164" s="295">
        <f>'FREH LGV vkm'!R164*'FREH Stock'!R263</f>
        <v>0</v>
      </c>
      <c r="AY164" s="295">
        <f>'FREH LGV vkm'!S164*'FREH Stock'!S263</f>
        <v>0</v>
      </c>
      <c r="AZ164" s="295">
        <f>'FREH LGV vkm'!T164*'FREH Stock'!T263</f>
        <v>0</v>
      </c>
      <c r="BA164" s="295">
        <f>'FREH LGV vkm'!U164*'FREH Stock'!U263</f>
        <v>0</v>
      </c>
      <c r="BB164" s="295">
        <f>'FREH LGV vkm'!V164*'FREH Stock'!V263</f>
        <v>0</v>
      </c>
      <c r="BC164" s="295">
        <f>'FREH LGV vkm'!W164*'FREH Stock'!W263</f>
        <v>0</v>
      </c>
      <c r="BD164" s="295">
        <f>'FREH LGV vkm'!X164*'FREH Stock'!X263</f>
        <v>0</v>
      </c>
      <c r="BE164" s="295">
        <f>'FREH LGV vkm'!Y164*'FREH Stock'!Y263</f>
        <v>0</v>
      </c>
      <c r="BF164" s="295">
        <f>'FREH LGV vkm'!Z164*'FREH Stock'!Z263</f>
        <v>0</v>
      </c>
      <c r="BG164" s="295">
        <f>'FREH LGV vkm'!AA164*'FREH Stock'!AA263</f>
        <v>0</v>
      </c>
      <c r="BH164" s="295">
        <f>'FREH LGV vkm'!AB164*'FREH Stock'!AB263</f>
        <v>0</v>
      </c>
      <c r="BI164" s="295">
        <f>'FREH LGV vkm'!AC164*'FREH Stock'!AC263</f>
        <v>0</v>
      </c>
      <c r="BJ164" s="295">
        <f>'FREH LGV vkm'!AD164*'FREH Stock'!AD263</f>
        <v>0</v>
      </c>
      <c r="BK164" s="296">
        <f>'FREH LGV vkm'!AE164*'FREH Stock'!AE263</f>
        <v>0</v>
      </c>
    </row>
    <row r="165" spans="1:63">
      <c r="A165" s="1711"/>
      <c r="B165" s="116">
        <v>5</v>
      </c>
      <c r="C165" s="294">
        <f>SUMPRODUCT(D23:F23,'FREH Stock'!$AJ$24:$AL$24)/SUM('FREH Stock'!$AJ$24:$AL$24)</f>
        <v>21472.93883690608</v>
      </c>
      <c r="D165" s="295">
        <f t="shared" si="39"/>
        <v>21472.93883690608</v>
      </c>
      <c r="E165" s="295">
        <f t="shared" si="39"/>
        <v>21472.93883690608</v>
      </c>
      <c r="F165" s="295">
        <f t="shared" si="39"/>
        <v>21472.93883690608</v>
      </c>
      <c r="G165" s="295">
        <f t="shared" si="39"/>
        <v>21472.93883690608</v>
      </c>
      <c r="H165" s="295">
        <f t="shared" si="39"/>
        <v>21472.93883690608</v>
      </c>
      <c r="I165" s="295">
        <f t="shared" si="39"/>
        <v>21472.93883690608</v>
      </c>
      <c r="J165" s="295">
        <f t="shared" si="39"/>
        <v>21472.93883690608</v>
      </c>
      <c r="K165" s="295">
        <f t="shared" si="39"/>
        <v>21472.93883690608</v>
      </c>
      <c r="L165" s="295">
        <f t="shared" si="39"/>
        <v>21472.93883690608</v>
      </c>
      <c r="M165" s="295">
        <f t="shared" si="39"/>
        <v>21472.93883690608</v>
      </c>
      <c r="N165" s="295">
        <f t="shared" si="39"/>
        <v>21472.93883690608</v>
      </c>
      <c r="O165" s="295">
        <f t="shared" si="39"/>
        <v>21472.93883690608</v>
      </c>
      <c r="P165" s="295">
        <f t="shared" si="39"/>
        <v>21472.93883690608</v>
      </c>
      <c r="Q165" s="295">
        <f t="shared" si="39"/>
        <v>21472.93883690608</v>
      </c>
      <c r="R165" s="295">
        <f t="shared" si="39"/>
        <v>21472.93883690608</v>
      </c>
      <c r="S165" s="295">
        <f t="shared" si="39"/>
        <v>21472.93883690608</v>
      </c>
      <c r="T165" s="295">
        <f t="shared" si="39"/>
        <v>21472.93883690608</v>
      </c>
      <c r="U165" s="295">
        <f t="shared" si="39"/>
        <v>21472.93883690608</v>
      </c>
      <c r="V165" s="295">
        <f t="shared" si="39"/>
        <v>21472.93883690608</v>
      </c>
      <c r="W165" s="295">
        <f t="shared" si="39"/>
        <v>21472.93883690608</v>
      </c>
      <c r="X165" s="295">
        <f t="shared" si="39"/>
        <v>21472.93883690608</v>
      </c>
      <c r="Y165" s="295">
        <f t="shared" si="39"/>
        <v>21472.93883690608</v>
      </c>
      <c r="Z165" s="295">
        <f t="shared" si="39"/>
        <v>21472.93883690608</v>
      </c>
      <c r="AA165" s="295">
        <f t="shared" si="39"/>
        <v>21472.93883690608</v>
      </c>
      <c r="AB165" s="295">
        <f t="shared" si="39"/>
        <v>21472.93883690608</v>
      </c>
      <c r="AC165" s="295">
        <f t="shared" si="39"/>
        <v>21472.93883690608</v>
      </c>
      <c r="AD165" s="295">
        <f t="shared" si="39"/>
        <v>21472.93883690608</v>
      </c>
      <c r="AE165" s="296">
        <f t="shared" si="39"/>
        <v>21472.93883690608</v>
      </c>
      <c r="AG165" s="1711"/>
      <c r="AH165" s="116">
        <v>5</v>
      </c>
      <c r="AI165" s="294">
        <f>'FREH LGV vkm'!C165*'FREH Stock'!C264</f>
        <v>216855209.31391451</v>
      </c>
      <c r="AJ165" s="295">
        <f>'FREH LGV vkm'!D165*'FREH Stock'!D264</f>
        <v>170258932.0378283</v>
      </c>
      <c r="AK165" s="295">
        <f>'FREH LGV vkm'!E165*'FREH Stock'!E264</f>
        <v>106741978.95826012</v>
      </c>
      <c r="AL165" s="295">
        <f>'FREH LGV vkm'!F165*'FREH Stock'!F264</f>
        <v>102470937.96836166</v>
      </c>
      <c r="AM165" s="295">
        <f>'FREH LGV vkm'!G165*'FREH Stock'!G264</f>
        <v>108792206.58850464</v>
      </c>
      <c r="AN165" s="295">
        <f>'FREH LGV vkm'!H165*'FREH Stock'!H264</f>
        <v>109982991.51688798</v>
      </c>
      <c r="AO165" s="295">
        <f>'FREH LGV vkm'!I165*'FREH Stock'!I264</f>
        <v>0</v>
      </c>
      <c r="AP165" s="295">
        <f>'FREH LGV vkm'!J165*'FREH Stock'!J264</f>
        <v>0</v>
      </c>
      <c r="AQ165" s="295">
        <f>'FREH LGV vkm'!K165*'FREH Stock'!K264</f>
        <v>0</v>
      </c>
      <c r="AR165" s="295">
        <f>'FREH LGV vkm'!L165*'FREH Stock'!L264</f>
        <v>0</v>
      </c>
      <c r="AS165" s="295">
        <f>'FREH LGV vkm'!M165*'FREH Stock'!M264</f>
        <v>0</v>
      </c>
      <c r="AT165" s="295">
        <f>'FREH LGV vkm'!N165*'FREH Stock'!N264</f>
        <v>0</v>
      </c>
      <c r="AU165" s="295">
        <f>'FREH LGV vkm'!O165*'FREH Stock'!O264</f>
        <v>0</v>
      </c>
      <c r="AV165" s="295">
        <f>'FREH LGV vkm'!P165*'FREH Stock'!P264</f>
        <v>0</v>
      </c>
      <c r="AW165" s="295">
        <f>'FREH LGV vkm'!Q165*'FREH Stock'!Q264</f>
        <v>0</v>
      </c>
      <c r="AX165" s="295">
        <f>'FREH LGV vkm'!R165*'FREH Stock'!R264</f>
        <v>0</v>
      </c>
      <c r="AY165" s="295">
        <f>'FREH LGV vkm'!S165*'FREH Stock'!S264</f>
        <v>0</v>
      </c>
      <c r="AZ165" s="295">
        <f>'FREH LGV vkm'!T165*'FREH Stock'!T264</f>
        <v>0</v>
      </c>
      <c r="BA165" s="295">
        <f>'FREH LGV vkm'!U165*'FREH Stock'!U264</f>
        <v>0</v>
      </c>
      <c r="BB165" s="295">
        <f>'FREH LGV vkm'!V165*'FREH Stock'!V264</f>
        <v>0</v>
      </c>
      <c r="BC165" s="295">
        <f>'FREH LGV vkm'!W165*'FREH Stock'!W264</f>
        <v>0</v>
      </c>
      <c r="BD165" s="295">
        <f>'FREH LGV vkm'!X165*'FREH Stock'!X264</f>
        <v>0</v>
      </c>
      <c r="BE165" s="295">
        <f>'FREH LGV vkm'!Y165*'FREH Stock'!Y264</f>
        <v>0</v>
      </c>
      <c r="BF165" s="295">
        <f>'FREH LGV vkm'!Z165*'FREH Stock'!Z264</f>
        <v>0</v>
      </c>
      <c r="BG165" s="295">
        <f>'FREH LGV vkm'!AA165*'FREH Stock'!AA264</f>
        <v>0</v>
      </c>
      <c r="BH165" s="295">
        <f>'FREH LGV vkm'!AB165*'FREH Stock'!AB264</f>
        <v>0</v>
      </c>
      <c r="BI165" s="295">
        <f>'FREH LGV vkm'!AC165*'FREH Stock'!AC264</f>
        <v>0</v>
      </c>
      <c r="BJ165" s="295">
        <f>'FREH LGV vkm'!AD165*'FREH Stock'!AD264</f>
        <v>0</v>
      </c>
      <c r="BK165" s="296">
        <f>'FREH LGV vkm'!AE165*'FREH Stock'!AE264</f>
        <v>0</v>
      </c>
    </row>
    <row r="166" spans="1:63">
      <c r="A166" s="1711"/>
      <c r="B166" s="116">
        <v>6</v>
      </c>
      <c r="C166" s="486">
        <f>SUMPRODUCT(D24:F24,'FREH Stock'!$AJ$24:$AL$24)/SUM('FREH Stock'!$AJ$24:$AL$24)</f>
        <v>19677.820664419185</v>
      </c>
      <c r="D166" s="295">
        <f t="shared" si="39"/>
        <v>19677.820664419185</v>
      </c>
      <c r="E166" s="295">
        <f t="shared" si="39"/>
        <v>19677.820664419185</v>
      </c>
      <c r="F166" s="295">
        <f t="shared" si="39"/>
        <v>19677.820664419185</v>
      </c>
      <c r="G166" s="295">
        <f t="shared" si="39"/>
        <v>19677.820664419185</v>
      </c>
      <c r="H166" s="295">
        <f t="shared" si="39"/>
        <v>19677.820664419185</v>
      </c>
      <c r="I166" s="295">
        <f t="shared" si="39"/>
        <v>19677.820664419185</v>
      </c>
      <c r="J166" s="295">
        <f t="shared" si="39"/>
        <v>19677.820664419185</v>
      </c>
      <c r="K166" s="295">
        <f t="shared" si="39"/>
        <v>19677.820664419185</v>
      </c>
      <c r="L166" s="295">
        <f t="shared" si="39"/>
        <v>19677.820664419185</v>
      </c>
      <c r="M166" s="295">
        <f t="shared" si="39"/>
        <v>19677.820664419185</v>
      </c>
      <c r="N166" s="295">
        <f t="shared" si="39"/>
        <v>19677.820664419185</v>
      </c>
      <c r="O166" s="295">
        <f t="shared" si="39"/>
        <v>19677.820664419185</v>
      </c>
      <c r="P166" s="295">
        <f t="shared" si="39"/>
        <v>19677.820664419185</v>
      </c>
      <c r="Q166" s="295">
        <f t="shared" si="39"/>
        <v>19677.820664419185</v>
      </c>
      <c r="R166" s="295">
        <f t="shared" si="39"/>
        <v>19677.820664419185</v>
      </c>
      <c r="S166" s="295">
        <f t="shared" si="39"/>
        <v>19677.820664419185</v>
      </c>
      <c r="T166" s="295">
        <f t="shared" si="39"/>
        <v>19677.820664419185</v>
      </c>
      <c r="U166" s="295">
        <f t="shared" si="39"/>
        <v>19677.820664419185</v>
      </c>
      <c r="V166" s="295">
        <f t="shared" si="39"/>
        <v>19677.820664419185</v>
      </c>
      <c r="W166" s="295">
        <f t="shared" si="39"/>
        <v>19677.820664419185</v>
      </c>
      <c r="X166" s="295">
        <f t="shared" si="39"/>
        <v>19677.820664419185</v>
      </c>
      <c r="Y166" s="295">
        <f t="shared" si="39"/>
        <v>19677.820664419185</v>
      </c>
      <c r="Z166" s="295">
        <f t="shared" si="39"/>
        <v>19677.820664419185</v>
      </c>
      <c r="AA166" s="295">
        <f t="shared" si="39"/>
        <v>19677.820664419185</v>
      </c>
      <c r="AB166" s="295">
        <f t="shared" si="39"/>
        <v>19677.820664419185</v>
      </c>
      <c r="AC166" s="295">
        <f t="shared" si="39"/>
        <v>19677.820664419185</v>
      </c>
      <c r="AD166" s="295">
        <f t="shared" si="39"/>
        <v>19677.820664419185</v>
      </c>
      <c r="AE166" s="296">
        <f t="shared" si="39"/>
        <v>19677.820664419185</v>
      </c>
      <c r="AG166" s="1711"/>
      <c r="AH166" s="116">
        <v>6</v>
      </c>
      <c r="AI166" s="294">
        <f>'FREH LGV vkm'!C166*'FREH Stock'!C265</f>
        <v>222280662.22527912</v>
      </c>
      <c r="AJ166" s="295">
        <f>'FREH LGV vkm'!D166*'FREH Stock'!D265</f>
        <v>197990206.19425219</v>
      </c>
      <c r="AK166" s="295">
        <f>'FREH LGV vkm'!E166*'FREH Stock'!E265</f>
        <v>155447504.19984412</v>
      </c>
      <c r="AL166" s="295">
        <f>'FREH LGV vkm'!F166*'FREH Stock'!F265</f>
        <v>97456115.951245442</v>
      </c>
      <c r="AM166" s="295">
        <f>'FREH LGV vkm'!G166*'FREH Stock'!G265</f>
        <v>93556627.952181533</v>
      </c>
      <c r="AN166" s="295">
        <f>'FREH LGV vkm'!H166*'FREH Stock'!H265</f>
        <v>99327987.01462236</v>
      </c>
      <c r="AO166" s="295">
        <f>'FREH LGV vkm'!I166*'FREH Stock'!I265</f>
        <v>100415181.342347</v>
      </c>
      <c r="AP166" s="295">
        <f>'FREH LGV vkm'!J166*'FREH Stock'!J265</f>
        <v>0</v>
      </c>
      <c r="AQ166" s="295">
        <f>'FREH LGV vkm'!K166*'FREH Stock'!K265</f>
        <v>0</v>
      </c>
      <c r="AR166" s="295">
        <f>'FREH LGV vkm'!L166*'FREH Stock'!L265</f>
        <v>0</v>
      </c>
      <c r="AS166" s="295">
        <f>'FREH LGV vkm'!M166*'FREH Stock'!M265</f>
        <v>0</v>
      </c>
      <c r="AT166" s="295">
        <f>'FREH LGV vkm'!N166*'FREH Stock'!N265</f>
        <v>0</v>
      </c>
      <c r="AU166" s="295">
        <f>'FREH LGV vkm'!O166*'FREH Stock'!O265</f>
        <v>0</v>
      </c>
      <c r="AV166" s="295">
        <f>'FREH LGV vkm'!P166*'FREH Stock'!P265</f>
        <v>0</v>
      </c>
      <c r="AW166" s="295">
        <f>'FREH LGV vkm'!Q166*'FREH Stock'!Q265</f>
        <v>0</v>
      </c>
      <c r="AX166" s="295">
        <f>'FREH LGV vkm'!R166*'FREH Stock'!R265</f>
        <v>0</v>
      </c>
      <c r="AY166" s="295">
        <f>'FREH LGV vkm'!S166*'FREH Stock'!S265</f>
        <v>0</v>
      </c>
      <c r="AZ166" s="295">
        <f>'FREH LGV vkm'!T166*'FREH Stock'!T265</f>
        <v>0</v>
      </c>
      <c r="BA166" s="295">
        <f>'FREH LGV vkm'!U166*'FREH Stock'!U265</f>
        <v>0</v>
      </c>
      <c r="BB166" s="295">
        <f>'FREH LGV vkm'!V166*'FREH Stock'!V265</f>
        <v>0</v>
      </c>
      <c r="BC166" s="295">
        <f>'FREH LGV vkm'!W166*'FREH Stock'!W265</f>
        <v>0</v>
      </c>
      <c r="BD166" s="295">
        <f>'FREH LGV vkm'!X166*'FREH Stock'!X265</f>
        <v>0</v>
      </c>
      <c r="BE166" s="295">
        <f>'FREH LGV vkm'!Y166*'FREH Stock'!Y265</f>
        <v>0</v>
      </c>
      <c r="BF166" s="295">
        <f>'FREH LGV vkm'!Z166*'FREH Stock'!Z265</f>
        <v>0</v>
      </c>
      <c r="BG166" s="295">
        <f>'FREH LGV vkm'!AA166*'FREH Stock'!AA265</f>
        <v>0</v>
      </c>
      <c r="BH166" s="295">
        <f>'FREH LGV vkm'!AB166*'FREH Stock'!AB265</f>
        <v>0</v>
      </c>
      <c r="BI166" s="295">
        <f>'FREH LGV vkm'!AC166*'FREH Stock'!AC265</f>
        <v>0</v>
      </c>
      <c r="BJ166" s="295">
        <f>'FREH LGV vkm'!AD166*'FREH Stock'!AD265</f>
        <v>0</v>
      </c>
      <c r="BK166" s="296">
        <f>'FREH LGV vkm'!AE166*'FREH Stock'!AE265</f>
        <v>0</v>
      </c>
    </row>
    <row r="167" spans="1:63">
      <c r="A167" s="1711"/>
      <c r="B167" s="116">
        <v>7</v>
      </c>
      <c r="C167" s="294">
        <f>C166</f>
        <v>19677.820664419185</v>
      </c>
      <c r="D167" s="295">
        <f>D166</f>
        <v>19677.820664419185</v>
      </c>
      <c r="E167" s="295">
        <f t="shared" ref="E167:AE176" si="40">E166</f>
        <v>19677.820664419185</v>
      </c>
      <c r="F167" s="295">
        <f t="shared" si="40"/>
        <v>19677.820664419185</v>
      </c>
      <c r="G167" s="295">
        <f t="shared" si="40"/>
        <v>19677.820664419185</v>
      </c>
      <c r="H167" s="295">
        <f t="shared" si="40"/>
        <v>19677.820664419185</v>
      </c>
      <c r="I167" s="295">
        <f t="shared" si="40"/>
        <v>19677.820664419185</v>
      </c>
      <c r="J167" s="295">
        <f t="shared" si="40"/>
        <v>19677.820664419185</v>
      </c>
      <c r="K167" s="295">
        <f t="shared" si="40"/>
        <v>19677.820664419185</v>
      </c>
      <c r="L167" s="295">
        <f t="shared" si="40"/>
        <v>19677.820664419185</v>
      </c>
      <c r="M167" s="295">
        <f t="shared" si="40"/>
        <v>19677.820664419185</v>
      </c>
      <c r="N167" s="295">
        <f t="shared" si="40"/>
        <v>19677.820664419185</v>
      </c>
      <c r="O167" s="295">
        <f t="shared" si="40"/>
        <v>19677.820664419185</v>
      </c>
      <c r="P167" s="295">
        <f t="shared" si="40"/>
        <v>19677.820664419185</v>
      </c>
      <c r="Q167" s="295">
        <f t="shared" si="40"/>
        <v>19677.820664419185</v>
      </c>
      <c r="R167" s="295">
        <f t="shared" si="40"/>
        <v>19677.820664419185</v>
      </c>
      <c r="S167" s="295">
        <f t="shared" si="40"/>
        <v>19677.820664419185</v>
      </c>
      <c r="T167" s="295">
        <f t="shared" si="40"/>
        <v>19677.820664419185</v>
      </c>
      <c r="U167" s="295">
        <f t="shared" si="40"/>
        <v>19677.820664419185</v>
      </c>
      <c r="V167" s="295">
        <f t="shared" si="40"/>
        <v>19677.820664419185</v>
      </c>
      <c r="W167" s="295">
        <f t="shared" si="40"/>
        <v>19677.820664419185</v>
      </c>
      <c r="X167" s="295">
        <f t="shared" si="40"/>
        <v>19677.820664419185</v>
      </c>
      <c r="Y167" s="295">
        <f t="shared" si="40"/>
        <v>19677.820664419185</v>
      </c>
      <c r="Z167" s="295">
        <f t="shared" si="40"/>
        <v>19677.820664419185</v>
      </c>
      <c r="AA167" s="295">
        <f t="shared" si="40"/>
        <v>19677.820664419185</v>
      </c>
      <c r="AB167" s="295">
        <f t="shared" si="40"/>
        <v>19677.820664419185</v>
      </c>
      <c r="AC167" s="295">
        <f t="shared" si="40"/>
        <v>19677.820664419185</v>
      </c>
      <c r="AD167" s="295">
        <f t="shared" si="40"/>
        <v>19677.820664419185</v>
      </c>
      <c r="AE167" s="296">
        <f t="shared" si="40"/>
        <v>19677.820664419185</v>
      </c>
      <c r="AG167" s="1711"/>
      <c r="AH167" s="116">
        <v>7</v>
      </c>
      <c r="AI167" s="294">
        <f>'FREH LGV vkm'!C167*'FREH Stock'!C266</f>
        <v>186427672.97470737</v>
      </c>
      <c r="AJ167" s="295">
        <f>'FREH LGV vkm'!D167*'FREH Stock'!D266</f>
        <v>213298688.01066431</v>
      </c>
      <c r="AK167" s="295">
        <f>'FREH LGV vkm'!E167*'FREH Stock'!E266</f>
        <v>189989766.97934332</v>
      </c>
      <c r="AL167" s="295">
        <f>'FREH LGV vkm'!F167*'FREH Stock'!F266</f>
        <v>149166141.4376882</v>
      </c>
      <c r="AM167" s="295">
        <f>'FREH LGV vkm'!G167*'FREH Stock'!G266</f>
        <v>93518084.132519618</v>
      </c>
      <c r="AN167" s="295">
        <f>'FREH LGV vkm'!H167*'FREH Stock'!H266</f>
        <v>89776167.64825666</v>
      </c>
      <c r="AO167" s="295">
        <f>'FREH LGV vkm'!I167*'FREH Stock'!I266</f>
        <v>95314316.148144841</v>
      </c>
      <c r="AP167" s="295">
        <f>'FREH LGV vkm'!J167*'FREH Stock'!J266</f>
        <v>96357578.847629145</v>
      </c>
      <c r="AQ167" s="295">
        <f>'FREH LGV vkm'!K167*'FREH Stock'!K266</f>
        <v>0</v>
      </c>
      <c r="AR167" s="295">
        <f>'FREH LGV vkm'!L167*'FREH Stock'!L266</f>
        <v>0</v>
      </c>
      <c r="AS167" s="295">
        <f>'FREH LGV vkm'!M167*'FREH Stock'!M266</f>
        <v>0</v>
      </c>
      <c r="AT167" s="295">
        <f>'FREH LGV vkm'!N167*'FREH Stock'!N266</f>
        <v>0</v>
      </c>
      <c r="AU167" s="295">
        <f>'FREH LGV vkm'!O167*'FREH Stock'!O266</f>
        <v>0</v>
      </c>
      <c r="AV167" s="295">
        <f>'FREH LGV vkm'!P167*'FREH Stock'!P266</f>
        <v>0</v>
      </c>
      <c r="AW167" s="295">
        <f>'FREH LGV vkm'!Q167*'FREH Stock'!Q266</f>
        <v>0</v>
      </c>
      <c r="AX167" s="295">
        <f>'FREH LGV vkm'!R167*'FREH Stock'!R266</f>
        <v>0</v>
      </c>
      <c r="AY167" s="295">
        <f>'FREH LGV vkm'!S167*'FREH Stock'!S266</f>
        <v>0</v>
      </c>
      <c r="AZ167" s="295">
        <f>'FREH LGV vkm'!T167*'FREH Stock'!T266</f>
        <v>0</v>
      </c>
      <c r="BA167" s="295">
        <f>'FREH LGV vkm'!U167*'FREH Stock'!U266</f>
        <v>0</v>
      </c>
      <c r="BB167" s="295">
        <f>'FREH LGV vkm'!V167*'FREH Stock'!V266</f>
        <v>0</v>
      </c>
      <c r="BC167" s="295">
        <f>'FREH LGV vkm'!W167*'FREH Stock'!W266</f>
        <v>0</v>
      </c>
      <c r="BD167" s="295">
        <f>'FREH LGV vkm'!X167*'FREH Stock'!X266</f>
        <v>0</v>
      </c>
      <c r="BE167" s="295">
        <f>'FREH LGV vkm'!Y167*'FREH Stock'!Y266</f>
        <v>0</v>
      </c>
      <c r="BF167" s="295">
        <f>'FREH LGV vkm'!Z167*'FREH Stock'!Z266</f>
        <v>0</v>
      </c>
      <c r="BG167" s="295">
        <f>'FREH LGV vkm'!AA167*'FREH Stock'!AA266</f>
        <v>0</v>
      </c>
      <c r="BH167" s="295">
        <f>'FREH LGV vkm'!AB167*'FREH Stock'!AB266</f>
        <v>0</v>
      </c>
      <c r="BI167" s="295">
        <f>'FREH LGV vkm'!AC167*'FREH Stock'!AC266</f>
        <v>0</v>
      </c>
      <c r="BJ167" s="295">
        <f>'FREH LGV vkm'!AD167*'FREH Stock'!AD266</f>
        <v>0</v>
      </c>
      <c r="BK167" s="296">
        <f>'FREH LGV vkm'!AE167*'FREH Stock'!AE266</f>
        <v>0</v>
      </c>
    </row>
    <row r="168" spans="1:63">
      <c r="A168" s="1711"/>
      <c r="B168" s="116">
        <v>8</v>
      </c>
      <c r="C168" s="294">
        <f t="shared" ref="C168:D183" si="41">C167</f>
        <v>19677.820664419185</v>
      </c>
      <c r="D168" s="295">
        <f t="shared" si="41"/>
        <v>19677.820664419185</v>
      </c>
      <c r="E168" s="295">
        <f t="shared" si="40"/>
        <v>19677.820664419185</v>
      </c>
      <c r="F168" s="295">
        <f t="shared" si="40"/>
        <v>19677.820664419185</v>
      </c>
      <c r="G168" s="295">
        <f t="shared" si="40"/>
        <v>19677.820664419185</v>
      </c>
      <c r="H168" s="295">
        <f t="shared" si="40"/>
        <v>19677.820664419185</v>
      </c>
      <c r="I168" s="295">
        <f t="shared" si="40"/>
        <v>19677.820664419185</v>
      </c>
      <c r="J168" s="295">
        <f t="shared" si="40"/>
        <v>19677.820664419185</v>
      </c>
      <c r="K168" s="295">
        <f t="shared" si="40"/>
        <v>19677.820664419185</v>
      </c>
      <c r="L168" s="295">
        <f t="shared" si="40"/>
        <v>19677.820664419185</v>
      </c>
      <c r="M168" s="295">
        <f t="shared" si="40"/>
        <v>19677.820664419185</v>
      </c>
      <c r="N168" s="295">
        <f t="shared" si="40"/>
        <v>19677.820664419185</v>
      </c>
      <c r="O168" s="295">
        <f t="shared" si="40"/>
        <v>19677.820664419185</v>
      </c>
      <c r="P168" s="295">
        <f t="shared" si="40"/>
        <v>19677.820664419185</v>
      </c>
      <c r="Q168" s="295">
        <f t="shared" si="40"/>
        <v>19677.820664419185</v>
      </c>
      <c r="R168" s="295">
        <f t="shared" si="40"/>
        <v>19677.820664419185</v>
      </c>
      <c r="S168" s="295">
        <f t="shared" si="40"/>
        <v>19677.820664419185</v>
      </c>
      <c r="T168" s="295">
        <f t="shared" si="40"/>
        <v>19677.820664419185</v>
      </c>
      <c r="U168" s="295">
        <f t="shared" si="40"/>
        <v>19677.820664419185</v>
      </c>
      <c r="V168" s="295">
        <f t="shared" si="40"/>
        <v>19677.820664419185</v>
      </c>
      <c r="W168" s="295">
        <f t="shared" si="40"/>
        <v>19677.820664419185</v>
      </c>
      <c r="X168" s="295">
        <f t="shared" si="40"/>
        <v>19677.820664419185</v>
      </c>
      <c r="Y168" s="295">
        <f t="shared" si="40"/>
        <v>19677.820664419185</v>
      </c>
      <c r="Z168" s="295">
        <f t="shared" si="40"/>
        <v>19677.820664419185</v>
      </c>
      <c r="AA168" s="295">
        <f t="shared" si="40"/>
        <v>19677.820664419185</v>
      </c>
      <c r="AB168" s="295">
        <f t="shared" si="40"/>
        <v>19677.820664419185</v>
      </c>
      <c r="AC168" s="295">
        <f t="shared" si="40"/>
        <v>19677.820664419185</v>
      </c>
      <c r="AD168" s="295">
        <f t="shared" si="40"/>
        <v>19677.820664419185</v>
      </c>
      <c r="AE168" s="296">
        <f t="shared" si="40"/>
        <v>19677.820664419185</v>
      </c>
      <c r="AG168" s="1711"/>
      <c r="AH168" s="116">
        <v>8</v>
      </c>
      <c r="AI168" s="294">
        <f>'FREH LGV vkm'!C168*'FREH Stock'!C267</f>
        <v>139574781.97272527</v>
      </c>
      <c r="AJ168" s="295">
        <f>'FREH LGV vkm'!D168*'FREH Stock'!D267</f>
        <v>169924342.17703879</v>
      </c>
      <c r="AK168" s="295">
        <f>'FREH LGV vkm'!E168*'FREH Stock'!E267</f>
        <v>194416626.40049618</v>
      </c>
      <c r="AL168" s="295">
        <f>'FREH LGV vkm'!F168*'FREH Stock'!F267</f>
        <v>173171105.2291778</v>
      </c>
      <c r="AM168" s="295">
        <f>'FREH LGV vkm'!G168*'FREH Stock'!G267</f>
        <v>135961351.95189136</v>
      </c>
      <c r="AN168" s="295">
        <f>'FREH LGV vkm'!H168*'FREH Stock'!H267</f>
        <v>85239485.50294514</v>
      </c>
      <c r="AO168" s="295">
        <f>'FREH LGV vkm'!I168*'FREH Stock'!I267</f>
        <v>81828818.583576009</v>
      </c>
      <c r="AP168" s="295">
        <f>'FREH LGV vkm'!J168*'FREH Stock'!J267</f>
        <v>86876707.803594992</v>
      </c>
      <c r="AQ168" s="295">
        <f>'FREH LGV vkm'!K168*'FREH Stock'!K267</f>
        <v>87827616.674038097</v>
      </c>
      <c r="AR168" s="295">
        <f>'FREH LGV vkm'!L168*'FREH Stock'!L267</f>
        <v>0</v>
      </c>
      <c r="AS168" s="295">
        <f>'FREH LGV vkm'!M168*'FREH Stock'!M267</f>
        <v>0</v>
      </c>
      <c r="AT168" s="295">
        <f>'FREH LGV vkm'!N168*'FREH Stock'!N267</f>
        <v>0</v>
      </c>
      <c r="AU168" s="295">
        <f>'FREH LGV vkm'!O168*'FREH Stock'!O267</f>
        <v>0</v>
      </c>
      <c r="AV168" s="295">
        <f>'FREH LGV vkm'!P168*'FREH Stock'!P267</f>
        <v>0</v>
      </c>
      <c r="AW168" s="295">
        <f>'FREH LGV vkm'!Q168*'FREH Stock'!Q267</f>
        <v>0</v>
      </c>
      <c r="AX168" s="295">
        <f>'FREH LGV vkm'!R168*'FREH Stock'!R267</f>
        <v>0</v>
      </c>
      <c r="AY168" s="295">
        <f>'FREH LGV vkm'!S168*'FREH Stock'!S267</f>
        <v>0</v>
      </c>
      <c r="AZ168" s="295">
        <f>'FREH LGV vkm'!T168*'FREH Stock'!T267</f>
        <v>0</v>
      </c>
      <c r="BA168" s="295">
        <f>'FREH LGV vkm'!U168*'FREH Stock'!U267</f>
        <v>0</v>
      </c>
      <c r="BB168" s="295">
        <f>'FREH LGV vkm'!V168*'FREH Stock'!V267</f>
        <v>0</v>
      </c>
      <c r="BC168" s="295">
        <f>'FREH LGV vkm'!W168*'FREH Stock'!W267</f>
        <v>0</v>
      </c>
      <c r="BD168" s="295">
        <f>'FREH LGV vkm'!X168*'FREH Stock'!X267</f>
        <v>0</v>
      </c>
      <c r="BE168" s="295">
        <f>'FREH LGV vkm'!Y168*'FREH Stock'!Y267</f>
        <v>0</v>
      </c>
      <c r="BF168" s="295">
        <f>'FREH LGV vkm'!Z168*'FREH Stock'!Z267</f>
        <v>0</v>
      </c>
      <c r="BG168" s="295">
        <f>'FREH LGV vkm'!AA168*'FREH Stock'!AA267</f>
        <v>0</v>
      </c>
      <c r="BH168" s="295">
        <f>'FREH LGV vkm'!AB168*'FREH Stock'!AB267</f>
        <v>0</v>
      </c>
      <c r="BI168" s="295">
        <f>'FREH LGV vkm'!AC168*'FREH Stock'!AC267</f>
        <v>0</v>
      </c>
      <c r="BJ168" s="295">
        <f>'FREH LGV vkm'!AD168*'FREH Stock'!AD267</f>
        <v>0</v>
      </c>
      <c r="BK168" s="296">
        <f>'FREH LGV vkm'!AE168*'FREH Stock'!AE267</f>
        <v>0</v>
      </c>
    </row>
    <row r="169" spans="1:63">
      <c r="A169" s="1711"/>
      <c r="B169" s="116">
        <v>9</v>
      </c>
      <c r="C169" s="294">
        <f t="shared" si="41"/>
        <v>19677.820664419185</v>
      </c>
      <c r="D169" s="295">
        <f t="shared" si="41"/>
        <v>19677.820664419185</v>
      </c>
      <c r="E169" s="295">
        <f t="shared" si="40"/>
        <v>19677.820664419185</v>
      </c>
      <c r="F169" s="295">
        <f t="shared" si="40"/>
        <v>19677.820664419185</v>
      </c>
      <c r="G169" s="295">
        <f t="shared" si="40"/>
        <v>19677.820664419185</v>
      </c>
      <c r="H169" s="295">
        <f t="shared" si="40"/>
        <v>19677.820664419185</v>
      </c>
      <c r="I169" s="295">
        <f t="shared" si="40"/>
        <v>19677.820664419185</v>
      </c>
      <c r="J169" s="295">
        <f t="shared" si="40"/>
        <v>19677.820664419185</v>
      </c>
      <c r="K169" s="295">
        <f t="shared" si="40"/>
        <v>19677.820664419185</v>
      </c>
      <c r="L169" s="295">
        <f t="shared" si="40"/>
        <v>19677.820664419185</v>
      </c>
      <c r="M169" s="295">
        <f t="shared" si="40"/>
        <v>19677.820664419185</v>
      </c>
      <c r="N169" s="295">
        <f t="shared" si="40"/>
        <v>19677.820664419185</v>
      </c>
      <c r="O169" s="295">
        <f t="shared" si="40"/>
        <v>19677.820664419185</v>
      </c>
      <c r="P169" s="295">
        <f t="shared" si="40"/>
        <v>19677.820664419185</v>
      </c>
      <c r="Q169" s="295">
        <f t="shared" si="40"/>
        <v>19677.820664419185</v>
      </c>
      <c r="R169" s="295">
        <f t="shared" si="40"/>
        <v>19677.820664419185</v>
      </c>
      <c r="S169" s="295">
        <f t="shared" si="40"/>
        <v>19677.820664419185</v>
      </c>
      <c r="T169" s="295">
        <f t="shared" si="40"/>
        <v>19677.820664419185</v>
      </c>
      <c r="U169" s="295">
        <f t="shared" si="40"/>
        <v>19677.820664419185</v>
      </c>
      <c r="V169" s="295">
        <f t="shared" si="40"/>
        <v>19677.820664419185</v>
      </c>
      <c r="W169" s="295">
        <f t="shared" si="40"/>
        <v>19677.820664419185</v>
      </c>
      <c r="X169" s="295">
        <f t="shared" si="40"/>
        <v>19677.820664419185</v>
      </c>
      <c r="Y169" s="295">
        <f t="shared" si="40"/>
        <v>19677.820664419185</v>
      </c>
      <c r="Z169" s="295">
        <f t="shared" si="40"/>
        <v>19677.820664419185</v>
      </c>
      <c r="AA169" s="295">
        <f t="shared" si="40"/>
        <v>19677.820664419185</v>
      </c>
      <c r="AB169" s="295">
        <f t="shared" si="40"/>
        <v>19677.820664419185</v>
      </c>
      <c r="AC169" s="295">
        <f t="shared" si="40"/>
        <v>19677.820664419185</v>
      </c>
      <c r="AD169" s="295">
        <f t="shared" si="40"/>
        <v>19677.820664419185</v>
      </c>
      <c r="AE169" s="296">
        <f t="shared" si="40"/>
        <v>19677.820664419185</v>
      </c>
      <c r="AG169" s="1711"/>
      <c r="AH169" s="116">
        <v>9</v>
      </c>
      <c r="AI169" s="294">
        <f>'FREH LGV vkm'!C169*'FREH Stock'!C268</f>
        <v>105906030.81590405</v>
      </c>
      <c r="AJ169" s="295">
        <f>'FREH LGV vkm'!D169*'FREH Stock'!D268</f>
        <v>117335951.11187938</v>
      </c>
      <c r="AK169" s="295">
        <f>'FREH LGV vkm'!E169*'FREH Stock'!E268</f>
        <v>142849833.07585949</v>
      </c>
      <c r="AL169" s="295">
        <f>'FREH LGV vkm'!F169*'FREH Stock'!F268</f>
        <v>163439694.82340235</v>
      </c>
      <c r="AM169" s="295">
        <f>'FREH LGV vkm'!G169*'FREH Stock'!G268</f>
        <v>145579280.51165834</v>
      </c>
      <c r="AN169" s="295">
        <f>'FREH LGV vkm'!H169*'FREH Stock'!H268</f>
        <v>114298258.7560094</v>
      </c>
      <c r="AO169" s="295">
        <f>'FREH LGV vkm'!I169*'FREH Stock'!I268</f>
        <v>71658045.690014228</v>
      </c>
      <c r="AP169" s="295">
        <f>'FREH LGV vkm'!J169*'FREH Stock'!J268</f>
        <v>68790809.637385428</v>
      </c>
      <c r="AQ169" s="295">
        <f>'FREH LGV vkm'!K169*'FREH Stock'!K268</f>
        <v>73034404.89411366</v>
      </c>
      <c r="AR169" s="295">
        <f>'FREH LGV vkm'!L169*'FREH Stock'!L268</f>
        <v>73833802.859542444</v>
      </c>
      <c r="AS169" s="295">
        <f>'FREH LGV vkm'!M169*'FREH Stock'!M268</f>
        <v>0</v>
      </c>
      <c r="AT169" s="295">
        <f>'FREH LGV vkm'!N169*'FREH Stock'!N268</f>
        <v>0</v>
      </c>
      <c r="AU169" s="295">
        <f>'FREH LGV vkm'!O169*'FREH Stock'!O268</f>
        <v>0</v>
      </c>
      <c r="AV169" s="295">
        <f>'FREH LGV vkm'!P169*'FREH Stock'!P268</f>
        <v>0</v>
      </c>
      <c r="AW169" s="295">
        <f>'FREH LGV vkm'!Q169*'FREH Stock'!Q268</f>
        <v>0</v>
      </c>
      <c r="AX169" s="295">
        <f>'FREH LGV vkm'!R169*'FREH Stock'!R268</f>
        <v>0</v>
      </c>
      <c r="AY169" s="295">
        <f>'FREH LGV vkm'!S169*'FREH Stock'!S268</f>
        <v>0</v>
      </c>
      <c r="AZ169" s="295">
        <f>'FREH LGV vkm'!T169*'FREH Stock'!T268</f>
        <v>0</v>
      </c>
      <c r="BA169" s="295">
        <f>'FREH LGV vkm'!U169*'FREH Stock'!U268</f>
        <v>0</v>
      </c>
      <c r="BB169" s="295">
        <f>'FREH LGV vkm'!V169*'FREH Stock'!V268</f>
        <v>0</v>
      </c>
      <c r="BC169" s="295">
        <f>'FREH LGV vkm'!W169*'FREH Stock'!W268</f>
        <v>0</v>
      </c>
      <c r="BD169" s="295">
        <f>'FREH LGV vkm'!X169*'FREH Stock'!X268</f>
        <v>0</v>
      </c>
      <c r="BE169" s="295">
        <f>'FREH LGV vkm'!Y169*'FREH Stock'!Y268</f>
        <v>0</v>
      </c>
      <c r="BF169" s="295">
        <f>'FREH LGV vkm'!Z169*'FREH Stock'!Z268</f>
        <v>0</v>
      </c>
      <c r="BG169" s="295">
        <f>'FREH LGV vkm'!AA169*'FREH Stock'!AA268</f>
        <v>0</v>
      </c>
      <c r="BH169" s="295">
        <f>'FREH LGV vkm'!AB169*'FREH Stock'!AB268</f>
        <v>0</v>
      </c>
      <c r="BI169" s="295">
        <f>'FREH LGV vkm'!AC169*'FREH Stock'!AC268</f>
        <v>0</v>
      </c>
      <c r="BJ169" s="295">
        <f>'FREH LGV vkm'!AD169*'FREH Stock'!AD268</f>
        <v>0</v>
      </c>
      <c r="BK169" s="296">
        <f>'FREH LGV vkm'!AE169*'FREH Stock'!AE268</f>
        <v>0</v>
      </c>
    </row>
    <row r="170" spans="1:63">
      <c r="A170" s="1711"/>
      <c r="B170" s="116">
        <v>10</v>
      </c>
      <c r="C170" s="294">
        <f t="shared" si="41"/>
        <v>19677.820664419185</v>
      </c>
      <c r="D170" s="295">
        <f t="shared" si="41"/>
        <v>19677.820664419185</v>
      </c>
      <c r="E170" s="295">
        <f t="shared" si="40"/>
        <v>19677.820664419185</v>
      </c>
      <c r="F170" s="295">
        <f t="shared" si="40"/>
        <v>19677.820664419185</v>
      </c>
      <c r="G170" s="295">
        <f t="shared" si="40"/>
        <v>19677.820664419185</v>
      </c>
      <c r="H170" s="295">
        <f t="shared" si="40"/>
        <v>19677.820664419185</v>
      </c>
      <c r="I170" s="295">
        <f t="shared" si="40"/>
        <v>19677.820664419185</v>
      </c>
      <c r="J170" s="295">
        <f t="shared" si="40"/>
        <v>19677.820664419185</v>
      </c>
      <c r="K170" s="295">
        <f t="shared" si="40"/>
        <v>19677.820664419185</v>
      </c>
      <c r="L170" s="295">
        <f t="shared" si="40"/>
        <v>19677.820664419185</v>
      </c>
      <c r="M170" s="295">
        <f t="shared" si="40"/>
        <v>19677.820664419185</v>
      </c>
      <c r="N170" s="295">
        <f t="shared" si="40"/>
        <v>19677.820664419185</v>
      </c>
      <c r="O170" s="295">
        <f t="shared" si="40"/>
        <v>19677.820664419185</v>
      </c>
      <c r="P170" s="295">
        <f t="shared" si="40"/>
        <v>19677.820664419185</v>
      </c>
      <c r="Q170" s="295">
        <f t="shared" si="40"/>
        <v>19677.820664419185</v>
      </c>
      <c r="R170" s="295">
        <f t="shared" si="40"/>
        <v>19677.820664419185</v>
      </c>
      <c r="S170" s="295">
        <f t="shared" si="40"/>
        <v>19677.820664419185</v>
      </c>
      <c r="T170" s="295">
        <f t="shared" si="40"/>
        <v>19677.820664419185</v>
      </c>
      <c r="U170" s="295">
        <f t="shared" si="40"/>
        <v>19677.820664419185</v>
      </c>
      <c r="V170" s="295">
        <f t="shared" si="40"/>
        <v>19677.820664419185</v>
      </c>
      <c r="W170" s="295">
        <f t="shared" si="40"/>
        <v>19677.820664419185</v>
      </c>
      <c r="X170" s="295">
        <f t="shared" si="40"/>
        <v>19677.820664419185</v>
      </c>
      <c r="Y170" s="295">
        <f t="shared" si="40"/>
        <v>19677.820664419185</v>
      </c>
      <c r="Z170" s="295">
        <f t="shared" si="40"/>
        <v>19677.820664419185</v>
      </c>
      <c r="AA170" s="295">
        <f t="shared" si="40"/>
        <v>19677.820664419185</v>
      </c>
      <c r="AB170" s="295">
        <f t="shared" si="40"/>
        <v>19677.820664419185</v>
      </c>
      <c r="AC170" s="295">
        <f t="shared" si="40"/>
        <v>19677.820664419185</v>
      </c>
      <c r="AD170" s="295">
        <f t="shared" si="40"/>
        <v>19677.820664419185</v>
      </c>
      <c r="AE170" s="296">
        <f t="shared" si="40"/>
        <v>19677.820664419185</v>
      </c>
      <c r="AG170" s="1711"/>
      <c r="AH170" s="116">
        <v>10</v>
      </c>
      <c r="AI170" s="294">
        <f>'FREH LGV vkm'!C170*'FREH Stock'!C269</f>
        <v>100494630.13318878</v>
      </c>
      <c r="AJ170" s="295">
        <f>'FREH LGV vkm'!D170*'FREH Stock'!D269</f>
        <v>80610915.842545673</v>
      </c>
      <c r="AK170" s="295">
        <f>'FREH LGV vkm'!E170*'FREH Stock'!E269</f>
        <v>89310858.007949784</v>
      </c>
      <c r="AL170" s="295">
        <f>'FREH LGV vkm'!F170*'FREH Stock'!F269</f>
        <v>108730879.47386791</v>
      </c>
      <c r="AM170" s="295">
        <f>'FREH LGV vkm'!G170*'FREH Stock'!G269</f>
        <v>124402957.82251261</v>
      </c>
      <c r="AN170" s="295">
        <f>'FREH LGV vkm'!H170*'FREH Stock'!H269</f>
        <v>110808412.3192476</v>
      </c>
      <c r="AO170" s="295">
        <f>'FREH LGV vkm'!I170*'FREH Stock'!I269</f>
        <v>86998702.968542859</v>
      </c>
      <c r="AP170" s="295">
        <f>'FREH LGV vkm'!J170*'FREH Stock'!J269</f>
        <v>54542887.180807985</v>
      </c>
      <c r="AQ170" s="295">
        <f>'FREH LGV vkm'!K170*'FREH Stock'!K269</f>
        <v>52360475.826529719</v>
      </c>
      <c r="AR170" s="295">
        <f>'FREH LGV vkm'!L170*'FREH Stock'!L269</f>
        <v>55590510.013200179</v>
      </c>
      <c r="AS170" s="295">
        <f>'FREH LGV vkm'!M170*'FREH Stock'!M269</f>
        <v>56198975.854280546</v>
      </c>
      <c r="AT170" s="295">
        <f>'FREH LGV vkm'!N170*'FREH Stock'!N269</f>
        <v>0</v>
      </c>
      <c r="AU170" s="295">
        <f>'FREH LGV vkm'!O170*'FREH Stock'!O269</f>
        <v>0</v>
      </c>
      <c r="AV170" s="295">
        <f>'FREH LGV vkm'!P170*'FREH Stock'!P269</f>
        <v>0</v>
      </c>
      <c r="AW170" s="295">
        <f>'FREH LGV vkm'!Q170*'FREH Stock'!Q269</f>
        <v>0</v>
      </c>
      <c r="AX170" s="295">
        <f>'FREH LGV vkm'!R170*'FREH Stock'!R269</f>
        <v>0</v>
      </c>
      <c r="AY170" s="295">
        <f>'FREH LGV vkm'!S170*'FREH Stock'!S269</f>
        <v>0</v>
      </c>
      <c r="AZ170" s="295">
        <f>'FREH LGV vkm'!T170*'FREH Stock'!T269</f>
        <v>0</v>
      </c>
      <c r="BA170" s="295">
        <f>'FREH LGV vkm'!U170*'FREH Stock'!U269</f>
        <v>0</v>
      </c>
      <c r="BB170" s="295">
        <f>'FREH LGV vkm'!V170*'FREH Stock'!V269</f>
        <v>0</v>
      </c>
      <c r="BC170" s="295">
        <f>'FREH LGV vkm'!W170*'FREH Stock'!W269</f>
        <v>0</v>
      </c>
      <c r="BD170" s="295">
        <f>'FREH LGV vkm'!X170*'FREH Stock'!X269</f>
        <v>0</v>
      </c>
      <c r="BE170" s="295">
        <f>'FREH LGV vkm'!Y170*'FREH Stock'!Y269</f>
        <v>0</v>
      </c>
      <c r="BF170" s="295">
        <f>'FREH LGV vkm'!Z170*'FREH Stock'!Z269</f>
        <v>0</v>
      </c>
      <c r="BG170" s="295">
        <f>'FREH LGV vkm'!AA170*'FREH Stock'!AA269</f>
        <v>0</v>
      </c>
      <c r="BH170" s="295">
        <f>'FREH LGV vkm'!AB170*'FREH Stock'!AB269</f>
        <v>0</v>
      </c>
      <c r="BI170" s="295">
        <f>'FREH LGV vkm'!AC170*'FREH Stock'!AC269</f>
        <v>0</v>
      </c>
      <c r="BJ170" s="295">
        <f>'FREH LGV vkm'!AD170*'FREH Stock'!AD269</f>
        <v>0</v>
      </c>
      <c r="BK170" s="296">
        <f>'FREH LGV vkm'!AE170*'FREH Stock'!AE269</f>
        <v>0</v>
      </c>
    </row>
    <row r="171" spans="1:63">
      <c r="A171" s="1711"/>
      <c r="B171" s="116">
        <v>11</v>
      </c>
      <c r="C171" s="294">
        <f t="shared" si="41"/>
        <v>19677.820664419185</v>
      </c>
      <c r="D171" s="295">
        <f t="shared" si="41"/>
        <v>19677.820664419185</v>
      </c>
      <c r="E171" s="295">
        <f t="shared" si="40"/>
        <v>19677.820664419185</v>
      </c>
      <c r="F171" s="295">
        <f t="shared" si="40"/>
        <v>19677.820664419185</v>
      </c>
      <c r="G171" s="295">
        <f t="shared" si="40"/>
        <v>19677.820664419185</v>
      </c>
      <c r="H171" s="295">
        <f t="shared" si="40"/>
        <v>19677.820664419185</v>
      </c>
      <c r="I171" s="295">
        <f t="shared" si="40"/>
        <v>19677.820664419185</v>
      </c>
      <c r="J171" s="295">
        <f t="shared" si="40"/>
        <v>19677.820664419185</v>
      </c>
      <c r="K171" s="295">
        <f t="shared" si="40"/>
        <v>19677.820664419185</v>
      </c>
      <c r="L171" s="295">
        <f t="shared" si="40"/>
        <v>19677.820664419185</v>
      </c>
      <c r="M171" s="295">
        <f t="shared" si="40"/>
        <v>19677.820664419185</v>
      </c>
      <c r="N171" s="295">
        <f t="shared" si="40"/>
        <v>19677.820664419185</v>
      </c>
      <c r="O171" s="295">
        <f t="shared" si="40"/>
        <v>19677.820664419185</v>
      </c>
      <c r="P171" s="295">
        <f t="shared" si="40"/>
        <v>19677.820664419185</v>
      </c>
      <c r="Q171" s="295">
        <f t="shared" si="40"/>
        <v>19677.820664419185</v>
      </c>
      <c r="R171" s="295">
        <f t="shared" si="40"/>
        <v>19677.820664419185</v>
      </c>
      <c r="S171" s="295">
        <f t="shared" si="40"/>
        <v>19677.820664419185</v>
      </c>
      <c r="T171" s="295">
        <f t="shared" si="40"/>
        <v>19677.820664419185</v>
      </c>
      <c r="U171" s="295">
        <f t="shared" si="40"/>
        <v>19677.820664419185</v>
      </c>
      <c r="V171" s="295">
        <f t="shared" si="40"/>
        <v>19677.820664419185</v>
      </c>
      <c r="W171" s="295">
        <f t="shared" si="40"/>
        <v>19677.820664419185</v>
      </c>
      <c r="X171" s="295">
        <f t="shared" si="40"/>
        <v>19677.820664419185</v>
      </c>
      <c r="Y171" s="295">
        <f t="shared" si="40"/>
        <v>19677.820664419185</v>
      </c>
      <c r="Z171" s="295">
        <f t="shared" si="40"/>
        <v>19677.820664419185</v>
      </c>
      <c r="AA171" s="295">
        <f t="shared" si="40"/>
        <v>19677.820664419185</v>
      </c>
      <c r="AB171" s="295">
        <f t="shared" si="40"/>
        <v>19677.820664419185</v>
      </c>
      <c r="AC171" s="295">
        <f t="shared" si="40"/>
        <v>19677.820664419185</v>
      </c>
      <c r="AD171" s="295">
        <f t="shared" si="40"/>
        <v>19677.820664419185</v>
      </c>
      <c r="AE171" s="296">
        <f t="shared" si="40"/>
        <v>19677.820664419185</v>
      </c>
      <c r="AG171" s="1711"/>
      <c r="AH171" s="116">
        <v>11</v>
      </c>
      <c r="AI171" s="294">
        <f>'FREH LGV vkm'!C171*'FREH Stock'!C270</f>
        <v>105807641.71258196</v>
      </c>
      <c r="AJ171" s="295">
        <f>'FREH LGV vkm'!D171*'FREH Stock'!D270</f>
        <v>67929807.205194637</v>
      </c>
      <c r="AK171" s="295">
        <f>'FREH LGV vkm'!E171*'FREH Stock'!E270</f>
        <v>54489319.126414329</v>
      </c>
      <c r="AL171" s="295">
        <f>'FREH LGV vkm'!F171*'FREH Stock'!F270</f>
        <v>60370085.026134484</v>
      </c>
      <c r="AM171" s="295">
        <f>'FREH LGV vkm'!G171*'FREH Stock'!G270</f>
        <v>73497137.808479011</v>
      </c>
      <c r="AN171" s="295">
        <f>'FREH LGV vkm'!H171*'FREH Stock'!H270</f>
        <v>84090751.211674675</v>
      </c>
      <c r="AO171" s="295">
        <f>'FREH LGV vkm'!I171*'FREH Stock'!I270</f>
        <v>74901455.685584113</v>
      </c>
      <c r="AP171" s="295">
        <f>'FREH LGV vkm'!J171*'FREH Stock'!J270</f>
        <v>58807173.198435135</v>
      </c>
      <c r="AQ171" s="295">
        <f>'FREH LGV vkm'!K171*'FREH Stock'!K270</f>
        <v>36868515.319639429</v>
      </c>
      <c r="AR171" s="295">
        <f>'FREH LGV vkm'!L171*'FREH Stock'!L270</f>
        <v>35393304.332325295</v>
      </c>
      <c r="AS171" s="295">
        <f>'FREH LGV vkm'!M171*'FREH Stock'!M270</f>
        <v>37576660.78904257</v>
      </c>
      <c r="AT171" s="295">
        <f>'FREH LGV vkm'!N171*'FREH Stock'!N270</f>
        <v>37987956.071395025</v>
      </c>
      <c r="AU171" s="295">
        <f>'FREH LGV vkm'!O171*'FREH Stock'!O270</f>
        <v>0</v>
      </c>
      <c r="AV171" s="295">
        <f>'FREH LGV vkm'!P171*'FREH Stock'!P270</f>
        <v>0</v>
      </c>
      <c r="AW171" s="295">
        <f>'FREH LGV vkm'!Q171*'FREH Stock'!Q270</f>
        <v>0</v>
      </c>
      <c r="AX171" s="295">
        <f>'FREH LGV vkm'!R171*'FREH Stock'!R270</f>
        <v>0</v>
      </c>
      <c r="AY171" s="295">
        <f>'FREH LGV vkm'!S171*'FREH Stock'!S270</f>
        <v>0</v>
      </c>
      <c r="AZ171" s="295">
        <f>'FREH LGV vkm'!T171*'FREH Stock'!T270</f>
        <v>0</v>
      </c>
      <c r="BA171" s="295">
        <f>'FREH LGV vkm'!U171*'FREH Stock'!U270</f>
        <v>0</v>
      </c>
      <c r="BB171" s="295">
        <f>'FREH LGV vkm'!V171*'FREH Stock'!V270</f>
        <v>0</v>
      </c>
      <c r="BC171" s="295">
        <f>'FREH LGV vkm'!W171*'FREH Stock'!W270</f>
        <v>0</v>
      </c>
      <c r="BD171" s="295">
        <f>'FREH LGV vkm'!X171*'FREH Stock'!X270</f>
        <v>0</v>
      </c>
      <c r="BE171" s="295">
        <f>'FREH LGV vkm'!Y171*'FREH Stock'!Y270</f>
        <v>0</v>
      </c>
      <c r="BF171" s="295">
        <f>'FREH LGV vkm'!Z171*'FREH Stock'!Z270</f>
        <v>0</v>
      </c>
      <c r="BG171" s="295">
        <f>'FREH LGV vkm'!AA171*'FREH Stock'!AA270</f>
        <v>0</v>
      </c>
      <c r="BH171" s="295">
        <f>'FREH LGV vkm'!AB171*'FREH Stock'!AB270</f>
        <v>0</v>
      </c>
      <c r="BI171" s="295">
        <f>'FREH LGV vkm'!AC171*'FREH Stock'!AC270</f>
        <v>0</v>
      </c>
      <c r="BJ171" s="295">
        <f>'FREH LGV vkm'!AD171*'FREH Stock'!AD270</f>
        <v>0</v>
      </c>
      <c r="BK171" s="296">
        <f>'FREH LGV vkm'!AE171*'FREH Stock'!AE270</f>
        <v>0</v>
      </c>
    </row>
    <row r="172" spans="1:63">
      <c r="A172" s="1711"/>
      <c r="B172" s="116">
        <v>12</v>
      </c>
      <c r="C172" s="294">
        <f t="shared" si="41"/>
        <v>19677.820664419185</v>
      </c>
      <c r="D172" s="295">
        <f t="shared" si="41"/>
        <v>19677.820664419185</v>
      </c>
      <c r="E172" s="295">
        <f t="shared" si="40"/>
        <v>19677.820664419185</v>
      </c>
      <c r="F172" s="295">
        <f t="shared" si="40"/>
        <v>19677.820664419185</v>
      </c>
      <c r="G172" s="295">
        <f t="shared" si="40"/>
        <v>19677.820664419185</v>
      </c>
      <c r="H172" s="295">
        <f t="shared" si="40"/>
        <v>19677.820664419185</v>
      </c>
      <c r="I172" s="295">
        <f t="shared" si="40"/>
        <v>19677.820664419185</v>
      </c>
      <c r="J172" s="295">
        <f t="shared" si="40"/>
        <v>19677.820664419185</v>
      </c>
      <c r="K172" s="295">
        <f t="shared" si="40"/>
        <v>19677.820664419185</v>
      </c>
      <c r="L172" s="295">
        <f t="shared" si="40"/>
        <v>19677.820664419185</v>
      </c>
      <c r="M172" s="295">
        <f t="shared" si="40"/>
        <v>19677.820664419185</v>
      </c>
      <c r="N172" s="295">
        <f t="shared" si="40"/>
        <v>19677.820664419185</v>
      </c>
      <c r="O172" s="295">
        <f t="shared" si="40"/>
        <v>19677.820664419185</v>
      </c>
      <c r="P172" s="295">
        <f t="shared" si="40"/>
        <v>19677.820664419185</v>
      </c>
      <c r="Q172" s="295">
        <f t="shared" si="40"/>
        <v>19677.820664419185</v>
      </c>
      <c r="R172" s="295">
        <f t="shared" si="40"/>
        <v>19677.820664419185</v>
      </c>
      <c r="S172" s="295">
        <f t="shared" si="40"/>
        <v>19677.820664419185</v>
      </c>
      <c r="T172" s="295">
        <f t="shared" si="40"/>
        <v>19677.820664419185</v>
      </c>
      <c r="U172" s="295">
        <f t="shared" si="40"/>
        <v>19677.820664419185</v>
      </c>
      <c r="V172" s="295">
        <f t="shared" si="40"/>
        <v>19677.820664419185</v>
      </c>
      <c r="W172" s="295">
        <f t="shared" si="40"/>
        <v>19677.820664419185</v>
      </c>
      <c r="X172" s="295">
        <f t="shared" si="40"/>
        <v>19677.820664419185</v>
      </c>
      <c r="Y172" s="295">
        <f t="shared" si="40"/>
        <v>19677.820664419185</v>
      </c>
      <c r="Z172" s="295">
        <f t="shared" si="40"/>
        <v>19677.820664419185</v>
      </c>
      <c r="AA172" s="295">
        <f t="shared" si="40"/>
        <v>19677.820664419185</v>
      </c>
      <c r="AB172" s="295">
        <f t="shared" si="40"/>
        <v>19677.820664419185</v>
      </c>
      <c r="AC172" s="295">
        <f t="shared" si="40"/>
        <v>19677.820664419185</v>
      </c>
      <c r="AD172" s="295">
        <f t="shared" si="40"/>
        <v>19677.820664419185</v>
      </c>
      <c r="AE172" s="296">
        <f t="shared" si="40"/>
        <v>19677.820664419185</v>
      </c>
      <c r="AG172" s="1711"/>
      <c r="AH172" s="116">
        <v>12</v>
      </c>
      <c r="AI172" s="294">
        <f>'FREH LGV vkm'!C172*'FREH Stock'!C271</f>
        <v>116158175.38206644</v>
      </c>
      <c r="AJ172" s="295">
        <f>'FREH LGV vkm'!D172*'FREH Stock'!D271</f>
        <v>60674818.374495693</v>
      </c>
      <c r="AK172" s="295">
        <f>'FREH LGV vkm'!E172*'FREH Stock'!E271</f>
        <v>38953979.577257477</v>
      </c>
      <c r="AL172" s="295">
        <f>'FREH LGV vkm'!F172*'FREH Stock'!F271</f>
        <v>31246604.572531365</v>
      </c>
      <c r="AM172" s="295">
        <f>'FREH LGV vkm'!G172*'FREH Stock'!G271</f>
        <v>34618897.887958489</v>
      </c>
      <c r="AN172" s="295">
        <f>'FREH LGV vkm'!H172*'FREH Stock'!H271</f>
        <v>42146535.121616438</v>
      </c>
      <c r="AO172" s="295">
        <f>'FREH LGV vkm'!I172*'FREH Stock'!I271</f>
        <v>48221385.281442717</v>
      </c>
      <c r="AP172" s="295">
        <f>'FREH LGV vkm'!J172*'FREH Stock'!J271</f>
        <v>42951833.593014821</v>
      </c>
      <c r="AQ172" s="295">
        <f>'FREH LGV vkm'!K172*'FREH Stock'!K271</f>
        <v>33722654.575602978</v>
      </c>
      <c r="AR172" s="295">
        <f>'FREH LGV vkm'!L172*'FREH Stock'!L271</f>
        <v>21142050.182283062</v>
      </c>
      <c r="AS172" s="295">
        <f>'FREH LGV vkm'!M172*'FREH Stock'!M271</f>
        <v>20296098.441269051</v>
      </c>
      <c r="AT172" s="295">
        <f>'FREH LGV vkm'!N172*'FREH Stock'!N271</f>
        <v>21548132.361635216</v>
      </c>
      <c r="AU172" s="295">
        <f>'FREH LGV vkm'!O172*'FREH Stock'!O271</f>
        <v>21783987.410959646</v>
      </c>
      <c r="AV172" s="295">
        <f>'FREH LGV vkm'!P172*'FREH Stock'!P271</f>
        <v>0</v>
      </c>
      <c r="AW172" s="295">
        <f>'FREH LGV vkm'!Q172*'FREH Stock'!Q271</f>
        <v>0</v>
      </c>
      <c r="AX172" s="295">
        <f>'FREH LGV vkm'!R172*'FREH Stock'!R271</f>
        <v>0</v>
      </c>
      <c r="AY172" s="295">
        <f>'FREH LGV vkm'!S172*'FREH Stock'!S271</f>
        <v>0</v>
      </c>
      <c r="AZ172" s="295">
        <f>'FREH LGV vkm'!T172*'FREH Stock'!T271</f>
        <v>0</v>
      </c>
      <c r="BA172" s="295">
        <f>'FREH LGV vkm'!U172*'FREH Stock'!U271</f>
        <v>0</v>
      </c>
      <c r="BB172" s="295">
        <f>'FREH LGV vkm'!V172*'FREH Stock'!V271</f>
        <v>0</v>
      </c>
      <c r="BC172" s="295">
        <f>'FREH LGV vkm'!W172*'FREH Stock'!W271</f>
        <v>0</v>
      </c>
      <c r="BD172" s="295">
        <f>'FREH LGV vkm'!X172*'FREH Stock'!X271</f>
        <v>0</v>
      </c>
      <c r="BE172" s="295">
        <f>'FREH LGV vkm'!Y172*'FREH Stock'!Y271</f>
        <v>0</v>
      </c>
      <c r="BF172" s="295">
        <f>'FREH LGV vkm'!Z172*'FREH Stock'!Z271</f>
        <v>0</v>
      </c>
      <c r="BG172" s="295">
        <f>'FREH LGV vkm'!AA172*'FREH Stock'!AA271</f>
        <v>0</v>
      </c>
      <c r="BH172" s="295">
        <f>'FREH LGV vkm'!AB172*'FREH Stock'!AB271</f>
        <v>0</v>
      </c>
      <c r="BI172" s="295">
        <f>'FREH LGV vkm'!AC172*'FREH Stock'!AC271</f>
        <v>0</v>
      </c>
      <c r="BJ172" s="295">
        <f>'FREH LGV vkm'!AD172*'FREH Stock'!AD271</f>
        <v>0</v>
      </c>
      <c r="BK172" s="296">
        <f>'FREH LGV vkm'!AE172*'FREH Stock'!AE271</f>
        <v>0</v>
      </c>
    </row>
    <row r="173" spans="1:63">
      <c r="A173" s="1711"/>
      <c r="B173" s="116">
        <v>13</v>
      </c>
      <c r="C173" s="294">
        <f t="shared" si="41"/>
        <v>19677.820664419185</v>
      </c>
      <c r="D173" s="295">
        <f t="shared" si="41"/>
        <v>19677.820664419185</v>
      </c>
      <c r="E173" s="295">
        <f t="shared" si="40"/>
        <v>19677.820664419185</v>
      </c>
      <c r="F173" s="295">
        <f t="shared" si="40"/>
        <v>19677.820664419185</v>
      </c>
      <c r="G173" s="295">
        <f t="shared" si="40"/>
        <v>19677.820664419185</v>
      </c>
      <c r="H173" s="295">
        <f t="shared" si="40"/>
        <v>19677.820664419185</v>
      </c>
      <c r="I173" s="295">
        <f t="shared" si="40"/>
        <v>19677.820664419185</v>
      </c>
      <c r="J173" s="295">
        <f t="shared" si="40"/>
        <v>19677.820664419185</v>
      </c>
      <c r="K173" s="295">
        <f t="shared" si="40"/>
        <v>19677.820664419185</v>
      </c>
      <c r="L173" s="295">
        <f t="shared" si="40"/>
        <v>19677.820664419185</v>
      </c>
      <c r="M173" s="295">
        <f t="shared" si="40"/>
        <v>19677.820664419185</v>
      </c>
      <c r="N173" s="295">
        <f t="shared" si="40"/>
        <v>19677.820664419185</v>
      </c>
      <c r="O173" s="295">
        <f t="shared" si="40"/>
        <v>19677.820664419185</v>
      </c>
      <c r="P173" s="295">
        <f t="shared" si="40"/>
        <v>19677.820664419185</v>
      </c>
      <c r="Q173" s="295">
        <f t="shared" si="40"/>
        <v>19677.820664419185</v>
      </c>
      <c r="R173" s="295">
        <f t="shared" si="40"/>
        <v>19677.820664419185</v>
      </c>
      <c r="S173" s="295">
        <f t="shared" si="40"/>
        <v>19677.820664419185</v>
      </c>
      <c r="T173" s="295">
        <f t="shared" si="40"/>
        <v>19677.820664419185</v>
      </c>
      <c r="U173" s="295">
        <f t="shared" si="40"/>
        <v>19677.820664419185</v>
      </c>
      <c r="V173" s="295">
        <f t="shared" si="40"/>
        <v>19677.820664419185</v>
      </c>
      <c r="W173" s="295">
        <f t="shared" si="40"/>
        <v>19677.820664419185</v>
      </c>
      <c r="X173" s="295">
        <f t="shared" si="40"/>
        <v>19677.820664419185</v>
      </c>
      <c r="Y173" s="295">
        <f t="shared" si="40"/>
        <v>19677.820664419185</v>
      </c>
      <c r="Z173" s="295">
        <f t="shared" si="40"/>
        <v>19677.820664419185</v>
      </c>
      <c r="AA173" s="295">
        <f t="shared" si="40"/>
        <v>19677.820664419185</v>
      </c>
      <c r="AB173" s="295">
        <f t="shared" si="40"/>
        <v>19677.820664419185</v>
      </c>
      <c r="AC173" s="295">
        <f t="shared" si="40"/>
        <v>19677.820664419185</v>
      </c>
      <c r="AD173" s="295">
        <f t="shared" si="40"/>
        <v>19677.820664419185</v>
      </c>
      <c r="AE173" s="296">
        <f t="shared" si="40"/>
        <v>19677.820664419185</v>
      </c>
      <c r="AG173" s="1711"/>
      <c r="AH173" s="116">
        <v>13</v>
      </c>
      <c r="AI173" s="294">
        <f>'FREH LGV vkm'!C173*'FREH Stock'!C272</f>
        <v>77018990.080536693</v>
      </c>
      <c r="AJ173" s="295">
        <f>'FREH LGV vkm'!D173*'FREH Stock'!D272</f>
        <v>54825186.968394756</v>
      </c>
      <c r="AK173" s="295">
        <f>'FREH LGV vkm'!E173*'FREH Stock'!E272</f>
        <v>28637745.476920575</v>
      </c>
      <c r="AL173" s="295">
        <f>'FREH LGV vkm'!F173*'FREH Stock'!F272</f>
        <v>18385784.784080673</v>
      </c>
      <c r="AM173" s="295">
        <f>'FREH LGV vkm'!G173*'FREH Stock'!G272</f>
        <v>14748001.440120887</v>
      </c>
      <c r="AN173" s="295">
        <f>'FREH LGV vkm'!H173*'FREH Stock'!H272</f>
        <v>16339681.155495482</v>
      </c>
      <c r="AO173" s="295">
        <f>'FREH LGV vkm'!I173*'FREH Stock'!I272</f>
        <v>19892630.548924606</v>
      </c>
      <c r="AP173" s="295">
        <f>'FREH LGV vkm'!J173*'FREH Stock'!J272</f>
        <v>22759882.851416253</v>
      </c>
      <c r="AQ173" s="295">
        <f>'FREH LGV vkm'!K173*'FREH Stock'!K272</f>
        <v>20272721.223683909</v>
      </c>
      <c r="AR173" s="295">
        <f>'FREH LGV vkm'!L173*'FREH Stock'!L272</f>
        <v>15916665.66814434</v>
      </c>
      <c r="AS173" s="295">
        <f>'FREH LGV vkm'!M173*'FREH Stock'!M272</f>
        <v>9978779.8002705909</v>
      </c>
      <c r="AT173" s="295">
        <f>'FREH LGV vkm'!N173*'FREH Stock'!N272</f>
        <v>9579501.2973603886</v>
      </c>
      <c r="AU173" s="295">
        <f>'FREH LGV vkm'!O173*'FREH Stock'!O272</f>
        <v>10170445.443556448</v>
      </c>
      <c r="AV173" s="295">
        <f>'FREH LGV vkm'!P173*'FREH Stock'!P272</f>
        <v>10281766.038375711</v>
      </c>
      <c r="AW173" s="295">
        <f>'FREH LGV vkm'!Q173*'FREH Stock'!Q272</f>
        <v>0</v>
      </c>
      <c r="AX173" s="295">
        <f>'FREH LGV vkm'!R173*'FREH Stock'!R272</f>
        <v>0</v>
      </c>
      <c r="AY173" s="295">
        <f>'FREH LGV vkm'!S173*'FREH Stock'!S272</f>
        <v>0</v>
      </c>
      <c r="AZ173" s="295">
        <f>'FREH LGV vkm'!T173*'FREH Stock'!T272</f>
        <v>0</v>
      </c>
      <c r="BA173" s="295">
        <f>'FREH LGV vkm'!U173*'FREH Stock'!U272</f>
        <v>0</v>
      </c>
      <c r="BB173" s="295">
        <f>'FREH LGV vkm'!V173*'FREH Stock'!V272</f>
        <v>0</v>
      </c>
      <c r="BC173" s="295">
        <f>'FREH LGV vkm'!W173*'FREH Stock'!W272</f>
        <v>0</v>
      </c>
      <c r="BD173" s="295">
        <f>'FREH LGV vkm'!X173*'FREH Stock'!X272</f>
        <v>0</v>
      </c>
      <c r="BE173" s="295">
        <f>'FREH LGV vkm'!Y173*'FREH Stock'!Y272</f>
        <v>0</v>
      </c>
      <c r="BF173" s="295">
        <f>'FREH LGV vkm'!Z173*'FREH Stock'!Z272</f>
        <v>0</v>
      </c>
      <c r="BG173" s="295">
        <f>'FREH LGV vkm'!AA173*'FREH Stock'!AA272</f>
        <v>0</v>
      </c>
      <c r="BH173" s="295">
        <f>'FREH LGV vkm'!AB173*'FREH Stock'!AB272</f>
        <v>0</v>
      </c>
      <c r="BI173" s="295">
        <f>'FREH LGV vkm'!AC173*'FREH Stock'!AC272</f>
        <v>0</v>
      </c>
      <c r="BJ173" s="295">
        <f>'FREH LGV vkm'!AD173*'FREH Stock'!AD272</f>
        <v>0</v>
      </c>
      <c r="BK173" s="296">
        <f>'FREH LGV vkm'!AE173*'FREH Stock'!AE272</f>
        <v>0</v>
      </c>
    </row>
    <row r="174" spans="1:63">
      <c r="A174" s="1711"/>
      <c r="B174" s="116">
        <v>14</v>
      </c>
      <c r="C174" s="294">
        <f t="shared" si="41"/>
        <v>19677.820664419185</v>
      </c>
      <c r="D174" s="295">
        <f t="shared" si="41"/>
        <v>19677.820664419185</v>
      </c>
      <c r="E174" s="295">
        <f t="shared" si="40"/>
        <v>19677.820664419185</v>
      </c>
      <c r="F174" s="295">
        <f t="shared" si="40"/>
        <v>19677.820664419185</v>
      </c>
      <c r="G174" s="295">
        <f t="shared" si="40"/>
        <v>19677.820664419185</v>
      </c>
      <c r="H174" s="295">
        <f t="shared" si="40"/>
        <v>19677.820664419185</v>
      </c>
      <c r="I174" s="295">
        <f t="shared" si="40"/>
        <v>19677.820664419185</v>
      </c>
      <c r="J174" s="295">
        <f t="shared" si="40"/>
        <v>19677.820664419185</v>
      </c>
      <c r="K174" s="295">
        <f t="shared" si="40"/>
        <v>19677.820664419185</v>
      </c>
      <c r="L174" s="295">
        <f t="shared" si="40"/>
        <v>19677.820664419185</v>
      </c>
      <c r="M174" s="295">
        <f t="shared" si="40"/>
        <v>19677.820664419185</v>
      </c>
      <c r="N174" s="295">
        <f t="shared" si="40"/>
        <v>19677.820664419185</v>
      </c>
      <c r="O174" s="295">
        <f t="shared" si="40"/>
        <v>19677.820664419185</v>
      </c>
      <c r="P174" s="295">
        <f t="shared" si="40"/>
        <v>19677.820664419185</v>
      </c>
      <c r="Q174" s="295">
        <f t="shared" si="40"/>
        <v>19677.820664419185</v>
      </c>
      <c r="R174" s="295">
        <f t="shared" si="40"/>
        <v>19677.820664419185</v>
      </c>
      <c r="S174" s="295">
        <f t="shared" si="40"/>
        <v>19677.820664419185</v>
      </c>
      <c r="T174" s="295">
        <f t="shared" si="40"/>
        <v>19677.820664419185</v>
      </c>
      <c r="U174" s="295">
        <f t="shared" si="40"/>
        <v>19677.820664419185</v>
      </c>
      <c r="V174" s="295">
        <f t="shared" si="40"/>
        <v>19677.820664419185</v>
      </c>
      <c r="W174" s="295">
        <f t="shared" si="40"/>
        <v>19677.820664419185</v>
      </c>
      <c r="X174" s="295">
        <f t="shared" si="40"/>
        <v>19677.820664419185</v>
      </c>
      <c r="Y174" s="295">
        <f t="shared" si="40"/>
        <v>19677.820664419185</v>
      </c>
      <c r="Z174" s="295">
        <f t="shared" si="40"/>
        <v>19677.820664419185</v>
      </c>
      <c r="AA174" s="295">
        <f t="shared" si="40"/>
        <v>19677.820664419185</v>
      </c>
      <c r="AB174" s="295">
        <f t="shared" si="40"/>
        <v>19677.820664419185</v>
      </c>
      <c r="AC174" s="295">
        <f t="shared" si="40"/>
        <v>19677.820664419185</v>
      </c>
      <c r="AD174" s="295">
        <f t="shared" si="40"/>
        <v>19677.820664419185</v>
      </c>
      <c r="AE174" s="296">
        <f t="shared" si="40"/>
        <v>19677.820664419185</v>
      </c>
      <c r="AG174" s="1711"/>
      <c r="AH174" s="116">
        <v>14</v>
      </c>
      <c r="AI174" s="294">
        <f>'FREH LGV vkm'!C174*'FREH Stock'!C273</f>
        <v>46538045.871351376</v>
      </c>
      <c r="AJ174" s="295">
        <f>'FREH LGV vkm'!D174*'FREH Stock'!D273</f>
        <v>29610086.850691251</v>
      </c>
      <c r="AK174" s="295">
        <f>'FREH LGV vkm'!E174*'FREH Stock'!E273</f>
        <v>21077640.021532763</v>
      </c>
      <c r="AL174" s="295">
        <f>'FREH LGV vkm'!F174*'FREH Stock'!F273</f>
        <v>11009831.859557146</v>
      </c>
      <c r="AM174" s="295">
        <f>'FREH LGV vkm'!G174*'FREH Stock'!G273</f>
        <v>7068447.4530953616</v>
      </c>
      <c r="AN174" s="295">
        <f>'FREH LGV vkm'!H174*'FREH Stock'!H273</f>
        <v>5669895.217523166</v>
      </c>
      <c r="AO174" s="295">
        <f>'FREH LGV vkm'!I174*'FREH Stock'!I273</f>
        <v>6281819.2970448909</v>
      </c>
      <c r="AP174" s="295">
        <f>'FREH LGV vkm'!J174*'FREH Stock'!J273</f>
        <v>7647756.9704101095</v>
      </c>
      <c r="AQ174" s="295">
        <f>'FREH LGV vkm'!K174*'FREH Stock'!K273</f>
        <v>8750077.1853446979</v>
      </c>
      <c r="AR174" s="295">
        <f>'FREH LGV vkm'!L174*'FREH Stock'!L273</f>
        <v>7793883.5020485045</v>
      </c>
      <c r="AS174" s="295">
        <f>'FREH LGV vkm'!M174*'FREH Stock'!M273</f>
        <v>6119190.2453453392</v>
      </c>
      <c r="AT174" s="295">
        <f>'FREH LGV vkm'!N174*'FREH Stock'!N273</f>
        <v>3836359.5295260041</v>
      </c>
      <c r="AU174" s="295">
        <f>'FREH LGV vkm'!O174*'FREH Stock'!O273</f>
        <v>3682856.2034447035</v>
      </c>
      <c r="AV174" s="295">
        <f>'FREH LGV vkm'!P174*'FREH Stock'!P273</f>
        <v>3910045.7248143787</v>
      </c>
      <c r="AW174" s="295">
        <f>'FREH LGV vkm'!Q174*'FREH Stock'!Q273</f>
        <v>3952843.1242274619</v>
      </c>
      <c r="AX174" s="295">
        <f>'FREH LGV vkm'!R174*'FREH Stock'!R273</f>
        <v>0</v>
      </c>
      <c r="AY174" s="295">
        <f>'FREH LGV vkm'!S174*'FREH Stock'!S273</f>
        <v>0</v>
      </c>
      <c r="AZ174" s="295">
        <f>'FREH LGV vkm'!T174*'FREH Stock'!T273</f>
        <v>0</v>
      </c>
      <c r="BA174" s="295">
        <f>'FREH LGV vkm'!U174*'FREH Stock'!U273</f>
        <v>0</v>
      </c>
      <c r="BB174" s="295">
        <f>'FREH LGV vkm'!V174*'FREH Stock'!V273</f>
        <v>0</v>
      </c>
      <c r="BC174" s="295">
        <f>'FREH LGV vkm'!W174*'FREH Stock'!W273</f>
        <v>0</v>
      </c>
      <c r="BD174" s="295">
        <f>'FREH LGV vkm'!X174*'FREH Stock'!X273</f>
        <v>0</v>
      </c>
      <c r="BE174" s="295">
        <f>'FREH LGV vkm'!Y174*'FREH Stock'!Y273</f>
        <v>0</v>
      </c>
      <c r="BF174" s="295">
        <f>'FREH LGV vkm'!Z174*'FREH Stock'!Z273</f>
        <v>0</v>
      </c>
      <c r="BG174" s="295">
        <f>'FREH LGV vkm'!AA174*'FREH Stock'!AA273</f>
        <v>0</v>
      </c>
      <c r="BH174" s="295">
        <f>'FREH LGV vkm'!AB174*'FREH Stock'!AB273</f>
        <v>0</v>
      </c>
      <c r="BI174" s="295">
        <f>'FREH LGV vkm'!AC174*'FREH Stock'!AC273</f>
        <v>0</v>
      </c>
      <c r="BJ174" s="295">
        <f>'FREH LGV vkm'!AD174*'FREH Stock'!AD273</f>
        <v>0</v>
      </c>
      <c r="BK174" s="296">
        <f>'FREH LGV vkm'!AE174*'FREH Stock'!AE273</f>
        <v>0</v>
      </c>
    </row>
    <row r="175" spans="1:63">
      <c r="A175" s="1711"/>
      <c r="B175" s="116">
        <v>15</v>
      </c>
      <c r="C175" s="294">
        <f t="shared" si="41"/>
        <v>19677.820664419185</v>
      </c>
      <c r="D175" s="295">
        <f t="shared" si="41"/>
        <v>19677.820664419185</v>
      </c>
      <c r="E175" s="295">
        <f t="shared" si="40"/>
        <v>19677.820664419185</v>
      </c>
      <c r="F175" s="295">
        <f t="shared" si="40"/>
        <v>19677.820664419185</v>
      </c>
      <c r="G175" s="295">
        <f t="shared" si="40"/>
        <v>19677.820664419185</v>
      </c>
      <c r="H175" s="295">
        <f t="shared" si="40"/>
        <v>19677.820664419185</v>
      </c>
      <c r="I175" s="295">
        <f t="shared" si="40"/>
        <v>19677.820664419185</v>
      </c>
      <c r="J175" s="295">
        <f t="shared" si="40"/>
        <v>19677.820664419185</v>
      </c>
      <c r="K175" s="295">
        <f t="shared" si="40"/>
        <v>19677.820664419185</v>
      </c>
      <c r="L175" s="295">
        <f t="shared" si="40"/>
        <v>19677.820664419185</v>
      </c>
      <c r="M175" s="295">
        <f t="shared" si="40"/>
        <v>19677.820664419185</v>
      </c>
      <c r="N175" s="295">
        <f t="shared" si="40"/>
        <v>19677.820664419185</v>
      </c>
      <c r="O175" s="295">
        <f t="shared" si="40"/>
        <v>19677.820664419185</v>
      </c>
      <c r="P175" s="295">
        <f t="shared" si="40"/>
        <v>19677.820664419185</v>
      </c>
      <c r="Q175" s="295">
        <f t="shared" si="40"/>
        <v>19677.820664419185</v>
      </c>
      <c r="R175" s="295">
        <f t="shared" si="40"/>
        <v>19677.820664419185</v>
      </c>
      <c r="S175" s="295">
        <f t="shared" si="40"/>
        <v>19677.820664419185</v>
      </c>
      <c r="T175" s="295">
        <f t="shared" si="40"/>
        <v>19677.820664419185</v>
      </c>
      <c r="U175" s="295">
        <f t="shared" si="40"/>
        <v>19677.820664419185</v>
      </c>
      <c r="V175" s="295">
        <f t="shared" si="40"/>
        <v>19677.820664419185</v>
      </c>
      <c r="W175" s="295">
        <f t="shared" si="40"/>
        <v>19677.820664419185</v>
      </c>
      <c r="X175" s="295">
        <f t="shared" si="40"/>
        <v>19677.820664419185</v>
      </c>
      <c r="Y175" s="295">
        <f t="shared" si="40"/>
        <v>19677.820664419185</v>
      </c>
      <c r="Z175" s="295">
        <f t="shared" si="40"/>
        <v>19677.820664419185</v>
      </c>
      <c r="AA175" s="295">
        <f t="shared" si="40"/>
        <v>19677.820664419185</v>
      </c>
      <c r="AB175" s="295">
        <f t="shared" si="40"/>
        <v>19677.820664419185</v>
      </c>
      <c r="AC175" s="295">
        <f t="shared" si="40"/>
        <v>19677.820664419185</v>
      </c>
      <c r="AD175" s="295">
        <f t="shared" si="40"/>
        <v>19677.820664419185</v>
      </c>
      <c r="AE175" s="296">
        <f t="shared" si="40"/>
        <v>19677.820664419185</v>
      </c>
      <c r="AG175" s="1711"/>
      <c r="AH175" s="116">
        <v>15</v>
      </c>
      <c r="AI175" s="294">
        <f>'FREH LGV vkm'!C175*'FREH Stock'!C274</f>
        <v>26840547.38626777</v>
      </c>
      <c r="AJ175" s="295">
        <f>'FREH LGV vkm'!D175*'FREH Stock'!D274</f>
        <v>14400621.546857521</v>
      </c>
      <c r="AK175" s="295">
        <f>'FREH LGV vkm'!E175*'FREH Stock'!E274</f>
        <v>9162474.4168486726</v>
      </c>
      <c r="AL175" s="295">
        <f>'FREH LGV vkm'!F175*'FREH Stock'!F274</f>
        <v>6522214.4885512609</v>
      </c>
      <c r="AM175" s="295">
        <f>'FREH LGV vkm'!G175*'FREH Stock'!G274</f>
        <v>3406856.0236135488</v>
      </c>
      <c r="AN175" s="295">
        <f>'FREH LGV vkm'!H175*'FREH Stock'!H274</f>
        <v>2187243.4647827954</v>
      </c>
      <c r="AO175" s="295">
        <f>'FREH LGV vkm'!I175*'FREH Stock'!I274</f>
        <v>1754478.8078038304</v>
      </c>
      <c r="AP175" s="295">
        <f>'FREH LGV vkm'!J175*'FREH Stock'!J274</f>
        <v>1943831.1306100225</v>
      </c>
      <c r="AQ175" s="295">
        <f>'FREH LGV vkm'!K175*'FREH Stock'!K274</f>
        <v>2366503.6155077303</v>
      </c>
      <c r="AR175" s="295">
        <f>'FREH LGV vkm'!L175*'FREH Stock'!L274</f>
        <v>2707602.9449167391</v>
      </c>
      <c r="AS175" s="295">
        <f>'FREH LGV vkm'!M175*'FREH Stock'!M274</f>
        <v>2411720.6597707518</v>
      </c>
      <c r="AT175" s="295">
        <f>'FREH LGV vkm'!N175*'FREH Stock'!N274</f>
        <v>1893507.5860305268</v>
      </c>
      <c r="AU175" s="295">
        <f>'FREH LGV vkm'!O175*'FREH Stock'!O274</f>
        <v>1187113.9122408563</v>
      </c>
      <c r="AV175" s="295">
        <f>'FREH LGV vkm'!P175*'FREH Stock'!P274</f>
        <v>1139614.2103584127</v>
      </c>
      <c r="AW175" s="295">
        <f>'FREH LGV vkm'!Q175*'FREH Stock'!Q274</f>
        <v>1209915.1921766119</v>
      </c>
      <c r="AX175" s="295">
        <f>'FREH LGV vkm'!R175*'FREH Stock'!R274</f>
        <v>1223158.317034953</v>
      </c>
      <c r="AY175" s="295">
        <f>'FREH LGV vkm'!S175*'FREH Stock'!S274</f>
        <v>0</v>
      </c>
      <c r="AZ175" s="295">
        <f>'FREH LGV vkm'!T175*'FREH Stock'!T274</f>
        <v>0</v>
      </c>
      <c r="BA175" s="295">
        <f>'FREH LGV vkm'!U175*'FREH Stock'!U274</f>
        <v>0</v>
      </c>
      <c r="BB175" s="295">
        <f>'FREH LGV vkm'!V175*'FREH Stock'!V274</f>
        <v>0</v>
      </c>
      <c r="BC175" s="295">
        <f>'FREH LGV vkm'!W175*'FREH Stock'!W274</f>
        <v>0</v>
      </c>
      <c r="BD175" s="295">
        <f>'FREH LGV vkm'!X175*'FREH Stock'!X274</f>
        <v>0</v>
      </c>
      <c r="BE175" s="295">
        <f>'FREH LGV vkm'!Y175*'FREH Stock'!Y274</f>
        <v>0</v>
      </c>
      <c r="BF175" s="295">
        <f>'FREH LGV vkm'!Z175*'FREH Stock'!Z274</f>
        <v>0</v>
      </c>
      <c r="BG175" s="295">
        <f>'FREH LGV vkm'!AA175*'FREH Stock'!AA274</f>
        <v>0</v>
      </c>
      <c r="BH175" s="295">
        <f>'FREH LGV vkm'!AB175*'FREH Stock'!AB274</f>
        <v>0</v>
      </c>
      <c r="BI175" s="295">
        <f>'FREH LGV vkm'!AC175*'FREH Stock'!AC274</f>
        <v>0</v>
      </c>
      <c r="BJ175" s="295">
        <f>'FREH LGV vkm'!AD175*'FREH Stock'!AD274</f>
        <v>0</v>
      </c>
      <c r="BK175" s="296">
        <f>'FREH LGV vkm'!AE175*'FREH Stock'!AE274</f>
        <v>0</v>
      </c>
    </row>
    <row r="176" spans="1:63">
      <c r="A176" s="1711"/>
      <c r="B176" s="116">
        <v>16</v>
      </c>
      <c r="C176" s="294">
        <f t="shared" si="41"/>
        <v>19677.820664419185</v>
      </c>
      <c r="D176" s="295">
        <f t="shared" si="41"/>
        <v>19677.820664419185</v>
      </c>
      <c r="E176" s="295">
        <f t="shared" si="40"/>
        <v>19677.820664419185</v>
      </c>
      <c r="F176" s="295">
        <f t="shared" si="40"/>
        <v>19677.820664419185</v>
      </c>
      <c r="G176" s="295">
        <f t="shared" si="40"/>
        <v>19677.820664419185</v>
      </c>
      <c r="H176" s="295">
        <f t="shared" si="40"/>
        <v>19677.820664419185</v>
      </c>
      <c r="I176" s="295">
        <f t="shared" si="40"/>
        <v>19677.820664419185</v>
      </c>
      <c r="J176" s="295">
        <f t="shared" si="40"/>
        <v>19677.820664419185</v>
      </c>
      <c r="K176" s="295">
        <f t="shared" si="40"/>
        <v>19677.820664419185</v>
      </c>
      <c r="L176" s="295">
        <f t="shared" si="40"/>
        <v>19677.820664419185</v>
      </c>
      <c r="M176" s="295">
        <f t="shared" si="40"/>
        <v>19677.820664419185</v>
      </c>
      <c r="N176" s="295">
        <f t="shared" si="40"/>
        <v>19677.820664419185</v>
      </c>
      <c r="O176" s="295">
        <f t="shared" si="40"/>
        <v>19677.820664419185</v>
      </c>
      <c r="P176" s="295">
        <f t="shared" si="40"/>
        <v>19677.820664419185</v>
      </c>
      <c r="Q176" s="295">
        <f t="shared" ref="E176:AE185" si="42">Q175</f>
        <v>19677.820664419185</v>
      </c>
      <c r="R176" s="295">
        <f t="shared" si="42"/>
        <v>19677.820664419185</v>
      </c>
      <c r="S176" s="295">
        <f t="shared" si="42"/>
        <v>19677.820664419185</v>
      </c>
      <c r="T176" s="295">
        <f t="shared" si="42"/>
        <v>19677.820664419185</v>
      </c>
      <c r="U176" s="295">
        <f t="shared" si="42"/>
        <v>19677.820664419185</v>
      </c>
      <c r="V176" s="295">
        <f t="shared" si="42"/>
        <v>19677.820664419185</v>
      </c>
      <c r="W176" s="295">
        <f t="shared" si="42"/>
        <v>19677.820664419185</v>
      </c>
      <c r="X176" s="295">
        <f t="shared" si="42"/>
        <v>19677.820664419185</v>
      </c>
      <c r="Y176" s="295">
        <f t="shared" si="42"/>
        <v>19677.820664419185</v>
      </c>
      <c r="Z176" s="295">
        <f t="shared" si="42"/>
        <v>19677.820664419185</v>
      </c>
      <c r="AA176" s="295">
        <f t="shared" si="42"/>
        <v>19677.820664419185</v>
      </c>
      <c r="AB176" s="295">
        <f t="shared" si="42"/>
        <v>19677.820664419185</v>
      </c>
      <c r="AC176" s="295">
        <f t="shared" si="42"/>
        <v>19677.820664419185</v>
      </c>
      <c r="AD176" s="295">
        <f t="shared" si="42"/>
        <v>19677.820664419185</v>
      </c>
      <c r="AE176" s="296">
        <f t="shared" si="42"/>
        <v>19677.820664419185</v>
      </c>
      <c r="AG176" s="1711"/>
      <c r="AH176" s="116">
        <v>16</v>
      </c>
      <c r="AI176" s="294">
        <f>'FREH LGV vkm'!C176*'FREH Stock'!C275</f>
        <v>17651005.135984007</v>
      </c>
      <c r="AJ176" s="295">
        <f>'FREH LGV vkm'!D176*'FREH Stock'!D275</f>
        <v>7474927.2773455782</v>
      </c>
      <c r="AK176" s="295">
        <f>'FREH LGV vkm'!E176*'FREH Stock'!E275</f>
        <v>4010484.4831297542</v>
      </c>
      <c r="AL176" s="295">
        <f>'FREH LGV vkm'!F176*'FREH Stock'!F275</f>
        <v>2551692.7416138914</v>
      </c>
      <c r="AM176" s="295">
        <f>'FREH LGV vkm'!G176*'FREH Stock'!G275</f>
        <v>1816396.5990542183</v>
      </c>
      <c r="AN176" s="295">
        <f>'FREH LGV vkm'!H176*'FREH Stock'!H275</f>
        <v>948788.43767273496</v>
      </c>
      <c r="AO176" s="295">
        <f>'FREH LGV vkm'!I176*'FREH Stock'!I275</f>
        <v>609133.84521604562</v>
      </c>
      <c r="AP176" s="295">
        <f>'FREH LGV vkm'!J176*'FREH Stock'!J275</f>
        <v>488611.55136826047</v>
      </c>
      <c r="AQ176" s="295">
        <f>'FREH LGV vkm'!K176*'FREH Stock'!K275</f>
        <v>541345.0080449637</v>
      </c>
      <c r="AR176" s="295">
        <f>'FREH LGV vkm'!L176*'FREH Stock'!L275</f>
        <v>659056.69407271419</v>
      </c>
      <c r="AS176" s="295">
        <f>'FREH LGV vkm'!M176*'FREH Stock'!M275</f>
        <v>754050.75827679096</v>
      </c>
      <c r="AT176" s="295">
        <f>'FREH LGV vkm'!N176*'FREH Stock'!N275</f>
        <v>671649.36264606565</v>
      </c>
      <c r="AU176" s="295">
        <f>'FREH LGV vkm'!O176*'FREH Stock'!O275</f>
        <v>527330.21055754565</v>
      </c>
      <c r="AV176" s="295">
        <f>'FREH LGV vkm'!P176*'FREH Stock'!P275</f>
        <v>330603.91936960019</v>
      </c>
      <c r="AW176" s="295">
        <f>'FREH LGV vkm'!Q176*'FREH Stock'!Q275</f>
        <v>317375.54469611956</v>
      </c>
      <c r="AX176" s="295">
        <f>'FREH LGV vkm'!R176*'FREH Stock'!R275</f>
        <v>336953.93551857676</v>
      </c>
      <c r="AY176" s="295">
        <f>'FREH LGV vkm'!S176*'FREH Stock'!S275</f>
        <v>340642.06429688743</v>
      </c>
      <c r="AZ176" s="295">
        <f>'FREH LGV vkm'!T176*'FREH Stock'!T275</f>
        <v>0</v>
      </c>
      <c r="BA176" s="295">
        <f>'FREH LGV vkm'!U176*'FREH Stock'!U275</f>
        <v>0</v>
      </c>
      <c r="BB176" s="295">
        <f>'FREH LGV vkm'!V176*'FREH Stock'!V275</f>
        <v>0</v>
      </c>
      <c r="BC176" s="295">
        <f>'FREH LGV vkm'!W176*'FREH Stock'!W275</f>
        <v>0</v>
      </c>
      <c r="BD176" s="295">
        <f>'FREH LGV vkm'!X176*'FREH Stock'!X275</f>
        <v>0</v>
      </c>
      <c r="BE176" s="295">
        <f>'FREH LGV vkm'!Y176*'FREH Stock'!Y275</f>
        <v>0</v>
      </c>
      <c r="BF176" s="295">
        <f>'FREH LGV vkm'!Z176*'FREH Stock'!Z275</f>
        <v>0</v>
      </c>
      <c r="BG176" s="295">
        <f>'FREH LGV vkm'!AA176*'FREH Stock'!AA275</f>
        <v>0</v>
      </c>
      <c r="BH176" s="295">
        <f>'FREH LGV vkm'!AB176*'FREH Stock'!AB275</f>
        <v>0</v>
      </c>
      <c r="BI176" s="295">
        <f>'FREH LGV vkm'!AC176*'FREH Stock'!AC275</f>
        <v>0</v>
      </c>
      <c r="BJ176" s="295">
        <f>'FREH LGV vkm'!AD176*'FREH Stock'!AD275</f>
        <v>0</v>
      </c>
      <c r="BK176" s="296">
        <f>'FREH LGV vkm'!AE176*'FREH Stock'!AE275</f>
        <v>0</v>
      </c>
    </row>
    <row r="177" spans="1:63">
      <c r="A177" s="1711"/>
      <c r="B177" s="116">
        <v>17</v>
      </c>
      <c r="C177" s="294">
        <f t="shared" si="41"/>
        <v>19677.820664419185</v>
      </c>
      <c r="D177" s="295">
        <f t="shared" si="41"/>
        <v>19677.820664419185</v>
      </c>
      <c r="E177" s="295">
        <f t="shared" si="42"/>
        <v>19677.820664419185</v>
      </c>
      <c r="F177" s="295">
        <f t="shared" si="42"/>
        <v>19677.820664419185</v>
      </c>
      <c r="G177" s="295">
        <f t="shared" si="42"/>
        <v>19677.820664419185</v>
      </c>
      <c r="H177" s="295">
        <f t="shared" si="42"/>
        <v>19677.820664419185</v>
      </c>
      <c r="I177" s="295">
        <f t="shared" si="42"/>
        <v>19677.820664419185</v>
      </c>
      <c r="J177" s="295">
        <f t="shared" si="42"/>
        <v>19677.820664419185</v>
      </c>
      <c r="K177" s="295">
        <f t="shared" si="42"/>
        <v>19677.820664419185</v>
      </c>
      <c r="L177" s="295">
        <f t="shared" si="42"/>
        <v>19677.820664419185</v>
      </c>
      <c r="M177" s="295">
        <f t="shared" si="42"/>
        <v>19677.820664419185</v>
      </c>
      <c r="N177" s="295">
        <f t="shared" si="42"/>
        <v>19677.820664419185</v>
      </c>
      <c r="O177" s="295">
        <f t="shared" si="42"/>
        <v>19677.820664419185</v>
      </c>
      <c r="P177" s="295">
        <f t="shared" si="42"/>
        <v>19677.820664419185</v>
      </c>
      <c r="Q177" s="295">
        <f t="shared" si="42"/>
        <v>19677.820664419185</v>
      </c>
      <c r="R177" s="295">
        <f t="shared" si="42"/>
        <v>19677.820664419185</v>
      </c>
      <c r="S177" s="295">
        <f t="shared" si="42"/>
        <v>19677.820664419185</v>
      </c>
      <c r="T177" s="295">
        <f t="shared" si="42"/>
        <v>19677.820664419185</v>
      </c>
      <c r="U177" s="295">
        <f t="shared" si="42"/>
        <v>19677.820664419185</v>
      </c>
      <c r="V177" s="295">
        <f t="shared" si="42"/>
        <v>19677.820664419185</v>
      </c>
      <c r="W177" s="295">
        <f t="shared" si="42"/>
        <v>19677.820664419185</v>
      </c>
      <c r="X177" s="295">
        <f t="shared" si="42"/>
        <v>19677.820664419185</v>
      </c>
      <c r="Y177" s="295">
        <f t="shared" si="42"/>
        <v>19677.820664419185</v>
      </c>
      <c r="Z177" s="295">
        <f t="shared" si="42"/>
        <v>19677.820664419185</v>
      </c>
      <c r="AA177" s="295">
        <f t="shared" si="42"/>
        <v>19677.820664419185</v>
      </c>
      <c r="AB177" s="295">
        <f t="shared" si="42"/>
        <v>19677.820664419185</v>
      </c>
      <c r="AC177" s="295">
        <f t="shared" si="42"/>
        <v>19677.820664419185</v>
      </c>
      <c r="AD177" s="295">
        <f t="shared" si="42"/>
        <v>19677.820664419185</v>
      </c>
      <c r="AE177" s="296">
        <f t="shared" si="42"/>
        <v>19677.820664419185</v>
      </c>
      <c r="AG177" s="1711"/>
      <c r="AH177" s="116">
        <v>17</v>
      </c>
      <c r="AI177" s="294">
        <f>'FREH LGV vkm'!C177*'FREH Stock'!C276</f>
        <v>10055366.359518204</v>
      </c>
      <c r="AJ177" s="295">
        <f>'FREH LGV vkm'!D177*'FREH Stock'!D276</f>
        <v>4369507.831723026</v>
      </c>
      <c r="AK177" s="295">
        <f>'FREH LGV vkm'!E177*'FREH Stock'!E276</f>
        <v>1850418.8870998679</v>
      </c>
      <c r="AL177" s="295">
        <f>'FREH LGV vkm'!F177*'FREH Stock'!F276</f>
        <v>992795.77695631399</v>
      </c>
      <c r="AM177" s="295">
        <f>'FREH LGV vkm'!G177*'FREH Stock'!G276</f>
        <v>631671.75652238738</v>
      </c>
      <c r="AN177" s="295">
        <f>'FREH LGV vkm'!H177*'FREH Stock'!H276</f>
        <v>449649.13351604535</v>
      </c>
      <c r="AO177" s="295">
        <f>'FREH LGV vkm'!I177*'FREH Stock'!I276</f>
        <v>234872.65892907197</v>
      </c>
      <c r="AP177" s="295">
        <f>'FREH LGV vkm'!J177*'FREH Stock'!J276</f>
        <v>150791.13550383615</v>
      </c>
      <c r="AQ177" s="295">
        <f>'FREH LGV vkm'!K177*'FREH Stock'!K276</f>
        <v>120955.8313493137</v>
      </c>
      <c r="AR177" s="295">
        <f>'FREH LGV vkm'!L177*'FREH Stock'!L276</f>
        <v>134010.00306177555</v>
      </c>
      <c r="AS177" s="295">
        <f>'FREH LGV vkm'!M177*'FREH Stock'!M276</f>
        <v>163149.54100995848</v>
      </c>
      <c r="AT177" s="295">
        <f>'FREH LGV vkm'!N177*'FREH Stock'!N276</f>
        <v>186665.32973185519</v>
      </c>
      <c r="AU177" s="295">
        <f>'FREH LGV vkm'!O177*'FREH Stock'!O276</f>
        <v>166266.85719278472</v>
      </c>
      <c r="AV177" s="295">
        <f>'FREH LGV vkm'!P177*'FREH Stock'!P276</f>
        <v>130540.63874458756</v>
      </c>
      <c r="AW177" s="295">
        <f>'FREH LGV vkm'!Q177*'FREH Stock'!Q276</f>
        <v>81841.028528105046</v>
      </c>
      <c r="AX177" s="295">
        <f>'FREH LGV vkm'!R177*'FREH Stock'!R276</f>
        <v>78566.343245797572</v>
      </c>
      <c r="AY177" s="295">
        <f>'FREH LGV vkm'!S177*'FREH Stock'!S276</f>
        <v>83412.975569124028</v>
      </c>
      <c r="AZ177" s="295">
        <f>'FREH LGV vkm'!T177*'FREH Stock'!T276</f>
        <v>84325.972163769969</v>
      </c>
      <c r="BA177" s="295">
        <f>'FREH LGV vkm'!U177*'FREH Stock'!U276</f>
        <v>0</v>
      </c>
      <c r="BB177" s="295">
        <f>'FREH LGV vkm'!V177*'FREH Stock'!V276</f>
        <v>0</v>
      </c>
      <c r="BC177" s="295">
        <f>'FREH LGV vkm'!W177*'FREH Stock'!W276</f>
        <v>0</v>
      </c>
      <c r="BD177" s="295">
        <f>'FREH LGV vkm'!X177*'FREH Stock'!X276</f>
        <v>0</v>
      </c>
      <c r="BE177" s="295">
        <f>'FREH LGV vkm'!Y177*'FREH Stock'!Y276</f>
        <v>0</v>
      </c>
      <c r="BF177" s="295">
        <f>'FREH LGV vkm'!Z177*'FREH Stock'!Z276</f>
        <v>0</v>
      </c>
      <c r="BG177" s="295">
        <f>'FREH LGV vkm'!AA177*'FREH Stock'!AA276</f>
        <v>0</v>
      </c>
      <c r="BH177" s="295">
        <f>'FREH LGV vkm'!AB177*'FREH Stock'!AB276</f>
        <v>0</v>
      </c>
      <c r="BI177" s="295">
        <f>'FREH LGV vkm'!AC177*'FREH Stock'!AC276</f>
        <v>0</v>
      </c>
      <c r="BJ177" s="295">
        <f>'FREH LGV vkm'!AD177*'FREH Stock'!AD276</f>
        <v>0</v>
      </c>
      <c r="BK177" s="296">
        <f>'FREH LGV vkm'!AE177*'FREH Stock'!AE276</f>
        <v>0</v>
      </c>
    </row>
    <row r="178" spans="1:63">
      <c r="A178" s="1711"/>
      <c r="B178" s="116">
        <v>18</v>
      </c>
      <c r="C178" s="294">
        <f t="shared" si="41"/>
        <v>19677.820664419185</v>
      </c>
      <c r="D178" s="295">
        <f t="shared" si="41"/>
        <v>19677.820664419185</v>
      </c>
      <c r="E178" s="295">
        <f t="shared" si="42"/>
        <v>19677.820664419185</v>
      </c>
      <c r="F178" s="295">
        <f t="shared" si="42"/>
        <v>19677.820664419185</v>
      </c>
      <c r="G178" s="295">
        <f t="shared" si="42"/>
        <v>19677.820664419185</v>
      </c>
      <c r="H178" s="295">
        <f t="shared" si="42"/>
        <v>19677.820664419185</v>
      </c>
      <c r="I178" s="295">
        <f t="shared" si="42"/>
        <v>19677.820664419185</v>
      </c>
      <c r="J178" s="295">
        <f t="shared" si="42"/>
        <v>19677.820664419185</v>
      </c>
      <c r="K178" s="295">
        <f t="shared" si="42"/>
        <v>19677.820664419185</v>
      </c>
      <c r="L178" s="295">
        <f t="shared" si="42"/>
        <v>19677.820664419185</v>
      </c>
      <c r="M178" s="295">
        <f t="shared" si="42"/>
        <v>19677.820664419185</v>
      </c>
      <c r="N178" s="295">
        <f t="shared" si="42"/>
        <v>19677.820664419185</v>
      </c>
      <c r="O178" s="295">
        <f t="shared" si="42"/>
        <v>19677.820664419185</v>
      </c>
      <c r="P178" s="295">
        <f t="shared" si="42"/>
        <v>19677.820664419185</v>
      </c>
      <c r="Q178" s="295">
        <f t="shared" si="42"/>
        <v>19677.820664419185</v>
      </c>
      <c r="R178" s="295">
        <f t="shared" si="42"/>
        <v>19677.820664419185</v>
      </c>
      <c r="S178" s="295">
        <f t="shared" si="42"/>
        <v>19677.820664419185</v>
      </c>
      <c r="T178" s="295">
        <f t="shared" si="42"/>
        <v>19677.820664419185</v>
      </c>
      <c r="U178" s="295">
        <f t="shared" si="42"/>
        <v>19677.820664419185</v>
      </c>
      <c r="V178" s="295">
        <f t="shared" si="42"/>
        <v>19677.820664419185</v>
      </c>
      <c r="W178" s="295">
        <f t="shared" si="42"/>
        <v>19677.820664419185</v>
      </c>
      <c r="X178" s="295">
        <f t="shared" si="42"/>
        <v>19677.820664419185</v>
      </c>
      <c r="Y178" s="295">
        <f t="shared" si="42"/>
        <v>19677.820664419185</v>
      </c>
      <c r="Z178" s="295">
        <f t="shared" si="42"/>
        <v>19677.820664419185</v>
      </c>
      <c r="AA178" s="295">
        <f t="shared" si="42"/>
        <v>19677.820664419185</v>
      </c>
      <c r="AB178" s="295">
        <f t="shared" si="42"/>
        <v>19677.820664419185</v>
      </c>
      <c r="AC178" s="295">
        <f t="shared" si="42"/>
        <v>19677.820664419185</v>
      </c>
      <c r="AD178" s="295">
        <f t="shared" si="42"/>
        <v>19677.820664419185</v>
      </c>
      <c r="AE178" s="296">
        <f t="shared" si="42"/>
        <v>19677.820664419185</v>
      </c>
      <c r="AG178" s="1711"/>
      <c r="AH178" s="116">
        <v>18</v>
      </c>
      <c r="AI178" s="294">
        <f>'FREH LGV vkm'!C178*'FREH Stock'!C277</f>
        <v>6710136.8465669425</v>
      </c>
      <c r="AJ178" s="295">
        <f>'FREH LGV vkm'!D178*'FREH Stock'!D277</f>
        <v>2178055.9523513466</v>
      </c>
      <c r="AK178" s="295">
        <f>'FREH LGV vkm'!E178*'FREH Stock'!E277</f>
        <v>946463.03291789419</v>
      </c>
      <c r="AL178" s="295">
        <f>'FREH LGV vkm'!F178*'FREH Stock'!F277</f>
        <v>400812.43460375833</v>
      </c>
      <c r="AM178" s="295">
        <f>'FREH LGV vkm'!G178*'FREH Stock'!G277</f>
        <v>215045.84459243788</v>
      </c>
      <c r="AN178" s="295">
        <f>'FREH LGV vkm'!H178*'FREH Stock'!H277</f>
        <v>136824.09770415741</v>
      </c>
      <c r="AO178" s="295">
        <f>'FREH LGV vkm'!I178*'FREH Stock'!I277</f>
        <v>97396.846291652517</v>
      </c>
      <c r="AP178" s="295">
        <f>'FREH LGV vkm'!J178*'FREH Stock'!J277</f>
        <v>50874.903462946953</v>
      </c>
      <c r="AQ178" s="295">
        <f>'FREH LGV vkm'!K178*'FREH Stock'!K277</f>
        <v>32662.313684380311</v>
      </c>
      <c r="AR178" s="295">
        <f>'FREH LGV vkm'!L178*'FREH Stock'!L277</f>
        <v>26199.798100106349</v>
      </c>
      <c r="AS178" s="295">
        <f>'FREH LGV vkm'!M178*'FREH Stock'!M277</f>
        <v>29027.41425895772</v>
      </c>
      <c r="AT178" s="295">
        <f>'FREH LGV vkm'!N178*'FREH Stock'!N277</f>
        <v>35339.222482308098</v>
      </c>
      <c r="AU178" s="295">
        <f>'FREH LGV vkm'!O178*'FREH Stock'!O277</f>
        <v>40432.891053765088</v>
      </c>
      <c r="AV178" s="295">
        <f>'FREH LGV vkm'!P178*'FREH Stock'!P277</f>
        <v>36014.452884126214</v>
      </c>
      <c r="AW178" s="295">
        <f>'FREH LGV vkm'!Q178*'FREH Stock'!Q277</f>
        <v>28275.928004578345</v>
      </c>
      <c r="AX178" s="295">
        <f>'FREH LGV vkm'!R178*'FREH Stock'!R277</f>
        <v>17727.28441301034</v>
      </c>
      <c r="AY178" s="295">
        <f>'FREH LGV vkm'!S178*'FREH Stock'!S277</f>
        <v>17017.966868905572</v>
      </c>
      <c r="AZ178" s="295">
        <f>'FREH LGV vkm'!T178*'FREH Stock'!T277</f>
        <v>18067.778084454902</v>
      </c>
      <c r="BA178" s="295">
        <f>'FREH LGV vkm'!U178*'FREH Stock'!U277</f>
        <v>18265.5389214395</v>
      </c>
      <c r="BB178" s="295">
        <f>'FREH LGV vkm'!V178*'FREH Stock'!V277</f>
        <v>0</v>
      </c>
      <c r="BC178" s="295">
        <f>'FREH LGV vkm'!W178*'FREH Stock'!W277</f>
        <v>0</v>
      </c>
      <c r="BD178" s="295">
        <f>'FREH LGV vkm'!X178*'FREH Stock'!X277</f>
        <v>0</v>
      </c>
      <c r="BE178" s="295">
        <f>'FREH LGV vkm'!Y178*'FREH Stock'!Y277</f>
        <v>0</v>
      </c>
      <c r="BF178" s="295">
        <f>'FREH LGV vkm'!Z178*'FREH Stock'!Z277</f>
        <v>0</v>
      </c>
      <c r="BG178" s="295">
        <f>'FREH LGV vkm'!AA178*'FREH Stock'!AA277</f>
        <v>0</v>
      </c>
      <c r="BH178" s="295">
        <f>'FREH LGV vkm'!AB178*'FREH Stock'!AB277</f>
        <v>0</v>
      </c>
      <c r="BI178" s="295">
        <f>'FREH LGV vkm'!AC178*'FREH Stock'!AC277</f>
        <v>0</v>
      </c>
      <c r="BJ178" s="295">
        <f>'FREH LGV vkm'!AD178*'FREH Stock'!AD277</f>
        <v>0</v>
      </c>
      <c r="BK178" s="296">
        <f>'FREH LGV vkm'!AE178*'FREH Stock'!AE277</f>
        <v>0</v>
      </c>
    </row>
    <row r="179" spans="1:63">
      <c r="A179" s="1711"/>
      <c r="B179" s="116">
        <v>19</v>
      </c>
      <c r="C179" s="294">
        <f t="shared" si="41"/>
        <v>19677.820664419185</v>
      </c>
      <c r="D179" s="295">
        <f t="shared" si="41"/>
        <v>19677.820664419185</v>
      </c>
      <c r="E179" s="295">
        <f t="shared" si="42"/>
        <v>19677.820664419185</v>
      </c>
      <c r="F179" s="295">
        <f t="shared" si="42"/>
        <v>19677.820664419185</v>
      </c>
      <c r="G179" s="295">
        <f t="shared" si="42"/>
        <v>19677.820664419185</v>
      </c>
      <c r="H179" s="295">
        <f t="shared" si="42"/>
        <v>19677.820664419185</v>
      </c>
      <c r="I179" s="295">
        <f t="shared" si="42"/>
        <v>19677.820664419185</v>
      </c>
      <c r="J179" s="295">
        <f t="shared" si="42"/>
        <v>19677.820664419185</v>
      </c>
      <c r="K179" s="295">
        <f t="shared" si="42"/>
        <v>19677.820664419185</v>
      </c>
      <c r="L179" s="295">
        <f t="shared" si="42"/>
        <v>19677.820664419185</v>
      </c>
      <c r="M179" s="295">
        <f t="shared" si="42"/>
        <v>19677.820664419185</v>
      </c>
      <c r="N179" s="295">
        <f t="shared" si="42"/>
        <v>19677.820664419185</v>
      </c>
      <c r="O179" s="295">
        <f t="shared" si="42"/>
        <v>19677.820664419185</v>
      </c>
      <c r="P179" s="295">
        <f t="shared" si="42"/>
        <v>19677.820664419185</v>
      </c>
      <c r="Q179" s="295">
        <f t="shared" si="42"/>
        <v>19677.820664419185</v>
      </c>
      <c r="R179" s="295">
        <f t="shared" si="42"/>
        <v>19677.820664419185</v>
      </c>
      <c r="S179" s="295">
        <f t="shared" si="42"/>
        <v>19677.820664419185</v>
      </c>
      <c r="T179" s="295">
        <f t="shared" si="42"/>
        <v>19677.820664419185</v>
      </c>
      <c r="U179" s="295">
        <f t="shared" si="42"/>
        <v>19677.820664419185</v>
      </c>
      <c r="V179" s="295">
        <f t="shared" si="42"/>
        <v>19677.820664419185</v>
      </c>
      <c r="W179" s="295">
        <f t="shared" si="42"/>
        <v>19677.820664419185</v>
      </c>
      <c r="X179" s="295">
        <f t="shared" si="42"/>
        <v>19677.820664419185</v>
      </c>
      <c r="Y179" s="295">
        <f t="shared" si="42"/>
        <v>19677.820664419185</v>
      </c>
      <c r="Z179" s="295">
        <f t="shared" si="42"/>
        <v>19677.820664419185</v>
      </c>
      <c r="AA179" s="295">
        <f t="shared" si="42"/>
        <v>19677.820664419185</v>
      </c>
      <c r="AB179" s="295">
        <f t="shared" si="42"/>
        <v>19677.820664419185</v>
      </c>
      <c r="AC179" s="295">
        <f t="shared" si="42"/>
        <v>19677.820664419185</v>
      </c>
      <c r="AD179" s="295">
        <f t="shared" si="42"/>
        <v>19677.820664419185</v>
      </c>
      <c r="AE179" s="296">
        <f t="shared" si="42"/>
        <v>19677.820664419185</v>
      </c>
      <c r="AG179" s="1711"/>
      <c r="AH179" s="116">
        <v>19</v>
      </c>
      <c r="AI179" s="294">
        <f>'FREH LGV vkm'!C179*'FREH Stock'!C278</f>
        <v>9876819.872895617</v>
      </c>
      <c r="AJ179" s="295">
        <f>'FREH LGV vkm'!D179*'FREH Stock'!D278</f>
        <v>1245821.2128909298</v>
      </c>
      <c r="AK179" s="295">
        <f>'FREH LGV vkm'!E179*'FREH Stock'!E278</f>
        <v>404383.45302762871</v>
      </c>
      <c r="AL179" s="295">
        <f>'FREH LGV vkm'!F179*'FREH Stock'!F278</f>
        <v>175722.75358727819</v>
      </c>
      <c r="AM179" s="295">
        <f>'FREH LGV vkm'!G179*'FREH Stock'!G278</f>
        <v>74415.864361290136</v>
      </c>
      <c r="AN179" s="295">
        <f>'FREH LGV vkm'!H179*'FREH Stock'!H278</f>
        <v>39925.962921959406</v>
      </c>
      <c r="AO179" s="295">
        <f>'FREH LGV vkm'!I179*'FREH Stock'!I278</f>
        <v>25403.112820524784</v>
      </c>
      <c r="AP179" s="295">
        <f>'FREH LGV vkm'!J179*'FREH Stock'!J278</f>
        <v>18082.948224952786</v>
      </c>
      <c r="AQ179" s="295">
        <f>'FREH LGV vkm'!K179*'FREH Stock'!K278</f>
        <v>9445.5650290268968</v>
      </c>
      <c r="AR179" s="295">
        <f>'FREH LGV vkm'!L179*'FREH Stock'!L278</f>
        <v>6064.1689104920915</v>
      </c>
      <c r="AS179" s="295">
        <f>'FREH LGV vkm'!M179*'FREH Stock'!M278</f>
        <v>4864.3216961024373</v>
      </c>
      <c r="AT179" s="295">
        <f>'FREH LGV vkm'!N179*'FREH Stock'!N278</f>
        <v>5389.3041626541444</v>
      </c>
      <c r="AU179" s="295">
        <f>'FREH LGV vkm'!O179*'FREH Stock'!O278</f>
        <v>6561.1706619748547</v>
      </c>
      <c r="AV179" s="295">
        <f>'FREH LGV vkm'!P179*'FREH Stock'!P278</f>
        <v>7506.8742300032191</v>
      </c>
      <c r="AW179" s="295">
        <f>'FREH LGV vkm'!Q179*'FREH Stock'!Q278</f>
        <v>6686.5356697845318</v>
      </c>
      <c r="AX179" s="295">
        <f>'FREH LGV vkm'!R179*'FREH Stock'!R278</f>
        <v>5249.7812977246804</v>
      </c>
      <c r="AY179" s="295">
        <f>'FREH LGV vkm'!S179*'FREH Stock'!S278</f>
        <v>3291.2930799583037</v>
      </c>
      <c r="AZ179" s="295">
        <f>'FREH LGV vkm'!T179*'FREH Stock'!T278</f>
        <v>3159.5993659063279</v>
      </c>
      <c r="BA179" s="295">
        <f>'FREH LGV vkm'!U179*'FREH Stock'!U278</f>
        <v>3354.5100080836637</v>
      </c>
      <c r="BB179" s="295">
        <f>'FREH LGV vkm'!V179*'FREH Stock'!V278</f>
        <v>3391.2267921713874</v>
      </c>
      <c r="BC179" s="295">
        <f>'FREH LGV vkm'!W179*'FREH Stock'!W278</f>
        <v>0</v>
      </c>
      <c r="BD179" s="295">
        <f>'FREH LGV vkm'!X179*'FREH Stock'!X278</f>
        <v>0</v>
      </c>
      <c r="BE179" s="295">
        <f>'FREH LGV vkm'!Y179*'FREH Stock'!Y278</f>
        <v>0</v>
      </c>
      <c r="BF179" s="295">
        <f>'FREH LGV vkm'!Z179*'FREH Stock'!Z278</f>
        <v>0</v>
      </c>
      <c r="BG179" s="295">
        <f>'FREH LGV vkm'!AA179*'FREH Stock'!AA278</f>
        <v>0</v>
      </c>
      <c r="BH179" s="295">
        <f>'FREH LGV vkm'!AB179*'FREH Stock'!AB278</f>
        <v>0</v>
      </c>
      <c r="BI179" s="295">
        <f>'FREH LGV vkm'!AC179*'FREH Stock'!AC278</f>
        <v>0</v>
      </c>
      <c r="BJ179" s="295">
        <f>'FREH LGV vkm'!AD179*'FREH Stock'!AD278</f>
        <v>0</v>
      </c>
      <c r="BK179" s="296">
        <f>'FREH LGV vkm'!AE179*'FREH Stock'!AE278</f>
        <v>0</v>
      </c>
    </row>
    <row r="180" spans="1:63">
      <c r="A180" s="1711"/>
      <c r="B180" s="116">
        <v>20</v>
      </c>
      <c r="C180" s="294">
        <f t="shared" si="41"/>
        <v>19677.820664419185</v>
      </c>
      <c r="D180" s="295">
        <f t="shared" si="41"/>
        <v>19677.820664419185</v>
      </c>
      <c r="E180" s="295">
        <f t="shared" si="42"/>
        <v>19677.820664419185</v>
      </c>
      <c r="F180" s="295">
        <f t="shared" si="42"/>
        <v>19677.820664419185</v>
      </c>
      <c r="G180" s="295">
        <f t="shared" si="42"/>
        <v>19677.820664419185</v>
      </c>
      <c r="H180" s="295">
        <f t="shared" si="42"/>
        <v>19677.820664419185</v>
      </c>
      <c r="I180" s="295">
        <f t="shared" si="42"/>
        <v>19677.820664419185</v>
      </c>
      <c r="J180" s="295">
        <f t="shared" si="42"/>
        <v>19677.820664419185</v>
      </c>
      <c r="K180" s="295">
        <f t="shared" si="42"/>
        <v>19677.820664419185</v>
      </c>
      <c r="L180" s="295">
        <f t="shared" si="42"/>
        <v>19677.820664419185</v>
      </c>
      <c r="M180" s="295">
        <f t="shared" si="42"/>
        <v>19677.820664419185</v>
      </c>
      <c r="N180" s="295">
        <f t="shared" si="42"/>
        <v>19677.820664419185</v>
      </c>
      <c r="O180" s="295">
        <f t="shared" si="42"/>
        <v>19677.820664419185</v>
      </c>
      <c r="P180" s="295">
        <f t="shared" si="42"/>
        <v>19677.820664419185</v>
      </c>
      <c r="Q180" s="295">
        <f t="shared" si="42"/>
        <v>19677.820664419185</v>
      </c>
      <c r="R180" s="295">
        <f t="shared" si="42"/>
        <v>19677.820664419185</v>
      </c>
      <c r="S180" s="295">
        <f t="shared" si="42"/>
        <v>19677.820664419185</v>
      </c>
      <c r="T180" s="295">
        <f t="shared" si="42"/>
        <v>19677.820664419185</v>
      </c>
      <c r="U180" s="295">
        <f t="shared" si="42"/>
        <v>19677.820664419185</v>
      </c>
      <c r="V180" s="295">
        <f t="shared" si="42"/>
        <v>19677.820664419185</v>
      </c>
      <c r="W180" s="295">
        <f t="shared" si="42"/>
        <v>19677.820664419185</v>
      </c>
      <c r="X180" s="295">
        <f t="shared" si="42"/>
        <v>19677.820664419185</v>
      </c>
      <c r="Y180" s="295">
        <f t="shared" si="42"/>
        <v>19677.820664419185</v>
      </c>
      <c r="Z180" s="295">
        <f t="shared" si="42"/>
        <v>19677.820664419185</v>
      </c>
      <c r="AA180" s="295">
        <f t="shared" si="42"/>
        <v>19677.820664419185</v>
      </c>
      <c r="AB180" s="295">
        <f t="shared" si="42"/>
        <v>19677.820664419185</v>
      </c>
      <c r="AC180" s="295">
        <f t="shared" si="42"/>
        <v>19677.820664419185</v>
      </c>
      <c r="AD180" s="295">
        <f t="shared" si="42"/>
        <v>19677.820664419185</v>
      </c>
      <c r="AE180" s="296">
        <f t="shared" si="42"/>
        <v>19677.820664419185</v>
      </c>
      <c r="AG180" s="1711"/>
      <c r="AH180" s="116">
        <v>20</v>
      </c>
      <c r="AI180" s="294">
        <f>'FREH LGV vkm'!C180*'FREH Stock'!C279</f>
        <v>3633478.9753918359</v>
      </c>
      <c r="AJ180" s="295">
        <f>'FREH LGV vkm'!D180*'FREH Stock'!D279</f>
        <v>1528129.7529040517</v>
      </c>
      <c r="AK180" s="295">
        <f>'FREH LGV vkm'!E180*'FREH Stock'!E279</f>
        <v>192751.96740623622</v>
      </c>
      <c r="AL180" s="295">
        <f>'FREH LGV vkm'!F180*'FREH Stock'!F279</f>
        <v>62565.723998814909</v>
      </c>
      <c r="AM180" s="295">
        <f>'FREH LGV vkm'!G180*'FREH Stock'!G279</f>
        <v>27187.614178917087</v>
      </c>
      <c r="AN180" s="295">
        <f>'FREH LGV vkm'!H180*'FREH Stock'!H279</f>
        <v>11513.533493774339</v>
      </c>
      <c r="AO180" s="295">
        <f>'FREH LGV vkm'!I180*'FREH Stock'!I279</f>
        <v>6177.2972110002702</v>
      </c>
      <c r="AP180" s="295">
        <f>'FREH LGV vkm'!J180*'FREH Stock'!J279</f>
        <v>3930.3392202131481</v>
      </c>
      <c r="AQ180" s="295">
        <f>'FREH LGV vkm'!K180*'FREH Stock'!K279</f>
        <v>2797.7721127228151</v>
      </c>
      <c r="AR180" s="295">
        <f>'FREH LGV vkm'!L180*'FREH Stock'!L279</f>
        <v>1461.4065194665079</v>
      </c>
      <c r="AS180" s="295">
        <f>'FREH LGV vkm'!M180*'FREH Stock'!M279</f>
        <v>938.2409579209957</v>
      </c>
      <c r="AT180" s="295">
        <f>'FREH LGV vkm'!N180*'FREH Stock'!N279</f>
        <v>752.60203255398505</v>
      </c>
      <c r="AU180" s="295">
        <f>'FREH LGV vkm'!O180*'FREH Stock'!O279</f>
        <v>833.82669162589582</v>
      </c>
      <c r="AV180" s="295">
        <f>'FREH LGV vkm'!P180*'FREH Stock'!P279</f>
        <v>1015.1364742369752</v>
      </c>
      <c r="AW180" s="295">
        <f>'FREH LGV vkm'!Q180*'FREH Stock'!Q279</f>
        <v>1161.4545987273818</v>
      </c>
      <c r="AX180" s="295">
        <f>'FREH LGV vkm'!R180*'FREH Stock'!R279</f>
        <v>1034.5327982433228</v>
      </c>
      <c r="AY180" s="295">
        <f>'FREH LGV vkm'!S180*'FREH Stock'!S279</f>
        <v>812.23988090615956</v>
      </c>
      <c r="AZ180" s="295">
        <f>'FREH LGV vkm'!T180*'FREH Stock'!T279</f>
        <v>509.22492722720648</v>
      </c>
      <c r="BA180" s="295">
        <f>'FREH LGV vkm'!U180*'FREH Stock'!U279</f>
        <v>488.84943336348539</v>
      </c>
      <c r="BB180" s="295">
        <f>'FREH LGV vkm'!V180*'FREH Stock'!V279</f>
        <v>519.00577470632913</v>
      </c>
      <c r="BC180" s="295">
        <f>'FREH LGV vkm'!W180*'FREH Stock'!W279</f>
        <v>524.6865516079489</v>
      </c>
      <c r="BD180" s="295">
        <f>'FREH LGV vkm'!X180*'FREH Stock'!X279</f>
        <v>0</v>
      </c>
      <c r="BE180" s="295">
        <f>'FREH LGV vkm'!Y180*'FREH Stock'!Y279</f>
        <v>0</v>
      </c>
      <c r="BF180" s="295">
        <f>'FREH LGV vkm'!Z180*'FREH Stock'!Z279</f>
        <v>0</v>
      </c>
      <c r="BG180" s="295">
        <f>'FREH LGV vkm'!AA180*'FREH Stock'!AA279</f>
        <v>0</v>
      </c>
      <c r="BH180" s="295">
        <f>'FREH LGV vkm'!AB180*'FREH Stock'!AB279</f>
        <v>0</v>
      </c>
      <c r="BI180" s="295">
        <f>'FREH LGV vkm'!AC180*'FREH Stock'!AC279</f>
        <v>0</v>
      </c>
      <c r="BJ180" s="295">
        <f>'FREH LGV vkm'!AD180*'FREH Stock'!AD279</f>
        <v>0</v>
      </c>
      <c r="BK180" s="296">
        <f>'FREH LGV vkm'!AE180*'FREH Stock'!AE279</f>
        <v>0</v>
      </c>
    </row>
    <row r="181" spans="1:63">
      <c r="A181" s="1711"/>
      <c r="B181" s="116">
        <v>21</v>
      </c>
      <c r="C181" s="294">
        <f t="shared" si="41"/>
        <v>19677.820664419185</v>
      </c>
      <c r="D181" s="295">
        <f t="shared" si="41"/>
        <v>19677.820664419185</v>
      </c>
      <c r="E181" s="295">
        <f t="shared" si="42"/>
        <v>19677.820664419185</v>
      </c>
      <c r="F181" s="295">
        <f t="shared" si="42"/>
        <v>19677.820664419185</v>
      </c>
      <c r="G181" s="295">
        <f t="shared" si="42"/>
        <v>19677.820664419185</v>
      </c>
      <c r="H181" s="295">
        <f t="shared" si="42"/>
        <v>19677.820664419185</v>
      </c>
      <c r="I181" s="295">
        <f t="shared" si="42"/>
        <v>19677.820664419185</v>
      </c>
      <c r="J181" s="295">
        <f t="shared" si="42"/>
        <v>19677.820664419185</v>
      </c>
      <c r="K181" s="295">
        <f t="shared" si="42"/>
        <v>19677.820664419185</v>
      </c>
      <c r="L181" s="295">
        <f t="shared" si="42"/>
        <v>19677.820664419185</v>
      </c>
      <c r="M181" s="295">
        <f t="shared" si="42"/>
        <v>19677.820664419185</v>
      </c>
      <c r="N181" s="295">
        <f t="shared" si="42"/>
        <v>19677.820664419185</v>
      </c>
      <c r="O181" s="295">
        <f t="shared" si="42"/>
        <v>19677.820664419185</v>
      </c>
      <c r="P181" s="295">
        <f t="shared" si="42"/>
        <v>19677.820664419185</v>
      </c>
      <c r="Q181" s="295">
        <f t="shared" si="42"/>
        <v>19677.820664419185</v>
      </c>
      <c r="R181" s="295">
        <f t="shared" si="42"/>
        <v>19677.820664419185</v>
      </c>
      <c r="S181" s="295">
        <f t="shared" si="42"/>
        <v>19677.820664419185</v>
      </c>
      <c r="T181" s="295">
        <f t="shared" si="42"/>
        <v>19677.820664419185</v>
      </c>
      <c r="U181" s="295">
        <f t="shared" si="42"/>
        <v>19677.820664419185</v>
      </c>
      <c r="V181" s="295">
        <f t="shared" si="42"/>
        <v>19677.820664419185</v>
      </c>
      <c r="W181" s="295">
        <f t="shared" si="42"/>
        <v>19677.820664419185</v>
      </c>
      <c r="X181" s="295">
        <f t="shared" si="42"/>
        <v>19677.820664419185</v>
      </c>
      <c r="Y181" s="295">
        <f t="shared" si="42"/>
        <v>19677.820664419185</v>
      </c>
      <c r="Z181" s="295">
        <f t="shared" si="42"/>
        <v>19677.820664419185</v>
      </c>
      <c r="AA181" s="295">
        <f t="shared" si="42"/>
        <v>19677.820664419185</v>
      </c>
      <c r="AB181" s="295">
        <f t="shared" si="42"/>
        <v>19677.820664419185</v>
      </c>
      <c r="AC181" s="295">
        <f t="shared" si="42"/>
        <v>19677.820664419185</v>
      </c>
      <c r="AD181" s="295">
        <f t="shared" si="42"/>
        <v>19677.820664419185</v>
      </c>
      <c r="AE181" s="296">
        <f t="shared" si="42"/>
        <v>19677.820664419185</v>
      </c>
      <c r="AG181" s="1711"/>
      <c r="AH181" s="116">
        <v>21</v>
      </c>
      <c r="AI181" s="294">
        <f>'FREH LGV vkm'!C181*'FREH Stock'!C280</f>
        <v>1336682.2149753333</v>
      </c>
      <c r="AJ181" s="295">
        <f>'FREH LGV vkm'!D181*'FREH Stock'!D280</f>
        <v>449734.01562863734</v>
      </c>
      <c r="AK181" s="295">
        <f>'FREH LGV vkm'!E181*'FREH Stock'!E280</f>
        <v>189144.32554299367</v>
      </c>
      <c r="AL181" s="295">
        <f>'FREH LGV vkm'!F181*'FREH Stock'!F280</f>
        <v>23857.88301212847</v>
      </c>
      <c r="AM181" s="295">
        <f>'FREH LGV vkm'!G181*'FREH Stock'!G280</f>
        <v>7744.0751646748231</v>
      </c>
      <c r="AN181" s="295">
        <f>'FREH LGV vkm'!H181*'FREH Stock'!H280</f>
        <v>3365.1481081510524</v>
      </c>
      <c r="AO181" s="295">
        <f>'FREH LGV vkm'!I181*'FREH Stock'!I280</f>
        <v>1425.0881007702949</v>
      </c>
      <c r="AP181" s="295">
        <f>'FREH LGV vkm'!J181*'FREH Stock'!J280</f>
        <v>764.59522657211403</v>
      </c>
      <c r="AQ181" s="295">
        <f>'FREH LGV vkm'!K181*'FREH Stock'!K280</f>
        <v>486.47790513183492</v>
      </c>
      <c r="AR181" s="295">
        <f>'FREH LGV vkm'!L181*'FREH Stock'!L280</f>
        <v>346.29436294810483</v>
      </c>
      <c r="AS181" s="295">
        <f>'FREH LGV vkm'!M181*'FREH Stock'!M280</f>
        <v>180.88565446967132</v>
      </c>
      <c r="AT181" s="295">
        <f>'FREH LGV vkm'!N181*'FREH Stock'!N280</f>
        <v>116.13081470701631</v>
      </c>
      <c r="AU181" s="295">
        <f>'FREH LGV vkm'!O181*'FREH Stock'!O280</f>
        <v>93.153348777607093</v>
      </c>
      <c r="AV181" s="295">
        <f>'FREH LGV vkm'!P181*'FREH Stock'!P280</f>
        <v>103.20693442923127</v>
      </c>
      <c r="AW181" s="295">
        <f>'FREH LGV vkm'!Q181*'FREH Stock'!Q280</f>
        <v>125.64856052881332</v>
      </c>
      <c r="AX181" s="295">
        <f>'FREH LGV vkm'!R181*'FREH Stock'!R280</f>
        <v>143.75909264747656</v>
      </c>
      <c r="AY181" s="295">
        <f>'FREH LGV vkm'!S181*'FREH Stock'!S280</f>
        <v>128.04934136252325</v>
      </c>
      <c r="AZ181" s="295">
        <f>'FREH LGV vkm'!T181*'FREH Stock'!T280</f>
        <v>100.535026008857</v>
      </c>
      <c r="BA181" s="295">
        <f>'FREH LGV vkm'!U181*'FREH Stock'!U280</f>
        <v>63.029337153490765</v>
      </c>
      <c r="BB181" s="295">
        <f>'FREH LGV vkm'!V181*'FREH Stock'!V280</f>
        <v>60.50735952879301</v>
      </c>
      <c r="BC181" s="295">
        <f>'FREH LGV vkm'!W181*'FREH Stock'!W280</f>
        <v>64.239961968668808</v>
      </c>
      <c r="BD181" s="295">
        <f>'FREH LGV vkm'!X181*'FREH Stock'!X280</f>
        <v>64.943100372704947</v>
      </c>
      <c r="BE181" s="295">
        <f>'FREH LGV vkm'!Y181*'FREH Stock'!Y280</f>
        <v>0</v>
      </c>
      <c r="BF181" s="295">
        <f>'FREH LGV vkm'!Z181*'FREH Stock'!Z280</f>
        <v>0</v>
      </c>
      <c r="BG181" s="295">
        <f>'FREH LGV vkm'!AA181*'FREH Stock'!AA280</f>
        <v>0</v>
      </c>
      <c r="BH181" s="295">
        <f>'FREH LGV vkm'!AB181*'FREH Stock'!AB280</f>
        <v>0</v>
      </c>
      <c r="BI181" s="295">
        <f>'FREH LGV vkm'!AC181*'FREH Stock'!AC280</f>
        <v>0</v>
      </c>
      <c r="BJ181" s="295">
        <f>'FREH LGV vkm'!AD181*'FREH Stock'!AD280</f>
        <v>0</v>
      </c>
      <c r="BK181" s="296">
        <f>'FREH LGV vkm'!AE181*'FREH Stock'!AE280</f>
        <v>0</v>
      </c>
    </row>
    <row r="182" spans="1:63">
      <c r="A182" s="1711"/>
      <c r="B182" s="116">
        <v>22</v>
      </c>
      <c r="C182" s="294">
        <f t="shared" si="41"/>
        <v>19677.820664419185</v>
      </c>
      <c r="D182" s="295">
        <f t="shared" si="41"/>
        <v>19677.820664419185</v>
      </c>
      <c r="E182" s="295">
        <f t="shared" si="42"/>
        <v>19677.820664419185</v>
      </c>
      <c r="F182" s="295">
        <f t="shared" si="42"/>
        <v>19677.820664419185</v>
      </c>
      <c r="G182" s="295">
        <f t="shared" si="42"/>
        <v>19677.820664419185</v>
      </c>
      <c r="H182" s="295">
        <f t="shared" si="42"/>
        <v>19677.820664419185</v>
      </c>
      <c r="I182" s="295">
        <f t="shared" si="42"/>
        <v>19677.820664419185</v>
      </c>
      <c r="J182" s="295">
        <f t="shared" si="42"/>
        <v>19677.820664419185</v>
      </c>
      <c r="K182" s="295">
        <f t="shared" si="42"/>
        <v>19677.820664419185</v>
      </c>
      <c r="L182" s="295">
        <f t="shared" si="42"/>
        <v>19677.820664419185</v>
      </c>
      <c r="M182" s="295">
        <f t="shared" si="42"/>
        <v>19677.820664419185</v>
      </c>
      <c r="N182" s="295">
        <f t="shared" si="42"/>
        <v>19677.820664419185</v>
      </c>
      <c r="O182" s="295">
        <f t="shared" si="42"/>
        <v>19677.820664419185</v>
      </c>
      <c r="P182" s="295">
        <f t="shared" si="42"/>
        <v>19677.820664419185</v>
      </c>
      <c r="Q182" s="295">
        <f t="shared" si="42"/>
        <v>19677.820664419185</v>
      </c>
      <c r="R182" s="295">
        <f t="shared" si="42"/>
        <v>19677.820664419185</v>
      </c>
      <c r="S182" s="295">
        <f t="shared" si="42"/>
        <v>19677.820664419185</v>
      </c>
      <c r="T182" s="295">
        <f t="shared" si="42"/>
        <v>19677.820664419185</v>
      </c>
      <c r="U182" s="295">
        <f t="shared" si="42"/>
        <v>19677.820664419185</v>
      </c>
      <c r="V182" s="295">
        <f t="shared" si="42"/>
        <v>19677.820664419185</v>
      </c>
      <c r="W182" s="295">
        <f t="shared" si="42"/>
        <v>19677.820664419185</v>
      </c>
      <c r="X182" s="295">
        <f t="shared" si="42"/>
        <v>19677.820664419185</v>
      </c>
      <c r="Y182" s="295">
        <f t="shared" si="42"/>
        <v>19677.820664419185</v>
      </c>
      <c r="Z182" s="295">
        <f t="shared" si="42"/>
        <v>19677.820664419185</v>
      </c>
      <c r="AA182" s="295">
        <f t="shared" si="42"/>
        <v>19677.820664419185</v>
      </c>
      <c r="AB182" s="295">
        <f t="shared" si="42"/>
        <v>19677.820664419185</v>
      </c>
      <c r="AC182" s="295">
        <f t="shared" si="42"/>
        <v>19677.820664419185</v>
      </c>
      <c r="AD182" s="295">
        <f t="shared" si="42"/>
        <v>19677.820664419185</v>
      </c>
      <c r="AE182" s="296">
        <f t="shared" si="42"/>
        <v>19677.820664419185</v>
      </c>
      <c r="AG182" s="1711"/>
      <c r="AH182" s="116">
        <v>22</v>
      </c>
      <c r="AI182" s="294">
        <f>'FREH LGV vkm'!C182*'FREH Stock'!C281</f>
        <v>491737.90626893129</v>
      </c>
      <c r="AJ182" s="295">
        <f>'FREH LGV vkm'!D182*'FREH Stock'!D281</f>
        <v>124085.92375893885</v>
      </c>
      <c r="AK182" s="295">
        <f>'FREH LGV vkm'!E182*'FREH Stock'!E281</f>
        <v>41749.385268903519</v>
      </c>
      <c r="AL182" s="295">
        <f>'FREH LGV vkm'!F182*'FREH Stock'!F281</f>
        <v>17558.510239621115</v>
      </c>
      <c r="AM182" s="295">
        <f>'FREH LGV vkm'!G182*'FREH Stock'!G281</f>
        <v>2214.7578678955388</v>
      </c>
      <c r="AN182" s="295">
        <f>'FREH LGV vkm'!H182*'FREH Stock'!H281</f>
        <v>718.89242611420889</v>
      </c>
      <c r="AO182" s="295">
        <f>'FREH LGV vkm'!I182*'FREH Stock'!I281</f>
        <v>312.39101329202202</v>
      </c>
      <c r="AP182" s="295">
        <f>'FREH LGV vkm'!J182*'FREH Stock'!J281</f>
        <v>132.2927554813146</v>
      </c>
      <c r="AQ182" s="295">
        <f>'FREH LGV vkm'!K182*'FREH Stock'!K281</f>
        <v>70.978355160225362</v>
      </c>
      <c r="AR182" s="295">
        <f>'FREH LGV vkm'!L182*'FREH Stock'!L281</f>
        <v>45.160367640345321</v>
      </c>
      <c r="AS182" s="295">
        <f>'FREH LGV vkm'!M182*'FREH Stock'!M281</f>
        <v>32.146949691944386</v>
      </c>
      <c r="AT182" s="295">
        <f>'FREH LGV vkm'!N182*'FREH Stock'!N281</f>
        <v>16.791847215550476</v>
      </c>
      <c r="AU182" s="295">
        <f>'FREH LGV vkm'!O182*'FREH Stock'!O281</f>
        <v>10.780572419050403</v>
      </c>
      <c r="AV182" s="295">
        <f>'FREH LGV vkm'!P182*'FREH Stock'!P281</f>
        <v>8.6475447977149145</v>
      </c>
      <c r="AW182" s="295">
        <f>'FREH LGV vkm'!Q182*'FREH Stock'!Q281</f>
        <v>9.5808320433258096</v>
      </c>
      <c r="AX182" s="295">
        <f>'FREH LGV vkm'!R182*'FREH Stock'!R281</f>
        <v>11.664116966265208</v>
      </c>
      <c r="AY182" s="295">
        <f>'FREH LGV vkm'!S182*'FREH Stock'!S281</f>
        <v>13.345340882116986</v>
      </c>
      <c r="AZ182" s="295">
        <f>'FREH LGV vkm'!T182*'FREH Stock'!T281</f>
        <v>11.886984529068195</v>
      </c>
      <c r="BA182" s="295">
        <f>'FREH LGV vkm'!U182*'FREH Stock'!U281</f>
        <v>9.3327953590436401</v>
      </c>
      <c r="BB182" s="295">
        <f>'FREH LGV vkm'!V182*'FREH Stock'!V281</f>
        <v>5.8510941770470355</v>
      </c>
      <c r="BC182" s="295">
        <f>'FREH LGV vkm'!W182*'FREH Stock'!W281</f>
        <v>5.6169757607518287</v>
      </c>
      <c r="BD182" s="295">
        <f>'FREH LGV vkm'!X182*'FREH Stock'!X281</f>
        <v>5.9634780307662494</v>
      </c>
      <c r="BE182" s="295">
        <f>'FREH LGV vkm'!Y182*'FREH Stock'!Y281</f>
        <v>6.028751270297473</v>
      </c>
      <c r="BF182" s="295">
        <f>'FREH LGV vkm'!Z182*'FREH Stock'!Z281</f>
        <v>0</v>
      </c>
      <c r="BG182" s="295">
        <f>'FREH LGV vkm'!AA182*'FREH Stock'!AA281</f>
        <v>0</v>
      </c>
      <c r="BH182" s="295">
        <f>'FREH LGV vkm'!AB182*'FREH Stock'!AB281</f>
        <v>0</v>
      </c>
      <c r="BI182" s="295">
        <f>'FREH LGV vkm'!AC182*'FREH Stock'!AC281</f>
        <v>0</v>
      </c>
      <c r="BJ182" s="295">
        <f>'FREH LGV vkm'!AD182*'FREH Stock'!AD281</f>
        <v>0</v>
      </c>
      <c r="BK182" s="296">
        <f>'FREH LGV vkm'!AE182*'FREH Stock'!AE281</f>
        <v>0</v>
      </c>
    </row>
    <row r="183" spans="1:63">
      <c r="A183" s="1711"/>
      <c r="B183" s="116">
        <v>23</v>
      </c>
      <c r="C183" s="294">
        <f t="shared" si="41"/>
        <v>19677.820664419185</v>
      </c>
      <c r="D183" s="295">
        <f t="shared" si="41"/>
        <v>19677.820664419185</v>
      </c>
      <c r="E183" s="295">
        <f t="shared" si="42"/>
        <v>19677.820664419185</v>
      </c>
      <c r="F183" s="295">
        <f t="shared" si="42"/>
        <v>19677.820664419185</v>
      </c>
      <c r="G183" s="295">
        <f t="shared" si="42"/>
        <v>19677.820664419185</v>
      </c>
      <c r="H183" s="295">
        <f t="shared" si="42"/>
        <v>19677.820664419185</v>
      </c>
      <c r="I183" s="295">
        <f t="shared" si="42"/>
        <v>19677.820664419185</v>
      </c>
      <c r="J183" s="295">
        <f t="shared" si="42"/>
        <v>19677.820664419185</v>
      </c>
      <c r="K183" s="295">
        <f t="shared" si="42"/>
        <v>19677.820664419185</v>
      </c>
      <c r="L183" s="295">
        <f t="shared" si="42"/>
        <v>19677.820664419185</v>
      </c>
      <c r="M183" s="295">
        <f t="shared" si="42"/>
        <v>19677.820664419185</v>
      </c>
      <c r="N183" s="295">
        <f t="shared" si="42"/>
        <v>19677.820664419185</v>
      </c>
      <c r="O183" s="295">
        <f t="shared" si="42"/>
        <v>19677.820664419185</v>
      </c>
      <c r="P183" s="295">
        <f t="shared" si="42"/>
        <v>19677.820664419185</v>
      </c>
      <c r="Q183" s="295">
        <f t="shared" si="42"/>
        <v>19677.820664419185</v>
      </c>
      <c r="R183" s="295">
        <f t="shared" si="42"/>
        <v>19677.820664419185</v>
      </c>
      <c r="S183" s="295">
        <f t="shared" si="42"/>
        <v>19677.820664419185</v>
      </c>
      <c r="T183" s="295">
        <f t="shared" si="42"/>
        <v>19677.820664419185</v>
      </c>
      <c r="U183" s="295">
        <f t="shared" si="42"/>
        <v>19677.820664419185</v>
      </c>
      <c r="V183" s="295">
        <f t="shared" si="42"/>
        <v>19677.820664419185</v>
      </c>
      <c r="W183" s="295">
        <f t="shared" si="42"/>
        <v>19677.820664419185</v>
      </c>
      <c r="X183" s="295">
        <f t="shared" si="42"/>
        <v>19677.820664419185</v>
      </c>
      <c r="Y183" s="295">
        <f t="shared" si="42"/>
        <v>19677.820664419185</v>
      </c>
      <c r="Z183" s="295">
        <f t="shared" si="42"/>
        <v>19677.820664419185</v>
      </c>
      <c r="AA183" s="295">
        <f t="shared" si="42"/>
        <v>19677.820664419185</v>
      </c>
      <c r="AB183" s="295">
        <f t="shared" si="42"/>
        <v>19677.820664419185</v>
      </c>
      <c r="AC183" s="295">
        <f t="shared" si="42"/>
        <v>19677.820664419185</v>
      </c>
      <c r="AD183" s="295">
        <f t="shared" si="42"/>
        <v>19677.820664419185</v>
      </c>
      <c r="AE183" s="296">
        <f t="shared" si="42"/>
        <v>19677.820664419185</v>
      </c>
      <c r="AG183" s="1711"/>
      <c r="AH183" s="116">
        <v>23</v>
      </c>
      <c r="AI183" s="294">
        <f>'FREH LGV vkm'!C183*'FREH Stock'!C282</f>
        <v>180900.26616102955</v>
      </c>
      <c r="AJ183" s="295">
        <f>'FREH LGV vkm'!D183*'FREH Stock'!D282</f>
        <v>30432.440193120405</v>
      </c>
      <c r="AK183" s="295">
        <f>'FREH LGV vkm'!E183*'FREH Stock'!E282</f>
        <v>7679.3702609877346</v>
      </c>
      <c r="AL183" s="295">
        <f>'FREH LGV vkm'!F183*'FREH Stock'!F282</f>
        <v>2583.765973901945</v>
      </c>
      <c r="AM183" s="295">
        <f>'FREH LGV vkm'!G183*'FREH Stock'!G282</f>
        <v>1086.6526780535135</v>
      </c>
      <c r="AN183" s="295">
        <f>'FREH LGV vkm'!H183*'FREH Stock'!H282</f>
        <v>137.06587492588488</v>
      </c>
      <c r="AO183" s="295">
        <f>'FREH LGV vkm'!I183*'FREH Stock'!I282</f>
        <v>44.490470399170356</v>
      </c>
      <c r="AP183" s="295">
        <f>'FREH LGV vkm'!J183*'FREH Stock'!J282</f>
        <v>19.333105517552809</v>
      </c>
      <c r="AQ183" s="295">
        <f>'FREH LGV vkm'!K183*'FREH Stock'!K282</f>
        <v>8.1872707347608777</v>
      </c>
      <c r="AR183" s="295">
        <f>'FREH LGV vkm'!L183*'FREH Stock'!L282</f>
        <v>4.3926744732961263</v>
      </c>
      <c r="AS183" s="295">
        <f>'FREH LGV vkm'!M183*'FREH Stock'!M282</f>
        <v>2.7948632183798185</v>
      </c>
      <c r="AT183" s="295">
        <f>'FREH LGV vkm'!N183*'FREH Stock'!N282</f>
        <v>1.9894950367245241</v>
      </c>
      <c r="AU183" s="295">
        <f>'FREH LGV vkm'!O183*'FREH Stock'!O282</f>
        <v>1.0392058037514404</v>
      </c>
      <c r="AV183" s="295">
        <f>'FREH LGV vkm'!P183*'FREH Stock'!P282</f>
        <v>0.66718290619419607</v>
      </c>
      <c r="AW183" s="295">
        <f>'FREH LGV vkm'!Q183*'FREH Stock'!Q282</f>
        <v>0.53517511365061066</v>
      </c>
      <c r="AX183" s="295">
        <f>'FREH LGV vkm'!R183*'FREH Stock'!R282</f>
        <v>0.59293394802756116</v>
      </c>
      <c r="AY183" s="295">
        <f>'FREH LGV vkm'!S183*'FREH Stock'!S282</f>
        <v>0.72186328826009871</v>
      </c>
      <c r="AZ183" s="295">
        <f>'FREH LGV vkm'!T183*'FREH Stock'!T282</f>
        <v>0.82591006931590272</v>
      </c>
      <c r="BA183" s="295">
        <f>'FREH LGV vkm'!U183*'FREH Stock'!U282</f>
        <v>0.73565600932049058</v>
      </c>
      <c r="BB183" s="295">
        <f>'FREH LGV vkm'!V183*'FREH Stock'!V282</f>
        <v>0.577583572423227</v>
      </c>
      <c r="BC183" s="295">
        <f>'FREH LGV vkm'!W183*'FREH Stock'!W282</f>
        <v>0.36210971604437658</v>
      </c>
      <c r="BD183" s="295">
        <f>'FREH LGV vkm'!X183*'FREH Stock'!X282</f>
        <v>0.34762070754781493</v>
      </c>
      <c r="BE183" s="295">
        <f>'FREH LGV vkm'!Y183*'FREH Stock'!Y282</f>
        <v>0.36906487419545864</v>
      </c>
      <c r="BF183" s="295">
        <f>'FREH LGV vkm'!Z183*'FREH Stock'!Z282</f>
        <v>0.37310447320322515</v>
      </c>
      <c r="BG183" s="295">
        <f>'FREH LGV vkm'!AA183*'FREH Stock'!AA282</f>
        <v>0</v>
      </c>
      <c r="BH183" s="295">
        <f>'FREH LGV vkm'!AB183*'FREH Stock'!AB282</f>
        <v>0</v>
      </c>
      <c r="BI183" s="295">
        <f>'FREH LGV vkm'!AC183*'FREH Stock'!AC282</f>
        <v>0</v>
      </c>
      <c r="BJ183" s="295">
        <f>'FREH LGV vkm'!AD183*'FREH Stock'!AD282</f>
        <v>0</v>
      </c>
      <c r="BK183" s="296">
        <f>'FREH LGV vkm'!AE183*'FREH Stock'!AE282</f>
        <v>0</v>
      </c>
    </row>
    <row r="184" spans="1:63">
      <c r="A184" s="1711"/>
      <c r="B184" s="116">
        <v>24</v>
      </c>
      <c r="C184" s="294">
        <f t="shared" ref="C184:D185" si="43">C183</f>
        <v>19677.820664419185</v>
      </c>
      <c r="D184" s="295">
        <f t="shared" si="43"/>
        <v>19677.820664419185</v>
      </c>
      <c r="E184" s="295">
        <f t="shared" si="42"/>
        <v>19677.820664419185</v>
      </c>
      <c r="F184" s="295">
        <f t="shared" si="42"/>
        <v>19677.820664419185</v>
      </c>
      <c r="G184" s="295">
        <f t="shared" si="42"/>
        <v>19677.820664419185</v>
      </c>
      <c r="H184" s="295">
        <f t="shared" si="42"/>
        <v>19677.820664419185</v>
      </c>
      <c r="I184" s="295">
        <f t="shared" si="42"/>
        <v>19677.820664419185</v>
      </c>
      <c r="J184" s="295">
        <f t="shared" si="42"/>
        <v>19677.820664419185</v>
      </c>
      <c r="K184" s="295">
        <f t="shared" si="42"/>
        <v>19677.820664419185</v>
      </c>
      <c r="L184" s="295">
        <f t="shared" si="42"/>
        <v>19677.820664419185</v>
      </c>
      <c r="M184" s="295">
        <f t="shared" si="42"/>
        <v>19677.820664419185</v>
      </c>
      <c r="N184" s="295">
        <f t="shared" si="42"/>
        <v>19677.820664419185</v>
      </c>
      <c r="O184" s="295">
        <f t="shared" si="42"/>
        <v>19677.820664419185</v>
      </c>
      <c r="P184" s="295">
        <f t="shared" si="42"/>
        <v>19677.820664419185</v>
      </c>
      <c r="Q184" s="295">
        <f t="shared" si="42"/>
        <v>19677.820664419185</v>
      </c>
      <c r="R184" s="295">
        <f t="shared" si="42"/>
        <v>19677.820664419185</v>
      </c>
      <c r="S184" s="295">
        <f t="shared" si="42"/>
        <v>19677.820664419185</v>
      </c>
      <c r="T184" s="295">
        <f t="shared" si="42"/>
        <v>19677.820664419185</v>
      </c>
      <c r="U184" s="295">
        <f t="shared" si="42"/>
        <v>19677.820664419185</v>
      </c>
      <c r="V184" s="295">
        <f t="shared" si="42"/>
        <v>19677.820664419185</v>
      </c>
      <c r="W184" s="295">
        <f t="shared" si="42"/>
        <v>19677.820664419185</v>
      </c>
      <c r="X184" s="295">
        <f t="shared" si="42"/>
        <v>19677.820664419185</v>
      </c>
      <c r="Y184" s="295">
        <f t="shared" si="42"/>
        <v>19677.820664419185</v>
      </c>
      <c r="Z184" s="295">
        <f t="shared" si="42"/>
        <v>19677.820664419185</v>
      </c>
      <c r="AA184" s="295">
        <f t="shared" si="42"/>
        <v>19677.820664419185</v>
      </c>
      <c r="AB184" s="295">
        <f t="shared" si="42"/>
        <v>19677.820664419185</v>
      </c>
      <c r="AC184" s="295">
        <f t="shared" si="42"/>
        <v>19677.820664419185</v>
      </c>
      <c r="AD184" s="295">
        <f t="shared" si="42"/>
        <v>19677.820664419185</v>
      </c>
      <c r="AE184" s="296">
        <f t="shared" si="42"/>
        <v>19677.820664419185</v>
      </c>
      <c r="AG184" s="1711"/>
      <c r="AH184" s="116">
        <v>24</v>
      </c>
      <c r="AI184" s="294">
        <f>'FREH LGV vkm'!C184*'FREH Stock'!C283</f>
        <v>66549.488823084728</v>
      </c>
      <c r="AJ184" s="295">
        <f>'FREH LGV vkm'!D184*'FREH Stock'!D283</f>
        <v>5597.7345458642358</v>
      </c>
      <c r="AK184" s="295">
        <f>'FREH LGV vkm'!E184*'FREH Stock'!E283</f>
        <v>941.69414672025289</v>
      </c>
      <c r="AL184" s="295">
        <f>'FREH LGV vkm'!F184*'FREH Stock'!F283</f>
        <v>237.62859564920853</v>
      </c>
      <c r="AM184" s="295">
        <f>'FREH LGV vkm'!G184*'FREH Stock'!G283</f>
        <v>79.951435989955499</v>
      </c>
      <c r="AN184" s="295">
        <f>'FREH LGV vkm'!H184*'FREH Stock'!H283</f>
        <v>33.625120428962788</v>
      </c>
      <c r="AO184" s="295">
        <f>'FREH LGV vkm'!I184*'FREH Stock'!I283</f>
        <v>4.2413336332449187</v>
      </c>
      <c r="AP184" s="295">
        <f>'FREH LGV vkm'!J184*'FREH Stock'!J283</f>
        <v>1.3767024692683221</v>
      </c>
      <c r="AQ184" s="295">
        <f>'FREH LGV vkm'!K184*'FREH Stock'!K283</f>
        <v>0.59823899063868524</v>
      </c>
      <c r="AR184" s="295">
        <f>'FREH LGV vkm'!L184*'FREH Stock'!L283</f>
        <v>0.25334494636684618</v>
      </c>
      <c r="AS184" s="295">
        <f>'FREH LGV vkm'!M184*'FREH Stock'!M283</f>
        <v>0.13592586771551585</v>
      </c>
      <c r="AT184" s="295">
        <f>'FREH LGV vkm'!N184*'FREH Stock'!N283</f>
        <v>8.6483578606587563E-2</v>
      </c>
      <c r="AU184" s="295">
        <f>'FREH LGV vkm'!O184*'FREH Stock'!O283</f>
        <v>6.1562458321564484E-2</v>
      </c>
      <c r="AV184" s="295">
        <f>'FREH LGV vkm'!P184*'FREH Stock'!P283</f>
        <v>3.2156935704803387E-2</v>
      </c>
      <c r="AW184" s="295">
        <f>'FREH LGV vkm'!Q184*'FREH Stock'!Q283</f>
        <v>2.064514818949393E-2</v>
      </c>
      <c r="AX184" s="295">
        <f>'FREH LGV vkm'!R184*'FREH Stock'!R283</f>
        <v>1.6560330647065712E-2</v>
      </c>
      <c r="AY184" s="295">
        <f>'FREH LGV vkm'!S184*'FREH Stock'!S283</f>
        <v>1.8347606196085095E-2</v>
      </c>
      <c r="AZ184" s="295">
        <f>'FREH LGV vkm'!T184*'FREH Stock'!T283</f>
        <v>2.233716484688731E-2</v>
      </c>
      <c r="BA184" s="295">
        <f>'FREH LGV vkm'!U184*'FREH Stock'!U283</f>
        <v>2.555676354102962E-2</v>
      </c>
      <c r="BB184" s="295">
        <f>'FREH LGV vkm'!V184*'FREH Stock'!V283</f>
        <v>2.2763963506721774E-2</v>
      </c>
      <c r="BC184" s="295">
        <f>'FREH LGV vkm'!W184*'FREH Stock'!W283</f>
        <v>1.7872607846796406E-2</v>
      </c>
      <c r="BD184" s="295">
        <f>'FREH LGV vkm'!X184*'FREH Stock'!X283</f>
        <v>1.1205036398842851E-2</v>
      </c>
      <c r="BE184" s="295">
        <f>'FREH LGV vkm'!Y184*'FREH Stock'!Y283</f>
        <v>1.0756691987208172E-2</v>
      </c>
      <c r="BF184" s="295">
        <f>'FREH LGV vkm'!Z184*'FREH Stock'!Z283</f>
        <v>1.1420255148270253E-2</v>
      </c>
      <c r="BG184" s="295">
        <f>'FREH LGV vkm'!AA184*'FREH Stock'!AA283</f>
        <v>1.1545255533272921E-2</v>
      </c>
      <c r="BH184" s="295">
        <f>'FREH LGV vkm'!AB184*'FREH Stock'!AB283</f>
        <v>0</v>
      </c>
      <c r="BI184" s="295">
        <f>'FREH LGV vkm'!AC184*'FREH Stock'!AC283</f>
        <v>0</v>
      </c>
      <c r="BJ184" s="295">
        <f>'FREH LGV vkm'!AD184*'FREH Stock'!AD283</f>
        <v>0</v>
      </c>
      <c r="BK184" s="296">
        <f>'FREH LGV vkm'!AE184*'FREH Stock'!AE283</f>
        <v>0</v>
      </c>
    </row>
    <row r="185" spans="1:63" ht="15.75" thickBot="1">
      <c r="A185" s="1711"/>
      <c r="B185" s="116">
        <v>25</v>
      </c>
      <c r="C185" s="294">
        <f t="shared" si="43"/>
        <v>19677.820664419185</v>
      </c>
      <c r="D185" s="295">
        <f t="shared" si="43"/>
        <v>19677.820664419185</v>
      </c>
      <c r="E185" s="295">
        <f t="shared" si="42"/>
        <v>19677.820664419185</v>
      </c>
      <c r="F185" s="295">
        <f t="shared" si="42"/>
        <v>19677.820664419185</v>
      </c>
      <c r="G185" s="295">
        <f t="shared" si="42"/>
        <v>19677.820664419185</v>
      </c>
      <c r="H185" s="295">
        <f t="shared" si="42"/>
        <v>19677.820664419185</v>
      </c>
      <c r="I185" s="295">
        <f t="shared" si="42"/>
        <v>19677.820664419185</v>
      </c>
      <c r="J185" s="295">
        <f t="shared" si="42"/>
        <v>19677.820664419185</v>
      </c>
      <c r="K185" s="295">
        <f t="shared" si="42"/>
        <v>19677.820664419185</v>
      </c>
      <c r="L185" s="295">
        <f t="shared" si="42"/>
        <v>19677.820664419185</v>
      </c>
      <c r="M185" s="295">
        <f t="shared" si="42"/>
        <v>19677.820664419185</v>
      </c>
      <c r="N185" s="295">
        <f t="shared" si="42"/>
        <v>19677.820664419185</v>
      </c>
      <c r="O185" s="295">
        <f t="shared" si="42"/>
        <v>19677.820664419185</v>
      </c>
      <c r="P185" s="295">
        <f t="shared" si="42"/>
        <v>19677.820664419185</v>
      </c>
      <c r="Q185" s="295">
        <f t="shared" si="42"/>
        <v>19677.820664419185</v>
      </c>
      <c r="R185" s="295">
        <f t="shared" si="42"/>
        <v>19677.820664419185</v>
      </c>
      <c r="S185" s="295">
        <f t="shared" si="42"/>
        <v>19677.820664419185</v>
      </c>
      <c r="T185" s="295">
        <f t="shared" si="42"/>
        <v>19677.820664419185</v>
      </c>
      <c r="U185" s="295">
        <f t="shared" si="42"/>
        <v>19677.820664419185</v>
      </c>
      <c r="V185" s="295">
        <f t="shared" si="42"/>
        <v>19677.820664419185</v>
      </c>
      <c r="W185" s="295">
        <f t="shared" si="42"/>
        <v>19677.820664419185</v>
      </c>
      <c r="X185" s="295">
        <f t="shared" si="42"/>
        <v>19677.820664419185</v>
      </c>
      <c r="Y185" s="295">
        <f t="shared" si="42"/>
        <v>19677.820664419185</v>
      </c>
      <c r="Z185" s="295">
        <f t="shared" si="42"/>
        <v>19677.820664419185</v>
      </c>
      <c r="AA185" s="295">
        <f t="shared" si="42"/>
        <v>19677.820664419185</v>
      </c>
      <c r="AB185" s="295">
        <f t="shared" si="42"/>
        <v>19677.820664419185</v>
      </c>
      <c r="AC185" s="295">
        <f t="shared" ref="AC185:AE185" si="44">AC184</f>
        <v>19677.820664419185</v>
      </c>
      <c r="AD185" s="295">
        <f t="shared" si="44"/>
        <v>19677.820664419185</v>
      </c>
      <c r="AE185" s="296">
        <f t="shared" si="44"/>
        <v>19677.820664419185</v>
      </c>
      <c r="AG185" s="1711"/>
      <c r="AH185" s="116">
        <v>25</v>
      </c>
      <c r="AI185" s="294">
        <f>'FREH LGV vkm'!C185*'FREH Stock'!C284</f>
        <v>24482.188758481559</v>
      </c>
      <c r="AJ185" s="295">
        <f>'FREH LGV vkm'!D185*'FREH Stock'!D284</f>
        <v>0</v>
      </c>
      <c r="AK185" s="295">
        <f>'FREH LGV vkm'!E185*'FREH Stock'!E284</f>
        <v>0</v>
      </c>
      <c r="AL185" s="295">
        <f>'FREH LGV vkm'!F185*'FREH Stock'!F284</f>
        <v>0</v>
      </c>
      <c r="AM185" s="295">
        <f>'FREH LGV vkm'!G185*'FREH Stock'!G284</f>
        <v>0</v>
      </c>
      <c r="AN185" s="295">
        <f>'FREH LGV vkm'!H185*'FREH Stock'!H284</f>
        <v>0</v>
      </c>
      <c r="AO185" s="295">
        <f>'FREH LGV vkm'!I185*'FREH Stock'!I284</f>
        <v>0</v>
      </c>
      <c r="AP185" s="295">
        <f>'FREH LGV vkm'!J185*'FREH Stock'!J284</f>
        <v>0</v>
      </c>
      <c r="AQ185" s="295">
        <f>'FREH LGV vkm'!K185*'FREH Stock'!K284</f>
        <v>0</v>
      </c>
      <c r="AR185" s="295">
        <f>'FREH LGV vkm'!L185*'FREH Stock'!L284</f>
        <v>0</v>
      </c>
      <c r="AS185" s="295">
        <f>'FREH LGV vkm'!M185*'FREH Stock'!M284</f>
        <v>0</v>
      </c>
      <c r="AT185" s="295">
        <f>'FREH LGV vkm'!N185*'FREH Stock'!N284</f>
        <v>0</v>
      </c>
      <c r="AU185" s="295">
        <f>'FREH LGV vkm'!O185*'FREH Stock'!O284</f>
        <v>0</v>
      </c>
      <c r="AV185" s="295">
        <f>'FREH LGV vkm'!P185*'FREH Stock'!P284</f>
        <v>0</v>
      </c>
      <c r="AW185" s="295">
        <f>'FREH LGV vkm'!Q185*'FREH Stock'!Q284</f>
        <v>0</v>
      </c>
      <c r="AX185" s="295">
        <f>'FREH LGV vkm'!R185*'FREH Stock'!R284</f>
        <v>0</v>
      </c>
      <c r="AY185" s="295">
        <f>'FREH LGV vkm'!S185*'FREH Stock'!S284</f>
        <v>0</v>
      </c>
      <c r="AZ185" s="295">
        <f>'FREH LGV vkm'!T185*'FREH Stock'!T284</f>
        <v>0</v>
      </c>
      <c r="BA185" s="295">
        <f>'FREH LGV vkm'!U185*'FREH Stock'!U284</f>
        <v>0</v>
      </c>
      <c r="BB185" s="295">
        <f>'FREH LGV vkm'!V185*'FREH Stock'!V284</f>
        <v>0</v>
      </c>
      <c r="BC185" s="295">
        <f>'FREH LGV vkm'!W185*'FREH Stock'!W284</f>
        <v>0</v>
      </c>
      <c r="BD185" s="295">
        <f>'FREH LGV vkm'!X185*'FREH Stock'!X284</f>
        <v>0</v>
      </c>
      <c r="BE185" s="295">
        <f>'FREH LGV vkm'!Y185*'FREH Stock'!Y284</f>
        <v>0</v>
      </c>
      <c r="BF185" s="295">
        <f>'FREH LGV vkm'!Z185*'FREH Stock'!Z284</f>
        <v>0</v>
      </c>
      <c r="BG185" s="295">
        <f>'FREH LGV vkm'!AA185*'FREH Stock'!AA284</f>
        <v>0</v>
      </c>
      <c r="BH185" s="295">
        <f>'FREH LGV vkm'!AB185*'FREH Stock'!AB284</f>
        <v>0</v>
      </c>
      <c r="BI185" s="295">
        <f>'FREH LGV vkm'!AC185*'FREH Stock'!AC284</f>
        <v>0</v>
      </c>
      <c r="BJ185" s="295">
        <f>'FREH LGV vkm'!AD185*'FREH Stock'!AD284</f>
        <v>0</v>
      </c>
      <c r="BK185" s="296">
        <f>'FREH LGV vkm'!AE185*'FREH Stock'!AE284</f>
        <v>0</v>
      </c>
    </row>
    <row r="186" spans="1:63" ht="16.5" thickTop="1" thickBot="1">
      <c r="A186" s="1712"/>
      <c r="B186" s="300" t="s">
        <v>39</v>
      </c>
      <c r="C186" s="463">
        <f>SUMPRODUCT(C160:C185,'FREH Stock'!C259:C284)/'FREH Stock'!C285</f>
        <v>19738.493842907414</v>
      </c>
      <c r="D186" s="464">
        <f>SUMPRODUCT(D160:D185,'FREH Stock'!D259:D284)/'FREH Stock'!D285</f>
        <v>19699.770078646507</v>
      </c>
      <c r="E186" s="464">
        <f>SUMPRODUCT(E160:E185,'FREH Stock'!E259:E284)/'FREH Stock'!E285</f>
        <v>19663.459143897966</v>
      </c>
      <c r="F186" s="464">
        <f>SUMPRODUCT(F160:F185,'FREH Stock'!F259:F284)/'FREH Stock'!F285</f>
        <v>19745.663289283002</v>
      </c>
      <c r="G186" s="464">
        <f>SUMPRODUCT(G160:G185,'FREH Stock'!G259:G284)/'FREH Stock'!G285</f>
        <v>19879.804390945654</v>
      </c>
      <c r="H186" s="464">
        <f>SUMPRODUCT(H160:H185,'FREH Stock'!H259:H284)/'FREH Stock'!H285</f>
        <v>19918.331069269203</v>
      </c>
      <c r="I186" s="464">
        <f>SUMPRODUCT(I160:I185,'FREH Stock'!I259:I284)/'FREH Stock'!I285</f>
        <v>19677.820664419189</v>
      </c>
      <c r="J186" s="464">
        <f>SUMPRODUCT(J160:J185,'FREH Stock'!J259:J284)/'FREH Stock'!J285</f>
        <v>19677.820664419185</v>
      </c>
      <c r="K186" s="464">
        <f>SUMPRODUCT(K160:K185,'FREH Stock'!K259:K284)/'FREH Stock'!K285</f>
        <v>19677.820664419185</v>
      </c>
      <c r="L186" s="464">
        <f>SUMPRODUCT(L160:L185,'FREH Stock'!L259:L284)/'FREH Stock'!L285</f>
        <v>19677.820664419181</v>
      </c>
      <c r="M186" s="464">
        <f>SUMPRODUCT(M160:M185,'FREH Stock'!M259:M284)/'FREH Stock'!M285</f>
        <v>19677.820664419192</v>
      </c>
      <c r="N186" s="464">
        <f>SUMPRODUCT(N160:N185,'FREH Stock'!N259:N284)/'FREH Stock'!N285</f>
        <v>19677.820664419181</v>
      </c>
      <c r="O186" s="464">
        <f>SUMPRODUCT(O160:O185,'FREH Stock'!O259:O284)/'FREH Stock'!O285</f>
        <v>19677.820664419189</v>
      </c>
      <c r="P186" s="464">
        <f>SUMPRODUCT(P160:P185,'FREH Stock'!P259:P284)/'FREH Stock'!P285</f>
        <v>19677.820664419189</v>
      </c>
      <c r="Q186" s="464">
        <f>SUMPRODUCT(Q160:Q185,'FREH Stock'!Q259:Q284)/'FREH Stock'!Q285</f>
        <v>19677.820664419192</v>
      </c>
      <c r="R186" s="464">
        <f>SUMPRODUCT(R160:R185,'FREH Stock'!R259:R284)/'FREH Stock'!R285</f>
        <v>19677.820664419185</v>
      </c>
      <c r="S186" s="464">
        <f>SUMPRODUCT(S160:S185,'FREH Stock'!S259:S284)/'FREH Stock'!S285</f>
        <v>19677.820664419189</v>
      </c>
      <c r="T186" s="464">
        <f>SUMPRODUCT(T160:T185,'FREH Stock'!T259:T284)/'FREH Stock'!T285</f>
        <v>19677.820664419181</v>
      </c>
      <c r="U186" s="464">
        <f>SUMPRODUCT(U160:U185,'FREH Stock'!U259:U284)/'FREH Stock'!U285</f>
        <v>19677.820664419192</v>
      </c>
      <c r="V186" s="464">
        <f>SUMPRODUCT(V160:V185,'FREH Stock'!V259:V284)/'FREH Stock'!V285</f>
        <v>19677.820664419185</v>
      </c>
      <c r="W186" s="464">
        <f>SUMPRODUCT(W160:W185,'FREH Stock'!W259:W284)/'FREH Stock'!W285</f>
        <v>19677.820664419189</v>
      </c>
      <c r="X186" s="464">
        <f>SUMPRODUCT(X160:X185,'FREH Stock'!X259:X284)/'FREH Stock'!X285</f>
        <v>19677.820664419189</v>
      </c>
      <c r="Y186" s="464">
        <f>SUMPRODUCT(Y160:Y185,'FREH Stock'!Y259:Y284)/'FREH Stock'!Y285</f>
        <v>19677.820664419185</v>
      </c>
      <c r="Z186" s="464">
        <f>SUMPRODUCT(Z160:Z185,'FREH Stock'!Z259:Z284)/'FREH Stock'!Z285</f>
        <v>19677.820664419189</v>
      </c>
      <c r="AA186" s="464">
        <f>SUMPRODUCT(AA160:AA185,'FREH Stock'!AA259:AA284)/'FREH Stock'!AA285</f>
        <v>19677.820664419185</v>
      </c>
      <c r="AB186" s="464" t="e">
        <f>SUMPRODUCT(AB160:AB185,'FREH Stock'!AB259:AB284)/'FREH Stock'!AB285</f>
        <v>#DIV/0!</v>
      </c>
      <c r="AC186" s="464" t="e">
        <f>SUMPRODUCT(AC160:AC185,'FREH Stock'!AC259:AC284)/'FREH Stock'!AC285</f>
        <v>#DIV/0!</v>
      </c>
      <c r="AD186" s="464" t="e">
        <f>SUMPRODUCT(AD160:AD185,'FREH Stock'!AD259:AD284)/'FREH Stock'!AD285</f>
        <v>#DIV/0!</v>
      </c>
      <c r="AE186" s="465" t="e">
        <f>SUMPRODUCT(AE160:AE185,'FREH Stock'!AE259:AE284)/'FREH Stock'!AE285</f>
        <v>#DIV/0!</v>
      </c>
      <c r="AG186" s="1712"/>
      <c r="AH186" s="300" t="s">
        <v>39</v>
      </c>
      <c r="AI186" s="362">
        <f t="shared" ref="AI186:BK186" si="45">SUM(AI160:AI185)</f>
        <v>1933154768.0419974</v>
      </c>
      <c r="AJ186" s="363">
        <f t="shared" si="45"/>
        <v>1574929241.8266056</v>
      </c>
      <c r="AK186" s="363">
        <f t="shared" si="45"/>
        <v>1323431036.5659821</v>
      </c>
      <c r="AL186" s="363">
        <f t="shared" si="45"/>
        <v>1121971432.3399439</v>
      </c>
      <c r="AM186" s="363">
        <f t="shared" si="45"/>
        <v>939161388.31153297</v>
      </c>
      <c r="AN186" s="363">
        <f t="shared" si="45"/>
        <v>761458364.8259002</v>
      </c>
      <c r="AO186" s="363">
        <f t="shared" si="45"/>
        <v>588241604.32481158</v>
      </c>
      <c r="AP186" s="363">
        <f t="shared" si="45"/>
        <v>441391669.68887419</v>
      </c>
      <c r="AQ186" s="363">
        <f t="shared" si="45"/>
        <v>315910742.04645073</v>
      </c>
      <c r="AR186" s="363">
        <f t="shared" si="45"/>
        <v>213205007.67387518</v>
      </c>
      <c r="AS186" s="363">
        <f t="shared" si="45"/>
        <v>133533672.02957185</v>
      </c>
      <c r="AT186" s="363">
        <f t="shared" si="45"/>
        <v>75745387.665643126</v>
      </c>
      <c r="AU186" s="363">
        <f t="shared" si="45"/>
        <v>37565932.961048819</v>
      </c>
      <c r="AV186" s="363">
        <f t="shared" si="45"/>
        <v>15837219.549070125</v>
      </c>
      <c r="AW186" s="363">
        <f t="shared" si="45"/>
        <v>5598234.5931142243</v>
      </c>
      <c r="AX186" s="363">
        <f t="shared" si="45"/>
        <v>1662846.2270121982</v>
      </c>
      <c r="AY186" s="363">
        <f t="shared" si="45"/>
        <v>445318.67458892066</v>
      </c>
      <c r="AZ186" s="363">
        <f t="shared" si="45"/>
        <v>106175.84479913047</v>
      </c>
      <c r="BA186" s="363">
        <f t="shared" si="45"/>
        <v>22182.021708172044</v>
      </c>
      <c r="BB186" s="363">
        <f t="shared" si="45"/>
        <v>3977.1913681194865</v>
      </c>
      <c r="BC186" s="363">
        <f t="shared" si="45"/>
        <v>594.92347166126081</v>
      </c>
      <c r="BD186" s="363">
        <f t="shared" si="45"/>
        <v>71.265404147417868</v>
      </c>
      <c r="BE186" s="363">
        <f t="shared" si="45"/>
        <v>6.4085728364801398</v>
      </c>
      <c r="BF186" s="363">
        <f t="shared" si="45"/>
        <v>0.38452472835149543</v>
      </c>
      <c r="BG186" s="363">
        <f t="shared" si="45"/>
        <v>1.1545255533272921E-2</v>
      </c>
      <c r="BH186" s="363">
        <f t="shared" si="45"/>
        <v>0</v>
      </c>
      <c r="BI186" s="363">
        <f t="shared" si="45"/>
        <v>0</v>
      </c>
      <c r="BJ186" s="363">
        <f t="shared" si="45"/>
        <v>0</v>
      </c>
      <c r="BK186" s="364">
        <f t="shared" si="45"/>
        <v>0</v>
      </c>
    </row>
    <row r="187" spans="1:63" ht="15.75" thickBot="1">
      <c r="A187" s="650"/>
      <c r="AG187" s="650"/>
    </row>
    <row r="188" spans="1:63" ht="15.75" customHeight="1" thickBot="1">
      <c r="A188" s="1710" t="s">
        <v>205</v>
      </c>
      <c r="B188" s="169" t="s">
        <v>10</v>
      </c>
      <c r="C188" s="288">
        <v>2012</v>
      </c>
      <c r="D188" s="347">
        <v>2013</v>
      </c>
      <c r="E188" s="347">
        <v>2014</v>
      </c>
      <c r="F188" s="288">
        <v>2015</v>
      </c>
      <c r="G188" s="347">
        <v>2016</v>
      </c>
      <c r="H188" s="347">
        <v>2017</v>
      </c>
      <c r="I188" s="288">
        <v>2018</v>
      </c>
      <c r="J188" s="347">
        <v>2019</v>
      </c>
      <c r="K188" s="347">
        <v>2020</v>
      </c>
      <c r="L188" s="288">
        <v>2021</v>
      </c>
      <c r="M188" s="347">
        <v>2022</v>
      </c>
      <c r="N188" s="347">
        <v>2023</v>
      </c>
      <c r="O188" s="288">
        <v>2024</v>
      </c>
      <c r="P188" s="347">
        <v>2025</v>
      </c>
      <c r="Q188" s="347">
        <v>2026</v>
      </c>
      <c r="R188" s="288">
        <v>2027</v>
      </c>
      <c r="S188" s="347">
        <v>2028</v>
      </c>
      <c r="T188" s="347">
        <v>2029</v>
      </c>
      <c r="U188" s="288">
        <v>2030</v>
      </c>
      <c r="V188" s="347">
        <v>2031</v>
      </c>
      <c r="W188" s="347">
        <v>2032</v>
      </c>
      <c r="X188" s="288">
        <v>2033</v>
      </c>
      <c r="Y188" s="347">
        <v>2034</v>
      </c>
      <c r="Z188" s="347">
        <v>2035</v>
      </c>
      <c r="AA188" s="288">
        <v>2036</v>
      </c>
      <c r="AB188" s="347">
        <v>2037</v>
      </c>
      <c r="AC188" s="347">
        <v>2038</v>
      </c>
      <c r="AD188" s="288">
        <v>2039</v>
      </c>
      <c r="AE188" s="348">
        <v>2040</v>
      </c>
      <c r="AG188" s="1710" t="s">
        <v>205</v>
      </c>
      <c r="AH188" s="169" t="s">
        <v>10</v>
      </c>
      <c r="AI188" s="288">
        <v>2012</v>
      </c>
      <c r="AJ188" s="347">
        <v>2013</v>
      </c>
      <c r="AK188" s="347">
        <v>2014</v>
      </c>
      <c r="AL188" s="288">
        <v>2015</v>
      </c>
      <c r="AM188" s="347">
        <v>2016</v>
      </c>
      <c r="AN188" s="347">
        <v>2017</v>
      </c>
      <c r="AO188" s="288">
        <v>2018</v>
      </c>
      <c r="AP188" s="347">
        <v>2019</v>
      </c>
      <c r="AQ188" s="347">
        <v>2020</v>
      </c>
      <c r="AR188" s="288">
        <v>2021</v>
      </c>
      <c r="AS188" s="347">
        <v>2022</v>
      </c>
      <c r="AT188" s="347">
        <v>2023</v>
      </c>
      <c r="AU188" s="288">
        <v>2024</v>
      </c>
      <c r="AV188" s="347">
        <v>2025</v>
      </c>
      <c r="AW188" s="347">
        <v>2026</v>
      </c>
      <c r="AX188" s="288">
        <v>2027</v>
      </c>
      <c r="AY188" s="347">
        <v>2028</v>
      </c>
      <c r="AZ188" s="347">
        <v>2029</v>
      </c>
      <c r="BA188" s="288">
        <v>2030</v>
      </c>
      <c r="BB188" s="347">
        <v>2031</v>
      </c>
      <c r="BC188" s="347">
        <v>2032</v>
      </c>
      <c r="BD188" s="288">
        <v>2033</v>
      </c>
      <c r="BE188" s="347">
        <v>2034</v>
      </c>
      <c r="BF188" s="347">
        <v>2035</v>
      </c>
      <c r="BG188" s="288">
        <v>2036</v>
      </c>
      <c r="BH188" s="347">
        <v>2037</v>
      </c>
      <c r="BI188" s="347">
        <v>2038</v>
      </c>
      <c r="BJ188" s="288">
        <v>2039</v>
      </c>
      <c r="BK188" s="348">
        <v>2040</v>
      </c>
    </row>
    <row r="189" spans="1:63" ht="15" customHeight="1">
      <c r="A189" s="1711"/>
      <c r="B189" s="116">
        <v>0</v>
      </c>
      <c r="C189" s="487">
        <f>SUMPRODUCT('FREH LGV vkm'!G5:H5,'FREH Stock'!$AM$24:$AN$24)/SUM('FREH Stock'!$AM$24:$AN$24)</f>
        <v>12306.911359390742</v>
      </c>
      <c r="D189" s="292">
        <f>C189</f>
        <v>12306.911359390742</v>
      </c>
      <c r="E189" s="292">
        <f t="shared" ref="E189:AE190" si="46">D189</f>
        <v>12306.911359390742</v>
      </c>
      <c r="F189" s="292">
        <f t="shared" si="46"/>
        <v>12306.911359390742</v>
      </c>
      <c r="G189" s="292">
        <f t="shared" si="46"/>
        <v>12306.911359390742</v>
      </c>
      <c r="H189" s="292">
        <f t="shared" si="46"/>
        <v>12306.911359390742</v>
      </c>
      <c r="I189" s="292">
        <f t="shared" si="46"/>
        <v>12306.911359390742</v>
      </c>
      <c r="J189" s="292">
        <f t="shared" si="46"/>
        <v>12306.911359390742</v>
      </c>
      <c r="K189" s="292">
        <f t="shared" si="46"/>
        <v>12306.911359390742</v>
      </c>
      <c r="L189" s="292">
        <f t="shared" si="46"/>
        <v>12306.911359390742</v>
      </c>
      <c r="M189" s="292">
        <f t="shared" si="46"/>
        <v>12306.911359390742</v>
      </c>
      <c r="N189" s="292">
        <f t="shared" si="46"/>
        <v>12306.911359390742</v>
      </c>
      <c r="O189" s="292">
        <f t="shared" si="46"/>
        <v>12306.911359390742</v>
      </c>
      <c r="P189" s="292">
        <f t="shared" si="46"/>
        <v>12306.911359390742</v>
      </c>
      <c r="Q189" s="292">
        <f t="shared" si="46"/>
        <v>12306.911359390742</v>
      </c>
      <c r="R189" s="292">
        <f t="shared" si="46"/>
        <v>12306.911359390742</v>
      </c>
      <c r="S189" s="292">
        <f t="shared" si="46"/>
        <v>12306.911359390742</v>
      </c>
      <c r="T189" s="292">
        <f t="shared" si="46"/>
        <v>12306.911359390742</v>
      </c>
      <c r="U189" s="292">
        <f t="shared" si="46"/>
        <v>12306.911359390742</v>
      </c>
      <c r="V189" s="292">
        <f t="shared" si="46"/>
        <v>12306.911359390742</v>
      </c>
      <c r="W189" s="292">
        <f t="shared" si="46"/>
        <v>12306.911359390742</v>
      </c>
      <c r="X189" s="292">
        <f t="shared" si="46"/>
        <v>12306.911359390742</v>
      </c>
      <c r="Y189" s="292">
        <f t="shared" si="46"/>
        <v>12306.911359390742</v>
      </c>
      <c r="Z189" s="292">
        <f t="shared" si="46"/>
        <v>12306.911359390742</v>
      </c>
      <c r="AA189" s="292">
        <f t="shared" si="46"/>
        <v>12306.911359390742</v>
      </c>
      <c r="AB189" s="292">
        <f t="shared" si="46"/>
        <v>12306.911359390742</v>
      </c>
      <c r="AC189" s="292">
        <f t="shared" si="46"/>
        <v>12306.911359390742</v>
      </c>
      <c r="AD189" s="292">
        <f t="shared" si="46"/>
        <v>12306.911359390742</v>
      </c>
      <c r="AE189" s="293">
        <f t="shared" si="46"/>
        <v>12306.911359390742</v>
      </c>
      <c r="AG189" s="1711"/>
      <c r="AH189" s="116">
        <v>0</v>
      </c>
      <c r="AI189" s="291">
        <f>'FREH LGV vkm'!C189*'FREH Stock'!C288</f>
        <v>49658387.335141644</v>
      </c>
      <c r="AJ189" s="292">
        <f>'FREH LGV vkm'!D189*'FREH Stock'!D288</f>
        <v>0</v>
      </c>
      <c r="AK189" s="292">
        <f>'FREH LGV vkm'!E189*'FREH Stock'!E288</f>
        <v>0</v>
      </c>
      <c r="AL189" s="292">
        <f>'FREH LGV vkm'!F189*'FREH Stock'!F288</f>
        <v>0</v>
      </c>
      <c r="AM189" s="292">
        <f>'FREH LGV vkm'!G189*'FREH Stock'!G288</f>
        <v>0</v>
      </c>
      <c r="AN189" s="292">
        <f>'FREH LGV vkm'!H189*'FREH Stock'!H288</f>
        <v>0</v>
      </c>
      <c r="AO189" s="292">
        <f>'FREH LGV vkm'!I189*'FREH Stock'!I288</f>
        <v>0</v>
      </c>
      <c r="AP189" s="292">
        <f>'FREH LGV vkm'!J189*'FREH Stock'!J288</f>
        <v>0</v>
      </c>
      <c r="AQ189" s="292">
        <f>'FREH LGV vkm'!K189*'FREH Stock'!K288</f>
        <v>0</v>
      </c>
      <c r="AR189" s="292">
        <f>'FREH LGV vkm'!L189*'FREH Stock'!L288</f>
        <v>0</v>
      </c>
      <c r="AS189" s="292">
        <f>'FREH LGV vkm'!M189*'FREH Stock'!M288</f>
        <v>0</v>
      </c>
      <c r="AT189" s="292">
        <f>'FREH LGV vkm'!N189*'FREH Stock'!N288</f>
        <v>0</v>
      </c>
      <c r="AU189" s="292">
        <f>'FREH LGV vkm'!O189*'FREH Stock'!O288</f>
        <v>0</v>
      </c>
      <c r="AV189" s="292">
        <f>'FREH LGV vkm'!P189*'FREH Stock'!P288</f>
        <v>0</v>
      </c>
      <c r="AW189" s="292">
        <f>'FREH LGV vkm'!Q189*'FREH Stock'!Q288</f>
        <v>0</v>
      </c>
      <c r="AX189" s="292">
        <f>'FREH LGV vkm'!R189*'FREH Stock'!R288</f>
        <v>0</v>
      </c>
      <c r="AY189" s="292">
        <f>'FREH LGV vkm'!S189*'FREH Stock'!S288</f>
        <v>0</v>
      </c>
      <c r="AZ189" s="292">
        <f>'FREH LGV vkm'!T189*'FREH Stock'!T288</f>
        <v>0</v>
      </c>
      <c r="BA189" s="292">
        <f>'FREH LGV vkm'!U189*'FREH Stock'!U288</f>
        <v>0</v>
      </c>
      <c r="BB189" s="292">
        <f>'FREH LGV vkm'!V189*'FREH Stock'!V288</f>
        <v>0</v>
      </c>
      <c r="BC189" s="292">
        <f>'FREH LGV vkm'!W189*'FREH Stock'!W288</f>
        <v>0</v>
      </c>
      <c r="BD189" s="292">
        <f>'FREH LGV vkm'!X189*'FREH Stock'!X288</f>
        <v>0</v>
      </c>
      <c r="BE189" s="292">
        <f>'FREH LGV vkm'!Y189*'FREH Stock'!Y288</f>
        <v>0</v>
      </c>
      <c r="BF189" s="292">
        <f>'FREH LGV vkm'!Z189*'FREH Stock'!Z288</f>
        <v>0</v>
      </c>
      <c r="BG189" s="292">
        <f>'FREH LGV vkm'!AA189*'FREH Stock'!AA288</f>
        <v>0</v>
      </c>
      <c r="BH189" s="292">
        <f>'FREH LGV vkm'!AB189*'FREH Stock'!AB288</f>
        <v>0</v>
      </c>
      <c r="BI189" s="292">
        <f>'FREH LGV vkm'!AC189*'FREH Stock'!AC288</f>
        <v>0</v>
      </c>
      <c r="BJ189" s="292">
        <f>'FREH LGV vkm'!AD189*'FREH Stock'!AD288</f>
        <v>0</v>
      </c>
      <c r="BK189" s="293">
        <f>'FREH LGV vkm'!AE189*'FREH Stock'!AE288</f>
        <v>0</v>
      </c>
    </row>
    <row r="190" spans="1:63">
      <c r="A190" s="1711"/>
      <c r="B190" s="116">
        <v>1</v>
      </c>
      <c r="C190" s="294">
        <f>SUMPRODUCT('FREH LGV vkm'!G6:H6,'FREH Stock'!$AM$24:$AN$24)/SUM('FREH Stock'!$AM$24:$AN$24)</f>
        <v>10372.327733874641</v>
      </c>
      <c r="D190" s="295">
        <f>C190</f>
        <v>10372.327733874641</v>
      </c>
      <c r="E190" s="295">
        <f t="shared" si="46"/>
        <v>10372.327733874641</v>
      </c>
      <c r="F190" s="295">
        <f t="shared" si="46"/>
        <v>10372.327733874641</v>
      </c>
      <c r="G190" s="295">
        <f t="shared" si="46"/>
        <v>10372.327733874641</v>
      </c>
      <c r="H190" s="295">
        <f t="shared" si="46"/>
        <v>10372.327733874641</v>
      </c>
      <c r="I190" s="295">
        <f t="shared" si="46"/>
        <v>10372.327733874641</v>
      </c>
      <c r="J190" s="295">
        <f t="shared" si="46"/>
        <v>10372.327733874641</v>
      </c>
      <c r="K190" s="295">
        <f t="shared" si="46"/>
        <v>10372.327733874641</v>
      </c>
      <c r="L190" s="295">
        <f t="shared" si="46"/>
        <v>10372.327733874641</v>
      </c>
      <c r="M190" s="295">
        <f t="shared" si="46"/>
        <v>10372.327733874641</v>
      </c>
      <c r="N190" s="295">
        <f t="shared" si="46"/>
        <v>10372.327733874641</v>
      </c>
      <c r="O190" s="295">
        <f t="shared" si="46"/>
        <v>10372.327733874641</v>
      </c>
      <c r="P190" s="295">
        <f t="shared" si="46"/>
        <v>10372.327733874641</v>
      </c>
      <c r="Q190" s="295">
        <f t="shared" si="46"/>
        <v>10372.327733874641</v>
      </c>
      <c r="R190" s="295">
        <f t="shared" si="46"/>
        <v>10372.327733874641</v>
      </c>
      <c r="S190" s="295">
        <f t="shared" si="46"/>
        <v>10372.327733874641</v>
      </c>
      <c r="T190" s="295">
        <f t="shared" si="46"/>
        <v>10372.327733874641</v>
      </c>
      <c r="U190" s="295">
        <f t="shared" si="46"/>
        <v>10372.327733874641</v>
      </c>
      <c r="V190" s="295">
        <f t="shared" si="46"/>
        <v>10372.327733874641</v>
      </c>
      <c r="W190" s="295">
        <f t="shared" si="46"/>
        <v>10372.327733874641</v>
      </c>
      <c r="X190" s="295">
        <f t="shared" si="46"/>
        <v>10372.327733874641</v>
      </c>
      <c r="Y190" s="295">
        <f t="shared" si="46"/>
        <v>10372.327733874641</v>
      </c>
      <c r="Z190" s="295">
        <f t="shared" si="46"/>
        <v>10372.327733874641</v>
      </c>
      <c r="AA190" s="295">
        <f t="shared" si="46"/>
        <v>10372.327733874641</v>
      </c>
      <c r="AB190" s="295">
        <f t="shared" si="46"/>
        <v>10372.327733874641</v>
      </c>
      <c r="AC190" s="295">
        <f t="shared" si="46"/>
        <v>10372.327733874641</v>
      </c>
      <c r="AD190" s="295">
        <f t="shared" si="46"/>
        <v>10372.327733874641</v>
      </c>
      <c r="AE190" s="296">
        <f t="shared" si="46"/>
        <v>10372.327733874641</v>
      </c>
      <c r="AG190" s="1711"/>
      <c r="AH190" s="116">
        <v>1</v>
      </c>
      <c r="AI190" s="294">
        <f>'FREH LGV vkm'!C190*'FREH Stock'!C289</f>
        <v>46239837.037613153</v>
      </c>
      <c r="AJ190" s="295">
        <f>'FREH LGV vkm'!D190*'FREH Stock'!D289</f>
        <v>41161747.314736344</v>
      </c>
      <c r="AK190" s="295">
        <f>'FREH LGV vkm'!E190*'FREH Stock'!E289</f>
        <v>0</v>
      </c>
      <c r="AL190" s="295">
        <f>'FREH LGV vkm'!F190*'FREH Stock'!F289</f>
        <v>0</v>
      </c>
      <c r="AM190" s="295">
        <f>'FREH LGV vkm'!G190*'FREH Stock'!G289</f>
        <v>0</v>
      </c>
      <c r="AN190" s="295">
        <f>'FREH LGV vkm'!H190*'FREH Stock'!H289</f>
        <v>0</v>
      </c>
      <c r="AO190" s="295">
        <f>'FREH LGV vkm'!I190*'FREH Stock'!I289</f>
        <v>0</v>
      </c>
      <c r="AP190" s="295">
        <f>'FREH LGV vkm'!J190*'FREH Stock'!J289</f>
        <v>0</v>
      </c>
      <c r="AQ190" s="295">
        <f>'FREH LGV vkm'!K190*'FREH Stock'!K289</f>
        <v>0</v>
      </c>
      <c r="AR190" s="295">
        <f>'FREH LGV vkm'!L190*'FREH Stock'!L289</f>
        <v>0</v>
      </c>
      <c r="AS190" s="295">
        <f>'FREH LGV vkm'!M190*'FREH Stock'!M289</f>
        <v>0</v>
      </c>
      <c r="AT190" s="295">
        <f>'FREH LGV vkm'!N190*'FREH Stock'!N289</f>
        <v>0</v>
      </c>
      <c r="AU190" s="295">
        <f>'FREH LGV vkm'!O190*'FREH Stock'!O289</f>
        <v>0</v>
      </c>
      <c r="AV190" s="295">
        <f>'FREH LGV vkm'!P190*'FREH Stock'!P289</f>
        <v>0</v>
      </c>
      <c r="AW190" s="295">
        <f>'FREH LGV vkm'!Q190*'FREH Stock'!Q289</f>
        <v>0</v>
      </c>
      <c r="AX190" s="295">
        <f>'FREH LGV vkm'!R190*'FREH Stock'!R289</f>
        <v>0</v>
      </c>
      <c r="AY190" s="295">
        <f>'FREH LGV vkm'!S190*'FREH Stock'!S289</f>
        <v>0</v>
      </c>
      <c r="AZ190" s="295">
        <f>'FREH LGV vkm'!T190*'FREH Stock'!T289</f>
        <v>0</v>
      </c>
      <c r="BA190" s="295">
        <f>'FREH LGV vkm'!U190*'FREH Stock'!U289</f>
        <v>0</v>
      </c>
      <c r="BB190" s="295">
        <f>'FREH LGV vkm'!V190*'FREH Stock'!V289</f>
        <v>0</v>
      </c>
      <c r="BC190" s="295">
        <f>'FREH LGV vkm'!W190*'FREH Stock'!W289</f>
        <v>0</v>
      </c>
      <c r="BD190" s="295">
        <f>'FREH LGV vkm'!X190*'FREH Stock'!X289</f>
        <v>0</v>
      </c>
      <c r="BE190" s="295">
        <f>'FREH LGV vkm'!Y190*'FREH Stock'!Y289</f>
        <v>0</v>
      </c>
      <c r="BF190" s="295">
        <f>'FREH LGV vkm'!Z190*'FREH Stock'!Z289</f>
        <v>0</v>
      </c>
      <c r="BG190" s="295">
        <f>'FREH LGV vkm'!AA190*'FREH Stock'!AA289</f>
        <v>0</v>
      </c>
      <c r="BH190" s="295">
        <f>'FREH LGV vkm'!AB190*'FREH Stock'!AB289</f>
        <v>0</v>
      </c>
      <c r="BI190" s="295">
        <f>'FREH LGV vkm'!AC190*'FREH Stock'!AC289</f>
        <v>0</v>
      </c>
      <c r="BJ190" s="295">
        <f>'FREH LGV vkm'!AD190*'FREH Stock'!AD289</f>
        <v>0</v>
      </c>
      <c r="BK190" s="296">
        <f>'FREH LGV vkm'!AE190*'FREH Stock'!AE289</f>
        <v>0</v>
      </c>
    </row>
    <row r="191" spans="1:63">
      <c r="A191" s="1711"/>
      <c r="B191" s="116">
        <v>2</v>
      </c>
      <c r="C191" s="294">
        <f>SUMPRODUCT('FREH LGV vkm'!G7:H7,'FREH Stock'!$AM$24:$AN$24)/SUM('FREH Stock'!$AM$24:$AN$24)</f>
        <v>10478.548822554303</v>
      </c>
      <c r="D191" s="295">
        <f t="shared" ref="D191:AE195" si="47">C191</f>
        <v>10478.548822554303</v>
      </c>
      <c r="E191" s="295">
        <f t="shared" si="47"/>
        <v>10478.548822554303</v>
      </c>
      <c r="F191" s="295">
        <f t="shared" si="47"/>
        <v>10478.548822554303</v>
      </c>
      <c r="G191" s="295">
        <f t="shared" si="47"/>
        <v>10478.548822554303</v>
      </c>
      <c r="H191" s="295">
        <f t="shared" si="47"/>
        <v>10478.548822554303</v>
      </c>
      <c r="I191" s="295">
        <f t="shared" si="47"/>
        <v>10478.548822554303</v>
      </c>
      <c r="J191" s="295">
        <f t="shared" si="47"/>
        <v>10478.548822554303</v>
      </c>
      <c r="K191" s="295">
        <f t="shared" si="47"/>
        <v>10478.548822554303</v>
      </c>
      <c r="L191" s="295">
        <f t="shared" si="47"/>
        <v>10478.548822554303</v>
      </c>
      <c r="M191" s="295">
        <f t="shared" si="47"/>
        <v>10478.548822554303</v>
      </c>
      <c r="N191" s="295">
        <f t="shared" si="47"/>
        <v>10478.548822554303</v>
      </c>
      <c r="O191" s="295">
        <f t="shared" si="47"/>
        <v>10478.548822554303</v>
      </c>
      <c r="P191" s="295">
        <f t="shared" si="47"/>
        <v>10478.548822554303</v>
      </c>
      <c r="Q191" s="295">
        <f t="shared" si="47"/>
        <v>10478.548822554303</v>
      </c>
      <c r="R191" s="295">
        <f t="shared" si="47"/>
        <v>10478.548822554303</v>
      </c>
      <c r="S191" s="295">
        <f t="shared" si="47"/>
        <v>10478.548822554303</v>
      </c>
      <c r="T191" s="295">
        <f t="shared" si="47"/>
        <v>10478.548822554303</v>
      </c>
      <c r="U191" s="295">
        <f t="shared" si="47"/>
        <v>10478.548822554303</v>
      </c>
      <c r="V191" s="295">
        <f t="shared" si="47"/>
        <v>10478.548822554303</v>
      </c>
      <c r="W191" s="295">
        <f t="shared" si="47"/>
        <v>10478.548822554303</v>
      </c>
      <c r="X191" s="295">
        <f t="shared" si="47"/>
        <v>10478.548822554303</v>
      </c>
      <c r="Y191" s="295">
        <f t="shared" si="47"/>
        <v>10478.548822554303</v>
      </c>
      <c r="Z191" s="295">
        <f t="shared" si="47"/>
        <v>10478.548822554303</v>
      </c>
      <c r="AA191" s="295">
        <f t="shared" si="47"/>
        <v>10478.548822554303</v>
      </c>
      <c r="AB191" s="295">
        <f t="shared" si="47"/>
        <v>10478.548822554303</v>
      </c>
      <c r="AC191" s="295">
        <f t="shared" si="47"/>
        <v>10478.548822554303</v>
      </c>
      <c r="AD191" s="295">
        <f t="shared" si="47"/>
        <v>10478.548822554303</v>
      </c>
      <c r="AE191" s="296">
        <f t="shared" si="47"/>
        <v>10478.548822554303</v>
      </c>
      <c r="AG191" s="1711"/>
      <c r="AH191" s="116">
        <v>2</v>
      </c>
      <c r="AI191" s="294">
        <f>'FREH LGV vkm'!C191*'FREH Stock'!C290</f>
        <v>51135318.254065</v>
      </c>
      <c r="AJ191" s="295">
        <f>'FREH LGV vkm'!D191*'FREH Stock'!D290</f>
        <v>45649674.936595261</v>
      </c>
      <c r="AK191" s="295">
        <f>'FREH LGV vkm'!E191*'FREH Stock'!E290</f>
        <v>40636397.209002346</v>
      </c>
      <c r="AL191" s="295">
        <f>'FREH LGV vkm'!F191*'FREH Stock'!F290</f>
        <v>0</v>
      </c>
      <c r="AM191" s="295">
        <f>'FREH LGV vkm'!G191*'FREH Stock'!G290</f>
        <v>0</v>
      </c>
      <c r="AN191" s="295">
        <f>'FREH LGV vkm'!H191*'FREH Stock'!H290</f>
        <v>0</v>
      </c>
      <c r="AO191" s="295">
        <f>'FREH LGV vkm'!I191*'FREH Stock'!I290</f>
        <v>0</v>
      </c>
      <c r="AP191" s="295">
        <f>'FREH LGV vkm'!J191*'FREH Stock'!J290</f>
        <v>0</v>
      </c>
      <c r="AQ191" s="295">
        <f>'FREH LGV vkm'!K191*'FREH Stock'!K290</f>
        <v>0</v>
      </c>
      <c r="AR191" s="295">
        <f>'FREH LGV vkm'!L191*'FREH Stock'!L290</f>
        <v>0</v>
      </c>
      <c r="AS191" s="295">
        <f>'FREH LGV vkm'!M191*'FREH Stock'!M290</f>
        <v>0</v>
      </c>
      <c r="AT191" s="295">
        <f>'FREH LGV vkm'!N191*'FREH Stock'!N290</f>
        <v>0</v>
      </c>
      <c r="AU191" s="295">
        <f>'FREH LGV vkm'!O191*'FREH Stock'!O290</f>
        <v>0</v>
      </c>
      <c r="AV191" s="295">
        <f>'FREH LGV vkm'!P191*'FREH Stock'!P290</f>
        <v>0</v>
      </c>
      <c r="AW191" s="295">
        <f>'FREH LGV vkm'!Q191*'FREH Stock'!Q290</f>
        <v>0</v>
      </c>
      <c r="AX191" s="295">
        <f>'FREH LGV vkm'!R191*'FREH Stock'!R290</f>
        <v>0</v>
      </c>
      <c r="AY191" s="295">
        <f>'FREH LGV vkm'!S191*'FREH Stock'!S290</f>
        <v>0</v>
      </c>
      <c r="AZ191" s="295">
        <f>'FREH LGV vkm'!T191*'FREH Stock'!T290</f>
        <v>0</v>
      </c>
      <c r="BA191" s="295">
        <f>'FREH LGV vkm'!U191*'FREH Stock'!U290</f>
        <v>0</v>
      </c>
      <c r="BB191" s="295">
        <f>'FREH LGV vkm'!V191*'FREH Stock'!V290</f>
        <v>0</v>
      </c>
      <c r="BC191" s="295">
        <f>'FREH LGV vkm'!W191*'FREH Stock'!W290</f>
        <v>0</v>
      </c>
      <c r="BD191" s="295">
        <f>'FREH LGV vkm'!X191*'FREH Stock'!X290</f>
        <v>0</v>
      </c>
      <c r="BE191" s="295">
        <f>'FREH LGV vkm'!Y191*'FREH Stock'!Y290</f>
        <v>0</v>
      </c>
      <c r="BF191" s="295">
        <f>'FREH LGV vkm'!Z191*'FREH Stock'!Z290</f>
        <v>0</v>
      </c>
      <c r="BG191" s="295">
        <f>'FREH LGV vkm'!AA191*'FREH Stock'!AA290</f>
        <v>0</v>
      </c>
      <c r="BH191" s="295">
        <f>'FREH LGV vkm'!AB191*'FREH Stock'!AB290</f>
        <v>0</v>
      </c>
      <c r="BI191" s="295">
        <f>'FREH LGV vkm'!AC191*'FREH Stock'!AC290</f>
        <v>0</v>
      </c>
      <c r="BJ191" s="295">
        <f>'FREH LGV vkm'!AD191*'FREH Stock'!AD290</f>
        <v>0</v>
      </c>
      <c r="BK191" s="296">
        <f>'FREH LGV vkm'!AE191*'FREH Stock'!AE290</f>
        <v>0</v>
      </c>
    </row>
    <row r="192" spans="1:63">
      <c r="A192" s="1711"/>
      <c r="B192" s="116">
        <v>3</v>
      </c>
      <c r="C192" s="294">
        <f>SUMPRODUCT('FREH LGV vkm'!G8:H8,'FREH Stock'!$AM$24:$AN$24)/SUM('FREH Stock'!$AM$24:$AN$24)</f>
        <v>12592.284113795686</v>
      </c>
      <c r="D192" s="295">
        <f t="shared" si="47"/>
        <v>12592.284113795686</v>
      </c>
      <c r="E192" s="295">
        <f t="shared" si="47"/>
        <v>12592.284113795686</v>
      </c>
      <c r="F192" s="295">
        <f t="shared" si="47"/>
        <v>12592.284113795686</v>
      </c>
      <c r="G192" s="295">
        <f t="shared" si="47"/>
        <v>12592.284113795686</v>
      </c>
      <c r="H192" s="295">
        <f t="shared" si="47"/>
        <v>12592.284113795686</v>
      </c>
      <c r="I192" s="295">
        <f t="shared" si="47"/>
        <v>12592.284113795686</v>
      </c>
      <c r="J192" s="295">
        <f t="shared" si="47"/>
        <v>12592.284113795686</v>
      </c>
      <c r="K192" s="295">
        <f t="shared" si="47"/>
        <v>12592.284113795686</v>
      </c>
      <c r="L192" s="295">
        <f t="shared" si="47"/>
        <v>12592.284113795686</v>
      </c>
      <c r="M192" s="295">
        <f t="shared" si="47"/>
        <v>12592.284113795686</v>
      </c>
      <c r="N192" s="295">
        <f t="shared" si="47"/>
        <v>12592.284113795686</v>
      </c>
      <c r="O192" s="295">
        <f t="shared" si="47"/>
        <v>12592.284113795686</v>
      </c>
      <c r="P192" s="295">
        <f t="shared" si="47"/>
        <v>12592.284113795686</v>
      </c>
      <c r="Q192" s="295">
        <f t="shared" si="47"/>
        <v>12592.284113795686</v>
      </c>
      <c r="R192" s="295">
        <f t="shared" si="47"/>
        <v>12592.284113795686</v>
      </c>
      <c r="S192" s="295">
        <f t="shared" si="47"/>
        <v>12592.284113795686</v>
      </c>
      <c r="T192" s="295">
        <f t="shared" si="47"/>
        <v>12592.284113795686</v>
      </c>
      <c r="U192" s="295">
        <f t="shared" si="47"/>
        <v>12592.284113795686</v>
      </c>
      <c r="V192" s="295">
        <f t="shared" si="47"/>
        <v>12592.284113795686</v>
      </c>
      <c r="W192" s="295">
        <f t="shared" si="47"/>
        <v>12592.284113795686</v>
      </c>
      <c r="X192" s="295">
        <f t="shared" si="47"/>
        <v>12592.284113795686</v>
      </c>
      <c r="Y192" s="295">
        <f t="shared" si="47"/>
        <v>12592.284113795686</v>
      </c>
      <c r="Z192" s="295">
        <f t="shared" si="47"/>
        <v>12592.284113795686</v>
      </c>
      <c r="AA192" s="295">
        <f t="shared" si="47"/>
        <v>12592.284113795686</v>
      </c>
      <c r="AB192" s="295">
        <f t="shared" si="47"/>
        <v>12592.284113795686</v>
      </c>
      <c r="AC192" s="295">
        <f t="shared" si="47"/>
        <v>12592.284113795686</v>
      </c>
      <c r="AD192" s="295">
        <f t="shared" si="47"/>
        <v>12592.284113795686</v>
      </c>
      <c r="AE192" s="296">
        <f t="shared" si="47"/>
        <v>12592.284113795686</v>
      </c>
      <c r="AG192" s="1711"/>
      <c r="AH192" s="116">
        <v>3</v>
      </c>
      <c r="AI192" s="294">
        <f>'FREH LGV vkm'!C192*'FREH Stock'!C291</f>
        <v>74042630.58911863</v>
      </c>
      <c r="AJ192" s="295">
        <f>'FREH LGV vkm'!D192*'FREH Stock'!D291</f>
        <v>59565300.322781041</v>
      </c>
      <c r="AK192" s="295">
        <f>'FREH LGV vkm'!E192*'FREH Stock'!E291</f>
        <v>53175313.855008021</v>
      </c>
      <c r="AL192" s="295">
        <f>'FREH LGV vkm'!F192*'FREH Stock'!F291</f>
        <v>47335565.445466392</v>
      </c>
      <c r="AM192" s="295">
        <f>'FREH LGV vkm'!G192*'FREH Stock'!G291</f>
        <v>0</v>
      </c>
      <c r="AN192" s="295">
        <f>'FREH LGV vkm'!H192*'FREH Stock'!H291</f>
        <v>0</v>
      </c>
      <c r="AO192" s="295">
        <f>'FREH LGV vkm'!I192*'FREH Stock'!I291</f>
        <v>0</v>
      </c>
      <c r="AP192" s="295">
        <f>'FREH LGV vkm'!J192*'FREH Stock'!J291</f>
        <v>0</v>
      </c>
      <c r="AQ192" s="295">
        <f>'FREH LGV vkm'!K192*'FREH Stock'!K291</f>
        <v>0</v>
      </c>
      <c r="AR192" s="295">
        <f>'FREH LGV vkm'!L192*'FREH Stock'!L291</f>
        <v>0</v>
      </c>
      <c r="AS192" s="295">
        <f>'FREH LGV vkm'!M192*'FREH Stock'!M291</f>
        <v>0</v>
      </c>
      <c r="AT192" s="295">
        <f>'FREH LGV vkm'!N192*'FREH Stock'!N291</f>
        <v>0</v>
      </c>
      <c r="AU192" s="295">
        <f>'FREH LGV vkm'!O192*'FREH Stock'!O291</f>
        <v>0</v>
      </c>
      <c r="AV192" s="295">
        <f>'FREH LGV vkm'!P192*'FREH Stock'!P291</f>
        <v>0</v>
      </c>
      <c r="AW192" s="295">
        <f>'FREH LGV vkm'!Q192*'FREH Stock'!Q291</f>
        <v>0</v>
      </c>
      <c r="AX192" s="295">
        <f>'FREH LGV vkm'!R192*'FREH Stock'!R291</f>
        <v>0</v>
      </c>
      <c r="AY192" s="295">
        <f>'FREH LGV vkm'!S192*'FREH Stock'!S291</f>
        <v>0</v>
      </c>
      <c r="AZ192" s="295">
        <f>'FREH LGV vkm'!T192*'FREH Stock'!T291</f>
        <v>0</v>
      </c>
      <c r="BA192" s="295">
        <f>'FREH LGV vkm'!U192*'FREH Stock'!U291</f>
        <v>0</v>
      </c>
      <c r="BB192" s="295">
        <f>'FREH LGV vkm'!V192*'FREH Stock'!V291</f>
        <v>0</v>
      </c>
      <c r="BC192" s="295">
        <f>'FREH LGV vkm'!W192*'FREH Stock'!W291</f>
        <v>0</v>
      </c>
      <c r="BD192" s="295">
        <f>'FREH LGV vkm'!X192*'FREH Stock'!X291</f>
        <v>0</v>
      </c>
      <c r="BE192" s="295">
        <f>'FREH LGV vkm'!Y192*'FREH Stock'!Y291</f>
        <v>0</v>
      </c>
      <c r="BF192" s="295">
        <f>'FREH LGV vkm'!Z192*'FREH Stock'!Z291</f>
        <v>0</v>
      </c>
      <c r="BG192" s="295">
        <f>'FREH LGV vkm'!AA192*'FREH Stock'!AA291</f>
        <v>0</v>
      </c>
      <c r="BH192" s="295">
        <f>'FREH LGV vkm'!AB192*'FREH Stock'!AB291</f>
        <v>0</v>
      </c>
      <c r="BI192" s="295">
        <f>'FREH LGV vkm'!AC192*'FREH Stock'!AC291</f>
        <v>0</v>
      </c>
      <c r="BJ192" s="295">
        <f>'FREH LGV vkm'!AD192*'FREH Stock'!AD291</f>
        <v>0</v>
      </c>
      <c r="BK192" s="296">
        <f>'FREH LGV vkm'!AE192*'FREH Stock'!AE291</f>
        <v>0</v>
      </c>
    </row>
    <row r="193" spans="1:63">
      <c r="A193" s="1711"/>
      <c r="B193" s="116">
        <v>4</v>
      </c>
      <c r="C193" s="294">
        <f>SUMPRODUCT('FREH LGV vkm'!G9:H9,'FREH Stock'!$AM$24:$AN$24)/SUM('FREH Stock'!$AM$24:$AN$24)</f>
        <v>14563.572271076275</v>
      </c>
      <c r="D193" s="295">
        <f t="shared" si="47"/>
        <v>14563.572271076275</v>
      </c>
      <c r="E193" s="295">
        <f t="shared" si="47"/>
        <v>14563.572271076275</v>
      </c>
      <c r="F193" s="295">
        <f t="shared" si="47"/>
        <v>14563.572271076275</v>
      </c>
      <c r="G193" s="295">
        <f t="shared" si="47"/>
        <v>14563.572271076275</v>
      </c>
      <c r="H193" s="295">
        <f t="shared" si="47"/>
        <v>14563.572271076275</v>
      </c>
      <c r="I193" s="295">
        <f t="shared" si="47"/>
        <v>14563.572271076275</v>
      </c>
      <c r="J193" s="295">
        <f t="shared" si="47"/>
        <v>14563.572271076275</v>
      </c>
      <c r="K193" s="295">
        <f t="shared" si="47"/>
        <v>14563.572271076275</v>
      </c>
      <c r="L193" s="295">
        <f t="shared" si="47"/>
        <v>14563.572271076275</v>
      </c>
      <c r="M193" s="295">
        <f t="shared" si="47"/>
        <v>14563.572271076275</v>
      </c>
      <c r="N193" s="295">
        <f t="shared" si="47"/>
        <v>14563.572271076275</v>
      </c>
      <c r="O193" s="295">
        <f t="shared" si="47"/>
        <v>14563.572271076275</v>
      </c>
      <c r="P193" s="295">
        <f t="shared" si="47"/>
        <v>14563.572271076275</v>
      </c>
      <c r="Q193" s="295">
        <f t="shared" si="47"/>
        <v>14563.572271076275</v>
      </c>
      <c r="R193" s="295">
        <f t="shared" si="47"/>
        <v>14563.572271076275</v>
      </c>
      <c r="S193" s="295">
        <f t="shared" si="47"/>
        <v>14563.572271076275</v>
      </c>
      <c r="T193" s="295">
        <f t="shared" si="47"/>
        <v>14563.572271076275</v>
      </c>
      <c r="U193" s="295">
        <f t="shared" si="47"/>
        <v>14563.572271076275</v>
      </c>
      <c r="V193" s="295">
        <f t="shared" si="47"/>
        <v>14563.572271076275</v>
      </c>
      <c r="W193" s="295">
        <f t="shared" si="47"/>
        <v>14563.572271076275</v>
      </c>
      <c r="X193" s="295">
        <f t="shared" si="47"/>
        <v>14563.572271076275</v>
      </c>
      <c r="Y193" s="295">
        <f t="shared" si="47"/>
        <v>14563.572271076275</v>
      </c>
      <c r="Z193" s="295">
        <f t="shared" si="47"/>
        <v>14563.572271076275</v>
      </c>
      <c r="AA193" s="295">
        <f t="shared" si="47"/>
        <v>14563.572271076275</v>
      </c>
      <c r="AB193" s="295">
        <f t="shared" si="47"/>
        <v>14563.572271076275</v>
      </c>
      <c r="AC193" s="295">
        <f t="shared" si="47"/>
        <v>14563.572271076275</v>
      </c>
      <c r="AD193" s="295">
        <f t="shared" si="47"/>
        <v>14563.572271076275</v>
      </c>
      <c r="AE193" s="296">
        <f t="shared" si="47"/>
        <v>14563.572271076275</v>
      </c>
      <c r="AG193" s="1711"/>
      <c r="AH193" s="116">
        <v>4</v>
      </c>
      <c r="AI193" s="294">
        <f>'FREH LGV vkm'!C193*'FREH Stock'!C292</f>
        <v>201326823.07535842</v>
      </c>
      <c r="AJ193" s="295">
        <f>'FREH LGV vkm'!D193*'FREH Stock'!D292</f>
        <v>83156353.60866642</v>
      </c>
      <c r="AK193" s="295">
        <f>'FREH LGV vkm'!E193*'FREH Stock'!E292</f>
        <v>66897044.81104058</v>
      </c>
      <c r="AL193" s="295">
        <f>'FREH LGV vkm'!F193*'FREH Stock'!F292</f>
        <v>59720530.821182176</v>
      </c>
      <c r="AM193" s="295">
        <f>'FREH LGV vkm'!G193*'FREH Stock'!G292</f>
        <v>53161982.321949676</v>
      </c>
      <c r="AN193" s="295">
        <f>'FREH LGV vkm'!H193*'FREH Stock'!H292</f>
        <v>0</v>
      </c>
      <c r="AO193" s="295">
        <f>'FREH LGV vkm'!I193*'FREH Stock'!I292</f>
        <v>0</v>
      </c>
      <c r="AP193" s="295">
        <f>'FREH LGV vkm'!J193*'FREH Stock'!J292</f>
        <v>0</v>
      </c>
      <c r="AQ193" s="295">
        <f>'FREH LGV vkm'!K193*'FREH Stock'!K292</f>
        <v>0</v>
      </c>
      <c r="AR193" s="295">
        <f>'FREH LGV vkm'!L193*'FREH Stock'!L292</f>
        <v>0</v>
      </c>
      <c r="AS193" s="295">
        <f>'FREH LGV vkm'!M193*'FREH Stock'!M292</f>
        <v>0</v>
      </c>
      <c r="AT193" s="295">
        <f>'FREH LGV vkm'!N193*'FREH Stock'!N292</f>
        <v>0</v>
      </c>
      <c r="AU193" s="295">
        <f>'FREH LGV vkm'!O193*'FREH Stock'!O292</f>
        <v>0</v>
      </c>
      <c r="AV193" s="295">
        <f>'FREH LGV vkm'!P193*'FREH Stock'!P292</f>
        <v>0</v>
      </c>
      <c r="AW193" s="295">
        <f>'FREH LGV vkm'!Q193*'FREH Stock'!Q292</f>
        <v>0</v>
      </c>
      <c r="AX193" s="295">
        <f>'FREH LGV vkm'!R193*'FREH Stock'!R292</f>
        <v>0</v>
      </c>
      <c r="AY193" s="295">
        <f>'FREH LGV vkm'!S193*'FREH Stock'!S292</f>
        <v>0</v>
      </c>
      <c r="AZ193" s="295">
        <f>'FREH LGV vkm'!T193*'FREH Stock'!T292</f>
        <v>0</v>
      </c>
      <c r="BA193" s="295">
        <f>'FREH LGV vkm'!U193*'FREH Stock'!U292</f>
        <v>0</v>
      </c>
      <c r="BB193" s="295">
        <f>'FREH LGV vkm'!V193*'FREH Stock'!V292</f>
        <v>0</v>
      </c>
      <c r="BC193" s="295">
        <f>'FREH LGV vkm'!W193*'FREH Stock'!W292</f>
        <v>0</v>
      </c>
      <c r="BD193" s="295">
        <f>'FREH LGV vkm'!X193*'FREH Stock'!X292</f>
        <v>0</v>
      </c>
      <c r="BE193" s="295">
        <f>'FREH LGV vkm'!Y193*'FREH Stock'!Y292</f>
        <v>0</v>
      </c>
      <c r="BF193" s="295">
        <f>'FREH LGV vkm'!Z193*'FREH Stock'!Z292</f>
        <v>0</v>
      </c>
      <c r="BG193" s="295">
        <f>'FREH LGV vkm'!AA193*'FREH Stock'!AA292</f>
        <v>0</v>
      </c>
      <c r="BH193" s="295">
        <f>'FREH LGV vkm'!AB193*'FREH Stock'!AB292</f>
        <v>0</v>
      </c>
      <c r="BI193" s="295">
        <f>'FREH LGV vkm'!AC193*'FREH Stock'!AC292</f>
        <v>0</v>
      </c>
      <c r="BJ193" s="295">
        <f>'FREH LGV vkm'!AD193*'FREH Stock'!AD292</f>
        <v>0</v>
      </c>
      <c r="BK193" s="296">
        <f>'FREH LGV vkm'!AE193*'FREH Stock'!AE292</f>
        <v>0</v>
      </c>
    </row>
    <row r="194" spans="1:63">
      <c r="A194" s="1711"/>
      <c r="B194" s="116">
        <v>5</v>
      </c>
      <c r="C194" s="294">
        <f>SUMPRODUCT('FREH LGV vkm'!G10:H10,'FREH Stock'!$AM$24:$AN$24)/SUM('FREH Stock'!$AM$24:$AN$24)</f>
        <v>16159.075681143098</v>
      </c>
      <c r="D194" s="295">
        <f t="shared" si="47"/>
        <v>16159.075681143098</v>
      </c>
      <c r="E194" s="295">
        <f t="shared" si="47"/>
        <v>16159.075681143098</v>
      </c>
      <c r="F194" s="295">
        <f t="shared" si="47"/>
        <v>16159.075681143098</v>
      </c>
      <c r="G194" s="295">
        <f t="shared" si="47"/>
        <v>16159.075681143098</v>
      </c>
      <c r="H194" s="295">
        <f t="shared" si="47"/>
        <v>16159.075681143098</v>
      </c>
      <c r="I194" s="295">
        <f t="shared" si="47"/>
        <v>16159.075681143098</v>
      </c>
      <c r="J194" s="295">
        <f t="shared" si="47"/>
        <v>16159.075681143098</v>
      </c>
      <c r="K194" s="295">
        <f t="shared" si="47"/>
        <v>16159.075681143098</v>
      </c>
      <c r="L194" s="295">
        <f t="shared" si="47"/>
        <v>16159.075681143098</v>
      </c>
      <c r="M194" s="295">
        <f t="shared" si="47"/>
        <v>16159.075681143098</v>
      </c>
      <c r="N194" s="295">
        <f t="shared" si="47"/>
        <v>16159.075681143098</v>
      </c>
      <c r="O194" s="295">
        <f t="shared" si="47"/>
        <v>16159.075681143098</v>
      </c>
      <c r="P194" s="295">
        <f t="shared" si="47"/>
        <v>16159.075681143098</v>
      </c>
      <c r="Q194" s="295">
        <f t="shared" si="47"/>
        <v>16159.075681143098</v>
      </c>
      <c r="R194" s="295">
        <f t="shared" si="47"/>
        <v>16159.075681143098</v>
      </c>
      <c r="S194" s="295">
        <f t="shared" si="47"/>
        <v>16159.075681143098</v>
      </c>
      <c r="T194" s="295">
        <f t="shared" si="47"/>
        <v>16159.075681143098</v>
      </c>
      <c r="U194" s="295">
        <f t="shared" si="47"/>
        <v>16159.075681143098</v>
      </c>
      <c r="V194" s="295">
        <f t="shared" si="47"/>
        <v>16159.075681143098</v>
      </c>
      <c r="W194" s="295">
        <f t="shared" si="47"/>
        <v>16159.075681143098</v>
      </c>
      <c r="X194" s="295">
        <f t="shared" si="47"/>
        <v>16159.075681143098</v>
      </c>
      <c r="Y194" s="295">
        <f t="shared" si="47"/>
        <v>16159.075681143098</v>
      </c>
      <c r="Z194" s="295">
        <f t="shared" si="47"/>
        <v>16159.075681143098</v>
      </c>
      <c r="AA194" s="295">
        <f t="shared" si="47"/>
        <v>16159.075681143098</v>
      </c>
      <c r="AB194" s="295">
        <f t="shared" si="47"/>
        <v>16159.075681143098</v>
      </c>
      <c r="AC194" s="295">
        <f t="shared" si="47"/>
        <v>16159.075681143098</v>
      </c>
      <c r="AD194" s="295">
        <f t="shared" si="47"/>
        <v>16159.075681143098</v>
      </c>
      <c r="AE194" s="296">
        <f t="shared" si="47"/>
        <v>16159.075681143098</v>
      </c>
      <c r="AG194" s="1711"/>
      <c r="AH194" s="116">
        <v>5</v>
      </c>
      <c r="AI194" s="294">
        <f>'FREH LGV vkm'!C194*'FREH Stock'!C293</f>
        <v>308347482.14757258</v>
      </c>
      <c r="AJ194" s="295">
        <f>'FREH LGV vkm'!D194*'FREH Stock'!D293</f>
        <v>214232891.04819304</v>
      </c>
      <c r="AK194" s="295">
        <f>'FREH LGV vkm'!E194*'FREH Stock'!E293</f>
        <v>88487096.604818508</v>
      </c>
      <c r="AL194" s="295">
        <f>'FREH LGV vkm'!F194*'FREH Stock'!F293</f>
        <v>71185483.84924008</v>
      </c>
      <c r="AM194" s="295">
        <f>'FREH LGV vkm'!G194*'FREH Stock'!G293</f>
        <v>63548919.00303632</v>
      </c>
      <c r="AN194" s="295">
        <f>'FREH LGV vkm'!H194*'FREH Stock'!H293</f>
        <v>56569934.362005934</v>
      </c>
      <c r="AO194" s="295">
        <f>'FREH LGV vkm'!I194*'FREH Stock'!I293</f>
        <v>0</v>
      </c>
      <c r="AP194" s="295">
        <f>'FREH LGV vkm'!J194*'FREH Stock'!J293</f>
        <v>0</v>
      </c>
      <c r="AQ194" s="295">
        <f>'FREH LGV vkm'!K194*'FREH Stock'!K293</f>
        <v>0</v>
      </c>
      <c r="AR194" s="295">
        <f>'FREH LGV vkm'!L194*'FREH Stock'!L293</f>
        <v>0</v>
      </c>
      <c r="AS194" s="295">
        <f>'FREH LGV vkm'!M194*'FREH Stock'!M293</f>
        <v>0</v>
      </c>
      <c r="AT194" s="295">
        <f>'FREH LGV vkm'!N194*'FREH Stock'!N293</f>
        <v>0</v>
      </c>
      <c r="AU194" s="295">
        <f>'FREH LGV vkm'!O194*'FREH Stock'!O293</f>
        <v>0</v>
      </c>
      <c r="AV194" s="295">
        <f>'FREH LGV vkm'!P194*'FREH Stock'!P293</f>
        <v>0</v>
      </c>
      <c r="AW194" s="295">
        <f>'FREH LGV vkm'!Q194*'FREH Stock'!Q293</f>
        <v>0</v>
      </c>
      <c r="AX194" s="295">
        <f>'FREH LGV vkm'!R194*'FREH Stock'!R293</f>
        <v>0</v>
      </c>
      <c r="AY194" s="295">
        <f>'FREH LGV vkm'!S194*'FREH Stock'!S293</f>
        <v>0</v>
      </c>
      <c r="AZ194" s="295">
        <f>'FREH LGV vkm'!T194*'FREH Stock'!T293</f>
        <v>0</v>
      </c>
      <c r="BA194" s="295">
        <f>'FREH LGV vkm'!U194*'FREH Stock'!U293</f>
        <v>0</v>
      </c>
      <c r="BB194" s="295">
        <f>'FREH LGV vkm'!V194*'FREH Stock'!V293</f>
        <v>0</v>
      </c>
      <c r="BC194" s="295">
        <f>'FREH LGV vkm'!W194*'FREH Stock'!W293</f>
        <v>0</v>
      </c>
      <c r="BD194" s="295">
        <f>'FREH LGV vkm'!X194*'FREH Stock'!X293</f>
        <v>0</v>
      </c>
      <c r="BE194" s="295">
        <f>'FREH LGV vkm'!Y194*'FREH Stock'!Y293</f>
        <v>0</v>
      </c>
      <c r="BF194" s="295">
        <f>'FREH LGV vkm'!Z194*'FREH Stock'!Z293</f>
        <v>0</v>
      </c>
      <c r="BG194" s="295">
        <f>'FREH LGV vkm'!AA194*'FREH Stock'!AA293</f>
        <v>0</v>
      </c>
      <c r="BH194" s="295">
        <f>'FREH LGV vkm'!AB194*'FREH Stock'!AB293</f>
        <v>0</v>
      </c>
      <c r="BI194" s="295">
        <f>'FREH LGV vkm'!AC194*'FREH Stock'!AC293</f>
        <v>0</v>
      </c>
      <c r="BJ194" s="295">
        <f>'FREH LGV vkm'!AD194*'FREH Stock'!AD293</f>
        <v>0</v>
      </c>
      <c r="BK194" s="296">
        <f>'FREH LGV vkm'!AE194*'FREH Stock'!AE293</f>
        <v>0</v>
      </c>
    </row>
    <row r="195" spans="1:63">
      <c r="A195" s="1711"/>
      <c r="B195" s="116">
        <v>6</v>
      </c>
      <c r="C195" s="486">
        <f>SUMPRODUCT('FREH LGV vkm'!G11:H11,'FREH Stock'!$AM$24:$AN$24)/SUM('FREH Stock'!$AM$24:$AN$24)</f>
        <v>15810.612886984527</v>
      </c>
      <c r="D195" s="295">
        <f t="shared" si="47"/>
        <v>15810.612886984527</v>
      </c>
      <c r="E195" s="295">
        <f t="shared" si="47"/>
        <v>15810.612886984527</v>
      </c>
      <c r="F195" s="295">
        <f t="shared" si="47"/>
        <v>15810.612886984527</v>
      </c>
      <c r="G195" s="295">
        <f t="shared" si="47"/>
        <v>15810.612886984527</v>
      </c>
      <c r="H195" s="295">
        <f t="shared" si="47"/>
        <v>15810.612886984527</v>
      </c>
      <c r="I195" s="295">
        <f t="shared" si="47"/>
        <v>15810.612886984527</v>
      </c>
      <c r="J195" s="295">
        <f t="shared" si="47"/>
        <v>15810.612886984527</v>
      </c>
      <c r="K195" s="295">
        <f t="shared" si="47"/>
        <v>15810.612886984527</v>
      </c>
      <c r="L195" s="295">
        <f t="shared" si="47"/>
        <v>15810.612886984527</v>
      </c>
      <c r="M195" s="295">
        <f t="shared" si="47"/>
        <v>15810.612886984527</v>
      </c>
      <c r="N195" s="295">
        <f t="shared" si="47"/>
        <v>15810.612886984527</v>
      </c>
      <c r="O195" s="295">
        <f t="shared" si="47"/>
        <v>15810.612886984527</v>
      </c>
      <c r="P195" s="295">
        <f t="shared" si="47"/>
        <v>15810.612886984527</v>
      </c>
      <c r="Q195" s="295">
        <f t="shared" si="47"/>
        <v>15810.612886984527</v>
      </c>
      <c r="R195" s="295">
        <f t="shared" si="47"/>
        <v>15810.612886984527</v>
      </c>
      <c r="S195" s="295">
        <f t="shared" si="47"/>
        <v>15810.612886984527</v>
      </c>
      <c r="T195" s="295">
        <f t="shared" si="47"/>
        <v>15810.612886984527</v>
      </c>
      <c r="U195" s="295">
        <f t="shared" si="47"/>
        <v>15810.612886984527</v>
      </c>
      <c r="V195" s="295">
        <f t="shared" si="47"/>
        <v>15810.612886984527</v>
      </c>
      <c r="W195" s="295">
        <f t="shared" si="47"/>
        <v>15810.612886984527</v>
      </c>
      <c r="X195" s="295">
        <f t="shared" si="47"/>
        <v>15810.612886984527</v>
      </c>
      <c r="Y195" s="295">
        <f t="shared" si="47"/>
        <v>15810.612886984527</v>
      </c>
      <c r="Z195" s="295">
        <f t="shared" si="47"/>
        <v>15810.612886984527</v>
      </c>
      <c r="AA195" s="295">
        <f t="shared" si="47"/>
        <v>15810.612886984527</v>
      </c>
      <c r="AB195" s="295">
        <f t="shared" si="47"/>
        <v>15810.612886984527</v>
      </c>
      <c r="AC195" s="295">
        <f t="shared" si="47"/>
        <v>15810.612886984527</v>
      </c>
      <c r="AD195" s="295">
        <f t="shared" si="47"/>
        <v>15810.612886984527</v>
      </c>
      <c r="AE195" s="296">
        <f t="shared" si="47"/>
        <v>15810.612886984527</v>
      </c>
      <c r="AG195" s="1711"/>
      <c r="AH195" s="116">
        <v>6</v>
      </c>
      <c r="AI195" s="294">
        <f>'FREH LGV vkm'!C195*'FREH Stock'!C294</f>
        <v>264068856.43841556</v>
      </c>
      <c r="AJ195" s="295">
        <f>'FREH LGV vkm'!D195*'FREH Stock'!D294</f>
        <v>284230400.93001848</v>
      </c>
      <c r="AK195" s="295">
        <f>'FREH LGV vkm'!E195*'FREH Stock'!E294</f>
        <v>197476885.78784209</v>
      </c>
      <c r="AL195" s="295">
        <f>'FREH LGV vkm'!F195*'FREH Stock'!F294</f>
        <v>81566169.342300355</v>
      </c>
      <c r="AM195" s="295">
        <f>'FREH LGV vkm'!G195*'FREH Stock'!G294</f>
        <v>65617784.435753807</v>
      </c>
      <c r="AN195" s="295">
        <f>'FREH LGV vkm'!H195*'FREH Stock'!H294</f>
        <v>58578505.655699506</v>
      </c>
      <c r="AO195" s="295">
        <f>'FREH LGV vkm'!I195*'FREH Stock'!I294</f>
        <v>52145375.121313781</v>
      </c>
      <c r="AP195" s="295">
        <f>'FREH LGV vkm'!J195*'FREH Stock'!J294</f>
        <v>0</v>
      </c>
      <c r="AQ195" s="295">
        <f>'FREH LGV vkm'!K195*'FREH Stock'!K294</f>
        <v>0</v>
      </c>
      <c r="AR195" s="295">
        <f>'FREH LGV vkm'!L195*'FREH Stock'!L294</f>
        <v>0</v>
      </c>
      <c r="AS195" s="295">
        <f>'FREH LGV vkm'!M195*'FREH Stock'!M294</f>
        <v>0</v>
      </c>
      <c r="AT195" s="295">
        <f>'FREH LGV vkm'!N195*'FREH Stock'!N294</f>
        <v>0</v>
      </c>
      <c r="AU195" s="295">
        <f>'FREH LGV vkm'!O195*'FREH Stock'!O294</f>
        <v>0</v>
      </c>
      <c r="AV195" s="295">
        <f>'FREH LGV vkm'!P195*'FREH Stock'!P294</f>
        <v>0</v>
      </c>
      <c r="AW195" s="295">
        <f>'FREH LGV vkm'!Q195*'FREH Stock'!Q294</f>
        <v>0</v>
      </c>
      <c r="AX195" s="295">
        <f>'FREH LGV vkm'!R195*'FREH Stock'!R294</f>
        <v>0</v>
      </c>
      <c r="AY195" s="295">
        <f>'FREH LGV vkm'!S195*'FREH Stock'!S294</f>
        <v>0</v>
      </c>
      <c r="AZ195" s="295">
        <f>'FREH LGV vkm'!T195*'FREH Stock'!T294</f>
        <v>0</v>
      </c>
      <c r="BA195" s="295">
        <f>'FREH LGV vkm'!U195*'FREH Stock'!U294</f>
        <v>0</v>
      </c>
      <c r="BB195" s="295">
        <f>'FREH LGV vkm'!V195*'FREH Stock'!V294</f>
        <v>0</v>
      </c>
      <c r="BC195" s="295">
        <f>'FREH LGV vkm'!W195*'FREH Stock'!W294</f>
        <v>0</v>
      </c>
      <c r="BD195" s="295">
        <f>'FREH LGV vkm'!X195*'FREH Stock'!X294</f>
        <v>0</v>
      </c>
      <c r="BE195" s="295">
        <f>'FREH LGV vkm'!Y195*'FREH Stock'!Y294</f>
        <v>0</v>
      </c>
      <c r="BF195" s="295">
        <f>'FREH LGV vkm'!Z195*'FREH Stock'!Z294</f>
        <v>0</v>
      </c>
      <c r="BG195" s="295">
        <f>'FREH LGV vkm'!AA195*'FREH Stock'!AA294</f>
        <v>0</v>
      </c>
      <c r="BH195" s="295">
        <f>'FREH LGV vkm'!AB195*'FREH Stock'!AB294</f>
        <v>0</v>
      </c>
      <c r="BI195" s="295">
        <f>'FREH LGV vkm'!AC195*'FREH Stock'!AC294</f>
        <v>0</v>
      </c>
      <c r="BJ195" s="295">
        <f>'FREH LGV vkm'!AD195*'FREH Stock'!AD294</f>
        <v>0</v>
      </c>
      <c r="BK195" s="296">
        <f>'FREH LGV vkm'!AE195*'FREH Stock'!AE294</f>
        <v>0</v>
      </c>
    </row>
    <row r="196" spans="1:63">
      <c r="A196" s="1711"/>
      <c r="B196" s="116">
        <v>7</v>
      </c>
      <c r="C196" s="294">
        <f>C195</f>
        <v>15810.612886984527</v>
      </c>
      <c r="D196" s="295">
        <f>D195</f>
        <v>15810.612886984527</v>
      </c>
      <c r="E196" s="295">
        <f t="shared" ref="E196:AE205" si="48">E195</f>
        <v>15810.612886984527</v>
      </c>
      <c r="F196" s="295">
        <f t="shared" si="48"/>
        <v>15810.612886984527</v>
      </c>
      <c r="G196" s="295">
        <f t="shared" si="48"/>
        <v>15810.612886984527</v>
      </c>
      <c r="H196" s="295">
        <f t="shared" si="48"/>
        <v>15810.612886984527</v>
      </c>
      <c r="I196" s="295">
        <f t="shared" si="48"/>
        <v>15810.612886984527</v>
      </c>
      <c r="J196" s="295">
        <f t="shared" si="48"/>
        <v>15810.612886984527</v>
      </c>
      <c r="K196" s="295">
        <f t="shared" si="48"/>
        <v>15810.612886984527</v>
      </c>
      <c r="L196" s="295">
        <f t="shared" si="48"/>
        <v>15810.612886984527</v>
      </c>
      <c r="M196" s="295">
        <f t="shared" si="48"/>
        <v>15810.612886984527</v>
      </c>
      <c r="N196" s="295">
        <f t="shared" si="48"/>
        <v>15810.612886984527</v>
      </c>
      <c r="O196" s="295">
        <f t="shared" si="48"/>
        <v>15810.612886984527</v>
      </c>
      <c r="P196" s="295">
        <f t="shared" si="48"/>
        <v>15810.612886984527</v>
      </c>
      <c r="Q196" s="295">
        <f t="shared" si="48"/>
        <v>15810.612886984527</v>
      </c>
      <c r="R196" s="295">
        <f t="shared" si="48"/>
        <v>15810.612886984527</v>
      </c>
      <c r="S196" s="295">
        <f t="shared" si="48"/>
        <v>15810.612886984527</v>
      </c>
      <c r="T196" s="295">
        <f t="shared" si="48"/>
        <v>15810.612886984527</v>
      </c>
      <c r="U196" s="295">
        <f t="shared" si="48"/>
        <v>15810.612886984527</v>
      </c>
      <c r="V196" s="295">
        <f t="shared" si="48"/>
        <v>15810.612886984527</v>
      </c>
      <c r="W196" s="295">
        <f t="shared" si="48"/>
        <v>15810.612886984527</v>
      </c>
      <c r="X196" s="295">
        <f t="shared" si="48"/>
        <v>15810.612886984527</v>
      </c>
      <c r="Y196" s="295">
        <f t="shared" si="48"/>
        <v>15810.612886984527</v>
      </c>
      <c r="Z196" s="295">
        <f t="shared" si="48"/>
        <v>15810.612886984527</v>
      </c>
      <c r="AA196" s="295">
        <f t="shared" si="48"/>
        <v>15810.612886984527</v>
      </c>
      <c r="AB196" s="295">
        <f t="shared" si="48"/>
        <v>15810.612886984527</v>
      </c>
      <c r="AC196" s="295">
        <f t="shared" si="48"/>
        <v>15810.612886984527</v>
      </c>
      <c r="AD196" s="295">
        <f t="shared" si="48"/>
        <v>15810.612886984527</v>
      </c>
      <c r="AE196" s="296">
        <f t="shared" si="48"/>
        <v>15810.612886984527</v>
      </c>
      <c r="AG196" s="1711"/>
      <c r="AH196" s="116">
        <v>7</v>
      </c>
      <c r="AI196" s="294">
        <f>'FREH LGV vkm'!C196*'FREH Stock'!C295</f>
        <v>230803326.92420012</v>
      </c>
      <c r="AJ196" s="295">
        <f>'FREH LGV vkm'!D196*'FREH Stock'!D295</f>
        <v>242033363.95174435</v>
      </c>
      <c r="AK196" s="295">
        <f>'FREH LGV vkm'!E196*'FREH Stock'!E295</f>
        <v>260512507.99614415</v>
      </c>
      <c r="AL196" s="295">
        <f>'FREH LGV vkm'!F196*'FREH Stock'!F295</f>
        <v>180998227.56301633</v>
      </c>
      <c r="AM196" s="295">
        <f>'FREH LGV vkm'!G196*'FREH Stock'!G295</f>
        <v>74759797.943755746</v>
      </c>
      <c r="AN196" s="295">
        <f>'FREH LGV vkm'!H196*'FREH Stock'!H295</f>
        <v>60142242.12672247</v>
      </c>
      <c r="AO196" s="295">
        <f>'FREH LGV vkm'!I196*'FREH Stock'!I295</f>
        <v>53690363.075517476</v>
      </c>
      <c r="AP196" s="295">
        <f>'FREH LGV vkm'!J196*'FREH Stock'!J295</f>
        <v>47794051.617293015</v>
      </c>
      <c r="AQ196" s="295">
        <f>'FREH LGV vkm'!K196*'FREH Stock'!K295</f>
        <v>0</v>
      </c>
      <c r="AR196" s="295">
        <f>'FREH LGV vkm'!L196*'FREH Stock'!L295</f>
        <v>0</v>
      </c>
      <c r="AS196" s="295">
        <f>'FREH LGV vkm'!M196*'FREH Stock'!M295</f>
        <v>0</v>
      </c>
      <c r="AT196" s="295">
        <f>'FREH LGV vkm'!N196*'FREH Stock'!N295</f>
        <v>0</v>
      </c>
      <c r="AU196" s="295">
        <f>'FREH LGV vkm'!O196*'FREH Stock'!O295</f>
        <v>0</v>
      </c>
      <c r="AV196" s="295">
        <f>'FREH LGV vkm'!P196*'FREH Stock'!P295</f>
        <v>0</v>
      </c>
      <c r="AW196" s="295">
        <f>'FREH LGV vkm'!Q196*'FREH Stock'!Q295</f>
        <v>0</v>
      </c>
      <c r="AX196" s="295">
        <f>'FREH LGV vkm'!R196*'FREH Stock'!R295</f>
        <v>0</v>
      </c>
      <c r="AY196" s="295">
        <f>'FREH LGV vkm'!S196*'FREH Stock'!S295</f>
        <v>0</v>
      </c>
      <c r="AZ196" s="295">
        <f>'FREH LGV vkm'!T196*'FREH Stock'!T295</f>
        <v>0</v>
      </c>
      <c r="BA196" s="295">
        <f>'FREH LGV vkm'!U196*'FREH Stock'!U295</f>
        <v>0</v>
      </c>
      <c r="BB196" s="295">
        <f>'FREH LGV vkm'!V196*'FREH Stock'!V295</f>
        <v>0</v>
      </c>
      <c r="BC196" s="295">
        <f>'FREH LGV vkm'!W196*'FREH Stock'!W295</f>
        <v>0</v>
      </c>
      <c r="BD196" s="295">
        <f>'FREH LGV vkm'!X196*'FREH Stock'!X295</f>
        <v>0</v>
      </c>
      <c r="BE196" s="295">
        <f>'FREH LGV vkm'!Y196*'FREH Stock'!Y295</f>
        <v>0</v>
      </c>
      <c r="BF196" s="295">
        <f>'FREH LGV vkm'!Z196*'FREH Stock'!Z295</f>
        <v>0</v>
      </c>
      <c r="BG196" s="295">
        <f>'FREH LGV vkm'!AA196*'FREH Stock'!AA295</f>
        <v>0</v>
      </c>
      <c r="BH196" s="295">
        <f>'FREH LGV vkm'!AB196*'FREH Stock'!AB295</f>
        <v>0</v>
      </c>
      <c r="BI196" s="295">
        <f>'FREH LGV vkm'!AC196*'FREH Stock'!AC295</f>
        <v>0</v>
      </c>
      <c r="BJ196" s="295">
        <f>'FREH LGV vkm'!AD196*'FREH Stock'!AD295</f>
        <v>0</v>
      </c>
      <c r="BK196" s="296">
        <f>'FREH LGV vkm'!AE196*'FREH Stock'!AE295</f>
        <v>0</v>
      </c>
    </row>
    <row r="197" spans="1:63">
      <c r="A197" s="1711"/>
      <c r="B197" s="116">
        <v>8</v>
      </c>
      <c r="C197" s="294">
        <f t="shared" ref="C197:D212" si="49">C196</f>
        <v>15810.612886984527</v>
      </c>
      <c r="D197" s="295">
        <f t="shared" si="49"/>
        <v>15810.612886984527</v>
      </c>
      <c r="E197" s="295">
        <f t="shared" si="48"/>
        <v>15810.612886984527</v>
      </c>
      <c r="F197" s="295">
        <f t="shared" si="48"/>
        <v>15810.612886984527</v>
      </c>
      <c r="G197" s="295">
        <f t="shared" si="48"/>
        <v>15810.612886984527</v>
      </c>
      <c r="H197" s="295">
        <f t="shared" si="48"/>
        <v>15810.612886984527</v>
      </c>
      <c r="I197" s="295">
        <f t="shared" si="48"/>
        <v>15810.612886984527</v>
      </c>
      <c r="J197" s="295">
        <f t="shared" si="48"/>
        <v>15810.612886984527</v>
      </c>
      <c r="K197" s="295">
        <f t="shared" si="48"/>
        <v>15810.612886984527</v>
      </c>
      <c r="L197" s="295">
        <f t="shared" si="48"/>
        <v>15810.612886984527</v>
      </c>
      <c r="M197" s="295">
        <f t="shared" si="48"/>
        <v>15810.612886984527</v>
      </c>
      <c r="N197" s="295">
        <f t="shared" si="48"/>
        <v>15810.612886984527</v>
      </c>
      <c r="O197" s="295">
        <f t="shared" si="48"/>
        <v>15810.612886984527</v>
      </c>
      <c r="P197" s="295">
        <f t="shared" si="48"/>
        <v>15810.612886984527</v>
      </c>
      <c r="Q197" s="295">
        <f t="shared" si="48"/>
        <v>15810.612886984527</v>
      </c>
      <c r="R197" s="295">
        <f t="shared" si="48"/>
        <v>15810.612886984527</v>
      </c>
      <c r="S197" s="295">
        <f t="shared" si="48"/>
        <v>15810.612886984527</v>
      </c>
      <c r="T197" s="295">
        <f t="shared" si="48"/>
        <v>15810.612886984527</v>
      </c>
      <c r="U197" s="295">
        <f t="shared" si="48"/>
        <v>15810.612886984527</v>
      </c>
      <c r="V197" s="295">
        <f t="shared" si="48"/>
        <v>15810.612886984527</v>
      </c>
      <c r="W197" s="295">
        <f t="shared" si="48"/>
        <v>15810.612886984527</v>
      </c>
      <c r="X197" s="295">
        <f t="shared" si="48"/>
        <v>15810.612886984527</v>
      </c>
      <c r="Y197" s="295">
        <f t="shared" si="48"/>
        <v>15810.612886984527</v>
      </c>
      <c r="Z197" s="295">
        <f t="shared" si="48"/>
        <v>15810.612886984527</v>
      </c>
      <c r="AA197" s="295">
        <f t="shared" si="48"/>
        <v>15810.612886984527</v>
      </c>
      <c r="AB197" s="295">
        <f t="shared" si="48"/>
        <v>15810.612886984527</v>
      </c>
      <c r="AC197" s="295">
        <f t="shared" si="48"/>
        <v>15810.612886984527</v>
      </c>
      <c r="AD197" s="295">
        <f t="shared" si="48"/>
        <v>15810.612886984527</v>
      </c>
      <c r="AE197" s="296">
        <f t="shared" si="48"/>
        <v>15810.612886984527</v>
      </c>
      <c r="AG197" s="1711"/>
      <c r="AH197" s="116">
        <v>8</v>
      </c>
      <c r="AI197" s="294">
        <f>'FREH LGV vkm'!C197*'FREH Stock'!C296</f>
        <v>155449945.90483186</v>
      </c>
      <c r="AJ197" s="295">
        <f>'FREH LGV vkm'!D197*'FREH Stock'!D296</f>
        <v>202189617.577052</v>
      </c>
      <c r="AK197" s="295">
        <f>'FREH LGV vkm'!E197*'FREH Stock'!E296</f>
        <v>212027417.24066344</v>
      </c>
      <c r="AL197" s="295">
        <f>'FREH LGV vkm'!F197*'FREH Stock'!F296</f>
        <v>228215620.05940151</v>
      </c>
      <c r="AM197" s="295">
        <f>'FREH LGV vkm'!G197*'FREH Stock'!G296</f>
        <v>158559076.68570679</v>
      </c>
      <c r="AN197" s="295">
        <f>'FREH LGV vkm'!H197*'FREH Stock'!H296</f>
        <v>65491495.108950041</v>
      </c>
      <c r="AO197" s="295">
        <f>'FREH LGV vkm'!I197*'FREH Stock'!I296</f>
        <v>52686142.34413565</v>
      </c>
      <c r="AP197" s="295">
        <f>'FREH LGV vkm'!J197*'FREH Stock'!J296</f>
        <v>47034131.277393296</v>
      </c>
      <c r="AQ197" s="295">
        <f>'FREH LGV vkm'!K197*'FREH Stock'!K296</f>
        <v>41868811.631697185</v>
      </c>
      <c r="AR197" s="295">
        <f>'FREH LGV vkm'!L197*'FREH Stock'!L296</f>
        <v>0</v>
      </c>
      <c r="AS197" s="295">
        <f>'FREH LGV vkm'!M197*'FREH Stock'!M296</f>
        <v>0</v>
      </c>
      <c r="AT197" s="295">
        <f>'FREH LGV vkm'!N197*'FREH Stock'!N296</f>
        <v>0</v>
      </c>
      <c r="AU197" s="295">
        <f>'FREH LGV vkm'!O197*'FREH Stock'!O296</f>
        <v>0</v>
      </c>
      <c r="AV197" s="295">
        <f>'FREH LGV vkm'!P197*'FREH Stock'!P296</f>
        <v>0</v>
      </c>
      <c r="AW197" s="295">
        <f>'FREH LGV vkm'!Q197*'FREH Stock'!Q296</f>
        <v>0</v>
      </c>
      <c r="AX197" s="295">
        <f>'FREH LGV vkm'!R197*'FREH Stock'!R296</f>
        <v>0</v>
      </c>
      <c r="AY197" s="295">
        <f>'FREH LGV vkm'!S197*'FREH Stock'!S296</f>
        <v>0</v>
      </c>
      <c r="AZ197" s="295">
        <f>'FREH LGV vkm'!T197*'FREH Stock'!T296</f>
        <v>0</v>
      </c>
      <c r="BA197" s="295">
        <f>'FREH LGV vkm'!U197*'FREH Stock'!U296</f>
        <v>0</v>
      </c>
      <c r="BB197" s="295">
        <f>'FREH LGV vkm'!V197*'FREH Stock'!V296</f>
        <v>0</v>
      </c>
      <c r="BC197" s="295">
        <f>'FREH LGV vkm'!W197*'FREH Stock'!W296</f>
        <v>0</v>
      </c>
      <c r="BD197" s="295">
        <f>'FREH LGV vkm'!X197*'FREH Stock'!X296</f>
        <v>0</v>
      </c>
      <c r="BE197" s="295">
        <f>'FREH LGV vkm'!Y197*'FREH Stock'!Y296</f>
        <v>0</v>
      </c>
      <c r="BF197" s="295">
        <f>'FREH LGV vkm'!Z197*'FREH Stock'!Z296</f>
        <v>0</v>
      </c>
      <c r="BG197" s="295">
        <f>'FREH LGV vkm'!AA197*'FREH Stock'!AA296</f>
        <v>0</v>
      </c>
      <c r="BH197" s="295">
        <f>'FREH LGV vkm'!AB197*'FREH Stock'!AB296</f>
        <v>0</v>
      </c>
      <c r="BI197" s="295">
        <f>'FREH LGV vkm'!AC197*'FREH Stock'!AC296</f>
        <v>0</v>
      </c>
      <c r="BJ197" s="295">
        <f>'FREH LGV vkm'!AD197*'FREH Stock'!AD296</f>
        <v>0</v>
      </c>
      <c r="BK197" s="296">
        <f>'FREH LGV vkm'!AE197*'FREH Stock'!AE296</f>
        <v>0</v>
      </c>
    </row>
    <row r="198" spans="1:63">
      <c r="A198" s="1711"/>
      <c r="B198" s="116">
        <v>9</v>
      </c>
      <c r="C198" s="294">
        <f t="shared" si="49"/>
        <v>15810.612886984527</v>
      </c>
      <c r="D198" s="295">
        <f t="shared" si="49"/>
        <v>15810.612886984527</v>
      </c>
      <c r="E198" s="295">
        <f t="shared" si="48"/>
        <v>15810.612886984527</v>
      </c>
      <c r="F198" s="295">
        <f t="shared" si="48"/>
        <v>15810.612886984527</v>
      </c>
      <c r="G198" s="295">
        <f t="shared" si="48"/>
        <v>15810.612886984527</v>
      </c>
      <c r="H198" s="295">
        <f t="shared" si="48"/>
        <v>15810.612886984527</v>
      </c>
      <c r="I198" s="295">
        <f t="shared" si="48"/>
        <v>15810.612886984527</v>
      </c>
      <c r="J198" s="295">
        <f t="shared" si="48"/>
        <v>15810.612886984527</v>
      </c>
      <c r="K198" s="295">
        <f t="shared" si="48"/>
        <v>15810.612886984527</v>
      </c>
      <c r="L198" s="295">
        <f t="shared" si="48"/>
        <v>15810.612886984527</v>
      </c>
      <c r="M198" s="295">
        <f t="shared" si="48"/>
        <v>15810.612886984527</v>
      </c>
      <c r="N198" s="295">
        <f t="shared" si="48"/>
        <v>15810.612886984527</v>
      </c>
      <c r="O198" s="295">
        <f t="shared" si="48"/>
        <v>15810.612886984527</v>
      </c>
      <c r="P198" s="295">
        <f t="shared" si="48"/>
        <v>15810.612886984527</v>
      </c>
      <c r="Q198" s="295">
        <f t="shared" si="48"/>
        <v>15810.612886984527</v>
      </c>
      <c r="R198" s="295">
        <f t="shared" si="48"/>
        <v>15810.612886984527</v>
      </c>
      <c r="S198" s="295">
        <f t="shared" si="48"/>
        <v>15810.612886984527</v>
      </c>
      <c r="T198" s="295">
        <f t="shared" si="48"/>
        <v>15810.612886984527</v>
      </c>
      <c r="U198" s="295">
        <f t="shared" si="48"/>
        <v>15810.612886984527</v>
      </c>
      <c r="V198" s="295">
        <f t="shared" si="48"/>
        <v>15810.612886984527</v>
      </c>
      <c r="W198" s="295">
        <f t="shared" si="48"/>
        <v>15810.612886984527</v>
      </c>
      <c r="X198" s="295">
        <f t="shared" si="48"/>
        <v>15810.612886984527</v>
      </c>
      <c r="Y198" s="295">
        <f t="shared" si="48"/>
        <v>15810.612886984527</v>
      </c>
      <c r="Z198" s="295">
        <f t="shared" si="48"/>
        <v>15810.612886984527</v>
      </c>
      <c r="AA198" s="295">
        <f t="shared" si="48"/>
        <v>15810.612886984527</v>
      </c>
      <c r="AB198" s="295">
        <f t="shared" si="48"/>
        <v>15810.612886984527</v>
      </c>
      <c r="AC198" s="295">
        <f t="shared" si="48"/>
        <v>15810.612886984527</v>
      </c>
      <c r="AD198" s="295">
        <f t="shared" si="48"/>
        <v>15810.612886984527</v>
      </c>
      <c r="AE198" s="296">
        <f t="shared" si="48"/>
        <v>15810.612886984527</v>
      </c>
      <c r="AG198" s="1711"/>
      <c r="AH198" s="116">
        <v>9</v>
      </c>
      <c r="AI198" s="294">
        <f>'FREH LGV vkm'!C198*'FREH Stock'!C297</f>
        <v>154849142.61512646</v>
      </c>
      <c r="AJ198" s="295">
        <f>'FREH LGV vkm'!D198*'FREH Stock'!D297</f>
        <v>127786093.0037754</v>
      </c>
      <c r="AK198" s="295">
        <f>'FREH LGV vkm'!E198*'FREH Stock'!E297</f>
        <v>166207978.559971</v>
      </c>
      <c r="AL198" s="295">
        <f>'FREH LGV vkm'!F198*'FREH Stock'!F297</f>
        <v>174295044.62776104</v>
      </c>
      <c r="AM198" s="295">
        <f>'FREH LGV vkm'!G198*'FREH Stock'!G297</f>
        <v>187602396.90066358</v>
      </c>
      <c r="AN198" s="295">
        <f>'FREH LGV vkm'!H198*'FREH Stock'!H297</f>
        <v>130341923.26034568</v>
      </c>
      <c r="AO198" s="295">
        <f>'FREH LGV vkm'!I198*'FREH Stock'!I297</f>
        <v>53836636.843039662</v>
      </c>
      <c r="AP198" s="295">
        <f>'FREH LGV vkm'!J198*'FREH Stock'!J297</f>
        <v>43310123.052211359</v>
      </c>
      <c r="AQ198" s="295">
        <f>'FREH LGV vkm'!K198*'FREH Stock'!K297</f>
        <v>38663943.16691713</v>
      </c>
      <c r="AR198" s="295">
        <f>'FREH LGV vkm'!L198*'FREH Stock'!L297</f>
        <v>34417843.158344306</v>
      </c>
      <c r="AS198" s="295">
        <f>'FREH LGV vkm'!M198*'FREH Stock'!M297</f>
        <v>0</v>
      </c>
      <c r="AT198" s="295">
        <f>'FREH LGV vkm'!N198*'FREH Stock'!N297</f>
        <v>0</v>
      </c>
      <c r="AU198" s="295">
        <f>'FREH LGV vkm'!O198*'FREH Stock'!O297</f>
        <v>0</v>
      </c>
      <c r="AV198" s="295">
        <f>'FREH LGV vkm'!P198*'FREH Stock'!P297</f>
        <v>0</v>
      </c>
      <c r="AW198" s="295">
        <f>'FREH LGV vkm'!Q198*'FREH Stock'!Q297</f>
        <v>0</v>
      </c>
      <c r="AX198" s="295">
        <f>'FREH LGV vkm'!R198*'FREH Stock'!R297</f>
        <v>0</v>
      </c>
      <c r="AY198" s="295">
        <f>'FREH LGV vkm'!S198*'FREH Stock'!S297</f>
        <v>0</v>
      </c>
      <c r="AZ198" s="295">
        <f>'FREH LGV vkm'!T198*'FREH Stock'!T297</f>
        <v>0</v>
      </c>
      <c r="BA198" s="295">
        <f>'FREH LGV vkm'!U198*'FREH Stock'!U297</f>
        <v>0</v>
      </c>
      <c r="BB198" s="295">
        <f>'FREH LGV vkm'!V198*'FREH Stock'!V297</f>
        <v>0</v>
      </c>
      <c r="BC198" s="295">
        <f>'FREH LGV vkm'!W198*'FREH Stock'!W297</f>
        <v>0</v>
      </c>
      <c r="BD198" s="295">
        <f>'FREH LGV vkm'!X198*'FREH Stock'!X297</f>
        <v>0</v>
      </c>
      <c r="BE198" s="295">
        <f>'FREH LGV vkm'!Y198*'FREH Stock'!Y297</f>
        <v>0</v>
      </c>
      <c r="BF198" s="295">
        <f>'FREH LGV vkm'!Z198*'FREH Stock'!Z297</f>
        <v>0</v>
      </c>
      <c r="BG198" s="295">
        <f>'FREH LGV vkm'!AA198*'FREH Stock'!AA297</f>
        <v>0</v>
      </c>
      <c r="BH198" s="295">
        <f>'FREH LGV vkm'!AB198*'FREH Stock'!AB297</f>
        <v>0</v>
      </c>
      <c r="BI198" s="295">
        <f>'FREH LGV vkm'!AC198*'FREH Stock'!AC297</f>
        <v>0</v>
      </c>
      <c r="BJ198" s="295">
        <f>'FREH LGV vkm'!AD198*'FREH Stock'!AD297</f>
        <v>0</v>
      </c>
      <c r="BK198" s="296">
        <f>'FREH LGV vkm'!AE198*'FREH Stock'!AE297</f>
        <v>0</v>
      </c>
    </row>
    <row r="199" spans="1:63">
      <c r="A199" s="1711"/>
      <c r="B199" s="116">
        <v>10</v>
      </c>
      <c r="C199" s="294">
        <f t="shared" si="49"/>
        <v>15810.612886984527</v>
      </c>
      <c r="D199" s="295">
        <f t="shared" si="49"/>
        <v>15810.612886984527</v>
      </c>
      <c r="E199" s="295">
        <f t="shared" si="48"/>
        <v>15810.612886984527</v>
      </c>
      <c r="F199" s="295">
        <f t="shared" si="48"/>
        <v>15810.612886984527</v>
      </c>
      <c r="G199" s="295">
        <f t="shared" si="48"/>
        <v>15810.612886984527</v>
      </c>
      <c r="H199" s="295">
        <f t="shared" si="48"/>
        <v>15810.612886984527</v>
      </c>
      <c r="I199" s="295">
        <f t="shared" si="48"/>
        <v>15810.612886984527</v>
      </c>
      <c r="J199" s="295">
        <f t="shared" si="48"/>
        <v>15810.612886984527</v>
      </c>
      <c r="K199" s="295">
        <f t="shared" si="48"/>
        <v>15810.612886984527</v>
      </c>
      <c r="L199" s="295">
        <f t="shared" si="48"/>
        <v>15810.612886984527</v>
      </c>
      <c r="M199" s="295">
        <f t="shared" si="48"/>
        <v>15810.612886984527</v>
      </c>
      <c r="N199" s="295">
        <f t="shared" si="48"/>
        <v>15810.612886984527</v>
      </c>
      <c r="O199" s="295">
        <f t="shared" si="48"/>
        <v>15810.612886984527</v>
      </c>
      <c r="P199" s="295">
        <f t="shared" si="48"/>
        <v>15810.612886984527</v>
      </c>
      <c r="Q199" s="295">
        <f t="shared" si="48"/>
        <v>15810.612886984527</v>
      </c>
      <c r="R199" s="295">
        <f t="shared" si="48"/>
        <v>15810.612886984527</v>
      </c>
      <c r="S199" s="295">
        <f t="shared" si="48"/>
        <v>15810.612886984527</v>
      </c>
      <c r="T199" s="295">
        <f t="shared" si="48"/>
        <v>15810.612886984527</v>
      </c>
      <c r="U199" s="295">
        <f t="shared" si="48"/>
        <v>15810.612886984527</v>
      </c>
      <c r="V199" s="295">
        <f t="shared" si="48"/>
        <v>15810.612886984527</v>
      </c>
      <c r="W199" s="295">
        <f t="shared" si="48"/>
        <v>15810.612886984527</v>
      </c>
      <c r="X199" s="295">
        <f t="shared" si="48"/>
        <v>15810.612886984527</v>
      </c>
      <c r="Y199" s="295">
        <f t="shared" si="48"/>
        <v>15810.612886984527</v>
      </c>
      <c r="Z199" s="295">
        <f t="shared" si="48"/>
        <v>15810.612886984527</v>
      </c>
      <c r="AA199" s="295">
        <f t="shared" si="48"/>
        <v>15810.612886984527</v>
      </c>
      <c r="AB199" s="295">
        <f t="shared" si="48"/>
        <v>15810.612886984527</v>
      </c>
      <c r="AC199" s="295">
        <f t="shared" si="48"/>
        <v>15810.612886984527</v>
      </c>
      <c r="AD199" s="295">
        <f t="shared" si="48"/>
        <v>15810.612886984527</v>
      </c>
      <c r="AE199" s="296">
        <f t="shared" si="48"/>
        <v>15810.612886984527</v>
      </c>
      <c r="AG199" s="1711"/>
      <c r="AH199" s="116">
        <v>10</v>
      </c>
      <c r="AI199" s="294">
        <f>'FREH LGV vkm'!C199*'FREH Stock'!C298</f>
        <v>122295090.68082532</v>
      </c>
      <c r="AJ199" s="295">
        <f>'FREH LGV vkm'!D199*'FREH Stock'!D298</f>
        <v>119277963.08902156</v>
      </c>
      <c r="AK199" s="295">
        <f>'FREH LGV vkm'!E199*'FREH Stock'!E298</f>
        <v>98431703.444935158</v>
      </c>
      <c r="AL199" s="295">
        <f>'FREH LGV vkm'!F199*'FREH Stock'!F298</f>
        <v>128027503.39439404</v>
      </c>
      <c r="AM199" s="295">
        <f>'FREH LGV vkm'!G199*'FREH Stock'!G298</f>
        <v>134256848.62447935</v>
      </c>
      <c r="AN199" s="295">
        <f>'FREH LGV vkm'!H199*'FREH Stock'!H298</f>
        <v>144507301.71975419</v>
      </c>
      <c r="AO199" s="295">
        <f>'FREH LGV vkm'!I199*'FREH Stock'!I298</f>
        <v>100400421.01002172</v>
      </c>
      <c r="AP199" s="295">
        <f>'FREH LGV vkm'!J199*'FREH Stock'!J298</f>
        <v>41469550.775374167</v>
      </c>
      <c r="AQ199" s="295">
        <f>'FREH LGV vkm'!K199*'FREH Stock'!K298</f>
        <v>33361135.69348244</v>
      </c>
      <c r="AR199" s="295">
        <f>'FREH LGV vkm'!L199*'FREH Stock'!L298</f>
        <v>29782253.282486495</v>
      </c>
      <c r="AS199" s="295">
        <f>'FREH LGV vkm'!M199*'FREH Stock'!M298</f>
        <v>26511546.376774706</v>
      </c>
      <c r="AT199" s="295">
        <f>'FREH LGV vkm'!N199*'FREH Stock'!N298</f>
        <v>0</v>
      </c>
      <c r="AU199" s="295">
        <f>'FREH LGV vkm'!O199*'FREH Stock'!O298</f>
        <v>0</v>
      </c>
      <c r="AV199" s="295">
        <f>'FREH LGV vkm'!P199*'FREH Stock'!P298</f>
        <v>0</v>
      </c>
      <c r="AW199" s="295">
        <f>'FREH LGV vkm'!Q199*'FREH Stock'!Q298</f>
        <v>0</v>
      </c>
      <c r="AX199" s="295">
        <f>'FREH LGV vkm'!R199*'FREH Stock'!R298</f>
        <v>0</v>
      </c>
      <c r="AY199" s="295">
        <f>'FREH LGV vkm'!S199*'FREH Stock'!S298</f>
        <v>0</v>
      </c>
      <c r="AZ199" s="295">
        <f>'FREH LGV vkm'!T199*'FREH Stock'!T298</f>
        <v>0</v>
      </c>
      <c r="BA199" s="295">
        <f>'FREH LGV vkm'!U199*'FREH Stock'!U298</f>
        <v>0</v>
      </c>
      <c r="BB199" s="295">
        <f>'FREH LGV vkm'!V199*'FREH Stock'!V298</f>
        <v>0</v>
      </c>
      <c r="BC199" s="295">
        <f>'FREH LGV vkm'!W199*'FREH Stock'!W298</f>
        <v>0</v>
      </c>
      <c r="BD199" s="295">
        <f>'FREH LGV vkm'!X199*'FREH Stock'!X298</f>
        <v>0</v>
      </c>
      <c r="BE199" s="295">
        <f>'FREH LGV vkm'!Y199*'FREH Stock'!Y298</f>
        <v>0</v>
      </c>
      <c r="BF199" s="295">
        <f>'FREH LGV vkm'!Z199*'FREH Stock'!Z298</f>
        <v>0</v>
      </c>
      <c r="BG199" s="295">
        <f>'FREH LGV vkm'!AA199*'FREH Stock'!AA298</f>
        <v>0</v>
      </c>
      <c r="BH199" s="295">
        <f>'FREH LGV vkm'!AB199*'FREH Stock'!AB298</f>
        <v>0</v>
      </c>
      <c r="BI199" s="295">
        <f>'FREH LGV vkm'!AC199*'FREH Stock'!AC298</f>
        <v>0</v>
      </c>
      <c r="BJ199" s="295">
        <f>'FREH LGV vkm'!AD199*'FREH Stock'!AD298</f>
        <v>0</v>
      </c>
      <c r="BK199" s="296">
        <f>'FREH LGV vkm'!AE199*'FREH Stock'!AE298</f>
        <v>0</v>
      </c>
    </row>
    <row r="200" spans="1:63">
      <c r="A200" s="1711"/>
      <c r="B200" s="116">
        <v>11</v>
      </c>
      <c r="C200" s="294">
        <f t="shared" si="49"/>
        <v>15810.612886984527</v>
      </c>
      <c r="D200" s="295">
        <f t="shared" si="49"/>
        <v>15810.612886984527</v>
      </c>
      <c r="E200" s="295">
        <f t="shared" si="48"/>
        <v>15810.612886984527</v>
      </c>
      <c r="F200" s="295">
        <f t="shared" si="48"/>
        <v>15810.612886984527</v>
      </c>
      <c r="G200" s="295">
        <f t="shared" si="48"/>
        <v>15810.612886984527</v>
      </c>
      <c r="H200" s="295">
        <f t="shared" si="48"/>
        <v>15810.612886984527</v>
      </c>
      <c r="I200" s="295">
        <f t="shared" si="48"/>
        <v>15810.612886984527</v>
      </c>
      <c r="J200" s="295">
        <f t="shared" si="48"/>
        <v>15810.612886984527</v>
      </c>
      <c r="K200" s="295">
        <f t="shared" si="48"/>
        <v>15810.612886984527</v>
      </c>
      <c r="L200" s="295">
        <f t="shared" si="48"/>
        <v>15810.612886984527</v>
      </c>
      <c r="M200" s="295">
        <f t="shared" si="48"/>
        <v>15810.612886984527</v>
      </c>
      <c r="N200" s="295">
        <f t="shared" si="48"/>
        <v>15810.612886984527</v>
      </c>
      <c r="O200" s="295">
        <f t="shared" si="48"/>
        <v>15810.612886984527</v>
      </c>
      <c r="P200" s="295">
        <f t="shared" si="48"/>
        <v>15810.612886984527</v>
      </c>
      <c r="Q200" s="295">
        <f t="shared" si="48"/>
        <v>15810.612886984527</v>
      </c>
      <c r="R200" s="295">
        <f t="shared" si="48"/>
        <v>15810.612886984527</v>
      </c>
      <c r="S200" s="295">
        <f t="shared" si="48"/>
        <v>15810.612886984527</v>
      </c>
      <c r="T200" s="295">
        <f t="shared" si="48"/>
        <v>15810.612886984527</v>
      </c>
      <c r="U200" s="295">
        <f t="shared" si="48"/>
        <v>15810.612886984527</v>
      </c>
      <c r="V200" s="295">
        <f t="shared" si="48"/>
        <v>15810.612886984527</v>
      </c>
      <c r="W200" s="295">
        <f t="shared" si="48"/>
        <v>15810.612886984527</v>
      </c>
      <c r="X200" s="295">
        <f t="shared" si="48"/>
        <v>15810.612886984527</v>
      </c>
      <c r="Y200" s="295">
        <f t="shared" si="48"/>
        <v>15810.612886984527</v>
      </c>
      <c r="Z200" s="295">
        <f t="shared" si="48"/>
        <v>15810.612886984527</v>
      </c>
      <c r="AA200" s="295">
        <f t="shared" si="48"/>
        <v>15810.612886984527</v>
      </c>
      <c r="AB200" s="295">
        <f t="shared" si="48"/>
        <v>15810.612886984527</v>
      </c>
      <c r="AC200" s="295">
        <f t="shared" si="48"/>
        <v>15810.612886984527</v>
      </c>
      <c r="AD200" s="295">
        <f t="shared" si="48"/>
        <v>15810.612886984527</v>
      </c>
      <c r="AE200" s="296">
        <f t="shared" si="48"/>
        <v>15810.612886984527</v>
      </c>
      <c r="AG200" s="1711"/>
      <c r="AH200" s="116">
        <v>11</v>
      </c>
      <c r="AI200" s="294">
        <f>'FREH LGV vkm'!C200*'FREH Stock'!C299</f>
        <v>95527723.063160509</v>
      </c>
      <c r="AJ200" s="295">
        <f>'FREH LGV vkm'!D200*'FREH Stock'!D299</f>
        <v>86623304.389106572</v>
      </c>
      <c r="AK200" s="295">
        <f>'FREH LGV vkm'!E200*'FREH Stock'!E299</f>
        <v>84486231.181092948</v>
      </c>
      <c r="AL200" s="295">
        <f>'FREH LGV vkm'!F200*'FREH Stock'!F299</f>
        <v>69720537.117077902</v>
      </c>
      <c r="AM200" s="295">
        <f>'FREH LGV vkm'!G200*'FREH Stock'!G299</f>
        <v>90683651.608337224</v>
      </c>
      <c r="AN200" s="295">
        <f>'FREH LGV vkm'!H200*'FREH Stock'!H299</f>
        <v>95095983.00288856</v>
      </c>
      <c r="AO200" s="295">
        <f>'FREH LGV vkm'!I200*'FREH Stock'!I299</f>
        <v>102356520.72075681</v>
      </c>
      <c r="AP200" s="295">
        <f>'FREH LGV vkm'!J200*'FREH Stock'!J299</f>
        <v>71115007.000924289</v>
      </c>
      <c r="AQ200" s="295">
        <f>'FREH LGV vkm'!K200*'FREH Stock'!K299</f>
        <v>29373456.446179111</v>
      </c>
      <c r="AR200" s="295">
        <f>'FREH LGV vkm'!L200*'FREH Stock'!L299</f>
        <v>23630153.883159254</v>
      </c>
      <c r="AS200" s="295">
        <f>'FREH LGV vkm'!M200*'FREH Stock'!M299</f>
        <v>21095181.966178384</v>
      </c>
      <c r="AT200" s="295">
        <f>'FREH LGV vkm'!N200*'FREH Stock'!N299</f>
        <v>18778495.022460803</v>
      </c>
      <c r="AU200" s="295">
        <f>'FREH LGV vkm'!O200*'FREH Stock'!O299</f>
        <v>0</v>
      </c>
      <c r="AV200" s="295">
        <f>'FREH LGV vkm'!P200*'FREH Stock'!P299</f>
        <v>0</v>
      </c>
      <c r="AW200" s="295">
        <f>'FREH LGV vkm'!Q200*'FREH Stock'!Q299</f>
        <v>0</v>
      </c>
      <c r="AX200" s="295">
        <f>'FREH LGV vkm'!R200*'FREH Stock'!R299</f>
        <v>0</v>
      </c>
      <c r="AY200" s="295">
        <f>'FREH LGV vkm'!S200*'FREH Stock'!S299</f>
        <v>0</v>
      </c>
      <c r="AZ200" s="295">
        <f>'FREH LGV vkm'!T200*'FREH Stock'!T299</f>
        <v>0</v>
      </c>
      <c r="BA200" s="295">
        <f>'FREH LGV vkm'!U200*'FREH Stock'!U299</f>
        <v>0</v>
      </c>
      <c r="BB200" s="295">
        <f>'FREH LGV vkm'!V200*'FREH Stock'!V299</f>
        <v>0</v>
      </c>
      <c r="BC200" s="295">
        <f>'FREH LGV vkm'!W200*'FREH Stock'!W299</f>
        <v>0</v>
      </c>
      <c r="BD200" s="295">
        <f>'FREH LGV vkm'!X200*'FREH Stock'!X299</f>
        <v>0</v>
      </c>
      <c r="BE200" s="295">
        <f>'FREH LGV vkm'!Y200*'FREH Stock'!Y299</f>
        <v>0</v>
      </c>
      <c r="BF200" s="295">
        <f>'FREH LGV vkm'!Z200*'FREH Stock'!Z299</f>
        <v>0</v>
      </c>
      <c r="BG200" s="295">
        <f>'FREH LGV vkm'!AA200*'FREH Stock'!AA299</f>
        <v>0</v>
      </c>
      <c r="BH200" s="295">
        <f>'FREH LGV vkm'!AB200*'FREH Stock'!AB299</f>
        <v>0</v>
      </c>
      <c r="BI200" s="295">
        <f>'FREH LGV vkm'!AC200*'FREH Stock'!AC299</f>
        <v>0</v>
      </c>
      <c r="BJ200" s="295">
        <f>'FREH LGV vkm'!AD200*'FREH Stock'!AD299</f>
        <v>0</v>
      </c>
      <c r="BK200" s="296">
        <f>'FREH LGV vkm'!AE200*'FREH Stock'!AE299</f>
        <v>0</v>
      </c>
    </row>
    <row r="201" spans="1:63">
      <c r="A201" s="1711"/>
      <c r="B201" s="116">
        <v>12</v>
      </c>
      <c r="C201" s="294">
        <f t="shared" si="49"/>
        <v>15810.612886984527</v>
      </c>
      <c r="D201" s="295">
        <f t="shared" si="49"/>
        <v>15810.612886984527</v>
      </c>
      <c r="E201" s="295">
        <f t="shared" si="48"/>
        <v>15810.612886984527</v>
      </c>
      <c r="F201" s="295">
        <f t="shared" si="48"/>
        <v>15810.612886984527</v>
      </c>
      <c r="G201" s="295">
        <f t="shared" si="48"/>
        <v>15810.612886984527</v>
      </c>
      <c r="H201" s="295">
        <f t="shared" si="48"/>
        <v>15810.612886984527</v>
      </c>
      <c r="I201" s="295">
        <f t="shared" si="48"/>
        <v>15810.612886984527</v>
      </c>
      <c r="J201" s="295">
        <f t="shared" si="48"/>
        <v>15810.612886984527</v>
      </c>
      <c r="K201" s="295">
        <f t="shared" si="48"/>
        <v>15810.612886984527</v>
      </c>
      <c r="L201" s="295">
        <f t="shared" si="48"/>
        <v>15810.612886984527</v>
      </c>
      <c r="M201" s="295">
        <f t="shared" si="48"/>
        <v>15810.612886984527</v>
      </c>
      <c r="N201" s="295">
        <f t="shared" si="48"/>
        <v>15810.612886984527</v>
      </c>
      <c r="O201" s="295">
        <f t="shared" si="48"/>
        <v>15810.612886984527</v>
      </c>
      <c r="P201" s="295">
        <f t="shared" si="48"/>
        <v>15810.612886984527</v>
      </c>
      <c r="Q201" s="295">
        <f t="shared" si="48"/>
        <v>15810.612886984527</v>
      </c>
      <c r="R201" s="295">
        <f t="shared" si="48"/>
        <v>15810.612886984527</v>
      </c>
      <c r="S201" s="295">
        <f t="shared" si="48"/>
        <v>15810.612886984527</v>
      </c>
      <c r="T201" s="295">
        <f t="shared" si="48"/>
        <v>15810.612886984527</v>
      </c>
      <c r="U201" s="295">
        <f t="shared" si="48"/>
        <v>15810.612886984527</v>
      </c>
      <c r="V201" s="295">
        <f t="shared" si="48"/>
        <v>15810.612886984527</v>
      </c>
      <c r="W201" s="295">
        <f t="shared" si="48"/>
        <v>15810.612886984527</v>
      </c>
      <c r="X201" s="295">
        <f t="shared" si="48"/>
        <v>15810.612886984527</v>
      </c>
      <c r="Y201" s="295">
        <f t="shared" si="48"/>
        <v>15810.612886984527</v>
      </c>
      <c r="Z201" s="295">
        <f t="shared" si="48"/>
        <v>15810.612886984527</v>
      </c>
      <c r="AA201" s="295">
        <f t="shared" si="48"/>
        <v>15810.612886984527</v>
      </c>
      <c r="AB201" s="295">
        <f t="shared" si="48"/>
        <v>15810.612886984527</v>
      </c>
      <c r="AC201" s="295">
        <f t="shared" si="48"/>
        <v>15810.612886984527</v>
      </c>
      <c r="AD201" s="295">
        <f t="shared" si="48"/>
        <v>15810.612886984527</v>
      </c>
      <c r="AE201" s="296">
        <f t="shared" si="48"/>
        <v>15810.612886984527</v>
      </c>
      <c r="AG201" s="1711"/>
      <c r="AH201" s="116">
        <v>12</v>
      </c>
      <c r="AI201" s="294">
        <f>'FREH LGV vkm'!C201*'FREH Stock'!C300</f>
        <v>78120238.274590552</v>
      </c>
      <c r="AJ201" s="295">
        <f>'FREH LGV vkm'!D201*'FREH Stock'!D300</f>
        <v>60441213.619133301</v>
      </c>
      <c r="AK201" s="295">
        <f>'FREH LGV vkm'!E201*'FREH Stock'!E300</f>
        <v>54807311.18772234</v>
      </c>
      <c r="AL201" s="295">
        <f>'FREH LGV vkm'!F201*'FREH Stock'!F300</f>
        <v>53455166.552181549</v>
      </c>
      <c r="AM201" s="295">
        <f>'FREH LGV vkm'!G201*'FREH Stock'!G300</f>
        <v>44112784.670349903</v>
      </c>
      <c r="AN201" s="295">
        <f>'FREH LGV vkm'!H201*'FREH Stock'!H300</f>
        <v>57376327.864515863</v>
      </c>
      <c r="AO201" s="295">
        <f>'FREH LGV vkm'!I201*'FREH Stock'!I300</f>
        <v>60168047.962357618</v>
      </c>
      <c r="AP201" s="295">
        <f>'FREH LGV vkm'!J201*'FREH Stock'!J300</f>
        <v>64761852.746182539</v>
      </c>
      <c r="AQ201" s="295">
        <f>'FREH LGV vkm'!K201*'FREH Stock'!K300</f>
        <v>44995077.783096679</v>
      </c>
      <c r="AR201" s="295">
        <f>'FREH LGV vkm'!L201*'FREH Stock'!L300</f>
        <v>18584839.027535409</v>
      </c>
      <c r="AS201" s="295">
        <f>'FREH LGV vkm'!M201*'FREH Stock'!M300</f>
        <v>14951002.001384538</v>
      </c>
      <c r="AT201" s="295">
        <f>'FREH LGV vkm'!N201*'FREH Stock'!N300</f>
        <v>13347103.423675936</v>
      </c>
      <c r="AU201" s="295">
        <f>'FREH LGV vkm'!O201*'FREH Stock'!O300</f>
        <v>11881315.629683282</v>
      </c>
      <c r="AV201" s="295">
        <f>'FREH LGV vkm'!P201*'FREH Stock'!P300</f>
        <v>0</v>
      </c>
      <c r="AW201" s="295">
        <f>'FREH LGV vkm'!Q201*'FREH Stock'!Q300</f>
        <v>0</v>
      </c>
      <c r="AX201" s="295">
        <f>'FREH LGV vkm'!R201*'FREH Stock'!R300</f>
        <v>0</v>
      </c>
      <c r="AY201" s="295">
        <f>'FREH LGV vkm'!S201*'FREH Stock'!S300</f>
        <v>0</v>
      </c>
      <c r="AZ201" s="295">
        <f>'FREH LGV vkm'!T201*'FREH Stock'!T300</f>
        <v>0</v>
      </c>
      <c r="BA201" s="295">
        <f>'FREH LGV vkm'!U201*'FREH Stock'!U300</f>
        <v>0</v>
      </c>
      <c r="BB201" s="295">
        <f>'FREH LGV vkm'!V201*'FREH Stock'!V300</f>
        <v>0</v>
      </c>
      <c r="BC201" s="295">
        <f>'FREH LGV vkm'!W201*'FREH Stock'!W300</f>
        <v>0</v>
      </c>
      <c r="BD201" s="295">
        <f>'FREH LGV vkm'!X201*'FREH Stock'!X300</f>
        <v>0</v>
      </c>
      <c r="BE201" s="295">
        <f>'FREH LGV vkm'!Y201*'FREH Stock'!Y300</f>
        <v>0</v>
      </c>
      <c r="BF201" s="295">
        <f>'FREH LGV vkm'!Z201*'FREH Stock'!Z300</f>
        <v>0</v>
      </c>
      <c r="BG201" s="295">
        <f>'FREH LGV vkm'!AA201*'FREH Stock'!AA300</f>
        <v>0</v>
      </c>
      <c r="BH201" s="295">
        <f>'FREH LGV vkm'!AB201*'FREH Stock'!AB300</f>
        <v>0</v>
      </c>
      <c r="BI201" s="295">
        <f>'FREH LGV vkm'!AC201*'FREH Stock'!AC300</f>
        <v>0</v>
      </c>
      <c r="BJ201" s="295">
        <f>'FREH LGV vkm'!AD201*'FREH Stock'!AD300</f>
        <v>0</v>
      </c>
      <c r="BK201" s="296">
        <f>'FREH LGV vkm'!AE201*'FREH Stock'!AE300</f>
        <v>0</v>
      </c>
    </row>
    <row r="202" spans="1:63">
      <c r="A202" s="1711"/>
      <c r="B202" s="116">
        <v>13</v>
      </c>
      <c r="C202" s="294">
        <f t="shared" si="49"/>
        <v>15810.612886984527</v>
      </c>
      <c r="D202" s="295">
        <f t="shared" si="49"/>
        <v>15810.612886984527</v>
      </c>
      <c r="E202" s="295">
        <f t="shared" si="48"/>
        <v>15810.612886984527</v>
      </c>
      <c r="F202" s="295">
        <f t="shared" si="48"/>
        <v>15810.612886984527</v>
      </c>
      <c r="G202" s="295">
        <f t="shared" si="48"/>
        <v>15810.612886984527</v>
      </c>
      <c r="H202" s="295">
        <f t="shared" si="48"/>
        <v>15810.612886984527</v>
      </c>
      <c r="I202" s="295">
        <f t="shared" si="48"/>
        <v>15810.612886984527</v>
      </c>
      <c r="J202" s="295">
        <f t="shared" si="48"/>
        <v>15810.612886984527</v>
      </c>
      <c r="K202" s="295">
        <f t="shared" si="48"/>
        <v>15810.612886984527</v>
      </c>
      <c r="L202" s="295">
        <f t="shared" si="48"/>
        <v>15810.612886984527</v>
      </c>
      <c r="M202" s="295">
        <f t="shared" si="48"/>
        <v>15810.612886984527</v>
      </c>
      <c r="N202" s="295">
        <f t="shared" si="48"/>
        <v>15810.612886984527</v>
      </c>
      <c r="O202" s="295">
        <f t="shared" si="48"/>
        <v>15810.612886984527</v>
      </c>
      <c r="P202" s="295">
        <f t="shared" si="48"/>
        <v>15810.612886984527</v>
      </c>
      <c r="Q202" s="295">
        <f t="shared" si="48"/>
        <v>15810.612886984527</v>
      </c>
      <c r="R202" s="295">
        <f t="shared" si="48"/>
        <v>15810.612886984527</v>
      </c>
      <c r="S202" s="295">
        <f t="shared" si="48"/>
        <v>15810.612886984527</v>
      </c>
      <c r="T202" s="295">
        <f t="shared" si="48"/>
        <v>15810.612886984527</v>
      </c>
      <c r="U202" s="295">
        <f t="shared" si="48"/>
        <v>15810.612886984527</v>
      </c>
      <c r="V202" s="295">
        <f t="shared" si="48"/>
        <v>15810.612886984527</v>
      </c>
      <c r="W202" s="295">
        <f t="shared" si="48"/>
        <v>15810.612886984527</v>
      </c>
      <c r="X202" s="295">
        <f t="shared" si="48"/>
        <v>15810.612886984527</v>
      </c>
      <c r="Y202" s="295">
        <f t="shared" si="48"/>
        <v>15810.612886984527</v>
      </c>
      <c r="Z202" s="295">
        <f t="shared" si="48"/>
        <v>15810.612886984527</v>
      </c>
      <c r="AA202" s="295">
        <f t="shared" si="48"/>
        <v>15810.612886984527</v>
      </c>
      <c r="AB202" s="295">
        <f t="shared" si="48"/>
        <v>15810.612886984527</v>
      </c>
      <c r="AC202" s="295">
        <f t="shared" si="48"/>
        <v>15810.612886984527</v>
      </c>
      <c r="AD202" s="295">
        <f t="shared" si="48"/>
        <v>15810.612886984527</v>
      </c>
      <c r="AE202" s="296">
        <f t="shared" si="48"/>
        <v>15810.612886984527</v>
      </c>
      <c r="AG202" s="1711"/>
      <c r="AH202" s="116">
        <v>13</v>
      </c>
      <c r="AI202" s="294">
        <f>'FREH LGV vkm'!C202*'FREH Stock'!C301</f>
        <v>55432008.781767748</v>
      </c>
      <c r="AJ202" s="295">
        <f>'FREH LGV vkm'!D202*'FREH Stock'!D301</f>
        <v>43833137.39060282</v>
      </c>
      <c r="AK202" s="295">
        <f>'FREH LGV vkm'!E202*'FREH Stock'!E301</f>
        <v>33913465.692589514</v>
      </c>
      <c r="AL202" s="295">
        <f>'FREH LGV vkm'!F202*'FREH Stock'!F301</f>
        <v>30752292.291488763</v>
      </c>
      <c r="AM202" s="295">
        <f>'FREH LGV vkm'!G202*'FREH Stock'!G301</f>
        <v>29993606.157259397</v>
      </c>
      <c r="AN202" s="295">
        <f>'FREH LGV vkm'!H202*'FREH Stock'!H301</f>
        <v>24751611.027362294</v>
      </c>
      <c r="AO202" s="295">
        <f>'FREH LGV vkm'!I202*'FREH Stock'!I301</f>
        <v>32193763.329465199</v>
      </c>
      <c r="AP202" s="295">
        <f>'FREH LGV vkm'!J202*'FREH Stock'!J301</f>
        <v>33760192.891222015</v>
      </c>
      <c r="AQ202" s="295">
        <f>'FREH LGV vkm'!K202*'FREH Stock'!K301</f>
        <v>36337769.210526466</v>
      </c>
      <c r="AR202" s="295">
        <f>'FREH LGV vkm'!L202*'FREH Stock'!L301</f>
        <v>25246664.243839633</v>
      </c>
      <c r="AS202" s="295">
        <f>'FREH LGV vkm'!M202*'FREH Stock'!M301</f>
        <v>10427922.654469997</v>
      </c>
      <c r="AT202" s="295">
        <f>'FREH LGV vkm'!N202*'FREH Stock'!N301</f>
        <v>8388982.6673381478</v>
      </c>
      <c r="AU202" s="295">
        <f>'FREH LGV vkm'!O202*'FREH Stock'!O301</f>
        <v>7489037.8096409999</v>
      </c>
      <c r="AV202" s="295">
        <f>'FREH LGV vkm'!P202*'FREH Stock'!P301</f>
        <v>6666586.6858526766</v>
      </c>
      <c r="AW202" s="295">
        <f>'FREH LGV vkm'!Q202*'FREH Stock'!Q301</f>
        <v>0</v>
      </c>
      <c r="AX202" s="295">
        <f>'FREH LGV vkm'!R202*'FREH Stock'!R301</f>
        <v>0</v>
      </c>
      <c r="AY202" s="295">
        <f>'FREH LGV vkm'!S202*'FREH Stock'!S301</f>
        <v>0</v>
      </c>
      <c r="AZ202" s="295">
        <f>'FREH LGV vkm'!T202*'FREH Stock'!T301</f>
        <v>0</v>
      </c>
      <c r="BA202" s="295">
        <f>'FREH LGV vkm'!U202*'FREH Stock'!U301</f>
        <v>0</v>
      </c>
      <c r="BB202" s="295">
        <f>'FREH LGV vkm'!V202*'FREH Stock'!V301</f>
        <v>0</v>
      </c>
      <c r="BC202" s="295">
        <f>'FREH LGV vkm'!W202*'FREH Stock'!W301</f>
        <v>0</v>
      </c>
      <c r="BD202" s="295">
        <f>'FREH LGV vkm'!X202*'FREH Stock'!X301</f>
        <v>0</v>
      </c>
      <c r="BE202" s="295">
        <f>'FREH LGV vkm'!Y202*'FREH Stock'!Y301</f>
        <v>0</v>
      </c>
      <c r="BF202" s="295">
        <f>'FREH LGV vkm'!Z202*'FREH Stock'!Z301</f>
        <v>0</v>
      </c>
      <c r="BG202" s="295">
        <f>'FREH LGV vkm'!AA202*'FREH Stock'!AA301</f>
        <v>0</v>
      </c>
      <c r="BH202" s="295">
        <f>'FREH LGV vkm'!AB202*'FREH Stock'!AB301</f>
        <v>0</v>
      </c>
      <c r="BI202" s="295">
        <f>'FREH LGV vkm'!AC202*'FREH Stock'!AC301</f>
        <v>0</v>
      </c>
      <c r="BJ202" s="295">
        <f>'FREH LGV vkm'!AD202*'FREH Stock'!AD301</f>
        <v>0</v>
      </c>
      <c r="BK202" s="296">
        <f>'FREH LGV vkm'!AE202*'FREH Stock'!AE301</f>
        <v>0</v>
      </c>
    </row>
    <row r="203" spans="1:63">
      <c r="A203" s="1711"/>
      <c r="B203" s="116">
        <v>14</v>
      </c>
      <c r="C203" s="294">
        <f t="shared" si="49"/>
        <v>15810.612886984527</v>
      </c>
      <c r="D203" s="295">
        <f t="shared" si="49"/>
        <v>15810.612886984527</v>
      </c>
      <c r="E203" s="295">
        <f t="shared" si="48"/>
        <v>15810.612886984527</v>
      </c>
      <c r="F203" s="295">
        <f t="shared" si="48"/>
        <v>15810.612886984527</v>
      </c>
      <c r="G203" s="295">
        <f t="shared" si="48"/>
        <v>15810.612886984527</v>
      </c>
      <c r="H203" s="295">
        <f t="shared" si="48"/>
        <v>15810.612886984527</v>
      </c>
      <c r="I203" s="295">
        <f t="shared" si="48"/>
        <v>15810.612886984527</v>
      </c>
      <c r="J203" s="295">
        <f t="shared" si="48"/>
        <v>15810.612886984527</v>
      </c>
      <c r="K203" s="295">
        <f t="shared" si="48"/>
        <v>15810.612886984527</v>
      </c>
      <c r="L203" s="295">
        <f t="shared" si="48"/>
        <v>15810.612886984527</v>
      </c>
      <c r="M203" s="295">
        <f t="shared" si="48"/>
        <v>15810.612886984527</v>
      </c>
      <c r="N203" s="295">
        <f t="shared" si="48"/>
        <v>15810.612886984527</v>
      </c>
      <c r="O203" s="295">
        <f t="shared" si="48"/>
        <v>15810.612886984527</v>
      </c>
      <c r="P203" s="295">
        <f t="shared" si="48"/>
        <v>15810.612886984527</v>
      </c>
      <c r="Q203" s="295">
        <f t="shared" si="48"/>
        <v>15810.612886984527</v>
      </c>
      <c r="R203" s="295">
        <f t="shared" si="48"/>
        <v>15810.612886984527</v>
      </c>
      <c r="S203" s="295">
        <f t="shared" si="48"/>
        <v>15810.612886984527</v>
      </c>
      <c r="T203" s="295">
        <f t="shared" si="48"/>
        <v>15810.612886984527</v>
      </c>
      <c r="U203" s="295">
        <f t="shared" si="48"/>
        <v>15810.612886984527</v>
      </c>
      <c r="V203" s="295">
        <f t="shared" si="48"/>
        <v>15810.612886984527</v>
      </c>
      <c r="W203" s="295">
        <f t="shared" si="48"/>
        <v>15810.612886984527</v>
      </c>
      <c r="X203" s="295">
        <f t="shared" si="48"/>
        <v>15810.612886984527</v>
      </c>
      <c r="Y203" s="295">
        <f t="shared" si="48"/>
        <v>15810.612886984527</v>
      </c>
      <c r="Z203" s="295">
        <f t="shared" si="48"/>
        <v>15810.612886984527</v>
      </c>
      <c r="AA203" s="295">
        <f t="shared" si="48"/>
        <v>15810.612886984527</v>
      </c>
      <c r="AB203" s="295">
        <f t="shared" si="48"/>
        <v>15810.612886984527</v>
      </c>
      <c r="AC203" s="295">
        <f t="shared" si="48"/>
        <v>15810.612886984527</v>
      </c>
      <c r="AD203" s="295">
        <f t="shared" si="48"/>
        <v>15810.612886984527</v>
      </c>
      <c r="AE203" s="296">
        <f t="shared" si="48"/>
        <v>15810.612886984527</v>
      </c>
      <c r="AG203" s="1711"/>
      <c r="AH203" s="116">
        <v>14</v>
      </c>
      <c r="AI203" s="294">
        <f>'FREH LGV vkm'!C203*'FREH Stock'!C302</f>
        <v>47921967.660450101</v>
      </c>
      <c r="AJ203" s="295">
        <f>'FREH LGV vkm'!D203*'FREH Stock'!D302</f>
        <v>27275811.373510182</v>
      </c>
      <c r="AK203" s="295">
        <f>'FREH LGV vkm'!E203*'FREH Stock'!E302</f>
        <v>21568483.871515058</v>
      </c>
      <c r="AL203" s="295">
        <f>'FREH LGV vkm'!F203*'FREH Stock'!F302</f>
        <v>16687421.466084946</v>
      </c>
      <c r="AM203" s="295">
        <f>'FREH LGV vkm'!G203*'FREH Stock'!G302</f>
        <v>15131938.067551829</v>
      </c>
      <c r="AN203" s="295">
        <f>'FREH LGV vkm'!H203*'FREH Stock'!H302</f>
        <v>14758619.828799058</v>
      </c>
      <c r="AO203" s="295">
        <f>'FREH LGV vkm'!I203*'FREH Stock'!I302</f>
        <v>12179249.650337111</v>
      </c>
      <c r="AP203" s="295">
        <f>'FREH LGV vkm'!J203*'FREH Stock'!J302</f>
        <v>15841226.671668865</v>
      </c>
      <c r="AQ203" s="295">
        <f>'FREH LGV vkm'!K203*'FREH Stock'!K302</f>
        <v>16612002.225276837</v>
      </c>
      <c r="AR203" s="295">
        <f>'FREH LGV vkm'!L203*'FREH Stock'!L302</f>
        <v>17880321.50562194</v>
      </c>
      <c r="AS203" s="295">
        <f>'FREH LGV vkm'!M203*'FREH Stock'!M302</f>
        <v>12422844.974577403</v>
      </c>
      <c r="AT203" s="295">
        <f>'FREH LGV vkm'!N203*'FREH Stock'!N302</f>
        <v>5131151.7946365615</v>
      </c>
      <c r="AU203" s="295">
        <f>'FREH LGV vkm'!O203*'FREH Stock'!O302</f>
        <v>4127873.2970114206</v>
      </c>
      <c r="AV203" s="295">
        <f>'FREH LGV vkm'!P203*'FREH Stock'!P302</f>
        <v>3685047.450996228</v>
      </c>
      <c r="AW203" s="295">
        <f>'FREH LGV vkm'!Q203*'FREH Stock'!Q302</f>
        <v>3280353.0837994851</v>
      </c>
      <c r="AX203" s="295">
        <f>'FREH LGV vkm'!R203*'FREH Stock'!R302</f>
        <v>0</v>
      </c>
      <c r="AY203" s="295">
        <f>'FREH LGV vkm'!S203*'FREH Stock'!S302</f>
        <v>0</v>
      </c>
      <c r="AZ203" s="295">
        <f>'FREH LGV vkm'!T203*'FREH Stock'!T302</f>
        <v>0</v>
      </c>
      <c r="BA203" s="295">
        <f>'FREH LGV vkm'!U203*'FREH Stock'!U302</f>
        <v>0</v>
      </c>
      <c r="BB203" s="295">
        <f>'FREH LGV vkm'!V203*'FREH Stock'!V302</f>
        <v>0</v>
      </c>
      <c r="BC203" s="295">
        <f>'FREH LGV vkm'!W203*'FREH Stock'!W302</f>
        <v>0</v>
      </c>
      <c r="BD203" s="295">
        <f>'FREH LGV vkm'!X203*'FREH Stock'!X302</f>
        <v>0</v>
      </c>
      <c r="BE203" s="295">
        <f>'FREH LGV vkm'!Y203*'FREH Stock'!Y302</f>
        <v>0</v>
      </c>
      <c r="BF203" s="295">
        <f>'FREH LGV vkm'!Z203*'FREH Stock'!Z302</f>
        <v>0</v>
      </c>
      <c r="BG203" s="295">
        <f>'FREH LGV vkm'!AA203*'FREH Stock'!AA302</f>
        <v>0</v>
      </c>
      <c r="BH203" s="295">
        <f>'FREH LGV vkm'!AB203*'FREH Stock'!AB302</f>
        <v>0</v>
      </c>
      <c r="BI203" s="295">
        <f>'FREH LGV vkm'!AC203*'FREH Stock'!AC302</f>
        <v>0</v>
      </c>
      <c r="BJ203" s="295">
        <f>'FREH LGV vkm'!AD203*'FREH Stock'!AD302</f>
        <v>0</v>
      </c>
      <c r="BK203" s="296">
        <f>'FREH LGV vkm'!AE203*'FREH Stock'!AE302</f>
        <v>0</v>
      </c>
    </row>
    <row r="204" spans="1:63">
      <c r="A204" s="1711"/>
      <c r="B204" s="116">
        <v>15</v>
      </c>
      <c r="C204" s="294">
        <f t="shared" si="49"/>
        <v>15810.612886984527</v>
      </c>
      <c r="D204" s="295">
        <f t="shared" si="49"/>
        <v>15810.612886984527</v>
      </c>
      <c r="E204" s="295">
        <f t="shared" si="48"/>
        <v>15810.612886984527</v>
      </c>
      <c r="F204" s="295">
        <f t="shared" si="48"/>
        <v>15810.612886984527</v>
      </c>
      <c r="G204" s="295">
        <f t="shared" si="48"/>
        <v>15810.612886984527</v>
      </c>
      <c r="H204" s="295">
        <f t="shared" si="48"/>
        <v>15810.612886984527</v>
      </c>
      <c r="I204" s="295">
        <f t="shared" si="48"/>
        <v>15810.612886984527</v>
      </c>
      <c r="J204" s="295">
        <f t="shared" si="48"/>
        <v>15810.612886984527</v>
      </c>
      <c r="K204" s="295">
        <f t="shared" si="48"/>
        <v>15810.612886984527</v>
      </c>
      <c r="L204" s="295">
        <f t="shared" si="48"/>
        <v>15810.612886984527</v>
      </c>
      <c r="M204" s="295">
        <f t="shared" si="48"/>
        <v>15810.612886984527</v>
      </c>
      <c r="N204" s="295">
        <f t="shared" si="48"/>
        <v>15810.612886984527</v>
      </c>
      <c r="O204" s="295">
        <f t="shared" si="48"/>
        <v>15810.612886984527</v>
      </c>
      <c r="P204" s="295">
        <f t="shared" si="48"/>
        <v>15810.612886984527</v>
      </c>
      <c r="Q204" s="295">
        <f t="shared" si="48"/>
        <v>15810.612886984527</v>
      </c>
      <c r="R204" s="295">
        <f t="shared" si="48"/>
        <v>15810.612886984527</v>
      </c>
      <c r="S204" s="295">
        <f t="shared" si="48"/>
        <v>15810.612886984527</v>
      </c>
      <c r="T204" s="295">
        <f t="shared" si="48"/>
        <v>15810.612886984527</v>
      </c>
      <c r="U204" s="295">
        <f t="shared" si="48"/>
        <v>15810.612886984527</v>
      </c>
      <c r="V204" s="295">
        <f t="shared" si="48"/>
        <v>15810.612886984527</v>
      </c>
      <c r="W204" s="295">
        <f t="shared" si="48"/>
        <v>15810.612886984527</v>
      </c>
      <c r="X204" s="295">
        <f t="shared" si="48"/>
        <v>15810.612886984527</v>
      </c>
      <c r="Y204" s="295">
        <f t="shared" si="48"/>
        <v>15810.612886984527</v>
      </c>
      <c r="Z204" s="295">
        <f t="shared" si="48"/>
        <v>15810.612886984527</v>
      </c>
      <c r="AA204" s="295">
        <f t="shared" si="48"/>
        <v>15810.612886984527</v>
      </c>
      <c r="AB204" s="295">
        <f t="shared" si="48"/>
        <v>15810.612886984527</v>
      </c>
      <c r="AC204" s="295">
        <f t="shared" si="48"/>
        <v>15810.612886984527</v>
      </c>
      <c r="AD204" s="295">
        <f t="shared" si="48"/>
        <v>15810.612886984527</v>
      </c>
      <c r="AE204" s="296">
        <f t="shared" si="48"/>
        <v>15810.612886984527</v>
      </c>
      <c r="AG204" s="1711"/>
      <c r="AH204" s="116">
        <v>15</v>
      </c>
      <c r="AI204" s="294">
        <f>'FREH LGV vkm'!C204*'FREH Stock'!C303</f>
        <v>27115201.101178464</v>
      </c>
      <c r="AJ204" s="295">
        <f>'FREH LGV vkm'!D204*'FREH Stock'!D303</f>
        <v>21055795.285225589</v>
      </c>
      <c r="AK204" s="295">
        <f>'FREH LGV vkm'!E204*'FREH Stock'!E303</f>
        <v>11984355.579644494</v>
      </c>
      <c r="AL204" s="295">
        <f>'FREH LGV vkm'!F204*'FREH Stock'!F303</f>
        <v>9476688.9420968629</v>
      </c>
      <c r="AM204" s="295">
        <f>'FREH LGV vkm'!G204*'FREH Stock'!G303</f>
        <v>7332063.9235384753</v>
      </c>
      <c r="AN204" s="295">
        <f>'FREH LGV vkm'!H204*'FREH Stock'!H303</f>
        <v>6648620.7844515461</v>
      </c>
      <c r="AO204" s="295">
        <f>'FREH LGV vkm'!I204*'FREH Stock'!I303</f>
        <v>6484593.4542902568</v>
      </c>
      <c r="AP204" s="295">
        <f>'FREH LGV vkm'!J204*'FREH Stock'!J303</f>
        <v>5351278.3361104773</v>
      </c>
      <c r="AQ204" s="295">
        <f>'FREH LGV vkm'!K204*'FREH Stock'!K303</f>
        <v>6960265.6599760801</v>
      </c>
      <c r="AR204" s="295">
        <f>'FREH LGV vkm'!L204*'FREH Stock'!L303</f>
        <v>7298926.4675334431</v>
      </c>
      <c r="AS204" s="295">
        <f>'FREH LGV vkm'!M204*'FREH Stock'!M303</f>
        <v>7856196.3883445431</v>
      </c>
      <c r="AT204" s="295">
        <f>'FREH LGV vkm'!N204*'FREH Stock'!N303</f>
        <v>5458308.4421358351</v>
      </c>
      <c r="AU204" s="295">
        <f>'FREH LGV vkm'!O204*'FREH Stock'!O303</f>
        <v>2254508.4653201941</v>
      </c>
      <c r="AV204" s="295">
        <f>'FREH LGV vkm'!P204*'FREH Stock'!P303</f>
        <v>1813691.2849877195</v>
      </c>
      <c r="AW204" s="295">
        <f>'FREH LGV vkm'!Q204*'FREH Stock'!Q303</f>
        <v>1619123.9327711316</v>
      </c>
      <c r="AX204" s="295">
        <f>'FREH LGV vkm'!R204*'FREH Stock'!R303</f>
        <v>1441310.6633086794</v>
      </c>
      <c r="AY204" s="295">
        <f>'FREH LGV vkm'!S204*'FREH Stock'!S303</f>
        <v>0</v>
      </c>
      <c r="AZ204" s="295">
        <f>'FREH LGV vkm'!T204*'FREH Stock'!T303</f>
        <v>0</v>
      </c>
      <c r="BA204" s="295">
        <f>'FREH LGV vkm'!U204*'FREH Stock'!U303</f>
        <v>0</v>
      </c>
      <c r="BB204" s="295">
        <f>'FREH LGV vkm'!V204*'FREH Stock'!V303</f>
        <v>0</v>
      </c>
      <c r="BC204" s="295">
        <f>'FREH LGV vkm'!W204*'FREH Stock'!W303</f>
        <v>0</v>
      </c>
      <c r="BD204" s="295">
        <f>'FREH LGV vkm'!X204*'FREH Stock'!X303</f>
        <v>0</v>
      </c>
      <c r="BE204" s="295">
        <f>'FREH LGV vkm'!Y204*'FREH Stock'!Y303</f>
        <v>0</v>
      </c>
      <c r="BF204" s="295">
        <f>'FREH LGV vkm'!Z204*'FREH Stock'!Z303</f>
        <v>0</v>
      </c>
      <c r="BG204" s="295">
        <f>'FREH LGV vkm'!AA204*'FREH Stock'!AA303</f>
        <v>0</v>
      </c>
      <c r="BH204" s="295">
        <f>'FREH LGV vkm'!AB204*'FREH Stock'!AB303</f>
        <v>0</v>
      </c>
      <c r="BI204" s="295">
        <f>'FREH LGV vkm'!AC204*'FREH Stock'!AC303</f>
        <v>0</v>
      </c>
      <c r="BJ204" s="295">
        <f>'FREH LGV vkm'!AD204*'FREH Stock'!AD303</f>
        <v>0</v>
      </c>
      <c r="BK204" s="296">
        <f>'FREH LGV vkm'!AE204*'FREH Stock'!AE303</f>
        <v>0</v>
      </c>
    </row>
    <row r="205" spans="1:63">
      <c r="A205" s="1711"/>
      <c r="B205" s="116">
        <v>16</v>
      </c>
      <c r="C205" s="294">
        <f t="shared" si="49"/>
        <v>15810.612886984527</v>
      </c>
      <c r="D205" s="295">
        <f t="shared" si="49"/>
        <v>15810.612886984527</v>
      </c>
      <c r="E205" s="295">
        <f t="shared" si="48"/>
        <v>15810.612886984527</v>
      </c>
      <c r="F205" s="295">
        <f t="shared" si="48"/>
        <v>15810.612886984527</v>
      </c>
      <c r="G205" s="295">
        <f t="shared" si="48"/>
        <v>15810.612886984527</v>
      </c>
      <c r="H205" s="295">
        <f t="shared" si="48"/>
        <v>15810.612886984527</v>
      </c>
      <c r="I205" s="295">
        <f t="shared" si="48"/>
        <v>15810.612886984527</v>
      </c>
      <c r="J205" s="295">
        <f t="shared" si="48"/>
        <v>15810.612886984527</v>
      </c>
      <c r="K205" s="295">
        <f t="shared" si="48"/>
        <v>15810.612886984527</v>
      </c>
      <c r="L205" s="295">
        <f t="shared" si="48"/>
        <v>15810.612886984527</v>
      </c>
      <c r="M205" s="295">
        <f t="shared" si="48"/>
        <v>15810.612886984527</v>
      </c>
      <c r="N205" s="295">
        <f t="shared" si="48"/>
        <v>15810.612886984527</v>
      </c>
      <c r="O205" s="295">
        <f t="shared" si="48"/>
        <v>15810.612886984527</v>
      </c>
      <c r="P205" s="295">
        <f t="shared" si="48"/>
        <v>15810.612886984527</v>
      </c>
      <c r="Q205" s="295">
        <f t="shared" ref="E205:AE214" si="50">Q204</f>
        <v>15810.612886984527</v>
      </c>
      <c r="R205" s="295">
        <f t="shared" si="50"/>
        <v>15810.612886984527</v>
      </c>
      <c r="S205" s="295">
        <f t="shared" si="50"/>
        <v>15810.612886984527</v>
      </c>
      <c r="T205" s="295">
        <f t="shared" si="50"/>
        <v>15810.612886984527</v>
      </c>
      <c r="U205" s="295">
        <f t="shared" si="50"/>
        <v>15810.612886984527</v>
      </c>
      <c r="V205" s="295">
        <f t="shared" si="50"/>
        <v>15810.612886984527</v>
      </c>
      <c r="W205" s="295">
        <f t="shared" si="50"/>
        <v>15810.612886984527</v>
      </c>
      <c r="X205" s="295">
        <f t="shared" si="50"/>
        <v>15810.612886984527</v>
      </c>
      <c r="Y205" s="295">
        <f t="shared" si="50"/>
        <v>15810.612886984527</v>
      </c>
      <c r="Z205" s="295">
        <f t="shared" si="50"/>
        <v>15810.612886984527</v>
      </c>
      <c r="AA205" s="295">
        <f t="shared" si="50"/>
        <v>15810.612886984527</v>
      </c>
      <c r="AB205" s="295">
        <f t="shared" si="50"/>
        <v>15810.612886984527</v>
      </c>
      <c r="AC205" s="295">
        <f t="shared" si="50"/>
        <v>15810.612886984527</v>
      </c>
      <c r="AD205" s="295">
        <f t="shared" si="50"/>
        <v>15810.612886984527</v>
      </c>
      <c r="AE205" s="296">
        <f t="shared" si="50"/>
        <v>15810.612886984527</v>
      </c>
      <c r="AG205" s="1711"/>
      <c r="AH205" s="116">
        <v>16</v>
      </c>
      <c r="AI205" s="294">
        <f>'FREH LGV vkm'!C205*'FREH Stock'!C304</f>
        <v>14071445.469416229</v>
      </c>
      <c r="AJ205" s="295">
        <f>'FREH LGV vkm'!D205*'FREH Stock'!D304</f>
        <v>10722408.45356176</v>
      </c>
      <c r="AK205" s="295">
        <f>'FREH LGV vkm'!E205*'FREH Stock'!E304</f>
        <v>8326282.9775935709</v>
      </c>
      <c r="AL205" s="295">
        <f>'FREH LGV vkm'!F205*'FREH Stock'!F304</f>
        <v>4739081.7828780683</v>
      </c>
      <c r="AM205" s="295">
        <f>'FREH LGV vkm'!G205*'FREH Stock'!G304</f>
        <v>3747452.5542094694</v>
      </c>
      <c r="AN205" s="295">
        <f>'FREH LGV vkm'!H205*'FREH Stock'!H304</f>
        <v>2899384.1462745904</v>
      </c>
      <c r="AO205" s="295">
        <f>'FREH LGV vkm'!I205*'FREH Stock'!I304</f>
        <v>2629124.0635730103</v>
      </c>
      <c r="AP205" s="295">
        <f>'FREH LGV vkm'!J205*'FREH Stock'!J304</f>
        <v>2564261.2574675395</v>
      </c>
      <c r="AQ205" s="295">
        <f>'FREH LGV vkm'!K205*'FREH Stock'!K304</f>
        <v>2116104.2418372161</v>
      </c>
      <c r="AR205" s="295">
        <f>'FREH LGV vkm'!L205*'FREH Stock'!L304</f>
        <v>2752360.606623699</v>
      </c>
      <c r="AS205" s="295">
        <f>'FREH LGV vkm'!M205*'FREH Stock'!M304</f>
        <v>2886280.3032652005</v>
      </c>
      <c r="AT205" s="295">
        <f>'FREH LGV vkm'!N205*'FREH Stock'!N304</f>
        <v>3106646.5726328627</v>
      </c>
      <c r="AU205" s="295">
        <f>'FREH LGV vkm'!O205*'FREH Stock'!O304</f>
        <v>2158428.1216915324</v>
      </c>
      <c r="AV205" s="295">
        <f>'FREH LGV vkm'!P205*'FREH Stock'!P304</f>
        <v>891520.61004353676</v>
      </c>
      <c r="AW205" s="295">
        <f>'FREH LGV vkm'!Q205*'FREH Stock'!Q304</f>
        <v>717204.29783050413</v>
      </c>
      <c r="AX205" s="295">
        <f>'FREH LGV vkm'!R205*'FREH Stock'!R304</f>
        <v>640264.77544195007</v>
      </c>
      <c r="AY205" s="295">
        <f>'FREH LGV vkm'!S205*'FREH Stock'!S304</f>
        <v>569950.47105876065</v>
      </c>
      <c r="AZ205" s="295">
        <f>'FREH LGV vkm'!T205*'FREH Stock'!T304</f>
        <v>0</v>
      </c>
      <c r="BA205" s="295">
        <f>'FREH LGV vkm'!U205*'FREH Stock'!U304</f>
        <v>0</v>
      </c>
      <c r="BB205" s="295">
        <f>'FREH LGV vkm'!V205*'FREH Stock'!V304</f>
        <v>0</v>
      </c>
      <c r="BC205" s="295">
        <f>'FREH LGV vkm'!W205*'FREH Stock'!W304</f>
        <v>0</v>
      </c>
      <c r="BD205" s="295">
        <f>'FREH LGV vkm'!X205*'FREH Stock'!X304</f>
        <v>0</v>
      </c>
      <c r="BE205" s="295">
        <f>'FREH LGV vkm'!Y205*'FREH Stock'!Y304</f>
        <v>0</v>
      </c>
      <c r="BF205" s="295">
        <f>'FREH LGV vkm'!Z205*'FREH Stock'!Z304</f>
        <v>0</v>
      </c>
      <c r="BG205" s="295">
        <f>'FREH LGV vkm'!AA205*'FREH Stock'!AA304</f>
        <v>0</v>
      </c>
      <c r="BH205" s="295">
        <f>'FREH LGV vkm'!AB205*'FREH Stock'!AB304</f>
        <v>0</v>
      </c>
      <c r="BI205" s="295">
        <f>'FREH LGV vkm'!AC205*'FREH Stock'!AC304</f>
        <v>0</v>
      </c>
      <c r="BJ205" s="295">
        <f>'FREH LGV vkm'!AD205*'FREH Stock'!AD304</f>
        <v>0</v>
      </c>
      <c r="BK205" s="296">
        <f>'FREH LGV vkm'!AE205*'FREH Stock'!AE304</f>
        <v>0</v>
      </c>
    </row>
    <row r="206" spans="1:63">
      <c r="A206" s="1711"/>
      <c r="B206" s="116">
        <v>17</v>
      </c>
      <c r="C206" s="294">
        <f t="shared" si="49"/>
        <v>15810.612886984527</v>
      </c>
      <c r="D206" s="295">
        <f t="shared" si="49"/>
        <v>15810.612886984527</v>
      </c>
      <c r="E206" s="295">
        <f t="shared" si="50"/>
        <v>15810.612886984527</v>
      </c>
      <c r="F206" s="295">
        <f t="shared" si="50"/>
        <v>15810.612886984527</v>
      </c>
      <c r="G206" s="295">
        <f t="shared" si="50"/>
        <v>15810.612886984527</v>
      </c>
      <c r="H206" s="295">
        <f t="shared" si="50"/>
        <v>15810.612886984527</v>
      </c>
      <c r="I206" s="295">
        <f t="shared" si="50"/>
        <v>15810.612886984527</v>
      </c>
      <c r="J206" s="295">
        <f t="shared" si="50"/>
        <v>15810.612886984527</v>
      </c>
      <c r="K206" s="295">
        <f t="shared" si="50"/>
        <v>15810.612886984527</v>
      </c>
      <c r="L206" s="295">
        <f t="shared" si="50"/>
        <v>15810.612886984527</v>
      </c>
      <c r="M206" s="295">
        <f t="shared" si="50"/>
        <v>15810.612886984527</v>
      </c>
      <c r="N206" s="295">
        <f t="shared" si="50"/>
        <v>15810.612886984527</v>
      </c>
      <c r="O206" s="295">
        <f t="shared" si="50"/>
        <v>15810.612886984527</v>
      </c>
      <c r="P206" s="295">
        <f t="shared" si="50"/>
        <v>15810.612886984527</v>
      </c>
      <c r="Q206" s="295">
        <f t="shared" si="50"/>
        <v>15810.612886984527</v>
      </c>
      <c r="R206" s="295">
        <f t="shared" si="50"/>
        <v>15810.612886984527</v>
      </c>
      <c r="S206" s="295">
        <f t="shared" si="50"/>
        <v>15810.612886984527</v>
      </c>
      <c r="T206" s="295">
        <f t="shared" si="50"/>
        <v>15810.612886984527</v>
      </c>
      <c r="U206" s="295">
        <f t="shared" si="50"/>
        <v>15810.612886984527</v>
      </c>
      <c r="V206" s="295">
        <f t="shared" si="50"/>
        <v>15810.612886984527</v>
      </c>
      <c r="W206" s="295">
        <f t="shared" si="50"/>
        <v>15810.612886984527</v>
      </c>
      <c r="X206" s="295">
        <f t="shared" si="50"/>
        <v>15810.612886984527</v>
      </c>
      <c r="Y206" s="295">
        <f t="shared" si="50"/>
        <v>15810.612886984527</v>
      </c>
      <c r="Z206" s="295">
        <f t="shared" si="50"/>
        <v>15810.612886984527</v>
      </c>
      <c r="AA206" s="295">
        <f t="shared" si="50"/>
        <v>15810.612886984527</v>
      </c>
      <c r="AB206" s="295">
        <f t="shared" si="50"/>
        <v>15810.612886984527</v>
      </c>
      <c r="AC206" s="295">
        <f t="shared" si="50"/>
        <v>15810.612886984527</v>
      </c>
      <c r="AD206" s="295">
        <f t="shared" si="50"/>
        <v>15810.612886984527</v>
      </c>
      <c r="AE206" s="296">
        <f t="shared" si="50"/>
        <v>15810.612886984527</v>
      </c>
      <c r="AG206" s="1711"/>
      <c r="AH206" s="116">
        <v>17</v>
      </c>
      <c r="AI206" s="294">
        <f>'FREH LGV vkm'!C206*'FREH Stock'!C305</f>
        <v>9470557.1193037312</v>
      </c>
      <c r="AJ206" s="295">
        <f>'FREH LGV vkm'!D206*'FREH Stock'!D305</f>
        <v>4946132.0498451404</v>
      </c>
      <c r="AK206" s="295">
        <f>'FREH LGV vkm'!E206*'FREH Stock'!E305</f>
        <v>3768941.0244996306</v>
      </c>
      <c r="AL206" s="295">
        <f>'FREH LGV vkm'!F206*'FREH Stock'!F305</f>
        <v>2926699.6898836796</v>
      </c>
      <c r="AM206" s="295">
        <f>'FREH LGV vkm'!G206*'FREH Stock'!G305</f>
        <v>1665793.6346395053</v>
      </c>
      <c r="AN206" s="295">
        <f>'FREH LGV vkm'!H206*'FREH Stock'!H305</f>
        <v>1317234.6241141672</v>
      </c>
      <c r="AO206" s="295">
        <f>'FREH LGV vkm'!I206*'FREH Stock'!I305</f>
        <v>1019137.4355868917</v>
      </c>
      <c r="AP206" s="295">
        <f>'FREH LGV vkm'!J206*'FREH Stock'!J305</f>
        <v>924140.65222519333</v>
      </c>
      <c r="AQ206" s="295">
        <f>'FREH LGV vkm'!K206*'FREH Stock'!K305</f>
        <v>901341.28844849754</v>
      </c>
      <c r="AR206" s="295">
        <f>'FREH LGV vkm'!L206*'FREH Stock'!L305</f>
        <v>743813.49336945708</v>
      </c>
      <c r="AS206" s="295">
        <f>'FREH LGV vkm'!M206*'FREH Stock'!M305</f>
        <v>967458.46322193532</v>
      </c>
      <c r="AT206" s="295">
        <f>'FREH LGV vkm'!N206*'FREH Stock'!N305</f>
        <v>1014531.4171060077</v>
      </c>
      <c r="AU206" s="295">
        <f>'FREH LGV vkm'!O206*'FREH Stock'!O305</f>
        <v>1091990.4578273885</v>
      </c>
      <c r="AV206" s="295">
        <f>'FREH LGV vkm'!P206*'FREH Stock'!P305</f>
        <v>758690.39418794238</v>
      </c>
      <c r="AW206" s="295">
        <f>'FREH LGV vkm'!Q206*'FREH Stock'!Q305</f>
        <v>313370.69613906299</v>
      </c>
      <c r="AX206" s="295">
        <f>'FREH LGV vkm'!R206*'FREH Stock'!R305</f>
        <v>252098.27742972475</v>
      </c>
      <c r="AY206" s="295">
        <f>'FREH LGV vkm'!S206*'FREH Stock'!S305</f>
        <v>225053.93160093811</v>
      </c>
      <c r="AZ206" s="295">
        <f>'FREH LGV vkm'!T206*'FREH Stock'!T305</f>
        <v>200338.35883137758</v>
      </c>
      <c r="BA206" s="295">
        <f>'FREH LGV vkm'!U206*'FREH Stock'!U305</f>
        <v>0</v>
      </c>
      <c r="BB206" s="295">
        <f>'FREH LGV vkm'!V206*'FREH Stock'!V305</f>
        <v>0</v>
      </c>
      <c r="BC206" s="295">
        <f>'FREH LGV vkm'!W206*'FREH Stock'!W305</f>
        <v>0</v>
      </c>
      <c r="BD206" s="295">
        <f>'FREH LGV vkm'!X206*'FREH Stock'!X305</f>
        <v>0</v>
      </c>
      <c r="BE206" s="295">
        <f>'FREH LGV vkm'!Y206*'FREH Stock'!Y305</f>
        <v>0</v>
      </c>
      <c r="BF206" s="295">
        <f>'FREH LGV vkm'!Z206*'FREH Stock'!Z305</f>
        <v>0</v>
      </c>
      <c r="BG206" s="295">
        <f>'FREH LGV vkm'!AA206*'FREH Stock'!AA305</f>
        <v>0</v>
      </c>
      <c r="BH206" s="295">
        <f>'FREH LGV vkm'!AB206*'FREH Stock'!AB305</f>
        <v>0</v>
      </c>
      <c r="BI206" s="295">
        <f>'FREH LGV vkm'!AC206*'FREH Stock'!AC305</f>
        <v>0</v>
      </c>
      <c r="BJ206" s="295">
        <f>'FREH LGV vkm'!AD206*'FREH Stock'!AD305</f>
        <v>0</v>
      </c>
      <c r="BK206" s="296">
        <f>'FREH LGV vkm'!AE206*'FREH Stock'!AE305</f>
        <v>0</v>
      </c>
    </row>
    <row r="207" spans="1:63">
      <c r="A207" s="1711"/>
      <c r="B207" s="116">
        <v>18</v>
      </c>
      <c r="C207" s="294">
        <f t="shared" si="49"/>
        <v>15810.612886984527</v>
      </c>
      <c r="D207" s="295">
        <f t="shared" si="49"/>
        <v>15810.612886984527</v>
      </c>
      <c r="E207" s="295">
        <f t="shared" si="50"/>
        <v>15810.612886984527</v>
      </c>
      <c r="F207" s="295">
        <f t="shared" si="50"/>
        <v>15810.612886984527</v>
      </c>
      <c r="G207" s="295">
        <f t="shared" si="50"/>
        <v>15810.612886984527</v>
      </c>
      <c r="H207" s="295">
        <f t="shared" si="50"/>
        <v>15810.612886984527</v>
      </c>
      <c r="I207" s="295">
        <f t="shared" si="50"/>
        <v>15810.612886984527</v>
      </c>
      <c r="J207" s="295">
        <f t="shared" si="50"/>
        <v>15810.612886984527</v>
      </c>
      <c r="K207" s="295">
        <f t="shared" si="50"/>
        <v>15810.612886984527</v>
      </c>
      <c r="L207" s="295">
        <f t="shared" si="50"/>
        <v>15810.612886984527</v>
      </c>
      <c r="M207" s="295">
        <f t="shared" si="50"/>
        <v>15810.612886984527</v>
      </c>
      <c r="N207" s="295">
        <f t="shared" si="50"/>
        <v>15810.612886984527</v>
      </c>
      <c r="O207" s="295">
        <f t="shared" si="50"/>
        <v>15810.612886984527</v>
      </c>
      <c r="P207" s="295">
        <f t="shared" si="50"/>
        <v>15810.612886984527</v>
      </c>
      <c r="Q207" s="295">
        <f t="shared" si="50"/>
        <v>15810.612886984527</v>
      </c>
      <c r="R207" s="295">
        <f t="shared" si="50"/>
        <v>15810.612886984527</v>
      </c>
      <c r="S207" s="295">
        <f t="shared" si="50"/>
        <v>15810.612886984527</v>
      </c>
      <c r="T207" s="295">
        <f t="shared" si="50"/>
        <v>15810.612886984527</v>
      </c>
      <c r="U207" s="295">
        <f t="shared" si="50"/>
        <v>15810.612886984527</v>
      </c>
      <c r="V207" s="295">
        <f t="shared" si="50"/>
        <v>15810.612886984527</v>
      </c>
      <c r="W207" s="295">
        <f t="shared" si="50"/>
        <v>15810.612886984527</v>
      </c>
      <c r="X207" s="295">
        <f t="shared" si="50"/>
        <v>15810.612886984527</v>
      </c>
      <c r="Y207" s="295">
        <f t="shared" si="50"/>
        <v>15810.612886984527</v>
      </c>
      <c r="Z207" s="295">
        <f t="shared" si="50"/>
        <v>15810.612886984527</v>
      </c>
      <c r="AA207" s="295">
        <f t="shared" si="50"/>
        <v>15810.612886984527</v>
      </c>
      <c r="AB207" s="295">
        <f t="shared" si="50"/>
        <v>15810.612886984527</v>
      </c>
      <c r="AC207" s="295">
        <f t="shared" si="50"/>
        <v>15810.612886984527</v>
      </c>
      <c r="AD207" s="295">
        <f t="shared" si="50"/>
        <v>15810.612886984527</v>
      </c>
      <c r="AE207" s="296">
        <f t="shared" si="50"/>
        <v>15810.612886984527</v>
      </c>
      <c r="AG207" s="1711"/>
      <c r="AH207" s="116">
        <v>18</v>
      </c>
      <c r="AI207" s="294">
        <f>'FREH LGV vkm'!C207*'FREH Stock'!C306</f>
        <v>5423040.2202356923</v>
      </c>
      <c r="AJ207" s="295">
        <f>'FREH LGV vkm'!D207*'FREH Stock'!D306</f>
        <v>2912799.3939607688</v>
      </c>
      <c r="AK207" s="295">
        <f>'FREH LGV vkm'!E207*'FREH Stock'!E306</f>
        <v>1521250.5722470165</v>
      </c>
      <c r="AL207" s="295">
        <f>'FREH LGV vkm'!F207*'FREH Stock'!F306</f>
        <v>1159189.3690878777</v>
      </c>
      <c r="AM207" s="295">
        <f>'FREH LGV vkm'!G207*'FREH Stock'!G306</f>
        <v>900146.52523684851</v>
      </c>
      <c r="AN207" s="295">
        <f>'FREH LGV vkm'!H207*'FREH Stock'!H306</f>
        <v>512337.61945763772</v>
      </c>
      <c r="AO207" s="295">
        <f>'FREH LGV vkm'!I207*'FREH Stock'!I306</f>
        <v>405133.52767846134</v>
      </c>
      <c r="AP207" s="295">
        <f>'FREH LGV vkm'!J207*'FREH Stock'!J306</f>
        <v>313449.65954426082</v>
      </c>
      <c r="AQ207" s="295">
        <f>'FREH LGV vkm'!K207*'FREH Stock'!K306</f>
        <v>284232.09931856202</v>
      </c>
      <c r="AR207" s="295">
        <f>'FREH LGV vkm'!L207*'FREH Stock'!L306</f>
        <v>277219.84310650791</v>
      </c>
      <c r="AS207" s="295">
        <f>'FREH LGV vkm'!M207*'FREH Stock'!M306</f>
        <v>228770.01483791083</v>
      </c>
      <c r="AT207" s="295">
        <f>'FREH LGV vkm'!N207*'FREH Stock'!N306</f>
        <v>297555.08465401118</v>
      </c>
      <c r="AU207" s="295">
        <f>'FREH LGV vkm'!O207*'FREH Stock'!O306</f>
        <v>312033.01555271097</v>
      </c>
      <c r="AV207" s="295">
        <f>'FREH LGV vkm'!P207*'FREH Stock'!P306</f>
        <v>335856.60312288004</v>
      </c>
      <c r="AW207" s="295">
        <f>'FREH LGV vkm'!Q207*'FREH Stock'!Q306</f>
        <v>233345.60919230973</v>
      </c>
      <c r="AX207" s="295">
        <f>'FREH LGV vkm'!R207*'FREH Stock'!R306</f>
        <v>96381.444333238367</v>
      </c>
      <c r="AY207" s="295">
        <f>'FREH LGV vkm'!S207*'FREH Stock'!S306</f>
        <v>77536.273786799356</v>
      </c>
      <c r="AZ207" s="295">
        <f>'FREH LGV vkm'!T207*'FREH Stock'!T306</f>
        <v>69218.415275646999</v>
      </c>
      <c r="BA207" s="295">
        <f>'FREH LGV vkm'!U207*'FREH Stock'!U306</f>
        <v>61616.802775171214</v>
      </c>
      <c r="BB207" s="295">
        <f>'FREH LGV vkm'!V207*'FREH Stock'!V306</f>
        <v>0</v>
      </c>
      <c r="BC207" s="295">
        <f>'FREH LGV vkm'!W207*'FREH Stock'!W306</f>
        <v>0</v>
      </c>
      <c r="BD207" s="295">
        <f>'FREH LGV vkm'!X207*'FREH Stock'!X306</f>
        <v>0</v>
      </c>
      <c r="BE207" s="295">
        <f>'FREH LGV vkm'!Y207*'FREH Stock'!Y306</f>
        <v>0</v>
      </c>
      <c r="BF207" s="295">
        <f>'FREH LGV vkm'!Z207*'FREH Stock'!Z306</f>
        <v>0</v>
      </c>
      <c r="BG207" s="295">
        <f>'FREH LGV vkm'!AA207*'FREH Stock'!AA306</f>
        <v>0</v>
      </c>
      <c r="BH207" s="295">
        <f>'FREH LGV vkm'!AB207*'FREH Stock'!AB306</f>
        <v>0</v>
      </c>
      <c r="BI207" s="295">
        <f>'FREH LGV vkm'!AC207*'FREH Stock'!AC306</f>
        <v>0</v>
      </c>
      <c r="BJ207" s="295">
        <f>'FREH LGV vkm'!AD207*'FREH Stock'!AD306</f>
        <v>0</v>
      </c>
      <c r="BK207" s="296">
        <f>'FREH LGV vkm'!AE207*'FREH Stock'!AE306</f>
        <v>0</v>
      </c>
    </row>
    <row r="208" spans="1:63">
      <c r="A208" s="1711"/>
      <c r="B208" s="116">
        <v>19</v>
      </c>
      <c r="C208" s="294">
        <f t="shared" si="49"/>
        <v>15810.612886984527</v>
      </c>
      <c r="D208" s="295">
        <f t="shared" si="49"/>
        <v>15810.612886984527</v>
      </c>
      <c r="E208" s="295">
        <f t="shared" si="50"/>
        <v>15810.612886984527</v>
      </c>
      <c r="F208" s="295">
        <f t="shared" si="50"/>
        <v>15810.612886984527</v>
      </c>
      <c r="G208" s="295">
        <f t="shared" si="50"/>
        <v>15810.612886984527</v>
      </c>
      <c r="H208" s="295">
        <f t="shared" si="50"/>
        <v>15810.612886984527</v>
      </c>
      <c r="I208" s="295">
        <f t="shared" si="50"/>
        <v>15810.612886984527</v>
      </c>
      <c r="J208" s="295">
        <f t="shared" si="50"/>
        <v>15810.612886984527</v>
      </c>
      <c r="K208" s="295">
        <f t="shared" si="50"/>
        <v>15810.612886984527</v>
      </c>
      <c r="L208" s="295">
        <f t="shared" si="50"/>
        <v>15810.612886984527</v>
      </c>
      <c r="M208" s="295">
        <f t="shared" si="50"/>
        <v>15810.612886984527</v>
      </c>
      <c r="N208" s="295">
        <f t="shared" si="50"/>
        <v>15810.612886984527</v>
      </c>
      <c r="O208" s="295">
        <f t="shared" si="50"/>
        <v>15810.612886984527</v>
      </c>
      <c r="P208" s="295">
        <f t="shared" si="50"/>
        <v>15810.612886984527</v>
      </c>
      <c r="Q208" s="295">
        <f t="shared" si="50"/>
        <v>15810.612886984527</v>
      </c>
      <c r="R208" s="295">
        <f t="shared" si="50"/>
        <v>15810.612886984527</v>
      </c>
      <c r="S208" s="295">
        <f t="shared" si="50"/>
        <v>15810.612886984527</v>
      </c>
      <c r="T208" s="295">
        <f t="shared" si="50"/>
        <v>15810.612886984527</v>
      </c>
      <c r="U208" s="295">
        <f t="shared" si="50"/>
        <v>15810.612886984527</v>
      </c>
      <c r="V208" s="295">
        <f t="shared" si="50"/>
        <v>15810.612886984527</v>
      </c>
      <c r="W208" s="295">
        <f t="shared" si="50"/>
        <v>15810.612886984527</v>
      </c>
      <c r="X208" s="295">
        <f t="shared" si="50"/>
        <v>15810.612886984527</v>
      </c>
      <c r="Y208" s="295">
        <f t="shared" si="50"/>
        <v>15810.612886984527</v>
      </c>
      <c r="Z208" s="295">
        <f t="shared" si="50"/>
        <v>15810.612886984527</v>
      </c>
      <c r="AA208" s="295">
        <f t="shared" si="50"/>
        <v>15810.612886984527</v>
      </c>
      <c r="AB208" s="295">
        <f t="shared" si="50"/>
        <v>15810.612886984527</v>
      </c>
      <c r="AC208" s="295">
        <f t="shared" si="50"/>
        <v>15810.612886984527</v>
      </c>
      <c r="AD208" s="295">
        <f t="shared" si="50"/>
        <v>15810.612886984527</v>
      </c>
      <c r="AE208" s="296">
        <f t="shared" si="50"/>
        <v>15810.612886984527</v>
      </c>
      <c r="AG208" s="1711"/>
      <c r="AH208" s="116">
        <v>19</v>
      </c>
      <c r="AI208" s="294">
        <f>'FREH LGV vkm'!C208*'FREH Stock'!C307</f>
        <v>5407114.961006023</v>
      </c>
      <c r="AJ208" s="295">
        <f>'FREH LGV vkm'!D208*'FREH Stock'!D307</f>
        <v>1429654.4604749016</v>
      </c>
      <c r="AK208" s="295">
        <f>'FREH LGV vkm'!E208*'FREH Stock'!E307</f>
        <v>767889.68492356432</v>
      </c>
      <c r="AL208" s="295">
        <f>'FREH LGV vkm'!F208*'FREH Stock'!F307</f>
        <v>401041.22001485375</v>
      </c>
      <c r="AM208" s="295">
        <f>'FREH LGV vkm'!G208*'FREH Stock'!G307</f>
        <v>305592.46930673608</v>
      </c>
      <c r="AN208" s="295">
        <f>'FREH LGV vkm'!H208*'FREH Stock'!H307</f>
        <v>237302.0377174915</v>
      </c>
      <c r="AO208" s="295">
        <f>'FREH LGV vkm'!I208*'FREH Stock'!I307</f>
        <v>135065.52287655178</v>
      </c>
      <c r="AP208" s="295">
        <f>'FREH LGV vkm'!J208*'FREH Stock'!J307</f>
        <v>106803.73580343304</v>
      </c>
      <c r="AQ208" s="295">
        <f>'FREH LGV vkm'!K208*'FREH Stock'!K307</f>
        <v>82633.483378870384</v>
      </c>
      <c r="AR208" s="295">
        <f>'FREH LGV vkm'!L208*'FREH Stock'!L307</f>
        <v>74930.974526917053</v>
      </c>
      <c r="AS208" s="295">
        <f>'FREH LGV vkm'!M208*'FREH Stock'!M307</f>
        <v>73082.361393983243</v>
      </c>
      <c r="AT208" s="295">
        <f>'FREH LGV vkm'!N208*'FREH Stock'!N307</f>
        <v>60309.726436385172</v>
      </c>
      <c r="AU208" s="295">
        <f>'FREH LGV vkm'!O208*'FREH Stock'!O307</f>
        <v>78443.260004829077</v>
      </c>
      <c r="AV208" s="295">
        <f>'FREH LGV vkm'!P208*'FREH Stock'!P307</f>
        <v>82260.019174443718</v>
      </c>
      <c r="AW208" s="295">
        <f>'FREH LGV vkm'!Q208*'FREH Stock'!Q307</f>
        <v>88540.536532053564</v>
      </c>
      <c r="AX208" s="295">
        <f>'FREH LGV vkm'!R208*'FREH Stock'!R307</f>
        <v>61515.972123754575</v>
      </c>
      <c r="AY208" s="295">
        <f>'FREH LGV vkm'!S208*'FREH Stock'!S307</f>
        <v>25408.655699042371</v>
      </c>
      <c r="AZ208" s="295">
        <f>'FREH LGV vkm'!T208*'FREH Stock'!T307</f>
        <v>20440.578562237399</v>
      </c>
      <c r="BA208" s="295">
        <f>'FREH LGV vkm'!U208*'FREH Stock'!U307</f>
        <v>18247.774703306906</v>
      </c>
      <c r="BB208" s="295">
        <f>'FREH LGV vkm'!V208*'FREH Stock'!V307</f>
        <v>16243.791923028975</v>
      </c>
      <c r="BC208" s="295">
        <f>'FREH LGV vkm'!W208*'FREH Stock'!W307</f>
        <v>0</v>
      </c>
      <c r="BD208" s="295">
        <f>'FREH LGV vkm'!X208*'FREH Stock'!X307</f>
        <v>0</v>
      </c>
      <c r="BE208" s="295">
        <f>'FREH LGV vkm'!Y208*'FREH Stock'!Y307</f>
        <v>0</v>
      </c>
      <c r="BF208" s="295">
        <f>'FREH LGV vkm'!Z208*'FREH Stock'!Z307</f>
        <v>0</v>
      </c>
      <c r="BG208" s="295">
        <f>'FREH LGV vkm'!AA208*'FREH Stock'!AA307</f>
        <v>0</v>
      </c>
      <c r="BH208" s="295">
        <f>'FREH LGV vkm'!AB208*'FREH Stock'!AB307</f>
        <v>0</v>
      </c>
      <c r="BI208" s="295">
        <f>'FREH LGV vkm'!AC208*'FREH Stock'!AC307</f>
        <v>0</v>
      </c>
      <c r="BJ208" s="295">
        <f>'FREH LGV vkm'!AD208*'FREH Stock'!AD307</f>
        <v>0</v>
      </c>
      <c r="BK208" s="296">
        <f>'FREH LGV vkm'!AE208*'FREH Stock'!AE307</f>
        <v>0</v>
      </c>
    </row>
    <row r="209" spans="1:63">
      <c r="A209" s="1711"/>
      <c r="B209" s="116">
        <v>20</v>
      </c>
      <c r="C209" s="294">
        <f t="shared" si="49"/>
        <v>15810.612886984527</v>
      </c>
      <c r="D209" s="295">
        <f t="shared" si="49"/>
        <v>15810.612886984527</v>
      </c>
      <c r="E209" s="295">
        <f t="shared" si="50"/>
        <v>15810.612886984527</v>
      </c>
      <c r="F209" s="295">
        <f t="shared" si="50"/>
        <v>15810.612886984527</v>
      </c>
      <c r="G209" s="295">
        <f t="shared" si="50"/>
        <v>15810.612886984527</v>
      </c>
      <c r="H209" s="295">
        <f t="shared" si="50"/>
        <v>15810.612886984527</v>
      </c>
      <c r="I209" s="295">
        <f t="shared" si="50"/>
        <v>15810.612886984527</v>
      </c>
      <c r="J209" s="295">
        <f t="shared" si="50"/>
        <v>15810.612886984527</v>
      </c>
      <c r="K209" s="295">
        <f t="shared" si="50"/>
        <v>15810.612886984527</v>
      </c>
      <c r="L209" s="295">
        <f t="shared" si="50"/>
        <v>15810.612886984527</v>
      </c>
      <c r="M209" s="295">
        <f t="shared" si="50"/>
        <v>15810.612886984527</v>
      </c>
      <c r="N209" s="295">
        <f t="shared" si="50"/>
        <v>15810.612886984527</v>
      </c>
      <c r="O209" s="295">
        <f t="shared" si="50"/>
        <v>15810.612886984527</v>
      </c>
      <c r="P209" s="295">
        <f t="shared" si="50"/>
        <v>15810.612886984527</v>
      </c>
      <c r="Q209" s="295">
        <f t="shared" si="50"/>
        <v>15810.612886984527</v>
      </c>
      <c r="R209" s="295">
        <f t="shared" si="50"/>
        <v>15810.612886984527</v>
      </c>
      <c r="S209" s="295">
        <f t="shared" si="50"/>
        <v>15810.612886984527</v>
      </c>
      <c r="T209" s="295">
        <f t="shared" si="50"/>
        <v>15810.612886984527</v>
      </c>
      <c r="U209" s="295">
        <f t="shared" si="50"/>
        <v>15810.612886984527</v>
      </c>
      <c r="V209" s="295">
        <f t="shared" si="50"/>
        <v>15810.612886984527</v>
      </c>
      <c r="W209" s="295">
        <f t="shared" si="50"/>
        <v>15810.612886984527</v>
      </c>
      <c r="X209" s="295">
        <f t="shared" si="50"/>
        <v>15810.612886984527</v>
      </c>
      <c r="Y209" s="295">
        <f t="shared" si="50"/>
        <v>15810.612886984527</v>
      </c>
      <c r="Z209" s="295">
        <f t="shared" si="50"/>
        <v>15810.612886984527</v>
      </c>
      <c r="AA209" s="295">
        <f t="shared" si="50"/>
        <v>15810.612886984527</v>
      </c>
      <c r="AB209" s="295">
        <f t="shared" si="50"/>
        <v>15810.612886984527</v>
      </c>
      <c r="AC209" s="295">
        <f t="shared" si="50"/>
        <v>15810.612886984527</v>
      </c>
      <c r="AD209" s="295">
        <f t="shared" si="50"/>
        <v>15810.612886984527</v>
      </c>
      <c r="AE209" s="296">
        <f t="shared" si="50"/>
        <v>15810.612886984527</v>
      </c>
      <c r="AG209" s="1711"/>
      <c r="AH209" s="116">
        <v>20</v>
      </c>
      <c r="AI209" s="294">
        <f>'FREH LGV vkm'!C209*'FREH Stock'!C308</f>
        <v>1989166.4302046411</v>
      </c>
      <c r="AJ209" s="295">
        <f>'FREH LGV vkm'!D209*'FREH Stock'!D308</f>
        <v>1187880.1232590503</v>
      </c>
      <c r="AK209" s="295">
        <f>'FREH LGV vkm'!E209*'FREH Stock'!E308</f>
        <v>314078.4187083026</v>
      </c>
      <c r="AL209" s="295">
        <f>'FREH LGV vkm'!F209*'FREH Stock'!F308</f>
        <v>168696.41207085495</v>
      </c>
      <c r="AM209" s="295">
        <f>'FREH LGV vkm'!G209*'FREH Stock'!G308</f>
        <v>88104.080882084614</v>
      </c>
      <c r="AN209" s="295">
        <f>'FREH LGV vkm'!H209*'FREH Stock'!H308</f>
        <v>67135.103049405807</v>
      </c>
      <c r="AO209" s="295">
        <f>'FREH LGV vkm'!I209*'FREH Stock'!I308</f>
        <v>52132.491327876465</v>
      </c>
      <c r="AP209" s="295">
        <f>'FREH LGV vkm'!J209*'FREH Stock'!J308</f>
        <v>29672.320843867423</v>
      </c>
      <c r="AQ209" s="295">
        <f>'FREH LGV vkm'!K209*'FREH Stock'!K308</f>
        <v>23463.535686895069</v>
      </c>
      <c r="AR209" s="295">
        <f>'FREH LGV vkm'!L209*'FREH Stock'!L308</f>
        <v>18153.612994970295</v>
      </c>
      <c r="AS209" s="295">
        <f>'FREH LGV vkm'!M209*'FREH Stock'!M308</f>
        <v>16461.461592522603</v>
      </c>
      <c r="AT209" s="295">
        <f>'FREH LGV vkm'!N209*'FREH Stock'!N308</f>
        <v>16055.342837503722</v>
      </c>
      <c r="AU209" s="295">
        <f>'FREH LGV vkm'!O209*'FREH Stock'!O308</f>
        <v>13249.343834857855</v>
      </c>
      <c r="AV209" s="295">
        <f>'FREH LGV vkm'!P209*'FREH Stock'!P308</f>
        <v>17233.069767401659</v>
      </c>
      <c r="AW209" s="295">
        <f>'FREH LGV vkm'!Q209*'FREH Stock'!Q308</f>
        <v>18071.567262932698</v>
      </c>
      <c r="AX209" s="295">
        <f>'FREH LGV vkm'!R209*'FREH Stock'!R308</f>
        <v>19451.323710999804</v>
      </c>
      <c r="AY209" s="295">
        <f>'FREH LGV vkm'!S209*'FREH Stock'!S308</f>
        <v>13514.341950512209</v>
      </c>
      <c r="AZ209" s="295">
        <f>'FREH LGV vkm'!T209*'FREH Stock'!T308</f>
        <v>5581.9854545888211</v>
      </c>
      <c r="BA209" s="295">
        <f>'FREH LGV vkm'!U209*'FREH Stock'!U308</f>
        <v>4490.5568232045243</v>
      </c>
      <c r="BB209" s="295">
        <f>'FREH LGV vkm'!V209*'FREH Stock'!V308</f>
        <v>4008.8233781022877</v>
      </c>
      <c r="BC209" s="295">
        <f>'FREH LGV vkm'!W209*'FREH Stock'!W308</f>
        <v>3568.5717227902173</v>
      </c>
      <c r="BD209" s="295">
        <f>'FREH LGV vkm'!X209*'FREH Stock'!X308</f>
        <v>0</v>
      </c>
      <c r="BE209" s="295">
        <f>'FREH LGV vkm'!Y209*'FREH Stock'!Y308</f>
        <v>0</v>
      </c>
      <c r="BF209" s="295">
        <f>'FREH LGV vkm'!Z209*'FREH Stock'!Z308</f>
        <v>0</v>
      </c>
      <c r="BG209" s="295">
        <f>'FREH LGV vkm'!AA209*'FREH Stock'!AA308</f>
        <v>0</v>
      </c>
      <c r="BH209" s="295">
        <f>'FREH LGV vkm'!AB209*'FREH Stock'!AB308</f>
        <v>0</v>
      </c>
      <c r="BI209" s="295">
        <f>'FREH LGV vkm'!AC209*'FREH Stock'!AC308</f>
        <v>0</v>
      </c>
      <c r="BJ209" s="295">
        <f>'FREH LGV vkm'!AD209*'FREH Stock'!AD308</f>
        <v>0</v>
      </c>
      <c r="BK209" s="296">
        <f>'FREH LGV vkm'!AE209*'FREH Stock'!AE308</f>
        <v>0</v>
      </c>
    </row>
    <row r="210" spans="1:63">
      <c r="A210" s="1711"/>
      <c r="B210" s="116">
        <v>21</v>
      </c>
      <c r="C210" s="294">
        <f t="shared" si="49"/>
        <v>15810.612886984527</v>
      </c>
      <c r="D210" s="295">
        <f t="shared" si="49"/>
        <v>15810.612886984527</v>
      </c>
      <c r="E210" s="295">
        <f t="shared" si="50"/>
        <v>15810.612886984527</v>
      </c>
      <c r="F210" s="295">
        <f t="shared" si="50"/>
        <v>15810.612886984527</v>
      </c>
      <c r="G210" s="295">
        <f t="shared" si="50"/>
        <v>15810.612886984527</v>
      </c>
      <c r="H210" s="295">
        <f t="shared" si="50"/>
        <v>15810.612886984527</v>
      </c>
      <c r="I210" s="295">
        <f t="shared" si="50"/>
        <v>15810.612886984527</v>
      </c>
      <c r="J210" s="295">
        <f t="shared" si="50"/>
        <v>15810.612886984527</v>
      </c>
      <c r="K210" s="295">
        <f t="shared" si="50"/>
        <v>15810.612886984527</v>
      </c>
      <c r="L210" s="295">
        <f t="shared" si="50"/>
        <v>15810.612886984527</v>
      </c>
      <c r="M210" s="295">
        <f t="shared" si="50"/>
        <v>15810.612886984527</v>
      </c>
      <c r="N210" s="295">
        <f t="shared" si="50"/>
        <v>15810.612886984527</v>
      </c>
      <c r="O210" s="295">
        <f t="shared" si="50"/>
        <v>15810.612886984527</v>
      </c>
      <c r="P210" s="295">
        <f t="shared" si="50"/>
        <v>15810.612886984527</v>
      </c>
      <c r="Q210" s="295">
        <f t="shared" si="50"/>
        <v>15810.612886984527</v>
      </c>
      <c r="R210" s="295">
        <f t="shared" si="50"/>
        <v>15810.612886984527</v>
      </c>
      <c r="S210" s="295">
        <f t="shared" si="50"/>
        <v>15810.612886984527</v>
      </c>
      <c r="T210" s="295">
        <f t="shared" si="50"/>
        <v>15810.612886984527</v>
      </c>
      <c r="U210" s="295">
        <f t="shared" si="50"/>
        <v>15810.612886984527</v>
      </c>
      <c r="V210" s="295">
        <f t="shared" si="50"/>
        <v>15810.612886984527</v>
      </c>
      <c r="W210" s="295">
        <f t="shared" si="50"/>
        <v>15810.612886984527</v>
      </c>
      <c r="X210" s="295">
        <f t="shared" si="50"/>
        <v>15810.612886984527</v>
      </c>
      <c r="Y210" s="295">
        <f t="shared" si="50"/>
        <v>15810.612886984527</v>
      </c>
      <c r="Z210" s="295">
        <f t="shared" si="50"/>
        <v>15810.612886984527</v>
      </c>
      <c r="AA210" s="295">
        <f t="shared" si="50"/>
        <v>15810.612886984527</v>
      </c>
      <c r="AB210" s="295">
        <f t="shared" si="50"/>
        <v>15810.612886984527</v>
      </c>
      <c r="AC210" s="295">
        <f t="shared" si="50"/>
        <v>15810.612886984527</v>
      </c>
      <c r="AD210" s="295">
        <f t="shared" si="50"/>
        <v>15810.612886984527</v>
      </c>
      <c r="AE210" s="296">
        <f t="shared" si="50"/>
        <v>15810.612886984527</v>
      </c>
      <c r="AG210" s="1711"/>
      <c r="AH210" s="116">
        <v>21</v>
      </c>
      <c r="AI210" s="294">
        <f>'FREH LGV vkm'!C210*'FREH Stock'!C309</f>
        <v>731773.43474067608</v>
      </c>
      <c r="AJ210" s="295">
        <f>'FREH LGV vkm'!D210*'FREH Stock'!D309</f>
        <v>349597.34073856281</v>
      </c>
      <c r="AK210" s="295">
        <f>'FREH LGV vkm'!E210*'FREH Stock'!E309</f>
        <v>208770.73225332738</v>
      </c>
      <c r="AL210" s="295">
        <f>'FREH LGV vkm'!F210*'FREH Stock'!F309</f>
        <v>55199.493766089443</v>
      </c>
      <c r="AM210" s="295">
        <f>'FREH LGV vkm'!G210*'FREH Stock'!G309</f>
        <v>29648.508117061061</v>
      </c>
      <c r="AN210" s="295">
        <f>'FREH LGV vkm'!H210*'FREH Stock'!H309</f>
        <v>15484.35159416163</v>
      </c>
      <c r="AO210" s="295">
        <f>'FREH LGV vkm'!I210*'FREH Stock'!I309</f>
        <v>11799.039607694909</v>
      </c>
      <c r="AP210" s="295">
        <f>'FREH LGV vkm'!J210*'FREH Stock'!J309</f>
        <v>9162.3204863892715</v>
      </c>
      <c r="AQ210" s="295">
        <f>'FREH LGV vkm'!K210*'FREH Stock'!K309</f>
        <v>5214.9303864384492</v>
      </c>
      <c r="AR210" s="295">
        <f>'FREH LGV vkm'!L210*'FREH Stock'!L309</f>
        <v>4123.7322105918502</v>
      </c>
      <c r="AS210" s="295">
        <f>'FREH LGV vkm'!M210*'FREH Stock'!M309</f>
        <v>3190.5097187799024</v>
      </c>
      <c r="AT210" s="295">
        <f>'FREH LGV vkm'!N210*'FREH Stock'!N309</f>
        <v>2893.1129693475868</v>
      </c>
      <c r="AU210" s="295">
        <f>'FREH LGV vkm'!O210*'FREH Stock'!O309</f>
        <v>2821.7373244428768</v>
      </c>
      <c r="AV210" s="295">
        <f>'FREH LGV vkm'!P210*'FREH Stock'!P309</f>
        <v>2328.5811085805699</v>
      </c>
      <c r="AW210" s="295">
        <f>'FREH LGV vkm'!Q210*'FREH Stock'!Q309</f>
        <v>3028.7236261200837</v>
      </c>
      <c r="AX210" s="295">
        <f>'FREH LGV vkm'!R210*'FREH Stock'!R309</f>
        <v>3176.0901260782789</v>
      </c>
      <c r="AY210" s="295">
        <f>'FREH LGV vkm'!S210*'FREH Stock'!S309</f>
        <v>3418.5832517346989</v>
      </c>
      <c r="AZ210" s="295">
        <f>'FREH LGV vkm'!T210*'FREH Stock'!T309</f>
        <v>2375.1547060064836</v>
      </c>
      <c r="BA210" s="295">
        <f>'FREH LGV vkm'!U210*'FREH Stock'!U309</f>
        <v>981.03770571114501</v>
      </c>
      <c r="BB210" s="295">
        <f>'FREH LGV vkm'!V210*'FREH Stock'!V309</f>
        <v>789.21838815981016</v>
      </c>
      <c r="BC210" s="295">
        <f>'FREH LGV vkm'!W210*'FREH Stock'!W309</f>
        <v>704.55341051123685</v>
      </c>
      <c r="BD210" s="295">
        <f>'FREH LGV vkm'!X210*'FREH Stock'!X309</f>
        <v>627.17888537559179</v>
      </c>
      <c r="BE210" s="295">
        <f>'FREH LGV vkm'!Y210*'FREH Stock'!Y309</f>
        <v>0</v>
      </c>
      <c r="BF210" s="295">
        <f>'FREH LGV vkm'!Z210*'FREH Stock'!Z309</f>
        <v>0</v>
      </c>
      <c r="BG210" s="295">
        <f>'FREH LGV vkm'!AA210*'FREH Stock'!AA309</f>
        <v>0</v>
      </c>
      <c r="BH210" s="295">
        <f>'FREH LGV vkm'!AB210*'FREH Stock'!AB309</f>
        <v>0</v>
      </c>
      <c r="BI210" s="295">
        <f>'FREH LGV vkm'!AC210*'FREH Stock'!AC309</f>
        <v>0</v>
      </c>
      <c r="BJ210" s="295">
        <f>'FREH LGV vkm'!AD210*'FREH Stock'!AD309</f>
        <v>0</v>
      </c>
      <c r="BK210" s="296">
        <f>'FREH LGV vkm'!AE210*'FREH Stock'!AE309</f>
        <v>0</v>
      </c>
    </row>
    <row r="211" spans="1:63">
      <c r="A211" s="1711"/>
      <c r="B211" s="116">
        <v>22</v>
      </c>
      <c r="C211" s="294">
        <f t="shared" si="49"/>
        <v>15810.612886984527</v>
      </c>
      <c r="D211" s="295">
        <f t="shared" si="49"/>
        <v>15810.612886984527</v>
      </c>
      <c r="E211" s="295">
        <f t="shared" si="50"/>
        <v>15810.612886984527</v>
      </c>
      <c r="F211" s="295">
        <f t="shared" si="50"/>
        <v>15810.612886984527</v>
      </c>
      <c r="G211" s="295">
        <f t="shared" si="50"/>
        <v>15810.612886984527</v>
      </c>
      <c r="H211" s="295">
        <f t="shared" si="50"/>
        <v>15810.612886984527</v>
      </c>
      <c r="I211" s="295">
        <f t="shared" si="50"/>
        <v>15810.612886984527</v>
      </c>
      <c r="J211" s="295">
        <f t="shared" si="50"/>
        <v>15810.612886984527</v>
      </c>
      <c r="K211" s="295">
        <f t="shared" si="50"/>
        <v>15810.612886984527</v>
      </c>
      <c r="L211" s="295">
        <f t="shared" si="50"/>
        <v>15810.612886984527</v>
      </c>
      <c r="M211" s="295">
        <f t="shared" si="50"/>
        <v>15810.612886984527</v>
      </c>
      <c r="N211" s="295">
        <f t="shared" si="50"/>
        <v>15810.612886984527</v>
      </c>
      <c r="O211" s="295">
        <f t="shared" si="50"/>
        <v>15810.612886984527</v>
      </c>
      <c r="P211" s="295">
        <f t="shared" si="50"/>
        <v>15810.612886984527</v>
      </c>
      <c r="Q211" s="295">
        <f t="shared" si="50"/>
        <v>15810.612886984527</v>
      </c>
      <c r="R211" s="295">
        <f t="shared" si="50"/>
        <v>15810.612886984527</v>
      </c>
      <c r="S211" s="295">
        <f t="shared" si="50"/>
        <v>15810.612886984527</v>
      </c>
      <c r="T211" s="295">
        <f t="shared" si="50"/>
        <v>15810.612886984527</v>
      </c>
      <c r="U211" s="295">
        <f t="shared" si="50"/>
        <v>15810.612886984527</v>
      </c>
      <c r="V211" s="295">
        <f t="shared" si="50"/>
        <v>15810.612886984527</v>
      </c>
      <c r="W211" s="295">
        <f t="shared" si="50"/>
        <v>15810.612886984527</v>
      </c>
      <c r="X211" s="295">
        <f t="shared" si="50"/>
        <v>15810.612886984527</v>
      </c>
      <c r="Y211" s="295">
        <f t="shared" si="50"/>
        <v>15810.612886984527</v>
      </c>
      <c r="Z211" s="295">
        <f t="shared" si="50"/>
        <v>15810.612886984527</v>
      </c>
      <c r="AA211" s="295">
        <f t="shared" si="50"/>
        <v>15810.612886984527</v>
      </c>
      <c r="AB211" s="295">
        <f t="shared" si="50"/>
        <v>15810.612886984527</v>
      </c>
      <c r="AC211" s="295">
        <f t="shared" si="50"/>
        <v>15810.612886984527</v>
      </c>
      <c r="AD211" s="295">
        <f t="shared" si="50"/>
        <v>15810.612886984527</v>
      </c>
      <c r="AE211" s="296">
        <f t="shared" si="50"/>
        <v>15810.612886984527</v>
      </c>
      <c r="AG211" s="1711"/>
      <c r="AH211" s="116">
        <v>22</v>
      </c>
      <c r="AI211" s="294">
        <f>'FREH LGV vkm'!C211*'FREH Stock'!C310</f>
        <v>269204.40223650687</v>
      </c>
      <c r="AJ211" s="295">
        <f>'FREH LGV vkm'!D211*'FREH Stock'!D310</f>
        <v>96457.255759443608</v>
      </c>
      <c r="AK211" s="295">
        <f>'FREH LGV vkm'!E211*'FREH Stock'!E310</f>
        <v>46081.476188584151</v>
      </c>
      <c r="AL211" s="295">
        <f>'FREH LGV vkm'!F211*'FREH Stock'!F310</f>
        <v>27518.697673388178</v>
      </c>
      <c r="AM211" s="295">
        <f>'FREH LGV vkm'!G211*'FREH Stock'!G310</f>
        <v>7276.0111739699114</v>
      </c>
      <c r="AN211" s="295">
        <f>'FREH LGV vkm'!H211*'FREH Stock'!H310</f>
        <v>3908.0589627399518</v>
      </c>
      <c r="AO211" s="295">
        <f>'FREH LGV vkm'!I211*'FREH Stock'!I310</f>
        <v>2041.0389214477109</v>
      </c>
      <c r="AP211" s="295">
        <f>'FREH LGV vkm'!J211*'FREH Stock'!J310</f>
        <v>1555.2668724009511</v>
      </c>
      <c r="AQ211" s="295">
        <f>'FREH LGV vkm'!K211*'FREH Stock'!K310</f>
        <v>1207.713000430015</v>
      </c>
      <c r="AR211" s="295">
        <f>'FREH LGV vkm'!L211*'FREH Stock'!L310</f>
        <v>687.39564757587254</v>
      </c>
      <c r="AS211" s="295">
        <f>'FREH LGV vkm'!M211*'FREH Stock'!M310</f>
        <v>543.56153644942356</v>
      </c>
      <c r="AT211" s="295">
        <f>'FREH LGV vkm'!N211*'FREH Stock'!N310</f>
        <v>420.55067502744527</v>
      </c>
      <c r="AU211" s="295">
        <f>'FREH LGV vkm'!O211*'FREH Stock'!O310</f>
        <v>381.34991566647489</v>
      </c>
      <c r="AV211" s="295">
        <f>'FREH LGV vkm'!P211*'FREH Stock'!P310</f>
        <v>371.94167739391634</v>
      </c>
      <c r="AW211" s="295">
        <f>'FREH LGV vkm'!Q211*'FREH Stock'!Q310</f>
        <v>306.93727441275706</v>
      </c>
      <c r="AX211" s="295">
        <f>'FREH LGV vkm'!R211*'FREH Stock'!R310</f>
        <v>399.22516391000579</v>
      </c>
      <c r="AY211" s="295">
        <f>'FREH LGV vkm'!S211*'FREH Stock'!S310</f>
        <v>418.64998517572855</v>
      </c>
      <c r="AZ211" s="295">
        <f>'FREH LGV vkm'!T211*'FREH Stock'!T310</f>
        <v>450.61373287536611</v>
      </c>
      <c r="BA211" s="295">
        <f>'FREH LGV vkm'!U211*'FREH Stock'!U310</f>
        <v>313.07628026521843</v>
      </c>
      <c r="BB211" s="295">
        <f>'FREH LGV vkm'!V211*'FREH Stock'!V310</f>
        <v>129.31352847342941</v>
      </c>
      <c r="BC211" s="295">
        <f>'FREH LGV vkm'!W211*'FREH Stock'!W310</f>
        <v>104.02924771895267</v>
      </c>
      <c r="BD211" s="295">
        <f>'FREH LGV vkm'!X211*'FREH Stock'!X310</f>
        <v>92.869302556677056</v>
      </c>
      <c r="BE211" s="295">
        <f>'FREH LGV vkm'!Y211*'FREH Stock'!Y310</f>
        <v>82.670333851398411</v>
      </c>
      <c r="BF211" s="295">
        <f>'FREH LGV vkm'!Z211*'FREH Stock'!Z310</f>
        <v>0</v>
      </c>
      <c r="BG211" s="295">
        <f>'FREH LGV vkm'!AA211*'FREH Stock'!AA310</f>
        <v>0</v>
      </c>
      <c r="BH211" s="295">
        <f>'FREH LGV vkm'!AB211*'FREH Stock'!AB310</f>
        <v>0</v>
      </c>
      <c r="BI211" s="295">
        <f>'FREH LGV vkm'!AC211*'FREH Stock'!AC310</f>
        <v>0</v>
      </c>
      <c r="BJ211" s="295">
        <f>'FREH LGV vkm'!AD211*'FREH Stock'!AD310</f>
        <v>0</v>
      </c>
      <c r="BK211" s="296">
        <f>'FREH LGV vkm'!AE211*'FREH Stock'!AE310</f>
        <v>0</v>
      </c>
    </row>
    <row r="212" spans="1:63">
      <c r="A212" s="1711"/>
      <c r="B212" s="116">
        <v>23</v>
      </c>
      <c r="C212" s="294">
        <f t="shared" si="49"/>
        <v>15810.612886984527</v>
      </c>
      <c r="D212" s="295">
        <f t="shared" si="49"/>
        <v>15810.612886984527</v>
      </c>
      <c r="E212" s="295">
        <f t="shared" si="50"/>
        <v>15810.612886984527</v>
      </c>
      <c r="F212" s="295">
        <f t="shared" si="50"/>
        <v>15810.612886984527</v>
      </c>
      <c r="G212" s="295">
        <f t="shared" si="50"/>
        <v>15810.612886984527</v>
      </c>
      <c r="H212" s="295">
        <f t="shared" si="50"/>
        <v>15810.612886984527</v>
      </c>
      <c r="I212" s="295">
        <f t="shared" si="50"/>
        <v>15810.612886984527</v>
      </c>
      <c r="J212" s="295">
        <f t="shared" si="50"/>
        <v>15810.612886984527</v>
      </c>
      <c r="K212" s="295">
        <f t="shared" si="50"/>
        <v>15810.612886984527</v>
      </c>
      <c r="L212" s="295">
        <f t="shared" si="50"/>
        <v>15810.612886984527</v>
      </c>
      <c r="M212" s="295">
        <f t="shared" si="50"/>
        <v>15810.612886984527</v>
      </c>
      <c r="N212" s="295">
        <f t="shared" si="50"/>
        <v>15810.612886984527</v>
      </c>
      <c r="O212" s="295">
        <f t="shared" si="50"/>
        <v>15810.612886984527</v>
      </c>
      <c r="P212" s="295">
        <f t="shared" si="50"/>
        <v>15810.612886984527</v>
      </c>
      <c r="Q212" s="295">
        <f t="shared" si="50"/>
        <v>15810.612886984527</v>
      </c>
      <c r="R212" s="295">
        <f t="shared" si="50"/>
        <v>15810.612886984527</v>
      </c>
      <c r="S212" s="295">
        <f t="shared" si="50"/>
        <v>15810.612886984527</v>
      </c>
      <c r="T212" s="295">
        <f t="shared" si="50"/>
        <v>15810.612886984527</v>
      </c>
      <c r="U212" s="295">
        <f t="shared" si="50"/>
        <v>15810.612886984527</v>
      </c>
      <c r="V212" s="295">
        <f t="shared" si="50"/>
        <v>15810.612886984527</v>
      </c>
      <c r="W212" s="295">
        <f t="shared" si="50"/>
        <v>15810.612886984527</v>
      </c>
      <c r="X212" s="295">
        <f t="shared" si="50"/>
        <v>15810.612886984527</v>
      </c>
      <c r="Y212" s="295">
        <f t="shared" si="50"/>
        <v>15810.612886984527</v>
      </c>
      <c r="Z212" s="295">
        <f t="shared" si="50"/>
        <v>15810.612886984527</v>
      </c>
      <c r="AA212" s="295">
        <f t="shared" si="50"/>
        <v>15810.612886984527</v>
      </c>
      <c r="AB212" s="295">
        <f t="shared" si="50"/>
        <v>15810.612886984527</v>
      </c>
      <c r="AC212" s="295">
        <f t="shared" si="50"/>
        <v>15810.612886984527</v>
      </c>
      <c r="AD212" s="295">
        <f t="shared" si="50"/>
        <v>15810.612886984527</v>
      </c>
      <c r="AE212" s="296">
        <f t="shared" si="50"/>
        <v>15810.612886984527</v>
      </c>
      <c r="AG212" s="1711"/>
      <c r="AH212" s="116">
        <v>23</v>
      </c>
      <c r="AI212" s="294">
        <f>'FREH LGV vkm'!C212*'FREH Stock'!C311</f>
        <v>99034.76505565831</v>
      </c>
      <c r="AJ212" s="295">
        <f>'FREH LGV vkm'!D212*'FREH Stock'!D311</f>
        <v>23656.427563810004</v>
      </c>
      <c r="AK212" s="295">
        <f>'FREH LGV vkm'!E212*'FREH Stock'!E311</f>
        <v>8476.2138543057335</v>
      </c>
      <c r="AL212" s="295">
        <f>'FREH LGV vkm'!F212*'FREH Stock'!F311</f>
        <v>4049.425248740768</v>
      </c>
      <c r="AM212" s="295">
        <f>'FREH LGV vkm'!G212*'FREH Stock'!G311</f>
        <v>2418.2148313792059</v>
      </c>
      <c r="AN212" s="295">
        <f>'FREH LGV vkm'!H212*'FREH Stock'!H311</f>
        <v>639.38193380386542</v>
      </c>
      <c r="AO212" s="295">
        <f>'FREH LGV vkm'!I212*'FREH Stock'!I311</f>
        <v>343.42199829976948</v>
      </c>
      <c r="AP212" s="295">
        <f>'FREH LGV vkm'!J212*'FREH Stock'!J311</f>
        <v>179.35698301740811</v>
      </c>
      <c r="AQ212" s="295">
        <f>'FREH LGV vkm'!K212*'FREH Stock'!K311</f>
        <v>136.66960051055605</v>
      </c>
      <c r="AR212" s="295">
        <f>'FREH LGV vkm'!L212*'FREH Stock'!L311</f>
        <v>106.12818689140248</v>
      </c>
      <c r="AS212" s="295">
        <f>'FREH LGV vkm'!M212*'FREH Stock'!M311</f>
        <v>60.405124171300415</v>
      </c>
      <c r="AT212" s="295">
        <f>'FREH LGV vkm'!N212*'FREH Stock'!N311</f>
        <v>47.765653186429518</v>
      </c>
      <c r="AU212" s="295">
        <f>'FREH LGV vkm'!O212*'FREH Stock'!O311</f>
        <v>36.956032286417823</v>
      </c>
      <c r="AV212" s="295">
        <f>'FREH LGV vkm'!P212*'FREH Stock'!P311</f>
        <v>33.511252347587451</v>
      </c>
      <c r="AW212" s="295">
        <f>'FREH LGV vkm'!Q212*'FREH Stock'!Q311</f>
        <v>32.684500238971069</v>
      </c>
      <c r="AX212" s="295">
        <f>'FREH LGV vkm'!R212*'FREH Stock'!R311</f>
        <v>26.972216421630236</v>
      </c>
      <c r="AY212" s="295">
        <f>'FREH LGV vkm'!S212*'FREH Stock'!S311</f>
        <v>35.082045810640508</v>
      </c>
      <c r="AZ212" s="295">
        <f>'FREH LGV vkm'!T212*'FREH Stock'!T311</f>
        <v>36.789008525198263</v>
      </c>
      <c r="BA212" s="295">
        <f>'FREH LGV vkm'!U212*'FREH Stock'!U311</f>
        <v>39.597833625539927</v>
      </c>
      <c r="BB212" s="295">
        <f>'FREH LGV vkm'!V212*'FREH Stock'!V311</f>
        <v>27.511683629655195</v>
      </c>
      <c r="BC212" s="295">
        <f>'FREH LGV vkm'!W212*'FREH Stock'!W311</f>
        <v>11.363469891048911</v>
      </c>
      <c r="BD212" s="295">
        <f>'FREH LGV vkm'!X212*'FREH Stock'!X311</f>
        <v>9.1416051993793133</v>
      </c>
      <c r="BE212" s="295">
        <f>'FREH LGV vkm'!Y212*'FREH Stock'!Y311</f>
        <v>8.1609212575337917</v>
      </c>
      <c r="BF212" s="295">
        <f>'FREH LGV vkm'!Z212*'FREH Stock'!Z311</f>
        <v>7.2646834456794993</v>
      </c>
      <c r="BG212" s="295">
        <f>'FREH LGV vkm'!AA212*'FREH Stock'!AA311</f>
        <v>0</v>
      </c>
      <c r="BH212" s="295">
        <f>'FREH LGV vkm'!AB212*'FREH Stock'!AB311</f>
        <v>0</v>
      </c>
      <c r="BI212" s="295">
        <f>'FREH LGV vkm'!AC212*'FREH Stock'!AC311</f>
        <v>0</v>
      </c>
      <c r="BJ212" s="295">
        <f>'FREH LGV vkm'!AD212*'FREH Stock'!AD311</f>
        <v>0</v>
      </c>
      <c r="BK212" s="296">
        <f>'FREH LGV vkm'!AE212*'FREH Stock'!AE311</f>
        <v>0</v>
      </c>
    </row>
    <row r="213" spans="1:63">
      <c r="A213" s="1711"/>
      <c r="B213" s="116">
        <v>24</v>
      </c>
      <c r="C213" s="294">
        <f t="shared" ref="C213:D214" si="51">C212</f>
        <v>15810.612886984527</v>
      </c>
      <c r="D213" s="295">
        <f t="shared" si="51"/>
        <v>15810.612886984527</v>
      </c>
      <c r="E213" s="295">
        <f t="shared" si="50"/>
        <v>15810.612886984527</v>
      </c>
      <c r="F213" s="295">
        <f t="shared" si="50"/>
        <v>15810.612886984527</v>
      </c>
      <c r="G213" s="295">
        <f t="shared" si="50"/>
        <v>15810.612886984527</v>
      </c>
      <c r="H213" s="295">
        <f t="shared" si="50"/>
        <v>15810.612886984527</v>
      </c>
      <c r="I213" s="295">
        <f t="shared" si="50"/>
        <v>15810.612886984527</v>
      </c>
      <c r="J213" s="295">
        <f t="shared" si="50"/>
        <v>15810.612886984527</v>
      </c>
      <c r="K213" s="295">
        <f t="shared" si="50"/>
        <v>15810.612886984527</v>
      </c>
      <c r="L213" s="295">
        <f t="shared" si="50"/>
        <v>15810.612886984527</v>
      </c>
      <c r="M213" s="295">
        <f t="shared" si="50"/>
        <v>15810.612886984527</v>
      </c>
      <c r="N213" s="295">
        <f t="shared" si="50"/>
        <v>15810.612886984527</v>
      </c>
      <c r="O213" s="295">
        <f t="shared" si="50"/>
        <v>15810.612886984527</v>
      </c>
      <c r="P213" s="295">
        <f t="shared" si="50"/>
        <v>15810.612886984527</v>
      </c>
      <c r="Q213" s="295">
        <f t="shared" si="50"/>
        <v>15810.612886984527</v>
      </c>
      <c r="R213" s="295">
        <f t="shared" si="50"/>
        <v>15810.612886984527</v>
      </c>
      <c r="S213" s="295">
        <f t="shared" si="50"/>
        <v>15810.612886984527</v>
      </c>
      <c r="T213" s="295">
        <f t="shared" si="50"/>
        <v>15810.612886984527</v>
      </c>
      <c r="U213" s="295">
        <f t="shared" si="50"/>
        <v>15810.612886984527</v>
      </c>
      <c r="V213" s="295">
        <f t="shared" si="50"/>
        <v>15810.612886984527</v>
      </c>
      <c r="W213" s="295">
        <f t="shared" si="50"/>
        <v>15810.612886984527</v>
      </c>
      <c r="X213" s="295">
        <f t="shared" si="50"/>
        <v>15810.612886984527</v>
      </c>
      <c r="Y213" s="295">
        <f t="shared" si="50"/>
        <v>15810.612886984527</v>
      </c>
      <c r="Z213" s="295">
        <f t="shared" si="50"/>
        <v>15810.612886984527</v>
      </c>
      <c r="AA213" s="295">
        <f t="shared" si="50"/>
        <v>15810.612886984527</v>
      </c>
      <c r="AB213" s="295">
        <f t="shared" si="50"/>
        <v>15810.612886984527</v>
      </c>
      <c r="AC213" s="295">
        <f t="shared" si="50"/>
        <v>15810.612886984527</v>
      </c>
      <c r="AD213" s="295">
        <f t="shared" si="50"/>
        <v>15810.612886984527</v>
      </c>
      <c r="AE213" s="296">
        <f t="shared" si="50"/>
        <v>15810.612886984527</v>
      </c>
      <c r="AG213" s="1711"/>
      <c r="AH213" s="116">
        <v>24</v>
      </c>
      <c r="AI213" s="294">
        <f>'FREH LGV vkm'!C213*'FREH Stock'!C312</f>
        <v>36432.854025220666</v>
      </c>
      <c r="AJ213" s="295">
        <f>'FREH LGV vkm'!D213*'FREH Stock'!D312</f>
        <v>4351.3566761435659</v>
      </c>
      <c r="AK213" s="295">
        <f>'FREH LGV vkm'!E213*'FREH Stock'!E312</f>
        <v>1039.4082719905441</v>
      </c>
      <c r="AL213" s="295">
        <f>'FREH LGV vkm'!F213*'FREH Stock'!F312</f>
        <v>372.42507439307087</v>
      </c>
      <c r="AM213" s="295">
        <f>'FREH LGV vkm'!G213*'FREH Stock'!G312</f>
        <v>177.92230416005535</v>
      </c>
      <c r="AN213" s="295">
        <f>'FREH LGV vkm'!H213*'FREH Stock'!H312</f>
        <v>106.25072160223291</v>
      </c>
      <c r="AO213" s="295">
        <f>'FREH LGV vkm'!I213*'FREH Stock'!I312</f>
        <v>28.092951446892688</v>
      </c>
      <c r="AP213" s="295">
        <f>'FREH LGV vkm'!J213*'FREH Stock'!J312</f>
        <v>15.089161913964547</v>
      </c>
      <c r="AQ213" s="295">
        <f>'FREH LGV vkm'!K213*'FREH Stock'!K312</f>
        <v>7.8805276614444448</v>
      </c>
      <c r="AR213" s="295">
        <f>'FREH LGV vkm'!L213*'FREH Stock'!L312</f>
        <v>6.0049436000909084</v>
      </c>
      <c r="AS213" s="295">
        <f>'FREH LGV vkm'!M213*'FREH Stock'!M312</f>
        <v>4.6630250932324646</v>
      </c>
      <c r="AT213" s="295">
        <f>'FREH LGV vkm'!N213*'FREH Stock'!N312</f>
        <v>2.6540603210231137</v>
      </c>
      <c r="AU213" s="295">
        <f>'FREH LGV vkm'!O213*'FREH Stock'!O312</f>
        <v>2.0987114349826301</v>
      </c>
      <c r="AV213" s="295">
        <f>'FREH LGV vkm'!P213*'FREH Stock'!P312</f>
        <v>1.6237618953597308</v>
      </c>
      <c r="AW213" s="295">
        <f>'FREH LGV vkm'!Q213*'FREH Stock'!Q312</f>
        <v>1.4724062963814248</v>
      </c>
      <c r="AX213" s="295">
        <f>'FREH LGV vkm'!R213*'FREH Stock'!R312</f>
        <v>1.4360807363084358</v>
      </c>
      <c r="AY213" s="295">
        <f>'FREH LGV vkm'!S213*'FREH Stock'!S312</f>
        <v>1.1850963036130735</v>
      </c>
      <c r="AZ213" s="295">
        <f>'FREH LGV vkm'!T213*'FREH Stock'!T312</f>
        <v>1.5414232988295773</v>
      </c>
      <c r="BA213" s="295">
        <f>'FREH LGV vkm'!U213*'FREH Stock'!U312</f>
        <v>1.6164232607090716</v>
      </c>
      <c r="BB213" s="295">
        <f>'FREH LGV vkm'!V213*'FREH Stock'!V312</f>
        <v>1.7398364868183309</v>
      </c>
      <c r="BC213" s="295">
        <f>'FREH LGV vkm'!W213*'FREH Stock'!W312</f>
        <v>1.2087992349612791</v>
      </c>
      <c r="BD213" s="295">
        <f>'FREH LGV vkm'!X213*'FREH Stock'!X312</f>
        <v>0.49928437298541328</v>
      </c>
      <c r="BE213" s="295">
        <f>'FREH LGV vkm'!Y213*'FREH Stock'!Y312</f>
        <v>0.40166081872998988</v>
      </c>
      <c r="BF213" s="295">
        <f>'FREH LGV vkm'!Z213*'FREH Stock'!Z312</f>
        <v>0.35857185279829873</v>
      </c>
      <c r="BG213" s="295">
        <f>'FREH LGV vkm'!AA213*'FREH Stock'!AA312</f>
        <v>0.3191932529315476</v>
      </c>
      <c r="BH213" s="295">
        <f>'FREH LGV vkm'!AB213*'FREH Stock'!AB312</f>
        <v>0</v>
      </c>
      <c r="BI213" s="295">
        <f>'FREH LGV vkm'!AC213*'FREH Stock'!AC312</f>
        <v>0</v>
      </c>
      <c r="BJ213" s="295">
        <f>'FREH LGV vkm'!AD213*'FREH Stock'!AD312</f>
        <v>0</v>
      </c>
      <c r="BK213" s="296">
        <f>'FREH LGV vkm'!AE213*'FREH Stock'!AE312</f>
        <v>0</v>
      </c>
    </row>
    <row r="214" spans="1:63" ht="15.75" thickBot="1">
      <c r="A214" s="1711"/>
      <c r="B214" s="116">
        <v>25</v>
      </c>
      <c r="C214" s="294">
        <f t="shared" si="51"/>
        <v>15810.612886984527</v>
      </c>
      <c r="D214" s="295">
        <f t="shared" si="51"/>
        <v>15810.612886984527</v>
      </c>
      <c r="E214" s="295">
        <f t="shared" si="50"/>
        <v>15810.612886984527</v>
      </c>
      <c r="F214" s="295">
        <f t="shared" si="50"/>
        <v>15810.612886984527</v>
      </c>
      <c r="G214" s="295">
        <f t="shared" si="50"/>
        <v>15810.612886984527</v>
      </c>
      <c r="H214" s="295">
        <f t="shared" si="50"/>
        <v>15810.612886984527</v>
      </c>
      <c r="I214" s="295">
        <f t="shared" si="50"/>
        <v>15810.612886984527</v>
      </c>
      <c r="J214" s="295">
        <f t="shared" si="50"/>
        <v>15810.612886984527</v>
      </c>
      <c r="K214" s="295">
        <f t="shared" si="50"/>
        <v>15810.612886984527</v>
      </c>
      <c r="L214" s="295">
        <f t="shared" si="50"/>
        <v>15810.612886984527</v>
      </c>
      <c r="M214" s="295">
        <f t="shared" si="50"/>
        <v>15810.612886984527</v>
      </c>
      <c r="N214" s="295">
        <f t="shared" si="50"/>
        <v>15810.612886984527</v>
      </c>
      <c r="O214" s="295">
        <f t="shared" si="50"/>
        <v>15810.612886984527</v>
      </c>
      <c r="P214" s="295">
        <f t="shared" si="50"/>
        <v>15810.612886984527</v>
      </c>
      <c r="Q214" s="295">
        <f t="shared" si="50"/>
        <v>15810.612886984527</v>
      </c>
      <c r="R214" s="295">
        <f t="shared" si="50"/>
        <v>15810.612886984527</v>
      </c>
      <c r="S214" s="295">
        <f t="shared" si="50"/>
        <v>15810.612886984527</v>
      </c>
      <c r="T214" s="295">
        <f t="shared" si="50"/>
        <v>15810.612886984527</v>
      </c>
      <c r="U214" s="295">
        <f t="shared" si="50"/>
        <v>15810.612886984527</v>
      </c>
      <c r="V214" s="295">
        <f t="shared" si="50"/>
        <v>15810.612886984527</v>
      </c>
      <c r="W214" s="295">
        <f t="shared" si="50"/>
        <v>15810.612886984527</v>
      </c>
      <c r="X214" s="295">
        <f t="shared" si="50"/>
        <v>15810.612886984527</v>
      </c>
      <c r="Y214" s="295">
        <f t="shared" si="50"/>
        <v>15810.612886984527</v>
      </c>
      <c r="Z214" s="295">
        <f t="shared" si="50"/>
        <v>15810.612886984527</v>
      </c>
      <c r="AA214" s="295">
        <f t="shared" si="50"/>
        <v>15810.612886984527</v>
      </c>
      <c r="AB214" s="295">
        <f t="shared" si="50"/>
        <v>15810.612886984527</v>
      </c>
      <c r="AC214" s="295">
        <f t="shared" ref="AC214:AE214" si="52">AC213</f>
        <v>15810.612886984527</v>
      </c>
      <c r="AD214" s="295">
        <f t="shared" si="52"/>
        <v>15810.612886984527</v>
      </c>
      <c r="AE214" s="296">
        <f t="shared" si="52"/>
        <v>15810.612886984527</v>
      </c>
      <c r="AG214" s="1711"/>
      <c r="AH214" s="116">
        <v>25</v>
      </c>
      <c r="AI214" s="294">
        <f>'FREH LGV vkm'!C214*'FREH Stock'!C313</f>
        <v>13402.897979078913</v>
      </c>
      <c r="AJ214" s="295">
        <f>'FREH LGV vkm'!D214*'FREH Stock'!D313</f>
        <v>0</v>
      </c>
      <c r="AK214" s="295">
        <f>'FREH LGV vkm'!E214*'FREH Stock'!E313</f>
        <v>0</v>
      </c>
      <c r="AL214" s="295">
        <f>'FREH LGV vkm'!F214*'FREH Stock'!F313</f>
        <v>0</v>
      </c>
      <c r="AM214" s="295">
        <f>'FREH LGV vkm'!G214*'FREH Stock'!G313</f>
        <v>0</v>
      </c>
      <c r="AN214" s="295">
        <f>'FREH LGV vkm'!H214*'FREH Stock'!H313</f>
        <v>0</v>
      </c>
      <c r="AO214" s="295">
        <f>'FREH LGV vkm'!I214*'FREH Stock'!I313</f>
        <v>0</v>
      </c>
      <c r="AP214" s="295">
        <f>'FREH LGV vkm'!J214*'FREH Stock'!J313</f>
        <v>0</v>
      </c>
      <c r="AQ214" s="295">
        <f>'FREH LGV vkm'!K214*'FREH Stock'!K313</f>
        <v>0</v>
      </c>
      <c r="AR214" s="295">
        <f>'FREH LGV vkm'!L214*'FREH Stock'!L313</f>
        <v>0</v>
      </c>
      <c r="AS214" s="295">
        <f>'FREH LGV vkm'!M214*'FREH Stock'!M313</f>
        <v>0</v>
      </c>
      <c r="AT214" s="295">
        <f>'FREH LGV vkm'!N214*'FREH Stock'!N313</f>
        <v>0</v>
      </c>
      <c r="AU214" s="295">
        <f>'FREH LGV vkm'!O214*'FREH Stock'!O313</f>
        <v>0</v>
      </c>
      <c r="AV214" s="295">
        <f>'FREH LGV vkm'!P214*'FREH Stock'!P313</f>
        <v>0</v>
      </c>
      <c r="AW214" s="295">
        <f>'FREH LGV vkm'!Q214*'FREH Stock'!Q313</f>
        <v>0</v>
      </c>
      <c r="AX214" s="295">
        <f>'FREH LGV vkm'!R214*'FREH Stock'!R313</f>
        <v>0</v>
      </c>
      <c r="AY214" s="295">
        <f>'FREH LGV vkm'!S214*'FREH Stock'!S313</f>
        <v>0</v>
      </c>
      <c r="AZ214" s="295">
        <f>'FREH LGV vkm'!T214*'FREH Stock'!T313</f>
        <v>0</v>
      </c>
      <c r="BA214" s="295">
        <f>'FREH LGV vkm'!U214*'FREH Stock'!U313</f>
        <v>0</v>
      </c>
      <c r="BB214" s="295">
        <f>'FREH LGV vkm'!V214*'FREH Stock'!V313</f>
        <v>0</v>
      </c>
      <c r="BC214" s="295">
        <f>'FREH LGV vkm'!W214*'FREH Stock'!W313</f>
        <v>0</v>
      </c>
      <c r="BD214" s="295">
        <f>'FREH LGV vkm'!X214*'FREH Stock'!X313</f>
        <v>0</v>
      </c>
      <c r="BE214" s="295">
        <f>'FREH LGV vkm'!Y214*'FREH Stock'!Y313</f>
        <v>0</v>
      </c>
      <c r="BF214" s="295">
        <f>'FREH LGV vkm'!Z214*'FREH Stock'!Z313</f>
        <v>0</v>
      </c>
      <c r="BG214" s="295">
        <f>'FREH LGV vkm'!AA214*'FREH Stock'!AA313</f>
        <v>0</v>
      </c>
      <c r="BH214" s="295">
        <f>'FREH LGV vkm'!AB214*'FREH Stock'!AB313</f>
        <v>0</v>
      </c>
      <c r="BI214" s="295">
        <f>'FREH LGV vkm'!AC214*'FREH Stock'!AC313</f>
        <v>0</v>
      </c>
      <c r="BJ214" s="295">
        <f>'FREH LGV vkm'!AD214*'FREH Stock'!AD313</f>
        <v>0</v>
      </c>
      <c r="BK214" s="296">
        <f>'FREH LGV vkm'!AE214*'FREH Stock'!AE313</f>
        <v>0</v>
      </c>
    </row>
    <row r="215" spans="1:63" ht="16.5" thickTop="1" thickBot="1">
      <c r="A215" s="1712"/>
      <c r="B215" s="300" t="s">
        <v>39</v>
      </c>
      <c r="C215" s="463">
        <f>SUMPRODUCT(C189:C214,'FREH Stock'!C288:C313)/'FREH Stock'!C314</f>
        <v>15101.430451324257</v>
      </c>
      <c r="D215" s="464">
        <f>SUMPRODUCT(D189:D214,'FREH Stock'!D288:D313)/'FREH Stock'!D314</f>
        <v>15243.274023387121</v>
      </c>
      <c r="E215" s="464">
        <f>SUMPRODUCT(E189:E214,'FREH Stock'!E288:E313)/'FREH Stock'!E314</f>
        <v>15393.476904331725</v>
      </c>
      <c r="F215" s="464">
        <f>SUMPRODUCT(F189:F214,'FREH Stock'!F288:F313)/'FREH Stock'!F314</f>
        <v>15599.956576362123</v>
      </c>
      <c r="G215" s="464">
        <f>SUMPRODUCT(G189:G214,'FREH Stock'!G288:G313)/'FREH Stock'!G314</f>
        <v>15756.792929441826</v>
      </c>
      <c r="H215" s="464">
        <f>SUMPRODUCT(H189:H214,'FREH Stock'!H288:H313)/'FREH Stock'!H314</f>
        <v>15837.471999337555</v>
      </c>
      <c r="I215" s="464">
        <f>SUMPRODUCT(I189:I214,'FREH Stock'!I288:I313)/'FREH Stock'!I314</f>
        <v>15810.612886984531</v>
      </c>
      <c r="J215" s="464">
        <f>SUMPRODUCT(J189:J214,'FREH Stock'!J288:J313)/'FREH Stock'!J314</f>
        <v>15810.612886984534</v>
      </c>
      <c r="K215" s="464">
        <f>SUMPRODUCT(K189:K214,'FREH Stock'!K288:K313)/'FREH Stock'!K314</f>
        <v>15810.612886984523</v>
      </c>
      <c r="L215" s="464">
        <f>SUMPRODUCT(L189:L214,'FREH Stock'!L288:L313)/'FREH Stock'!L314</f>
        <v>15810.612886984531</v>
      </c>
      <c r="M215" s="464">
        <f>SUMPRODUCT(M189:M214,'FREH Stock'!M288:M313)/'FREH Stock'!M314</f>
        <v>15810.612886984527</v>
      </c>
      <c r="N215" s="464">
        <f>SUMPRODUCT(N189:N214,'FREH Stock'!N288:N313)/'FREH Stock'!N314</f>
        <v>15810.612886984525</v>
      </c>
      <c r="O215" s="464">
        <f>SUMPRODUCT(O189:O214,'FREH Stock'!O288:O313)/'FREH Stock'!O314</f>
        <v>15810.612886984525</v>
      </c>
      <c r="P215" s="464">
        <f>SUMPRODUCT(P189:P214,'FREH Stock'!P288:P313)/'FREH Stock'!P314</f>
        <v>15810.612886984531</v>
      </c>
      <c r="Q215" s="464">
        <f>SUMPRODUCT(Q189:Q214,'FREH Stock'!Q288:Q313)/'FREH Stock'!Q314</f>
        <v>15810.612886984523</v>
      </c>
      <c r="R215" s="464">
        <f>SUMPRODUCT(R189:R214,'FREH Stock'!R288:R313)/'FREH Stock'!R314</f>
        <v>15810.612886984527</v>
      </c>
      <c r="S215" s="464">
        <f>SUMPRODUCT(S189:S214,'FREH Stock'!S288:S313)/'FREH Stock'!S314</f>
        <v>15810.612886984531</v>
      </c>
      <c r="T215" s="464">
        <f>SUMPRODUCT(T189:T214,'FREH Stock'!T288:T313)/'FREH Stock'!T314</f>
        <v>15810.612886984531</v>
      </c>
      <c r="U215" s="464">
        <f>SUMPRODUCT(U189:U214,'FREH Stock'!U288:U313)/'FREH Stock'!U314</f>
        <v>15810.612886984525</v>
      </c>
      <c r="V215" s="464">
        <f>SUMPRODUCT(V189:V214,'FREH Stock'!V288:V313)/'FREH Stock'!V314</f>
        <v>15810.612886984525</v>
      </c>
      <c r="W215" s="464">
        <f>SUMPRODUCT(W189:W214,'FREH Stock'!W288:W313)/'FREH Stock'!W314</f>
        <v>15810.612886984529</v>
      </c>
      <c r="X215" s="464">
        <f>SUMPRODUCT(X189:X214,'FREH Stock'!X288:X313)/'FREH Stock'!X314</f>
        <v>15810.612886984529</v>
      </c>
      <c r="Y215" s="464">
        <f>SUMPRODUCT(Y189:Y214,'FREH Stock'!Y288:Y313)/'FREH Stock'!Y314</f>
        <v>15810.612886984523</v>
      </c>
      <c r="Z215" s="464">
        <f>SUMPRODUCT(Z189:Z214,'FREH Stock'!Z288:Z313)/'FREH Stock'!Z314</f>
        <v>15810.612886984527</v>
      </c>
      <c r="AA215" s="464">
        <f>SUMPRODUCT(AA189:AA214,'FREH Stock'!AA288:AA313)/'FREH Stock'!AA314</f>
        <v>15810.612886984527</v>
      </c>
      <c r="AB215" s="464" t="e">
        <f>SUMPRODUCT(AB189:AB214,'FREH Stock'!AB288:AB313)/'FREH Stock'!AB314</f>
        <v>#DIV/0!</v>
      </c>
      <c r="AC215" s="464" t="e">
        <f>SUMPRODUCT(AC189:AC214,'FREH Stock'!AC288:AC313)/'FREH Stock'!AC314</f>
        <v>#DIV/0!</v>
      </c>
      <c r="AD215" s="464" t="e">
        <f>SUMPRODUCT(AD189:AD214,'FREH Stock'!AD288:AD313)/'FREH Stock'!AD314</f>
        <v>#DIV/0!</v>
      </c>
      <c r="AE215" s="465" t="e">
        <f>SUMPRODUCT(AE189:AE214,'FREH Stock'!AE288:AE313)/'FREH Stock'!AE314</f>
        <v>#DIV/0!</v>
      </c>
      <c r="AG215" s="1712"/>
      <c r="AH215" s="300" t="s">
        <v>39</v>
      </c>
      <c r="AI215" s="362">
        <f t="shared" ref="AI215:BK215" si="53">SUM(AI189:AI214)</f>
        <v>1999845152.437619</v>
      </c>
      <c r="AJ215" s="363">
        <f t="shared" si="53"/>
        <v>1680185604.7020018</v>
      </c>
      <c r="AK215" s="363">
        <f t="shared" si="53"/>
        <v>1405575003.5305302</v>
      </c>
      <c r="AL215" s="363">
        <f t="shared" si="53"/>
        <v>1160918099.9873896</v>
      </c>
      <c r="AM215" s="363">
        <f t="shared" si="53"/>
        <v>931507460.2630831</v>
      </c>
      <c r="AN215" s="363">
        <f t="shared" si="53"/>
        <v>719316096.31532073</v>
      </c>
      <c r="AO215" s="363">
        <f t="shared" si="53"/>
        <v>530395918.14575714</v>
      </c>
      <c r="AP215" s="363">
        <f t="shared" si="53"/>
        <v>374386654.02776814</v>
      </c>
      <c r="AQ215" s="363">
        <f t="shared" si="53"/>
        <v>251586803.65933692</v>
      </c>
      <c r="AR215" s="363">
        <f t="shared" si="53"/>
        <v>160712403.3601307</v>
      </c>
      <c r="AS215" s="363">
        <f t="shared" si="53"/>
        <v>97440546.105445608</v>
      </c>
      <c r="AT215" s="363">
        <f t="shared" si="53"/>
        <v>55602503.577271938</v>
      </c>
      <c r="AU215" s="363">
        <f t="shared" si="53"/>
        <v>29410121.542551044</v>
      </c>
      <c r="AV215" s="363">
        <f t="shared" si="53"/>
        <v>14253621.775933048</v>
      </c>
      <c r="AW215" s="363">
        <f t="shared" si="53"/>
        <v>6273379.541334548</v>
      </c>
      <c r="AX215" s="363">
        <f t="shared" si="53"/>
        <v>2514626.179935493</v>
      </c>
      <c r="AY215" s="363">
        <f t="shared" si="53"/>
        <v>915337.17447507742</v>
      </c>
      <c r="AZ215" s="363">
        <f t="shared" si="53"/>
        <v>298443.43699455669</v>
      </c>
      <c r="BA215" s="363">
        <f t="shared" si="53"/>
        <v>85690.462544545255</v>
      </c>
      <c r="BB215" s="363">
        <f t="shared" si="53"/>
        <v>21200.398737880976</v>
      </c>
      <c r="BC215" s="363">
        <f t="shared" si="53"/>
        <v>4389.7266501464173</v>
      </c>
      <c r="BD215" s="363">
        <f t="shared" si="53"/>
        <v>729.68907750463359</v>
      </c>
      <c r="BE215" s="363">
        <f t="shared" si="53"/>
        <v>91.232915927662191</v>
      </c>
      <c r="BF215" s="363">
        <f t="shared" si="53"/>
        <v>7.6232552984777984</v>
      </c>
      <c r="BG215" s="363">
        <f t="shared" si="53"/>
        <v>0.3191932529315476</v>
      </c>
      <c r="BH215" s="363">
        <f t="shared" si="53"/>
        <v>0</v>
      </c>
      <c r="BI215" s="363">
        <f t="shared" si="53"/>
        <v>0</v>
      </c>
      <c r="BJ215" s="363">
        <f t="shared" si="53"/>
        <v>0</v>
      </c>
      <c r="BK215" s="364">
        <f t="shared" si="53"/>
        <v>0</v>
      </c>
    </row>
  </sheetData>
  <mergeCells count="16">
    <mergeCell ref="AG188:AG215"/>
    <mergeCell ref="AG43:AG70"/>
    <mergeCell ref="AG72:AG99"/>
    <mergeCell ref="AG101:AG128"/>
    <mergeCell ref="AG130:AG157"/>
    <mergeCell ref="AG159:AG186"/>
    <mergeCell ref="A2:I2"/>
    <mergeCell ref="B3:H3"/>
    <mergeCell ref="A14:I14"/>
    <mergeCell ref="B15:H15"/>
    <mergeCell ref="A43:A70"/>
    <mergeCell ref="A72:A99"/>
    <mergeCell ref="A101:A128"/>
    <mergeCell ref="A130:A157"/>
    <mergeCell ref="A159:A186"/>
    <mergeCell ref="A188:A215"/>
  </mergeCells>
  <pageMargins left="0.7" right="0.7" top="0.75" bottom="0.75" header="0.3" footer="0.3"/>
  <legacy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2">
    <tabColor theme="5"/>
  </sheetPr>
  <dimension ref="A1:BJ174"/>
  <sheetViews>
    <sheetView topLeftCell="AB1" workbookViewId="0">
      <selection activeCell="AH12" sqref="AH12"/>
    </sheetView>
  </sheetViews>
  <sheetFormatPr defaultRowHeight="15"/>
  <cols>
    <col min="33" max="33" width="32.5703125" customWidth="1"/>
    <col min="34" max="34" width="14" bestFit="1" customWidth="1"/>
    <col min="35" max="35" width="13.5703125" bestFit="1" customWidth="1"/>
    <col min="36" max="36" width="13.140625" bestFit="1" customWidth="1"/>
    <col min="37" max="37" width="12.85546875" bestFit="1" customWidth="1"/>
    <col min="38" max="41" width="13.140625" bestFit="1" customWidth="1"/>
    <col min="42" max="42" width="12.85546875" bestFit="1" customWidth="1"/>
    <col min="43" max="43" width="12.42578125" bestFit="1" customWidth="1"/>
    <col min="44" max="45" width="12" bestFit="1" customWidth="1"/>
    <col min="46" max="46" width="11.5703125" bestFit="1" customWidth="1"/>
    <col min="47" max="48" width="10.140625" bestFit="1" customWidth="1"/>
    <col min="49" max="49" width="9.7109375" bestFit="1" customWidth="1"/>
    <col min="50" max="50" width="8.85546875" bestFit="1" customWidth="1"/>
    <col min="51" max="51" width="8.5703125" bestFit="1" customWidth="1"/>
    <col min="52" max="56" width="7.7109375" bestFit="1" customWidth="1"/>
    <col min="57" max="62" width="8.28515625" bestFit="1" customWidth="1"/>
  </cols>
  <sheetData>
    <row r="1" spans="1:62" ht="15.75" thickBot="1">
      <c r="A1" t="s">
        <v>225</v>
      </c>
    </row>
    <row r="2" spans="1:62" ht="15.75" customHeight="1" thickBot="1">
      <c r="A2" s="1710" t="s">
        <v>197</v>
      </c>
      <c r="B2" s="169" t="s">
        <v>10</v>
      </c>
      <c r="C2" s="288">
        <v>2012</v>
      </c>
      <c r="D2" s="347">
        <v>2013</v>
      </c>
      <c r="E2" s="347">
        <v>2014</v>
      </c>
      <c r="F2" s="288">
        <v>2015</v>
      </c>
      <c r="G2" s="347">
        <v>2016</v>
      </c>
      <c r="H2" s="347">
        <v>2017</v>
      </c>
      <c r="I2" s="288">
        <v>2018</v>
      </c>
      <c r="J2" s="347">
        <v>2019</v>
      </c>
      <c r="K2" s="347">
        <v>2020</v>
      </c>
      <c r="L2" s="288">
        <v>2021</v>
      </c>
      <c r="M2" s="347">
        <v>2022</v>
      </c>
      <c r="N2" s="347">
        <v>2023</v>
      </c>
      <c r="O2" s="288">
        <v>2024</v>
      </c>
      <c r="P2" s="347">
        <v>2025</v>
      </c>
      <c r="Q2" s="347">
        <v>2026</v>
      </c>
      <c r="R2" s="288">
        <v>2027</v>
      </c>
      <c r="S2" s="347">
        <v>2028</v>
      </c>
      <c r="T2" s="347">
        <v>2029</v>
      </c>
      <c r="U2" s="288">
        <v>2030</v>
      </c>
      <c r="V2" s="347">
        <v>2031</v>
      </c>
      <c r="W2" s="347">
        <v>2032</v>
      </c>
      <c r="X2" s="288">
        <v>2033</v>
      </c>
      <c r="Y2" s="347">
        <v>2034</v>
      </c>
      <c r="Z2" s="347">
        <v>2035</v>
      </c>
      <c r="AA2" s="288">
        <v>2036</v>
      </c>
      <c r="AB2" s="347">
        <v>2037</v>
      </c>
      <c r="AC2" s="347">
        <v>2038</v>
      </c>
      <c r="AD2" s="288">
        <v>2039</v>
      </c>
      <c r="AE2" s="348">
        <v>2040</v>
      </c>
      <c r="AG2" s="287" t="s">
        <v>832</v>
      </c>
      <c r="AH2" s="288">
        <v>2012</v>
      </c>
      <c r="AI2" s="289">
        <v>2013</v>
      </c>
      <c r="AJ2" s="289">
        <v>2014</v>
      </c>
      <c r="AK2" s="289">
        <v>2015</v>
      </c>
      <c r="AL2" s="288">
        <v>2016</v>
      </c>
      <c r="AM2" s="289">
        <v>2017</v>
      </c>
      <c r="AN2" s="289">
        <v>2018</v>
      </c>
      <c r="AO2" s="289">
        <v>2019</v>
      </c>
      <c r="AP2" s="288">
        <v>2020</v>
      </c>
      <c r="AQ2" s="289">
        <v>2021</v>
      </c>
      <c r="AR2" s="289">
        <v>2022</v>
      </c>
      <c r="AS2" s="289">
        <v>2023</v>
      </c>
      <c r="AT2" s="288">
        <v>2024</v>
      </c>
      <c r="AU2" s="289">
        <v>2025</v>
      </c>
      <c r="AV2" s="289">
        <v>2026</v>
      </c>
      <c r="AW2" s="289">
        <v>2027</v>
      </c>
      <c r="AX2" s="288">
        <v>2028</v>
      </c>
      <c r="AY2" s="289">
        <v>2029</v>
      </c>
      <c r="AZ2" s="289">
        <v>2030</v>
      </c>
      <c r="BA2" s="289">
        <v>2031</v>
      </c>
      <c r="BB2" s="288">
        <v>2032</v>
      </c>
      <c r="BC2" s="289">
        <v>2033</v>
      </c>
      <c r="BD2" s="289">
        <v>2034</v>
      </c>
      <c r="BE2" s="289">
        <v>2035</v>
      </c>
      <c r="BF2" s="288">
        <v>2036</v>
      </c>
      <c r="BG2" s="289">
        <v>2037</v>
      </c>
      <c r="BH2" s="289">
        <v>2038</v>
      </c>
      <c r="BI2" s="289">
        <v>2039</v>
      </c>
      <c r="BJ2" s="290">
        <v>2040</v>
      </c>
    </row>
    <row r="3" spans="1:62">
      <c r="A3" s="1711"/>
      <c r="B3" s="116">
        <v>0</v>
      </c>
      <c r="C3" s="329">
        <f>C90</f>
        <v>1.8391057142857143</v>
      </c>
      <c r="D3" s="330">
        <f t="shared" ref="D3:AE12" si="0">D90</f>
        <v>0</v>
      </c>
      <c r="E3" s="330">
        <f t="shared" si="0"/>
        <v>0</v>
      </c>
      <c r="F3" s="330">
        <f t="shared" si="0"/>
        <v>0</v>
      </c>
      <c r="G3" s="330">
        <f t="shared" si="0"/>
        <v>0</v>
      </c>
      <c r="H3" s="330">
        <f t="shared" si="0"/>
        <v>0</v>
      </c>
      <c r="I3" s="330">
        <f t="shared" si="0"/>
        <v>0</v>
      </c>
      <c r="J3" s="330">
        <f t="shared" si="0"/>
        <v>0</v>
      </c>
      <c r="K3" s="330">
        <f t="shared" si="0"/>
        <v>0</v>
      </c>
      <c r="L3" s="330">
        <f t="shared" si="0"/>
        <v>0</v>
      </c>
      <c r="M3" s="330">
        <f t="shared" si="0"/>
        <v>0</v>
      </c>
      <c r="N3" s="330">
        <f t="shared" si="0"/>
        <v>0</v>
      </c>
      <c r="O3" s="330">
        <f t="shared" si="0"/>
        <v>0</v>
      </c>
      <c r="P3" s="330">
        <f t="shared" si="0"/>
        <v>0</v>
      </c>
      <c r="Q3" s="330">
        <f t="shared" si="0"/>
        <v>0</v>
      </c>
      <c r="R3" s="330">
        <f t="shared" si="0"/>
        <v>0</v>
      </c>
      <c r="S3" s="330">
        <f t="shared" si="0"/>
        <v>0</v>
      </c>
      <c r="T3" s="330">
        <f t="shared" si="0"/>
        <v>0</v>
      </c>
      <c r="U3" s="330">
        <f t="shared" si="0"/>
        <v>0</v>
      </c>
      <c r="V3" s="330">
        <f t="shared" si="0"/>
        <v>0</v>
      </c>
      <c r="W3" s="330">
        <f t="shared" si="0"/>
        <v>0</v>
      </c>
      <c r="X3" s="330">
        <f t="shared" si="0"/>
        <v>0</v>
      </c>
      <c r="Y3" s="330">
        <f t="shared" si="0"/>
        <v>0</v>
      </c>
      <c r="Z3" s="330">
        <f t="shared" si="0"/>
        <v>0</v>
      </c>
      <c r="AA3" s="330">
        <f t="shared" si="0"/>
        <v>0</v>
      </c>
      <c r="AB3" s="330">
        <f t="shared" si="0"/>
        <v>0</v>
      </c>
      <c r="AC3" s="330">
        <f t="shared" si="0"/>
        <v>0</v>
      </c>
      <c r="AD3" s="330">
        <f t="shared" si="0"/>
        <v>0</v>
      </c>
      <c r="AE3" s="331">
        <f t="shared" si="0"/>
        <v>0</v>
      </c>
      <c r="AG3" s="130" t="s">
        <v>197</v>
      </c>
      <c r="AH3" s="313">
        <f>C29</f>
        <v>2.8839240351952418</v>
      </c>
      <c r="AI3" s="314">
        <f t="shared" ref="AI3:BJ3" si="1">D29</f>
        <v>2.87938349384503</v>
      </c>
      <c r="AJ3" s="314">
        <f t="shared" si="1"/>
        <v>2.8772237138339194</v>
      </c>
      <c r="AK3" s="314">
        <f t="shared" si="1"/>
        <v>2.8758191795487851</v>
      </c>
      <c r="AL3" s="314">
        <f t="shared" si="1"/>
        <v>2.8739023142313918</v>
      </c>
      <c r="AM3" s="314">
        <f t="shared" si="1"/>
        <v>2.8716544019643626</v>
      </c>
      <c r="AN3" s="314">
        <f t="shared" si="1"/>
        <v>2.8697601111951041</v>
      </c>
      <c r="AO3" s="314">
        <f t="shared" si="1"/>
        <v>2.8682786453560349</v>
      </c>
      <c r="AP3" s="314">
        <f t="shared" si="1"/>
        <v>2.8679880079822491</v>
      </c>
      <c r="AQ3" s="314">
        <f t="shared" si="1"/>
        <v>2.8683684804192984</v>
      </c>
      <c r="AR3" s="314">
        <f t="shared" si="1"/>
        <v>2.868805535423574</v>
      </c>
      <c r="AS3" s="314">
        <f t="shared" si="1"/>
        <v>2.8695476662937813</v>
      </c>
      <c r="AT3" s="314">
        <f t="shared" si="1"/>
        <v>2.8700862805554492</v>
      </c>
      <c r="AU3" s="314">
        <f t="shared" si="1"/>
        <v>2.8704073159501111</v>
      </c>
      <c r="AV3" s="314">
        <f t="shared" si="1"/>
        <v>2.8707298883820198</v>
      </c>
      <c r="AW3" s="314">
        <f t="shared" si="1"/>
        <v>2.8710426726617411</v>
      </c>
      <c r="AX3" s="314">
        <f t="shared" si="1"/>
        <v>2.8713355764345936</v>
      </c>
      <c r="AY3" s="314">
        <f t="shared" si="1"/>
        <v>2.8715995893526083</v>
      </c>
      <c r="AZ3" s="314">
        <f t="shared" si="1"/>
        <v>2.8718265982430458</v>
      </c>
      <c r="BA3" s="314">
        <f t="shared" si="1"/>
        <v>2.8720091972226642</v>
      </c>
      <c r="BB3" s="314">
        <f t="shared" si="1"/>
        <v>2.8721405199624526</v>
      </c>
      <c r="BC3" s="314">
        <f t="shared" si="1"/>
        <v>2.8722141242680865</v>
      </c>
      <c r="BD3" s="314">
        <f t="shared" si="1"/>
        <v>2.8722239659259268</v>
      </c>
      <c r="BE3" s="314" t="e">
        <f t="shared" si="1"/>
        <v>#DIV/0!</v>
      </c>
      <c r="BF3" s="314" t="e">
        <f t="shared" si="1"/>
        <v>#DIV/0!</v>
      </c>
      <c r="BG3" s="314" t="e">
        <f t="shared" si="1"/>
        <v>#DIV/0!</v>
      </c>
      <c r="BH3" s="314" t="e">
        <f t="shared" si="1"/>
        <v>#DIV/0!</v>
      </c>
      <c r="BI3" s="314" t="e">
        <f t="shared" si="1"/>
        <v>#DIV/0!</v>
      </c>
      <c r="BJ3" s="315" t="e">
        <f t="shared" si="1"/>
        <v>#DIV/0!</v>
      </c>
    </row>
    <row r="4" spans="1:62">
      <c r="A4" s="1711"/>
      <c r="B4" s="116">
        <v>1</v>
      </c>
      <c r="C4" s="332">
        <f t="shared" ref="C4:R19" si="2">C91</f>
        <v>2.2830866666666672</v>
      </c>
      <c r="D4" s="333">
        <f t="shared" si="2"/>
        <v>1.8391057142857143</v>
      </c>
      <c r="E4" s="333">
        <f t="shared" si="2"/>
        <v>0</v>
      </c>
      <c r="F4" s="333">
        <f t="shared" si="2"/>
        <v>0</v>
      </c>
      <c r="G4" s="333">
        <f t="shared" si="2"/>
        <v>0</v>
      </c>
      <c r="H4" s="333">
        <f t="shared" si="2"/>
        <v>0</v>
      </c>
      <c r="I4" s="333">
        <f t="shared" si="2"/>
        <v>0</v>
      </c>
      <c r="J4" s="333">
        <f t="shared" si="2"/>
        <v>0</v>
      </c>
      <c r="K4" s="333">
        <f t="shared" si="2"/>
        <v>0</v>
      </c>
      <c r="L4" s="333">
        <f t="shared" si="2"/>
        <v>0</v>
      </c>
      <c r="M4" s="333">
        <f t="shared" si="2"/>
        <v>0</v>
      </c>
      <c r="N4" s="333">
        <f t="shared" si="2"/>
        <v>0</v>
      </c>
      <c r="O4" s="333">
        <f t="shared" si="2"/>
        <v>0</v>
      </c>
      <c r="P4" s="333">
        <f t="shared" si="2"/>
        <v>0</v>
      </c>
      <c r="Q4" s="333">
        <f t="shared" si="2"/>
        <v>0</v>
      </c>
      <c r="R4" s="333">
        <f t="shared" si="2"/>
        <v>0</v>
      </c>
      <c r="S4" s="333">
        <f t="shared" si="0"/>
        <v>0</v>
      </c>
      <c r="T4" s="333">
        <f t="shared" si="0"/>
        <v>0</v>
      </c>
      <c r="U4" s="333">
        <f t="shared" si="0"/>
        <v>0</v>
      </c>
      <c r="V4" s="333">
        <f t="shared" si="0"/>
        <v>0</v>
      </c>
      <c r="W4" s="333">
        <f t="shared" si="0"/>
        <v>0</v>
      </c>
      <c r="X4" s="333">
        <f t="shared" si="0"/>
        <v>0</v>
      </c>
      <c r="Y4" s="333">
        <f t="shared" si="0"/>
        <v>0</v>
      </c>
      <c r="Z4" s="333">
        <f t="shared" si="0"/>
        <v>0</v>
      </c>
      <c r="AA4" s="333">
        <f t="shared" si="0"/>
        <v>0</v>
      </c>
      <c r="AB4" s="333">
        <f t="shared" si="0"/>
        <v>0</v>
      </c>
      <c r="AC4" s="333">
        <f t="shared" si="0"/>
        <v>0</v>
      </c>
      <c r="AD4" s="333">
        <f t="shared" si="0"/>
        <v>0</v>
      </c>
      <c r="AE4" s="334">
        <f t="shared" si="0"/>
        <v>0</v>
      </c>
      <c r="AG4" s="319" t="s">
        <v>198</v>
      </c>
      <c r="AH4" s="316">
        <f>C58</f>
        <v>3.3602438615800385</v>
      </c>
      <c r="AI4" s="317">
        <f t="shared" ref="AI4:BJ4" si="3">D58</f>
        <v>3.3652882170004128</v>
      </c>
      <c r="AJ4" s="317">
        <f t="shared" si="3"/>
        <v>3.359366951598755</v>
      </c>
      <c r="AK4" s="317">
        <f t="shared" si="3"/>
        <v>3.3451991653450897</v>
      </c>
      <c r="AL4" s="317">
        <f t="shared" si="3"/>
        <v>3.3223215166518614</v>
      </c>
      <c r="AM4" s="317">
        <f t="shared" si="3"/>
        <v>3.2871128165889907</v>
      </c>
      <c r="AN4" s="317">
        <f t="shared" si="3"/>
        <v>3.2362621743231048</v>
      </c>
      <c r="AO4" s="317">
        <f t="shared" si="3"/>
        <v>3.1649325240336483</v>
      </c>
      <c r="AP4" s="317">
        <f t="shared" si="3"/>
        <v>3.071145677352999</v>
      </c>
      <c r="AQ4" s="317">
        <f t="shared" si="3"/>
        <v>2.9544903950142092</v>
      </c>
      <c r="AR4" s="317">
        <f t="shared" si="3"/>
        <v>2.8158790299755596</v>
      </c>
      <c r="AS4" s="317">
        <f t="shared" si="3"/>
        <v>2.6686606562032109</v>
      </c>
      <c r="AT4" s="317">
        <f t="shared" si="3"/>
        <v>2.5297925230990512</v>
      </c>
      <c r="AU4" s="317">
        <f t="shared" si="3"/>
        <v>2.4132266993789204</v>
      </c>
      <c r="AV4" s="317">
        <f t="shared" si="3"/>
        <v>2.3379749787183761</v>
      </c>
      <c r="AW4" s="317">
        <f t="shared" si="3"/>
        <v>2.2768627205657919</v>
      </c>
      <c r="AX4" s="317">
        <f t="shared" si="3"/>
        <v>2.2175985287799205</v>
      </c>
      <c r="AY4" s="317">
        <f t="shared" si="3"/>
        <v>2.1606884608951469</v>
      </c>
      <c r="AZ4" s="317">
        <f t="shared" si="3"/>
        <v>2.1067305188519958</v>
      </c>
      <c r="BA4" s="317">
        <f t="shared" si="3"/>
        <v>2.0564696669903668</v>
      </c>
      <c r="BB4" s="317">
        <f t="shared" si="3"/>
        <v>2.0108751197792469</v>
      </c>
      <c r="BC4" s="317">
        <f t="shared" si="3"/>
        <v>1.9712557221480069</v>
      </c>
      <c r="BD4" s="317">
        <f t="shared" si="3"/>
        <v>1.9394446987878569</v>
      </c>
      <c r="BE4" s="317">
        <f t="shared" si="3"/>
        <v>1.9181180350139813</v>
      </c>
      <c r="BF4" s="317">
        <f t="shared" si="3"/>
        <v>1.9113873761206392</v>
      </c>
      <c r="BG4" s="317" t="e">
        <f t="shared" si="3"/>
        <v>#DIV/0!</v>
      </c>
      <c r="BH4" s="317" t="e">
        <f t="shared" si="3"/>
        <v>#DIV/0!</v>
      </c>
      <c r="BI4" s="317" t="e">
        <f t="shared" si="3"/>
        <v>#DIV/0!</v>
      </c>
      <c r="BJ4" s="318" t="e">
        <f t="shared" si="3"/>
        <v>#DIV/0!</v>
      </c>
    </row>
    <row r="5" spans="1:62">
      <c r="A5" s="1711"/>
      <c r="B5" s="116">
        <v>2</v>
      </c>
      <c r="C5" s="332">
        <f t="shared" si="2"/>
        <v>2.8722239659259268</v>
      </c>
      <c r="D5" s="333">
        <f t="shared" si="0"/>
        <v>2.2830866666666672</v>
      </c>
      <c r="E5" s="333">
        <f t="shared" si="0"/>
        <v>1.8391057142857143</v>
      </c>
      <c r="F5" s="333">
        <f t="shared" si="0"/>
        <v>0</v>
      </c>
      <c r="G5" s="333">
        <f t="shared" si="0"/>
        <v>0</v>
      </c>
      <c r="H5" s="333">
        <f t="shared" si="0"/>
        <v>0</v>
      </c>
      <c r="I5" s="333">
        <f t="shared" si="0"/>
        <v>0</v>
      </c>
      <c r="J5" s="333">
        <f t="shared" si="0"/>
        <v>0</v>
      </c>
      <c r="K5" s="333">
        <f t="shared" si="0"/>
        <v>0</v>
      </c>
      <c r="L5" s="333">
        <f t="shared" si="0"/>
        <v>0</v>
      </c>
      <c r="M5" s="333">
        <f t="shared" si="0"/>
        <v>0</v>
      </c>
      <c r="N5" s="333">
        <f t="shared" si="0"/>
        <v>0</v>
      </c>
      <c r="O5" s="333">
        <f t="shared" si="0"/>
        <v>0</v>
      </c>
      <c r="P5" s="333">
        <f t="shared" si="0"/>
        <v>0</v>
      </c>
      <c r="Q5" s="333">
        <f t="shared" si="0"/>
        <v>0</v>
      </c>
      <c r="R5" s="333">
        <f t="shared" si="0"/>
        <v>0</v>
      </c>
      <c r="S5" s="333">
        <f t="shared" si="0"/>
        <v>0</v>
      </c>
      <c r="T5" s="333">
        <f t="shared" si="0"/>
        <v>0</v>
      </c>
      <c r="U5" s="333">
        <f t="shared" si="0"/>
        <v>0</v>
      </c>
      <c r="V5" s="333">
        <f t="shared" si="0"/>
        <v>0</v>
      </c>
      <c r="W5" s="333">
        <f t="shared" si="0"/>
        <v>0</v>
      </c>
      <c r="X5" s="333">
        <f t="shared" si="0"/>
        <v>0</v>
      </c>
      <c r="Y5" s="333">
        <f t="shared" si="0"/>
        <v>0</v>
      </c>
      <c r="Z5" s="333">
        <f t="shared" si="0"/>
        <v>0</v>
      </c>
      <c r="AA5" s="333">
        <f t="shared" si="0"/>
        <v>0</v>
      </c>
      <c r="AB5" s="333">
        <f t="shared" si="0"/>
        <v>0</v>
      </c>
      <c r="AC5" s="333">
        <f t="shared" si="0"/>
        <v>0</v>
      </c>
      <c r="AD5" s="333">
        <f t="shared" si="0"/>
        <v>0</v>
      </c>
      <c r="AE5" s="334">
        <f t="shared" si="0"/>
        <v>0</v>
      </c>
      <c r="AG5" s="319" t="s">
        <v>199</v>
      </c>
      <c r="AH5" s="316">
        <f>C87</f>
        <v>3.657732771069917</v>
      </c>
      <c r="AI5" s="317">
        <f t="shared" ref="AI5:BJ5" si="4">D87</f>
        <v>3.6382386381938949</v>
      </c>
      <c r="AJ5" s="317">
        <f t="shared" si="4"/>
        <v>3.6145720705091953</v>
      </c>
      <c r="AK5" s="317">
        <f t="shared" si="4"/>
        <v>3.5878056385274815</v>
      </c>
      <c r="AL5" s="317">
        <f t="shared" si="4"/>
        <v>3.5584125845875536</v>
      </c>
      <c r="AM5" s="317">
        <f t="shared" si="4"/>
        <v>3.5250009546671048</v>
      </c>
      <c r="AN5" s="317">
        <f t="shared" si="4"/>
        <v>3.4861958305227669</v>
      </c>
      <c r="AO5" s="317">
        <f t="shared" si="4"/>
        <v>3.4421507165496923</v>
      </c>
      <c r="AP5" s="317">
        <f t="shared" si="4"/>
        <v>3.3943949047241735</v>
      </c>
      <c r="AQ5" s="317">
        <f t="shared" si="4"/>
        <v>3.342551953396443</v>
      </c>
      <c r="AR5" s="317">
        <f t="shared" si="4"/>
        <v>3.2878712676538671</v>
      </c>
      <c r="AS5" s="317">
        <f t="shared" si="4"/>
        <v>3.2357533241354997</v>
      </c>
      <c r="AT5" s="317">
        <f t="shared" si="4"/>
        <v>3.1875692750649214</v>
      </c>
      <c r="AU5" s="317">
        <f t="shared" si="4"/>
        <v>3.1466293669799632</v>
      </c>
      <c r="AV5" s="317">
        <f t="shared" si="4"/>
        <v>3.1105687290907102</v>
      </c>
      <c r="AW5" s="317">
        <f t="shared" si="4"/>
        <v>3.0757471637939915</v>
      </c>
      <c r="AX5" s="317">
        <f t="shared" si="4"/>
        <v>3.0413175944906454</v>
      </c>
      <c r="AY5" s="317">
        <f t="shared" si="4"/>
        <v>3.007042802390393</v>
      </c>
      <c r="AZ5" s="317">
        <f t="shared" si="4"/>
        <v>2.9725845916499307</v>
      </c>
      <c r="BA5" s="317">
        <f t="shared" si="4"/>
        <v>2.9374721119325158</v>
      </c>
      <c r="BB5" s="317">
        <f t="shared" si="4"/>
        <v>2.9010296006082994</v>
      </c>
      <c r="BC5" s="317">
        <f t="shared" si="4"/>
        <v>2.8622106342127136</v>
      </c>
      <c r="BD5" s="317">
        <f t="shared" si="4"/>
        <v>2.8191829596540812</v>
      </c>
      <c r="BE5" s="317">
        <f t="shared" si="4"/>
        <v>2.7680898683582851</v>
      </c>
      <c r="BF5" s="317">
        <f t="shared" si="4"/>
        <v>2.6980648353407952</v>
      </c>
      <c r="BG5" s="317" t="e">
        <f t="shared" si="4"/>
        <v>#DIV/0!</v>
      </c>
      <c r="BH5" s="317" t="e">
        <f t="shared" si="4"/>
        <v>#DIV/0!</v>
      </c>
      <c r="BI5" s="317" t="e">
        <f t="shared" si="4"/>
        <v>#DIV/0!</v>
      </c>
      <c r="BJ5" s="318" t="e">
        <f t="shared" si="4"/>
        <v>#DIV/0!</v>
      </c>
    </row>
    <row r="6" spans="1:62">
      <c r="A6" s="1711"/>
      <c r="B6" s="116">
        <v>3</v>
      </c>
      <c r="C6" s="332">
        <f t="shared" si="2"/>
        <v>2.8720420853348099</v>
      </c>
      <c r="D6" s="333">
        <f t="shared" si="0"/>
        <v>2.8722239659259268</v>
      </c>
      <c r="E6" s="333">
        <f t="shared" si="0"/>
        <v>2.2830866666666672</v>
      </c>
      <c r="F6" s="333">
        <f t="shared" si="0"/>
        <v>1.8391057142857143</v>
      </c>
      <c r="G6" s="333">
        <f t="shared" si="0"/>
        <v>0</v>
      </c>
      <c r="H6" s="333">
        <f t="shared" si="0"/>
        <v>0</v>
      </c>
      <c r="I6" s="333">
        <f t="shared" si="0"/>
        <v>0</v>
      </c>
      <c r="J6" s="333">
        <f t="shared" si="0"/>
        <v>0</v>
      </c>
      <c r="K6" s="333">
        <f t="shared" si="0"/>
        <v>0</v>
      </c>
      <c r="L6" s="333">
        <f t="shared" si="0"/>
        <v>0</v>
      </c>
      <c r="M6" s="333">
        <f t="shared" si="0"/>
        <v>0</v>
      </c>
      <c r="N6" s="333">
        <f t="shared" si="0"/>
        <v>0</v>
      </c>
      <c r="O6" s="333">
        <f t="shared" si="0"/>
        <v>0</v>
      </c>
      <c r="P6" s="333">
        <f t="shared" si="0"/>
        <v>0</v>
      </c>
      <c r="Q6" s="333">
        <f t="shared" si="0"/>
        <v>0</v>
      </c>
      <c r="R6" s="333">
        <f t="shared" si="0"/>
        <v>0</v>
      </c>
      <c r="S6" s="333">
        <f t="shared" si="0"/>
        <v>0</v>
      </c>
      <c r="T6" s="333">
        <f t="shared" si="0"/>
        <v>0</v>
      </c>
      <c r="U6" s="333">
        <f t="shared" si="0"/>
        <v>0</v>
      </c>
      <c r="V6" s="333">
        <f t="shared" si="0"/>
        <v>0</v>
      </c>
      <c r="W6" s="333">
        <f t="shared" si="0"/>
        <v>0</v>
      </c>
      <c r="X6" s="333">
        <f t="shared" si="0"/>
        <v>0</v>
      </c>
      <c r="Y6" s="333">
        <f t="shared" si="0"/>
        <v>0</v>
      </c>
      <c r="Z6" s="333">
        <f t="shared" si="0"/>
        <v>0</v>
      </c>
      <c r="AA6" s="333">
        <f t="shared" si="0"/>
        <v>0</v>
      </c>
      <c r="AB6" s="333">
        <f t="shared" si="0"/>
        <v>0</v>
      </c>
      <c r="AC6" s="333">
        <f t="shared" si="0"/>
        <v>0</v>
      </c>
      <c r="AD6" s="333">
        <f t="shared" si="0"/>
        <v>0</v>
      </c>
      <c r="AE6" s="334">
        <f t="shared" si="0"/>
        <v>0</v>
      </c>
      <c r="AG6" s="319" t="s">
        <v>203</v>
      </c>
      <c r="AH6" s="316">
        <f>C116</f>
        <v>2.7559484151280067</v>
      </c>
      <c r="AI6" s="317">
        <f t="shared" ref="AI6:BJ6" si="5">D116</f>
        <v>2.7621895554834079</v>
      </c>
      <c r="AJ6" s="317">
        <f t="shared" si="5"/>
        <v>2.7625321361241846</v>
      </c>
      <c r="AK6" s="317">
        <f t="shared" si="5"/>
        <v>2.7501932599606156</v>
      </c>
      <c r="AL6" s="317">
        <f t="shared" si="5"/>
        <v>2.7344873815781963</v>
      </c>
      <c r="AM6" s="317">
        <f t="shared" si="5"/>
        <v>2.7121985979483214</v>
      </c>
      <c r="AN6" s="317">
        <f t="shared" si="5"/>
        <v>2.6785244959843748</v>
      </c>
      <c r="AO6" s="317">
        <f t="shared" si="5"/>
        <v>2.6297824434152015</v>
      </c>
      <c r="AP6" s="317">
        <f t="shared" si="5"/>
        <v>2.5707906224755912</v>
      </c>
      <c r="AQ6" s="317">
        <f t="shared" si="5"/>
        <v>2.4994557583496921</v>
      </c>
      <c r="AR6" s="317">
        <f t="shared" si="5"/>
        <v>2.4131492448333578</v>
      </c>
      <c r="AS6" s="317">
        <f t="shared" si="5"/>
        <v>2.3169641656325095</v>
      </c>
      <c r="AT6" s="317">
        <f t="shared" si="5"/>
        <v>2.229676112969782</v>
      </c>
      <c r="AU6" s="317">
        <f t="shared" si="5"/>
        <v>2.1597216217558461</v>
      </c>
      <c r="AV6" s="317">
        <f t="shared" si="5"/>
        <v>2.0918307775364258</v>
      </c>
      <c r="AW6" s="317">
        <f t="shared" si="5"/>
        <v>2.0552051007937169</v>
      </c>
      <c r="AX6" s="317">
        <f t="shared" si="5"/>
        <v>2.0208641321682812</v>
      </c>
      <c r="AY6" s="317">
        <f t="shared" si="5"/>
        <v>1.9889667636531083</v>
      </c>
      <c r="AZ6" s="317">
        <f t="shared" si="5"/>
        <v>1.9596280464112084</v>
      </c>
      <c r="BA6" s="317">
        <f t="shared" si="5"/>
        <v>1.9329225527889553</v>
      </c>
      <c r="BB6" s="317">
        <f t="shared" si="5"/>
        <v>1.9088872949404141</v>
      </c>
      <c r="BC6" s="317">
        <f t="shared" si="5"/>
        <v>1.8875249715498843</v>
      </c>
      <c r="BD6" s="317">
        <f t="shared" si="5"/>
        <v>1.8688086534825532</v>
      </c>
      <c r="BE6" s="317">
        <f t="shared" si="5"/>
        <v>1.8526890960871236</v>
      </c>
      <c r="BF6" s="317">
        <f t="shared" si="5"/>
        <v>1.8391057142857143</v>
      </c>
      <c r="BG6" s="317" t="e">
        <f t="shared" si="5"/>
        <v>#DIV/0!</v>
      </c>
      <c r="BH6" s="317" t="e">
        <f t="shared" si="5"/>
        <v>#DIV/0!</v>
      </c>
      <c r="BI6" s="317" t="e">
        <f t="shared" si="5"/>
        <v>#DIV/0!</v>
      </c>
      <c r="BJ6" s="318" t="e">
        <f t="shared" si="5"/>
        <v>#DIV/0!</v>
      </c>
    </row>
    <row r="7" spans="1:62">
      <c r="A7" s="1711"/>
      <c r="B7" s="116">
        <v>4</v>
      </c>
      <c r="C7" s="332">
        <f t="shared" si="2"/>
        <v>2.8225110550566193</v>
      </c>
      <c r="D7" s="333">
        <f t="shared" si="0"/>
        <v>2.8720420853348099</v>
      </c>
      <c r="E7" s="333">
        <f t="shared" si="0"/>
        <v>2.8722239659259268</v>
      </c>
      <c r="F7" s="333">
        <f t="shared" si="0"/>
        <v>2.2830866666666672</v>
      </c>
      <c r="G7" s="333">
        <f t="shared" si="0"/>
        <v>1.8391057142857143</v>
      </c>
      <c r="H7" s="333">
        <f t="shared" si="0"/>
        <v>0</v>
      </c>
      <c r="I7" s="333">
        <f t="shared" si="0"/>
        <v>0</v>
      </c>
      <c r="J7" s="333">
        <f t="shared" si="0"/>
        <v>0</v>
      </c>
      <c r="K7" s="333">
        <f t="shared" si="0"/>
        <v>0</v>
      </c>
      <c r="L7" s="333">
        <f t="shared" si="0"/>
        <v>0</v>
      </c>
      <c r="M7" s="333">
        <f t="shared" si="0"/>
        <v>0</v>
      </c>
      <c r="N7" s="333">
        <f t="shared" si="0"/>
        <v>0</v>
      </c>
      <c r="O7" s="333">
        <f t="shared" si="0"/>
        <v>0</v>
      </c>
      <c r="P7" s="333">
        <f t="shared" si="0"/>
        <v>0</v>
      </c>
      <c r="Q7" s="333">
        <f t="shared" si="0"/>
        <v>0</v>
      </c>
      <c r="R7" s="333">
        <f t="shared" si="0"/>
        <v>0</v>
      </c>
      <c r="S7" s="333">
        <f t="shared" si="0"/>
        <v>0</v>
      </c>
      <c r="T7" s="333">
        <f t="shared" si="0"/>
        <v>0</v>
      </c>
      <c r="U7" s="333">
        <f t="shared" si="0"/>
        <v>0</v>
      </c>
      <c r="V7" s="333">
        <f t="shared" si="0"/>
        <v>0</v>
      </c>
      <c r="W7" s="333">
        <f t="shared" si="0"/>
        <v>0</v>
      </c>
      <c r="X7" s="333">
        <f t="shared" si="0"/>
        <v>0</v>
      </c>
      <c r="Y7" s="333">
        <f t="shared" si="0"/>
        <v>0</v>
      </c>
      <c r="Z7" s="333">
        <f t="shared" si="0"/>
        <v>0</v>
      </c>
      <c r="AA7" s="333">
        <f t="shared" si="0"/>
        <v>0</v>
      </c>
      <c r="AB7" s="333">
        <f t="shared" si="0"/>
        <v>0</v>
      </c>
      <c r="AC7" s="333">
        <f t="shared" si="0"/>
        <v>0</v>
      </c>
      <c r="AD7" s="333">
        <f t="shared" si="0"/>
        <v>0</v>
      </c>
      <c r="AE7" s="334">
        <f t="shared" si="0"/>
        <v>0</v>
      </c>
      <c r="AG7" s="319" t="s">
        <v>204</v>
      </c>
      <c r="AH7" s="316">
        <f>C145</f>
        <v>3.2447806722062031</v>
      </c>
      <c r="AI7" s="317">
        <f t="shared" ref="AI7:BJ7" si="6">D145</f>
        <v>3.2167213842786246</v>
      </c>
      <c r="AJ7" s="317">
        <f t="shared" si="6"/>
        <v>3.1832990303576834</v>
      </c>
      <c r="AK7" s="317">
        <f t="shared" si="6"/>
        <v>3.1412202761984465</v>
      </c>
      <c r="AL7" s="317">
        <f t="shared" si="6"/>
        <v>3.0852888694583784</v>
      </c>
      <c r="AM7" s="317">
        <f t="shared" si="6"/>
        <v>3.0083877378087349</v>
      </c>
      <c r="AN7" s="317">
        <f t="shared" si="6"/>
        <v>2.9075531577393789</v>
      </c>
      <c r="AO7" s="317">
        <f t="shared" si="6"/>
        <v>2.784493505346687</v>
      </c>
      <c r="AP7" s="317">
        <f t="shared" si="6"/>
        <v>2.6453000741170882</v>
      </c>
      <c r="AQ7" s="317">
        <f t="shared" si="6"/>
        <v>2.5014315631061366</v>
      </c>
      <c r="AR7" s="317">
        <f t="shared" si="6"/>
        <v>2.3617802599812019</v>
      </c>
      <c r="AS7" s="317">
        <f t="shared" si="6"/>
        <v>2.238565330179501</v>
      </c>
      <c r="AT7" s="317">
        <f t="shared" si="6"/>
        <v>2.1428626908308392</v>
      </c>
      <c r="AU7" s="317">
        <f t="shared" si="6"/>
        <v>2.0748760398671302</v>
      </c>
      <c r="AV7" s="317">
        <f t="shared" si="6"/>
        <v>2.0351337088783135</v>
      </c>
      <c r="AW7" s="317">
        <f t="shared" si="6"/>
        <v>2.011000380605378</v>
      </c>
      <c r="AX7" s="317">
        <f t="shared" si="6"/>
        <v>1.9896922275890097</v>
      </c>
      <c r="AY7" s="317">
        <f t="shared" si="6"/>
        <v>1.9711072673941683</v>
      </c>
      <c r="AZ7" s="317">
        <f t="shared" si="6"/>
        <v>1.9551534438586862</v>
      </c>
      <c r="BA7" s="317">
        <f t="shared" si="6"/>
        <v>1.9417519393646365</v>
      </c>
      <c r="BB7" s="317">
        <f t="shared" si="6"/>
        <v>1.9308392670351784</v>
      </c>
      <c r="BC7" s="317">
        <f t="shared" si="6"/>
        <v>1.9223683903649691</v>
      </c>
      <c r="BD7" s="317">
        <f t="shared" si="6"/>
        <v>1.9163091042061555</v>
      </c>
      <c r="BE7" s="317">
        <f t="shared" si="6"/>
        <v>1.9126478839130399</v>
      </c>
      <c r="BF7" s="317">
        <f t="shared" si="6"/>
        <v>1.9113873761206392</v>
      </c>
      <c r="BG7" s="317" t="e">
        <f t="shared" si="6"/>
        <v>#DIV/0!</v>
      </c>
      <c r="BH7" s="317" t="e">
        <f t="shared" si="6"/>
        <v>#DIV/0!</v>
      </c>
      <c r="BI7" s="317" t="e">
        <f t="shared" si="6"/>
        <v>#DIV/0!</v>
      </c>
      <c r="BJ7" s="318" t="e">
        <f t="shared" si="6"/>
        <v>#DIV/0!</v>
      </c>
    </row>
    <row r="8" spans="1:62" ht="15.75" thickBot="1">
      <c r="A8" s="1711"/>
      <c r="B8" s="116">
        <v>5</v>
      </c>
      <c r="C8" s="332">
        <f t="shared" si="2"/>
        <v>2.8453618087437746</v>
      </c>
      <c r="D8" s="333">
        <f t="shared" si="0"/>
        <v>2.8225110550566193</v>
      </c>
      <c r="E8" s="333">
        <f t="shared" si="0"/>
        <v>2.8720420853348099</v>
      </c>
      <c r="F8" s="333">
        <f t="shared" si="0"/>
        <v>2.8722239659259268</v>
      </c>
      <c r="G8" s="333">
        <f t="shared" si="0"/>
        <v>2.2830866666666672</v>
      </c>
      <c r="H8" s="333">
        <f t="shared" si="0"/>
        <v>1.8391057142857143</v>
      </c>
      <c r="I8" s="333">
        <f t="shared" si="0"/>
        <v>0</v>
      </c>
      <c r="J8" s="333">
        <f t="shared" si="0"/>
        <v>0</v>
      </c>
      <c r="K8" s="333">
        <f t="shared" si="0"/>
        <v>0</v>
      </c>
      <c r="L8" s="333">
        <f t="shared" si="0"/>
        <v>0</v>
      </c>
      <c r="M8" s="333">
        <f t="shared" si="0"/>
        <v>0</v>
      </c>
      <c r="N8" s="333">
        <f t="shared" si="0"/>
        <v>0</v>
      </c>
      <c r="O8" s="333">
        <f t="shared" si="0"/>
        <v>0</v>
      </c>
      <c r="P8" s="333">
        <f t="shared" si="0"/>
        <v>0</v>
      </c>
      <c r="Q8" s="333">
        <f t="shared" si="0"/>
        <v>0</v>
      </c>
      <c r="R8" s="333">
        <f t="shared" si="0"/>
        <v>0</v>
      </c>
      <c r="S8" s="333">
        <f t="shared" si="0"/>
        <v>0</v>
      </c>
      <c r="T8" s="333">
        <f t="shared" si="0"/>
        <v>0</v>
      </c>
      <c r="U8" s="333">
        <f t="shared" si="0"/>
        <v>0</v>
      </c>
      <c r="V8" s="333">
        <f t="shared" si="0"/>
        <v>0</v>
      </c>
      <c r="W8" s="333">
        <f t="shared" si="0"/>
        <v>0</v>
      </c>
      <c r="X8" s="333">
        <f t="shared" si="0"/>
        <v>0</v>
      </c>
      <c r="Y8" s="333">
        <f t="shared" si="0"/>
        <v>0</v>
      </c>
      <c r="Z8" s="333">
        <f t="shared" si="0"/>
        <v>0</v>
      </c>
      <c r="AA8" s="333">
        <f t="shared" si="0"/>
        <v>0</v>
      </c>
      <c r="AB8" s="333">
        <f t="shared" si="0"/>
        <v>0</v>
      </c>
      <c r="AC8" s="333">
        <f t="shared" si="0"/>
        <v>0</v>
      </c>
      <c r="AD8" s="333">
        <f t="shared" si="0"/>
        <v>0</v>
      </c>
      <c r="AE8" s="334">
        <f t="shared" si="0"/>
        <v>0</v>
      </c>
      <c r="AG8" s="320" t="s">
        <v>205</v>
      </c>
      <c r="AH8" s="321">
        <f>C174</f>
        <v>3.6694294317483842</v>
      </c>
      <c r="AI8" s="322">
        <f t="shared" ref="AI8:BJ8" si="7">D174</f>
        <v>3.6561872992389279</v>
      </c>
      <c r="AJ8" s="322">
        <f t="shared" si="7"/>
        <v>3.6403176098130907</v>
      </c>
      <c r="AK8" s="322">
        <f t="shared" si="7"/>
        <v>3.6205536120066704</v>
      </c>
      <c r="AL8" s="322">
        <f t="shared" si="7"/>
        <v>3.595195391647537</v>
      </c>
      <c r="AM8" s="322">
        <f t="shared" si="7"/>
        <v>3.5625889949403975</v>
      </c>
      <c r="AN8" s="322">
        <f t="shared" si="7"/>
        <v>3.5203858040914171</v>
      </c>
      <c r="AO8" s="322">
        <f t="shared" si="7"/>
        <v>3.4666890797707008</v>
      </c>
      <c r="AP8" s="322">
        <f t="shared" si="7"/>
        <v>3.4014584498385592</v>
      </c>
      <c r="AQ8" s="322">
        <f t="shared" si="7"/>
        <v>3.3255973389705948</v>
      </c>
      <c r="AR8" s="322">
        <f t="shared" si="7"/>
        <v>3.2412896191503551</v>
      </c>
      <c r="AS8" s="322">
        <f t="shared" si="7"/>
        <v>3.1565562270966439</v>
      </c>
      <c r="AT8" s="322">
        <f t="shared" si="7"/>
        <v>3.0791613522973544</v>
      </c>
      <c r="AU8" s="322">
        <f t="shared" si="7"/>
        <v>3.0132241621810141</v>
      </c>
      <c r="AV8" s="322">
        <f t="shared" si="7"/>
        <v>2.9593846457678969</v>
      </c>
      <c r="AW8" s="322">
        <f t="shared" si="7"/>
        <v>2.9129965485748541</v>
      </c>
      <c r="AX8" s="322">
        <f t="shared" si="7"/>
        <v>2.8716910703760012</v>
      </c>
      <c r="AY8" s="322">
        <f t="shared" si="7"/>
        <v>2.8354412230670571</v>
      </c>
      <c r="AZ8" s="322">
        <f t="shared" si="7"/>
        <v>2.8040078519846738</v>
      </c>
      <c r="BA8" s="322">
        <f t="shared" si="7"/>
        <v>2.7770370650429577</v>
      </c>
      <c r="BB8" s="322">
        <f t="shared" si="7"/>
        <v>2.754147498117518</v>
      </c>
      <c r="BC8" s="322">
        <f t="shared" si="7"/>
        <v>2.7349986560196831</v>
      </c>
      <c r="BD8" s="322">
        <f t="shared" si="7"/>
        <v>2.7193382037367115</v>
      </c>
      <c r="BE8" s="322">
        <f t="shared" si="7"/>
        <v>2.707029874727982</v>
      </c>
      <c r="BF8" s="322">
        <f t="shared" si="7"/>
        <v>2.6980648353407952</v>
      </c>
      <c r="BG8" s="322" t="e">
        <f t="shared" si="7"/>
        <v>#DIV/0!</v>
      </c>
      <c r="BH8" s="322" t="e">
        <f t="shared" si="7"/>
        <v>#DIV/0!</v>
      </c>
      <c r="BI8" s="322" t="e">
        <f t="shared" si="7"/>
        <v>#DIV/0!</v>
      </c>
      <c r="BJ8" s="323" t="e">
        <f t="shared" si="7"/>
        <v>#DIV/0!</v>
      </c>
    </row>
    <row r="9" spans="1:62" ht="15.75" thickBot="1">
      <c r="A9" s="1711"/>
      <c r="B9" s="116">
        <v>6</v>
      </c>
      <c r="C9" s="332">
        <f t="shared" si="2"/>
        <v>2.8974928678733041</v>
      </c>
      <c r="D9" s="333">
        <f t="shared" si="0"/>
        <v>2.8453618087437746</v>
      </c>
      <c r="E9" s="333">
        <f t="shared" si="0"/>
        <v>2.8225110550566193</v>
      </c>
      <c r="F9" s="333">
        <f t="shared" si="0"/>
        <v>2.8720420853348099</v>
      </c>
      <c r="G9" s="333">
        <f t="shared" si="0"/>
        <v>2.8722239659259268</v>
      </c>
      <c r="H9" s="333">
        <f t="shared" si="0"/>
        <v>2.2830866666666672</v>
      </c>
      <c r="I9" s="333">
        <f t="shared" si="0"/>
        <v>1.8391057142857143</v>
      </c>
      <c r="J9" s="333">
        <f t="shared" si="0"/>
        <v>0</v>
      </c>
      <c r="K9" s="333">
        <f t="shared" si="0"/>
        <v>0</v>
      </c>
      <c r="L9" s="333">
        <f t="shared" si="0"/>
        <v>0</v>
      </c>
      <c r="M9" s="333">
        <f t="shared" si="0"/>
        <v>0</v>
      </c>
      <c r="N9" s="333">
        <f t="shared" si="0"/>
        <v>0</v>
      </c>
      <c r="O9" s="333">
        <f t="shared" si="0"/>
        <v>0</v>
      </c>
      <c r="P9" s="333">
        <f t="shared" si="0"/>
        <v>0</v>
      </c>
      <c r="Q9" s="333">
        <f t="shared" si="0"/>
        <v>0</v>
      </c>
      <c r="R9" s="333">
        <f t="shared" si="0"/>
        <v>0</v>
      </c>
      <c r="S9" s="333">
        <f t="shared" si="0"/>
        <v>0</v>
      </c>
      <c r="T9" s="333">
        <f t="shared" si="0"/>
        <v>0</v>
      </c>
      <c r="U9" s="333">
        <f t="shared" si="0"/>
        <v>0</v>
      </c>
      <c r="V9" s="333">
        <f t="shared" si="0"/>
        <v>0</v>
      </c>
      <c r="W9" s="333">
        <f t="shared" si="0"/>
        <v>0</v>
      </c>
      <c r="X9" s="333">
        <f t="shared" si="0"/>
        <v>0</v>
      </c>
      <c r="Y9" s="333">
        <f t="shared" si="0"/>
        <v>0</v>
      </c>
      <c r="Z9" s="333">
        <f t="shared" si="0"/>
        <v>0</v>
      </c>
      <c r="AA9" s="333">
        <f t="shared" si="0"/>
        <v>0</v>
      </c>
      <c r="AB9" s="333">
        <f t="shared" si="0"/>
        <v>0</v>
      </c>
      <c r="AC9" s="333">
        <f t="shared" si="0"/>
        <v>0</v>
      </c>
      <c r="AD9" s="333">
        <f t="shared" si="0"/>
        <v>0</v>
      </c>
      <c r="AE9" s="334">
        <f t="shared" si="0"/>
        <v>0</v>
      </c>
    </row>
    <row r="10" spans="1:62" ht="15.75" thickBot="1">
      <c r="A10" s="1711"/>
      <c r="B10" s="116">
        <v>7</v>
      </c>
      <c r="C10" s="332">
        <f t="shared" si="2"/>
        <v>2.8955238732193735</v>
      </c>
      <c r="D10" s="333">
        <f t="shared" si="0"/>
        <v>2.8974928678733041</v>
      </c>
      <c r="E10" s="333">
        <f t="shared" si="0"/>
        <v>2.8453618087437746</v>
      </c>
      <c r="F10" s="333">
        <f t="shared" si="0"/>
        <v>2.8225110550566193</v>
      </c>
      <c r="G10" s="333">
        <f t="shared" si="0"/>
        <v>2.8720420853348099</v>
      </c>
      <c r="H10" s="333">
        <f t="shared" si="0"/>
        <v>2.8722239659259268</v>
      </c>
      <c r="I10" s="333">
        <f t="shared" si="0"/>
        <v>2.2830866666666672</v>
      </c>
      <c r="J10" s="333">
        <f t="shared" si="0"/>
        <v>1.8391057142857143</v>
      </c>
      <c r="K10" s="333">
        <f t="shared" si="0"/>
        <v>0</v>
      </c>
      <c r="L10" s="333">
        <f t="shared" si="0"/>
        <v>0</v>
      </c>
      <c r="M10" s="333">
        <f t="shared" si="0"/>
        <v>0</v>
      </c>
      <c r="N10" s="333">
        <f t="shared" si="0"/>
        <v>0</v>
      </c>
      <c r="O10" s="333">
        <f t="shared" si="0"/>
        <v>0</v>
      </c>
      <c r="P10" s="333">
        <f t="shared" si="0"/>
        <v>0</v>
      </c>
      <c r="Q10" s="333">
        <f t="shared" si="0"/>
        <v>0</v>
      </c>
      <c r="R10" s="333">
        <f t="shared" si="0"/>
        <v>0</v>
      </c>
      <c r="S10" s="333">
        <f t="shared" si="0"/>
        <v>0</v>
      </c>
      <c r="T10" s="333">
        <f t="shared" si="0"/>
        <v>0</v>
      </c>
      <c r="U10" s="333">
        <f t="shared" si="0"/>
        <v>0</v>
      </c>
      <c r="V10" s="333">
        <f t="shared" si="0"/>
        <v>0</v>
      </c>
      <c r="W10" s="333">
        <f t="shared" si="0"/>
        <v>0</v>
      </c>
      <c r="X10" s="333">
        <f t="shared" si="0"/>
        <v>0</v>
      </c>
      <c r="Y10" s="333">
        <f t="shared" si="0"/>
        <v>0</v>
      </c>
      <c r="Z10" s="333">
        <f t="shared" si="0"/>
        <v>0</v>
      </c>
      <c r="AA10" s="333">
        <f t="shared" si="0"/>
        <v>0</v>
      </c>
      <c r="AB10" s="333">
        <f t="shared" si="0"/>
        <v>0</v>
      </c>
      <c r="AC10" s="333">
        <f t="shared" si="0"/>
        <v>0</v>
      </c>
      <c r="AD10" s="333">
        <f t="shared" si="0"/>
        <v>0</v>
      </c>
      <c r="AE10" s="334">
        <f t="shared" si="0"/>
        <v>0</v>
      </c>
      <c r="AG10" s="287" t="s">
        <v>89</v>
      </c>
      <c r="AH10" s="288">
        <v>2012</v>
      </c>
      <c r="AI10" s="289">
        <v>2013</v>
      </c>
      <c r="AJ10" s="289">
        <v>2014</v>
      </c>
      <c r="AK10" s="289">
        <v>2015</v>
      </c>
      <c r="AL10" s="288">
        <v>2016</v>
      </c>
      <c r="AM10" s="289">
        <v>2017</v>
      </c>
      <c r="AN10" s="289">
        <v>2018</v>
      </c>
      <c r="AO10" s="289">
        <v>2019</v>
      </c>
      <c r="AP10" s="288">
        <v>2020</v>
      </c>
      <c r="AQ10" s="289">
        <v>2021</v>
      </c>
      <c r="AR10" s="289">
        <v>2022</v>
      </c>
      <c r="AS10" s="289">
        <v>2023</v>
      </c>
      <c r="AT10" s="288">
        <v>2024</v>
      </c>
      <c r="AU10" s="289">
        <v>2025</v>
      </c>
      <c r="AV10" s="289">
        <v>2026</v>
      </c>
      <c r="AW10" s="289">
        <v>2027</v>
      </c>
      <c r="AX10" s="288">
        <v>2028</v>
      </c>
      <c r="AY10" s="289">
        <v>2029</v>
      </c>
      <c r="AZ10" s="289">
        <v>2030</v>
      </c>
      <c r="BA10" s="289">
        <v>2031</v>
      </c>
      <c r="BB10" s="288">
        <v>2032</v>
      </c>
      <c r="BC10" s="289">
        <v>2033</v>
      </c>
      <c r="BD10" s="289">
        <v>2034</v>
      </c>
      <c r="BE10" s="289">
        <v>2035</v>
      </c>
      <c r="BF10" s="288">
        <v>2036</v>
      </c>
      <c r="BG10" s="289">
        <v>2037</v>
      </c>
      <c r="BH10" s="289">
        <v>2038</v>
      </c>
      <c r="BI10" s="289">
        <v>2039</v>
      </c>
      <c r="BJ10" s="290">
        <v>2040</v>
      </c>
    </row>
    <row r="11" spans="1:62">
      <c r="A11" s="1711"/>
      <c r="B11" s="116">
        <v>8</v>
      </c>
      <c r="C11" s="332">
        <f t="shared" si="2"/>
        <v>2.9275414384615388</v>
      </c>
      <c r="D11" s="333">
        <f t="shared" si="0"/>
        <v>2.8955238732193735</v>
      </c>
      <c r="E11" s="333">
        <f t="shared" si="0"/>
        <v>2.8974928678733041</v>
      </c>
      <c r="F11" s="333">
        <f t="shared" si="0"/>
        <v>2.8453618087437746</v>
      </c>
      <c r="G11" s="333">
        <f t="shared" si="0"/>
        <v>2.8225110550566193</v>
      </c>
      <c r="H11" s="333">
        <f t="shared" si="0"/>
        <v>2.8720420853348099</v>
      </c>
      <c r="I11" s="333">
        <f t="shared" si="0"/>
        <v>2.8722239659259268</v>
      </c>
      <c r="J11" s="333">
        <f t="shared" si="0"/>
        <v>2.2830866666666672</v>
      </c>
      <c r="K11" s="333">
        <f t="shared" si="0"/>
        <v>1.8391057142857143</v>
      </c>
      <c r="L11" s="333">
        <f t="shared" si="0"/>
        <v>0</v>
      </c>
      <c r="M11" s="333">
        <f t="shared" si="0"/>
        <v>0</v>
      </c>
      <c r="N11" s="333">
        <f t="shared" si="0"/>
        <v>0</v>
      </c>
      <c r="O11" s="333">
        <f t="shared" si="0"/>
        <v>0</v>
      </c>
      <c r="P11" s="333">
        <f t="shared" si="0"/>
        <v>0</v>
      </c>
      <c r="Q11" s="333">
        <f t="shared" si="0"/>
        <v>0</v>
      </c>
      <c r="R11" s="333">
        <f t="shared" si="0"/>
        <v>0</v>
      </c>
      <c r="S11" s="333">
        <f t="shared" si="0"/>
        <v>0</v>
      </c>
      <c r="T11" s="333">
        <f t="shared" si="0"/>
        <v>0</v>
      </c>
      <c r="U11" s="333">
        <f t="shared" si="0"/>
        <v>0</v>
      </c>
      <c r="V11" s="333">
        <f t="shared" si="0"/>
        <v>0</v>
      </c>
      <c r="W11" s="333">
        <f t="shared" si="0"/>
        <v>0</v>
      </c>
      <c r="X11" s="333">
        <f t="shared" si="0"/>
        <v>0</v>
      </c>
      <c r="Y11" s="333">
        <f t="shared" si="0"/>
        <v>0</v>
      </c>
      <c r="Z11" s="333">
        <f t="shared" si="0"/>
        <v>0</v>
      </c>
      <c r="AA11" s="333">
        <f t="shared" si="0"/>
        <v>0</v>
      </c>
      <c r="AB11" s="333">
        <f t="shared" si="0"/>
        <v>0</v>
      </c>
      <c r="AC11" s="333">
        <f t="shared" si="0"/>
        <v>0</v>
      </c>
      <c r="AD11" s="333">
        <f t="shared" si="0"/>
        <v>0</v>
      </c>
      <c r="AE11" s="334">
        <f t="shared" si="0"/>
        <v>0</v>
      </c>
      <c r="AG11" s="130" t="s">
        <v>197</v>
      </c>
      <c r="AH11" s="291">
        <v>22.993067828993588</v>
      </c>
      <c r="AI11" s="292">
        <v>15.27629911341327</v>
      </c>
      <c r="AJ11" s="292">
        <v>13.927207503685885</v>
      </c>
      <c r="AK11" s="292">
        <v>13.521398623203527</v>
      </c>
      <c r="AL11" s="292">
        <v>12.8776769938894</v>
      </c>
      <c r="AM11" s="292">
        <v>11.617573089997894</v>
      </c>
      <c r="AN11" s="292">
        <v>9.8597965191419696</v>
      </c>
      <c r="AO11" s="292">
        <v>7.8574548141171032</v>
      </c>
      <c r="AP11" s="292">
        <v>5.8709233527380817</v>
      </c>
      <c r="AQ11" s="292">
        <v>3.9687339944272901</v>
      </c>
      <c r="AR11" s="292">
        <v>2.3218813708303085</v>
      </c>
      <c r="AS11" s="292">
        <v>1.1734864840173977</v>
      </c>
      <c r="AT11" s="292">
        <v>0.51824745423908158</v>
      </c>
      <c r="AU11" s="292">
        <v>0.18906424609051484</v>
      </c>
      <c r="AV11" s="292">
        <v>6.2083242922416688E-2</v>
      </c>
      <c r="AW11" s="292">
        <v>1.8119529737531375E-2</v>
      </c>
      <c r="AX11" s="292">
        <v>4.6259516063032868E-3</v>
      </c>
      <c r="AY11" s="292">
        <v>1.0118091735048366E-3</v>
      </c>
      <c r="AZ11" s="292">
        <v>1.8429940770971849E-4</v>
      </c>
      <c r="BA11" s="292">
        <v>2.6832971569218883E-5</v>
      </c>
      <c r="BB11" s="292">
        <v>2.9270206046199573E-6</v>
      </c>
      <c r="BC11" s="292">
        <v>2.1260051345988851E-7</v>
      </c>
      <c r="BD11" s="292">
        <v>7.7102387082288035E-9</v>
      </c>
      <c r="BE11" s="292">
        <v>0</v>
      </c>
      <c r="BF11" s="292">
        <v>0</v>
      </c>
      <c r="BG11" s="292">
        <v>0</v>
      </c>
      <c r="BH11" s="292">
        <v>0</v>
      </c>
      <c r="BI11" s="292">
        <v>0</v>
      </c>
      <c r="BJ11" s="293">
        <v>0</v>
      </c>
    </row>
    <row r="12" spans="1:62">
      <c r="A12" s="1711"/>
      <c r="B12" s="116">
        <v>9</v>
      </c>
      <c r="C12" s="332">
        <f t="shared" si="2"/>
        <v>2.9430763881932021</v>
      </c>
      <c r="D12" s="333">
        <f t="shared" si="0"/>
        <v>2.9275414384615388</v>
      </c>
      <c r="E12" s="333">
        <f t="shared" si="0"/>
        <v>2.8955238732193735</v>
      </c>
      <c r="F12" s="333">
        <f t="shared" si="0"/>
        <v>2.8974928678733041</v>
      </c>
      <c r="G12" s="333">
        <f t="shared" si="0"/>
        <v>2.8453618087437746</v>
      </c>
      <c r="H12" s="333">
        <f t="shared" si="0"/>
        <v>2.8225110550566193</v>
      </c>
      <c r="I12" s="333">
        <f t="shared" si="0"/>
        <v>2.8720420853348099</v>
      </c>
      <c r="J12" s="333">
        <f t="shared" si="0"/>
        <v>2.8722239659259268</v>
      </c>
      <c r="K12" s="333">
        <f t="shared" si="0"/>
        <v>2.2830866666666672</v>
      </c>
      <c r="L12" s="333">
        <f t="shared" si="0"/>
        <v>1.8391057142857143</v>
      </c>
      <c r="M12" s="333">
        <f t="shared" si="0"/>
        <v>0</v>
      </c>
      <c r="N12" s="333">
        <f t="shared" si="0"/>
        <v>0</v>
      </c>
      <c r="O12" s="333">
        <f t="shared" si="0"/>
        <v>0</v>
      </c>
      <c r="P12" s="333">
        <f t="shared" si="0"/>
        <v>0</v>
      </c>
      <c r="Q12" s="333">
        <f t="shared" si="0"/>
        <v>0</v>
      </c>
      <c r="R12" s="333">
        <f t="shared" si="0"/>
        <v>0</v>
      </c>
      <c r="S12" s="333">
        <f t="shared" si="0"/>
        <v>0</v>
      </c>
      <c r="T12" s="333">
        <f t="shared" si="0"/>
        <v>0</v>
      </c>
      <c r="U12" s="333">
        <f t="shared" si="0"/>
        <v>0</v>
      </c>
      <c r="V12" s="333">
        <f t="shared" ref="D12:AE21" si="8">V99</f>
        <v>0</v>
      </c>
      <c r="W12" s="333">
        <f t="shared" si="8"/>
        <v>0</v>
      </c>
      <c r="X12" s="333">
        <f t="shared" si="8"/>
        <v>0</v>
      </c>
      <c r="Y12" s="333">
        <f t="shared" si="8"/>
        <v>0</v>
      </c>
      <c r="Z12" s="333">
        <f t="shared" si="8"/>
        <v>0</v>
      </c>
      <c r="AA12" s="333">
        <f t="shared" si="8"/>
        <v>0</v>
      </c>
      <c r="AB12" s="333">
        <f t="shared" si="8"/>
        <v>0</v>
      </c>
      <c r="AC12" s="333">
        <f t="shared" si="8"/>
        <v>0</v>
      </c>
      <c r="AD12" s="333">
        <f t="shared" si="8"/>
        <v>0</v>
      </c>
      <c r="AE12" s="334">
        <f t="shared" si="8"/>
        <v>0</v>
      </c>
      <c r="AG12" s="319" t="s">
        <v>198</v>
      </c>
      <c r="AH12" s="294">
        <v>418.96620566634374</v>
      </c>
      <c r="AI12" s="295">
        <v>271.60285016624289</v>
      </c>
      <c r="AJ12" s="295">
        <v>202.58004419653864</v>
      </c>
      <c r="AK12" s="295">
        <v>156.51628085129781</v>
      </c>
      <c r="AL12" s="295">
        <v>119.21448342166228</v>
      </c>
      <c r="AM12" s="295">
        <v>87.257714212357186</v>
      </c>
      <c r="AN12" s="295">
        <v>60.582515144047029</v>
      </c>
      <c r="AO12" s="295">
        <v>39.632290370063835</v>
      </c>
      <c r="AP12" s="295">
        <v>24.320618760806159</v>
      </c>
      <c r="AQ12" s="295">
        <v>13.906212742320378</v>
      </c>
      <c r="AR12" s="295">
        <v>7.3113778579307356</v>
      </c>
      <c r="AS12" s="295">
        <v>3.4574635853771856</v>
      </c>
      <c r="AT12" s="295">
        <v>1.4349704874073004</v>
      </c>
      <c r="AU12" s="295">
        <v>0.51490551932208695</v>
      </c>
      <c r="AV12" s="295">
        <v>0.15887244005368478</v>
      </c>
      <c r="AW12" s="295">
        <v>4.3452696494639918E-2</v>
      </c>
      <c r="AX12" s="295">
        <v>1.0693559482948084E-2</v>
      </c>
      <c r="AY12" s="295">
        <v>2.3367200326086354E-3</v>
      </c>
      <c r="AZ12" s="295">
        <v>4.4588656681522301E-4</v>
      </c>
      <c r="BA12" s="295">
        <v>7.2703522691648886E-5</v>
      </c>
      <c r="BB12" s="295">
        <v>9.8359387221017903E-6</v>
      </c>
      <c r="BC12" s="295">
        <v>1.0582867788063646E-6</v>
      </c>
      <c r="BD12" s="295">
        <v>8.4728783562319959E-8</v>
      </c>
      <c r="BE12" s="295">
        <v>4.4751062653177872E-9</v>
      </c>
      <c r="BF12" s="295">
        <v>1.1651622852332731E-10</v>
      </c>
      <c r="BG12" s="295">
        <v>0</v>
      </c>
      <c r="BH12" s="295">
        <v>0</v>
      </c>
      <c r="BI12" s="295">
        <v>0</v>
      </c>
      <c r="BJ12" s="296">
        <v>0</v>
      </c>
    </row>
    <row r="13" spans="1:62">
      <c r="A13" s="1711"/>
      <c r="B13" s="116">
        <v>10</v>
      </c>
      <c r="C13" s="332">
        <f t="shared" si="2"/>
        <v>2.954349688713156</v>
      </c>
      <c r="D13" s="333">
        <f t="shared" si="8"/>
        <v>2.9430763881932021</v>
      </c>
      <c r="E13" s="333">
        <f t="shared" si="8"/>
        <v>2.9275414384615388</v>
      </c>
      <c r="F13" s="333">
        <f t="shared" si="8"/>
        <v>2.8955238732193735</v>
      </c>
      <c r="G13" s="333">
        <f t="shared" si="8"/>
        <v>2.8974928678733041</v>
      </c>
      <c r="H13" s="333">
        <f t="shared" si="8"/>
        <v>2.8453618087437746</v>
      </c>
      <c r="I13" s="333">
        <f t="shared" si="8"/>
        <v>2.8225110550566193</v>
      </c>
      <c r="J13" s="333">
        <f t="shared" si="8"/>
        <v>2.8720420853348099</v>
      </c>
      <c r="K13" s="333">
        <f t="shared" si="8"/>
        <v>2.8722239659259268</v>
      </c>
      <c r="L13" s="333">
        <f t="shared" si="8"/>
        <v>2.2830866666666672</v>
      </c>
      <c r="M13" s="333">
        <f t="shared" si="8"/>
        <v>1.8391057142857143</v>
      </c>
      <c r="N13" s="333">
        <f t="shared" si="8"/>
        <v>0</v>
      </c>
      <c r="O13" s="333">
        <f t="shared" si="8"/>
        <v>0</v>
      </c>
      <c r="P13" s="333">
        <f t="shared" si="8"/>
        <v>0</v>
      </c>
      <c r="Q13" s="333">
        <f t="shared" si="8"/>
        <v>0</v>
      </c>
      <c r="R13" s="333">
        <f t="shared" si="8"/>
        <v>0</v>
      </c>
      <c r="S13" s="333">
        <f t="shared" si="8"/>
        <v>0</v>
      </c>
      <c r="T13" s="333">
        <f t="shared" si="8"/>
        <v>0</v>
      </c>
      <c r="U13" s="333">
        <f t="shared" si="8"/>
        <v>0</v>
      </c>
      <c r="V13" s="333">
        <f t="shared" si="8"/>
        <v>0</v>
      </c>
      <c r="W13" s="333">
        <f t="shared" si="8"/>
        <v>0</v>
      </c>
      <c r="X13" s="333">
        <f t="shared" si="8"/>
        <v>0</v>
      </c>
      <c r="Y13" s="333">
        <f t="shared" si="8"/>
        <v>0</v>
      </c>
      <c r="Z13" s="333">
        <f t="shared" si="8"/>
        <v>0</v>
      </c>
      <c r="AA13" s="333">
        <f t="shared" si="8"/>
        <v>0</v>
      </c>
      <c r="AB13" s="333">
        <f t="shared" si="8"/>
        <v>0</v>
      </c>
      <c r="AC13" s="333">
        <f t="shared" si="8"/>
        <v>0</v>
      </c>
      <c r="AD13" s="333">
        <f t="shared" si="8"/>
        <v>0</v>
      </c>
      <c r="AE13" s="334">
        <f t="shared" si="8"/>
        <v>0</v>
      </c>
      <c r="AG13" s="319" t="s">
        <v>199</v>
      </c>
      <c r="AH13" s="294">
        <v>194.98960174349037</v>
      </c>
      <c r="AI13" s="295">
        <v>139.17984793843945</v>
      </c>
      <c r="AJ13" s="295">
        <v>107.69346766465637</v>
      </c>
      <c r="AK13" s="295">
        <v>86.233798152063187</v>
      </c>
      <c r="AL13" s="295">
        <v>69.351860122859037</v>
      </c>
      <c r="AM13" s="295">
        <v>54.942310160348661</v>
      </c>
      <c r="AN13" s="295">
        <v>42.289248448724827</v>
      </c>
      <c r="AO13" s="295">
        <v>31.236588038347467</v>
      </c>
      <c r="AP13" s="295">
        <v>21.917585534508088</v>
      </c>
      <c r="AQ13" s="295">
        <v>14.530579787289259</v>
      </c>
      <c r="AR13" s="295">
        <v>8.9798082272967399</v>
      </c>
      <c r="AS13" s="295">
        <v>5.0916498335856755</v>
      </c>
      <c r="AT13" s="295">
        <v>2.619285869054067</v>
      </c>
      <c r="AU13" s="295">
        <v>1.2130939006746182</v>
      </c>
      <c r="AV13" s="295">
        <v>0.50843495295810281</v>
      </c>
      <c r="AW13" s="295">
        <v>0.19297652153577885</v>
      </c>
      <c r="AX13" s="295">
        <v>6.5637051252172479E-2</v>
      </c>
      <c r="AY13" s="295">
        <v>1.9711995754457211E-2</v>
      </c>
      <c r="AZ13" s="295">
        <v>5.1297960288075274E-3</v>
      </c>
      <c r="BA13" s="295">
        <v>1.128700611725302E-3</v>
      </c>
      <c r="BB13" s="295">
        <v>2.0301431939810216E-4</v>
      </c>
      <c r="BC13" s="295">
        <v>2.8419210147137434E-5</v>
      </c>
      <c r="BD13" s="295">
        <v>2.8635266733025719E-6</v>
      </c>
      <c r="BE13" s="295">
        <v>1.8000887874921143E-7</v>
      </c>
      <c r="BF13" s="295">
        <v>5.0033566137494323E-9</v>
      </c>
      <c r="BG13" s="295">
        <v>0</v>
      </c>
      <c r="BH13" s="295">
        <v>0</v>
      </c>
      <c r="BI13" s="295">
        <v>0</v>
      </c>
      <c r="BJ13" s="296">
        <v>0</v>
      </c>
    </row>
    <row r="14" spans="1:62">
      <c r="A14" s="1711"/>
      <c r="B14" s="116">
        <v>11</v>
      </c>
      <c r="C14" s="332">
        <f t="shared" si="2"/>
        <v>2.9321105413237931</v>
      </c>
      <c r="D14" s="333">
        <f t="shared" si="8"/>
        <v>2.954349688713156</v>
      </c>
      <c r="E14" s="333">
        <f t="shared" si="8"/>
        <v>2.9430763881932021</v>
      </c>
      <c r="F14" s="333">
        <f t="shared" si="8"/>
        <v>2.9275414384615388</v>
      </c>
      <c r="G14" s="333">
        <f t="shared" si="8"/>
        <v>2.8955238732193735</v>
      </c>
      <c r="H14" s="333">
        <f t="shared" si="8"/>
        <v>2.8974928678733041</v>
      </c>
      <c r="I14" s="333">
        <f t="shared" si="8"/>
        <v>2.8453618087437746</v>
      </c>
      <c r="J14" s="333">
        <f t="shared" si="8"/>
        <v>2.8225110550566193</v>
      </c>
      <c r="K14" s="333">
        <f t="shared" si="8"/>
        <v>2.8720420853348099</v>
      </c>
      <c r="L14" s="333">
        <f t="shared" si="8"/>
        <v>2.8722239659259268</v>
      </c>
      <c r="M14" s="333">
        <f t="shared" si="8"/>
        <v>2.2830866666666672</v>
      </c>
      <c r="N14" s="333">
        <f t="shared" si="8"/>
        <v>1.8391057142857143</v>
      </c>
      <c r="O14" s="333">
        <f t="shared" si="8"/>
        <v>0</v>
      </c>
      <c r="P14" s="333">
        <f t="shared" si="8"/>
        <v>0</v>
      </c>
      <c r="Q14" s="333">
        <f t="shared" si="8"/>
        <v>0</v>
      </c>
      <c r="R14" s="333">
        <f t="shared" si="8"/>
        <v>0</v>
      </c>
      <c r="S14" s="333">
        <f t="shared" si="8"/>
        <v>0</v>
      </c>
      <c r="T14" s="333">
        <f t="shared" si="8"/>
        <v>0</v>
      </c>
      <c r="U14" s="333">
        <f t="shared" si="8"/>
        <v>0</v>
      </c>
      <c r="V14" s="333">
        <f t="shared" si="8"/>
        <v>0</v>
      </c>
      <c r="W14" s="333">
        <f t="shared" si="8"/>
        <v>0</v>
      </c>
      <c r="X14" s="333">
        <f t="shared" si="8"/>
        <v>0</v>
      </c>
      <c r="Y14" s="333">
        <f t="shared" si="8"/>
        <v>0</v>
      </c>
      <c r="Z14" s="333">
        <f t="shared" si="8"/>
        <v>0</v>
      </c>
      <c r="AA14" s="333">
        <f t="shared" si="8"/>
        <v>0</v>
      </c>
      <c r="AB14" s="333">
        <f t="shared" si="8"/>
        <v>0</v>
      </c>
      <c r="AC14" s="333">
        <f t="shared" si="8"/>
        <v>0</v>
      </c>
      <c r="AD14" s="333">
        <f t="shared" si="8"/>
        <v>0</v>
      </c>
      <c r="AE14" s="334">
        <f t="shared" si="8"/>
        <v>0</v>
      </c>
      <c r="AG14" s="319" t="s">
        <v>203</v>
      </c>
      <c r="AH14" s="294">
        <v>1743.993934350369</v>
      </c>
      <c r="AI14" s="295">
        <v>1725.737674865414</v>
      </c>
      <c r="AJ14" s="295">
        <v>1707.003710620635</v>
      </c>
      <c r="AK14" s="295">
        <v>1672.7881255505717</v>
      </c>
      <c r="AL14" s="295">
        <v>1596.2583701431065</v>
      </c>
      <c r="AM14" s="295">
        <v>1457.8946544132202</v>
      </c>
      <c r="AN14" s="295">
        <v>1265.799736185354</v>
      </c>
      <c r="AO14" s="295">
        <v>1038.1601698146781</v>
      </c>
      <c r="AP14" s="295">
        <v>804.79513007277114</v>
      </c>
      <c r="AQ14" s="295">
        <v>581.73313297476273</v>
      </c>
      <c r="AR14" s="295">
        <v>393.15517432830757</v>
      </c>
      <c r="AS14" s="295">
        <v>243.18380528089241</v>
      </c>
      <c r="AT14" s="295">
        <v>134.9177755312933</v>
      </c>
      <c r="AU14" s="295">
        <v>64.684098443835524</v>
      </c>
      <c r="AV14" s="295">
        <v>28.066662235848582</v>
      </c>
      <c r="AW14" s="295">
        <v>10.091979760699463</v>
      </c>
      <c r="AX14" s="295">
        <v>3.2784788459201066</v>
      </c>
      <c r="AY14" s="295">
        <v>0.95016156604580704</v>
      </c>
      <c r="AZ14" s="295">
        <v>0.24178405575850465</v>
      </c>
      <c r="BA14" s="295">
        <v>5.2908508973100454E-2</v>
      </c>
      <c r="BB14" s="295">
        <v>9.677780900395767E-3</v>
      </c>
      <c r="BC14" s="295">
        <v>1.4202693976620353E-3</v>
      </c>
      <c r="BD14" s="295">
        <v>1.5674909049611708E-4</v>
      </c>
      <c r="BE14" s="295">
        <v>1.1562536301116267E-5</v>
      </c>
      <c r="BF14" s="295">
        <v>4.27473152480929E-7</v>
      </c>
      <c r="BG14" s="295">
        <v>0</v>
      </c>
      <c r="BH14" s="295">
        <v>0</v>
      </c>
      <c r="BI14" s="295">
        <v>0</v>
      </c>
      <c r="BJ14" s="296">
        <v>0</v>
      </c>
    </row>
    <row r="15" spans="1:62">
      <c r="A15" s="1711"/>
      <c r="B15" s="116">
        <v>12</v>
      </c>
      <c r="C15" s="332">
        <f t="shared" si="2"/>
        <v>2.7514660800000006</v>
      </c>
      <c r="D15" s="333">
        <f t="shared" si="8"/>
        <v>2.9321105413237931</v>
      </c>
      <c r="E15" s="333">
        <f t="shared" si="8"/>
        <v>2.954349688713156</v>
      </c>
      <c r="F15" s="333">
        <f t="shared" si="8"/>
        <v>2.9430763881932021</v>
      </c>
      <c r="G15" s="333">
        <f t="shared" si="8"/>
        <v>2.9275414384615388</v>
      </c>
      <c r="H15" s="333">
        <f t="shared" si="8"/>
        <v>2.8955238732193735</v>
      </c>
      <c r="I15" s="333">
        <f t="shared" si="8"/>
        <v>2.8974928678733041</v>
      </c>
      <c r="J15" s="333">
        <f t="shared" si="8"/>
        <v>2.8453618087437746</v>
      </c>
      <c r="K15" s="333">
        <f t="shared" si="8"/>
        <v>2.8225110550566193</v>
      </c>
      <c r="L15" s="333">
        <f t="shared" si="8"/>
        <v>2.8720420853348099</v>
      </c>
      <c r="M15" s="333">
        <f t="shared" si="8"/>
        <v>2.8722239659259268</v>
      </c>
      <c r="N15" s="333">
        <f t="shared" si="8"/>
        <v>2.2830866666666672</v>
      </c>
      <c r="O15" s="333">
        <f t="shared" si="8"/>
        <v>1.8391057142857143</v>
      </c>
      <c r="P15" s="333">
        <f t="shared" si="8"/>
        <v>0</v>
      </c>
      <c r="Q15" s="333">
        <f t="shared" si="8"/>
        <v>0</v>
      </c>
      <c r="R15" s="333">
        <f t="shared" si="8"/>
        <v>0</v>
      </c>
      <c r="S15" s="333">
        <f t="shared" si="8"/>
        <v>0</v>
      </c>
      <c r="T15" s="333">
        <f t="shared" si="8"/>
        <v>0</v>
      </c>
      <c r="U15" s="333">
        <f t="shared" si="8"/>
        <v>0</v>
      </c>
      <c r="V15" s="333">
        <f t="shared" si="8"/>
        <v>0</v>
      </c>
      <c r="W15" s="333">
        <f t="shared" si="8"/>
        <v>0</v>
      </c>
      <c r="X15" s="333">
        <f t="shared" si="8"/>
        <v>0</v>
      </c>
      <c r="Y15" s="333">
        <f t="shared" si="8"/>
        <v>0</v>
      </c>
      <c r="Z15" s="333">
        <f t="shared" si="8"/>
        <v>0</v>
      </c>
      <c r="AA15" s="333">
        <f t="shared" si="8"/>
        <v>0</v>
      </c>
      <c r="AB15" s="333">
        <f t="shared" si="8"/>
        <v>0</v>
      </c>
      <c r="AC15" s="333">
        <f t="shared" si="8"/>
        <v>0</v>
      </c>
      <c r="AD15" s="333">
        <f t="shared" si="8"/>
        <v>0</v>
      </c>
      <c r="AE15" s="334">
        <f t="shared" si="8"/>
        <v>0</v>
      </c>
      <c r="AG15" s="319" t="s">
        <v>204</v>
      </c>
      <c r="AH15" s="294">
        <v>97938.311982027619</v>
      </c>
      <c r="AI15" s="295">
        <v>80195.786017818245</v>
      </c>
      <c r="AJ15" s="295">
        <v>67747.342668778394</v>
      </c>
      <c r="AK15" s="295">
        <v>57455.512284590375</v>
      </c>
      <c r="AL15" s="295">
        <v>48059.772074481807</v>
      </c>
      <c r="AM15" s="295">
        <v>39094.464144803002</v>
      </c>
      <c r="AN15" s="295">
        <v>30681.890736684345</v>
      </c>
      <c r="AO15" s="295">
        <v>23107.161274878079</v>
      </c>
      <c r="AP15" s="295">
        <v>16593.035913012925</v>
      </c>
      <c r="AQ15" s="295">
        <v>11227.272616876655</v>
      </c>
      <c r="AR15" s="295">
        <v>7043.7858206188976</v>
      </c>
      <c r="AS15" s="295">
        <v>3999.3484662648511</v>
      </c>
      <c r="AT15" s="295">
        <v>1984.4176748840337</v>
      </c>
      <c r="AU15" s="295">
        <v>836.7971972513011</v>
      </c>
      <c r="AV15" s="295">
        <v>295.8322354896161</v>
      </c>
      <c r="AW15" s="295">
        <v>87.877169651932732</v>
      </c>
      <c r="AX15" s="295">
        <v>23.534987430903076</v>
      </c>
      <c r="AY15" s="295">
        <v>5.6115174094950184</v>
      </c>
      <c r="AZ15" s="295">
        <v>1.172362891660073</v>
      </c>
      <c r="BA15" s="295">
        <v>0.21020375906649252</v>
      </c>
      <c r="BB15" s="295">
        <v>3.1443165797142382E-2</v>
      </c>
      <c r="BC15" s="295">
        <v>3.7665539745981307E-3</v>
      </c>
      <c r="BD15" s="295">
        <v>3.3870902407027851E-4</v>
      </c>
      <c r="BE15" s="295">
        <v>2.0323088898894128E-5</v>
      </c>
      <c r="BF15" s="295">
        <v>6.1019548877666456E-7</v>
      </c>
      <c r="BG15" s="295">
        <v>0</v>
      </c>
      <c r="BH15" s="295">
        <v>0</v>
      </c>
      <c r="BI15" s="295">
        <v>0</v>
      </c>
      <c r="BJ15" s="296">
        <v>0</v>
      </c>
    </row>
    <row r="16" spans="1:62" ht="15.75" thickBot="1">
      <c r="A16" s="1711"/>
      <c r="B16" s="116">
        <v>13</v>
      </c>
      <c r="C16" s="332">
        <f t="shared" si="2"/>
        <v>2.8974162800000007</v>
      </c>
      <c r="D16" s="333">
        <f t="shared" si="8"/>
        <v>2.7514660800000006</v>
      </c>
      <c r="E16" s="333">
        <f t="shared" si="8"/>
        <v>2.9321105413237931</v>
      </c>
      <c r="F16" s="333">
        <f t="shared" si="8"/>
        <v>2.954349688713156</v>
      </c>
      <c r="G16" s="333">
        <f t="shared" si="8"/>
        <v>2.9430763881932021</v>
      </c>
      <c r="H16" s="333">
        <f t="shared" si="8"/>
        <v>2.9275414384615388</v>
      </c>
      <c r="I16" s="333">
        <f t="shared" si="8"/>
        <v>2.8955238732193735</v>
      </c>
      <c r="J16" s="333">
        <f t="shared" si="8"/>
        <v>2.8974928678733041</v>
      </c>
      <c r="K16" s="333">
        <f t="shared" si="8"/>
        <v>2.8453618087437746</v>
      </c>
      <c r="L16" s="333">
        <f t="shared" si="8"/>
        <v>2.8225110550566193</v>
      </c>
      <c r="M16" s="333">
        <f t="shared" si="8"/>
        <v>2.8720420853348099</v>
      </c>
      <c r="N16" s="333">
        <f t="shared" si="8"/>
        <v>2.8722239659259268</v>
      </c>
      <c r="O16" s="333">
        <f t="shared" si="8"/>
        <v>2.2830866666666672</v>
      </c>
      <c r="P16" s="333">
        <f t="shared" si="8"/>
        <v>1.8391057142857143</v>
      </c>
      <c r="Q16" s="333">
        <f t="shared" si="8"/>
        <v>0</v>
      </c>
      <c r="R16" s="333">
        <f t="shared" si="8"/>
        <v>0</v>
      </c>
      <c r="S16" s="333">
        <f t="shared" si="8"/>
        <v>0</v>
      </c>
      <c r="T16" s="333">
        <f t="shared" si="8"/>
        <v>0</v>
      </c>
      <c r="U16" s="333">
        <f t="shared" si="8"/>
        <v>0</v>
      </c>
      <c r="V16" s="333">
        <f t="shared" si="8"/>
        <v>0</v>
      </c>
      <c r="W16" s="333">
        <f t="shared" si="8"/>
        <v>0</v>
      </c>
      <c r="X16" s="333">
        <f t="shared" si="8"/>
        <v>0</v>
      </c>
      <c r="Y16" s="333">
        <f t="shared" si="8"/>
        <v>0</v>
      </c>
      <c r="Z16" s="333">
        <f t="shared" si="8"/>
        <v>0</v>
      </c>
      <c r="AA16" s="333">
        <f t="shared" si="8"/>
        <v>0</v>
      </c>
      <c r="AB16" s="333">
        <f t="shared" si="8"/>
        <v>0</v>
      </c>
      <c r="AC16" s="333">
        <f t="shared" si="8"/>
        <v>0</v>
      </c>
      <c r="AD16" s="333">
        <f t="shared" si="8"/>
        <v>0</v>
      </c>
      <c r="AE16" s="334">
        <f t="shared" si="8"/>
        <v>0</v>
      </c>
      <c r="AG16" s="320" t="s">
        <v>205</v>
      </c>
      <c r="AH16" s="335">
        <v>132427.53121193568</v>
      </c>
      <c r="AI16" s="336">
        <v>110224.71957954459</v>
      </c>
      <c r="AJ16" s="336">
        <v>91309.780906937362</v>
      </c>
      <c r="AK16" s="336">
        <v>74418.03406981747</v>
      </c>
      <c r="AL16" s="336">
        <v>59117.833459786481</v>
      </c>
      <c r="AM16" s="336">
        <v>45418.618346754338</v>
      </c>
      <c r="AN16" s="336">
        <v>33546.828445998122</v>
      </c>
      <c r="AO16" s="336">
        <v>23679.452321292822</v>
      </c>
      <c r="AP16" s="336">
        <v>15912.526949948035</v>
      </c>
      <c r="AQ16" s="336">
        <v>10164.843356099807</v>
      </c>
      <c r="AR16" s="336">
        <v>6162.9834846984177</v>
      </c>
      <c r="AS16" s="336">
        <v>3516.7835665020011</v>
      </c>
      <c r="AT16" s="336">
        <v>1860.1506312738697</v>
      </c>
      <c r="AU16" s="336">
        <v>901.52240636204465</v>
      </c>
      <c r="AV16" s="336">
        <v>396.78281836239665</v>
      </c>
      <c r="AW16" s="336">
        <v>159.0467237361533</v>
      </c>
      <c r="AX16" s="336">
        <v>57.893845167039224</v>
      </c>
      <c r="AY16" s="336">
        <v>18.876145986740248</v>
      </c>
      <c r="AZ16" s="336">
        <v>5.4198065032056162</v>
      </c>
      <c r="BA16" s="336">
        <v>1.3408967058660568</v>
      </c>
      <c r="BB16" s="336">
        <v>0.27764430648732719</v>
      </c>
      <c r="BC16" s="336">
        <v>4.6151852728322867E-2</v>
      </c>
      <c r="BD16" s="336">
        <v>5.7703592251484546E-3</v>
      </c>
      <c r="BE16" s="336">
        <v>4.8216064443354676E-4</v>
      </c>
      <c r="BF16" s="336">
        <v>2.0188543936478962E-5</v>
      </c>
      <c r="BG16" s="336">
        <v>0</v>
      </c>
      <c r="BH16" s="336">
        <v>0</v>
      </c>
      <c r="BI16" s="336">
        <v>0</v>
      </c>
      <c r="BJ16" s="337">
        <v>0</v>
      </c>
    </row>
    <row r="17" spans="1:31">
      <c r="A17" s="1711"/>
      <c r="B17" s="116">
        <v>14</v>
      </c>
      <c r="C17" s="332">
        <f t="shared" si="2"/>
        <v>2.7660611000000004</v>
      </c>
      <c r="D17" s="333">
        <f t="shared" si="8"/>
        <v>2.8974162800000007</v>
      </c>
      <c r="E17" s="333">
        <f t="shared" si="8"/>
        <v>2.7514660800000006</v>
      </c>
      <c r="F17" s="333">
        <f t="shared" si="8"/>
        <v>2.9321105413237931</v>
      </c>
      <c r="G17" s="333">
        <f t="shared" si="8"/>
        <v>2.954349688713156</v>
      </c>
      <c r="H17" s="333">
        <f t="shared" si="8"/>
        <v>2.9430763881932021</v>
      </c>
      <c r="I17" s="333">
        <f t="shared" si="8"/>
        <v>2.9275414384615388</v>
      </c>
      <c r="J17" s="333">
        <f t="shared" si="8"/>
        <v>2.8955238732193735</v>
      </c>
      <c r="K17" s="333">
        <f t="shared" si="8"/>
        <v>2.8974928678733041</v>
      </c>
      <c r="L17" s="333">
        <f t="shared" si="8"/>
        <v>2.8453618087437746</v>
      </c>
      <c r="M17" s="333">
        <f t="shared" si="8"/>
        <v>2.8225110550566193</v>
      </c>
      <c r="N17" s="333">
        <f t="shared" si="8"/>
        <v>2.8720420853348099</v>
      </c>
      <c r="O17" s="333">
        <f t="shared" si="8"/>
        <v>2.8722239659259268</v>
      </c>
      <c r="P17" s="333">
        <f t="shared" si="8"/>
        <v>2.2830866666666672</v>
      </c>
      <c r="Q17" s="333">
        <f t="shared" si="8"/>
        <v>1.8391057142857143</v>
      </c>
      <c r="R17" s="333">
        <f t="shared" si="8"/>
        <v>0</v>
      </c>
      <c r="S17" s="333">
        <f t="shared" si="8"/>
        <v>0</v>
      </c>
      <c r="T17" s="333">
        <f t="shared" si="8"/>
        <v>0</v>
      </c>
      <c r="U17" s="333">
        <f t="shared" si="8"/>
        <v>0</v>
      </c>
      <c r="V17" s="333">
        <f t="shared" si="8"/>
        <v>0</v>
      </c>
      <c r="W17" s="333">
        <f t="shared" si="8"/>
        <v>0</v>
      </c>
      <c r="X17" s="333">
        <f t="shared" si="8"/>
        <v>0</v>
      </c>
      <c r="Y17" s="333">
        <f t="shared" si="8"/>
        <v>0</v>
      </c>
      <c r="Z17" s="333">
        <f t="shared" si="8"/>
        <v>0</v>
      </c>
      <c r="AA17" s="333">
        <f t="shared" si="8"/>
        <v>0</v>
      </c>
      <c r="AB17" s="333">
        <f t="shared" si="8"/>
        <v>0</v>
      </c>
      <c r="AC17" s="333">
        <f t="shared" si="8"/>
        <v>0</v>
      </c>
      <c r="AD17" s="333">
        <f t="shared" si="8"/>
        <v>0</v>
      </c>
      <c r="AE17" s="334">
        <f t="shared" si="8"/>
        <v>0</v>
      </c>
    </row>
    <row r="18" spans="1:31">
      <c r="A18" s="1711"/>
      <c r="B18" s="116">
        <v>15</v>
      </c>
      <c r="C18" s="332">
        <f t="shared" si="2"/>
        <v>2.9849864000000008</v>
      </c>
      <c r="D18" s="333">
        <f t="shared" si="8"/>
        <v>2.7660611000000004</v>
      </c>
      <c r="E18" s="333">
        <f t="shared" si="8"/>
        <v>2.8974162800000007</v>
      </c>
      <c r="F18" s="333">
        <f t="shared" si="8"/>
        <v>2.7514660800000006</v>
      </c>
      <c r="G18" s="333">
        <f t="shared" si="8"/>
        <v>2.9321105413237931</v>
      </c>
      <c r="H18" s="333">
        <f t="shared" si="8"/>
        <v>2.954349688713156</v>
      </c>
      <c r="I18" s="333">
        <f t="shared" si="8"/>
        <v>2.9430763881932021</v>
      </c>
      <c r="J18" s="333">
        <f t="shared" si="8"/>
        <v>2.9275414384615388</v>
      </c>
      <c r="K18" s="333">
        <f t="shared" si="8"/>
        <v>2.8955238732193735</v>
      </c>
      <c r="L18" s="333">
        <f t="shared" si="8"/>
        <v>2.8974928678733041</v>
      </c>
      <c r="M18" s="333">
        <f t="shared" si="8"/>
        <v>2.8453618087437746</v>
      </c>
      <c r="N18" s="333">
        <f t="shared" si="8"/>
        <v>2.8225110550566193</v>
      </c>
      <c r="O18" s="333">
        <f t="shared" si="8"/>
        <v>2.8720420853348099</v>
      </c>
      <c r="P18" s="333">
        <f t="shared" si="8"/>
        <v>2.8722239659259268</v>
      </c>
      <c r="Q18" s="333">
        <f t="shared" si="8"/>
        <v>2.2830866666666672</v>
      </c>
      <c r="R18" s="333">
        <f t="shared" si="8"/>
        <v>1.8391057142857143</v>
      </c>
      <c r="S18" s="333">
        <f t="shared" si="8"/>
        <v>0</v>
      </c>
      <c r="T18" s="333">
        <f t="shared" si="8"/>
        <v>0</v>
      </c>
      <c r="U18" s="333">
        <f t="shared" si="8"/>
        <v>0</v>
      </c>
      <c r="V18" s="333">
        <f t="shared" si="8"/>
        <v>0</v>
      </c>
      <c r="W18" s="333">
        <f t="shared" si="8"/>
        <v>0</v>
      </c>
      <c r="X18" s="333">
        <f t="shared" si="8"/>
        <v>0</v>
      </c>
      <c r="Y18" s="333">
        <f t="shared" si="8"/>
        <v>0</v>
      </c>
      <c r="Z18" s="333">
        <f t="shared" si="8"/>
        <v>0</v>
      </c>
      <c r="AA18" s="333">
        <f t="shared" si="8"/>
        <v>0</v>
      </c>
      <c r="AB18" s="333">
        <f t="shared" si="8"/>
        <v>0</v>
      </c>
      <c r="AC18" s="333">
        <f t="shared" si="8"/>
        <v>0</v>
      </c>
      <c r="AD18" s="333">
        <f t="shared" si="8"/>
        <v>0</v>
      </c>
      <c r="AE18" s="334">
        <f t="shared" si="8"/>
        <v>0</v>
      </c>
    </row>
    <row r="19" spans="1:31">
      <c r="A19" s="1711"/>
      <c r="B19" s="116">
        <v>16</v>
      </c>
      <c r="C19" s="332">
        <f t="shared" si="2"/>
        <v>2.7863909615384612</v>
      </c>
      <c r="D19" s="333">
        <f t="shared" si="8"/>
        <v>2.9849864000000008</v>
      </c>
      <c r="E19" s="333">
        <f t="shared" si="8"/>
        <v>2.7660611000000004</v>
      </c>
      <c r="F19" s="333">
        <f t="shared" si="8"/>
        <v>2.8974162800000007</v>
      </c>
      <c r="G19" s="333">
        <f t="shared" si="8"/>
        <v>2.7514660800000006</v>
      </c>
      <c r="H19" s="333">
        <f t="shared" si="8"/>
        <v>2.9321105413237931</v>
      </c>
      <c r="I19" s="333">
        <f t="shared" si="8"/>
        <v>2.954349688713156</v>
      </c>
      <c r="J19" s="333">
        <f t="shared" si="8"/>
        <v>2.9430763881932021</v>
      </c>
      <c r="K19" s="333">
        <f t="shared" si="8"/>
        <v>2.9275414384615388</v>
      </c>
      <c r="L19" s="333">
        <f t="shared" si="8"/>
        <v>2.8955238732193735</v>
      </c>
      <c r="M19" s="333">
        <f t="shared" si="8"/>
        <v>2.8974928678733041</v>
      </c>
      <c r="N19" s="333">
        <f t="shared" si="8"/>
        <v>2.8453618087437746</v>
      </c>
      <c r="O19" s="333">
        <f t="shared" si="8"/>
        <v>2.8225110550566193</v>
      </c>
      <c r="P19" s="333">
        <f t="shared" si="8"/>
        <v>2.8720420853348099</v>
      </c>
      <c r="Q19" s="333">
        <f t="shared" si="8"/>
        <v>2.8722239659259268</v>
      </c>
      <c r="R19" s="333">
        <f t="shared" si="8"/>
        <v>2.2830866666666672</v>
      </c>
      <c r="S19" s="333">
        <f t="shared" si="8"/>
        <v>1.8391057142857143</v>
      </c>
      <c r="T19" s="333">
        <f t="shared" si="8"/>
        <v>0</v>
      </c>
      <c r="U19" s="333">
        <f t="shared" si="8"/>
        <v>0</v>
      </c>
      <c r="V19" s="333">
        <f t="shared" si="8"/>
        <v>0</v>
      </c>
      <c r="W19" s="333">
        <f t="shared" si="8"/>
        <v>0</v>
      </c>
      <c r="X19" s="333">
        <f t="shared" si="8"/>
        <v>0</v>
      </c>
      <c r="Y19" s="333">
        <f t="shared" si="8"/>
        <v>0</v>
      </c>
      <c r="Z19" s="333">
        <f t="shared" si="8"/>
        <v>0</v>
      </c>
      <c r="AA19" s="333">
        <f t="shared" si="8"/>
        <v>0</v>
      </c>
      <c r="AB19" s="333">
        <f t="shared" si="8"/>
        <v>0</v>
      </c>
      <c r="AC19" s="333">
        <f t="shared" si="8"/>
        <v>0</v>
      </c>
      <c r="AD19" s="333">
        <f t="shared" si="8"/>
        <v>0</v>
      </c>
      <c r="AE19" s="334">
        <f t="shared" si="8"/>
        <v>0</v>
      </c>
    </row>
    <row r="20" spans="1:31">
      <c r="A20" s="1711"/>
      <c r="B20" s="116">
        <v>17</v>
      </c>
      <c r="C20" s="332">
        <f t="shared" ref="C20:C27" si="9">C107</f>
        <v>2.9267276923076917</v>
      </c>
      <c r="D20" s="333">
        <f t="shared" si="8"/>
        <v>2.7863909615384612</v>
      </c>
      <c r="E20" s="333">
        <f t="shared" si="8"/>
        <v>2.9849864000000008</v>
      </c>
      <c r="F20" s="333">
        <f t="shared" si="8"/>
        <v>2.7660611000000004</v>
      </c>
      <c r="G20" s="333">
        <f t="shared" si="8"/>
        <v>2.8974162800000007</v>
      </c>
      <c r="H20" s="333">
        <f t="shared" si="8"/>
        <v>2.7514660800000006</v>
      </c>
      <c r="I20" s="333">
        <f t="shared" si="8"/>
        <v>2.9321105413237931</v>
      </c>
      <c r="J20" s="333">
        <f t="shared" si="8"/>
        <v>2.954349688713156</v>
      </c>
      <c r="K20" s="333">
        <f t="shared" si="8"/>
        <v>2.9430763881932021</v>
      </c>
      <c r="L20" s="333">
        <f t="shared" si="8"/>
        <v>2.9275414384615388</v>
      </c>
      <c r="M20" s="333">
        <f t="shared" si="8"/>
        <v>2.8955238732193735</v>
      </c>
      <c r="N20" s="333">
        <f t="shared" si="8"/>
        <v>2.8974928678733041</v>
      </c>
      <c r="O20" s="333">
        <f t="shared" si="8"/>
        <v>2.8453618087437746</v>
      </c>
      <c r="P20" s="333">
        <f t="shared" si="8"/>
        <v>2.8225110550566193</v>
      </c>
      <c r="Q20" s="333">
        <f t="shared" si="8"/>
        <v>2.8720420853348099</v>
      </c>
      <c r="R20" s="333">
        <f t="shared" si="8"/>
        <v>2.8722239659259268</v>
      </c>
      <c r="S20" s="333">
        <f t="shared" si="8"/>
        <v>2.2830866666666672</v>
      </c>
      <c r="T20" s="333">
        <f t="shared" si="8"/>
        <v>1.8391057142857143</v>
      </c>
      <c r="U20" s="333">
        <f t="shared" si="8"/>
        <v>0</v>
      </c>
      <c r="V20" s="333">
        <f t="shared" si="8"/>
        <v>0</v>
      </c>
      <c r="W20" s="333">
        <f t="shared" si="8"/>
        <v>0</v>
      </c>
      <c r="X20" s="333">
        <f t="shared" si="8"/>
        <v>0</v>
      </c>
      <c r="Y20" s="333">
        <f t="shared" si="8"/>
        <v>0</v>
      </c>
      <c r="Z20" s="333">
        <f t="shared" si="8"/>
        <v>0</v>
      </c>
      <c r="AA20" s="333">
        <f t="shared" si="8"/>
        <v>0</v>
      </c>
      <c r="AB20" s="333">
        <f t="shared" si="8"/>
        <v>0</v>
      </c>
      <c r="AC20" s="333">
        <f t="shared" si="8"/>
        <v>0</v>
      </c>
      <c r="AD20" s="333">
        <f t="shared" si="8"/>
        <v>0</v>
      </c>
      <c r="AE20" s="334">
        <f t="shared" si="8"/>
        <v>0</v>
      </c>
    </row>
    <row r="21" spans="1:31">
      <c r="A21" s="1711"/>
      <c r="B21" s="116">
        <v>18</v>
      </c>
      <c r="C21" s="332">
        <f t="shared" si="9"/>
        <v>2.8866314835164828</v>
      </c>
      <c r="D21" s="333">
        <f t="shared" si="8"/>
        <v>2.9267276923076917</v>
      </c>
      <c r="E21" s="333">
        <f t="shared" si="8"/>
        <v>2.7863909615384612</v>
      </c>
      <c r="F21" s="333">
        <f t="shared" si="8"/>
        <v>2.9849864000000008</v>
      </c>
      <c r="G21" s="333">
        <f t="shared" si="8"/>
        <v>2.7660611000000004</v>
      </c>
      <c r="H21" s="333">
        <f t="shared" si="8"/>
        <v>2.8974162800000007</v>
      </c>
      <c r="I21" s="333">
        <f t="shared" si="8"/>
        <v>2.7514660800000006</v>
      </c>
      <c r="J21" s="333">
        <f t="shared" si="8"/>
        <v>2.9321105413237931</v>
      </c>
      <c r="K21" s="333">
        <f t="shared" si="8"/>
        <v>2.954349688713156</v>
      </c>
      <c r="L21" s="333">
        <f t="shared" si="8"/>
        <v>2.9430763881932021</v>
      </c>
      <c r="M21" s="333">
        <f t="shared" si="8"/>
        <v>2.9275414384615388</v>
      </c>
      <c r="N21" s="333">
        <f t="shared" si="8"/>
        <v>2.8955238732193735</v>
      </c>
      <c r="O21" s="333">
        <f t="shared" si="8"/>
        <v>2.8974928678733041</v>
      </c>
      <c r="P21" s="333">
        <f t="shared" si="8"/>
        <v>2.8453618087437746</v>
      </c>
      <c r="Q21" s="333">
        <f t="shared" si="8"/>
        <v>2.8225110550566193</v>
      </c>
      <c r="R21" s="333">
        <f t="shared" si="8"/>
        <v>2.8720420853348099</v>
      </c>
      <c r="S21" s="333">
        <f t="shared" si="8"/>
        <v>2.8722239659259268</v>
      </c>
      <c r="T21" s="333">
        <f t="shared" si="8"/>
        <v>2.2830866666666672</v>
      </c>
      <c r="U21" s="333">
        <f t="shared" si="8"/>
        <v>1.8391057142857143</v>
      </c>
      <c r="V21" s="333">
        <f t="shared" si="8"/>
        <v>0</v>
      </c>
      <c r="W21" s="333">
        <f t="shared" si="8"/>
        <v>0</v>
      </c>
      <c r="X21" s="333">
        <f t="shared" si="8"/>
        <v>0</v>
      </c>
      <c r="Y21" s="333">
        <f t="shared" ref="D21:AE28" si="10">Y108</f>
        <v>0</v>
      </c>
      <c r="Z21" s="333">
        <f t="shared" si="10"/>
        <v>0</v>
      </c>
      <c r="AA21" s="333">
        <f t="shared" si="10"/>
        <v>0</v>
      </c>
      <c r="AB21" s="333">
        <f t="shared" si="10"/>
        <v>0</v>
      </c>
      <c r="AC21" s="333">
        <f t="shared" si="10"/>
        <v>0</v>
      </c>
      <c r="AD21" s="333">
        <f t="shared" si="10"/>
        <v>0</v>
      </c>
      <c r="AE21" s="334">
        <f t="shared" si="10"/>
        <v>0</v>
      </c>
    </row>
    <row r="22" spans="1:31">
      <c r="A22" s="1711"/>
      <c r="B22" s="116">
        <v>19</v>
      </c>
      <c r="C22" s="332">
        <f t="shared" si="9"/>
        <v>2.8866314835164828</v>
      </c>
      <c r="D22" s="333">
        <f t="shared" si="10"/>
        <v>2.8866314835164828</v>
      </c>
      <c r="E22" s="333">
        <f t="shared" si="10"/>
        <v>2.9267276923076917</v>
      </c>
      <c r="F22" s="333">
        <f t="shared" si="10"/>
        <v>2.7863909615384612</v>
      </c>
      <c r="G22" s="333">
        <f t="shared" si="10"/>
        <v>2.9849864000000008</v>
      </c>
      <c r="H22" s="333">
        <f t="shared" si="10"/>
        <v>2.7660611000000004</v>
      </c>
      <c r="I22" s="333">
        <f t="shared" si="10"/>
        <v>2.8974162800000007</v>
      </c>
      <c r="J22" s="333">
        <f t="shared" si="10"/>
        <v>2.7514660800000006</v>
      </c>
      <c r="K22" s="333">
        <f t="shared" si="10"/>
        <v>2.9321105413237931</v>
      </c>
      <c r="L22" s="333">
        <f t="shared" si="10"/>
        <v>2.954349688713156</v>
      </c>
      <c r="M22" s="333">
        <f t="shared" si="10"/>
        <v>2.9430763881932021</v>
      </c>
      <c r="N22" s="333">
        <f t="shared" si="10"/>
        <v>2.9275414384615388</v>
      </c>
      <c r="O22" s="333">
        <f t="shared" si="10"/>
        <v>2.8955238732193735</v>
      </c>
      <c r="P22" s="333">
        <f t="shared" si="10"/>
        <v>2.8974928678733041</v>
      </c>
      <c r="Q22" s="333">
        <f t="shared" si="10"/>
        <v>2.8453618087437746</v>
      </c>
      <c r="R22" s="333">
        <f t="shared" si="10"/>
        <v>2.8225110550566193</v>
      </c>
      <c r="S22" s="333">
        <f t="shared" si="10"/>
        <v>2.8720420853348099</v>
      </c>
      <c r="T22" s="333">
        <f t="shared" si="10"/>
        <v>2.8722239659259268</v>
      </c>
      <c r="U22" s="333">
        <f t="shared" si="10"/>
        <v>2.2830866666666672</v>
      </c>
      <c r="V22" s="333">
        <f t="shared" si="10"/>
        <v>1.8391057142857143</v>
      </c>
      <c r="W22" s="333">
        <f t="shared" si="10"/>
        <v>0</v>
      </c>
      <c r="X22" s="333">
        <f t="shared" si="10"/>
        <v>0</v>
      </c>
      <c r="Y22" s="333">
        <f t="shared" si="10"/>
        <v>0</v>
      </c>
      <c r="Z22" s="333">
        <f t="shared" si="10"/>
        <v>0</v>
      </c>
      <c r="AA22" s="333">
        <f t="shared" si="10"/>
        <v>0</v>
      </c>
      <c r="AB22" s="333">
        <f t="shared" si="10"/>
        <v>0</v>
      </c>
      <c r="AC22" s="333">
        <f t="shared" si="10"/>
        <v>0</v>
      </c>
      <c r="AD22" s="333">
        <f t="shared" si="10"/>
        <v>0</v>
      </c>
      <c r="AE22" s="334">
        <f t="shared" si="10"/>
        <v>0</v>
      </c>
    </row>
    <row r="23" spans="1:31">
      <c r="A23" s="1711"/>
      <c r="B23" s="116">
        <v>20</v>
      </c>
      <c r="C23" s="332">
        <f t="shared" si="9"/>
        <v>2.8866314835164828</v>
      </c>
      <c r="D23" s="333">
        <f t="shared" si="10"/>
        <v>2.8866314835164828</v>
      </c>
      <c r="E23" s="333">
        <f t="shared" si="10"/>
        <v>2.8866314835164828</v>
      </c>
      <c r="F23" s="333">
        <f t="shared" si="10"/>
        <v>2.9267276923076917</v>
      </c>
      <c r="G23" s="333">
        <f t="shared" si="10"/>
        <v>2.7863909615384612</v>
      </c>
      <c r="H23" s="333">
        <f t="shared" si="10"/>
        <v>2.9849864000000008</v>
      </c>
      <c r="I23" s="333">
        <f t="shared" si="10"/>
        <v>2.7660611000000004</v>
      </c>
      <c r="J23" s="333">
        <f t="shared" si="10"/>
        <v>2.8974162800000007</v>
      </c>
      <c r="K23" s="333">
        <f t="shared" si="10"/>
        <v>2.7514660800000006</v>
      </c>
      <c r="L23" s="333">
        <f t="shared" si="10"/>
        <v>2.9321105413237931</v>
      </c>
      <c r="M23" s="333">
        <f t="shared" si="10"/>
        <v>2.954349688713156</v>
      </c>
      <c r="N23" s="333">
        <f t="shared" si="10"/>
        <v>2.9430763881932021</v>
      </c>
      <c r="O23" s="333">
        <f t="shared" si="10"/>
        <v>2.9275414384615388</v>
      </c>
      <c r="P23" s="333">
        <f t="shared" si="10"/>
        <v>2.8955238732193735</v>
      </c>
      <c r="Q23" s="333">
        <f t="shared" si="10"/>
        <v>2.8974928678733041</v>
      </c>
      <c r="R23" s="333">
        <f t="shared" si="10"/>
        <v>2.8453618087437746</v>
      </c>
      <c r="S23" s="333">
        <f t="shared" si="10"/>
        <v>2.8225110550566193</v>
      </c>
      <c r="T23" s="333">
        <f t="shared" si="10"/>
        <v>2.8720420853348099</v>
      </c>
      <c r="U23" s="333">
        <f t="shared" si="10"/>
        <v>2.8722239659259268</v>
      </c>
      <c r="V23" s="333">
        <f t="shared" si="10"/>
        <v>2.2830866666666672</v>
      </c>
      <c r="W23" s="333">
        <f t="shared" si="10"/>
        <v>1.8391057142857143</v>
      </c>
      <c r="X23" s="333">
        <f t="shared" si="10"/>
        <v>0</v>
      </c>
      <c r="Y23" s="333">
        <f t="shared" si="10"/>
        <v>0</v>
      </c>
      <c r="Z23" s="333">
        <f t="shared" si="10"/>
        <v>0</v>
      </c>
      <c r="AA23" s="333">
        <f t="shared" si="10"/>
        <v>0</v>
      </c>
      <c r="AB23" s="333">
        <f t="shared" si="10"/>
        <v>0</v>
      </c>
      <c r="AC23" s="333">
        <f t="shared" si="10"/>
        <v>0</v>
      </c>
      <c r="AD23" s="333">
        <f t="shared" si="10"/>
        <v>0</v>
      </c>
      <c r="AE23" s="334">
        <f t="shared" si="10"/>
        <v>0</v>
      </c>
    </row>
    <row r="24" spans="1:31">
      <c r="A24" s="1711"/>
      <c r="B24" s="116">
        <v>21</v>
      </c>
      <c r="C24" s="332">
        <f t="shared" si="9"/>
        <v>2.8866314835164828</v>
      </c>
      <c r="D24" s="333">
        <f t="shared" si="10"/>
        <v>2.8866314835164828</v>
      </c>
      <c r="E24" s="333">
        <f t="shared" si="10"/>
        <v>2.8866314835164828</v>
      </c>
      <c r="F24" s="333">
        <f t="shared" si="10"/>
        <v>2.8866314835164828</v>
      </c>
      <c r="G24" s="333">
        <f t="shared" si="10"/>
        <v>2.9267276923076917</v>
      </c>
      <c r="H24" s="333">
        <f t="shared" si="10"/>
        <v>2.7863909615384612</v>
      </c>
      <c r="I24" s="333">
        <f t="shared" si="10"/>
        <v>2.9849864000000008</v>
      </c>
      <c r="J24" s="333">
        <f t="shared" si="10"/>
        <v>2.7660611000000004</v>
      </c>
      <c r="K24" s="333">
        <f t="shared" si="10"/>
        <v>2.8974162800000007</v>
      </c>
      <c r="L24" s="333">
        <f t="shared" si="10"/>
        <v>2.7514660800000006</v>
      </c>
      <c r="M24" s="333">
        <f t="shared" si="10"/>
        <v>2.9321105413237931</v>
      </c>
      <c r="N24" s="333">
        <f t="shared" si="10"/>
        <v>2.954349688713156</v>
      </c>
      <c r="O24" s="333">
        <f t="shared" si="10"/>
        <v>2.9430763881932021</v>
      </c>
      <c r="P24" s="333">
        <f t="shared" si="10"/>
        <v>2.9275414384615388</v>
      </c>
      <c r="Q24" s="333">
        <f t="shared" si="10"/>
        <v>2.8955238732193735</v>
      </c>
      <c r="R24" s="333">
        <f t="shared" si="10"/>
        <v>2.8974928678733041</v>
      </c>
      <c r="S24" s="333">
        <f t="shared" si="10"/>
        <v>2.8453618087437746</v>
      </c>
      <c r="T24" s="333">
        <f t="shared" si="10"/>
        <v>2.8225110550566193</v>
      </c>
      <c r="U24" s="333">
        <f t="shared" si="10"/>
        <v>2.8720420853348099</v>
      </c>
      <c r="V24" s="333">
        <f t="shared" si="10"/>
        <v>2.8722239659259268</v>
      </c>
      <c r="W24" s="333">
        <f t="shared" si="10"/>
        <v>2.2830866666666672</v>
      </c>
      <c r="X24" s="333">
        <f t="shared" si="10"/>
        <v>1.8391057142857143</v>
      </c>
      <c r="Y24" s="333">
        <f t="shared" si="10"/>
        <v>0</v>
      </c>
      <c r="Z24" s="333">
        <f t="shared" si="10"/>
        <v>0</v>
      </c>
      <c r="AA24" s="333">
        <f t="shared" si="10"/>
        <v>0</v>
      </c>
      <c r="AB24" s="333">
        <f t="shared" si="10"/>
        <v>0</v>
      </c>
      <c r="AC24" s="333">
        <f t="shared" si="10"/>
        <v>0</v>
      </c>
      <c r="AD24" s="333">
        <f t="shared" si="10"/>
        <v>0</v>
      </c>
      <c r="AE24" s="334">
        <f t="shared" si="10"/>
        <v>0</v>
      </c>
    </row>
    <row r="25" spans="1:31">
      <c r="A25" s="1711"/>
      <c r="B25" s="116">
        <v>22</v>
      </c>
      <c r="C25" s="332">
        <f t="shared" si="9"/>
        <v>2.8866314835164828</v>
      </c>
      <c r="D25" s="333">
        <f t="shared" si="10"/>
        <v>2.8866314835164828</v>
      </c>
      <c r="E25" s="333">
        <f t="shared" si="10"/>
        <v>2.8866314835164828</v>
      </c>
      <c r="F25" s="333">
        <f t="shared" si="10"/>
        <v>2.8866314835164828</v>
      </c>
      <c r="G25" s="333">
        <f t="shared" si="10"/>
        <v>2.8866314835164828</v>
      </c>
      <c r="H25" s="333">
        <f t="shared" si="10"/>
        <v>2.9267276923076917</v>
      </c>
      <c r="I25" s="333">
        <f t="shared" si="10"/>
        <v>2.7863909615384612</v>
      </c>
      <c r="J25" s="333">
        <f t="shared" si="10"/>
        <v>2.9849864000000008</v>
      </c>
      <c r="K25" s="333">
        <f t="shared" si="10"/>
        <v>2.7660611000000004</v>
      </c>
      <c r="L25" s="333">
        <f t="shared" si="10"/>
        <v>2.8974162800000007</v>
      </c>
      <c r="M25" s="333">
        <f t="shared" si="10"/>
        <v>2.7514660800000006</v>
      </c>
      <c r="N25" s="333">
        <f t="shared" si="10"/>
        <v>2.9321105413237931</v>
      </c>
      <c r="O25" s="333">
        <f t="shared" si="10"/>
        <v>2.954349688713156</v>
      </c>
      <c r="P25" s="333">
        <f t="shared" si="10"/>
        <v>2.9430763881932021</v>
      </c>
      <c r="Q25" s="333">
        <f t="shared" si="10"/>
        <v>2.9275414384615388</v>
      </c>
      <c r="R25" s="333">
        <f t="shared" si="10"/>
        <v>2.8955238732193735</v>
      </c>
      <c r="S25" s="333">
        <f t="shared" si="10"/>
        <v>2.8974928678733041</v>
      </c>
      <c r="T25" s="333">
        <f t="shared" si="10"/>
        <v>2.8453618087437746</v>
      </c>
      <c r="U25" s="333">
        <f t="shared" si="10"/>
        <v>2.8225110550566193</v>
      </c>
      <c r="V25" s="333">
        <f t="shared" si="10"/>
        <v>2.8720420853348099</v>
      </c>
      <c r="W25" s="333">
        <f t="shared" si="10"/>
        <v>2.8722239659259268</v>
      </c>
      <c r="X25" s="333">
        <f t="shared" si="10"/>
        <v>2.2830866666666672</v>
      </c>
      <c r="Y25" s="333">
        <f t="shared" si="10"/>
        <v>1.8391057142857143</v>
      </c>
      <c r="Z25" s="333">
        <f t="shared" si="10"/>
        <v>0</v>
      </c>
      <c r="AA25" s="333">
        <f t="shared" si="10"/>
        <v>0</v>
      </c>
      <c r="AB25" s="333">
        <f t="shared" si="10"/>
        <v>0</v>
      </c>
      <c r="AC25" s="333">
        <f t="shared" si="10"/>
        <v>0</v>
      </c>
      <c r="AD25" s="333">
        <f t="shared" si="10"/>
        <v>0</v>
      </c>
      <c r="AE25" s="334">
        <f t="shared" si="10"/>
        <v>0</v>
      </c>
    </row>
    <row r="26" spans="1:31">
      <c r="A26" s="1711"/>
      <c r="B26" s="116">
        <v>23</v>
      </c>
      <c r="C26" s="332">
        <f t="shared" si="9"/>
        <v>2.8866314835164828</v>
      </c>
      <c r="D26" s="333">
        <f t="shared" si="10"/>
        <v>2.8866314835164828</v>
      </c>
      <c r="E26" s="333">
        <f t="shared" si="10"/>
        <v>2.8866314835164828</v>
      </c>
      <c r="F26" s="333">
        <f t="shared" si="10"/>
        <v>2.8866314835164828</v>
      </c>
      <c r="G26" s="333">
        <f t="shared" si="10"/>
        <v>2.8866314835164828</v>
      </c>
      <c r="H26" s="333">
        <f t="shared" si="10"/>
        <v>2.8866314835164828</v>
      </c>
      <c r="I26" s="333">
        <f t="shared" si="10"/>
        <v>2.9267276923076917</v>
      </c>
      <c r="J26" s="333">
        <f t="shared" si="10"/>
        <v>2.7863909615384612</v>
      </c>
      <c r="K26" s="333">
        <f t="shared" si="10"/>
        <v>2.9849864000000008</v>
      </c>
      <c r="L26" s="333">
        <f t="shared" si="10"/>
        <v>2.7660611000000004</v>
      </c>
      <c r="M26" s="333">
        <f t="shared" si="10"/>
        <v>2.8974162800000007</v>
      </c>
      <c r="N26" s="333">
        <f t="shared" si="10"/>
        <v>2.7514660800000006</v>
      </c>
      <c r="O26" s="333">
        <f t="shared" si="10"/>
        <v>2.9321105413237931</v>
      </c>
      <c r="P26" s="333">
        <f t="shared" si="10"/>
        <v>2.954349688713156</v>
      </c>
      <c r="Q26" s="333">
        <f t="shared" si="10"/>
        <v>2.9430763881932021</v>
      </c>
      <c r="R26" s="333">
        <f t="shared" si="10"/>
        <v>2.9275414384615388</v>
      </c>
      <c r="S26" s="333">
        <f t="shared" si="10"/>
        <v>2.8955238732193735</v>
      </c>
      <c r="T26" s="333">
        <f t="shared" si="10"/>
        <v>2.8974928678733041</v>
      </c>
      <c r="U26" s="333">
        <f t="shared" si="10"/>
        <v>2.8453618087437746</v>
      </c>
      <c r="V26" s="333">
        <f t="shared" si="10"/>
        <v>2.8225110550566193</v>
      </c>
      <c r="W26" s="333">
        <f t="shared" si="10"/>
        <v>2.8720420853348099</v>
      </c>
      <c r="X26" s="333">
        <f t="shared" si="10"/>
        <v>2.8722239659259268</v>
      </c>
      <c r="Y26" s="333">
        <f t="shared" si="10"/>
        <v>2.2830866666666672</v>
      </c>
      <c r="Z26" s="333">
        <f t="shared" si="10"/>
        <v>1.8391057142857143</v>
      </c>
      <c r="AA26" s="333">
        <f t="shared" si="10"/>
        <v>0</v>
      </c>
      <c r="AB26" s="333">
        <f t="shared" si="10"/>
        <v>0</v>
      </c>
      <c r="AC26" s="333">
        <f t="shared" si="10"/>
        <v>0</v>
      </c>
      <c r="AD26" s="333">
        <f t="shared" si="10"/>
        <v>0</v>
      </c>
      <c r="AE26" s="334">
        <f t="shared" si="10"/>
        <v>0</v>
      </c>
    </row>
    <row r="27" spans="1:31">
      <c r="A27" s="1711"/>
      <c r="B27" s="116">
        <v>24</v>
      </c>
      <c r="C27" s="332">
        <f t="shared" si="9"/>
        <v>2.8866314835164828</v>
      </c>
      <c r="D27" s="333">
        <f t="shared" si="10"/>
        <v>2.8866314835164828</v>
      </c>
      <c r="E27" s="333">
        <f t="shared" si="10"/>
        <v>2.8866314835164828</v>
      </c>
      <c r="F27" s="333">
        <f t="shared" si="10"/>
        <v>2.8866314835164828</v>
      </c>
      <c r="G27" s="333">
        <f t="shared" si="10"/>
        <v>2.8866314835164828</v>
      </c>
      <c r="H27" s="333">
        <f t="shared" si="10"/>
        <v>2.8866314835164828</v>
      </c>
      <c r="I27" s="333">
        <f t="shared" si="10"/>
        <v>2.8866314835164828</v>
      </c>
      <c r="J27" s="333">
        <f t="shared" si="10"/>
        <v>2.9267276923076917</v>
      </c>
      <c r="K27" s="333">
        <f t="shared" si="10"/>
        <v>2.7863909615384612</v>
      </c>
      <c r="L27" s="333">
        <f t="shared" si="10"/>
        <v>2.9849864000000008</v>
      </c>
      <c r="M27" s="333">
        <f t="shared" si="10"/>
        <v>2.7660611000000004</v>
      </c>
      <c r="N27" s="333">
        <f t="shared" si="10"/>
        <v>2.8974162800000007</v>
      </c>
      <c r="O27" s="333">
        <f t="shared" si="10"/>
        <v>2.7514660800000006</v>
      </c>
      <c r="P27" s="333">
        <f t="shared" si="10"/>
        <v>2.9321105413237931</v>
      </c>
      <c r="Q27" s="333">
        <f t="shared" si="10"/>
        <v>2.954349688713156</v>
      </c>
      <c r="R27" s="333">
        <f t="shared" si="10"/>
        <v>2.9430763881932021</v>
      </c>
      <c r="S27" s="333">
        <f t="shared" si="10"/>
        <v>2.9275414384615388</v>
      </c>
      <c r="T27" s="333">
        <f t="shared" si="10"/>
        <v>2.8955238732193735</v>
      </c>
      <c r="U27" s="333">
        <f t="shared" si="10"/>
        <v>2.8974928678733041</v>
      </c>
      <c r="V27" s="333">
        <f t="shared" si="10"/>
        <v>2.8453618087437746</v>
      </c>
      <c r="W27" s="333">
        <f t="shared" si="10"/>
        <v>2.8225110550566193</v>
      </c>
      <c r="X27" s="333">
        <f t="shared" si="10"/>
        <v>2.8720420853348099</v>
      </c>
      <c r="Y27" s="333">
        <f t="shared" si="10"/>
        <v>2.8722239659259268</v>
      </c>
      <c r="Z27" s="333">
        <f t="shared" si="10"/>
        <v>2.2830866666666672</v>
      </c>
      <c r="AA27" s="333">
        <f t="shared" si="10"/>
        <v>1.8391057142857143</v>
      </c>
      <c r="AB27" s="333">
        <f t="shared" si="10"/>
        <v>0</v>
      </c>
      <c r="AC27" s="333">
        <f t="shared" si="10"/>
        <v>0</v>
      </c>
      <c r="AD27" s="333">
        <f t="shared" si="10"/>
        <v>0</v>
      </c>
      <c r="AE27" s="334">
        <f t="shared" si="10"/>
        <v>0</v>
      </c>
    </row>
    <row r="28" spans="1:31" ht="15.75" thickBot="1">
      <c r="A28" s="1711"/>
      <c r="B28" s="116">
        <v>25</v>
      </c>
      <c r="C28" s="332">
        <f>C115</f>
        <v>2.8866314835164828</v>
      </c>
      <c r="D28" s="333">
        <f t="shared" si="10"/>
        <v>2.8866314835164828</v>
      </c>
      <c r="E28" s="333">
        <f t="shared" si="10"/>
        <v>2.8866314835164828</v>
      </c>
      <c r="F28" s="333">
        <f t="shared" si="10"/>
        <v>2.8866314835164828</v>
      </c>
      <c r="G28" s="333">
        <f t="shared" si="10"/>
        <v>2.8866314835164828</v>
      </c>
      <c r="H28" s="333">
        <f t="shared" si="10"/>
        <v>2.8866314835164828</v>
      </c>
      <c r="I28" s="333">
        <f t="shared" si="10"/>
        <v>2.8866314835164828</v>
      </c>
      <c r="J28" s="333">
        <f t="shared" si="10"/>
        <v>2.8866314835164828</v>
      </c>
      <c r="K28" s="333">
        <f t="shared" si="10"/>
        <v>2.9267276923076917</v>
      </c>
      <c r="L28" s="333">
        <f t="shared" si="10"/>
        <v>2.7863909615384612</v>
      </c>
      <c r="M28" s="333">
        <f t="shared" si="10"/>
        <v>2.9849864000000008</v>
      </c>
      <c r="N28" s="333">
        <f t="shared" si="10"/>
        <v>2.7660611000000004</v>
      </c>
      <c r="O28" s="333">
        <f t="shared" si="10"/>
        <v>2.8974162800000007</v>
      </c>
      <c r="P28" s="333">
        <f t="shared" si="10"/>
        <v>2.7514660800000006</v>
      </c>
      <c r="Q28" s="333">
        <f t="shared" si="10"/>
        <v>2.9321105413237931</v>
      </c>
      <c r="R28" s="333">
        <f t="shared" si="10"/>
        <v>2.954349688713156</v>
      </c>
      <c r="S28" s="333">
        <f t="shared" si="10"/>
        <v>2.9430763881932021</v>
      </c>
      <c r="T28" s="333">
        <f t="shared" si="10"/>
        <v>2.9275414384615388</v>
      </c>
      <c r="U28" s="333">
        <f t="shared" si="10"/>
        <v>2.8955238732193735</v>
      </c>
      <c r="V28" s="333">
        <f t="shared" si="10"/>
        <v>2.8974928678733041</v>
      </c>
      <c r="W28" s="333">
        <f t="shared" si="10"/>
        <v>2.8453618087437746</v>
      </c>
      <c r="X28" s="333">
        <f t="shared" si="10"/>
        <v>2.8225110550566193</v>
      </c>
      <c r="Y28" s="333">
        <f t="shared" si="10"/>
        <v>2.8720420853348099</v>
      </c>
      <c r="Z28" s="333">
        <f t="shared" si="10"/>
        <v>2.8722239659259268</v>
      </c>
      <c r="AA28" s="333">
        <f t="shared" si="10"/>
        <v>2.2830866666666672</v>
      </c>
      <c r="AB28" s="333">
        <f t="shared" si="10"/>
        <v>1.8391057142857143</v>
      </c>
      <c r="AC28" s="333">
        <f t="shared" si="10"/>
        <v>0</v>
      </c>
      <c r="AD28" s="333">
        <f t="shared" si="10"/>
        <v>0</v>
      </c>
      <c r="AE28" s="334">
        <f t="shared" si="10"/>
        <v>0</v>
      </c>
    </row>
    <row r="29" spans="1:31" ht="16.5" thickTop="1" thickBot="1">
      <c r="A29" s="1712"/>
      <c r="B29" s="300" t="s">
        <v>39</v>
      </c>
      <c r="C29" s="380">
        <f>SUMPRODUCT(C3:C28,'FREH Stock'!C56:C81)/'FREH Stock'!C82</f>
        <v>2.8839240351952418</v>
      </c>
      <c r="D29" s="381">
        <f>SUMPRODUCT(D3:D28,'FREH Stock'!D56:D81)/'FREH Stock'!D82</f>
        <v>2.87938349384503</v>
      </c>
      <c r="E29" s="381">
        <f>SUMPRODUCT(E3:E28,'FREH Stock'!E56:E81)/'FREH Stock'!E82</f>
        <v>2.8772237138339194</v>
      </c>
      <c r="F29" s="381">
        <f>SUMPRODUCT(F3:F28,'FREH Stock'!F56:F81)/'FREH Stock'!F82</f>
        <v>2.8758191795487851</v>
      </c>
      <c r="G29" s="381">
        <f>SUMPRODUCT(G3:G28,'FREH Stock'!G56:G81)/'FREH Stock'!G82</f>
        <v>2.8739023142313918</v>
      </c>
      <c r="H29" s="381">
        <f>SUMPRODUCT(H3:H28,'FREH Stock'!H56:H81)/'FREH Stock'!H82</f>
        <v>2.8716544019643626</v>
      </c>
      <c r="I29" s="381">
        <f>SUMPRODUCT(I3:I28,'FREH Stock'!I56:I81)/'FREH Stock'!I82</f>
        <v>2.8697601111951041</v>
      </c>
      <c r="J29" s="381">
        <f>SUMPRODUCT(J3:J28,'FREH Stock'!J56:J81)/'FREH Stock'!J82</f>
        <v>2.8682786453560349</v>
      </c>
      <c r="K29" s="381">
        <f>SUMPRODUCT(K3:K28,'FREH Stock'!K56:K81)/'FREH Stock'!K82</f>
        <v>2.8679880079822491</v>
      </c>
      <c r="L29" s="381">
        <f>SUMPRODUCT(L3:L28,'FREH Stock'!L56:L81)/'FREH Stock'!L82</f>
        <v>2.8683684804192984</v>
      </c>
      <c r="M29" s="381">
        <f>SUMPRODUCT(M3:M28,'FREH Stock'!M56:M81)/'FREH Stock'!M82</f>
        <v>2.868805535423574</v>
      </c>
      <c r="N29" s="381">
        <f>SUMPRODUCT(N3:N28,'FREH Stock'!N56:N81)/'FREH Stock'!N82</f>
        <v>2.8695476662937813</v>
      </c>
      <c r="O29" s="381">
        <f>SUMPRODUCT(O3:O28,'FREH Stock'!O56:O81)/'FREH Stock'!O82</f>
        <v>2.8700862805554492</v>
      </c>
      <c r="P29" s="381">
        <f>SUMPRODUCT(P3:P28,'FREH Stock'!P56:P81)/'FREH Stock'!P82</f>
        <v>2.8704073159501111</v>
      </c>
      <c r="Q29" s="381">
        <f>SUMPRODUCT(Q3:Q28,'FREH Stock'!Q56:Q81)/'FREH Stock'!Q82</f>
        <v>2.8707298883820198</v>
      </c>
      <c r="R29" s="381">
        <f>SUMPRODUCT(R3:R28,'FREH Stock'!R56:R81)/'FREH Stock'!R82</f>
        <v>2.8710426726617411</v>
      </c>
      <c r="S29" s="381">
        <f>SUMPRODUCT(S3:S28,'FREH Stock'!S56:S81)/'FREH Stock'!S82</f>
        <v>2.8713355764345936</v>
      </c>
      <c r="T29" s="381">
        <f>SUMPRODUCT(T3:T28,'FREH Stock'!T56:T81)/'FREH Stock'!T82</f>
        <v>2.8715995893526083</v>
      </c>
      <c r="U29" s="381">
        <f>SUMPRODUCT(U3:U28,'FREH Stock'!U56:U81)/'FREH Stock'!U82</f>
        <v>2.8718265982430458</v>
      </c>
      <c r="V29" s="381">
        <f>SUMPRODUCT(V3:V28,'FREH Stock'!V56:V81)/'FREH Stock'!V82</f>
        <v>2.8720091972226642</v>
      </c>
      <c r="W29" s="381">
        <f>SUMPRODUCT(W3:W28,'FREH Stock'!W56:W81)/'FREH Stock'!W82</f>
        <v>2.8721405199624526</v>
      </c>
      <c r="X29" s="381">
        <f>SUMPRODUCT(X3:X28,'FREH Stock'!X56:X81)/'FREH Stock'!X82</f>
        <v>2.8722141242680865</v>
      </c>
      <c r="Y29" s="381">
        <f>SUMPRODUCT(Y3:Y28,'FREH Stock'!Y56:Y81)/'FREH Stock'!Y82</f>
        <v>2.8722239659259268</v>
      </c>
      <c r="Z29" s="381" t="e">
        <f>SUMPRODUCT(Z3:Z28,'FREH Stock'!Z56:Z81)/'FREH Stock'!Z82</f>
        <v>#DIV/0!</v>
      </c>
      <c r="AA29" s="381" t="e">
        <f>SUMPRODUCT(AA3:AA28,'FREH Stock'!AA56:AA81)/'FREH Stock'!AA82</f>
        <v>#DIV/0!</v>
      </c>
      <c r="AB29" s="381" t="e">
        <f>SUMPRODUCT(AB3:AB28,'FREH Stock'!AB56:AB81)/'FREH Stock'!AB82</f>
        <v>#DIV/0!</v>
      </c>
      <c r="AC29" s="381" t="e">
        <f>SUMPRODUCT(AC3:AC28,'FREH Stock'!AC56:AC81)/'FREH Stock'!AC82</f>
        <v>#DIV/0!</v>
      </c>
      <c r="AD29" s="381" t="e">
        <f>SUMPRODUCT(AD3:AD28,'FREH Stock'!AD56:AD81)/'FREH Stock'!AD82</f>
        <v>#DIV/0!</v>
      </c>
      <c r="AE29" s="382" t="e">
        <f>SUMPRODUCT(AE3:AE28,'FREH Stock'!AE56:AE81)/'FREH Stock'!AE82</f>
        <v>#DIV/0!</v>
      </c>
    </row>
    <row r="30" spans="1:31" ht="15.75" thickBot="1">
      <c r="C30" s="351"/>
    </row>
    <row r="31" spans="1:31" ht="15.75" customHeight="1" thickBot="1">
      <c r="A31" s="1710" t="s">
        <v>198</v>
      </c>
      <c r="B31" s="169" t="s">
        <v>10</v>
      </c>
      <c r="C31" s="288">
        <v>2012</v>
      </c>
      <c r="D31" s="347">
        <v>2013</v>
      </c>
      <c r="E31" s="347">
        <v>2014</v>
      </c>
      <c r="F31" s="288">
        <v>2015</v>
      </c>
      <c r="G31" s="347">
        <v>2016</v>
      </c>
      <c r="H31" s="347">
        <v>2017</v>
      </c>
      <c r="I31" s="288">
        <v>2018</v>
      </c>
      <c r="J31" s="347">
        <v>2019</v>
      </c>
      <c r="K31" s="347">
        <v>2020</v>
      </c>
      <c r="L31" s="288">
        <v>2021</v>
      </c>
      <c r="M31" s="347">
        <v>2022</v>
      </c>
      <c r="N31" s="347">
        <v>2023</v>
      </c>
      <c r="O31" s="288">
        <v>2024</v>
      </c>
      <c r="P31" s="347">
        <v>2025</v>
      </c>
      <c r="Q31" s="347">
        <v>2026</v>
      </c>
      <c r="R31" s="288">
        <v>2027</v>
      </c>
      <c r="S31" s="347">
        <v>2028</v>
      </c>
      <c r="T31" s="347">
        <v>2029</v>
      </c>
      <c r="U31" s="288">
        <v>2030</v>
      </c>
      <c r="V31" s="347">
        <v>2031</v>
      </c>
      <c r="W31" s="347">
        <v>2032</v>
      </c>
      <c r="X31" s="288">
        <v>2033</v>
      </c>
      <c r="Y31" s="347">
        <v>2034</v>
      </c>
      <c r="Z31" s="347">
        <v>2035</v>
      </c>
      <c r="AA31" s="288">
        <v>2036</v>
      </c>
      <c r="AB31" s="347">
        <v>2037</v>
      </c>
      <c r="AC31" s="347">
        <v>2038</v>
      </c>
      <c r="AD31" s="288">
        <v>2039</v>
      </c>
      <c r="AE31" s="348">
        <v>2040</v>
      </c>
    </row>
    <row r="32" spans="1:31">
      <c r="A32" s="1711"/>
      <c r="B32" s="116">
        <v>0</v>
      </c>
      <c r="C32" s="329">
        <f>C119</f>
        <v>1.9113873761206392</v>
      </c>
      <c r="D32" s="330">
        <f t="shared" ref="D32:AE41" si="11">D119</f>
        <v>0</v>
      </c>
      <c r="E32" s="330">
        <f t="shared" si="11"/>
        <v>0</v>
      </c>
      <c r="F32" s="330">
        <f t="shared" si="11"/>
        <v>0</v>
      </c>
      <c r="G32" s="330">
        <f t="shared" si="11"/>
        <v>0</v>
      </c>
      <c r="H32" s="330">
        <f t="shared" si="11"/>
        <v>0</v>
      </c>
      <c r="I32" s="330">
        <f t="shared" si="11"/>
        <v>0</v>
      </c>
      <c r="J32" s="330">
        <f t="shared" si="11"/>
        <v>0</v>
      </c>
      <c r="K32" s="330">
        <f t="shared" si="11"/>
        <v>0</v>
      </c>
      <c r="L32" s="330">
        <f t="shared" si="11"/>
        <v>0</v>
      </c>
      <c r="M32" s="330">
        <f t="shared" si="11"/>
        <v>0</v>
      </c>
      <c r="N32" s="330">
        <f t="shared" si="11"/>
        <v>0</v>
      </c>
      <c r="O32" s="330">
        <f t="shared" si="11"/>
        <v>0</v>
      </c>
      <c r="P32" s="330">
        <f t="shared" si="11"/>
        <v>0</v>
      </c>
      <c r="Q32" s="330">
        <f t="shared" si="11"/>
        <v>0</v>
      </c>
      <c r="R32" s="330">
        <f t="shared" si="11"/>
        <v>0</v>
      </c>
      <c r="S32" s="330">
        <f t="shared" si="11"/>
        <v>0</v>
      </c>
      <c r="T32" s="330">
        <f t="shared" si="11"/>
        <v>0</v>
      </c>
      <c r="U32" s="330">
        <f t="shared" si="11"/>
        <v>0</v>
      </c>
      <c r="V32" s="330">
        <f t="shared" si="11"/>
        <v>0</v>
      </c>
      <c r="W32" s="330">
        <f t="shared" si="11"/>
        <v>0</v>
      </c>
      <c r="X32" s="330">
        <f t="shared" si="11"/>
        <v>0</v>
      </c>
      <c r="Y32" s="330">
        <f t="shared" si="11"/>
        <v>0</v>
      </c>
      <c r="Z32" s="330">
        <f t="shared" si="11"/>
        <v>0</v>
      </c>
      <c r="AA32" s="330">
        <f t="shared" si="11"/>
        <v>0</v>
      </c>
      <c r="AB32" s="330">
        <f t="shared" si="11"/>
        <v>0</v>
      </c>
      <c r="AC32" s="330">
        <f t="shared" si="11"/>
        <v>0</v>
      </c>
      <c r="AD32" s="330">
        <f t="shared" si="11"/>
        <v>0</v>
      </c>
      <c r="AE32" s="331">
        <f t="shared" si="11"/>
        <v>0</v>
      </c>
    </row>
    <row r="33" spans="1:31">
      <c r="A33" s="1711"/>
      <c r="B33" s="116">
        <v>1</v>
      </c>
      <c r="C33" s="332">
        <f t="shared" ref="C33:R48" si="12">C120</f>
        <v>1.953829196392161</v>
      </c>
      <c r="D33" s="333">
        <f t="shared" si="12"/>
        <v>1.9113873761206392</v>
      </c>
      <c r="E33" s="333">
        <f t="shared" si="12"/>
        <v>0</v>
      </c>
      <c r="F33" s="333">
        <f t="shared" si="12"/>
        <v>0</v>
      </c>
      <c r="G33" s="333">
        <f t="shared" si="12"/>
        <v>0</v>
      </c>
      <c r="H33" s="333">
        <f t="shared" si="12"/>
        <v>0</v>
      </c>
      <c r="I33" s="333">
        <f t="shared" si="12"/>
        <v>0</v>
      </c>
      <c r="J33" s="333">
        <f t="shared" si="12"/>
        <v>0</v>
      </c>
      <c r="K33" s="333">
        <f t="shared" si="12"/>
        <v>0</v>
      </c>
      <c r="L33" s="333">
        <f t="shared" si="12"/>
        <v>0</v>
      </c>
      <c r="M33" s="333">
        <f t="shared" si="12"/>
        <v>0</v>
      </c>
      <c r="N33" s="333">
        <f t="shared" si="12"/>
        <v>0</v>
      </c>
      <c r="O33" s="333">
        <f t="shared" si="12"/>
        <v>0</v>
      </c>
      <c r="P33" s="333">
        <f t="shared" si="12"/>
        <v>0</v>
      </c>
      <c r="Q33" s="333">
        <f t="shared" si="12"/>
        <v>0</v>
      </c>
      <c r="R33" s="333">
        <f t="shared" si="12"/>
        <v>0</v>
      </c>
      <c r="S33" s="333">
        <f t="shared" si="11"/>
        <v>0</v>
      </c>
      <c r="T33" s="333">
        <f t="shared" si="11"/>
        <v>0</v>
      </c>
      <c r="U33" s="333">
        <f t="shared" si="11"/>
        <v>0</v>
      </c>
      <c r="V33" s="333">
        <f t="shared" si="11"/>
        <v>0</v>
      </c>
      <c r="W33" s="333">
        <f t="shared" si="11"/>
        <v>0</v>
      </c>
      <c r="X33" s="333">
        <f t="shared" si="11"/>
        <v>0</v>
      </c>
      <c r="Y33" s="333">
        <f t="shared" si="11"/>
        <v>0</v>
      </c>
      <c r="Z33" s="333">
        <f t="shared" si="11"/>
        <v>0</v>
      </c>
      <c r="AA33" s="333">
        <f t="shared" si="11"/>
        <v>0</v>
      </c>
      <c r="AB33" s="333">
        <f t="shared" si="11"/>
        <v>0</v>
      </c>
      <c r="AC33" s="333">
        <f t="shared" si="11"/>
        <v>0</v>
      </c>
      <c r="AD33" s="333">
        <f t="shared" si="11"/>
        <v>0</v>
      </c>
      <c r="AE33" s="334">
        <f t="shared" si="11"/>
        <v>0</v>
      </c>
    </row>
    <row r="34" spans="1:31">
      <c r="A34" s="1711"/>
      <c r="B34" s="116">
        <v>2</v>
      </c>
      <c r="C34" s="332">
        <f t="shared" si="12"/>
        <v>3.3874422707969734</v>
      </c>
      <c r="D34" s="333">
        <f t="shared" si="11"/>
        <v>1.953829196392161</v>
      </c>
      <c r="E34" s="333">
        <f t="shared" si="11"/>
        <v>1.9113873761206392</v>
      </c>
      <c r="F34" s="333">
        <f t="shared" si="11"/>
        <v>0</v>
      </c>
      <c r="G34" s="333">
        <f t="shared" si="11"/>
        <v>0</v>
      </c>
      <c r="H34" s="333">
        <f t="shared" si="11"/>
        <v>0</v>
      </c>
      <c r="I34" s="333">
        <f t="shared" si="11"/>
        <v>0</v>
      </c>
      <c r="J34" s="333">
        <f t="shared" si="11"/>
        <v>0</v>
      </c>
      <c r="K34" s="333">
        <f t="shared" si="11"/>
        <v>0</v>
      </c>
      <c r="L34" s="333">
        <f t="shared" si="11"/>
        <v>0</v>
      </c>
      <c r="M34" s="333">
        <f t="shared" si="11"/>
        <v>0</v>
      </c>
      <c r="N34" s="333">
        <f t="shared" si="11"/>
        <v>0</v>
      </c>
      <c r="O34" s="333">
        <f t="shared" si="11"/>
        <v>0</v>
      </c>
      <c r="P34" s="333">
        <f t="shared" si="11"/>
        <v>0</v>
      </c>
      <c r="Q34" s="333">
        <f t="shared" si="11"/>
        <v>0</v>
      </c>
      <c r="R34" s="333">
        <f t="shared" si="11"/>
        <v>0</v>
      </c>
      <c r="S34" s="333">
        <f t="shared" si="11"/>
        <v>0</v>
      </c>
      <c r="T34" s="333">
        <f t="shared" si="11"/>
        <v>0</v>
      </c>
      <c r="U34" s="333">
        <f t="shared" si="11"/>
        <v>0</v>
      </c>
      <c r="V34" s="333">
        <f t="shared" si="11"/>
        <v>0</v>
      </c>
      <c r="W34" s="333">
        <f t="shared" si="11"/>
        <v>0</v>
      </c>
      <c r="X34" s="333">
        <f t="shared" si="11"/>
        <v>0</v>
      </c>
      <c r="Y34" s="333">
        <f t="shared" si="11"/>
        <v>0</v>
      </c>
      <c r="Z34" s="333">
        <f t="shared" si="11"/>
        <v>0</v>
      </c>
      <c r="AA34" s="333">
        <f t="shared" si="11"/>
        <v>0</v>
      </c>
      <c r="AB34" s="333">
        <f t="shared" si="11"/>
        <v>0</v>
      </c>
      <c r="AC34" s="333">
        <f t="shared" si="11"/>
        <v>0</v>
      </c>
      <c r="AD34" s="333">
        <f t="shared" si="11"/>
        <v>0</v>
      </c>
      <c r="AE34" s="334">
        <f t="shared" si="11"/>
        <v>0</v>
      </c>
    </row>
    <row r="35" spans="1:31">
      <c r="A35" s="1711"/>
      <c r="B35" s="116">
        <v>3</v>
      </c>
      <c r="C35" s="332">
        <f t="shared" si="12"/>
        <v>3.3712941400692698</v>
      </c>
      <c r="D35" s="333">
        <f t="shared" si="11"/>
        <v>3.3874422707969734</v>
      </c>
      <c r="E35" s="333">
        <f t="shared" si="11"/>
        <v>1.953829196392161</v>
      </c>
      <c r="F35" s="333">
        <f t="shared" si="11"/>
        <v>1.9113873761206392</v>
      </c>
      <c r="G35" s="333">
        <f t="shared" si="11"/>
        <v>0</v>
      </c>
      <c r="H35" s="333">
        <f t="shared" si="11"/>
        <v>0</v>
      </c>
      <c r="I35" s="333">
        <f t="shared" si="11"/>
        <v>0</v>
      </c>
      <c r="J35" s="333">
        <f t="shared" si="11"/>
        <v>0</v>
      </c>
      <c r="K35" s="333">
        <f t="shared" si="11"/>
        <v>0</v>
      </c>
      <c r="L35" s="333">
        <f t="shared" si="11"/>
        <v>0</v>
      </c>
      <c r="M35" s="333">
        <f t="shared" si="11"/>
        <v>0</v>
      </c>
      <c r="N35" s="333">
        <f t="shared" si="11"/>
        <v>0</v>
      </c>
      <c r="O35" s="333">
        <f t="shared" si="11"/>
        <v>0</v>
      </c>
      <c r="P35" s="333">
        <f t="shared" si="11"/>
        <v>0</v>
      </c>
      <c r="Q35" s="333">
        <f t="shared" si="11"/>
        <v>0</v>
      </c>
      <c r="R35" s="333">
        <f t="shared" si="11"/>
        <v>0</v>
      </c>
      <c r="S35" s="333">
        <f t="shared" si="11"/>
        <v>0</v>
      </c>
      <c r="T35" s="333">
        <f t="shared" si="11"/>
        <v>0</v>
      </c>
      <c r="U35" s="333">
        <f t="shared" si="11"/>
        <v>0</v>
      </c>
      <c r="V35" s="333">
        <f t="shared" si="11"/>
        <v>0</v>
      </c>
      <c r="W35" s="333">
        <f t="shared" si="11"/>
        <v>0</v>
      </c>
      <c r="X35" s="333">
        <f t="shared" si="11"/>
        <v>0</v>
      </c>
      <c r="Y35" s="333">
        <f t="shared" si="11"/>
        <v>0</v>
      </c>
      <c r="Z35" s="333">
        <f t="shared" si="11"/>
        <v>0</v>
      </c>
      <c r="AA35" s="333">
        <f t="shared" si="11"/>
        <v>0</v>
      </c>
      <c r="AB35" s="333">
        <f t="shared" si="11"/>
        <v>0</v>
      </c>
      <c r="AC35" s="333">
        <f t="shared" si="11"/>
        <v>0</v>
      </c>
      <c r="AD35" s="333">
        <f t="shared" si="11"/>
        <v>0</v>
      </c>
      <c r="AE35" s="334">
        <f t="shared" si="11"/>
        <v>0</v>
      </c>
    </row>
    <row r="36" spans="1:31">
      <c r="A36" s="1711"/>
      <c r="B36" s="116">
        <v>4</v>
      </c>
      <c r="C36" s="332">
        <f t="shared" si="12"/>
        <v>3.3837278803621618</v>
      </c>
      <c r="D36" s="333">
        <f t="shared" si="11"/>
        <v>3.3712941400692698</v>
      </c>
      <c r="E36" s="333">
        <f t="shared" si="11"/>
        <v>3.3874422707969734</v>
      </c>
      <c r="F36" s="333">
        <f t="shared" si="11"/>
        <v>1.953829196392161</v>
      </c>
      <c r="G36" s="333">
        <f t="shared" si="11"/>
        <v>1.9113873761206392</v>
      </c>
      <c r="H36" s="333">
        <f t="shared" si="11"/>
        <v>0</v>
      </c>
      <c r="I36" s="333">
        <f t="shared" si="11"/>
        <v>0</v>
      </c>
      <c r="J36" s="333">
        <f t="shared" si="11"/>
        <v>0</v>
      </c>
      <c r="K36" s="333">
        <f t="shared" si="11"/>
        <v>0</v>
      </c>
      <c r="L36" s="333">
        <f t="shared" si="11"/>
        <v>0</v>
      </c>
      <c r="M36" s="333">
        <f t="shared" si="11"/>
        <v>0</v>
      </c>
      <c r="N36" s="333">
        <f t="shared" si="11"/>
        <v>0</v>
      </c>
      <c r="O36" s="333">
        <f t="shared" si="11"/>
        <v>0</v>
      </c>
      <c r="P36" s="333">
        <f t="shared" si="11"/>
        <v>0</v>
      </c>
      <c r="Q36" s="333">
        <f t="shared" si="11"/>
        <v>0</v>
      </c>
      <c r="R36" s="333">
        <f t="shared" si="11"/>
        <v>0</v>
      </c>
      <c r="S36" s="333">
        <f t="shared" si="11"/>
        <v>0</v>
      </c>
      <c r="T36" s="333">
        <f t="shared" si="11"/>
        <v>0</v>
      </c>
      <c r="U36" s="333">
        <f t="shared" si="11"/>
        <v>0</v>
      </c>
      <c r="V36" s="333">
        <f t="shared" si="11"/>
        <v>0</v>
      </c>
      <c r="W36" s="333">
        <f t="shared" si="11"/>
        <v>0</v>
      </c>
      <c r="X36" s="333">
        <f t="shared" si="11"/>
        <v>0</v>
      </c>
      <c r="Y36" s="333">
        <f t="shared" si="11"/>
        <v>0</v>
      </c>
      <c r="Z36" s="333">
        <f t="shared" si="11"/>
        <v>0</v>
      </c>
      <c r="AA36" s="333">
        <f t="shared" si="11"/>
        <v>0</v>
      </c>
      <c r="AB36" s="333">
        <f t="shared" si="11"/>
        <v>0</v>
      </c>
      <c r="AC36" s="333">
        <f t="shared" si="11"/>
        <v>0</v>
      </c>
      <c r="AD36" s="333">
        <f t="shared" si="11"/>
        <v>0</v>
      </c>
      <c r="AE36" s="334">
        <f t="shared" si="11"/>
        <v>0</v>
      </c>
    </row>
    <row r="37" spans="1:31">
      <c r="A37" s="1711"/>
      <c r="B37" s="116">
        <v>5</v>
      </c>
      <c r="C37" s="332">
        <f t="shared" si="12"/>
        <v>3.3827115818564208</v>
      </c>
      <c r="D37" s="333">
        <f t="shared" si="11"/>
        <v>3.3837278803621618</v>
      </c>
      <c r="E37" s="333">
        <f t="shared" si="11"/>
        <v>3.3712941400692698</v>
      </c>
      <c r="F37" s="333">
        <f t="shared" si="11"/>
        <v>3.3874422707969734</v>
      </c>
      <c r="G37" s="333">
        <f t="shared" si="11"/>
        <v>1.953829196392161</v>
      </c>
      <c r="H37" s="333">
        <f t="shared" si="11"/>
        <v>1.9113873761206392</v>
      </c>
      <c r="I37" s="333">
        <f t="shared" si="11"/>
        <v>0</v>
      </c>
      <c r="J37" s="333">
        <f t="shared" si="11"/>
        <v>0</v>
      </c>
      <c r="K37" s="333">
        <f t="shared" si="11"/>
        <v>0</v>
      </c>
      <c r="L37" s="333">
        <f t="shared" si="11"/>
        <v>0</v>
      </c>
      <c r="M37" s="333">
        <f t="shared" si="11"/>
        <v>0</v>
      </c>
      <c r="N37" s="333">
        <f t="shared" si="11"/>
        <v>0</v>
      </c>
      <c r="O37" s="333">
        <f t="shared" si="11"/>
        <v>0</v>
      </c>
      <c r="P37" s="333">
        <f t="shared" si="11"/>
        <v>0</v>
      </c>
      <c r="Q37" s="333">
        <f t="shared" si="11"/>
        <v>0</v>
      </c>
      <c r="R37" s="333">
        <f t="shared" si="11"/>
        <v>0</v>
      </c>
      <c r="S37" s="333">
        <f t="shared" si="11"/>
        <v>0</v>
      </c>
      <c r="T37" s="333">
        <f t="shared" si="11"/>
        <v>0</v>
      </c>
      <c r="U37" s="333">
        <f t="shared" si="11"/>
        <v>0</v>
      </c>
      <c r="V37" s="333">
        <f t="shared" si="11"/>
        <v>0</v>
      </c>
      <c r="W37" s="333">
        <f t="shared" si="11"/>
        <v>0</v>
      </c>
      <c r="X37" s="333">
        <f t="shared" si="11"/>
        <v>0</v>
      </c>
      <c r="Y37" s="333">
        <f t="shared" si="11"/>
        <v>0</v>
      </c>
      <c r="Z37" s="333">
        <f t="shared" si="11"/>
        <v>0</v>
      </c>
      <c r="AA37" s="333">
        <f t="shared" si="11"/>
        <v>0</v>
      </c>
      <c r="AB37" s="333">
        <f t="shared" si="11"/>
        <v>0</v>
      </c>
      <c r="AC37" s="333">
        <f t="shared" si="11"/>
        <v>0</v>
      </c>
      <c r="AD37" s="333">
        <f t="shared" si="11"/>
        <v>0</v>
      </c>
      <c r="AE37" s="334">
        <f t="shared" si="11"/>
        <v>0</v>
      </c>
    </row>
    <row r="38" spans="1:31">
      <c r="A38" s="1711"/>
      <c r="B38" s="116">
        <v>6</v>
      </c>
      <c r="C38" s="332">
        <f t="shared" si="12"/>
        <v>3.4514162017083292</v>
      </c>
      <c r="D38" s="333">
        <f t="shared" si="11"/>
        <v>3.3827115818564208</v>
      </c>
      <c r="E38" s="333">
        <f t="shared" si="11"/>
        <v>3.3837278803621618</v>
      </c>
      <c r="F38" s="333">
        <f t="shared" si="11"/>
        <v>3.3712941400692698</v>
      </c>
      <c r="G38" s="333">
        <f t="shared" si="11"/>
        <v>3.3874422707969734</v>
      </c>
      <c r="H38" s="333">
        <f t="shared" si="11"/>
        <v>1.953829196392161</v>
      </c>
      <c r="I38" s="333">
        <f t="shared" si="11"/>
        <v>1.9113873761206392</v>
      </c>
      <c r="J38" s="333">
        <f t="shared" si="11"/>
        <v>0</v>
      </c>
      <c r="K38" s="333">
        <f t="shared" si="11"/>
        <v>0</v>
      </c>
      <c r="L38" s="333">
        <f t="shared" si="11"/>
        <v>0</v>
      </c>
      <c r="M38" s="333">
        <f t="shared" si="11"/>
        <v>0</v>
      </c>
      <c r="N38" s="333">
        <f t="shared" si="11"/>
        <v>0</v>
      </c>
      <c r="O38" s="333">
        <f t="shared" si="11"/>
        <v>0</v>
      </c>
      <c r="P38" s="333">
        <f t="shared" si="11"/>
        <v>0</v>
      </c>
      <c r="Q38" s="333">
        <f t="shared" si="11"/>
        <v>0</v>
      </c>
      <c r="R38" s="333">
        <f t="shared" si="11"/>
        <v>0</v>
      </c>
      <c r="S38" s="333">
        <f t="shared" si="11"/>
        <v>0</v>
      </c>
      <c r="T38" s="333">
        <f t="shared" si="11"/>
        <v>0</v>
      </c>
      <c r="U38" s="333">
        <f t="shared" si="11"/>
        <v>0</v>
      </c>
      <c r="V38" s="333">
        <f t="shared" si="11"/>
        <v>0</v>
      </c>
      <c r="W38" s="333">
        <f t="shared" si="11"/>
        <v>0</v>
      </c>
      <c r="X38" s="333">
        <f t="shared" si="11"/>
        <v>0</v>
      </c>
      <c r="Y38" s="333">
        <f t="shared" si="11"/>
        <v>0</v>
      </c>
      <c r="Z38" s="333">
        <f t="shared" si="11"/>
        <v>0</v>
      </c>
      <c r="AA38" s="333">
        <f t="shared" si="11"/>
        <v>0</v>
      </c>
      <c r="AB38" s="333">
        <f t="shared" si="11"/>
        <v>0</v>
      </c>
      <c r="AC38" s="333">
        <f t="shared" si="11"/>
        <v>0</v>
      </c>
      <c r="AD38" s="333">
        <f t="shared" si="11"/>
        <v>0</v>
      </c>
      <c r="AE38" s="334">
        <f t="shared" si="11"/>
        <v>0</v>
      </c>
    </row>
    <row r="39" spans="1:31">
      <c r="A39" s="1711"/>
      <c r="B39" s="116">
        <v>7</v>
      </c>
      <c r="C39" s="332">
        <f t="shared" si="12"/>
        <v>3.4410330577357513</v>
      </c>
      <c r="D39" s="333">
        <f t="shared" si="11"/>
        <v>3.4514162017083292</v>
      </c>
      <c r="E39" s="333">
        <f t="shared" si="11"/>
        <v>3.3827115818564208</v>
      </c>
      <c r="F39" s="333">
        <f t="shared" si="11"/>
        <v>3.3837278803621618</v>
      </c>
      <c r="G39" s="333">
        <f t="shared" si="11"/>
        <v>3.3712941400692698</v>
      </c>
      <c r="H39" s="333">
        <f t="shared" si="11"/>
        <v>3.3874422707969734</v>
      </c>
      <c r="I39" s="333">
        <f t="shared" si="11"/>
        <v>1.953829196392161</v>
      </c>
      <c r="J39" s="333">
        <f t="shared" si="11"/>
        <v>1.9113873761206392</v>
      </c>
      <c r="K39" s="333">
        <f t="shared" si="11"/>
        <v>0</v>
      </c>
      <c r="L39" s="333">
        <f t="shared" si="11"/>
        <v>0</v>
      </c>
      <c r="M39" s="333">
        <f t="shared" si="11"/>
        <v>0</v>
      </c>
      <c r="N39" s="333">
        <f t="shared" si="11"/>
        <v>0</v>
      </c>
      <c r="O39" s="333">
        <f t="shared" si="11"/>
        <v>0</v>
      </c>
      <c r="P39" s="333">
        <f t="shared" si="11"/>
        <v>0</v>
      </c>
      <c r="Q39" s="333">
        <f t="shared" si="11"/>
        <v>0</v>
      </c>
      <c r="R39" s="333">
        <f t="shared" si="11"/>
        <v>0</v>
      </c>
      <c r="S39" s="333">
        <f t="shared" si="11"/>
        <v>0</v>
      </c>
      <c r="T39" s="333">
        <f t="shared" si="11"/>
        <v>0</v>
      </c>
      <c r="U39" s="333">
        <f t="shared" si="11"/>
        <v>0</v>
      </c>
      <c r="V39" s="333">
        <f t="shared" si="11"/>
        <v>0</v>
      </c>
      <c r="W39" s="333">
        <f t="shared" si="11"/>
        <v>0</v>
      </c>
      <c r="X39" s="333">
        <f t="shared" si="11"/>
        <v>0</v>
      </c>
      <c r="Y39" s="333">
        <f t="shared" si="11"/>
        <v>0</v>
      </c>
      <c r="Z39" s="333">
        <f t="shared" si="11"/>
        <v>0</v>
      </c>
      <c r="AA39" s="333">
        <f t="shared" si="11"/>
        <v>0</v>
      </c>
      <c r="AB39" s="333">
        <f t="shared" si="11"/>
        <v>0</v>
      </c>
      <c r="AC39" s="333">
        <f t="shared" si="11"/>
        <v>0</v>
      </c>
      <c r="AD39" s="333">
        <f t="shared" si="11"/>
        <v>0</v>
      </c>
      <c r="AE39" s="334">
        <f t="shared" si="11"/>
        <v>0</v>
      </c>
    </row>
    <row r="40" spans="1:31">
      <c r="A40" s="1711"/>
      <c r="B40" s="116">
        <v>8</v>
      </c>
      <c r="C40" s="332">
        <f t="shared" si="12"/>
        <v>3.418532336374708</v>
      </c>
      <c r="D40" s="333">
        <f t="shared" si="11"/>
        <v>3.4410330577357513</v>
      </c>
      <c r="E40" s="333">
        <f t="shared" si="11"/>
        <v>3.4514162017083292</v>
      </c>
      <c r="F40" s="333">
        <f t="shared" si="11"/>
        <v>3.3827115818564208</v>
      </c>
      <c r="G40" s="333">
        <f t="shared" si="11"/>
        <v>3.3837278803621618</v>
      </c>
      <c r="H40" s="333">
        <f t="shared" si="11"/>
        <v>3.3712941400692698</v>
      </c>
      <c r="I40" s="333">
        <f t="shared" si="11"/>
        <v>3.3874422707969734</v>
      </c>
      <c r="J40" s="333">
        <f t="shared" si="11"/>
        <v>1.953829196392161</v>
      </c>
      <c r="K40" s="333">
        <f t="shared" si="11"/>
        <v>1.9113873761206392</v>
      </c>
      <c r="L40" s="333">
        <f t="shared" si="11"/>
        <v>0</v>
      </c>
      <c r="M40" s="333">
        <f t="shared" si="11"/>
        <v>0</v>
      </c>
      <c r="N40" s="333">
        <f t="shared" si="11"/>
        <v>0</v>
      </c>
      <c r="O40" s="333">
        <f t="shared" si="11"/>
        <v>0</v>
      </c>
      <c r="P40" s="333">
        <f t="shared" si="11"/>
        <v>0</v>
      </c>
      <c r="Q40" s="333">
        <f t="shared" si="11"/>
        <v>0</v>
      </c>
      <c r="R40" s="333">
        <f t="shared" si="11"/>
        <v>0</v>
      </c>
      <c r="S40" s="333">
        <f t="shared" si="11"/>
        <v>0</v>
      </c>
      <c r="T40" s="333">
        <f t="shared" si="11"/>
        <v>0</v>
      </c>
      <c r="U40" s="333">
        <f t="shared" si="11"/>
        <v>0</v>
      </c>
      <c r="V40" s="333">
        <f t="shared" si="11"/>
        <v>0</v>
      </c>
      <c r="W40" s="333">
        <f t="shared" si="11"/>
        <v>0</v>
      </c>
      <c r="X40" s="333">
        <f t="shared" si="11"/>
        <v>0</v>
      </c>
      <c r="Y40" s="333">
        <f t="shared" si="11"/>
        <v>0</v>
      </c>
      <c r="Z40" s="333">
        <f t="shared" si="11"/>
        <v>0</v>
      </c>
      <c r="AA40" s="333">
        <f t="shared" si="11"/>
        <v>0</v>
      </c>
      <c r="AB40" s="333">
        <f t="shared" si="11"/>
        <v>0</v>
      </c>
      <c r="AC40" s="333">
        <f t="shared" si="11"/>
        <v>0</v>
      </c>
      <c r="AD40" s="333">
        <f t="shared" si="11"/>
        <v>0</v>
      </c>
      <c r="AE40" s="334">
        <f t="shared" si="11"/>
        <v>0</v>
      </c>
    </row>
    <row r="41" spans="1:31">
      <c r="A41" s="1711"/>
      <c r="B41" s="116">
        <v>9</v>
      </c>
      <c r="C41" s="332">
        <f t="shared" si="12"/>
        <v>3.410817129755392</v>
      </c>
      <c r="D41" s="333">
        <f t="shared" si="11"/>
        <v>3.418532336374708</v>
      </c>
      <c r="E41" s="333">
        <f t="shared" si="11"/>
        <v>3.4410330577357513</v>
      </c>
      <c r="F41" s="333">
        <f t="shared" si="11"/>
        <v>3.4514162017083292</v>
      </c>
      <c r="G41" s="333">
        <f t="shared" si="11"/>
        <v>3.3827115818564208</v>
      </c>
      <c r="H41" s="333">
        <f t="shared" si="11"/>
        <v>3.3837278803621618</v>
      </c>
      <c r="I41" s="333">
        <f t="shared" si="11"/>
        <v>3.3712941400692698</v>
      </c>
      <c r="J41" s="333">
        <f t="shared" si="11"/>
        <v>3.3874422707969734</v>
      </c>
      <c r="K41" s="333">
        <f t="shared" si="11"/>
        <v>1.953829196392161</v>
      </c>
      <c r="L41" s="333">
        <f t="shared" si="11"/>
        <v>1.9113873761206392</v>
      </c>
      <c r="M41" s="333">
        <f t="shared" si="11"/>
        <v>0</v>
      </c>
      <c r="N41" s="333">
        <f t="shared" si="11"/>
        <v>0</v>
      </c>
      <c r="O41" s="333">
        <f t="shared" si="11"/>
        <v>0</v>
      </c>
      <c r="P41" s="333">
        <f t="shared" si="11"/>
        <v>0</v>
      </c>
      <c r="Q41" s="333">
        <f t="shared" si="11"/>
        <v>0</v>
      </c>
      <c r="R41" s="333">
        <f t="shared" si="11"/>
        <v>0</v>
      </c>
      <c r="S41" s="333">
        <f t="shared" si="11"/>
        <v>0</v>
      </c>
      <c r="T41" s="333">
        <f t="shared" si="11"/>
        <v>0</v>
      </c>
      <c r="U41" s="333">
        <f t="shared" si="11"/>
        <v>0</v>
      </c>
      <c r="V41" s="333">
        <f t="shared" ref="D41:AE50" si="13">V128</f>
        <v>0</v>
      </c>
      <c r="W41" s="333">
        <f t="shared" si="13"/>
        <v>0</v>
      </c>
      <c r="X41" s="333">
        <f t="shared" si="13"/>
        <v>0</v>
      </c>
      <c r="Y41" s="333">
        <f t="shared" si="13"/>
        <v>0</v>
      </c>
      <c r="Z41" s="333">
        <f t="shared" si="13"/>
        <v>0</v>
      </c>
      <c r="AA41" s="333">
        <f t="shared" si="13"/>
        <v>0</v>
      </c>
      <c r="AB41" s="333">
        <f t="shared" si="13"/>
        <v>0</v>
      </c>
      <c r="AC41" s="333">
        <f t="shared" si="13"/>
        <v>0</v>
      </c>
      <c r="AD41" s="333">
        <f t="shared" si="13"/>
        <v>0</v>
      </c>
      <c r="AE41" s="334">
        <f t="shared" si="13"/>
        <v>0</v>
      </c>
    </row>
    <row r="42" spans="1:31">
      <c r="A42" s="1711"/>
      <c r="B42" s="116">
        <v>10</v>
      </c>
      <c r="C42" s="332">
        <f t="shared" si="12"/>
        <v>3.4124381560734931</v>
      </c>
      <c r="D42" s="333">
        <f t="shared" si="13"/>
        <v>3.410817129755392</v>
      </c>
      <c r="E42" s="333">
        <f t="shared" si="13"/>
        <v>3.418532336374708</v>
      </c>
      <c r="F42" s="333">
        <f t="shared" si="13"/>
        <v>3.4410330577357513</v>
      </c>
      <c r="G42" s="333">
        <f t="shared" si="13"/>
        <v>3.4514162017083292</v>
      </c>
      <c r="H42" s="333">
        <f t="shared" si="13"/>
        <v>3.3827115818564208</v>
      </c>
      <c r="I42" s="333">
        <f t="shared" si="13"/>
        <v>3.3837278803621618</v>
      </c>
      <c r="J42" s="333">
        <f t="shared" si="13"/>
        <v>3.3712941400692698</v>
      </c>
      <c r="K42" s="333">
        <f t="shared" si="13"/>
        <v>3.3874422707969734</v>
      </c>
      <c r="L42" s="333">
        <f t="shared" si="13"/>
        <v>1.953829196392161</v>
      </c>
      <c r="M42" s="333">
        <f t="shared" si="13"/>
        <v>1.9113873761206392</v>
      </c>
      <c r="N42" s="333">
        <f t="shared" si="13"/>
        <v>0</v>
      </c>
      <c r="O42" s="333">
        <f t="shared" si="13"/>
        <v>0</v>
      </c>
      <c r="P42" s="333">
        <f t="shared" si="13"/>
        <v>0</v>
      </c>
      <c r="Q42" s="333">
        <f t="shared" si="13"/>
        <v>0</v>
      </c>
      <c r="R42" s="333">
        <f t="shared" si="13"/>
        <v>0</v>
      </c>
      <c r="S42" s="333">
        <f t="shared" si="13"/>
        <v>0</v>
      </c>
      <c r="T42" s="333">
        <f t="shared" si="13"/>
        <v>0</v>
      </c>
      <c r="U42" s="333">
        <f t="shared" si="13"/>
        <v>0</v>
      </c>
      <c r="V42" s="333">
        <f t="shared" si="13"/>
        <v>0</v>
      </c>
      <c r="W42" s="333">
        <f t="shared" si="13"/>
        <v>0</v>
      </c>
      <c r="X42" s="333">
        <f t="shared" si="13"/>
        <v>0</v>
      </c>
      <c r="Y42" s="333">
        <f t="shared" si="13"/>
        <v>0</v>
      </c>
      <c r="Z42" s="333">
        <f t="shared" si="13"/>
        <v>0</v>
      </c>
      <c r="AA42" s="333">
        <f t="shared" si="13"/>
        <v>0</v>
      </c>
      <c r="AB42" s="333">
        <f t="shared" si="13"/>
        <v>0</v>
      </c>
      <c r="AC42" s="333">
        <f t="shared" si="13"/>
        <v>0</v>
      </c>
      <c r="AD42" s="333">
        <f t="shared" si="13"/>
        <v>0</v>
      </c>
      <c r="AE42" s="334">
        <f t="shared" si="13"/>
        <v>0</v>
      </c>
    </row>
    <row r="43" spans="1:31">
      <c r="A43" s="1711"/>
      <c r="B43" s="116">
        <v>11</v>
      </c>
      <c r="C43" s="332">
        <f t="shared" si="12"/>
        <v>3.4244248602280463</v>
      </c>
      <c r="D43" s="333">
        <f t="shared" si="13"/>
        <v>3.4124381560734931</v>
      </c>
      <c r="E43" s="333">
        <f t="shared" si="13"/>
        <v>3.410817129755392</v>
      </c>
      <c r="F43" s="333">
        <f t="shared" si="13"/>
        <v>3.418532336374708</v>
      </c>
      <c r="G43" s="333">
        <f t="shared" si="13"/>
        <v>3.4410330577357513</v>
      </c>
      <c r="H43" s="333">
        <f t="shared" si="13"/>
        <v>3.4514162017083292</v>
      </c>
      <c r="I43" s="333">
        <f t="shared" si="13"/>
        <v>3.3827115818564208</v>
      </c>
      <c r="J43" s="333">
        <f t="shared" si="13"/>
        <v>3.3837278803621618</v>
      </c>
      <c r="K43" s="333">
        <f t="shared" si="13"/>
        <v>3.3712941400692698</v>
      </c>
      <c r="L43" s="333">
        <f t="shared" si="13"/>
        <v>3.3874422707969734</v>
      </c>
      <c r="M43" s="333">
        <f t="shared" si="13"/>
        <v>1.953829196392161</v>
      </c>
      <c r="N43" s="333">
        <f t="shared" si="13"/>
        <v>1.9113873761206392</v>
      </c>
      <c r="O43" s="333">
        <f t="shared" si="13"/>
        <v>0</v>
      </c>
      <c r="P43" s="333">
        <f t="shared" si="13"/>
        <v>0</v>
      </c>
      <c r="Q43" s="333">
        <f t="shared" si="13"/>
        <v>0</v>
      </c>
      <c r="R43" s="333">
        <f t="shared" si="13"/>
        <v>0</v>
      </c>
      <c r="S43" s="333">
        <f t="shared" si="13"/>
        <v>0</v>
      </c>
      <c r="T43" s="333">
        <f t="shared" si="13"/>
        <v>0</v>
      </c>
      <c r="U43" s="333">
        <f t="shared" si="13"/>
        <v>0</v>
      </c>
      <c r="V43" s="333">
        <f t="shared" si="13"/>
        <v>0</v>
      </c>
      <c r="W43" s="333">
        <f t="shared" si="13"/>
        <v>0</v>
      </c>
      <c r="X43" s="333">
        <f t="shared" si="13"/>
        <v>0</v>
      </c>
      <c r="Y43" s="333">
        <f t="shared" si="13"/>
        <v>0</v>
      </c>
      <c r="Z43" s="333">
        <f t="shared" si="13"/>
        <v>0</v>
      </c>
      <c r="AA43" s="333">
        <f t="shared" si="13"/>
        <v>0</v>
      </c>
      <c r="AB43" s="333">
        <f t="shared" si="13"/>
        <v>0</v>
      </c>
      <c r="AC43" s="333">
        <f t="shared" si="13"/>
        <v>0</v>
      </c>
      <c r="AD43" s="333">
        <f t="shared" si="13"/>
        <v>0</v>
      </c>
      <c r="AE43" s="334">
        <f t="shared" si="13"/>
        <v>0</v>
      </c>
    </row>
    <row r="44" spans="1:31">
      <c r="A44" s="1711"/>
      <c r="B44" s="116">
        <v>12</v>
      </c>
      <c r="C44" s="332">
        <f t="shared" si="12"/>
        <v>3.3481783446377373</v>
      </c>
      <c r="D44" s="333">
        <f t="shared" si="13"/>
        <v>3.4244248602280463</v>
      </c>
      <c r="E44" s="333">
        <f t="shared" si="13"/>
        <v>3.4124381560734931</v>
      </c>
      <c r="F44" s="333">
        <f t="shared" si="13"/>
        <v>3.410817129755392</v>
      </c>
      <c r="G44" s="333">
        <f t="shared" si="13"/>
        <v>3.418532336374708</v>
      </c>
      <c r="H44" s="333">
        <f t="shared" si="13"/>
        <v>3.4410330577357513</v>
      </c>
      <c r="I44" s="333">
        <f t="shared" si="13"/>
        <v>3.4514162017083292</v>
      </c>
      <c r="J44" s="333">
        <f t="shared" si="13"/>
        <v>3.3827115818564208</v>
      </c>
      <c r="K44" s="333">
        <f t="shared" si="13"/>
        <v>3.3837278803621618</v>
      </c>
      <c r="L44" s="333">
        <f t="shared" si="13"/>
        <v>3.3712941400692698</v>
      </c>
      <c r="M44" s="333">
        <f t="shared" si="13"/>
        <v>3.3874422707969734</v>
      </c>
      <c r="N44" s="333">
        <f t="shared" si="13"/>
        <v>1.953829196392161</v>
      </c>
      <c r="O44" s="333">
        <f t="shared" si="13"/>
        <v>1.9113873761206392</v>
      </c>
      <c r="P44" s="333">
        <f t="shared" si="13"/>
        <v>0</v>
      </c>
      <c r="Q44" s="333">
        <f t="shared" si="13"/>
        <v>0</v>
      </c>
      <c r="R44" s="333">
        <f t="shared" si="13"/>
        <v>0</v>
      </c>
      <c r="S44" s="333">
        <f t="shared" si="13"/>
        <v>0</v>
      </c>
      <c r="T44" s="333">
        <f t="shared" si="13"/>
        <v>0</v>
      </c>
      <c r="U44" s="333">
        <f t="shared" si="13"/>
        <v>0</v>
      </c>
      <c r="V44" s="333">
        <f t="shared" si="13"/>
        <v>0</v>
      </c>
      <c r="W44" s="333">
        <f t="shared" si="13"/>
        <v>0</v>
      </c>
      <c r="X44" s="333">
        <f t="shared" si="13"/>
        <v>0</v>
      </c>
      <c r="Y44" s="333">
        <f t="shared" si="13"/>
        <v>0</v>
      </c>
      <c r="Z44" s="333">
        <f t="shared" si="13"/>
        <v>0</v>
      </c>
      <c r="AA44" s="333">
        <f t="shared" si="13"/>
        <v>0</v>
      </c>
      <c r="AB44" s="333">
        <f t="shared" si="13"/>
        <v>0</v>
      </c>
      <c r="AC44" s="333">
        <f t="shared" si="13"/>
        <v>0</v>
      </c>
      <c r="AD44" s="333">
        <f t="shared" si="13"/>
        <v>0</v>
      </c>
      <c r="AE44" s="334">
        <f t="shared" si="13"/>
        <v>0</v>
      </c>
    </row>
    <row r="45" spans="1:31">
      <c r="A45" s="1711"/>
      <c r="B45" s="116">
        <v>13</v>
      </c>
      <c r="C45" s="332">
        <f t="shared" si="12"/>
        <v>3.34290741147541</v>
      </c>
      <c r="D45" s="333">
        <f t="shared" si="13"/>
        <v>3.3481783446377373</v>
      </c>
      <c r="E45" s="333">
        <f t="shared" si="13"/>
        <v>3.4244248602280463</v>
      </c>
      <c r="F45" s="333">
        <f t="shared" si="13"/>
        <v>3.4124381560734931</v>
      </c>
      <c r="G45" s="333">
        <f t="shared" si="13"/>
        <v>3.410817129755392</v>
      </c>
      <c r="H45" s="333">
        <f t="shared" si="13"/>
        <v>3.418532336374708</v>
      </c>
      <c r="I45" s="333">
        <f t="shared" si="13"/>
        <v>3.4410330577357513</v>
      </c>
      <c r="J45" s="333">
        <f t="shared" si="13"/>
        <v>3.4514162017083292</v>
      </c>
      <c r="K45" s="333">
        <f t="shared" si="13"/>
        <v>3.3827115818564208</v>
      </c>
      <c r="L45" s="333">
        <f t="shared" si="13"/>
        <v>3.3837278803621618</v>
      </c>
      <c r="M45" s="333">
        <f t="shared" si="13"/>
        <v>3.3712941400692698</v>
      </c>
      <c r="N45" s="333">
        <f t="shared" si="13"/>
        <v>3.3874422707969734</v>
      </c>
      <c r="O45" s="333">
        <f t="shared" si="13"/>
        <v>1.953829196392161</v>
      </c>
      <c r="P45" s="333">
        <f t="shared" si="13"/>
        <v>1.9113873761206392</v>
      </c>
      <c r="Q45" s="333">
        <f t="shared" si="13"/>
        <v>0</v>
      </c>
      <c r="R45" s="333">
        <f t="shared" si="13"/>
        <v>0</v>
      </c>
      <c r="S45" s="333">
        <f t="shared" si="13"/>
        <v>0</v>
      </c>
      <c r="T45" s="333">
        <f t="shared" si="13"/>
        <v>0</v>
      </c>
      <c r="U45" s="333">
        <f t="shared" si="13"/>
        <v>0</v>
      </c>
      <c r="V45" s="333">
        <f t="shared" si="13"/>
        <v>0</v>
      </c>
      <c r="W45" s="333">
        <f t="shared" si="13"/>
        <v>0</v>
      </c>
      <c r="X45" s="333">
        <f t="shared" si="13"/>
        <v>0</v>
      </c>
      <c r="Y45" s="333">
        <f t="shared" si="13"/>
        <v>0</v>
      </c>
      <c r="Z45" s="333">
        <f t="shared" si="13"/>
        <v>0</v>
      </c>
      <c r="AA45" s="333">
        <f t="shared" si="13"/>
        <v>0</v>
      </c>
      <c r="AB45" s="333">
        <f t="shared" si="13"/>
        <v>0</v>
      </c>
      <c r="AC45" s="333">
        <f t="shared" si="13"/>
        <v>0</v>
      </c>
      <c r="AD45" s="333">
        <f t="shared" si="13"/>
        <v>0</v>
      </c>
      <c r="AE45" s="334">
        <f t="shared" si="13"/>
        <v>0</v>
      </c>
    </row>
    <row r="46" spans="1:31">
      <c r="A46" s="1711"/>
      <c r="B46" s="116">
        <v>14</v>
      </c>
      <c r="C46" s="332">
        <f t="shared" si="12"/>
        <v>3.3640896622950822</v>
      </c>
      <c r="D46" s="333">
        <f t="shared" si="13"/>
        <v>3.34290741147541</v>
      </c>
      <c r="E46" s="333">
        <f t="shared" si="13"/>
        <v>3.3481783446377373</v>
      </c>
      <c r="F46" s="333">
        <f t="shared" si="13"/>
        <v>3.4244248602280463</v>
      </c>
      <c r="G46" s="333">
        <f t="shared" si="13"/>
        <v>3.4124381560734931</v>
      </c>
      <c r="H46" s="333">
        <f t="shared" si="13"/>
        <v>3.410817129755392</v>
      </c>
      <c r="I46" s="333">
        <f t="shared" si="13"/>
        <v>3.418532336374708</v>
      </c>
      <c r="J46" s="333">
        <f t="shared" si="13"/>
        <v>3.4410330577357513</v>
      </c>
      <c r="K46" s="333">
        <f t="shared" si="13"/>
        <v>3.4514162017083292</v>
      </c>
      <c r="L46" s="333">
        <f t="shared" si="13"/>
        <v>3.3827115818564208</v>
      </c>
      <c r="M46" s="333">
        <f t="shared" si="13"/>
        <v>3.3837278803621618</v>
      </c>
      <c r="N46" s="333">
        <f t="shared" si="13"/>
        <v>3.3712941400692698</v>
      </c>
      <c r="O46" s="333">
        <f t="shared" si="13"/>
        <v>3.3874422707969734</v>
      </c>
      <c r="P46" s="333">
        <f t="shared" si="13"/>
        <v>1.953829196392161</v>
      </c>
      <c r="Q46" s="333">
        <f t="shared" si="13"/>
        <v>1.9113873761206392</v>
      </c>
      <c r="R46" s="333">
        <f t="shared" si="13"/>
        <v>0</v>
      </c>
      <c r="S46" s="333">
        <f t="shared" si="13"/>
        <v>0</v>
      </c>
      <c r="T46" s="333">
        <f t="shared" si="13"/>
        <v>0</v>
      </c>
      <c r="U46" s="333">
        <f t="shared" si="13"/>
        <v>0</v>
      </c>
      <c r="V46" s="333">
        <f t="shared" si="13"/>
        <v>0</v>
      </c>
      <c r="W46" s="333">
        <f t="shared" si="13"/>
        <v>0</v>
      </c>
      <c r="X46" s="333">
        <f t="shared" si="13"/>
        <v>0</v>
      </c>
      <c r="Y46" s="333">
        <f t="shared" si="13"/>
        <v>0</v>
      </c>
      <c r="Z46" s="333">
        <f t="shared" si="13"/>
        <v>0</v>
      </c>
      <c r="AA46" s="333">
        <f t="shared" si="13"/>
        <v>0</v>
      </c>
      <c r="AB46" s="333">
        <f t="shared" si="13"/>
        <v>0</v>
      </c>
      <c r="AC46" s="333">
        <f t="shared" si="13"/>
        <v>0</v>
      </c>
      <c r="AD46" s="333">
        <f t="shared" si="13"/>
        <v>0</v>
      </c>
      <c r="AE46" s="334">
        <f t="shared" si="13"/>
        <v>0</v>
      </c>
    </row>
    <row r="47" spans="1:31">
      <c r="A47" s="1711"/>
      <c r="B47" s="116">
        <v>15</v>
      </c>
      <c r="C47" s="332">
        <f t="shared" si="12"/>
        <v>3.3716901713508616</v>
      </c>
      <c r="D47" s="333">
        <f t="shared" si="13"/>
        <v>3.3640896622950822</v>
      </c>
      <c r="E47" s="333">
        <f t="shared" si="13"/>
        <v>3.34290741147541</v>
      </c>
      <c r="F47" s="333">
        <f t="shared" si="13"/>
        <v>3.3481783446377373</v>
      </c>
      <c r="G47" s="333">
        <f t="shared" si="13"/>
        <v>3.4244248602280463</v>
      </c>
      <c r="H47" s="333">
        <f t="shared" si="13"/>
        <v>3.4124381560734931</v>
      </c>
      <c r="I47" s="333">
        <f t="shared" si="13"/>
        <v>3.410817129755392</v>
      </c>
      <c r="J47" s="333">
        <f t="shared" si="13"/>
        <v>3.418532336374708</v>
      </c>
      <c r="K47" s="333">
        <f t="shared" si="13"/>
        <v>3.4410330577357513</v>
      </c>
      <c r="L47" s="333">
        <f t="shared" si="13"/>
        <v>3.4514162017083292</v>
      </c>
      <c r="M47" s="333">
        <f t="shared" si="13"/>
        <v>3.3827115818564208</v>
      </c>
      <c r="N47" s="333">
        <f t="shared" si="13"/>
        <v>3.3837278803621618</v>
      </c>
      <c r="O47" s="333">
        <f t="shared" si="13"/>
        <v>3.3712941400692698</v>
      </c>
      <c r="P47" s="333">
        <f t="shared" si="13"/>
        <v>3.3874422707969734</v>
      </c>
      <c r="Q47" s="333">
        <f t="shared" si="13"/>
        <v>1.953829196392161</v>
      </c>
      <c r="R47" s="333">
        <f t="shared" si="13"/>
        <v>1.9113873761206392</v>
      </c>
      <c r="S47" s="333">
        <f t="shared" si="13"/>
        <v>0</v>
      </c>
      <c r="T47" s="333">
        <f t="shared" si="13"/>
        <v>0</v>
      </c>
      <c r="U47" s="333">
        <f t="shared" si="13"/>
        <v>0</v>
      </c>
      <c r="V47" s="333">
        <f t="shared" si="13"/>
        <v>0</v>
      </c>
      <c r="W47" s="333">
        <f t="shared" si="13"/>
        <v>0</v>
      </c>
      <c r="X47" s="333">
        <f t="shared" si="13"/>
        <v>0</v>
      </c>
      <c r="Y47" s="333">
        <f t="shared" si="13"/>
        <v>0</v>
      </c>
      <c r="Z47" s="333">
        <f t="shared" si="13"/>
        <v>0</v>
      </c>
      <c r="AA47" s="333">
        <f t="shared" si="13"/>
        <v>0</v>
      </c>
      <c r="AB47" s="333">
        <f t="shared" si="13"/>
        <v>0</v>
      </c>
      <c r="AC47" s="333">
        <f t="shared" si="13"/>
        <v>0</v>
      </c>
      <c r="AD47" s="333">
        <f t="shared" si="13"/>
        <v>0</v>
      </c>
      <c r="AE47" s="334">
        <f t="shared" si="13"/>
        <v>0</v>
      </c>
    </row>
    <row r="48" spans="1:31">
      <c r="A48" s="1711"/>
      <c r="B48" s="116">
        <v>16</v>
      </c>
      <c r="C48" s="332">
        <f t="shared" si="12"/>
        <v>3.3295863214396042</v>
      </c>
      <c r="D48" s="333">
        <f t="shared" si="13"/>
        <v>3.3716901713508616</v>
      </c>
      <c r="E48" s="333">
        <f t="shared" si="13"/>
        <v>3.3640896622950822</v>
      </c>
      <c r="F48" s="333">
        <f t="shared" si="13"/>
        <v>3.34290741147541</v>
      </c>
      <c r="G48" s="333">
        <f t="shared" si="13"/>
        <v>3.3481783446377373</v>
      </c>
      <c r="H48" s="333">
        <f t="shared" si="13"/>
        <v>3.4244248602280463</v>
      </c>
      <c r="I48" s="333">
        <f t="shared" si="13"/>
        <v>3.4124381560734931</v>
      </c>
      <c r="J48" s="333">
        <f t="shared" si="13"/>
        <v>3.410817129755392</v>
      </c>
      <c r="K48" s="333">
        <f t="shared" si="13"/>
        <v>3.418532336374708</v>
      </c>
      <c r="L48" s="333">
        <f t="shared" si="13"/>
        <v>3.4410330577357513</v>
      </c>
      <c r="M48" s="333">
        <f t="shared" si="13"/>
        <v>3.4514162017083292</v>
      </c>
      <c r="N48" s="333">
        <f t="shared" si="13"/>
        <v>3.3827115818564208</v>
      </c>
      <c r="O48" s="333">
        <f t="shared" si="13"/>
        <v>3.3837278803621618</v>
      </c>
      <c r="P48" s="333">
        <f t="shared" si="13"/>
        <v>3.3712941400692698</v>
      </c>
      <c r="Q48" s="333">
        <f t="shared" si="13"/>
        <v>3.3874422707969734</v>
      </c>
      <c r="R48" s="333">
        <f t="shared" si="13"/>
        <v>1.953829196392161</v>
      </c>
      <c r="S48" s="333">
        <f t="shared" si="13"/>
        <v>1.9113873761206392</v>
      </c>
      <c r="T48" s="333">
        <f t="shared" si="13"/>
        <v>0</v>
      </c>
      <c r="U48" s="333">
        <f t="shared" si="13"/>
        <v>0</v>
      </c>
      <c r="V48" s="333">
        <f t="shared" si="13"/>
        <v>0</v>
      </c>
      <c r="W48" s="333">
        <f t="shared" si="13"/>
        <v>0</v>
      </c>
      <c r="X48" s="333">
        <f t="shared" si="13"/>
        <v>0</v>
      </c>
      <c r="Y48" s="333">
        <f t="shared" si="13"/>
        <v>0</v>
      </c>
      <c r="Z48" s="333">
        <f t="shared" si="13"/>
        <v>0</v>
      </c>
      <c r="AA48" s="333">
        <f t="shared" si="13"/>
        <v>0</v>
      </c>
      <c r="AB48" s="333">
        <f t="shared" si="13"/>
        <v>0</v>
      </c>
      <c r="AC48" s="333">
        <f t="shared" si="13"/>
        <v>0</v>
      </c>
      <c r="AD48" s="333">
        <f t="shared" si="13"/>
        <v>0</v>
      </c>
      <c r="AE48" s="334">
        <f t="shared" si="13"/>
        <v>0</v>
      </c>
    </row>
    <row r="49" spans="1:31">
      <c r="A49" s="1711"/>
      <c r="B49" s="116">
        <v>17</v>
      </c>
      <c r="C49" s="332">
        <f t="shared" ref="C49:R57" si="14">C136</f>
        <v>3.3096370520581111</v>
      </c>
      <c r="D49" s="333">
        <f t="shared" si="13"/>
        <v>3.3295863214396042</v>
      </c>
      <c r="E49" s="333">
        <f t="shared" si="13"/>
        <v>3.3716901713508616</v>
      </c>
      <c r="F49" s="333">
        <f t="shared" si="13"/>
        <v>3.3640896622950822</v>
      </c>
      <c r="G49" s="333">
        <f t="shared" si="13"/>
        <v>3.34290741147541</v>
      </c>
      <c r="H49" s="333">
        <f t="shared" si="13"/>
        <v>3.3481783446377373</v>
      </c>
      <c r="I49" s="333">
        <f t="shared" si="13"/>
        <v>3.4244248602280463</v>
      </c>
      <c r="J49" s="333">
        <f t="shared" si="13"/>
        <v>3.4124381560734931</v>
      </c>
      <c r="K49" s="333">
        <f t="shared" si="13"/>
        <v>3.410817129755392</v>
      </c>
      <c r="L49" s="333">
        <f t="shared" si="13"/>
        <v>3.418532336374708</v>
      </c>
      <c r="M49" s="333">
        <f t="shared" si="13"/>
        <v>3.4410330577357513</v>
      </c>
      <c r="N49" s="333">
        <f t="shared" si="13"/>
        <v>3.4514162017083292</v>
      </c>
      <c r="O49" s="333">
        <f t="shared" si="13"/>
        <v>3.3827115818564208</v>
      </c>
      <c r="P49" s="333">
        <f t="shared" si="13"/>
        <v>3.3837278803621618</v>
      </c>
      <c r="Q49" s="333">
        <f t="shared" si="13"/>
        <v>3.3712941400692698</v>
      </c>
      <c r="R49" s="333">
        <f t="shared" si="13"/>
        <v>3.3874422707969734</v>
      </c>
      <c r="S49" s="333">
        <f t="shared" si="13"/>
        <v>1.953829196392161</v>
      </c>
      <c r="T49" s="333">
        <f t="shared" si="13"/>
        <v>1.9113873761206392</v>
      </c>
      <c r="U49" s="333">
        <f t="shared" si="13"/>
        <v>0</v>
      </c>
      <c r="V49" s="333">
        <f t="shared" si="13"/>
        <v>0</v>
      </c>
      <c r="W49" s="333">
        <f t="shared" si="13"/>
        <v>0</v>
      </c>
      <c r="X49" s="333">
        <f t="shared" si="13"/>
        <v>0</v>
      </c>
      <c r="Y49" s="333">
        <f t="shared" si="13"/>
        <v>0</v>
      </c>
      <c r="Z49" s="333">
        <f t="shared" si="13"/>
        <v>0</v>
      </c>
      <c r="AA49" s="333">
        <f t="shared" si="13"/>
        <v>0</v>
      </c>
      <c r="AB49" s="333">
        <f t="shared" si="13"/>
        <v>0</v>
      </c>
      <c r="AC49" s="333">
        <f t="shared" si="13"/>
        <v>0</v>
      </c>
      <c r="AD49" s="333">
        <f t="shared" si="13"/>
        <v>0</v>
      </c>
      <c r="AE49" s="334">
        <f t="shared" si="13"/>
        <v>0</v>
      </c>
    </row>
    <row r="50" spans="1:31">
      <c r="A50" s="1711"/>
      <c r="B50" s="116">
        <v>18</v>
      </c>
      <c r="C50" s="332">
        <f t="shared" si="14"/>
        <v>3.3015231710932937</v>
      </c>
      <c r="D50" s="333">
        <f t="shared" si="13"/>
        <v>3.3096370520581111</v>
      </c>
      <c r="E50" s="333">
        <f t="shared" si="13"/>
        <v>3.3295863214396042</v>
      </c>
      <c r="F50" s="333">
        <f t="shared" si="13"/>
        <v>3.3716901713508616</v>
      </c>
      <c r="G50" s="333">
        <f t="shared" si="13"/>
        <v>3.3640896622950822</v>
      </c>
      <c r="H50" s="333">
        <f t="shared" si="13"/>
        <v>3.34290741147541</v>
      </c>
      <c r="I50" s="333">
        <f t="shared" si="13"/>
        <v>3.3481783446377373</v>
      </c>
      <c r="J50" s="333">
        <f t="shared" si="13"/>
        <v>3.4244248602280463</v>
      </c>
      <c r="K50" s="333">
        <f t="shared" si="13"/>
        <v>3.4124381560734931</v>
      </c>
      <c r="L50" s="333">
        <f t="shared" si="13"/>
        <v>3.410817129755392</v>
      </c>
      <c r="M50" s="333">
        <f t="shared" si="13"/>
        <v>3.418532336374708</v>
      </c>
      <c r="N50" s="333">
        <f t="shared" si="13"/>
        <v>3.4410330577357513</v>
      </c>
      <c r="O50" s="333">
        <f t="shared" si="13"/>
        <v>3.4514162017083292</v>
      </c>
      <c r="P50" s="333">
        <f t="shared" si="13"/>
        <v>3.3827115818564208</v>
      </c>
      <c r="Q50" s="333">
        <f t="shared" si="13"/>
        <v>3.3837278803621618</v>
      </c>
      <c r="R50" s="333">
        <f t="shared" si="13"/>
        <v>3.3712941400692698</v>
      </c>
      <c r="S50" s="333">
        <f t="shared" si="13"/>
        <v>3.3874422707969734</v>
      </c>
      <c r="T50" s="333">
        <f t="shared" si="13"/>
        <v>1.953829196392161</v>
      </c>
      <c r="U50" s="333">
        <f t="shared" si="13"/>
        <v>1.9113873761206392</v>
      </c>
      <c r="V50" s="333">
        <f t="shared" si="13"/>
        <v>0</v>
      </c>
      <c r="W50" s="333">
        <f t="shared" si="13"/>
        <v>0</v>
      </c>
      <c r="X50" s="333">
        <f t="shared" si="13"/>
        <v>0</v>
      </c>
      <c r="Y50" s="333">
        <f t="shared" ref="Y50:AE50" si="15">Y137</f>
        <v>0</v>
      </c>
      <c r="Z50" s="333">
        <f t="shared" si="15"/>
        <v>0</v>
      </c>
      <c r="AA50" s="333">
        <f t="shared" si="15"/>
        <v>0</v>
      </c>
      <c r="AB50" s="333">
        <f t="shared" si="15"/>
        <v>0</v>
      </c>
      <c r="AC50" s="333">
        <f t="shared" si="15"/>
        <v>0</v>
      </c>
      <c r="AD50" s="333">
        <f t="shared" si="15"/>
        <v>0</v>
      </c>
      <c r="AE50" s="334">
        <f t="shared" si="15"/>
        <v>0</v>
      </c>
    </row>
    <row r="51" spans="1:31">
      <c r="A51" s="1711"/>
      <c r="B51" s="116">
        <v>19</v>
      </c>
      <c r="C51" s="332">
        <f t="shared" si="14"/>
        <v>3.3015231710932937</v>
      </c>
      <c r="D51" s="333">
        <f t="shared" si="14"/>
        <v>3.3015231710932937</v>
      </c>
      <c r="E51" s="333">
        <f t="shared" si="14"/>
        <v>3.3096370520581111</v>
      </c>
      <c r="F51" s="333">
        <f t="shared" si="14"/>
        <v>3.3295863214396042</v>
      </c>
      <c r="G51" s="333">
        <f t="shared" si="14"/>
        <v>3.3716901713508616</v>
      </c>
      <c r="H51" s="333">
        <f t="shared" si="14"/>
        <v>3.3640896622950822</v>
      </c>
      <c r="I51" s="333">
        <f t="shared" si="14"/>
        <v>3.34290741147541</v>
      </c>
      <c r="J51" s="333">
        <f t="shared" si="14"/>
        <v>3.3481783446377373</v>
      </c>
      <c r="K51" s="333">
        <f t="shared" si="14"/>
        <v>3.4244248602280463</v>
      </c>
      <c r="L51" s="333">
        <f t="shared" si="14"/>
        <v>3.4124381560734931</v>
      </c>
      <c r="M51" s="333">
        <f t="shared" si="14"/>
        <v>3.410817129755392</v>
      </c>
      <c r="N51" s="333">
        <f t="shared" si="14"/>
        <v>3.418532336374708</v>
      </c>
      <c r="O51" s="333">
        <f t="shared" si="14"/>
        <v>3.4410330577357513</v>
      </c>
      <c r="P51" s="333">
        <f t="shared" si="14"/>
        <v>3.4514162017083292</v>
      </c>
      <c r="Q51" s="333">
        <f t="shared" si="14"/>
        <v>3.3827115818564208</v>
      </c>
      <c r="R51" s="333">
        <f t="shared" si="14"/>
        <v>3.3837278803621618</v>
      </c>
      <c r="S51" s="333">
        <f t="shared" ref="S51:AE57" si="16">S138</f>
        <v>3.3712941400692698</v>
      </c>
      <c r="T51" s="333">
        <f t="shared" si="16"/>
        <v>3.3874422707969734</v>
      </c>
      <c r="U51" s="333">
        <f t="shared" si="16"/>
        <v>1.953829196392161</v>
      </c>
      <c r="V51" s="333">
        <f t="shared" si="16"/>
        <v>1.9113873761206392</v>
      </c>
      <c r="W51" s="333">
        <f t="shared" si="16"/>
        <v>0</v>
      </c>
      <c r="X51" s="333">
        <f t="shared" si="16"/>
        <v>0</v>
      </c>
      <c r="Y51" s="333">
        <f t="shared" si="16"/>
        <v>0</v>
      </c>
      <c r="Z51" s="333">
        <f t="shared" si="16"/>
        <v>0</v>
      </c>
      <c r="AA51" s="333">
        <f t="shared" si="16"/>
        <v>0</v>
      </c>
      <c r="AB51" s="333">
        <f t="shared" si="16"/>
        <v>0</v>
      </c>
      <c r="AC51" s="333">
        <f t="shared" si="16"/>
        <v>0</v>
      </c>
      <c r="AD51" s="333">
        <f t="shared" si="16"/>
        <v>0</v>
      </c>
      <c r="AE51" s="334">
        <f t="shared" si="16"/>
        <v>0</v>
      </c>
    </row>
    <row r="52" spans="1:31">
      <c r="A52" s="1711"/>
      <c r="B52" s="116">
        <v>20</v>
      </c>
      <c r="C52" s="332">
        <f t="shared" si="14"/>
        <v>3.3015231710932937</v>
      </c>
      <c r="D52" s="333">
        <f t="shared" si="14"/>
        <v>3.3015231710932937</v>
      </c>
      <c r="E52" s="333">
        <f t="shared" si="14"/>
        <v>3.3015231710932937</v>
      </c>
      <c r="F52" s="333">
        <f t="shared" si="14"/>
        <v>3.3096370520581111</v>
      </c>
      <c r="G52" s="333">
        <f t="shared" si="14"/>
        <v>3.3295863214396042</v>
      </c>
      <c r="H52" s="333">
        <f t="shared" si="14"/>
        <v>3.3716901713508616</v>
      </c>
      <c r="I52" s="333">
        <f t="shared" si="14"/>
        <v>3.3640896622950822</v>
      </c>
      <c r="J52" s="333">
        <f t="shared" si="14"/>
        <v>3.34290741147541</v>
      </c>
      <c r="K52" s="333">
        <f t="shared" si="14"/>
        <v>3.3481783446377373</v>
      </c>
      <c r="L52" s="333">
        <f t="shared" si="14"/>
        <v>3.4244248602280463</v>
      </c>
      <c r="M52" s="333">
        <f t="shared" si="14"/>
        <v>3.4124381560734931</v>
      </c>
      <c r="N52" s="333">
        <f t="shared" si="14"/>
        <v>3.410817129755392</v>
      </c>
      <c r="O52" s="333">
        <f t="shared" si="14"/>
        <v>3.418532336374708</v>
      </c>
      <c r="P52" s="333">
        <f t="shared" si="14"/>
        <v>3.4410330577357513</v>
      </c>
      <c r="Q52" s="333">
        <f t="shared" si="14"/>
        <v>3.4514162017083292</v>
      </c>
      <c r="R52" s="333">
        <f t="shared" si="14"/>
        <v>3.3827115818564208</v>
      </c>
      <c r="S52" s="333">
        <f t="shared" si="16"/>
        <v>3.3837278803621618</v>
      </c>
      <c r="T52" s="333">
        <f t="shared" si="16"/>
        <v>3.3712941400692698</v>
      </c>
      <c r="U52" s="333">
        <f t="shared" si="16"/>
        <v>3.3874422707969734</v>
      </c>
      <c r="V52" s="333">
        <f t="shared" si="16"/>
        <v>1.953829196392161</v>
      </c>
      <c r="W52" s="333">
        <f t="shared" si="16"/>
        <v>1.9113873761206392</v>
      </c>
      <c r="X52" s="333">
        <f t="shared" si="16"/>
        <v>0</v>
      </c>
      <c r="Y52" s="333">
        <f t="shared" si="16"/>
        <v>0</v>
      </c>
      <c r="Z52" s="333">
        <f t="shared" si="16"/>
        <v>0</v>
      </c>
      <c r="AA52" s="333">
        <f t="shared" si="16"/>
        <v>0</v>
      </c>
      <c r="AB52" s="333">
        <f t="shared" si="16"/>
        <v>0</v>
      </c>
      <c r="AC52" s="333">
        <f t="shared" si="16"/>
        <v>0</v>
      </c>
      <c r="AD52" s="333">
        <f t="shared" si="16"/>
        <v>0</v>
      </c>
      <c r="AE52" s="334">
        <f t="shared" si="16"/>
        <v>0</v>
      </c>
    </row>
    <row r="53" spans="1:31">
      <c r="A53" s="1711"/>
      <c r="B53" s="116">
        <v>21</v>
      </c>
      <c r="C53" s="332">
        <f t="shared" si="14"/>
        <v>3.3015231710932937</v>
      </c>
      <c r="D53" s="333">
        <f t="shared" si="14"/>
        <v>3.3015231710932937</v>
      </c>
      <c r="E53" s="333">
        <f t="shared" si="14"/>
        <v>3.3015231710932937</v>
      </c>
      <c r="F53" s="333">
        <f t="shared" si="14"/>
        <v>3.3015231710932937</v>
      </c>
      <c r="G53" s="333">
        <f t="shared" si="14"/>
        <v>3.3096370520581111</v>
      </c>
      <c r="H53" s="333">
        <f t="shared" si="14"/>
        <v>3.3295863214396042</v>
      </c>
      <c r="I53" s="333">
        <f t="shared" si="14"/>
        <v>3.3716901713508616</v>
      </c>
      <c r="J53" s="333">
        <f t="shared" si="14"/>
        <v>3.3640896622950822</v>
      </c>
      <c r="K53" s="333">
        <f t="shared" si="14"/>
        <v>3.34290741147541</v>
      </c>
      <c r="L53" s="333">
        <f t="shared" si="14"/>
        <v>3.3481783446377373</v>
      </c>
      <c r="M53" s="333">
        <f t="shared" si="14"/>
        <v>3.4244248602280463</v>
      </c>
      <c r="N53" s="333">
        <f t="shared" si="14"/>
        <v>3.4124381560734931</v>
      </c>
      <c r="O53" s="333">
        <f t="shared" si="14"/>
        <v>3.410817129755392</v>
      </c>
      <c r="P53" s="333">
        <f t="shared" si="14"/>
        <v>3.418532336374708</v>
      </c>
      <c r="Q53" s="333">
        <f t="shared" si="14"/>
        <v>3.4410330577357513</v>
      </c>
      <c r="R53" s="333">
        <f t="shared" si="14"/>
        <v>3.4514162017083292</v>
      </c>
      <c r="S53" s="333">
        <f t="shared" si="16"/>
        <v>3.3827115818564208</v>
      </c>
      <c r="T53" s="333">
        <f t="shared" si="16"/>
        <v>3.3837278803621618</v>
      </c>
      <c r="U53" s="333">
        <f t="shared" si="16"/>
        <v>3.3712941400692698</v>
      </c>
      <c r="V53" s="333">
        <f t="shared" si="16"/>
        <v>3.3874422707969734</v>
      </c>
      <c r="W53" s="333">
        <f t="shared" si="16"/>
        <v>1.953829196392161</v>
      </c>
      <c r="X53" s="333">
        <f t="shared" si="16"/>
        <v>1.9113873761206392</v>
      </c>
      <c r="Y53" s="333">
        <f t="shared" si="16"/>
        <v>0</v>
      </c>
      <c r="Z53" s="333">
        <f t="shared" si="16"/>
        <v>0</v>
      </c>
      <c r="AA53" s="333">
        <f t="shared" si="16"/>
        <v>0</v>
      </c>
      <c r="AB53" s="333">
        <f t="shared" si="16"/>
        <v>0</v>
      </c>
      <c r="AC53" s="333">
        <f t="shared" si="16"/>
        <v>0</v>
      </c>
      <c r="AD53" s="333">
        <f t="shared" si="16"/>
        <v>0</v>
      </c>
      <c r="AE53" s="334">
        <f t="shared" si="16"/>
        <v>0</v>
      </c>
    </row>
    <row r="54" spans="1:31">
      <c r="A54" s="1711"/>
      <c r="B54" s="116">
        <v>22</v>
      </c>
      <c r="C54" s="332">
        <f t="shared" si="14"/>
        <v>3.3015231710932937</v>
      </c>
      <c r="D54" s="333">
        <f t="shared" si="14"/>
        <v>3.3015231710932937</v>
      </c>
      <c r="E54" s="333">
        <f t="shared" si="14"/>
        <v>3.3015231710932937</v>
      </c>
      <c r="F54" s="333">
        <f t="shared" si="14"/>
        <v>3.3015231710932937</v>
      </c>
      <c r="G54" s="333">
        <f t="shared" si="14"/>
        <v>3.3015231710932937</v>
      </c>
      <c r="H54" s="333">
        <f t="shared" si="14"/>
        <v>3.3096370520581111</v>
      </c>
      <c r="I54" s="333">
        <f t="shared" si="14"/>
        <v>3.3295863214396042</v>
      </c>
      <c r="J54" s="333">
        <f t="shared" si="14"/>
        <v>3.3716901713508616</v>
      </c>
      <c r="K54" s="333">
        <f t="shared" si="14"/>
        <v>3.3640896622950822</v>
      </c>
      <c r="L54" s="333">
        <f t="shared" si="14"/>
        <v>3.34290741147541</v>
      </c>
      <c r="M54" s="333">
        <f t="shared" si="14"/>
        <v>3.3481783446377373</v>
      </c>
      <c r="N54" s="333">
        <f t="shared" si="14"/>
        <v>3.4244248602280463</v>
      </c>
      <c r="O54" s="333">
        <f t="shared" si="14"/>
        <v>3.4124381560734931</v>
      </c>
      <c r="P54" s="333">
        <f t="shared" si="14"/>
        <v>3.410817129755392</v>
      </c>
      <c r="Q54" s="333">
        <f t="shared" si="14"/>
        <v>3.418532336374708</v>
      </c>
      <c r="R54" s="333">
        <f t="shared" si="14"/>
        <v>3.4410330577357513</v>
      </c>
      <c r="S54" s="333">
        <f t="shared" si="16"/>
        <v>3.4514162017083292</v>
      </c>
      <c r="T54" s="333">
        <f t="shared" si="16"/>
        <v>3.3827115818564208</v>
      </c>
      <c r="U54" s="333">
        <f t="shared" si="16"/>
        <v>3.3837278803621618</v>
      </c>
      <c r="V54" s="333">
        <f t="shared" si="16"/>
        <v>3.3712941400692698</v>
      </c>
      <c r="W54" s="333">
        <f t="shared" si="16"/>
        <v>3.3874422707969734</v>
      </c>
      <c r="X54" s="333">
        <f t="shared" si="16"/>
        <v>1.953829196392161</v>
      </c>
      <c r="Y54" s="333">
        <f t="shared" si="16"/>
        <v>1.9113873761206392</v>
      </c>
      <c r="Z54" s="333">
        <f t="shared" si="16"/>
        <v>0</v>
      </c>
      <c r="AA54" s="333">
        <f t="shared" si="16"/>
        <v>0</v>
      </c>
      <c r="AB54" s="333">
        <f t="shared" si="16"/>
        <v>0</v>
      </c>
      <c r="AC54" s="333">
        <f t="shared" si="16"/>
        <v>0</v>
      </c>
      <c r="AD54" s="333">
        <f t="shared" si="16"/>
        <v>0</v>
      </c>
      <c r="AE54" s="334">
        <f t="shared" si="16"/>
        <v>0</v>
      </c>
    </row>
    <row r="55" spans="1:31">
      <c r="A55" s="1711"/>
      <c r="B55" s="116">
        <v>23</v>
      </c>
      <c r="C55" s="332">
        <f t="shared" si="14"/>
        <v>3.3015231710932937</v>
      </c>
      <c r="D55" s="333">
        <f t="shared" si="14"/>
        <v>3.3015231710932937</v>
      </c>
      <c r="E55" s="333">
        <f t="shared" si="14"/>
        <v>3.3015231710932937</v>
      </c>
      <c r="F55" s="333">
        <f t="shared" si="14"/>
        <v>3.3015231710932937</v>
      </c>
      <c r="G55" s="333">
        <f t="shared" si="14"/>
        <v>3.3015231710932937</v>
      </c>
      <c r="H55" s="333">
        <f t="shared" si="14"/>
        <v>3.3015231710932937</v>
      </c>
      <c r="I55" s="333">
        <f t="shared" si="14"/>
        <v>3.3096370520581111</v>
      </c>
      <c r="J55" s="333">
        <f t="shared" si="14"/>
        <v>3.3295863214396042</v>
      </c>
      <c r="K55" s="333">
        <f t="shared" si="14"/>
        <v>3.3716901713508616</v>
      </c>
      <c r="L55" s="333">
        <f t="shared" si="14"/>
        <v>3.3640896622950822</v>
      </c>
      <c r="M55" s="333">
        <f t="shared" si="14"/>
        <v>3.34290741147541</v>
      </c>
      <c r="N55" s="333">
        <f t="shared" si="14"/>
        <v>3.3481783446377373</v>
      </c>
      <c r="O55" s="333">
        <f t="shared" si="14"/>
        <v>3.4244248602280463</v>
      </c>
      <c r="P55" s="333">
        <f t="shared" si="14"/>
        <v>3.4124381560734931</v>
      </c>
      <c r="Q55" s="333">
        <f t="shared" si="14"/>
        <v>3.410817129755392</v>
      </c>
      <c r="R55" s="333">
        <f t="shared" si="14"/>
        <v>3.418532336374708</v>
      </c>
      <c r="S55" s="333">
        <f t="shared" si="16"/>
        <v>3.4410330577357513</v>
      </c>
      <c r="T55" s="333">
        <f t="shared" si="16"/>
        <v>3.4514162017083292</v>
      </c>
      <c r="U55" s="333">
        <f t="shared" si="16"/>
        <v>3.3827115818564208</v>
      </c>
      <c r="V55" s="333">
        <f t="shared" si="16"/>
        <v>3.3837278803621618</v>
      </c>
      <c r="W55" s="333">
        <f t="shared" si="16"/>
        <v>3.3712941400692698</v>
      </c>
      <c r="X55" s="333">
        <f t="shared" si="16"/>
        <v>3.3874422707969734</v>
      </c>
      <c r="Y55" s="333">
        <f t="shared" si="16"/>
        <v>1.953829196392161</v>
      </c>
      <c r="Z55" s="333">
        <f t="shared" si="16"/>
        <v>1.9113873761206392</v>
      </c>
      <c r="AA55" s="333">
        <f t="shared" si="16"/>
        <v>0</v>
      </c>
      <c r="AB55" s="333">
        <f t="shared" si="16"/>
        <v>0</v>
      </c>
      <c r="AC55" s="333">
        <f t="shared" si="16"/>
        <v>0</v>
      </c>
      <c r="AD55" s="333">
        <f t="shared" si="16"/>
        <v>0</v>
      </c>
      <c r="AE55" s="334">
        <f t="shared" si="16"/>
        <v>0</v>
      </c>
    </row>
    <row r="56" spans="1:31">
      <c r="A56" s="1711"/>
      <c r="B56" s="116">
        <v>24</v>
      </c>
      <c r="C56" s="332">
        <f t="shared" si="14"/>
        <v>3.3015231710932937</v>
      </c>
      <c r="D56" s="333">
        <f t="shared" si="14"/>
        <v>3.3015231710932937</v>
      </c>
      <c r="E56" s="333">
        <f t="shared" si="14"/>
        <v>3.3015231710932937</v>
      </c>
      <c r="F56" s="333">
        <f t="shared" si="14"/>
        <v>3.3015231710932937</v>
      </c>
      <c r="G56" s="333">
        <f t="shared" si="14"/>
        <v>3.3015231710932937</v>
      </c>
      <c r="H56" s="333">
        <f t="shared" si="14"/>
        <v>3.3015231710932937</v>
      </c>
      <c r="I56" s="333">
        <f t="shared" si="14"/>
        <v>3.3015231710932937</v>
      </c>
      <c r="J56" s="333">
        <f t="shared" si="14"/>
        <v>3.3096370520581111</v>
      </c>
      <c r="K56" s="333">
        <f t="shared" si="14"/>
        <v>3.3295863214396042</v>
      </c>
      <c r="L56" s="333">
        <f t="shared" si="14"/>
        <v>3.3716901713508616</v>
      </c>
      <c r="M56" s="333">
        <f t="shared" si="14"/>
        <v>3.3640896622950822</v>
      </c>
      <c r="N56" s="333">
        <f t="shared" si="14"/>
        <v>3.34290741147541</v>
      </c>
      <c r="O56" s="333">
        <f t="shared" si="14"/>
        <v>3.3481783446377373</v>
      </c>
      <c r="P56" s="333">
        <f t="shared" si="14"/>
        <v>3.4244248602280463</v>
      </c>
      <c r="Q56" s="333">
        <f t="shared" si="14"/>
        <v>3.4124381560734931</v>
      </c>
      <c r="R56" s="333">
        <f t="shared" si="14"/>
        <v>3.410817129755392</v>
      </c>
      <c r="S56" s="333">
        <f t="shared" si="16"/>
        <v>3.418532336374708</v>
      </c>
      <c r="T56" s="333">
        <f t="shared" si="16"/>
        <v>3.4410330577357513</v>
      </c>
      <c r="U56" s="333">
        <f t="shared" si="16"/>
        <v>3.4514162017083292</v>
      </c>
      <c r="V56" s="333">
        <f t="shared" si="16"/>
        <v>3.3827115818564208</v>
      </c>
      <c r="W56" s="333">
        <f t="shared" si="16"/>
        <v>3.3837278803621618</v>
      </c>
      <c r="X56" s="333">
        <f t="shared" si="16"/>
        <v>3.3712941400692698</v>
      </c>
      <c r="Y56" s="333">
        <f t="shared" si="16"/>
        <v>3.3874422707969734</v>
      </c>
      <c r="Z56" s="333">
        <f t="shared" si="16"/>
        <v>1.953829196392161</v>
      </c>
      <c r="AA56" s="333">
        <f t="shared" si="16"/>
        <v>1.9113873761206392</v>
      </c>
      <c r="AB56" s="333">
        <f t="shared" si="16"/>
        <v>0</v>
      </c>
      <c r="AC56" s="333">
        <f t="shared" si="16"/>
        <v>0</v>
      </c>
      <c r="AD56" s="333">
        <f t="shared" si="16"/>
        <v>0</v>
      </c>
      <c r="AE56" s="334">
        <f t="shared" si="16"/>
        <v>0</v>
      </c>
    </row>
    <row r="57" spans="1:31" ht="15.75" thickBot="1">
      <c r="A57" s="1711"/>
      <c r="B57" s="116">
        <v>25</v>
      </c>
      <c r="C57" s="332">
        <f>C144</f>
        <v>3.3015231710932937</v>
      </c>
      <c r="D57" s="333">
        <f t="shared" si="14"/>
        <v>3.3015231710932937</v>
      </c>
      <c r="E57" s="333">
        <f t="shared" si="14"/>
        <v>3.3015231710932937</v>
      </c>
      <c r="F57" s="333">
        <f t="shared" si="14"/>
        <v>3.3015231710932937</v>
      </c>
      <c r="G57" s="333">
        <f t="shared" si="14"/>
        <v>3.3015231710932937</v>
      </c>
      <c r="H57" s="333">
        <f t="shared" si="14"/>
        <v>3.3015231710932937</v>
      </c>
      <c r="I57" s="333">
        <f t="shared" si="14"/>
        <v>3.3015231710932937</v>
      </c>
      <c r="J57" s="333">
        <f t="shared" si="14"/>
        <v>3.3015231710932937</v>
      </c>
      <c r="K57" s="333">
        <f t="shared" si="14"/>
        <v>3.3096370520581111</v>
      </c>
      <c r="L57" s="333">
        <f t="shared" si="14"/>
        <v>3.3295863214396042</v>
      </c>
      <c r="M57" s="333">
        <f t="shared" si="14"/>
        <v>3.3716901713508616</v>
      </c>
      <c r="N57" s="333">
        <f t="shared" si="14"/>
        <v>3.3640896622950822</v>
      </c>
      <c r="O57" s="333">
        <f t="shared" si="14"/>
        <v>3.34290741147541</v>
      </c>
      <c r="P57" s="333">
        <f t="shared" si="14"/>
        <v>3.3481783446377373</v>
      </c>
      <c r="Q57" s="333">
        <f t="shared" si="14"/>
        <v>3.4244248602280463</v>
      </c>
      <c r="R57" s="333">
        <f t="shared" si="14"/>
        <v>3.4124381560734931</v>
      </c>
      <c r="S57" s="333">
        <f t="shared" si="16"/>
        <v>3.410817129755392</v>
      </c>
      <c r="T57" s="333">
        <f t="shared" si="16"/>
        <v>3.418532336374708</v>
      </c>
      <c r="U57" s="333">
        <f t="shared" si="16"/>
        <v>3.4410330577357513</v>
      </c>
      <c r="V57" s="333">
        <f t="shared" si="16"/>
        <v>3.4514162017083292</v>
      </c>
      <c r="W57" s="333">
        <f t="shared" si="16"/>
        <v>3.3827115818564208</v>
      </c>
      <c r="X57" s="333">
        <f t="shared" si="16"/>
        <v>3.3837278803621618</v>
      </c>
      <c r="Y57" s="333">
        <f t="shared" si="16"/>
        <v>3.3712941400692698</v>
      </c>
      <c r="Z57" s="333">
        <f t="shared" si="16"/>
        <v>3.3874422707969734</v>
      </c>
      <c r="AA57" s="333">
        <f t="shared" si="16"/>
        <v>1.953829196392161</v>
      </c>
      <c r="AB57" s="333">
        <f t="shared" si="16"/>
        <v>1.9113873761206392</v>
      </c>
      <c r="AC57" s="333">
        <f t="shared" si="16"/>
        <v>0</v>
      </c>
      <c r="AD57" s="333">
        <f t="shared" si="16"/>
        <v>0</v>
      </c>
      <c r="AE57" s="334">
        <f t="shared" si="16"/>
        <v>0</v>
      </c>
    </row>
    <row r="58" spans="1:31" ht="16.5" thickTop="1" thickBot="1">
      <c r="A58" s="1712"/>
      <c r="B58" s="300" t="s">
        <v>39</v>
      </c>
      <c r="C58" s="380">
        <f>SUMPRODUCT(C32:C57,'FREH Stock'!C85:C110)/'FREH Stock'!C111</f>
        <v>3.3602438615800385</v>
      </c>
      <c r="D58" s="381">
        <f>SUMPRODUCT(D32:D57,'FREH Stock'!D85:D110)/'FREH Stock'!D111</f>
        <v>3.3652882170004128</v>
      </c>
      <c r="E58" s="381">
        <f>SUMPRODUCT(E32:E57,'FREH Stock'!E85:E110)/'FREH Stock'!E111</f>
        <v>3.359366951598755</v>
      </c>
      <c r="F58" s="381">
        <f>SUMPRODUCT(F32:F57,'FREH Stock'!F85:F110)/'FREH Stock'!F111</f>
        <v>3.3451991653450897</v>
      </c>
      <c r="G58" s="381">
        <f>SUMPRODUCT(G32:G57,'FREH Stock'!G85:G110)/'FREH Stock'!G111</f>
        <v>3.3223215166518614</v>
      </c>
      <c r="H58" s="381">
        <f>SUMPRODUCT(H32:H57,'FREH Stock'!H85:H110)/'FREH Stock'!H111</f>
        <v>3.2871128165889907</v>
      </c>
      <c r="I58" s="381">
        <f>SUMPRODUCT(I32:I57,'FREH Stock'!I85:I110)/'FREH Stock'!I111</f>
        <v>3.2362621743231048</v>
      </c>
      <c r="J58" s="381">
        <f>SUMPRODUCT(J32:J57,'FREH Stock'!J85:J110)/'FREH Stock'!J111</f>
        <v>3.1649325240336483</v>
      </c>
      <c r="K58" s="381">
        <f>SUMPRODUCT(K32:K57,'FREH Stock'!K85:K110)/'FREH Stock'!K111</f>
        <v>3.071145677352999</v>
      </c>
      <c r="L58" s="381">
        <f>SUMPRODUCT(L32:L57,'FREH Stock'!L85:L110)/'FREH Stock'!L111</f>
        <v>2.9544903950142092</v>
      </c>
      <c r="M58" s="381">
        <f>SUMPRODUCT(M32:M57,'FREH Stock'!M85:M110)/'FREH Stock'!M111</f>
        <v>2.8158790299755596</v>
      </c>
      <c r="N58" s="381">
        <f>SUMPRODUCT(N32:N57,'FREH Stock'!N85:N110)/'FREH Stock'!N111</f>
        <v>2.6686606562032109</v>
      </c>
      <c r="O58" s="381">
        <f>SUMPRODUCT(O32:O57,'FREH Stock'!O85:O110)/'FREH Stock'!O111</f>
        <v>2.5297925230990512</v>
      </c>
      <c r="P58" s="381">
        <f>SUMPRODUCT(P32:P57,'FREH Stock'!P85:P110)/'FREH Stock'!P111</f>
        <v>2.4132266993789204</v>
      </c>
      <c r="Q58" s="381">
        <f>SUMPRODUCT(Q32:Q57,'FREH Stock'!Q85:Q110)/'FREH Stock'!Q111</f>
        <v>2.3379749787183761</v>
      </c>
      <c r="R58" s="381">
        <f>SUMPRODUCT(R32:R57,'FREH Stock'!R85:R110)/'FREH Stock'!R111</f>
        <v>2.2768627205657919</v>
      </c>
      <c r="S58" s="381">
        <f>SUMPRODUCT(S32:S57,'FREH Stock'!S85:S110)/'FREH Stock'!S111</f>
        <v>2.2175985287799205</v>
      </c>
      <c r="T58" s="381">
        <f>SUMPRODUCT(T32:T57,'FREH Stock'!T85:T110)/'FREH Stock'!T111</f>
        <v>2.1606884608951469</v>
      </c>
      <c r="U58" s="381">
        <f>SUMPRODUCT(U32:U57,'FREH Stock'!U85:U110)/'FREH Stock'!U111</f>
        <v>2.1067305188519958</v>
      </c>
      <c r="V58" s="381">
        <f>SUMPRODUCT(V32:V57,'FREH Stock'!V85:V110)/'FREH Stock'!V111</f>
        <v>2.0564696669903668</v>
      </c>
      <c r="W58" s="381">
        <f>SUMPRODUCT(W32:W57,'FREH Stock'!W85:W110)/'FREH Stock'!W111</f>
        <v>2.0108751197792469</v>
      </c>
      <c r="X58" s="381">
        <f>SUMPRODUCT(X32:X57,'FREH Stock'!X85:X110)/'FREH Stock'!X111</f>
        <v>1.9712557221480069</v>
      </c>
      <c r="Y58" s="381">
        <f>SUMPRODUCT(Y32:Y57,'FREH Stock'!Y85:Y110)/'FREH Stock'!Y111</f>
        <v>1.9394446987878569</v>
      </c>
      <c r="Z58" s="381">
        <f>SUMPRODUCT(Z32:Z57,'FREH Stock'!Z85:Z110)/'FREH Stock'!Z111</f>
        <v>1.9181180350139813</v>
      </c>
      <c r="AA58" s="381">
        <f>SUMPRODUCT(AA32:AA57,'FREH Stock'!AA85:AA110)/'FREH Stock'!AA111</f>
        <v>1.9113873761206392</v>
      </c>
      <c r="AB58" s="381" t="e">
        <f>SUMPRODUCT(AB32:AB57,'FREH Stock'!AB85:AB110)/'FREH Stock'!AB111</f>
        <v>#DIV/0!</v>
      </c>
      <c r="AC58" s="381" t="e">
        <f>SUMPRODUCT(AC32:AC57,'FREH Stock'!AC85:AC110)/'FREH Stock'!AC111</f>
        <v>#DIV/0!</v>
      </c>
      <c r="AD58" s="381" t="e">
        <f>SUMPRODUCT(AD32:AD57,'FREH Stock'!AD85:AD110)/'FREH Stock'!AD111</f>
        <v>#DIV/0!</v>
      </c>
      <c r="AE58" s="382" t="e">
        <f>SUMPRODUCT(AE32:AE57,'FREH Stock'!AE85:AE110)/'FREH Stock'!AE111</f>
        <v>#DIV/0!</v>
      </c>
    </row>
    <row r="59" spans="1:31" ht="15.75" thickBot="1"/>
    <row r="60" spans="1:31" ht="15.75" customHeight="1" thickBot="1">
      <c r="A60" s="1710" t="s">
        <v>199</v>
      </c>
      <c r="B60" s="169" t="s">
        <v>10</v>
      </c>
      <c r="C60" s="288">
        <v>2012</v>
      </c>
      <c r="D60" s="347">
        <v>2013</v>
      </c>
      <c r="E60" s="347">
        <v>2014</v>
      </c>
      <c r="F60" s="288">
        <v>2015</v>
      </c>
      <c r="G60" s="347">
        <v>2016</v>
      </c>
      <c r="H60" s="347">
        <v>2017</v>
      </c>
      <c r="I60" s="288">
        <v>2018</v>
      </c>
      <c r="J60" s="347">
        <v>2019</v>
      </c>
      <c r="K60" s="347">
        <v>2020</v>
      </c>
      <c r="L60" s="288">
        <v>2021</v>
      </c>
      <c r="M60" s="347">
        <v>2022</v>
      </c>
      <c r="N60" s="347">
        <v>2023</v>
      </c>
      <c r="O60" s="288">
        <v>2024</v>
      </c>
      <c r="P60" s="347">
        <v>2025</v>
      </c>
      <c r="Q60" s="347">
        <v>2026</v>
      </c>
      <c r="R60" s="288">
        <v>2027</v>
      </c>
      <c r="S60" s="347">
        <v>2028</v>
      </c>
      <c r="T60" s="347">
        <v>2029</v>
      </c>
      <c r="U60" s="288">
        <v>2030</v>
      </c>
      <c r="V60" s="347">
        <v>2031</v>
      </c>
      <c r="W60" s="347">
        <v>2032</v>
      </c>
      <c r="X60" s="288">
        <v>2033</v>
      </c>
      <c r="Y60" s="347">
        <v>2034</v>
      </c>
      <c r="Z60" s="347">
        <v>2035</v>
      </c>
      <c r="AA60" s="288">
        <v>2036</v>
      </c>
      <c r="AB60" s="347">
        <v>2037</v>
      </c>
      <c r="AC60" s="347">
        <v>2038</v>
      </c>
      <c r="AD60" s="288">
        <v>2039</v>
      </c>
      <c r="AE60" s="348">
        <v>2040</v>
      </c>
    </row>
    <row r="61" spans="1:31">
      <c r="A61" s="1711"/>
      <c r="B61" s="116">
        <v>0</v>
      </c>
      <c r="C61" s="329">
        <f>C148</f>
        <v>2.6980648353407952</v>
      </c>
      <c r="D61" s="330">
        <f t="shared" ref="D61:AE70" si="17">D148</f>
        <v>0</v>
      </c>
      <c r="E61" s="330">
        <f t="shared" si="17"/>
        <v>0</v>
      </c>
      <c r="F61" s="330">
        <f t="shared" si="17"/>
        <v>0</v>
      </c>
      <c r="G61" s="330">
        <f t="shared" si="17"/>
        <v>0</v>
      </c>
      <c r="H61" s="330">
        <f t="shared" si="17"/>
        <v>0</v>
      </c>
      <c r="I61" s="330">
        <f t="shared" si="17"/>
        <v>0</v>
      </c>
      <c r="J61" s="330">
        <f t="shared" si="17"/>
        <v>0</v>
      </c>
      <c r="K61" s="330">
        <f t="shared" si="17"/>
        <v>0</v>
      </c>
      <c r="L61" s="330">
        <f t="shared" si="17"/>
        <v>0</v>
      </c>
      <c r="M61" s="330">
        <f t="shared" si="17"/>
        <v>0</v>
      </c>
      <c r="N61" s="330">
        <f t="shared" si="17"/>
        <v>0</v>
      </c>
      <c r="O61" s="330">
        <f t="shared" si="17"/>
        <v>0</v>
      </c>
      <c r="P61" s="330">
        <f t="shared" si="17"/>
        <v>0</v>
      </c>
      <c r="Q61" s="330">
        <f t="shared" si="17"/>
        <v>0</v>
      </c>
      <c r="R61" s="330">
        <f t="shared" si="17"/>
        <v>0</v>
      </c>
      <c r="S61" s="330">
        <f t="shared" si="17"/>
        <v>0</v>
      </c>
      <c r="T61" s="330">
        <f t="shared" si="17"/>
        <v>0</v>
      </c>
      <c r="U61" s="330">
        <f t="shared" si="17"/>
        <v>0</v>
      </c>
      <c r="V61" s="330">
        <f t="shared" si="17"/>
        <v>0</v>
      </c>
      <c r="W61" s="330">
        <f t="shared" si="17"/>
        <v>0</v>
      </c>
      <c r="X61" s="330">
        <f t="shared" si="17"/>
        <v>0</v>
      </c>
      <c r="Y61" s="330">
        <f t="shared" si="17"/>
        <v>0</v>
      </c>
      <c r="Z61" s="330">
        <f t="shared" si="17"/>
        <v>0</v>
      </c>
      <c r="AA61" s="330">
        <f t="shared" si="17"/>
        <v>0</v>
      </c>
      <c r="AB61" s="330">
        <f t="shared" si="17"/>
        <v>0</v>
      </c>
      <c r="AC61" s="330">
        <f t="shared" si="17"/>
        <v>0</v>
      </c>
      <c r="AD61" s="330">
        <f t="shared" si="17"/>
        <v>0</v>
      </c>
      <c r="AE61" s="331">
        <f t="shared" si="17"/>
        <v>0</v>
      </c>
    </row>
    <row r="62" spans="1:31">
      <c r="A62" s="1711"/>
      <c r="B62" s="116">
        <v>1</v>
      </c>
      <c r="C62" s="332">
        <f t="shared" ref="C62:R77" si="18">C149</f>
        <v>2.8886620154487366</v>
      </c>
      <c r="D62" s="333">
        <f t="shared" si="18"/>
        <v>2.6980648353407952</v>
      </c>
      <c r="E62" s="333">
        <f t="shared" si="18"/>
        <v>0</v>
      </c>
      <c r="F62" s="333">
        <f t="shared" si="18"/>
        <v>0</v>
      </c>
      <c r="G62" s="333">
        <f t="shared" si="18"/>
        <v>0</v>
      </c>
      <c r="H62" s="333">
        <f t="shared" si="18"/>
        <v>0</v>
      </c>
      <c r="I62" s="333">
        <f t="shared" si="18"/>
        <v>0</v>
      </c>
      <c r="J62" s="333">
        <f t="shared" si="18"/>
        <v>0</v>
      </c>
      <c r="K62" s="333">
        <f t="shared" si="18"/>
        <v>0</v>
      </c>
      <c r="L62" s="333">
        <f t="shared" si="18"/>
        <v>0</v>
      </c>
      <c r="M62" s="333">
        <f t="shared" si="18"/>
        <v>0</v>
      </c>
      <c r="N62" s="333">
        <f t="shared" si="18"/>
        <v>0</v>
      </c>
      <c r="O62" s="333">
        <f t="shared" si="18"/>
        <v>0</v>
      </c>
      <c r="P62" s="333">
        <f t="shared" si="18"/>
        <v>0</v>
      </c>
      <c r="Q62" s="333">
        <f t="shared" si="18"/>
        <v>0</v>
      </c>
      <c r="R62" s="333">
        <f t="shared" si="18"/>
        <v>0</v>
      </c>
      <c r="S62" s="333">
        <f t="shared" si="17"/>
        <v>0</v>
      </c>
      <c r="T62" s="333">
        <f t="shared" si="17"/>
        <v>0</v>
      </c>
      <c r="U62" s="333">
        <f t="shared" si="17"/>
        <v>0</v>
      </c>
      <c r="V62" s="333">
        <f t="shared" si="17"/>
        <v>0</v>
      </c>
      <c r="W62" s="333">
        <f t="shared" si="17"/>
        <v>0</v>
      </c>
      <c r="X62" s="333">
        <f t="shared" si="17"/>
        <v>0</v>
      </c>
      <c r="Y62" s="333">
        <f t="shared" si="17"/>
        <v>0</v>
      </c>
      <c r="Z62" s="333">
        <f t="shared" si="17"/>
        <v>0</v>
      </c>
      <c r="AA62" s="333">
        <f t="shared" si="17"/>
        <v>0</v>
      </c>
      <c r="AB62" s="333">
        <f t="shared" si="17"/>
        <v>0</v>
      </c>
      <c r="AC62" s="333">
        <f t="shared" si="17"/>
        <v>0</v>
      </c>
      <c r="AD62" s="333">
        <f t="shared" si="17"/>
        <v>0</v>
      </c>
      <c r="AE62" s="334">
        <f t="shared" si="17"/>
        <v>0</v>
      </c>
    </row>
    <row r="63" spans="1:31">
      <c r="A63" s="1711"/>
      <c r="B63" s="116">
        <v>2</v>
      </c>
      <c r="C63" s="332">
        <f t="shared" si="18"/>
        <v>3.6575381860462879</v>
      </c>
      <c r="D63" s="333">
        <f t="shared" si="17"/>
        <v>2.8886620154487366</v>
      </c>
      <c r="E63" s="333">
        <f t="shared" si="17"/>
        <v>2.6980648353407952</v>
      </c>
      <c r="F63" s="333">
        <f t="shared" si="17"/>
        <v>0</v>
      </c>
      <c r="G63" s="333">
        <f t="shared" si="17"/>
        <v>0</v>
      </c>
      <c r="H63" s="333">
        <f t="shared" si="17"/>
        <v>0</v>
      </c>
      <c r="I63" s="333">
        <f t="shared" si="17"/>
        <v>0</v>
      </c>
      <c r="J63" s="333">
        <f t="shared" si="17"/>
        <v>0</v>
      </c>
      <c r="K63" s="333">
        <f t="shared" si="17"/>
        <v>0</v>
      </c>
      <c r="L63" s="333">
        <f t="shared" si="17"/>
        <v>0</v>
      </c>
      <c r="M63" s="333">
        <f t="shared" si="17"/>
        <v>0</v>
      </c>
      <c r="N63" s="333">
        <f t="shared" si="17"/>
        <v>0</v>
      </c>
      <c r="O63" s="333">
        <f t="shared" si="17"/>
        <v>0</v>
      </c>
      <c r="P63" s="333">
        <f t="shared" si="17"/>
        <v>0</v>
      </c>
      <c r="Q63" s="333">
        <f t="shared" si="17"/>
        <v>0</v>
      </c>
      <c r="R63" s="333">
        <f t="shared" si="17"/>
        <v>0</v>
      </c>
      <c r="S63" s="333">
        <f t="shared" si="17"/>
        <v>0</v>
      </c>
      <c r="T63" s="333">
        <f t="shared" si="17"/>
        <v>0</v>
      </c>
      <c r="U63" s="333">
        <f t="shared" si="17"/>
        <v>0</v>
      </c>
      <c r="V63" s="333">
        <f t="shared" si="17"/>
        <v>0</v>
      </c>
      <c r="W63" s="333">
        <f t="shared" si="17"/>
        <v>0</v>
      </c>
      <c r="X63" s="333">
        <f t="shared" si="17"/>
        <v>0</v>
      </c>
      <c r="Y63" s="333">
        <f t="shared" si="17"/>
        <v>0</v>
      </c>
      <c r="Z63" s="333">
        <f t="shared" si="17"/>
        <v>0</v>
      </c>
      <c r="AA63" s="333">
        <f t="shared" si="17"/>
        <v>0</v>
      </c>
      <c r="AB63" s="333">
        <f t="shared" si="17"/>
        <v>0</v>
      </c>
      <c r="AC63" s="333">
        <f t="shared" si="17"/>
        <v>0</v>
      </c>
      <c r="AD63" s="333">
        <f t="shared" si="17"/>
        <v>0</v>
      </c>
      <c r="AE63" s="334">
        <f t="shared" si="17"/>
        <v>0</v>
      </c>
    </row>
    <row r="64" spans="1:31">
      <c r="A64" s="1711"/>
      <c r="B64" s="116">
        <v>3</v>
      </c>
      <c r="C64" s="332">
        <f t="shared" si="18"/>
        <v>3.6563399354988704</v>
      </c>
      <c r="D64" s="333">
        <f t="shared" si="17"/>
        <v>3.6575381860462879</v>
      </c>
      <c r="E64" s="333">
        <f t="shared" si="17"/>
        <v>2.8886620154487366</v>
      </c>
      <c r="F64" s="333">
        <f t="shared" si="17"/>
        <v>2.6980648353407952</v>
      </c>
      <c r="G64" s="333">
        <f t="shared" si="17"/>
        <v>0</v>
      </c>
      <c r="H64" s="333">
        <f t="shared" si="17"/>
        <v>0</v>
      </c>
      <c r="I64" s="333">
        <f t="shared" si="17"/>
        <v>0</v>
      </c>
      <c r="J64" s="333">
        <f t="shared" si="17"/>
        <v>0</v>
      </c>
      <c r="K64" s="333">
        <f t="shared" si="17"/>
        <v>0</v>
      </c>
      <c r="L64" s="333">
        <f t="shared" si="17"/>
        <v>0</v>
      </c>
      <c r="M64" s="333">
        <f t="shared" si="17"/>
        <v>0</v>
      </c>
      <c r="N64" s="333">
        <f t="shared" si="17"/>
        <v>0</v>
      </c>
      <c r="O64" s="333">
        <f t="shared" si="17"/>
        <v>0</v>
      </c>
      <c r="P64" s="333">
        <f t="shared" si="17"/>
        <v>0</v>
      </c>
      <c r="Q64" s="333">
        <f t="shared" si="17"/>
        <v>0</v>
      </c>
      <c r="R64" s="333">
        <f t="shared" si="17"/>
        <v>0</v>
      </c>
      <c r="S64" s="333">
        <f t="shared" si="17"/>
        <v>0</v>
      </c>
      <c r="T64" s="333">
        <f t="shared" si="17"/>
        <v>0</v>
      </c>
      <c r="U64" s="333">
        <f t="shared" si="17"/>
        <v>0</v>
      </c>
      <c r="V64" s="333">
        <f t="shared" si="17"/>
        <v>0</v>
      </c>
      <c r="W64" s="333">
        <f t="shared" si="17"/>
        <v>0</v>
      </c>
      <c r="X64" s="333">
        <f t="shared" si="17"/>
        <v>0</v>
      </c>
      <c r="Y64" s="333">
        <f t="shared" si="17"/>
        <v>0</v>
      </c>
      <c r="Z64" s="333">
        <f t="shared" si="17"/>
        <v>0</v>
      </c>
      <c r="AA64" s="333">
        <f t="shared" si="17"/>
        <v>0</v>
      </c>
      <c r="AB64" s="333">
        <f t="shared" si="17"/>
        <v>0</v>
      </c>
      <c r="AC64" s="333">
        <f t="shared" si="17"/>
        <v>0</v>
      </c>
      <c r="AD64" s="333">
        <f t="shared" si="17"/>
        <v>0</v>
      </c>
      <c r="AE64" s="334">
        <f t="shared" si="17"/>
        <v>0</v>
      </c>
    </row>
    <row r="65" spans="1:31">
      <c r="A65" s="1711"/>
      <c r="B65" s="116">
        <v>4</v>
      </c>
      <c r="C65" s="332">
        <f t="shared" si="18"/>
        <v>3.6899954722409256</v>
      </c>
      <c r="D65" s="333">
        <f t="shared" si="17"/>
        <v>3.6563399354988704</v>
      </c>
      <c r="E65" s="333">
        <f t="shared" si="17"/>
        <v>3.6575381860462879</v>
      </c>
      <c r="F65" s="333">
        <f t="shared" si="17"/>
        <v>2.8886620154487366</v>
      </c>
      <c r="G65" s="333">
        <f t="shared" si="17"/>
        <v>2.6980648353407952</v>
      </c>
      <c r="H65" s="333">
        <f t="shared" si="17"/>
        <v>0</v>
      </c>
      <c r="I65" s="333">
        <f t="shared" si="17"/>
        <v>0</v>
      </c>
      <c r="J65" s="333">
        <f t="shared" si="17"/>
        <v>0</v>
      </c>
      <c r="K65" s="333">
        <f t="shared" si="17"/>
        <v>0</v>
      </c>
      <c r="L65" s="333">
        <f t="shared" si="17"/>
        <v>0</v>
      </c>
      <c r="M65" s="333">
        <f t="shared" si="17"/>
        <v>0</v>
      </c>
      <c r="N65" s="333">
        <f t="shared" si="17"/>
        <v>0</v>
      </c>
      <c r="O65" s="333">
        <f t="shared" si="17"/>
        <v>0</v>
      </c>
      <c r="P65" s="333">
        <f t="shared" si="17"/>
        <v>0</v>
      </c>
      <c r="Q65" s="333">
        <f t="shared" si="17"/>
        <v>0</v>
      </c>
      <c r="R65" s="333">
        <f t="shared" si="17"/>
        <v>0</v>
      </c>
      <c r="S65" s="333">
        <f t="shared" si="17"/>
        <v>0</v>
      </c>
      <c r="T65" s="333">
        <f t="shared" si="17"/>
        <v>0</v>
      </c>
      <c r="U65" s="333">
        <f t="shared" si="17"/>
        <v>0</v>
      </c>
      <c r="V65" s="333">
        <f t="shared" si="17"/>
        <v>0</v>
      </c>
      <c r="W65" s="333">
        <f t="shared" si="17"/>
        <v>0</v>
      </c>
      <c r="X65" s="333">
        <f t="shared" si="17"/>
        <v>0</v>
      </c>
      <c r="Y65" s="333">
        <f t="shared" si="17"/>
        <v>0</v>
      </c>
      <c r="Z65" s="333">
        <f t="shared" si="17"/>
        <v>0</v>
      </c>
      <c r="AA65" s="333">
        <f t="shared" si="17"/>
        <v>0</v>
      </c>
      <c r="AB65" s="333">
        <f t="shared" si="17"/>
        <v>0</v>
      </c>
      <c r="AC65" s="333">
        <f t="shared" si="17"/>
        <v>0</v>
      </c>
      <c r="AD65" s="333">
        <f t="shared" si="17"/>
        <v>0</v>
      </c>
      <c r="AE65" s="334">
        <f t="shared" si="17"/>
        <v>0</v>
      </c>
    </row>
    <row r="66" spans="1:31">
      <c r="A66" s="1711"/>
      <c r="B66" s="116">
        <v>5</v>
      </c>
      <c r="C66" s="332">
        <f t="shared" si="18"/>
        <v>3.6928133997618922</v>
      </c>
      <c r="D66" s="333">
        <f t="shared" si="17"/>
        <v>3.6899954722409256</v>
      </c>
      <c r="E66" s="333">
        <f t="shared" si="17"/>
        <v>3.6563399354988704</v>
      </c>
      <c r="F66" s="333">
        <f t="shared" si="17"/>
        <v>3.6575381860462879</v>
      </c>
      <c r="G66" s="333">
        <f t="shared" si="17"/>
        <v>2.8886620154487366</v>
      </c>
      <c r="H66" s="333">
        <f t="shared" si="17"/>
        <v>2.6980648353407952</v>
      </c>
      <c r="I66" s="333">
        <f t="shared" si="17"/>
        <v>0</v>
      </c>
      <c r="J66" s="333">
        <f t="shared" si="17"/>
        <v>0</v>
      </c>
      <c r="K66" s="333">
        <f t="shared" si="17"/>
        <v>0</v>
      </c>
      <c r="L66" s="333">
        <f t="shared" si="17"/>
        <v>0</v>
      </c>
      <c r="M66" s="333">
        <f t="shared" si="17"/>
        <v>0</v>
      </c>
      <c r="N66" s="333">
        <f t="shared" si="17"/>
        <v>0</v>
      </c>
      <c r="O66" s="333">
        <f t="shared" si="17"/>
        <v>0</v>
      </c>
      <c r="P66" s="333">
        <f t="shared" si="17"/>
        <v>0</v>
      </c>
      <c r="Q66" s="333">
        <f t="shared" si="17"/>
        <v>0</v>
      </c>
      <c r="R66" s="333">
        <f t="shared" si="17"/>
        <v>0</v>
      </c>
      <c r="S66" s="333">
        <f t="shared" si="17"/>
        <v>0</v>
      </c>
      <c r="T66" s="333">
        <f t="shared" si="17"/>
        <v>0</v>
      </c>
      <c r="U66" s="333">
        <f t="shared" si="17"/>
        <v>0</v>
      </c>
      <c r="V66" s="333">
        <f t="shared" si="17"/>
        <v>0</v>
      </c>
      <c r="W66" s="333">
        <f t="shared" si="17"/>
        <v>0</v>
      </c>
      <c r="X66" s="333">
        <f t="shared" si="17"/>
        <v>0</v>
      </c>
      <c r="Y66" s="333">
        <f t="shared" si="17"/>
        <v>0</v>
      </c>
      <c r="Z66" s="333">
        <f t="shared" si="17"/>
        <v>0</v>
      </c>
      <c r="AA66" s="333">
        <f t="shared" si="17"/>
        <v>0</v>
      </c>
      <c r="AB66" s="333">
        <f t="shared" si="17"/>
        <v>0</v>
      </c>
      <c r="AC66" s="333">
        <f t="shared" si="17"/>
        <v>0</v>
      </c>
      <c r="AD66" s="333">
        <f t="shared" si="17"/>
        <v>0</v>
      </c>
      <c r="AE66" s="334">
        <f t="shared" si="17"/>
        <v>0</v>
      </c>
    </row>
    <row r="67" spans="1:31">
      <c r="A67" s="1711"/>
      <c r="B67" s="116">
        <v>6</v>
      </c>
      <c r="C67" s="332">
        <f t="shared" si="18"/>
        <v>3.7610588525595645</v>
      </c>
      <c r="D67" s="333">
        <f t="shared" si="17"/>
        <v>3.6928133997618922</v>
      </c>
      <c r="E67" s="333">
        <f t="shared" si="17"/>
        <v>3.6899954722409256</v>
      </c>
      <c r="F67" s="333">
        <f t="shared" si="17"/>
        <v>3.6563399354988704</v>
      </c>
      <c r="G67" s="333">
        <f t="shared" si="17"/>
        <v>3.6575381860462879</v>
      </c>
      <c r="H67" s="333">
        <f t="shared" si="17"/>
        <v>2.8886620154487366</v>
      </c>
      <c r="I67" s="333">
        <f t="shared" si="17"/>
        <v>2.6980648353407952</v>
      </c>
      <c r="J67" s="333">
        <f t="shared" si="17"/>
        <v>0</v>
      </c>
      <c r="K67" s="333">
        <f t="shared" si="17"/>
        <v>0</v>
      </c>
      <c r="L67" s="333">
        <f t="shared" si="17"/>
        <v>0</v>
      </c>
      <c r="M67" s="333">
        <f t="shared" si="17"/>
        <v>0</v>
      </c>
      <c r="N67" s="333">
        <f t="shared" si="17"/>
        <v>0</v>
      </c>
      <c r="O67" s="333">
        <f t="shared" si="17"/>
        <v>0</v>
      </c>
      <c r="P67" s="333">
        <f t="shared" si="17"/>
        <v>0</v>
      </c>
      <c r="Q67" s="333">
        <f t="shared" si="17"/>
        <v>0</v>
      </c>
      <c r="R67" s="333">
        <f t="shared" si="17"/>
        <v>0</v>
      </c>
      <c r="S67" s="333">
        <f t="shared" si="17"/>
        <v>0</v>
      </c>
      <c r="T67" s="333">
        <f t="shared" si="17"/>
        <v>0</v>
      </c>
      <c r="U67" s="333">
        <f t="shared" si="17"/>
        <v>0</v>
      </c>
      <c r="V67" s="333">
        <f t="shared" si="17"/>
        <v>0</v>
      </c>
      <c r="W67" s="333">
        <f t="shared" si="17"/>
        <v>0</v>
      </c>
      <c r="X67" s="333">
        <f t="shared" si="17"/>
        <v>0</v>
      </c>
      <c r="Y67" s="333">
        <f t="shared" si="17"/>
        <v>0</v>
      </c>
      <c r="Z67" s="333">
        <f t="shared" si="17"/>
        <v>0</v>
      </c>
      <c r="AA67" s="333">
        <f t="shared" si="17"/>
        <v>0</v>
      </c>
      <c r="AB67" s="333">
        <f t="shared" si="17"/>
        <v>0</v>
      </c>
      <c r="AC67" s="333">
        <f t="shared" si="17"/>
        <v>0</v>
      </c>
      <c r="AD67" s="333">
        <f t="shared" si="17"/>
        <v>0</v>
      </c>
      <c r="AE67" s="334">
        <f t="shared" si="17"/>
        <v>0</v>
      </c>
    </row>
    <row r="68" spans="1:31">
      <c r="A68" s="1711"/>
      <c r="B68" s="116">
        <v>7</v>
      </c>
      <c r="C68" s="332">
        <f t="shared" si="18"/>
        <v>3.7593551933852134</v>
      </c>
      <c r="D68" s="333">
        <f t="shared" si="17"/>
        <v>3.7610588525595645</v>
      </c>
      <c r="E68" s="333">
        <f t="shared" si="17"/>
        <v>3.6928133997618922</v>
      </c>
      <c r="F68" s="333">
        <f t="shared" si="17"/>
        <v>3.6899954722409256</v>
      </c>
      <c r="G68" s="333">
        <f t="shared" si="17"/>
        <v>3.6563399354988704</v>
      </c>
      <c r="H68" s="333">
        <f t="shared" si="17"/>
        <v>3.6575381860462879</v>
      </c>
      <c r="I68" s="333">
        <f t="shared" si="17"/>
        <v>2.8886620154487366</v>
      </c>
      <c r="J68" s="333">
        <f t="shared" si="17"/>
        <v>2.6980648353407952</v>
      </c>
      <c r="K68" s="333">
        <f t="shared" si="17"/>
        <v>0</v>
      </c>
      <c r="L68" s="333">
        <f t="shared" si="17"/>
        <v>0</v>
      </c>
      <c r="M68" s="333">
        <f t="shared" si="17"/>
        <v>0</v>
      </c>
      <c r="N68" s="333">
        <f t="shared" si="17"/>
        <v>0</v>
      </c>
      <c r="O68" s="333">
        <f t="shared" si="17"/>
        <v>0</v>
      </c>
      <c r="P68" s="333">
        <f t="shared" si="17"/>
        <v>0</v>
      </c>
      <c r="Q68" s="333">
        <f t="shared" si="17"/>
        <v>0</v>
      </c>
      <c r="R68" s="333">
        <f t="shared" si="17"/>
        <v>0</v>
      </c>
      <c r="S68" s="333">
        <f t="shared" si="17"/>
        <v>0</v>
      </c>
      <c r="T68" s="333">
        <f t="shared" si="17"/>
        <v>0</v>
      </c>
      <c r="U68" s="333">
        <f t="shared" si="17"/>
        <v>0</v>
      </c>
      <c r="V68" s="333">
        <f t="shared" si="17"/>
        <v>0</v>
      </c>
      <c r="W68" s="333">
        <f t="shared" si="17"/>
        <v>0</v>
      </c>
      <c r="X68" s="333">
        <f t="shared" si="17"/>
        <v>0</v>
      </c>
      <c r="Y68" s="333">
        <f t="shared" si="17"/>
        <v>0</v>
      </c>
      <c r="Z68" s="333">
        <f t="shared" si="17"/>
        <v>0</v>
      </c>
      <c r="AA68" s="333">
        <f t="shared" si="17"/>
        <v>0</v>
      </c>
      <c r="AB68" s="333">
        <f t="shared" si="17"/>
        <v>0</v>
      </c>
      <c r="AC68" s="333">
        <f t="shared" si="17"/>
        <v>0</v>
      </c>
      <c r="AD68" s="333">
        <f t="shared" si="17"/>
        <v>0</v>
      </c>
      <c r="AE68" s="334">
        <f t="shared" si="17"/>
        <v>0</v>
      </c>
    </row>
    <row r="69" spans="1:31">
      <c r="A69" s="1711"/>
      <c r="B69" s="116">
        <v>8</v>
      </c>
      <c r="C69" s="332">
        <f t="shared" si="18"/>
        <v>3.758648196440872</v>
      </c>
      <c r="D69" s="333">
        <f t="shared" si="17"/>
        <v>3.7593551933852134</v>
      </c>
      <c r="E69" s="333">
        <f t="shared" si="17"/>
        <v>3.7610588525595645</v>
      </c>
      <c r="F69" s="333">
        <f t="shared" si="17"/>
        <v>3.6928133997618922</v>
      </c>
      <c r="G69" s="333">
        <f t="shared" si="17"/>
        <v>3.6899954722409256</v>
      </c>
      <c r="H69" s="333">
        <f t="shared" si="17"/>
        <v>3.6563399354988704</v>
      </c>
      <c r="I69" s="333">
        <f t="shared" si="17"/>
        <v>3.6575381860462879</v>
      </c>
      <c r="J69" s="333">
        <f t="shared" si="17"/>
        <v>2.8886620154487366</v>
      </c>
      <c r="K69" s="333">
        <f t="shared" si="17"/>
        <v>2.6980648353407952</v>
      </c>
      <c r="L69" s="333">
        <f t="shared" si="17"/>
        <v>0</v>
      </c>
      <c r="M69" s="333">
        <f t="shared" si="17"/>
        <v>0</v>
      </c>
      <c r="N69" s="333">
        <f t="shared" si="17"/>
        <v>0</v>
      </c>
      <c r="O69" s="333">
        <f t="shared" si="17"/>
        <v>0</v>
      </c>
      <c r="P69" s="333">
        <f t="shared" si="17"/>
        <v>0</v>
      </c>
      <c r="Q69" s="333">
        <f t="shared" si="17"/>
        <v>0</v>
      </c>
      <c r="R69" s="333">
        <f t="shared" si="17"/>
        <v>0</v>
      </c>
      <c r="S69" s="333">
        <f t="shared" si="17"/>
        <v>0</v>
      </c>
      <c r="T69" s="333">
        <f t="shared" si="17"/>
        <v>0</v>
      </c>
      <c r="U69" s="333">
        <f t="shared" si="17"/>
        <v>0</v>
      </c>
      <c r="V69" s="333">
        <f t="shared" si="17"/>
        <v>0</v>
      </c>
      <c r="W69" s="333">
        <f t="shared" si="17"/>
        <v>0</v>
      </c>
      <c r="X69" s="333">
        <f t="shared" si="17"/>
        <v>0</v>
      </c>
      <c r="Y69" s="333">
        <f t="shared" si="17"/>
        <v>0</v>
      </c>
      <c r="Z69" s="333">
        <f t="shared" si="17"/>
        <v>0</v>
      </c>
      <c r="AA69" s="333">
        <f t="shared" si="17"/>
        <v>0</v>
      </c>
      <c r="AB69" s="333">
        <f t="shared" si="17"/>
        <v>0</v>
      </c>
      <c r="AC69" s="333">
        <f t="shared" si="17"/>
        <v>0</v>
      </c>
      <c r="AD69" s="333">
        <f t="shared" si="17"/>
        <v>0</v>
      </c>
      <c r="AE69" s="334">
        <f t="shared" si="17"/>
        <v>0</v>
      </c>
    </row>
    <row r="70" spans="1:31">
      <c r="A70" s="1711"/>
      <c r="B70" s="116">
        <v>9</v>
      </c>
      <c r="C70" s="332">
        <f t="shared" si="18"/>
        <v>3.7540302304883109</v>
      </c>
      <c r="D70" s="333">
        <f t="shared" si="17"/>
        <v>3.758648196440872</v>
      </c>
      <c r="E70" s="333">
        <f t="shared" si="17"/>
        <v>3.7593551933852134</v>
      </c>
      <c r="F70" s="333">
        <f t="shared" si="17"/>
        <v>3.7610588525595645</v>
      </c>
      <c r="G70" s="333">
        <f t="shared" si="17"/>
        <v>3.6928133997618922</v>
      </c>
      <c r="H70" s="333">
        <f t="shared" si="17"/>
        <v>3.6899954722409256</v>
      </c>
      <c r="I70" s="333">
        <f t="shared" si="17"/>
        <v>3.6563399354988704</v>
      </c>
      <c r="J70" s="333">
        <f t="shared" si="17"/>
        <v>3.6575381860462879</v>
      </c>
      <c r="K70" s="333">
        <f t="shared" si="17"/>
        <v>2.8886620154487366</v>
      </c>
      <c r="L70" s="333">
        <f t="shared" si="17"/>
        <v>2.6980648353407952</v>
      </c>
      <c r="M70" s="333">
        <f t="shared" si="17"/>
        <v>0</v>
      </c>
      <c r="N70" s="333">
        <f t="shared" si="17"/>
        <v>0</v>
      </c>
      <c r="O70" s="333">
        <f t="shared" si="17"/>
        <v>0</v>
      </c>
      <c r="P70" s="333">
        <f t="shared" si="17"/>
        <v>0</v>
      </c>
      <c r="Q70" s="333">
        <f t="shared" si="17"/>
        <v>0</v>
      </c>
      <c r="R70" s="333">
        <f t="shared" si="17"/>
        <v>0</v>
      </c>
      <c r="S70" s="333">
        <f t="shared" si="17"/>
        <v>0</v>
      </c>
      <c r="T70" s="333">
        <f t="shared" si="17"/>
        <v>0</v>
      </c>
      <c r="U70" s="333">
        <f t="shared" si="17"/>
        <v>0</v>
      </c>
      <c r="V70" s="333">
        <f t="shared" ref="D70:AE79" si="19">V157</f>
        <v>0</v>
      </c>
      <c r="W70" s="333">
        <f t="shared" si="19"/>
        <v>0</v>
      </c>
      <c r="X70" s="333">
        <f t="shared" si="19"/>
        <v>0</v>
      </c>
      <c r="Y70" s="333">
        <f t="shared" si="19"/>
        <v>0</v>
      </c>
      <c r="Z70" s="333">
        <f t="shared" si="19"/>
        <v>0</v>
      </c>
      <c r="AA70" s="333">
        <f t="shared" si="19"/>
        <v>0</v>
      </c>
      <c r="AB70" s="333">
        <f t="shared" si="19"/>
        <v>0</v>
      </c>
      <c r="AC70" s="333">
        <f t="shared" si="19"/>
        <v>0</v>
      </c>
      <c r="AD70" s="333">
        <f t="shared" si="19"/>
        <v>0</v>
      </c>
      <c r="AE70" s="334">
        <f t="shared" si="19"/>
        <v>0</v>
      </c>
    </row>
    <row r="71" spans="1:31">
      <c r="A71" s="1711"/>
      <c r="B71" s="116">
        <v>10</v>
      </c>
      <c r="C71" s="332">
        <f t="shared" si="18"/>
        <v>3.7514118335518178</v>
      </c>
      <c r="D71" s="333">
        <f t="shared" si="19"/>
        <v>3.7540302304883109</v>
      </c>
      <c r="E71" s="333">
        <f t="shared" si="19"/>
        <v>3.758648196440872</v>
      </c>
      <c r="F71" s="333">
        <f t="shared" si="19"/>
        <v>3.7593551933852134</v>
      </c>
      <c r="G71" s="333">
        <f t="shared" si="19"/>
        <v>3.7610588525595645</v>
      </c>
      <c r="H71" s="333">
        <f t="shared" si="19"/>
        <v>3.6928133997618922</v>
      </c>
      <c r="I71" s="333">
        <f t="shared" si="19"/>
        <v>3.6899954722409256</v>
      </c>
      <c r="J71" s="333">
        <f t="shared" si="19"/>
        <v>3.6563399354988704</v>
      </c>
      <c r="K71" s="333">
        <f t="shared" si="19"/>
        <v>3.6575381860462879</v>
      </c>
      <c r="L71" s="333">
        <f t="shared" si="19"/>
        <v>2.8886620154487366</v>
      </c>
      <c r="M71" s="333">
        <f t="shared" si="19"/>
        <v>2.6980648353407952</v>
      </c>
      <c r="N71" s="333">
        <f t="shared" si="19"/>
        <v>0</v>
      </c>
      <c r="O71" s="333">
        <f t="shared" si="19"/>
        <v>0</v>
      </c>
      <c r="P71" s="333">
        <f t="shared" si="19"/>
        <v>0</v>
      </c>
      <c r="Q71" s="333">
        <f t="shared" si="19"/>
        <v>0</v>
      </c>
      <c r="R71" s="333">
        <f t="shared" si="19"/>
        <v>0</v>
      </c>
      <c r="S71" s="333">
        <f t="shared" si="19"/>
        <v>0</v>
      </c>
      <c r="T71" s="333">
        <f t="shared" si="19"/>
        <v>0</v>
      </c>
      <c r="U71" s="333">
        <f t="shared" si="19"/>
        <v>0</v>
      </c>
      <c r="V71" s="333">
        <f t="shared" si="19"/>
        <v>0</v>
      </c>
      <c r="W71" s="333">
        <f t="shared" si="19"/>
        <v>0</v>
      </c>
      <c r="X71" s="333">
        <f t="shared" si="19"/>
        <v>0</v>
      </c>
      <c r="Y71" s="333">
        <f t="shared" si="19"/>
        <v>0</v>
      </c>
      <c r="Z71" s="333">
        <f t="shared" si="19"/>
        <v>0</v>
      </c>
      <c r="AA71" s="333">
        <f t="shared" si="19"/>
        <v>0</v>
      </c>
      <c r="AB71" s="333">
        <f t="shared" si="19"/>
        <v>0</v>
      </c>
      <c r="AC71" s="333">
        <f t="shared" si="19"/>
        <v>0</v>
      </c>
      <c r="AD71" s="333">
        <f t="shared" si="19"/>
        <v>0</v>
      </c>
      <c r="AE71" s="334">
        <f t="shared" si="19"/>
        <v>0</v>
      </c>
    </row>
    <row r="72" spans="1:31">
      <c r="A72" s="1711"/>
      <c r="B72" s="116">
        <v>11</v>
      </c>
      <c r="C72" s="332">
        <f t="shared" si="18"/>
        <v>3.7483026249259175</v>
      </c>
      <c r="D72" s="333">
        <f t="shared" si="19"/>
        <v>3.7514118335518178</v>
      </c>
      <c r="E72" s="333">
        <f t="shared" si="19"/>
        <v>3.7540302304883109</v>
      </c>
      <c r="F72" s="333">
        <f t="shared" si="19"/>
        <v>3.758648196440872</v>
      </c>
      <c r="G72" s="333">
        <f t="shared" si="19"/>
        <v>3.7593551933852134</v>
      </c>
      <c r="H72" s="333">
        <f t="shared" si="19"/>
        <v>3.7610588525595645</v>
      </c>
      <c r="I72" s="333">
        <f t="shared" si="19"/>
        <v>3.6928133997618922</v>
      </c>
      <c r="J72" s="333">
        <f t="shared" si="19"/>
        <v>3.6899954722409256</v>
      </c>
      <c r="K72" s="333">
        <f t="shared" si="19"/>
        <v>3.6563399354988704</v>
      </c>
      <c r="L72" s="333">
        <f t="shared" si="19"/>
        <v>3.6575381860462879</v>
      </c>
      <c r="M72" s="333">
        <f t="shared" si="19"/>
        <v>2.8886620154487366</v>
      </c>
      <c r="N72" s="333">
        <f t="shared" si="19"/>
        <v>2.6980648353407952</v>
      </c>
      <c r="O72" s="333">
        <f t="shared" si="19"/>
        <v>0</v>
      </c>
      <c r="P72" s="333">
        <f t="shared" si="19"/>
        <v>0</v>
      </c>
      <c r="Q72" s="333">
        <f t="shared" si="19"/>
        <v>0</v>
      </c>
      <c r="R72" s="333">
        <f t="shared" si="19"/>
        <v>0</v>
      </c>
      <c r="S72" s="333">
        <f t="shared" si="19"/>
        <v>0</v>
      </c>
      <c r="T72" s="333">
        <f t="shared" si="19"/>
        <v>0</v>
      </c>
      <c r="U72" s="333">
        <f t="shared" si="19"/>
        <v>0</v>
      </c>
      <c r="V72" s="333">
        <f t="shared" si="19"/>
        <v>0</v>
      </c>
      <c r="W72" s="333">
        <f t="shared" si="19"/>
        <v>0</v>
      </c>
      <c r="X72" s="333">
        <f t="shared" si="19"/>
        <v>0</v>
      </c>
      <c r="Y72" s="333">
        <f t="shared" si="19"/>
        <v>0</v>
      </c>
      <c r="Z72" s="333">
        <f t="shared" si="19"/>
        <v>0</v>
      </c>
      <c r="AA72" s="333">
        <f t="shared" si="19"/>
        <v>0</v>
      </c>
      <c r="AB72" s="333">
        <f t="shared" si="19"/>
        <v>0</v>
      </c>
      <c r="AC72" s="333">
        <f t="shared" si="19"/>
        <v>0</v>
      </c>
      <c r="AD72" s="333">
        <f t="shared" si="19"/>
        <v>0</v>
      </c>
      <c r="AE72" s="334">
        <f t="shared" si="19"/>
        <v>0</v>
      </c>
    </row>
    <row r="73" spans="1:31">
      <c r="A73" s="1711"/>
      <c r="B73" s="116">
        <v>12</v>
      </c>
      <c r="C73" s="332">
        <f t="shared" si="18"/>
        <v>3.7572741338199513</v>
      </c>
      <c r="D73" s="333">
        <f t="shared" si="19"/>
        <v>3.7483026249259175</v>
      </c>
      <c r="E73" s="333">
        <f t="shared" si="19"/>
        <v>3.7514118335518178</v>
      </c>
      <c r="F73" s="333">
        <f t="shared" si="19"/>
        <v>3.7540302304883109</v>
      </c>
      <c r="G73" s="333">
        <f t="shared" si="19"/>
        <v>3.758648196440872</v>
      </c>
      <c r="H73" s="333">
        <f t="shared" si="19"/>
        <v>3.7593551933852134</v>
      </c>
      <c r="I73" s="333">
        <f t="shared" si="19"/>
        <v>3.7610588525595645</v>
      </c>
      <c r="J73" s="333">
        <f t="shared" si="19"/>
        <v>3.6928133997618922</v>
      </c>
      <c r="K73" s="333">
        <f t="shared" si="19"/>
        <v>3.6899954722409256</v>
      </c>
      <c r="L73" s="333">
        <f t="shared" si="19"/>
        <v>3.6563399354988704</v>
      </c>
      <c r="M73" s="333">
        <f t="shared" si="19"/>
        <v>3.6575381860462879</v>
      </c>
      <c r="N73" s="333">
        <f t="shared" si="19"/>
        <v>2.8886620154487366</v>
      </c>
      <c r="O73" s="333">
        <f t="shared" si="19"/>
        <v>2.6980648353407952</v>
      </c>
      <c r="P73" s="333">
        <f t="shared" si="19"/>
        <v>0</v>
      </c>
      <c r="Q73" s="333">
        <f t="shared" si="19"/>
        <v>0</v>
      </c>
      <c r="R73" s="333">
        <f t="shared" si="19"/>
        <v>0</v>
      </c>
      <c r="S73" s="333">
        <f t="shared" si="19"/>
        <v>0</v>
      </c>
      <c r="T73" s="333">
        <f t="shared" si="19"/>
        <v>0</v>
      </c>
      <c r="U73" s="333">
        <f t="shared" si="19"/>
        <v>0</v>
      </c>
      <c r="V73" s="333">
        <f t="shared" si="19"/>
        <v>0</v>
      </c>
      <c r="W73" s="333">
        <f t="shared" si="19"/>
        <v>0</v>
      </c>
      <c r="X73" s="333">
        <f t="shared" si="19"/>
        <v>0</v>
      </c>
      <c r="Y73" s="333">
        <f t="shared" si="19"/>
        <v>0</v>
      </c>
      <c r="Z73" s="333">
        <f t="shared" si="19"/>
        <v>0</v>
      </c>
      <c r="AA73" s="333">
        <f t="shared" si="19"/>
        <v>0</v>
      </c>
      <c r="AB73" s="333">
        <f t="shared" si="19"/>
        <v>0</v>
      </c>
      <c r="AC73" s="333">
        <f t="shared" si="19"/>
        <v>0</v>
      </c>
      <c r="AD73" s="333">
        <f t="shared" si="19"/>
        <v>0</v>
      </c>
      <c r="AE73" s="334">
        <f t="shared" si="19"/>
        <v>0</v>
      </c>
    </row>
    <row r="74" spans="1:31">
      <c r="A74" s="1711"/>
      <c r="B74" s="116">
        <v>13</v>
      </c>
      <c r="C74" s="332">
        <f t="shared" si="18"/>
        <v>3.7556582668154292</v>
      </c>
      <c r="D74" s="333">
        <f t="shared" si="19"/>
        <v>3.7572741338199513</v>
      </c>
      <c r="E74" s="333">
        <f t="shared" si="19"/>
        <v>3.7483026249259175</v>
      </c>
      <c r="F74" s="333">
        <f t="shared" si="19"/>
        <v>3.7514118335518178</v>
      </c>
      <c r="G74" s="333">
        <f t="shared" si="19"/>
        <v>3.7540302304883109</v>
      </c>
      <c r="H74" s="333">
        <f t="shared" si="19"/>
        <v>3.758648196440872</v>
      </c>
      <c r="I74" s="333">
        <f t="shared" si="19"/>
        <v>3.7593551933852134</v>
      </c>
      <c r="J74" s="333">
        <f t="shared" si="19"/>
        <v>3.7610588525595645</v>
      </c>
      <c r="K74" s="333">
        <f t="shared" si="19"/>
        <v>3.6928133997618922</v>
      </c>
      <c r="L74" s="333">
        <f t="shared" si="19"/>
        <v>3.6899954722409256</v>
      </c>
      <c r="M74" s="333">
        <f t="shared" si="19"/>
        <v>3.6563399354988704</v>
      </c>
      <c r="N74" s="333">
        <f t="shared" si="19"/>
        <v>3.6575381860462879</v>
      </c>
      <c r="O74" s="333">
        <f t="shared" si="19"/>
        <v>2.8886620154487366</v>
      </c>
      <c r="P74" s="333">
        <f t="shared" si="19"/>
        <v>2.6980648353407952</v>
      </c>
      <c r="Q74" s="333">
        <f t="shared" si="19"/>
        <v>0</v>
      </c>
      <c r="R74" s="333">
        <f t="shared" si="19"/>
        <v>0</v>
      </c>
      <c r="S74" s="333">
        <f t="shared" si="19"/>
        <v>0</v>
      </c>
      <c r="T74" s="333">
        <f t="shared" si="19"/>
        <v>0</v>
      </c>
      <c r="U74" s="333">
        <f t="shared" si="19"/>
        <v>0</v>
      </c>
      <c r="V74" s="333">
        <f t="shared" si="19"/>
        <v>0</v>
      </c>
      <c r="W74" s="333">
        <f t="shared" si="19"/>
        <v>0</v>
      </c>
      <c r="X74" s="333">
        <f t="shared" si="19"/>
        <v>0</v>
      </c>
      <c r="Y74" s="333">
        <f t="shared" si="19"/>
        <v>0</v>
      </c>
      <c r="Z74" s="333">
        <f t="shared" si="19"/>
        <v>0</v>
      </c>
      <c r="AA74" s="333">
        <f t="shared" si="19"/>
        <v>0</v>
      </c>
      <c r="AB74" s="333">
        <f t="shared" si="19"/>
        <v>0</v>
      </c>
      <c r="AC74" s="333">
        <f t="shared" si="19"/>
        <v>0</v>
      </c>
      <c r="AD74" s="333">
        <f t="shared" si="19"/>
        <v>0</v>
      </c>
      <c r="AE74" s="334">
        <f t="shared" si="19"/>
        <v>0</v>
      </c>
    </row>
    <row r="75" spans="1:31">
      <c r="A75" s="1711"/>
      <c r="B75" s="116">
        <v>14</v>
      </c>
      <c r="C75" s="332">
        <f t="shared" si="18"/>
        <v>3.764430628430683</v>
      </c>
      <c r="D75" s="333">
        <f t="shared" si="19"/>
        <v>3.7556582668154292</v>
      </c>
      <c r="E75" s="333">
        <f t="shared" si="19"/>
        <v>3.7572741338199513</v>
      </c>
      <c r="F75" s="333">
        <f t="shared" si="19"/>
        <v>3.7483026249259175</v>
      </c>
      <c r="G75" s="333">
        <f t="shared" si="19"/>
        <v>3.7514118335518178</v>
      </c>
      <c r="H75" s="333">
        <f t="shared" si="19"/>
        <v>3.7540302304883109</v>
      </c>
      <c r="I75" s="333">
        <f t="shared" si="19"/>
        <v>3.758648196440872</v>
      </c>
      <c r="J75" s="333">
        <f t="shared" si="19"/>
        <v>3.7593551933852134</v>
      </c>
      <c r="K75" s="333">
        <f t="shared" si="19"/>
        <v>3.7610588525595645</v>
      </c>
      <c r="L75" s="333">
        <f t="shared" si="19"/>
        <v>3.6928133997618922</v>
      </c>
      <c r="M75" s="333">
        <f t="shared" si="19"/>
        <v>3.6899954722409256</v>
      </c>
      <c r="N75" s="333">
        <f t="shared" si="19"/>
        <v>3.6563399354988704</v>
      </c>
      <c r="O75" s="333">
        <f t="shared" si="19"/>
        <v>3.6575381860462879</v>
      </c>
      <c r="P75" s="333">
        <f t="shared" si="19"/>
        <v>2.8886620154487366</v>
      </c>
      <c r="Q75" s="333">
        <f t="shared" si="19"/>
        <v>2.6980648353407952</v>
      </c>
      <c r="R75" s="333">
        <f t="shared" si="19"/>
        <v>0</v>
      </c>
      <c r="S75" s="333">
        <f t="shared" si="19"/>
        <v>0</v>
      </c>
      <c r="T75" s="333">
        <f t="shared" si="19"/>
        <v>0</v>
      </c>
      <c r="U75" s="333">
        <f t="shared" si="19"/>
        <v>0</v>
      </c>
      <c r="V75" s="333">
        <f t="shared" si="19"/>
        <v>0</v>
      </c>
      <c r="W75" s="333">
        <f t="shared" si="19"/>
        <v>0</v>
      </c>
      <c r="X75" s="333">
        <f t="shared" si="19"/>
        <v>0</v>
      </c>
      <c r="Y75" s="333">
        <f t="shared" si="19"/>
        <v>0</v>
      </c>
      <c r="Z75" s="333">
        <f t="shared" si="19"/>
        <v>0</v>
      </c>
      <c r="AA75" s="333">
        <f t="shared" si="19"/>
        <v>0</v>
      </c>
      <c r="AB75" s="333">
        <f t="shared" si="19"/>
        <v>0</v>
      </c>
      <c r="AC75" s="333">
        <f t="shared" si="19"/>
        <v>0</v>
      </c>
      <c r="AD75" s="333">
        <f t="shared" si="19"/>
        <v>0</v>
      </c>
      <c r="AE75" s="334">
        <f t="shared" si="19"/>
        <v>0</v>
      </c>
    </row>
    <row r="76" spans="1:31">
      <c r="A76" s="1711"/>
      <c r="B76" s="116">
        <v>15</v>
      </c>
      <c r="C76" s="332">
        <f t="shared" si="18"/>
        <v>3.7570428002621234</v>
      </c>
      <c r="D76" s="333">
        <f t="shared" si="19"/>
        <v>3.764430628430683</v>
      </c>
      <c r="E76" s="333">
        <f t="shared" si="19"/>
        <v>3.7556582668154292</v>
      </c>
      <c r="F76" s="333">
        <f t="shared" si="19"/>
        <v>3.7572741338199513</v>
      </c>
      <c r="G76" s="333">
        <f t="shared" si="19"/>
        <v>3.7483026249259175</v>
      </c>
      <c r="H76" s="333">
        <f t="shared" si="19"/>
        <v>3.7514118335518178</v>
      </c>
      <c r="I76" s="333">
        <f t="shared" si="19"/>
        <v>3.7540302304883109</v>
      </c>
      <c r="J76" s="333">
        <f t="shared" si="19"/>
        <v>3.758648196440872</v>
      </c>
      <c r="K76" s="333">
        <f t="shared" si="19"/>
        <v>3.7593551933852134</v>
      </c>
      <c r="L76" s="333">
        <f t="shared" si="19"/>
        <v>3.7610588525595645</v>
      </c>
      <c r="M76" s="333">
        <f t="shared" si="19"/>
        <v>3.6928133997618922</v>
      </c>
      <c r="N76" s="333">
        <f t="shared" si="19"/>
        <v>3.6899954722409256</v>
      </c>
      <c r="O76" s="333">
        <f t="shared" si="19"/>
        <v>3.6563399354988704</v>
      </c>
      <c r="P76" s="333">
        <f t="shared" si="19"/>
        <v>3.6575381860462879</v>
      </c>
      <c r="Q76" s="333">
        <f t="shared" si="19"/>
        <v>2.8886620154487366</v>
      </c>
      <c r="R76" s="333">
        <f t="shared" si="19"/>
        <v>2.6980648353407952</v>
      </c>
      <c r="S76" s="333">
        <f t="shared" si="19"/>
        <v>0</v>
      </c>
      <c r="T76" s="333">
        <f t="shared" si="19"/>
        <v>0</v>
      </c>
      <c r="U76" s="333">
        <f t="shared" si="19"/>
        <v>0</v>
      </c>
      <c r="V76" s="333">
        <f t="shared" si="19"/>
        <v>0</v>
      </c>
      <c r="W76" s="333">
        <f t="shared" si="19"/>
        <v>0</v>
      </c>
      <c r="X76" s="333">
        <f t="shared" si="19"/>
        <v>0</v>
      </c>
      <c r="Y76" s="333">
        <f t="shared" si="19"/>
        <v>0</v>
      </c>
      <c r="Z76" s="333">
        <f t="shared" si="19"/>
        <v>0</v>
      </c>
      <c r="AA76" s="333">
        <f t="shared" si="19"/>
        <v>0</v>
      </c>
      <c r="AB76" s="333">
        <f t="shared" si="19"/>
        <v>0</v>
      </c>
      <c r="AC76" s="333">
        <f t="shared" si="19"/>
        <v>0</v>
      </c>
      <c r="AD76" s="333">
        <f t="shared" si="19"/>
        <v>0</v>
      </c>
      <c r="AE76" s="334">
        <f t="shared" si="19"/>
        <v>0</v>
      </c>
    </row>
    <row r="77" spans="1:31">
      <c r="A77" s="1711"/>
      <c r="B77" s="116">
        <v>16</v>
      </c>
      <c r="C77" s="332">
        <f t="shared" si="18"/>
        <v>3.6736866512990325</v>
      </c>
      <c r="D77" s="333">
        <f t="shared" si="19"/>
        <v>3.7570428002621234</v>
      </c>
      <c r="E77" s="333">
        <f t="shared" si="19"/>
        <v>3.764430628430683</v>
      </c>
      <c r="F77" s="333">
        <f t="shared" si="19"/>
        <v>3.7556582668154292</v>
      </c>
      <c r="G77" s="333">
        <f t="shared" si="19"/>
        <v>3.7572741338199513</v>
      </c>
      <c r="H77" s="333">
        <f t="shared" si="19"/>
        <v>3.7483026249259175</v>
      </c>
      <c r="I77" s="333">
        <f t="shared" si="19"/>
        <v>3.7514118335518178</v>
      </c>
      <c r="J77" s="333">
        <f t="shared" si="19"/>
        <v>3.7540302304883109</v>
      </c>
      <c r="K77" s="333">
        <f t="shared" si="19"/>
        <v>3.758648196440872</v>
      </c>
      <c r="L77" s="333">
        <f t="shared" si="19"/>
        <v>3.7593551933852134</v>
      </c>
      <c r="M77" s="333">
        <f t="shared" si="19"/>
        <v>3.7610588525595645</v>
      </c>
      <c r="N77" s="333">
        <f t="shared" si="19"/>
        <v>3.6928133997618922</v>
      </c>
      <c r="O77" s="333">
        <f t="shared" si="19"/>
        <v>3.6899954722409256</v>
      </c>
      <c r="P77" s="333">
        <f t="shared" si="19"/>
        <v>3.6563399354988704</v>
      </c>
      <c r="Q77" s="333">
        <f t="shared" si="19"/>
        <v>3.6575381860462879</v>
      </c>
      <c r="R77" s="333">
        <f t="shared" si="19"/>
        <v>2.8886620154487366</v>
      </c>
      <c r="S77" s="333">
        <f t="shared" si="19"/>
        <v>2.6980648353407952</v>
      </c>
      <c r="T77" s="333">
        <f t="shared" si="19"/>
        <v>0</v>
      </c>
      <c r="U77" s="333">
        <f t="shared" si="19"/>
        <v>0</v>
      </c>
      <c r="V77" s="333">
        <f t="shared" si="19"/>
        <v>0</v>
      </c>
      <c r="W77" s="333">
        <f t="shared" si="19"/>
        <v>0</v>
      </c>
      <c r="X77" s="333">
        <f t="shared" si="19"/>
        <v>0</v>
      </c>
      <c r="Y77" s="333">
        <f t="shared" si="19"/>
        <v>0</v>
      </c>
      <c r="Z77" s="333">
        <f t="shared" si="19"/>
        <v>0</v>
      </c>
      <c r="AA77" s="333">
        <f t="shared" si="19"/>
        <v>0</v>
      </c>
      <c r="AB77" s="333">
        <f t="shared" si="19"/>
        <v>0</v>
      </c>
      <c r="AC77" s="333">
        <f t="shared" si="19"/>
        <v>0</v>
      </c>
      <c r="AD77" s="333">
        <f t="shared" si="19"/>
        <v>0</v>
      </c>
      <c r="AE77" s="334">
        <f t="shared" si="19"/>
        <v>0</v>
      </c>
    </row>
    <row r="78" spans="1:31">
      <c r="A78" s="1711"/>
      <c r="B78" s="116">
        <v>17</v>
      </c>
      <c r="C78" s="332">
        <f t="shared" ref="C78:R86" si="20">C165</f>
        <v>3.6625459555052791</v>
      </c>
      <c r="D78" s="333">
        <f t="shared" si="19"/>
        <v>3.6736866512990325</v>
      </c>
      <c r="E78" s="333">
        <f t="shared" si="19"/>
        <v>3.7570428002621234</v>
      </c>
      <c r="F78" s="333">
        <f t="shared" si="19"/>
        <v>3.764430628430683</v>
      </c>
      <c r="G78" s="333">
        <f t="shared" si="19"/>
        <v>3.7556582668154292</v>
      </c>
      <c r="H78" s="333">
        <f t="shared" si="19"/>
        <v>3.7572741338199513</v>
      </c>
      <c r="I78" s="333">
        <f t="shared" si="19"/>
        <v>3.7483026249259175</v>
      </c>
      <c r="J78" s="333">
        <f t="shared" si="19"/>
        <v>3.7514118335518178</v>
      </c>
      <c r="K78" s="333">
        <f t="shared" si="19"/>
        <v>3.7540302304883109</v>
      </c>
      <c r="L78" s="333">
        <f t="shared" si="19"/>
        <v>3.758648196440872</v>
      </c>
      <c r="M78" s="333">
        <f t="shared" si="19"/>
        <v>3.7593551933852134</v>
      </c>
      <c r="N78" s="333">
        <f t="shared" si="19"/>
        <v>3.7610588525595645</v>
      </c>
      <c r="O78" s="333">
        <f t="shared" si="19"/>
        <v>3.6928133997618922</v>
      </c>
      <c r="P78" s="333">
        <f t="shared" si="19"/>
        <v>3.6899954722409256</v>
      </c>
      <c r="Q78" s="333">
        <f t="shared" si="19"/>
        <v>3.6563399354988704</v>
      </c>
      <c r="R78" s="333">
        <f t="shared" si="19"/>
        <v>3.6575381860462879</v>
      </c>
      <c r="S78" s="333">
        <f t="shared" si="19"/>
        <v>2.8886620154487366</v>
      </c>
      <c r="T78" s="333">
        <f t="shared" si="19"/>
        <v>2.6980648353407952</v>
      </c>
      <c r="U78" s="333">
        <f t="shared" si="19"/>
        <v>0</v>
      </c>
      <c r="V78" s="333">
        <f t="shared" si="19"/>
        <v>0</v>
      </c>
      <c r="W78" s="333">
        <f t="shared" si="19"/>
        <v>0</v>
      </c>
      <c r="X78" s="333">
        <f t="shared" si="19"/>
        <v>0</v>
      </c>
      <c r="Y78" s="333">
        <f t="shared" si="19"/>
        <v>0</v>
      </c>
      <c r="Z78" s="333">
        <f t="shared" si="19"/>
        <v>0</v>
      </c>
      <c r="AA78" s="333">
        <f t="shared" si="19"/>
        <v>0</v>
      </c>
      <c r="AB78" s="333">
        <f t="shared" si="19"/>
        <v>0</v>
      </c>
      <c r="AC78" s="333">
        <f t="shared" si="19"/>
        <v>0</v>
      </c>
      <c r="AD78" s="333">
        <f t="shared" si="19"/>
        <v>0</v>
      </c>
      <c r="AE78" s="334">
        <f t="shared" si="19"/>
        <v>0</v>
      </c>
    </row>
    <row r="79" spans="1:31">
      <c r="A79" s="1711"/>
      <c r="B79" s="116">
        <v>18</v>
      </c>
      <c r="C79" s="332">
        <f t="shared" si="20"/>
        <v>3.6363452069597066</v>
      </c>
      <c r="D79" s="333">
        <f t="shared" si="19"/>
        <v>3.6625459555052791</v>
      </c>
      <c r="E79" s="333">
        <f t="shared" si="19"/>
        <v>3.6736866512990325</v>
      </c>
      <c r="F79" s="333">
        <f t="shared" si="19"/>
        <v>3.7570428002621234</v>
      </c>
      <c r="G79" s="333">
        <f t="shared" si="19"/>
        <v>3.764430628430683</v>
      </c>
      <c r="H79" s="333">
        <f t="shared" si="19"/>
        <v>3.7556582668154292</v>
      </c>
      <c r="I79" s="333">
        <f t="shared" si="19"/>
        <v>3.7572741338199513</v>
      </c>
      <c r="J79" s="333">
        <f t="shared" si="19"/>
        <v>3.7483026249259175</v>
      </c>
      <c r="K79" s="333">
        <f t="shared" si="19"/>
        <v>3.7514118335518178</v>
      </c>
      <c r="L79" s="333">
        <f t="shared" si="19"/>
        <v>3.7540302304883109</v>
      </c>
      <c r="M79" s="333">
        <f t="shared" si="19"/>
        <v>3.758648196440872</v>
      </c>
      <c r="N79" s="333">
        <f t="shared" si="19"/>
        <v>3.7593551933852134</v>
      </c>
      <c r="O79" s="333">
        <f t="shared" si="19"/>
        <v>3.7610588525595645</v>
      </c>
      <c r="P79" s="333">
        <f t="shared" si="19"/>
        <v>3.6928133997618922</v>
      </c>
      <c r="Q79" s="333">
        <f t="shared" si="19"/>
        <v>3.6899954722409256</v>
      </c>
      <c r="R79" s="333">
        <f t="shared" si="19"/>
        <v>3.6563399354988704</v>
      </c>
      <c r="S79" s="333">
        <f t="shared" si="19"/>
        <v>3.6575381860462879</v>
      </c>
      <c r="T79" s="333">
        <f t="shared" si="19"/>
        <v>2.8886620154487366</v>
      </c>
      <c r="U79" s="333">
        <f t="shared" si="19"/>
        <v>2.6980648353407952</v>
      </c>
      <c r="V79" s="333">
        <f t="shared" si="19"/>
        <v>0</v>
      </c>
      <c r="W79" s="333">
        <f t="shared" si="19"/>
        <v>0</v>
      </c>
      <c r="X79" s="333">
        <f t="shared" si="19"/>
        <v>0</v>
      </c>
      <c r="Y79" s="333">
        <f t="shared" ref="Y79:AE79" si="21">Y166</f>
        <v>0</v>
      </c>
      <c r="Z79" s="333">
        <f t="shared" si="21"/>
        <v>0</v>
      </c>
      <c r="AA79" s="333">
        <f t="shared" si="21"/>
        <v>0</v>
      </c>
      <c r="AB79" s="333">
        <f t="shared" si="21"/>
        <v>0</v>
      </c>
      <c r="AC79" s="333">
        <f t="shared" si="21"/>
        <v>0</v>
      </c>
      <c r="AD79" s="333">
        <f t="shared" si="21"/>
        <v>0</v>
      </c>
      <c r="AE79" s="334">
        <f t="shared" si="21"/>
        <v>0</v>
      </c>
    </row>
    <row r="80" spans="1:31">
      <c r="A80" s="1711"/>
      <c r="B80" s="116">
        <v>19</v>
      </c>
      <c r="C80" s="332">
        <f t="shared" si="20"/>
        <v>3.6363452069597066</v>
      </c>
      <c r="D80" s="333">
        <f t="shared" si="20"/>
        <v>3.6363452069597066</v>
      </c>
      <c r="E80" s="333">
        <f t="shared" si="20"/>
        <v>3.6625459555052791</v>
      </c>
      <c r="F80" s="333">
        <f t="shared" si="20"/>
        <v>3.6736866512990325</v>
      </c>
      <c r="G80" s="333">
        <f t="shared" si="20"/>
        <v>3.7570428002621234</v>
      </c>
      <c r="H80" s="333">
        <f t="shared" si="20"/>
        <v>3.764430628430683</v>
      </c>
      <c r="I80" s="333">
        <f t="shared" si="20"/>
        <v>3.7556582668154292</v>
      </c>
      <c r="J80" s="333">
        <f t="shared" si="20"/>
        <v>3.7572741338199513</v>
      </c>
      <c r="K80" s="333">
        <f t="shared" si="20"/>
        <v>3.7483026249259175</v>
      </c>
      <c r="L80" s="333">
        <f t="shared" si="20"/>
        <v>3.7514118335518178</v>
      </c>
      <c r="M80" s="333">
        <f t="shared" si="20"/>
        <v>3.7540302304883109</v>
      </c>
      <c r="N80" s="333">
        <f t="shared" si="20"/>
        <v>3.758648196440872</v>
      </c>
      <c r="O80" s="333">
        <f t="shared" si="20"/>
        <v>3.7593551933852134</v>
      </c>
      <c r="P80" s="333">
        <f t="shared" si="20"/>
        <v>3.7610588525595645</v>
      </c>
      <c r="Q80" s="333">
        <f t="shared" si="20"/>
        <v>3.6928133997618922</v>
      </c>
      <c r="R80" s="333">
        <f t="shared" si="20"/>
        <v>3.6899954722409256</v>
      </c>
      <c r="S80" s="333">
        <f t="shared" ref="S80:AE86" si="22">S167</f>
        <v>3.6563399354988704</v>
      </c>
      <c r="T80" s="333">
        <f t="shared" si="22"/>
        <v>3.6575381860462879</v>
      </c>
      <c r="U80" s="333">
        <f t="shared" si="22"/>
        <v>2.8886620154487366</v>
      </c>
      <c r="V80" s="333">
        <f t="shared" si="22"/>
        <v>2.6980648353407952</v>
      </c>
      <c r="W80" s="333">
        <f t="shared" si="22"/>
        <v>0</v>
      </c>
      <c r="X80" s="333">
        <f t="shared" si="22"/>
        <v>0</v>
      </c>
      <c r="Y80" s="333">
        <f t="shared" si="22"/>
        <v>0</v>
      </c>
      <c r="Z80" s="333">
        <f t="shared" si="22"/>
        <v>0</v>
      </c>
      <c r="AA80" s="333">
        <f t="shared" si="22"/>
        <v>0</v>
      </c>
      <c r="AB80" s="333">
        <f t="shared" si="22"/>
        <v>0</v>
      </c>
      <c r="AC80" s="333">
        <f t="shared" si="22"/>
        <v>0</v>
      </c>
      <c r="AD80" s="333">
        <f t="shared" si="22"/>
        <v>0</v>
      </c>
      <c r="AE80" s="334">
        <f t="shared" si="22"/>
        <v>0</v>
      </c>
    </row>
    <row r="81" spans="1:31">
      <c r="A81" s="1711"/>
      <c r="B81" s="116">
        <v>20</v>
      </c>
      <c r="C81" s="332">
        <f t="shared" si="20"/>
        <v>3.6363452069597066</v>
      </c>
      <c r="D81" s="333">
        <f t="shared" si="20"/>
        <v>3.6363452069597066</v>
      </c>
      <c r="E81" s="333">
        <f t="shared" si="20"/>
        <v>3.6363452069597066</v>
      </c>
      <c r="F81" s="333">
        <f t="shared" si="20"/>
        <v>3.6625459555052791</v>
      </c>
      <c r="G81" s="333">
        <f t="shared" si="20"/>
        <v>3.6736866512990325</v>
      </c>
      <c r="H81" s="333">
        <f t="shared" si="20"/>
        <v>3.7570428002621234</v>
      </c>
      <c r="I81" s="333">
        <f t="shared" si="20"/>
        <v>3.764430628430683</v>
      </c>
      <c r="J81" s="333">
        <f t="shared" si="20"/>
        <v>3.7556582668154292</v>
      </c>
      <c r="K81" s="333">
        <f t="shared" si="20"/>
        <v>3.7572741338199513</v>
      </c>
      <c r="L81" s="333">
        <f t="shared" si="20"/>
        <v>3.7483026249259175</v>
      </c>
      <c r="M81" s="333">
        <f t="shared" si="20"/>
        <v>3.7514118335518178</v>
      </c>
      <c r="N81" s="333">
        <f t="shared" si="20"/>
        <v>3.7540302304883109</v>
      </c>
      <c r="O81" s="333">
        <f t="shared" si="20"/>
        <v>3.758648196440872</v>
      </c>
      <c r="P81" s="333">
        <f t="shared" si="20"/>
        <v>3.7593551933852134</v>
      </c>
      <c r="Q81" s="333">
        <f t="shared" si="20"/>
        <v>3.7610588525595645</v>
      </c>
      <c r="R81" s="333">
        <f t="shared" si="20"/>
        <v>3.6928133997618922</v>
      </c>
      <c r="S81" s="333">
        <f t="shared" si="22"/>
        <v>3.6899954722409256</v>
      </c>
      <c r="T81" s="333">
        <f t="shared" si="22"/>
        <v>3.6563399354988704</v>
      </c>
      <c r="U81" s="333">
        <f t="shared" si="22"/>
        <v>3.6575381860462879</v>
      </c>
      <c r="V81" s="333">
        <f t="shared" si="22"/>
        <v>2.8886620154487366</v>
      </c>
      <c r="W81" s="333">
        <f t="shared" si="22"/>
        <v>2.6980648353407952</v>
      </c>
      <c r="X81" s="333">
        <f t="shared" si="22"/>
        <v>0</v>
      </c>
      <c r="Y81" s="333">
        <f t="shared" si="22"/>
        <v>0</v>
      </c>
      <c r="Z81" s="333">
        <f t="shared" si="22"/>
        <v>0</v>
      </c>
      <c r="AA81" s="333">
        <f t="shared" si="22"/>
        <v>0</v>
      </c>
      <c r="AB81" s="333">
        <f t="shared" si="22"/>
        <v>0</v>
      </c>
      <c r="AC81" s="333">
        <f t="shared" si="22"/>
        <v>0</v>
      </c>
      <c r="AD81" s="333">
        <f t="shared" si="22"/>
        <v>0</v>
      </c>
      <c r="AE81" s="334">
        <f t="shared" si="22"/>
        <v>0</v>
      </c>
    </row>
    <row r="82" spans="1:31">
      <c r="A82" s="1711"/>
      <c r="B82" s="116">
        <v>21</v>
      </c>
      <c r="C82" s="332">
        <f t="shared" si="20"/>
        <v>3.6363452069597066</v>
      </c>
      <c r="D82" s="333">
        <f t="shared" si="20"/>
        <v>3.6363452069597066</v>
      </c>
      <c r="E82" s="333">
        <f t="shared" si="20"/>
        <v>3.6363452069597066</v>
      </c>
      <c r="F82" s="333">
        <f t="shared" si="20"/>
        <v>3.6363452069597066</v>
      </c>
      <c r="G82" s="333">
        <f t="shared" si="20"/>
        <v>3.6625459555052791</v>
      </c>
      <c r="H82" s="333">
        <f t="shared" si="20"/>
        <v>3.6736866512990325</v>
      </c>
      <c r="I82" s="333">
        <f t="shared" si="20"/>
        <v>3.7570428002621234</v>
      </c>
      <c r="J82" s="333">
        <f t="shared" si="20"/>
        <v>3.764430628430683</v>
      </c>
      <c r="K82" s="333">
        <f t="shared" si="20"/>
        <v>3.7556582668154292</v>
      </c>
      <c r="L82" s="333">
        <f t="shared" si="20"/>
        <v>3.7572741338199513</v>
      </c>
      <c r="M82" s="333">
        <f t="shared" si="20"/>
        <v>3.7483026249259175</v>
      </c>
      <c r="N82" s="333">
        <f t="shared" si="20"/>
        <v>3.7514118335518178</v>
      </c>
      <c r="O82" s="333">
        <f t="shared" si="20"/>
        <v>3.7540302304883109</v>
      </c>
      <c r="P82" s="333">
        <f t="shared" si="20"/>
        <v>3.758648196440872</v>
      </c>
      <c r="Q82" s="333">
        <f t="shared" si="20"/>
        <v>3.7593551933852134</v>
      </c>
      <c r="R82" s="333">
        <f t="shared" si="20"/>
        <v>3.7610588525595645</v>
      </c>
      <c r="S82" s="333">
        <f t="shared" si="22"/>
        <v>3.6928133997618922</v>
      </c>
      <c r="T82" s="333">
        <f t="shared" si="22"/>
        <v>3.6899954722409256</v>
      </c>
      <c r="U82" s="333">
        <f t="shared" si="22"/>
        <v>3.6563399354988704</v>
      </c>
      <c r="V82" s="333">
        <f t="shared" si="22"/>
        <v>3.6575381860462879</v>
      </c>
      <c r="W82" s="333">
        <f t="shared" si="22"/>
        <v>2.8886620154487366</v>
      </c>
      <c r="X82" s="333">
        <f t="shared" si="22"/>
        <v>2.6980648353407952</v>
      </c>
      <c r="Y82" s="333">
        <f t="shared" si="22"/>
        <v>0</v>
      </c>
      <c r="Z82" s="333">
        <f t="shared" si="22"/>
        <v>0</v>
      </c>
      <c r="AA82" s="333">
        <f t="shared" si="22"/>
        <v>0</v>
      </c>
      <c r="AB82" s="333">
        <f t="shared" si="22"/>
        <v>0</v>
      </c>
      <c r="AC82" s="333">
        <f t="shared" si="22"/>
        <v>0</v>
      </c>
      <c r="AD82" s="333">
        <f t="shared" si="22"/>
        <v>0</v>
      </c>
      <c r="AE82" s="334">
        <f t="shared" si="22"/>
        <v>0</v>
      </c>
    </row>
    <row r="83" spans="1:31">
      <c r="A83" s="1711"/>
      <c r="B83" s="116">
        <v>22</v>
      </c>
      <c r="C83" s="332">
        <f t="shared" si="20"/>
        <v>3.6363452069597066</v>
      </c>
      <c r="D83" s="333">
        <f t="shared" si="20"/>
        <v>3.6363452069597066</v>
      </c>
      <c r="E83" s="333">
        <f t="shared" si="20"/>
        <v>3.6363452069597066</v>
      </c>
      <c r="F83" s="333">
        <f t="shared" si="20"/>
        <v>3.6363452069597066</v>
      </c>
      <c r="G83" s="333">
        <f t="shared" si="20"/>
        <v>3.6363452069597066</v>
      </c>
      <c r="H83" s="333">
        <f t="shared" si="20"/>
        <v>3.6625459555052791</v>
      </c>
      <c r="I83" s="333">
        <f t="shared" si="20"/>
        <v>3.6736866512990325</v>
      </c>
      <c r="J83" s="333">
        <f t="shared" si="20"/>
        <v>3.7570428002621234</v>
      </c>
      <c r="K83" s="333">
        <f t="shared" si="20"/>
        <v>3.764430628430683</v>
      </c>
      <c r="L83" s="333">
        <f t="shared" si="20"/>
        <v>3.7556582668154292</v>
      </c>
      <c r="M83" s="333">
        <f t="shared" si="20"/>
        <v>3.7572741338199513</v>
      </c>
      <c r="N83" s="333">
        <f t="shared" si="20"/>
        <v>3.7483026249259175</v>
      </c>
      <c r="O83" s="333">
        <f t="shared" si="20"/>
        <v>3.7514118335518178</v>
      </c>
      <c r="P83" s="333">
        <f t="shared" si="20"/>
        <v>3.7540302304883109</v>
      </c>
      <c r="Q83" s="333">
        <f t="shared" si="20"/>
        <v>3.758648196440872</v>
      </c>
      <c r="R83" s="333">
        <f t="shared" si="20"/>
        <v>3.7593551933852134</v>
      </c>
      <c r="S83" s="333">
        <f t="shared" si="22"/>
        <v>3.7610588525595645</v>
      </c>
      <c r="T83" s="333">
        <f t="shared" si="22"/>
        <v>3.6928133997618922</v>
      </c>
      <c r="U83" s="333">
        <f t="shared" si="22"/>
        <v>3.6899954722409256</v>
      </c>
      <c r="V83" s="333">
        <f t="shared" si="22"/>
        <v>3.6563399354988704</v>
      </c>
      <c r="W83" s="333">
        <f t="shared" si="22"/>
        <v>3.6575381860462879</v>
      </c>
      <c r="X83" s="333">
        <f t="shared" si="22"/>
        <v>2.8886620154487366</v>
      </c>
      <c r="Y83" s="333">
        <f t="shared" si="22"/>
        <v>2.6980648353407952</v>
      </c>
      <c r="Z83" s="333">
        <f t="shared" si="22"/>
        <v>0</v>
      </c>
      <c r="AA83" s="333">
        <f t="shared" si="22"/>
        <v>0</v>
      </c>
      <c r="AB83" s="333">
        <f t="shared" si="22"/>
        <v>0</v>
      </c>
      <c r="AC83" s="333">
        <f t="shared" si="22"/>
        <v>0</v>
      </c>
      <c r="AD83" s="333">
        <f t="shared" si="22"/>
        <v>0</v>
      </c>
      <c r="AE83" s="334">
        <f t="shared" si="22"/>
        <v>0</v>
      </c>
    </row>
    <row r="84" spans="1:31">
      <c r="A84" s="1711"/>
      <c r="B84" s="116">
        <v>23</v>
      </c>
      <c r="C84" s="332">
        <f t="shared" si="20"/>
        <v>3.6363452069597066</v>
      </c>
      <c r="D84" s="333">
        <f t="shared" si="20"/>
        <v>3.6363452069597066</v>
      </c>
      <c r="E84" s="333">
        <f t="shared" si="20"/>
        <v>3.6363452069597066</v>
      </c>
      <c r="F84" s="333">
        <f t="shared" si="20"/>
        <v>3.6363452069597066</v>
      </c>
      <c r="G84" s="333">
        <f t="shared" si="20"/>
        <v>3.6363452069597066</v>
      </c>
      <c r="H84" s="333">
        <f t="shared" si="20"/>
        <v>3.6363452069597066</v>
      </c>
      <c r="I84" s="333">
        <f t="shared" si="20"/>
        <v>3.6625459555052791</v>
      </c>
      <c r="J84" s="333">
        <f t="shared" si="20"/>
        <v>3.6736866512990325</v>
      </c>
      <c r="K84" s="333">
        <f t="shared" si="20"/>
        <v>3.7570428002621234</v>
      </c>
      <c r="L84" s="333">
        <f t="shared" si="20"/>
        <v>3.764430628430683</v>
      </c>
      <c r="M84" s="333">
        <f t="shared" si="20"/>
        <v>3.7556582668154292</v>
      </c>
      <c r="N84" s="333">
        <f t="shared" si="20"/>
        <v>3.7572741338199513</v>
      </c>
      <c r="O84" s="333">
        <f t="shared" si="20"/>
        <v>3.7483026249259175</v>
      </c>
      <c r="P84" s="333">
        <f t="shared" si="20"/>
        <v>3.7514118335518178</v>
      </c>
      <c r="Q84" s="333">
        <f t="shared" si="20"/>
        <v>3.7540302304883109</v>
      </c>
      <c r="R84" s="333">
        <f t="shared" si="20"/>
        <v>3.758648196440872</v>
      </c>
      <c r="S84" s="333">
        <f t="shared" si="22"/>
        <v>3.7593551933852134</v>
      </c>
      <c r="T84" s="333">
        <f t="shared" si="22"/>
        <v>3.7610588525595645</v>
      </c>
      <c r="U84" s="333">
        <f t="shared" si="22"/>
        <v>3.6928133997618922</v>
      </c>
      <c r="V84" s="333">
        <f t="shared" si="22"/>
        <v>3.6899954722409256</v>
      </c>
      <c r="W84" s="333">
        <f t="shared" si="22"/>
        <v>3.6563399354988704</v>
      </c>
      <c r="X84" s="333">
        <f t="shared" si="22"/>
        <v>3.6575381860462879</v>
      </c>
      <c r="Y84" s="333">
        <f t="shared" si="22"/>
        <v>2.8886620154487366</v>
      </c>
      <c r="Z84" s="333">
        <f t="shared" si="22"/>
        <v>2.6980648353407952</v>
      </c>
      <c r="AA84" s="333">
        <f t="shared" si="22"/>
        <v>0</v>
      </c>
      <c r="AB84" s="333">
        <f t="shared" si="22"/>
        <v>0</v>
      </c>
      <c r="AC84" s="333">
        <f t="shared" si="22"/>
        <v>0</v>
      </c>
      <c r="AD84" s="333">
        <f t="shared" si="22"/>
        <v>0</v>
      </c>
      <c r="AE84" s="334">
        <f t="shared" si="22"/>
        <v>0</v>
      </c>
    </row>
    <row r="85" spans="1:31">
      <c r="A85" s="1711"/>
      <c r="B85" s="116">
        <v>24</v>
      </c>
      <c r="C85" s="332">
        <f t="shared" si="20"/>
        <v>3.6363452069597066</v>
      </c>
      <c r="D85" s="333">
        <f t="shared" si="20"/>
        <v>3.6363452069597066</v>
      </c>
      <c r="E85" s="333">
        <f t="shared" si="20"/>
        <v>3.6363452069597066</v>
      </c>
      <c r="F85" s="333">
        <f t="shared" si="20"/>
        <v>3.6363452069597066</v>
      </c>
      <c r="G85" s="333">
        <f t="shared" si="20"/>
        <v>3.6363452069597066</v>
      </c>
      <c r="H85" s="333">
        <f t="shared" si="20"/>
        <v>3.6363452069597066</v>
      </c>
      <c r="I85" s="333">
        <f t="shared" si="20"/>
        <v>3.6363452069597066</v>
      </c>
      <c r="J85" s="333">
        <f t="shared" si="20"/>
        <v>3.6625459555052791</v>
      </c>
      <c r="K85" s="333">
        <f t="shared" si="20"/>
        <v>3.6736866512990325</v>
      </c>
      <c r="L85" s="333">
        <f t="shared" si="20"/>
        <v>3.7570428002621234</v>
      </c>
      <c r="M85" s="333">
        <f t="shared" si="20"/>
        <v>3.764430628430683</v>
      </c>
      <c r="N85" s="333">
        <f t="shared" si="20"/>
        <v>3.7556582668154292</v>
      </c>
      <c r="O85" s="333">
        <f t="shared" si="20"/>
        <v>3.7572741338199513</v>
      </c>
      <c r="P85" s="333">
        <f t="shared" si="20"/>
        <v>3.7483026249259175</v>
      </c>
      <c r="Q85" s="333">
        <f t="shared" si="20"/>
        <v>3.7514118335518178</v>
      </c>
      <c r="R85" s="333">
        <f t="shared" si="20"/>
        <v>3.7540302304883109</v>
      </c>
      <c r="S85" s="333">
        <f t="shared" si="22"/>
        <v>3.758648196440872</v>
      </c>
      <c r="T85" s="333">
        <f t="shared" si="22"/>
        <v>3.7593551933852134</v>
      </c>
      <c r="U85" s="333">
        <f t="shared" si="22"/>
        <v>3.7610588525595645</v>
      </c>
      <c r="V85" s="333">
        <f t="shared" si="22"/>
        <v>3.6928133997618922</v>
      </c>
      <c r="W85" s="333">
        <f t="shared" si="22"/>
        <v>3.6899954722409256</v>
      </c>
      <c r="X85" s="333">
        <f t="shared" si="22"/>
        <v>3.6563399354988704</v>
      </c>
      <c r="Y85" s="333">
        <f t="shared" si="22"/>
        <v>3.6575381860462879</v>
      </c>
      <c r="Z85" s="333">
        <f t="shared" si="22"/>
        <v>2.8886620154487366</v>
      </c>
      <c r="AA85" s="333">
        <f t="shared" si="22"/>
        <v>2.6980648353407952</v>
      </c>
      <c r="AB85" s="333">
        <f t="shared" si="22"/>
        <v>0</v>
      </c>
      <c r="AC85" s="333">
        <f t="shared" si="22"/>
        <v>0</v>
      </c>
      <c r="AD85" s="333">
        <f t="shared" si="22"/>
        <v>0</v>
      </c>
      <c r="AE85" s="334">
        <f t="shared" si="22"/>
        <v>0</v>
      </c>
    </row>
    <row r="86" spans="1:31" ht="15.75" thickBot="1">
      <c r="A86" s="1711"/>
      <c r="B86" s="116">
        <v>25</v>
      </c>
      <c r="C86" s="332">
        <f>C173</f>
        <v>3.6363452069597066</v>
      </c>
      <c r="D86" s="333">
        <f t="shared" si="20"/>
        <v>3.6363452069597066</v>
      </c>
      <c r="E86" s="333">
        <f t="shared" si="20"/>
        <v>3.6363452069597066</v>
      </c>
      <c r="F86" s="333">
        <f t="shared" si="20"/>
        <v>3.6363452069597066</v>
      </c>
      <c r="G86" s="333">
        <f t="shared" si="20"/>
        <v>3.6363452069597066</v>
      </c>
      <c r="H86" s="333">
        <f t="shared" si="20"/>
        <v>3.6363452069597066</v>
      </c>
      <c r="I86" s="333">
        <f t="shared" si="20"/>
        <v>3.6363452069597066</v>
      </c>
      <c r="J86" s="333">
        <f t="shared" si="20"/>
        <v>3.6363452069597066</v>
      </c>
      <c r="K86" s="333">
        <f t="shared" si="20"/>
        <v>3.6625459555052791</v>
      </c>
      <c r="L86" s="333">
        <f t="shared" si="20"/>
        <v>3.6736866512990325</v>
      </c>
      <c r="M86" s="333">
        <f t="shared" si="20"/>
        <v>3.7570428002621234</v>
      </c>
      <c r="N86" s="333">
        <f t="shared" si="20"/>
        <v>3.764430628430683</v>
      </c>
      <c r="O86" s="333">
        <f t="shared" si="20"/>
        <v>3.7556582668154292</v>
      </c>
      <c r="P86" s="333">
        <f t="shared" si="20"/>
        <v>3.7572741338199513</v>
      </c>
      <c r="Q86" s="333">
        <f t="shared" si="20"/>
        <v>3.7483026249259175</v>
      </c>
      <c r="R86" s="333">
        <f t="shared" si="20"/>
        <v>3.7514118335518178</v>
      </c>
      <c r="S86" s="333">
        <f t="shared" si="22"/>
        <v>3.7540302304883109</v>
      </c>
      <c r="T86" s="333">
        <f t="shared" si="22"/>
        <v>3.758648196440872</v>
      </c>
      <c r="U86" s="333">
        <f t="shared" si="22"/>
        <v>3.7593551933852134</v>
      </c>
      <c r="V86" s="333">
        <f t="shared" si="22"/>
        <v>3.7610588525595645</v>
      </c>
      <c r="W86" s="333">
        <f t="shared" si="22"/>
        <v>3.6928133997618922</v>
      </c>
      <c r="X86" s="333">
        <f t="shared" si="22"/>
        <v>3.6899954722409256</v>
      </c>
      <c r="Y86" s="333">
        <f t="shared" si="22"/>
        <v>3.6563399354988704</v>
      </c>
      <c r="Z86" s="333">
        <f t="shared" si="22"/>
        <v>3.6575381860462879</v>
      </c>
      <c r="AA86" s="333">
        <f t="shared" si="22"/>
        <v>2.8886620154487366</v>
      </c>
      <c r="AB86" s="333">
        <f t="shared" si="22"/>
        <v>2.6980648353407952</v>
      </c>
      <c r="AC86" s="333">
        <f t="shared" si="22"/>
        <v>0</v>
      </c>
      <c r="AD86" s="333">
        <f t="shared" si="22"/>
        <v>0</v>
      </c>
      <c r="AE86" s="334">
        <f t="shared" si="22"/>
        <v>0</v>
      </c>
    </row>
    <row r="87" spans="1:31" ht="16.5" thickTop="1" thickBot="1">
      <c r="A87" s="1712"/>
      <c r="B87" s="300" t="s">
        <v>39</v>
      </c>
      <c r="C87" s="380">
        <f>SUMPRODUCT(C61:C86,'FREH Stock'!C114:C139)/'FREH Stock'!C140</f>
        <v>3.657732771069917</v>
      </c>
      <c r="D87" s="381">
        <f>SUMPRODUCT(D61:D86,'FREH Stock'!D114:D139)/'FREH Stock'!D140</f>
        <v>3.6382386381938949</v>
      </c>
      <c r="E87" s="381">
        <f>SUMPRODUCT(E61:E86,'FREH Stock'!E114:E139)/'FREH Stock'!E140</f>
        <v>3.6145720705091953</v>
      </c>
      <c r="F87" s="381">
        <f>SUMPRODUCT(F61:F86,'FREH Stock'!F114:F139)/'FREH Stock'!F140</f>
        <v>3.5878056385274815</v>
      </c>
      <c r="G87" s="381">
        <f>SUMPRODUCT(G61:G86,'FREH Stock'!G114:G139)/'FREH Stock'!G140</f>
        <v>3.5584125845875536</v>
      </c>
      <c r="H87" s="381">
        <f>SUMPRODUCT(H61:H86,'FREH Stock'!H114:H139)/'FREH Stock'!H140</f>
        <v>3.5250009546671048</v>
      </c>
      <c r="I87" s="381">
        <f>SUMPRODUCT(I61:I86,'FREH Stock'!I114:I139)/'FREH Stock'!I140</f>
        <v>3.4861958305227669</v>
      </c>
      <c r="J87" s="381">
        <f>SUMPRODUCT(J61:J86,'FREH Stock'!J114:J139)/'FREH Stock'!J140</f>
        <v>3.4421507165496923</v>
      </c>
      <c r="K87" s="381">
        <f>SUMPRODUCT(K61:K86,'FREH Stock'!K114:K139)/'FREH Stock'!K140</f>
        <v>3.3943949047241735</v>
      </c>
      <c r="L87" s="381">
        <f>SUMPRODUCT(L61:L86,'FREH Stock'!L114:L139)/'FREH Stock'!L140</f>
        <v>3.342551953396443</v>
      </c>
      <c r="M87" s="381">
        <f>SUMPRODUCT(M61:M86,'FREH Stock'!M114:M139)/'FREH Stock'!M140</f>
        <v>3.2878712676538671</v>
      </c>
      <c r="N87" s="381">
        <f>SUMPRODUCT(N61:N86,'FREH Stock'!N114:N139)/'FREH Stock'!N140</f>
        <v>3.2357533241354997</v>
      </c>
      <c r="O87" s="381">
        <f>SUMPRODUCT(O61:O86,'FREH Stock'!O114:O139)/'FREH Stock'!O140</f>
        <v>3.1875692750649214</v>
      </c>
      <c r="P87" s="381">
        <f>SUMPRODUCT(P61:P86,'FREH Stock'!P114:P139)/'FREH Stock'!P140</f>
        <v>3.1466293669799632</v>
      </c>
      <c r="Q87" s="381">
        <f>SUMPRODUCT(Q61:Q86,'FREH Stock'!Q114:Q139)/'FREH Stock'!Q140</f>
        <v>3.1105687290907102</v>
      </c>
      <c r="R87" s="381">
        <f>SUMPRODUCT(R61:R86,'FREH Stock'!R114:R139)/'FREH Stock'!R140</f>
        <v>3.0757471637939915</v>
      </c>
      <c r="S87" s="381">
        <f>SUMPRODUCT(S61:S86,'FREH Stock'!S114:S139)/'FREH Stock'!S140</f>
        <v>3.0413175944906454</v>
      </c>
      <c r="T87" s="381">
        <f>SUMPRODUCT(T61:T86,'FREH Stock'!T114:T139)/'FREH Stock'!T140</f>
        <v>3.007042802390393</v>
      </c>
      <c r="U87" s="381">
        <f>SUMPRODUCT(U61:U86,'FREH Stock'!U114:U139)/'FREH Stock'!U140</f>
        <v>2.9725845916499307</v>
      </c>
      <c r="V87" s="381">
        <f>SUMPRODUCT(V61:V86,'FREH Stock'!V114:V139)/'FREH Stock'!V140</f>
        <v>2.9374721119325158</v>
      </c>
      <c r="W87" s="381">
        <f>SUMPRODUCT(W61:W86,'FREH Stock'!W114:W139)/'FREH Stock'!W140</f>
        <v>2.9010296006082994</v>
      </c>
      <c r="X87" s="381">
        <f>SUMPRODUCT(X61:X86,'FREH Stock'!X114:X139)/'FREH Stock'!X140</f>
        <v>2.8622106342127136</v>
      </c>
      <c r="Y87" s="381">
        <f>SUMPRODUCT(Y61:Y86,'FREH Stock'!Y114:Y139)/'FREH Stock'!Y140</f>
        <v>2.8191829596540812</v>
      </c>
      <c r="Z87" s="381">
        <f>SUMPRODUCT(Z61:Z86,'FREH Stock'!Z114:Z139)/'FREH Stock'!Z140</f>
        <v>2.7680898683582851</v>
      </c>
      <c r="AA87" s="381">
        <f>SUMPRODUCT(AA61:AA86,'FREH Stock'!AA114:AA139)/'FREH Stock'!AA140</f>
        <v>2.6980648353407952</v>
      </c>
      <c r="AB87" s="381" t="e">
        <f>SUMPRODUCT(AB61:AB86,'FREH Stock'!AB114:AB139)/'FREH Stock'!AB140</f>
        <v>#DIV/0!</v>
      </c>
      <c r="AC87" s="381" t="e">
        <f>SUMPRODUCT(AC61:AC86,'FREH Stock'!AC114:AC139)/'FREH Stock'!AC140</f>
        <v>#DIV/0!</v>
      </c>
      <c r="AD87" s="381" t="e">
        <f>SUMPRODUCT(AD61:AD86,'FREH Stock'!AD114:AD139)/'FREH Stock'!AD140</f>
        <v>#DIV/0!</v>
      </c>
      <c r="AE87" s="382" t="e">
        <f>SUMPRODUCT(AE61:AE86,'FREH Stock'!AE114:AE139)/'FREH Stock'!AE140</f>
        <v>#DIV/0!</v>
      </c>
    </row>
    <row r="88" spans="1:31" ht="15.75" thickBot="1"/>
    <row r="89" spans="1:31" ht="15.75" customHeight="1" thickBot="1">
      <c r="A89" s="1710" t="s">
        <v>203</v>
      </c>
      <c r="B89" s="169" t="s">
        <v>10</v>
      </c>
      <c r="C89" s="288">
        <v>2012</v>
      </c>
      <c r="D89" s="347">
        <v>2013</v>
      </c>
      <c r="E89" s="347">
        <v>2014</v>
      </c>
      <c r="F89" s="288">
        <v>2015</v>
      </c>
      <c r="G89" s="347">
        <v>2016</v>
      </c>
      <c r="H89" s="347">
        <v>2017</v>
      </c>
      <c r="I89" s="288">
        <v>2018</v>
      </c>
      <c r="J89" s="347">
        <v>2019</v>
      </c>
      <c r="K89" s="347">
        <v>2020</v>
      </c>
      <c r="L89" s="288">
        <v>2021</v>
      </c>
      <c r="M89" s="347">
        <v>2022</v>
      </c>
      <c r="N89" s="347">
        <v>2023</v>
      </c>
      <c r="O89" s="288">
        <v>2024</v>
      </c>
      <c r="P89" s="347">
        <v>2025</v>
      </c>
      <c r="Q89" s="347">
        <v>2026</v>
      </c>
      <c r="R89" s="288">
        <v>2027</v>
      </c>
      <c r="S89" s="347">
        <v>2028</v>
      </c>
      <c r="T89" s="347">
        <v>2029</v>
      </c>
      <c r="U89" s="288">
        <v>2030</v>
      </c>
      <c r="V89" s="347">
        <v>2031</v>
      </c>
      <c r="W89" s="347">
        <v>2032</v>
      </c>
      <c r="X89" s="288">
        <v>2033</v>
      </c>
      <c r="Y89" s="347">
        <v>2034</v>
      </c>
      <c r="Z89" s="347">
        <v>2035</v>
      </c>
      <c r="AA89" s="288">
        <v>2036</v>
      </c>
      <c r="AB89" s="347">
        <v>2037</v>
      </c>
      <c r="AC89" s="347">
        <v>2038</v>
      </c>
      <c r="AD89" s="288">
        <v>2039</v>
      </c>
      <c r="AE89" s="348">
        <v>2040</v>
      </c>
    </row>
    <row r="90" spans="1:31">
      <c r="A90" s="1711"/>
      <c r="B90" s="116">
        <v>0</v>
      </c>
      <c r="C90" s="329">
        <v>1.8391057142857143</v>
      </c>
      <c r="D90" s="330"/>
      <c r="E90" s="330"/>
      <c r="F90" s="330"/>
      <c r="G90" s="330"/>
      <c r="H90" s="330"/>
      <c r="I90" s="330"/>
      <c r="J90" s="330"/>
      <c r="K90" s="330"/>
      <c r="L90" s="330"/>
      <c r="M90" s="330"/>
      <c r="N90" s="330"/>
      <c r="O90" s="330"/>
      <c r="P90" s="330"/>
      <c r="Q90" s="330"/>
      <c r="R90" s="330"/>
      <c r="S90" s="330"/>
      <c r="T90" s="330"/>
      <c r="U90" s="330"/>
      <c r="V90" s="330"/>
      <c r="W90" s="330"/>
      <c r="X90" s="330"/>
      <c r="Y90" s="330"/>
      <c r="Z90" s="330"/>
      <c r="AA90" s="330"/>
      <c r="AB90" s="330"/>
      <c r="AC90" s="330"/>
      <c r="AD90" s="330"/>
      <c r="AE90" s="331"/>
    </row>
    <row r="91" spans="1:31">
      <c r="A91" s="1711"/>
      <c r="B91" s="116">
        <v>1</v>
      </c>
      <c r="C91" s="332">
        <v>2.2830866666666672</v>
      </c>
      <c r="D91" s="333">
        <f>C90</f>
        <v>1.8391057142857143</v>
      </c>
      <c r="E91" s="333">
        <f t="shared" ref="E91:T91" si="23">D90</f>
        <v>0</v>
      </c>
      <c r="F91" s="333">
        <f t="shared" si="23"/>
        <v>0</v>
      </c>
      <c r="G91" s="333">
        <f t="shared" si="23"/>
        <v>0</v>
      </c>
      <c r="H91" s="333">
        <f t="shared" si="23"/>
        <v>0</v>
      </c>
      <c r="I91" s="333">
        <f t="shared" si="23"/>
        <v>0</v>
      </c>
      <c r="J91" s="333">
        <f t="shared" si="23"/>
        <v>0</v>
      </c>
      <c r="K91" s="333">
        <f t="shared" si="23"/>
        <v>0</v>
      </c>
      <c r="L91" s="333">
        <f t="shared" si="23"/>
        <v>0</v>
      </c>
      <c r="M91" s="333">
        <f t="shared" si="23"/>
        <v>0</v>
      </c>
      <c r="N91" s="333">
        <f t="shared" si="23"/>
        <v>0</v>
      </c>
      <c r="O91" s="333">
        <f t="shared" si="23"/>
        <v>0</v>
      </c>
      <c r="P91" s="333">
        <f t="shared" si="23"/>
        <v>0</v>
      </c>
      <c r="Q91" s="333">
        <f t="shared" si="23"/>
        <v>0</v>
      </c>
      <c r="R91" s="333">
        <f t="shared" si="23"/>
        <v>0</v>
      </c>
      <c r="S91" s="333">
        <f t="shared" si="23"/>
        <v>0</v>
      </c>
      <c r="T91" s="333">
        <f t="shared" si="23"/>
        <v>0</v>
      </c>
      <c r="U91" s="333">
        <f t="shared" ref="T91:AB106" si="24">T90</f>
        <v>0</v>
      </c>
      <c r="V91" s="333">
        <f t="shared" si="24"/>
        <v>0</v>
      </c>
      <c r="W91" s="333">
        <f t="shared" si="24"/>
        <v>0</v>
      </c>
      <c r="X91" s="333">
        <f t="shared" si="24"/>
        <v>0</v>
      </c>
      <c r="Y91" s="333">
        <f t="shared" si="24"/>
        <v>0</v>
      </c>
      <c r="Z91" s="333">
        <f>Y90</f>
        <v>0</v>
      </c>
      <c r="AA91" s="333">
        <f t="shared" ref="AA91:AB106" si="25">Z90</f>
        <v>0</v>
      </c>
      <c r="AB91" s="333">
        <f t="shared" si="25"/>
        <v>0</v>
      </c>
      <c r="AC91" s="333"/>
      <c r="AD91" s="333"/>
      <c r="AE91" s="334"/>
    </row>
    <row r="92" spans="1:31">
      <c r="A92" s="1711"/>
      <c r="B92" s="116">
        <v>2</v>
      </c>
      <c r="C92" s="332">
        <v>2.8722239659259268</v>
      </c>
      <c r="D92" s="333">
        <f t="shared" ref="D92:S107" si="26">C91</f>
        <v>2.2830866666666672</v>
      </c>
      <c r="E92" s="333">
        <f t="shared" si="26"/>
        <v>1.8391057142857143</v>
      </c>
      <c r="F92" s="333">
        <f t="shared" si="26"/>
        <v>0</v>
      </c>
      <c r="G92" s="333">
        <f t="shared" si="26"/>
        <v>0</v>
      </c>
      <c r="H92" s="333">
        <f t="shared" si="26"/>
        <v>0</v>
      </c>
      <c r="I92" s="333">
        <f t="shared" si="26"/>
        <v>0</v>
      </c>
      <c r="J92" s="333">
        <f t="shared" si="26"/>
        <v>0</v>
      </c>
      <c r="K92" s="333">
        <f t="shared" si="26"/>
        <v>0</v>
      </c>
      <c r="L92" s="333">
        <f t="shared" si="26"/>
        <v>0</v>
      </c>
      <c r="M92" s="333">
        <f t="shared" si="26"/>
        <v>0</v>
      </c>
      <c r="N92" s="333">
        <f t="shared" si="26"/>
        <v>0</v>
      </c>
      <c r="O92" s="333">
        <f t="shared" si="26"/>
        <v>0</v>
      </c>
      <c r="P92" s="333">
        <f t="shared" si="26"/>
        <v>0</v>
      </c>
      <c r="Q92" s="333">
        <f t="shared" si="26"/>
        <v>0</v>
      </c>
      <c r="R92" s="333">
        <f t="shared" si="26"/>
        <v>0</v>
      </c>
      <c r="S92" s="333">
        <f t="shared" si="26"/>
        <v>0</v>
      </c>
      <c r="T92" s="333">
        <f t="shared" si="24"/>
        <v>0</v>
      </c>
      <c r="U92" s="333">
        <f t="shared" si="24"/>
        <v>0</v>
      </c>
      <c r="V92" s="333">
        <f t="shared" si="24"/>
        <v>0</v>
      </c>
      <c r="W92" s="333">
        <f t="shared" si="24"/>
        <v>0</v>
      </c>
      <c r="X92" s="333">
        <f t="shared" si="24"/>
        <v>0</v>
      </c>
      <c r="Y92" s="333">
        <f t="shared" si="24"/>
        <v>0</v>
      </c>
      <c r="Z92" s="333">
        <f t="shared" si="24"/>
        <v>0</v>
      </c>
      <c r="AA92" s="333">
        <f t="shared" si="24"/>
        <v>0</v>
      </c>
      <c r="AB92" s="333">
        <f t="shared" si="24"/>
        <v>0</v>
      </c>
      <c r="AC92" s="333"/>
      <c r="AD92" s="333"/>
      <c r="AE92" s="334"/>
    </row>
    <row r="93" spans="1:31">
      <c r="A93" s="1711"/>
      <c r="B93" s="116">
        <v>3</v>
      </c>
      <c r="C93" s="332">
        <v>2.8720420853348099</v>
      </c>
      <c r="D93" s="333">
        <f t="shared" si="26"/>
        <v>2.8722239659259268</v>
      </c>
      <c r="E93" s="333">
        <f t="shared" si="26"/>
        <v>2.2830866666666672</v>
      </c>
      <c r="F93" s="333">
        <f t="shared" si="26"/>
        <v>1.8391057142857143</v>
      </c>
      <c r="G93" s="333">
        <f t="shared" si="26"/>
        <v>0</v>
      </c>
      <c r="H93" s="333">
        <f t="shared" si="26"/>
        <v>0</v>
      </c>
      <c r="I93" s="333">
        <f t="shared" si="26"/>
        <v>0</v>
      </c>
      <c r="J93" s="333">
        <f t="shared" si="26"/>
        <v>0</v>
      </c>
      <c r="K93" s="333">
        <f t="shared" si="26"/>
        <v>0</v>
      </c>
      <c r="L93" s="333">
        <f t="shared" si="26"/>
        <v>0</v>
      </c>
      <c r="M93" s="333">
        <f t="shared" si="26"/>
        <v>0</v>
      </c>
      <c r="N93" s="333">
        <f t="shared" si="26"/>
        <v>0</v>
      </c>
      <c r="O93" s="333">
        <f t="shared" si="26"/>
        <v>0</v>
      </c>
      <c r="P93" s="333">
        <f t="shared" si="26"/>
        <v>0</v>
      </c>
      <c r="Q93" s="333">
        <f t="shared" si="26"/>
        <v>0</v>
      </c>
      <c r="R93" s="333">
        <f t="shared" si="26"/>
        <v>0</v>
      </c>
      <c r="S93" s="333">
        <f t="shared" si="26"/>
        <v>0</v>
      </c>
      <c r="T93" s="333">
        <f t="shared" si="24"/>
        <v>0</v>
      </c>
      <c r="U93" s="333">
        <f t="shared" si="24"/>
        <v>0</v>
      </c>
      <c r="V93" s="333">
        <f t="shared" si="24"/>
        <v>0</v>
      </c>
      <c r="W93" s="333">
        <f t="shared" si="24"/>
        <v>0</v>
      </c>
      <c r="X93" s="333">
        <f t="shared" si="24"/>
        <v>0</v>
      </c>
      <c r="Y93" s="333">
        <f t="shared" si="24"/>
        <v>0</v>
      </c>
      <c r="Z93" s="333">
        <f t="shared" si="24"/>
        <v>0</v>
      </c>
      <c r="AA93" s="333">
        <f t="shared" si="25"/>
        <v>0</v>
      </c>
      <c r="AB93" s="333">
        <f t="shared" si="25"/>
        <v>0</v>
      </c>
      <c r="AC93" s="333"/>
      <c r="AD93" s="333"/>
      <c r="AE93" s="334"/>
    </row>
    <row r="94" spans="1:31">
      <c r="A94" s="1711"/>
      <c r="B94" s="116">
        <v>4</v>
      </c>
      <c r="C94" s="332">
        <v>2.8225110550566193</v>
      </c>
      <c r="D94" s="333">
        <f t="shared" si="26"/>
        <v>2.8720420853348099</v>
      </c>
      <c r="E94" s="333">
        <f t="shared" si="26"/>
        <v>2.8722239659259268</v>
      </c>
      <c r="F94" s="333">
        <f t="shared" si="26"/>
        <v>2.2830866666666672</v>
      </c>
      <c r="G94" s="333">
        <f t="shared" si="26"/>
        <v>1.8391057142857143</v>
      </c>
      <c r="H94" s="333">
        <f t="shared" si="26"/>
        <v>0</v>
      </c>
      <c r="I94" s="333">
        <f t="shared" si="26"/>
        <v>0</v>
      </c>
      <c r="J94" s="333">
        <f t="shared" si="26"/>
        <v>0</v>
      </c>
      <c r="K94" s="333">
        <f t="shared" si="26"/>
        <v>0</v>
      </c>
      <c r="L94" s="333">
        <f t="shared" si="26"/>
        <v>0</v>
      </c>
      <c r="M94" s="333">
        <f t="shared" si="26"/>
        <v>0</v>
      </c>
      <c r="N94" s="333">
        <f t="shared" si="26"/>
        <v>0</v>
      </c>
      <c r="O94" s="333">
        <f t="shared" si="26"/>
        <v>0</v>
      </c>
      <c r="P94" s="333">
        <f t="shared" si="26"/>
        <v>0</v>
      </c>
      <c r="Q94" s="333">
        <f t="shared" si="26"/>
        <v>0</v>
      </c>
      <c r="R94" s="333">
        <f t="shared" si="26"/>
        <v>0</v>
      </c>
      <c r="S94" s="333">
        <f t="shared" si="26"/>
        <v>0</v>
      </c>
      <c r="T94" s="333">
        <f t="shared" si="24"/>
        <v>0</v>
      </c>
      <c r="U94" s="333">
        <f t="shared" si="24"/>
        <v>0</v>
      </c>
      <c r="V94" s="333">
        <f t="shared" si="24"/>
        <v>0</v>
      </c>
      <c r="W94" s="333">
        <f t="shared" si="24"/>
        <v>0</v>
      </c>
      <c r="X94" s="333">
        <f t="shared" si="24"/>
        <v>0</v>
      </c>
      <c r="Y94" s="333">
        <f t="shared" si="24"/>
        <v>0</v>
      </c>
      <c r="Z94" s="333">
        <f t="shared" si="24"/>
        <v>0</v>
      </c>
      <c r="AA94" s="333">
        <f t="shared" si="25"/>
        <v>0</v>
      </c>
      <c r="AB94" s="333">
        <f t="shared" si="25"/>
        <v>0</v>
      </c>
      <c r="AC94" s="333"/>
      <c r="AD94" s="333"/>
      <c r="AE94" s="334"/>
    </row>
    <row r="95" spans="1:31">
      <c r="A95" s="1711"/>
      <c r="B95" s="116">
        <v>5</v>
      </c>
      <c r="C95" s="332">
        <v>2.8453618087437746</v>
      </c>
      <c r="D95" s="333">
        <f t="shared" si="26"/>
        <v>2.8225110550566193</v>
      </c>
      <c r="E95" s="333">
        <f t="shared" si="26"/>
        <v>2.8720420853348099</v>
      </c>
      <c r="F95" s="333">
        <f t="shared" si="26"/>
        <v>2.8722239659259268</v>
      </c>
      <c r="G95" s="333">
        <f t="shared" si="26"/>
        <v>2.2830866666666672</v>
      </c>
      <c r="H95" s="333">
        <f t="shared" si="26"/>
        <v>1.8391057142857143</v>
      </c>
      <c r="I95" s="333">
        <f t="shared" si="26"/>
        <v>0</v>
      </c>
      <c r="J95" s="333">
        <f t="shared" si="26"/>
        <v>0</v>
      </c>
      <c r="K95" s="333">
        <f t="shared" si="26"/>
        <v>0</v>
      </c>
      <c r="L95" s="333">
        <f t="shared" si="26"/>
        <v>0</v>
      </c>
      <c r="M95" s="333">
        <f t="shared" si="26"/>
        <v>0</v>
      </c>
      <c r="N95" s="333">
        <f t="shared" si="26"/>
        <v>0</v>
      </c>
      <c r="O95" s="333">
        <f t="shared" si="26"/>
        <v>0</v>
      </c>
      <c r="P95" s="333">
        <f t="shared" si="26"/>
        <v>0</v>
      </c>
      <c r="Q95" s="333">
        <f t="shared" si="26"/>
        <v>0</v>
      </c>
      <c r="R95" s="333">
        <f t="shared" si="26"/>
        <v>0</v>
      </c>
      <c r="S95" s="333">
        <f t="shared" si="26"/>
        <v>0</v>
      </c>
      <c r="T95" s="333">
        <f t="shared" si="24"/>
        <v>0</v>
      </c>
      <c r="U95" s="333">
        <f t="shared" si="24"/>
        <v>0</v>
      </c>
      <c r="V95" s="333">
        <f t="shared" si="24"/>
        <v>0</v>
      </c>
      <c r="W95" s="333">
        <f t="shared" si="24"/>
        <v>0</v>
      </c>
      <c r="X95" s="333">
        <f t="shared" si="24"/>
        <v>0</v>
      </c>
      <c r="Y95" s="333">
        <f t="shared" si="24"/>
        <v>0</v>
      </c>
      <c r="Z95" s="333">
        <f t="shared" si="24"/>
        <v>0</v>
      </c>
      <c r="AA95" s="333">
        <f t="shared" si="25"/>
        <v>0</v>
      </c>
      <c r="AB95" s="333">
        <f t="shared" si="25"/>
        <v>0</v>
      </c>
      <c r="AC95" s="333"/>
      <c r="AD95" s="333"/>
      <c r="AE95" s="334"/>
    </row>
    <row r="96" spans="1:31">
      <c r="A96" s="1711"/>
      <c r="B96" s="116">
        <v>6</v>
      </c>
      <c r="C96" s="332">
        <v>2.8974928678733041</v>
      </c>
      <c r="D96" s="333">
        <f t="shared" si="26"/>
        <v>2.8453618087437746</v>
      </c>
      <c r="E96" s="333">
        <f t="shared" si="26"/>
        <v>2.8225110550566193</v>
      </c>
      <c r="F96" s="333">
        <f t="shared" si="26"/>
        <v>2.8720420853348099</v>
      </c>
      <c r="G96" s="333">
        <f t="shared" si="26"/>
        <v>2.8722239659259268</v>
      </c>
      <c r="H96" s="333">
        <f t="shared" si="26"/>
        <v>2.2830866666666672</v>
      </c>
      <c r="I96" s="333">
        <f t="shared" si="26"/>
        <v>1.8391057142857143</v>
      </c>
      <c r="J96" s="333">
        <f t="shared" si="26"/>
        <v>0</v>
      </c>
      <c r="K96" s="333">
        <f t="shared" si="26"/>
        <v>0</v>
      </c>
      <c r="L96" s="333">
        <f t="shared" si="26"/>
        <v>0</v>
      </c>
      <c r="M96" s="333">
        <f t="shared" si="26"/>
        <v>0</v>
      </c>
      <c r="N96" s="333">
        <f t="shared" si="26"/>
        <v>0</v>
      </c>
      <c r="O96" s="333">
        <f t="shared" si="26"/>
        <v>0</v>
      </c>
      <c r="P96" s="333">
        <f t="shared" si="26"/>
        <v>0</v>
      </c>
      <c r="Q96" s="333">
        <f t="shared" si="26"/>
        <v>0</v>
      </c>
      <c r="R96" s="333">
        <f t="shared" si="26"/>
        <v>0</v>
      </c>
      <c r="S96" s="333">
        <f t="shared" si="26"/>
        <v>0</v>
      </c>
      <c r="T96" s="333">
        <f t="shared" si="24"/>
        <v>0</v>
      </c>
      <c r="U96" s="333">
        <f t="shared" si="24"/>
        <v>0</v>
      </c>
      <c r="V96" s="333">
        <f t="shared" si="24"/>
        <v>0</v>
      </c>
      <c r="W96" s="333">
        <f t="shared" si="24"/>
        <v>0</v>
      </c>
      <c r="X96" s="333">
        <f t="shared" si="24"/>
        <v>0</v>
      </c>
      <c r="Y96" s="333">
        <f t="shared" si="24"/>
        <v>0</v>
      </c>
      <c r="Z96" s="333">
        <f t="shared" si="24"/>
        <v>0</v>
      </c>
      <c r="AA96" s="333">
        <f t="shared" si="25"/>
        <v>0</v>
      </c>
      <c r="AB96" s="333">
        <f t="shared" si="25"/>
        <v>0</v>
      </c>
      <c r="AC96" s="333"/>
      <c r="AD96" s="333"/>
      <c r="AE96" s="334"/>
    </row>
    <row r="97" spans="1:31">
      <c r="A97" s="1711"/>
      <c r="B97" s="116">
        <v>7</v>
      </c>
      <c r="C97" s="332">
        <v>2.8955238732193735</v>
      </c>
      <c r="D97" s="333">
        <f t="shared" si="26"/>
        <v>2.8974928678733041</v>
      </c>
      <c r="E97" s="333">
        <f t="shared" si="26"/>
        <v>2.8453618087437746</v>
      </c>
      <c r="F97" s="333">
        <f t="shared" si="26"/>
        <v>2.8225110550566193</v>
      </c>
      <c r="G97" s="333">
        <f t="shared" si="26"/>
        <v>2.8720420853348099</v>
      </c>
      <c r="H97" s="333">
        <f t="shared" si="26"/>
        <v>2.8722239659259268</v>
      </c>
      <c r="I97" s="333">
        <f t="shared" si="26"/>
        <v>2.2830866666666672</v>
      </c>
      <c r="J97" s="333">
        <f t="shared" si="26"/>
        <v>1.8391057142857143</v>
      </c>
      <c r="K97" s="333">
        <f t="shared" si="26"/>
        <v>0</v>
      </c>
      <c r="L97" s="333">
        <f t="shared" si="26"/>
        <v>0</v>
      </c>
      <c r="M97" s="333">
        <f t="shared" si="26"/>
        <v>0</v>
      </c>
      <c r="N97" s="333">
        <f t="shared" si="26"/>
        <v>0</v>
      </c>
      <c r="O97" s="333">
        <f t="shared" si="26"/>
        <v>0</v>
      </c>
      <c r="P97" s="333">
        <f t="shared" si="26"/>
        <v>0</v>
      </c>
      <c r="Q97" s="333">
        <f t="shared" si="26"/>
        <v>0</v>
      </c>
      <c r="R97" s="333">
        <f t="shared" si="26"/>
        <v>0</v>
      </c>
      <c r="S97" s="333">
        <f t="shared" si="26"/>
        <v>0</v>
      </c>
      <c r="T97" s="333">
        <f t="shared" si="24"/>
        <v>0</v>
      </c>
      <c r="U97" s="333">
        <f t="shared" si="24"/>
        <v>0</v>
      </c>
      <c r="V97" s="333">
        <f t="shared" si="24"/>
        <v>0</v>
      </c>
      <c r="W97" s="333">
        <f t="shared" si="24"/>
        <v>0</v>
      </c>
      <c r="X97" s="333">
        <f t="shared" si="24"/>
        <v>0</v>
      </c>
      <c r="Y97" s="333">
        <f t="shared" si="24"/>
        <v>0</v>
      </c>
      <c r="Z97" s="333">
        <f t="shared" si="24"/>
        <v>0</v>
      </c>
      <c r="AA97" s="333">
        <f t="shared" si="25"/>
        <v>0</v>
      </c>
      <c r="AB97" s="333">
        <f t="shared" si="25"/>
        <v>0</v>
      </c>
      <c r="AC97" s="333"/>
      <c r="AD97" s="333"/>
      <c r="AE97" s="334"/>
    </row>
    <row r="98" spans="1:31">
      <c r="A98" s="1711"/>
      <c r="B98" s="116">
        <v>8</v>
      </c>
      <c r="C98" s="332">
        <v>2.9275414384615388</v>
      </c>
      <c r="D98" s="333">
        <f t="shared" si="26"/>
        <v>2.8955238732193735</v>
      </c>
      <c r="E98" s="333">
        <f t="shared" si="26"/>
        <v>2.8974928678733041</v>
      </c>
      <c r="F98" s="333">
        <f t="shared" si="26"/>
        <v>2.8453618087437746</v>
      </c>
      <c r="G98" s="333">
        <f t="shared" si="26"/>
        <v>2.8225110550566193</v>
      </c>
      <c r="H98" s="333">
        <f t="shared" si="26"/>
        <v>2.8720420853348099</v>
      </c>
      <c r="I98" s="333">
        <f t="shared" si="26"/>
        <v>2.8722239659259268</v>
      </c>
      <c r="J98" s="333">
        <f t="shared" si="26"/>
        <v>2.2830866666666672</v>
      </c>
      <c r="K98" s="333">
        <f t="shared" si="26"/>
        <v>1.8391057142857143</v>
      </c>
      <c r="L98" s="333">
        <f t="shared" si="26"/>
        <v>0</v>
      </c>
      <c r="M98" s="333">
        <f t="shared" si="26"/>
        <v>0</v>
      </c>
      <c r="N98" s="333">
        <f t="shared" si="26"/>
        <v>0</v>
      </c>
      <c r="O98" s="333">
        <f t="shared" si="26"/>
        <v>0</v>
      </c>
      <c r="P98" s="333">
        <f t="shared" si="26"/>
        <v>0</v>
      </c>
      <c r="Q98" s="333">
        <f t="shared" si="26"/>
        <v>0</v>
      </c>
      <c r="R98" s="333">
        <f t="shared" si="26"/>
        <v>0</v>
      </c>
      <c r="S98" s="333">
        <f t="shared" si="26"/>
        <v>0</v>
      </c>
      <c r="T98" s="333">
        <f t="shared" si="24"/>
        <v>0</v>
      </c>
      <c r="U98" s="333">
        <f t="shared" si="24"/>
        <v>0</v>
      </c>
      <c r="V98" s="333">
        <f t="shared" si="24"/>
        <v>0</v>
      </c>
      <c r="W98" s="333">
        <f t="shared" si="24"/>
        <v>0</v>
      </c>
      <c r="X98" s="333">
        <f t="shared" si="24"/>
        <v>0</v>
      </c>
      <c r="Y98" s="333">
        <f t="shared" si="24"/>
        <v>0</v>
      </c>
      <c r="Z98" s="333">
        <f t="shared" si="24"/>
        <v>0</v>
      </c>
      <c r="AA98" s="333">
        <f t="shared" si="25"/>
        <v>0</v>
      </c>
      <c r="AB98" s="333">
        <f t="shared" si="25"/>
        <v>0</v>
      </c>
      <c r="AC98" s="333"/>
      <c r="AD98" s="333"/>
      <c r="AE98" s="334"/>
    </row>
    <row r="99" spans="1:31">
      <c r="A99" s="1711"/>
      <c r="B99" s="116">
        <v>9</v>
      </c>
      <c r="C99" s="332">
        <v>2.9430763881932021</v>
      </c>
      <c r="D99" s="333">
        <f t="shared" si="26"/>
        <v>2.9275414384615388</v>
      </c>
      <c r="E99" s="333">
        <f t="shared" si="26"/>
        <v>2.8955238732193735</v>
      </c>
      <c r="F99" s="333">
        <f t="shared" si="26"/>
        <v>2.8974928678733041</v>
      </c>
      <c r="G99" s="333">
        <f t="shared" si="26"/>
        <v>2.8453618087437746</v>
      </c>
      <c r="H99" s="333">
        <f t="shared" si="26"/>
        <v>2.8225110550566193</v>
      </c>
      <c r="I99" s="333">
        <f t="shared" si="26"/>
        <v>2.8720420853348099</v>
      </c>
      <c r="J99" s="333">
        <f t="shared" si="26"/>
        <v>2.8722239659259268</v>
      </c>
      <c r="K99" s="333">
        <f t="shared" si="26"/>
        <v>2.2830866666666672</v>
      </c>
      <c r="L99" s="333">
        <f t="shared" si="26"/>
        <v>1.8391057142857143</v>
      </c>
      <c r="M99" s="333">
        <f t="shared" si="26"/>
        <v>0</v>
      </c>
      <c r="N99" s="333">
        <f t="shared" si="26"/>
        <v>0</v>
      </c>
      <c r="O99" s="333">
        <f t="shared" si="26"/>
        <v>0</v>
      </c>
      <c r="P99" s="333">
        <f t="shared" si="26"/>
        <v>0</v>
      </c>
      <c r="Q99" s="333">
        <f t="shared" si="26"/>
        <v>0</v>
      </c>
      <c r="R99" s="333">
        <f t="shared" si="26"/>
        <v>0</v>
      </c>
      <c r="S99" s="333">
        <f t="shared" si="26"/>
        <v>0</v>
      </c>
      <c r="T99" s="333">
        <f t="shared" si="24"/>
        <v>0</v>
      </c>
      <c r="U99" s="333">
        <f t="shared" si="24"/>
        <v>0</v>
      </c>
      <c r="V99" s="333">
        <f t="shared" si="24"/>
        <v>0</v>
      </c>
      <c r="W99" s="333">
        <f t="shared" si="24"/>
        <v>0</v>
      </c>
      <c r="X99" s="333">
        <f t="shared" si="24"/>
        <v>0</v>
      </c>
      <c r="Y99" s="333">
        <f t="shared" si="24"/>
        <v>0</v>
      </c>
      <c r="Z99" s="333">
        <f t="shared" si="24"/>
        <v>0</v>
      </c>
      <c r="AA99" s="333">
        <f t="shared" si="25"/>
        <v>0</v>
      </c>
      <c r="AB99" s="333">
        <f t="shared" si="25"/>
        <v>0</v>
      </c>
      <c r="AC99" s="333"/>
      <c r="AD99" s="333"/>
      <c r="AE99" s="334"/>
    </row>
    <row r="100" spans="1:31">
      <c r="A100" s="1711"/>
      <c r="B100" s="116">
        <v>10</v>
      </c>
      <c r="C100" s="332">
        <v>2.954349688713156</v>
      </c>
      <c r="D100" s="333">
        <f t="shared" si="26"/>
        <v>2.9430763881932021</v>
      </c>
      <c r="E100" s="333">
        <f t="shared" si="26"/>
        <v>2.9275414384615388</v>
      </c>
      <c r="F100" s="333">
        <f t="shared" si="26"/>
        <v>2.8955238732193735</v>
      </c>
      <c r="G100" s="333">
        <f t="shared" si="26"/>
        <v>2.8974928678733041</v>
      </c>
      <c r="H100" s="333">
        <f t="shared" si="26"/>
        <v>2.8453618087437746</v>
      </c>
      <c r="I100" s="333">
        <f t="shared" si="26"/>
        <v>2.8225110550566193</v>
      </c>
      <c r="J100" s="333">
        <f t="shared" si="26"/>
        <v>2.8720420853348099</v>
      </c>
      <c r="K100" s="333">
        <f t="shared" si="26"/>
        <v>2.8722239659259268</v>
      </c>
      <c r="L100" s="333">
        <f t="shared" si="26"/>
        <v>2.2830866666666672</v>
      </c>
      <c r="M100" s="333">
        <f t="shared" si="26"/>
        <v>1.8391057142857143</v>
      </c>
      <c r="N100" s="333">
        <f t="shared" si="26"/>
        <v>0</v>
      </c>
      <c r="O100" s="333">
        <f t="shared" si="26"/>
        <v>0</v>
      </c>
      <c r="P100" s="333">
        <f t="shared" si="26"/>
        <v>0</v>
      </c>
      <c r="Q100" s="333">
        <f t="shared" si="26"/>
        <v>0</v>
      </c>
      <c r="R100" s="333">
        <f t="shared" si="26"/>
        <v>0</v>
      </c>
      <c r="S100" s="333">
        <f t="shared" si="26"/>
        <v>0</v>
      </c>
      <c r="T100" s="333">
        <f t="shared" si="24"/>
        <v>0</v>
      </c>
      <c r="U100" s="333">
        <f t="shared" si="24"/>
        <v>0</v>
      </c>
      <c r="V100" s="333">
        <f t="shared" si="24"/>
        <v>0</v>
      </c>
      <c r="W100" s="333">
        <f t="shared" si="24"/>
        <v>0</v>
      </c>
      <c r="X100" s="333">
        <f t="shared" si="24"/>
        <v>0</v>
      </c>
      <c r="Y100" s="333">
        <f t="shared" si="24"/>
        <v>0</v>
      </c>
      <c r="Z100" s="333">
        <f t="shared" si="24"/>
        <v>0</v>
      </c>
      <c r="AA100" s="333">
        <f t="shared" si="25"/>
        <v>0</v>
      </c>
      <c r="AB100" s="333">
        <f t="shared" si="25"/>
        <v>0</v>
      </c>
      <c r="AC100" s="333"/>
      <c r="AD100" s="333"/>
      <c r="AE100" s="334"/>
    </row>
    <row r="101" spans="1:31">
      <c r="A101" s="1711"/>
      <c r="B101" s="116">
        <v>11</v>
      </c>
      <c r="C101" s="332">
        <v>2.9321105413237931</v>
      </c>
      <c r="D101" s="333">
        <f t="shared" si="26"/>
        <v>2.954349688713156</v>
      </c>
      <c r="E101" s="333">
        <f t="shared" si="26"/>
        <v>2.9430763881932021</v>
      </c>
      <c r="F101" s="333">
        <f t="shared" si="26"/>
        <v>2.9275414384615388</v>
      </c>
      <c r="G101" s="333">
        <f t="shared" si="26"/>
        <v>2.8955238732193735</v>
      </c>
      <c r="H101" s="333">
        <f t="shared" si="26"/>
        <v>2.8974928678733041</v>
      </c>
      <c r="I101" s="333">
        <f t="shared" si="26"/>
        <v>2.8453618087437746</v>
      </c>
      <c r="J101" s="333">
        <f t="shared" si="26"/>
        <v>2.8225110550566193</v>
      </c>
      <c r="K101" s="333">
        <f t="shared" si="26"/>
        <v>2.8720420853348099</v>
      </c>
      <c r="L101" s="333">
        <f t="shared" si="26"/>
        <v>2.8722239659259268</v>
      </c>
      <c r="M101" s="333">
        <f t="shared" si="26"/>
        <v>2.2830866666666672</v>
      </c>
      <c r="N101" s="333">
        <f t="shared" si="26"/>
        <v>1.8391057142857143</v>
      </c>
      <c r="O101" s="333">
        <f t="shared" si="26"/>
        <v>0</v>
      </c>
      <c r="P101" s="333">
        <f t="shared" si="26"/>
        <v>0</v>
      </c>
      <c r="Q101" s="333">
        <f t="shared" si="26"/>
        <v>0</v>
      </c>
      <c r="R101" s="333">
        <f t="shared" si="26"/>
        <v>0</v>
      </c>
      <c r="S101" s="333">
        <f t="shared" si="26"/>
        <v>0</v>
      </c>
      <c r="T101" s="333">
        <f t="shared" si="24"/>
        <v>0</v>
      </c>
      <c r="U101" s="333">
        <f t="shared" si="24"/>
        <v>0</v>
      </c>
      <c r="V101" s="333">
        <f t="shared" si="24"/>
        <v>0</v>
      </c>
      <c r="W101" s="333">
        <f t="shared" si="24"/>
        <v>0</v>
      </c>
      <c r="X101" s="333">
        <f t="shared" si="24"/>
        <v>0</v>
      </c>
      <c r="Y101" s="333">
        <f t="shared" si="24"/>
        <v>0</v>
      </c>
      <c r="Z101" s="333">
        <f t="shared" si="24"/>
        <v>0</v>
      </c>
      <c r="AA101" s="333">
        <f t="shared" si="25"/>
        <v>0</v>
      </c>
      <c r="AB101" s="333">
        <f t="shared" si="25"/>
        <v>0</v>
      </c>
      <c r="AC101" s="333"/>
      <c r="AD101" s="333"/>
      <c r="AE101" s="334"/>
    </row>
    <row r="102" spans="1:31">
      <c r="A102" s="1711"/>
      <c r="B102" s="116">
        <v>12</v>
      </c>
      <c r="C102" s="332">
        <v>2.7514660800000006</v>
      </c>
      <c r="D102" s="333">
        <f t="shared" si="26"/>
        <v>2.9321105413237931</v>
      </c>
      <c r="E102" s="333">
        <f t="shared" si="26"/>
        <v>2.954349688713156</v>
      </c>
      <c r="F102" s="333">
        <f t="shared" si="26"/>
        <v>2.9430763881932021</v>
      </c>
      <c r="G102" s="333">
        <f t="shared" si="26"/>
        <v>2.9275414384615388</v>
      </c>
      <c r="H102" s="333">
        <f t="shared" si="26"/>
        <v>2.8955238732193735</v>
      </c>
      <c r="I102" s="333">
        <f t="shared" si="26"/>
        <v>2.8974928678733041</v>
      </c>
      <c r="J102" s="333">
        <f t="shared" si="26"/>
        <v>2.8453618087437746</v>
      </c>
      <c r="K102" s="333">
        <f t="shared" si="26"/>
        <v>2.8225110550566193</v>
      </c>
      <c r="L102" s="333">
        <f t="shared" si="26"/>
        <v>2.8720420853348099</v>
      </c>
      <c r="M102" s="333">
        <f t="shared" si="26"/>
        <v>2.8722239659259268</v>
      </c>
      <c r="N102" s="333">
        <f t="shared" si="26"/>
        <v>2.2830866666666672</v>
      </c>
      <c r="O102" s="333">
        <f t="shared" si="26"/>
        <v>1.8391057142857143</v>
      </c>
      <c r="P102" s="333">
        <f t="shared" si="26"/>
        <v>0</v>
      </c>
      <c r="Q102" s="333">
        <f t="shared" si="26"/>
        <v>0</v>
      </c>
      <c r="R102" s="333">
        <f t="shared" si="26"/>
        <v>0</v>
      </c>
      <c r="S102" s="333">
        <f t="shared" si="26"/>
        <v>0</v>
      </c>
      <c r="T102" s="333">
        <f t="shared" si="24"/>
        <v>0</v>
      </c>
      <c r="U102" s="333">
        <f t="shared" si="24"/>
        <v>0</v>
      </c>
      <c r="V102" s="333">
        <f t="shared" si="24"/>
        <v>0</v>
      </c>
      <c r="W102" s="333">
        <f t="shared" si="24"/>
        <v>0</v>
      </c>
      <c r="X102" s="333">
        <f t="shared" si="24"/>
        <v>0</v>
      </c>
      <c r="Y102" s="333">
        <f t="shared" si="24"/>
        <v>0</v>
      </c>
      <c r="Z102" s="333">
        <f t="shared" si="24"/>
        <v>0</v>
      </c>
      <c r="AA102" s="333">
        <f t="shared" si="25"/>
        <v>0</v>
      </c>
      <c r="AB102" s="333">
        <f t="shared" si="25"/>
        <v>0</v>
      </c>
      <c r="AC102" s="333"/>
      <c r="AD102" s="333"/>
      <c r="AE102" s="334"/>
    </row>
    <row r="103" spans="1:31">
      <c r="A103" s="1711"/>
      <c r="B103" s="116">
        <v>13</v>
      </c>
      <c r="C103" s="332">
        <v>2.8974162800000007</v>
      </c>
      <c r="D103" s="333">
        <f t="shared" si="26"/>
        <v>2.7514660800000006</v>
      </c>
      <c r="E103" s="333">
        <f t="shared" si="26"/>
        <v>2.9321105413237931</v>
      </c>
      <c r="F103" s="333">
        <f t="shared" si="26"/>
        <v>2.954349688713156</v>
      </c>
      <c r="G103" s="333">
        <f t="shared" si="26"/>
        <v>2.9430763881932021</v>
      </c>
      <c r="H103" s="333">
        <f t="shared" si="26"/>
        <v>2.9275414384615388</v>
      </c>
      <c r="I103" s="333">
        <f t="shared" si="26"/>
        <v>2.8955238732193735</v>
      </c>
      <c r="J103" s="333">
        <f t="shared" si="26"/>
        <v>2.8974928678733041</v>
      </c>
      <c r="K103" s="333">
        <f t="shared" si="26"/>
        <v>2.8453618087437746</v>
      </c>
      <c r="L103" s="333">
        <f t="shared" si="26"/>
        <v>2.8225110550566193</v>
      </c>
      <c r="M103" s="333">
        <f t="shared" si="26"/>
        <v>2.8720420853348099</v>
      </c>
      <c r="N103" s="333">
        <f t="shared" si="26"/>
        <v>2.8722239659259268</v>
      </c>
      <c r="O103" s="333">
        <f t="shared" si="26"/>
        <v>2.2830866666666672</v>
      </c>
      <c r="P103" s="333">
        <f t="shared" si="26"/>
        <v>1.8391057142857143</v>
      </c>
      <c r="Q103" s="333">
        <f t="shared" si="26"/>
        <v>0</v>
      </c>
      <c r="R103" s="333">
        <f t="shared" si="26"/>
        <v>0</v>
      </c>
      <c r="S103" s="333">
        <f t="shared" si="26"/>
        <v>0</v>
      </c>
      <c r="T103" s="333">
        <f t="shared" si="24"/>
        <v>0</v>
      </c>
      <c r="U103" s="333">
        <f t="shared" si="24"/>
        <v>0</v>
      </c>
      <c r="V103" s="333">
        <f t="shared" si="24"/>
        <v>0</v>
      </c>
      <c r="W103" s="333">
        <f t="shared" si="24"/>
        <v>0</v>
      </c>
      <c r="X103" s="333">
        <f t="shared" si="24"/>
        <v>0</v>
      </c>
      <c r="Y103" s="333">
        <f t="shared" si="24"/>
        <v>0</v>
      </c>
      <c r="Z103" s="333">
        <f t="shared" si="24"/>
        <v>0</v>
      </c>
      <c r="AA103" s="333">
        <f t="shared" si="25"/>
        <v>0</v>
      </c>
      <c r="AB103" s="333">
        <f t="shared" si="25"/>
        <v>0</v>
      </c>
      <c r="AC103" s="333"/>
      <c r="AD103" s="333"/>
      <c r="AE103" s="334"/>
    </row>
    <row r="104" spans="1:31">
      <c r="A104" s="1711"/>
      <c r="B104" s="116">
        <v>14</v>
      </c>
      <c r="C104" s="332">
        <v>2.7660611000000004</v>
      </c>
      <c r="D104" s="333">
        <f t="shared" si="26"/>
        <v>2.8974162800000007</v>
      </c>
      <c r="E104" s="333">
        <f t="shared" si="26"/>
        <v>2.7514660800000006</v>
      </c>
      <c r="F104" s="333">
        <f t="shared" si="26"/>
        <v>2.9321105413237931</v>
      </c>
      <c r="G104" s="333">
        <f t="shared" si="26"/>
        <v>2.954349688713156</v>
      </c>
      <c r="H104" s="333">
        <f t="shared" si="26"/>
        <v>2.9430763881932021</v>
      </c>
      <c r="I104" s="333">
        <f t="shared" si="26"/>
        <v>2.9275414384615388</v>
      </c>
      <c r="J104" s="333">
        <f t="shared" si="26"/>
        <v>2.8955238732193735</v>
      </c>
      <c r="K104" s="333">
        <f t="shared" si="26"/>
        <v>2.8974928678733041</v>
      </c>
      <c r="L104" s="333">
        <f t="shared" si="26"/>
        <v>2.8453618087437746</v>
      </c>
      <c r="M104" s="333">
        <f t="shared" si="26"/>
        <v>2.8225110550566193</v>
      </c>
      <c r="N104" s="333">
        <f t="shared" si="26"/>
        <v>2.8720420853348099</v>
      </c>
      <c r="O104" s="333">
        <f t="shared" si="26"/>
        <v>2.8722239659259268</v>
      </c>
      <c r="P104" s="333">
        <f t="shared" si="26"/>
        <v>2.2830866666666672</v>
      </c>
      <c r="Q104" s="333">
        <f t="shared" si="26"/>
        <v>1.8391057142857143</v>
      </c>
      <c r="R104" s="333">
        <f t="shared" si="26"/>
        <v>0</v>
      </c>
      <c r="S104" s="333">
        <f t="shared" si="26"/>
        <v>0</v>
      </c>
      <c r="T104" s="333">
        <f t="shared" si="24"/>
        <v>0</v>
      </c>
      <c r="U104" s="333">
        <f t="shared" si="24"/>
        <v>0</v>
      </c>
      <c r="V104" s="333">
        <f t="shared" si="24"/>
        <v>0</v>
      </c>
      <c r="W104" s="333">
        <f t="shared" si="24"/>
        <v>0</v>
      </c>
      <c r="X104" s="333">
        <f t="shared" si="24"/>
        <v>0</v>
      </c>
      <c r="Y104" s="333">
        <f t="shared" si="24"/>
        <v>0</v>
      </c>
      <c r="Z104" s="333">
        <f t="shared" si="24"/>
        <v>0</v>
      </c>
      <c r="AA104" s="333">
        <f t="shared" si="25"/>
        <v>0</v>
      </c>
      <c r="AB104" s="333">
        <f t="shared" si="25"/>
        <v>0</v>
      </c>
      <c r="AC104" s="333"/>
      <c r="AD104" s="333"/>
      <c r="AE104" s="334"/>
    </row>
    <row r="105" spans="1:31">
      <c r="A105" s="1711"/>
      <c r="B105" s="116">
        <v>15</v>
      </c>
      <c r="C105" s="332">
        <v>2.9849864000000008</v>
      </c>
      <c r="D105" s="333">
        <f t="shared" si="26"/>
        <v>2.7660611000000004</v>
      </c>
      <c r="E105" s="333">
        <f t="shared" si="26"/>
        <v>2.8974162800000007</v>
      </c>
      <c r="F105" s="333">
        <f t="shared" si="26"/>
        <v>2.7514660800000006</v>
      </c>
      <c r="G105" s="333">
        <f t="shared" si="26"/>
        <v>2.9321105413237931</v>
      </c>
      <c r="H105" s="333">
        <f t="shared" si="26"/>
        <v>2.954349688713156</v>
      </c>
      <c r="I105" s="333">
        <f t="shared" si="26"/>
        <v>2.9430763881932021</v>
      </c>
      <c r="J105" s="333">
        <f t="shared" si="26"/>
        <v>2.9275414384615388</v>
      </c>
      <c r="K105" s="333">
        <f t="shared" si="26"/>
        <v>2.8955238732193735</v>
      </c>
      <c r="L105" s="333">
        <f t="shared" si="26"/>
        <v>2.8974928678733041</v>
      </c>
      <c r="M105" s="333">
        <f t="shared" si="26"/>
        <v>2.8453618087437746</v>
      </c>
      <c r="N105" s="333">
        <f t="shared" si="26"/>
        <v>2.8225110550566193</v>
      </c>
      <c r="O105" s="333">
        <f t="shared" si="26"/>
        <v>2.8720420853348099</v>
      </c>
      <c r="P105" s="333">
        <f t="shared" si="26"/>
        <v>2.8722239659259268</v>
      </c>
      <c r="Q105" s="333">
        <f t="shared" si="26"/>
        <v>2.2830866666666672</v>
      </c>
      <c r="R105" s="333">
        <f t="shared" si="26"/>
        <v>1.8391057142857143</v>
      </c>
      <c r="S105" s="333">
        <f t="shared" si="26"/>
        <v>0</v>
      </c>
      <c r="T105" s="333">
        <f t="shared" si="24"/>
        <v>0</v>
      </c>
      <c r="U105" s="333">
        <f t="shared" si="24"/>
        <v>0</v>
      </c>
      <c r="V105" s="333">
        <f t="shared" si="24"/>
        <v>0</v>
      </c>
      <c r="W105" s="333">
        <f t="shared" si="24"/>
        <v>0</v>
      </c>
      <c r="X105" s="333">
        <f t="shared" si="24"/>
        <v>0</v>
      </c>
      <c r="Y105" s="333">
        <f t="shared" si="24"/>
        <v>0</v>
      </c>
      <c r="Z105" s="333">
        <f t="shared" si="24"/>
        <v>0</v>
      </c>
      <c r="AA105" s="333">
        <f t="shared" si="25"/>
        <v>0</v>
      </c>
      <c r="AB105" s="333">
        <f t="shared" si="25"/>
        <v>0</v>
      </c>
      <c r="AC105" s="333"/>
      <c r="AD105" s="333"/>
      <c r="AE105" s="334"/>
    </row>
    <row r="106" spans="1:31">
      <c r="A106" s="1711"/>
      <c r="B106" s="116">
        <v>16</v>
      </c>
      <c r="C106" s="332">
        <v>2.7863909615384612</v>
      </c>
      <c r="D106" s="333">
        <f t="shared" si="26"/>
        <v>2.9849864000000008</v>
      </c>
      <c r="E106" s="333">
        <f t="shared" si="26"/>
        <v>2.7660611000000004</v>
      </c>
      <c r="F106" s="333">
        <f t="shared" si="26"/>
        <v>2.8974162800000007</v>
      </c>
      <c r="G106" s="333">
        <f t="shared" si="26"/>
        <v>2.7514660800000006</v>
      </c>
      <c r="H106" s="333">
        <f t="shared" si="26"/>
        <v>2.9321105413237931</v>
      </c>
      <c r="I106" s="333">
        <f t="shared" si="26"/>
        <v>2.954349688713156</v>
      </c>
      <c r="J106" s="333">
        <f t="shared" si="26"/>
        <v>2.9430763881932021</v>
      </c>
      <c r="K106" s="333">
        <f t="shared" si="26"/>
        <v>2.9275414384615388</v>
      </c>
      <c r="L106" s="333">
        <f t="shared" si="26"/>
        <v>2.8955238732193735</v>
      </c>
      <c r="M106" s="333">
        <f t="shared" si="26"/>
        <v>2.8974928678733041</v>
      </c>
      <c r="N106" s="333">
        <f t="shared" si="26"/>
        <v>2.8453618087437746</v>
      </c>
      <c r="O106" s="333">
        <f t="shared" si="26"/>
        <v>2.8225110550566193</v>
      </c>
      <c r="P106" s="333">
        <f t="shared" si="26"/>
        <v>2.8720420853348099</v>
      </c>
      <c r="Q106" s="333">
        <f t="shared" si="26"/>
        <v>2.8722239659259268</v>
      </c>
      <c r="R106" s="333">
        <f t="shared" si="26"/>
        <v>2.2830866666666672</v>
      </c>
      <c r="S106" s="333">
        <f t="shared" si="26"/>
        <v>1.8391057142857143</v>
      </c>
      <c r="T106" s="333">
        <f t="shared" si="24"/>
        <v>0</v>
      </c>
      <c r="U106" s="333">
        <f t="shared" si="24"/>
        <v>0</v>
      </c>
      <c r="V106" s="333">
        <f t="shared" si="24"/>
        <v>0</v>
      </c>
      <c r="W106" s="333">
        <f t="shared" si="24"/>
        <v>0</v>
      </c>
      <c r="X106" s="333">
        <f t="shared" si="24"/>
        <v>0</v>
      </c>
      <c r="Y106" s="333">
        <f t="shared" si="24"/>
        <v>0</v>
      </c>
      <c r="Z106" s="333">
        <f t="shared" si="24"/>
        <v>0</v>
      </c>
      <c r="AA106" s="333">
        <f t="shared" si="25"/>
        <v>0</v>
      </c>
      <c r="AB106" s="333">
        <f t="shared" si="25"/>
        <v>0</v>
      </c>
      <c r="AC106" s="333"/>
      <c r="AD106" s="333"/>
      <c r="AE106" s="334"/>
    </row>
    <row r="107" spans="1:31">
      <c r="A107" s="1711"/>
      <c r="B107" s="116">
        <v>17</v>
      </c>
      <c r="C107" s="332">
        <v>2.9267276923076917</v>
      </c>
      <c r="D107" s="333">
        <f t="shared" si="26"/>
        <v>2.7863909615384612</v>
      </c>
      <c r="E107" s="333">
        <f t="shared" si="26"/>
        <v>2.9849864000000008</v>
      </c>
      <c r="F107" s="333">
        <f t="shared" si="26"/>
        <v>2.7660611000000004</v>
      </c>
      <c r="G107" s="333">
        <f t="shared" si="26"/>
        <v>2.8974162800000007</v>
      </c>
      <c r="H107" s="333">
        <f t="shared" si="26"/>
        <v>2.7514660800000006</v>
      </c>
      <c r="I107" s="333">
        <f t="shared" si="26"/>
        <v>2.9321105413237931</v>
      </c>
      <c r="J107" s="333">
        <f t="shared" si="26"/>
        <v>2.954349688713156</v>
      </c>
      <c r="K107" s="333">
        <f t="shared" si="26"/>
        <v>2.9430763881932021</v>
      </c>
      <c r="L107" s="333">
        <f t="shared" si="26"/>
        <v>2.9275414384615388</v>
      </c>
      <c r="M107" s="333">
        <f t="shared" si="26"/>
        <v>2.8955238732193735</v>
      </c>
      <c r="N107" s="333">
        <f t="shared" si="26"/>
        <v>2.8974928678733041</v>
      </c>
      <c r="O107" s="333">
        <f t="shared" si="26"/>
        <v>2.8453618087437746</v>
      </c>
      <c r="P107" s="333">
        <f t="shared" si="26"/>
        <v>2.8225110550566193</v>
      </c>
      <c r="Q107" s="333">
        <f t="shared" si="26"/>
        <v>2.8720420853348099</v>
      </c>
      <c r="R107" s="333">
        <f t="shared" si="26"/>
        <v>2.8722239659259268</v>
      </c>
      <c r="S107" s="333">
        <f t="shared" ref="S107:AB115" si="27">R106</f>
        <v>2.2830866666666672</v>
      </c>
      <c r="T107" s="333">
        <f t="shared" si="27"/>
        <v>1.8391057142857143</v>
      </c>
      <c r="U107" s="333">
        <f t="shared" si="27"/>
        <v>0</v>
      </c>
      <c r="V107" s="333">
        <f t="shared" si="27"/>
        <v>0</v>
      </c>
      <c r="W107" s="333">
        <f t="shared" si="27"/>
        <v>0</v>
      </c>
      <c r="X107" s="333">
        <f t="shared" si="27"/>
        <v>0</v>
      </c>
      <c r="Y107" s="333">
        <f t="shared" si="27"/>
        <v>0</v>
      </c>
      <c r="Z107" s="333">
        <f t="shared" si="27"/>
        <v>0</v>
      </c>
      <c r="AA107" s="333">
        <f t="shared" si="27"/>
        <v>0</v>
      </c>
      <c r="AB107" s="333">
        <f t="shared" si="27"/>
        <v>0</v>
      </c>
      <c r="AC107" s="333"/>
      <c r="AD107" s="333"/>
      <c r="AE107" s="334"/>
    </row>
    <row r="108" spans="1:31">
      <c r="A108" s="1711"/>
      <c r="B108" s="116">
        <v>18</v>
      </c>
      <c r="C108" s="332">
        <v>2.8866314835164828</v>
      </c>
      <c r="D108" s="333">
        <f t="shared" ref="D108:S115" si="28">C107</f>
        <v>2.9267276923076917</v>
      </c>
      <c r="E108" s="333">
        <f t="shared" si="28"/>
        <v>2.7863909615384612</v>
      </c>
      <c r="F108" s="333">
        <f t="shared" si="28"/>
        <v>2.9849864000000008</v>
      </c>
      <c r="G108" s="333">
        <f t="shared" si="28"/>
        <v>2.7660611000000004</v>
      </c>
      <c r="H108" s="333">
        <f t="shared" si="28"/>
        <v>2.8974162800000007</v>
      </c>
      <c r="I108" s="333">
        <f t="shared" si="28"/>
        <v>2.7514660800000006</v>
      </c>
      <c r="J108" s="333">
        <f t="shared" si="28"/>
        <v>2.9321105413237931</v>
      </c>
      <c r="K108" s="333">
        <f t="shared" si="28"/>
        <v>2.954349688713156</v>
      </c>
      <c r="L108" s="333">
        <f t="shared" si="28"/>
        <v>2.9430763881932021</v>
      </c>
      <c r="M108" s="333">
        <f t="shared" si="28"/>
        <v>2.9275414384615388</v>
      </c>
      <c r="N108" s="333">
        <f t="shared" si="28"/>
        <v>2.8955238732193735</v>
      </c>
      <c r="O108" s="333">
        <f t="shared" si="28"/>
        <v>2.8974928678733041</v>
      </c>
      <c r="P108" s="333">
        <f t="shared" si="28"/>
        <v>2.8453618087437746</v>
      </c>
      <c r="Q108" s="333">
        <f t="shared" si="28"/>
        <v>2.8225110550566193</v>
      </c>
      <c r="R108" s="333">
        <f t="shared" si="28"/>
        <v>2.8720420853348099</v>
      </c>
      <c r="S108" s="333">
        <f t="shared" si="28"/>
        <v>2.8722239659259268</v>
      </c>
      <c r="T108" s="333">
        <f t="shared" si="27"/>
        <v>2.2830866666666672</v>
      </c>
      <c r="U108" s="333">
        <f t="shared" si="27"/>
        <v>1.8391057142857143</v>
      </c>
      <c r="V108" s="333">
        <f t="shared" si="27"/>
        <v>0</v>
      </c>
      <c r="W108" s="333">
        <f t="shared" si="27"/>
        <v>0</v>
      </c>
      <c r="X108" s="333">
        <f t="shared" si="27"/>
        <v>0</v>
      </c>
      <c r="Y108" s="333">
        <f t="shared" si="27"/>
        <v>0</v>
      </c>
      <c r="Z108" s="333">
        <f t="shared" si="27"/>
        <v>0</v>
      </c>
      <c r="AA108" s="333">
        <f t="shared" si="27"/>
        <v>0</v>
      </c>
      <c r="AB108" s="333">
        <f t="shared" si="27"/>
        <v>0</v>
      </c>
      <c r="AC108" s="333"/>
      <c r="AD108" s="333"/>
      <c r="AE108" s="334"/>
    </row>
    <row r="109" spans="1:31">
      <c r="A109" s="1711"/>
      <c r="B109" s="116">
        <v>19</v>
      </c>
      <c r="C109" s="332">
        <f>C108</f>
        <v>2.8866314835164828</v>
      </c>
      <c r="D109" s="333">
        <f t="shared" si="28"/>
        <v>2.8866314835164828</v>
      </c>
      <c r="E109" s="333">
        <f t="shared" si="28"/>
        <v>2.9267276923076917</v>
      </c>
      <c r="F109" s="333">
        <f t="shared" si="28"/>
        <v>2.7863909615384612</v>
      </c>
      <c r="G109" s="333">
        <f t="shared" si="28"/>
        <v>2.9849864000000008</v>
      </c>
      <c r="H109" s="333">
        <f t="shared" si="28"/>
        <v>2.7660611000000004</v>
      </c>
      <c r="I109" s="333">
        <f t="shared" si="28"/>
        <v>2.8974162800000007</v>
      </c>
      <c r="J109" s="333">
        <f t="shared" si="28"/>
        <v>2.7514660800000006</v>
      </c>
      <c r="K109" s="333">
        <f t="shared" si="28"/>
        <v>2.9321105413237931</v>
      </c>
      <c r="L109" s="333">
        <f t="shared" si="28"/>
        <v>2.954349688713156</v>
      </c>
      <c r="M109" s="333">
        <f t="shared" si="28"/>
        <v>2.9430763881932021</v>
      </c>
      <c r="N109" s="333">
        <f t="shared" si="28"/>
        <v>2.9275414384615388</v>
      </c>
      <c r="O109" s="333">
        <f t="shared" si="28"/>
        <v>2.8955238732193735</v>
      </c>
      <c r="P109" s="333">
        <f t="shared" si="28"/>
        <v>2.8974928678733041</v>
      </c>
      <c r="Q109" s="333">
        <f t="shared" si="28"/>
        <v>2.8453618087437746</v>
      </c>
      <c r="R109" s="333">
        <f t="shared" si="28"/>
        <v>2.8225110550566193</v>
      </c>
      <c r="S109" s="333">
        <f t="shared" si="28"/>
        <v>2.8720420853348099</v>
      </c>
      <c r="T109" s="333">
        <f t="shared" si="27"/>
        <v>2.8722239659259268</v>
      </c>
      <c r="U109" s="333">
        <f t="shared" si="27"/>
        <v>2.2830866666666672</v>
      </c>
      <c r="V109" s="333">
        <f t="shared" si="27"/>
        <v>1.8391057142857143</v>
      </c>
      <c r="W109" s="333">
        <f t="shared" si="27"/>
        <v>0</v>
      </c>
      <c r="X109" s="333">
        <f t="shared" si="27"/>
        <v>0</v>
      </c>
      <c r="Y109" s="333">
        <f t="shared" si="27"/>
        <v>0</v>
      </c>
      <c r="Z109" s="333">
        <f t="shared" si="27"/>
        <v>0</v>
      </c>
      <c r="AA109" s="333">
        <f t="shared" si="27"/>
        <v>0</v>
      </c>
      <c r="AB109" s="333">
        <f t="shared" si="27"/>
        <v>0</v>
      </c>
      <c r="AC109" s="333"/>
      <c r="AD109" s="333"/>
      <c r="AE109" s="334"/>
    </row>
    <row r="110" spans="1:31">
      <c r="A110" s="1711"/>
      <c r="B110" s="116">
        <v>20</v>
      </c>
      <c r="C110" s="332">
        <f t="shared" ref="C110:C115" si="29">C109</f>
        <v>2.8866314835164828</v>
      </c>
      <c r="D110" s="333">
        <f t="shared" si="28"/>
        <v>2.8866314835164828</v>
      </c>
      <c r="E110" s="333">
        <f t="shared" si="28"/>
        <v>2.8866314835164828</v>
      </c>
      <c r="F110" s="333">
        <f t="shared" si="28"/>
        <v>2.9267276923076917</v>
      </c>
      <c r="G110" s="333">
        <f t="shared" si="28"/>
        <v>2.7863909615384612</v>
      </c>
      <c r="H110" s="333">
        <f t="shared" si="28"/>
        <v>2.9849864000000008</v>
      </c>
      <c r="I110" s="333">
        <f t="shared" si="28"/>
        <v>2.7660611000000004</v>
      </c>
      <c r="J110" s="333">
        <f t="shared" si="28"/>
        <v>2.8974162800000007</v>
      </c>
      <c r="K110" s="333">
        <f t="shared" si="28"/>
        <v>2.7514660800000006</v>
      </c>
      <c r="L110" s="333">
        <f t="shared" si="28"/>
        <v>2.9321105413237931</v>
      </c>
      <c r="M110" s="333">
        <f t="shared" si="28"/>
        <v>2.954349688713156</v>
      </c>
      <c r="N110" s="333">
        <f t="shared" si="28"/>
        <v>2.9430763881932021</v>
      </c>
      <c r="O110" s="333">
        <f t="shared" si="28"/>
        <v>2.9275414384615388</v>
      </c>
      <c r="P110" s="333">
        <f t="shared" si="28"/>
        <v>2.8955238732193735</v>
      </c>
      <c r="Q110" s="333">
        <f t="shared" si="28"/>
        <v>2.8974928678733041</v>
      </c>
      <c r="R110" s="333">
        <f t="shared" si="28"/>
        <v>2.8453618087437746</v>
      </c>
      <c r="S110" s="333">
        <f t="shared" si="28"/>
        <v>2.8225110550566193</v>
      </c>
      <c r="T110" s="333">
        <f t="shared" si="27"/>
        <v>2.8720420853348099</v>
      </c>
      <c r="U110" s="333">
        <f t="shared" si="27"/>
        <v>2.8722239659259268</v>
      </c>
      <c r="V110" s="333">
        <f t="shared" si="27"/>
        <v>2.2830866666666672</v>
      </c>
      <c r="W110" s="333">
        <f t="shared" si="27"/>
        <v>1.8391057142857143</v>
      </c>
      <c r="X110" s="333">
        <f t="shared" si="27"/>
        <v>0</v>
      </c>
      <c r="Y110" s="333">
        <f t="shared" si="27"/>
        <v>0</v>
      </c>
      <c r="Z110" s="333">
        <f t="shared" si="27"/>
        <v>0</v>
      </c>
      <c r="AA110" s="333">
        <f t="shared" si="27"/>
        <v>0</v>
      </c>
      <c r="AB110" s="333">
        <f t="shared" si="27"/>
        <v>0</v>
      </c>
      <c r="AC110" s="333"/>
      <c r="AD110" s="333"/>
      <c r="AE110" s="334"/>
    </row>
    <row r="111" spans="1:31">
      <c r="A111" s="1711"/>
      <c r="B111" s="116">
        <v>21</v>
      </c>
      <c r="C111" s="332">
        <f t="shared" si="29"/>
        <v>2.8866314835164828</v>
      </c>
      <c r="D111" s="333">
        <f t="shared" si="28"/>
        <v>2.8866314835164828</v>
      </c>
      <c r="E111" s="333">
        <f t="shared" si="28"/>
        <v>2.8866314835164828</v>
      </c>
      <c r="F111" s="333">
        <f t="shared" si="28"/>
        <v>2.8866314835164828</v>
      </c>
      <c r="G111" s="333">
        <f t="shared" si="28"/>
        <v>2.9267276923076917</v>
      </c>
      <c r="H111" s="333">
        <f t="shared" si="28"/>
        <v>2.7863909615384612</v>
      </c>
      <c r="I111" s="333">
        <f t="shared" si="28"/>
        <v>2.9849864000000008</v>
      </c>
      <c r="J111" s="333">
        <f t="shared" si="28"/>
        <v>2.7660611000000004</v>
      </c>
      <c r="K111" s="333">
        <f t="shared" si="28"/>
        <v>2.8974162800000007</v>
      </c>
      <c r="L111" s="333">
        <f t="shared" si="28"/>
        <v>2.7514660800000006</v>
      </c>
      <c r="M111" s="333">
        <f t="shared" si="28"/>
        <v>2.9321105413237931</v>
      </c>
      <c r="N111" s="333">
        <f t="shared" si="28"/>
        <v>2.954349688713156</v>
      </c>
      <c r="O111" s="333">
        <f t="shared" si="28"/>
        <v>2.9430763881932021</v>
      </c>
      <c r="P111" s="333">
        <f t="shared" si="28"/>
        <v>2.9275414384615388</v>
      </c>
      <c r="Q111" s="333">
        <f t="shared" si="28"/>
        <v>2.8955238732193735</v>
      </c>
      <c r="R111" s="333">
        <f t="shared" si="28"/>
        <v>2.8974928678733041</v>
      </c>
      <c r="S111" s="333">
        <f t="shared" si="28"/>
        <v>2.8453618087437746</v>
      </c>
      <c r="T111" s="333">
        <f t="shared" si="27"/>
        <v>2.8225110550566193</v>
      </c>
      <c r="U111" s="333">
        <f t="shared" si="27"/>
        <v>2.8720420853348099</v>
      </c>
      <c r="V111" s="333">
        <f t="shared" si="27"/>
        <v>2.8722239659259268</v>
      </c>
      <c r="W111" s="333">
        <f t="shared" si="27"/>
        <v>2.2830866666666672</v>
      </c>
      <c r="X111" s="333">
        <f t="shared" si="27"/>
        <v>1.8391057142857143</v>
      </c>
      <c r="Y111" s="333">
        <f t="shared" si="27"/>
        <v>0</v>
      </c>
      <c r="Z111" s="333">
        <f t="shared" si="27"/>
        <v>0</v>
      </c>
      <c r="AA111" s="333">
        <f t="shared" si="27"/>
        <v>0</v>
      </c>
      <c r="AB111" s="333">
        <f t="shared" si="27"/>
        <v>0</v>
      </c>
      <c r="AC111" s="333"/>
      <c r="AD111" s="333"/>
      <c r="AE111" s="334"/>
    </row>
    <row r="112" spans="1:31">
      <c r="A112" s="1711"/>
      <c r="B112" s="116">
        <v>22</v>
      </c>
      <c r="C112" s="332">
        <f t="shared" si="29"/>
        <v>2.8866314835164828</v>
      </c>
      <c r="D112" s="333">
        <f t="shared" si="28"/>
        <v>2.8866314835164828</v>
      </c>
      <c r="E112" s="333">
        <f t="shared" si="28"/>
        <v>2.8866314835164828</v>
      </c>
      <c r="F112" s="333">
        <f t="shared" si="28"/>
        <v>2.8866314835164828</v>
      </c>
      <c r="G112" s="333">
        <f t="shared" si="28"/>
        <v>2.8866314835164828</v>
      </c>
      <c r="H112" s="333">
        <f t="shared" si="28"/>
        <v>2.9267276923076917</v>
      </c>
      <c r="I112" s="333">
        <f t="shared" si="28"/>
        <v>2.7863909615384612</v>
      </c>
      <c r="J112" s="333">
        <f t="shared" si="28"/>
        <v>2.9849864000000008</v>
      </c>
      <c r="K112" s="333">
        <f t="shared" si="28"/>
        <v>2.7660611000000004</v>
      </c>
      <c r="L112" s="333">
        <f t="shared" si="28"/>
        <v>2.8974162800000007</v>
      </c>
      <c r="M112" s="333">
        <f t="shared" si="28"/>
        <v>2.7514660800000006</v>
      </c>
      <c r="N112" s="333">
        <f t="shared" si="28"/>
        <v>2.9321105413237931</v>
      </c>
      <c r="O112" s="333">
        <f t="shared" si="28"/>
        <v>2.954349688713156</v>
      </c>
      <c r="P112" s="333">
        <f t="shared" si="28"/>
        <v>2.9430763881932021</v>
      </c>
      <c r="Q112" s="333">
        <f t="shared" si="28"/>
        <v>2.9275414384615388</v>
      </c>
      <c r="R112" s="333">
        <f t="shared" si="28"/>
        <v>2.8955238732193735</v>
      </c>
      <c r="S112" s="333">
        <f t="shared" si="28"/>
        <v>2.8974928678733041</v>
      </c>
      <c r="T112" s="333">
        <f t="shared" si="27"/>
        <v>2.8453618087437746</v>
      </c>
      <c r="U112" s="333">
        <f t="shared" si="27"/>
        <v>2.8225110550566193</v>
      </c>
      <c r="V112" s="333">
        <f t="shared" si="27"/>
        <v>2.8720420853348099</v>
      </c>
      <c r="W112" s="333">
        <f t="shared" si="27"/>
        <v>2.8722239659259268</v>
      </c>
      <c r="X112" s="333">
        <f t="shared" si="27"/>
        <v>2.2830866666666672</v>
      </c>
      <c r="Y112" s="333">
        <f t="shared" si="27"/>
        <v>1.8391057142857143</v>
      </c>
      <c r="Z112" s="333">
        <f t="shared" si="27"/>
        <v>0</v>
      </c>
      <c r="AA112" s="333">
        <f t="shared" si="27"/>
        <v>0</v>
      </c>
      <c r="AB112" s="333">
        <f t="shared" si="27"/>
        <v>0</v>
      </c>
      <c r="AC112" s="333"/>
      <c r="AD112" s="333"/>
      <c r="AE112" s="334"/>
    </row>
    <row r="113" spans="1:31">
      <c r="A113" s="1711"/>
      <c r="B113" s="116">
        <v>23</v>
      </c>
      <c r="C113" s="332">
        <f t="shared" si="29"/>
        <v>2.8866314835164828</v>
      </c>
      <c r="D113" s="333">
        <f t="shared" si="28"/>
        <v>2.8866314835164828</v>
      </c>
      <c r="E113" s="333">
        <f t="shared" si="28"/>
        <v>2.8866314835164828</v>
      </c>
      <c r="F113" s="333">
        <f t="shared" si="28"/>
        <v>2.8866314835164828</v>
      </c>
      <c r="G113" s="333">
        <f t="shared" si="28"/>
        <v>2.8866314835164828</v>
      </c>
      <c r="H113" s="333">
        <f t="shared" si="28"/>
        <v>2.8866314835164828</v>
      </c>
      <c r="I113" s="333">
        <f t="shared" si="28"/>
        <v>2.9267276923076917</v>
      </c>
      <c r="J113" s="333">
        <f t="shared" si="28"/>
        <v>2.7863909615384612</v>
      </c>
      <c r="K113" s="333">
        <f t="shared" si="28"/>
        <v>2.9849864000000008</v>
      </c>
      <c r="L113" s="333">
        <f t="shared" si="28"/>
        <v>2.7660611000000004</v>
      </c>
      <c r="M113" s="333">
        <f t="shared" si="28"/>
        <v>2.8974162800000007</v>
      </c>
      <c r="N113" s="333">
        <f t="shared" si="28"/>
        <v>2.7514660800000006</v>
      </c>
      <c r="O113" s="333">
        <f t="shared" si="28"/>
        <v>2.9321105413237931</v>
      </c>
      <c r="P113" s="333">
        <f t="shared" si="28"/>
        <v>2.954349688713156</v>
      </c>
      <c r="Q113" s="333">
        <f t="shared" si="28"/>
        <v>2.9430763881932021</v>
      </c>
      <c r="R113" s="333">
        <f t="shared" si="28"/>
        <v>2.9275414384615388</v>
      </c>
      <c r="S113" s="333">
        <f t="shared" si="28"/>
        <v>2.8955238732193735</v>
      </c>
      <c r="T113" s="333">
        <f t="shared" si="27"/>
        <v>2.8974928678733041</v>
      </c>
      <c r="U113" s="333">
        <f t="shared" si="27"/>
        <v>2.8453618087437746</v>
      </c>
      <c r="V113" s="333">
        <f t="shared" si="27"/>
        <v>2.8225110550566193</v>
      </c>
      <c r="W113" s="333">
        <f t="shared" si="27"/>
        <v>2.8720420853348099</v>
      </c>
      <c r="X113" s="333">
        <f t="shared" si="27"/>
        <v>2.8722239659259268</v>
      </c>
      <c r="Y113" s="333">
        <f t="shared" si="27"/>
        <v>2.2830866666666672</v>
      </c>
      <c r="Z113" s="333">
        <f t="shared" si="27"/>
        <v>1.8391057142857143</v>
      </c>
      <c r="AA113" s="333">
        <f t="shared" si="27"/>
        <v>0</v>
      </c>
      <c r="AB113" s="333">
        <f t="shared" si="27"/>
        <v>0</v>
      </c>
      <c r="AC113" s="333"/>
      <c r="AD113" s="333"/>
      <c r="AE113" s="334"/>
    </row>
    <row r="114" spans="1:31">
      <c r="A114" s="1711"/>
      <c r="B114" s="116">
        <v>24</v>
      </c>
      <c r="C114" s="332">
        <f t="shared" si="29"/>
        <v>2.8866314835164828</v>
      </c>
      <c r="D114" s="333">
        <f t="shared" si="28"/>
        <v>2.8866314835164828</v>
      </c>
      <c r="E114" s="333">
        <f t="shared" si="28"/>
        <v>2.8866314835164828</v>
      </c>
      <c r="F114" s="333">
        <f t="shared" si="28"/>
        <v>2.8866314835164828</v>
      </c>
      <c r="G114" s="333">
        <f t="shared" si="28"/>
        <v>2.8866314835164828</v>
      </c>
      <c r="H114" s="333">
        <f t="shared" si="28"/>
        <v>2.8866314835164828</v>
      </c>
      <c r="I114" s="333">
        <f t="shared" si="28"/>
        <v>2.8866314835164828</v>
      </c>
      <c r="J114" s="333">
        <f t="shared" si="28"/>
        <v>2.9267276923076917</v>
      </c>
      <c r="K114" s="333">
        <f t="shared" si="28"/>
        <v>2.7863909615384612</v>
      </c>
      <c r="L114" s="333">
        <f t="shared" si="28"/>
        <v>2.9849864000000008</v>
      </c>
      <c r="M114" s="333">
        <f t="shared" si="28"/>
        <v>2.7660611000000004</v>
      </c>
      <c r="N114" s="333">
        <f t="shared" si="28"/>
        <v>2.8974162800000007</v>
      </c>
      <c r="O114" s="333">
        <f t="shared" si="28"/>
        <v>2.7514660800000006</v>
      </c>
      <c r="P114" s="333">
        <f t="shared" si="28"/>
        <v>2.9321105413237931</v>
      </c>
      <c r="Q114" s="333">
        <f t="shared" si="28"/>
        <v>2.954349688713156</v>
      </c>
      <c r="R114" s="333">
        <f t="shared" si="28"/>
        <v>2.9430763881932021</v>
      </c>
      <c r="S114" s="333">
        <f t="shared" si="28"/>
        <v>2.9275414384615388</v>
      </c>
      <c r="T114" s="333">
        <f t="shared" si="27"/>
        <v>2.8955238732193735</v>
      </c>
      <c r="U114" s="333">
        <f t="shared" si="27"/>
        <v>2.8974928678733041</v>
      </c>
      <c r="V114" s="333">
        <f t="shared" si="27"/>
        <v>2.8453618087437746</v>
      </c>
      <c r="W114" s="333">
        <f t="shared" si="27"/>
        <v>2.8225110550566193</v>
      </c>
      <c r="X114" s="333">
        <f t="shared" si="27"/>
        <v>2.8720420853348099</v>
      </c>
      <c r="Y114" s="333">
        <f t="shared" si="27"/>
        <v>2.8722239659259268</v>
      </c>
      <c r="Z114" s="333">
        <f t="shared" si="27"/>
        <v>2.2830866666666672</v>
      </c>
      <c r="AA114" s="333">
        <f t="shared" si="27"/>
        <v>1.8391057142857143</v>
      </c>
      <c r="AB114" s="333">
        <f t="shared" si="27"/>
        <v>0</v>
      </c>
      <c r="AC114" s="333"/>
      <c r="AD114" s="333"/>
      <c r="AE114" s="334"/>
    </row>
    <row r="115" spans="1:31" ht="15.75" thickBot="1">
      <c r="A115" s="1711"/>
      <c r="B115" s="116">
        <v>25</v>
      </c>
      <c r="C115" s="332">
        <f t="shared" si="29"/>
        <v>2.8866314835164828</v>
      </c>
      <c r="D115" s="333">
        <f t="shared" si="28"/>
        <v>2.8866314835164828</v>
      </c>
      <c r="E115" s="333">
        <f t="shared" si="28"/>
        <v>2.8866314835164828</v>
      </c>
      <c r="F115" s="333">
        <f t="shared" si="28"/>
        <v>2.8866314835164828</v>
      </c>
      <c r="G115" s="333">
        <f t="shared" si="28"/>
        <v>2.8866314835164828</v>
      </c>
      <c r="H115" s="333">
        <f t="shared" si="28"/>
        <v>2.8866314835164828</v>
      </c>
      <c r="I115" s="333">
        <f t="shared" si="28"/>
        <v>2.8866314835164828</v>
      </c>
      <c r="J115" s="333">
        <f t="shared" si="28"/>
        <v>2.8866314835164828</v>
      </c>
      <c r="K115" s="333">
        <f t="shared" si="28"/>
        <v>2.9267276923076917</v>
      </c>
      <c r="L115" s="333">
        <f t="shared" si="28"/>
        <v>2.7863909615384612</v>
      </c>
      <c r="M115" s="333">
        <f t="shared" si="28"/>
        <v>2.9849864000000008</v>
      </c>
      <c r="N115" s="333">
        <f t="shared" si="28"/>
        <v>2.7660611000000004</v>
      </c>
      <c r="O115" s="333">
        <f t="shared" si="28"/>
        <v>2.8974162800000007</v>
      </c>
      <c r="P115" s="333">
        <f t="shared" si="28"/>
        <v>2.7514660800000006</v>
      </c>
      <c r="Q115" s="333">
        <f t="shared" si="28"/>
        <v>2.9321105413237931</v>
      </c>
      <c r="R115" s="333">
        <f t="shared" si="28"/>
        <v>2.954349688713156</v>
      </c>
      <c r="S115" s="333">
        <f t="shared" si="28"/>
        <v>2.9430763881932021</v>
      </c>
      <c r="T115" s="333">
        <f t="shared" si="27"/>
        <v>2.9275414384615388</v>
      </c>
      <c r="U115" s="333">
        <f t="shared" si="27"/>
        <v>2.8955238732193735</v>
      </c>
      <c r="V115" s="333">
        <f t="shared" si="27"/>
        <v>2.8974928678733041</v>
      </c>
      <c r="W115" s="333">
        <f t="shared" si="27"/>
        <v>2.8453618087437746</v>
      </c>
      <c r="X115" s="333">
        <f t="shared" si="27"/>
        <v>2.8225110550566193</v>
      </c>
      <c r="Y115" s="333">
        <f t="shared" si="27"/>
        <v>2.8720420853348099</v>
      </c>
      <c r="Z115" s="333">
        <f t="shared" si="27"/>
        <v>2.8722239659259268</v>
      </c>
      <c r="AA115" s="333">
        <f t="shared" si="27"/>
        <v>2.2830866666666672</v>
      </c>
      <c r="AB115" s="333">
        <f t="shared" si="27"/>
        <v>1.8391057142857143</v>
      </c>
      <c r="AC115" s="333"/>
      <c r="AD115" s="333"/>
      <c r="AE115" s="334"/>
    </row>
    <row r="116" spans="1:31" ht="16.5" thickTop="1" thickBot="1">
      <c r="A116" s="1712"/>
      <c r="B116" s="300" t="s">
        <v>39</v>
      </c>
      <c r="C116" s="380">
        <f>SUMPRODUCT(C90:C115,'FREH Stock'!C230:C255)/'FREH Stock'!C256</f>
        <v>2.7559484151280067</v>
      </c>
      <c r="D116" s="381">
        <f>SUMPRODUCT(D90:D115,'FREH Stock'!D230:D255)/'FREH Stock'!D256</f>
        <v>2.7621895554834079</v>
      </c>
      <c r="E116" s="381">
        <f>SUMPRODUCT(E90:E115,'FREH Stock'!E230:E255)/'FREH Stock'!E256</f>
        <v>2.7625321361241846</v>
      </c>
      <c r="F116" s="381">
        <f>SUMPRODUCT(F90:F115,'FREH Stock'!F230:F255)/'FREH Stock'!F256</f>
        <v>2.7501932599606156</v>
      </c>
      <c r="G116" s="381">
        <f>SUMPRODUCT(G90:G115,'FREH Stock'!G230:G255)/'FREH Stock'!G256</f>
        <v>2.7344873815781963</v>
      </c>
      <c r="H116" s="381">
        <f>SUMPRODUCT(H90:H115,'FREH Stock'!H230:H255)/'FREH Stock'!H256</f>
        <v>2.7121985979483214</v>
      </c>
      <c r="I116" s="381">
        <f>SUMPRODUCT(I90:I115,'FREH Stock'!I230:I255)/'FREH Stock'!I256</f>
        <v>2.6785244959843748</v>
      </c>
      <c r="J116" s="381">
        <f>SUMPRODUCT(J90:J115,'FREH Stock'!J230:J255)/'FREH Stock'!J256</f>
        <v>2.6297824434152015</v>
      </c>
      <c r="K116" s="381">
        <f>SUMPRODUCT(K90:K115,'FREH Stock'!K230:K255)/'FREH Stock'!K256</f>
        <v>2.5707906224755912</v>
      </c>
      <c r="L116" s="381">
        <f>SUMPRODUCT(L90:L115,'FREH Stock'!L230:L255)/'FREH Stock'!L256</f>
        <v>2.4994557583496921</v>
      </c>
      <c r="M116" s="381">
        <f>SUMPRODUCT(M90:M115,'FREH Stock'!M230:M255)/'FREH Stock'!M256</f>
        <v>2.4131492448333578</v>
      </c>
      <c r="N116" s="381">
        <f>SUMPRODUCT(N90:N115,'FREH Stock'!N230:N255)/'FREH Stock'!N256</f>
        <v>2.3169641656325095</v>
      </c>
      <c r="O116" s="381">
        <f>SUMPRODUCT(O90:O115,'FREH Stock'!O230:O255)/'FREH Stock'!O256</f>
        <v>2.229676112969782</v>
      </c>
      <c r="P116" s="381">
        <f>SUMPRODUCT(P90:P115,'FREH Stock'!P230:P255)/'FREH Stock'!P256</f>
        <v>2.1597216217558461</v>
      </c>
      <c r="Q116" s="381">
        <f>SUMPRODUCT(Q90:Q115,'FREH Stock'!Q230:Q255)/'FREH Stock'!Q256</f>
        <v>2.0918307775364258</v>
      </c>
      <c r="R116" s="381">
        <f>SUMPRODUCT(R90:R115,'FREH Stock'!R230:R255)/'FREH Stock'!R256</f>
        <v>2.0552051007937169</v>
      </c>
      <c r="S116" s="381">
        <f>SUMPRODUCT(S90:S115,'FREH Stock'!S230:S255)/'FREH Stock'!S256</f>
        <v>2.0208641321682812</v>
      </c>
      <c r="T116" s="381">
        <f>SUMPRODUCT(T90:T115,'FREH Stock'!T230:T255)/'FREH Stock'!T256</f>
        <v>1.9889667636531083</v>
      </c>
      <c r="U116" s="381">
        <f>SUMPRODUCT(U90:U115,'FREH Stock'!U230:U255)/'FREH Stock'!U256</f>
        <v>1.9596280464112084</v>
      </c>
      <c r="V116" s="381">
        <f>SUMPRODUCT(V90:V115,'FREH Stock'!V230:V255)/'FREH Stock'!V256</f>
        <v>1.9329225527889553</v>
      </c>
      <c r="W116" s="381">
        <f>SUMPRODUCT(W90:W115,'FREH Stock'!W230:W255)/'FREH Stock'!W256</f>
        <v>1.9088872949404141</v>
      </c>
      <c r="X116" s="381">
        <f>SUMPRODUCT(X90:X115,'FREH Stock'!X230:X255)/'FREH Stock'!X256</f>
        <v>1.8875249715498843</v>
      </c>
      <c r="Y116" s="381">
        <f>SUMPRODUCT(Y90:Y115,'FREH Stock'!Y230:Y255)/'FREH Stock'!Y256</f>
        <v>1.8688086534825532</v>
      </c>
      <c r="Z116" s="381">
        <f>SUMPRODUCT(Z90:Z115,'FREH Stock'!Z230:Z255)/'FREH Stock'!Z256</f>
        <v>1.8526890960871236</v>
      </c>
      <c r="AA116" s="381">
        <f>SUMPRODUCT(AA90:AA115,'FREH Stock'!AA230:AA255)/'FREH Stock'!AA256</f>
        <v>1.8391057142857143</v>
      </c>
      <c r="AB116" s="381" t="e">
        <f>SUMPRODUCT(AB90:AB115,'FREH Stock'!AB230:AB255)/'FREH Stock'!AB256</f>
        <v>#DIV/0!</v>
      </c>
      <c r="AC116" s="381" t="e">
        <f>SUMPRODUCT(AC90:AC115,'FREH Stock'!AC230:AC255)/'FREH Stock'!AC256</f>
        <v>#DIV/0!</v>
      </c>
      <c r="AD116" s="381" t="e">
        <f>SUMPRODUCT(AD90:AD115,'FREH Stock'!AD230:AD255)/'FREH Stock'!AD256</f>
        <v>#DIV/0!</v>
      </c>
      <c r="AE116" s="382" t="e">
        <f>SUMPRODUCT(AE90:AE115,'FREH Stock'!AE230:AE255)/'FREH Stock'!AE256</f>
        <v>#DIV/0!</v>
      </c>
    </row>
    <row r="117" spans="1:31" ht="15.75" thickBot="1"/>
    <row r="118" spans="1:31" ht="15.75" customHeight="1" thickBot="1">
      <c r="A118" s="1710" t="s">
        <v>204</v>
      </c>
      <c r="B118" s="169" t="s">
        <v>10</v>
      </c>
      <c r="C118" s="288">
        <v>2012</v>
      </c>
      <c r="D118" s="347">
        <v>2013</v>
      </c>
      <c r="E118" s="347">
        <v>2014</v>
      </c>
      <c r="F118" s="288">
        <v>2015</v>
      </c>
      <c r="G118" s="347">
        <v>2016</v>
      </c>
      <c r="H118" s="347">
        <v>2017</v>
      </c>
      <c r="I118" s="288">
        <v>2018</v>
      </c>
      <c r="J118" s="347">
        <v>2019</v>
      </c>
      <c r="K118" s="347">
        <v>2020</v>
      </c>
      <c r="L118" s="288">
        <v>2021</v>
      </c>
      <c r="M118" s="347">
        <v>2022</v>
      </c>
      <c r="N118" s="347">
        <v>2023</v>
      </c>
      <c r="O118" s="288">
        <v>2024</v>
      </c>
      <c r="P118" s="347">
        <v>2025</v>
      </c>
      <c r="Q118" s="347">
        <v>2026</v>
      </c>
      <c r="R118" s="288">
        <v>2027</v>
      </c>
      <c r="S118" s="347">
        <v>2028</v>
      </c>
      <c r="T118" s="347">
        <v>2029</v>
      </c>
      <c r="U118" s="288">
        <v>2030</v>
      </c>
      <c r="V118" s="347">
        <v>2031</v>
      </c>
      <c r="W118" s="347">
        <v>2032</v>
      </c>
      <c r="X118" s="288">
        <v>2033</v>
      </c>
      <c r="Y118" s="347">
        <v>2034</v>
      </c>
      <c r="Z118" s="347">
        <v>2035</v>
      </c>
      <c r="AA118" s="288">
        <v>2036</v>
      </c>
      <c r="AB118" s="347">
        <v>2037</v>
      </c>
      <c r="AC118" s="347">
        <v>2038</v>
      </c>
      <c r="AD118" s="288">
        <v>2039</v>
      </c>
      <c r="AE118" s="348">
        <v>2040</v>
      </c>
    </row>
    <row r="119" spans="1:31">
      <c r="A119" s="1711"/>
      <c r="B119" s="116">
        <v>0</v>
      </c>
      <c r="C119" s="329">
        <v>1.9113873761206392</v>
      </c>
      <c r="D119" s="330"/>
      <c r="E119" s="330"/>
      <c r="F119" s="330"/>
      <c r="G119" s="330"/>
      <c r="H119" s="330"/>
      <c r="I119" s="330"/>
      <c r="J119" s="330"/>
      <c r="K119" s="330"/>
      <c r="L119" s="330"/>
      <c r="M119" s="330"/>
      <c r="N119" s="330"/>
      <c r="O119" s="330"/>
      <c r="P119" s="330"/>
      <c r="Q119" s="330"/>
      <c r="R119" s="330"/>
      <c r="S119" s="330"/>
      <c r="T119" s="330"/>
      <c r="U119" s="330"/>
      <c r="V119" s="330"/>
      <c r="W119" s="330"/>
      <c r="X119" s="330"/>
      <c r="Y119" s="330"/>
      <c r="Z119" s="330"/>
      <c r="AA119" s="330"/>
      <c r="AB119" s="330"/>
      <c r="AC119" s="330"/>
      <c r="AD119" s="330"/>
      <c r="AE119" s="331"/>
    </row>
    <row r="120" spans="1:31">
      <c r="A120" s="1711"/>
      <c r="B120" s="116">
        <v>1</v>
      </c>
      <c r="C120" s="332">
        <v>1.953829196392161</v>
      </c>
      <c r="D120" s="333">
        <f>C119</f>
        <v>1.9113873761206392</v>
      </c>
      <c r="E120" s="333">
        <f t="shared" ref="E120:T120" si="30">D119</f>
        <v>0</v>
      </c>
      <c r="F120" s="333">
        <f t="shared" si="30"/>
        <v>0</v>
      </c>
      <c r="G120" s="333">
        <f t="shared" si="30"/>
        <v>0</v>
      </c>
      <c r="H120" s="333">
        <f t="shared" si="30"/>
        <v>0</v>
      </c>
      <c r="I120" s="333">
        <f t="shared" si="30"/>
        <v>0</v>
      </c>
      <c r="J120" s="333">
        <f t="shared" si="30"/>
        <v>0</v>
      </c>
      <c r="K120" s="333">
        <f t="shared" si="30"/>
        <v>0</v>
      </c>
      <c r="L120" s="333">
        <f t="shared" si="30"/>
        <v>0</v>
      </c>
      <c r="M120" s="333">
        <f t="shared" si="30"/>
        <v>0</v>
      </c>
      <c r="N120" s="333">
        <f t="shared" si="30"/>
        <v>0</v>
      </c>
      <c r="O120" s="333">
        <f t="shared" si="30"/>
        <v>0</v>
      </c>
      <c r="P120" s="333">
        <f t="shared" si="30"/>
        <v>0</v>
      </c>
      <c r="Q120" s="333">
        <f t="shared" si="30"/>
        <v>0</v>
      </c>
      <c r="R120" s="333">
        <f t="shared" si="30"/>
        <v>0</v>
      </c>
      <c r="S120" s="333">
        <f t="shared" si="30"/>
        <v>0</v>
      </c>
      <c r="T120" s="333">
        <f t="shared" si="30"/>
        <v>0</v>
      </c>
      <c r="U120" s="333">
        <f t="shared" ref="T120:AB135" si="31">T119</f>
        <v>0</v>
      </c>
      <c r="V120" s="333">
        <f t="shared" si="31"/>
        <v>0</v>
      </c>
      <c r="W120" s="333">
        <f t="shared" si="31"/>
        <v>0</v>
      </c>
      <c r="X120" s="333">
        <f t="shared" si="31"/>
        <v>0</v>
      </c>
      <c r="Y120" s="333">
        <f t="shared" si="31"/>
        <v>0</v>
      </c>
      <c r="Z120" s="333">
        <f>Y119</f>
        <v>0</v>
      </c>
      <c r="AA120" s="333">
        <f t="shared" ref="AA120:AB135" si="32">Z119</f>
        <v>0</v>
      </c>
      <c r="AB120" s="333">
        <f t="shared" si="32"/>
        <v>0</v>
      </c>
      <c r="AC120" s="333"/>
      <c r="AD120" s="333"/>
      <c r="AE120" s="334"/>
    </row>
    <row r="121" spans="1:31">
      <c r="A121" s="1711"/>
      <c r="B121" s="116">
        <v>2</v>
      </c>
      <c r="C121" s="332">
        <v>3.3874422707969734</v>
      </c>
      <c r="D121" s="333">
        <f t="shared" ref="D121:S136" si="33">C120</f>
        <v>1.953829196392161</v>
      </c>
      <c r="E121" s="333">
        <f t="shared" si="33"/>
        <v>1.9113873761206392</v>
      </c>
      <c r="F121" s="333">
        <f t="shared" si="33"/>
        <v>0</v>
      </c>
      <c r="G121" s="333">
        <f t="shared" si="33"/>
        <v>0</v>
      </c>
      <c r="H121" s="333">
        <f t="shared" si="33"/>
        <v>0</v>
      </c>
      <c r="I121" s="333">
        <f t="shared" si="33"/>
        <v>0</v>
      </c>
      <c r="J121" s="333">
        <f t="shared" si="33"/>
        <v>0</v>
      </c>
      <c r="K121" s="333">
        <f t="shared" si="33"/>
        <v>0</v>
      </c>
      <c r="L121" s="333">
        <f t="shared" si="33"/>
        <v>0</v>
      </c>
      <c r="M121" s="333">
        <f t="shared" si="33"/>
        <v>0</v>
      </c>
      <c r="N121" s="333">
        <f t="shared" si="33"/>
        <v>0</v>
      </c>
      <c r="O121" s="333">
        <f t="shared" si="33"/>
        <v>0</v>
      </c>
      <c r="P121" s="333">
        <f t="shared" si="33"/>
        <v>0</v>
      </c>
      <c r="Q121" s="333">
        <f t="shared" si="33"/>
        <v>0</v>
      </c>
      <c r="R121" s="333">
        <f t="shared" si="33"/>
        <v>0</v>
      </c>
      <c r="S121" s="333">
        <f t="shared" si="33"/>
        <v>0</v>
      </c>
      <c r="T121" s="333">
        <f t="shared" si="31"/>
        <v>0</v>
      </c>
      <c r="U121" s="333">
        <f t="shared" si="31"/>
        <v>0</v>
      </c>
      <c r="V121" s="333">
        <f t="shared" si="31"/>
        <v>0</v>
      </c>
      <c r="W121" s="333">
        <f t="shared" si="31"/>
        <v>0</v>
      </c>
      <c r="X121" s="333">
        <f t="shared" si="31"/>
        <v>0</v>
      </c>
      <c r="Y121" s="333">
        <f t="shared" si="31"/>
        <v>0</v>
      </c>
      <c r="Z121" s="333">
        <f t="shared" si="31"/>
        <v>0</v>
      </c>
      <c r="AA121" s="333">
        <f t="shared" si="31"/>
        <v>0</v>
      </c>
      <c r="AB121" s="333">
        <f t="shared" si="31"/>
        <v>0</v>
      </c>
      <c r="AC121" s="333"/>
      <c r="AD121" s="333"/>
      <c r="AE121" s="334"/>
    </row>
    <row r="122" spans="1:31">
      <c r="A122" s="1711"/>
      <c r="B122" s="116">
        <v>3</v>
      </c>
      <c r="C122" s="332">
        <v>3.3712941400692698</v>
      </c>
      <c r="D122" s="333">
        <f t="shared" si="33"/>
        <v>3.3874422707969734</v>
      </c>
      <c r="E122" s="333">
        <f t="shared" si="33"/>
        <v>1.953829196392161</v>
      </c>
      <c r="F122" s="333">
        <f t="shared" si="33"/>
        <v>1.9113873761206392</v>
      </c>
      <c r="G122" s="333">
        <f t="shared" si="33"/>
        <v>0</v>
      </c>
      <c r="H122" s="333">
        <f t="shared" si="33"/>
        <v>0</v>
      </c>
      <c r="I122" s="333">
        <f t="shared" si="33"/>
        <v>0</v>
      </c>
      <c r="J122" s="333">
        <f t="shared" si="33"/>
        <v>0</v>
      </c>
      <c r="K122" s="333">
        <f t="shared" si="33"/>
        <v>0</v>
      </c>
      <c r="L122" s="333">
        <f t="shared" si="33"/>
        <v>0</v>
      </c>
      <c r="M122" s="333">
        <f t="shared" si="33"/>
        <v>0</v>
      </c>
      <c r="N122" s="333">
        <f t="shared" si="33"/>
        <v>0</v>
      </c>
      <c r="O122" s="333">
        <f t="shared" si="33"/>
        <v>0</v>
      </c>
      <c r="P122" s="333">
        <f t="shared" si="33"/>
        <v>0</v>
      </c>
      <c r="Q122" s="333">
        <f t="shared" si="33"/>
        <v>0</v>
      </c>
      <c r="R122" s="333">
        <f t="shared" si="33"/>
        <v>0</v>
      </c>
      <c r="S122" s="333">
        <f t="shared" si="33"/>
        <v>0</v>
      </c>
      <c r="T122" s="333">
        <f t="shared" si="31"/>
        <v>0</v>
      </c>
      <c r="U122" s="333">
        <f t="shared" si="31"/>
        <v>0</v>
      </c>
      <c r="V122" s="333">
        <f t="shared" si="31"/>
        <v>0</v>
      </c>
      <c r="W122" s="333">
        <f t="shared" si="31"/>
        <v>0</v>
      </c>
      <c r="X122" s="333">
        <f t="shared" si="31"/>
        <v>0</v>
      </c>
      <c r="Y122" s="333">
        <f t="shared" si="31"/>
        <v>0</v>
      </c>
      <c r="Z122" s="333">
        <f t="shared" si="31"/>
        <v>0</v>
      </c>
      <c r="AA122" s="333">
        <f t="shared" si="32"/>
        <v>0</v>
      </c>
      <c r="AB122" s="333">
        <f t="shared" si="32"/>
        <v>0</v>
      </c>
      <c r="AC122" s="333"/>
      <c r="AD122" s="333"/>
      <c r="AE122" s="334"/>
    </row>
    <row r="123" spans="1:31">
      <c r="A123" s="1711"/>
      <c r="B123" s="116">
        <v>4</v>
      </c>
      <c r="C123" s="332">
        <v>3.3837278803621618</v>
      </c>
      <c r="D123" s="333">
        <f t="shared" si="33"/>
        <v>3.3712941400692698</v>
      </c>
      <c r="E123" s="333">
        <f t="shared" si="33"/>
        <v>3.3874422707969734</v>
      </c>
      <c r="F123" s="333">
        <f t="shared" si="33"/>
        <v>1.953829196392161</v>
      </c>
      <c r="G123" s="333">
        <f t="shared" si="33"/>
        <v>1.9113873761206392</v>
      </c>
      <c r="H123" s="333">
        <f t="shared" si="33"/>
        <v>0</v>
      </c>
      <c r="I123" s="333">
        <f t="shared" si="33"/>
        <v>0</v>
      </c>
      <c r="J123" s="333">
        <f t="shared" si="33"/>
        <v>0</v>
      </c>
      <c r="K123" s="333">
        <f t="shared" si="33"/>
        <v>0</v>
      </c>
      <c r="L123" s="333">
        <f t="shared" si="33"/>
        <v>0</v>
      </c>
      <c r="M123" s="333">
        <f t="shared" si="33"/>
        <v>0</v>
      </c>
      <c r="N123" s="333">
        <f t="shared" si="33"/>
        <v>0</v>
      </c>
      <c r="O123" s="333">
        <f t="shared" si="33"/>
        <v>0</v>
      </c>
      <c r="P123" s="333">
        <f t="shared" si="33"/>
        <v>0</v>
      </c>
      <c r="Q123" s="333">
        <f t="shared" si="33"/>
        <v>0</v>
      </c>
      <c r="R123" s="333">
        <f t="shared" si="33"/>
        <v>0</v>
      </c>
      <c r="S123" s="333">
        <f t="shared" si="33"/>
        <v>0</v>
      </c>
      <c r="T123" s="333">
        <f t="shared" si="31"/>
        <v>0</v>
      </c>
      <c r="U123" s="333">
        <f t="shared" si="31"/>
        <v>0</v>
      </c>
      <c r="V123" s="333">
        <f t="shared" si="31"/>
        <v>0</v>
      </c>
      <c r="W123" s="333">
        <f t="shared" si="31"/>
        <v>0</v>
      </c>
      <c r="X123" s="333">
        <f t="shared" si="31"/>
        <v>0</v>
      </c>
      <c r="Y123" s="333">
        <f t="shared" si="31"/>
        <v>0</v>
      </c>
      <c r="Z123" s="333">
        <f t="shared" si="31"/>
        <v>0</v>
      </c>
      <c r="AA123" s="333">
        <f t="shared" si="32"/>
        <v>0</v>
      </c>
      <c r="AB123" s="333">
        <f t="shared" si="32"/>
        <v>0</v>
      </c>
      <c r="AC123" s="333"/>
      <c r="AD123" s="333"/>
      <c r="AE123" s="334"/>
    </row>
    <row r="124" spans="1:31">
      <c r="A124" s="1711"/>
      <c r="B124" s="116">
        <v>5</v>
      </c>
      <c r="C124" s="332">
        <v>3.3827115818564208</v>
      </c>
      <c r="D124" s="333">
        <f t="shared" si="33"/>
        <v>3.3837278803621618</v>
      </c>
      <c r="E124" s="333">
        <f t="shared" si="33"/>
        <v>3.3712941400692698</v>
      </c>
      <c r="F124" s="333">
        <f t="shared" si="33"/>
        <v>3.3874422707969734</v>
      </c>
      <c r="G124" s="333">
        <f t="shared" si="33"/>
        <v>1.953829196392161</v>
      </c>
      <c r="H124" s="333">
        <f t="shared" si="33"/>
        <v>1.9113873761206392</v>
      </c>
      <c r="I124" s="333">
        <f t="shared" si="33"/>
        <v>0</v>
      </c>
      <c r="J124" s="333">
        <f t="shared" si="33"/>
        <v>0</v>
      </c>
      <c r="K124" s="333">
        <f t="shared" si="33"/>
        <v>0</v>
      </c>
      <c r="L124" s="333">
        <f t="shared" si="33"/>
        <v>0</v>
      </c>
      <c r="M124" s="333">
        <f t="shared" si="33"/>
        <v>0</v>
      </c>
      <c r="N124" s="333">
        <f t="shared" si="33"/>
        <v>0</v>
      </c>
      <c r="O124" s="333">
        <f t="shared" si="33"/>
        <v>0</v>
      </c>
      <c r="P124" s="333">
        <f t="shared" si="33"/>
        <v>0</v>
      </c>
      <c r="Q124" s="333">
        <f t="shared" si="33"/>
        <v>0</v>
      </c>
      <c r="R124" s="333">
        <f t="shared" si="33"/>
        <v>0</v>
      </c>
      <c r="S124" s="333">
        <f t="shared" si="33"/>
        <v>0</v>
      </c>
      <c r="T124" s="333">
        <f t="shared" si="31"/>
        <v>0</v>
      </c>
      <c r="U124" s="333">
        <f t="shared" si="31"/>
        <v>0</v>
      </c>
      <c r="V124" s="333">
        <f t="shared" si="31"/>
        <v>0</v>
      </c>
      <c r="W124" s="333">
        <f t="shared" si="31"/>
        <v>0</v>
      </c>
      <c r="X124" s="333">
        <f t="shared" si="31"/>
        <v>0</v>
      </c>
      <c r="Y124" s="333">
        <f t="shared" si="31"/>
        <v>0</v>
      </c>
      <c r="Z124" s="333">
        <f t="shared" si="31"/>
        <v>0</v>
      </c>
      <c r="AA124" s="333">
        <f t="shared" si="32"/>
        <v>0</v>
      </c>
      <c r="AB124" s="333">
        <f t="shared" si="32"/>
        <v>0</v>
      </c>
      <c r="AC124" s="333"/>
      <c r="AD124" s="333"/>
      <c r="AE124" s="334"/>
    </row>
    <row r="125" spans="1:31">
      <c r="A125" s="1711"/>
      <c r="B125" s="116">
        <v>6</v>
      </c>
      <c r="C125" s="332">
        <v>3.4514162017083292</v>
      </c>
      <c r="D125" s="333">
        <f t="shared" si="33"/>
        <v>3.3827115818564208</v>
      </c>
      <c r="E125" s="333">
        <f t="shared" si="33"/>
        <v>3.3837278803621618</v>
      </c>
      <c r="F125" s="333">
        <f t="shared" si="33"/>
        <v>3.3712941400692698</v>
      </c>
      <c r="G125" s="333">
        <f t="shared" si="33"/>
        <v>3.3874422707969734</v>
      </c>
      <c r="H125" s="333">
        <f t="shared" si="33"/>
        <v>1.953829196392161</v>
      </c>
      <c r="I125" s="333">
        <f t="shared" si="33"/>
        <v>1.9113873761206392</v>
      </c>
      <c r="J125" s="333">
        <f t="shared" si="33"/>
        <v>0</v>
      </c>
      <c r="K125" s="333">
        <f t="shared" si="33"/>
        <v>0</v>
      </c>
      <c r="L125" s="333">
        <f t="shared" si="33"/>
        <v>0</v>
      </c>
      <c r="M125" s="333">
        <f t="shared" si="33"/>
        <v>0</v>
      </c>
      <c r="N125" s="333">
        <f t="shared" si="33"/>
        <v>0</v>
      </c>
      <c r="O125" s="333">
        <f t="shared" si="33"/>
        <v>0</v>
      </c>
      <c r="P125" s="333">
        <f t="shared" si="33"/>
        <v>0</v>
      </c>
      <c r="Q125" s="333">
        <f t="shared" si="33"/>
        <v>0</v>
      </c>
      <c r="R125" s="333">
        <f t="shared" si="33"/>
        <v>0</v>
      </c>
      <c r="S125" s="333">
        <f t="shared" si="33"/>
        <v>0</v>
      </c>
      <c r="T125" s="333">
        <f t="shared" si="31"/>
        <v>0</v>
      </c>
      <c r="U125" s="333">
        <f t="shared" si="31"/>
        <v>0</v>
      </c>
      <c r="V125" s="333">
        <f t="shared" si="31"/>
        <v>0</v>
      </c>
      <c r="W125" s="333">
        <f t="shared" si="31"/>
        <v>0</v>
      </c>
      <c r="X125" s="333">
        <f t="shared" si="31"/>
        <v>0</v>
      </c>
      <c r="Y125" s="333">
        <f t="shared" si="31"/>
        <v>0</v>
      </c>
      <c r="Z125" s="333">
        <f t="shared" si="31"/>
        <v>0</v>
      </c>
      <c r="AA125" s="333">
        <f t="shared" si="32"/>
        <v>0</v>
      </c>
      <c r="AB125" s="333">
        <f t="shared" si="32"/>
        <v>0</v>
      </c>
      <c r="AC125" s="333"/>
      <c r="AD125" s="333"/>
      <c r="AE125" s="334"/>
    </row>
    <row r="126" spans="1:31">
      <c r="A126" s="1711"/>
      <c r="B126" s="116">
        <v>7</v>
      </c>
      <c r="C126" s="332">
        <v>3.4410330577357513</v>
      </c>
      <c r="D126" s="333">
        <f t="shared" si="33"/>
        <v>3.4514162017083292</v>
      </c>
      <c r="E126" s="333">
        <f t="shared" si="33"/>
        <v>3.3827115818564208</v>
      </c>
      <c r="F126" s="333">
        <f t="shared" si="33"/>
        <v>3.3837278803621618</v>
      </c>
      <c r="G126" s="333">
        <f t="shared" si="33"/>
        <v>3.3712941400692698</v>
      </c>
      <c r="H126" s="333">
        <f t="shared" si="33"/>
        <v>3.3874422707969734</v>
      </c>
      <c r="I126" s="333">
        <f t="shared" si="33"/>
        <v>1.953829196392161</v>
      </c>
      <c r="J126" s="333">
        <f t="shared" si="33"/>
        <v>1.9113873761206392</v>
      </c>
      <c r="K126" s="333">
        <f t="shared" si="33"/>
        <v>0</v>
      </c>
      <c r="L126" s="333">
        <f t="shared" si="33"/>
        <v>0</v>
      </c>
      <c r="M126" s="333">
        <f t="shared" si="33"/>
        <v>0</v>
      </c>
      <c r="N126" s="333">
        <f t="shared" si="33"/>
        <v>0</v>
      </c>
      <c r="O126" s="333">
        <f t="shared" si="33"/>
        <v>0</v>
      </c>
      <c r="P126" s="333">
        <f t="shared" si="33"/>
        <v>0</v>
      </c>
      <c r="Q126" s="333">
        <f t="shared" si="33"/>
        <v>0</v>
      </c>
      <c r="R126" s="333">
        <f t="shared" si="33"/>
        <v>0</v>
      </c>
      <c r="S126" s="333">
        <f t="shared" si="33"/>
        <v>0</v>
      </c>
      <c r="T126" s="333">
        <f t="shared" si="31"/>
        <v>0</v>
      </c>
      <c r="U126" s="333">
        <f t="shared" si="31"/>
        <v>0</v>
      </c>
      <c r="V126" s="333">
        <f t="shared" si="31"/>
        <v>0</v>
      </c>
      <c r="W126" s="333">
        <f t="shared" si="31"/>
        <v>0</v>
      </c>
      <c r="X126" s="333">
        <f t="shared" si="31"/>
        <v>0</v>
      </c>
      <c r="Y126" s="333">
        <f t="shared" si="31"/>
        <v>0</v>
      </c>
      <c r="Z126" s="333">
        <f t="shared" si="31"/>
        <v>0</v>
      </c>
      <c r="AA126" s="333">
        <f t="shared" si="32"/>
        <v>0</v>
      </c>
      <c r="AB126" s="333">
        <f t="shared" si="32"/>
        <v>0</v>
      </c>
      <c r="AC126" s="333"/>
      <c r="AD126" s="333"/>
      <c r="AE126" s="334"/>
    </row>
    <row r="127" spans="1:31">
      <c r="A127" s="1711"/>
      <c r="B127" s="116">
        <v>8</v>
      </c>
      <c r="C127" s="332">
        <v>3.418532336374708</v>
      </c>
      <c r="D127" s="333">
        <f t="shared" si="33"/>
        <v>3.4410330577357513</v>
      </c>
      <c r="E127" s="333">
        <f t="shared" si="33"/>
        <v>3.4514162017083292</v>
      </c>
      <c r="F127" s="333">
        <f t="shared" si="33"/>
        <v>3.3827115818564208</v>
      </c>
      <c r="G127" s="333">
        <f t="shared" si="33"/>
        <v>3.3837278803621618</v>
      </c>
      <c r="H127" s="333">
        <f t="shared" si="33"/>
        <v>3.3712941400692698</v>
      </c>
      <c r="I127" s="333">
        <f t="shared" si="33"/>
        <v>3.3874422707969734</v>
      </c>
      <c r="J127" s="333">
        <f t="shared" si="33"/>
        <v>1.953829196392161</v>
      </c>
      <c r="K127" s="333">
        <f t="shared" si="33"/>
        <v>1.9113873761206392</v>
      </c>
      <c r="L127" s="333">
        <f t="shared" si="33"/>
        <v>0</v>
      </c>
      <c r="M127" s="333">
        <f t="shared" si="33"/>
        <v>0</v>
      </c>
      <c r="N127" s="333">
        <f t="shared" si="33"/>
        <v>0</v>
      </c>
      <c r="O127" s="333">
        <f t="shared" si="33"/>
        <v>0</v>
      </c>
      <c r="P127" s="333">
        <f t="shared" si="33"/>
        <v>0</v>
      </c>
      <c r="Q127" s="333">
        <f t="shared" si="33"/>
        <v>0</v>
      </c>
      <c r="R127" s="333">
        <f t="shared" si="33"/>
        <v>0</v>
      </c>
      <c r="S127" s="333">
        <f t="shared" si="33"/>
        <v>0</v>
      </c>
      <c r="T127" s="333">
        <f t="shared" si="31"/>
        <v>0</v>
      </c>
      <c r="U127" s="333">
        <f t="shared" si="31"/>
        <v>0</v>
      </c>
      <c r="V127" s="333">
        <f t="shared" si="31"/>
        <v>0</v>
      </c>
      <c r="W127" s="333">
        <f t="shared" si="31"/>
        <v>0</v>
      </c>
      <c r="X127" s="333">
        <f t="shared" si="31"/>
        <v>0</v>
      </c>
      <c r="Y127" s="333">
        <f t="shared" si="31"/>
        <v>0</v>
      </c>
      <c r="Z127" s="333">
        <f t="shared" si="31"/>
        <v>0</v>
      </c>
      <c r="AA127" s="333">
        <f t="shared" si="32"/>
        <v>0</v>
      </c>
      <c r="AB127" s="333">
        <f t="shared" si="32"/>
        <v>0</v>
      </c>
      <c r="AC127" s="333"/>
      <c r="AD127" s="333"/>
      <c r="AE127" s="334"/>
    </row>
    <row r="128" spans="1:31">
      <c r="A128" s="1711"/>
      <c r="B128" s="116">
        <v>9</v>
      </c>
      <c r="C128" s="332">
        <v>3.410817129755392</v>
      </c>
      <c r="D128" s="333">
        <f t="shared" si="33"/>
        <v>3.418532336374708</v>
      </c>
      <c r="E128" s="333">
        <f t="shared" si="33"/>
        <v>3.4410330577357513</v>
      </c>
      <c r="F128" s="333">
        <f t="shared" si="33"/>
        <v>3.4514162017083292</v>
      </c>
      <c r="G128" s="333">
        <f t="shared" si="33"/>
        <v>3.3827115818564208</v>
      </c>
      <c r="H128" s="333">
        <f t="shared" si="33"/>
        <v>3.3837278803621618</v>
      </c>
      <c r="I128" s="333">
        <f t="shared" si="33"/>
        <v>3.3712941400692698</v>
      </c>
      <c r="J128" s="333">
        <f t="shared" si="33"/>
        <v>3.3874422707969734</v>
      </c>
      <c r="K128" s="333">
        <f t="shared" si="33"/>
        <v>1.953829196392161</v>
      </c>
      <c r="L128" s="333">
        <f t="shared" si="33"/>
        <v>1.9113873761206392</v>
      </c>
      <c r="M128" s="333">
        <f t="shared" si="33"/>
        <v>0</v>
      </c>
      <c r="N128" s="333">
        <f t="shared" si="33"/>
        <v>0</v>
      </c>
      <c r="O128" s="333">
        <f t="shared" si="33"/>
        <v>0</v>
      </c>
      <c r="P128" s="333">
        <f t="shared" si="33"/>
        <v>0</v>
      </c>
      <c r="Q128" s="333">
        <f t="shared" si="33"/>
        <v>0</v>
      </c>
      <c r="R128" s="333">
        <f t="shared" si="33"/>
        <v>0</v>
      </c>
      <c r="S128" s="333">
        <f t="shared" si="33"/>
        <v>0</v>
      </c>
      <c r="T128" s="333">
        <f t="shared" si="31"/>
        <v>0</v>
      </c>
      <c r="U128" s="333">
        <f t="shared" si="31"/>
        <v>0</v>
      </c>
      <c r="V128" s="333">
        <f t="shared" si="31"/>
        <v>0</v>
      </c>
      <c r="W128" s="333">
        <f t="shared" si="31"/>
        <v>0</v>
      </c>
      <c r="X128" s="333">
        <f t="shared" si="31"/>
        <v>0</v>
      </c>
      <c r="Y128" s="333">
        <f t="shared" si="31"/>
        <v>0</v>
      </c>
      <c r="Z128" s="333">
        <f t="shared" si="31"/>
        <v>0</v>
      </c>
      <c r="AA128" s="333">
        <f t="shared" si="32"/>
        <v>0</v>
      </c>
      <c r="AB128" s="333">
        <f t="shared" si="32"/>
        <v>0</v>
      </c>
      <c r="AC128" s="333"/>
      <c r="AD128" s="333"/>
      <c r="AE128" s="334"/>
    </row>
    <row r="129" spans="1:31">
      <c r="A129" s="1711"/>
      <c r="B129" s="116">
        <v>10</v>
      </c>
      <c r="C129" s="332">
        <v>3.4124381560734931</v>
      </c>
      <c r="D129" s="333">
        <f t="shared" si="33"/>
        <v>3.410817129755392</v>
      </c>
      <c r="E129" s="333">
        <f t="shared" si="33"/>
        <v>3.418532336374708</v>
      </c>
      <c r="F129" s="333">
        <f t="shared" si="33"/>
        <v>3.4410330577357513</v>
      </c>
      <c r="G129" s="333">
        <f t="shared" si="33"/>
        <v>3.4514162017083292</v>
      </c>
      <c r="H129" s="333">
        <f t="shared" si="33"/>
        <v>3.3827115818564208</v>
      </c>
      <c r="I129" s="333">
        <f t="shared" si="33"/>
        <v>3.3837278803621618</v>
      </c>
      <c r="J129" s="333">
        <f t="shared" si="33"/>
        <v>3.3712941400692698</v>
      </c>
      <c r="K129" s="333">
        <f t="shared" si="33"/>
        <v>3.3874422707969734</v>
      </c>
      <c r="L129" s="333">
        <f t="shared" si="33"/>
        <v>1.953829196392161</v>
      </c>
      <c r="M129" s="333">
        <f t="shared" si="33"/>
        <v>1.9113873761206392</v>
      </c>
      <c r="N129" s="333">
        <f t="shared" si="33"/>
        <v>0</v>
      </c>
      <c r="O129" s="333">
        <f t="shared" si="33"/>
        <v>0</v>
      </c>
      <c r="P129" s="333">
        <f t="shared" si="33"/>
        <v>0</v>
      </c>
      <c r="Q129" s="333">
        <f t="shared" si="33"/>
        <v>0</v>
      </c>
      <c r="R129" s="333">
        <f t="shared" si="33"/>
        <v>0</v>
      </c>
      <c r="S129" s="333">
        <f t="shared" si="33"/>
        <v>0</v>
      </c>
      <c r="T129" s="333">
        <f t="shared" si="31"/>
        <v>0</v>
      </c>
      <c r="U129" s="333">
        <f t="shared" si="31"/>
        <v>0</v>
      </c>
      <c r="V129" s="333">
        <f t="shared" si="31"/>
        <v>0</v>
      </c>
      <c r="W129" s="333">
        <f t="shared" si="31"/>
        <v>0</v>
      </c>
      <c r="X129" s="333">
        <f t="shared" si="31"/>
        <v>0</v>
      </c>
      <c r="Y129" s="333">
        <f t="shared" si="31"/>
        <v>0</v>
      </c>
      <c r="Z129" s="333">
        <f t="shared" si="31"/>
        <v>0</v>
      </c>
      <c r="AA129" s="333">
        <f t="shared" si="32"/>
        <v>0</v>
      </c>
      <c r="AB129" s="333">
        <f t="shared" si="32"/>
        <v>0</v>
      </c>
      <c r="AC129" s="333"/>
      <c r="AD129" s="333"/>
      <c r="AE129" s="334"/>
    </row>
    <row r="130" spans="1:31">
      <c r="A130" s="1711"/>
      <c r="B130" s="116">
        <v>11</v>
      </c>
      <c r="C130" s="332">
        <v>3.4244248602280463</v>
      </c>
      <c r="D130" s="333">
        <f t="shared" si="33"/>
        <v>3.4124381560734931</v>
      </c>
      <c r="E130" s="333">
        <f t="shared" si="33"/>
        <v>3.410817129755392</v>
      </c>
      <c r="F130" s="333">
        <f t="shared" si="33"/>
        <v>3.418532336374708</v>
      </c>
      <c r="G130" s="333">
        <f t="shared" si="33"/>
        <v>3.4410330577357513</v>
      </c>
      <c r="H130" s="333">
        <f t="shared" si="33"/>
        <v>3.4514162017083292</v>
      </c>
      <c r="I130" s="333">
        <f t="shared" si="33"/>
        <v>3.3827115818564208</v>
      </c>
      <c r="J130" s="333">
        <f t="shared" si="33"/>
        <v>3.3837278803621618</v>
      </c>
      <c r="K130" s="333">
        <f t="shared" si="33"/>
        <v>3.3712941400692698</v>
      </c>
      <c r="L130" s="333">
        <f t="shared" si="33"/>
        <v>3.3874422707969734</v>
      </c>
      <c r="M130" s="333">
        <f t="shared" si="33"/>
        <v>1.953829196392161</v>
      </c>
      <c r="N130" s="333">
        <f t="shared" si="33"/>
        <v>1.9113873761206392</v>
      </c>
      <c r="O130" s="333">
        <f t="shared" si="33"/>
        <v>0</v>
      </c>
      <c r="P130" s="333">
        <f t="shared" si="33"/>
        <v>0</v>
      </c>
      <c r="Q130" s="333">
        <f t="shared" si="33"/>
        <v>0</v>
      </c>
      <c r="R130" s="333">
        <f t="shared" si="33"/>
        <v>0</v>
      </c>
      <c r="S130" s="333">
        <f t="shared" si="33"/>
        <v>0</v>
      </c>
      <c r="T130" s="333">
        <f t="shared" si="31"/>
        <v>0</v>
      </c>
      <c r="U130" s="333">
        <f t="shared" si="31"/>
        <v>0</v>
      </c>
      <c r="V130" s="333">
        <f t="shared" si="31"/>
        <v>0</v>
      </c>
      <c r="W130" s="333">
        <f t="shared" si="31"/>
        <v>0</v>
      </c>
      <c r="X130" s="333">
        <f t="shared" si="31"/>
        <v>0</v>
      </c>
      <c r="Y130" s="333">
        <f t="shared" si="31"/>
        <v>0</v>
      </c>
      <c r="Z130" s="333">
        <f t="shared" si="31"/>
        <v>0</v>
      </c>
      <c r="AA130" s="333">
        <f t="shared" si="32"/>
        <v>0</v>
      </c>
      <c r="AB130" s="333">
        <f t="shared" si="32"/>
        <v>0</v>
      </c>
      <c r="AC130" s="333"/>
      <c r="AD130" s="333"/>
      <c r="AE130" s="334"/>
    </row>
    <row r="131" spans="1:31">
      <c r="A131" s="1711"/>
      <c r="B131" s="116">
        <v>12</v>
      </c>
      <c r="C131" s="332">
        <v>3.3481783446377373</v>
      </c>
      <c r="D131" s="333">
        <f t="shared" si="33"/>
        <v>3.4244248602280463</v>
      </c>
      <c r="E131" s="333">
        <f t="shared" si="33"/>
        <v>3.4124381560734931</v>
      </c>
      <c r="F131" s="333">
        <f t="shared" si="33"/>
        <v>3.410817129755392</v>
      </c>
      <c r="G131" s="333">
        <f t="shared" si="33"/>
        <v>3.418532336374708</v>
      </c>
      <c r="H131" s="333">
        <f t="shared" si="33"/>
        <v>3.4410330577357513</v>
      </c>
      <c r="I131" s="333">
        <f t="shared" si="33"/>
        <v>3.4514162017083292</v>
      </c>
      <c r="J131" s="333">
        <f t="shared" si="33"/>
        <v>3.3827115818564208</v>
      </c>
      <c r="K131" s="333">
        <f t="shared" si="33"/>
        <v>3.3837278803621618</v>
      </c>
      <c r="L131" s="333">
        <f t="shared" si="33"/>
        <v>3.3712941400692698</v>
      </c>
      <c r="M131" s="333">
        <f t="shared" si="33"/>
        <v>3.3874422707969734</v>
      </c>
      <c r="N131" s="333">
        <f t="shared" si="33"/>
        <v>1.953829196392161</v>
      </c>
      <c r="O131" s="333">
        <f t="shared" si="33"/>
        <v>1.9113873761206392</v>
      </c>
      <c r="P131" s="333">
        <f t="shared" si="33"/>
        <v>0</v>
      </c>
      <c r="Q131" s="333">
        <f t="shared" si="33"/>
        <v>0</v>
      </c>
      <c r="R131" s="333">
        <f t="shared" si="33"/>
        <v>0</v>
      </c>
      <c r="S131" s="333">
        <f t="shared" si="33"/>
        <v>0</v>
      </c>
      <c r="T131" s="333">
        <f t="shared" si="31"/>
        <v>0</v>
      </c>
      <c r="U131" s="333">
        <f t="shared" si="31"/>
        <v>0</v>
      </c>
      <c r="V131" s="333">
        <f t="shared" si="31"/>
        <v>0</v>
      </c>
      <c r="W131" s="333">
        <f t="shared" si="31"/>
        <v>0</v>
      </c>
      <c r="X131" s="333">
        <f t="shared" si="31"/>
        <v>0</v>
      </c>
      <c r="Y131" s="333">
        <f t="shared" si="31"/>
        <v>0</v>
      </c>
      <c r="Z131" s="333">
        <f t="shared" si="31"/>
        <v>0</v>
      </c>
      <c r="AA131" s="333">
        <f t="shared" si="32"/>
        <v>0</v>
      </c>
      <c r="AB131" s="333">
        <f t="shared" si="32"/>
        <v>0</v>
      </c>
      <c r="AC131" s="333"/>
      <c r="AD131" s="333"/>
      <c r="AE131" s="334"/>
    </row>
    <row r="132" spans="1:31">
      <c r="A132" s="1711"/>
      <c r="B132" s="116">
        <v>13</v>
      </c>
      <c r="C132" s="332">
        <v>3.34290741147541</v>
      </c>
      <c r="D132" s="333">
        <f t="shared" si="33"/>
        <v>3.3481783446377373</v>
      </c>
      <c r="E132" s="333">
        <f t="shared" si="33"/>
        <v>3.4244248602280463</v>
      </c>
      <c r="F132" s="333">
        <f t="shared" si="33"/>
        <v>3.4124381560734931</v>
      </c>
      <c r="G132" s="333">
        <f t="shared" si="33"/>
        <v>3.410817129755392</v>
      </c>
      <c r="H132" s="333">
        <f t="shared" si="33"/>
        <v>3.418532336374708</v>
      </c>
      <c r="I132" s="333">
        <f t="shared" si="33"/>
        <v>3.4410330577357513</v>
      </c>
      <c r="J132" s="333">
        <f t="shared" si="33"/>
        <v>3.4514162017083292</v>
      </c>
      <c r="K132" s="333">
        <f t="shared" si="33"/>
        <v>3.3827115818564208</v>
      </c>
      <c r="L132" s="333">
        <f t="shared" si="33"/>
        <v>3.3837278803621618</v>
      </c>
      <c r="M132" s="333">
        <f t="shared" si="33"/>
        <v>3.3712941400692698</v>
      </c>
      <c r="N132" s="333">
        <f t="shared" si="33"/>
        <v>3.3874422707969734</v>
      </c>
      <c r="O132" s="333">
        <f t="shared" si="33"/>
        <v>1.953829196392161</v>
      </c>
      <c r="P132" s="333">
        <f t="shared" si="33"/>
        <v>1.9113873761206392</v>
      </c>
      <c r="Q132" s="333">
        <f t="shared" si="33"/>
        <v>0</v>
      </c>
      <c r="R132" s="333">
        <f t="shared" si="33"/>
        <v>0</v>
      </c>
      <c r="S132" s="333">
        <f t="shared" si="33"/>
        <v>0</v>
      </c>
      <c r="T132" s="333">
        <f t="shared" si="31"/>
        <v>0</v>
      </c>
      <c r="U132" s="333">
        <f t="shared" si="31"/>
        <v>0</v>
      </c>
      <c r="V132" s="333">
        <f t="shared" si="31"/>
        <v>0</v>
      </c>
      <c r="W132" s="333">
        <f t="shared" si="31"/>
        <v>0</v>
      </c>
      <c r="X132" s="333">
        <f t="shared" si="31"/>
        <v>0</v>
      </c>
      <c r="Y132" s="333">
        <f t="shared" si="31"/>
        <v>0</v>
      </c>
      <c r="Z132" s="333">
        <f t="shared" si="31"/>
        <v>0</v>
      </c>
      <c r="AA132" s="333">
        <f t="shared" si="32"/>
        <v>0</v>
      </c>
      <c r="AB132" s="333">
        <f t="shared" si="32"/>
        <v>0</v>
      </c>
      <c r="AC132" s="333"/>
      <c r="AD132" s="333"/>
      <c r="AE132" s="334"/>
    </row>
    <row r="133" spans="1:31">
      <c r="A133" s="1711"/>
      <c r="B133" s="116">
        <v>14</v>
      </c>
      <c r="C133" s="332">
        <v>3.3640896622950822</v>
      </c>
      <c r="D133" s="333">
        <f t="shared" si="33"/>
        <v>3.34290741147541</v>
      </c>
      <c r="E133" s="333">
        <f t="shared" si="33"/>
        <v>3.3481783446377373</v>
      </c>
      <c r="F133" s="333">
        <f t="shared" si="33"/>
        <v>3.4244248602280463</v>
      </c>
      <c r="G133" s="333">
        <f t="shared" si="33"/>
        <v>3.4124381560734931</v>
      </c>
      <c r="H133" s="333">
        <f t="shared" si="33"/>
        <v>3.410817129755392</v>
      </c>
      <c r="I133" s="333">
        <f t="shared" si="33"/>
        <v>3.418532336374708</v>
      </c>
      <c r="J133" s="333">
        <f t="shared" si="33"/>
        <v>3.4410330577357513</v>
      </c>
      <c r="K133" s="333">
        <f t="shared" si="33"/>
        <v>3.4514162017083292</v>
      </c>
      <c r="L133" s="333">
        <f t="shared" si="33"/>
        <v>3.3827115818564208</v>
      </c>
      <c r="M133" s="333">
        <f t="shared" si="33"/>
        <v>3.3837278803621618</v>
      </c>
      <c r="N133" s="333">
        <f t="shared" si="33"/>
        <v>3.3712941400692698</v>
      </c>
      <c r="O133" s="333">
        <f t="shared" si="33"/>
        <v>3.3874422707969734</v>
      </c>
      <c r="P133" s="333">
        <f t="shared" si="33"/>
        <v>1.953829196392161</v>
      </c>
      <c r="Q133" s="333">
        <f t="shared" si="33"/>
        <v>1.9113873761206392</v>
      </c>
      <c r="R133" s="333">
        <f t="shared" si="33"/>
        <v>0</v>
      </c>
      <c r="S133" s="333">
        <f t="shared" si="33"/>
        <v>0</v>
      </c>
      <c r="T133" s="333">
        <f t="shared" si="31"/>
        <v>0</v>
      </c>
      <c r="U133" s="333">
        <f t="shared" si="31"/>
        <v>0</v>
      </c>
      <c r="V133" s="333">
        <f t="shared" si="31"/>
        <v>0</v>
      </c>
      <c r="W133" s="333">
        <f t="shared" si="31"/>
        <v>0</v>
      </c>
      <c r="X133" s="333">
        <f t="shared" si="31"/>
        <v>0</v>
      </c>
      <c r="Y133" s="333">
        <f t="shared" si="31"/>
        <v>0</v>
      </c>
      <c r="Z133" s="333">
        <f t="shared" si="31"/>
        <v>0</v>
      </c>
      <c r="AA133" s="333">
        <f t="shared" si="32"/>
        <v>0</v>
      </c>
      <c r="AB133" s="333">
        <f t="shared" si="32"/>
        <v>0</v>
      </c>
      <c r="AC133" s="333"/>
      <c r="AD133" s="333"/>
      <c r="AE133" s="334"/>
    </row>
    <row r="134" spans="1:31">
      <c r="A134" s="1711"/>
      <c r="B134" s="116">
        <v>15</v>
      </c>
      <c r="C134" s="332">
        <v>3.3716901713508616</v>
      </c>
      <c r="D134" s="333">
        <f t="shared" si="33"/>
        <v>3.3640896622950822</v>
      </c>
      <c r="E134" s="333">
        <f t="shared" si="33"/>
        <v>3.34290741147541</v>
      </c>
      <c r="F134" s="333">
        <f t="shared" si="33"/>
        <v>3.3481783446377373</v>
      </c>
      <c r="G134" s="333">
        <f t="shared" si="33"/>
        <v>3.4244248602280463</v>
      </c>
      <c r="H134" s="333">
        <f t="shared" si="33"/>
        <v>3.4124381560734931</v>
      </c>
      <c r="I134" s="333">
        <f t="shared" si="33"/>
        <v>3.410817129755392</v>
      </c>
      <c r="J134" s="333">
        <f t="shared" si="33"/>
        <v>3.418532336374708</v>
      </c>
      <c r="K134" s="333">
        <f t="shared" si="33"/>
        <v>3.4410330577357513</v>
      </c>
      <c r="L134" s="333">
        <f t="shared" si="33"/>
        <v>3.4514162017083292</v>
      </c>
      <c r="M134" s="333">
        <f t="shared" si="33"/>
        <v>3.3827115818564208</v>
      </c>
      <c r="N134" s="333">
        <f t="shared" si="33"/>
        <v>3.3837278803621618</v>
      </c>
      <c r="O134" s="333">
        <f t="shared" si="33"/>
        <v>3.3712941400692698</v>
      </c>
      <c r="P134" s="333">
        <f t="shared" si="33"/>
        <v>3.3874422707969734</v>
      </c>
      <c r="Q134" s="333">
        <f t="shared" si="33"/>
        <v>1.953829196392161</v>
      </c>
      <c r="R134" s="333">
        <f t="shared" si="33"/>
        <v>1.9113873761206392</v>
      </c>
      <c r="S134" s="333">
        <f t="shared" si="33"/>
        <v>0</v>
      </c>
      <c r="T134" s="333">
        <f t="shared" si="31"/>
        <v>0</v>
      </c>
      <c r="U134" s="333">
        <f t="shared" si="31"/>
        <v>0</v>
      </c>
      <c r="V134" s="333">
        <f t="shared" si="31"/>
        <v>0</v>
      </c>
      <c r="W134" s="333">
        <f t="shared" si="31"/>
        <v>0</v>
      </c>
      <c r="X134" s="333">
        <f t="shared" si="31"/>
        <v>0</v>
      </c>
      <c r="Y134" s="333">
        <f t="shared" si="31"/>
        <v>0</v>
      </c>
      <c r="Z134" s="333">
        <f t="shared" si="31"/>
        <v>0</v>
      </c>
      <c r="AA134" s="333">
        <f t="shared" si="32"/>
        <v>0</v>
      </c>
      <c r="AB134" s="333">
        <f t="shared" si="32"/>
        <v>0</v>
      </c>
      <c r="AC134" s="333"/>
      <c r="AD134" s="333"/>
      <c r="AE134" s="334"/>
    </row>
    <row r="135" spans="1:31">
      <c r="A135" s="1711"/>
      <c r="B135" s="116">
        <v>16</v>
      </c>
      <c r="C135" s="332">
        <v>3.3295863214396042</v>
      </c>
      <c r="D135" s="333">
        <f t="shared" si="33"/>
        <v>3.3716901713508616</v>
      </c>
      <c r="E135" s="333">
        <f t="shared" si="33"/>
        <v>3.3640896622950822</v>
      </c>
      <c r="F135" s="333">
        <f t="shared" si="33"/>
        <v>3.34290741147541</v>
      </c>
      <c r="G135" s="333">
        <f t="shared" si="33"/>
        <v>3.3481783446377373</v>
      </c>
      <c r="H135" s="333">
        <f t="shared" si="33"/>
        <v>3.4244248602280463</v>
      </c>
      <c r="I135" s="333">
        <f t="shared" si="33"/>
        <v>3.4124381560734931</v>
      </c>
      <c r="J135" s="333">
        <f t="shared" si="33"/>
        <v>3.410817129755392</v>
      </c>
      <c r="K135" s="333">
        <f t="shared" si="33"/>
        <v>3.418532336374708</v>
      </c>
      <c r="L135" s="333">
        <f t="shared" si="33"/>
        <v>3.4410330577357513</v>
      </c>
      <c r="M135" s="333">
        <f t="shared" si="33"/>
        <v>3.4514162017083292</v>
      </c>
      <c r="N135" s="333">
        <f t="shared" si="33"/>
        <v>3.3827115818564208</v>
      </c>
      <c r="O135" s="333">
        <f t="shared" si="33"/>
        <v>3.3837278803621618</v>
      </c>
      <c r="P135" s="333">
        <f t="shared" si="33"/>
        <v>3.3712941400692698</v>
      </c>
      <c r="Q135" s="333">
        <f t="shared" si="33"/>
        <v>3.3874422707969734</v>
      </c>
      <c r="R135" s="333">
        <f t="shared" si="33"/>
        <v>1.953829196392161</v>
      </c>
      <c r="S135" s="333">
        <f t="shared" si="33"/>
        <v>1.9113873761206392</v>
      </c>
      <c r="T135" s="333">
        <f t="shared" si="31"/>
        <v>0</v>
      </c>
      <c r="U135" s="333">
        <f t="shared" si="31"/>
        <v>0</v>
      </c>
      <c r="V135" s="333">
        <f t="shared" si="31"/>
        <v>0</v>
      </c>
      <c r="W135" s="333">
        <f t="shared" si="31"/>
        <v>0</v>
      </c>
      <c r="X135" s="333">
        <f t="shared" si="31"/>
        <v>0</v>
      </c>
      <c r="Y135" s="333">
        <f t="shared" si="31"/>
        <v>0</v>
      </c>
      <c r="Z135" s="333">
        <f t="shared" si="31"/>
        <v>0</v>
      </c>
      <c r="AA135" s="333">
        <f t="shared" si="32"/>
        <v>0</v>
      </c>
      <c r="AB135" s="333">
        <f t="shared" si="32"/>
        <v>0</v>
      </c>
      <c r="AC135" s="333"/>
      <c r="AD135" s="333"/>
      <c r="AE135" s="334"/>
    </row>
    <row r="136" spans="1:31">
      <c r="A136" s="1711"/>
      <c r="B136" s="116">
        <v>17</v>
      </c>
      <c r="C136" s="332">
        <v>3.3096370520581111</v>
      </c>
      <c r="D136" s="333">
        <f t="shared" si="33"/>
        <v>3.3295863214396042</v>
      </c>
      <c r="E136" s="333">
        <f t="shared" si="33"/>
        <v>3.3716901713508616</v>
      </c>
      <c r="F136" s="333">
        <f t="shared" si="33"/>
        <v>3.3640896622950822</v>
      </c>
      <c r="G136" s="333">
        <f t="shared" si="33"/>
        <v>3.34290741147541</v>
      </c>
      <c r="H136" s="333">
        <f t="shared" si="33"/>
        <v>3.3481783446377373</v>
      </c>
      <c r="I136" s="333">
        <f t="shared" si="33"/>
        <v>3.4244248602280463</v>
      </c>
      <c r="J136" s="333">
        <f t="shared" si="33"/>
        <v>3.4124381560734931</v>
      </c>
      <c r="K136" s="333">
        <f t="shared" si="33"/>
        <v>3.410817129755392</v>
      </c>
      <c r="L136" s="333">
        <f t="shared" si="33"/>
        <v>3.418532336374708</v>
      </c>
      <c r="M136" s="333">
        <f t="shared" si="33"/>
        <v>3.4410330577357513</v>
      </c>
      <c r="N136" s="333">
        <f t="shared" si="33"/>
        <v>3.4514162017083292</v>
      </c>
      <c r="O136" s="333">
        <f t="shared" si="33"/>
        <v>3.3827115818564208</v>
      </c>
      <c r="P136" s="333">
        <f t="shared" si="33"/>
        <v>3.3837278803621618</v>
      </c>
      <c r="Q136" s="333">
        <f t="shared" si="33"/>
        <v>3.3712941400692698</v>
      </c>
      <c r="R136" s="333">
        <f t="shared" si="33"/>
        <v>3.3874422707969734</v>
      </c>
      <c r="S136" s="333">
        <f t="shared" ref="S136:AB144" si="34">R135</f>
        <v>1.953829196392161</v>
      </c>
      <c r="T136" s="333">
        <f t="shared" si="34"/>
        <v>1.9113873761206392</v>
      </c>
      <c r="U136" s="333">
        <f t="shared" si="34"/>
        <v>0</v>
      </c>
      <c r="V136" s="333">
        <f t="shared" si="34"/>
        <v>0</v>
      </c>
      <c r="W136" s="333">
        <f t="shared" si="34"/>
        <v>0</v>
      </c>
      <c r="X136" s="333">
        <f t="shared" si="34"/>
        <v>0</v>
      </c>
      <c r="Y136" s="333">
        <f t="shared" si="34"/>
        <v>0</v>
      </c>
      <c r="Z136" s="333">
        <f t="shared" si="34"/>
        <v>0</v>
      </c>
      <c r="AA136" s="333">
        <f t="shared" si="34"/>
        <v>0</v>
      </c>
      <c r="AB136" s="333">
        <f t="shared" si="34"/>
        <v>0</v>
      </c>
      <c r="AC136" s="333"/>
      <c r="AD136" s="333"/>
      <c r="AE136" s="334"/>
    </row>
    <row r="137" spans="1:31">
      <c r="A137" s="1711"/>
      <c r="B137" s="116">
        <v>18</v>
      </c>
      <c r="C137" s="332">
        <v>3.3015231710932937</v>
      </c>
      <c r="D137" s="333">
        <f t="shared" ref="D137:S144" si="35">C136</f>
        <v>3.3096370520581111</v>
      </c>
      <c r="E137" s="333">
        <f t="shared" si="35"/>
        <v>3.3295863214396042</v>
      </c>
      <c r="F137" s="333">
        <f t="shared" si="35"/>
        <v>3.3716901713508616</v>
      </c>
      <c r="G137" s="333">
        <f t="shared" si="35"/>
        <v>3.3640896622950822</v>
      </c>
      <c r="H137" s="333">
        <f t="shared" si="35"/>
        <v>3.34290741147541</v>
      </c>
      <c r="I137" s="333">
        <f t="shared" si="35"/>
        <v>3.3481783446377373</v>
      </c>
      <c r="J137" s="333">
        <f t="shared" si="35"/>
        <v>3.4244248602280463</v>
      </c>
      <c r="K137" s="333">
        <f t="shared" si="35"/>
        <v>3.4124381560734931</v>
      </c>
      <c r="L137" s="333">
        <f t="shared" si="35"/>
        <v>3.410817129755392</v>
      </c>
      <c r="M137" s="333">
        <f t="shared" si="35"/>
        <v>3.418532336374708</v>
      </c>
      <c r="N137" s="333">
        <f t="shared" si="35"/>
        <v>3.4410330577357513</v>
      </c>
      <c r="O137" s="333">
        <f t="shared" si="35"/>
        <v>3.4514162017083292</v>
      </c>
      <c r="P137" s="333">
        <f t="shared" si="35"/>
        <v>3.3827115818564208</v>
      </c>
      <c r="Q137" s="333">
        <f t="shared" si="35"/>
        <v>3.3837278803621618</v>
      </c>
      <c r="R137" s="333">
        <f t="shared" si="35"/>
        <v>3.3712941400692698</v>
      </c>
      <c r="S137" s="333">
        <f t="shared" si="35"/>
        <v>3.3874422707969734</v>
      </c>
      <c r="T137" s="333">
        <f t="shared" si="34"/>
        <v>1.953829196392161</v>
      </c>
      <c r="U137" s="333">
        <f t="shared" si="34"/>
        <v>1.9113873761206392</v>
      </c>
      <c r="V137" s="333">
        <f t="shared" si="34"/>
        <v>0</v>
      </c>
      <c r="W137" s="333">
        <f t="shared" si="34"/>
        <v>0</v>
      </c>
      <c r="X137" s="333">
        <f t="shared" si="34"/>
        <v>0</v>
      </c>
      <c r="Y137" s="333">
        <f t="shared" si="34"/>
        <v>0</v>
      </c>
      <c r="Z137" s="333">
        <f t="shared" si="34"/>
        <v>0</v>
      </c>
      <c r="AA137" s="333">
        <f t="shared" si="34"/>
        <v>0</v>
      </c>
      <c r="AB137" s="333">
        <f t="shared" si="34"/>
        <v>0</v>
      </c>
      <c r="AC137" s="333"/>
      <c r="AD137" s="333"/>
      <c r="AE137" s="334"/>
    </row>
    <row r="138" spans="1:31">
      <c r="A138" s="1711"/>
      <c r="B138" s="116">
        <v>19</v>
      </c>
      <c r="C138" s="332">
        <f>C137</f>
        <v>3.3015231710932937</v>
      </c>
      <c r="D138" s="333">
        <f t="shared" si="35"/>
        <v>3.3015231710932937</v>
      </c>
      <c r="E138" s="333">
        <f t="shared" si="35"/>
        <v>3.3096370520581111</v>
      </c>
      <c r="F138" s="333">
        <f t="shared" si="35"/>
        <v>3.3295863214396042</v>
      </c>
      <c r="G138" s="333">
        <f t="shared" si="35"/>
        <v>3.3716901713508616</v>
      </c>
      <c r="H138" s="333">
        <f t="shared" si="35"/>
        <v>3.3640896622950822</v>
      </c>
      <c r="I138" s="333">
        <f t="shared" si="35"/>
        <v>3.34290741147541</v>
      </c>
      <c r="J138" s="333">
        <f t="shared" si="35"/>
        <v>3.3481783446377373</v>
      </c>
      <c r="K138" s="333">
        <f t="shared" si="35"/>
        <v>3.4244248602280463</v>
      </c>
      <c r="L138" s="333">
        <f t="shared" si="35"/>
        <v>3.4124381560734931</v>
      </c>
      <c r="M138" s="333">
        <f t="shared" si="35"/>
        <v>3.410817129755392</v>
      </c>
      <c r="N138" s="333">
        <f t="shared" si="35"/>
        <v>3.418532336374708</v>
      </c>
      <c r="O138" s="333">
        <f t="shared" si="35"/>
        <v>3.4410330577357513</v>
      </c>
      <c r="P138" s="333">
        <f t="shared" si="35"/>
        <v>3.4514162017083292</v>
      </c>
      <c r="Q138" s="333">
        <f t="shared" si="35"/>
        <v>3.3827115818564208</v>
      </c>
      <c r="R138" s="333">
        <f t="shared" si="35"/>
        <v>3.3837278803621618</v>
      </c>
      <c r="S138" s="333">
        <f t="shared" si="35"/>
        <v>3.3712941400692698</v>
      </c>
      <c r="T138" s="333">
        <f t="shared" si="34"/>
        <v>3.3874422707969734</v>
      </c>
      <c r="U138" s="333">
        <f t="shared" si="34"/>
        <v>1.953829196392161</v>
      </c>
      <c r="V138" s="333">
        <f t="shared" si="34"/>
        <v>1.9113873761206392</v>
      </c>
      <c r="W138" s="333">
        <f t="shared" si="34"/>
        <v>0</v>
      </c>
      <c r="X138" s="333">
        <f t="shared" si="34"/>
        <v>0</v>
      </c>
      <c r="Y138" s="333">
        <f t="shared" si="34"/>
        <v>0</v>
      </c>
      <c r="Z138" s="333">
        <f t="shared" si="34"/>
        <v>0</v>
      </c>
      <c r="AA138" s="333">
        <f t="shared" si="34"/>
        <v>0</v>
      </c>
      <c r="AB138" s="333">
        <f t="shared" si="34"/>
        <v>0</v>
      </c>
      <c r="AC138" s="333"/>
      <c r="AD138" s="333"/>
      <c r="AE138" s="334"/>
    </row>
    <row r="139" spans="1:31">
      <c r="A139" s="1711"/>
      <c r="B139" s="116">
        <v>20</v>
      </c>
      <c r="C139" s="332">
        <f t="shared" ref="C139:C144" si="36">C138</f>
        <v>3.3015231710932937</v>
      </c>
      <c r="D139" s="333">
        <f t="shared" si="35"/>
        <v>3.3015231710932937</v>
      </c>
      <c r="E139" s="333">
        <f t="shared" si="35"/>
        <v>3.3015231710932937</v>
      </c>
      <c r="F139" s="333">
        <f t="shared" si="35"/>
        <v>3.3096370520581111</v>
      </c>
      <c r="G139" s="333">
        <f t="shared" si="35"/>
        <v>3.3295863214396042</v>
      </c>
      <c r="H139" s="333">
        <f t="shared" si="35"/>
        <v>3.3716901713508616</v>
      </c>
      <c r="I139" s="333">
        <f t="shared" si="35"/>
        <v>3.3640896622950822</v>
      </c>
      <c r="J139" s="333">
        <f t="shared" si="35"/>
        <v>3.34290741147541</v>
      </c>
      <c r="K139" s="333">
        <f t="shared" si="35"/>
        <v>3.3481783446377373</v>
      </c>
      <c r="L139" s="333">
        <f t="shared" si="35"/>
        <v>3.4244248602280463</v>
      </c>
      <c r="M139" s="333">
        <f t="shared" si="35"/>
        <v>3.4124381560734931</v>
      </c>
      <c r="N139" s="333">
        <f t="shared" si="35"/>
        <v>3.410817129755392</v>
      </c>
      <c r="O139" s="333">
        <f t="shared" si="35"/>
        <v>3.418532336374708</v>
      </c>
      <c r="P139" s="333">
        <f t="shared" si="35"/>
        <v>3.4410330577357513</v>
      </c>
      <c r="Q139" s="333">
        <f t="shared" si="35"/>
        <v>3.4514162017083292</v>
      </c>
      <c r="R139" s="333">
        <f t="shared" si="35"/>
        <v>3.3827115818564208</v>
      </c>
      <c r="S139" s="333">
        <f t="shared" si="35"/>
        <v>3.3837278803621618</v>
      </c>
      <c r="T139" s="333">
        <f t="shared" si="34"/>
        <v>3.3712941400692698</v>
      </c>
      <c r="U139" s="333">
        <f t="shared" si="34"/>
        <v>3.3874422707969734</v>
      </c>
      <c r="V139" s="333">
        <f t="shared" si="34"/>
        <v>1.953829196392161</v>
      </c>
      <c r="W139" s="333">
        <f t="shared" si="34"/>
        <v>1.9113873761206392</v>
      </c>
      <c r="X139" s="333">
        <f t="shared" si="34"/>
        <v>0</v>
      </c>
      <c r="Y139" s="333">
        <f t="shared" si="34"/>
        <v>0</v>
      </c>
      <c r="Z139" s="333">
        <f t="shared" si="34"/>
        <v>0</v>
      </c>
      <c r="AA139" s="333">
        <f t="shared" si="34"/>
        <v>0</v>
      </c>
      <c r="AB139" s="333">
        <f t="shared" si="34"/>
        <v>0</v>
      </c>
      <c r="AC139" s="333"/>
      <c r="AD139" s="333"/>
      <c r="AE139" s="334"/>
    </row>
    <row r="140" spans="1:31">
      <c r="A140" s="1711"/>
      <c r="B140" s="116">
        <v>21</v>
      </c>
      <c r="C140" s="332">
        <f t="shared" si="36"/>
        <v>3.3015231710932937</v>
      </c>
      <c r="D140" s="333">
        <f t="shared" si="35"/>
        <v>3.3015231710932937</v>
      </c>
      <c r="E140" s="333">
        <f t="shared" si="35"/>
        <v>3.3015231710932937</v>
      </c>
      <c r="F140" s="333">
        <f t="shared" si="35"/>
        <v>3.3015231710932937</v>
      </c>
      <c r="G140" s="333">
        <f t="shared" si="35"/>
        <v>3.3096370520581111</v>
      </c>
      <c r="H140" s="333">
        <f t="shared" si="35"/>
        <v>3.3295863214396042</v>
      </c>
      <c r="I140" s="333">
        <f t="shared" si="35"/>
        <v>3.3716901713508616</v>
      </c>
      <c r="J140" s="333">
        <f t="shared" si="35"/>
        <v>3.3640896622950822</v>
      </c>
      <c r="K140" s="333">
        <f t="shared" si="35"/>
        <v>3.34290741147541</v>
      </c>
      <c r="L140" s="333">
        <f t="shared" si="35"/>
        <v>3.3481783446377373</v>
      </c>
      <c r="M140" s="333">
        <f t="shared" si="35"/>
        <v>3.4244248602280463</v>
      </c>
      <c r="N140" s="333">
        <f t="shared" si="35"/>
        <v>3.4124381560734931</v>
      </c>
      <c r="O140" s="333">
        <f t="shared" si="35"/>
        <v>3.410817129755392</v>
      </c>
      <c r="P140" s="333">
        <f t="shared" si="35"/>
        <v>3.418532336374708</v>
      </c>
      <c r="Q140" s="333">
        <f t="shared" si="35"/>
        <v>3.4410330577357513</v>
      </c>
      <c r="R140" s="333">
        <f t="shared" si="35"/>
        <v>3.4514162017083292</v>
      </c>
      <c r="S140" s="333">
        <f t="shared" si="35"/>
        <v>3.3827115818564208</v>
      </c>
      <c r="T140" s="333">
        <f t="shared" si="34"/>
        <v>3.3837278803621618</v>
      </c>
      <c r="U140" s="333">
        <f t="shared" si="34"/>
        <v>3.3712941400692698</v>
      </c>
      <c r="V140" s="333">
        <f t="shared" si="34"/>
        <v>3.3874422707969734</v>
      </c>
      <c r="W140" s="333">
        <f t="shared" si="34"/>
        <v>1.953829196392161</v>
      </c>
      <c r="X140" s="333">
        <f t="shared" si="34"/>
        <v>1.9113873761206392</v>
      </c>
      <c r="Y140" s="333">
        <f t="shared" si="34"/>
        <v>0</v>
      </c>
      <c r="Z140" s="333">
        <f t="shared" si="34"/>
        <v>0</v>
      </c>
      <c r="AA140" s="333">
        <f t="shared" si="34"/>
        <v>0</v>
      </c>
      <c r="AB140" s="333">
        <f t="shared" si="34"/>
        <v>0</v>
      </c>
      <c r="AC140" s="333"/>
      <c r="AD140" s="333"/>
      <c r="AE140" s="334"/>
    </row>
    <row r="141" spans="1:31">
      <c r="A141" s="1711"/>
      <c r="B141" s="116">
        <v>22</v>
      </c>
      <c r="C141" s="332">
        <f t="shared" si="36"/>
        <v>3.3015231710932937</v>
      </c>
      <c r="D141" s="333">
        <f t="shared" si="35"/>
        <v>3.3015231710932937</v>
      </c>
      <c r="E141" s="333">
        <f t="shared" si="35"/>
        <v>3.3015231710932937</v>
      </c>
      <c r="F141" s="333">
        <f t="shared" si="35"/>
        <v>3.3015231710932937</v>
      </c>
      <c r="G141" s="333">
        <f t="shared" si="35"/>
        <v>3.3015231710932937</v>
      </c>
      <c r="H141" s="333">
        <f t="shared" si="35"/>
        <v>3.3096370520581111</v>
      </c>
      <c r="I141" s="333">
        <f t="shared" si="35"/>
        <v>3.3295863214396042</v>
      </c>
      <c r="J141" s="333">
        <f t="shared" si="35"/>
        <v>3.3716901713508616</v>
      </c>
      <c r="K141" s="333">
        <f t="shared" si="35"/>
        <v>3.3640896622950822</v>
      </c>
      <c r="L141" s="333">
        <f t="shared" si="35"/>
        <v>3.34290741147541</v>
      </c>
      <c r="M141" s="333">
        <f t="shared" si="35"/>
        <v>3.3481783446377373</v>
      </c>
      <c r="N141" s="333">
        <f t="shared" si="35"/>
        <v>3.4244248602280463</v>
      </c>
      <c r="O141" s="333">
        <f t="shared" si="35"/>
        <v>3.4124381560734931</v>
      </c>
      <c r="P141" s="333">
        <f t="shared" si="35"/>
        <v>3.410817129755392</v>
      </c>
      <c r="Q141" s="333">
        <f t="shared" si="35"/>
        <v>3.418532336374708</v>
      </c>
      <c r="R141" s="333">
        <f t="shared" si="35"/>
        <v>3.4410330577357513</v>
      </c>
      <c r="S141" s="333">
        <f t="shared" si="35"/>
        <v>3.4514162017083292</v>
      </c>
      <c r="T141" s="333">
        <f t="shared" si="34"/>
        <v>3.3827115818564208</v>
      </c>
      <c r="U141" s="333">
        <f t="shared" si="34"/>
        <v>3.3837278803621618</v>
      </c>
      <c r="V141" s="333">
        <f t="shared" si="34"/>
        <v>3.3712941400692698</v>
      </c>
      <c r="W141" s="333">
        <f t="shared" si="34"/>
        <v>3.3874422707969734</v>
      </c>
      <c r="X141" s="333">
        <f t="shared" si="34"/>
        <v>1.953829196392161</v>
      </c>
      <c r="Y141" s="333">
        <f t="shared" si="34"/>
        <v>1.9113873761206392</v>
      </c>
      <c r="Z141" s="333">
        <f t="shared" si="34"/>
        <v>0</v>
      </c>
      <c r="AA141" s="333">
        <f t="shared" si="34"/>
        <v>0</v>
      </c>
      <c r="AB141" s="333">
        <f t="shared" si="34"/>
        <v>0</v>
      </c>
      <c r="AC141" s="333"/>
      <c r="AD141" s="333"/>
      <c r="AE141" s="334"/>
    </row>
    <row r="142" spans="1:31">
      <c r="A142" s="1711"/>
      <c r="B142" s="116">
        <v>23</v>
      </c>
      <c r="C142" s="332">
        <f t="shared" si="36"/>
        <v>3.3015231710932937</v>
      </c>
      <c r="D142" s="333">
        <f t="shared" si="35"/>
        <v>3.3015231710932937</v>
      </c>
      <c r="E142" s="333">
        <f t="shared" si="35"/>
        <v>3.3015231710932937</v>
      </c>
      <c r="F142" s="333">
        <f t="shared" si="35"/>
        <v>3.3015231710932937</v>
      </c>
      <c r="G142" s="333">
        <f t="shared" si="35"/>
        <v>3.3015231710932937</v>
      </c>
      <c r="H142" s="333">
        <f t="shared" si="35"/>
        <v>3.3015231710932937</v>
      </c>
      <c r="I142" s="333">
        <f t="shared" si="35"/>
        <v>3.3096370520581111</v>
      </c>
      <c r="J142" s="333">
        <f t="shared" si="35"/>
        <v>3.3295863214396042</v>
      </c>
      <c r="K142" s="333">
        <f t="shared" si="35"/>
        <v>3.3716901713508616</v>
      </c>
      <c r="L142" s="333">
        <f t="shared" si="35"/>
        <v>3.3640896622950822</v>
      </c>
      <c r="M142" s="333">
        <f t="shared" si="35"/>
        <v>3.34290741147541</v>
      </c>
      <c r="N142" s="333">
        <f t="shared" si="35"/>
        <v>3.3481783446377373</v>
      </c>
      <c r="O142" s="333">
        <f t="shared" si="35"/>
        <v>3.4244248602280463</v>
      </c>
      <c r="P142" s="333">
        <f t="shared" si="35"/>
        <v>3.4124381560734931</v>
      </c>
      <c r="Q142" s="333">
        <f t="shared" si="35"/>
        <v>3.410817129755392</v>
      </c>
      <c r="R142" s="333">
        <f t="shared" si="35"/>
        <v>3.418532336374708</v>
      </c>
      <c r="S142" s="333">
        <f t="shared" si="35"/>
        <v>3.4410330577357513</v>
      </c>
      <c r="T142" s="333">
        <f t="shared" si="34"/>
        <v>3.4514162017083292</v>
      </c>
      <c r="U142" s="333">
        <f t="shared" si="34"/>
        <v>3.3827115818564208</v>
      </c>
      <c r="V142" s="333">
        <f t="shared" si="34"/>
        <v>3.3837278803621618</v>
      </c>
      <c r="W142" s="333">
        <f t="shared" si="34"/>
        <v>3.3712941400692698</v>
      </c>
      <c r="X142" s="333">
        <f t="shared" si="34"/>
        <v>3.3874422707969734</v>
      </c>
      <c r="Y142" s="333">
        <f t="shared" si="34"/>
        <v>1.953829196392161</v>
      </c>
      <c r="Z142" s="333">
        <f t="shared" si="34"/>
        <v>1.9113873761206392</v>
      </c>
      <c r="AA142" s="333">
        <f t="shared" si="34"/>
        <v>0</v>
      </c>
      <c r="AB142" s="333">
        <f t="shared" si="34"/>
        <v>0</v>
      </c>
      <c r="AC142" s="333"/>
      <c r="AD142" s="333"/>
      <c r="AE142" s="334"/>
    </row>
    <row r="143" spans="1:31">
      <c r="A143" s="1711"/>
      <c r="B143" s="116">
        <v>24</v>
      </c>
      <c r="C143" s="332">
        <f t="shared" si="36"/>
        <v>3.3015231710932937</v>
      </c>
      <c r="D143" s="333">
        <f t="shared" si="35"/>
        <v>3.3015231710932937</v>
      </c>
      <c r="E143" s="333">
        <f t="shared" si="35"/>
        <v>3.3015231710932937</v>
      </c>
      <c r="F143" s="333">
        <f t="shared" si="35"/>
        <v>3.3015231710932937</v>
      </c>
      <c r="G143" s="333">
        <f t="shared" si="35"/>
        <v>3.3015231710932937</v>
      </c>
      <c r="H143" s="333">
        <f t="shared" si="35"/>
        <v>3.3015231710932937</v>
      </c>
      <c r="I143" s="333">
        <f t="shared" si="35"/>
        <v>3.3015231710932937</v>
      </c>
      <c r="J143" s="333">
        <f t="shared" si="35"/>
        <v>3.3096370520581111</v>
      </c>
      <c r="K143" s="333">
        <f t="shared" si="35"/>
        <v>3.3295863214396042</v>
      </c>
      <c r="L143" s="333">
        <f t="shared" si="35"/>
        <v>3.3716901713508616</v>
      </c>
      <c r="M143" s="333">
        <f t="shared" si="35"/>
        <v>3.3640896622950822</v>
      </c>
      <c r="N143" s="333">
        <f t="shared" si="35"/>
        <v>3.34290741147541</v>
      </c>
      <c r="O143" s="333">
        <f t="shared" si="35"/>
        <v>3.3481783446377373</v>
      </c>
      <c r="P143" s="333">
        <f t="shared" si="35"/>
        <v>3.4244248602280463</v>
      </c>
      <c r="Q143" s="333">
        <f t="shared" si="35"/>
        <v>3.4124381560734931</v>
      </c>
      <c r="R143" s="333">
        <f t="shared" si="35"/>
        <v>3.410817129755392</v>
      </c>
      <c r="S143" s="333">
        <f t="shared" si="35"/>
        <v>3.418532336374708</v>
      </c>
      <c r="T143" s="333">
        <f t="shared" si="34"/>
        <v>3.4410330577357513</v>
      </c>
      <c r="U143" s="333">
        <f t="shared" si="34"/>
        <v>3.4514162017083292</v>
      </c>
      <c r="V143" s="333">
        <f t="shared" si="34"/>
        <v>3.3827115818564208</v>
      </c>
      <c r="W143" s="333">
        <f t="shared" si="34"/>
        <v>3.3837278803621618</v>
      </c>
      <c r="X143" s="333">
        <f t="shared" si="34"/>
        <v>3.3712941400692698</v>
      </c>
      <c r="Y143" s="333">
        <f t="shared" si="34"/>
        <v>3.3874422707969734</v>
      </c>
      <c r="Z143" s="333">
        <f t="shared" si="34"/>
        <v>1.953829196392161</v>
      </c>
      <c r="AA143" s="333">
        <f t="shared" si="34"/>
        <v>1.9113873761206392</v>
      </c>
      <c r="AB143" s="333">
        <f t="shared" si="34"/>
        <v>0</v>
      </c>
      <c r="AC143" s="333"/>
      <c r="AD143" s="333"/>
      <c r="AE143" s="334"/>
    </row>
    <row r="144" spans="1:31" ht="15.75" thickBot="1">
      <c r="A144" s="1711"/>
      <c r="B144" s="116">
        <v>25</v>
      </c>
      <c r="C144" s="332">
        <f t="shared" si="36"/>
        <v>3.3015231710932937</v>
      </c>
      <c r="D144" s="333">
        <f t="shared" si="35"/>
        <v>3.3015231710932937</v>
      </c>
      <c r="E144" s="333">
        <f t="shared" si="35"/>
        <v>3.3015231710932937</v>
      </c>
      <c r="F144" s="333">
        <f t="shared" si="35"/>
        <v>3.3015231710932937</v>
      </c>
      <c r="G144" s="333">
        <f t="shared" si="35"/>
        <v>3.3015231710932937</v>
      </c>
      <c r="H144" s="333">
        <f t="shared" si="35"/>
        <v>3.3015231710932937</v>
      </c>
      <c r="I144" s="333">
        <f t="shared" si="35"/>
        <v>3.3015231710932937</v>
      </c>
      <c r="J144" s="333">
        <f t="shared" si="35"/>
        <v>3.3015231710932937</v>
      </c>
      <c r="K144" s="333">
        <f t="shared" si="35"/>
        <v>3.3096370520581111</v>
      </c>
      <c r="L144" s="333">
        <f t="shared" si="35"/>
        <v>3.3295863214396042</v>
      </c>
      <c r="M144" s="333">
        <f t="shared" si="35"/>
        <v>3.3716901713508616</v>
      </c>
      <c r="N144" s="333">
        <f t="shared" si="35"/>
        <v>3.3640896622950822</v>
      </c>
      <c r="O144" s="333">
        <f t="shared" si="35"/>
        <v>3.34290741147541</v>
      </c>
      <c r="P144" s="333">
        <f t="shared" si="35"/>
        <v>3.3481783446377373</v>
      </c>
      <c r="Q144" s="333">
        <f t="shared" si="35"/>
        <v>3.4244248602280463</v>
      </c>
      <c r="R144" s="333">
        <f t="shared" si="35"/>
        <v>3.4124381560734931</v>
      </c>
      <c r="S144" s="333">
        <f t="shared" si="35"/>
        <v>3.410817129755392</v>
      </c>
      <c r="T144" s="333">
        <f t="shared" si="34"/>
        <v>3.418532336374708</v>
      </c>
      <c r="U144" s="333">
        <f t="shared" si="34"/>
        <v>3.4410330577357513</v>
      </c>
      <c r="V144" s="333">
        <f t="shared" si="34"/>
        <v>3.4514162017083292</v>
      </c>
      <c r="W144" s="333">
        <f t="shared" si="34"/>
        <v>3.3827115818564208</v>
      </c>
      <c r="X144" s="333">
        <f t="shared" si="34"/>
        <v>3.3837278803621618</v>
      </c>
      <c r="Y144" s="333">
        <f t="shared" si="34"/>
        <v>3.3712941400692698</v>
      </c>
      <c r="Z144" s="333">
        <f t="shared" si="34"/>
        <v>3.3874422707969734</v>
      </c>
      <c r="AA144" s="333">
        <f t="shared" si="34"/>
        <v>1.953829196392161</v>
      </c>
      <c r="AB144" s="333">
        <f t="shared" si="34"/>
        <v>1.9113873761206392</v>
      </c>
      <c r="AC144" s="333"/>
      <c r="AD144" s="333"/>
      <c r="AE144" s="334"/>
    </row>
    <row r="145" spans="1:31" ht="16.5" thickTop="1" thickBot="1">
      <c r="A145" s="1712"/>
      <c r="B145" s="300" t="s">
        <v>39</v>
      </c>
      <c r="C145" s="380">
        <f>SUMPRODUCT(C119:C144,'FREH Stock'!C259:C284)/'FREH Stock'!C285</f>
        <v>3.2447806722062031</v>
      </c>
      <c r="D145" s="381">
        <f>SUMPRODUCT(D119:D144,'FREH Stock'!D259:D284)/'FREH Stock'!D285</f>
        <v>3.2167213842786246</v>
      </c>
      <c r="E145" s="381">
        <f>SUMPRODUCT(E119:E144,'FREH Stock'!E259:E284)/'FREH Stock'!E285</f>
        <v>3.1832990303576834</v>
      </c>
      <c r="F145" s="381">
        <f>SUMPRODUCT(F119:F144,'FREH Stock'!F259:F284)/'FREH Stock'!F285</f>
        <v>3.1412202761984465</v>
      </c>
      <c r="G145" s="381">
        <f>SUMPRODUCT(G119:G144,'FREH Stock'!G259:G284)/'FREH Stock'!G285</f>
        <v>3.0852888694583784</v>
      </c>
      <c r="H145" s="381">
        <f>SUMPRODUCT(H119:H144,'FREH Stock'!H259:H284)/'FREH Stock'!H285</f>
        <v>3.0083877378087349</v>
      </c>
      <c r="I145" s="381">
        <f>SUMPRODUCT(I119:I144,'FREH Stock'!I259:I284)/'FREH Stock'!I285</f>
        <v>2.9075531577393789</v>
      </c>
      <c r="J145" s="381">
        <f>SUMPRODUCT(J119:J144,'FREH Stock'!J259:J284)/'FREH Stock'!J285</f>
        <v>2.784493505346687</v>
      </c>
      <c r="K145" s="381">
        <f>SUMPRODUCT(K119:K144,'FREH Stock'!K259:K284)/'FREH Stock'!K285</f>
        <v>2.6453000741170882</v>
      </c>
      <c r="L145" s="381">
        <f>SUMPRODUCT(L119:L144,'FREH Stock'!L259:L284)/'FREH Stock'!L285</f>
        <v>2.5014315631061366</v>
      </c>
      <c r="M145" s="381">
        <f>SUMPRODUCT(M119:M144,'FREH Stock'!M259:M284)/'FREH Stock'!M285</f>
        <v>2.3617802599812019</v>
      </c>
      <c r="N145" s="381">
        <f>SUMPRODUCT(N119:N144,'FREH Stock'!N259:N284)/'FREH Stock'!N285</f>
        <v>2.238565330179501</v>
      </c>
      <c r="O145" s="381">
        <f>SUMPRODUCT(O119:O144,'FREH Stock'!O259:O284)/'FREH Stock'!O285</f>
        <v>2.1428626908308392</v>
      </c>
      <c r="P145" s="381">
        <f>SUMPRODUCT(P119:P144,'FREH Stock'!P259:P284)/'FREH Stock'!P285</f>
        <v>2.0748760398671302</v>
      </c>
      <c r="Q145" s="381">
        <f>SUMPRODUCT(Q119:Q144,'FREH Stock'!Q259:Q284)/'FREH Stock'!Q285</f>
        <v>2.0351337088783135</v>
      </c>
      <c r="R145" s="381">
        <f>SUMPRODUCT(R119:R144,'FREH Stock'!R259:R284)/'FREH Stock'!R285</f>
        <v>2.011000380605378</v>
      </c>
      <c r="S145" s="381">
        <f>SUMPRODUCT(S119:S144,'FREH Stock'!S259:S284)/'FREH Stock'!S285</f>
        <v>1.9896922275890097</v>
      </c>
      <c r="T145" s="381">
        <f>SUMPRODUCT(T119:T144,'FREH Stock'!T259:T284)/'FREH Stock'!T285</f>
        <v>1.9711072673941683</v>
      </c>
      <c r="U145" s="381">
        <f>SUMPRODUCT(U119:U144,'FREH Stock'!U259:U284)/'FREH Stock'!U285</f>
        <v>1.9551534438586862</v>
      </c>
      <c r="V145" s="381">
        <f>SUMPRODUCT(V119:V144,'FREH Stock'!V259:V284)/'FREH Stock'!V285</f>
        <v>1.9417519393646365</v>
      </c>
      <c r="W145" s="381">
        <f>SUMPRODUCT(W119:W144,'FREH Stock'!W259:W284)/'FREH Stock'!W285</f>
        <v>1.9308392670351784</v>
      </c>
      <c r="X145" s="381">
        <f>SUMPRODUCT(X119:X144,'FREH Stock'!X259:X284)/'FREH Stock'!X285</f>
        <v>1.9223683903649691</v>
      </c>
      <c r="Y145" s="381">
        <f>SUMPRODUCT(Y119:Y144,'FREH Stock'!Y259:Y284)/'FREH Stock'!Y285</f>
        <v>1.9163091042061555</v>
      </c>
      <c r="Z145" s="381">
        <f>SUMPRODUCT(Z119:Z144,'FREH Stock'!Z259:Z284)/'FREH Stock'!Z285</f>
        <v>1.9126478839130399</v>
      </c>
      <c r="AA145" s="381">
        <f>SUMPRODUCT(AA119:AA144,'FREH Stock'!AA259:AA284)/'FREH Stock'!AA285</f>
        <v>1.9113873761206392</v>
      </c>
      <c r="AB145" s="381" t="e">
        <f>SUMPRODUCT(AB119:AB144,'FREH Stock'!AB259:AB284)/'FREH Stock'!AB285</f>
        <v>#DIV/0!</v>
      </c>
      <c r="AC145" s="381" t="e">
        <f>SUMPRODUCT(AC119:AC144,'FREH Stock'!AC259:AC284)/'FREH Stock'!AC285</f>
        <v>#DIV/0!</v>
      </c>
      <c r="AD145" s="381" t="e">
        <f>SUMPRODUCT(AD119:AD144,'FREH Stock'!AD259:AD284)/'FREH Stock'!AD285</f>
        <v>#DIV/0!</v>
      </c>
      <c r="AE145" s="382" t="e">
        <f>SUMPRODUCT(AE119:AE144,'FREH Stock'!AE259:AE284)/'FREH Stock'!AE285</f>
        <v>#DIV/0!</v>
      </c>
    </row>
    <row r="146" spans="1:31" ht="15.75" thickBot="1"/>
    <row r="147" spans="1:31" ht="15.75" customHeight="1" thickBot="1">
      <c r="A147" s="1710" t="s">
        <v>205</v>
      </c>
      <c r="B147" s="169" t="s">
        <v>10</v>
      </c>
      <c r="C147" s="288">
        <v>2012</v>
      </c>
      <c r="D147" s="347">
        <v>2013</v>
      </c>
      <c r="E147" s="347">
        <v>2014</v>
      </c>
      <c r="F147" s="288">
        <v>2015</v>
      </c>
      <c r="G147" s="347">
        <v>2016</v>
      </c>
      <c r="H147" s="347">
        <v>2017</v>
      </c>
      <c r="I147" s="288">
        <v>2018</v>
      </c>
      <c r="J147" s="347">
        <v>2019</v>
      </c>
      <c r="K147" s="347">
        <v>2020</v>
      </c>
      <c r="L147" s="288">
        <v>2021</v>
      </c>
      <c r="M147" s="347">
        <v>2022</v>
      </c>
      <c r="N147" s="347">
        <v>2023</v>
      </c>
      <c r="O147" s="288">
        <v>2024</v>
      </c>
      <c r="P147" s="347">
        <v>2025</v>
      </c>
      <c r="Q147" s="347">
        <v>2026</v>
      </c>
      <c r="R147" s="288">
        <v>2027</v>
      </c>
      <c r="S147" s="347">
        <v>2028</v>
      </c>
      <c r="T147" s="347">
        <v>2029</v>
      </c>
      <c r="U147" s="288">
        <v>2030</v>
      </c>
      <c r="V147" s="347">
        <v>2031</v>
      </c>
      <c r="W147" s="347">
        <v>2032</v>
      </c>
      <c r="X147" s="288">
        <v>2033</v>
      </c>
      <c r="Y147" s="347">
        <v>2034</v>
      </c>
      <c r="Z147" s="347">
        <v>2035</v>
      </c>
      <c r="AA147" s="288">
        <v>2036</v>
      </c>
      <c r="AB147" s="347">
        <v>2037</v>
      </c>
      <c r="AC147" s="347">
        <v>2038</v>
      </c>
      <c r="AD147" s="288">
        <v>2039</v>
      </c>
      <c r="AE147" s="348">
        <v>2040</v>
      </c>
    </row>
    <row r="148" spans="1:31">
      <c r="A148" s="1711"/>
      <c r="B148" s="116">
        <v>0</v>
      </c>
      <c r="C148" s="329">
        <v>2.6980648353407952</v>
      </c>
      <c r="D148" s="330"/>
      <c r="E148" s="330"/>
      <c r="F148" s="330"/>
      <c r="G148" s="330"/>
      <c r="H148" s="330"/>
      <c r="I148" s="330"/>
      <c r="J148" s="330"/>
      <c r="K148" s="330"/>
      <c r="L148" s="330"/>
      <c r="M148" s="330"/>
      <c r="N148" s="330"/>
      <c r="O148" s="330"/>
      <c r="P148" s="330"/>
      <c r="Q148" s="330"/>
      <c r="R148" s="330"/>
      <c r="S148" s="330"/>
      <c r="T148" s="330"/>
      <c r="U148" s="330"/>
      <c r="V148" s="330"/>
      <c r="W148" s="330"/>
      <c r="X148" s="330"/>
      <c r="Y148" s="330"/>
      <c r="Z148" s="330"/>
      <c r="AA148" s="330"/>
      <c r="AB148" s="330"/>
      <c r="AC148" s="330"/>
      <c r="AD148" s="330"/>
      <c r="AE148" s="331"/>
    </row>
    <row r="149" spans="1:31">
      <c r="A149" s="1711"/>
      <c r="B149" s="116">
        <v>1</v>
      </c>
      <c r="C149" s="332">
        <v>2.8886620154487366</v>
      </c>
      <c r="D149" s="333">
        <f>C148</f>
        <v>2.6980648353407952</v>
      </c>
      <c r="E149" s="333">
        <f t="shared" ref="E149:T149" si="37">D148</f>
        <v>0</v>
      </c>
      <c r="F149" s="333">
        <f t="shared" si="37"/>
        <v>0</v>
      </c>
      <c r="G149" s="333">
        <f t="shared" si="37"/>
        <v>0</v>
      </c>
      <c r="H149" s="333">
        <f t="shared" si="37"/>
        <v>0</v>
      </c>
      <c r="I149" s="333">
        <f t="shared" si="37"/>
        <v>0</v>
      </c>
      <c r="J149" s="333">
        <f t="shared" si="37"/>
        <v>0</v>
      </c>
      <c r="K149" s="333">
        <f t="shared" si="37"/>
        <v>0</v>
      </c>
      <c r="L149" s="333">
        <f t="shared" si="37"/>
        <v>0</v>
      </c>
      <c r="M149" s="333">
        <f t="shared" si="37"/>
        <v>0</v>
      </c>
      <c r="N149" s="333">
        <f t="shared" si="37"/>
        <v>0</v>
      </c>
      <c r="O149" s="333">
        <f t="shared" si="37"/>
        <v>0</v>
      </c>
      <c r="P149" s="333">
        <f t="shared" si="37"/>
        <v>0</v>
      </c>
      <c r="Q149" s="333">
        <f t="shared" si="37"/>
        <v>0</v>
      </c>
      <c r="R149" s="333">
        <f t="shared" si="37"/>
        <v>0</v>
      </c>
      <c r="S149" s="333">
        <f t="shared" si="37"/>
        <v>0</v>
      </c>
      <c r="T149" s="333">
        <f t="shared" si="37"/>
        <v>0</v>
      </c>
      <c r="U149" s="333">
        <f t="shared" ref="T149:AB164" si="38">T148</f>
        <v>0</v>
      </c>
      <c r="V149" s="333">
        <f t="shared" si="38"/>
        <v>0</v>
      </c>
      <c r="W149" s="333">
        <f t="shared" si="38"/>
        <v>0</v>
      </c>
      <c r="X149" s="333">
        <f t="shared" si="38"/>
        <v>0</v>
      </c>
      <c r="Y149" s="333">
        <f t="shared" si="38"/>
        <v>0</v>
      </c>
      <c r="Z149" s="333">
        <f>Y148</f>
        <v>0</v>
      </c>
      <c r="AA149" s="333">
        <f t="shared" ref="AA149:AB164" si="39">Z148</f>
        <v>0</v>
      </c>
      <c r="AB149" s="333">
        <f t="shared" si="39"/>
        <v>0</v>
      </c>
      <c r="AC149" s="333"/>
      <c r="AD149" s="333"/>
      <c r="AE149" s="334"/>
    </row>
    <row r="150" spans="1:31">
      <c r="A150" s="1711"/>
      <c r="B150" s="116">
        <v>2</v>
      </c>
      <c r="C150" s="332">
        <v>3.6575381860462879</v>
      </c>
      <c r="D150" s="333">
        <f t="shared" ref="D150:S165" si="40">C149</f>
        <v>2.8886620154487366</v>
      </c>
      <c r="E150" s="333">
        <f t="shared" si="40"/>
        <v>2.6980648353407952</v>
      </c>
      <c r="F150" s="333">
        <f t="shared" si="40"/>
        <v>0</v>
      </c>
      <c r="G150" s="333">
        <f t="shared" si="40"/>
        <v>0</v>
      </c>
      <c r="H150" s="333">
        <f t="shared" si="40"/>
        <v>0</v>
      </c>
      <c r="I150" s="333">
        <f t="shared" si="40"/>
        <v>0</v>
      </c>
      <c r="J150" s="333">
        <f t="shared" si="40"/>
        <v>0</v>
      </c>
      <c r="K150" s="333">
        <f t="shared" si="40"/>
        <v>0</v>
      </c>
      <c r="L150" s="333">
        <f t="shared" si="40"/>
        <v>0</v>
      </c>
      <c r="M150" s="333">
        <f t="shared" si="40"/>
        <v>0</v>
      </c>
      <c r="N150" s="333">
        <f t="shared" si="40"/>
        <v>0</v>
      </c>
      <c r="O150" s="333">
        <f t="shared" si="40"/>
        <v>0</v>
      </c>
      <c r="P150" s="333">
        <f t="shared" si="40"/>
        <v>0</v>
      </c>
      <c r="Q150" s="333">
        <f t="shared" si="40"/>
        <v>0</v>
      </c>
      <c r="R150" s="333">
        <f t="shared" si="40"/>
        <v>0</v>
      </c>
      <c r="S150" s="333">
        <f t="shared" si="40"/>
        <v>0</v>
      </c>
      <c r="T150" s="333">
        <f t="shared" si="38"/>
        <v>0</v>
      </c>
      <c r="U150" s="333">
        <f t="shared" si="38"/>
        <v>0</v>
      </c>
      <c r="V150" s="333">
        <f t="shared" si="38"/>
        <v>0</v>
      </c>
      <c r="W150" s="333">
        <f t="shared" si="38"/>
        <v>0</v>
      </c>
      <c r="X150" s="333">
        <f t="shared" si="38"/>
        <v>0</v>
      </c>
      <c r="Y150" s="333">
        <f t="shared" si="38"/>
        <v>0</v>
      </c>
      <c r="Z150" s="333">
        <f t="shared" si="38"/>
        <v>0</v>
      </c>
      <c r="AA150" s="333">
        <f t="shared" si="38"/>
        <v>0</v>
      </c>
      <c r="AB150" s="333">
        <f t="shared" si="38"/>
        <v>0</v>
      </c>
      <c r="AC150" s="333"/>
      <c r="AD150" s="333"/>
      <c r="AE150" s="334"/>
    </row>
    <row r="151" spans="1:31">
      <c r="A151" s="1711"/>
      <c r="B151" s="116">
        <v>3</v>
      </c>
      <c r="C151" s="332">
        <v>3.6563399354988704</v>
      </c>
      <c r="D151" s="333">
        <f t="shared" si="40"/>
        <v>3.6575381860462879</v>
      </c>
      <c r="E151" s="333">
        <f t="shared" si="40"/>
        <v>2.8886620154487366</v>
      </c>
      <c r="F151" s="333">
        <f t="shared" si="40"/>
        <v>2.6980648353407952</v>
      </c>
      <c r="G151" s="333">
        <f t="shared" si="40"/>
        <v>0</v>
      </c>
      <c r="H151" s="333">
        <f t="shared" si="40"/>
        <v>0</v>
      </c>
      <c r="I151" s="333">
        <f t="shared" si="40"/>
        <v>0</v>
      </c>
      <c r="J151" s="333">
        <f t="shared" si="40"/>
        <v>0</v>
      </c>
      <c r="K151" s="333">
        <f t="shared" si="40"/>
        <v>0</v>
      </c>
      <c r="L151" s="333">
        <f t="shared" si="40"/>
        <v>0</v>
      </c>
      <c r="M151" s="333">
        <f t="shared" si="40"/>
        <v>0</v>
      </c>
      <c r="N151" s="333">
        <f t="shared" si="40"/>
        <v>0</v>
      </c>
      <c r="O151" s="333">
        <f t="shared" si="40"/>
        <v>0</v>
      </c>
      <c r="P151" s="333">
        <f t="shared" si="40"/>
        <v>0</v>
      </c>
      <c r="Q151" s="333">
        <f t="shared" si="40"/>
        <v>0</v>
      </c>
      <c r="R151" s="333">
        <f t="shared" si="40"/>
        <v>0</v>
      </c>
      <c r="S151" s="333">
        <f t="shared" si="40"/>
        <v>0</v>
      </c>
      <c r="T151" s="333">
        <f t="shared" si="38"/>
        <v>0</v>
      </c>
      <c r="U151" s="333">
        <f t="shared" si="38"/>
        <v>0</v>
      </c>
      <c r="V151" s="333">
        <f t="shared" si="38"/>
        <v>0</v>
      </c>
      <c r="W151" s="333">
        <f t="shared" si="38"/>
        <v>0</v>
      </c>
      <c r="X151" s="333">
        <f t="shared" si="38"/>
        <v>0</v>
      </c>
      <c r="Y151" s="333">
        <f t="shared" si="38"/>
        <v>0</v>
      </c>
      <c r="Z151" s="333">
        <f t="shared" si="38"/>
        <v>0</v>
      </c>
      <c r="AA151" s="333">
        <f t="shared" si="39"/>
        <v>0</v>
      </c>
      <c r="AB151" s="333">
        <f t="shared" si="39"/>
        <v>0</v>
      </c>
      <c r="AC151" s="333"/>
      <c r="AD151" s="333"/>
      <c r="AE151" s="334"/>
    </row>
    <row r="152" spans="1:31">
      <c r="A152" s="1711"/>
      <c r="B152" s="116">
        <v>4</v>
      </c>
      <c r="C152" s="332">
        <v>3.6899954722409256</v>
      </c>
      <c r="D152" s="333">
        <f t="shared" si="40"/>
        <v>3.6563399354988704</v>
      </c>
      <c r="E152" s="333">
        <f t="shared" si="40"/>
        <v>3.6575381860462879</v>
      </c>
      <c r="F152" s="333">
        <f t="shared" si="40"/>
        <v>2.8886620154487366</v>
      </c>
      <c r="G152" s="333">
        <f t="shared" si="40"/>
        <v>2.6980648353407952</v>
      </c>
      <c r="H152" s="333">
        <f t="shared" si="40"/>
        <v>0</v>
      </c>
      <c r="I152" s="333">
        <f t="shared" si="40"/>
        <v>0</v>
      </c>
      <c r="J152" s="333">
        <f t="shared" si="40"/>
        <v>0</v>
      </c>
      <c r="K152" s="333">
        <f t="shared" si="40"/>
        <v>0</v>
      </c>
      <c r="L152" s="333">
        <f t="shared" si="40"/>
        <v>0</v>
      </c>
      <c r="M152" s="333">
        <f t="shared" si="40"/>
        <v>0</v>
      </c>
      <c r="N152" s="333">
        <f t="shared" si="40"/>
        <v>0</v>
      </c>
      <c r="O152" s="333">
        <f t="shared" si="40"/>
        <v>0</v>
      </c>
      <c r="P152" s="333">
        <f t="shared" si="40"/>
        <v>0</v>
      </c>
      <c r="Q152" s="333">
        <f t="shared" si="40"/>
        <v>0</v>
      </c>
      <c r="R152" s="333">
        <f t="shared" si="40"/>
        <v>0</v>
      </c>
      <c r="S152" s="333">
        <f t="shared" si="40"/>
        <v>0</v>
      </c>
      <c r="T152" s="333">
        <f t="shared" si="38"/>
        <v>0</v>
      </c>
      <c r="U152" s="333">
        <f t="shared" si="38"/>
        <v>0</v>
      </c>
      <c r="V152" s="333">
        <f t="shared" si="38"/>
        <v>0</v>
      </c>
      <c r="W152" s="333">
        <f t="shared" si="38"/>
        <v>0</v>
      </c>
      <c r="X152" s="333">
        <f t="shared" si="38"/>
        <v>0</v>
      </c>
      <c r="Y152" s="333">
        <f t="shared" si="38"/>
        <v>0</v>
      </c>
      <c r="Z152" s="333">
        <f t="shared" si="38"/>
        <v>0</v>
      </c>
      <c r="AA152" s="333">
        <f t="shared" si="39"/>
        <v>0</v>
      </c>
      <c r="AB152" s="333">
        <f t="shared" si="39"/>
        <v>0</v>
      </c>
      <c r="AC152" s="333"/>
      <c r="AD152" s="333"/>
      <c r="AE152" s="334"/>
    </row>
    <row r="153" spans="1:31">
      <c r="A153" s="1711"/>
      <c r="B153" s="116">
        <v>5</v>
      </c>
      <c r="C153" s="332">
        <v>3.6928133997618922</v>
      </c>
      <c r="D153" s="333">
        <f t="shared" si="40"/>
        <v>3.6899954722409256</v>
      </c>
      <c r="E153" s="333">
        <f t="shared" si="40"/>
        <v>3.6563399354988704</v>
      </c>
      <c r="F153" s="333">
        <f t="shared" si="40"/>
        <v>3.6575381860462879</v>
      </c>
      <c r="G153" s="333">
        <f t="shared" si="40"/>
        <v>2.8886620154487366</v>
      </c>
      <c r="H153" s="333">
        <f t="shared" si="40"/>
        <v>2.6980648353407952</v>
      </c>
      <c r="I153" s="333">
        <f t="shared" si="40"/>
        <v>0</v>
      </c>
      <c r="J153" s="333">
        <f t="shared" si="40"/>
        <v>0</v>
      </c>
      <c r="K153" s="333">
        <f t="shared" si="40"/>
        <v>0</v>
      </c>
      <c r="L153" s="333">
        <f t="shared" si="40"/>
        <v>0</v>
      </c>
      <c r="M153" s="333">
        <f t="shared" si="40"/>
        <v>0</v>
      </c>
      <c r="N153" s="333">
        <f t="shared" si="40"/>
        <v>0</v>
      </c>
      <c r="O153" s="333">
        <f t="shared" si="40"/>
        <v>0</v>
      </c>
      <c r="P153" s="333">
        <f t="shared" si="40"/>
        <v>0</v>
      </c>
      <c r="Q153" s="333">
        <f t="shared" si="40"/>
        <v>0</v>
      </c>
      <c r="R153" s="333">
        <f t="shared" si="40"/>
        <v>0</v>
      </c>
      <c r="S153" s="333">
        <f t="shared" si="40"/>
        <v>0</v>
      </c>
      <c r="T153" s="333">
        <f t="shared" si="38"/>
        <v>0</v>
      </c>
      <c r="U153" s="333">
        <f t="shared" si="38"/>
        <v>0</v>
      </c>
      <c r="V153" s="333">
        <f t="shared" si="38"/>
        <v>0</v>
      </c>
      <c r="W153" s="333">
        <f t="shared" si="38"/>
        <v>0</v>
      </c>
      <c r="X153" s="333">
        <f t="shared" si="38"/>
        <v>0</v>
      </c>
      <c r="Y153" s="333">
        <f t="shared" si="38"/>
        <v>0</v>
      </c>
      <c r="Z153" s="333">
        <f t="shared" si="38"/>
        <v>0</v>
      </c>
      <c r="AA153" s="333">
        <f t="shared" si="39"/>
        <v>0</v>
      </c>
      <c r="AB153" s="333">
        <f t="shared" si="39"/>
        <v>0</v>
      </c>
      <c r="AC153" s="333"/>
      <c r="AD153" s="333"/>
      <c r="AE153" s="334"/>
    </row>
    <row r="154" spans="1:31">
      <c r="A154" s="1711"/>
      <c r="B154" s="116">
        <v>6</v>
      </c>
      <c r="C154" s="332">
        <v>3.7610588525595645</v>
      </c>
      <c r="D154" s="333">
        <f t="shared" si="40"/>
        <v>3.6928133997618922</v>
      </c>
      <c r="E154" s="333">
        <f t="shared" si="40"/>
        <v>3.6899954722409256</v>
      </c>
      <c r="F154" s="333">
        <f t="shared" si="40"/>
        <v>3.6563399354988704</v>
      </c>
      <c r="G154" s="333">
        <f t="shared" si="40"/>
        <v>3.6575381860462879</v>
      </c>
      <c r="H154" s="333">
        <f t="shared" si="40"/>
        <v>2.8886620154487366</v>
      </c>
      <c r="I154" s="333">
        <f t="shared" si="40"/>
        <v>2.6980648353407952</v>
      </c>
      <c r="J154" s="333">
        <f t="shared" si="40"/>
        <v>0</v>
      </c>
      <c r="K154" s="333">
        <f t="shared" si="40"/>
        <v>0</v>
      </c>
      <c r="L154" s="333">
        <f t="shared" si="40"/>
        <v>0</v>
      </c>
      <c r="M154" s="333">
        <f t="shared" si="40"/>
        <v>0</v>
      </c>
      <c r="N154" s="333">
        <f t="shared" si="40"/>
        <v>0</v>
      </c>
      <c r="O154" s="333">
        <f t="shared" si="40"/>
        <v>0</v>
      </c>
      <c r="P154" s="333">
        <f t="shared" si="40"/>
        <v>0</v>
      </c>
      <c r="Q154" s="333">
        <f t="shared" si="40"/>
        <v>0</v>
      </c>
      <c r="R154" s="333">
        <f t="shared" si="40"/>
        <v>0</v>
      </c>
      <c r="S154" s="333">
        <f t="shared" si="40"/>
        <v>0</v>
      </c>
      <c r="T154" s="333">
        <f t="shared" si="38"/>
        <v>0</v>
      </c>
      <c r="U154" s="333">
        <f t="shared" si="38"/>
        <v>0</v>
      </c>
      <c r="V154" s="333">
        <f t="shared" si="38"/>
        <v>0</v>
      </c>
      <c r="W154" s="333">
        <f t="shared" si="38"/>
        <v>0</v>
      </c>
      <c r="X154" s="333">
        <f t="shared" si="38"/>
        <v>0</v>
      </c>
      <c r="Y154" s="333">
        <f t="shared" si="38"/>
        <v>0</v>
      </c>
      <c r="Z154" s="333">
        <f t="shared" si="38"/>
        <v>0</v>
      </c>
      <c r="AA154" s="333">
        <f t="shared" si="39"/>
        <v>0</v>
      </c>
      <c r="AB154" s="333">
        <f t="shared" si="39"/>
        <v>0</v>
      </c>
      <c r="AC154" s="333"/>
      <c r="AD154" s="333"/>
      <c r="AE154" s="334"/>
    </row>
    <row r="155" spans="1:31">
      <c r="A155" s="1711"/>
      <c r="B155" s="116">
        <v>7</v>
      </c>
      <c r="C155" s="332">
        <v>3.7593551933852134</v>
      </c>
      <c r="D155" s="333">
        <f t="shared" si="40"/>
        <v>3.7610588525595645</v>
      </c>
      <c r="E155" s="333">
        <f t="shared" si="40"/>
        <v>3.6928133997618922</v>
      </c>
      <c r="F155" s="333">
        <f t="shared" si="40"/>
        <v>3.6899954722409256</v>
      </c>
      <c r="G155" s="333">
        <f t="shared" si="40"/>
        <v>3.6563399354988704</v>
      </c>
      <c r="H155" s="333">
        <f t="shared" si="40"/>
        <v>3.6575381860462879</v>
      </c>
      <c r="I155" s="333">
        <f t="shared" si="40"/>
        <v>2.8886620154487366</v>
      </c>
      <c r="J155" s="333">
        <f t="shared" si="40"/>
        <v>2.6980648353407952</v>
      </c>
      <c r="K155" s="333">
        <f t="shared" si="40"/>
        <v>0</v>
      </c>
      <c r="L155" s="333">
        <f t="shared" si="40"/>
        <v>0</v>
      </c>
      <c r="M155" s="333">
        <f t="shared" si="40"/>
        <v>0</v>
      </c>
      <c r="N155" s="333">
        <f t="shared" si="40"/>
        <v>0</v>
      </c>
      <c r="O155" s="333">
        <f t="shared" si="40"/>
        <v>0</v>
      </c>
      <c r="P155" s="333">
        <f t="shared" si="40"/>
        <v>0</v>
      </c>
      <c r="Q155" s="333">
        <f t="shared" si="40"/>
        <v>0</v>
      </c>
      <c r="R155" s="333">
        <f t="shared" si="40"/>
        <v>0</v>
      </c>
      <c r="S155" s="333">
        <f t="shared" si="40"/>
        <v>0</v>
      </c>
      <c r="T155" s="333">
        <f t="shared" si="38"/>
        <v>0</v>
      </c>
      <c r="U155" s="333">
        <f t="shared" si="38"/>
        <v>0</v>
      </c>
      <c r="V155" s="333">
        <f t="shared" si="38"/>
        <v>0</v>
      </c>
      <c r="W155" s="333">
        <f t="shared" si="38"/>
        <v>0</v>
      </c>
      <c r="X155" s="333">
        <f t="shared" si="38"/>
        <v>0</v>
      </c>
      <c r="Y155" s="333">
        <f t="shared" si="38"/>
        <v>0</v>
      </c>
      <c r="Z155" s="333">
        <f t="shared" si="38"/>
        <v>0</v>
      </c>
      <c r="AA155" s="333">
        <f t="shared" si="39"/>
        <v>0</v>
      </c>
      <c r="AB155" s="333">
        <f t="shared" si="39"/>
        <v>0</v>
      </c>
      <c r="AC155" s="333"/>
      <c r="AD155" s="333"/>
      <c r="AE155" s="334"/>
    </row>
    <row r="156" spans="1:31">
      <c r="A156" s="1711"/>
      <c r="B156" s="116">
        <v>8</v>
      </c>
      <c r="C156" s="332">
        <v>3.758648196440872</v>
      </c>
      <c r="D156" s="333">
        <f t="shared" si="40"/>
        <v>3.7593551933852134</v>
      </c>
      <c r="E156" s="333">
        <f t="shared" si="40"/>
        <v>3.7610588525595645</v>
      </c>
      <c r="F156" s="333">
        <f t="shared" si="40"/>
        <v>3.6928133997618922</v>
      </c>
      <c r="G156" s="333">
        <f t="shared" si="40"/>
        <v>3.6899954722409256</v>
      </c>
      <c r="H156" s="333">
        <f t="shared" si="40"/>
        <v>3.6563399354988704</v>
      </c>
      <c r="I156" s="333">
        <f t="shared" si="40"/>
        <v>3.6575381860462879</v>
      </c>
      <c r="J156" s="333">
        <f t="shared" si="40"/>
        <v>2.8886620154487366</v>
      </c>
      <c r="K156" s="333">
        <f t="shared" si="40"/>
        <v>2.6980648353407952</v>
      </c>
      <c r="L156" s="333">
        <f t="shared" si="40"/>
        <v>0</v>
      </c>
      <c r="M156" s="333">
        <f t="shared" si="40"/>
        <v>0</v>
      </c>
      <c r="N156" s="333">
        <f t="shared" si="40"/>
        <v>0</v>
      </c>
      <c r="O156" s="333">
        <f t="shared" si="40"/>
        <v>0</v>
      </c>
      <c r="P156" s="333">
        <f t="shared" si="40"/>
        <v>0</v>
      </c>
      <c r="Q156" s="333">
        <f t="shared" si="40"/>
        <v>0</v>
      </c>
      <c r="R156" s="333">
        <f t="shared" si="40"/>
        <v>0</v>
      </c>
      <c r="S156" s="333">
        <f t="shared" si="40"/>
        <v>0</v>
      </c>
      <c r="T156" s="333">
        <f t="shared" si="38"/>
        <v>0</v>
      </c>
      <c r="U156" s="333">
        <f t="shared" si="38"/>
        <v>0</v>
      </c>
      <c r="V156" s="333">
        <f t="shared" si="38"/>
        <v>0</v>
      </c>
      <c r="W156" s="333">
        <f t="shared" si="38"/>
        <v>0</v>
      </c>
      <c r="X156" s="333">
        <f t="shared" si="38"/>
        <v>0</v>
      </c>
      <c r="Y156" s="333">
        <f t="shared" si="38"/>
        <v>0</v>
      </c>
      <c r="Z156" s="333">
        <f t="shared" si="38"/>
        <v>0</v>
      </c>
      <c r="AA156" s="333">
        <f t="shared" si="39"/>
        <v>0</v>
      </c>
      <c r="AB156" s="333">
        <f t="shared" si="39"/>
        <v>0</v>
      </c>
      <c r="AC156" s="333"/>
      <c r="AD156" s="333"/>
      <c r="AE156" s="334"/>
    </row>
    <row r="157" spans="1:31">
      <c r="A157" s="1711"/>
      <c r="B157" s="116">
        <v>9</v>
      </c>
      <c r="C157" s="332">
        <v>3.7540302304883109</v>
      </c>
      <c r="D157" s="333">
        <f t="shared" si="40"/>
        <v>3.758648196440872</v>
      </c>
      <c r="E157" s="333">
        <f t="shared" si="40"/>
        <v>3.7593551933852134</v>
      </c>
      <c r="F157" s="333">
        <f t="shared" si="40"/>
        <v>3.7610588525595645</v>
      </c>
      <c r="G157" s="333">
        <f t="shared" si="40"/>
        <v>3.6928133997618922</v>
      </c>
      <c r="H157" s="333">
        <f t="shared" si="40"/>
        <v>3.6899954722409256</v>
      </c>
      <c r="I157" s="333">
        <f t="shared" si="40"/>
        <v>3.6563399354988704</v>
      </c>
      <c r="J157" s="333">
        <f t="shared" si="40"/>
        <v>3.6575381860462879</v>
      </c>
      <c r="K157" s="333">
        <f t="shared" si="40"/>
        <v>2.8886620154487366</v>
      </c>
      <c r="L157" s="333">
        <f t="shared" si="40"/>
        <v>2.6980648353407952</v>
      </c>
      <c r="M157" s="333">
        <f t="shared" si="40"/>
        <v>0</v>
      </c>
      <c r="N157" s="333">
        <f t="shared" si="40"/>
        <v>0</v>
      </c>
      <c r="O157" s="333">
        <f t="shared" si="40"/>
        <v>0</v>
      </c>
      <c r="P157" s="333">
        <f t="shared" si="40"/>
        <v>0</v>
      </c>
      <c r="Q157" s="333">
        <f t="shared" si="40"/>
        <v>0</v>
      </c>
      <c r="R157" s="333">
        <f t="shared" si="40"/>
        <v>0</v>
      </c>
      <c r="S157" s="333">
        <f t="shared" si="40"/>
        <v>0</v>
      </c>
      <c r="T157" s="333">
        <f t="shared" si="38"/>
        <v>0</v>
      </c>
      <c r="U157" s="333">
        <f t="shared" si="38"/>
        <v>0</v>
      </c>
      <c r="V157" s="333">
        <f t="shared" si="38"/>
        <v>0</v>
      </c>
      <c r="W157" s="333">
        <f t="shared" si="38"/>
        <v>0</v>
      </c>
      <c r="X157" s="333">
        <f t="shared" si="38"/>
        <v>0</v>
      </c>
      <c r="Y157" s="333">
        <f t="shared" si="38"/>
        <v>0</v>
      </c>
      <c r="Z157" s="333">
        <f t="shared" si="38"/>
        <v>0</v>
      </c>
      <c r="AA157" s="333">
        <f t="shared" si="39"/>
        <v>0</v>
      </c>
      <c r="AB157" s="333">
        <f t="shared" si="39"/>
        <v>0</v>
      </c>
      <c r="AC157" s="333"/>
      <c r="AD157" s="333"/>
      <c r="AE157" s="334"/>
    </row>
    <row r="158" spans="1:31">
      <c r="A158" s="1711"/>
      <c r="B158" s="116">
        <v>10</v>
      </c>
      <c r="C158" s="332">
        <v>3.7514118335518178</v>
      </c>
      <c r="D158" s="333">
        <f t="shared" si="40"/>
        <v>3.7540302304883109</v>
      </c>
      <c r="E158" s="333">
        <f t="shared" si="40"/>
        <v>3.758648196440872</v>
      </c>
      <c r="F158" s="333">
        <f t="shared" si="40"/>
        <v>3.7593551933852134</v>
      </c>
      <c r="G158" s="333">
        <f t="shared" si="40"/>
        <v>3.7610588525595645</v>
      </c>
      <c r="H158" s="333">
        <f t="shared" si="40"/>
        <v>3.6928133997618922</v>
      </c>
      <c r="I158" s="333">
        <f t="shared" si="40"/>
        <v>3.6899954722409256</v>
      </c>
      <c r="J158" s="333">
        <f t="shared" si="40"/>
        <v>3.6563399354988704</v>
      </c>
      <c r="K158" s="333">
        <f t="shared" si="40"/>
        <v>3.6575381860462879</v>
      </c>
      <c r="L158" s="333">
        <f t="shared" si="40"/>
        <v>2.8886620154487366</v>
      </c>
      <c r="M158" s="333">
        <f t="shared" si="40"/>
        <v>2.6980648353407952</v>
      </c>
      <c r="N158" s="333">
        <f t="shared" si="40"/>
        <v>0</v>
      </c>
      <c r="O158" s="333">
        <f t="shared" si="40"/>
        <v>0</v>
      </c>
      <c r="P158" s="333">
        <f t="shared" si="40"/>
        <v>0</v>
      </c>
      <c r="Q158" s="333">
        <f t="shared" si="40"/>
        <v>0</v>
      </c>
      <c r="R158" s="333">
        <f t="shared" si="40"/>
        <v>0</v>
      </c>
      <c r="S158" s="333">
        <f t="shared" si="40"/>
        <v>0</v>
      </c>
      <c r="T158" s="333">
        <f t="shared" si="38"/>
        <v>0</v>
      </c>
      <c r="U158" s="333">
        <f t="shared" si="38"/>
        <v>0</v>
      </c>
      <c r="V158" s="333">
        <f t="shared" si="38"/>
        <v>0</v>
      </c>
      <c r="W158" s="333">
        <f t="shared" si="38"/>
        <v>0</v>
      </c>
      <c r="X158" s="333">
        <f t="shared" si="38"/>
        <v>0</v>
      </c>
      <c r="Y158" s="333">
        <f t="shared" si="38"/>
        <v>0</v>
      </c>
      <c r="Z158" s="333">
        <f t="shared" si="38"/>
        <v>0</v>
      </c>
      <c r="AA158" s="333">
        <f t="shared" si="39"/>
        <v>0</v>
      </c>
      <c r="AB158" s="333">
        <f t="shared" si="39"/>
        <v>0</v>
      </c>
      <c r="AC158" s="333"/>
      <c r="AD158" s="333"/>
      <c r="AE158" s="334"/>
    </row>
    <row r="159" spans="1:31">
      <c r="A159" s="1711"/>
      <c r="B159" s="116">
        <v>11</v>
      </c>
      <c r="C159" s="332">
        <v>3.7483026249259175</v>
      </c>
      <c r="D159" s="333">
        <f t="shared" si="40"/>
        <v>3.7514118335518178</v>
      </c>
      <c r="E159" s="333">
        <f t="shared" si="40"/>
        <v>3.7540302304883109</v>
      </c>
      <c r="F159" s="333">
        <f t="shared" si="40"/>
        <v>3.758648196440872</v>
      </c>
      <c r="G159" s="333">
        <f t="shared" si="40"/>
        <v>3.7593551933852134</v>
      </c>
      <c r="H159" s="333">
        <f t="shared" si="40"/>
        <v>3.7610588525595645</v>
      </c>
      <c r="I159" s="333">
        <f t="shared" si="40"/>
        <v>3.6928133997618922</v>
      </c>
      <c r="J159" s="333">
        <f t="shared" si="40"/>
        <v>3.6899954722409256</v>
      </c>
      <c r="K159" s="333">
        <f t="shared" si="40"/>
        <v>3.6563399354988704</v>
      </c>
      <c r="L159" s="333">
        <f t="shared" si="40"/>
        <v>3.6575381860462879</v>
      </c>
      <c r="M159" s="333">
        <f t="shared" si="40"/>
        <v>2.8886620154487366</v>
      </c>
      <c r="N159" s="333">
        <f t="shared" si="40"/>
        <v>2.6980648353407952</v>
      </c>
      <c r="O159" s="333">
        <f t="shared" si="40"/>
        <v>0</v>
      </c>
      <c r="P159" s="333">
        <f t="shared" si="40"/>
        <v>0</v>
      </c>
      <c r="Q159" s="333">
        <f t="shared" si="40"/>
        <v>0</v>
      </c>
      <c r="R159" s="333">
        <f t="shared" si="40"/>
        <v>0</v>
      </c>
      <c r="S159" s="333">
        <f t="shared" si="40"/>
        <v>0</v>
      </c>
      <c r="T159" s="333">
        <f t="shared" si="38"/>
        <v>0</v>
      </c>
      <c r="U159" s="333">
        <f t="shared" si="38"/>
        <v>0</v>
      </c>
      <c r="V159" s="333">
        <f t="shared" si="38"/>
        <v>0</v>
      </c>
      <c r="W159" s="333">
        <f t="shared" si="38"/>
        <v>0</v>
      </c>
      <c r="X159" s="333">
        <f t="shared" si="38"/>
        <v>0</v>
      </c>
      <c r="Y159" s="333">
        <f t="shared" si="38"/>
        <v>0</v>
      </c>
      <c r="Z159" s="333">
        <f t="shared" si="38"/>
        <v>0</v>
      </c>
      <c r="AA159" s="333">
        <f t="shared" si="39"/>
        <v>0</v>
      </c>
      <c r="AB159" s="333">
        <f t="shared" si="39"/>
        <v>0</v>
      </c>
      <c r="AC159" s="333"/>
      <c r="AD159" s="333"/>
      <c r="AE159" s="334"/>
    </row>
    <row r="160" spans="1:31">
      <c r="A160" s="1711"/>
      <c r="B160" s="116">
        <v>12</v>
      </c>
      <c r="C160" s="332">
        <v>3.7572741338199513</v>
      </c>
      <c r="D160" s="333">
        <f t="shared" si="40"/>
        <v>3.7483026249259175</v>
      </c>
      <c r="E160" s="333">
        <f t="shared" si="40"/>
        <v>3.7514118335518178</v>
      </c>
      <c r="F160" s="333">
        <f t="shared" si="40"/>
        <v>3.7540302304883109</v>
      </c>
      <c r="G160" s="333">
        <f t="shared" si="40"/>
        <v>3.758648196440872</v>
      </c>
      <c r="H160" s="333">
        <f t="shared" si="40"/>
        <v>3.7593551933852134</v>
      </c>
      <c r="I160" s="333">
        <f t="shared" si="40"/>
        <v>3.7610588525595645</v>
      </c>
      <c r="J160" s="333">
        <f t="shared" si="40"/>
        <v>3.6928133997618922</v>
      </c>
      <c r="K160" s="333">
        <f t="shared" si="40"/>
        <v>3.6899954722409256</v>
      </c>
      <c r="L160" s="333">
        <f t="shared" si="40"/>
        <v>3.6563399354988704</v>
      </c>
      <c r="M160" s="333">
        <f t="shared" si="40"/>
        <v>3.6575381860462879</v>
      </c>
      <c r="N160" s="333">
        <f t="shared" si="40"/>
        <v>2.8886620154487366</v>
      </c>
      <c r="O160" s="333">
        <f t="shared" si="40"/>
        <v>2.6980648353407952</v>
      </c>
      <c r="P160" s="333">
        <f t="shared" si="40"/>
        <v>0</v>
      </c>
      <c r="Q160" s="333">
        <f t="shared" si="40"/>
        <v>0</v>
      </c>
      <c r="R160" s="333">
        <f t="shared" si="40"/>
        <v>0</v>
      </c>
      <c r="S160" s="333">
        <f t="shared" si="40"/>
        <v>0</v>
      </c>
      <c r="T160" s="333">
        <f t="shared" si="38"/>
        <v>0</v>
      </c>
      <c r="U160" s="333">
        <f t="shared" si="38"/>
        <v>0</v>
      </c>
      <c r="V160" s="333">
        <f t="shared" si="38"/>
        <v>0</v>
      </c>
      <c r="W160" s="333">
        <f t="shared" si="38"/>
        <v>0</v>
      </c>
      <c r="X160" s="333">
        <f t="shared" si="38"/>
        <v>0</v>
      </c>
      <c r="Y160" s="333">
        <f t="shared" si="38"/>
        <v>0</v>
      </c>
      <c r="Z160" s="333">
        <f t="shared" si="38"/>
        <v>0</v>
      </c>
      <c r="AA160" s="333">
        <f t="shared" si="39"/>
        <v>0</v>
      </c>
      <c r="AB160" s="333">
        <f t="shared" si="39"/>
        <v>0</v>
      </c>
      <c r="AC160" s="333"/>
      <c r="AD160" s="333"/>
      <c r="AE160" s="334"/>
    </row>
    <row r="161" spans="1:31">
      <c r="A161" s="1711"/>
      <c r="B161" s="116">
        <v>13</v>
      </c>
      <c r="C161" s="332">
        <v>3.7556582668154292</v>
      </c>
      <c r="D161" s="333">
        <f t="shared" si="40"/>
        <v>3.7572741338199513</v>
      </c>
      <c r="E161" s="333">
        <f t="shared" si="40"/>
        <v>3.7483026249259175</v>
      </c>
      <c r="F161" s="333">
        <f t="shared" si="40"/>
        <v>3.7514118335518178</v>
      </c>
      <c r="G161" s="333">
        <f t="shared" si="40"/>
        <v>3.7540302304883109</v>
      </c>
      <c r="H161" s="333">
        <f t="shared" si="40"/>
        <v>3.758648196440872</v>
      </c>
      <c r="I161" s="333">
        <f t="shared" si="40"/>
        <v>3.7593551933852134</v>
      </c>
      <c r="J161" s="333">
        <f t="shared" si="40"/>
        <v>3.7610588525595645</v>
      </c>
      <c r="K161" s="333">
        <f t="shared" si="40"/>
        <v>3.6928133997618922</v>
      </c>
      <c r="L161" s="333">
        <f t="shared" si="40"/>
        <v>3.6899954722409256</v>
      </c>
      <c r="M161" s="333">
        <f t="shared" si="40"/>
        <v>3.6563399354988704</v>
      </c>
      <c r="N161" s="333">
        <f t="shared" si="40"/>
        <v>3.6575381860462879</v>
      </c>
      <c r="O161" s="333">
        <f t="shared" si="40"/>
        <v>2.8886620154487366</v>
      </c>
      <c r="P161" s="333">
        <f t="shared" si="40"/>
        <v>2.6980648353407952</v>
      </c>
      <c r="Q161" s="333">
        <f t="shared" si="40"/>
        <v>0</v>
      </c>
      <c r="R161" s="333">
        <f t="shared" si="40"/>
        <v>0</v>
      </c>
      <c r="S161" s="333">
        <f t="shared" si="40"/>
        <v>0</v>
      </c>
      <c r="T161" s="333">
        <f t="shared" si="38"/>
        <v>0</v>
      </c>
      <c r="U161" s="333">
        <f t="shared" si="38"/>
        <v>0</v>
      </c>
      <c r="V161" s="333">
        <f t="shared" si="38"/>
        <v>0</v>
      </c>
      <c r="W161" s="333">
        <f t="shared" si="38"/>
        <v>0</v>
      </c>
      <c r="X161" s="333">
        <f t="shared" si="38"/>
        <v>0</v>
      </c>
      <c r="Y161" s="333">
        <f t="shared" si="38"/>
        <v>0</v>
      </c>
      <c r="Z161" s="333">
        <f t="shared" si="38"/>
        <v>0</v>
      </c>
      <c r="AA161" s="333">
        <f t="shared" si="39"/>
        <v>0</v>
      </c>
      <c r="AB161" s="333">
        <f t="shared" si="39"/>
        <v>0</v>
      </c>
      <c r="AC161" s="333"/>
      <c r="AD161" s="333"/>
      <c r="AE161" s="334"/>
    </row>
    <row r="162" spans="1:31">
      <c r="A162" s="1711"/>
      <c r="B162" s="116">
        <v>14</v>
      </c>
      <c r="C162" s="332">
        <v>3.764430628430683</v>
      </c>
      <c r="D162" s="333">
        <f t="shared" si="40"/>
        <v>3.7556582668154292</v>
      </c>
      <c r="E162" s="333">
        <f t="shared" si="40"/>
        <v>3.7572741338199513</v>
      </c>
      <c r="F162" s="333">
        <f t="shared" si="40"/>
        <v>3.7483026249259175</v>
      </c>
      <c r="G162" s="333">
        <f t="shared" si="40"/>
        <v>3.7514118335518178</v>
      </c>
      <c r="H162" s="333">
        <f t="shared" si="40"/>
        <v>3.7540302304883109</v>
      </c>
      <c r="I162" s="333">
        <f t="shared" si="40"/>
        <v>3.758648196440872</v>
      </c>
      <c r="J162" s="333">
        <f t="shared" si="40"/>
        <v>3.7593551933852134</v>
      </c>
      <c r="K162" s="333">
        <f t="shared" si="40"/>
        <v>3.7610588525595645</v>
      </c>
      <c r="L162" s="333">
        <f t="shared" si="40"/>
        <v>3.6928133997618922</v>
      </c>
      <c r="M162" s="333">
        <f t="shared" si="40"/>
        <v>3.6899954722409256</v>
      </c>
      <c r="N162" s="333">
        <f t="shared" si="40"/>
        <v>3.6563399354988704</v>
      </c>
      <c r="O162" s="333">
        <f t="shared" si="40"/>
        <v>3.6575381860462879</v>
      </c>
      <c r="P162" s="333">
        <f t="shared" si="40"/>
        <v>2.8886620154487366</v>
      </c>
      <c r="Q162" s="333">
        <f t="shared" si="40"/>
        <v>2.6980648353407952</v>
      </c>
      <c r="R162" s="333">
        <f t="shared" si="40"/>
        <v>0</v>
      </c>
      <c r="S162" s="333">
        <f t="shared" si="40"/>
        <v>0</v>
      </c>
      <c r="T162" s="333">
        <f t="shared" si="38"/>
        <v>0</v>
      </c>
      <c r="U162" s="333">
        <f t="shared" si="38"/>
        <v>0</v>
      </c>
      <c r="V162" s="333">
        <f t="shared" si="38"/>
        <v>0</v>
      </c>
      <c r="W162" s="333">
        <f t="shared" si="38"/>
        <v>0</v>
      </c>
      <c r="X162" s="333">
        <f t="shared" si="38"/>
        <v>0</v>
      </c>
      <c r="Y162" s="333">
        <f t="shared" si="38"/>
        <v>0</v>
      </c>
      <c r="Z162" s="333">
        <f t="shared" si="38"/>
        <v>0</v>
      </c>
      <c r="AA162" s="333">
        <f t="shared" si="39"/>
        <v>0</v>
      </c>
      <c r="AB162" s="333">
        <f t="shared" si="39"/>
        <v>0</v>
      </c>
      <c r="AC162" s="333"/>
      <c r="AD162" s="333"/>
      <c r="AE162" s="334"/>
    </row>
    <row r="163" spans="1:31">
      <c r="A163" s="1711"/>
      <c r="B163" s="116">
        <v>15</v>
      </c>
      <c r="C163" s="332">
        <v>3.7570428002621234</v>
      </c>
      <c r="D163" s="333">
        <f t="shared" si="40"/>
        <v>3.764430628430683</v>
      </c>
      <c r="E163" s="333">
        <f t="shared" si="40"/>
        <v>3.7556582668154292</v>
      </c>
      <c r="F163" s="333">
        <f t="shared" si="40"/>
        <v>3.7572741338199513</v>
      </c>
      <c r="G163" s="333">
        <f t="shared" si="40"/>
        <v>3.7483026249259175</v>
      </c>
      <c r="H163" s="333">
        <f t="shared" si="40"/>
        <v>3.7514118335518178</v>
      </c>
      <c r="I163" s="333">
        <f t="shared" si="40"/>
        <v>3.7540302304883109</v>
      </c>
      <c r="J163" s="333">
        <f t="shared" si="40"/>
        <v>3.758648196440872</v>
      </c>
      <c r="K163" s="333">
        <f t="shared" si="40"/>
        <v>3.7593551933852134</v>
      </c>
      <c r="L163" s="333">
        <f t="shared" si="40"/>
        <v>3.7610588525595645</v>
      </c>
      <c r="M163" s="333">
        <f t="shared" si="40"/>
        <v>3.6928133997618922</v>
      </c>
      <c r="N163" s="333">
        <f t="shared" si="40"/>
        <v>3.6899954722409256</v>
      </c>
      <c r="O163" s="333">
        <f t="shared" si="40"/>
        <v>3.6563399354988704</v>
      </c>
      <c r="P163" s="333">
        <f t="shared" si="40"/>
        <v>3.6575381860462879</v>
      </c>
      <c r="Q163" s="333">
        <f t="shared" si="40"/>
        <v>2.8886620154487366</v>
      </c>
      <c r="R163" s="333">
        <f t="shared" si="40"/>
        <v>2.6980648353407952</v>
      </c>
      <c r="S163" s="333">
        <f t="shared" si="40"/>
        <v>0</v>
      </c>
      <c r="T163" s="333">
        <f t="shared" si="38"/>
        <v>0</v>
      </c>
      <c r="U163" s="333">
        <f t="shared" si="38"/>
        <v>0</v>
      </c>
      <c r="V163" s="333">
        <f t="shared" si="38"/>
        <v>0</v>
      </c>
      <c r="W163" s="333">
        <f t="shared" si="38"/>
        <v>0</v>
      </c>
      <c r="X163" s="333">
        <f t="shared" si="38"/>
        <v>0</v>
      </c>
      <c r="Y163" s="333">
        <f t="shared" si="38"/>
        <v>0</v>
      </c>
      <c r="Z163" s="333">
        <f t="shared" si="38"/>
        <v>0</v>
      </c>
      <c r="AA163" s="333">
        <f t="shared" si="39"/>
        <v>0</v>
      </c>
      <c r="AB163" s="333">
        <f t="shared" si="39"/>
        <v>0</v>
      </c>
      <c r="AC163" s="333"/>
      <c r="AD163" s="333"/>
      <c r="AE163" s="334"/>
    </row>
    <row r="164" spans="1:31">
      <c r="A164" s="1711"/>
      <c r="B164" s="116">
        <v>16</v>
      </c>
      <c r="C164" s="332">
        <v>3.6736866512990325</v>
      </c>
      <c r="D164" s="333">
        <f t="shared" si="40"/>
        <v>3.7570428002621234</v>
      </c>
      <c r="E164" s="333">
        <f t="shared" si="40"/>
        <v>3.764430628430683</v>
      </c>
      <c r="F164" s="333">
        <f t="shared" si="40"/>
        <v>3.7556582668154292</v>
      </c>
      <c r="G164" s="333">
        <f t="shared" si="40"/>
        <v>3.7572741338199513</v>
      </c>
      <c r="H164" s="333">
        <f t="shared" si="40"/>
        <v>3.7483026249259175</v>
      </c>
      <c r="I164" s="333">
        <f t="shared" si="40"/>
        <v>3.7514118335518178</v>
      </c>
      <c r="J164" s="333">
        <f t="shared" si="40"/>
        <v>3.7540302304883109</v>
      </c>
      <c r="K164" s="333">
        <f t="shared" si="40"/>
        <v>3.758648196440872</v>
      </c>
      <c r="L164" s="333">
        <f t="shared" si="40"/>
        <v>3.7593551933852134</v>
      </c>
      <c r="M164" s="333">
        <f t="shared" si="40"/>
        <v>3.7610588525595645</v>
      </c>
      <c r="N164" s="333">
        <f t="shared" si="40"/>
        <v>3.6928133997618922</v>
      </c>
      <c r="O164" s="333">
        <f t="shared" si="40"/>
        <v>3.6899954722409256</v>
      </c>
      <c r="P164" s="333">
        <f t="shared" si="40"/>
        <v>3.6563399354988704</v>
      </c>
      <c r="Q164" s="333">
        <f t="shared" si="40"/>
        <v>3.6575381860462879</v>
      </c>
      <c r="R164" s="333">
        <f t="shared" si="40"/>
        <v>2.8886620154487366</v>
      </c>
      <c r="S164" s="333">
        <f t="shared" si="40"/>
        <v>2.6980648353407952</v>
      </c>
      <c r="T164" s="333">
        <f t="shared" si="38"/>
        <v>0</v>
      </c>
      <c r="U164" s="333">
        <f t="shared" si="38"/>
        <v>0</v>
      </c>
      <c r="V164" s="333">
        <f t="shared" si="38"/>
        <v>0</v>
      </c>
      <c r="W164" s="333">
        <f t="shared" si="38"/>
        <v>0</v>
      </c>
      <c r="X164" s="333">
        <f t="shared" si="38"/>
        <v>0</v>
      </c>
      <c r="Y164" s="333">
        <f t="shared" si="38"/>
        <v>0</v>
      </c>
      <c r="Z164" s="333">
        <f t="shared" si="38"/>
        <v>0</v>
      </c>
      <c r="AA164" s="333">
        <f t="shared" si="39"/>
        <v>0</v>
      </c>
      <c r="AB164" s="333">
        <f t="shared" si="39"/>
        <v>0</v>
      </c>
      <c r="AC164" s="333"/>
      <c r="AD164" s="333"/>
      <c r="AE164" s="334"/>
    </row>
    <row r="165" spans="1:31">
      <c r="A165" s="1711"/>
      <c r="B165" s="116">
        <v>17</v>
      </c>
      <c r="C165" s="332">
        <v>3.6625459555052791</v>
      </c>
      <c r="D165" s="333">
        <f t="shared" si="40"/>
        <v>3.6736866512990325</v>
      </c>
      <c r="E165" s="333">
        <f t="shared" si="40"/>
        <v>3.7570428002621234</v>
      </c>
      <c r="F165" s="333">
        <f t="shared" si="40"/>
        <v>3.764430628430683</v>
      </c>
      <c r="G165" s="333">
        <f t="shared" si="40"/>
        <v>3.7556582668154292</v>
      </c>
      <c r="H165" s="333">
        <f t="shared" si="40"/>
        <v>3.7572741338199513</v>
      </c>
      <c r="I165" s="333">
        <f t="shared" si="40"/>
        <v>3.7483026249259175</v>
      </c>
      <c r="J165" s="333">
        <f t="shared" si="40"/>
        <v>3.7514118335518178</v>
      </c>
      <c r="K165" s="333">
        <f t="shared" si="40"/>
        <v>3.7540302304883109</v>
      </c>
      <c r="L165" s="333">
        <f t="shared" si="40"/>
        <v>3.758648196440872</v>
      </c>
      <c r="M165" s="333">
        <f t="shared" si="40"/>
        <v>3.7593551933852134</v>
      </c>
      <c r="N165" s="333">
        <f t="shared" si="40"/>
        <v>3.7610588525595645</v>
      </c>
      <c r="O165" s="333">
        <f t="shared" si="40"/>
        <v>3.6928133997618922</v>
      </c>
      <c r="P165" s="333">
        <f t="shared" si="40"/>
        <v>3.6899954722409256</v>
      </c>
      <c r="Q165" s="333">
        <f t="shared" si="40"/>
        <v>3.6563399354988704</v>
      </c>
      <c r="R165" s="333">
        <f t="shared" si="40"/>
        <v>3.6575381860462879</v>
      </c>
      <c r="S165" s="333">
        <f t="shared" ref="S165:AB173" si="41">R164</f>
        <v>2.8886620154487366</v>
      </c>
      <c r="T165" s="333">
        <f t="shared" si="41"/>
        <v>2.6980648353407952</v>
      </c>
      <c r="U165" s="333">
        <f t="shared" si="41"/>
        <v>0</v>
      </c>
      <c r="V165" s="333">
        <f t="shared" si="41"/>
        <v>0</v>
      </c>
      <c r="W165" s="333">
        <f t="shared" si="41"/>
        <v>0</v>
      </c>
      <c r="X165" s="333">
        <f t="shared" si="41"/>
        <v>0</v>
      </c>
      <c r="Y165" s="333">
        <f t="shared" si="41"/>
        <v>0</v>
      </c>
      <c r="Z165" s="333">
        <f t="shared" si="41"/>
        <v>0</v>
      </c>
      <c r="AA165" s="333">
        <f t="shared" si="41"/>
        <v>0</v>
      </c>
      <c r="AB165" s="333">
        <f t="shared" si="41"/>
        <v>0</v>
      </c>
      <c r="AC165" s="333"/>
      <c r="AD165" s="333"/>
      <c r="AE165" s="334"/>
    </row>
    <row r="166" spans="1:31">
      <c r="A166" s="1711"/>
      <c r="B166" s="116">
        <v>18</v>
      </c>
      <c r="C166" s="332">
        <v>3.6363452069597066</v>
      </c>
      <c r="D166" s="333">
        <f t="shared" ref="D166:S173" si="42">C165</f>
        <v>3.6625459555052791</v>
      </c>
      <c r="E166" s="333">
        <f t="shared" si="42"/>
        <v>3.6736866512990325</v>
      </c>
      <c r="F166" s="333">
        <f t="shared" si="42"/>
        <v>3.7570428002621234</v>
      </c>
      <c r="G166" s="333">
        <f t="shared" si="42"/>
        <v>3.764430628430683</v>
      </c>
      <c r="H166" s="333">
        <f t="shared" si="42"/>
        <v>3.7556582668154292</v>
      </c>
      <c r="I166" s="333">
        <f t="shared" si="42"/>
        <v>3.7572741338199513</v>
      </c>
      <c r="J166" s="333">
        <f t="shared" si="42"/>
        <v>3.7483026249259175</v>
      </c>
      <c r="K166" s="333">
        <f t="shared" si="42"/>
        <v>3.7514118335518178</v>
      </c>
      <c r="L166" s="333">
        <f t="shared" si="42"/>
        <v>3.7540302304883109</v>
      </c>
      <c r="M166" s="333">
        <f t="shared" si="42"/>
        <v>3.758648196440872</v>
      </c>
      <c r="N166" s="333">
        <f t="shared" si="42"/>
        <v>3.7593551933852134</v>
      </c>
      <c r="O166" s="333">
        <f t="shared" si="42"/>
        <v>3.7610588525595645</v>
      </c>
      <c r="P166" s="333">
        <f t="shared" si="42"/>
        <v>3.6928133997618922</v>
      </c>
      <c r="Q166" s="333">
        <f t="shared" si="42"/>
        <v>3.6899954722409256</v>
      </c>
      <c r="R166" s="333">
        <f t="shared" si="42"/>
        <v>3.6563399354988704</v>
      </c>
      <c r="S166" s="333">
        <f t="shared" si="42"/>
        <v>3.6575381860462879</v>
      </c>
      <c r="T166" s="333">
        <f t="shared" si="41"/>
        <v>2.8886620154487366</v>
      </c>
      <c r="U166" s="333">
        <f t="shared" si="41"/>
        <v>2.6980648353407952</v>
      </c>
      <c r="V166" s="333">
        <f t="shared" si="41"/>
        <v>0</v>
      </c>
      <c r="W166" s="333">
        <f t="shared" si="41"/>
        <v>0</v>
      </c>
      <c r="X166" s="333">
        <f t="shared" si="41"/>
        <v>0</v>
      </c>
      <c r="Y166" s="333">
        <f t="shared" si="41"/>
        <v>0</v>
      </c>
      <c r="Z166" s="333">
        <f t="shared" si="41"/>
        <v>0</v>
      </c>
      <c r="AA166" s="333">
        <f t="shared" si="41"/>
        <v>0</v>
      </c>
      <c r="AB166" s="333">
        <f t="shared" si="41"/>
        <v>0</v>
      </c>
      <c r="AC166" s="333"/>
      <c r="AD166" s="333"/>
      <c r="AE166" s="334"/>
    </row>
    <row r="167" spans="1:31">
      <c r="A167" s="1711"/>
      <c r="B167" s="116">
        <v>19</v>
      </c>
      <c r="C167" s="332">
        <f>C166</f>
        <v>3.6363452069597066</v>
      </c>
      <c r="D167" s="333">
        <f t="shared" si="42"/>
        <v>3.6363452069597066</v>
      </c>
      <c r="E167" s="333">
        <f t="shared" si="42"/>
        <v>3.6625459555052791</v>
      </c>
      <c r="F167" s="333">
        <f t="shared" si="42"/>
        <v>3.6736866512990325</v>
      </c>
      <c r="G167" s="333">
        <f t="shared" si="42"/>
        <v>3.7570428002621234</v>
      </c>
      <c r="H167" s="333">
        <f t="shared" si="42"/>
        <v>3.764430628430683</v>
      </c>
      <c r="I167" s="333">
        <f t="shared" si="42"/>
        <v>3.7556582668154292</v>
      </c>
      <c r="J167" s="333">
        <f t="shared" si="42"/>
        <v>3.7572741338199513</v>
      </c>
      <c r="K167" s="333">
        <f t="shared" si="42"/>
        <v>3.7483026249259175</v>
      </c>
      <c r="L167" s="333">
        <f t="shared" si="42"/>
        <v>3.7514118335518178</v>
      </c>
      <c r="M167" s="333">
        <f t="shared" si="42"/>
        <v>3.7540302304883109</v>
      </c>
      <c r="N167" s="333">
        <f t="shared" si="42"/>
        <v>3.758648196440872</v>
      </c>
      <c r="O167" s="333">
        <f t="shared" si="42"/>
        <v>3.7593551933852134</v>
      </c>
      <c r="P167" s="333">
        <f t="shared" si="42"/>
        <v>3.7610588525595645</v>
      </c>
      <c r="Q167" s="333">
        <f t="shared" si="42"/>
        <v>3.6928133997618922</v>
      </c>
      <c r="R167" s="333">
        <f t="shared" si="42"/>
        <v>3.6899954722409256</v>
      </c>
      <c r="S167" s="333">
        <f t="shared" si="42"/>
        <v>3.6563399354988704</v>
      </c>
      <c r="T167" s="333">
        <f t="shared" si="41"/>
        <v>3.6575381860462879</v>
      </c>
      <c r="U167" s="333">
        <f t="shared" si="41"/>
        <v>2.8886620154487366</v>
      </c>
      <c r="V167" s="333">
        <f t="shared" si="41"/>
        <v>2.6980648353407952</v>
      </c>
      <c r="W167" s="333">
        <f t="shared" si="41"/>
        <v>0</v>
      </c>
      <c r="X167" s="333">
        <f t="shared" si="41"/>
        <v>0</v>
      </c>
      <c r="Y167" s="333">
        <f t="shared" si="41"/>
        <v>0</v>
      </c>
      <c r="Z167" s="333">
        <f t="shared" si="41"/>
        <v>0</v>
      </c>
      <c r="AA167" s="333">
        <f t="shared" si="41"/>
        <v>0</v>
      </c>
      <c r="AB167" s="333">
        <f t="shared" si="41"/>
        <v>0</v>
      </c>
      <c r="AC167" s="333"/>
      <c r="AD167" s="333"/>
      <c r="AE167" s="334"/>
    </row>
    <row r="168" spans="1:31">
      <c r="A168" s="1711"/>
      <c r="B168" s="116">
        <v>20</v>
      </c>
      <c r="C168" s="332">
        <f t="shared" ref="C168:C173" si="43">C167</f>
        <v>3.6363452069597066</v>
      </c>
      <c r="D168" s="333">
        <f t="shared" si="42"/>
        <v>3.6363452069597066</v>
      </c>
      <c r="E168" s="333">
        <f t="shared" si="42"/>
        <v>3.6363452069597066</v>
      </c>
      <c r="F168" s="333">
        <f t="shared" si="42"/>
        <v>3.6625459555052791</v>
      </c>
      <c r="G168" s="333">
        <f t="shared" si="42"/>
        <v>3.6736866512990325</v>
      </c>
      <c r="H168" s="333">
        <f t="shared" si="42"/>
        <v>3.7570428002621234</v>
      </c>
      <c r="I168" s="333">
        <f t="shared" si="42"/>
        <v>3.764430628430683</v>
      </c>
      <c r="J168" s="333">
        <f t="shared" si="42"/>
        <v>3.7556582668154292</v>
      </c>
      <c r="K168" s="333">
        <f t="shared" si="42"/>
        <v>3.7572741338199513</v>
      </c>
      <c r="L168" s="333">
        <f t="shared" si="42"/>
        <v>3.7483026249259175</v>
      </c>
      <c r="M168" s="333">
        <f t="shared" si="42"/>
        <v>3.7514118335518178</v>
      </c>
      <c r="N168" s="333">
        <f t="shared" si="42"/>
        <v>3.7540302304883109</v>
      </c>
      <c r="O168" s="333">
        <f t="shared" si="42"/>
        <v>3.758648196440872</v>
      </c>
      <c r="P168" s="333">
        <f t="shared" si="42"/>
        <v>3.7593551933852134</v>
      </c>
      <c r="Q168" s="333">
        <f t="shared" si="42"/>
        <v>3.7610588525595645</v>
      </c>
      <c r="R168" s="333">
        <f t="shared" si="42"/>
        <v>3.6928133997618922</v>
      </c>
      <c r="S168" s="333">
        <f t="shared" si="42"/>
        <v>3.6899954722409256</v>
      </c>
      <c r="T168" s="333">
        <f t="shared" si="41"/>
        <v>3.6563399354988704</v>
      </c>
      <c r="U168" s="333">
        <f t="shared" si="41"/>
        <v>3.6575381860462879</v>
      </c>
      <c r="V168" s="333">
        <f t="shared" si="41"/>
        <v>2.8886620154487366</v>
      </c>
      <c r="W168" s="333">
        <f t="shared" si="41"/>
        <v>2.6980648353407952</v>
      </c>
      <c r="X168" s="333">
        <f t="shared" si="41"/>
        <v>0</v>
      </c>
      <c r="Y168" s="333">
        <f t="shared" si="41"/>
        <v>0</v>
      </c>
      <c r="Z168" s="333">
        <f t="shared" si="41"/>
        <v>0</v>
      </c>
      <c r="AA168" s="333">
        <f t="shared" si="41"/>
        <v>0</v>
      </c>
      <c r="AB168" s="333">
        <f t="shared" si="41"/>
        <v>0</v>
      </c>
      <c r="AC168" s="333"/>
      <c r="AD168" s="333"/>
      <c r="AE168" s="334"/>
    </row>
    <row r="169" spans="1:31">
      <c r="A169" s="1711"/>
      <c r="B169" s="116">
        <v>21</v>
      </c>
      <c r="C169" s="332">
        <f t="shared" si="43"/>
        <v>3.6363452069597066</v>
      </c>
      <c r="D169" s="333">
        <f t="shared" si="42"/>
        <v>3.6363452069597066</v>
      </c>
      <c r="E169" s="333">
        <f t="shared" si="42"/>
        <v>3.6363452069597066</v>
      </c>
      <c r="F169" s="333">
        <f t="shared" si="42"/>
        <v>3.6363452069597066</v>
      </c>
      <c r="G169" s="333">
        <f t="shared" si="42"/>
        <v>3.6625459555052791</v>
      </c>
      <c r="H169" s="333">
        <f t="shared" si="42"/>
        <v>3.6736866512990325</v>
      </c>
      <c r="I169" s="333">
        <f t="shared" si="42"/>
        <v>3.7570428002621234</v>
      </c>
      <c r="J169" s="333">
        <f t="shared" si="42"/>
        <v>3.764430628430683</v>
      </c>
      <c r="K169" s="333">
        <f t="shared" si="42"/>
        <v>3.7556582668154292</v>
      </c>
      <c r="L169" s="333">
        <f t="shared" si="42"/>
        <v>3.7572741338199513</v>
      </c>
      <c r="M169" s="333">
        <f t="shared" si="42"/>
        <v>3.7483026249259175</v>
      </c>
      <c r="N169" s="333">
        <f t="shared" si="42"/>
        <v>3.7514118335518178</v>
      </c>
      <c r="O169" s="333">
        <f t="shared" si="42"/>
        <v>3.7540302304883109</v>
      </c>
      <c r="P169" s="333">
        <f t="shared" si="42"/>
        <v>3.758648196440872</v>
      </c>
      <c r="Q169" s="333">
        <f t="shared" si="42"/>
        <v>3.7593551933852134</v>
      </c>
      <c r="R169" s="333">
        <f t="shared" si="42"/>
        <v>3.7610588525595645</v>
      </c>
      <c r="S169" s="333">
        <f t="shared" si="42"/>
        <v>3.6928133997618922</v>
      </c>
      <c r="T169" s="333">
        <f t="shared" si="41"/>
        <v>3.6899954722409256</v>
      </c>
      <c r="U169" s="333">
        <f t="shared" si="41"/>
        <v>3.6563399354988704</v>
      </c>
      <c r="V169" s="333">
        <f t="shared" si="41"/>
        <v>3.6575381860462879</v>
      </c>
      <c r="W169" s="333">
        <f t="shared" si="41"/>
        <v>2.8886620154487366</v>
      </c>
      <c r="X169" s="333">
        <f t="shared" si="41"/>
        <v>2.6980648353407952</v>
      </c>
      <c r="Y169" s="333">
        <f t="shared" si="41"/>
        <v>0</v>
      </c>
      <c r="Z169" s="333">
        <f t="shared" si="41"/>
        <v>0</v>
      </c>
      <c r="AA169" s="333">
        <f t="shared" si="41"/>
        <v>0</v>
      </c>
      <c r="AB169" s="333">
        <f t="shared" si="41"/>
        <v>0</v>
      </c>
      <c r="AC169" s="333"/>
      <c r="AD169" s="333"/>
      <c r="AE169" s="334"/>
    </row>
    <row r="170" spans="1:31">
      <c r="A170" s="1711"/>
      <c r="B170" s="116">
        <v>22</v>
      </c>
      <c r="C170" s="332">
        <f t="shared" si="43"/>
        <v>3.6363452069597066</v>
      </c>
      <c r="D170" s="333">
        <f t="shared" si="42"/>
        <v>3.6363452069597066</v>
      </c>
      <c r="E170" s="333">
        <f t="shared" si="42"/>
        <v>3.6363452069597066</v>
      </c>
      <c r="F170" s="333">
        <f t="shared" si="42"/>
        <v>3.6363452069597066</v>
      </c>
      <c r="G170" s="333">
        <f t="shared" si="42"/>
        <v>3.6363452069597066</v>
      </c>
      <c r="H170" s="333">
        <f t="shared" si="42"/>
        <v>3.6625459555052791</v>
      </c>
      <c r="I170" s="333">
        <f t="shared" si="42"/>
        <v>3.6736866512990325</v>
      </c>
      <c r="J170" s="333">
        <f t="shared" si="42"/>
        <v>3.7570428002621234</v>
      </c>
      <c r="K170" s="333">
        <f t="shared" si="42"/>
        <v>3.764430628430683</v>
      </c>
      <c r="L170" s="333">
        <f t="shared" si="42"/>
        <v>3.7556582668154292</v>
      </c>
      <c r="M170" s="333">
        <f t="shared" si="42"/>
        <v>3.7572741338199513</v>
      </c>
      <c r="N170" s="333">
        <f t="shared" si="42"/>
        <v>3.7483026249259175</v>
      </c>
      <c r="O170" s="333">
        <f t="shared" si="42"/>
        <v>3.7514118335518178</v>
      </c>
      <c r="P170" s="333">
        <f t="shared" si="42"/>
        <v>3.7540302304883109</v>
      </c>
      <c r="Q170" s="333">
        <f t="shared" si="42"/>
        <v>3.758648196440872</v>
      </c>
      <c r="R170" s="333">
        <f t="shared" si="42"/>
        <v>3.7593551933852134</v>
      </c>
      <c r="S170" s="333">
        <f t="shared" si="42"/>
        <v>3.7610588525595645</v>
      </c>
      <c r="T170" s="333">
        <f t="shared" si="41"/>
        <v>3.6928133997618922</v>
      </c>
      <c r="U170" s="333">
        <f t="shared" si="41"/>
        <v>3.6899954722409256</v>
      </c>
      <c r="V170" s="333">
        <f t="shared" si="41"/>
        <v>3.6563399354988704</v>
      </c>
      <c r="W170" s="333">
        <f t="shared" si="41"/>
        <v>3.6575381860462879</v>
      </c>
      <c r="X170" s="333">
        <f t="shared" si="41"/>
        <v>2.8886620154487366</v>
      </c>
      <c r="Y170" s="333">
        <f t="shared" si="41"/>
        <v>2.6980648353407952</v>
      </c>
      <c r="Z170" s="333">
        <f t="shared" si="41"/>
        <v>0</v>
      </c>
      <c r="AA170" s="333">
        <f t="shared" si="41"/>
        <v>0</v>
      </c>
      <c r="AB170" s="333">
        <f t="shared" si="41"/>
        <v>0</v>
      </c>
      <c r="AC170" s="333"/>
      <c r="AD170" s="333"/>
      <c r="AE170" s="334"/>
    </row>
    <row r="171" spans="1:31">
      <c r="A171" s="1711"/>
      <c r="B171" s="116">
        <v>23</v>
      </c>
      <c r="C171" s="332">
        <f t="shared" si="43"/>
        <v>3.6363452069597066</v>
      </c>
      <c r="D171" s="333">
        <f t="shared" si="42"/>
        <v>3.6363452069597066</v>
      </c>
      <c r="E171" s="333">
        <f t="shared" si="42"/>
        <v>3.6363452069597066</v>
      </c>
      <c r="F171" s="333">
        <f t="shared" si="42"/>
        <v>3.6363452069597066</v>
      </c>
      <c r="G171" s="333">
        <f t="shared" si="42"/>
        <v>3.6363452069597066</v>
      </c>
      <c r="H171" s="333">
        <f t="shared" si="42"/>
        <v>3.6363452069597066</v>
      </c>
      <c r="I171" s="333">
        <f t="shared" si="42"/>
        <v>3.6625459555052791</v>
      </c>
      <c r="J171" s="333">
        <f t="shared" si="42"/>
        <v>3.6736866512990325</v>
      </c>
      <c r="K171" s="333">
        <f t="shared" si="42"/>
        <v>3.7570428002621234</v>
      </c>
      <c r="L171" s="333">
        <f t="shared" si="42"/>
        <v>3.764430628430683</v>
      </c>
      <c r="M171" s="333">
        <f t="shared" si="42"/>
        <v>3.7556582668154292</v>
      </c>
      <c r="N171" s="333">
        <f t="shared" si="42"/>
        <v>3.7572741338199513</v>
      </c>
      <c r="O171" s="333">
        <f t="shared" si="42"/>
        <v>3.7483026249259175</v>
      </c>
      <c r="P171" s="333">
        <f t="shared" si="42"/>
        <v>3.7514118335518178</v>
      </c>
      <c r="Q171" s="333">
        <f t="shared" si="42"/>
        <v>3.7540302304883109</v>
      </c>
      <c r="R171" s="333">
        <f t="shared" si="42"/>
        <v>3.758648196440872</v>
      </c>
      <c r="S171" s="333">
        <f t="shared" si="42"/>
        <v>3.7593551933852134</v>
      </c>
      <c r="T171" s="333">
        <f t="shared" si="41"/>
        <v>3.7610588525595645</v>
      </c>
      <c r="U171" s="333">
        <f t="shared" si="41"/>
        <v>3.6928133997618922</v>
      </c>
      <c r="V171" s="333">
        <f t="shared" si="41"/>
        <v>3.6899954722409256</v>
      </c>
      <c r="W171" s="333">
        <f t="shared" si="41"/>
        <v>3.6563399354988704</v>
      </c>
      <c r="X171" s="333">
        <f t="shared" si="41"/>
        <v>3.6575381860462879</v>
      </c>
      <c r="Y171" s="333">
        <f t="shared" si="41"/>
        <v>2.8886620154487366</v>
      </c>
      <c r="Z171" s="333">
        <f t="shared" si="41"/>
        <v>2.6980648353407952</v>
      </c>
      <c r="AA171" s="333">
        <f t="shared" si="41"/>
        <v>0</v>
      </c>
      <c r="AB171" s="333">
        <f t="shared" si="41"/>
        <v>0</v>
      </c>
      <c r="AC171" s="333"/>
      <c r="AD171" s="333"/>
      <c r="AE171" s="334"/>
    </row>
    <row r="172" spans="1:31">
      <c r="A172" s="1711"/>
      <c r="B172" s="116">
        <v>24</v>
      </c>
      <c r="C172" s="332">
        <f t="shared" si="43"/>
        <v>3.6363452069597066</v>
      </c>
      <c r="D172" s="333">
        <f t="shared" si="42"/>
        <v>3.6363452069597066</v>
      </c>
      <c r="E172" s="333">
        <f t="shared" si="42"/>
        <v>3.6363452069597066</v>
      </c>
      <c r="F172" s="333">
        <f t="shared" si="42"/>
        <v>3.6363452069597066</v>
      </c>
      <c r="G172" s="333">
        <f t="shared" si="42"/>
        <v>3.6363452069597066</v>
      </c>
      <c r="H172" s="333">
        <f t="shared" si="42"/>
        <v>3.6363452069597066</v>
      </c>
      <c r="I172" s="333">
        <f t="shared" si="42"/>
        <v>3.6363452069597066</v>
      </c>
      <c r="J172" s="333">
        <f t="shared" si="42"/>
        <v>3.6625459555052791</v>
      </c>
      <c r="K172" s="333">
        <f t="shared" si="42"/>
        <v>3.6736866512990325</v>
      </c>
      <c r="L172" s="333">
        <f t="shared" si="42"/>
        <v>3.7570428002621234</v>
      </c>
      <c r="M172" s="333">
        <f t="shared" si="42"/>
        <v>3.764430628430683</v>
      </c>
      <c r="N172" s="333">
        <f t="shared" si="42"/>
        <v>3.7556582668154292</v>
      </c>
      <c r="O172" s="333">
        <f t="shared" si="42"/>
        <v>3.7572741338199513</v>
      </c>
      <c r="P172" s="333">
        <f t="shared" si="42"/>
        <v>3.7483026249259175</v>
      </c>
      <c r="Q172" s="333">
        <f t="shared" si="42"/>
        <v>3.7514118335518178</v>
      </c>
      <c r="R172" s="333">
        <f t="shared" si="42"/>
        <v>3.7540302304883109</v>
      </c>
      <c r="S172" s="333">
        <f t="shared" si="42"/>
        <v>3.758648196440872</v>
      </c>
      <c r="T172" s="333">
        <f t="shared" si="41"/>
        <v>3.7593551933852134</v>
      </c>
      <c r="U172" s="333">
        <f t="shared" si="41"/>
        <v>3.7610588525595645</v>
      </c>
      <c r="V172" s="333">
        <f t="shared" si="41"/>
        <v>3.6928133997618922</v>
      </c>
      <c r="W172" s="333">
        <f t="shared" si="41"/>
        <v>3.6899954722409256</v>
      </c>
      <c r="X172" s="333">
        <f t="shared" si="41"/>
        <v>3.6563399354988704</v>
      </c>
      <c r="Y172" s="333">
        <f t="shared" si="41"/>
        <v>3.6575381860462879</v>
      </c>
      <c r="Z172" s="333">
        <f t="shared" si="41"/>
        <v>2.8886620154487366</v>
      </c>
      <c r="AA172" s="333">
        <f t="shared" si="41"/>
        <v>2.6980648353407952</v>
      </c>
      <c r="AB172" s="333">
        <f t="shared" si="41"/>
        <v>0</v>
      </c>
      <c r="AC172" s="333"/>
      <c r="AD172" s="333"/>
      <c r="AE172" s="334"/>
    </row>
    <row r="173" spans="1:31" ht="15.75" thickBot="1">
      <c r="A173" s="1711"/>
      <c r="B173" s="116">
        <v>25</v>
      </c>
      <c r="C173" s="332">
        <f t="shared" si="43"/>
        <v>3.6363452069597066</v>
      </c>
      <c r="D173" s="333">
        <f t="shared" si="42"/>
        <v>3.6363452069597066</v>
      </c>
      <c r="E173" s="333">
        <f t="shared" si="42"/>
        <v>3.6363452069597066</v>
      </c>
      <c r="F173" s="333">
        <f t="shared" si="42"/>
        <v>3.6363452069597066</v>
      </c>
      <c r="G173" s="333">
        <f t="shared" si="42"/>
        <v>3.6363452069597066</v>
      </c>
      <c r="H173" s="333">
        <f t="shared" si="42"/>
        <v>3.6363452069597066</v>
      </c>
      <c r="I173" s="333">
        <f t="shared" si="42"/>
        <v>3.6363452069597066</v>
      </c>
      <c r="J173" s="333">
        <f t="shared" si="42"/>
        <v>3.6363452069597066</v>
      </c>
      <c r="K173" s="333">
        <f t="shared" si="42"/>
        <v>3.6625459555052791</v>
      </c>
      <c r="L173" s="333">
        <f t="shared" si="42"/>
        <v>3.6736866512990325</v>
      </c>
      <c r="M173" s="333">
        <f t="shared" si="42"/>
        <v>3.7570428002621234</v>
      </c>
      <c r="N173" s="333">
        <f t="shared" si="42"/>
        <v>3.764430628430683</v>
      </c>
      <c r="O173" s="333">
        <f t="shared" si="42"/>
        <v>3.7556582668154292</v>
      </c>
      <c r="P173" s="333">
        <f t="shared" si="42"/>
        <v>3.7572741338199513</v>
      </c>
      <c r="Q173" s="333">
        <f t="shared" si="42"/>
        <v>3.7483026249259175</v>
      </c>
      <c r="R173" s="333">
        <f t="shared" si="42"/>
        <v>3.7514118335518178</v>
      </c>
      <c r="S173" s="333">
        <f t="shared" si="42"/>
        <v>3.7540302304883109</v>
      </c>
      <c r="T173" s="333">
        <f t="shared" si="41"/>
        <v>3.758648196440872</v>
      </c>
      <c r="U173" s="333">
        <f t="shared" si="41"/>
        <v>3.7593551933852134</v>
      </c>
      <c r="V173" s="333">
        <f t="shared" si="41"/>
        <v>3.7610588525595645</v>
      </c>
      <c r="W173" s="333">
        <f t="shared" si="41"/>
        <v>3.6928133997618922</v>
      </c>
      <c r="X173" s="333">
        <f t="shared" si="41"/>
        <v>3.6899954722409256</v>
      </c>
      <c r="Y173" s="333">
        <f t="shared" si="41"/>
        <v>3.6563399354988704</v>
      </c>
      <c r="Z173" s="333">
        <f t="shared" si="41"/>
        <v>3.6575381860462879</v>
      </c>
      <c r="AA173" s="333">
        <f t="shared" si="41"/>
        <v>2.8886620154487366</v>
      </c>
      <c r="AB173" s="333">
        <f t="shared" si="41"/>
        <v>2.6980648353407952</v>
      </c>
      <c r="AC173" s="333"/>
      <c r="AD173" s="333"/>
      <c r="AE173" s="334"/>
    </row>
    <row r="174" spans="1:31" ht="16.5" thickTop="1" thickBot="1">
      <c r="A174" s="1712"/>
      <c r="B174" s="300" t="s">
        <v>39</v>
      </c>
      <c r="C174" s="380">
        <f>SUMPRODUCT(C148:C173,'FREH Stock'!C288:C313)/'FREH Stock'!C314</f>
        <v>3.6694294317483842</v>
      </c>
      <c r="D174" s="381">
        <f>SUMPRODUCT(D148:D173,'FREH Stock'!D288:D313)/'FREH Stock'!D314</f>
        <v>3.6561872992389279</v>
      </c>
      <c r="E174" s="381">
        <f>SUMPRODUCT(E148:E173,'FREH Stock'!E288:E313)/'FREH Stock'!E314</f>
        <v>3.6403176098130907</v>
      </c>
      <c r="F174" s="381">
        <f>SUMPRODUCT(F148:F173,'FREH Stock'!F288:F313)/'FREH Stock'!F314</f>
        <v>3.6205536120066704</v>
      </c>
      <c r="G174" s="381">
        <f>SUMPRODUCT(G148:G173,'FREH Stock'!G288:G313)/'FREH Stock'!G314</f>
        <v>3.595195391647537</v>
      </c>
      <c r="H174" s="381">
        <f>SUMPRODUCT(H148:H173,'FREH Stock'!H288:H313)/'FREH Stock'!H314</f>
        <v>3.5625889949403975</v>
      </c>
      <c r="I174" s="381">
        <f>SUMPRODUCT(I148:I173,'FREH Stock'!I288:I313)/'FREH Stock'!I314</f>
        <v>3.5203858040914171</v>
      </c>
      <c r="J174" s="381">
        <f>SUMPRODUCT(J148:J173,'FREH Stock'!J288:J313)/'FREH Stock'!J314</f>
        <v>3.4666890797707008</v>
      </c>
      <c r="K174" s="381">
        <f>SUMPRODUCT(K148:K173,'FREH Stock'!K288:K313)/'FREH Stock'!K314</f>
        <v>3.4014584498385592</v>
      </c>
      <c r="L174" s="381">
        <f>SUMPRODUCT(L148:L173,'FREH Stock'!L288:L313)/'FREH Stock'!L314</f>
        <v>3.3255973389705948</v>
      </c>
      <c r="M174" s="381">
        <f>SUMPRODUCT(M148:M173,'FREH Stock'!M288:M313)/'FREH Stock'!M314</f>
        <v>3.2412896191503551</v>
      </c>
      <c r="N174" s="381">
        <f>SUMPRODUCT(N148:N173,'FREH Stock'!N288:N313)/'FREH Stock'!N314</f>
        <v>3.1565562270966439</v>
      </c>
      <c r="O174" s="381">
        <f>SUMPRODUCT(O148:O173,'FREH Stock'!O288:O313)/'FREH Stock'!O314</f>
        <v>3.0791613522973544</v>
      </c>
      <c r="P174" s="381">
        <f>SUMPRODUCT(P148:P173,'FREH Stock'!P288:P313)/'FREH Stock'!P314</f>
        <v>3.0132241621810141</v>
      </c>
      <c r="Q174" s="381">
        <f>SUMPRODUCT(Q148:Q173,'FREH Stock'!Q288:Q313)/'FREH Stock'!Q314</f>
        <v>2.9593846457678969</v>
      </c>
      <c r="R174" s="381">
        <f>SUMPRODUCT(R148:R173,'FREH Stock'!R288:R313)/'FREH Stock'!R314</f>
        <v>2.9129965485748541</v>
      </c>
      <c r="S174" s="381">
        <f>SUMPRODUCT(S148:S173,'FREH Stock'!S288:S313)/'FREH Stock'!S314</f>
        <v>2.8716910703760012</v>
      </c>
      <c r="T174" s="381">
        <f>SUMPRODUCT(T148:T173,'FREH Stock'!T288:T313)/'FREH Stock'!T314</f>
        <v>2.8354412230670571</v>
      </c>
      <c r="U174" s="381">
        <f>SUMPRODUCT(U148:U173,'FREH Stock'!U288:U313)/'FREH Stock'!U314</f>
        <v>2.8040078519846738</v>
      </c>
      <c r="V174" s="381">
        <f>SUMPRODUCT(V148:V173,'FREH Stock'!V288:V313)/'FREH Stock'!V314</f>
        <v>2.7770370650429577</v>
      </c>
      <c r="W174" s="381">
        <f>SUMPRODUCT(W148:W173,'FREH Stock'!W288:W313)/'FREH Stock'!W314</f>
        <v>2.754147498117518</v>
      </c>
      <c r="X174" s="381">
        <f>SUMPRODUCT(X148:X173,'FREH Stock'!X288:X313)/'FREH Stock'!X314</f>
        <v>2.7349986560196831</v>
      </c>
      <c r="Y174" s="381">
        <f>SUMPRODUCT(Y148:Y173,'FREH Stock'!Y288:Y313)/'FREH Stock'!Y314</f>
        <v>2.7193382037367115</v>
      </c>
      <c r="Z174" s="381">
        <f>SUMPRODUCT(Z148:Z173,'FREH Stock'!Z288:Z313)/'FREH Stock'!Z314</f>
        <v>2.707029874727982</v>
      </c>
      <c r="AA174" s="381">
        <f>SUMPRODUCT(AA148:AA173,'FREH Stock'!AA288:AA313)/'FREH Stock'!AA314</f>
        <v>2.6980648353407952</v>
      </c>
      <c r="AB174" s="381" t="e">
        <f>SUMPRODUCT(AB148:AB173,'FREH Stock'!AB288:AB313)/'FREH Stock'!AB314</f>
        <v>#DIV/0!</v>
      </c>
      <c r="AC174" s="381" t="e">
        <f>SUMPRODUCT(AC148:AC173,'FREH Stock'!AC288:AC313)/'FREH Stock'!AC314</f>
        <v>#DIV/0!</v>
      </c>
      <c r="AD174" s="381" t="e">
        <f>SUMPRODUCT(AD148:AD173,'FREH Stock'!AD288:AD313)/'FREH Stock'!AD314</f>
        <v>#DIV/0!</v>
      </c>
      <c r="AE174" s="382" t="e">
        <f>SUMPRODUCT(AE148:AE173,'FREH Stock'!AE288:AE313)/'FREH Stock'!AE314</f>
        <v>#DIV/0!</v>
      </c>
    </row>
  </sheetData>
  <mergeCells count="6">
    <mergeCell ref="A147:A174"/>
    <mergeCell ref="A2:A29"/>
    <mergeCell ref="A31:A58"/>
    <mergeCell ref="A60:A87"/>
    <mergeCell ref="A89:A116"/>
    <mergeCell ref="A118:A145"/>
  </mergeCells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3">
    <tabColor theme="5"/>
  </sheetPr>
  <dimension ref="A1:Z38"/>
  <sheetViews>
    <sheetView workbookViewId="0">
      <selection activeCell="D1" sqref="D1"/>
    </sheetView>
  </sheetViews>
  <sheetFormatPr defaultRowHeight="15"/>
  <cols>
    <col min="1" max="1" width="22.140625" bestFit="1" customWidth="1"/>
    <col min="2" max="6" width="15.140625" bestFit="1" customWidth="1"/>
    <col min="7" max="7" width="22.140625" bestFit="1" customWidth="1"/>
    <col min="8" max="8" width="19.28515625" bestFit="1" customWidth="1"/>
    <col min="9" max="9" width="20.85546875" bestFit="1" customWidth="1"/>
    <col min="10" max="10" width="13.7109375" bestFit="1" customWidth="1"/>
    <col min="11" max="12" width="13.42578125" bestFit="1" customWidth="1"/>
    <col min="13" max="15" width="12.28515625" bestFit="1" customWidth="1"/>
    <col min="16" max="17" width="11.28515625" bestFit="1" customWidth="1"/>
    <col min="18" max="19" width="9.5703125" bestFit="1" customWidth="1"/>
    <col min="20" max="21" width="8.5703125" bestFit="1" customWidth="1"/>
    <col min="22" max="22" width="7.42578125" bestFit="1" customWidth="1"/>
    <col min="23" max="23" width="5.85546875" bestFit="1" customWidth="1"/>
    <col min="24" max="26" width="5.5703125" bestFit="1" customWidth="1"/>
  </cols>
  <sheetData>
    <row r="1" spans="1:11">
      <c r="A1" t="s">
        <v>226</v>
      </c>
      <c r="D1" s="379">
        <f>D4/'FREH HGV SEC'!B17</f>
        <v>0.86424189127578399</v>
      </c>
    </row>
    <row r="2" spans="1:11" ht="22.5">
      <c r="A2" s="266" t="s">
        <v>176</v>
      </c>
      <c r="B2" s="266" t="s">
        <v>120</v>
      </c>
      <c r="C2" s="266" t="s">
        <v>121</v>
      </c>
      <c r="D2" s="266" t="s">
        <v>131</v>
      </c>
      <c r="E2" s="266" t="s">
        <v>39</v>
      </c>
      <c r="G2" s="266" t="s">
        <v>176</v>
      </c>
      <c r="H2" s="266" t="s">
        <v>177</v>
      </c>
      <c r="I2" s="266" t="s">
        <v>179</v>
      </c>
      <c r="J2" s="266" t="s">
        <v>180</v>
      </c>
      <c r="K2" s="266" t="s">
        <v>39</v>
      </c>
    </row>
    <row r="3" spans="1:11">
      <c r="A3" s="282">
        <v>2013</v>
      </c>
      <c r="B3" s="284">
        <v>419</v>
      </c>
      <c r="C3" s="284">
        <v>3197</v>
      </c>
      <c r="D3" s="284">
        <v>5522</v>
      </c>
      <c r="E3" s="285">
        <v>9138</v>
      </c>
      <c r="G3" s="282">
        <v>2013</v>
      </c>
      <c r="H3" s="284">
        <v>4518</v>
      </c>
      <c r="I3" s="284">
        <v>1147</v>
      </c>
      <c r="J3" s="284">
        <v>3472</v>
      </c>
      <c r="K3" s="285">
        <f t="shared" ref="K3:K21" si="0">SUM(H3:J3)</f>
        <v>9137</v>
      </c>
    </row>
    <row r="4" spans="1:11">
      <c r="A4" s="282">
        <v>2012</v>
      </c>
      <c r="B4" s="284">
        <v>491</v>
      </c>
      <c r="C4" s="284">
        <v>3595</v>
      </c>
      <c r="D4" s="284">
        <v>5809</v>
      </c>
      <c r="E4" s="285">
        <v>9895</v>
      </c>
      <c r="G4" s="282">
        <v>2012</v>
      </c>
      <c r="H4" s="284">
        <v>4910</v>
      </c>
      <c r="I4" s="284">
        <v>1228</v>
      </c>
      <c r="J4" s="284">
        <v>3756</v>
      </c>
      <c r="K4" s="285">
        <f t="shared" si="0"/>
        <v>9894</v>
      </c>
    </row>
    <row r="5" spans="1:11">
      <c r="A5" s="282">
        <v>2011</v>
      </c>
      <c r="B5" s="284">
        <v>479</v>
      </c>
      <c r="C5" s="284">
        <v>3800</v>
      </c>
      <c r="D5" s="284">
        <v>5662</v>
      </c>
      <c r="E5" s="285">
        <v>9941</v>
      </c>
      <c r="G5" s="282">
        <v>2011</v>
      </c>
      <c r="H5" s="284">
        <v>4896</v>
      </c>
      <c r="I5" s="284">
        <v>1279</v>
      </c>
      <c r="J5" s="284">
        <v>3766</v>
      </c>
      <c r="K5" s="285">
        <f t="shared" si="0"/>
        <v>9941</v>
      </c>
    </row>
    <row r="6" spans="1:11">
      <c r="A6" s="282">
        <v>2010</v>
      </c>
      <c r="B6" s="284">
        <v>560</v>
      </c>
      <c r="C6" s="284">
        <v>4512</v>
      </c>
      <c r="D6" s="284">
        <v>5852</v>
      </c>
      <c r="E6" s="285">
        <v>10924</v>
      </c>
      <c r="G6" s="282">
        <v>2010</v>
      </c>
      <c r="H6" s="284">
        <v>5314</v>
      </c>
      <c r="I6" s="284">
        <v>1587</v>
      </c>
      <c r="J6" s="284">
        <v>4023</v>
      </c>
      <c r="K6" s="285">
        <f t="shared" si="0"/>
        <v>10924</v>
      </c>
    </row>
    <row r="7" spans="1:11">
      <c r="A7" s="282">
        <v>2009</v>
      </c>
      <c r="B7" s="284">
        <v>812</v>
      </c>
      <c r="C7" s="284">
        <v>5306</v>
      </c>
      <c r="D7" s="284">
        <v>5951</v>
      </c>
      <c r="E7" s="285">
        <v>12069</v>
      </c>
      <c r="G7" s="282">
        <v>2009</v>
      </c>
      <c r="H7" s="284">
        <v>5416</v>
      </c>
      <c r="I7" s="284">
        <v>2176</v>
      </c>
      <c r="J7" s="284">
        <v>4476</v>
      </c>
      <c r="K7" s="285">
        <f t="shared" si="0"/>
        <v>12068</v>
      </c>
    </row>
    <row r="8" spans="1:11">
      <c r="A8" s="282">
        <v>2008</v>
      </c>
      <c r="B8" s="284">
        <v>1139</v>
      </c>
      <c r="C8" s="284">
        <v>7878</v>
      </c>
      <c r="D8" s="284">
        <v>8273</v>
      </c>
      <c r="E8" s="285">
        <v>17290</v>
      </c>
      <c r="G8" s="282">
        <v>2008</v>
      </c>
      <c r="H8" s="284">
        <v>5666</v>
      </c>
      <c r="I8" s="284">
        <v>6835</v>
      </c>
      <c r="J8" s="284">
        <v>4787</v>
      </c>
      <c r="K8" s="285">
        <f t="shared" si="0"/>
        <v>17288</v>
      </c>
    </row>
    <row r="9" spans="1:11">
      <c r="A9" s="283">
        <v>2007</v>
      </c>
      <c r="B9" s="284">
        <v>1229</v>
      </c>
      <c r="C9" s="284">
        <v>10027</v>
      </c>
      <c r="D9" s="284">
        <v>7890</v>
      </c>
      <c r="E9" s="286">
        <v>19146</v>
      </c>
      <c r="G9" s="283">
        <v>2007</v>
      </c>
      <c r="H9" s="284">
        <v>5677</v>
      </c>
      <c r="I9" s="284">
        <v>8554</v>
      </c>
      <c r="J9" s="284">
        <v>4916</v>
      </c>
      <c r="K9" s="286">
        <f t="shared" si="0"/>
        <v>19147</v>
      </c>
    </row>
    <row r="10" spans="1:11">
      <c r="A10" s="282">
        <v>2006</v>
      </c>
      <c r="B10" s="284">
        <v>1222</v>
      </c>
      <c r="C10" s="284">
        <v>9279</v>
      </c>
      <c r="D10" s="284">
        <v>7185</v>
      </c>
      <c r="E10" s="285">
        <v>17686</v>
      </c>
      <c r="G10" s="282">
        <v>2006</v>
      </c>
      <c r="H10" s="284">
        <v>5227</v>
      </c>
      <c r="I10" s="284">
        <v>8054</v>
      </c>
      <c r="J10" s="284">
        <v>4406</v>
      </c>
      <c r="K10" s="285">
        <f t="shared" si="0"/>
        <v>17687</v>
      </c>
    </row>
    <row r="11" spans="1:11">
      <c r="A11" s="282">
        <v>2005</v>
      </c>
      <c r="B11" s="284">
        <v>1782</v>
      </c>
      <c r="C11" s="284">
        <v>10220</v>
      </c>
      <c r="D11" s="284">
        <v>6150</v>
      </c>
      <c r="E11" s="285">
        <v>18152</v>
      </c>
      <c r="G11" s="282">
        <v>2005</v>
      </c>
      <c r="H11" s="284">
        <v>5571</v>
      </c>
      <c r="I11" s="284">
        <v>7912</v>
      </c>
      <c r="J11" s="284">
        <v>4670</v>
      </c>
      <c r="K11" s="285">
        <f t="shared" si="0"/>
        <v>18153</v>
      </c>
    </row>
    <row r="12" spans="1:11">
      <c r="A12" s="282">
        <v>2004</v>
      </c>
      <c r="B12" s="284">
        <v>1624</v>
      </c>
      <c r="C12" s="284">
        <v>10014</v>
      </c>
      <c r="D12" s="284">
        <v>5650</v>
      </c>
      <c r="E12" s="285">
        <v>17288</v>
      </c>
      <c r="G12" s="282">
        <v>2004</v>
      </c>
      <c r="H12" s="284">
        <v>5563</v>
      </c>
      <c r="I12" s="284">
        <v>7564</v>
      </c>
      <c r="J12" s="284">
        <v>4161</v>
      </c>
      <c r="K12" s="285">
        <f t="shared" si="0"/>
        <v>17288</v>
      </c>
    </row>
    <row r="13" spans="1:11">
      <c r="A13" s="282">
        <v>2003</v>
      </c>
      <c r="B13" s="284">
        <v>1468</v>
      </c>
      <c r="C13" s="284">
        <v>9459</v>
      </c>
      <c r="D13" s="284">
        <v>4971</v>
      </c>
      <c r="E13" s="285">
        <v>15898</v>
      </c>
      <c r="G13" s="282">
        <v>2003</v>
      </c>
      <c r="H13" s="284">
        <v>5158</v>
      </c>
      <c r="I13" s="284">
        <v>6667</v>
      </c>
      <c r="J13" s="284">
        <v>4072</v>
      </c>
      <c r="K13" s="285">
        <f t="shared" si="0"/>
        <v>15897</v>
      </c>
    </row>
    <row r="14" spans="1:11">
      <c r="A14" s="282">
        <v>2002</v>
      </c>
      <c r="B14" s="284">
        <v>1388</v>
      </c>
      <c r="C14" s="284">
        <v>8953</v>
      </c>
      <c r="D14" s="284">
        <v>4107</v>
      </c>
      <c r="E14" s="285">
        <v>14448</v>
      </c>
      <c r="G14" s="282">
        <v>2002</v>
      </c>
      <c r="H14" s="284">
        <v>4761</v>
      </c>
      <c r="I14" s="284">
        <v>5969</v>
      </c>
      <c r="J14" s="284">
        <v>3719</v>
      </c>
      <c r="K14" s="285">
        <f t="shared" si="0"/>
        <v>14449</v>
      </c>
    </row>
    <row r="15" spans="1:11">
      <c r="A15" s="282">
        <v>2001</v>
      </c>
      <c r="B15" s="284">
        <v>1175</v>
      </c>
      <c r="C15" s="284">
        <v>7774</v>
      </c>
      <c r="D15" s="284">
        <v>3456</v>
      </c>
      <c r="E15" s="285">
        <v>12405</v>
      </c>
      <c r="G15" s="282">
        <v>2001</v>
      </c>
      <c r="H15" s="284">
        <v>3972</v>
      </c>
      <c r="I15" s="284">
        <v>5103</v>
      </c>
      <c r="J15" s="284">
        <v>3330</v>
      </c>
      <c r="K15" s="285">
        <f t="shared" si="0"/>
        <v>12405</v>
      </c>
    </row>
    <row r="16" spans="1:11">
      <c r="A16" s="283">
        <v>2000</v>
      </c>
      <c r="B16" s="284">
        <v>1052</v>
      </c>
      <c r="C16" s="284">
        <v>7831</v>
      </c>
      <c r="D16" s="284">
        <v>3465</v>
      </c>
      <c r="E16" s="286">
        <v>12348</v>
      </c>
      <c r="G16" s="283">
        <v>2000</v>
      </c>
      <c r="H16" s="284">
        <v>4163</v>
      </c>
      <c r="I16" s="284">
        <v>4565</v>
      </c>
      <c r="J16" s="284">
        <v>3620</v>
      </c>
      <c r="K16" s="286">
        <f t="shared" si="0"/>
        <v>12348</v>
      </c>
    </row>
    <row r="17" spans="1:26">
      <c r="A17" s="282">
        <v>1999</v>
      </c>
      <c r="B17" s="284">
        <v>1015</v>
      </c>
      <c r="C17" s="284">
        <v>6848</v>
      </c>
      <c r="D17" s="284">
        <v>2411</v>
      </c>
      <c r="E17" s="285">
        <v>10274</v>
      </c>
      <c r="G17" s="282">
        <v>1999</v>
      </c>
      <c r="H17" s="284">
        <v>3774</v>
      </c>
      <c r="I17" s="284">
        <v>3547</v>
      </c>
      <c r="J17" s="284">
        <v>2954</v>
      </c>
      <c r="K17" s="285">
        <f t="shared" si="0"/>
        <v>10275</v>
      </c>
    </row>
    <row r="18" spans="1:26">
      <c r="A18" s="282">
        <v>1998</v>
      </c>
      <c r="B18" s="284">
        <v>956</v>
      </c>
      <c r="C18" s="284">
        <v>5449</v>
      </c>
      <c r="D18" s="284">
        <v>1798</v>
      </c>
      <c r="E18" s="285">
        <v>8203</v>
      </c>
      <c r="G18" s="282">
        <v>1998</v>
      </c>
      <c r="H18" s="284">
        <v>3044</v>
      </c>
      <c r="I18" s="284">
        <v>3000</v>
      </c>
      <c r="J18" s="284">
        <v>2159</v>
      </c>
      <c r="K18" s="285">
        <f t="shared" si="0"/>
        <v>8203</v>
      </c>
    </row>
    <row r="19" spans="1:26">
      <c r="A19" s="282">
        <v>1997</v>
      </c>
      <c r="B19" s="284">
        <v>826</v>
      </c>
      <c r="C19" s="284">
        <v>4708</v>
      </c>
      <c r="D19" s="284">
        <v>1465</v>
      </c>
      <c r="E19" s="285">
        <v>6999</v>
      </c>
      <c r="G19" s="282">
        <v>1997</v>
      </c>
      <c r="H19" s="284">
        <v>2872</v>
      </c>
      <c r="I19" s="284">
        <v>2231</v>
      </c>
      <c r="J19" s="284">
        <v>1895</v>
      </c>
      <c r="K19" s="285">
        <f t="shared" si="0"/>
        <v>6998</v>
      </c>
    </row>
    <row r="20" spans="1:26">
      <c r="A20" s="282">
        <v>1996</v>
      </c>
      <c r="B20" s="284">
        <v>836</v>
      </c>
      <c r="C20" s="284">
        <v>4270</v>
      </c>
      <c r="D20" s="284">
        <v>1210</v>
      </c>
      <c r="E20" s="285">
        <v>6316</v>
      </c>
      <c r="G20" s="282">
        <v>1996</v>
      </c>
      <c r="H20" s="284">
        <v>2815</v>
      </c>
      <c r="I20" s="284">
        <v>1770</v>
      </c>
      <c r="J20" s="284">
        <v>1731</v>
      </c>
      <c r="K20" s="285">
        <f t="shared" si="0"/>
        <v>6316</v>
      </c>
    </row>
    <row r="21" spans="1:26">
      <c r="A21" s="282">
        <v>1995</v>
      </c>
      <c r="B21" s="284">
        <v>747</v>
      </c>
      <c r="C21" s="284">
        <v>3722</v>
      </c>
      <c r="D21" s="284">
        <v>1024</v>
      </c>
      <c r="E21" s="285">
        <v>5493</v>
      </c>
      <c r="G21" s="282">
        <v>1995</v>
      </c>
      <c r="H21" s="284">
        <v>2311</v>
      </c>
      <c r="I21" s="284">
        <v>1668</v>
      </c>
      <c r="J21" s="284">
        <v>1514</v>
      </c>
      <c r="K21" s="285">
        <f t="shared" si="0"/>
        <v>5493</v>
      </c>
    </row>
    <row r="23" spans="1:26">
      <c r="A23" s="282" t="s">
        <v>230</v>
      </c>
      <c r="B23" s="387">
        <f>E4*1000000/SUM('FREH Stock'!W48:Y48,'FREH Stock'!N48:P48)</f>
        <v>129541.14027623224</v>
      </c>
      <c r="C23" s="379"/>
      <c r="D23" t="s">
        <v>231</v>
      </c>
      <c r="E23" s="366">
        <f>SUMPRODUCT(B28:B30,'FREH HGV SEC'!AL2:AL4)/SUM('FREH HGV SEC'!AL2:AL4)</f>
        <v>1389.5390099578499</v>
      </c>
    </row>
    <row r="24" spans="1:26" s="650" customFormat="1">
      <c r="A24" s="768"/>
      <c r="B24" s="767"/>
      <c r="D24" s="650" t="s">
        <v>187</v>
      </c>
      <c r="E24" s="366">
        <f>SUMPRODUCT(B28:B30,'FREH HGV SEC'!B15:B17)/SUM('FREH HGV SEC'!B15:B17)</f>
        <v>1776.5018655809229</v>
      </c>
    </row>
    <row r="25" spans="1:26" s="650" customFormat="1">
      <c r="A25" s="282" t="s">
        <v>909</v>
      </c>
      <c r="B25" s="387">
        <v>1.2763424124940193</v>
      </c>
    </row>
    <row r="27" spans="1:26">
      <c r="A27" s="764" t="s">
        <v>910</v>
      </c>
      <c r="B27" s="764">
        <v>2012</v>
      </c>
      <c r="C27" s="764">
        <v>2013</v>
      </c>
      <c r="D27" s="764">
        <v>2014</v>
      </c>
      <c r="E27" s="764">
        <v>2015</v>
      </c>
      <c r="F27" s="764">
        <v>2016</v>
      </c>
      <c r="G27" s="764">
        <v>2017</v>
      </c>
      <c r="H27" s="764">
        <v>2018</v>
      </c>
      <c r="I27" s="764">
        <v>2019</v>
      </c>
      <c r="J27" s="764">
        <v>2020</v>
      </c>
      <c r="K27" s="764">
        <v>2021</v>
      </c>
      <c r="L27" s="764">
        <v>2022</v>
      </c>
      <c r="M27" s="764">
        <v>2023</v>
      </c>
      <c r="N27" s="764">
        <v>2024</v>
      </c>
      <c r="O27" s="764">
        <v>2025</v>
      </c>
      <c r="P27" s="764">
        <v>2026</v>
      </c>
      <c r="Q27" s="764">
        <v>2027</v>
      </c>
      <c r="R27" s="764">
        <v>2028</v>
      </c>
      <c r="S27" s="764">
        <v>2029</v>
      </c>
      <c r="T27" s="764">
        <v>2030</v>
      </c>
      <c r="U27" s="764">
        <v>2031</v>
      </c>
      <c r="V27" s="764">
        <v>2032</v>
      </c>
      <c r="W27" s="764">
        <v>2033</v>
      </c>
      <c r="X27" s="764">
        <v>2034</v>
      </c>
      <c r="Y27" s="764">
        <v>2035</v>
      </c>
      <c r="Z27" s="764">
        <v>2036</v>
      </c>
    </row>
    <row r="28" spans="1:26">
      <c r="A28" s="764" t="s">
        <v>120</v>
      </c>
      <c r="B28" s="765">
        <f>$B$25*('FREH Stock'!C343+'FREH Stock'!C169)*'FREH HGV vkm'!$B$18*$R$35/1000000</f>
        <v>1026.1784528184967</v>
      </c>
      <c r="C28" s="765">
        <f>$B$25*('FREH Stock'!D343+'FREH Stock'!D169)*'FREH HGV vkm'!$B$18*$R$35/1000000</f>
        <v>948.91897466742671</v>
      </c>
      <c r="D28" s="765">
        <f>$B$25*('FREH Stock'!E343+'FREH Stock'!E169)*'FREH HGV vkm'!$B$18*$R$35/1000000</f>
        <v>874.45555834440734</v>
      </c>
      <c r="E28" s="765">
        <f>$B$25*('FREH Stock'!F343+'FREH Stock'!F169)*'FREH HGV vkm'!$B$18*$R$35/1000000</f>
        <v>791.71616867408989</v>
      </c>
      <c r="F28" s="765">
        <f>$B$25*('FREH Stock'!G343+'FREH Stock'!G169)*'FREH HGV vkm'!$B$18*$R$35/1000000</f>
        <v>696.19953208470963</v>
      </c>
      <c r="G28" s="765">
        <f>$B$25*('FREH Stock'!H343+'FREH Stock'!H169)*'FREH HGV vkm'!$B$18*$R$35/1000000</f>
        <v>589.41745843399019</v>
      </c>
      <c r="H28" s="765">
        <f>$B$25*('FREH Stock'!I343+'FREH Stock'!I169)*'FREH HGV vkm'!$B$18*$R$35/1000000</f>
        <v>476.83356871067616</v>
      </c>
      <c r="I28" s="765">
        <f>$B$25*('FREH Stock'!J343+'FREH Stock'!J169)*'FREH HGV vkm'!$B$18*$R$35/1000000</f>
        <v>366.32487441416077</v>
      </c>
      <c r="J28" s="765">
        <f>$B$25*('FREH Stock'!K343+'FREH Stock'!K169)*'FREH HGV vkm'!$B$18*$R$35/1000000</f>
        <v>265.9235084015707</v>
      </c>
      <c r="K28" s="765">
        <f>$B$25*('FREH Stock'!L343+'FREH Stock'!L169)*'FREH HGV vkm'!$B$18*$R$35/1000000</f>
        <v>182.11589270071801</v>
      </c>
      <c r="L28" s="765">
        <f>$B$25*('FREH Stock'!M343+'FREH Stock'!M169)*'FREH HGV vkm'!$B$18*$R$35/1000000</f>
        <v>117.12676887757259</v>
      </c>
      <c r="M28" s="765">
        <f>$B$25*('FREH Stock'!N343+'FREH Stock'!N169)*'FREH HGV vkm'!$B$18*$R$35/1000000</f>
        <v>70.178586390782087</v>
      </c>
      <c r="N28" s="765">
        <f>$B$25*('FREH Stock'!O343+'FREH Stock'!O169)*'FREH HGV vkm'!$B$18*$R$35/1000000</f>
        <v>38.58172491883105</v>
      </c>
      <c r="O28" s="765">
        <f>$B$25*('FREH Stock'!P343+'FREH Stock'!P169)*'FREH HGV vkm'!$B$18*$R$35/1000000</f>
        <v>19.136663346864509</v>
      </c>
      <c r="P28" s="765">
        <f>$B$25*('FREH Stock'!Q343+'FREH Stock'!Q169)*'FREH HGV vkm'!$B$18*$R$35/1000000</f>
        <v>8.4224847713335649</v>
      </c>
      <c r="Q28" s="765">
        <f>$B$25*('FREH Stock'!R343+'FREH Stock'!R169)*'FREH HGV vkm'!$B$18*$R$35/1000000</f>
        <v>3.2494679333056928</v>
      </c>
      <c r="R28" s="765">
        <f>$B$25*('FREH Stock'!S343+'FREH Stock'!S169)*'FREH HGV vkm'!$B$18*$R$35/1000000</f>
        <v>1.1352996625406102</v>
      </c>
      <c r="S28" s="765">
        <f>$B$25*('FREH Stock'!T343+'FREH Stock'!T169)*'FREH HGV vkm'!$B$18*$R$35/1000000</f>
        <v>0.35449329230455079</v>
      </c>
      <c r="T28" s="765">
        <f>$B$25*('FREH Stock'!U343+'FREH Stock'!U169)*'FREH HGV vkm'!$B$18*$R$35/1000000</f>
        <v>9.7307888998326098E-2</v>
      </c>
      <c r="U28" s="765">
        <f>$B$25*('FREH Stock'!V343+'FREH Stock'!V169)*'FREH HGV vkm'!$B$18*$R$35/1000000</f>
        <v>2.2987229307792619E-2</v>
      </c>
      <c r="V28" s="765">
        <f>$B$25*('FREH Stock'!W343+'FREH Stock'!W169)*'FREH HGV vkm'!$B$18*$R$35/1000000</f>
        <v>4.5408568171472676E-3</v>
      </c>
      <c r="W28" s="765">
        <f>$B$25*('FREH Stock'!X343+'FREH Stock'!X169)*'FREH HGV vkm'!$B$18*$R$35/1000000</f>
        <v>7.1972152773604311E-4</v>
      </c>
      <c r="X28" s="765">
        <f>$B$25*('FREH Stock'!Y343+'FREH Stock'!Y169)*'FREH HGV vkm'!$B$18*$R$35/1000000</f>
        <v>8.5777801528324482E-5</v>
      </c>
      <c r="Y28" s="765">
        <f>$B$25*('FREH Stock'!Z343+'FREH Stock'!Z169)*'FREH HGV vkm'!$B$18*$R$35/1000000</f>
        <v>6.8312176295650186E-6</v>
      </c>
      <c r="Z28" s="765">
        <f>$B$25*('FREH Stock'!AA343+'FREH Stock'!AA169)*'FREH HGV vkm'!$B$18*$R$35/1000000</f>
        <v>2.7259555471869275E-7</v>
      </c>
    </row>
    <row r="29" spans="1:26">
      <c r="A29" s="764" t="s">
        <v>121</v>
      </c>
      <c r="B29" s="765">
        <f>$B$25*('FREH Stock'!C198+'FREH Stock'!C372)*'FREH HGV vkm'!$B$19*$R$36/1000000</f>
        <v>4193.8442335918244</v>
      </c>
      <c r="C29" s="765">
        <f>$B$25*('FREH Stock'!D198+'FREH Stock'!D372)*'FREH HGV vkm'!$B$19*$R$36/1000000</f>
        <v>2846.5526881444748</v>
      </c>
      <c r="D29" s="765">
        <f>$B$25*('FREH Stock'!E198+'FREH Stock'!E372)*'FREH HGV vkm'!$B$19*$R$36/1000000</f>
        <v>1953.0777448827448</v>
      </c>
      <c r="E29" s="765">
        <f>$B$25*('FREH Stock'!F198+'FREH Stock'!F372)*'FREH HGV vkm'!$B$19*$R$36/1000000</f>
        <v>1309.853410827709</v>
      </c>
      <c r="F29" s="765">
        <f>$B$25*('FREH Stock'!G198+'FREH Stock'!G372)*'FREH HGV vkm'!$B$19*$R$36/1000000</f>
        <v>848.30722266106454</v>
      </c>
      <c r="G29" s="765">
        <f>$B$25*('FREH Stock'!H198+'FREH Stock'!H372)*'FREH HGV vkm'!$B$19*$R$36/1000000</f>
        <v>529.72351943714079</v>
      </c>
      <c r="H29" s="765">
        <f>$B$25*('FREH Stock'!I198+'FREH Stock'!I372)*'FREH HGV vkm'!$B$19*$R$36/1000000</f>
        <v>318.46216641635658</v>
      </c>
      <c r="I29" s="765">
        <f>$B$25*('FREH Stock'!J198+'FREH Stock'!J372)*'FREH HGV vkm'!$B$19*$R$36/1000000</f>
        <v>183.6344419044417</v>
      </c>
      <c r="J29" s="765">
        <f>$B$25*('FREH Stock'!K198+'FREH Stock'!K372)*'FREH HGV vkm'!$B$19*$R$36/1000000</f>
        <v>99.335659840320247</v>
      </c>
      <c r="K29" s="765">
        <f>$B$25*('FREH Stock'!L198+'FREH Stock'!L372)*'FREH HGV vkm'!$B$19*$R$36/1000000</f>
        <v>49.111654895868533</v>
      </c>
      <c r="L29" s="765">
        <f>$B$25*('FREH Stock'!M198+'FREH Stock'!M372)*'FREH HGV vkm'!$B$19*$R$36/1000000</f>
        <v>21.821541988977351</v>
      </c>
      <c r="M29" s="765">
        <f>$B$25*('FREH Stock'!N198+'FREH Stock'!N372)*'FREH HGV vkm'!$B$19*$R$36/1000000</f>
        <v>8.5155139264490209</v>
      </c>
      <c r="N29" s="765">
        <f>$B$25*('FREH Stock'!O198+'FREH Stock'!O372)*'FREH HGV vkm'!$B$19*$R$36/1000000</f>
        <v>2.7859125607783146</v>
      </c>
      <c r="O29" s="765">
        <f>$B$25*('FREH Stock'!P198+'FREH Stock'!P372)*'FREH HGV vkm'!$B$19*$R$36/1000000</f>
        <v>0.74108365311722513</v>
      </c>
      <c r="P29" s="765">
        <f>$B$25*('FREH Stock'!Q198+'FREH Stock'!Q372)*'FREH HGV vkm'!$B$19*$R$36/1000000</f>
        <v>0.15253193529219072</v>
      </c>
      <c r="Q29" s="765">
        <f>$B$25*('FREH Stock'!R198+'FREH Stock'!R372)*'FREH HGV vkm'!$B$19*$R$36/1000000</f>
        <v>2.5730658715891603E-2</v>
      </c>
      <c r="R29" s="765">
        <f>$B$25*('FREH Stock'!S198+'FREH Stock'!S372)*'FREH HGV vkm'!$B$19*$R$36/1000000</f>
        <v>3.9090370946662676E-3</v>
      </c>
      <c r="S29" s="765">
        <f>$B$25*('FREH Stock'!T198+'FREH Stock'!T372)*'FREH HGV vkm'!$B$19*$R$36/1000000</f>
        <v>5.281989459438479E-4</v>
      </c>
      <c r="T29" s="765">
        <f>$B$25*('FREH Stock'!U198+'FREH Stock'!U372)*'FREH HGV vkm'!$B$19*$R$36/1000000</f>
        <v>6.2484513636330646E-5</v>
      </c>
      <c r="U29" s="765">
        <f>$B$25*('FREH Stock'!V198+'FREH Stock'!V372)*'FREH HGV vkm'!$B$19*$R$36/1000000</f>
        <v>6.3389838820814841E-6</v>
      </c>
      <c r="V29" s="765">
        <f>$B$25*('FREH Stock'!W198+'FREH Stock'!W372)*'FREH HGV vkm'!$B$19*$R$36/1000000</f>
        <v>5.3615108084787897E-7</v>
      </c>
      <c r="W29" s="765">
        <f>$B$25*('FREH Stock'!X198+'FREH Stock'!X372)*'FREH HGV vkm'!$B$19*$R$36/1000000</f>
        <v>3.6293652199770764E-8</v>
      </c>
      <c r="X29" s="765">
        <f>$B$25*('FREH Stock'!Y198+'FREH Stock'!Y372)*'FREH HGV vkm'!$B$19*$R$36/1000000</f>
        <v>1.8433497427315013E-9</v>
      </c>
      <c r="Y29" s="765">
        <f>$B$25*('FREH Stock'!Z198+'FREH Stock'!Z372)*'FREH HGV vkm'!$B$19*$R$36/1000000</f>
        <v>6.2438722556258404E-11</v>
      </c>
      <c r="Z29" s="765">
        <f>$B$25*('FREH Stock'!AA198+'FREH Stock'!AA372)*'FREH HGV vkm'!$B$19*$R$36/1000000</f>
        <v>1.0578412993791071E-12</v>
      </c>
    </row>
    <row r="30" spans="1:26">
      <c r="A30" s="764" t="s">
        <v>131</v>
      </c>
      <c r="B30" s="765">
        <f>$B$25*('FREH Stock'!C227+'FREH Stock'!C401)*'FREH HGV vkm'!$B$20*$R$37/1000000</f>
        <v>4674.9773135896794</v>
      </c>
      <c r="C30" s="765">
        <f>$B$25*('FREH Stock'!D227+'FREH Stock'!D401)*'FREH HGV vkm'!$B$20*$R$37/1000000</f>
        <v>3576.2586814620099</v>
      </c>
      <c r="D30" s="765">
        <f>$B$25*('FREH Stock'!E227+'FREH Stock'!E401)*'FREH HGV vkm'!$B$20*$R$37/1000000</f>
        <v>2736.0741588195592</v>
      </c>
      <c r="E30" s="765">
        <f>$B$25*('FREH Stock'!F227+'FREH Stock'!F401)*'FREH HGV vkm'!$B$20*$R$37/1000000</f>
        <v>2046.3440521985856</v>
      </c>
      <c r="F30" s="765">
        <f>$B$25*('FREH Stock'!G227+'FREH Stock'!G401)*'FREH HGV vkm'!$B$20*$R$37/1000000</f>
        <v>1479.2001877300163</v>
      </c>
      <c r="G30" s="765">
        <f>$B$25*('FREH Stock'!H227+'FREH Stock'!H401)*'FREH HGV vkm'!$B$20*$R$37/1000000</f>
        <v>1023.5684657058703</v>
      </c>
      <c r="H30" s="765">
        <f>$B$25*('FREH Stock'!I227+'FREH Stock'!I401)*'FREH HGV vkm'!$B$20*$R$37/1000000</f>
        <v>678.10380277296611</v>
      </c>
      <c r="I30" s="765">
        <f>$B$25*('FREH Stock'!J227+'FREH Stock'!J401)*'FREH HGV vkm'!$B$20*$R$37/1000000</f>
        <v>423.82016391106123</v>
      </c>
      <c r="J30" s="765">
        <f>$B$25*('FREH Stock'!K227+'FREH Stock'!K401)*'FREH HGV vkm'!$B$20*$R$37/1000000</f>
        <v>239.23185628199064</v>
      </c>
      <c r="K30" s="765">
        <f>$B$25*('FREH Stock'!L227+'FREH Stock'!L401)*'FREH HGV vkm'!$B$20*$R$37/1000000</f>
        <v>116.80570120501736</v>
      </c>
      <c r="L30" s="765">
        <f>$B$25*('FREH Stock'!M227+'FREH Stock'!M401)*'FREH HGV vkm'!$B$20*$R$37/1000000</f>
        <v>48.501802547743992</v>
      </c>
      <c r="M30" s="765">
        <f>$B$25*('FREH Stock'!N227+'FREH Stock'!N401)*'FREH HGV vkm'!$B$20*$R$37/1000000</f>
        <v>16.798263997012818</v>
      </c>
      <c r="N30" s="765">
        <f>$B$25*('FREH Stock'!O227+'FREH Stock'!O401)*'FREH HGV vkm'!$B$20*$R$37/1000000</f>
        <v>4.6247071767825076</v>
      </c>
      <c r="O30" s="765">
        <f>$B$25*('FREH Stock'!P227+'FREH Stock'!P401)*'FREH HGV vkm'!$B$20*$R$37/1000000</f>
        <v>0.97572402194860541</v>
      </c>
      <c r="P30" s="765">
        <f>$B$25*('FREH Stock'!Q227+'FREH Stock'!Q401)*'FREH HGV vkm'!$B$20*$R$37/1000000</f>
        <v>0.1575569613685503</v>
      </c>
      <c r="Q30" s="765">
        <f>$B$25*('FREH Stock'!R227+'FREH Stock'!R401)*'FREH HGV vkm'!$B$20*$R$37/1000000</f>
        <v>1.8388448297474654E-2</v>
      </c>
      <c r="R30" s="765">
        <f>$B$25*('FREH Stock'!S227+'FREH Stock'!S401)*'FREH HGV vkm'!$B$20*$R$37/1000000</f>
        <v>1.9316929885018143E-3</v>
      </c>
      <c r="S30" s="765">
        <f>$B$25*('FREH Stock'!T227+'FREH Stock'!T401)*'FREH HGV vkm'!$B$20*$R$37/1000000</f>
        <v>1.8039248328113498E-4</v>
      </c>
      <c r="T30" s="765">
        <f>$B$25*('FREH Stock'!U227+'FREH Stock'!U401)*'FREH HGV vkm'!$B$20*$R$37/1000000</f>
        <v>1.4741570689975128E-5</v>
      </c>
      <c r="U30" s="765">
        <f>$B$25*('FREH Stock'!V227+'FREH Stock'!V401)*'FREH HGV vkm'!$B$20*$R$37/1000000</f>
        <v>1.0326582134811253E-6</v>
      </c>
      <c r="V30" s="765">
        <f>$B$25*('FREH Stock'!W227+'FREH Stock'!W401)*'FREH HGV vkm'!$B$20*$R$37/1000000</f>
        <v>6.0286511464359346E-8</v>
      </c>
      <c r="W30" s="765">
        <f>$B$25*('FREH Stock'!X227+'FREH Stock'!X401)*'FREH HGV vkm'!$B$20*$R$37/1000000</f>
        <v>2.8158112197454956E-9</v>
      </c>
      <c r="X30" s="765">
        <f>$B$25*('FREH Stock'!Y227+'FREH Stock'!Y401)*'FREH HGV vkm'!$B$20*$R$37/1000000</f>
        <v>9.8645245366911824E-11</v>
      </c>
      <c r="Y30" s="765">
        <f>$B$25*('FREH Stock'!Z227+'FREH Stock'!Z401)*'FREH HGV vkm'!$B$20*$R$37/1000000</f>
        <v>2.304007357408781E-12</v>
      </c>
      <c r="Z30" s="765">
        <f>$B$25*('FREH Stock'!AA227+'FREH Stock'!AA401)*'FREH HGV vkm'!$B$20*$R$37/1000000</f>
        <v>2.6908314424960531E-14</v>
      </c>
    </row>
    <row r="31" spans="1:26">
      <c r="A31" s="764" t="s">
        <v>39</v>
      </c>
      <c r="B31" s="766">
        <f>SUM(B28:B30)</f>
        <v>9895</v>
      </c>
      <c r="C31" s="766">
        <f t="shared" ref="C31:Z31" si="1">SUM(C28:C30)</f>
        <v>7371.7303442739112</v>
      </c>
      <c r="D31" s="766">
        <f t="shared" si="1"/>
        <v>5563.6074620467116</v>
      </c>
      <c r="E31" s="766">
        <f t="shared" si="1"/>
        <v>4147.9136317003849</v>
      </c>
      <c r="F31" s="766">
        <f t="shared" si="1"/>
        <v>3023.7069424757906</v>
      </c>
      <c r="G31" s="766">
        <f t="shared" si="1"/>
        <v>2142.7094435770014</v>
      </c>
      <c r="H31" s="766">
        <f t="shared" si="1"/>
        <v>1473.3995378999989</v>
      </c>
      <c r="I31" s="766">
        <f t="shared" si="1"/>
        <v>973.7794802296637</v>
      </c>
      <c r="J31" s="766">
        <f t="shared" si="1"/>
        <v>604.49102452388161</v>
      </c>
      <c r="K31" s="766">
        <f t="shared" si="1"/>
        <v>348.03324880160392</v>
      </c>
      <c r="L31" s="766">
        <f t="shared" si="1"/>
        <v>187.45011341429392</v>
      </c>
      <c r="M31" s="766">
        <f t="shared" si="1"/>
        <v>95.492364314243929</v>
      </c>
      <c r="N31" s="766">
        <f t="shared" si="1"/>
        <v>45.992344656391872</v>
      </c>
      <c r="O31" s="766">
        <f t="shared" si="1"/>
        <v>20.853471021930339</v>
      </c>
      <c r="P31" s="766">
        <f t="shared" si="1"/>
        <v>8.7325736679943056</v>
      </c>
      <c r="Q31" s="766">
        <f t="shared" si="1"/>
        <v>3.2935870403190588</v>
      </c>
      <c r="R31" s="766">
        <f t="shared" si="1"/>
        <v>1.1411403926237782</v>
      </c>
      <c r="S31" s="766">
        <f t="shared" si="1"/>
        <v>0.35520188373377576</v>
      </c>
      <c r="T31" s="766">
        <f t="shared" si="1"/>
        <v>9.7385115082652407E-2</v>
      </c>
      <c r="U31" s="766">
        <f t="shared" si="1"/>
        <v>2.2994600949888182E-2</v>
      </c>
      <c r="V31" s="766">
        <f t="shared" si="1"/>
        <v>4.5414532547395801E-3</v>
      </c>
      <c r="W31" s="766">
        <f t="shared" si="1"/>
        <v>7.1976063719946263E-4</v>
      </c>
      <c r="X31" s="766">
        <f t="shared" si="1"/>
        <v>8.5779743523312573E-5</v>
      </c>
      <c r="Y31" s="766">
        <f t="shared" si="1"/>
        <v>6.8312823722949319E-6</v>
      </c>
      <c r="Z31" s="766">
        <f t="shared" si="1"/>
        <v>2.725966394683066E-7</v>
      </c>
    </row>
    <row r="33" spans="1:18" ht="15.75" thickBot="1"/>
    <row r="34" spans="1:18">
      <c r="A34" s="1108" t="s">
        <v>1100</v>
      </c>
      <c r="B34" s="1109">
        <v>1995</v>
      </c>
      <c r="C34" s="1109">
        <v>1996</v>
      </c>
      <c r="D34" s="1109">
        <v>1997</v>
      </c>
      <c r="E34" s="1109">
        <v>1998</v>
      </c>
      <c r="F34" s="1109">
        <v>1999</v>
      </c>
      <c r="G34" s="1109">
        <v>2000</v>
      </c>
      <c r="H34" s="1109">
        <v>2001</v>
      </c>
      <c r="I34" s="1109">
        <v>2002</v>
      </c>
      <c r="J34" s="1109">
        <v>2003</v>
      </c>
      <c r="K34" s="1109">
        <v>2004</v>
      </c>
      <c r="L34" s="1109">
        <v>2005</v>
      </c>
      <c r="M34" s="1109">
        <v>2006</v>
      </c>
      <c r="N34" s="1109">
        <v>2007</v>
      </c>
      <c r="O34" s="1109">
        <v>2008</v>
      </c>
      <c r="P34" s="1109">
        <v>2009</v>
      </c>
      <c r="Q34" s="1109">
        <v>2010</v>
      </c>
      <c r="R34" s="1110" t="s">
        <v>873</v>
      </c>
    </row>
    <row r="35" spans="1:18">
      <c r="A35" s="1111" t="s">
        <v>120</v>
      </c>
      <c r="B35" s="376">
        <v>1.7743467933491686</v>
      </c>
      <c r="C35" s="376">
        <v>1.5743879472693032</v>
      </c>
      <c r="D35" s="376">
        <v>1.5793499043977055</v>
      </c>
      <c r="E35" s="376">
        <v>1.8527131782945736</v>
      </c>
      <c r="F35" s="376">
        <v>2.1781115879828326</v>
      </c>
      <c r="G35" s="376">
        <v>2.1916666666666669</v>
      </c>
      <c r="H35" s="376">
        <v>2.368951612903226</v>
      </c>
      <c r="I35" s="376">
        <v>2.413913043478261</v>
      </c>
      <c r="J35" s="376">
        <v>2.4065573770491802</v>
      </c>
      <c r="K35" s="376">
        <v>2.2937853107344632</v>
      </c>
      <c r="L35" s="376">
        <v>2.1315789473684212</v>
      </c>
      <c r="M35" s="376">
        <v>1.4938875305623471</v>
      </c>
      <c r="N35" s="376">
        <v>1.4013683010262257</v>
      </c>
      <c r="O35" s="376">
        <v>1.6899109792284865</v>
      </c>
      <c r="P35" s="376">
        <v>1.5736434108527131</v>
      </c>
      <c r="Q35" s="376">
        <v>1.2584269662921348</v>
      </c>
      <c r="R35" s="1112">
        <f>AVERAGE(B35:Q35)</f>
        <v>1.8864124723409816</v>
      </c>
    </row>
    <row r="36" spans="1:18">
      <c r="A36" s="1111" t="s">
        <v>121</v>
      </c>
      <c r="B36" s="376">
        <v>8.3080357142857135</v>
      </c>
      <c r="C36" s="376">
        <v>8.1178707224334605</v>
      </c>
      <c r="D36" s="376">
        <v>8.6544117647058822</v>
      </c>
      <c r="E36" s="376">
        <v>8.3190839694656482</v>
      </c>
      <c r="F36" s="376">
        <v>9.0942895086321389</v>
      </c>
      <c r="G36" s="376">
        <v>9.15906432748538</v>
      </c>
      <c r="H36" s="376">
        <v>9.1999999999999993</v>
      </c>
      <c r="I36" s="376">
        <v>8.8206896551724139</v>
      </c>
      <c r="J36" s="376">
        <v>8.8154706430568499</v>
      </c>
      <c r="K36" s="376">
        <v>8.9092526690391463</v>
      </c>
      <c r="L36" s="376">
        <v>8.7574978577549274</v>
      </c>
      <c r="M36" s="376">
        <v>8.896452540747843</v>
      </c>
      <c r="N36" s="376">
        <v>9.3535447761194028</v>
      </c>
      <c r="O36" s="376">
        <v>9.8352059925093638</v>
      </c>
      <c r="P36" s="376">
        <v>9.8808193668528865</v>
      </c>
      <c r="Q36" s="376">
        <v>8.9880478087649394</v>
      </c>
      <c r="R36" s="1112">
        <f>AVERAGE(B36:Q36)</f>
        <v>8.9443585823141252</v>
      </c>
    </row>
    <row r="37" spans="1:18">
      <c r="A37" s="1111" t="s">
        <v>131</v>
      </c>
      <c r="B37" s="376">
        <v>9.7523809523809533</v>
      </c>
      <c r="C37" s="376">
        <v>10.254237288135593</v>
      </c>
      <c r="D37" s="376">
        <v>10.390070921985815</v>
      </c>
      <c r="E37" s="376">
        <v>10.453488372093023</v>
      </c>
      <c r="F37" s="376">
        <v>10.34763948497854</v>
      </c>
      <c r="G37" s="376">
        <v>10.794392523364486</v>
      </c>
      <c r="H37" s="376">
        <v>10.568807339449542</v>
      </c>
      <c r="I37" s="376">
        <v>10.75130890052356</v>
      </c>
      <c r="J37" s="376">
        <v>10.830065359477125</v>
      </c>
      <c r="K37" s="376">
        <v>11.078431372549019</v>
      </c>
      <c r="L37" s="376">
        <v>10.904255319148936</v>
      </c>
      <c r="M37" s="376">
        <v>10.853474320241691</v>
      </c>
      <c r="N37" s="376">
        <v>11.050420168067227</v>
      </c>
      <c r="O37" s="376">
        <v>11.301912568306012</v>
      </c>
      <c r="P37" s="376">
        <v>11.292220113851993</v>
      </c>
      <c r="Q37" s="376">
        <v>11.474509803921569</v>
      </c>
      <c r="R37" s="1112">
        <f>AVERAGE(B37:Q37)</f>
        <v>10.756100925529692</v>
      </c>
    </row>
    <row r="38" spans="1:18" ht="15.75" thickBot="1">
      <c r="A38" s="1113" t="s">
        <v>39</v>
      </c>
      <c r="B38" s="1114">
        <v>5.6396303901437372</v>
      </c>
      <c r="C38" s="1114">
        <v>5.3753191489361702</v>
      </c>
      <c r="D38" s="1114">
        <v>5.7938741721854301</v>
      </c>
      <c r="E38" s="1114">
        <v>6.1079672375279221</v>
      </c>
      <c r="F38" s="1114">
        <v>7.0757575757575761</v>
      </c>
      <c r="G38" s="1114">
        <v>7.4565217391304346</v>
      </c>
      <c r="H38" s="1114">
        <v>7.4370503597122299</v>
      </c>
      <c r="I38" s="1114">
        <v>7.3265720081135903</v>
      </c>
      <c r="J38" s="1114">
        <v>7.4220354808590105</v>
      </c>
      <c r="K38" s="1114">
        <v>7.3817250213492738</v>
      </c>
      <c r="L38" s="1114">
        <v>7.0712894429294897</v>
      </c>
      <c r="M38" s="1114">
        <v>7.0099088386841064</v>
      </c>
      <c r="N38" s="1114">
        <v>7.1896357491550882</v>
      </c>
      <c r="O38" s="1114">
        <v>7.8341640235613959</v>
      </c>
      <c r="P38" s="1114">
        <v>7.6386075949367092</v>
      </c>
      <c r="Q38" s="1114">
        <v>7.4975978037062454</v>
      </c>
      <c r="R38" s="1115">
        <f>AVERAGE(B38:Q38)</f>
        <v>6.9536035366680258</v>
      </c>
    </row>
  </sheetData>
  <pageMargins left="0.7" right="0.7" top="0.75" bottom="0.75" header="0.3" footer="0.3"/>
  <legacy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theme="5"/>
  </sheetPr>
  <dimension ref="A1:Q22"/>
  <sheetViews>
    <sheetView workbookViewId="0">
      <selection activeCell="B6" sqref="B6:Q6"/>
    </sheetView>
  </sheetViews>
  <sheetFormatPr defaultRowHeight="15"/>
  <cols>
    <col min="1" max="1" width="26" bestFit="1" customWidth="1"/>
    <col min="2" max="2" width="8.42578125" customWidth="1"/>
  </cols>
  <sheetData>
    <row r="1" spans="1:17">
      <c r="A1" s="181" t="s">
        <v>750</v>
      </c>
      <c r="B1" s="187">
        <v>1995</v>
      </c>
      <c r="C1" s="187">
        <v>1996</v>
      </c>
      <c r="D1" s="187">
        <v>1997</v>
      </c>
      <c r="E1" s="187">
        <v>1998</v>
      </c>
      <c r="F1" s="187">
        <v>1999</v>
      </c>
      <c r="G1" s="187">
        <v>2000</v>
      </c>
      <c r="H1" s="187">
        <v>2001</v>
      </c>
      <c r="I1" s="187">
        <v>2002</v>
      </c>
      <c r="J1" s="187">
        <v>2003</v>
      </c>
      <c r="K1" s="187">
        <v>2004</v>
      </c>
      <c r="L1" s="187">
        <v>2005</v>
      </c>
      <c r="M1" s="187">
        <v>2006</v>
      </c>
      <c r="N1" s="187">
        <v>2007</v>
      </c>
      <c r="O1" s="187">
        <v>2008</v>
      </c>
      <c r="P1" s="187">
        <v>2009</v>
      </c>
      <c r="Q1" s="182">
        <v>2010</v>
      </c>
    </row>
    <row r="2" spans="1:17">
      <c r="A2" s="752" t="s">
        <v>889</v>
      </c>
      <c r="B2" s="748">
        <v>15386.408672339434</v>
      </c>
      <c r="C2" s="748">
        <v>19176.877850431341</v>
      </c>
      <c r="D2" s="748">
        <v>16764.22383516741</v>
      </c>
      <c r="E2" s="748">
        <v>15309.772499642295</v>
      </c>
      <c r="F2" s="748">
        <v>12993.900822063113</v>
      </c>
      <c r="G2" s="748">
        <v>11597.084161696488</v>
      </c>
      <c r="H2" s="748">
        <v>10155.631759430229</v>
      </c>
      <c r="I2" s="748">
        <v>11318.285901210336</v>
      </c>
      <c r="J2" s="748">
        <v>10573.391778225328</v>
      </c>
      <c r="K2" s="748">
        <v>11630.919075743446</v>
      </c>
      <c r="L2" s="748">
        <v>12854.551086331254</v>
      </c>
      <c r="M2" s="748">
        <v>10889.960543621219</v>
      </c>
      <c r="N2" s="748">
        <v>10012.338150411981</v>
      </c>
      <c r="O2" s="748">
        <v>9341.8557280325913</v>
      </c>
      <c r="P2" s="748">
        <v>7521.8767454850122</v>
      </c>
      <c r="Q2" s="749">
        <v>6551.0741148584329</v>
      </c>
    </row>
    <row r="3" spans="1:17">
      <c r="A3" s="753" t="s">
        <v>890</v>
      </c>
      <c r="B3" s="748">
        <v>21814.64499096846</v>
      </c>
      <c r="C3" s="748">
        <v>22614.314115308152</v>
      </c>
      <c r="D3" s="748">
        <v>20981.688708036621</v>
      </c>
      <c r="E3" s="748">
        <v>21332.45815556285</v>
      </c>
      <c r="F3" s="748">
        <v>17963.446475195822</v>
      </c>
      <c r="G3" s="748">
        <v>16754.670999187652</v>
      </c>
      <c r="H3" s="748">
        <v>15373.292992068034</v>
      </c>
      <c r="I3" s="748">
        <v>19233.999664034942</v>
      </c>
      <c r="J3" s="748">
        <v>22635.769884584413</v>
      </c>
      <c r="K3" s="748">
        <v>25019.319938176199</v>
      </c>
      <c r="L3" s="748">
        <v>23578.363384188626</v>
      </c>
      <c r="M3" s="748">
        <v>19757.296158860696</v>
      </c>
      <c r="N3" s="748">
        <v>18657.937806873979</v>
      </c>
      <c r="O3" s="748">
        <v>20570.766333478197</v>
      </c>
      <c r="P3" s="748">
        <v>18052.869116698905</v>
      </c>
      <c r="Q3" s="749">
        <v>16399.162595952548</v>
      </c>
    </row>
    <row r="4" spans="1:17">
      <c r="A4" s="753" t="s">
        <v>891</v>
      </c>
      <c r="B4" s="748">
        <v>35547.430428600448</v>
      </c>
      <c r="C4" s="748">
        <v>32165.508909694956</v>
      </c>
      <c r="D4" s="748">
        <v>32341.526520051746</v>
      </c>
      <c r="E4" s="748">
        <v>31036.915118739715</v>
      </c>
      <c r="F4" s="748">
        <v>25964.149918522544</v>
      </c>
      <c r="G4" s="748">
        <v>25443.620317341094</v>
      </c>
      <c r="H4" s="748">
        <v>23506.877938359743</v>
      </c>
      <c r="I4" s="748">
        <v>28133.768104951847</v>
      </c>
      <c r="J4" s="748">
        <v>31652.898942329961</v>
      </c>
      <c r="K4" s="748">
        <v>33917.286617070633</v>
      </c>
      <c r="L4" s="748">
        <v>32654.600301659124</v>
      </c>
      <c r="M4" s="748">
        <v>27522.935779816515</v>
      </c>
      <c r="N4" s="748">
        <v>27837.45913124708</v>
      </c>
      <c r="O4" s="748">
        <v>27979.015738196355</v>
      </c>
      <c r="P4" s="748">
        <v>24056.029232643119</v>
      </c>
      <c r="Q4" s="749">
        <v>25341.780593531177</v>
      </c>
    </row>
    <row r="5" spans="1:17">
      <c r="A5" s="753" t="s">
        <v>892</v>
      </c>
      <c r="B5" s="748">
        <v>56149.732620320858</v>
      </c>
      <c r="C5" s="748">
        <v>57866.518765021261</v>
      </c>
      <c r="D5" s="748">
        <v>49541.854325205779</v>
      </c>
      <c r="E5" s="748">
        <v>44588.892690158515</v>
      </c>
      <c r="F5" s="748">
        <v>42687.484428203636</v>
      </c>
      <c r="G5" s="748">
        <v>42404.879465582344</v>
      </c>
      <c r="H5" s="748">
        <v>38132.502155315342</v>
      </c>
      <c r="I5" s="748">
        <v>42682.92682926829</v>
      </c>
      <c r="J5" s="748">
        <v>45695.775036184437</v>
      </c>
      <c r="K5" s="748">
        <v>49592.631951824304</v>
      </c>
      <c r="L5" s="748">
        <v>48890.961166988607</v>
      </c>
      <c r="M5" s="748">
        <v>46769.914234589989</v>
      </c>
      <c r="N5" s="748">
        <v>45425.201009448909</v>
      </c>
      <c r="O5" s="748">
        <v>46849.626502111074</v>
      </c>
      <c r="P5" s="748">
        <v>38626.172034243784</v>
      </c>
      <c r="Q5" s="749">
        <v>40485.829959514173</v>
      </c>
    </row>
    <row r="6" spans="1:17">
      <c r="A6" s="753" t="s">
        <v>893</v>
      </c>
      <c r="B6" s="748">
        <v>53353.658536585368</v>
      </c>
      <c r="C6" s="748">
        <v>59686.393525543754</v>
      </c>
      <c r="D6" s="748">
        <v>53409.090909090912</v>
      </c>
      <c r="E6" s="748">
        <v>47058.823529411762</v>
      </c>
      <c r="F6" s="748">
        <v>47165.991902834008</v>
      </c>
      <c r="G6" s="748">
        <v>46888.694127957933</v>
      </c>
      <c r="H6" s="748">
        <v>42177.221720624271</v>
      </c>
      <c r="I6" s="748">
        <v>47738.065483629092</v>
      </c>
      <c r="J6" s="748">
        <v>53235.90814196242</v>
      </c>
      <c r="K6" s="748">
        <v>55585.831062670302</v>
      </c>
      <c r="L6" s="748">
        <v>53419.208183368064</v>
      </c>
      <c r="M6" s="748">
        <v>53703.25302182202</v>
      </c>
      <c r="N6" s="748">
        <v>50021.017234131985</v>
      </c>
      <c r="O6" s="748">
        <v>54351.05435105435</v>
      </c>
      <c r="P6" s="748">
        <v>46794.530278813712</v>
      </c>
      <c r="Q6" s="749">
        <v>50640.452785224901</v>
      </c>
    </row>
    <row r="7" spans="1:17" ht="15.75" thickBot="1">
      <c r="A7" s="754" t="s">
        <v>39</v>
      </c>
      <c r="B7" s="750">
        <v>26974.631660573836</v>
      </c>
      <c r="C7" s="750">
        <v>29188.920630977518</v>
      </c>
      <c r="D7" s="750">
        <v>26693.183073693515</v>
      </c>
      <c r="E7" s="750">
        <v>26313.727026921119</v>
      </c>
      <c r="F7" s="750">
        <v>24868.549505883158</v>
      </c>
      <c r="G7" s="750">
        <v>24253.430776666326</v>
      </c>
      <c r="H7" s="750">
        <v>21697.560975609755</v>
      </c>
      <c r="I7" s="750">
        <v>25040.315924472718</v>
      </c>
      <c r="J7" s="750">
        <v>26436.285097192223</v>
      </c>
      <c r="K7" s="750">
        <v>27635.19652613072</v>
      </c>
      <c r="L7" s="750">
        <v>27065.49702669647</v>
      </c>
      <c r="M7" s="750">
        <v>23827.737639892337</v>
      </c>
      <c r="N7" s="750">
        <v>21882.395477254799</v>
      </c>
      <c r="O7" s="750">
        <v>22603.209717229442</v>
      </c>
      <c r="P7" s="750">
        <v>18045.593677189456</v>
      </c>
      <c r="Q7" s="751">
        <v>17340.077357929189</v>
      </c>
    </row>
    <row r="8" spans="1:17" ht="15.75" thickBot="1"/>
    <row r="9" spans="1:17">
      <c r="A9" s="181" t="s">
        <v>652</v>
      </c>
      <c r="B9" s="182">
        <v>2010</v>
      </c>
    </row>
    <row r="10" spans="1:17">
      <c r="A10" s="752" t="s">
        <v>889</v>
      </c>
      <c r="B10" s="749">
        <v>56186</v>
      </c>
    </row>
    <row r="11" spans="1:17">
      <c r="A11" s="753" t="s">
        <v>890</v>
      </c>
      <c r="B11" s="749">
        <v>3858</v>
      </c>
    </row>
    <row r="12" spans="1:17">
      <c r="A12" s="753" t="s">
        <v>891</v>
      </c>
      <c r="B12" s="749">
        <v>3907</v>
      </c>
    </row>
    <row r="13" spans="1:17">
      <c r="A13" s="753" t="s">
        <v>892</v>
      </c>
      <c r="B13" s="749">
        <v>8095</v>
      </c>
    </row>
    <row r="14" spans="1:17">
      <c r="A14" s="753" t="s">
        <v>893</v>
      </c>
      <c r="B14" s="749">
        <v>8222</v>
      </c>
    </row>
    <row r="15" spans="1:17" ht="15.75" thickBot="1">
      <c r="A15" s="754" t="s">
        <v>39</v>
      </c>
      <c r="B15" s="751">
        <v>80268</v>
      </c>
    </row>
    <row r="16" spans="1:17" ht="15.75" thickBot="1"/>
    <row r="17" spans="1:9">
      <c r="A17" s="758" t="s">
        <v>750</v>
      </c>
      <c r="B17" s="759">
        <v>2010</v>
      </c>
      <c r="E17">
        <f>SUMPRODUCT(B18:B20,'FREH HGV SEC'!AL2:AL4)/SUM('FREH HGV SEC'!AL2:AL4)</f>
        <v>10694.945005856518</v>
      </c>
    </row>
    <row r="18" spans="1:9">
      <c r="A18" s="753" t="s">
        <v>120</v>
      </c>
      <c r="B18" s="760">
        <f>SUMPRODUCT(Q2:Q3,B10:B11)/SUM(B10:B11)</f>
        <v>7183.8421742825394</v>
      </c>
      <c r="E18">
        <f>SUMPRODUCT(B18:B20,'FREH HGV SEC'!B15:B17)/SUM('FREH HGV SEC'!B15:B17)</f>
        <v>14854.059652259199</v>
      </c>
    </row>
    <row r="19" spans="1:9">
      <c r="A19" s="753" t="s">
        <v>121</v>
      </c>
      <c r="B19" s="760">
        <f>SUMPRODUCT(B12:B13,Q4:Q5)/SUM(B12:B13)</f>
        <v>35556.00152484532</v>
      </c>
    </row>
    <row r="20" spans="1:9" ht="15.75" thickBot="1">
      <c r="A20" s="761" t="s">
        <v>131</v>
      </c>
      <c r="B20" s="762">
        <f>Q6</f>
        <v>50640.452785224901</v>
      </c>
    </row>
    <row r="22" spans="1:9">
      <c r="I22">
        <f>SUMPRODUCT(Q2:Q3,B10:B11)/SUM(B10:B11)</f>
        <v>7183.8421742825394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24">
    <tabColor theme="5"/>
  </sheetPr>
  <dimension ref="A1:AL105"/>
  <sheetViews>
    <sheetView workbookViewId="0">
      <selection activeCell="B8" sqref="B8:B10"/>
    </sheetView>
  </sheetViews>
  <sheetFormatPr defaultRowHeight="15"/>
  <cols>
    <col min="1" max="1" width="24.7109375" customWidth="1"/>
    <col min="2" max="2" width="10.85546875" bestFit="1" customWidth="1"/>
    <col min="32" max="32" width="24.7109375" customWidth="1"/>
    <col min="33" max="33" width="14.140625" customWidth="1"/>
    <col min="35" max="35" width="11" bestFit="1" customWidth="1"/>
    <col min="36" max="36" width="10.5703125" bestFit="1" customWidth="1"/>
  </cols>
  <sheetData>
    <row r="1" spans="1:38" ht="15.75" thickBot="1">
      <c r="A1" s="798" t="s">
        <v>190</v>
      </c>
      <c r="B1" s="803">
        <v>2012</v>
      </c>
      <c r="C1" s="949">
        <v>2013</v>
      </c>
      <c r="D1" s="803">
        <v>2014</v>
      </c>
      <c r="E1" s="949">
        <v>2015</v>
      </c>
      <c r="F1" s="803">
        <v>2016</v>
      </c>
      <c r="G1" s="949">
        <v>2017</v>
      </c>
      <c r="H1" s="803">
        <v>2018</v>
      </c>
      <c r="I1" s="949">
        <v>2019</v>
      </c>
      <c r="J1" s="803">
        <v>2020</v>
      </c>
      <c r="K1" s="949">
        <v>2021</v>
      </c>
      <c r="L1" s="803">
        <v>2022</v>
      </c>
      <c r="M1" s="949">
        <v>2023</v>
      </c>
      <c r="N1" s="803">
        <v>2024</v>
      </c>
      <c r="O1" s="949">
        <v>2025</v>
      </c>
      <c r="P1" s="803">
        <v>2026</v>
      </c>
      <c r="Q1" s="949">
        <v>2027</v>
      </c>
      <c r="R1" s="803">
        <v>2028</v>
      </c>
      <c r="S1" s="949">
        <v>2029</v>
      </c>
      <c r="T1" s="803">
        <v>2030</v>
      </c>
      <c r="U1" s="949">
        <v>2031</v>
      </c>
      <c r="V1" s="803">
        <v>2032</v>
      </c>
      <c r="W1" s="949">
        <v>2033</v>
      </c>
      <c r="X1" s="803">
        <v>2034</v>
      </c>
      <c r="Y1" s="949">
        <v>2035</v>
      </c>
      <c r="Z1" s="803">
        <v>2036</v>
      </c>
      <c r="AA1" s="949">
        <v>2037</v>
      </c>
      <c r="AB1" s="803">
        <v>2038</v>
      </c>
      <c r="AC1" s="949">
        <v>2039</v>
      </c>
      <c r="AD1" s="804">
        <v>2040</v>
      </c>
      <c r="AF1" s="181" t="s">
        <v>236</v>
      </c>
      <c r="AG1" s="372">
        <v>2012</v>
      </c>
      <c r="AJ1" s="1168"/>
      <c r="AK1" s="1168" t="s">
        <v>1293</v>
      </c>
      <c r="AL1" s="1168"/>
    </row>
    <row r="2" spans="1:38">
      <c r="A2" s="950" t="s">
        <v>233</v>
      </c>
      <c r="B2" s="952">
        <f>C47</f>
        <v>4.0922900373474995</v>
      </c>
      <c r="C2" s="952">
        <f t="shared" ref="C2:AD2" si="0">D47</f>
        <v>4.0529939100074452</v>
      </c>
      <c r="D2" s="952">
        <f t="shared" si="0"/>
        <v>4.0290698689521829</v>
      </c>
      <c r="E2" s="952">
        <f t="shared" si="0"/>
        <v>4.0149510608599854</v>
      </c>
      <c r="F2" s="952">
        <f t="shared" si="0"/>
        <v>4.0076931682278225</v>
      </c>
      <c r="G2" s="952">
        <f t="shared" si="0"/>
        <v>4.0054549728303952</v>
      </c>
      <c r="H2" s="952">
        <f t="shared" si="0"/>
        <v>4.0071251750085297</v>
      </c>
      <c r="I2" s="952">
        <f t="shared" si="0"/>
        <v>4.0120135677793325</v>
      </c>
      <c r="J2" s="952">
        <f t="shared" si="0"/>
        <v>4.0193211080886027</v>
      </c>
      <c r="K2" s="952">
        <f t="shared" si="0"/>
        <v>4.0282661598742928</v>
      </c>
      <c r="L2" s="952">
        <f t="shared" si="0"/>
        <v>4.0378555823699882</v>
      </c>
      <c r="M2" s="952">
        <f t="shared" si="0"/>
        <v>4.0467981371743651</v>
      </c>
      <c r="N2" s="952">
        <f t="shared" si="0"/>
        <v>4.0542022976271337</v>
      </c>
      <c r="O2" s="952">
        <f t="shared" si="0"/>
        <v>4.059999484134158</v>
      </c>
      <c r="P2" s="952">
        <f t="shared" si="0"/>
        <v>4.0642493987371537</v>
      </c>
      <c r="Q2" s="952">
        <f t="shared" si="0"/>
        <v>4.0672008672464974</v>
      </c>
      <c r="R2" s="952">
        <f t="shared" si="0"/>
        <v>4.0697019377515735</v>
      </c>
      <c r="S2" s="952">
        <f t="shared" si="0"/>
        <v>4.0717971823263808</v>
      </c>
      <c r="T2" s="952">
        <f t="shared" si="0"/>
        <v>4.0735405279183059</v>
      </c>
      <c r="U2" s="952">
        <f t="shared" si="0"/>
        <v>4.0749881777490495</v>
      </c>
      <c r="V2" s="952">
        <f t="shared" si="0"/>
        <v>4.0761930043859955</v>
      </c>
      <c r="W2" s="952">
        <f t="shared" si="0"/>
        <v>4.0772006330205848</v>
      </c>
      <c r="X2" s="952">
        <f t="shared" si="0"/>
        <v>4.0780471842041601</v>
      </c>
      <c r="Y2" s="952">
        <f t="shared" si="0"/>
        <v>4.0787585157316215</v>
      </c>
      <c r="Z2" s="952">
        <f t="shared" si="0"/>
        <v>4.0793507654911121</v>
      </c>
      <c r="AA2" s="952">
        <f t="shared" si="0"/>
        <v>0</v>
      </c>
      <c r="AB2" s="952">
        <f t="shared" si="0"/>
        <v>0</v>
      </c>
      <c r="AC2" s="952">
        <f t="shared" si="0"/>
        <v>0</v>
      </c>
      <c r="AD2" s="953">
        <f t="shared" si="0"/>
        <v>0</v>
      </c>
      <c r="AF2" s="370" t="s">
        <v>120</v>
      </c>
      <c r="AG2" s="373">
        <f>'FREH HGV tkm'!Q35</f>
        <v>1.2584269662921348</v>
      </c>
      <c r="AJ2" s="1168"/>
      <c r="AK2" s="1168" t="s">
        <v>120</v>
      </c>
      <c r="AL2" s="366">
        <f>+'FREH Stock'!C169</f>
        <v>112</v>
      </c>
    </row>
    <row r="3" spans="1:38">
      <c r="A3" s="950" t="s">
        <v>234</v>
      </c>
      <c r="B3" s="954">
        <f>C76</f>
        <v>5.2040984266063326</v>
      </c>
      <c r="C3" s="954">
        <f t="shared" ref="C3:AD3" si="1">D76</f>
        <v>5.0816166644394638</v>
      </c>
      <c r="D3" s="954">
        <f t="shared" si="1"/>
        <v>5.0243862839302347</v>
      </c>
      <c r="E3" s="954">
        <f t="shared" si="1"/>
        <v>4.9945157828611935</v>
      </c>
      <c r="F3" s="954">
        <f t="shared" si="1"/>
        <v>4.9795847812610399</v>
      </c>
      <c r="G3" s="954">
        <f t="shared" si="1"/>
        <v>4.9736465357238213</v>
      </c>
      <c r="H3" s="954">
        <f t="shared" si="1"/>
        <v>4.9728503880930424</v>
      </c>
      <c r="I3" s="954">
        <f t="shared" si="1"/>
        <v>4.9747792918733262</v>
      </c>
      <c r="J3" s="954">
        <f t="shared" si="1"/>
        <v>4.9776157890245587</v>
      </c>
      <c r="K3" s="954">
        <f t="shared" si="1"/>
        <v>4.9801501958547565</v>
      </c>
      <c r="L3" s="954">
        <f t="shared" si="1"/>
        <v>4.9818639569656309</v>
      </c>
      <c r="M3" s="954">
        <f t="shared" si="1"/>
        <v>4.9827615196262531</v>
      </c>
      <c r="N3" s="954">
        <f t="shared" si="1"/>
        <v>4.9831921081991402</v>
      </c>
      <c r="O3" s="954">
        <f t="shared" si="1"/>
        <v>4.9834851789673111</v>
      </c>
      <c r="P3" s="954">
        <f t="shared" si="1"/>
        <v>4.9836567777369343</v>
      </c>
      <c r="Q3" s="954">
        <f t="shared" si="1"/>
        <v>4.9837348328036075</v>
      </c>
      <c r="R3" s="954">
        <f t="shared" si="1"/>
        <v>4.9838040829337151</v>
      </c>
      <c r="S3" s="954">
        <f t="shared" si="1"/>
        <v>4.9838674322617997</v>
      </c>
      <c r="T3" s="954">
        <f t="shared" si="1"/>
        <v>4.9839274474661499</v>
      </c>
      <c r="U3" s="954">
        <f t="shared" si="1"/>
        <v>4.9839863018226129</v>
      </c>
      <c r="V3" s="954">
        <f t="shared" si="1"/>
        <v>4.98404573657879</v>
      </c>
      <c r="W3" s="954">
        <f t="shared" si="1"/>
        <v>4.9841070383139483</v>
      </c>
      <c r="X3" s="954">
        <f t="shared" si="1"/>
        <v>4.9841710315335712</v>
      </c>
      <c r="Y3" s="954">
        <f t="shared" si="1"/>
        <v>4.984238086079853</v>
      </c>
      <c r="Z3" s="954">
        <f t="shared" si="1"/>
        <v>4.9843081390152495</v>
      </c>
      <c r="AA3" s="954">
        <f t="shared" si="1"/>
        <v>0</v>
      </c>
      <c r="AB3" s="954">
        <f t="shared" si="1"/>
        <v>0</v>
      </c>
      <c r="AC3" s="954">
        <f t="shared" si="1"/>
        <v>0</v>
      </c>
      <c r="AD3" s="955">
        <f t="shared" si="1"/>
        <v>0</v>
      </c>
      <c r="AF3" s="370" t="s">
        <v>121</v>
      </c>
      <c r="AG3" s="373">
        <f>'FREH HGV tkm'!Q36</f>
        <v>8.9880478087649394</v>
      </c>
      <c r="AJ3" s="1168"/>
      <c r="AK3" s="1168" t="s">
        <v>121</v>
      </c>
      <c r="AL3" s="366">
        <f>+'FREH Stock'!C198</f>
        <v>10.997400435872594</v>
      </c>
    </row>
    <row r="4" spans="1:38">
      <c r="A4" s="950" t="s">
        <v>235</v>
      </c>
      <c r="B4" s="954">
        <f>C105</f>
        <v>8.1365214037820834</v>
      </c>
      <c r="C4" s="954">
        <f t="shared" ref="C4:AD4" si="2">D105</f>
        <v>8.1200613059543549</v>
      </c>
      <c r="D4" s="954">
        <f t="shared" si="2"/>
        <v>8.1036533238915922</v>
      </c>
      <c r="E4" s="954">
        <f t="shared" si="2"/>
        <v>8.0853830523933308</v>
      </c>
      <c r="F4" s="954">
        <f t="shared" si="2"/>
        <v>8.0682455469747367</v>
      </c>
      <c r="G4" s="954">
        <f t="shared" si="2"/>
        <v>8.0544054087254455</v>
      </c>
      <c r="H4" s="954">
        <f t="shared" si="2"/>
        <v>8.0446122909597761</v>
      </c>
      <c r="I4" s="954">
        <f t="shared" si="2"/>
        <v>8.039059146013452</v>
      </c>
      <c r="J4" s="954">
        <f t="shared" si="2"/>
        <v>8.0367574946542</v>
      </c>
      <c r="K4" s="954">
        <f t="shared" si="2"/>
        <v>8.0361797642226307</v>
      </c>
      <c r="L4" s="954">
        <f t="shared" si="2"/>
        <v>8.0364703581740304</v>
      </c>
      <c r="M4" s="954">
        <f t="shared" si="2"/>
        <v>8.0372880773538942</v>
      </c>
      <c r="N4" s="954">
        <f t="shared" si="2"/>
        <v>8.0382478701783775</v>
      </c>
      <c r="O4" s="954">
        <f t="shared" si="2"/>
        <v>8.0390593605310681</v>
      </c>
      <c r="P4" s="954">
        <f t="shared" si="2"/>
        <v>8.0398489435945972</v>
      </c>
      <c r="Q4" s="954">
        <f t="shared" si="2"/>
        <v>8.0400484072974727</v>
      </c>
      <c r="R4" s="954">
        <f t="shared" si="2"/>
        <v>8.0402513259201918</v>
      </c>
      <c r="S4" s="954">
        <f t="shared" si="2"/>
        <v>8.0404572567971329</v>
      </c>
      <c r="T4" s="954">
        <f t="shared" si="2"/>
        <v>8.0406658124988315</v>
      </c>
      <c r="U4" s="954">
        <f t="shared" si="2"/>
        <v>8.0408766545653574</v>
      </c>
      <c r="V4" s="954">
        <f t="shared" si="2"/>
        <v>8.0410894880759969</v>
      </c>
      <c r="W4" s="954">
        <f t="shared" si="2"/>
        <v>8.0413040570667373</v>
      </c>
      <c r="X4" s="954">
        <f t="shared" si="2"/>
        <v>8.0415201408033301</v>
      </c>
      <c r="Y4" s="954">
        <f t="shared" si="2"/>
        <v>8.0417375509158724</v>
      </c>
      <c r="Z4" s="954">
        <f t="shared" si="2"/>
        <v>8.0419561293996171</v>
      </c>
      <c r="AA4" s="954">
        <f t="shared" si="2"/>
        <v>0</v>
      </c>
      <c r="AB4" s="954">
        <f t="shared" si="2"/>
        <v>0</v>
      </c>
      <c r="AC4" s="954">
        <f t="shared" si="2"/>
        <v>0</v>
      </c>
      <c r="AD4" s="955">
        <f t="shared" si="2"/>
        <v>0</v>
      </c>
      <c r="AF4" s="370" t="s">
        <v>131</v>
      </c>
      <c r="AG4" s="373">
        <f>'FREH HGV tkm'!Q37</f>
        <v>11.474509803921569</v>
      </c>
      <c r="AI4">
        <v>2.3884589662750001E-8</v>
      </c>
      <c r="AJ4" s="1168"/>
      <c r="AK4" s="1168" t="s">
        <v>131</v>
      </c>
      <c r="AL4" s="1511">
        <f>'FREH Stock'!C227</f>
        <v>3</v>
      </c>
    </row>
    <row r="5" spans="1:38" ht="15.75" thickBot="1">
      <c r="A5" s="951" t="s">
        <v>231</v>
      </c>
      <c r="B5" s="956">
        <f>('FREH Stock'!C227*B4+'FREH Stock'!C198*B3+'FREH Stock'!C169*B2)/('FREH Stock'!C227+'FREH Stock'!C198+'FREH Stock'!C169)/(FREH!E68/FREH!E69)</f>
        <v>4.2250123982903149</v>
      </c>
      <c r="C5" s="956">
        <f>('FREH Stock'!D227*C4+'FREH Stock'!D198*C3+'FREH Stock'!D169*C2)/('FREH Stock'!D227+'FREH Stock'!D198+'FREH Stock'!D169)/(FREH!F68/FREH!F69)</f>
        <v>4.1676793499691005</v>
      </c>
      <c r="D5" s="956">
        <f>('FREH Stock'!E227*D4+'FREH Stock'!E198*D3+'FREH Stock'!E169*D2)/('FREH Stock'!E227+'FREH Stock'!E198+'FREH Stock'!E169)/(FREH!G68/FREH!G69)</f>
        <v>4.1344239310716766</v>
      </c>
      <c r="E5" s="956">
        <f>('FREH Stock'!F227*E4+'FREH Stock'!F198*E3+'FREH Stock'!F169*E2)/('FREH Stock'!F227+'FREH Stock'!F198+'FREH Stock'!F169)/(FREH!H68/FREH!H69)</f>
        <v>4.1165718559392248</v>
      </c>
      <c r="F5" s="956">
        <f>('FREH Stock'!G227*F4+'FREH Stock'!G198*F3+'FREH Stock'!G169*F2)/('FREH Stock'!G227+'FREH Stock'!G198+'FREH Stock'!G169)/(FREH!I68/FREH!I69)</f>
        <v>4.1159543783192332</v>
      </c>
      <c r="G5" s="956">
        <f>('FREH Stock'!H227*G4+'FREH Stock'!H198*G3+'FREH Stock'!H169*G2)/('FREH Stock'!H227+'FREH Stock'!H198+'FREH Stock'!H169)/(FREH!J68/FREH!J69)</f>
        <v>4.1343197693779574</v>
      </c>
      <c r="H5" s="956">
        <f>('FREH Stock'!I227*H4+'FREH Stock'!I198*H3+'FREH Stock'!I169*H2)/('FREH Stock'!I227+'FREH Stock'!I198+'FREH Stock'!I169)/(FREH!K68/FREH!K69)</f>
        <v>4.17167091482305</v>
      </c>
      <c r="I5" s="956">
        <f>('FREH Stock'!J227*I4+'FREH Stock'!J198*I3+'FREH Stock'!J169*I2)/('FREH Stock'!J227+'FREH Stock'!J198+'FREH Stock'!J169)/(FREH!L68/FREH!L69)</f>
        <v>4.2261863078499715</v>
      </c>
      <c r="J5" s="956">
        <f>('FREH Stock'!K227*J4+'FREH Stock'!K198*J3+'FREH Stock'!K169*J2)/('FREH Stock'!K227+'FREH Stock'!K198+'FREH Stock'!K169)/(FREH!M68/FREH!M69)</f>
        <v>4.2976978449743823</v>
      </c>
      <c r="K5" s="956">
        <f>('FREH Stock'!L227*K4+'FREH Stock'!L198*K3+'FREH Stock'!L169*K2)/('FREH Stock'!L227+'FREH Stock'!L198+'FREH Stock'!L169)/(FREH!N68/FREH!N69)</f>
        <v>4.3828802744526874</v>
      </c>
      <c r="L5" s="956">
        <f>('FREH Stock'!M227*L4+'FREH Stock'!M198*L3+'FREH Stock'!M169*L2)/('FREH Stock'!M227+'FREH Stock'!M198+'FREH Stock'!M169)/(FREH!O68/FREH!O69)</f>
        <v>4.4749237614891788</v>
      </c>
      <c r="M5" s="956">
        <f>('FREH Stock'!N227*M4+'FREH Stock'!N198*M3+'FREH Stock'!N169*M2)/('FREH Stock'!N227+'FREH Stock'!N198+'FREH Stock'!N169)/(FREH!P68/FREH!P69)</f>
        <v>4.5615898287053893</v>
      </c>
      <c r="N5" s="956">
        <f>('FREH Stock'!O227*N4+'FREH Stock'!O198*N3+'FREH Stock'!O169*N2)/('FREH Stock'!O227+'FREH Stock'!O198+'FREH Stock'!O169)/(FREH!Q68/FREH!Q69)</f>
        <v>4.6251377890252714</v>
      </c>
      <c r="O5" s="956">
        <f>('FREH Stock'!P227*O4+'FREH Stock'!P198*O3+'FREH Stock'!P169*O2)/('FREH Stock'!P227+'FREH Stock'!P198+'FREH Stock'!P169)/(FREH!R68/FREH!R69)</f>
        <v>4.6593893135936097</v>
      </c>
      <c r="P5" s="956">
        <f>('FREH Stock'!Q227*P4+'FREH Stock'!Q198*P3+'FREH Stock'!Q169*P2)/('FREH Stock'!Q227+'FREH Stock'!Q198+'FREH Stock'!Q169)/(FREH!S68/FREH!S69)</f>
        <v>4.6642357489304089</v>
      </c>
      <c r="Q5" s="956">
        <f>('FREH Stock'!R227*Q4+'FREH Stock'!R198*Q3+'FREH Stock'!R169*Q2)/('FREH Stock'!R227+'FREH Stock'!R198+'FREH Stock'!R169)/(FREH!T68/FREH!T69)</f>
        <v>4.6271639816685255</v>
      </c>
      <c r="R5" s="956">
        <f>('FREH Stock'!S227*R4+'FREH Stock'!S198*R3+'FREH Stock'!S169*R2)/('FREH Stock'!S227+'FREH Stock'!S198+'FREH Stock'!S169)/(FREH!U68/FREH!U69)</f>
        <v>4.5860997637473782</v>
      </c>
      <c r="S5" s="956">
        <f>('FREH Stock'!T227*S4+'FREH Stock'!T198*S3+'FREH Stock'!T169*S2)/('FREH Stock'!T227+'FREH Stock'!T198+'FREH Stock'!T169)/(FREH!V68/FREH!V69)</f>
        <v>4.54266900386021</v>
      </c>
      <c r="T5" s="956">
        <f>('FREH Stock'!U227*T4+'FREH Stock'!U198*T3+'FREH Stock'!U169*T2)/('FREH Stock'!U227+'FREH Stock'!U198+'FREH Stock'!U169)/(FREH!W68/FREH!W69)</f>
        <v>4.4978970649504957</v>
      </c>
      <c r="U5" s="956">
        <f>('FREH Stock'!V227*U4+'FREH Stock'!V198*U3+'FREH Stock'!V169*U2)/('FREH Stock'!V227+'FREH Stock'!V198+'FREH Stock'!V169)/(FREH!X68/FREH!X69)</f>
        <v>4.4519048905858494</v>
      </c>
      <c r="V5" s="956">
        <f>('FREH Stock'!W227*V4+'FREH Stock'!W198*V3+'FREH Stock'!W169*V2)/('FREH Stock'!W227+'FREH Stock'!W198+'FREH Stock'!W169)/(FREH!Y68/FREH!Y69)</f>
        <v>4.4038369360973464</v>
      </c>
      <c r="W5" s="956">
        <f>('FREH Stock'!X227*W4+'FREH Stock'!X198*W3+'FREH Stock'!X169*W2)/('FREH Stock'!X227+'FREH Stock'!X198+'FREH Stock'!X169)/(FREH!Z68/FREH!Z69)</f>
        <v>4.3517747479072746</v>
      </c>
      <c r="X5" s="956">
        <f>('FREH Stock'!Y227*X4+'FREH Stock'!Y198*X3+'FREH Stock'!Y169*X2)/('FREH Stock'!Y227+'FREH Stock'!Y198+'FREH Stock'!Y169)/(FREH!AA68/FREH!AA69)</f>
        <v>4.2922732965577417</v>
      </c>
      <c r="Y5" s="956"/>
      <c r="Z5" s="956"/>
      <c r="AA5" s="956"/>
      <c r="AB5" s="956"/>
      <c r="AC5" s="956"/>
      <c r="AD5" s="957"/>
      <c r="AF5" s="371" t="s">
        <v>231</v>
      </c>
      <c r="AG5" s="374">
        <f>SUMPRODUCT(AL2:AL4,AG2:AG4)/SUM(AL2:AL4)</f>
        <v>2.1763346670457842</v>
      </c>
    </row>
    <row r="6" spans="1:38" ht="15.75" thickBot="1">
      <c r="A6" s="365"/>
      <c r="B6" s="368"/>
      <c r="C6" s="368"/>
      <c r="D6" s="368"/>
      <c r="E6" s="368"/>
      <c r="F6" s="368"/>
      <c r="G6" s="368"/>
      <c r="H6" s="368"/>
      <c r="I6" s="368"/>
      <c r="J6" s="368"/>
      <c r="K6" s="368"/>
      <c r="L6" s="368"/>
      <c r="M6" s="368"/>
      <c r="N6" s="368"/>
      <c r="O6" s="368"/>
      <c r="P6" s="368"/>
      <c r="Q6" s="368"/>
      <c r="R6" s="368"/>
      <c r="S6" s="368"/>
      <c r="T6" s="368"/>
      <c r="U6" s="368"/>
      <c r="V6" s="368"/>
      <c r="W6" s="368"/>
      <c r="X6" s="368"/>
      <c r="Y6" s="368"/>
      <c r="Z6" s="368"/>
      <c r="AA6" s="368"/>
      <c r="AB6" s="368"/>
      <c r="AC6" s="368"/>
      <c r="AD6" s="368"/>
      <c r="AF6" s="375"/>
      <c r="AG6" s="376"/>
    </row>
    <row r="7" spans="1:38" ht="15" customHeight="1" thickBot="1">
      <c r="A7" s="798" t="s">
        <v>237</v>
      </c>
      <c r="B7" s="803">
        <v>2012</v>
      </c>
      <c r="C7" s="949">
        <v>2013</v>
      </c>
      <c r="D7" s="803">
        <v>2014</v>
      </c>
      <c r="E7" s="949">
        <v>2015</v>
      </c>
      <c r="F7" s="803">
        <v>2016</v>
      </c>
      <c r="G7" s="949">
        <v>2017</v>
      </c>
      <c r="H7" s="803">
        <v>2018</v>
      </c>
      <c r="I7" s="949">
        <v>2019</v>
      </c>
      <c r="J7" s="803">
        <v>2020</v>
      </c>
      <c r="K7" s="949">
        <v>2021</v>
      </c>
      <c r="L7" s="803">
        <v>2022</v>
      </c>
      <c r="M7" s="949">
        <v>2023</v>
      </c>
      <c r="N7" s="803">
        <v>2024</v>
      </c>
      <c r="O7" s="949">
        <v>2025</v>
      </c>
      <c r="P7" s="803">
        <v>2026</v>
      </c>
      <c r="Q7" s="949">
        <v>2027</v>
      </c>
      <c r="R7" s="803">
        <v>2028</v>
      </c>
      <c r="S7" s="949">
        <v>2029</v>
      </c>
      <c r="T7" s="803">
        <v>2030</v>
      </c>
      <c r="U7" s="949">
        <v>2031</v>
      </c>
      <c r="V7" s="803">
        <v>2032</v>
      </c>
      <c r="W7" s="949">
        <v>2033</v>
      </c>
      <c r="X7" s="803">
        <v>2034</v>
      </c>
      <c r="Y7" s="949">
        <v>2035</v>
      </c>
      <c r="Z7" s="803">
        <v>2036</v>
      </c>
      <c r="AA7" s="949">
        <v>2037</v>
      </c>
      <c r="AB7" s="803">
        <v>2038</v>
      </c>
      <c r="AC7" s="949">
        <v>2039</v>
      </c>
      <c r="AD7" s="804">
        <v>2040</v>
      </c>
      <c r="AF7" s="391" t="s">
        <v>238</v>
      </c>
      <c r="AG7" s="392" t="s">
        <v>239</v>
      </c>
      <c r="AH7" s="393">
        <v>6.3600000000000004E-2</v>
      </c>
    </row>
    <row r="8" spans="1:38">
      <c r="A8" s="950" t="s">
        <v>233</v>
      </c>
      <c r="B8" s="952">
        <f>(B2/$AG2)</f>
        <v>3.2519090475350665</v>
      </c>
      <c r="C8" s="952">
        <f t="shared" ref="C8:AD8" si="3">C2/$AG2</f>
        <v>3.2206826606309162</v>
      </c>
      <c r="D8" s="952">
        <f t="shared" si="3"/>
        <v>3.2016715922923598</v>
      </c>
      <c r="E8" s="952">
        <f t="shared" si="3"/>
        <v>3.1904521822905241</v>
      </c>
      <c r="F8" s="952">
        <f t="shared" si="3"/>
        <v>3.1846847497524662</v>
      </c>
      <c r="G8" s="952">
        <f t="shared" si="3"/>
        <v>3.1829061837670105</v>
      </c>
      <c r="H8" s="952">
        <f t="shared" si="3"/>
        <v>3.1842333979978497</v>
      </c>
      <c r="I8" s="952">
        <f t="shared" si="3"/>
        <v>3.1881179243960767</v>
      </c>
      <c r="J8" s="952">
        <f t="shared" si="3"/>
        <v>3.1939248091061216</v>
      </c>
      <c r="K8" s="952">
        <f t="shared" si="3"/>
        <v>3.2010329306143936</v>
      </c>
      <c r="L8" s="952">
        <f t="shared" si="3"/>
        <v>3.2086530967047229</v>
      </c>
      <c r="M8" s="952">
        <f t="shared" si="3"/>
        <v>3.2157592340046297</v>
      </c>
      <c r="N8" s="952">
        <f t="shared" si="3"/>
        <v>3.2216428972215616</v>
      </c>
      <c r="O8" s="952">
        <f t="shared" si="3"/>
        <v>3.2262495900708936</v>
      </c>
      <c r="P8" s="952">
        <f t="shared" si="3"/>
        <v>3.2296267543536312</v>
      </c>
      <c r="Q8" s="952">
        <f t="shared" si="3"/>
        <v>3.231972117722663</v>
      </c>
      <c r="R8" s="952">
        <f t="shared" si="3"/>
        <v>3.2339595755347328</v>
      </c>
      <c r="S8" s="952">
        <f t="shared" si="3"/>
        <v>3.2356245466700706</v>
      </c>
      <c r="T8" s="952">
        <f t="shared" si="3"/>
        <v>3.2370098837922252</v>
      </c>
      <c r="U8" s="952">
        <f t="shared" si="3"/>
        <v>3.2381602483898697</v>
      </c>
      <c r="V8" s="952">
        <f t="shared" si="3"/>
        <v>3.2391176552710146</v>
      </c>
      <c r="W8" s="952">
        <f t="shared" si="3"/>
        <v>3.2399183601681432</v>
      </c>
      <c r="X8" s="952">
        <f t="shared" si="3"/>
        <v>3.2405910660193773</v>
      </c>
      <c r="Y8" s="952">
        <f t="shared" si="3"/>
        <v>3.2411563205367351</v>
      </c>
      <c r="Z8" s="952">
        <f t="shared" si="3"/>
        <v>3.2416269475777586</v>
      </c>
      <c r="AA8" s="952">
        <f t="shared" si="3"/>
        <v>0</v>
      </c>
      <c r="AB8" s="952">
        <f t="shared" si="3"/>
        <v>0</v>
      </c>
      <c r="AC8" s="952">
        <f t="shared" si="3"/>
        <v>0</v>
      </c>
      <c r="AD8" s="953">
        <f t="shared" si="3"/>
        <v>0</v>
      </c>
      <c r="AF8" s="312" t="s">
        <v>240</v>
      </c>
      <c r="AG8" t="s">
        <v>241</v>
      </c>
      <c r="AH8">
        <f>SUMPRODUCT(B8:B11,B15:B18)/SUM(B15:B18)</f>
        <v>2.664833770821998</v>
      </c>
    </row>
    <row r="9" spans="1:38">
      <c r="A9" s="950" t="s">
        <v>234</v>
      </c>
      <c r="B9" s="954">
        <f>(B3/$AG3)</f>
        <v>0.57900208558430388</v>
      </c>
      <c r="C9" s="954">
        <f t="shared" ref="C9:AD9" si="4">C3/$AG3</f>
        <v>0.56537490371201482</v>
      </c>
      <c r="D9" s="954">
        <f t="shared" si="4"/>
        <v>0.55900751651883374</v>
      </c>
      <c r="E9" s="954">
        <f t="shared" si="4"/>
        <v>0.55568415846549635</v>
      </c>
      <c r="F9" s="954">
        <f t="shared" si="4"/>
        <v>0.55402295217044373</v>
      </c>
      <c r="G9" s="954">
        <f t="shared" si="4"/>
        <v>0.55336226971040747</v>
      </c>
      <c r="H9" s="954">
        <f t="shared" si="4"/>
        <v>0.55327369122843695</v>
      </c>
      <c r="I9" s="954">
        <f t="shared" si="4"/>
        <v>0.55348829887420437</v>
      </c>
      <c r="J9" s="954">
        <f t="shared" si="4"/>
        <v>0.55380388432853034</v>
      </c>
      <c r="K9" s="954">
        <f t="shared" si="4"/>
        <v>0.55408585955653544</v>
      </c>
      <c r="L9" s="954">
        <f t="shared" si="4"/>
        <v>0.55427653067303784</v>
      </c>
      <c r="M9" s="954">
        <f t="shared" si="4"/>
        <v>0.55437639247614789</v>
      </c>
      <c r="N9" s="954">
        <f t="shared" si="4"/>
        <v>0.5544242992721562</v>
      </c>
      <c r="O9" s="954">
        <f t="shared" si="4"/>
        <v>0.55445690599326025</v>
      </c>
      <c r="P9" s="954">
        <f t="shared" si="4"/>
        <v>0.55447599787764656</v>
      </c>
      <c r="Q9" s="954">
        <f t="shared" si="4"/>
        <v>0.5544846821957915</v>
      </c>
      <c r="R9" s="954">
        <f t="shared" si="4"/>
        <v>0.55449238688668556</v>
      </c>
      <c r="S9" s="954">
        <f t="shared" si="4"/>
        <v>0.55449943506104249</v>
      </c>
      <c r="T9" s="954">
        <f t="shared" si="4"/>
        <v>0.55450611228457614</v>
      </c>
      <c r="U9" s="954">
        <f t="shared" si="4"/>
        <v>0.55451266035349112</v>
      </c>
      <c r="V9" s="954">
        <f t="shared" si="4"/>
        <v>0.55451927299701964</v>
      </c>
      <c r="W9" s="954">
        <f t="shared" si="4"/>
        <v>0.55452609335851111</v>
      </c>
      <c r="X9" s="954">
        <f t="shared" si="4"/>
        <v>0.55453321317150994</v>
      </c>
      <c r="Y9" s="954">
        <f t="shared" si="4"/>
        <v>0.55454067358423897</v>
      </c>
      <c r="Z9" s="954">
        <f t="shared" si="4"/>
        <v>0.55454846759433851</v>
      </c>
      <c r="AA9" s="954">
        <f t="shared" si="4"/>
        <v>0</v>
      </c>
      <c r="AB9" s="954">
        <f t="shared" si="4"/>
        <v>0</v>
      </c>
      <c r="AC9" s="954">
        <f t="shared" si="4"/>
        <v>0</v>
      </c>
      <c r="AD9" s="955">
        <f t="shared" si="4"/>
        <v>0</v>
      </c>
      <c r="AF9" s="312" t="s">
        <v>240</v>
      </c>
      <c r="AG9" t="s">
        <v>241</v>
      </c>
      <c r="AH9">
        <f>AH8*AI4</f>
        <v>6.3648461135522194E-8</v>
      </c>
    </row>
    <row r="10" spans="1:38">
      <c r="A10" s="950" t="s">
        <v>235</v>
      </c>
      <c r="B10" s="954">
        <f>(B4/$AG4)</f>
        <v>0.70909533765018151</v>
      </c>
      <c r="C10" s="954">
        <f t="shared" ref="C10:AD10" si="5">C4/$AG4</f>
        <v>0.70766084518740957</v>
      </c>
      <c r="D10" s="954">
        <f t="shared" si="5"/>
        <v>0.70623089459752431</v>
      </c>
      <c r="E10" s="954">
        <f t="shared" si="5"/>
        <v>0.70463864605615156</v>
      </c>
      <c r="F10" s="954">
        <f t="shared" si="5"/>
        <v>0.7031451177301975</v>
      </c>
      <c r="G10" s="954">
        <f t="shared" si="5"/>
        <v>0.70193895393882044</v>
      </c>
      <c r="H10" s="954">
        <f t="shared" si="5"/>
        <v>0.70108548673777948</v>
      </c>
      <c r="I10" s="954">
        <f t="shared" si="5"/>
        <v>0.70060153186378338</v>
      </c>
      <c r="J10" s="954">
        <f t="shared" si="5"/>
        <v>0.70040094365578298</v>
      </c>
      <c r="K10" s="954">
        <f t="shared" si="5"/>
        <v>0.70035059462637417</v>
      </c>
      <c r="L10" s="954">
        <f t="shared" si="5"/>
        <v>0.7003759197998557</v>
      </c>
      <c r="M10" s="954">
        <f t="shared" si="5"/>
        <v>0.70044718377486093</v>
      </c>
      <c r="N10" s="954">
        <f t="shared" si="5"/>
        <v>0.70053082942429468</v>
      </c>
      <c r="O10" s="954">
        <f t="shared" si="5"/>
        <v>0.7006015505589277</v>
      </c>
      <c r="P10" s="954">
        <f t="shared" si="5"/>
        <v>0.70067036248004866</v>
      </c>
      <c r="Q10" s="954">
        <f t="shared" si="5"/>
        <v>0.70068774568040171</v>
      </c>
      <c r="R10" s="954">
        <f t="shared" si="5"/>
        <v>0.70070542997595653</v>
      </c>
      <c r="S10" s="954">
        <f t="shared" si="5"/>
        <v>0.70072337678854024</v>
      </c>
      <c r="T10" s="954">
        <f t="shared" si="5"/>
        <v>0.70074155235379432</v>
      </c>
      <c r="U10" s="954">
        <f t="shared" si="5"/>
        <v>0.70075992717503965</v>
      </c>
      <c r="V10" s="954">
        <f t="shared" si="5"/>
        <v>0.70077847555002704</v>
      </c>
      <c r="W10" s="954">
        <f t="shared" si="5"/>
        <v>0.70079717517157147</v>
      </c>
      <c r="X10" s="954">
        <f t="shared" si="5"/>
        <v>0.70081600680275091</v>
      </c>
      <c r="Y10" s="954">
        <f t="shared" si="5"/>
        <v>0.70083495402718643</v>
      </c>
      <c r="Z10" s="954">
        <f t="shared" si="5"/>
        <v>0.70085400307481283</v>
      </c>
      <c r="AA10" s="954">
        <f t="shared" si="5"/>
        <v>0</v>
      </c>
      <c r="AB10" s="954">
        <f t="shared" si="5"/>
        <v>0</v>
      </c>
      <c r="AC10" s="954">
        <f t="shared" si="5"/>
        <v>0</v>
      </c>
      <c r="AD10" s="955">
        <f t="shared" si="5"/>
        <v>0</v>
      </c>
      <c r="AF10" s="312" t="s">
        <v>240</v>
      </c>
      <c r="AG10" t="s">
        <v>242</v>
      </c>
      <c r="AH10">
        <f>AH9*AI4</f>
        <v>1.5202173768874386E-15</v>
      </c>
    </row>
    <row r="11" spans="1:38">
      <c r="A11" s="950" t="s">
        <v>231</v>
      </c>
      <c r="B11" s="954">
        <f>(B5/$AG5)</f>
        <v>1.941343150144027</v>
      </c>
      <c r="C11" s="954">
        <f t="shared" ref="C11:AD11" si="6">C5/$AG$5</f>
        <v>1.9149992935720781</v>
      </c>
      <c r="D11" s="954">
        <f t="shared" si="6"/>
        <v>1.8997188225117307</v>
      </c>
      <c r="E11" s="954">
        <f t="shared" si="6"/>
        <v>1.8915160054529534</v>
      </c>
      <c r="F11" s="954">
        <f t="shared" si="6"/>
        <v>1.8912322818008231</v>
      </c>
      <c r="G11" s="954">
        <f t="shared" si="6"/>
        <v>1.8996709614473015</v>
      </c>
      <c r="H11" s="954">
        <f t="shared" si="6"/>
        <v>1.916833370340872</v>
      </c>
      <c r="I11" s="954">
        <f t="shared" si="6"/>
        <v>1.9418825476812864</v>
      </c>
      <c r="J11" s="954">
        <f t="shared" si="6"/>
        <v>1.9747412519087399</v>
      </c>
      <c r="K11" s="954">
        <f t="shared" si="6"/>
        <v>2.0138815692359153</v>
      </c>
      <c r="L11" s="954">
        <f t="shared" si="6"/>
        <v>2.0561744612392552</v>
      </c>
      <c r="M11" s="954">
        <f t="shared" si="6"/>
        <v>2.0959964925327479</v>
      </c>
      <c r="N11" s="954">
        <f t="shared" si="6"/>
        <v>2.1251960275501007</v>
      </c>
      <c r="O11" s="954">
        <f t="shared" si="6"/>
        <v>2.1409341973669846</v>
      </c>
      <c r="P11" s="954">
        <f t="shared" si="6"/>
        <v>2.1431610769963836</v>
      </c>
      <c r="Q11" s="954">
        <f t="shared" si="6"/>
        <v>2.1261270390686575</v>
      </c>
      <c r="R11" s="954">
        <f t="shared" si="6"/>
        <v>2.107258517355088</v>
      </c>
      <c r="S11" s="954">
        <f t="shared" si="6"/>
        <v>2.0873025976407167</v>
      </c>
      <c r="T11" s="954">
        <f t="shared" si="6"/>
        <v>2.0667304220522587</v>
      </c>
      <c r="U11" s="954">
        <f t="shared" si="6"/>
        <v>2.0455975627264102</v>
      </c>
      <c r="V11" s="954">
        <f t="shared" si="6"/>
        <v>2.0235109070220503</v>
      </c>
      <c r="W11" s="954">
        <f t="shared" si="6"/>
        <v>1.9995889482450289</v>
      </c>
      <c r="X11" s="954">
        <f t="shared" si="6"/>
        <v>1.9722487361671219</v>
      </c>
      <c r="Y11" s="954">
        <f t="shared" si="6"/>
        <v>0</v>
      </c>
      <c r="Z11" s="954">
        <f t="shared" si="6"/>
        <v>0</v>
      </c>
      <c r="AA11" s="954">
        <f t="shared" si="6"/>
        <v>0</v>
      </c>
      <c r="AB11" s="954">
        <f t="shared" si="6"/>
        <v>0</v>
      </c>
      <c r="AC11" s="954">
        <f t="shared" si="6"/>
        <v>0</v>
      </c>
      <c r="AD11" s="955">
        <f t="shared" si="6"/>
        <v>0</v>
      </c>
      <c r="AF11" s="375"/>
      <c r="AG11" s="376"/>
    </row>
    <row r="12" spans="1:38" ht="15.75" thickBot="1">
      <c r="A12" s="951" t="s">
        <v>39</v>
      </c>
      <c r="B12" s="956">
        <f>SUMPRODUCT(B8:B11,B15:B18)/SUM(B15:B18)</f>
        <v>2.664833770821998</v>
      </c>
      <c r="C12" s="956">
        <f>SUMPRODUCT(C8:C11,C15:C18)/SUM(C15:C18)</f>
        <v>2.7480939728353579</v>
      </c>
      <c r="D12" s="956">
        <f t="shared" ref="D12:AD12" si="7">SUMPRODUCT(D8:D11,D15:D18)/SUM(D15:D18)</f>
        <v>2.8196829819675533</v>
      </c>
      <c r="E12" s="956">
        <f t="shared" si="7"/>
        <v>2.8838208390211819</v>
      </c>
      <c r="F12" s="956">
        <f t="shared" si="7"/>
        <v>2.9401350773745873</v>
      </c>
      <c r="G12" s="956">
        <f t="shared" si="7"/>
        <v>2.9884324050848061</v>
      </c>
      <c r="H12" s="956">
        <f t="shared" si="7"/>
        <v>3.0289874595445547</v>
      </c>
      <c r="I12" s="956">
        <f t="shared" si="7"/>
        <v>3.0640691759196801</v>
      </c>
      <c r="J12" s="956">
        <f t="shared" si="7"/>
        <v>3.0974725735365518</v>
      </c>
      <c r="K12" s="956">
        <f t="shared" si="7"/>
        <v>3.1304621214739439</v>
      </c>
      <c r="L12" s="956">
        <f t="shared" si="7"/>
        <v>3.1605862887146698</v>
      </c>
      <c r="M12" s="956">
        <f t="shared" si="7"/>
        <v>3.1854943601023264</v>
      </c>
      <c r="N12" s="956">
        <f t="shared" si="7"/>
        <v>3.2043028841528467</v>
      </c>
      <c r="O12" s="956">
        <f t="shared" si="7"/>
        <v>3.2170428396595701</v>
      </c>
      <c r="P12" s="956">
        <f t="shared" si="7"/>
        <v>3.2248167274647734</v>
      </c>
      <c r="Q12" s="956">
        <f t="shared" si="7"/>
        <v>3.2291506370266658</v>
      </c>
      <c r="R12" s="956">
        <f t="shared" si="7"/>
        <v>3.2318990870873243</v>
      </c>
      <c r="S12" s="956">
        <f t="shared" si="7"/>
        <v>3.2338552116994075</v>
      </c>
      <c r="T12" s="956">
        <f t="shared" si="7"/>
        <v>3.23534385087954</v>
      </c>
      <c r="U12" s="956">
        <f t="shared" si="7"/>
        <v>3.2365169770822324</v>
      </c>
      <c r="V12" s="956">
        <f t="shared" si="7"/>
        <v>3.2374579465621434</v>
      </c>
      <c r="W12" s="956">
        <f t="shared" si="7"/>
        <v>3.2382185233542584</v>
      </c>
      <c r="X12" s="956">
        <f t="shared" si="7"/>
        <v>3.2388319626307136</v>
      </c>
      <c r="Y12" s="956">
        <f t="shared" si="7"/>
        <v>3.2365818817550358</v>
      </c>
      <c r="Z12" s="956">
        <f t="shared" si="7"/>
        <v>3.236947137341291</v>
      </c>
      <c r="AA12" s="956" t="e">
        <f t="shared" si="7"/>
        <v>#DIV/0!</v>
      </c>
      <c r="AB12" s="956" t="e">
        <f t="shared" si="7"/>
        <v>#DIV/0!</v>
      </c>
      <c r="AC12" s="956" t="e">
        <f t="shared" si="7"/>
        <v>#DIV/0!</v>
      </c>
      <c r="AD12" s="957" t="e">
        <f t="shared" si="7"/>
        <v>#DIV/0!</v>
      </c>
      <c r="AF12" s="375"/>
      <c r="AG12" s="376"/>
    </row>
    <row r="13" spans="1:38" ht="15.75" thickBot="1">
      <c r="A13" s="365"/>
      <c r="B13" s="390"/>
      <c r="C13" s="368"/>
      <c r="D13" s="368"/>
      <c r="E13" s="368"/>
      <c r="F13" s="368"/>
      <c r="G13" s="368"/>
      <c r="H13" s="368"/>
      <c r="I13" s="368"/>
      <c r="J13" s="368"/>
      <c r="K13" s="368"/>
      <c r="L13" s="368"/>
      <c r="M13" s="368"/>
      <c r="N13" s="368"/>
      <c r="O13" s="368"/>
      <c r="P13" s="368"/>
      <c r="Q13" s="368"/>
      <c r="R13" s="368"/>
      <c r="S13" s="368"/>
      <c r="T13" s="368"/>
      <c r="U13" s="368"/>
      <c r="V13" s="368"/>
      <c r="W13" s="368"/>
      <c r="X13" s="368"/>
      <c r="Y13" s="368"/>
      <c r="Z13" s="368"/>
      <c r="AA13" s="368"/>
      <c r="AB13" s="368"/>
      <c r="AC13" s="368"/>
      <c r="AD13" s="368"/>
      <c r="AF13" s="375"/>
      <c r="AG13" s="376"/>
    </row>
    <row r="14" spans="1:38" ht="15.75" thickBot="1">
      <c r="A14" s="798" t="s">
        <v>89</v>
      </c>
      <c r="B14" s="803">
        <v>2012</v>
      </c>
      <c r="C14" s="949">
        <v>2013</v>
      </c>
      <c r="D14" s="803">
        <v>2014</v>
      </c>
      <c r="E14" s="949">
        <v>2015</v>
      </c>
      <c r="F14" s="803">
        <v>2016</v>
      </c>
      <c r="G14" s="949">
        <v>2017</v>
      </c>
      <c r="H14" s="803">
        <v>2018</v>
      </c>
      <c r="I14" s="949">
        <v>2019</v>
      </c>
      <c r="J14" s="803">
        <v>2020</v>
      </c>
      <c r="K14" s="949">
        <v>2021</v>
      </c>
      <c r="L14" s="803">
        <v>2022</v>
      </c>
      <c r="M14" s="949">
        <v>2023</v>
      </c>
      <c r="N14" s="803">
        <v>2024</v>
      </c>
      <c r="O14" s="949">
        <v>2025</v>
      </c>
      <c r="P14" s="803">
        <v>2026</v>
      </c>
      <c r="Q14" s="949">
        <v>2027</v>
      </c>
      <c r="R14" s="803">
        <v>2028</v>
      </c>
      <c r="S14" s="949">
        <v>2029</v>
      </c>
      <c r="T14" s="803">
        <v>2030</v>
      </c>
      <c r="U14" s="949">
        <v>2031</v>
      </c>
      <c r="V14" s="803">
        <v>2032</v>
      </c>
      <c r="W14" s="949">
        <v>2033</v>
      </c>
      <c r="X14" s="803">
        <v>2034</v>
      </c>
      <c r="Y14" s="949">
        <v>2035</v>
      </c>
      <c r="Z14" s="803">
        <v>2036</v>
      </c>
      <c r="AA14" s="949">
        <v>2037</v>
      </c>
      <c r="AB14" s="803">
        <v>2038</v>
      </c>
      <c r="AC14" s="949">
        <v>2039</v>
      </c>
      <c r="AD14" s="804">
        <v>2040</v>
      </c>
    </row>
    <row r="15" spans="1:38">
      <c r="A15" s="950" t="s">
        <v>233</v>
      </c>
      <c r="B15" s="958">
        <f>'FREH Stock'!C343</f>
        <v>59216.347058977168</v>
      </c>
      <c r="C15" s="958">
        <f>'FREH Stock'!D343</f>
        <v>54758.065016475521</v>
      </c>
      <c r="D15" s="958">
        <f>'FREH Stock'!E343</f>
        <v>50460.512671048957</v>
      </c>
      <c r="E15" s="958">
        <f>'FREH Stock'!F343</f>
        <v>45685.049462216695</v>
      </c>
      <c r="F15" s="958">
        <f>'FREH Stock'!G343</f>
        <v>40172.407013307151</v>
      </c>
      <c r="G15" s="958">
        <f>'FREH Stock'!H343</f>
        <v>34010.151142258357</v>
      </c>
      <c r="H15" s="958">
        <f>'FREH Stock'!I343</f>
        <v>27513.697343512529</v>
      </c>
      <c r="I15" s="958">
        <f>'FREH Stock'!J343</f>
        <v>21137.430599230487</v>
      </c>
      <c r="J15" s="958">
        <f>'FREH Stock'!K343</f>
        <v>15344.664938760767</v>
      </c>
      <c r="K15" s="958">
        <f>'FREH Stock'!L343</f>
        <v>10509.368410017158</v>
      </c>
      <c r="L15" s="958">
        <f>'FREH Stock'!M343</f>
        <v>6759.6540267693781</v>
      </c>
      <c r="M15" s="958">
        <f>'FREH Stock'!N343</f>
        <v>4050.5929913540285</v>
      </c>
      <c r="N15" s="958">
        <f>'FREH Stock'!O343</f>
        <v>2227.0920934271121</v>
      </c>
      <c r="O15" s="958">
        <f>'FREH Stock'!P343</f>
        <v>1104.7299340856118</v>
      </c>
      <c r="P15" s="958">
        <f>'FREH Stock'!Q343</f>
        <v>486.23880974428647</v>
      </c>
      <c r="Q15" s="958">
        <f>'FREH Stock'!R343</f>
        <v>187.60193082183571</v>
      </c>
      <c r="R15" s="958">
        <f>'FREH Stock'!S343</f>
        <v>65.546261925848199</v>
      </c>
      <c r="S15" s="958">
        <f>'FREH Stock'!T343</f>
        <v>20.467004145799134</v>
      </c>
      <c r="T15" s="958">
        <f>'FREH Stock'!U343</f>
        <v>5.6182298999853835</v>
      </c>
      <c r="U15" s="958">
        <f>'FREH Stock'!V343</f>
        <v>1.3272100756826233</v>
      </c>
      <c r="V15" s="958">
        <f>'FREH Stock'!W343</f>
        <v>0.26217358463895302</v>
      </c>
      <c r="W15" s="958">
        <f>'FREH Stock'!X343</f>
        <v>4.155376337340104E-2</v>
      </c>
      <c r="X15" s="958">
        <f>'FREH Stock'!Y343</f>
        <v>4.9523619896194339E-3</v>
      </c>
      <c r="Y15" s="958">
        <f>'FREH Stock'!Z343</f>
        <v>3.9438850002774476E-4</v>
      </c>
      <c r="Z15" s="958">
        <f>'FREH Stock'!AA343</f>
        <v>1.5737319432739413E-5</v>
      </c>
      <c r="AA15" s="958">
        <f>'FREH Stock'!AB343</f>
        <v>0</v>
      </c>
      <c r="AB15" s="958">
        <f>'FREH Stock'!AC343</f>
        <v>0</v>
      </c>
      <c r="AC15" s="958">
        <f>'FREH Stock'!AD343</f>
        <v>0</v>
      </c>
      <c r="AD15" s="959">
        <f>'FREH Stock'!AE343</f>
        <v>0</v>
      </c>
    </row>
    <row r="16" spans="1:38">
      <c r="A16" s="950" t="s">
        <v>234</v>
      </c>
      <c r="B16" s="960">
        <f>'FREH Stock'!C372</f>
        <v>10320.96880523047</v>
      </c>
      <c r="C16" s="960">
        <f>'FREH Stock'!D372</f>
        <v>7006.663175981219</v>
      </c>
      <c r="D16" s="960">
        <f>'FREH Stock'!E372</f>
        <v>4807.4047340058514</v>
      </c>
      <c r="E16" s="960">
        <f>'FREH Stock'!F372</f>
        <v>3223.991044978929</v>
      </c>
      <c r="F16" s="960">
        <f>'FREH Stock'!G372</f>
        <v>2087.8075525956838</v>
      </c>
      <c r="G16" s="960">
        <f>'FREH Stock'!H372</f>
        <v>1303.5930299892457</v>
      </c>
      <c r="H16" s="960">
        <f>'FREH Stock'!I372</f>
        <v>783.64981331931494</v>
      </c>
      <c r="I16" s="960">
        <f>'FREH Stock'!J372</f>
        <v>451.88586224971169</v>
      </c>
      <c r="J16" s="960">
        <f>'FREH Stock'!K372</f>
        <v>244.46823357189564</v>
      </c>
      <c r="K16" s="960">
        <f>'FREH Stock'!L372</f>
        <v>120.88312168983504</v>
      </c>
      <c r="L16" s="960">
        <f>'FREH Stock'!M372</f>
        <v>53.721828529747071</v>
      </c>
      <c r="M16" s="960">
        <f>'FREH Stock'!N372</f>
        <v>20.968331553924173</v>
      </c>
      <c r="N16" s="960">
        <f>'FREH Stock'!O372</f>
        <v>6.8611663602713771</v>
      </c>
      <c r="O16" s="960">
        <f>'FREH Stock'!P372</f>
        <v>1.8253577002028958</v>
      </c>
      <c r="P16" s="960">
        <f>'FREH Stock'!Q372</f>
        <v>0.37572004793131331</v>
      </c>
      <c r="Q16" s="960">
        <f>'FREH Stock'!R372</f>
        <v>6.3382199207767942E-2</v>
      </c>
      <c r="R16" s="960">
        <f>'FREH Stock'!S372</f>
        <v>9.6293685221079534E-3</v>
      </c>
      <c r="S16" s="960">
        <f>'FREH Stock'!T372</f>
        <v>1.301175558154361E-3</v>
      </c>
      <c r="T16" s="960">
        <f>'FREH Stock'!U372</f>
        <v>1.5392876325865277E-4</v>
      </c>
      <c r="U16" s="960">
        <f>'FREH Stock'!V372</f>
        <v>1.5616174913913998E-5</v>
      </c>
      <c r="V16" s="960">
        <f>'FREH Stock'!W372</f>
        <v>1.3208344657376644E-6</v>
      </c>
      <c r="W16" s="960">
        <f>'FREH Stock'!X372</f>
        <v>8.9412158927876099E-8</v>
      </c>
      <c r="X16" s="960">
        <f>'FREH Stock'!Y372</f>
        <v>4.5412647510946635E-9</v>
      </c>
      <c r="Y16" s="960">
        <f>'FREH Stock'!Z372</f>
        <v>1.5382420887476047E-10</v>
      </c>
      <c r="Z16" s="960">
        <f>'FREH Stock'!AA372</f>
        <v>2.6061007389352771E-12</v>
      </c>
      <c r="AA16" s="960">
        <f>'FREH Stock'!AB372</f>
        <v>0</v>
      </c>
      <c r="AB16" s="960">
        <f>'FREH Stock'!AC372</f>
        <v>0</v>
      </c>
      <c r="AC16" s="960">
        <f>'FREH Stock'!AD372</f>
        <v>0</v>
      </c>
      <c r="AD16" s="961">
        <f>'FREH Stock'!AE372</f>
        <v>0</v>
      </c>
    </row>
    <row r="17" spans="1:31">
      <c r="A17" s="950" t="s">
        <v>235</v>
      </c>
      <c r="B17" s="960">
        <f>'FREH Stock'!C401</f>
        <v>6721.4978336965596</v>
      </c>
      <c r="C17" s="960">
        <f>'FREH Stock'!D401</f>
        <v>5141.5537140364995</v>
      </c>
      <c r="D17" s="960">
        <f>'FREH Stock'!E401</f>
        <v>3933.5034547940913</v>
      </c>
      <c r="E17" s="960">
        <f>'FREH Stock'!F401</f>
        <v>2941.8333696799064</v>
      </c>
      <c r="F17" s="960">
        <f>'FREH Stock'!G401</f>
        <v>2126.4413429522929</v>
      </c>
      <c r="G17" s="960">
        <f>'FREH Stock'!H401</f>
        <v>1471.3848835339877</v>
      </c>
      <c r="H17" s="960">
        <f>'FREH Stock'!I401</f>
        <v>974.74383261744242</v>
      </c>
      <c r="I17" s="960">
        <f>'FREH Stock'!J401</f>
        <v>609.22429402560988</v>
      </c>
      <c r="J17" s="960">
        <f>'FREH Stock'!K401</f>
        <v>343.90175952786888</v>
      </c>
      <c r="K17" s="960">
        <f>'FREH Stock'!L401</f>
        <v>167.92144046985049</v>
      </c>
      <c r="L17" s="960">
        <f>'FREH Stock'!M401</f>
        <v>69.731692208732412</v>
      </c>
      <c r="M17" s="960">
        <f>'FREH Stock'!N401</f>
        <v>24.153137431265257</v>
      </c>
      <c r="N17" s="960">
        <f>'FREH Stock'!O401</f>
        <v>6.6501305625828326</v>
      </c>
      <c r="O17" s="960">
        <f>'FREH Stock'!P401</f>
        <v>1.4031447923108507</v>
      </c>
      <c r="P17" s="960">
        <f>'FREH Stock'!Q401</f>
        <v>0.22659053698412371</v>
      </c>
      <c r="Q17" s="960">
        <f>'FREH Stock'!R401</f>
        <v>2.6445788520270009E-2</v>
      </c>
      <c r="R17" s="960">
        <f>'FREH Stock'!S401</f>
        <v>2.7781576797954004E-3</v>
      </c>
      <c r="S17" s="960">
        <f>'FREH Stock'!T401</f>
        <v>2.5944461278907421E-4</v>
      </c>
      <c r="T17" s="960">
        <f>'FREH Stock'!U401</f>
        <v>2.1202032278042985E-5</v>
      </c>
      <c r="U17" s="960">
        <f>'FREH Stock'!V401</f>
        <v>1.485244403810572E-6</v>
      </c>
      <c r="V17" s="960">
        <f>'FREH Stock'!W401</f>
        <v>8.6709990532843986E-8</v>
      </c>
      <c r="W17" s="960">
        <f>'FREH Stock'!X401</f>
        <v>4.0500488082250991E-9</v>
      </c>
      <c r="X17" s="960">
        <f>'FREH Stock'!Y401</f>
        <v>1.418863730145452E-10</v>
      </c>
      <c r="Y17" s="960">
        <f>'FREH Stock'!Z401</f>
        <v>3.314028722251441E-12</v>
      </c>
      <c r="Z17" s="960">
        <f>'FREH Stock'!AA401</f>
        <v>3.8704979708261833E-14</v>
      </c>
      <c r="AA17" s="960">
        <f>'FREH Stock'!AB401</f>
        <v>0</v>
      </c>
      <c r="AB17" s="960">
        <f>'FREH Stock'!AC401</f>
        <v>0</v>
      </c>
      <c r="AC17" s="960">
        <f>'FREH Stock'!AD401</f>
        <v>0</v>
      </c>
      <c r="AD17" s="961">
        <f>'FREH Stock'!AE401</f>
        <v>0</v>
      </c>
    </row>
    <row r="18" spans="1:31" ht="15.75" thickBot="1">
      <c r="A18" s="951" t="s">
        <v>231</v>
      </c>
      <c r="B18" s="962">
        <f>'FREH Stock'!C227+'FREH Stock'!C198+'FREH Stock'!C169</f>
        <v>125.99740043587259</v>
      </c>
      <c r="C18" s="962">
        <f>'FREH Stock'!D227+'FREH Stock'!D198+'FREH Stock'!D169</f>
        <v>112.19402049568298</v>
      </c>
      <c r="D18" s="962">
        <f>'FREH Stock'!E227+'FREH Stock'!E198+'FREH Stock'!E169</f>
        <v>102.27364692785693</v>
      </c>
      <c r="E18" s="962">
        <f>'FREH Stock'!F227+'FREH Stock'!F198+'FREH Stock'!F169</f>
        <v>92.497161502802811</v>
      </c>
      <c r="F18" s="962">
        <f>'FREH Stock'!G227+'FREH Stock'!G198+'FREH Stock'!G169</f>
        <v>81.588230861670382</v>
      </c>
      <c r="G18" s="962">
        <f>'FREH Stock'!H227+'FREH Stock'!H198+'FREH Stock'!H169</f>
        <v>69.280787177000221</v>
      </c>
      <c r="H18" s="962">
        <f>'FREH Stock'!I227+'FREH Stock'!I198+'FREH Stock'!I169</f>
        <v>55.917648204390083</v>
      </c>
      <c r="I18" s="962">
        <f>'FREH Stock'!J227+'FREH Stock'!J198+'FREH Stock'!J169</f>
        <v>42.500863374615726</v>
      </c>
      <c r="J18" s="962">
        <f>'FREH Stock'!K227+'FREH Stock'!K198+'FREH Stock'!K169</f>
        <v>30.126437451904444</v>
      </c>
      <c r="K18" s="962">
        <f>'FREH Stock'!L227+'FREH Stock'!L198+'FREH Stock'!L169</f>
        <v>19.834125649791133</v>
      </c>
      <c r="L18" s="962">
        <f>'FREH Stock'!M227+'FREH Stock'!M198+'FREH Stock'!M169</f>
        <v>12.083023489164491</v>
      </c>
      <c r="M18" s="962">
        <f>'FREH Stock'!N227+'FREH Stock'!N198+'FREH Stock'!N169</f>
        <v>6.7910607789441304</v>
      </c>
      <c r="N18" s="962">
        <f>'FREH Stock'!O227+'FREH Stock'!O198+'FREH Stock'!O169</f>
        <v>3.5085840793364351</v>
      </c>
      <c r="O18" s="962">
        <f>'FREH Stock'!P227+'FREH Stock'!P198+'FREH Stock'!P169</f>
        <v>1.653986854733793</v>
      </c>
      <c r="P18" s="962">
        <f>'FREH Stock'!Q227+'FREH Stock'!Q198+'FREH Stock'!Q169</f>
        <v>0.70593032243070308</v>
      </c>
      <c r="Q18" s="962">
        <f>'FREH Stock'!R227+'FREH Stock'!R198+'FREH Stock'!R169</f>
        <v>0.26556260593022302</v>
      </c>
      <c r="R18" s="962">
        <f>'FREH Stock'!S227+'FREH Stock'!S198+'FREH Stock'!S169</f>
        <v>9.0912178809239824E-2</v>
      </c>
      <c r="S18" s="962">
        <f>'FREH Stock'!T227+'FREH Stock'!T198+'FREH Stock'!T169</f>
        <v>2.7970340070237444E-2</v>
      </c>
      <c r="T18" s="962">
        <f>'FREH Stock'!U227+'FREH Stock'!U198+'FREH Stock'!U169</f>
        <v>7.6105228193294556E-3</v>
      </c>
      <c r="U18" s="962">
        <f>'FREH Stock'!V227+'FREH Stock'!V198+'FREH Stock'!V169</f>
        <v>1.7929990420323943E-3</v>
      </c>
      <c r="V18" s="962">
        <f>'FREH Stock'!W227+'FREH Stock'!W198+'FREH Stock'!W169</f>
        <v>3.553434328587188E-4</v>
      </c>
      <c r="W18" s="962">
        <f>'FREH Stock'!X227+'FREH Stock'!X198+'FREH Stock'!X169</f>
        <v>5.6824402337552011E-5</v>
      </c>
      <c r="X18" s="962">
        <f>'FREH Stock'!Y227+'FREH Stock'!Y198+'FREH Stock'!Y169</f>
        <v>6.868215491011984E-6</v>
      </c>
      <c r="Y18" s="962">
        <f>'FREH Stock'!Z227+'FREH Stock'!Z198+'FREH Stock'!Z169</f>
        <v>5.5728084413545848E-7</v>
      </c>
      <c r="Z18" s="962">
        <f>'FREH Stock'!AA227+'FREH Stock'!AA198+'FREH Stock'!AA169</f>
        <v>2.2750010022030234E-8</v>
      </c>
      <c r="AA18" s="962">
        <f>'FREH Stock'!AB227+'FREH Stock'!AB198+'FREH Stock'!AB169</f>
        <v>0</v>
      </c>
      <c r="AB18" s="962">
        <f>'FREH Stock'!AC227+'FREH Stock'!AC198+'FREH Stock'!AC169</f>
        <v>0</v>
      </c>
      <c r="AC18" s="962">
        <f>'FREH Stock'!AD227+'FREH Stock'!AD198+'FREH Stock'!AD169</f>
        <v>0</v>
      </c>
      <c r="AD18" s="963">
        <f>'FREH Stock'!AE227+'FREH Stock'!AE198+'FREH Stock'!AE169</f>
        <v>0</v>
      </c>
    </row>
    <row r="19" spans="1:31" ht="15.75" thickBot="1"/>
    <row r="20" spans="1:31" ht="15.75" customHeight="1" thickBot="1">
      <c r="A20" s="1710" t="s">
        <v>206</v>
      </c>
      <c r="B20" s="169" t="s">
        <v>10</v>
      </c>
      <c r="C20" s="288">
        <v>2012</v>
      </c>
      <c r="D20" s="347">
        <v>2013</v>
      </c>
      <c r="E20" s="347">
        <v>2014</v>
      </c>
      <c r="F20" s="288">
        <v>2015</v>
      </c>
      <c r="G20" s="347">
        <v>2016</v>
      </c>
      <c r="H20" s="347">
        <v>2017</v>
      </c>
      <c r="I20" s="288">
        <v>2018</v>
      </c>
      <c r="J20" s="347">
        <v>2019</v>
      </c>
      <c r="K20" s="347">
        <v>2020</v>
      </c>
      <c r="L20" s="288">
        <v>2021</v>
      </c>
      <c r="M20" s="347">
        <v>2022</v>
      </c>
      <c r="N20" s="347">
        <v>2023</v>
      </c>
      <c r="O20" s="288">
        <v>2024</v>
      </c>
      <c r="P20" s="347">
        <v>2025</v>
      </c>
      <c r="Q20" s="347">
        <v>2026</v>
      </c>
      <c r="R20" s="288">
        <v>2027</v>
      </c>
      <c r="S20" s="347">
        <v>2028</v>
      </c>
      <c r="T20" s="347">
        <v>2029</v>
      </c>
      <c r="U20" s="288">
        <v>2030</v>
      </c>
      <c r="V20" s="347">
        <v>2031</v>
      </c>
      <c r="W20" s="347">
        <v>2032</v>
      </c>
      <c r="X20" s="288">
        <v>2033</v>
      </c>
      <c r="Y20" s="347">
        <v>2034</v>
      </c>
      <c r="Z20" s="347">
        <v>2035</v>
      </c>
      <c r="AA20" s="288">
        <v>2036</v>
      </c>
      <c r="AB20" s="347">
        <v>2037</v>
      </c>
      <c r="AC20" s="347">
        <v>2038</v>
      </c>
      <c r="AD20" s="288">
        <v>2039</v>
      </c>
      <c r="AE20" s="348">
        <v>2040</v>
      </c>
    </row>
    <row r="21" spans="1:31">
      <c r="A21" s="1711" t="s">
        <v>41</v>
      </c>
      <c r="B21" s="116">
        <v>0</v>
      </c>
      <c r="C21" s="330">
        <f>(5.61359458839232)/1.3761</f>
        <v>4.0793507654911121</v>
      </c>
      <c r="D21" s="330">
        <v>0</v>
      </c>
      <c r="E21" s="330">
        <v>0</v>
      </c>
      <c r="F21" s="330">
        <v>0</v>
      </c>
      <c r="G21" s="330">
        <v>0</v>
      </c>
      <c r="H21" s="330">
        <v>0</v>
      </c>
      <c r="I21" s="330">
        <v>0</v>
      </c>
      <c r="J21" s="330">
        <v>0</v>
      </c>
      <c r="K21" s="330">
        <v>0</v>
      </c>
      <c r="L21" s="330">
        <v>0</v>
      </c>
      <c r="M21" s="330">
        <v>0</v>
      </c>
      <c r="N21" s="330">
        <v>0</v>
      </c>
      <c r="O21" s="330">
        <v>0</v>
      </c>
      <c r="P21" s="330">
        <v>0</v>
      </c>
      <c r="Q21" s="330">
        <v>0</v>
      </c>
      <c r="R21" s="330">
        <v>0</v>
      </c>
      <c r="S21" s="330">
        <v>0</v>
      </c>
      <c r="T21" s="330">
        <v>0</v>
      </c>
      <c r="U21" s="330">
        <v>0</v>
      </c>
      <c r="V21" s="330">
        <v>0</v>
      </c>
      <c r="W21" s="330">
        <v>0</v>
      </c>
      <c r="X21" s="330">
        <v>0</v>
      </c>
      <c r="Y21" s="330">
        <v>0</v>
      </c>
      <c r="Z21" s="330">
        <v>0</v>
      </c>
      <c r="AA21" s="330">
        <v>0</v>
      </c>
      <c r="AB21" s="330">
        <v>0</v>
      </c>
      <c r="AC21" s="330">
        <v>0</v>
      </c>
      <c r="AD21" s="330">
        <v>0</v>
      </c>
      <c r="AE21" s="331">
        <v>0</v>
      </c>
    </row>
    <row r="22" spans="1:31">
      <c r="A22" s="1711"/>
      <c r="B22" s="116">
        <v>1</v>
      </c>
      <c r="C22" s="333">
        <v>4.0654167923257285</v>
      </c>
      <c r="D22" s="333">
        <f>C21</f>
        <v>4.0793507654911121</v>
      </c>
      <c r="E22" s="333">
        <f t="shared" ref="E22:AE22" si="8">E21</f>
        <v>0</v>
      </c>
      <c r="F22" s="333">
        <f t="shared" si="8"/>
        <v>0</v>
      </c>
      <c r="G22" s="333">
        <f t="shared" si="8"/>
        <v>0</v>
      </c>
      <c r="H22" s="333">
        <f t="shared" si="8"/>
        <v>0</v>
      </c>
      <c r="I22" s="333">
        <f t="shared" si="8"/>
        <v>0</v>
      </c>
      <c r="J22" s="333">
        <f t="shared" si="8"/>
        <v>0</v>
      </c>
      <c r="K22" s="333">
        <f t="shared" si="8"/>
        <v>0</v>
      </c>
      <c r="L22" s="333">
        <f t="shared" si="8"/>
        <v>0</v>
      </c>
      <c r="M22" s="333">
        <f t="shared" si="8"/>
        <v>0</v>
      </c>
      <c r="N22" s="333">
        <f t="shared" si="8"/>
        <v>0</v>
      </c>
      <c r="O22" s="333">
        <f t="shared" si="8"/>
        <v>0</v>
      </c>
      <c r="P22" s="333">
        <f t="shared" si="8"/>
        <v>0</v>
      </c>
      <c r="Q22" s="333">
        <f t="shared" si="8"/>
        <v>0</v>
      </c>
      <c r="R22" s="333">
        <f t="shared" si="8"/>
        <v>0</v>
      </c>
      <c r="S22" s="333">
        <f t="shared" si="8"/>
        <v>0</v>
      </c>
      <c r="T22" s="333">
        <f t="shared" si="8"/>
        <v>0</v>
      </c>
      <c r="U22" s="333">
        <f t="shared" si="8"/>
        <v>0</v>
      </c>
      <c r="V22" s="333">
        <f t="shared" si="8"/>
        <v>0</v>
      </c>
      <c r="W22" s="333">
        <f t="shared" si="8"/>
        <v>0</v>
      </c>
      <c r="X22" s="333">
        <f t="shared" si="8"/>
        <v>0</v>
      </c>
      <c r="Y22" s="333">
        <f t="shared" si="8"/>
        <v>0</v>
      </c>
      <c r="Z22" s="333">
        <f t="shared" si="8"/>
        <v>0</v>
      </c>
      <c r="AA22" s="333">
        <f t="shared" si="8"/>
        <v>0</v>
      </c>
      <c r="AB22" s="333">
        <f t="shared" si="8"/>
        <v>0</v>
      </c>
      <c r="AC22" s="333">
        <f t="shared" si="8"/>
        <v>0</v>
      </c>
      <c r="AD22" s="333">
        <f t="shared" si="8"/>
        <v>0</v>
      </c>
      <c r="AE22" s="334">
        <f t="shared" si="8"/>
        <v>0</v>
      </c>
    </row>
    <row r="23" spans="1:31">
      <c r="A23" s="1711"/>
      <c r="B23" s="116">
        <v>2</v>
      </c>
      <c r="C23" s="333">
        <v>4.0356208505379918</v>
      </c>
      <c r="D23" s="333">
        <f>C22</f>
        <v>4.0654167923257285</v>
      </c>
      <c r="E23" s="333">
        <f>D22</f>
        <v>4.0793507654911121</v>
      </c>
      <c r="F23" s="333">
        <f t="shared" ref="E23:S46" si="9">E22</f>
        <v>0</v>
      </c>
      <c r="G23" s="333">
        <f t="shared" si="9"/>
        <v>0</v>
      </c>
      <c r="H23" s="333">
        <f t="shared" si="9"/>
        <v>0</v>
      </c>
      <c r="I23" s="333">
        <f t="shared" si="9"/>
        <v>0</v>
      </c>
      <c r="J23" s="333">
        <f t="shared" si="9"/>
        <v>0</v>
      </c>
      <c r="K23" s="333">
        <f t="shared" si="9"/>
        <v>0</v>
      </c>
      <c r="L23" s="333">
        <f t="shared" si="9"/>
        <v>0</v>
      </c>
      <c r="M23" s="333">
        <f t="shared" si="9"/>
        <v>0</v>
      </c>
      <c r="N23" s="333">
        <f t="shared" si="9"/>
        <v>0</v>
      </c>
      <c r="O23" s="333">
        <f t="shared" si="9"/>
        <v>0</v>
      </c>
      <c r="P23" s="333">
        <f t="shared" ref="P23:P46" si="10">O22</f>
        <v>0</v>
      </c>
      <c r="Q23" s="333">
        <f t="shared" si="9"/>
        <v>0</v>
      </c>
      <c r="R23" s="333">
        <f t="shared" si="9"/>
        <v>0</v>
      </c>
      <c r="S23" s="333">
        <f t="shared" si="9"/>
        <v>0</v>
      </c>
      <c r="T23" s="333">
        <f t="shared" ref="F23:AE32" si="11">S22</f>
        <v>0</v>
      </c>
      <c r="U23" s="333">
        <f t="shared" si="11"/>
        <v>0</v>
      </c>
      <c r="V23" s="333">
        <f t="shared" ref="V23:V46" si="12">U22</f>
        <v>0</v>
      </c>
      <c r="W23" s="333">
        <f t="shared" si="11"/>
        <v>0</v>
      </c>
      <c r="X23" s="333">
        <f t="shared" si="11"/>
        <v>0</v>
      </c>
      <c r="Y23" s="333">
        <f t="shared" si="11"/>
        <v>0</v>
      </c>
      <c r="Z23" s="333">
        <f t="shared" si="11"/>
        <v>0</v>
      </c>
      <c r="AA23" s="333">
        <f t="shared" si="11"/>
        <v>0</v>
      </c>
      <c r="AB23" s="333">
        <f t="shared" si="11"/>
        <v>0</v>
      </c>
      <c r="AC23" s="333">
        <f t="shared" si="11"/>
        <v>0</v>
      </c>
      <c r="AD23" s="333">
        <f t="shared" si="11"/>
        <v>0</v>
      </c>
      <c r="AE23" s="334">
        <f t="shared" si="11"/>
        <v>0</v>
      </c>
    </row>
    <row r="24" spans="1:31">
      <c r="A24" s="1711"/>
      <c r="B24" s="116">
        <v>3</v>
      </c>
      <c r="C24" s="333">
        <v>4.0038751014009586</v>
      </c>
      <c r="D24" s="333">
        <f>C23</f>
        <v>4.0356208505379918</v>
      </c>
      <c r="E24" s="333">
        <f>D23</f>
        <v>4.0654167923257285</v>
      </c>
      <c r="F24" s="333">
        <f t="shared" si="11"/>
        <v>4.0793507654911121</v>
      </c>
      <c r="G24" s="333">
        <f t="shared" si="11"/>
        <v>0</v>
      </c>
      <c r="H24" s="333">
        <f t="shared" si="11"/>
        <v>0</v>
      </c>
      <c r="I24" s="333">
        <f t="shared" si="11"/>
        <v>0</v>
      </c>
      <c r="J24" s="333">
        <f t="shared" si="11"/>
        <v>0</v>
      </c>
      <c r="K24" s="333">
        <f t="shared" si="11"/>
        <v>0</v>
      </c>
      <c r="L24" s="333">
        <f t="shared" si="11"/>
        <v>0</v>
      </c>
      <c r="M24" s="333">
        <f t="shared" si="11"/>
        <v>0</v>
      </c>
      <c r="N24" s="333">
        <f t="shared" si="11"/>
        <v>0</v>
      </c>
      <c r="O24" s="333">
        <f t="shared" si="11"/>
        <v>0</v>
      </c>
      <c r="P24" s="333">
        <f t="shared" si="10"/>
        <v>0</v>
      </c>
      <c r="Q24" s="333">
        <f t="shared" si="11"/>
        <v>0</v>
      </c>
      <c r="R24" s="333">
        <f t="shared" si="11"/>
        <v>0</v>
      </c>
      <c r="S24" s="333">
        <f t="shared" si="11"/>
        <v>0</v>
      </c>
      <c r="T24" s="333">
        <f t="shared" si="11"/>
        <v>0</v>
      </c>
      <c r="U24" s="333">
        <f t="shared" si="11"/>
        <v>0</v>
      </c>
      <c r="V24" s="333">
        <f t="shared" si="12"/>
        <v>0</v>
      </c>
      <c r="W24" s="333">
        <f t="shared" si="11"/>
        <v>0</v>
      </c>
      <c r="X24" s="333">
        <f t="shared" si="11"/>
        <v>0</v>
      </c>
      <c r="Y24" s="333">
        <f t="shared" si="11"/>
        <v>0</v>
      </c>
      <c r="Z24" s="333">
        <f t="shared" si="11"/>
        <v>0</v>
      </c>
      <c r="AA24" s="333">
        <f t="shared" si="11"/>
        <v>0</v>
      </c>
      <c r="AB24" s="333">
        <f t="shared" si="11"/>
        <v>0</v>
      </c>
      <c r="AC24" s="333">
        <f t="shared" si="11"/>
        <v>0</v>
      </c>
      <c r="AD24" s="333">
        <f t="shared" si="11"/>
        <v>0</v>
      </c>
      <c r="AE24" s="334">
        <f t="shared" si="11"/>
        <v>0</v>
      </c>
    </row>
    <row r="25" spans="1:31">
      <c r="A25" s="1711"/>
      <c r="B25" s="116">
        <v>4</v>
      </c>
      <c r="C25" s="333">
        <v>3.9755207131981782</v>
      </c>
      <c r="D25" s="333">
        <f t="shared" ref="D25:D46" si="13">C24</f>
        <v>4.0038751014009586</v>
      </c>
      <c r="E25" s="333">
        <f>D24</f>
        <v>4.0356208505379918</v>
      </c>
      <c r="F25" s="333">
        <f t="shared" si="11"/>
        <v>4.0654167923257285</v>
      </c>
      <c r="G25" s="333">
        <f t="shared" si="11"/>
        <v>4.0793507654911121</v>
      </c>
      <c r="H25" s="333">
        <f t="shared" si="11"/>
        <v>0</v>
      </c>
      <c r="I25" s="333">
        <f t="shared" si="11"/>
        <v>0</v>
      </c>
      <c r="J25" s="333">
        <f t="shared" si="11"/>
        <v>0</v>
      </c>
      <c r="K25" s="333">
        <f t="shared" si="11"/>
        <v>0</v>
      </c>
      <c r="L25" s="333">
        <f t="shared" si="11"/>
        <v>0</v>
      </c>
      <c r="M25" s="333">
        <f t="shared" si="11"/>
        <v>0</v>
      </c>
      <c r="N25" s="333">
        <f t="shared" si="11"/>
        <v>0</v>
      </c>
      <c r="O25" s="333">
        <f t="shared" si="11"/>
        <v>0</v>
      </c>
      <c r="P25" s="333">
        <f t="shared" si="10"/>
        <v>0</v>
      </c>
      <c r="Q25" s="333">
        <f t="shared" si="11"/>
        <v>0</v>
      </c>
      <c r="R25" s="333">
        <f t="shared" si="11"/>
        <v>0</v>
      </c>
      <c r="S25" s="333">
        <f t="shared" si="11"/>
        <v>0</v>
      </c>
      <c r="T25" s="333">
        <f t="shared" si="11"/>
        <v>0</v>
      </c>
      <c r="U25" s="333">
        <f t="shared" si="11"/>
        <v>0</v>
      </c>
      <c r="V25" s="333">
        <f t="shared" si="12"/>
        <v>0</v>
      </c>
      <c r="W25" s="333">
        <f t="shared" si="11"/>
        <v>0</v>
      </c>
      <c r="X25" s="333">
        <f t="shared" si="11"/>
        <v>0</v>
      </c>
      <c r="Y25" s="333">
        <f t="shared" si="11"/>
        <v>0</v>
      </c>
      <c r="Z25" s="333">
        <f t="shared" si="11"/>
        <v>0</v>
      </c>
      <c r="AA25" s="333">
        <f t="shared" si="11"/>
        <v>0</v>
      </c>
      <c r="AB25" s="333">
        <f t="shared" si="11"/>
        <v>0</v>
      </c>
      <c r="AC25" s="333">
        <f t="shared" si="11"/>
        <v>0</v>
      </c>
      <c r="AD25" s="333">
        <f t="shared" si="11"/>
        <v>0</v>
      </c>
      <c r="AE25" s="334">
        <f t="shared" si="11"/>
        <v>0</v>
      </c>
    </row>
    <row r="26" spans="1:31">
      <c r="A26" s="1711"/>
      <c r="B26" s="116">
        <v>5</v>
      </c>
      <c r="C26" s="333">
        <v>3.9555504074412551</v>
      </c>
      <c r="D26" s="333">
        <f t="shared" si="13"/>
        <v>3.9755207131981782</v>
      </c>
      <c r="E26" s="333">
        <f>D25</f>
        <v>4.0038751014009586</v>
      </c>
      <c r="F26" s="333">
        <f t="shared" si="11"/>
        <v>4.0356208505379918</v>
      </c>
      <c r="G26" s="333">
        <f t="shared" si="11"/>
        <v>4.0654167923257285</v>
      </c>
      <c r="H26" s="333">
        <f t="shared" si="11"/>
        <v>4.0793507654911121</v>
      </c>
      <c r="I26" s="333">
        <f t="shared" si="11"/>
        <v>0</v>
      </c>
      <c r="J26" s="333">
        <f t="shared" si="11"/>
        <v>0</v>
      </c>
      <c r="K26" s="333">
        <f t="shared" si="11"/>
        <v>0</v>
      </c>
      <c r="L26" s="333">
        <f t="shared" si="11"/>
        <v>0</v>
      </c>
      <c r="M26" s="333">
        <f t="shared" si="11"/>
        <v>0</v>
      </c>
      <c r="N26" s="333">
        <f t="shared" si="11"/>
        <v>0</v>
      </c>
      <c r="O26" s="333">
        <f t="shared" si="11"/>
        <v>0</v>
      </c>
      <c r="P26" s="333">
        <f t="shared" si="10"/>
        <v>0</v>
      </c>
      <c r="Q26" s="333">
        <f t="shared" si="11"/>
        <v>0</v>
      </c>
      <c r="R26" s="333">
        <f t="shared" si="11"/>
        <v>0</v>
      </c>
      <c r="S26" s="333">
        <f t="shared" si="11"/>
        <v>0</v>
      </c>
      <c r="T26" s="333">
        <f t="shared" si="11"/>
        <v>0</v>
      </c>
      <c r="U26" s="333">
        <f t="shared" si="11"/>
        <v>0</v>
      </c>
      <c r="V26" s="333">
        <f t="shared" si="12"/>
        <v>0</v>
      </c>
      <c r="W26" s="333">
        <f t="shared" si="11"/>
        <v>0</v>
      </c>
      <c r="X26" s="333">
        <f t="shared" si="11"/>
        <v>0</v>
      </c>
      <c r="Y26" s="333">
        <f t="shared" si="11"/>
        <v>0</v>
      </c>
      <c r="Z26" s="333">
        <f t="shared" si="11"/>
        <v>0</v>
      </c>
      <c r="AA26" s="333">
        <f t="shared" si="11"/>
        <v>0</v>
      </c>
      <c r="AB26" s="333">
        <f t="shared" si="11"/>
        <v>0</v>
      </c>
      <c r="AC26" s="333">
        <f t="shared" si="11"/>
        <v>0</v>
      </c>
      <c r="AD26" s="333">
        <f t="shared" si="11"/>
        <v>0</v>
      </c>
      <c r="AE26" s="334">
        <f t="shared" si="11"/>
        <v>0</v>
      </c>
    </row>
    <row r="27" spans="1:31">
      <c r="A27" s="1711"/>
      <c r="B27" s="116">
        <v>6</v>
      </c>
      <c r="C27" s="333">
        <v>3.9899615663192716</v>
      </c>
      <c r="D27" s="333">
        <f t="shared" si="13"/>
        <v>3.9555504074412551</v>
      </c>
      <c r="E27" s="333">
        <f t="shared" si="9"/>
        <v>3.9755207131981782</v>
      </c>
      <c r="F27" s="333">
        <f t="shared" si="11"/>
        <v>4.0038751014009586</v>
      </c>
      <c r="G27" s="333">
        <f t="shared" si="11"/>
        <v>4.0356208505379918</v>
      </c>
      <c r="H27" s="333">
        <f t="shared" si="11"/>
        <v>4.0654167923257285</v>
      </c>
      <c r="I27" s="333">
        <f t="shared" si="11"/>
        <v>4.0793507654911121</v>
      </c>
      <c r="J27" s="333">
        <f t="shared" si="11"/>
        <v>0</v>
      </c>
      <c r="K27" s="333">
        <f t="shared" si="11"/>
        <v>0</v>
      </c>
      <c r="L27" s="333">
        <f t="shared" si="11"/>
        <v>0</v>
      </c>
      <c r="M27" s="333">
        <f t="shared" si="11"/>
        <v>0</v>
      </c>
      <c r="N27" s="333">
        <f t="shared" si="11"/>
        <v>0</v>
      </c>
      <c r="O27" s="333">
        <f t="shared" si="11"/>
        <v>0</v>
      </c>
      <c r="P27" s="333">
        <f t="shared" si="10"/>
        <v>0</v>
      </c>
      <c r="Q27" s="333">
        <f t="shared" si="11"/>
        <v>0</v>
      </c>
      <c r="R27" s="333">
        <f t="shared" si="11"/>
        <v>0</v>
      </c>
      <c r="S27" s="333">
        <f t="shared" si="11"/>
        <v>0</v>
      </c>
      <c r="T27" s="333">
        <f t="shared" si="11"/>
        <v>0</v>
      </c>
      <c r="U27" s="333">
        <f t="shared" si="11"/>
        <v>0</v>
      </c>
      <c r="V27" s="333">
        <f t="shared" si="12"/>
        <v>0</v>
      </c>
      <c r="W27" s="333">
        <f t="shared" si="11"/>
        <v>0</v>
      </c>
      <c r="X27" s="333">
        <f t="shared" si="11"/>
        <v>0</v>
      </c>
      <c r="Y27" s="333">
        <f t="shared" si="11"/>
        <v>0</v>
      </c>
      <c r="Z27" s="333">
        <f t="shared" si="11"/>
        <v>0</v>
      </c>
      <c r="AA27" s="333">
        <f t="shared" si="11"/>
        <v>0</v>
      </c>
      <c r="AB27" s="333">
        <f t="shared" si="11"/>
        <v>0</v>
      </c>
      <c r="AC27" s="333">
        <f t="shared" si="11"/>
        <v>0</v>
      </c>
      <c r="AD27" s="333">
        <f t="shared" si="11"/>
        <v>0</v>
      </c>
      <c r="AE27" s="334">
        <f t="shared" si="11"/>
        <v>0</v>
      </c>
    </row>
    <row r="28" spans="1:31">
      <c r="A28" s="1711"/>
      <c r="B28" s="116">
        <v>7</v>
      </c>
      <c r="C28" s="333">
        <v>3.9977474051554078</v>
      </c>
      <c r="D28" s="333">
        <f t="shared" si="13"/>
        <v>3.9899615663192716</v>
      </c>
      <c r="E28" s="333">
        <f t="shared" si="9"/>
        <v>3.9555504074412551</v>
      </c>
      <c r="F28" s="333">
        <f t="shared" si="11"/>
        <v>3.9755207131981782</v>
      </c>
      <c r="G28" s="333">
        <f t="shared" si="11"/>
        <v>4.0038751014009586</v>
      </c>
      <c r="H28" s="333">
        <f t="shared" si="11"/>
        <v>4.0356208505379918</v>
      </c>
      <c r="I28" s="333">
        <f t="shared" si="11"/>
        <v>4.0654167923257285</v>
      </c>
      <c r="J28" s="333">
        <f t="shared" si="11"/>
        <v>4.0793507654911121</v>
      </c>
      <c r="K28" s="333">
        <f t="shared" si="11"/>
        <v>0</v>
      </c>
      <c r="L28" s="333">
        <f t="shared" si="11"/>
        <v>0</v>
      </c>
      <c r="M28" s="333">
        <f t="shared" si="11"/>
        <v>0</v>
      </c>
      <c r="N28" s="333">
        <f t="shared" si="11"/>
        <v>0</v>
      </c>
      <c r="O28" s="333">
        <f t="shared" si="11"/>
        <v>0</v>
      </c>
      <c r="P28" s="333">
        <f t="shared" si="10"/>
        <v>0</v>
      </c>
      <c r="Q28" s="333">
        <f t="shared" si="11"/>
        <v>0</v>
      </c>
      <c r="R28" s="333">
        <f t="shared" si="11"/>
        <v>0</v>
      </c>
      <c r="S28" s="333">
        <f t="shared" si="11"/>
        <v>0</v>
      </c>
      <c r="T28" s="333">
        <f t="shared" si="11"/>
        <v>0</v>
      </c>
      <c r="U28" s="333">
        <f t="shared" si="11"/>
        <v>0</v>
      </c>
      <c r="V28" s="333">
        <f t="shared" si="12"/>
        <v>0</v>
      </c>
      <c r="W28" s="333">
        <f t="shared" si="11"/>
        <v>0</v>
      </c>
      <c r="X28" s="333">
        <f t="shared" si="11"/>
        <v>0</v>
      </c>
      <c r="Y28" s="333">
        <f t="shared" si="11"/>
        <v>0</v>
      </c>
      <c r="Z28" s="333">
        <f t="shared" si="11"/>
        <v>0</v>
      </c>
      <c r="AA28" s="333">
        <f t="shared" si="11"/>
        <v>0</v>
      </c>
      <c r="AB28" s="333">
        <f t="shared" si="11"/>
        <v>0</v>
      </c>
      <c r="AC28" s="333">
        <f t="shared" si="11"/>
        <v>0</v>
      </c>
      <c r="AD28" s="333">
        <f t="shared" si="11"/>
        <v>0</v>
      </c>
      <c r="AE28" s="334">
        <f t="shared" si="11"/>
        <v>0</v>
      </c>
    </row>
    <row r="29" spans="1:31">
      <c r="A29" s="1711"/>
      <c r="B29" s="116">
        <v>8</v>
      </c>
      <c r="C29" s="333">
        <v>4.0285929655675021</v>
      </c>
      <c r="D29" s="333">
        <f t="shared" si="13"/>
        <v>3.9977474051554078</v>
      </c>
      <c r="E29" s="333">
        <f t="shared" si="9"/>
        <v>3.9899615663192716</v>
      </c>
      <c r="F29" s="333">
        <f t="shared" si="11"/>
        <v>3.9555504074412551</v>
      </c>
      <c r="G29" s="333">
        <f t="shared" si="11"/>
        <v>3.9755207131981782</v>
      </c>
      <c r="H29" s="333">
        <f t="shared" si="11"/>
        <v>4.0038751014009586</v>
      </c>
      <c r="I29" s="333">
        <f t="shared" si="11"/>
        <v>4.0356208505379918</v>
      </c>
      <c r="J29" s="333">
        <f t="shared" si="11"/>
        <v>4.0654167923257285</v>
      </c>
      <c r="K29" s="333">
        <f t="shared" si="11"/>
        <v>4.0793507654911121</v>
      </c>
      <c r="L29" s="333">
        <f t="shared" si="11"/>
        <v>0</v>
      </c>
      <c r="M29" s="333">
        <f t="shared" si="11"/>
        <v>0</v>
      </c>
      <c r="N29" s="333">
        <f t="shared" si="11"/>
        <v>0</v>
      </c>
      <c r="O29" s="333">
        <f t="shared" si="11"/>
        <v>0</v>
      </c>
      <c r="P29" s="333">
        <f t="shared" si="10"/>
        <v>0</v>
      </c>
      <c r="Q29" s="333">
        <f t="shared" si="11"/>
        <v>0</v>
      </c>
      <c r="R29" s="333">
        <f t="shared" si="11"/>
        <v>0</v>
      </c>
      <c r="S29" s="333">
        <f t="shared" si="11"/>
        <v>0</v>
      </c>
      <c r="T29" s="333">
        <f t="shared" si="11"/>
        <v>0</v>
      </c>
      <c r="U29" s="333">
        <f t="shared" si="11"/>
        <v>0</v>
      </c>
      <c r="V29" s="333">
        <f t="shared" si="12"/>
        <v>0</v>
      </c>
      <c r="W29" s="333">
        <f t="shared" si="11"/>
        <v>0</v>
      </c>
      <c r="X29" s="333">
        <f t="shared" si="11"/>
        <v>0</v>
      </c>
      <c r="Y29" s="333">
        <f t="shared" si="11"/>
        <v>0</v>
      </c>
      <c r="Z29" s="333">
        <f t="shared" si="11"/>
        <v>0</v>
      </c>
      <c r="AA29" s="333">
        <f t="shared" si="11"/>
        <v>0</v>
      </c>
      <c r="AB29" s="333">
        <f t="shared" si="11"/>
        <v>0</v>
      </c>
      <c r="AC29" s="333">
        <f t="shared" si="11"/>
        <v>0</v>
      </c>
      <c r="AD29" s="333">
        <f t="shared" si="11"/>
        <v>0</v>
      </c>
      <c r="AE29" s="334">
        <f t="shared" si="11"/>
        <v>0</v>
      </c>
    </row>
    <row r="30" spans="1:31">
      <c r="A30" s="1711"/>
      <c r="B30" s="116">
        <v>9</v>
      </c>
      <c r="C30" s="333">
        <v>4.1716738972817975</v>
      </c>
      <c r="D30" s="333">
        <f t="shared" si="13"/>
        <v>4.0285929655675021</v>
      </c>
      <c r="E30" s="333">
        <f t="shared" si="9"/>
        <v>3.9977474051554078</v>
      </c>
      <c r="F30" s="333">
        <f t="shared" si="11"/>
        <v>3.9899615663192716</v>
      </c>
      <c r="G30" s="333">
        <f t="shared" si="11"/>
        <v>3.9555504074412551</v>
      </c>
      <c r="H30" s="333">
        <f t="shared" si="11"/>
        <v>3.9755207131981782</v>
      </c>
      <c r="I30" s="333">
        <f t="shared" si="11"/>
        <v>4.0038751014009586</v>
      </c>
      <c r="J30" s="333">
        <f t="shared" si="11"/>
        <v>4.0356208505379918</v>
      </c>
      <c r="K30" s="333">
        <f t="shared" si="11"/>
        <v>4.0654167923257285</v>
      </c>
      <c r="L30" s="333">
        <f t="shared" si="11"/>
        <v>4.0793507654911121</v>
      </c>
      <c r="M30" s="333">
        <f t="shared" si="11"/>
        <v>0</v>
      </c>
      <c r="N30" s="333">
        <f t="shared" si="11"/>
        <v>0</v>
      </c>
      <c r="O30" s="333">
        <f t="shared" si="11"/>
        <v>0</v>
      </c>
      <c r="P30" s="333">
        <f t="shared" si="10"/>
        <v>0</v>
      </c>
      <c r="Q30" s="333">
        <f t="shared" si="11"/>
        <v>0</v>
      </c>
      <c r="R30" s="333">
        <f t="shared" si="11"/>
        <v>0</v>
      </c>
      <c r="S30" s="333">
        <f t="shared" si="11"/>
        <v>0</v>
      </c>
      <c r="T30" s="333">
        <f t="shared" si="11"/>
        <v>0</v>
      </c>
      <c r="U30" s="333">
        <f t="shared" si="11"/>
        <v>0</v>
      </c>
      <c r="V30" s="333">
        <f t="shared" si="12"/>
        <v>0</v>
      </c>
      <c r="W30" s="333">
        <f t="shared" si="11"/>
        <v>0</v>
      </c>
      <c r="X30" s="333">
        <f t="shared" si="11"/>
        <v>0</v>
      </c>
      <c r="Y30" s="333">
        <f t="shared" si="11"/>
        <v>0</v>
      </c>
      <c r="Z30" s="333">
        <f t="shared" si="11"/>
        <v>0</v>
      </c>
      <c r="AA30" s="333">
        <f t="shared" si="11"/>
        <v>0</v>
      </c>
      <c r="AB30" s="333">
        <f t="shared" si="11"/>
        <v>0</v>
      </c>
      <c r="AC30" s="333">
        <f t="shared" si="11"/>
        <v>0</v>
      </c>
      <c r="AD30" s="333">
        <f t="shared" si="11"/>
        <v>0</v>
      </c>
      <c r="AE30" s="334">
        <f t="shared" si="11"/>
        <v>0</v>
      </c>
    </row>
    <row r="31" spans="1:31">
      <c r="A31" s="1711"/>
      <c r="B31" s="116">
        <v>10</v>
      </c>
      <c r="C31" s="333">
        <v>4.3204701289336249</v>
      </c>
      <c r="D31" s="333">
        <f t="shared" si="13"/>
        <v>4.1716738972817975</v>
      </c>
      <c r="E31" s="333">
        <f t="shared" si="9"/>
        <v>4.0285929655675021</v>
      </c>
      <c r="F31" s="333">
        <f t="shared" si="11"/>
        <v>3.9977474051554078</v>
      </c>
      <c r="G31" s="333">
        <f t="shared" si="11"/>
        <v>3.9899615663192716</v>
      </c>
      <c r="H31" s="333">
        <f t="shared" si="11"/>
        <v>3.9555504074412551</v>
      </c>
      <c r="I31" s="333">
        <f t="shared" si="11"/>
        <v>3.9755207131981782</v>
      </c>
      <c r="J31" s="333">
        <f t="shared" si="11"/>
        <v>4.0038751014009586</v>
      </c>
      <c r="K31" s="333">
        <f t="shared" si="11"/>
        <v>4.0356208505379918</v>
      </c>
      <c r="L31" s="333">
        <f t="shared" si="11"/>
        <v>4.0654167923257285</v>
      </c>
      <c r="M31" s="333">
        <f t="shared" si="11"/>
        <v>4.0793507654911121</v>
      </c>
      <c r="N31" s="333">
        <f t="shared" si="11"/>
        <v>0</v>
      </c>
      <c r="O31" s="333">
        <f t="shared" si="11"/>
        <v>0</v>
      </c>
      <c r="P31" s="333">
        <f t="shared" si="10"/>
        <v>0</v>
      </c>
      <c r="Q31" s="333">
        <f t="shared" si="11"/>
        <v>0</v>
      </c>
      <c r="R31" s="333">
        <f t="shared" si="11"/>
        <v>0</v>
      </c>
      <c r="S31" s="333">
        <f t="shared" si="11"/>
        <v>0</v>
      </c>
      <c r="T31" s="333">
        <f t="shared" si="11"/>
        <v>0</v>
      </c>
      <c r="U31" s="333">
        <f t="shared" si="11"/>
        <v>0</v>
      </c>
      <c r="V31" s="333">
        <f t="shared" si="12"/>
        <v>0</v>
      </c>
      <c r="W31" s="333">
        <f t="shared" si="11"/>
        <v>0</v>
      </c>
      <c r="X31" s="333">
        <f t="shared" si="11"/>
        <v>0</v>
      </c>
      <c r="Y31" s="333">
        <f t="shared" si="11"/>
        <v>0</v>
      </c>
      <c r="Z31" s="333">
        <f t="shared" si="11"/>
        <v>0</v>
      </c>
      <c r="AA31" s="333">
        <f t="shared" si="11"/>
        <v>0</v>
      </c>
      <c r="AB31" s="333">
        <f t="shared" si="11"/>
        <v>0</v>
      </c>
      <c r="AC31" s="333">
        <f t="shared" si="11"/>
        <v>0</v>
      </c>
      <c r="AD31" s="333">
        <f t="shared" si="11"/>
        <v>0</v>
      </c>
      <c r="AE31" s="334">
        <f t="shared" si="11"/>
        <v>0</v>
      </c>
    </row>
    <row r="32" spans="1:31">
      <c r="A32" s="1711"/>
      <c r="B32" s="116">
        <v>11</v>
      </c>
      <c r="C32" s="333">
        <v>4.5027903347089886</v>
      </c>
      <c r="D32" s="333">
        <f t="shared" si="13"/>
        <v>4.3204701289336249</v>
      </c>
      <c r="E32" s="333">
        <f t="shared" si="9"/>
        <v>4.1716738972817975</v>
      </c>
      <c r="F32" s="333">
        <f t="shared" si="11"/>
        <v>4.0285929655675021</v>
      </c>
      <c r="G32" s="333">
        <f t="shared" si="11"/>
        <v>3.9977474051554078</v>
      </c>
      <c r="H32" s="333">
        <f t="shared" si="11"/>
        <v>3.9899615663192716</v>
      </c>
      <c r="I32" s="333">
        <f t="shared" si="11"/>
        <v>3.9555504074412551</v>
      </c>
      <c r="J32" s="333">
        <f t="shared" si="11"/>
        <v>3.9755207131981782</v>
      </c>
      <c r="K32" s="333">
        <f t="shared" si="11"/>
        <v>4.0038751014009586</v>
      </c>
      <c r="L32" s="333">
        <f t="shared" si="11"/>
        <v>4.0356208505379918</v>
      </c>
      <c r="M32" s="333">
        <f t="shared" si="11"/>
        <v>4.0654167923257285</v>
      </c>
      <c r="N32" s="333">
        <f t="shared" si="11"/>
        <v>4.0793507654911121</v>
      </c>
      <c r="O32" s="333">
        <f t="shared" ref="O32:AE45" si="14">N31</f>
        <v>0</v>
      </c>
      <c r="P32" s="333">
        <f t="shared" si="10"/>
        <v>0</v>
      </c>
      <c r="Q32" s="333">
        <f t="shared" si="14"/>
        <v>0</v>
      </c>
      <c r="R32" s="333">
        <f t="shared" si="14"/>
        <v>0</v>
      </c>
      <c r="S32" s="333">
        <f t="shared" si="14"/>
        <v>0</v>
      </c>
      <c r="T32" s="333">
        <f t="shared" si="14"/>
        <v>0</v>
      </c>
      <c r="U32" s="333">
        <f t="shared" si="14"/>
        <v>0</v>
      </c>
      <c r="V32" s="333">
        <f t="shared" si="12"/>
        <v>0</v>
      </c>
      <c r="W32" s="333">
        <f t="shared" si="14"/>
        <v>0</v>
      </c>
      <c r="X32" s="333">
        <f t="shared" si="14"/>
        <v>0</v>
      </c>
      <c r="Y32" s="333">
        <f t="shared" si="14"/>
        <v>0</v>
      </c>
      <c r="Z32" s="333">
        <f t="shared" si="14"/>
        <v>0</v>
      </c>
      <c r="AA32" s="333">
        <f t="shared" si="14"/>
        <v>0</v>
      </c>
      <c r="AB32" s="333">
        <f t="shared" si="14"/>
        <v>0</v>
      </c>
      <c r="AC32" s="333">
        <f t="shared" si="14"/>
        <v>0</v>
      </c>
      <c r="AD32" s="333">
        <f t="shared" si="14"/>
        <v>0</v>
      </c>
      <c r="AE32" s="334">
        <f t="shared" si="14"/>
        <v>0</v>
      </c>
    </row>
    <row r="33" spans="1:32">
      <c r="A33" s="1711"/>
      <c r="B33" s="116">
        <v>12</v>
      </c>
      <c r="C33" s="333">
        <v>4.7619506960599454</v>
      </c>
      <c r="D33" s="333">
        <f t="shared" si="13"/>
        <v>4.5027903347089886</v>
      </c>
      <c r="E33" s="333">
        <f t="shared" si="9"/>
        <v>4.3204701289336249</v>
      </c>
      <c r="F33" s="333">
        <f t="shared" si="9"/>
        <v>4.1716738972817975</v>
      </c>
      <c r="G33" s="333">
        <f t="shared" si="9"/>
        <v>4.0285929655675021</v>
      </c>
      <c r="H33" s="333">
        <f t="shared" si="9"/>
        <v>3.9977474051554078</v>
      </c>
      <c r="I33" s="333">
        <f t="shared" si="9"/>
        <v>3.9899615663192716</v>
      </c>
      <c r="J33" s="333">
        <f t="shared" si="9"/>
        <v>3.9555504074412551</v>
      </c>
      <c r="K33" s="333">
        <f t="shared" si="9"/>
        <v>3.9755207131981782</v>
      </c>
      <c r="L33" s="333">
        <f t="shared" si="9"/>
        <v>4.0038751014009586</v>
      </c>
      <c r="M33" s="333">
        <f t="shared" si="9"/>
        <v>4.0356208505379918</v>
      </c>
      <c r="N33" s="333">
        <f t="shared" si="9"/>
        <v>4.0654167923257285</v>
      </c>
      <c r="O33" s="333">
        <f t="shared" si="9"/>
        <v>4.0793507654911121</v>
      </c>
      <c r="P33" s="333">
        <f t="shared" si="10"/>
        <v>0</v>
      </c>
      <c r="Q33" s="333">
        <f t="shared" si="9"/>
        <v>0</v>
      </c>
      <c r="R33" s="333">
        <f t="shared" si="9"/>
        <v>0</v>
      </c>
      <c r="S33" s="333">
        <f t="shared" si="9"/>
        <v>0</v>
      </c>
      <c r="T33" s="333">
        <f t="shared" si="14"/>
        <v>0</v>
      </c>
      <c r="U33" s="333">
        <f t="shared" si="14"/>
        <v>0</v>
      </c>
      <c r="V33" s="333">
        <f t="shared" si="12"/>
        <v>0</v>
      </c>
      <c r="W33" s="333">
        <f t="shared" si="14"/>
        <v>0</v>
      </c>
      <c r="X33" s="333">
        <f t="shared" si="14"/>
        <v>0</v>
      </c>
      <c r="Y33" s="333">
        <f t="shared" si="14"/>
        <v>0</v>
      </c>
      <c r="Z33" s="333">
        <f t="shared" si="14"/>
        <v>0</v>
      </c>
      <c r="AA33" s="333">
        <f t="shared" si="14"/>
        <v>0</v>
      </c>
      <c r="AB33" s="333">
        <f t="shared" si="14"/>
        <v>0</v>
      </c>
      <c r="AC33" s="333">
        <f t="shared" si="14"/>
        <v>0</v>
      </c>
      <c r="AD33" s="333">
        <f t="shared" si="14"/>
        <v>0</v>
      </c>
      <c r="AE33" s="334">
        <f t="shared" si="14"/>
        <v>0</v>
      </c>
    </row>
    <row r="34" spans="1:32">
      <c r="A34" s="1711"/>
      <c r="B34" s="116">
        <v>13</v>
      </c>
      <c r="C34" s="333">
        <v>4.7143960680629062</v>
      </c>
      <c r="D34" s="333">
        <f t="shared" si="13"/>
        <v>4.7619506960599454</v>
      </c>
      <c r="E34" s="333">
        <f t="shared" si="9"/>
        <v>4.5027903347089886</v>
      </c>
      <c r="F34" s="333">
        <f t="shared" si="9"/>
        <v>4.3204701289336249</v>
      </c>
      <c r="G34" s="333">
        <f t="shared" si="9"/>
        <v>4.1716738972817975</v>
      </c>
      <c r="H34" s="333">
        <f t="shared" si="9"/>
        <v>4.0285929655675021</v>
      </c>
      <c r="I34" s="333">
        <f t="shared" si="9"/>
        <v>3.9977474051554078</v>
      </c>
      <c r="J34" s="333">
        <f t="shared" si="9"/>
        <v>3.9899615663192716</v>
      </c>
      <c r="K34" s="333">
        <f t="shared" si="9"/>
        <v>3.9555504074412551</v>
      </c>
      <c r="L34" s="333">
        <f t="shared" si="9"/>
        <v>3.9755207131981782</v>
      </c>
      <c r="M34" s="333">
        <f t="shared" si="9"/>
        <v>4.0038751014009586</v>
      </c>
      <c r="N34" s="333">
        <f t="shared" si="9"/>
        <v>4.0356208505379918</v>
      </c>
      <c r="O34" s="333">
        <f t="shared" si="9"/>
        <v>4.0654167923257285</v>
      </c>
      <c r="P34" s="333">
        <f t="shared" si="10"/>
        <v>4.0793507654911121</v>
      </c>
      <c r="Q34" s="333">
        <f t="shared" si="9"/>
        <v>0</v>
      </c>
      <c r="R34" s="333">
        <f t="shared" si="9"/>
        <v>0</v>
      </c>
      <c r="S34" s="333">
        <f t="shared" si="9"/>
        <v>0</v>
      </c>
      <c r="T34" s="333">
        <f t="shared" si="14"/>
        <v>0</v>
      </c>
      <c r="U34" s="333">
        <f t="shared" si="14"/>
        <v>0</v>
      </c>
      <c r="V34" s="333">
        <f t="shared" si="12"/>
        <v>0</v>
      </c>
      <c r="W34" s="333">
        <f t="shared" si="14"/>
        <v>0</v>
      </c>
      <c r="X34" s="333">
        <f t="shared" si="14"/>
        <v>0</v>
      </c>
      <c r="Y34" s="333">
        <f t="shared" si="14"/>
        <v>0</v>
      </c>
      <c r="Z34" s="333">
        <f t="shared" si="14"/>
        <v>0</v>
      </c>
      <c r="AA34" s="333">
        <f t="shared" si="14"/>
        <v>0</v>
      </c>
      <c r="AB34" s="333">
        <f t="shared" si="14"/>
        <v>0</v>
      </c>
      <c r="AC34" s="333">
        <f t="shared" si="14"/>
        <v>0</v>
      </c>
      <c r="AD34" s="333">
        <f t="shared" si="14"/>
        <v>0</v>
      </c>
      <c r="AE34" s="334">
        <f t="shared" si="14"/>
        <v>0</v>
      </c>
    </row>
    <row r="35" spans="1:32">
      <c r="A35" s="1711"/>
      <c r="B35" s="116">
        <v>14</v>
      </c>
      <c r="C35" s="333">
        <v>4.7663486511040594</v>
      </c>
      <c r="D35" s="333">
        <f t="shared" si="13"/>
        <v>4.7143960680629062</v>
      </c>
      <c r="E35" s="333">
        <f t="shared" si="9"/>
        <v>4.7619506960599454</v>
      </c>
      <c r="F35" s="333">
        <f t="shared" si="9"/>
        <v>4.5027903347089886</v>
      </c>
      <c r="G35" s="333">
        <f t="shared" si="9"/>
        <v>4.3204701289336249</v>
      </c>
      <c r="H35" s="333">
        <f t="shared" si="9"/>
        <v>4.1716738972817975</v>
      </c>
      <c r="I35" s="333">
        <f t="shared" si="9"/>
        <v>4.0285929655675021</v>
      </c>
      <c r="J35" s="333">
        <f t="shared" si="9"/>
        <v>3.9977474051554078</v>
      </c>
      <c r="K35" s="333">
        <f t="shared" si="9"/>
        <v>3.9899615663192716</v>
      </c>
      <c r="L35" s="333">
        <f t="shared" si="9"/>
        <v>3.9555504074412551</v>
      </c>
      <c r="M35" s="333">
        <f t="shared" si="9"/>
        <v>3.9755207131981782</v>
      </c>
      <c r="N35" s="333">
        <f t="shared" si="9"/>
        <v>4.0038751014009586</v>
      </c>
      <c r="O35" s="333">
        <f t="shared" si="9"/>
        <v>4.0356208505379918</v>
      </c>
      <c r="P35" s="333">
        <f t="shared" si="10"/>
        <v>4.0654167923257285</v>
      </c>
      <c r="Q35" s="333">
        <f t="shared" si="9"/>
        <v>4.0793507654911121</v>
      </c>
      <c r="R35" s="333">
        <f t="shared" si="9"/>
        <v>0</v>
      </c>
      <c r="S35" s="333">
        <f t="shared" si="9"/>
        <v>0</v>
      </c>
      <c r="T35" s="333">
        <f t="shared" si="14"/>
        <v>0</v>
      </c>
      <c r="U35" s="333">
        <f t="shared" si="14"/>
        <v>0</v>
      </c>
      <c r="V35" s="333">
        <f t="shared" si="12"/>
        <v>0</v>
      </c>
      <c r="W35" s="333">
        <f t="shared" si="14"/>
        <v>0</v>
      </c>
      <c r="X35" s="333">
        <f t="shared" si="14"/>
        <v>0</v>
      </c>
      <c r="Y35" s="333">
        <f t="shared" si="14"/>
        <v>0</v>
      </c>
      <c r="Z35" s="333">
        <f t="shared" si="14"/>
        <v>0</v>
      </c>
      <c r="AA35" s="333">
        <f t="shared" si="14"/>
        <v>0</v>
      </c>
      <c r="AB35" s="333">
        <f t="shared" si="14"/>
        <v>0</v>
      </c>
      <c r="AC35" s="333">
        <f t="shared" si="14"/>
        <v>0</v>
      </c>
      <c r="AD35" s="333">
        <f t="shared" si="14"/>
        <v>0</v>
      </c>
      <c r="AE35" s="334">
        <f t="shared" si="14"/>
        <v>0</v>
      </c>
    </row>
    <row r="36" spans="1:32">
      <c r="A36" s="1711"/>
      <c r="B36" s="116">
        <v>15</v>
      </c>
      <c r="C36" s="333">
        <v>5.3440271589981467</v>
      </c>
      <c r="D36" s="333">
        <f t="shared" si="13"/>
        <v>4.7663486511040594</v>
      </c>
      <c r="E36" s="333">
        <f t="shared" si="9"/>
        <v>4.7143960680629062</v>
      </c>
      <c r="F36" s="333">
        <f t="shared" si="9"/>
        <v>4.7619506960599454</v>
      </c>
      <c r="G36" s="333">
        <f t="shared" si="9"/>
        <v>4.5027903347089886</v>
      </c>
      <c r="H36" s="333">
        <f t="shared" si="9"/>
        <v>4.3204701289336249</v>
      </c>
      <c r="I36" s="333">
        <f t="shared" si="9"/>
        <v>4.1716738972817975</v>
      </c>
      <c r="J36" s="333">
        <f t="shared" si="9"/>
        <v>4.0285929655675021</v>
      </c>
      <c r="K36" s="333">
        <f t="shared" si="9"/>
        <v>3.9977474051554078</v>
      </c>
      <c r="L36" s="333">
        <f t="shared" si="9"/>
        <v>3.9899615663192716</v>
      </c>
      <c r="M36" s="333">
        <f t="shared" si="9"/>
        <v>3.9555504074412551</v>
      </c>
      <c r="N36" s="333">
        <f t="shared" si="9"/>
        <v>3.9755207131981782</v>
      </c>
      <c r="O36" s="333">
        <f t="shared" si="9"/>
        <v>4.0038751014009586</v>
      </c>
      <c r="P36" s="333">
        <f t="shared" si="10"/>
        <v>4.0356208505379918</v>
      </c>
      <c r="Q36" s="333">
        <f t="shared" si="9"/>
        <v>4.0654167923257285</v>
      </c>
      <c r="R36" s="333">
        <f t="shared" si="9"/>
        <v>4.0793507654911121</v>
      </c>
      <c r="S36" s="333">
        <f t="shared" si="9"/>
        <v>0</v>
      </c>
      <c r="T36" s="333">
        <f t="shared" si="14"/>
        <v>0</v>
      </c>
      <c r="U36" s="333">
        <f t="shared" si="14"/>
        <v>0</v>
      </c>
      <c r="V36" s="333">
        <f t="shared" si="12"/>
        <v>0</v>
      </c>
      <c r="W36" s="333">
        <f t="shared" si="14"/>
        <v>0</v>
      </c>
      <c r="X36" s="333">
        <f t="shared" si="14"/>
        <v>0</v>
      </c>
      <c r="Y36" s="333">
        <f t="shared" si="14"/>
        <v>0</v>
      </c>
      <c r="Z36" s="333">
        <f t="shared" si="14"/>
        <v>0</v>
      </c>
      <c r="AA36" s="333">
        <f t="shared" si="14"/>
        <v>0</v>
      </c>
      <c r="AB36" s="333">
        <f t="shared" si="14"/>
        <v>0</v>
      </c>
      <c r="AC36" s="333">
        <f t="shared" si="14"/>
        <v>0</v>
      </c>
      <c r="AD36" s="333">
        <f t="shared" si="14"/>
        <v>0</v>
      </c>
      <c r="AE36" s="334">
        <f t="shared" si="14"/>
        <v>0</v>
      </c>
    </row>
    <row r="37" spans="1:32">
      <c r="A37" s="1711"/>
      <c r="B37" s="116">
        <v>16</v>
      </c>
      <c r="C37" s="333">
        <v>5.3072921961781754</v>
      </c>
      <c r="D37" s="333">
        <f t="shared" si="13"/>
        <v>5.3440271589981467</v>
      </c>
      <c r="E37" s="333">
        <f t="shared" si="9"/>
        <v>4.7663486511040594</v>
      </c>
      <c r="F37" s="333">
        <f t="shared" si="9"/>
        <v>4.7143960680629062</v>
      </c>
      <c r="G37" s="333">
        <f t="shared" si="9"/>
        <v>4.7619506960599454</v>
      </c>
      <c r="H37" s="333">
        <f t="shared" si="9"/>
        <v>4.5027903347089886</v>
      </c>
      <c r="I37" s="333">
        <f t="shared" si="9"/>
        <v>4.3204701289336249</v>
      </c>
      <c r="J37" s="333">
        <f t="shared" si="9"/>
        <v>4.1716738972817975</v>
      </c>
      <c r="K37" s="333">
        <f t="shared" si="9"/>
        <v>4.0285929655675021</v>
      </c>
      <c r="L37" s="333">
        <f t="shared" si="9"/>
        <v>3.9977474051554078</v>
      </c>
      <c r="M37" s="333">
        <f t="shared" si="9"/>
        <v>3.9899615663192716</v>
      </c>
      <c r="N37" s="333">
        <f t="shared" si="9"/>
        <v>3.9555504074412551</v>
      </c>
      <c r="O37" s="333">
        <f t="shared" si="9"/>
        <v>3.9755207131981782</v>
      </c>
      <c r="P37" s="333">
        <f t="shared" si="10"/>
        <v>4.0038751014009586</v>
      </c>
      <c r="Q37" s="333">
        <f t="shared" si="9"/>
        <v>4.0356208505379918</v>
      </c>
      <c r="R37" s="333">
        <f t="shared" si="9"/>
        <v>4.0654167923257285</v>
      </c>
      <c r="S37" s="333">
        <f t="shared" si="9"/>
        <v>4.0793507654911121</v>
      </c>
      <c r="T37" s="333">
        <f t="shared" si="14"/>
        <v>0</v>
      </c>
      <c r="U37" s="333">
        <f t="shared" si="14"/>
        <v>0</v>
      </c>
      <c r="V37" s="333">
        <f t="shared" si="12"/>
        <v>0</v>
      </c>
      <c r="W37" s="333">
        <f t="shared" si="14"/>
        <v>0</v>
      </c>
      <c r="X37" s="333">
        <f t="shared" si="14"/>
        <v>0</v>
      </c>
      <c r="Y37" s="333">
        <f t="shared" si="14"/>
        <v>0</v>
      </c>
      <c r="Z37" s="333">
        <f t="shared" si="14"/>
        <v>0</v>
      </c>
      <c r="AA37" s="333">
        <f t="shared" si="14"/>
        <v>0</v>
      </c>
      <c r="AB37" s="333">
        <f t="shared" si="14"/>
        <v>0</v>
      </c>
      <c r="AC37" s="333">
        <f t="shared" si="14"/>
        <v>0</v>
      </c>
      <c r="AD37" s="333">
        <f t="shared" si="14"/>
        <v>0</v>
      </c>
      <c r="AE37" s="334">
        <f t="shared" si="14"/>
        <v>0</v>
      </c>
    </row>
    <row r="38" spans="1:32">
      <c r="A38" s="1711"/>
      <c r="B38" s="116">
        <v>17</v>
      </c>
      <c r="C38" s="333">
        <v>5.4142484271881566</v>
      </c>
      <c r="D38" s="333">
        <f t="shared" si="13"/>
        <v>5.3072921961781754</v>
      </c>
      <c r="E38" s="333">
        <f t="shared" si="9"/>
        <v>5.3440271589981467</v>
      </c>
      <c r="F38" s="333">
        <f t="shared" si="9"/>
        <v>4.7663486511040594</v>
      </c>
      <c r="G38" s="333">
        <f t="shared" si="9"/>
        <v>4.7143960680629062</v>
      </c>
      <c r="H38" s="333">
        <f t="shared" si="9"/>
        <v>4.7619506960599454</v>
      </c>
      <c r="I38" s="333">
        <f t="shared" si="9"/>
        <v>4.5027903347089886</v>
      </c>
      <c r="J38" s="333">
        <f t="shared" si="9"/>
        <v>4.3204701289336249</v>
      </c>
      <c r="K38" s="333">
        <f t="shared" si="9"/>
        <v>4.1716738972817975</v>
      </c>
      <c r="L38" s="333">
        <f t="shared" si="9"/>
        <v>4.0285929655675021</v>
      </c>
      <c r="M38" s="333">
        <f t="shared" si="9"/>
        <v>3.9977474051554078</v>
      </c>
      <c r="N38" s="333">
        <f t="shared" si="9"/>
        <v>3.9899615663192716</v>
      </c>
      <c r="O38" s="333">
        <f t="shared" si="9"/>
        <v>3.9555504074412551</v>
      </c>
      <c r="P38" s="333">
        <f t="shared" si="10"/>
        <v>3.9755207131981782</v>
      </c>
      <c r="Q38" s="333">
        <f t="shared" si="9"/>
        <v>4.0038751014009586</v>
      </c>
      <c r="R38" s="333">
        <f t="shared" si="9"/>
        <v>4.0356208505379918</v>
      </c>
      <c r="S38" s="333">
        <f t="shared" si="9"/>
        <v>4.0654167923257285</v>
      </c>
      <c r="T38" s="333">
        <f t="shared" si="14"/>
        <v>4.0793507654911121</v>
      </c>
      <c r="U38" s="333">
        <f t="shared" si="14"/>
        <v>0</v>
      </c>
      <c r="V38" s="333">
        <f t="shared" si="12"/>
        <v>0</v>
      </c>
      <c r="W38" s="333">
        <f t="shared" si="14"/>
        <v>0</v>
      </c>
      <c r="X38" s="333">
        <f t="shared" si="14"/>
        <v>0</v>
      </c>
      <c r="Y38" s="333">
        <f t="shared" si="14"/>
        <v>0</v>
      </c>
      <c r="Z38" s="333">
        <f t="shared" si="14"/>
        <v>0</v>
      </c>
      <c r="AA38" s="333">
        <f t="shared" si="14"/>
        <v>0</v>
      </c>
      <c r="AB38" s="333">
        <f t="shared" si="14"/>
        <v>0</v>
      </c>
      <c r="AC38" s="333">
        <f t="shared" si="14"/>
        <v>0</v>
      </c>
      <c r="AD38" s="333">
        <f t="shared" si="14"/>
        <v>0</v>
      </c>
      <c r="AE38" s="334">
        <f t="shared" si="14"/>
        <v>0</v>
      </c>
    </row>
    <row r="39" spans="1:32">
      <c r="A39" s="1711"/>
      <c r="B39" s="116">
        <v>18</v>
      </c>
      <c r="C39" s="333">
        <v>5.3941668368828211</v>
      </c>
      <c r="D39" s="333">
        <f t="shared" si="13"/>
        <v>5.4142484271881566</v>
      </c>
      <c r="E39" s="333">
        <f t="shared" si="9"/>
        <v>5.3072921961781754</v>
      </c>
      <c r="F39" s="333">
        <f t="shared" si="9"/>
        <v>5.3440271589981467</v>
      </c>
      <c r="G39" s="333">
        <f t="shared" si="9"/>
        <v>4.7663486511040594</v>
      </c>
      <c r="H39" s="333">
        <f t="shared" si="9"/>
        <v>4.7143960680629062</v>
      </c>
      <c r="I39" s="333">
        <f t="shared" si="9"/>
        <v>4.7619506960599454</v>
      </c>
      <c r="J39" s="333">
        <f t="shared" si="9"/>
        <v>4.5027903347089886</v>
      </c>
      <c r="K39" s="333">
        <f t="shared" si="9"/>
        <v>4.3204701289336249</v>
      </c>
      <c r="L39" s="333">
        <f t="shared" si="9"/>
        <v>4.1716738972817975</v>
      </c>
      <c r="M39" s="333">
        <f t="shared" si="9"/>
        <v>4.0285929655675021</v>
      </c>
      <c r="N39" s="333">
        <f t="shared" si="9"/>
        <v>3.9977474051554078</v>
      </c>
      <c r="O39" s="333">
        <f t="shared" si="9"/>
        <v>3.9899615663192716</v>
      </c>
      <c r="P39" s="333">
        <f t="shared" si="10"/>
        <v>3.9555504074412551</v>
      </c>
      <c r="Q39" s="333">
        <f t="shared" si="9"/>
        <v>3.9755207131981782</v>
      </c>
      <c r="R39" s="333">
        <f t="shared" si="9"/>
        <v>4.0038751014009586</v>
      </c>
      <c r="S39" s="333">
        <f t="shared" si="9"/>
        <v>4.0356208505379918</v>
      </c>
      <c r="T39" s="333">
        <f t="shared" si="14"/>
        <v>4.0654167923257285</v>
      </c>
      <c r="U39" s="333">
        <f t="shared" si="14"/>
        <v>4.0793507654911121</v>
      </c>
      <c r="V39" s="333">
        <f t="shared" si="12"/>
        <v>0</v>
      </c>
      <c r="W39" s="333">
        <f t="shared" si="14"/>
        <v>0</v>
      </c>
      <c r="X39" s="333">
        <f t="shared" si="14"/>
        <v>0</v>
      </c>
      <c r="Y39" s="333">
        <f t="shared" si="14"/>
        <v>0</v>
      </c>
      <c r="Z39" s="333">
        <f t="shared" si="14"/>
        <v>0</v>
      </c>
      <c r="AA39" s="333">
        <f t="shared" si="14"/>
        <v>0</v>
      </c>
      <c r="AB39" s="333">
        <f t="shared" si="14"/>
        <v>0</v>
      </c>
      <c r="AC39" s="333">
        <f t="shared" si="14"/>
        <v>0</v>
      </c>
      <c r="AD39" s="333">
        <f t="shared" si="14"/>
        <v>0</v>
      </c>
      <c r="AE39" s="334">
        <f t="shared" si="14"/>
        <v>0</v>
      </c>
    </row>
    <row r="40" spans="1:32">
      <c r="A40" s="1711"/>
      <c r="B40" s="116">
        <v>19</v>
      </c>
      <c r="C40" s="333">
        <v>5.4081419136922664</v>
      </c>
      <c r="D40" s="333">
        <f t="shared" si="13"/>
        <v>5.3941668368828211</v>
      </c>
      <c r="E40" s="333">
        <f t="shared" si="9"/>
        <v>5.4142484271881566</v>
      </c>
      <c r="F40" s="333">
        <f t="shared" si="9"/>
        <v>5.3072921961781754</v>
      </c>
      <c r="G40" s="333">
        <f t="shared" si="9"/>
        <v>5.3440271589981467</v>
      </c>
      <c r="H40" s="333">
        <f t="shared" si="9"/>
        <v>4.7663486511040594</v>
      </c>
      <c r="I40" s="333">
        <f t="shared" si="9"/>
        <v>4.7143960680629062</v>
      </c>
      <c r="J40" s="333">
        <f t="shared" si="9"/>
        <v>4.7619506960599454</v>
      </c>
      <c r="K40" s="333">
        <f t="shared" si="9"/>
        <v>4.5027903347089886</v>
      </c>
      <c r="L40" s="333">
        <f t="shared" si="9"/>
        <v>4.3204701289336249</v>
      </c>
      <c r="M40" s="333">
        <f t="shared" si="9"/>
        <v>4.1716738972817975</v>
      </c>
      <c r="N40" s="333">
        <f t="shared" si="9"/>
        <v>4.0285929655675021</v>
      </c>
      <c r="O40" s="333">
        <f t="shared" si="9"/>
        <v>3.9977474051554078</v>
      </c>
      <c r="P40" s="333">
        <f t="shared" si="10"/>
        <v>3.9899615663192716</v>
      </c>
      <c r="Q40" s="333">
        <f t="shared" si="9"/>
        <v>3.9555504074412551</v>
      </c>
      <c r="R40" s="333">
        <f t="shared" si="9"/>
        <v>3.9755207131981782</v>
      </c>
      <c r="S40" s="333">
        <f t="shared" si="9"/>
        <v>4.0038751014009586</v>
      </c>
      <c r="T40" s="333">
        <f t="shared" si="14"/>
        <v>4.0356208505379918</v>
      </c>
      <c r="U40" s="333">
        <f t="shared" si="14"/>
        <v>4.0654167923257285</v>
      </c>
      <c r="V40" s="333">
        <f t="shared" si="12"/>
        <v>4.0793507654911121</v>
      </c>
      <c r="W40" s="333">
        <f t="shared" si="14"/>
        <v>0</v>
      </c>
      <c r="X40" s="333">
        <f t="shared" si="14"/>
        <v>0</v>
      </c>
      <c r="Y40" s="333">
        <f t="shared" si="14"/>
        <v>0</v>
      </c>
      <c r="Z40" s="333">
        <f t="shared" si="14"/>
        <v>0</v>
      </c>
      <c r="AA40" s="333">
        <f t="shared" si="14"/>
        <v>0</v>
      </c>
      <c r="AB40" s="333">
        <f t="shared" si="14"/>
        <v>0</v>
      </c>
      <c r="AC40" s="333">
        <f t="shared" si="14"/>
        <v>0</v>
      </c>
      <c r="AD40" s="333">
        <f t="shared" si="14"/>
        <v>0</v>
      </c>
      <c r="AE40" s="334">
        <f t="shared" si="14"/>
        <v>0</v>
      </c>
    </row>
    <row r="41" spans="1:32">
      <c r="A41" s="1711"/>
      <c r="B41" s="116">
        <v>20</v>
      </c>
      <c r="C41" s="333">
        <v>5.3622867461476043</v>
      </c>
      <c r="D41" s="333">
        <f t="shared" si="13"/>
        <v>5.4081419136922664</v>
      </c>
      <c r="E41" s="333">
        <f t="shared" si="9"/>
        <v>5.3941668368828211</v>
      </c>
      <c r="F41" s="333">
        <f t="shared" si="9"/>
        <v>5.4142484271881566</v>
      </c>
      <c r="G41" s="333">
        <f t="shared" si="9"/>
        <v>5.3072921961781754</v>
      </c>
      <c r="H41" s="333">
        <f t="shared" si="9"/>
        <v>5.3440271589981467</v>
      </c>
      <c r="I41" s="333">
        <f t="shared" si="9"/>
        <v>4.7663486511040594</v>
      </c>
      <c r="J41" s="333">
        <f t="shared" si="9"/>
        <v>4.7143960680629062</v>
      </c>
      <c r="K41" s="333">
        <f t="shared" si="9"/>
        <v>4.7619506960599454</v>
      </c>
      <c r="L41" s="333">
        <f t="shared" si="9"/>
        <v>4.5027903347089886</v>
      </c>
      <c r="M41" s="333">
        <f t="shared" si="9"/>
        <v>4.3204701289336249</v>
      </c>
      <c r="N41" s="333">
        <f t="shared" si="9"/>
        <v>4.1716738972817975</v>
      </c>
      <c r="O41" s="333">
        <f t="shared" si="9"/>
        <v>4.0285929655675021</v>
      </c>
      <c r="P41" s="333">
        <f t="shared" si="10"/>
        <v>3.9977474051554078</v>
      </c>
      <c r="Q41" s="333">
        <f t="shared" si="9"/>
        <v>3.9899615663192716</v>
      </c>
      <c r="R41" s="333">
        <f t="shared" si="9"/>
        <v>3.9555504074412551</v>
      </c>
      <c r="S41" s="333">
        <f t="shared" si="9"/>
        <v>3.9755207131981782</v>
      </c>
      <c r="T41" s="333">
        <f t="shared" si="14"/>
        <v>4.0038751014009586</v>
      </c>
      <c r="U41" s="333">
        <f t="shared" si="14"/>
        <v>4.0356208505379918</v>
      </c>
      <c r="V41" s="333">
        <f t="shared" si="12"/>
        <v>4.0654167923257285</v>
      </c>
      <c r="W41" s="333">
        <f t="shared" si="14"/>
        <v>4.0793507654911121</v>
      </c>
      <c r="X41" s="333">
        <f t="shared" si="14"/>
        <v>0</v>
      </c>
      <c r="Y41" s="333">
        <f t="shared" si="14"/>
        <v>0</v>
      </c>
      <c r="Z41" s="333">
        <f t="shared" si="14"/>
        <v>0</v>
      </c>
      <c r="AA41" s="333">
        <f t="shared" si="14"/>
        <v>0</v>
      </c>
      <c r="AB41" s="333">
        <f t="shared" si="14"/>
        <v>0</v>
      </c>
      <c r="AC41" s="333">
        <f t="shared" si="14"/>
        <v>0</v>
      </c>
      <c r="AD41" s="333">
        <f t="shared" si="14"/>
        <v>0</v>
      </c>
      <c r="AE41" s="334">
        <f t="shared" si="14"/>
        <v>0</v>
      </c>
    </row>
    <row r="42" spans="1:32">
      <c r="A42" s="1711"/>
      <c r="B42" s="116">
        <v>21</v>
      </c>
      <c r="C42" s="333">
        <v>5.3376601349423671</v>
      </c>
      <c r="D42" s="333">
        <f t="shared" si="13"/>
        <v>5.3622867461476043</v>
      </c>
      <c r="E42" s="333">
        <f t="shared" si="9"/>
        <v>5.4081419136922664</v>
      </c>
      <c r="F42" s="333">
        <f t="shared" si="9"/>
        <v>5.3941668368828211</v>
      </c>
      <c r="G42" s="333">
        <f t="shared" si="9"/>
        <v>5.4142484271881566</v>
      </c>
      <c r="H42" s="333">
        <f t="shared" si="9"/>
        <v>5.3072921961781754</v>
      </c>
      <c r="I42" s="333">
        <f t="shared" si="9"/>
        <v>5.3440271589981467</v>
      </c>
      <c r="J42" s="333">
        <f t="shared" si="9"/>
        <v>4.7663486511040594</v>
      </c>
      <c r="K42" s="333">
        <f t="shared" si="9"/>
        <v>4.7143960680629062</v>
      </c>
      <c r="L42" s="333">
        <f t="shared" si="9"/>
        <v>4.7619506960599454</v>
      </c>
      <c r="M42" s="333">
        <f t="shared" si="9"/>
        <v>4.5027903347089886</v>
      </c>
      <c r="N42" s="333">
        <f t="shared" si="9"/>
        <v>4.3204701289336249</v>
      </c>
      <c r="O42" s="333">
        <f t="shared" si="9"/>
        <v>4.1716738972817975</v>
      </c>
      <c r="P42" s="333">
        <f t="shared" si="10"/>
        <v>4.0285929655675021</v>
      </c>
      <c r="Q42" s="333">
        <f t="shared" si="9"/>
        <v>3.9977474051554078</v>
      </c>
      <c r="R42" s="333">
        <f t="shared" si="9"/>
        <v>3.9899615663192716</v>
      </c>
      <c r="S42" s="333">
        <f t="shared" si="9"/>
        <v>3.9555504074412551</v>
      </c>
      <c r="T42" s="333">
        <f t="shared" si="14"/>
        <v>3.9755207131981782</v>
      </c>
      <c r="U42" s="333">
        <f t="shared" si="14"/>
        <v>4.0038751014009586</v>
      </c>
      <c r="V42" s="333">
        <f t="shared" si="12"/>
        <v>4.0356208505379918</v>
      </c>
      <c r="W42" s="333">
        <f t="shared" si="14"/>
        <v>4.0654167923257285</v>
      </c>
      <c r="X42" s="333">
        <f t="shared" si="14"/>
        <v>4.0793507654911121</v>
      </c>
      <c r="Y42" s="333">
        <f t="shared" si="14"/>
        <v>0</v>
      </c>
      <c r="Z42" s="333">
        <f t="shared" si="14"/>
        <v>0</v>
      </c>
      <c r="AA42" s="333">
        <f t="shared" si="14"/>
        <v>0</v>
      </c>
      <c r="AB42" s="333">
        <f t="shared" si="14"/>
        <v>0</v>
      </c>
      <c r="AC42" s="333">
        <f t="shared" si="14"/>
        <v>0</v>
      </c>
      <c r="AD42" s="333">
        <f t="shared" si="14"/>
        <v>0</v>
      </c>
      <c r="AE42" s="334">
        <f t="shared" si="14"/>
        <v>0</v>
      </c>
    </row>
    <row r="43" spans="1:32">
      <c r="A43" s="1711"/>
      <c r="B43" s="116">
        <v>22</v>
      </c>
      <c r="C43" s="333">
        <v>5.2948822070686141</v>
      </c>
      <c r="D43" s="333">
        <f t="shared" si="13"/>
        <v>5.3376601349423671</v>
      </c>
      <c r="E43" s="333">
        <f t="shared" si="9"/>
        <v>5.3622867461476043</v>
      </c>
      <c r="F43" s="333">
        <f t="shared" si="9"/>
        <v>5.4081419136922664</v>
      </c>
      <c r="G43" s="333">
        <f t="shared" si="9"/>
        <v>5.3941668368828211</v>
      </c>
      <c r="H43" s="333">
        <f t="shared" si="9"/>
        <v>5.4142484271881566</v>
      </c>
      <c r="I43" s="333">
        <f t="shared" si="9"/>
        <v>5.3072921961781754</v>
      </c>
      <c r="J43" s="333">
        <f t="shared" si="9"/>
        <v>5.3440271589981467</v>
      </c>
      <c r="K43" s="333">
        <f t="shared" si="9"/>
        <v>4.7663486511040594</v>
      </c>
      <c r="L43" s="333">
        <f t="shared" si="9"/>
        <v>4.7143960680629062</v>
      </c>
      <c r="M43" s="333">
        <f t="shared" si="9"/>
        <v>4.7619506960599454</v>
      </c>
      <c r="N43" s="333">
        <f t="shared" si="9"/>
        <v>4.5027903347089886</v>
      </c>
      <c r="O43" s="333">
        <f t="shared" si="9"/>
        <v>4.3204701289336249</v>
      </c>
      <c r="P43" s="333">
        <f t="shared" si="10"/>
        <v>4.1716738972817975</v>
      </c>
      <c r="Q43" s="333">
        <f t="shared" si="9"/>
        <v>4.0285929655675021</v>
      </c>
      <c r="R43" s="333">
        <f t="shared" si="9"/>
        <v>3.9977474051554078</v>
      </c>
      <c r="S43" s="333">
        <f t="shared" si="9"/>
        <v>3.9899615663192716</v>
      </c>
      <c r="T43" s="333">
        <f t="shared" si="14"/>
        <v>3.9555504074412551</v>
      </c>
      <c r="U43" s="333">
        <f t="shared" si="14"/>
        <v>3.9755207131981782</v>
      </c>
      <c r="V43" s="333">
        <f t="shared" si="12"/>
        <v>4.0038751014009586</v>
      </c>
      <c r="W43" s="333">
        <f t="shared" si="14"/>
        <v>4.0356208505379918</v>
      </c>
      <c r="X43" s="333">
        <f t="shared" si="14"/>
        <v>4.0654167923257285</v>
      </c>
      <c r="Y43" s="333">
        <f t="shared" si="14"/>
        <v>4.0793507654911121</v>
      </c>
      <c r="Z43" s="333">
        <f t="shared" si="14"/>
        <v>0</v>
      </c>
      <c r="AA43" s="333">
        <f t="shared" si="14"/>
        <v>0</v>
      </c>
      <c r="AB43" s="333">
        <f t="shared" si="14"/>
        <v>0</v>
      </c>
      <c r="AC43" s="333">
        <f t="shared" si="14"/>
        <v>0</v>
      </c>
      <c r="AD43" s="333">
        <f t="shared" si="14"/>
        <v>0</v>
      </c>
      <c r="AE43" s="334">
        <f t="shared" si="14"/>
        <v>0</v>
      </c>
    </row>
    <row r="44" spans="1:32">
      <c r="A44" s="1711"/>
      <c r="B44" s="116">
        <v>23</v>
      </c>
      <c r="C44" s="333">
        <v>5.2807908429050707</v>
      </c>
      <c r="D44" s="333">
        <f t="shared" si="13"/>
        <v>5.2948822070686141</v>
      </c>
      <c r="E44" s="333">
        <f t="shared" si="9"/>
        <v>5.3376601349423671</v>
      </c>
      <c r="F44" s="333">
        <f t="shared" si="9"/>
        <v>5.3622867461476043</v>
      </c>
      <c r="G44" s="333">
        <f t="shared" si="9"/>
        <v>5.4081419136922664</v>
      </c>
      <c r="H44" s="333">
        <f t="shared" si="9"/>
        <v>5.3941668368828211</v>
      </c>
      <c r="I44" s="333">
        <f t="shared" si="9"/>
        <v>5.4142484271881566</v>
      </c>
      <c r="J44" s="333">
        <f t="shared" si="9"/>
        <v>5.3072921961781754</v>
      </c>
      <c r="K44" s="333">
        <f t="shared" si="9"/>
        <v>5.3440271589981467</v>
      </c>
      <c r="L44" s="333">
        <f t="shared" si="9"/>
        <v>4.7663486511040594</v>
      </c>
      <c r="M44" s="333">
        <f t="shared" si="9"/>
        <v>4.7143960680629062</v>
      </c>
      <c r="N44" s="333">
        <f t="shared" si="9"/>
        <v>4.7619506960599454</v>
      </c>
      <c r="O44" s="333">
        <f t="shared" si="9"/>
        <v>4.5027903347089886</v>
      </c>
      <c r="P44" s="333">
        <f t="shared" si="10"/>
        <v>4.3204701289336249</v>
      </c>
      <c r="Q44" s="333">
        <f t="shared" si="9"/>
        <v>4.1716738972817975</v>
      </c>
      <c r="R44" s="333">
        <f t="shared" si="9"/>
        <v>4.0285929655675021</v>
      </c>
      <c r="S44" s="333">
        <f t="shared" si="9"/>
        <v>3.9977474051554078</v>
      </c>
      <c r="T44" s="333">
        <f t="shared" si="14"/>
        <v>3.9899615663192716</v>
      </c>
      <c r="U44" s="333">
        <f t="shared" si="14"/>
        <v>3.9555504074412551</v>
      </c>
      <c r="V44" s="333">
        <f t="shared" si="12"/>
        <v>3.9755207131981782</v>
      </c>
      <c r="W44" s="333">
        <f t="shared" si="14"/>
        <v>4.0038751014009586</v>
      </c>
      <c r="X44" s="333">
        <f t="shared" si="14"/>
        <v>4.0356208505379918</v>
      </c>
      <c r="Y44" s="333">
        <f t="shared" si="14"/>
        <v>4.0654167923257285</v>
      </c>
      <c r="Z44" s="333">
        <f t="shared" si="14"/>
        <v>4.0793507654911121</v>
      </c>
      <c r="AA44" s="333">
        <f t="shared" si="14"/>
        <v>0</v>
      </c>
      <c r="AB44" s="333">
        <f t="shared" si="14"/>
        <v>0</v>
      </c>
      <c r="AC44" s="333">
        <f t="shared" si="14"/>
        <v>0</v>
      </c>
      <c r="AD44" s="333">
        <f t="shared" si="14"/>
        <v>0</v>
      </c>
      <c r="AE44" s="334">
        <f t="shared" si="14"/>
        <v>0</v>
      </c>
    </row>
    <row r="45" spans="1:32">
      <c r="A45" s="1711"/>
      <c r="B45" s="116">
        <v>24</v>
      </c>
      <c r="C45" s="333">
        <v>5.2472309567889504</v>
      </c>
      <c r="D45" s="333">
        <f t="shared" si="13"/>
        <v>5.2807908429050707</v>
      </c>
      <c r="E45" s="333">
        <f t="shared" si="9"/>
        <v>5.2948822070686141</v>
      </c>
      <c r="F45" s="333">
        <f t="shared" si="9"/>
        <v>5.3376601349423671</v>
      </c>
      <c r="G45" s="333">
        <f t="shared" si="9"/>
        <v>5.3622867461476043</v>
      </c>
      <c r="H45" s="333">
        <f t="shared" si="9"/>
        <v>5.4081419136922664</v>
      </c>
      <c r="I45" s="333">
        <f t="shared" si="9"/>
        <v>5.3941668368828211</v>
      </c>
      <c r="J45" s="333">
        <f t="shared" si="9"/>
        <v>5.4142484271881566</v>
      </c>
      <c r="K45" s="333">
        <f t="shared" si="9"/>
        <v>5.3072921961781754</v>
      </c>
      <c r="L45" s="333">
        <f t="shared" si="9"/>
        <v>5.3440271589981467</v>
      </c>
      <c r="M45" s="333">
        <f t="shared" si="9"/>
        <v>4.7663486511040594</v>
      </c>
      <c r="N45" s="333">
        <f t="shared" si="9"/>
        <v>4.7143960680629062</v>
      </c>
      <c r="O45" s="333">
        <f t="shared" si="9"/>
        <v>4.7619506960599454</v>
      </c>
      <c r="P45" s="333">
        <f t="shared" si="10"/>
        <v>4.5027903347089886</v>
      </c>
      <c r="Q45" s="333">
        <f t="shared" si="9"/>
        <v>4.3204701289336249</v>
      </c>
      <c r="R45" s="333">
        <f t="shared" si="9"/>
        <v>4.1716738972817975</v>
      </c>
      <c r="S45" s="333">
        <f t="shared" si="9"/>
        <v>4.0285929655675021</v>
      </c>
      <c r="T45" s="333">
        <f t="shared" si="14"/>
        <v>3.9977474051554078</v>
      </c>
      <c r="U45" s="333">
        <f t="shared" si="14"/>
        <v>3.9899615663192716</v>
      </c>
      <c r="V45" s="333">
        <f t="shared" si="12"/>
        <v>3.9555504074412551</v>
      </c>
      <c r="W45" s="333">
        <f t="shared" si="14"/>
        <v>3.9755207131981782</v>
      </c>
      <c r="X45" s="333">
        <f t="shared" si="14"/>
        <v>4.0038751014009586</v>
      </c>
      <c r="Y45" s="333">
        <f t="shared" si="14"/>
        <v>4.0356208505379918</v>
      </c>
      <c r="Z45" s="333">
        <f t="shared" si="14"/>
        <v>4.0654167923257285</v>
      </c>
      <c r="AA45" s="333">
        <f t="shared" si="14"/>
        <v>4.0793507654911121</v>
      </c>
      <c r="AB45" s="333">
        <f t="shared" si="14"/>
        <v>0</v>
      </c>
      <c r="AC45" s="333">
        <f t="shared" si="14"/>
        <v>0</v>
      </c>
      <c r="AD45" s="333">
        <f t="shared" si="14"/>
        <v>0</v>
      </c>
      <c r="AE45" s="334">
        <f t="shared" si="14"/>
        <v>0</v>
      </c>
    </row>
    <row r="46" spans="1:32" ht="15.75" thickBot="1">
      <c r="A46" s="1711"/>
      <c r="B46" s="116">
        <v>25</v>
      </c>
      <c r="C46" s="333">
        <v>5.2609418815512443</v>
      </c>
      <c r="D46" s="333">
        <f t="shared" si="13"/>
        <v>5.2472309567889504</v>
      </c>
      <c r="E46" s="333">
        <f t="shared" si="9"/>
        <v>5.2807908429050707</v>
      </c>
      <c r="F46" s="333">
        <f t="shared" si="9"/>
        <v>5.2948822070686141</v>
      </c>
      <c r="G46" s="333">
        <f t="shared" si="9"/>
        <v>5.3376601349423671</v>
      </c>
      <c r="H46" s="333">
        <f t="shared" si="9"/>
        <v>5.3622867461476043</v>
      </c>
      <c r="I46" s="333">
        <f t="shared" si="9"/>
        <v>5.4081419136922664</v>
      </c>
      <c r="J46" s="333">
        <f t="shared" si="9"/>
        <v>5.3941668368828211</v>
      </c>
      <c r="K46" s="333">
        <f t="shared" si="9"/>
        <v>5.4142484271881566</v>
      </c>
      <c r="L46" s="333">
        <f t="shared" si="9"/>
        <v>5.3072921961781754</v>
      </c>
      <c r="M46" s="333">
        <f t="shared" si="9"/>
        <v>5.3440271589981467</v>
      </c>
      <c r="N46" s="333">
        <f t="shared" si="9"/>
        <v>4.7663486511040594</v>
      </c>
      <c r="O46" s="333">
        <f t="shared" si="9"/>
        <v>4.7143960680629062</v>
      </c>
      <c r="P46" s="333">
        <f t="shared" si="10"/>
        <v>4.7619506960599454</v>
      </c>
      <c r="Q46" s="333">
        <f t="shared" ref="Q46:AE46" si="15">P45</f>
        <v>4.5027903347089886</v>
      </c>
      <c r="R46" s="333">
        <f t="shared" si="15"/>
        <v>4.3204701289336249</v>
      </c>
      <c r="S46" s="333">
        <f t="shared" si="15"/>
        <v>4.1716738972817975</v>
      </c>
      <c r="T46" s="333">
        <f t="shared" si="15"/>
        <v>4.0285929655675021</v>
      </c>
      <c r="U46" s="333">
        <f t="shared" si="15"/>
        <v>3.9977474051554078</v>
      </c>
      <c r="V46" s="333">
        <f t="shared" si="12"/>
        <v>3.9899615663192716</v>
      </c>
      <c r="W46" s="333">
        <f t="shared" si="15"/>
        <v>3.9555504074412551</v>
      </c>
      <c r="X46" s="333">
        <f t="shared" si="15"/>
        <v>3.9755207131981782</v>
      </c>
      <c r="Y46" s="333">
        <f t="shared" si="15"/>
        <v>4.0038751014009586</v>
      </c>
      <c r="Z46" s="333">
        <f t="shared" si="15"/>
        <v>4.0356208505379918</v>
      </c>
      <c r="AA46" s="333">
        <f t="shared" si="15"/>
        <v>4.0654167923257285</v>
      </c>
      <c r="AB46" s="333">
        <f t="shared" si="15"/>
        <v>4.0793507654911121</v>
      </c>
      <c r="AC46" s="333">
        <f t="shared" si="15"/>
        <v>0</v>
      </c>
      <c r="AD46" s="333">
        <f t="shared" si="15"/>
        <v>0</v>
      </c>
      <c r="AE46" s="334">
        <f t="shared" si="15"/>
        <v>0</v>
      </c>
    </row>
    <row r="47" spans="1:32" ht="16.5" thickTop="1" thickBot="1">
      <c r="A47" s="1712"/>
      <c r="B47" s="300" t="s">
        <v>39</v>
      </c>
      <c r="C47" s="383">
        <f>SUMPRODUCT(C21:C46,'FREH Stock'!C317:C342)/'FREH Stock'!C343</f>
        <v>4.0922900373474995</v>
      </c>
      <c r="D47" s="384">
        <f>SUMPRODUCT(D21:D46,'FREH Stock'!D317:D342)/'FREH Stock'!D343</f>
        <v>4.0529939100074452</v>
      </c>
      <c r="E47" s="384">
        <f>SUMPRODUCT(E21:E46,'FREH Stock'!E317:E342)/'FREH Stock'!E343</f>
        <v>4.0290698689521829</v>
      </c>
      <c r="F47" s="384">
        <f>SUMPRODUCT(F21:F46,'FREH Stock'!F317:F342)/'FREH Stock'!F343</f>
        <v>4.0149510608599854</v>
      </c>
      <c r="G47" s="384">
        <f>SUMPRODUCT(G21:G46,'FREH Stock'!G317:G342)/'FREH Stock'!G343</f>
        <v>4.0076931682278225</v>
      </c>
      <c r="H47" s="384">
        <f>SUMPRODUCT(H21:H46,'FREH Stock'!H317:H342)/'FREH Stock'!H343</f>
        <v>4.0054549728303952</v>
      </c>
      <c r="I47" s="384">
        <f>SUMPRODUCT(I21:I46,'FREH Stock'!I317:I342)/'FREH Stock'!I343</f>
        <v>4.0071251750085297</v>
      </c>
      <c r="J47" s="384">
        <f>SUMPRODUCT(J21:J46,'FREH Stock'!J317:J342)/'FREH Stock'!J343</f>
        <v>4.0120135677793325</v>
      </c>
      <c r="K47" s="384">
        <f>SUMPRODUCT(K21:K46,'FREH Stock'!K317:K342)/'FREH Stock'!K343</f>
        <v>4.0193211080886027</v>
      </c>
      <c r="L47" s="384">
        <f>SUMPRODUCT(L21:L46,'FREH Stock'!L317:L342)/'FREH Stock'!L343</f>
        <v>4.0282661598742928</v>
      </c>
      <c r="M47" s="384">
        <f>SUMPRODUCT(M21:M46,'FREH Stock'!M317:M342)/'FREH Stock'!M343</f>
        <v>4.0378555823699882</v>
      </c>
      <c r="N47" s="384">
        <f>SUMPRODUCT(N21:N46,'FREH Stock'!N317:N342)/'FREH Stock'!N343</f>
        <v>4.0467981371743651</v>
      </c>
      <c r="O47" s="384">
        <f>SUMPRODUCT(O21:O46,'FREH Stock'!O317:O342)/'FREH Stock'!O343</f>
        <v>4.0542022976271337</v>
      </c>
      <c r="P47" s="384">
        <f>SUMPRODUCT(P21:P46,'FREH Stock'!P317:P342)/'FREH Stock'!P343</f>
        <v>4.059999484134158</v>
      </c>
      <c r="Q47" s="384">
        <f>SUMPRODUCT(Q21:Q46,'FREH Stock'!Q317:Q342)/'FREH Stock'!Q343</f>
        <v>4.0642493987371537</v>
      </c>
      <c r="R47" s="384">
        <f>SUMPRODUCT(R21:R46,'FREH Stock'!R317:R342)/'FREH Stock'!R343</f>
        <v>4.0672008672464974</v>
      </c>
      <c r="S47" s="384">
        <f>SUMPRODUCT(S21:S46,'FREH Stock'!S317:S342)/'FREH Stock'!S343</f>
        <v>4.0697019377515735</v>
      </c>
      <c r="T47" s="384">
        <f>SUMPRODUCT(T21:T46,'FREH Stock'!T317:T342)/'FREH Stock'!T343</f>
        <v>4.0717971823263808</v>
      </c>
      <c r="U47" s="384">
        <f>SUMPRODUCT(U21:U46,'FREH Stock'!U317:U342)/'FREH Stock'!U343</f>
        <v>4.0735405279183059</v>
      </c>
      <c r="V47" s="384">
        <f>SUMPRODUCT(V21:V46,'FREH Stock'!V317:V342)/'FREH Stock'!V343</f>
        <v>4.0749881777490495</v>
      </c>
      <c r="W47" s="384">
        <f>SUMPRODUCT(W21:W46,'FREH Stock'!W317:W342)/'FREH Stock'!W343</f>
        <v>4.0761930043859955</v>
      </c>
      <c r="X47" s="384">
        <f>SUMPRODUCT(X21:X46,'FREH Stock'!X317:X342)/'FREH Stock'!X343</f>
        <v>4.0772006330205848</v>
      </c>
      <c r="Y47" s="384">
        <f>SUMPRODUCT(Y21:Y46,'FREH Stock'!Y317:Y342)/'FREH Stock'!Y343</f>
        <v>4.0780471842041601</v>
      </c>
      <c r="Z47" s="384">
        <f>SUMPRODUCT(Z21:Z46,'FREH Stock'!Z317:Z342)/'FREH Stock'!Z343</f>
        <v>4.0787585157316215</v>
      </c>
      <c r="AA47" s="384">
        <f>SUMPRODUCT(AA21:AA46,'FREH Stock'!AA317:AA342)/'FREH Stock'!AA343</f>
        <v>4.0793507654911121</v>
      </c>
      <c r="AB47" s="384">
        <v>0</v>
      </c>
      <c r="AC47" s="384">
        <v>0</v>
      </c>
      <c r="AD47" s="384">
        <v>0</v>
      </c>
      <c r="AE47" s="385">
        <v>0</v>
      </c>
      <c r="AF47" s="388"/>
    </row>
    <row r="48" spans="1:32" ht="15.75" thickBot="1"/>
    <row r="49" spans="1:31" ht="15.75" customHeight="1" thickBot="1">
      <c r="A49" s="1710" t="s">
        <v>207</v>
      </c>
      <c r="B49" s="169" t="s">
        <v>10</v>
      </c>
      <c r="C49" s="288">
        <v>2012</v>
      </c>
      <c r="D49" s="347">
        <v>2013</v>
      </c>
      <c r="E49" s="347">
        <v>2014</v>
      </c>
      <c r="F49" s="288">
        <v>2015</v>
      </c>
      <c r="G49" s="347">
        <v>2016</v>
      </c>
      <c r="H49" s="347">
        <v>2017</v>
      </c>
      <c r="I49" s="288">
        <v>2018</v>
      </c>
      <c r="J49" s="347">
        <v>2019</v>
      </c>
      <c r="K49" s="347">
        <v>2020</v>
      </c>
      <c r="L49" s="288">
        <v>2021</v>
      </c>
      <c r="M49" s="347">
        <v>2022</v>
      </c>
      <c r="N49" s="347">
        <v>2023</v>
      </c>
      <c r="O49" s="288">
        <v>2024</v>
      </c>
      <c r="P49" s="347">
        <v>2025</v>
      </c>
      <c r="Q49" s="347">
        <v>2026</v>
      </c>
      <c r="R49" s="288">
        <v>2027</v>
      </c>
      <c r="S49" s="347">
        <v>2028</v>
      </c>
      <c r="T49" s="347">
        <v>2029</v>
      </c>
      <c r="U49" s="288">
        <v>2030</v>
      </c>
      <c r="V49" s="347">
        <v>2031</v>
      </c>
      <c r="W49" s="347">
        <v>2032</v>
      </c>
      <c r="X49" s="288">
        <v>2033</v>
      </c>
      <c r="Y49" s="347">
        <v>2034</v>
      </c>
      <c r="Z49" s="347">
        <v>2035</v>
      </c>
      <c r="AA49" s="288">
        <v>2036</v>
      </c>
      <c r="AB49" s="347">
        <v>2037</v>
      </c>
      <c r="AC49" s="347">
        <v>2038</v>
      </c>
      <c r="AD49" s="288">
        <v>2039</v>
      </c>
      <c r="AE49" s="348">
        <v>2040</v>
      </c>
    </row>
    <row r="50" spans="1:31">
      <c r="A50" s="1711" t="s">
        <v>41</v>
      </c>
      <c r="B50" s="116">
        <v>0</v>
      </c>
      <c r="C50" s="330">
        <v>4.9843081390152495</v>
      </c>
      <c r="D50" s="330">
        <v>0</v>
      </c>
      <c r="E50" s="330">
        <v>0</v>
      </c>
      <c r="F50" s="330">
        <v>0</v>
      </c>
      <c r="G50" s="330">
        <v>0</v>
      </c>
      <c r="H50" s="330">
        <v>0</v>
      </c>
      <c r="I50" s="330">
        <v>0</v>
      </c>
      <c r="J50" s="330">
        <v>0</v>
      </c>
      <c r="K50" s="330">
        <v>0</v>
      </c>
      <c r="L50" s="330">
        <v>0</v>
      </c>
      <c r="M50" s="330">
        <v>0</v>
      </c>
      <c r="N50" s="330">
        <v>0</v>
      </c>
      <c r="O50" s="330">
        <v>0</v>
      </c>
      <c r="P50" s="330">
        <v>0</v>
      </c>
      <c r="Q50" s="330">
        <v>0</v>
      </c>
      <c r="R50" s="330">
        <v>0</v>
      </c>
      <c r="S50" s="330">
        <v>0</v>
      </c>
      <c r="T50" s="330">
        <v>0</v>
      </c>
      <c r="U50" s="330">
        <v>0</v>
      </c>
      <c r="V50" s="330">
        <v>0</v>
      </c>
      <c r="W50" s="330">
        <v>0</v>
      </c>
      <c r="X50" s="330">
        <v>0</v>
      </c>
      <c r="Y50" s="330">
        <v>0</v>
      </c>
      <c r="Z50" s="330">
        <v>0</v>
      </c>
      <c r="AA50" s="330">
        <v>0</v>
      </c>
      <c r="AB50" s="330">
        <v>0</v>
      </c>
      <c r="AC50" s="330">
        <v>0</v>
      </c>
      <c r="AD50" s="330">
        <v>0</v>
      </c>
      <c r="AE50" s="331">
        <v>0</v>
      </c>
    </row>
    <row r="51" spans="1:31">
      <c r="A51" s="1711"/>
      <c r="B51" s="116">
        <v>1</v>
      </c>
      <c r="C51" s="333">
        <v>4.9799620930922561</v>
      </c>
      <c r="D51" s="333">
        <f>C50</f>
        <v>4.9843081390152495</v>
      </c>
      <c r="E51" s="333">
        <f t="shared" ref="E51:AD51" si="16">E50</f>
        <v>0</v>
      </c>
      <c r="F51" s="333">
        <f t="shared" si="16"/>
        <v>0</v>
      </c>
      <c r="G51" s="333">
        <f t="shared" si="16"/>
        <v>0</v>
      </c>
      <c r="H51" s="333">
        <f t="shared" si="16"/>
        <v>0</v>
      </c>
      <c r="I51" s="333">
        <f t="shared" si="16"/>
        <v>0</v>
      </c>
      <c r="J51" s="333">
        <f t="shared" si="16"/>
        <v>0</v>
      </c>
      <c r="K51" s="333">
        <f t="shared" si="16"/>
        <v>0</v>
      </c>
      <c r="L51" s="333">
        <f t="shared" si="16"/>
        <v>0</v>
      </c>
      <c r="M51" s="333">
        <f t="shared" si="16"/>
        <v>0</v>
      </c>
      <c r="N51" s="333">
        <f t="shared" si="16"/>
        <v>0</v>
      </c>
      <c r="O51" s="333">
        <f t="shared" si="16"/>
        <v>0</v>
      </c>
      <c r="P51" s="333">
        <f t="shared" si="16"/>
        <v>0</v>
      </c>
      <c r="Q51" s="333">
        <f t="shared" si="16"/>
        <v>0</v>
      </c>
      <c r="R51" s="333">
        <f t="shared" si="16"/>
        <v>0</v>
      </c>
      <c r="S51" s="333">
        <f t="shared" si="16"/>
        <v>0</v>
      </c>
      <c r="T51" s="333">
        <f t="shared" si="16"/>
        <v>0</v>
      </c>
      <c r="U51" s="333">
        <f t="shared" si="16"/>
        <v>0</v>
      </c>
      <c r="V51" s="333">
        <f t="shared" si="16"/>
        <v>0</v>
      </c>
      <c r="W51" s="333">
        <f t="shared" si="16"/>
        <v>0</v>
      </c>
      <c r="X51" s="333">
        <f t="shared" si="16"/>
        <v>0</v>
      </c>
      <c r="Y51" s="333">
        <f t="shared" si="16"/>
        <v>0</v>
      </c>
      <c r="Z51" s="333">
        <f t="shared" si="16"/>
        <v>0</v>
      </c>
      <c r="AA51" s="333">
        <f t="shared" si="16"/>
        <v>0</v>
      </c>
      <c r="AB51" s="333">
        <f t="shared" si="16"/>
        <v>0</v>
      </c>
      <c r="AC51" s="333">
        <f t="shared" si="16"/>
        <v>0</v>
      </c>
      <c r="AD51" s="333">
        <f t="shared" si="16"/>
        <v>0</v>
      </c>
      <c r="AE51" s="334">
        <v>0</v>
      </c>
    </row>
    <row r="52" spans="1:31">
      <c r="A52" s="1711"/>
      <c r="B52" s="116">
        <v>2</v>
      </c>
      <c r="C52" s="333">
        <v>4.985459271862374</v>
      </c>
      <c r="D52" s="333">
        <f>C51</f>
        <v>4.9799620930922561</v>
      </c>
      <c r="E52" s="333">
        <f t="shared" ref="D52:S75" si="17">D51</f>
        <v>4.9843081390152495</v>
      </c>
      <c r="F52" s="333">
        <f t="shared" si="17"/>
        <v>0</v>
      </c>
      <c r="G52" s="333">
        <f t="shared" si="17"/>
        <v>0</v>
      </c>
      <c r="H52" s="333">
        <f t="shared" si="17"/>
        <v>0</v>
      </c>
      <c r="I52" s="333">
        <f t="shared" si="17"/>
        <v>0</v>
      </c>
      <c r="J52" s="333">
        <f t="shared" si="17"/>
        <v>0</v>
      </c>
      <c r="K52" s="333">
        <f t="shared" si="17"/>
        <v>0</v>
      </c>
      <c r="L52" s="333">
        <f t="shared" si="17"/>
        <v>0</v>
      </c>
      <c r="M52" s="333">
        <f t="shared" si="17"/>
        <v>0</v>
      </c>
      <c r="N52" s="333">
        <f t="shared" si="17"/>
        <v>0</v>
      </c>
      <c r="O52" s="333">
        <f t="shared" si="17"/>
        <v>0</v>
      </c>
      <c r="P52" s="333">
        <f t="shared" ref="P52:P75" si="18">O51</f>
        <v>0</v>
      </c>
      <c r="Q52" s="333">
        <f t="shared" si="17"/>
        <v>0</v>
      </c>
      <c r="R52" s="333">
        <f t="shared" si="17"/>
        <v>0</v>
      </c>
      <c r="S52" s="333">
        <f t="shared" si="17"/>
        <v>0</v>
      </c>
      <c r="T52" s="333">
        <f t="shared" ref="F52:AE61" si="19">S51</f>
        <v>0</v>
      </c>
      <c r="U52" s="333">
        <f t="shared" si="19"/>
        <v>0</v>
      </c>
      <c r="V52" s="333">
        <f t="shared" ref="V52:V75" si="20">U51</f>
        <v>0</v>
      </c>
      <c r="W52" s="333">
        <f t="shared" si="19"/>
        <v>0</v>
      </c>
      <c r="X52" s="333">
        <f t="shared" si="19"/>
        <v>0</v>
      </c>
      <c r="Y52" s="333">
        <f t="shared" si="19"/>
        <v>0</v>
      </c>
      <c r="Z52" s="333">
        <f t="shared" si="19"/>
        <v>0</v>
      </c>
      <c r="AA52" s="333">
        <f t="shared" si="19"/>
        <v>0</v>
      </c>
      <c r="AB52" s="333">
        <f t="shared" si="19"/>
        <v>0</v>
      </c>
      <c r="AC52" s="333">
        <f t="shared" si="19"/>
        <v>0</v>
      </c>
      <c r="AD52" s="333">
        <f t="shared" si="19"/>
        <v>0</v>
      </c>
      <c r="AE52" s="334">
        <f t="shared" si="19"/>
        <v>0</v>
      </c>
    </row>
    <row r="53" spans="1:31">
      <c r="A53" s="1711"/>
      <c r="B53" s="116">
        <v>3</v>
      </c>
      <c r="C53" s="333">
        <v>4.986108601065891</v>
      </c>
      <c r="D53" s="333">
        <f>C52</f>
        <v>4.985459271862374</v>
      </c>
      <c r="E53" s="333">
        <f t="shared" si="17"/>
        <v>4.9799620930922561</v>
      </c>
      <c r="F53" s="333">
        <f t="shared" si="19"/>
        <v>4.9843081390152495</v>
      </c>
      <c r="G53" s="333">
        <f t="shared" si="19"/>
        <v>0</v>
      </c>
      <c r="H53" s="333">
        <f t="shared" si="19"/>
        <v>0</v>
      </c>
      <c r="I53" s="333">
        <f t="shared" si="19"/>
        <v>0</v>
      </c>
      <c r="J53" s="333">
        <f t="shared" si="19"/>
        <v>0</v>
      </c>
      <c r="K53" s="333">
        <f t="shared" si="19"/>
        <v>0</v>
      </c>
      <c r="L53" s="333">
        <f t="shared" si="19"/>
        <v>0</v>
      </c>
      <c r="M53" s="333">
        <f t="shared" si="19"/>
        <v>0</v>
      </c>
      <c r="N53" s="333">
        <f t="shared" si="19"/>
        <v>0</v>
      </c>
      <c r="O53" s="333">
        <f t="shared" si="19"/>
        <v>0</v>
      </c>
      <c r="P53" s="333">
        <f t="shared" si="18"/>
        <v>0</v>
      </c>
      <c r="Q53" s="333">
        <f t="shared" si="19"/>
        <v>0</v>
      </c>
      <c r="R53" s="333">
        <f t="shared" si="19"/>
        <v>0</v>
      </c>
      <c r="S53" s="333">
        <f t="shared" si="19"/>
        <v>0</v>
      </c>
      <c r="T53" s="333">
        <f t="shared" si="19"/>
        <v>0</v>
      </c>
      <c r="U53" s="333">
        <f t="shared" si="19"/>
        <v>0</v>
      </c>
      <c r="V53" s="333">
        <f t="shared" si="20"/>
        <v>0</v>
      </c>
      <c r="W53" s="333">
        <f t="shared" si="19"/>
        <v>0</v>
      </c>
      <c r="X53" s="333">
        <f t="shared" si="19"/>
        <v>0</v>
      </c>
      <c r="Y53" s="333">
        <f t="shared" si="19"/>
        <v>0</v>
      </c>
      <c r="Z53" s="333">
        <f t="shared" si="19"/>
        <v>0</v>
      </c>
      <c r="AA53" s="333">
        <f t="shared" si="19"/>
        <v>0</v>
      </c>
      <c r="AB53" s="333">
        <f t="shared" si="19"/>
        <v>0</v>
      </c>
      <c r="AC53" s="333">
        <f t="shared" si="19"/>
        <v>0</v>
      </c>
      <c r="AD53" s="333">
        <f t="shared" si="19"/>
        <v>0</v>
      </c>
      <c r="AE53" s="334">
        <f t="shared" si="19"/>
        <v>0</v>
      </c>
    </row>
    <row r="54" spans="1:31">
      <c r="A54" s="1711"/>
      <c r="B54" s="116">
        <v>4</v>
      </c>
      <c r="C54" s="333">
        <v>4.9169806294675409</v>
      </c>
      <c r="D54" s="333">
        <f t="shared" si="17"/>
        <v>4.986108601065891</v>
      </c>
      <c r="E54" s="333">
        <f t="shared" si="17"/>
        <v>4.985459271862374</v>
      </c>
      <c r="F54" s="333">
        <f t="shared" si="19"/>
        <v>4.9799620930922561</v>
      </c>
      <c r="G54" s="333">
        <f t="shared" si="19"/>
        <v>4.9843081390152495</v>
      </c>
      <c r="H54" s="333">
        <f t="shared" si="19"/>
        <v>0</v>
      </c>
      <c r="I54" s="333">
        <f t="shared" si="19"/>
        <v>0</v>
      </c>
      <c r="J54" s="333">
        <f t="shared" si="19"/>
        <v>0</v>
      </c>
      <c r="K54" s="333">
        <f t="shared" si="19"/>
        <v>0</v>
      </c>
      <c r="L54" s="333">
        <f t="shared" si="19"/>
        <v>0</v>
      </c>
      <c r="M54" s="333">
        <f t="shared" si="19"/>
        <v>0</v>
      </c>
      <c r="N54" s="333">
        <f t="shared" si="19"/>
        <v>0</v>
      </c>
      <c r="O54" s="333">
        <f t="shared" si="19"/>
        <v>0</v>
      </c>
      <c r="P54" s="333">
        <f t="shared" si="18"/>
        <v>0</v>
      </c>
      <c r="Q54" s="333">
        <f t="shared" si="19"/>
        <v>0</v>
      </c>
      <c r="R54" s="333">
        <f t="shared" si="19"/>
        <v>0</v>
      </c>
      <c r="S54" s="333">
        <f t="shared" si="19"/>
        <v>0</v>
      </c>
      <c r="T54" s="333">
        <f t="shared" si="19"/>
        <v>0</v>
      </c>
      <c r="U54" s="333">
        <f t="shared" si="19"/>
        <v>0</v>
      </c>
      <c r="V54" s="333">
        <f t="shared" si="20"/>
        <v>0</v>
      </c>
      <c r="W54" s="333">
        <f t="shared" si="19"/>
        <v>0</v>
      </c>
      <c r="X54" s="333">
        <f t="shared" si="19"/>
        <v>0</v>
      </c>
      <c r="Y54" s="333">
        <f t="shared" si="19"/>
        <v>0</v>
      </c>
      <c r="Z54" s="333">
        <f t="shared" si="19"/>
        <v>0</v>
      </c>
      <c r="AA54" s="333">
        <f t="shared" si="19"/>
        <v>0</v>
      </c>
      <c r="AB54" s="333">
        <f t="shared" si="19"/>
        <v>0</v>
      </c>
      <c r="AC54" s="333">
        <f t="shared" si="19"/>
        <v>0</v>
      </c>
      <c r="AD54" s="333">
        <f t="shared" si="19"/>
        <v>0</v>
      </c>
      <c r="AE54" s="334">
        <f t="shared" si="19"/>
        <v>0</v>
      </c>
    </row>
    <row r="55" spans="1:31">
      <c r="A55" s="1711"/>
      <c r="B55" s="116">
        <v>5</v>
      </c>
      <c r="C55" s="333">
        <v>4.913277658616412</v>
      </c>
      <c r="D55" s="333">
        <f t="shared" si="17"/>
        <v>4.9169806294675409</v>
      </c>
      <c r="E55" s="333">
        <f t="shared" si="17"/>
        <v>4.986108601065891</v>
      </c>
      <c r="F55" s="333">
        <f t="shared" si="19"/>
        <v>4.985459271862374</v>
      </c>
      <c r="G55" s="333">
        <f t="shared" si="19"/>
        <v>4.9799620930922561</v>
      </c>
      <c r="H55" s="333">
        <f t="shared" si="19"/>
        <v>4.9843081390152495</v>
      </c>
      <c r="I55" s="333">
        <f t="shared" si="19"/>
        <v>0</v>
      </c>
      <c r="J55" s="333">
        <f t="shared" si="19"/>
        <v>0</v>
      </c>
      <c r="K55" s="333">
        <f t="shared" si="19"/>
        <v>0</v>
      </c>
      <c r="L55" s="333">
        <f t="shared" si="19"/>
        <v>0</v>
      </c>
      <c r="M55" s="333">
        <f t="shared" si="19"/>
        <v>0</v>
      </c>
      <c r="N55" s="333">
        <f t="shared" si="19"/>
        <v>0</v>
      </c>
      <c r="O55" s="333">
        <f t="shared" si="19"/>
        <v>0</v>
      </c>
      <c r="P55" s="333">
        <f t="shared" si="18"/>
        <v>0</v>
      </c>
      <c r="Q55" s="333">
        <f t="shared" si="19"/>
        <v>0</v>
      </c>
      <c r="R55" s="333">
        <f t="shared" si="19"/>
        <v>0</v>
      </c>
      <c r="S55" s="333">
        <f t="shared" si="19"/>
        <v>0</v>
      </c>
      <c r="T55" s="333">
        <f t="shared" si="19"/>
        <v>0</v>
      </c>
      <c r="U55" s="333">
        <f t="shared" si="19"/>
        <v>0</v>
      </c>
      <c r="V55" s="333">
        <f t="shared" si="20"/>
        <v>0</v>
      </c>
      <c r="W55" s="333">
        <f t="shared" si="19"/>
        <v>0</v>
      </c>
      <c r="X55" s="333">
        <f t="shared" si="19"/>
        <v>0</v>
      </c>
      <c r="Y55" s="333">
        <f t="shared" si="19"/>
        <v>0</v>
      </c>
      <c r="Z55" s="333">
        <f t="shared" si="19"/>
        <v>0</v>
      </c>
      <c r="AA55" s="333">
        <f t="shared" si="19"/>
        <v>0</v>
      </c>
      <c r="AB55" s="333">
        <f t="shared" si="19"/>
        <v>0</v>
      </c>
      <c r="AC55" s="333">
        <f t="shared" si="19"/>
        <v>0</v>
      </c>
      <c r="AD55" s="333">
        <f t="shared" si="19"/>
        <v>0</v>
      </c>
      <c r="AE55" s="334">
        <f t="shared" si="19"/>
        <v>0</v>
      </c>
    </row>
    <row r="56" spans="1:31">
      <c r="A56" s="1711"/>
      <c r="B56" s="116">
        <v>6</v>
      </c>
      <c r="C56" s="333">
        <v>5.0428090173274018</v>
      </c>
      <c r="D56" s="333">
        <f t="shared" si="17"/>
        <v>4.913277658616412</v>
      </c>
      <c r="E56" s="333">
        <f t="shared" si="17"/>
        <v>4.9169806294675409</v>
      </c>
      <c r="F56" s="333">
        <f t="shared" si="19"/>
        <v>4.986108601065891</v>
      </c>
      <c r="G56" s="333">
        <f t="shared" si="19"/>
        <v>4.985459271862374</v>
      </c>
      <c r="H56" s="333">
        <f t="shared" si="19"/>
        <v>4.9799620930922561</v>
      </c>
      <c r="I56" s="333">
        <f t="shared" si="19"/>
        <v>4.9843081390152495</v>
      </c>
      <c r="J56" s="333">
        <f t="shared" si="19"/>
        <v>0</v>
      </c>
      <c r="K56" s="333">
        <f t="shared" si="19"/>
        <v>0</v>
      </c>
      <c r="L56" s="333">
        <f t="shared" si="19"/>
        <v>0</v>
      </c>
      <c r="M56" s="333">
        <f t="shared" si="19"/>
        <v>0</v>
      </c>
      <c r="N56" s="333">
        <f t="shared" si="19"/>
        <v>0</v>
      </c>
      <c r="O56" s="333">
        <f t="shared" si="19"/>
        <v>0</v>
      </c>
      <c r="P56" s="333">
        <f t="shared" si="18"/>
        <v>0</v>
      </c>
      <c r="Q56" s="333">
        <f t="shared" si="19"/>
        <v>0</v>
      </c>
      <c r="R56" s="333">
        <f t="shared" si="19"/>
        <v>0</v>
      </c>
      <c r="S56" s="333">
        <f t="shared" si="19"/>
        <v>0</v>
      </c>
      <c r="T56" s="333">
        <f t="shared" si="19"/>
        <v>0</v>
      </c>
      <c r="U56" s="333">
        <f t="shared" si="19"/>
        <v>0</v>
      </c>
      <c r="V56" s="333">
        <f t="shared" si="20"/>
        <v>0</v>
      </c>
      <c r="W56" s="333">
        <f t="shared" si="19"/>
        <v>0</v>
      </c>
      <c r="X56" s="333">
        <f t="shared" si="19"/>
        <v>0</v>
      </c>
      <c r="Y56" s="333">
        <f t="shared" si="19"/>
        <v>0</v>
      </c>
      <c r="Z56" s="333">
        <f t="shared" si="19"/>
        <v>0</v>
      </c>
      <c r="AA56" s="333">
        <f t="shared" si="19"/>
        <v>0</v>
      </c>
      <c r="AB56" s="333">
        <f t="shared" si="19"/>
        <v>0</v>
      </c>
      <c r="AC56" s="333">
        <f t="shared" si="19"/>
        <v>0</v>
      </c>
      <c r="AD56" s="333">
        <f t="shared" si="19"/>
        <v>0</v>
      </c>
      <c r="AE56" s="334">
        <f t="shared" si="19"/>
        <v>0</v>
      </c>
    </row>
    <row r="57" spans="1:31">
      <c r="A57" s="1711"/>
      <c r="B57" s="116">
        <v>7</v>
      </c>
      <c r="C57" s="333">
        <v>5.0367136461133759</v>
      </c>
      <c r="D57" s="333">
        <f t="shared" si="17"/>
        <v>5.0428090173274018</v>
      </c>
      <c r="E57" s="333">
        <f t="shared" si="17"/>
        <v>4.913277658616412</v>
      </c>
      <c r="F57" s="333">
        <f t="shared" si="19"/>
        <v>4.9169806294675409</v>
      </c>
      <c r="G57" s="333">
        <f t="shared" si="19"/>
        <v>4.986108601065891</v>
      </c>
      <c r="H57" s="333">
        <f t="shared" si="19"/>
        <v>4.985459271862374</v>
      </c>
      <c r="I57" s="333">
        <f t="shared" si="19"/>
        <v>4.9799620930922561</v>
      </c>
      <c r="J57" s="333">
        <f t="shared" si="19"/>
        <v>4.9843081390152495</v>
      </c>
      <c r="K57" s="333">
        <f t="shared" si="19"/>
        <v>0</v>
      </c>
      <c r="L57" s="333">
        <f t="shared" si="19"/>
        <v>0</v>
      </c>
      <c r="M57" s="333">
        <f t="shared" si="19"/>
        <v>0</v>
      </c>
      <c r="N57" s="333">
        <f t="shared" si="19"/>
        <v>0</v>
      </c>
      <c r="O57" s="333">
        <f t="shared" si="19"/>
        <v>0</v>
      </c>
      <c r="P57" s="333">
        <f t="shared" si="18"/>
        <v>0</v>
      </c>
      <c r="Q57" s="333">
        <f t="shared" si="19"/>
        <v>0</v>
      </c>
      <c r="R57" s="333">
        <f t="shared" si="19"/>
        <v>0</v>
      </c>
      <c r="S57" s="333">
        <f t="shared" si="19"/>
        <v>0</v>
      </c>
      <c r="T57" s="333">
        <f t="shared" si="19"/>
        <v>0</v>
      </c>
      <c r="U57" s="333">
        <f t="shared" si="19"/>
        <v>0</v>
      </c>
      <c r="V57" s="333">
        <f t="shared" si="20"/>
        <v>0</v>
      </c>
      <c r="W57" s="333">
        <f t="shared" si="19"/>
        <v>0</v>
      </c>
      <c r="X57" s="333">
        <f t="shared" si="19"/>
        <v>0</v>
      </c>
      <c r="Y57" s="333">
        <f t="shared" si="19"/>
        <v>0</v>
      </c>
      <c r="Z57" s="333">
        <f t="shared" si="19"/>
        <v>0</v>
      </c>
      <c r="AA57" s="333">
        <f t="shared" si="19"/>
        <v>0</v>
      </c>
      <c r="AB57" s="333">
        <f t="shared" si="19"/>
        <v>0</v>
      </c>
      <c r="AC57" s="333">
        <f t="shared" si="19"/>
        <v>0</v>
      </c>
      <c r="AD57" s="333">
        <f t="shared" si="19"/>
        <v>0</v>
      </c>
      <c r="AE57" s="334">
        <f t="shared" si="19"/>
        <v>0</v>
      </c>
    </row>
    <row r="58" spans="1:31">
      <c r="A58" s="1711"/>
      <c r="B58" s="116">
        <v>8</v>
      </c>
      <c r="C58" s="333">
        <v>5.0310393517053802</v>
      </c>
      <c r="D58" s="333">
        <f t="shared" si="17"/>
        <v>5.0367136461133759</v>
      </c>
      <c r="E58" s="333">
        <f t="shared" si="17"/>
        <v>5.0428090173274018</v>
      </c>
      <c r="F58" s="333">
        <f t="shared" si="19"/>
        <v>4.913277658616412</v>
      </c>
      <c r="G58" s="333">
        <f t="shared" si="19"/>
        <v>4.9169806294675409</v>
      </c>
      <c r="H58" s="333">
        <f t="shared" si="19"/>
        <v>4.986108601065891</v>
      </c>
      <c r="I58" s="333">
        <f t="shared" si="19"/>
        <v>4.985459271862374</v>
      </c>
      <c r="J58" s="333">
        <f t="shared" si="19"/>
        <v>4.9799620930922561</v>
      </c>
      <c r="K58" s="333">
        <f t="shared" si="19"/>
        <v>4.9843081390152495</v>
      </c>
      <c r="L58" s="333">
        <f t="shared" si="19"/>
        <v>0</v>
      </c>
      <c r="M58" s="333">
        <f t="shared" si="19"/>
        <v>0</v>
      </c>
      <c r="N58" s="333">
        <f t="shared" si="19"/>
        <v>0</v>
      </c>
      <c r="O58" s="333">
        <f t="shared" si="19"/>
        <v>0</v>
      </c>
      <c r="P58" s="333">
        <f t="shared" si="18"/>
        <v>0</v>
      </c>
      <c r="Q58" s="333">
        <f t="shared" si="19"/>
        <v>0</v>
      </c>
      <c r="R58" s="333">
        <f t="shared" si="19"/>
        <v>0</v>
      </c>
      <c r="S58" s="333">
        <f t="shared" si="19"/>
        <v>0</v>
      </c>
      <c r="T58" s="333">
        <f t="shared" si="19"/>
        <v>0</v>
      </c>
      <c r="U58" s="333">
        <f t="shared" si="19"/>
        <v>0</v>
      </c>
      <c r="V58" s="333">
        <f t="shared" si="20"/>
        <v>0</v>
      </c>
      <c r="W58" s="333">
        <f t="shared" si="19"/>
        <v>0</v>
      </c>
      <c r="X58" s="333">
        <f t="shared" si="19"/>
        <v>0</v>
      </c>
      <c r="Y58" s="333">
        <f t="shared" si="19"/>
        <v>0</v>
      </c>
      <c r="Z58" s="333">
        <f t="shared" si="19"/>
        <v>0</v>
      </c>
      <c r="AA58" s="333">
        <f t="shared" si="19"/>
        <v>0</v>
      </c>
      <c r="AB58" s="333">
        <f t="shared" si="19"/>
        <v>0</v>
      </c>
      <c r="AC58" s="333">
        <f t="shared" si="19"/>
        <v>0</v>
      </c>
      <c r="AD58" s="333">
        <f t="shared" si="19"/>
        <v>0</v>
      </c>
      <c r="AE58" s="334">
        <f t="shared" si="19"/>
        <v>0</v>
      </c>
    </row>
    <row r="59" spans="1:31">
      <c r="A59" s="1711"/>
      <c r="B59" s="116">
        <v>9</v>
      </c>
      <c r="C59" s="333">
        <v>5.7291673879155898</v>
      </c>
      <c r="D59" s="333">
        <f t="shared" si="17"/>
        <v>5.0310393517053802</v>
      </c>
      <c r="E59" s="333">
        <f t="shared" si="17"/>
        <v>5.0367136461133759</v>
      </c>
      <c r="F59" s="333">
        <f t="shared" si="19"/>
        <v>5.0428090173274018</v>
      </c>
      <c r="G59" s="333">
        <f t="shared" si="19"/>
        <v>4.913277658616412</v>
      </c>
      <c r="H59" s="333">
        <f t="shared" si="19"/>
        <v>4.9169806294675409</v>
      </c>
      <c r="I59" s="333">
        <f t="shared" si="19"/>
        <v>4.986108601065891</v>
      </c>
      <c r="J59" s="333">
        <f t="shared" si="19"/>
        <v>4.985459271862374</v>
      </c>
      <c r="K59" s="333">
        <f t="shared" si="19"/>
        <v>4.9799620930922561</v>
      </c>
      <c r="L59" s="333">
        <f t="shared" si="19"/>
        <v>4.9843081390152495</v>
      </c>
      <c r="M59" s="333">
        <f t="shared" si="19"/>
        <v>0</v>
      </c>
      <c r="N59" s="333">
        <f t="shared" si="19"/>
        <v>0</v>
      </c>
      <c r="O59" s="333">
        <f t="shared" si="19"/>
        <v>0</v>
      </c>
      <c r="P59" s="333">
        <f t="shared" si="18"/>
        <v>0</v>
      </c>
      <c r="Q59" s="333">
        <f t="shared" si="19"/>
        <v>0</v>
      </c>
      <c r="R59" s="333">
        <f t="shared" si="19"/>
        <v>0</v>
      </c>
      <c r="S59" s="333">
        <f t="shared" si="19"/>
        <v>0</v>
      </c>
      <c r="T59" s="333">
        <f t="shared" si="19"/>
        <v>0</v>
      </c>
      <c r="U59" s="333">
        <f t="shared" si="19"/>
        <v>0</v>
      </c>
      <c r="V59" s="333">
        <f t="shared" si="20"/>
        <v>0</v>
      </c>
      <c r="W59" s="333">
        <f t="shared" si="19"/>
        <v>0</v>
      </c>
      <c r="X59" s="333">
        <f t="shared" si="19"/>
        <v>0</v>
      </c>
      <c r="Y59" s="333">
        <f t="shared" si="19"/>
        <v>0</v>
      </c>
      <c r="Z59" s="333">
        <f t="shared" si="19"/>
        <v>0</v>
      </c>
      <c r="AA59" s="333">
        <f t="shared" si="19"/>
        <v>0</v>
      </c>
      <c r="AB59" s="333">
        <f t="shared" si="19"/>
        <v>0</v>
      </c>
      <c r="AC59" s="333">
        <f t="shared" si="19"/>
        <v>0</v>
      </c>
      <c r="AD59" s="333">
        <f t="shared" si="19"/>
        <v>0</v>
      </c>
      <c r="AE59" s="334">
        <f t="shared" si="19"/>
        <v>0</v>
      </c>
    </row>
    <row r="60" spans="1:31">
      <c r="A60" s="1711"/>
      <c r="B60" s="116">
        <v>10</v>
      </c>
      <c r="C60" s="333">
        <v>5.7280193874487333</v>
      </c>
      <c r="D60" s="333">
        <f t="shared" si="17"/>
        <v>5.7291673879155898</v>
      </c>
      <c r="E60" s="333">
        <f t="shared" si="17"/>
        <v>5.0310393517053802</v>
      </c>
      <c r="F60" s="333">
        <f t="shared" si="19"/>
        <v>5.0367136461133759</v>
      </c>
      <c r="G60" s="333">
        <f t="shared" si="19"/>
        <v>5.0428090173274018</v>
      </c>
      <c r="H60" s="333">
        <f t="shared" si="19"/>
        <v>4.913277658616412</v>
      </c>
      <c r="I60" s="333">
        <f t="shared" si="19"/>
        <v>4.9169806294675409</v>
      </c>
      <c r="J60" s="333">
        <f t="shared" si="19"/>
        <v>4.986108601065891</v>
      </c>
      <c r="K60" s="333">
        <f t="shared" si="19"/>
        <v>4.985459271862374</v>
      </c>
      <c r="L60" s="333">
        <f t="shared" si="19"/>
        <v>4.9799620930922561</v>
      </c>
      <c r="M60" s="333">
        <f t="shared" si="19"/>
        <v>4.9843081390152495</v>
      </c>
      <c r="N60" s="333">
        <f t="shared" si="19"/>
        <v>0</v>
      </c>
      <c r="O60" s="333">
        <f t="shared" si="19"/>
        <v>0</v>
      </c>
      <c r="P60" s="333">
        <f t="shared" si="18"/>
        <v>0</v>
      </c>
      <c r="Q60" s="333">
        <f t="shared" si="19"/>
        <v>0</v>
      </c>
      <c r="R60" s="333">
        <f t="shared" si="19"/>
        <v>0</v>
      </c>
      <c r="S60" s="333">
        <f t="shared" si="19"/>
        <v>0</v>
      </c>
      <c r="T60" s="333">
        <f t="shared" si="19"/>
        <v>0</v>
      </c>
      <c r="U60" s="333">
        <f t="shared" si="19"/>
        <v>0</v>
      </c>
      <c r="V60" s="333">
        <f t="shared" si="20"/>
        <v>0</v>
      </c>
      <c r="W60" s="333">
        <f t="shared" si="19"/>
        <v>0</v>
      </c>
      <c r="X60" s="333">
        <f t="shared" si="19"/>
        <v>0</v>
      </c>
      <c r="Y60" s="333">
        <f t="shared" si="19"/>
        <v>0</v>
      </c>
      <c r="Z60" s="333">
        <f t="shared" si="19"/>
        <v>0</v>
      </c>
      <c r="AA60" s="333">
        <f t="shared" si="19"/>
        <v>0</v>
      </c>
      <c r="AB60" s="333">
        <f t="shared" si="19"/>
        <v>0</v>
      </c>
      <c r="AC60" s="333">
        <f t="shared" si="19"/>
        <v>0</v>
      </c>
      <c r="AD60" s="333">
        <f t="shared" si="19"/>
        <v>0</v>
      </c>
      <c r="AE60" s="334">
        <f t="shared" si="19"/>
        <v>0</v>
      </c>
    </row>
    <row r="61" spans="1:31">
      <c r="A61" s="1711"/>
      <c r="B61" s="116">
        <v>11</v>
      </c>
      <c r="C61" s="333">
        <v>5.7283971516108068</v>
      </c>
      <c r="D61" s="333">
        <f t="shared" si="17"/>
        <v>5.7280193874487333</v>
      </c>
      <c r="E61" s="333">
        <f t="shared" si="17"/>
        <v>5.7291673879155898</v>
      </c>
      <c r="F61" s="333">
        <f t="shared" si="19"/>
        <v>5.0310393517053802</v>
      </c>
      <c r="G61" s="333">
        <f t="shared" si="19"/>
        <v>5.0367136461133759</v>
      </c>
      <c r="H61" s="333">
        <f t="shared" si="19"/>
        <v>5.0428090173274018</v>
      </c>
      <c r="I61" s="333">
        <f t="shared" si="19"/>
        <v>4.913277658616412</v>
      </c>
      <c r="J61" s="333">
        <f t="shared" si="19"/>
        <v>4.9169806294675409</v>
      </c>
      <c r="K61" s="333">
        <f t="shared" si="19"/>
        <v>4.986108601065891</v>
      </c>
      <c r="L61" s="333">
        <f t="shared" si="19"/>
        <v>4.985459271862374</v>
      </c>
      <c r="M61" s="333">
        <f t="shared" si="19"/>
        <v>4.9799620930922561</v>
      </c>
      <c r="N61" s="333">
        <f t="shared" si="19"/>
        <v>4.9843081390152495</v>
      </c>
      <c r="O61" s="333">
        <f t="shared" ref="F61:AE71" si="21">N60</f>
        <v>0</v>
      </c>
      <c r="P61" s="333">
        <f t="shared" si="18"/>
        <v>0</v>
      </c>
      <c r="Q61" s="333">
        <f t="shared" si="21"/>
        <v>0</v>
      </c>
      <c r="R61" s="333">
        <f t="shared" si="21"/>
        <v>0</v>
      </c>
      <c r="S61" s="333">
        <f t="shared" si="21"/>
        <v>0</v>
      </c>
      <c r="T61" s="333">
        <f t="shared" si="21"/>
        <v>0</v>
      </c>
      <c r="U61" s="333">
        <f t="shared" si="21"/>
        <v>0</v>
      </c>
      <c r="V61" s="333">
        <f t="shared" si="20"/>
        <v>0</v>
      </c>
      <c r="W61" s="333">
        <f t="shared" si="21"/>
        <v>0</v>
      </c>
      <c r="X61" s="333">
        <f t="shared" si="21"/>
        <v>0</v>
      </c>
      <c r="Y61" s="333">
        <f t="shared" si="21"/>
        <v>0</v>
      </c>
      <c r="Z61" s="333">
        <f t="shared" si="21"/>
        <v>0</v>
      </c>
      <c r="AA61" s="333">
        <f t="shared" si="21"/>
        <v>0</v>
      </c>
      <c r="AB61" s="333">
        <f t="shared" si="21"/>
        <v>0</v>
      </c>
      <c r="AC61" s="333">
        <f t="shared" si="21"/>
        <v>0</v>
      </c>
      <c r="AD61" s="333">
        <f t="shared" si="21"/>
        <v>0</v>
      </c>
      <c r="AE61" s="334">
        <f t="shared" si="21"/>
        <v>0</v>
      </c>
    </row>
    <row r="62" spans="1:31">
      <c r="A62" s="1711"/>
      <c r="B62" s="116">
        <v>12</v>
      </c>
      <c r="C62" s="333">
        <v>5.9024872948039642</v>
      </c>
      <c r="D62" s="333">
        <f t="shared" si="17"/>
        <v>5.7283971516108068</v>
      </c>
      <c r="E62" s="333">
        <f t="shared" si="17"/>
        <v>5.7280193874487333</v>
      </c>
      <c r="F62" s="333">
        <f t="shared" si="21"/>
        <v>5.7291673879155898</v>
      </c>
      <c r="G62" s="333">
        <f t="shared" si="21"/>
        <v>5.0310393517053802</v>
      </c>
      <c r="H62" s="333">
        <f t="shared" si="21"/>
        <v>5.0367136461133759</v>
      </c>
      <c r="I62" s="333">
        <f t="shared" si="21"/>
        <v>5.0428090173274018</v>
      </c>
      <c r="J62" s="333">
        <f t="shared" si="21"/>
        <v>4.913277658616412</v>
      </c>
      <c r="K62" s="333">
        <f t="shared" si="21"/>
        <v>4.9169806294675409</v>
      </c>
      <c r="L62" s="333">
        <f t="shared" si="21"/>
        <v>4.986108601065891</v>
      </c>
      <c r="M62" s="333">
        <f t="shared" si="21"/>
        <v>4.985459271862374</v>
      </c>
      <c r="N62" s="333">
        <f t="shared" si="21"/>
        <v>4.9799620930922561</v>
      </c>
      <c r="O62" s="333">
        <f t="shared" si="21"/>
        <v>4.9843081390152495</v>
      </c>
      <c r="P62" s="333">
        <f t="shared" si="18"/>
        <v>0</v>
      </c>
      <c r="Q62" s="333">
        <f t="shared" si="21"/>
        <v>0</v>
      </c>
      <c r="R62" s="333">
        <f t="shared" si="21"/>
        <v>0</v>
      </c>
      <c r="S62" s="333">
        <f t="shared" si="21"/>
        <v>0</v>
      </c>
      <c r="T62" s="333">
        <f t="shared" si="21"/>
        <v>0</v>
      </c>
      <c r="U62" s="333">
        <f t="shared" si="21"/>
        <v>0</v>
      </c>
      <c r="V62" s="333">
        <f t="shared" si="20"/>
        <v>0</v>
      </c>
      <c r="W62" s="333">
        <f t="shared" si="21"/>
        <v>0</v>
      </c>
      <c r="X62" s="333">
        <f t="shared" si="21"/>
        <v>0</v>
      </c>
      <c r="Y62" s="333">
        <f t="shared" si="21"/>
        <v>0</v>
      </c>
      <c r="Z62" s="333">
        <f t="shared" si="21"/>
        <v>0</v>
      </c>
      <c r="AA62" s="333">
        <f t="shared" si="21"/>
        <v>0</v>
      </c>
      <c r="AB62" s="333">
        <f t="shared" si="21"/>
        <v>0</v>
      </c>
      <c r="AC62" s="333">
        <f t="shared" si="21"/>
        <v>0</v>
      </c>
      <c r="AD62" s="333">
        <f t="shared" si="21"/>
        <v>0</v>
      </c>
      <c r="AE62" s="334">
        <f t="shared" si="21"/>
        <v>0</v>
      </c>
    </row>
    <row r="63" spans="1:31">
      <c r="A63" s="1711"/>
      <c r="B63" s="116">
        <v>13</v>
      </c>
      <c r="C63" s="333">
        <v>5.93125667865149</v>
      </c>
      <c r="D63" s="333">
        <f t="shared" si="17"/>
        <v>5.9024872948039642</v>
      </c>
      <c r="E63" s="333">
        <f t="shared" si="17"/>
        <v>5.7283971516108068</v>
      </c>
      <c r="F63" s="333">
        <f t="shared" si="21"/>
        <v>5.7280193874487333</v>
      </c>
      <c r="G63" s="333">
        <f t="shared" si="21"/>
        <v>5.7291673879155898</v>
      </c>
      <c r="H63" s="333">
        <f t="shared" si="21"/>
        <v>5.0310393517053802</v>
      </c>
      <c r="I63" s="333">
        <f t="shared" si="21"/>
        <v>5.0367136461133759</v>
      </c>
      <c r="J63" s="333">
        <f t="shared" si="21"/>
        <v>5.0428090173274018</v>
      </c>
      <c r="K63" s="333">
        <f t="shared" si="21"/>
        <v>4.913277658616412</v>
      </c>
      <c r="L63" s="333">
        <f t="shared" si="21"/>
        <v>4.9169806294675409</v>
      </c>
      <c r="M63" s="333">
        <f t="shared" si="21"/>
        <v>4.986108601065891</v>
      </c>
      <c r="N63" s="333">
        <f t="shared" si="21"/>
        <v>4.985459271862374</v>
      </c>
      <c r="O63" s="333">
        <f t="shared" si="21"/>
        <v>4.9799620930922561</v>
      </c>
      <c r="P63" s="333">
        <f t="shared" si="18"/>
        <v>4.9843081390152495</v>
      </c>
      <c r="Q63" s="333">
        <f t="shared" si="21"/>
        <v>0</v>
      </c>
      <c r="R63" s="333">
        <f t="shared" si="21"/>
        <v>0</v>
      </c>
      <c r="S63" s="333">
        <f t="shared" si="21"/>
        <v>0</v>
      </c>
      <c r="T63" s="333">
        <f t="shared" si="21"/>
        <v>0</v>
      </c>
      <c r="U63" s="333">
        <f t="shared" si="21"/>
        <v>0</v>
      </c>
      <c r="V63" s="333">
        <f t="shared" si="20"/>
        <v>0</v>
      </c>
      <c r="W63" s="333">
        <f t="shared" si="21"/>
        <v>0</v>
      </c>
      <c r="X63" s="333">
        <f t="shared" si="21"/>
        <v>0</v>
      </c>
      <c r="Y63" s="333">
        <f t="shared" si="21"/>
        <v>0</v>
      </c>
      <c r="Z63" s="333">
        <f t="shared" si="21"/>
        <v>0</v>
      </c>
      <c r="AA63" s="333">
        <f t="shared" si="21"/>
        <v>0</v>
      </c>
      <c r="AB63" s="333">
        <f t="shared" si="21"/>
        <v>0</v>
      </c>
      <c r="AC63" s="333">
        <f t="shared" si="21"/>
        <v>0</v>
      </c>
      <c r="AD63" s="333">
        <f t="shared" si="21"/>
        <v>0</v>
      </c>
      <c r="AE63" s="334">
        <f t="shared" si="21"/>
        <v>0</v>
      </c>
    </row>
    <row r="64" spans="1:31">
      <c r="A64" s="1711"/>
      <c r="B64" s="116">
        <v>14</v>
      </c>
      <c r="C64" s="333">
        <v>5.9624024864844429</v>
      </c>
      <c r="D64" s="333">
        <f t="shared" si="17"/>
        <v>5.93125667865149</v>
      </c>
      <c r="E64" s="333">
        <f t="shared" si="17"/>
        <v>5.9024872948039642</v>
      </c>
      <c r="F64" s="333">
        <f t="shared" si="21"/>
        <v>5.7283971516108068</v>
      </c>
      <c r="G64" s="333">
        <f t="shared" si="21"/>
        <v>5.7280193874487333</v>
      </c>
      <c r="H64" s="333">
        <f t="shared" si="21"/>
        <v>5.7291673879155898</v>
      </c>
      <c r="I64" s="333">
        <f t="shared" si="21"/>
        <v>5.0310393517053802</v>
      </c>
      <c r="J64" s="333">
        <f t="shared" si="21"/>
        <v>5.0367136461133759</v>
      </c>
      <c r="K64" s="333">
        <f t="shared" si="21"/>
        <v>5.0428090173274018</v>
      </c>
      <c r="L64" s="333">
        <f t="shared" si="21"/>
        <v>4.913277658616412</v>
      </c>
      <c r="M64" s="333">
        <f t="shared" si="21"/>
        <v>4.9169806294675409</v>
      </c>
      <c r="N64" s="333">
        <f t="shared" si="21"/>
        <v>4.986108601065891</v>
      </c>
      <c r="O64" s="333">
        <f t="shared" si="21"/>
        <v>4.985459271862374</v>
      </c>
      <c r="P64" s="333">
        <f t="shared" si="18"/>
        <v>4.9799620930922561</v>
      </c>
      <c r="Q64" s="333">
        <f t="shared" si="21"/>
        <v>4.9843081390152495</v>
      </c>
      <c r="R64" s="333">
        <f t="shared" si="21"/>
        <v>0</v>
      </c>
      <c r="S64" s="333">
        <f t="shared" si="21"/>
        <v>0</v>
      </c>
      <c r="T64" s="333">
        <f t="shared" si="21"/>
        <v>0</v>
      </c>
      <c r="U64" s="333">
        <f t="shared" si="21"/>
        <v>0</v>
      </c>
      <c r="V64" s="333">
        <f t="shared" si="20"/>
        <v>0</v>
      </c>
      <c r="W64" s="333">
        <f t="shared" si="21"/>
        <v>0</v>
      </c>
      <c r="X64" s="333">
        <f t="shared" si="21"/>
        <v>0</v>
      </c>
      <c r="Y64" s="333">
        <f t="shared" si="21"/>
        <v>0</v>
      </c>
      <c r="Z64" s="333">
        <f t="shared" si="21"/>
        <v>0</v>
      </c>
      <c r="AA64" s="333">
        <f t="shared" si="21"/>
        <v>0</v>
      </c>
      <c r="AB64" s="333">
        <f t="shared" si="21"/>
        <v>0</v>
      </c>
      <c r="AC64" s="333">
        <f t="shared" si="21"/>
        <v>0</v>
      </c>
      <c r="AD64" s="333">
        <f t="shared" si="21"/>
        <v>0</v>
      </c>
      <c r="AE64" s="334">
        <f t="shared" si="21"/>
        <v>0</v>
      </c>
    </row>
    <row r="65" spans="1:31">
      <c r="A65" s="1711"/>
      <c r="B65" s="116">
        <v>15</v>
      </c>
      <c r="C65" s="333">
        <v>7.3884629444034404</v>
      </c>
      <c r="D65" s="333">
        <f t="shared" si="17"/>
        <v>5.9624024864844429</v>
      </c>
      <c r="E65" s="333">
        <f t="shared" si="17"/>
        <v>5.93125667865149</v>
      </c>
      <c r="F65" s="333">
        <f t="shared" si="21"/>
        <v>5.9024872948039642</v>
      </c>
      <c r="G65" s="333">
        <f t="shared" si="21"/>
        <v>5.7283971516108068</v>
      </c>
      <c r="H65" s="333">
        <f t="shared" si="21"/>
        <v>5.7280193874487333</v>
      </c>
      <c r="I65" s="333">
        <f t="shared" si="21"/>
        <v>5.7291673879155898</v>
      </c>
      <c r="J65" s="333">
        <f t="shared" si="21"/>
        <v>5.0310393517053802</v>
      </c>
      <c r="K65" s="333">
        <f t="shared" si="21"/>
        <v>5.0367136461133759</v>
      </c>
      <c r="L65" s="333">
        <f t="shared" si="21"/>
        <v>5.0428090173274018</v>
      </c>
      <c r="M65" s="333">
        <f t="shared" si="21"/>
        <v>4.913277658616412</v>
      </c>
      <c r="N65" s="333">
        <f t="shared" si="21"/>
        <v>4.9169806294675409</v>
      </c>
      <c r="O65" s="333">
        <f t="shared" si="21"/>
        <v>4.986108601065891</v>
      </c>
      <c r="P65" s="333">
        <f t="shared" si="18"/>
        <v>4.985459271862374</v>
      </c>
      <c r="Q65" s="333">
        <f t="shared" si="21"/>
        <v>4.9799620930922561</v>
      </c>
      <c r="R65" s="333">
        <f t="shared" si="21"/>
        <v>4.9843081390152495</v>
      </c>
      <c r="S65" s="333">
        <f t="shared" si="21"/>
        <v>0</v>
      </c>
      <c r="T65" s="333">
        <f t="shared" si="21"/>
        <v>0</v>
      </c>
      <c r="U65" s="333">
        <f t="shared" si="21"/>
        <v>0</v>
      </c>
      <c r="V65" s="333">
        <f t="shared" si="20"/>
        <v>0</v>
      </c>
      <c r="W65" s="333">
        <f t="shared" si="21"/>
        <v>0</v>
      </c>
      <c r="X65" s="333">
        <f t="shared" si="21"/>
        <v>0</v>
      </c>
      <c r="Y65" s="333">
        <f t="shared" si="21"/>
        <v>0</v>
      </c>
      <c r="Z65" s="333">
        <f t="shared" si="21"/>
        <v>0</v>
      </c>
      <c r="AA65" s="333">
        <f t="shared" si="21"/>
        <v>0</v>
      </c>
      <c r="AB65" s="333">
        <f t="shared" si="21"/>
        <v>0</v>
      </c>
      <c r="AC65" s="333">
        <f t="shared" si="21"/>
        <v>0</v>
      </c>
      <c r="AD65" s="333">
        <f t="shared" si="21"/>
        <v>0</v>
      </c>
      <c r="AE65" s="334">
        <f t="shared" si="21"/>
        <v>0</v>
      </c>
    </row>
    <row r="66" spans="1:31">
      <c r="A66" s="1711"/>
      <c r="B66" s="116">
        <v>16</v>
      </c>
      <c r="C66" s="333">
        <v>7.3873739255881201</v>
      </c>
      <c r="D66" s="333">
        <f t="shared" si="17"/>
        <v>7.3884629444034404</v>
      </c>
      <c r="E66" s="333">
        <f t="shared" si="17"/>
        <v>5.9624024864844429</v>
      </c>
      <c r="F66" s="333">
        <f t="shared" si="21"/>
        <v>5.93125667865149</v>
      </c>
      <c r="G66" s="333">
        <f t="shared" si="21"/>
        <v>5.9024872948039642</v>
      </c>
      <c r="H66" s="333">
        <f t="shared" si="21"/>
        <v>5.7283971516108068</v>
      </c>
      <c r="I66" s="333">
        <f t="shared" si="21"/>
        <v>5.7280193874487333</v>
      </c>
      <c r="J66" s="333">
        <f t="shared" si="21"/>
        <v>5.7291673879155898</v>
      </c>
      <c r="K66" s="333">
        <f t="shared" si="21"/>
        <v>5.0310393517053802</v>
      </c>
      <c r="L66" s="333">
        <f t="shared" si="21"/>
        <v>5.0367136461133759</v>
      </c>
      <c r="M66" s="333">
        <f t="shared" si="21"/>
        <v>5.0428090173274018</v>
      </c>
      <c r="N66" s="333">
        <f t="shared" si="21"/>
        <v>4.913277658616412</v>
      </c>
      <c r="O66" s="333">
        <f t="shared" si="21"/>
        <v>4.9169806294675409</v>
      </c>
      <c r="P66" s="333">
        <f t="shared" si="18"/>
        <v>4.986108601065891</v>
      </c>
      <c r="Q66" s="333">
        <f t="shared" si="21"/>
        <v>4.985459271862374</v>
      </c>
      <c r="R66" s="333">
        <f t="shared" si="21"/>
        <v>4.9799620930922561</v>
      </c>
      <c r="S66" s="333">
        <f t="shared" si="21"/>
        <v>4.9843081390152495</v>
      </c>
      <c r="T66" s="333">
        <f t="shared" si="21"/>
        <v>0</v>
      </c>
      <c r="U66" s="333">
        <f t="shared" si="21"/>
        <v>0</v>
      </c>
      <c r="V66" s="333">
        <f t="shared" si="20"/>
        <v>0</v>
      </c>
      <c r="W66" s="333">
        <f t="shared" si="21"/>
        <v>0</v>
      </c>
      <c r="X66" s="333">
        <f t="shared" si="21"/>
        <v>0</v>
      </c>
      <c r="Y66" s="333">
        <f t="shared" si="21"/>
        <v>0</v>
      </c>
      <c r="Z66" s="333">
        <f t="shared" si="21"/>
        <v>0</v>
      </c>
      <c r="AA66" s="333">
        <f t="shared" si="21"/>
        <v>0</v>
      </c>
      <c r="AB66" s="333">
        <f t="shared" si="21"/>
        <v>0</v>
      </c>
      <c r="AC66" s="333">
        <f t="shared" si="21"/>
        <v>0</v>
      </c>
      <c r="AD66" s="333">
        <f t="shared" si="21"/>
        <v>0</v>
      </c>
      <c r="AE66" s="334">
        <f t="shared" si="21"/>
        <v>0</v>
      </c>
    </row>
    <row r="67" spans="1:31">
      <c r="A67" s="1711"/>
      <c r="B67" s="116">
        <v>17</v>
      </c>
      <c r="C67" s="333">
        <v>7.3870902745058764</v>
      </c>
      <c r="D67" s="333">
        <f t="shared" si="17"/>
        <v>7.3873739255881201</v>
      </c>
      <c r="E67" s="333">
        <f t="shared" si="17"/>
        <v>7.3884629444034404</v>
      </c>
      <c r="F67" s="333">
        <f t="shared" si="21"/>
        <v>5.9624024864844429</v>
      </c>
      <c r="G67" s="333">
        <f t="shared" si="21"/>
        <v>5.93125667865149</v>
      </c>
      <c r="H67" s="333">
        <f t="shared" si="21"/>
        <v>5.9024872948039642</v>
      </c>
      <c r="I67" s="333">
        <f t="shared" si="21"/>
        <v>5.7283971516108068</v>
      </c>
      <c r="J67" s="333">
        <f t="shared" si="21"/>
        <v>5.7280193874487333</v>
      </c>
      <c r="K67" s="333">
        <f t="shared" si="21"/>
        <v>5.7291673879155898</v>
      </c>
      <c r="L67" s="333">
        <f t="shared" si="21"/>
        <v>5.0310393517053802</v>
      </c>
      <c r="M67" s="333">
        <f t="shared" si="21"/>
        <v>5.0367136461133759</v>
      </c>
      <c r="N67" s="333">
        <f t="shared" si="21"/>
        <v>5.0428090173274018</v>
      </c>
      <c r="O67" s="333">
        <f t="shared" si="21"/>
        <v>4.913277658616412</v>
      </c>
      <c r="P67" s="333">
        <f t="shared" si="18"/>
        <v>4.9169806294675409</v>
      </c>
      <c r="Q67" s="333">
        <f t="shared" si="21"/>
        <v>4.986108601065891</v>
      </c>
      <c r="R67" s="333">
        <f t="shared" si="21"/>
        <v>4.985459271862374</v>
      </c>
      <c r="S67" s="333">
        <f t="shared" si="21"/>
        <v>4.9799620930922561</v>
      </c>
      <c r="T67" s="333">
        <f t="shared" si="21"/>
        <v>4.9843081390152495</v>
      </c>
      <c r="U67" s="333">
        <f t="shared" si="21"/>
        <v>0</v>
      </c>
      <c r="V67" s="333">
        <f t="shared" si="20"/>
        <v>0</v>
      </c>
      <c r="W67" s="333">
        <f t="shared" si="21"/>
        <v>0</v>
      </c>
      <c r="X67" s="333">
        <f t="shared" si="21"/>
        <v>0</v>
      </c>
      <c r="Y67" s="333">
        <f t="shared" si="21"/>
        <v>0</v>
      </c>
      <c r="Z67" s="333">
        <f t="shared" si="21"/>
        <v>0</v>
      </c>
      <c r="AA67" s="333">
        <f t="shared" si="21"/>
        <v>0</v>
      </c>
      <c r="AB67" s="333">
        <f t="shared" si="21"/>
        <v>0</v>
      </c>
      <c r="AC67" s="333">
        <f t="shared" si="21"/>
        <v>0</v>
      </c>
      <c r="AD67" s="333">
        <f t="shared" si="21"/>
        <v>0</v>
      </c>
      <c r="AE67" s="334">
        <f t="shared" si="21"/>
        <v>0</v>
      </c>
    </row>
    <row r="68" spans="1:31">
      <c r="A68" s="1711"/>
      <c r="B68" s="116">
        <v>18</v>
      </c>
      <c r="C68" s="333">
        <v>7.3870595230819776</v>
      </c>
      <c r="D68" s="333">
        <f t="shared" si="17"/>
        <v>7.3870902745058764</v>
      </c>
      <c r="E68" s="333">
        <f t="shared" si="17"/>
        <v>7.3873739255881201</v>
      </c>
      <c r="F68" s="333">
        <f t="shared" si="21"/>
        <v>7.3884629444034404</v>
      </c>
      <c r="G68" s="333">
        <f t="shared" si="21"/>
        <v>5.9624024864844429</v>
      </c>
      <c r="H68" s="333">
        <f t="shared" si="21"/>
        <v>5.93125667865149</v>
      </c>
      <c r="I68" s="333">
        <f t="shared" si="21"/>
        <v>5.9024872948039642</v>
      </c>
      <c r="J68" s="333">
        <f t="shared" si="21"/>
        <v>5.7283971516108068</v>
      </c>
      <c r="K68" s="333">
        <f t="shared" si="21"/>
        <v>5.7280193874487333</v>
      </c>
      <c r="L68" s="333">
        <f t="shared" si="21"/>
        <v>5.7291673879155898</v>
      </c>
      <c r="M68" s="333">
        <f t="shared" si="21"/>
        <v>5.0310393517053802</v>
      </c>
      <c r="N68" s="333">
        <f t="shared" si="21"/>
        <v>5.0367136461133759</v>
      </c>
      <c r="O68" s="333">
        <f t="shared" si="21"/>
        <v>5.0428090173274018</v>
      </c>
      <c r="P68" s="333">
        <f t="shared" si="18"/>
        <v>4.913277658616412</v>
      </c>
      <c r="Q68" s="333">
        <f t="shared" si="21"/>
        <v>4.9169806294675409</v>
      </c>
      <c r="R68" s="333">
        <f t="shared" si="21"/>
        <v>4.986108601065891</v>
      </c>
      <c r="S68" s="333">
        <f t="shared" si="21"/>
        <v>4.985459271862374</v>
      </c>
      <c r="T68" s="333">
        <f t="shared" si="21"/>
        <v>4.9799620930922561</v>
      </c>
      <c r="U68" s="333">
        <f t="shared" si="21"/>
        <v>4.9843081390152495</v>
      </c>
      <c r="V68" s="333">
        <f t="shared" si="20"/>
        <v>0</v>
      </c>
      <c r="W68" s="333">
        <f t="shared" si="21"/>
        <v>0</v>
      </c>
      <c r="X68" s="333">
        <f t="shared" si="21"/>
        <v>0</v>
      </c>
      <c r="Y68" s="333">
        <f t="shared" si="21"/>
        <v>0</v>
      </c>
      <c r="Z68" s="333">
        <f t="shared" si="21"/>
        <v>0</v>
      </c>
      <c r="AA68" s="333">
        <f t="shared" si="21"/>
        <v>0</v>
      </c>
      <c r="AB68" s="333">
        <f t="shared" si="21"/>
        <v>0</v>
      </c>
      <c r="AC68" s="333">
        <f t="shared" si="21"/>
        <v>0</v>
      </c>
      <c r="AD68" s="333">
        <f t="shared" si="21"/>
        <v>0</v>
      </c>
      <c r="AE68" s="334">
        <f t="shared" si="21"/>
        <v>0</v>
      </c>
    </row>
    <row r="69" spans="1:31">
      <c r="A69" s="1711"/>
      <c r="B69" s="116">
        <v>19</v>
      </c>
      <c r="C69" s="333">
        <v>7.3870554807082138</v>
      </c>
      <c r="D69" s="333">
        <f t="shared" si="17"/>
        <v>7.3870595230819776</v>
      </c>
      <c r="E69" s="333">
        <f t="shared" si="17"/>
        <v>7.3870902745058764</v>
      </c>
      <c r="F69" s="333">
        <f t="shared" si="21"/>
        <v>7.3873739255881201</v>
      </c>
      <c r="G69" s="333">
        <f t="shared" si="21"/>
        <v>7.3884629444034404</v>
      </c>
      <c r="H69" s="333">
        <f t="shared" si="21"/>
        <v>5.9624024864844429</v>
      </c>
      <c r="I69" s="333">
        <f t="shared" si="21"/>
        <v>5.93125667865149</v>
      </c>
      <c r="J69" s="333">
        <f t="shared" si="21"/>
        <v>5.9024872948039642</v>
      </c>
      <c r="K69" s="333">
        <f t="shared" si="21"/>
        <v>5.7283971516108068</v>
      </c>
      <c r="L69" s="333">
        <f t="shared" si="21"/>
        <v>5.7280193874487333</v>
      </c>
      <c r="M69" s="333">
        <f t="shared" si="21"/>
        <v>5.7291673879155898</v>
      </c>
      <c r="N69" s="333">
        <f t="shared" si="21"/>
        <v>5.0310393517053802</v>
      </c>
      <c r="O69" s="333">
        <f t="shared" si="21"/>
        <v>5.0367136461133759</v>
      </c>
      <c r="P69" s="333">
        <f t="shared" si="18"/>
        <v>5.0428090173274018</v>
      </c>
      <c r="Q69" s="333">
        <f t="shared" si="21"/>
        <v>4.913277658616412</v>
      </c>
      <c r="R69" s="333">
        <f t="shared" si="21"/>
        <v>4.9169806294675409</v>
      </c>
      <c r="S69" s="333">
        <f t="shared" si="21"/>
        <v>4.986108601065891</v>
      </c>
      <c r="T69" s="333">
        <f t="shared" si="21"/>
        <v>4.985459271862374</v>
      </c>
      <c r="U69" s="333">
        <f t="shared" si="21"/>
        <v>4.9799620930922561</v>
      </c>
      <c r="V69" s="333">
        <f t="shared" si="20"/>
        <v>4.9843081390152495</v>
      </c>
      <c r="W69" s="333">
        <f t="shared" si="21"/>
        <v>0</v>
      </c>
      <c r="X69" s="333">
        <f t="shared" si="21"/>
        <v>0</v>
      </c>
      <c r="Y69" s="333">
        <f t="shared" si="21"/>
        <v>0</v>
      </c>
      <c r="Z69" s="333">
        <f t="shared" si="21"/>
        <v>0</v>
      </c>
      <c r="AA69" s="333">
        <f t="shared" si="21"/>
        <v>0</v>
      </c>
      <c r="AB69" s="333">
        <f t="shared" si="21"/>
        <v>0</v>
      </c>
      <c r="AC69" s="333">
        <f t="shared" si="21"/>
        <v>0</v>
      </c>
      <c r="AD69" s="333">
        <f t="shared" si="21"/>
        <v>0</v>
      </c>
      <c r="AE69" s="334">
        <f t="shared" si="21"/>
        <v>0</v>
      </c>
    </row>
    <row r="70" spans="1:31">
      <c r="A70" s="1711"/>
      <c r="B70" s="116">
        <v>20</v>
      </c>
      <c r="C70" s="333">
        <v>7.3870552742833508</v>
      </c>
      <c r="D70" s="333">
        <f t="shared" si="17"/>
        <v>7.3870554807082138</v>
      </c>
      <c r="E70" s="333">
        <f t="shared" si="17"/>
        <v>7.3870595230819776</v>
      </c>
      <c r="F70" s="333">
        <f t="shared" si="21"/>
        <v>7.3870902745058764</v>
      </c>
      <c r="G70" s="333">
        <f t="shared" si="21"/>
        <v>7.3873739255881201</v>
      </c>
      <c r="H70" s="333">
        <f t="shared" si="21"/>
        <v>7.3884629444034404</v>
      </c>
      <c r="I70" s="333">
        <f t="shared" si="21"/>
        <v>5.9624024864844429</v>
      </c>
      <c r="J70" s="333">
        <f t="shared" si="21"/>
        <v>5.93125667865149</v>
      </c>
      <c r="K70" s="333">
        <f t="shared" si="21"/>
        <v>5.9024872948039642</v>
      </c>
      <c r="L70" s="333">
        <f t="shared" si="21"/>
        <v>5.7283971516108068</v>
      </c>
      <c r="M70" s="333">
        <f t="shared" si="21"/>
        <v>5.7280193874487333</v>
      </c>
      <c r="N70" s="333">
        <f t="shared" si="21"/>
        <v>5.7291673879155898</v>
      </c>
      <c r="O70" s="333">
        <f t="shared" si="21"/>
        <v>5.0310393517053802</v>
      </c>
      <c r="P70" s="333">
        <f t="shared" si="18"/>
        <v>5.0367136461133759</v>
      </c>
      <c r="Q70" s="333">
        <f t="shared" si="21"/>
        <v>5.0428090173274018</v>
      </c>
      <c r="R70" s="333">
        <f t="shared" si="21"/>
        <v>4.913277658616412</v>
      </c>
      <c r="S70" s="333">
        <f t="shared" si="21"/>
        <v>4.9169806294675409</v>
      </c>
      <c r="T70" s="333">
        <f t="shared" si="21"/>
        <v>4.986108601065891</v>
      </c>
      <c r="U70" s="333">
        <f t="shared" si="21"/>
        <v>4.985459271862374</v>
      </c>
      <c r="V70" s="333">
        <f t="shared" si="20"/>
        <v>4.9799620930922561</v>
      </c>
      <c r="W70" s="333">
        <f t="shared" si="21"/>
        <v>4.9843081390152495</v>
      </c>
      <c r="X70" s="333">
        <f t="shared" si="21"/>
        <v>0</v>
      </c>
      <c r="Y70" s="333">
        <f t="shared" si="21"/>
        <v>0</v>
      </c>
      <c r="Z70" s="333">
        <f t="shared" si="21"/>
        <v>0</v>
      </c>
      <c r="AA70" s="333">
        <f t="shared" si="21"/>
        <v>0</v>
      </c>
      <c r="AB70" s="333">
        <f t="shared" si="21"/>
        <v>0</v>
      </c>
      <c r="AC70" s="333">
        <f t="shared" si="21"/>
        <v>0</v>
      </c>
      <c r="AD70" s="333">
        <f t="shared" si="21"/>
        <v>0</v>
      </c>
      <c r="AE70" s="334">
        <f t="shared" si="21"/>
        <v>0</v>
      </c>
    </row>
    <row r="71" spans="1:31">
      <c r="A71" s="1711"/>
      <c r="B71" s="116">
        <v>21</v>
      </c>
      <c r="C71" s="333">
        <v>7.3870552662330722</v>
      </c>
      <c r="D71" s="333">
        <f t="shared" si="17"/>
        <v>7.3870552742833508</v>
      </c>
      <c r="E71" s="333">
        <f t="shared" si="17"/>
        <v>7.3870554807082138</v>
      </c>
      <c r="F71" s="333">
        <f t="shared" si="21"/>
        <v>7.3870595230819776</v>
      </c>
      <c r="G71" s="333">
        <f t="shared" si="21"/>
        <v>7.3870902745058764</v>
      </c>
      <c r="H71" s="333">
        <f t="shared" si="21"/>
        <v>7.3873739255881201</v>
      </c>
      <c r="I71" s="333">
        <f t="shared" si="21"/>
        <v>7.3884629444034404</v>
      </c>
      <c r="J71" s="333">
        <f t="shared" ref="F71:AE75" si="22">I70</f>
        <v>5.9624024864844429</v>
      </c>
      <c r="K71" s="333">
        <f t="shared" si="22"/>
        <v>5.93125667865149</v>
      </c>
      <c r="L71" s="333">
        <f t="shared" si="22"/>
        <v>5.9024872948039642</v>
      </c>
      <c r="M71" s="333">
        <f t="shared" si="22"/>
        <v>5.7283971516108068</v>
      </c>
      <c r="N71" s="333">
        <f t="shared" si="22"/>
        <v>5.7280193874487333</v>
      </c>
      <c r="O71" s="333">
        <f t="shared" si="22"/>
        <v>5.7291673879155898</v>
      </c>
      <c r="P71" s="333">
        <f t="shared" si="18"/>
        <v>5.0310393517053802</v>
      </c>
      <c r="Q71" s="333">
        <f t="shared" si="22"/>
        <v>5.0367136461133759</v>
      </c>
      <c r="R71" s="333">
        <f t="shared" si="22"/>
        <v>5.0428090173274018</v>
      </c>
      <c r="S71" s="333">
        <f t="shared" si="22"/>
        <v>4.913277658616412</v>
      </c>
      <c r="T71" s="333">
        <f t="shared" si="22"/>
        <v>4.9169806294675409</v>
      </c>
      <c r="U71" s="333">
        <f t="shared" si="22"/>
        <v>4.986108601065891</v>
      </c>
      <c r="V71" s="333">
        <f t="shared" si="20"/>
        <v>4.985459271862374</v>
      </c>
      <c r="W71" s="333">
        <f t="shared" si="22"/>
        <v>4.9799620930922561</v>
      </c>
      <c r="X71" s="333">
        <f t="shared" si="22"/>
        <v>4.9843081390152495</v>
      </c>
      <c r="Y71" s="333">
        <f t="shared" si="22"/>
        <v>0</v>
      </c>
      <c r="Z71" s="333">
        <f t="shared" si="22"/>
        <v>0</v>
      </c>
      <c r="AA71" s="333">
        <f t="shared" si="22"/>
        <v>0</v>
      </c>
      <c r="AB71" s="333">
        <f t="shared" si="22"/>
        <v>0</v>
      </c>
      <c r="AC71" s="333">
        <f t="shared" si="22"/>
        <v>0</v>
      </c>
      <c r="AD71" s="333">
        <f t="shared" si="22"/>
        <v>0</v>
      </c>
      <c r="AE71" s="334">
        <f t="shared" si="22"/>
        <v>0</v>
      </c>
    </row>
    <row r="72" spans="1:31">
      <c r="A72" s="1711"/>
      <c r="B72" s="116">
        <v>22</v>
      </c>
      <c r="C72" s="333">
        <v>7.3870552660558051</v>
      </c>
      <c r="D72" s="333">
        <f t="shared" si="17"/>
        <v>7.3870552662330722</v>
      </c>
      <c r="E72" s="333">
        <f t="shared" si="17"/>
        <v>7.3870552742833508</v>
      </c>
      <c r="F72" s="333">
        <f t="shared" si="22"/>
        <v>7.3870554807082138</v>
      </c>
      <c r="G72" s="333">
        <f t="shared" si="22"/>
        <v>7.3870595230819776</v>
      </c>
      <c r="H72" s="333">
        <f t="shared" si="22"/>
        <v>7.3870902745058764</v>
      </c>
      <c r="I72" s="333">
        <f t="shared" si="22"/>
        <v>7.3873739255881201</v>
      </c>
      <c r="J72" s="333">
        <f t="shared" si="22"/>
        <v>7.3884629444034404</v>
      </c>
      <c r="K72" s="333">
        <f t="shared" si="22"/>
        <v>5.9624024864844429</v>
      </c>
      <c r="L72" s="333">
        <f t="shared" si="22"/>
        <v>5.93125667865149</v>
      </c>
      <c r="M72" s="333">
        <f t="shared" si="22"/>
        <v>5.9024872948039642</v>
      </c>
      <c r="N72" s="333">
        <f t="shared" si="22"/>
        <v>5.7283971516108068</v>
      </c>
      <c r="O72" s="333">
        <f t="shared" si="22"/>
        <v>5.7280193874487333</v>
      </c>
      <c r="P72" s="333">
        <f t="shared" si="18"/>
        <v>5.7291673879155898</v>
      </c>
      <c r="Q72" s="333">
        <f t="shared" si="22"/>
        <v>5.0310393517053802</v>
      </c>
      <c r="R72" s="333">
        <f t="shared" si="22"/>
        <v>5.0367136461133759</v>
      </c>
      <c r="S72" s="333">
        <f t="shared" si="22"/>
        <v>5.0428090173274018</v>
      </c>
      <c r="T72" s="333">
        <f t="shared" si="22"/>
        <v>4.913277658616412</v>
      </c>
      <c r="U72" s="333">
        <f t="shared" si="22"/>
        <v>4.9169806294675409</v>
      </c>
      <c r="V72" s="333">
        <f t="shared" si="20"/>
        <v>4.986108601065891</v>
      </c>
      <c r="W72" s="333">
        <f t="shared" si="22"/>
        <v>4.985459271862374</v>
      </c>
      <c r="X72" s="333">
        <f t="shared" si="22"/>
        <v>4.9799620930922561</v>
      </c>
      <c r="Y72" s="333">
        <f t="shared" si="22"/>
        <v>4.9843081390152495</v>
      </c>
      <c r="Z72" s="333">
        <f t="shared" si="22"/>
        <v>0</v>
      </c>
      <c r="AA72" s="333">
        <f t="shared" si="22"/>
        <v>0</v>
      </c>
      <c r="AB72" s="333">
        <f t="shared" si="22"/>
        <v>0</v>
      </c>
      <c r="AC72" s="333">
        <f t="shared" si="22"/>
        <v>0</v>
      </c>
      <c r="AD72" s="333">
        <f t="shared" si="22"/>
        <v>0</v>
      </c>
      <c r="AE72" s="334">
        <f t="shared" si="22"/>
        <v>0</v>
      </c>
    </row>
    <row r="73" spans="1:31">
      <c r="A73" s="1711"/>
      <c r="B73" s="116">
        <v>23</v>
      </c>
      <c r="C73" s="333">
        <v>7.3870552660539488</v>
      </c>
      <c r="D73" s="333">
        <f t="shared" si="17"/>
        <v>7.3870552660558051</v>
      </c>
      <c r="E73" s="333">
        <f t="shared" si="17"/>
        <v>7.3870552662330722</v>
      </c>
      <c r="F73" s="333">
        <f t="shared" si="22"/>
        <v>7.3870552742833508</v>
      </c>
      <c r="G73" s="333">
        <f t="shared" si="22"/>
        <v>7.3870554807082138</v>
      </c>
      <c r="H73" s="333">
        <f t="shared" si="22"/>
        <v>7.3870595230819776</v>
      </c>
      <c r="I73" s="333">
        <f t="shared" si="22"/>
        <v>7.3870902745058764</v>
      </c>
      <c r="J73" s="333">
        <f t="shared" si="22"/>
        <v>7.3873739255881201</v>
      </c>
      <c r="K73" s="333">
        <f t="shared" si="22"/>
        <v>7.3884629444034404</v>
      </c>
      <c r="L73" s="333">
        <f t="shared" si="22"/>
        <v>5.9624024864844429</v>
      </c>
      <c r="M73" s="333">
        <f t="shared" si="22"/>
        <v>5.93125667865149</v>
      </c>
      <c r="N73" s="333">
        <f t="shared" si="22"/>
        <v>5.9024872948039642</v>
      </c>
      <c r="O73" s="333">
        <f t="shared" si="22"/>
        <v>5.7283971516108068</v>
      </c>
      <c r="P73" s="333">
        <f t="shared" si="18"/>
        <v>5.7280193874487333</v>
      </c>
      <c r="Q73" s="333">
        <f t="shared" si="22"/>
        <v>5.7291673879155898</v>
      </c>
      <c r="R73" s="333">
        <f t="shared" si="22"/>
        <v>5.0310393517053802</v>
      </c>
      <c r="S73" s="333">
        <f t="shared" si="22"/>
        <v>5.0367136461133759</v>
      </c>
      <c r="T73" s="333">
        <f t="shared" si="22"/>
        <v>5.0428090173274018</v>
      </c>
      <c r="U73" s="333">
        <f t="shared" si="22"/>
        <v>4.913277658616412</v>
      </c>
      <c r="V73" s="333">
        <f t="shared" si="20"/>
        <v>4.9169806294675409</v>
      </c>
      <c r="W73" s="333">
        <f t="shared" si="22"/>
        <v>4.986108601065891</v>
      </c>
      <c r="X73" s="333">
        <f t="shared" si="22"/>
        <v>4.985459271862374</v>
      </c>
      <c r="Y73" s="333">
        <f t="shared" si="22"/>
        <v>4.9799620930922561</v>
      </c>
      <c r="Z73" s="333">
        <f t="shared" si="22"/>
        <v>4.9843081390152495</v>
      </c>
      <c r="AA73" s="333">
        <f t="shared" si="22"/>
        <v>0</v>
      </c>
      <c r="AB73" s="333">
        <f t="shared" si="22"/>
        <v>0</v>
      </c>
      <c r="AC73" s="333">
        <f t="shared" si="22"/>
        <v>0</v>
      </c>
      <c r="AD73" s="333">
        <f t="shared" si="22"/>
        <v>0</v>
      </c>
      <c r="AE73" s="334">
        <f t="shared" si="22"/>
        <v>0</v>
      </c>
    </row>
    <row r="74" spans="1:31">
      <c r="A74" s="1711"/>
      <c r="B74" s="116">
        <v>24</v>
      </c>
      <c r="C74" s="333">
        <v>7.387055266053939</v>
      </c>
      <c r="D74" s="333">
        <f t="shared" si="17"/>
        <v>7.3870552660539488</v>
      </c>
      <c r="E74" s="333">
        <f t="shared" si="17"/>
        <v>7.3870552660558051</v>
      </c>
      <c r="F74" s="333">
        <f t="shared" si="22"/>
        <v>7.3870552662330722</v>
      </c>
      <c r="G74" s="333">
        <f t="shared" si="22"/>
        <v>7.3870552742833508</v>
      </c>
      <c r="H74" s="333">
        <f t="shared" si="22"/>
        <v>7.3870554807082138</v>
      </c>
      <c r="I74" s="333">
        <f t="shared" si="22"/>
        <v>7.3870595230819776</v>
      </c>
      <c r="J74" s="333">
        <f t="shared" si="22"/>
        <v>7.3870902745058764</v>
      </c>
      <c r="K74" s="333">
        <f t="shared" si="22"/>
        <v>7.3873739255881201</v>
      </c>
      <c r="L74" s="333">
        <f t="shared" si="22"/>
        <v>7.3884629444034404</v>
      </c>
      <c r="M74" s="333">
        <f t="shared" si="22"/>
        <v>5.9624024864844429</v>
      </c>
      <c r="N74" s="333">
        <f t="shared" si="22"/>
        <v>5.93125667865149</v>
      </c>
      <c r="O74" s="333">
        <f t="shared" si="22"/>
        <v>5.9024872948039642</v>
      </c>
      <c r="P74" s="333">
        <f t="shared" si="18"/>
        <v>5.7283971516108068</v>
      </c>
      <c r="Q74" s="333">
        <f t="shared" si="22"/>
        <v>5.7280193874487333</v>
      </c>
      <c r="R74" s="333">
        <f t="shared" si="22"/>
        <v>5.7291673879155898</v>
      </c>
      <c r="S74" s="333">
        <f t="shared" si="22"/>
        <v>5.0310393517053802</v>
      </c>
      <c r="T74" s="333">
        <f t="shared" si="22"/>
        <v>5.0367136461133759</v>
      </c>
      <c r="U74" s="333">
        <f t="shared" si="22"/>
        <v>5.0428090173274018</v>
      </c>
      <c r="V74" s="333">
        <f t="shared" si="20"/>
        <v>4.913277658616412</v>
      </c>
      <c r="W74" s="333">
        <f t="shared" si="22"/>
        <v>4.9169806294675409</v>
      </c>
      <c r="X74" s="333">
        <f t="shared" si="22"/>
        <v>4.986108601065891</v>
      </c>
      <c r="Y74" s="333">
        <f t="shared" si="22"/>
        <v>4.985459271862374</v>
      </c>
      <c r="Z74" s="333">
        <f t="shared" si="22"/>
        <v>4.9799620930922561</v>
      </c>
      <c r="AA74" s="333">
        <f t="shared" si="22"/>
        <v>4.9843081390152495</v>
      </c>
      <c r="AB74" s="333">
        <f t="shared" si="22"/>
        <v>0</v>
      </c>
      <c r="AC74" s="333">
        <f t="shared" si="22"/>
        <v>0</v>
      </c>
      <c r="AD74" s="333">
        <f t="shared" si="22"/>
        <v>0</v>
      </c>
      <c r="AE74" s="334">
        <f t="shared" si="22"/>
        <v>0</v>
      </c>
    </row>
    <row r="75" spans="1:31" ht="15.75" thickBot="1">
      <c r="A75" s="1711"/>
      <c r="B75" s="116">
        <v>25</v>
      </c>
      <c r="C75" s="333">
        <v>7.387055266053939</v>
      </c>
      <c r="D75" s="333">
        <f t="shared" si="17"/>
        <v>7.387055266053939</v>
      </c>
      <c r="E75" s="333">
        <f t="shared" si="17"/>
        <v>7.3870552660539488</v>
      </c>
      <c r="F75" s="333">
        <f t="shared" si="22"/>
        <v>7.3870552660558051</v>
      </c>
      <c r="G75" s="333">
        <f t="shared" si="22"/>
        <v>7.3870552662330722</v>
      </c>
      <c r="H75" s="333">
        <f t="shared" si="22"/>
        <v>7.3870552742833508</v>
      </c>
      <c r="I75" s="333">
        <f t="shared" si="22"/>
        <v>7.3870554807082138</v>
      </c>
      <c r="J75" s="333">
        <f t="shared" si="22"/>
        <v>7.3870595230819776</v>
      </c>
      <c r="K75" s="333">
        <f t="shared" si="22"/>
        <v>7.3870902745058764</v>
      </c>
      <c r="L75" s="333">
        <f t="shared" si="22"/>
        <v>7.3873739255881201</v>
      </c>
      <c r="M75" s="333">
        <f t="shared" si="22"/>
        <v>7.3884629444034404</v>
      </c>
      <c r="N75" s="333">
        <f t="shared" si="22"/>
        <v>5.9624024864844429</v>
      </c>
      <c r="O75" s="333">
        <f t="shared" si="22"/>
        <v>5.93125667865149</v>
      </c>
      <c r="P75" s="333">
        <f t="shared" si="18"/>
        <v>5.9024872948039642</v>
      </c>
      <c r="Q75" s="333">
        <f t="shared" si="22"/>
        <v>5.7283971516108068</v>
      </c>
      <c r="R75" s="333">
        <f t="shared" si="22"/>
        <v>5.7280193874487333</v>
      </c>
      <c r="S75" s="333">
        <f t="shared" si="22"/>
        <v>5.7291673879155898</v>
      </c>
      <c r="T75" s="333">
        <f t="shared" si="22"/>
        <v>5.0310393517053802</v>
      </c>
      <c r="U75" s="333">
        <f t="shared" si="22"/>
        <v>5.0367136461133759</v>
      </c>
      <c r="V75" s="333">
        <f t="shared" si="20"/>
        <v>5.0428090173274018</v>
      </c>
      <c r="W75" s="333">
        <f t="shared" si="22"/>
        <v>4.913277658616412</v>
      </c>
      <c r="X75" s="333">
        <f t="shared" si="22"/>
        <v>4.9169806294675409</v>
      </c>
      <c r="Y75" s="333">
        <f t="shared" si="22"/>
        <v>4.986108601065891</v>
      </c>
      <c r="Z75" s="333">
        <f t="shared" si="22"/>
        <v>4.985459271862374</v>
      </c>
      <c r="AA75" s="333">
        <f t="shared" si="22"/>
        <v>4.9799620930922561</v>
      </c>
      <c r="AB75" s="333">
        <f t="shared" si="22"/>
        <v>4.9843081390152495</v>
      </c>
      <c r="AC75" s="333">
        <f t="shared" si="22"/>
        <v>0</v>
      </c>
      <c r="AD75" s="333">
        <f t="shared" si="22"/>
        <v>0</v>
      </c>
      <c r="AE75" s="334">
        <f t="shared" si="22"/>
        <v>0</v>
      </c>
    </row>
    <row r="76" spans="1:31" ht="16.5" thickTop="1" thickBot="1">
      <c r="A76" s="1712"/>
      <c r="B76" s="300" t="s">
        <v>39</v>
      </c>
      <c r="C76" s="383">
        <f>SUMPRODUCT(C50:C75,'FREH Stock'!C346:C371)/'FREH Stock'!C372</f>
        <v>5.2040984266063326</v>
      </c>
      <c r="D76" s="384">
        <f>SUMPRODUCT(D50:D75,'FREH Stock'!D346:D371)/'FREH Stock'!D372</f>
        <v>5.0816166644394638</v>
      </c>
      <c r="E76" s="384">
        <f>SUMPRODUCT(E50:E75,'FREH Stock'!E346:E371)/'FREH Stock'!E372</f>
        <v>5.0243862839302347</v>
      </c>
      <c r="F76" s="384">
        <f>SUMPRODUCT(F50:F75,'FREH Stock'!F346:F371)/'FREH Stock'!F372</f>
        <v>4.9945157828611935</v>
      </c>
      <c r="G76" s="384">
        <f>SUMPRODUCT(G50:G75,'FREH Stock'!G346:G371)/'FREH Stock'!G372</f>
        <v>4.9795847812610399</v>
      </c>
      <c r="H76" s="384">
        <f>SUMPRODUCT(H50:H75,'FREH Stock'!H346:H371)/'FREH Stock'!H372</f>
        <v>4.9736465357238213</v>
      </c>
      <c r="I76" s="384">
        <f>SUMPRODUCT(I50:I75,'FREH Stock'!I346:I371)/'FREH Stock'!I372</f>
        <v>4.9728503880930424</v>
      </c>
      <c r="J76" s="384">
        <f>SUMPRODUCT(J50:J75,'FREH Stock'!J346:J371)/'FREH Stock'!J372</f>
        <v>4.9747792918733262</v>
      </c>
      <c r="K76" s="384">
        <f>SUMPRODUCT(K50:K75,'FREH Stock'!K346:K371)/'FREH Stock'!K372</f>
        <v>4.9776157890245587</v>
      </c>
      <c r="L76" s="384">
        <f>SUMPRODUCT(L50:L75,'FREH Stock'!L346:L371)/'FREH Stock'!L372</f>
        <v>4.9801501958547565</v>
      </c>
      <c r="M76" s="384">
        <f>SUMPRODUCT(M50:M75,'FREH Stock'!M346:M371)/'FREH Stock'!M372</f>
        <v>4.9818639569656309</v>
      </c>
      <c r="N76" s="384">
        <f>SUMPRODUCT(N50:N75,'FREH Stock'!N346:N371)/'FREH Stock'!N372</f>
        <v>4.9827615196262531</v>
      </c>
      <c r="O76" s="384">
        <f>SUMPRODUCT(O50:O75,'FREH Stock'!O346:O371)/'FREH Stock'!O372</f>
        <v>4.9831921081991402</v>
      </c>
      <c r="P76" s="384">
        <f>SUMPRODUCT(P50:P75,'FREH Stock'!P346:P371)/'FREH Stock'!P372</f>
        <v>4.9834851789673111</v>
      </c>
      <c r="Q76" s="384">
        <f>SUMPRODUCT(Q50:Q75,'FREH Stock'!Q346:Q371)/'FREH Stock'!Q372</f>
        <v>4.9836567777369343</v>
      </c>
      <c r="R76" s="384">
        <f>SUMPRODUCT(R50:R75,'FREH Stock'!R346:R371)/'FREH Stock'!R372</f>
        <v>4.9837348328036075</v>
      </c>
      <c r="S76" s="384">
        <f>SUMPRODUCT(S50:S75,'FREH Stock'!S346:S371)/'FREH Stock'!S372</f>
        <v>4.9838040829337151</v>
      </c>
      <c r="T76" s="384">
        <f>SUMPRODUCT(T50:T75,'FREH Stock'!T346:T371)/'FREH Stock'!T372</f>
        <v>4.9838674322617997</v>
      </c>
      <c r="U76" s="384">
        <f>SUMPRODUCT(U50:U75,'FREH Stock'!U346:U371)/'FREH Stock'!U372</f>
        <v>4.9839274474661499</v>
      </c>
      <c r="V76" s="384">
        <f>SUMPRODUCT(V50:V75,'FREH Stock'!V346:V371)/'FREH Stock'!V372</f>
        <v>4.9839863018226129</v>
      </c>
      <c r="W76" s="384">
        <f>SUMPRODUCT(W50:W75,'FREH Stock'!W346:W371)/'FREH Stock'!W372</f>
        <v>4.98404573657879</v>
      </c>
      <c r="X76" s="384">
        <f>SUMPRODUCT(X50:X75,'FREH Stock'!X346:X371)/'FREH Stock'!X372</f>
        <v>4.9841070383139483</v>
      </c>
      <c r="Y76" s="384">
        <f>SUMPRODUCT(Y50:Y75,'FREH Stock'!Y346:Y371)/'FREH Stock'!Y372</f>
        <v>4.9841710315335712</v>
      </c>
      <c r="Z76" s="384">
        <f>SUMPRODUCT(Z50:Z75,'FREH Stock'!Z346:Z371)/'FREH Stock'!Z372</f>
        <v>4.984238086079853</v>
      </c>
      <c r="AA76" s="384">
        <f>SUMPRODUCT(AA50:AA75,'FREH Stock'!AA346:AA371)/'FREH Stock'!AA372</f>
        <v>4.9843081390152495</v>
      </c>
      <c r="AB76" s="384">
        <v>0</v>
      </c>
      <c r="AC76" s="384">
        <v>0</v>
      </c>
      <c r="AD76" s="384">
        <v>0</v>
      </c>
      <c r="AE76" s="385">
        <v>0</v>
      </c>
    </row>
    <row r="77" spans="1:31" ht="15.75" thickBot="1"/>
    <row r="78" spans="1:31" ht="15.75" customHeight="1" thickBot="1">
      <c r="A78" s="1710" t="s">
        <v>208</v>
      </c>
      <c r="B78" s="169" t="s">
        <v>10</v>
      </c>
      <c r="C78" s="288">
        <v>2012</v>
      </c>
      <c r="D78" s="347">
        <v>2013</v>
      </c>
      <c r="E78" s="347">
        <v>2014</v>
      </c>
      <c r="F78" s="288">
        <v>2015</v>
      </c>
      <c r="G78" s="347">
        <v>2016</v>
      </c>
      <c r="H78" s="347">
        <v>2017</v>
      </c>
      <c r="I78" s="288">
        <v>2018</v>
      </c>
      <c r="J78" s="347">
        <v>2019</v>
      </c>
      <c r="K78" s="347">
        <v>2020</v>
      </c>
      <c r="L78" s="288">
        <v>2021</v>
      </c>
      <c r="M78" s="347">
        <v>2022</v>
      </c>
      <c r="N78" s="347">
        <v>2023</v>
      </c>
      <c r="O78" s="288">
        <v>2024</v>
      </c>
      <c r="P78" s="347">
        <v>2025</v>
      </c>
      <c r="Q78" s="347">
        <v>2026</v>
      </c>
      <c r="R78" s="288">
        <v>2027</v>
      </c>
      <c r="S78" s="347">
        <v>2028</v>
      </c>
      <c r="T78" s="347">
        <v>2029</v>
      </c>
      <c r="U78" s="288">
        <v>2030</v>
      </c>
      <c r="V78" s="347">
        <v>2031</v>
      </c>
      <c r="W78" s="347">
        <v>2032</v>
      </c>
      <c r="X78" s="288">
        <v>2033</v>
      </c>
      <c r="Y78" s="347">
        <v>2034</v>
      </c>
      <c r="Z78" s="347">
        <v>2035</v>
      </c>
      <c r="AA78" s="288">
        <v>2036</v>
      </c>
      <c r="AB78" s="347">
        <v>2037</v>
      </c>
      <c r="AC78" s="347">
        <v>2038</v>
      </c>
      <c r="AD78" s="288">
        <v>2039</v>
      </c>
      <c r="AE78" s="348">
        <v>2040</v>
      </c>
    </row>
    <row r="79" spans="1:31">
      <c r="A79" s="1711" t="s">
        <v>41</v>
      </c>
      <c r="B79" s="116">
        <v>0</v>
      </c>
      <c r="C79" s="330">
        <v>8.0419561293996171</v>
      </c>
      <c r="D79" s="330">
        <v>0</v>
      </c>
      <c r="E79" s="330">
        <v>0</v>
      </c>
      <c r="F79" s="330">
        <v>0</v>
      </c>
      <c r="G79" s="330">
        <v>0</v>
      </c>
      <c r="H79" s="330">
        <v>0</v>
      </c>
      <c r="I79" s="330">
        <v>0</v>
      </c>
      <c r="J79" s="330">
        <v>0</v>
      </c>
      <c r="K79" s="330">
        <v>0</v>
      </c>
      <c r="L79" s="330">
        <v>0</v>
      </c>
      <c r="M79" s="330">
        <v>0</v>
      </c>
      <c r="N79" s="330">
        <v>0</v>
      </c>
      <c r="O79" s="330">
        <v>0</v>
      </c>
      <c r="P79" s="330">
        <v>0</v>
      </c>
      <c r="Q79" s="330">
        <v>0</v>
      </c>
      <c r="R79" s="330">
        <v>0</v>
      </c>
      <c r="S79" s="330">
        <v>0</v>
      </c>
      <c r="T79" s="330">
        <v>0</v>
      </c>
      <c r="U79" s="330">
        <v>0</v>
      </c>
      <c r="V79" s="330">
        <v>0</v>
      </c>
      <c r="W79" s="330">
        <v>0</v>
      </c>
      <c r="X79" s="330">
        <v>0</v>
      </c>
      <c r="Y79" s="330">
        <v>0</v>
      </c>
      <c r="Z79" s="330">
        <v>0</v>
      </c>
      <c r="AA79" s="330">
        <v>0</v>
      </c>
      <c r="AB79" s="330">
        <v>0</v>
      </c>
      <c r="AC79" s="330">
        <v>0</v>
      </c>
      <c r="AD79" s="330">
        <v>0</v>
      </c>
      <c r="AE79" s="331">
        <v>0</v>
      </c>
    </row>
    <row r="80" spans="1:31">
      <c r="A80" s="1711"/>
      <c r="B80" s="116">
        <v>1</v>
      </c>
      <c r="C80" s="333">
        <v>8.0203080856561915</v>
      </c>
      <c r="D80" s="333">
        <f>C79</f>
        <v>8.0419561293996171</v>
      </c>
      <c r="E80" s="333">
        <f t="shared" ref="E80:AB80" si="23">E79</f>
        <v>0</v>
      </c>
      <c r="F80" s="333">
        <f t="shared" si="23"/>
        <v>0</v>
      </c>
      <c r="G80" s="333">
        <f t="shared" si="23"/>
        <v>0</v>
      </c>
      <c r="H80" s="333">
        <f t="shared" si="23"/>
        <v>0</v>
      </c>
      <c r="I80" s="333">
        <f t="shared" si="23"/>
        <v>0</v>
      </c>
      <c r="J80" s="333">
        <f t="shared" si="23"/>
        <v>0</v>
      </c>
      <c r="K80" s="333">
        <f t="shared" si="23"/>
        <v>0</v>
      </c>
      <c r="L80" s="333">
        <f t="shared" si="23"/>
        <v>0</v>
      </c>
      <c r="M80" s="333">
        <f t="shared" si="23"/>
        <v>0</v>
      </c>
      <c r="N80" s="333">
        <f t="shared" si="23"/>
        <v>0</v>
      </c>
      <c r="O80" s="333">
        <f t="shared" si="23"/>
        <v>0</v>
      </c>
      <c r="P80" s="333">
        <f t="shared" si="23"/>
        <v>0</v>
      </c>
      <c r="Q80" s="333">
        <f t="shared" si="23"/>
        <v>0</v>
      </c>
      <c r="R80" s="333">
        <f t="shared" si="23"/>
        <v>0</v>
      </c>
      <c r="S80" s="333">
        <f t="shared" si="23"/>
        <v>0</v>
      </c>
      <c r="T80" s="333">
        <f t="shared" si="23"/>
        <v>0</v>
      </c>
      <c r="U80" s="333">
        <f t="shared" si="23"/>
        <v>0</v>
      </c>
      <c r="V80" s="333">
        <f t="shared" si="23"/>
        <v>0</v>
      </c>
      <c r="W80" s="333">
        <f t="shared" si="23"/>
        <v>0</v>
      </c>
      <c r="X80" s="333">
        <f t="shared" si="23"/>
        <v>0</v>
      </c>
      <c r="Y80" s="333">
        <f t="shared" si="23"/>
        <v>0</v>
      </c>
      <c r="Z80" s="333">
        <f t="shared" si="23"/>
        <v>0</v>
      </c>
      <c r="AA80" s="333">
        <f t="shared" si="23"/>
        <v>0</v>
      </c>
      <c r="AB80" s="333">
        <f t="shared" si="23"/>
        <v>0</v>
      </c>
      <c r="AC80" s="333">
        <v>0</v>
      </c>
      <c r="AD80" s="333">
        <f t="shared" ref="F80:AE90" si="24">AC79</f>
        <v>0</v>
      </c>
      <c r="AE80" s="334">
        <f t="shared" si="24"/>
        <v>0</v>
      </c>
    </row>
    <row r="81" spans="1:31">
      <c r="A81" s="1711"/>
      <c r="B81" s="116">
        <v>2</v>
      </c>
      <c r="C81" s="333">
        <v>8.021449524159495</v>
      </c>
      <c r="D81" s="333">
        <f t="shared" ref="D81:S104" si="25">C80</f>
        <v>8.0203080856561915</v>
      </c>
      <c r="E81" s="333">
        <f t="shared" si="25"/>
        <v>8.0419561293996171</v>
      </c>
      <c r="F81" s="333">
        <f t="shared" si="25"/>
        <v>0</v>
      </c>
      <c r="G81" s="333">
        <f t="shared" si="25"/>
        <v>0</v>
      </c>
      <c r="H81" s="333">
        <f t="shared" si="25"/>
        <v>0</v>
      </c>
      <c r="I81" s="333">
        <f t="shared" si="25"/>
        <v>0</v>
      </c>
      <c r="J81" s="333">
        <f t="shared" si="25"/>
        <v>0</v>
      </c>
      <c r="K81" s="333">
        <f t="shared" si="25"/>
        <v>0</v>
      </c>
      <c r="L81" s="333">
        <f t="shared" si="25"/>
        <v>0</v>
      </c>
      <c r="M81" s="333">
        <f t="shared" si="25"/>
        <v>0</v>
      </c>
      <c r="N81" s="333">
        <f t="shared" si="25"/>
        <v>0</v>
      </c>
      <c r="O81" s="333">
        <f t="shared" si="25"/>
        <v>0</v>
      </c>
      <c r="P81" s="333">
        <f t="shared" ref="P81:P104" si="26">O80</f>
        <v>0</v>
      </c>
      <c r="Q81" s="333">
        <f t="shared" si="25"/>
        <v>0</v>
      </c>
      <c r="R81" s="333">
        <f t="shared" si="25"/>
        <v>0</v>
      </c>
      <c r="S81" s="333">
        <f t="shared" si="25"/>
        <v>0</v>
      </c>
      <c r="T81" s="333">
        <f t="shared" si="24"/>
        <v>0</v>
      </c>
      <c r="U81" s="333">
        <f t="shared" si="24"/>
        <v>0</v>
      </c>
      <c r="V81" s="333">
        <f t="shared" ref="V81:V104" si="27">U80</f>
        <v>0</v>
      </c>
      <c r="W81" s="333">
        <f t="shared" si="24"/>
        <v>0</v>
      </c>
      <c r="X81" s="333">
        <f t="shared" si="24"/>
        <v>0</v>
      </c>
      <c r="Y81" s="333">
        <f t="shared" si="24"/>
        <v>0</v>
      </c>
      <c r="Z81" s="333">
        <f t="shared" si="24"/>
        <v>0</v>
      </c>
      <c r="AA81" s="333">
        <f t="shared" si="24"/>
        <v>0</v>
      </c>
      <c r="AB81" s="333">
        <f t="shared" si="24"/>
        <v>0</v>
      </c>
      <c r="AC81" s="333">
        <f t="shared" si="24"/>
        <v>0</v>
      </c>
      <c r="AD81" s="333">
        <f t="shared" si="24"/>
        <v>0</v>
      </c>
      <c r="AE81" s="334">
        <f t="shared" si="24"/>
        <v>0</v>
      </c>
    </row>
    <row r="82" spans="1:31">
      <c r="A82" s="1711"/>
      <c r="B82" s="116">
        <v>3</v>
      </c>
      <c r="C82" s="333">
        <v>8.0562265453588147</v>
      </c>
      <c r="D82" s="333">
        <f t="shared" si="25"/>
        <v>8.021449524159495</v>
      </c>
      <c r="E82" s="333">
        <f t="shared" si="25"/>
        <v>8.0203080856561915</v>
      </c>
      <c r="F82" s="333">
        <f t="shared" si="24"/>
        <v>8.0419561293996171</v>
      </c>
      <c r="G82" s="333">
        <f t="shared" si="24"/>
        <v>0</v>
      </c>
      <c r="H82" s="333">
        <f t="shared" si="24"/>
        <v>0</v>
      </c>
      <c r="I82" s="333">
        <f t="shared" si="24"/>
        <v>0</v>
      </c>
      <c r="J82" s="333">
        <f t="shared" si="24"/>
        <v>0</v>
      </c>
      <c r="K82" s="333">
        <f t="shared" si="24"/>
        <v>0</v>
      </c>
      <c r="L82" s="333">
        <f t="shared" si="24"/>
        <v>0</v>
      </c>
      <c r="M82" s="333">
        <f t="shared" si="24"/>
        <v>0</v>
      </c>
      <c r="N82" s="333">
        <f t="shared" si="24"/>
        <v>0</v>
      </c>
      <c r="O82" s="333">
        <f t="shared" si="24"/>
        <v>0</v>
      </c>
      <c r="P82" s="333">
        <f t="shared" si="26"/>
        <v>0</v>
      </c>
      <c r="Q82" s="333">
        <f t="shared" si="24"/>
        <v>0</v>
      </c>
      <c r="R82" s="333">
        <f t="shared" si="24"/>
        <v>0</v>
      </c>
      <c r="S82" s="333">
        <f t="shared" si="24"/>
        <v>0</v>
      </c>
      <c r="T82" s="333">
        <f t="shared" si="24"/>
        <v>0</v>
      </c>
      <c r="U82" s="333">
        <f t="shared" si="24"/>
        <v>0</v>
      </c>
      <c r="V82" s="333">
        <f t="shared" si="27"/>
        <v>0</v>
      </c>
      <c r="W82" s="333">
        <f t="shared" si="24"/>
        <v>0</v>
      </c>
      <c r="X82" s="333">
        <f t="shared" si="24"/>
        <v>0</v>
      </c>
      <c r="Y82" s="333">
        <f t="shared" si="24"/>
        <v>0</v>
      </c>
      <c r="Z82" s="333">
        <f t="shared" si="24"/>
        <v>0</v>
      </c>
      <c r="AA82" s="333">
        <f t="shared" si="24"/>
        <v>0</v>
      </c>
      <c r="AB82" s="333">
        <f t="shared" si="24"/>
        <v>0</v>
      </c>
      <c r="AC82" s="333">
        <f t="shared" si="24"/>
        <v>0</v>
      </c>
      <c r="AD82" s="333">
        <f t="shared" si="24"/>
        <v>0</v>
      </c>
      <c r="AE82" s="334">
        <f t="shared" si="24"/>
        <v>0</v>
      </c>
    </row>
    <row r="83" spans="1:31">
      <c r="A83" s="1711"/>
      <c r="B83" s="116">
        <v>4</v>
      </c>
      <c r="C83" s="333">
        <v>8.0882500915647881</v>
      </c>
      <c r="D83" s="333">
        <f t="shared" si="25"/>
        <v>8.0562265453588147</v>
      </c>
      <c r="E83" s="333">
        <f t="shared" si="25"/>
        <v>8.021449524159495</v>
      </c>
      <c r="F83" s="333">
        <f t="shared" si="24"/>
        <v>8.0203080856561915</v>
      </c>
      <c r="G83" s="333">
        <f t="shared" si="24"/>
        <v>8.0419561293996171</v>
      </c>
      <c r="H83" s="333">
        <f t="shared" si="24"/>
        <v>0</v>
      </c>
      <c r="I83" s="333">
        <f t="shared" si="24"/>
        <v>0</v>
      </c>
      <c r="J83" s="333">
        <f t="shared" si="24"/>
        <v>0</v>
      </c>
      <c r="K83" s="333">
        <f t="shared" si="24"/>
        <v>0</v>
      </c>
      <c r="L83" s="333">
        <f t="shared" si="24"/>
        <v>0</v>
      </c>
      <c r="M83" s="333">
        <f t="shared" si="24"/>
        <v>0</v>
      </c>
      <c r="N83" s="333">
        <f t="shared" si="24"/>
        <v>0</v>
      </c>
      <c r="O83" s="333">
        <f t="shared" si="24"/>
        <v>0</v>
      </c>
      <c r="P83" s="333">
        <f t="shared" si="26"/>
        <v>0</v>
      </c>
      <c r="Q83" s="333">
        <f t="shared" si="24"/>
        <v>0</v>
      </c>
      <c r="R83" s="333">
        <f t="shared" si="24"/>
        <v>0</v>
      </c>
      <c r="S83" s="333">
        <f t="shared" si="24"/>
        <v>0</v>
      </c>
      <c r="T83" s="333">
        <f t="shared" si="24"/>
        <v>0</v>
      </c>
      <c r="U83" s="333">
        <f t="shared" si="24"/>
        <v>0</v>
      </c>
      <c r="V83" s="333">
        <f t="shared" si="27"/>
        <v>0</v>
      </c>
      <c r="W83" s="333">
        <f t="shared" si="24"/>
        <v>0</v>
      </c>
      <c r="X83" s="333">
        <f t="shared" si="24"/>
        <v>0</v>
      </c>
      <c r="Y83" s="333">
        <f t="shared" si="24"/>
        <v>0</v>
      </c>
      <c r="Z83" s="333">
        <f t="shared" si="24"/>
        <v>0</v>
      </c>
      <c r="AA83" s="333">
        <f t="shared" si="24"/>
        <v>0</v>
      </c>
      <c r="AB83" s="333">
        <f t="shared" si="24"/>
        <v>0</v>
      </c>
      <c r="AC83" s="333">
        <f t="shared" si="24"/>
        <v>0</v>
      </c>
      <c r="AD83" s="333">
        <f t="shared" si="24"/>
        <v>0</v>
      </c>
      <c r="AE83" s="334">
        <f t="shared" si="24"/>
        <v>0</v>
      </c>
    </row>
    <row r="84" spans="1:31">
      <c r="A84" s="1711"/>
      <c r="B84" s="116">
        <v>5</v>
      </c>
      <c r="C84" s="333">
        <v>8.096494068600828</v>
      </c>
      <c r="D84" s="333">
        <f t="shared" si="25"/>
        <v>8.0882500915647881</v>
      </c>
      <c r="E84" s="333">
        <f t="shared" si="25"/>
        <v>8.0562265453588147</v>
      </c>
      <c r="F84" s="333">
        <f t="shared" si="24"/>
        <v>8.021449524159495</v>
      </c>
      <c r="G84" s="333">
        <f t="shared" si="24"/>
        <v>8.0203080856561915</v>
      </c>
      <c r="H84" s="333">
        <f t="shared" si="24"/>
        <v>8.0419561293996171</v>
      </c>
      <c r="I84" s="333">
        <f t="shared" si="24"/>
        <v>0</v>
      </c>
      <c r="J84" s="333">
        <f t="shared" si="24"/>
        <v>0</v>
      </c>
      <c r="K84" s="333">
        <f t="shared" si="24"/>
        <v>0</v>
      </c>
      <c r="L84" s="333">
        <f t="shared" si="24"/>
        <v>0</v>
      </c>
      <c r="M84" s="333">
        <f t="shared" si="24"/>
        <v>0</v>
      </c>
      <c r="N84" s="333">
        <f t="shared" si="24"/>
        <v>0</v>
      </c>
      <c r="O84" s="333">
        <f t="shared" si="24"/>
        <v>0</v>
      </c>
      <c r="P84" s="333">
        <f t="shared" si="26"/>
        <v>0</v>
      </c>
      <c r="Q84" s="333">
        <f t="shared" si="24"/>
        <v>0</v>
      </c>
      <c r="R84" s="333">
        <f t="shared" si="24"/>
        <v>0</v>
      </c>
      <c r="S84" s="333">
        <f t="shared" si="24"/>
        <v>0</v>
      </c>
      <c r="T84" s="333">
        <f t="shared" si="24"/>
        <v>0</v>
      </c>
      <c r="U84" s="333">
        <f t="shared" si="24"/>
        <v>0</v>
      </c>
      <c r="V84" s="333">
        <f t="shared" si="27"/>
        <v>0</v>
      </c>
      <c r="W84" s="333">
        <f t="shared" si="24"/>
        <v>0</v>
      </c>
      <c r="X84" s="333">
        <f t="shared" si="24"/>
        <v>0</v>
      </c>
      <c r="Y84" s="333">
        <f t="shared" si="24"/>
        <v>0</v>
      </c>
      <c r="Z84" s="333">
        <f t="shared" si="24"/>
        <v>0</v>
      </c>
      <c r="AA84" s="333">
        <f t="shared" si="24"/>
        <v>0</v>
      </c>
      <c r="AB84" s="333">
        <f t="shared" si="24"/>
        <v>0</v>
      </c>
      <c r="AC84" s="333">
        <f t="shared" si="24"/>
        <v>0</v>
      </c>
      <c r="AD84" s="333">
        <f t="shared" si="24"/>
        <v>0</v>
      </c>
      <c r="AE84" s="334">
        <f t="shared" si="24"/>
        <v>0</v>
      </c>
    </row>
    <row r="85" spans="1:31">
      <c r="A85" s="1711"/>
      <c r="B85" s="116">
        <v>6</v>
      </c>
      <c r="C85" s="333">
        <v>8.2908357282007064</v>
      </c>
      <c r="D85" s="333">
        <f t="shared" si="25"/>
        <v>8.096494068600828</v>
      </c>
      <c r="E85" s="333">
        <f t="shared" si="25"/>
        <v>8.0882500915647881</v>
      </c>
      <c r="F85" s="333">
        <f t="shared" si="24"/>
        <v>8.0562265453588147</v>
      </c>
      <c r="G85" s="333">
        <f t="shared" si="24"/>
        <v>8.021449524159495</v>
      </c>
      <c r="H85" s="333">
        <f t="shared" si="24"/>
        <v>8.0203080856561915</v>
      </c>
      <c r="I85" s="333">
        <f t="shared" si="24"/>
        <v>8.0419561293996171</v>
      </c>
      <c r="J85" s="333">
        <f t="shared" si="24"/>
        <v>0</v>
      </c>
      <c r="K85" s="333">
        <f t="shared" si="24"/>
        <v>0</v>
      </c>
      <c r="L85" s="333">
        <f t="shared" si="24"/>
        <v>0</v>
      </c>
      <c r="M85" s="333">
        <f t="shared" si="24"/>
        <v>0</v>
      </c>
      <c r="N85" s="333">
        <f t="shared" si="24"/>
        <v>0</v>
      </c>
      <c r="O85" s="333">
        <f t="shared" si="24"/>
        <v>0</v>
      </c>
      <c r="P85" s="333">
        <f t="shared" si="26"/>
        <v>0</v>
      </c>
      <c r="Q85" s="333">
        <f t="shared" si="24"/>
        <v>0</v>
      </c>
      <c r="R85" s="333">
        <f t="shared" si="24"/>
        <v>0</v>
      </c>
      <c r="S85" s="333">
        <f t="shared" si="24"/>
        <v>0</v>
      </c>
      <c r="T85" s="333">
        <f t="shared" si="24"/>
        <v>0</v>
      </c>
      <c r="U85" s="333">
        <f t="shared" si="24"/>
        <v>0</v>
      </c>
      <c r="V85" s="333">
        <f t="shared" si="27"/>
        <v>0</v>
      </c>
      <c r="W85" s="333">
        <f t="shared" si="24"/>
        <v>0</v>
      </c>
      <c r="X85" s="333">
        <f t="shared" si="24"/>
        <v>0</v>
      </c>
      <c r="Y85" s="333">
        <f t="shared" si="24"/>
        <v>0</v>
      </c>
      <c r="Z85" s="333">
        <f t="shared" si="24"/>
        <v>0</v>
      </c>
      <c r="AA85" s="333">
        <f t="shared" si="24"/>
        <v>0</v>
      </c>
      <c r="AB85" s="333">
        <f t="shared" si="24"/>
        <v>0</v>
      </c>
      <c r="AC85" s="333">
        <f t="shared" si="24"/>
        <v>0</v>
      </c>
      <c r="AD85" s="333">
        <f t="shared" si="24"/>
        <v>0</v>
      </c>
      <c r="AE85" s="334">
        <f t="shared" si="24"/>
        <v>0</v>
      </c>
    </row>
    <row r="86" spans="1:31">
      <c r="A86" s="1711"/>
      <c r="B86" s="116">
        <v>7</v>
      </c>
      <c r="C86" s="333">
        <v>8.2863335451563511</v>
      </c>
      <c r="D86" s="333">
        <f t="shared" si="25"/>
        <v>8.2908357282007064</v>
      </c>
      <c r="E86" s="333">
        <f t="shared" si="25"/>
        <v>8.096494068600828</v>
      </c>
      <c r="F86" s="333">
        <f t="shared" si="24"/>
        <v>8.0882500915647881</v>
      </c>
      <c r="G86" s="333">
        <f t="shared" si="24"/>
        <v>8.0562265453588147</v>
      </c>
      <c r="H86" s="333">
        <f t="shared" si="24"/>
        <v>8.021449524159495</v>
      </c>
      <c r="I86" s="333">
        <f t="shared" si="24"/>
        <v>8.0203080856561915</v>
      </c>
      <c r="J86" s="333">
        <f t="shared" si="24"/>
        <v>8.0419561293996171</v>
      </c>
      <c r="K86" s="333">
        <f t="shared" si="24"/>
        <v>0</v>
      </c>
      <c r="L86" s="333">
        <f t="shared" si="24"/>
        <v>0</v>
      </c>
      <c r="M86" s="333">
        <f t="shared" si="24"/>
        <v>0</v>
      </c>
      <c r="N86" s="333">
        <f t="shared" si="24"/>
        <v>0</v>
      </c>
      <c r="O86" s="333">
        <f t="shared" si="24"/>
        <v>0</v>
      </c>
      <c r="P86" s="333">
        <f t="shared" si="26"/>
        <v>0</v>
      </c>
      <c r="Q86" s="333">
        <f t="shared" si="24"/>
        <v>0</v>
      </c>
      <c r="R86" s="333">
        <f t="shared" si="24"/>
        <v>0</v>
      </c>
      <c r="S86" s="333">
        <f t="shared" si="24"/>
        <v>0</v>
      </c>
      <c r="T86" s="333">
        <f t="shared" si="24"/>
        <v>0</v>
      </c>
      <c r="U86" s="333">
        <f t="shared" si="24"/>
        <v>0</v>
      </c>
      <c r="V86" s="333">
        <f t="shared" si="27"/>
        <v>0</v>
      </c>
      <c r="W86" s="333">
        <f t="shared" si="24"/>
        <v>0</v>
      </c>
      <c r="X86" s="333">
        <f t="shared" si="24"/>
        <v>0</v>
      </c>
      <c r="Y86" s="333">
        <f t="shared" si="24"/>
        <v>0</v>
      </c>
      <c r="Z86" s="333">
        <f t="shared" si="24"/>
        <v>0</v>
      </c>
      <c r="AA86" s="333">
        <f t="shared" si="24"/>
        <v>0</v>
      </c>
      <c r="AB86" s="333">
        <f t="shared" si="24"/>
        <v>0</v>
      </c>
      <c r="AC86" s="333">
        <f t="shared" si="24"/>
        <v>0</v>
      </c>
      <c r="AD86" s="333">
        <f t="shared" si="24"/>
        <v>0</v>
      </c>
      <c r="AE86" s="334">
        <f t="shared" si="24"/>
        <v>0</v>
      </c>
    </row>
    <row r="87" spans="1:31">
      <c r="A87" s="1711"/>
      <c r="B87" s="116">
        <v>8</v>
      </c>
      <c r="C87" s="333">
        <v>8.2644125338511767</v>
      </c>
      <c r="D87" s="333">
        <f t="shared" si="25"/>
        <v>8.2863335451563511</v>
      </c>
      <c r="E87" s="333">
        <f t="shared" si="25"/>
        <v>8.2908357282007064</v>
      </c>
      <c r="F87" s="333">
        <f t="shared" si="24"/>
        <v>8.096494068600828</v>
      </c>
      <c r="G87" s="333">
        <f t="shared" si="24"/>
        <v>8.0882500915647881</v>
      </c>
      <c r="H87" s="333">
        <f t="shared" si="24"/>
        <v>8.0562265453588147</v>
      </c>
      <c r="I87" s="333">
        <f t="shared" si="24"/>
        <v>8.021449524159495</v>
      </c>
      <c r="J87" s="333">
        <f t="shared" si="24"/>
        <v>8.0203080856561915</v>
      </c>
      <c r="K87" s="333">
        <f t="shared" si="24"/>
        <v>8.0419561293996171</v>
      </c>
      <c r="L87" s="333">
        <f t="shared" si="24"/>
        <v>0</v>
      </c>
      <c r="M87" s="333">
        <f t="shared" si="24"/>
        <v>0</v>
      </c>
      <c r="N87" s="333">
        <f t="shared" si="24"/>
        <v>0</v>
      </c>
      <c r="O87" s="333">
        <f t="shared" si="24"/>
        <v>0</v>
      </c>
      <c r="P87" s="333">
        <f t="shared" si="26"/>
        <v>0</v>
      </c>
      <c r="Q87" s="333">
        <f t="shared" si="24"/>
        <v>0</v>
      </c>
      <c r="R87" s="333">
        <f t="shared" si="24"/>
        <v>0</v>
      </c>
      <c r="S87" s="333">
        <f t="shared" si="24"/>
        <v>0</v>
      </c>
      <c r="T87" s="333">
        <f t="shared" si="24"/>
        <v>0</v>
      </c>
      <c r="U87" s="333">
        <f t="shared" si="24"/>
        <v>0</v>
      </c>
      <c r="V87" s="333">
        <f t="shared" si="27"/>
        <v>0</v>
      </c>
      <c r="W87" s="333">
        <f t="shared" si="24"/>
        <v>0</v>
      </c>
      <c r="X87" s="333">
        <f t="shared" si="24"/>
        <v>0</v>
      </c>
      <c r="Y87" s="333">
        <f t="shared" si="24"/>
        <v>0</v>
      </c>
      <c r="Z87" s="333">
        <f t="shared" si="24"/>
        <v>0</v>
      </c>
      <c r="AA87" s="333">
        <f t="shared" si="24"/>
        <v>0</v>
      </c>
      <c r="AB87" s="333">
        <f t="shared" si="24"/>
        <v>0</v>
      </c>
      <c r="AC87" s="333">
        <f t="shared" si="24"/>
        <v>0</v>
      </c>
      <c r="AD87" s="333">
        <f t="shared" si="24"/>
        <v>0</v>
      </c>
      <c r="AE87" s="334">
        <f t="shared" si="24"/>
        <v>0</v>
      </c>
    </row>
    <row r="88" spans="1:31">
      <c r="A88" s="1711"/>
      <c r="B88" s="116">
        <v>9</v>
      </c>
      <c r="C88" s="333">
        <v>8.0431121392683558</v>
      </c>
      <c r="D88" s="333">
        <f t="shared" si="25"/>
        <v>8.2644125338511767</v>
      </c>
      <c r="E88" s="333">
        <f t="shared" si="25"/>
        <v>8.2863335451563511</v>
      </c>
      <c r="F88" s="333">
        <f t="shared" si="24"/>
        <v>8.2908357282007064</v>
      </c>
      <c r="G88" s="333">
        <f t="shared" si="24"/>
        <v>8.096494068600828</v>
      </c>
      <c r="H88" s="333">
        <f t="shared" si="24"/>
        <v>8.0882500915647881</v>
      </c>
      <c r="I88" s="333">
        <f t="shared" si="24"/>
        <v>8.0562265453588147</v>
      </c>
      <c r="J88" s="333">
        <f t="shared" si="24"/>
        <v>8.021449524159495</v>
      </c>
      <c r="K88" s="333">
        <f t="shared" si="24"/>
        <v>8.0203080856561915</v>
      </c>
      <c r="L88" s="333">
        <f t="shared" si="24"/>
        <v>8.0419561293996171</v>
      </c>
      <c r="M88" s="333">
        <f t="shared" si="24"/>
        <v>0</v>
      </c>
      <c r="N88" s="333">
        <f t="shared" si="24"/>
        <v>0</v>
      </c>
      <c r="O88" s="333">
        <f t="shared" si="24"/>
        <v>0</v>
      </c>
      <c r="P88" s="333">
        <f t="shared" si="26"/>
        <v>0</v>
      </c>
      <c r="Q88" s="333">
        <f t="shared" si="24"/>
        <v>0</v>
      </c>
      <c r="R88" s="333">
        <f t="shared" si="24"/>
        <v>0</v>
      </c>
      <c r="S88" s="333">
        <f t="shared" si="24"/>
        <v>0</v>
      </c>
      <c r="T88" s="333">
        <f t="shared" si="24"/>
        <v>0</v>
      </c>
      <c r="U88" s="333">
        <f t="shared" si="24"/>
        <v>0</v>
      </c>
      <c r="V88" s="333">
        <f t="shared" si="27"/>
        <v>0</v>
      </c>
      <c r="W88" s="333">
        <f t="shared" si="24"/>
        <v>0</v>
      </c>
      <c r="X88" s="333">
        <f t="shared" si="24"/>
        <v>0</v>
      </c>
      <c r="Y88" s="333">
        <f t="shared" si="24"/>
        <v>0</v>
      </c>
      <c r="Z88" s="333">
        <f t="shared" si="24"/>
        <v>0</v>
      </c>
      <c r="AA88" s="333">
        <f t="shared" si="24"/>
        <v>0</v>
      </c>
      <c r="AB88" s="333">
        <f t="shared" si="24"/>
        <v>0</v>
      </c>
      <c r="AC88" s="333">
        <f t="shared" si="24"/>
        <v>0</v>
      </c>
      <c r="AD88" s="333">
        <f t="shared" si="24"/>
        <v>0</v>
      </c>
      <c r="AE88" s="334">
        <f t="shared" si="24"/>
        <v>0</v>
      </c>
    </row>
    <row r="89" spans="1:31">
      <c r="A89" s="1711"/>
      <c r="B89" s="116">
        <v>10</v>
      </c>
      <c r="C89" s="333">
        <v>8.0395815549701304</v>
      </c>
      <c r="D89" s="333">
        <f t="shared" si="25"/>
        <v>8.0431121392683558</v>
      </c>
      <c r="E89" s="333">
        <f t="shared" si="25"/>
        <v>8.2644125338511767</v>
      </c>
      <c r="F89" s="333">
        <f t="shared" si="24"/>
        <v>8.2863335451563511</v>
      </c>
      <c r="G89" s="333">
        <f t="shared" si="24"/>
        <v>8.2908357282007064</v>
      </c>
      <c r="H89" s="333">
        <f t="shared" si="24"/>
        <v>8.096494068600828</v>
      </c>
      <c r="I89" s="333">
        <f t="shared" si="24"/>
        <v>8.0882500915647881</v>
      </c>
      <c r="J89" s="333">
        <f t="shared" si="24"/>
        <v>8.0562265453588147</v>
      </c>
      <c r="K89" s="333">
        <f t="shared" si="24"/>
        <v>8.021449524159495</v>
      </c>
      <c r="L89" s="333">
        <f t="shared" si="24"/>
        <v>8.0203080856561915</v>
      </c>
      <c r="M89" s="333">
        <f t="shared" si="24"/>
        <v>8.0419561293996171</v>
      </c>
      <c r="N89" s="333">
        <f t="shared" si="24"/>
        <v>0</v>
      </c>
      <c r="O89" s="333">
        <f t="shared" si="24"/>
        <v>0</v>
      </c>
      <c r="P89" s="333">
        <f t="shared" si="26"/>
        <v>0</v>
      </c>
      <c r="Q89" s="333">
        <f t="shared" si="24"/>
        <v>0</v>
      </c>
      <c r="R89" s="333">
        <f t="shared" si="24"/>
        <v>0</v>
      </c>
      <c r="S89" s="333">
        <f t="shared" si="24"/>
        <v>0</v>
      </c>
      <c r="T89" s="333">
        <f t="shared" si="24"/>
        <v>0</v>
      </c>
      <c r="U89" s="333">
        <f t="shared" si="24"/>
        <v>0</v>
      </c>
      <c r="V89" s="333">
        <f t="shared" si="27"/>
        <v>0</v>
      </c>
      <c r="W89" s="333">
        <f t="shared" si="24"/>
        <v>0</v>
      </c>
      <c r="X89" s="333">
        <f t="shared" si="24"/>
        <v>0</v>
      </c>
      <c r="Y89" s="333">
        <f t="shared" si="24"/>
        <v>0</v>
      </c>
      <c r="Z89" s="333">
        <f t="shared" si="24"/>
        <v>0</v>
      </c>
      <c r="AA89" s="333">
        <f t="shared" si="24"/>
        <v>0</v>
      </c>
      <c r="AB89" s="333">
        <f t="shared" si="24"/>
        <v>0</v>
      </c>
      <c r="AC89" s="333">
        <f t="shared" si="24"/>
        <v>0</v>
      </c>
      <c r="AD89" s="333">
        <f t="shared" si="24"/>
        <v>0</v>
      </c>
      <c r="AE89" s="334">
        <f t="shared" si="24"/>
        <v>0</v>
      </c>
    </row>
    <row r="90" spans="1:31">
      <c r="A90" s="1711"/>
      <c r="B90" s="116">
        <v>11</v>
      </c>
      <c r="C90" s="333">
        <v>8.0390409410949939</v>
      </c>
      <c r="D90" s="333">
        <f t="shared" si="25"/>
        <v>8.0395815549701304</v>
      </c>
      <c r="E90" s="333">
        <f t="shared" si="25"/>
        <v>8.0431121392683558</v>
      </c>
      <c r="F90" s="333">
        <f t="shared" si="24"/>
        <v>8.2644125338511767</v>
      </c>
      <c r="G90" s="333">
        <f t="shared" si="24"/>
        <v>8.2863335451563511</v>
      </c>
      <c r="H90" s="333">
        <f t="shared" si="24"/>
        <v>8.2908357282007064</v>
      </c>
      <c r="I90" s="333">
        <f t="shared" si="24"/>
        <v>8.096494068600828</v>
      </c>
      <c r="J90" s="333">
        <f t="shared" si="24"/>
        <v>8.0882500915647881</v>
      </c>
      <c r="K90" s="333">
        <f t="shared" si="24"/>
        <v>8.0562265453588147</v>
      </c>
      <c r="L90" s="333">
        <f t="shared" si="24"/>
        <v>8.021449524159495</v>
      </c>
      <c r="M90" s="333">
        <f t="shared" si="24"/>
        <v>8.0203080856561915</v>
      </c>
      <c r="N90" s="333">
        <f t="shared" si="24"/>
        <v>8.0419561293996171</v>
      </c>
      <c r="O90" s="333">
        <f t="shared" ref="O90:AE103" si="28">N89</f>
        <v>0</v>
      </c>
      <c r="P90" s="333">
        <f t="shared" si="26"/>
        <v>0</v>
      </c>
      <c r="Q90" s="333">
        <f t="shared" si="28"/>
        <v>0</v>
      </c>
      <c r="R90" s="333">
        <f t="shared" si="28"/>
        <v>0</v>
      </c>
      <c r="S90" s="333">
        <f t="shared" si="28"/>
        <v>0</v>
      </c>
      <c r="T90" s="333">
        <f t="shared" si="28"/>
        <v>0</v>
      </c>
      <c r="U90" s="333">
        <f t="shared" si="28"/>
        <v>0</v>
      </c>
      <c r="V90" s="333">
        <f t="shared" si="27"/>
        <v>0</v>
      </c>
      <c r="W90" s="333">
        <f t="shared" si="28"/>
        <v>0</v>
      </c>
      <c r="X90" s="333">
        <f t="shared" si="28"/>
        <v>0</v>
      </c>
      <c r="Y90" s="333">
        <f t="shared" si="28"/>
        <v>0</v>
      </c>
      <c r="Z90" s="333">
        <f t="shared" si="28"/>
        <v>0</v>
      </c>
      <c r="AA90" s="333">
        <f t="shared" si="28"/>
        <v>0</v>
      </c>
      <c r="AB90" s="333">
        <f t="shared" si="28"/>
        <v>0</v>
      </c>
      <c r="AC90" s="333">
        <f t="shared" si="28"/>
        <v>0</v>
      </c>
      <c r="AD90" s="333">
        <f t="shared" si="28"/>
        <v>0</v>
      </c>
      <c r="AE90" s="334">
        <f t="shared" si="28"/>
        <v>0</v>
      </c>
    </row>
    <row r="91" spans="1:31">
      <c r="A91" s="1711"/>
      <c r="B91" s="116">
        <v>12</v>
      </c>
      <c r="C91" s="333">
        <v>8.2165857128076123</v>
      </c>
      <c r="D91" s="333">
        <f t="shared" si="25"/>
        <v>8.0390409410949939</v>
      </c>
      <c r="E91" s="333">
        <f t="shared" si="25"/>
        <v>8.0395815549701304</v>
      </c>
      <c r="F91" s="333">
        <f t="shared" si="25"/>
        <v>8.0431121392683558</v>
      </c>
      <c r="G91" s="333">
        <f t="shared" si="25"/>
        <v>8.2644125338511767</v>
      </c>
      <c r="H91" s="333">
        <f t="shared" si="25"/>
        <v>8.2863335451563511</v>
      </c>
      <c r="I91" s="333">
        <f t="shared" si="25"/>
        <v>8.2908357282007064</v>
      </c>
      <c r="J91" s="333">
        <f t="shared" si="25"/>
        <v>8.096494068600828</v>
      </c>
      <c r="K91" s="333">
        <f t="shared" si="25"/>
        <v>8.0882500915647881</v>
      </c>
      <c r="L91" s="333">
        <f t="shared" si="25"/>
        <v>8.0562265453588147</v>
      </c>
      <c r="M91" s="333">
        <f t="shared" si="25"/>
        <v>8.021449524159495</v>
      </c>
      <c r="N91" s="333">
        <f t="shared" si="25"/>
        <v>8.0203080856561915</v>
      </c>
      <c r="O91" s="333">
        <f t="shared" si="25"/>
        <v>8.0419561293996171</v>
      </c>
      <c r="P91" s="333">
        <f t="shared" si="26"/>
        <v>0</v>
      </c>
      <c r="Q91" s="333">
        <f t="shared" si="25"/>
        <v>0</v>
      </c>
      <c r="R91" s="333">
        <f t="shared" si="25"/>
        <v>0</v>
      </c>
      <c r="S91" s="333">
        <f t="shared" si="25"/>
        <v>0</v>
      </c>
      <c r="T91" s="333">
        <f t="shared" si="28"/>
        <v>0</v>
      </c>
      <c r="U91" s="333">
        <f t="shared" si="28"/>
        <v>0</v>
      </c>
      <c r="V91" s="333">
        <f t="shared" si="27"/>
        <v>0</v>
      </c>
      <c r="W91" s="333">
        <f t="shared" si="28"/>
        <v>0</v>
      </c>
      <c r="X91" s="333">
        <f t="shared" si="28"/>
        <v>0</v>
      </c>
      <c r="Y91" s="333">
        <f t="shared" si="28"/>
        <v>0</v>
      </c>
      <c r="Z91" s="333">
        <f t="shared" si="28"/>
        <v>0</v>
      </c>
      <c r="AA91" s="333">
        <f t="shared" si="28"/>
        <v>0</v>
      </c>
      <c r="AB91" s="333">
        <f t="shared" si="28"/>
        <v>0</v>
      </c>
      <c r="AC91" s="333">
        <f t="shared" si="28"/>
        <v>0</v>
      </c>
      <c r="AD91" s="333">
        <f t="shared" si="28"/>
        <v>0</v>
      </c>
      <c r="AE91" s="334">
        <f t="shared" si="28"/>
        <v>0</v>
      </c>
    </row>
    <row r="92" spans="1:31">
      <c r="A92" s="1711"/>
      <c r="B92" s="116">
        <v>13</v>
      </c>
      <c r="C92" s="333">
        <v>8.216796635311665</v>
      </c>
      <c r="D92" s="333">
        <f t="shared" si="25"/>
        <v>8.2165857128076123</v>
      </c>
      <c r="E92" s="333">
        <f t="shared" si="25"/>
        <v>8.0390409410949939</v>
      </c>
      <c r="F92" s="333">
        <f t="shared" si="25"/>
        <v>8.0395815549701304</v>
      </c>
      <c r="G92" s="333">
        <f t="shared" si="25"/>
        <v>8.0431121392683558</v>
      </c>
      <c r="H92" s="333">
        <f t="shared" si="25"/>
        <v>8.2644125338511767</v>
      </c>
      <c r="I92" s="333">
        <f t="shared" si="25"/>
        <v>8.2863335451563511</v>
      </c>
      <c r="J92" s="333">
        <f t="shared" si="25"/>
        <v>8.2908357282007064</v>
      </c>
      <c r="K92" s="333">
        <f t="shared" si="25"/>
        <v>8.096494068600828</v>
      </c>
      <c r="L92" s="333">
        <f t="shared" si="25"/>
        <v>8.0882500915647881</v>
      </c>
      <c r="M92" s="333">
        <f t="shared" si="25"/>
        <v>8.0562265453588147</v>
      </c>
      <c r="N92" s="333">
        <f t="shared" si="25"/>
        <v>8.021449524159495</v>
      </c>
      <c r="O92" s="333">
        <f t="shared" si="25"/>
        <v>8.0203080856561915</v>
      </c>
      <c r="P92" s="333">
        <f t="shared" si="26"/>
        <v>8.0419561293996171</v>
      </c>
      <c r="Q92" s="333">
        <f t="shared" si="25"/>
        <v>0</v>
      </c>
      <c r="R92" s="333">
        <f t="shared" si="25"/>
        <v>0</v>
      </c>
      <c r="S92" s="333">
        <f t="shared" si="25"/>
        <v>0</v>
      </c>
      <c r="T92" s="333">
        <f t="shared" si="28"/>
        <v>0</v>
      </c>
      <c r="U92" s="333">
        <f t="shared" si="28"/>
        <v>0</v>
      </c>
      <c r="V92" s="333">
        <f t="shared" si="27"/>
        <v>0</v>
      </c>
      <c r="W92" s="333">
        <f t="shared" si="28"/>
        <v>0</v>
      </c>
      <c r="X92" s="333">
        <f t="shared" si="28"/>
        <v>0</v>
      </c>
      <c r="Y92" s="333">
        <f t="shared" si="28"/>
        <v>0</v>
      </c>
      <c r="Z92" s="333">
        <f t="shared" si="28"/>
        <v>0</v>
      </c>
      <c r="AA92" s="333">
        <f t="shared" si="28"/>
        <v>0</v>
      </c>
      <c r="AB92" s="333">
        <f t="shared" si="28"/>
        <v>0</v>
      </c>
      <c r="AC92" s="333">
        <f t="shared" si="28"/>
        <v>0</v>
      </c>
      <c r="AD92" s="333">
        <f t="shared" si="28"/>
        <v>0</v>
      </c>
      <c r="AE92" s="334">
        <f t="shared" si="28"/>
        <v>0</v>
      </c>
    </row>
    <row r="93" spans="1:31">
      <c r="A93" s="1711"/>
      <c r="B93" s="116">
        <v>14</v>
      </c>
      <c r="C93" s="333">
        <v>8.2167089483867866</v>
      </c>
      <c r="D93" s="333">
        <f t="shared" si="25"/>
        <v>8.216796635311665</v>
      </c>
      <c r="E93" s="333">
        <f t="shared" si="25"/>
        <v>8.2165857128076123</v>
      </c>
      <c r="F93" s="333">
        <f t="shared" si="25"/>
        <v>8.0390409410949939</v>
      </c>
      <c r="G93" s="333">
        <f t="shared" si="25"/>
        <v>8.0395815549701304</v>
      </c>
      <c r="H93" s="333">
        <f t="shared" si="25"/>
        <v>8.0431121392683558</v>
      </c>
      <c r="I93" s="333">
        <f t="shared" si="25"/>
        <v>8.2644125338511767</v>
      </c>
      <c r="J93" s="333">
        <f t="shared" si="25"/>
        <v>8.2863335451563511</v>
      </c>
      <c r="K93" s="333">
        <f t="shared" si="25"/>
        <v>8.2908357282007064</v>
      </c>
      <c r="L93" s="333">
        <f t="shared" si="25"/>
        <v>8.096494068600828</v>
      </c>
      <c r="M93" s="333">
        <f t="shared" si="25"/>
        <v>8.0882500915647881</v>
      </c>
      <c r="N93" s="333">
        <f t="shared" si="25"/>
        <v>8.0562265453588147</v>
      </c>
      <c r="O93" s="333">
        <f t="shared" si="25"/>
        <v>8.021449524159495</v>
      </c>
      <c r="P93" s="333">
        <f t="shared" si="26"/>
        <v>8.0203080856561915</v>
      </c>
      <c r="Q93" s="333">
        <f t="shared" si="25"/>
        <v>8.0419561293996171</v>
      </c>
      <c r="R93" s="333">
        <f t="shared" si="25"/>
        <v>0</v>
      </c>
      <c r="S93" s="333">
        <f t="shared" si="25"/>
        <v>0</v>
      </c>
      <c r="T93" s="333">
        <f t="shared" si="28"/>
        <v>0</v>
      </c>
      <c r="U93" s="333">
        <f t="shared" si="28"/>
        <v>0</v>
      </c>
      <c r="V93" s="333">
        <f t="shared" si="27"/>
        <v>0</v>
      </c>
      <c r="W93" s="333">
        <f t="shared" si="28"/>
        <v>0</v>
      </c>
      <c r="X93" s="333">
        <f t="shared" si="28"/>
        <v>0</v>
      </c>
      <c r="Y93" s="333">
        <f t="shared" si="28"/>
        <v>0</v>
      </c>
      <c r="Z93" s="333">
        <f t="shared" si="28"/>
        <v>0</v>
      </c>
      <c r="AA93" s="333">
        <f t="shared" si="28"/>
        <v>0</v>
      </c>
      <c r="AB93" s="333">
        <f t="shared" si="28"/>
        <v>0</v>
      </c>
      <c r="AC93" s="333">
        <f t="shared" si="28"/>
        <v>0</v>
      </c>
      <c r="AD93" s="333">
        <f t="shared" si="28"/>
        <v>0</v>
      </c>
      <c r="AE93" s="334">
        <f t="shared" si="28"/>
        <v>0</v>
      </c>
    </row>
    <row r="94" spans="1:31">
      <c r="A94" s="1711"/>
      <c r="B94" s="116">
        <v>15</v>
      </c>
      <c r="C94" s="333">
        <v>9.2971796887388329</v>
      </c>
      <c r="D94" s="333">
        <f t="shared" si="25"/>
        <v>8.2167089483867866</v>
      </c>
      <c r="E94" s="333">
        <f t="shared" si="25"/>
        <v>8.216796635311665</v>
      </c>
      <c r="F94" s="333">
        <f t="shared" si="25"/>
        <v>8.2165857128076123</v>
      </c>
      <c r="G94" s="333">
        <f t="shared" si="25"/>
        <v>8.0390409410949939</v>
      </c>
      <c r="H94" s="333">
        <f t="shared" si="25"/>
        <v>8.0395815549701304</v>
      </c>
      <c r="I94" s="333">
        <f t="shared" si="25"/>
        <v>8.0431121392683558</v>
      </c>
      <c r="J94" s="333">
        <f t="shared" si="25"/>
        <v>8.2644125338511767</v>
      </c>
      <c r="K94" s="333">
        <f t="shared" si="25"/>
        <v>8.2863335451563511</v>
      </c>
      <c r="L94" s="333">
        <f t="shared" si="25"/>
        <v>8.2908357282007064</v>
      </c>
      <c r="M94" s="333">
        <f t="shared" si="25"/>
        <v>8.096494068600828</v>
      </c>
      <c r="N94" s="333">
        <f t="shared" si="25"/>
        <v>8.0882500915647881</v>
      </c>
      <c r="O94" s="333">
        <f t="shared" si="25"/>
        <v>8.0562265453588147</v>
      </c>
      <c r="P94" s="333">
        <f t="shared" si="26"/>
        <v>8.021449524159495</v>
      </c>
      <c r="Q94" s="333">
        <f t="shared" si="25"/>
        <v>8.0203080856561915</v>
      </c>
      <c r="R94" s="333">
        <f t="shared" si="25"/>
        <v>8.0419561293996171</v>
      </c>
      <c r="S94" s="333">
        <f t="shared" si="25"/>
        <v>0</v>
      </c>
      <c r="T94" s="333">
        <f t="shared" si="28"/>
        <v>0</v>
      </c>
      <c r="U94" s="333">
        <f t="shared" si="28"/>
        <v>0</v>
      </c>
      <c r="V94" s="333">
        <f t="shared" si="27"/>
        <v>0</v>
      </c>
      <c r="W94" s="333">
        <f t="shared" si="28"/>
        <v>0</v>
      </c>
      <c r="X94" s="333">
        <f t="shared" si="28"/>
        <v>0</v>
      </c>
      <c r="Y94" s="333">
        <f t="shared" si="28"/>
        <v>0</v>
      </c>
      <c r="Z94" s="333">
        <f t="shared" si="28"/>
        <v>0</v>
      </c>
      <c r="AA94" s="333">
        <f t="shared" si="28"/>
        <v>0</v>
      </c>
      <c r="AB94" s="333">
        <f t="shared" si="28"/>
        <v>0</v>
      </c>
      <c r="AC94" s="333">
        <f t="shared" si="28"/>
        <v>0</v>
      </c>
      <c r="AD94" s="333">
        <f t="shared" si="28"/>
        <v>0</v>
      </c>
      <c r="AE94" s="334">
        <f t="shared" si="28"/>
        <v>0</v>
      </c>
    </row>
    <row r="95" spans="1:31">
      <c r="A95" s="1711"/>
      <c r="B95" s="116">
        <v>16</v>
      </c>
      <c r="C95" s="333">
        <v>9.2970752392534148</v>
      </c>
      <c r="D95" s="333">
        <f t="shared" si="25"/>
        <v>9.2971796887388329</v>
      </c>
      <c r="E95" s="333">
        <f t="shared" si="25"/>
        <v>8.2167089483867866</v>
      </c>
      <c r="F95" s="333">
        <f t="shared" si="25"/>
        <v>8.216796635311665</v>
      </c>
      <c r="G95" s="333">
        <f t="shared" si="25"/>
        <v>8.2165857128076123</v>
      </c>
      <c r="H95" s="333">
        <f t="shared" si="25"/>
        <v>8.0390409410949939</v>
      </c>
      <c r="I95" s="333">
        <f t="shared" si="25"/>
        <v>8.0395815549701304</v>
      </c>
      <c r="J95" s="333">
        <f t="shared" si="25"/>
        <v>8.0431121392683558</v>
      </c>
      <c r="K95" s="333">
        <f t="shared" si="25"/>
        <v>8.2644125338511767</v>
      </c>
      <c r="L95" s="333">
        <f t="shared" si="25"/>
        <v>8.2863335451563511</v>
      </c>
      <c r="M95" s="333">
        <f t="shared" si="25"/>
        <v>8.2908357282007064</v>
      </c>
      <c r="N95" s="333">
        <f t="shared" si="25"/>
        <v>8.096494068600828</v>
      </c>
      <c r="O95" s="333">
        <f t="shared" si="25"/>
        <v>8.0882500915647881</v>
      </c>
      <c r="P95" s="333">
        <f t="shared" si="26"/>
        <v>8.0562265453588147</v>
      </c>
      <c r="Q95" s="333">
        <f t="shared" si="25"/>
        <v>8.021449524159495</v>
      </c>
      <c r="R95" s="333">
        <f t="shared" si="25"/>
        <v>8.0203080856561915</v>
      </c>
      <c r="S95" s="333">
        <f t="shared" si="25"/>
        <v>8.0419561293996171</v>
      </c>
      <c r="T95" s="333">
        <f t="shared" si="28"/>
        <v>0</v>
      </c>
      <c r="U95" s="333">
        <f t="shared" si="28"/>
        <v>0</v>
      </c>
      <c r="V95" s="333">
        <f t="shared" si="27"/>
        <v>0</v>
      </c>
      <c r="W95" s="333">
        <f t="shared" si="28"/>
        <v>0</v>
      </c>
      <c r="X95" s="333">
        <f t="shared" si="28"/>
        <v>0</v>
      </c>
      <c r="Y95" s="333">
        <f t="shared" si="28"/>
        <v>0</v>
      </c>
      <c r="Z95" s="333">
        <f t="shared" si="28"/>
        <v>0</v>
      </c>
      <c r="AA95" s="333">
        <f t="shared" si="28"/>
        <v>0</v>
      </c>
      <c r="AB95" s="333">
        <f t="shared" si="28"/>
        <v>0</v>
      </c>
      <c r="AC95" s="333">
        <f t="shared" si="28"/>
        <v>0</v>
      </c>
      <c r="AD95" s="333">
        <f t="shared" si="28"/>
        <v>0</v>
      </c>
      <c r="AE95" s="334">
        <f t="shared" si="28"/>
        <v>0</v>
      </c>
    </row>
    <row r="96" spans="1:31">
      <c r="A96" s="1711"/>
      <c r="B96" s="116">
        <v>17</v>
      </c>
      <c r="C96" s="333">
        <v>9.2971658228257485</v>
      </c>
      <c r="D96" s="333">
        <f t="shared" si="25"/>
        <v>9.2970752392534148</v>
      </c>
      <c r="E96" s="333">
        <f t="shared" si="25"/>
        <v>9.2971796887388329</v>
      </c>
      <c r="F96" s="333">
        <f t="shared" si="25"/>
        <v>8.2167089483867866</v>
      </c>
      <c r="G96" s="333">
        <f t="shared" si="25"/>
        <v>8.216796635311665</v>
      </c>
      <c r="H96" s="333">
        <f t="shared" si="25"/>
        <v>8.2165857128076123</v>
      </c>
      <c r="I96" s="333">
        <f t="shared" si="25"/>
        <v>8.0390409410949939</v>
      </c>
      <c r="J96" s="333">
        <f t="shared" si="25"/>
        <v>8.0395815549701304</v>
      </c>
      <c r="K96" s="333">
        <f t="shared" si="25"/>
        <v>8.0431121392683558</v>
      </c>
      <c r="L96" s="333">
        <f t="shared" si="25"/>
        <v>8.2644125338511767</v>
      </c>
      <c r="M96" s="333">
        <f t="shared" si="25"/>
        <v>8.2863335451563511</v>
      </c>
      <c r="N96" s="333">
        <f t="shared" si="25"/>
        <v>8.2908357282007064</v>
      </c>
      <c r="O96" s="333">
        <f t="shared" si="25"/>
        <v>8.096494068600828</v>
      </c>
      <c r="P96" s="333">
        <f t="shared" si="26"/>
        <v>8.0882500915647881</v>
      </c>
      <c r="Q96" s="333">
        <f t="shared" si="25"/>
        <v>8.0562265453588147</v>
      </c>
      <c r="R96" s="333">
        <f t="shared" si="25"/>
        <v>8.021449524159495</v>
      </c>
      <c r="S96" s="333">
        <f t="shared" si="25"/>
        <v>8.0203080856561915</v>
      </c>
      <c r="T96" s="333">
        <f t="shared" si="28"/>
        <v>8.0419561293996171</v>
      </c>
      <c r="U96" s="333">
        <f t="shared" si="28"/>
        <v>0</v>
      </c>
      <c r="V96" s="333">
        <f t="shared" si="27"/>
        <v>0</v>
      </c>
      <c r="W96" s="333">
        <f t="shared" si="28"/>
        <v>0</v>
      </c>
      <c r="X96" s="333">
        <f t="shared" si="28"/>
        <v>0</v>
      </c>
      <c r="Y96" s="333">
        <f t="shared" si="28"/>
        <v>0</v>
      </c>
      <c r="Z96" s="333">
        <f t="shared" si="28"/>
        <v>0</v>
      </c>
      <c r="AA96" s="333">
        <f t="shared" si="28"/>
        <v>0</v>
      </c>
      <c r="AB96" s="333">
        <f t="shared" si="28"/>
        <v>0</v>
      </c>
      <c r="AC96" s="333">
        <f t="shared" si="28"/>
        <v>0</v>
      </c>
      <c r="AD96" s="333">
        <f t="shared" si="28"/>
        <v>0</v>
      </c>
      <c r="AE96" s="334">
        <f t="shared" si="28"/>
        <v>0</v>
      </c>
    </row>
    <row r="97" spans="1:31">
      <c r="A97" s="1711"/>
      <c r="B97" s="116">
        <v>18</v>
      </c>
      <c r="C97" s="333">
        <v>9.2969736876670712</v>
      </c>
      <c r="D97" s="333">
        <f t="shared" si="25"/>
        <v>9.2971658228257485</v>
      </c>
      <c r="E97" s="333">
        <f t="shared" si="25"/>
        <v>9.2970752392534148</v>
      </c>
      <c r="F97" s="333">
        <f t="shared" si="25"/>
        <v>9.2971796887388329</v>
      </c>
      <c r="G97" s="333">
        <f t="shared" si="25"/>
        <v>8.2167089483867866</v>
      </c>
      <c r="H97" s="333">
        <f t="shared" si="25"/>
        <v>8.216796635311665</v>
      </c>
      <c r="I97" s="333">
        <f t="shared" si="25"/>
        <v>8.2165857128076123</v>
      </c>
      <c r="J97" s="333">
        <f t="shared" si="25"/>
        <v>8.0390409410949939</v>
      </c>
      <c r="K97" s="333">
        <f t="shared" si="25"/>
        <v>8.0395815549701304</v>
      </c>
      <c r="L97" s="333">
        <f t="shared" si="25"/>
        <v>8.0431121392683558</v>
      </c>
      <c r="M97" s="333">
        <f t="shared" si="25"/>
        <v>8.2644125338511767</v>
      </c>
      <c r="N97" s="333">
        <f t="shared" si="25"/>
        <v>8.2863335451563511</v>
      </c>
      <c r="O97" s="333">
        <f t="shared" si="25"/>
        <v>8.2908357282007064</v>
      </c>
      <c r="P97" s="333">
        <f t="shared" si="26"/>
        <v>8.096494068600828</v>
      </c>
      <c r="Q97" s="333">
        <f t="shared" si="25"/>
        <v>8.0882500915647881</v>
      </c>
      <c r="R97" s="333">
        <f t="shared" si="25"/>
        <v>8.0562265453588147</v>
      </c>
      <c r="S97" s="333">
        <f t="shared" si="25"/>
        <v>8.021449524159495</v>
      </c>
      <c r="T97" s="333">
        <f t="shared" si="28"/>
        <v>8.0203080856561915</v>
      </c>
      <c r="U97" s="333">
        <f t="shared" si="28"/>
        <v>8.0419561293996171</v>
      </c>
      <c r="V97" s="333">
        <f t="shared" si="27"/>
        <v>0</v>
      </c>
      <c r="W97" s="333">
        <f t="shared" si="28"/>
        <v>0</v>
      </c>
      <c r="X97" s="333">
        <f t="shared" si="28"/>
        <v>0</v>
      </c>
      <c r="Y97" s="333">
        <f t="shared" si="28"/>
        <v>0</v>
      </c>
      <c r="Z97" s="333">
        <f t="shared" si="28"/>
        <v>0</v>
      </c>
      <c r="AA97" s="333">
        <f t="shared" si="28"/>
        <v>0</v>
      </c>
      <c r="AB97" s="333">
        <f t="shared" si="28"/>
        <v>0</v>
      </c>
      <c r="AC97" s="333">
        <f t="shared" si="28"/>
        <v>0</v>
      </c>
      <c r="AD97" s="333">
        <f t="shared" si="28"/>
        <v>0</v>
      </c>
      <c r="AE97" s="334">
        <f t="shared" si="28"/>
        <v>0</v>
      </c>
    </row>
    <row r="98" spans="1:31">
      <c r="A98" s="1711"/>
      <c r="B98" s="116">
        <v>19</v>
      </c>
      <c r="C98" s="333">
        <v>9.2970945587933045</v>
      </c>
      <c r="D98" s="333">
        <f t="shared" si="25"/>
        <v>9.2969736876670712</v>
      </c>
      <c r="E98" s="333">
        <f t="shared" si="25"/>
        <v>9.2971658228257485</v>
      </c>
      <c r="F98" s="333">
        <f t="shared" si="25"/>
        <v>9.2970752392534148</v>
      </c>
      <c r="G98" s="333">
        <f t="shared" si="25"/>
        <v>9.2971796887388329</v>
      </c>
      <c r="H98" s="333">
        <f t="shared" si="25"/>
        <v>8.2167089483867866</v>
      </c>
      <c r="I98" s="333">
        <f t="shared" si="25"/>
        <v>8.216796635311665</v>
      </c>
      <c r="J98" s="333">
        <f t="shared" si="25"/>
        <v>8.2165857128076123</v>
      </c>
      <c r="K98" s="333">
        <f t="shared" si="25"/>
        <v>8.0390409410949939</v>
      </c>
      <c r="L98" s="333">
        <f t="shared" si="25"/>
        <v>8.0395815549701304</v>
      </c>
      <c r="M98" s="333">
        <f t="shared" si="25"/>
        <v>8.0431121392683558</v>
      </c>
      <c r="N98" s="333">
        <f t="shared" si="25"/>
        <v>8.2644125338511767</v>
      </c>
      <c r="O98" s="333">
        <f t="shared" si="25"/>
        <v>8.2863335451563511</v>
      </c>
      <c r="P98" s="333">
        <f t="shared" si="26"/>
        <v>8.2908357282007064</v>
      </c>
      <c r="Q98" s="333">
        <f t="shared" si="25"/>
        <v>8.096494068600828</v>
      </c>
      <c r="R98" s="333">
        <f t="shared" si="25"/>
        <v>8.0882500915647881</v>
      </c>
      <c r="S98" s="333">
        <f t="shared" si="25"/>
        <v>8.0562265453588147</v>
      </c>
      <c r="T98" s="333">
        <f t="shared" si="28"/>
        <v>8.021449524159495</v>
      </c>
      <c r="U98" s="333">
        <f t="shared" si="28"/>
        <v>8.0203080856561915</v>
      </c>
      <c r="V98" s="333">
        <f t="shared" si="27"/>
        <v>8.0419561293996171</v>
      </c>
      <c r="W98" s="333">
        <f t="shared" si="28"/>
        <v>0</v>
      </c>
      <c r="X98" s="333">
        <f t="shared" si="28"/>
        <v>0</v>
      </c>
      <c r="Y98" s="333">
        <f t="shared" si="28"/>
        <v>0</v>
      </c>
      <c r="Z98" s="333">
        <f t="shared" si="28"/>
        <v>0</v>
      </c>
      <c r="AA98" s="333">
        <f t="shared" si="28"/>
        <v>0</v>
      </c>
      <c r="AB98" s="333">
        <f t="shared" si="28"/>
        <v>0</v>
      </c>
      <c r="AC98" s="333">
        <f t="shared" si="28"/>
        <v>0</v>
      </c>
      <c r="AD98" s="333">
        <f t="shared" si="28"/>
        <v>0</v>
      </c>
      <c r="AE98" s="334">
        <f t="shared" si="28"/>
        <v>0</v>
      </c>
    </row>
    <row r="99" spans="1:31">
      <c r="A99" s="1711"/>
      <c r="B99" s="116">
        <v>20</v>
      </c>
      <c r="C99" s="333">
        <v>9.2964159491544418</v>
      </c>
      <c r="D99" s="333">
        <f t="shared" si="25"/>
        <v>9.2970945587933045</v>
      </c>
      <c r="E99" s="333">
        <f t="shared" si="25"/>
        <v>9.2969736876670712</v>
      </c>
      <c r="F99" s="333">
        <f t="shared" si="25"/>
        <v>9.2971658228257485</v>
      </c>
      <c r="G99" s="333">
        <f t="shared" si="25"/>
        <v>9.2970752392534148</v>
      </c>
      <c r="H99" s="333">
        <f t="shared" si="25"/>
        <v>9.2971796887388329</v>
      </c>
      <c r="I99" s="333">
        <f t="shared" si="25"/>
        <v>8.2167089483867866</v>
      </c>
      <c r="J99" s="333">
        <f t="shared" si="25"/>
        <v>8.216796635311665</v>
      </c>
      <c r="K99" s="333">
        <f t="shared" si="25"/>
        <v>8.2165857128076123</v>
      </c>
      <c r="L99" s="333">
        <f t="shared" si="25"/>
        <v>8.0390409410949939</v>
      </c>
      <c r="M99" s="333">
        <f t="shared" si="25"/>
        <v>8.0395815549701304</v>
      </c>
      <c r="N99" s="333">
        <f t="shared" si="25"/>
        <v>8.0431121392683558</v>
      </c>
      <c r="O99" s="333">
        <f t="shared" si="25"/>
        <v>8.2644125338511767</v>
      </c>
      <c r="P99" s="333">
        <f t="shared" si="26"/>
        <v>8.2863335451563511</v>
      </c>
      <c r="Q99" s="333">
        <f t="shared" si="25"/>
        <v>8.2908357282007064</v>
      </c>
      <c r="R99" s="333">
        <f t="shared" si="25"/>
        <v>8.096494068600828</v>
      </c>
      <c r="S99" s="333">
        <f t="shared" si="25"/>
        <v>8.0882500915647881</v>
      </c>
      <c r="T99" s="333">
        <f t="shared" si="28"/>
        <v>8.0562265453588147</v>
      </c>
      <c r="U99" s="333">
        <f t="shared" si="28"/>
        <v>8.021449524159495</v>
      </c>
      <c r="V99" s="333">
        <f t="shared" si="27"/>
        <v>8.0203080856561915</v>
      </c>
      <c r="W99" s="333">
        <f t="shared" si="28"/>
        <v>8.0419561293996171</v>
      </c>
      <c r="X99" s="333">
        <f t="shared" si="28"/>
        <v>0</v>
      </c>
      <c r="Y99" s="333">
        <f t="shared" si="28"/>
        <v>0</v>
      </c>
      <c r="Z99" s="333">
        <f t="shared" si="28"/>
        <v>0</v>
      </c>
      <c r="AA99" s="333">
        <f t="shared" si="28"/>
        <v>0</v>
      </c>
      <c r="AB99" s="333">
        <f t="shared" si="28"/>
        <v>0</v>
      </c>
      <c r="AC99" s="333">
        <f t="shared" si="28"/>
        <v>0</v>
      </c>
      <c r="AD99" s="333">
        <f t="shared" si="28"/>
        <v>0</v>
      </c>
      <c r="AE99" s="334">
        <f t="shared" si="28"/>
        <v>0</v>
      </c>
    </row>
    <row r="100" spans="1:31">
      <c r="A100" s="1711"/>
      <c r="B100" s="116">
        <v>21</v>
      </c>
      <c r="C100" s="333">
        <v>9.2964159491544418</v>
      </c>
      <c r="D100" s="333">
        <f t="shared" si="25"/>
        <v>9.2964159491544418</v>
      </c>
      <c r="E100" s="333">
        <f t="shared" si="25"/>
        <v>9.2970945587933045</v>
      </c>
      <c r="F100" s="333">
        <f t="shared" si="25"/>
        <v>9.2969736876670712</v>
      </c>
      <c r="G100" s="333">
        <f t="shared" si="25"/>
        <v>9.2971658228257485</v>
      </c>
      <c r="H100" s="333">
        <f t="shared" si="25"/>
        <v>9.2970752392534148</v>
      </c>
      <c r="I100" s="333">
        <f t="shared" si="25"/>
        <v>9.2971796887388329</v>
      </c>
      <c r="J100" s="333">
        <f t="shared" si="25"/>
        <v>8.2167089483867866</v>
      </c>
      <c r="K100" s="333">
        <f t="shared" si="25"/>
        <v>8.216796635311665</v>
      </c>
      <c r="L100" s="333">
        <f t="shared" si="25"/>
        <v>8.2165857128076123</v>
      </c>
      <c r="M100" s="333">
        <f t="shared" si="25"/>
        <v>8.0390409410949939</v>
      </c>
      <c r="N100" s="333">
        <f t="shared" si="25"/>
        <v>8.0395815549701304</v>
      </c>
      <c r="O100" s="333">
        <f t="shared" si="25"/>
        <v>8.0431121392683558</v>
      </c>
      <c r="P100" s="333">
        <f t="shared" si="26"/>
        <v>8.2644125338511767</v>
      </c>
      <c r="Q100" s="333">
        <f t="shared" si="25"/>
        <v>8.2863335451563511</v>
      </c>
      <c r="R100" s="333">
        <f t="shared" si="25"/>
        <v>8.2908357282007064</v>
      </c>
      <c r="S100" s="333">
        <f t="shared" si="25"/>
        <v>8.096494068600828</v>
      </c>
      <c r="T100" s="333">
        <f t="shared" si="28"/>
        <v>8.0882500915647881</v>
      </c>
      <c r="U100" s="333">
        <f t="shared" si="28"/>
        <v>8.0562265453588147</v>
      </c>
      <c r="V100" s="333">
        <f t="shared" si="27"/>
        <v>8.021449524159495</v>
      </c>
      <c r="W100" s="333">
        <f t="shared" si="28"/>
        <v>8.0203080856561915</v>
      </c>
      <c r="X100" s="333">
        <f t="shared" si="28"/>
        <v>8.0419561293996171</v>
      </c>
      <c r="Y100" s="333">
        <f t="shared" si="28"/>
        <v>0</v>
      </c>
      <c r="Z100" s="333">
        <f t="shared" si="28"/>
        <v>0</v>
      </c>
      <c r="AA100" s="333">
        <f t="shared" si="28"/>
        <v>0</v>
      </c>
      <c r="AB100" s="333">
        <f t="shared" si="28"/>
        <v>0</v>
      </c>
      <c r="AC100" s="333">
        <f t="shared" si="28"/>
        <v>0</v>
      </c>
      <c r="AD100" s="333">
        <f t="shared" si="28"/>
        <v>0</v>
      </c>
      <c r="AE100" s="334">
        <f t="shared" si="28"/>
        <v>0</v>
      </c>
    </row>
    <row r="101" spans="1:31">
      <c r="A101" s="1711"/>
      <c r="B101" s="116">
        <v>22</v>
      </c>
      <c r="C101" s="333">
        <v>9.2964159491544418</v>
      </c>
      <c r="D101" s="333">
        <f t="shared" si="25"/>
        <v>9.2964159491544418</v>
      </c>
      <c r="E101" s="333">
        <f t="shared" si="25"/>
        <v>9.2964159491544418</v>
      </c>
      <c r="F101" s="333">
        <f t="shared" si="25"/>
        <v>9.2970945587933045</v>
      </c>
      <c r="G101" s="333">
        <f t="shared" si="25"/>
        <v>9.2969736876670712</v>
      </c>
      <c r="H101" s="333">
        <f t="shared" si="25"/>
        <v>9.2971658228257485</v>
      </c>
      <c r="I101" s="333">
        <f t="shared" si="25"/>
        <v>9.2970752392534148</v>
      </c>
      <c r="J101" s="333">
        <f t="shared" si="25"/>
        <v>9.2971796887388329</v>
      </c>
      <c r="K101" s="333">
        <f t="shared" si="25"/>
        <v>8.2167089483867866</v>
      </c>
      <c r="L101" s="333">
        <f t="shared" si="25"/>
        <v>8.216796635311665</v>
      </c>
      <c r="M101" s="333">
        <f t="shared" si="25"/>
        <v>8.2165857128076123</v>
      </c>
      <c r="N101" s="333">
        <f t="shared" si="25"/>
        <v>8.0390409410949939</v>
      </c>
      <c r="O101" s="333">
        <f t="shared" si="25"/>
        <v>8.0395815549701304</v>
      </c>
      <c r="P101" s="333">
        <f t="shared" si="26"/>
        <v>8.0431121392683558</v>
      </c>
      <c r="Q101" s="333">
        <f t="shared" si="25"/>
        <v>8.2644125338511767</v>
      </c>
      <c r="R101" s="333">
        <f t="shared" si="25"/>
        <v>8.2863335451563511</v>
      </c>
      <c r="S101" s="333">
        <f t="shared" si="25"/>
        <v>8.2908357282007064</v>
      </c>
      <c r="T101" s="333">
        <f t="shared" si="28"/>
        <v>8.096494068600828</v>
      </c>
      <c r="U101" s="333">
        <f t="shared" si="28"/>
        <v>8.0882500915647881</v>
      </c>
      <c r="V101" s="333">
        <f t="shared" si="27"/>
        <v>8.0562265453588147</v>
      </c>
      <c r="W101" s="333">
        <f t="shared" si="28"/>
        <v>8.021449524159495</v>
      </c>
      <c r="X101" s="333">
        <f t="shared" si="28"/>
        <v>8.0203080856561915</v>
      </c>
      <c r="Y101" s="333">
        <f t="shared" si="28"/>
        <v>8.0419561293996171</v>
      </c>
      <c r="Z101" s="333">
        <f t="shared" si="28"/>
        <v>0</v>
      </c>
      <c r="AA101" s="333">
        <f t="shared" si="28"/>
        <v>0</v>
      </c>
      <c r="AB101" s="333">
        <f t="shared" si="28"/>
        <v>0</v>
      </c>
      <c r="AC101" s="333">
        <f t="shared" si="28"/>
        <v>0</v>
      </c>
      <c r="AD101" s="333">
        <f t="shared" si="28"/>
        <v>0</v>
      </c>
      <c r="AE101" s="334">
        <f t="shared" si="28"/>
        <v>0</v>
      </c>
    </row>
    <row r="102" spans="1:31">
      <c r="A102" s="1711"/>
      <c r="B102" s="116">
        <v>23</v>
      </c>
      <c r="C102" s="333">
        <v>9.2964159491544418</v>
      </c>
      <c r="D102" s="333">
        <f t="shared" si="25"/>
        <v>9.2964159491544418</v>
      </c>
      <c r="E102" s="333">
        <f t="shared" si="25"/>
        <v>9.2964159491544418</v>
      </c>
      <c r="F102" s="333">
        <f t="shared" si="25"/>
        <v>9.2964159491544418</v>
      </c>
      <c r="G102" s="333">
        <f t="shared" si="25"/>
        <v>9.2970945587933045</v>
      </c>
      <c r="H102" s="333">
        <f t="shared" si="25"/>
        <v>9.2969736876670712</v>
      </c>
      <c r="I102" s="333">
        <f t="shared" si="25"/>
        <v>9.2971658228257485</v>
      </c>
      <c r="J102" s="333">
        <f t="shared" si="25"/>
        <v>9.2970752392534148</v>
      </c>
      <c r="K102" s="333">
        <f t="shared" si="25"/>
        <v>9.2971796887388329</v>
      </c>
      <c r="L102" s="333">
        <f t="shared" si="25"/>
        <v>8.2167089483867866</v>
      </c>
      <c r="M102" s="333">
        <f t="shared" si="25"/>
        <v>8.216796635311665</v>
      </c>
      <c r="N102" s="333">
        <f t="shared" si="25"/>
        <v>8.2165857128076123</v>
      </c>
      <c r="O102" s="333">
        <f t="shared" si="25"/>
        <v>8.0390409410949939</v>
      </c>
      <c r="P102" s="333">
        <f t="shared" si="26"/>
        <v>8.0395815549701304</v>
      </c>
      <c r="Q102" s="333">
        <f t="shared" si="25"/>
        <v>8.0431121392683558</v>
      </c>
      <c r="R102" s="333">
        <f t="shared" si="25"/>
        <v>8.2644125338511767</v>
      </c>
      <c r="S102" s="333">
        <f t="shared" si="25"/>
        <v>8.2863335451563511</v>
      </c>
      <c r="T102" s="333">
        <f t="shared" si="28"/>
        <v>8.2908357282007064</v>
      </c>
      <c r="U102" s="333">
        <f t="shared" si="28"/>
        <v>8.096494068600828</v>
      </c>
      <c r="V102" s="333">
        <f t="shared" si="27"/>
        <v>8.0882500915647881</v>
      </c>
      <c r="W102" s="333">
        <f t="shared" si="28"/>
        <v>8.0562265453588147</v>
      </c>
      <c r="X102" s="333">
        <f t="shared" si="28"/>
        <v>8.021449524159495</v>
      </c>
      <c r="Y102" s="333">
        <f t="shared" si="28"/>
        <v>8.0203080856561915</v>
      </c>
      <c r="Z102" s="333">
        <f t="shared" si="28"/>
        <v>8.0419561293996171</v>
      </c>
      <c r="AA102" s="333">
        <f t="shared" si="28"/>
        <v>0</v>
      </c>
      <c r="AB102" s="333">
        <f t="shared" si="28"/>
        <v>0</v>
      </c>
      <c r="AC102" s="333">
        <f t="shared" si="28"/>
        <v>0</v>
      </c>
      <c r="AD102" s="333">
        <f t="shared" si="28"/>
        <v>0</v>
      </c>
      <c r="AE102" s="334">
        <f t="shared" si="28"/>
        <v>0</v>
      </c>
    </row>
    <row r="103" spans="1:31">
      <c r="A103" s="1711"/>
      <c r="B103" s="116">
        <v>24</v>
      </c>
      <c r="C103" s="333">
        <v>9.2964159491544418</v>
      </c>
      <c r="D103" s="333">
        <f t="shared" si="25"/>
        <v>9.2964159491544418</v>
      </c>
      <c r="E103" s="333">
        <f t="shared" si="25"/>
        <v>9.2964159491544418</v>
      </c>
      <c r="F103" s="333">
        <f t="shared" si="25"/>
        <v>9.2964159491544418</v>
      </c>
      <c r="G103" s="333">
        <f t="shared" si="25"/>
        <v>9.2964159491544418</v>
      </c>
      <c r="H103" s="333">
        <f t="shared" si="25"/>
        <v>9.2970945587933045</v>
      </c>
      <c r="I103" s="333">
        <f t="shared" si="25"/>
        <v>9.2969736876670712</v>
      </c>
      <c r="J103" s="333">
        <f t="shared" si="25"/>
        <v>9.2971658228257485</v>
      </c>
      <c r="K103" s="333">
        <f t="shared" si="25"/>
        <v>9.2970752392534148</v>
      </c>
      <c r="L103" s="333">
        <f t="shared" si="25"/>
        <v>9.2971796887388329</v>
      </c>
      <c r="M103" s="333">
        <f t="shared" si="25"/>
        <v>8.2167089483867866</v>
      </c>
      <c r="N103" s="333">
        <f t="shared" si="25"/>
        <v>8.216796635311665</v>
      </c>
      <c r="O103" s="333">
        <f t="shared" si="25"/>
        <v>8.2165857128076123</v>
      </c>
      <c r="P103" s="333">
        <f t="shared" si="26"/>
        <v>8.0390409410949939</v>
      </c>
      <c r="Q103" s="333">
        <f t="shared" si="25"/>
        <v>8.0395815549701304</v>
      </c>
      <c r="R103" s="333">
        <f t="shared" si="25"/>
        <v>8.0431121392683558</v>
      </c>
      <c r="S103" s="333">
        <f t="shared" si="25"/>
        <v>8.2644125338511767</v>
      </c>
      <c r="T103" s="333">
        <f t="shared" si="28"/>
        <v>8.2863335451563511</v>
      </c>
      <c r="U103" s="333">
        <f t="shared" si="28"/>
        <v>8.2908357282007064</v>
      </c>
      <c r="V103" s="333">
        <f t="shared" si="27"/>
        <v>8.096494068600828</v>
      </c>
      <c r="W103" s="333">
        <f t="shared" si="28"/>
        <v>8.0882500915647881</v>
      </c>
      <c r="X103" s="333">
        <f t="shared" si="28"/>
        <v>8.0562265453588147</v>
      </c>
      <c r="Y103" s="333">
        <f t="shared" si="28"/>
        <v>8.021449524159495</v>
      </c>
      <c r="Z103" s="333">
        <f t="shared" si="28"/>
        <v>8.0203080856561915</v>
      </c>
      <c r="AA103" s="333">
        <f t="shared" si="28"/>
        <v>8.0419561293996171</v>
      </c>
      <c r="AB103" s="333">
        <f t="shared" si="28"/>
        <v>0</v>
      </c>
      <c r="AC103" s="333">
        <f t="shared" si="28"/>
        <v>0</v>
      </c>
      <c r="AD103" s="333">
        <f t="shared" si="28"/>
        <v>0</v>
      </c>
      <c r="AE103" s="334">
        <f t="shared" si="28"/>
        <v>0</v>
      </c>
    </row>
    <row r="104" spans="1:31" ht="15.75" thickBot="1">
      <c r="A104" s="1711"/>
      <c r="B104" s="116">
        <v>25</v>
      </c>
      <c r="C104" s="333">
        <f>(C103)/1.3761</f>
        <v>6.7556252809784469</v>
      </c>
      <c r="D104" s="333">
        <f t="shared" si="25"/>
        <v>9.2964159491544418</v>
      </c>
      <c r="E104" s="333">
        <f t="shared" si="25"/>
        <v>9.2964159491544418</v>
      </c>
      <c r="F104" s="333">
        <f t="shared" si="25"/>
        <v>9.2964159491544418</v>
      </c>
      <c r="G104" s="333">
        <f t="shared" si="25"/>
        <v>9.2964159491544418</v>
      </c>
      <c r="H104" s="333">
        <f t="shared" si="25"/>
        <v>9.2964159491544418</v>
      </c>
      <c r="I104" s="333">
        <f t="shared" si="25"/>
        <v>9.2970945587933045</v>
      </c>
      <c r="J104" s="333">
        <f t="shared" si="25"/>
        <v>9.2969736876670712</v>
      </c>
      <c r="K104" s="333">
        <f t="shared" si="25"/>
        <v>9.2971658228257485</v>
      </c>
      <c r="L104" s="333">
        <f t="shared" si="25"/>
        <v>9.2970752392534148</v>
      </c>
      <c r="M104" s="333">
        <f t="shared" si="25"/>
        <v>9.2971796887388329</v>
      </c>
      <c r="N104" s="333">
        <f t="shared" si="25"/>
        <v>8.2167089483867866</v>
      </c>
      <c r="O104" s="333">
        <f t="shared" si="25"/>
        <v>8.216796635311665</v>
      </c>
      <c r="P104" s="333">
        <f t="shared" si="26"/>
        <v>8.2165857128076123</v>
      </c>
      <c r="Q104" s="333">
        <f t="shared" ref="Q104:AE104" si="29">P103</f>
        <v>8.0390409410949939</v>
      </c>
      <c r="R104" s="333">
        <f t="shared" si="29"/>
        <v>8.0395815549701304</v>
      </c>
      <c r="S104" s="333">
        <f t="shared" si="29"/>
        <v>8.0431121392683558</v>
      </c>
      <c r="T104" s="333">
        <f t="shared" si="29"/>
        <v>8.2644125338511767</v>
      </c>
      <c r="U104" s="333">
        <f t="shared" si="29"/>
        <v>8.2863335451563511</v>
      </c>
      <c r="V104" s="333">
        <f t="shared" si="27"/>
        <v>8.2908357282007064</v>
      </c>
      <c r="W104" s="333">
        <f t="shared" si="29"/>
        <v>8.096494068600828</v>
      </c>
      <c r="X104" s="333">
        <f t="shared" si="29"/>
        <v>8.0882500915647881</v>
      </c>
      <c r="Y104" s="333">
        <f t="shared" si="29"/>
        <v>8.0562265453588147</v>
      </c>
      <c r="Z104" s="333">
        <f t="shared" si="29"/>
        <v>8.021449524159495</v>
      </c>
      <c r="AA104" s="333">
        <f t="shared" si="29"/>
        <v>8.0203080856561915</v>
      </c>
      <c r="AB104" s="333">
        <f t="shared" si="29"/>
        <v>8.0419561293996171</v>
      </c>
      <c r="AC104" s="333">
        <f t="shared" si="29"/>
        <v>0</v>
      </c>
      <c r="AD104" s="333">
        <f t="shared" si="29"/>
        <v>0</v>
      </c>
      <c r="AE104" s="334">
        <f t="shared" si="29"/>
        <v>0</v>
      </c>
    </row>
    <row r="105" spans="1:31" ht="16.5" thickTop="1" thickBot="1">
      <c r="A105" s="1712"/>
      <c r="B105" s="300" t="s">
        <v>39</v>
      </c>
      <c r="C105" s="383">
        <f>SUMPRODUCT(C79:C104,'FREH Stock'!C375:C400)/'FREH Stock'!C401</f>
        <v>8.1365214037820834</v>
      </c>
      <c r="D105" s="384">
        <f>SUMPRODUCT(D79:D104,'FREH Stock'!D375:D400)/'FREH Stock'!D401</f>
        <v>8.1200613059543549</v>
      </c>
      <c r="E105" s="384">
        <f>SUMPRODUCT(E79:E104,'FREH Stock'!E375:E400)/'FREH Stock'!E401</f>
        <v>8.1036533238915922</v>
      </c>
      <c r="F105" s="384">
        <f>SUMPRODUCT(F79:F104,'FREH Stock'!F375:F400)/'FREH Stock'!F401</f>
        <v>8.0853830523933308</v>
      </c>
      <c r="G105" s="384">
        <f>SUMPRODUCT(G79:G104,'FREH Stock'!G375:G400)/'FREH Stock'!G401</f>
        <v>8.0682455469747367</v>
      </c>
      <c r="H105" s="384">
        <f>SUMPRODUCT(H79:H104,'FREH Stock'!H375:H400)/'FREH Stock'!H401</f>
        <v>8.0544054087254455</v>
      </c>
      <c r="I105" s="384">
        <f>SUMPRODUCT(I79:I104,'FREH Stock'!I375:I400)/'FREH Stock'!I401</f>
        <v>8.0446122909597761</v>
      </c>
      <c r="J105" s="384">
        <f>SUMPRODUCT(J79:J104,'FREH Stock'!J375:J400)/'FREH Stock'!J401</f>
        <v>8.039059146013452</v>
      </c>
      <c r="K105" s="384">
        <f>SUMPRODUCT(K79:K104,'FREH Stock'!K375:K400)/'FREH Stock'!K401</f>
        <v>8.0367574946542</v>
      </c>
      <c r="L105" s="384">
        <f>SUMPRODUCT(L79:L104,'FREH Stock'!L375:L400)/'FREH Stock'!L401</f>
        <v>8.0361797642226307</v>
      </c>
      <c r="M105" s="384">
        <f>SUMPRODUCT(M79:M104,'FREH Stock'!M375:M400)/'FREH Stock'!M401</f>
        <v>8.0364703581740304</v>
      </c>
      <c r="N105" s="384">
        <f>SUMPRODUCT(N79:N104,'FREH Stock'!N375:N400)/'FREH Stock'!N401</f>
        <v>8.0372880773538942</v>
      </c>
      <c r="O105" s="384">
        <f>SUMPRODUCT(O79:O104,'FREH Stock'!O375:O400)/'FREH Stock'!O401</f>
        <v>8.0382478701783775</v>
      </c>
      <c r="P105" s="384">
        <f>SUMPRODUCT(P79:P104,'FREH Stock'!P375:P400)/'FREH Stock'!P401</f>
        <v>8.0390593605310681</v>
      </c>
      <c r="Q105" s="384">
        <f>SUMPRODUCT(Q79:Q104,'FREH Stock'!Q375:Q400)/'FREH Stock'!Q401</f>
        <v>8.0398489435945972</v>
      </c>
      <c r="R105" s="384">
        <f>SUMPRODUCT(R79:R104,'FREH Stock'!R375:R400)/'FREH Stock'!R401</f>
        <v>8.0400484072974727</v>
      </c>
      <c r="S105" s="384">
        <f>SUMPRODUCT(S79:S104,'FREH Stock'!S375:S400)/'FREH Stock'!S401</f>
        <v>8.0402513259201918</v>
      </c>
      <c r="T105" s="384">
        <f>SUMPRODUCT(T79:T104,'FREH Stock'!T375:T400)/'FREH Stock'!T401</f>
        <v>8.0404572567971329</v>
      </c>
      <c r="U105" s="384">
        <f>SUMPRODUCT(U79:U104,'FREH Stock'!U375:U400)/'FREH Stock'!U401</f>
        <v>8.0406658124988315</v>
      </c>
      <c r="V105" s="384">
        <f>SUMPRODUCT(V79:V104,'FREH Stock'!V375:V400)/'FREH Stock'!V401</f>
        <v>8.0408766545653574</v>
      </c>
      <c r="W105" s="384">
        <f>SUMPRODUCT(W79:W104,'FREH Stock'!W375:W400)/'FREH Stock'!W401</f>
        <v>8.0410894880759969</v>
      </c>
      <c r="X105" s="384">
        <f>SUMPRODUCT(X79:X104,'FREH Stock'!X375:X400)/'FREH Stock'!X401</f>
        <v>8.0413040570667373</v>
      </c>
      <c r="Y105" s="384">
        <f>SUMPRODUCT(Y79:Y104,'FREH Stock'!Y375:Y400)/'FREH Stock'!Y401</f>
        <v>8.0415201408033301</v>
      </c>
      <c r="Z105" s="384">
        <f>SUMPRODUCT(Z79:Z104,'FREH Stock'!Z375:Z400)/'FREH Stock'!Z401</f>
        <v>8.0417375509158724</v>
      </c>
      <c r="AA105" s="389">
        <f>SUMPRODUCT(AA79:AA104,'FREH Stock'!AA375:AA400)/'FREH Stock'!AA401</f>
        <v>8.0419561293996171</v>
      </c>
      <c r="AB105" s="384">
        <v>0</v>
      </c>
      <c r="AC105" s="384">
        <v>0</v>
      </c>
      <c r="AD105" s="384">
        <v>0</v>
      </c>
      <c r="AE105" s="385">
        <v>0</v>
      </c>
    </row>
  </sheetData>
  <mergeCells count="3">
    <mergeCell ref="A20:A47"/>
    <mergeCell ref="A49:A76"/>
    <mergeCell ref="A78:A105"/>
  </mergeCells>
  <pageMargins left="0.7" right="0.7" top="0.75" bottom="0.75" header="0.3" footer="0.3"/>
  <pageSetup paperSize="9" orientation="portrait" r:id="rId1"/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25">
    <tabColor theme="5"/>
  </sheetPr>
  <dimension ref="A1:CB75"/>
  <sheetViews>
    <sheetView workbookViewId="0">
      <selection sqref="A1:X1"/>
    </sheetView>
  </sheetViews>
  <sheetFormatPr defaultRowHeight="15"/>
  <sheetData>
    <row r="1" spans="1:80" ht="26.25">
      <c r="A1" s="1737" t="s">
        <v>209</v>
      </c>
      <c r="B1" s="1738"/>
      <c r="C1" s="1738"/>
      <c r="D1" s="1738"/>
      <c r="E1" s="1738"/>
      <c r="F1" s="1738"/>
      <c r="G1" s="1738"/>
      <c r="H1" s="1738"/>
      <c r="I1" s="1738"/>
      <c r="J1" s="1738"/>
      <c r="K1" s="1738"/>
      <c r="L1" s="1738"/>
      <c r="M1" s="1738"/>
      <c r="N1" s="1738"/>
      <c r="O1" s="1738"/>
      <c r="P1" s="1738"/>
      <c r="Q1" s="1738"/>
      <c r="R1" s="1738"/>
      <c r="S1" s="1738"/>
      <c r="T1" s="1738"/>
      <c r="U1" s="1738"/>
      <c r="V1" s="1738"/>
      <c r="W1" s="1738"/>
      <c r="X1" s="1739"/>
      <c r="Y1" s="9"/>
      <c r="Z1" s="7"/>
      <c r="AB1" s="1737" t="s">
        <v>210</v>
      </c>
      <c r="AC1" s="1738"/>
      <c r="AD1" s="1738"/>
      <c r="AE1" s="1738"/>
      <c r="AF1" s="1738"/>
      <c r="AG1" s="1738"/>
      <c r="AH1" s="1738"/>
      <c r="AI1" s="1738"/>
      <c r="AJ1" s="1738"/>
      <c r="AK1" s="1738"/>
      <c r="AL1" s="1738"/>
      <c r="AM1" s="1738"/>
      <c r="AN1" s="1738"/>
      <c r="AO1" s="1738"/>
      <c r="AP1" s="1738"/>
      <c r="AQ1" s="1738"/>
      <c r="AR1" s="1738"/>
      <c r="AS1" s="1738"/>
      <c r="AT1" s="1738"/>
      <c r="AU1" s="1738"/>
      <c r="AV1" s="1738"/>
      <c r="AW1" s="1738"/>
      <c r="AX1" s="1738"/>
      <c r="AY1" s="1739"/>
      <c r="AZ1" s="9"/>
      <c r="BA1" s="7"/>
      <c r="BC1" s="1737" t="s">
        <v>211</v>
      </c>
      <c r="BD1" s="1738"/>
      <c r="BE1" s="1738"/>
      <c r="BF1" s="1738"/>
      <c r="BG1" s="1738"/>
      <c r="BH1" s="1738"/>
      <c r="BI1" s="1738"/>
      <c r="BJ1" s="1738"/>
      <c r="BK1" s="1738"/>
      <c r="BL1" s="1738"/>
      <c r="BM1" s="1738"/>
      <c r="BN1" s="1738"/>
      <c r="BO1" s="1738"/>
      <c r="BP1" s="1738"/>
      <c r="BQ1" s="1738"/>
      <c r="BR1" s="1738"/>
      <c r="BS1" s="1738"/>
      <c r="BT1" s="1738"/>
      <c r="BU1" s="1738"/>
      <c r="BV1" s="1738"/>
      <c r="BW1" s="1738"/>
      <c r="BX1" s="1738"/>
      <c r="BY1" s="1738"/>
      <c r="BZ1" s="1739"/>
      <c r="CA1" s="9"/>
      <c r="CB1" s="7"/>
    </row>
    <row r="2" spans="1:80" ht="15.75" thickBot="1">
      <c r="A2" s="12" t="s">
        <v>10</v>
      </c>
      <c r="B2" s="13">
        <v>2013</v>
      </c>
      <c r="C2" s="13">
        <v>2012</v>
      </c>
      <c r="D2" s="13">
        <v>2011</v>
      </c>
      <c r="E2" s="13">
        <v>2010</v>
      </c>
      <c r="F2" s="13">
        <v>2009</v>
      </c>
      <c r="G2" s="13">
        <v>2008</v>
      </c>
      <c r="H2" s="13">
        <v>2007</v>
      </c>
      <c r="I2" s="13">
        <v>2006</v>
      </c>
      <c r="J2" s="13">
        <v>2005</v>
      </c>
      <c r="K2" s="13">
        <v>2004</v>
      </c>
      <c r="L2" s="13">
        <v>2003</v>
      </c>
      <c r="M2" s="13">
        <v>2002</v>
      </c>
      <c r="N2" s="13">
        <v>2001</v>
      </c>
      <c r="O2" s="13">
        <v>2000</v>
      </c>
      <c r="P2" s="13">
        <v>1999</v>
      </c>
      <c r="Q2" s="13">
        <v>1998</v>
      </c>
      <c r="R2" s="13">
        <v>1997</v>
      </c>
      <c r="S2" s="13">
        <v>1996</v>
      </c>
      <c r="T2" s="13">
        <v>1995</v>
      </c>
      <c r="U2" s="13">
        <v>1994</v>
      </c>
      <c r="V2" s="13">
        <v>1993</v>
      </c>
      <c r="W2" s="13">
        <v>1992</v>
      </c>
      <c r="X2" s="14">
        <v>1991</v>
      </c>
      <c r="Y2" s="4"/>
      <c r="Z2" s="7"/>
      <c r="AB2" s="12" t="s">
        <v>10</v>
      </c>
      <c r="AC2" s="13">
        <v>2013</v>
      </c>
      <c r="AD2" s="13">
        <v>2012</v>
      </c>
      <c r="AE2" s="13">
        <v>2011</v>
      </c>
      <c r="AF2" s="13">
        <v>2010</v>
      </c>
      <c r="AG2" s="13">
        <v>2009</v>
      </c>
      <c r="AH2" s="13">
        <v>2008</v>
      </c>
      <c r="AI2" s="13">
        <v>2007</v>
      </c>
      <c r="AJ2" s="13">
        <v>2006</v>
      </c>
      <c r="AK2" s="13">
        <v>2005</v>
      </c>
      <c r="AL2" s="13">
        <v>2004</v>
      </c>
      <c r="AM2" s="13">
        <v>2003</v>
      </c>
      <c r="AN2" s="13">
        <v>2002</v>
      </c>
      <c r="AO2" s="13">
        <v>2001</v>
      </c>
      <c r="AP2" s="13">
        <v>2000</v>
      </c>
      <c r="AQ2" s="13">
        <v>1999</v>
      </c>
      <c r="AR2" s="13">
        <v>1998</v>
      </c>
      <c r="AS2" s="13">
        <v>1997</v>
      </c>
      <c r="AT2" s="13">
        <v>1996</v>
      </c>
      <c r="AU2" s="13">
        <v>1995</v>
      </c>
      <c r="AV2" s="13">
        <v>1994</v>
      </c>
      <c r="AW2" s="13">
        <v>1993</v>
      </c>
      <c r="AX2" s="13">
        <v>1992</v>
      </c>
      <c r="AY2" s="14">
        <v>1991</v>
      </c>
      <c r="AZ2" s="4"/>
      <c r="BA2" s="7"/>
      <c r="BC2" s="12" t="s">
        <v>10</v>
      </c>
      <c r="BD2" s="13">
        <v>2013</v>
      </c>
      <c r="BE2" s="13">
        <v>2012</v>
      </c>
      <c r="BF2" s="13">
        <v>2011</v>
      </c>
      <c r="BG2" s="13">
        <v>2010</v>
      </c>
      <c r="BH2" s="13">
        <v>2009</v>
      </c>
      <c r="BI2" s="13">
        <v>2008</v>
      </c>
      <c r="BJ2" s="13">
        <v>2007</v>
      </c>
      <c r="BK2" s="13">
        <v>2006</v>
      </c>
      <c r="BL2" s="13">
        <v>2005</v>
      </c>
      <c r="BM2" s="13">
        <v>2004</v>
      </c>
      <c r="BN2" s="13">
        <v>2003</v>
      </c>
      <c r="BO2" s="13">
        <v>2002</v>
      </c>
      <c r="BP2" s="13">
        <v>2001</v>
      </c>
      <c r="BQ2" s="13">
        <v>2000</v>
      </c>
      <c r="BR2" s="13">
        <v>1999</v>
      </c>
      <c r="BS2" s="13">
        <v>1998</v>
      </c>
      <c r="BT2" s="13">
        <v>1997</v>
      </c>
      <c r="BU2" s="13">
        <v>1996</v>
      </c>
      <c r="BV2" s="13">
        <v>1995</v>
      </c>
      <c r="BW2" s="13">
        <v>1994</v>
      </c>
      <c r="BX2" s="13">
        <v>1993</v>
      </c>
      <c r="BY2" s="13">
        <v>1992</v>
      </c>
      <c r="BZ2" s="14">
        <v>1991</v>
      </c>
      <c r="CA2" s="4"/>
      <c r="CB2" s="7"/>
    </row>
    <row r="3" spans="1:80" ht="15.75" thickTop="1">
      <c r="A3" s="47">
        <v>0</v>
      </c>
      <c r="B3" s="48">
        <v>34</v>
      </c>
      <c r="C3" s="49">
        <v>15</v>
      </c>
      <c r="D3" s="49">
        <v>8</v>
      </c>
      <c r="E3" s="49">
        <v>49</v>
      </c>
      <c r="F3" s="49">
        <v>89</v>
      </c>
      <c r="G3" s="49">
        <v>193</v>
      </c>
      <c r="H3" s="49">
        <v>180</v>
      </c>
      <c r="I3" s="49">
        <v>611</v>
      </c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50"/>
      <c r="Y3" s="7"/>
      <c r="Z3" s="7"/>
      <c r="AB3" s="47">
        <v>0</v>
      </c>
      <c r="AC3" s="48">
        <v>4412</v>
      </c>
      <c r="AD3" s="49">
        <v>4294</v>
      </c>
      <c r="AE3" s="49">
        <v>4204</v>
      </c>
      <c r="AF3" s="49">
        <v>3326</v>
      </c>
      <c r="AG3" s="49">
        <v>2866</v>
      </c>
      <c r="AH3" s="49">
        <v>7135</v>
      </c>
      <c r="AI3" s="49">
        <v>10195</v>
      </c>
      <c r="AJ3" s="49">
        <v>11353</v>
      </c>
      <c r="AK3" s="49"/>
      <c r="AL3" s="49"/>
      <c r="AM3" s="49"/>
      <c r="AN3" s="49"/>
      <c r="AO3" s="49"/>
      <c r="AP3" s="49"/>
      <c r="AQ3" s="49"/>
      <c r="AR3" s="49"/>
      <c r="AS3" s="49"/>
      <c r="AT3" s="49"/>
      <c r="AU3" s="49"/>
      <c r="AV3" s="49"/>
      <c r="AW3" s="49"/>
      <c r="AX3" s="49"/>
      <c r="AY3" s="50"/>
      <c r="AZ3" s="7"/>
      <c r="BA3" s="7"/>
      <c r="BC3" s="47">
        <v>0</v>
      </c>
      <c r="BD3" s="48">
        <v>3652</v>
      </c>
      <c r="BE3" s="49">
        <v>3343</v>
      </c>
      <c r="BF3" s="49">
        <v>3554</v>
      </c>
      <c r="BG3" s="49">
        <v>3683</v>
      </c>
      <c r="BH3" s="49">
        <v>3389</v>
      </c>
      <c r="BI3" s="49">
        <v>12863</v>
      </c>
      <c r="BJ3" s="49">
        <v>19328</v>
      </c>
      <c r="BK3" s="49">
        <v>17655</v>
      </c>
      <c r="BL3" s="49"/>
      <c r="BM3" s="49"/>
      <c r="BN3" s="49"/>
      <c r="BO3" s="49"/>
      <c r="BP3" s="49"/>
      <c r="BQ3" s="49"/>
      <c r="BR3" s="49"/>
      <c r="BS3" s="49"/>
      <c r="BT3" s="49"/>
      <c r="BU3" s="49"/>
      <c r="BV3" s="49"/>
      <c r="BW3" s="49"/>
      <c r="BX3" s="49"/>
      <c r="BY3" s="49"/>
      <c r="BZ3" s="50"/>
      <c r="CA3" s="7"/>
      <c r="CB3" s="7"/>
    </row>
    <row r="4" spans="1:80">
      <c r="A4" s="17">
        <v>1</v>
      </c>
      <c r="B4" s="51"/>
      <c r="C4" s="52">
        <v>14</v>
      </c>
      <c r="D4" s="52">
        <v>5</v>
      </c>
      <c r="E4" s="52">
        <v>32</v>
      </c>
      <c r="F4" s="52">
        <v>48</v>
      </c>
      <c r="G4" s="52">
        <v>137</v>
      </c>
      <c r="H4" s="52">
        <v>165</v>
      </c>
      <c r="I4" s="52">
        <v>537</v>
      </c>
      <c r="J4" s="52">
        <v>299</v>
      </c>
      <c r="K4" s="52"/>
      <c r="L4" s="52"/>
      <c r="M4" s="52"/>
      <c r="N4" s="52"/>
      <c r="O4" s="52"/>
      <c r="P4" s="52"/>
      <c r="Q4" s="52"/>
      <c r="R4" s="52"/>
      <c r="S4" s="52"/>
      <c r="T4" s="52"/>
      <c r="U4" s="52"/>
      <c r="V4" s="52"/>
      <c r="W4" s="52"/>
      <c r="X4" s="53"/>
      <c r="Y4" s="7"/>
      <c r="Z4" s="7"/>
      <c r="AB4" s="17">
        <v>1</v>
      </c>
      <c r="AC4" s="51"/>
      <c r="AD4" s="52">
        <v>4360</v>
      </c>
      <c r="AE4" s="52">
        <v>4212</v>
      </c>
      <c r="AF4" s="52">
        <v>3283</v>
      </c>
      <c r="AG4" s="52">
        <v>2867</v>
      </c>
      <c r="AH4" s="52">
        <v>7023</v>
      </c>
      <c r="AI4" s="52">
        <v>9795</v>
      </c>
      <c r="AJ4" s="52">
        <v>11018</v>
      </c>
      <c r="AK4" s="52">
        <v>10122</v>
      </c>
      <c r="AL4" s="52"/>
      <c r="AM4" s="52"/>
      <c r="AN4" s="52"/>
      <c r="AO4" s="52"/>
      <c r="AP4" s="52"/>
      <c r="AQ4" s="52"/>
      <c r="AR4" s="52"/>
      <c r="AS4" s="52"/>
      <c r="AT4" s="52"/>
      <c r="AU4" s="52"/>
      <c r="AV4" s="52"/>
      <c r="AW4" s="52"/>
      <c r="AX4" s="52"/>
      <c r="AY4" s="53"/>
      <c r="AZ4" s="7"/>
      <c r="BA4" s="7"/>
      <c r="BC4" s="17">
        <v>1</v>
      </c>
      <c r="BD4" s="51"/>
      <c r="BE4" s="52">
        <v>3437</v>
      </c>
      <c r="BF4" s="52">
        <v>3698</v>
      </c>
      <c r="BG4" s="52">
        <v>3709</v>
      </c>
      <c r="BH4" s="52">
        <v>3371</v>
      </c>
      <c r="BI4" s="52">
        <v>12573</v>
      </c>
      <c r="BJ4" s="52">
        <v>18502</v>
      </c>
      <c r="BK4" s="52">
        <v>17161</v>
      </c>
      <c r="BL4" s="52">
        <v>16308</v>
      </c>
      <c r="BM4" s="52"/>
      <c r="BN4" s="52"/>
      <c r="BO4" s="52"/>
      <c r="BP4" s="52"/>
      <c r="BQ4" s="52"/>
      <c r="BR4" s="52"/>
      <c r="BS4" s="52"/>
      <c r="BT4" s="52"/>
      <c r="BU4" s="52"/>
      <c r="BV4" s="52"/>
      <c r="BW4" s="52"/>
      <c r="BX4" s="52"/>
      <c r="BY4" s="52"/>
      <c r="BZ4" s="53"/>
      <c r="CA4" s="7"/>
      <c r="CB4" s="7"/>
    </row>
    <row r="5" spans="1:80">
      <c r="A5" s="17">
        <v>2</v>
      </c>
      <c r="B5" s="51"/>
      <c r="C5" s="52"/>
      <c r="D5" s="52">
        <v>21</v>
      </c>
      <c r="E5" s="52">
        <v>32</v>
      </c>
      <c r="F5" s="52">
        <v>49</v>
      </c>
      <c r="G5" s="52">
        <v>129</v>
      </c>
      <c r="H5" s="52">
        <v>147</v>
      </c>
      <c r="I5" s="52">
        <v>517</v>
      </c>
      <c r="J5" s="52">
        <v>269</v>
      </c>
      <c r="K5" s="52">
        <v>64</v>
      </c>
      <c r="L5" s="52"/>
      <c r="M5" s="52"/>
      <c r="N5" s="52"/>
      <c r="O5" s="52"/>
      <c r="P5" s="52"/>
      <c r="Q5" s="52"/>
      <c r="R5" s="52"/>
      <c r="S5" s="52"/>
      <c r="T5" s="52"/>
      <c r="U5" s="52"/>
      <c r="V5" s="52"/>
      <c r="W5" s="52"/>
      <c r="X5" s="53"/>
      <c r="Y5" s="7"/>
      <c r="Z5" s="7"/>
      <c r="AB5" s="17">
        <v>2</v>
      </c>
      <c r="AC5" s="51"/>
      <c r="AD5" s="52"/>
      <c r="AE5" s="52">
        <v>4424</v>
      </c>
      <c r="AF5" s="52">
        <v>3379</v>
      </c>
      <c r="AG5" s="52">
        <v>2849</v>
      </c>
      <c r="AH5" s="52">
        <v>6971</v>
      </c>
      <c r="AI5" s="52">
        <v>9984</v>
      </c>
      <c r="AJ5" s="52">
        <v>11013</v>
      </c>
      <c r="AK5" s="52">
        <v>10255</v>
      </c>
      <c r="AL5" s="52">
        <v>8710</v>
      </c>
      <c r="AM5" s="52"/>
      <c r="AN5" s="52"/>
      <c r="AO5" s="52"/>
      <c r="AP5" s="52"/>
      <c r="AQ5" s="52"/>
      <c r="AR5" s="52"/>
      <c r="AS5" s="52"/>
      <c r="AT5" s="52"/>
      <c r="AU5" s="52"/>
      <c r="AV5" s="52"/>
      <c r="AW5" s="52"/>
      <c r="AX5" s="52"/>
      <c r="AY5" s="53"/>
      <c r="AZ5" s="7"/>
      <c r="BA5" s="7"/>
      <c r="BC5" s="17">
        <v>2</v>
      </c>
      <c r="BD5" s="51"/>
      <c r="BE5" s="52"/>
      <c r="BF5" s="52">
        <v>3799</v>
      </c>
      <c r="BG5" s="52">
        <v>3652</v>
      </c>
      <c r="BH5" s="52">
        <v>3380</v>
      </c>
      <c r="BI5" s="52">
        <v>12306</v>
      </c>
      <c r="BJ5" s="52">
        <v>18611</v>
      </c>
      <c r="BK5" s="52">
        <v>16834</v>
      </c>
      <c r="BL5" s="52">
        <v>16166</v>
      </c>
      <c r="BM5" s="52">
        <v>12554</v>
      </c>
      <c r="BN5" s="52"/>
      <c r="BO5" s="52"/>
      <c r="BP5" s="52"/>
      <c r="BQ5" s="52"/>
      <c r="BR5" s="52"/>
      <c r="BS5" s="52"/>
      <c r="BT5" s="52"/>
      <c r="BU5" s="52"/>
      <c r="BV5" s="52"/>
      <c r="BW5" s="52"/>
      <c r="BX5" s="52"/>
      <c r="BY5" s="52"/>
      <c r="BZ5" s="53"/>
      <c r="CA5" s="7"/>
      <c r="CB5" s="7"/>
    </row>
    <row r="6" spans="1:80">
      <c r="A6" s="17">
        <v>3</v>
      </c>
      <c r="B6" s="51"/>
      <c r="C6" s="52"/>
      <c r="D6" s="52"/>
      <c r="E6" s="52">
        <v>66</v>
      </c>
      <c r="F6" s="52">
        <v>57</v>
      </c>
      <c r="G6" s="52">
        <v>116</v>
      </c>
      <c r="H6" s="52">
        <v>143</v>
      </c>
      <c r="I6" s="52">
        <v>544</v>
      </c>
      <c r="J6" s="52">
        <v>339</v>
      </c>
      <c r="K6" s="52">
        <v>165</v>
      </c>
      <c r="L6" s="52">
        <v>210</v>
      </c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X6" s="53"/>
      <c r="Y6" s="7"/>
      <c r="Z6" s="7"/>
      <c r="AB6" s="17">
        <v>3</v>
      </c>
      <c r="AC6" s="51"/>
      <c r="AD6" s="52"/>
      <c r="AE6" s="52"/>
      <c r="AF6" s="52">
        <v>3390</v>
      </c>
      <c r="AG6" s="52">
        <v>2635</v>
      </c>
      <c r="AH6" s="52">
        <v>6734</v>
      </c>
      <c r="AI6" s="52">
        <v>9676</v>
      </c>
      <c r="AJ6" s="52">
        <v>11424</v>
      </c>
      <c r="AK6" s="52">
        <v>10444</v>
      </c>
      <c r="AL6" s="52">
        <v>8985</v>
      </c>
      <c r="AM6" s="52">
        <v>8596</v>
      </c>
      <c r="AN6" s="52"/>
      <c r="AO6" s="52"/>
      <c r="AP6" s="52"/>
      <c r="AQ6" s="52"/>
      <c r="AR6" s="52"/>
      <c r="AS6" s="52"/>
      <c r="AT6" s="52"/>
      <c r="AU6" s="52"/>
      <c r="AV6" s="52"/>
      <c r="AW6" s="52"/>
      <c r="AX6" s="52"/>
      <c r="AY6" s="53"/>
      <c r="AZ6" s="7"/>
      <c r="BA6" s="7"/>
      <c r="BC6" s="17">
        <v>3</v>
      </c>
      <c r="BD6" s="51"/>
      <c r="BE6" s="52"/>
      <c r="BF6" s="52"/>
      <c r="BG6" s="52">
        <v>3760</v>
      </c>
      <c r="BH6" s="52">
        <v>3342</v>
      </c>
      <c r="BI6" s="52">
        <v>12146</v>
      </c>
      <c r="BJ6" s="52">
        <v>17986</v>
      </c>
      <c r="BK6" s="52">
        <v>17083</v>
      </c>
      <c r="BL6" s="52">
        <v>15823</v>
      </c>
      <c r="BM6" s="52">
        <v>12548</v>
      </c>
      <c r="BN6" s="52">
        <v>13406</v>
      </c>
      <c r="BO6" s="52"/>
      <c r="BP6" s="52"/>
      <c r="BQ6" s="52"/>
      <c r="BR6" s="52"/>
      <c r="BS6" s="52"/>
      <c r="BT6" s="52"/>
      <c r="BU6" s="52"/>
      <c r="BV6" s="52"/>
      <c r="BW6" s="52"/>
      <c r="BX6" s="52"/>
      <c r="BY6" s="52"/>
      <c r="BZ6" s="53"/>
      <c r="CA6" s="7"/>
      <c r="CB6" s="7"/>
    </row>
    <row r="7" spans="1:80">
      <c r="A7" s="17">
        <v>4</v>
      </c>
      <c r="B7" s="51"/>
      <c r="C7" s="52"/>
      <c r="D7" s="52"/>
      <c r="E7" s="52"/>
      <c r="F7" s="52">
        <v>70</v>
      </c>
      <c r="G7" s="52">
        <v>119</v>
      </c>
      <c r="H7" s="52">
        <v>134</v>
      </c>
      <c r="I7" s="52">
        <v>458</v>
      </c>
      <c r="J7" s="52">
        <v>315</v>
      </c>
      <c r="K7" s="52">
        <v>237</v>
      </c>
      <c r="L7" s="52">
        <v>275</v>
      </c>
      <c r="M7" s="52">
        <v>319</v>
      </c>
      <c r="N7" s="52"/>
      <c r="O7" s="52"/>
      <c r="P7" s="52"/>
      <c r="Q7" s="52"/>
      <c r="R7" s="52"/>
      <c r="S7" s="52"/>
      <c r="T7" s="52"/>
      <c r="U7" s="52"/>
      <c r="V7" s="52"/>
      <c r="W7" s="52"/>
      <c r="X7" s="53"/>
      <c r="Y7" s="7"/>
      <c r="Z7" s="7"/>
      <c r="AB7" s="17">
        <v>4</v>
      </c>
      <c r="AC7" s="51"/>
      <c r="AD7" s="52"/>
      <c r="AE7" s="52"/>
      <c r="AF7" s="52"/>
      <c r="AG7" s="52">
        <v>3073</v>
      </c>
      <c r="AH7" s="52">
        <v>6750</v>
      </c>
      <c r="AI7" s="52">
        <v>9479</v>
      </c>
      <c r="AJ7" s="52">
        <v>11300</v>
      </c>
      <c r="AK7" s="52">
        <v>11090</v>
      </c>
      <c r="AL7" s="52">
        <v>9296</v>
      </c>
      <c r="AM7" s="52">
        <v>9027</v>
      </c>
      <c r="AN7" s="52">
        <v>9308</v>
      </c>
      <c r="AO7" s="52"/>
      <c r="AP7" s="52"/>
      <c r="AQ7" s="52"/>
      <c r="AR7" s="52"/>
      <c r="AS7" s="52"/>
      <c r="AT7" s="52"/>
      <c r="AU7" s="52"/>
      <c r="AV7" s="52"/>
      <c r="AW7" s="52"/>
      <c r="AX7" s="52"/>
      <c r="AY7" s="53"/>
      <c r="AZ7" s="7"/>
      <c r="BA7" s="7"/>
      <c r="BC7" s="17">
        <v>4</v>
      </c>
      <c r="BD7" s="51"/>
      <c r="BE7" s="52"/>
      <c r="BF7" s="52"/>
      <c r="BG7" s="52"/>
      <c r="BH7" s="52">
        <v>3492</v>
      </c>
      <c r="BI7" s="52">
        <v>11950</v>
      </c>
      <c r="BJ7" s="52">
        <v>17933</v>
      </c>
      <c r="BK7" s="52">
        <v>16677</v>
      </c>
      <c r="BL7" s="52">
        <v>16355</v>
      </c>
      <c r="BM7" s="52">
        <v>12548</v>
      </c>
      <c r="BN7" s="52">
        <v>13528</v>
      </c>
      <c r="BO7" s="52">
        <v>11771</v>
      </c>
      <c r="BP7" s="52"/>
      <c r="BQ7" s="52"/>
      <c r="BR7" s="52"/>
      <c r="BS7" s="52"/>
      <c r="BT7" s="52"/>
      <c r="BU7" s="52"/>
      <c r="BV7" s="52"/>
      <c r="BW7" s="52"/>
      <c r="BX7" s="52"/>
      <c r="BY7" s="52"/>
      <c r="BZ7" s="53"/>
      <c r="CA7" s="7"/>
      <c r="CB7" s="7"/>
    </row>
    <row r="8" spans="1:80">
      <c r="A8" s="17">
        <v>5</v>
      </c>
      <c r="B8" s="51"/>
      <c r="C8" s="52"/>
      <c r="D8" s="52"/>
      <c r="E8" s="52"/>
      <c r="F8" s="52"/>
      <c r="G8" s="52">
        <v>136</v>
      </c>
      <c r="H8" s="52">
        <v>131</v>
      </c>
      <c r="I8" s="52">
        <v>428</v>
      </c>
      <c r="J8" s="52">
        <v>293</v>
      </c>
      <c r="K8" s="52">
        <v>231</v>
      </c>
      <c r="L8" s="52">
        <v>271</v>
      </c>
      <c r="M8" s="52">
        <v>301</v>
      </c>
      <c r="N8" s="52">
        <v>144</v>
      </c>
      <c r="O8" s="52"/>
      <c r="P8" s="52"/>
      <c r="Q8" s="52"/>
      <c r="R8" s="52"/>
      <c r="S8" s="52"/>
      <c r="T8" s="52"/>
      <c r="U8" s="52"/>
      <c r="V8" s="52"/>
      <c r="W8" s="52"/>
      <c r="X8" s="53"/>
      <c r="Y8" s="7"/>
      <c r="Z8" s="7"/>
      <c r="AB8" s="17">
        <v>5</v>
      </c>
      <c r="AC8" s="51"/>
      <c r="AD8" s="52"/>
      <c r="AE8" s="52"/>
      <c r="AF8" s="52"/>
      <c r="AG8" s="52"/>
      <c r="AH8" s="52">
        <v>7088</v>
      </c>
      <c r="AI8" s="52">
        <v>9436</v>
      </c>
      <c r="AJ8" s="52">
        <v>10869</v>
      </c>
      <c r="AK8" s="52">
        <v>10564</v>
      </c>
      <c r="AL8" s="52">
        <v>9618</v>
      </c>
      <c r="AM8" s="52">
        <v>9022</v>
      </c>
      <c r="AN8" s="52">
        <v>9255</v>
      </c>
      <c r="AO8" s="52">
        <v>11237</v>
      </c>
      <c r="AP8" s="52"/>
      <c r="AQ8" s="52"/>
      <c r="AR8" s="52"/>
      <c r="AS8" s="52"/>
      <c r="AT8" s="52"/>
      <c r="AU8" s="52"/>
      <c r="AV8" s="52"/>
      <c r="AW8" s="52"/>
      <c r="AX8" s="52"/>
      <c r="AY8" s="53"/>
      <c r="AZ8" s="7"/>
      <c r="BA8" s="7"/>
      <c r="BC8" s="17">
        <v>5</v>
      </c>
      <c r="BD8" s="51"/>
      <c r="BE8" s="52"/>
      <c r="BF8" s="52"/>
      <c r="BG8" s="52"/>
      <c r="BH8" s="52"/>
      <c r="BI8" s="52">
        <v>12023</v>
      </c>
      <c r="BJ8" s="52">
        <v>17410</v>
      </c>
      <c r="BK8" s="52">
        <v>16431</v>
      </c>
      <c r="BL8" s="52">
        <v>15703</v>
      </c>
      <c r="BM8" s="52">
        <v>12753</v>
      </c>
      <c r="BN8" s="52">
        <v>13282</v>
      </c>
      <c r="BO8" s="52">
        <v>11750</v>
      </c>
      <c r="BP8" s="52">
        <v>10162</v>
      </c>
      <c r="BQ8" s="52"/>
      <c r="BR8" s="52"/>
      <c r="BS8" s="52"/>
      <c r="BT8" s="52"/>
      <c r="BU8" s="52"/>
      <c r="BV8" s="52"/>
      <c r="BW8" s="52"/>
      <c r="BX8" s="52"/>
      <c r="BY8" s="52"/>
      <c r="BZ8" s="53"/>
      <c r="CA8" s="7"/>
      <c r="CB8" s="7"/>
    </row>
    <row r="9" spans="1:80">
      <c r="A9" s="17">
        <v>6</v>
      </c>
      <c r="B9" s="51"/>
      <c r="C9" s="52"/>
      <c r="D9" s="52"/>
      <c r="E9" s="52"/>
      <c r="F9" s="52"/>
      <c r="G9" s="52"/>
      <c r="H9" s="52">
        <v>171</v>
      </c>
      <c r="I9" s="52">
        <v>393</v>
      </c>
      <c r="J9" s="52">
        <v>255</v>
      </c>
      <c r="K9" s="52">
        <v>193</v>
      </c>
      <c r="L9" s="52">
        <v>258</v>
      </c>
      <c r="M9" s="52">
        <v>301</v>
      </c>
      <c r="N9" s="52">
        <v>153</v>
      </c>
      <c r="O9" s="52">
        <v>112</v>
      </c>
      <c r="P9" s="52"/>
      <c r="Q9" s="52"/>
      <c r="R9" s="52"/>
      <c r="S9" s="52"/>
      <c r="T9" s="52"/>
      <c r="U9" s="52"/>
      <c r="V9" s="52"/>
      <c r="W9" s="52"/>
      <c r="X9" s="53"/>
      <c r="Y9" s="7"/>
      <c r="Z9" s="7"/>
      <c r="AB9" s="17">
        <v>6</v>
      </c>
      <c r="AC9" s="51"/>
      <c r="AD9" s="52"/>
      <c r="AE9" s="52"/>
      <c r="AF9" s="52"/>
      <c r="AG9" s="52"/>
      <c r="AH9" s="52"/>
      <c r="AI9" s="52">
        <v>9619</v>
      </c>
      <c r="AJ9" s="52">
        <v>10658</v>
      </c>
      <c r="AK9" s="52">
        <v>10180</v>
      </c>
      <c r="AL9" s="52">
        <v>9097</v>
      </c>
      <c r="AM9" s="52">
        <v>8978</v>
      </c>
      <c r="AN9" s="52">
        <v>8878</v>
      </c>
      <c r="AO9" s="52">
        <v>10794</v>
      </c>
      <c r="AP9" s="52">
        <v>13513</v>
      </c>
      <c r="AQ9" s="52"/>
      <c r="AR9" s="52"/>
      <c r="AS9" s="52"/>
      <c r="AT9" s="52"/>
      <c r="AU9" s="52"/>
      <c r="AV9" s="52"/>
      <c r="AW9" s="52"/>
      <c r="AX9" s="52"/>
      <c r="AY9" s="53"/>
      <c r="AZ9" s="7"/>
      <c r="BA9" s="7"/>
      <c r="BC9" s="17">
        <v>6</v>
      </c>
      <c r="BD9" s="51"/>
      <c r="BE9" s="52"/>
      <c r="BF9" s="52"/>
      <c r="BG9" s="52"/>
      <c r="BH9" s="52"/>
      <c r="BI9" s="52"/>
      <c r="BJ9" s="52">
        <v>17515</v>
      </c>
      <c r="BK9" s="52">
        <v>15846</v>
      </c>
      <c r="BL9" s="52">
        <v>15425</v>
      </c>
      <c r="BM9" s="52">
        <v>12296</v>
      </c>
      <c r="BN9" s="52">
        <v>13264</v>
      </c>
      <c r="BO9" s="52">
        <v>11389</v>
      </c>
      <c r="BP9" s="52">
        <v>9835</v>
      </c>
      <c r="BQ9" s="52">
        <v>9563</v>
      </c>
      <c r="BR9" s="52"/>
      <c r="BS9" s="52"/>
      <c r="BT9" s="52"/>
      <c r="BU9" s="52"/>
      <c r="BV9" s="52"/>
      <c r="BW9" s="52"/>
      <c r="BX9" s="52"/>
      <c r="BY9" s="52"/>
      <c r="BZ9" s="53"/>
      <c r="CA9" s="7"/>
      <c r="CB9" s="7"/>
    </row>
    <row r="10" spans="1:80">
      <c r="A10" s="17">
        <v>7</v>
      </c>
      <c r="B10" s="51"/>
      <c r="C10" s="52"/>
      <c r="D10" s="52"/>
      <c r="E10" s="52"/>
      <c r="F10" s="52"/>
      <c r="G10" s="52"/>
      <c r="H10" s="52"/>
      <c r="I10" s="52">
        <v>403</v>
      </c>
      <c r="J10" s="52">
        <v>238</v>
      </c>
      <c r="K10" s="52">
        <v>164</v>
      </c>
      <c r="L10" s="52">
        <v>211</v>
      </c>
      <c r="M10" s="52">
        <v>264</v>
      </c>
      <c r="N10" s="52">
        <v>145</v>
      </c>
      <c r="O10" s="52">
        <v>126</v>
      </c>
      <c r="P10" s="52">
        <v>56</v>
      </c>
      <c r="Q10" s="52"/>
      <c r="R10" s="52"/>
      <c r="S10" s="52"/>
      <c r="T10" s="52"/>
      <c r="U10" s="52"/>
      <c r="V10" s="52"/>
      <c r="W10" s="52"/>
      <c r="X10" s="53"/>
      <c r="Y10" s="7"/>
      <c r="Z10" s="7"/>
      <c r="AB10" s="17">
        <v>7</v>
      </c>
      <c r="AC10" s="51"/>
      <c r="AD10" s="52"/>
      <c r="AE10" s="52"/>
      <c r="AF10" s="52"/>
      <c r="AG10" s="52"/>
      <c r="AH10" s="52"/>
      <c r="AI10" s="52"/>
      <c r="AJ10" s="52">
        <v>10802</v>
      </c>
      <c r="AK10" s="52">
        <v>9782</v>
      </c>
      <c r="AL10" s="52">
        <v>8701</v>
      </c>
      <c r="AM10" s="52">
        <v>8438</v>
      </c>
      <c r="AN10" s="52">
        <v>8553</v>
      </c>
      <c r="AO10" s="52">
        <v>10016</v>
      </c>
      <c r="AP10" s="52">
        <v>12683</v>
      </c>
      <c r="AQ10" s="52">
        <v>10742</v>
      </c>
      <c r="AR10" s="52"/>
      <c r="AS10" s="52"/>
      <c r="AT10" s="52"/>
      <c r="AU10" s="52"/>
      <c r="AV10" s="52"/>
      <c r="AW10" s="52"/>
      <c r="AX10" s="52"/>
      <c r="AY10" s="53"/>
      <c r="AZ10" s="7"/>
      <c r="BA10" s="7"/>
      <c r="BC10" s="17">
        <v>7</v>
      </c>
      <c r="BD10" s="51"/>
      <c r="BE10" s="52"/>
      <c r="BF10" s="52"/>
      <c r="BG10" s="52"/>
      <c r="BH10" s="52"/>
      <c r="BI10" s="52"/>
      <c r="BJ10" s="52"/>
      <c r="BK10" s="52">
        <v>15964</v>
      </c>
      <c r="BL10" s="52">
        <v>14749</v>
      </c>
      <c r="BM10" s="52">
        <v>11957</v>
      </c>
      <c r="BN10" s="52">
        <v>12695</v>
      </c>
      <c r="BO10" s="52">
        <v>11107</v>
      </c>
      <c r="BP10" s="52">
        <v>9349</v>
      </c>
      <c r="BQ10" s="52">
        <v>9163</v>
      </c>
      <c r="BR10" s="52">
        <v>8017</v>
      </c>
      <c r="BS10" s="52"/>
      <c r="BT10" s="52"/>
      <c r="BU10" s="52"/>
      <c r="BV10" s="52"/>
      <c r="BW10" s="52"/>
      <c r="BX10" s="52"/>
      <c r="BY10" s="52"/>
      <c r="BZ10" s="53"/>
      <c r="CA10" s="7"/>
      <c r="CB10" s="7"/>
    </row>
    <row r="11" spans="1:80">
      <c r="A11" s="17">
        <v>8</v>
      </c>
      <c r="B11" s="51"/>
      <c r="C11" s="52"/>
      <c r="D11" s="52"/>
      <c r="E11" s="52"/>
      <c r="F11" s="52"/>
      <c r="G11" s="52"/>
      <c r="H11" s="52"/>
      <c r="I11" s="52"/>
      <c r="J11" s="52">
        <v>241</v>
      </c>
      <c r="K11" s="52">
        <v>170</v>
      </c>
      <c r="L11" s="52">
        <v>194</v>
      </c>
      <c r="M11" s="52">
        <v>227</v>
      </c>
      <c r="N11" s="52">
        <v>119</v>
      </c>
      <c r="O11" s="52">
        <v>105</v>
      </c>
      <c r="P11" s="52">
        <v>45</v>
      </c>
      <c r="Q11" s="52">
        <v>39</v>
      </c>
      <c r="R11" s="52"/>
      <c r="S11" s="52"/>
      <c r="T11" s="52"/>
      <c r="U11" s="52"/>
      <c r="V11" s="52"/>
      <c r="W11" s="52"/>
      <c r="X11" s="53"/>
      <c r="Y11" s="7"/>
      <c r="Z11" s="7"/>
      <c r="AB11" s="17">
        <v>8</v>
      </c>
      <c r="AC11" s="51"/>
      <c r="AD11" s="52"/>
      <c r="AE11" s="52"/>
      <c r="AF11" s="52"/>
      <c r="AG11" s="52"/>
      <c r="AH11" s="52"/>
      <c r="AI11" s="52"/>
      <c r="AJ11" s="52"/>
      <c r="AK11" s="52">
        <v>9975</v>
      </c>
      <c r="AL11" s="52">
        <v>8366</v>
      </c>
      <c r="AM11" s="52">
        <v>8064</v>
      </c>
      <c r="AN11" s="52">
        <v>7877</v>
      </c>
      <c r="AO11" s="52">
        <v>9276</v>
      </c>
      <c r="AP11" s="52">
        <v>11570</v>
      </c>
      <c r="AQ11" s="52">
        <v>9796</v>
      </c>
      <c r="AR11" s="52">
        <v>8241</v>
      </c>
      <c r="AS11" s="52"/>
      <c r="AT11" s="52"/>
      <c r="AU11" s="52"/>
      <c r="AV11" s="52"/>
      <c r="AW11" s="52"/>
      <c r="AX11" s="52"/>
      <c r="AY11" s="53"/>
      <c r="AZ11" s="7"/>
      <c r="BA11" s="7"/>
      <c r="BC11" s="17">
        <v>8</v>
      </c>
      <c r="BD11" s="51"/>
      <c r="BE11" s="52"/>
      <c r="BF11" s="52"/>
      <c r="BG11" s="52"/>
      <c r="BH11" s="52"/>
      <c r="BI11" s="52"/>
      <c r="BJ11" s="52"/>
      <c r="BK11" s="52"/>
      <c r="BL11" s="52">
        <v>14761</v>
      </c>
      <c r="BM11" s="52">
        <v>11267</v>
      </c>
      <c r="BN11" s="52">
        <v>12192</v>
      </c>
      <c r="BO11" s="52">
        <v>10323</v>
      </c>
      <c r="BP11" s="52">
        <v>9000</v>
      </c>
      <c r="BQ11" s="52">
        <v>8287</v>
      </c>
      <c r="BR11" s="52">
        <v>7402</v>
      </c>
      <c r="BS11" s="52">
        <v>6960</v>
      </c>
      <c r="BT11" s="52"/>
      <c r="BU11" s="52"/>
      <c r="BV11" s="52"/>
      <c r="BW11" s="52"/>
      <c r="BX11" s="52"/>
      <c r="BY11" s="52"/>
      <c r="BZ11" s="53"/>
      <c r="CA11" s="7"/>
      <c r="CB11" s="7"/>
    </row>
    <row r="12" spans="1:80">
      <c r="A12" s="17">
        <v>9</v>
      </c>
      <c r="B12" s="51"/>
      <c r="C12" s="52"/>
      <c r="D12" s="52"/>
      <c r="E12" s="52"/>
      <c r="F12" s="52"/>
      <c r="G12" s="52"/>
      <c r="H12" s="52"/>
      <c r="I12" s="52"/>
      <c r="J12" s="52"/>
      <c r="K12" s="52">
        <v>162</v>
      </c>
      <c r="L12" s="52">
        <v>178</v>
      </c>
      <c r="M12" s="52">
        <v>193</v>
      </c>
      <c r="N12" s="52">
        <v>117</v>
      </c>
      <c r="O12" s="52">
        <v>94</v>
      </c>
      <c r="P12" s="52">
        <v>44</v>
      </c>
      <c r="Q12" s="52">
        <v>36</v>
      </c>
      <c r="R12" s="52">
        <v>44</v>
      </c>
      <c r="S12" s="52"/>
      <c r="T12" s="52"/>
      <c r="U12" s="52"/>
      <c r="V12" s="52"/>
      <c r="W12" s="52"/>
      <c r="X12" s="53"/>
      <c r="Y12" s="7"/>
      <c r="Z12" s="7"/>
      <c r="AB12" s="17">
        <v>9</v>
      </c>
      <c r="AC12" s="51"/>
      <c r="AD12" s="52"/>
      <c r="AE12" s="52"/>
      <c r="AF12" s="52"/>
      <c r="AG12" s="52"/>
      <c r="AH12" s="52"/>
      <c r="AI12" s="52"/>
      <c r="AJ12" s="52"/>
      <c r="AK12" s="52"/>
      <c r="AL12" s="52">
        <v>8455</v>
      </c>
      <c r="AM12" s="52">
        <v>7621</v>
      </c>
      <c r="AN12" s="52">
        <v>7404</v>
      </c>
      <c r="AO12" s="52">
        <v>8095</v>
      </c>
      <c r="AP12" s="52">
        <v>10373</v>
      </c>
      <c r="AQ12" s="52">
        <v>8438</v>
      </c>
      <c r="AR12" s="52">
        <v>7223</v>
      </c>
      <c r="AS12" s="52">
        <v>5969</v>
      </c>
      <c r="AT12" s="52"/>
      <c r="AU12" s="52"/>
      <c r="AV12" s="52"/>
      <c r="AW12" s="52"/>
      <c r="AX12" s="52"/>
      <c r="AY12" s="53"/>
      <c r="AZ12" s="7"/>
      <c r="BA12" s="7"/>
      <c r="BC12" s="17">
        <v>9</v>
      </c>
      <c r="BD12" s="51"/>
      <c r="BE12" s="52"/>
      <c r="BF12" s="52"/>
      <c r="BG12" s="52"/>
      <c r="BH12" s="52"/>
      <c r="BI12" s="52"/>
      <c r="BJ12" s="52"/>
      <c r="BK12" s="52"/>
      <c r="BL12" s="52"/>
      <c r="BM12" s="52">
        <v>11179</v>
      </c>
      <c r="BN12" s="52">
        <v>11240</v>
      </c>
      <c r="BO12" s="52">
        <v>9778</v>
      </c>
      <c r="BP12" s="52">
        <v>8066</v>
      </c>
      <c r="BQ12" s="52">
        <v>7680</v>
      </c>
      <c r="BR12" s="52">
        <v>6653</v>
      </c>
      <c r="BS12" s="52">
        <v>6394</v>
      </c>
      <c r="BT12" s="52">
        <v>5119</v>
      </c>
      <c r="BU12" s="52"/>
      <c r="BV12" s="52"/>
      <c r="BW12" s="52"/>
      <c r="BX12" s="52"/>
      <c r="BY12" s="52"/>
      <c r="BZ12" s="53"/>
      <c r="CA12" s="7"/>
      <c r="CB12" s="7"/>
    </row>
    <row r="13" spans="1:80">
      <c r="A13" s="17">
        <v>10</v>
      </c>
      <c r="B13" s="51"/>
      <c r="C13" s="52"/>
      <c r="D13" s="52"/>
      <c r="E13" s="52"/>
      <c r="F13" s="52"/>
      <c r="G13" s="52"/>
      <c r="H13" s="52"/>
      <c r="I13" s="52"/>
      <c r="J13" s="52"/>
      <c r="K13" s="52"/>
      <c r="L13" s="52">
        <v>181</v>
      </c>
      <c r="M13" s="52">
        <v>179</v>
      </c>
      <c r="N13" s="52">
        <v>99</v>
      </c>
      <c r="O13" s="52">
        <v>76</v>
      </c>
      <c r="P13" s="52">
        <v>36</v>
      </c>
      <c r="Q13" s="52">
        <v>35</v>
      </c>
      <c r="R13" s="52">
        <v>35</v>
      </c>
      <c r="S13" s="52">
        <v>92</v>
      </c>
      <c r="T13" s="52"/>
      <c r="U13" s="52"/>
      <c r="V13" s="52"/>
      <c r="W13" s="52"/>
      <c r="X13" s="53"/>
      <c r="Y13" s="7"/>
      <c r="Z13" s="7"/>
      <c r="AB13" s="17">
        <v>10</v>
      </c>
      <c r="AC13" s="51"/>
      <c r="AD13" s="52"/>
      <c r="AE13" s="52"/>
      <c r="AF13" s="52"/>
      <c r="AG13" s="52"/>
      <c r="AH13" s="52"/>
      <c r="AI13" s="52"/>
      <c r="AJ13" s="52"/>
      <c r="AK13" s="52"/>
      <c r="AL13" s="52"/>
      <c r="AM13" s="52">
        <v>7521</v>
      </c>
      <c r="AN13" s="52">
        <v>6698</v>
      </c>
      <c r="AO13" s="52">
        <v>7321</v>
      </c>
      <c r="AP13" s="52">
        <v>8708</v>
      </c>
      <c r="AQ13" s="52">
        <v>7360</v>
      </c>
      <c r="AR13" s="52">
        <v>5963</v>
      </c>
      <c r="AS13" s="52">
        <v>4988</v>
      </c>
      <c r="AT13" s="52">
        <v>4270</v>
      </c>
      <c r="AU13" s="52"/>
      <c r="AV13" s="52"/>
      <c r="AW13" s="52"/>
      <c r="AX13" s="52"/>
      <c r="AY13" s="53"/>
      <c r="AZ13" s="7"/>
      <c r="BA13" s="7"/>
      <c r="BC13" s="17">
        <v>10</v>
      </c>
      <c r="BD13" s="51"/>
      <c r="BE13" s="52"/>
      <c r="BF13" s="52"/>
      <c r="BG13" s="52"/>
      <c r="BH13" s="52"/>
      <c r="BI13" s="52"/>
      <c r="BJ13" s="52"/>
      <c r="BK13" s="52"/>
      <c r="BL13" s="52"/>
      <c r="BM13" s="52"/>
      <c r="BN13" s="52">
        <v>10913</v>
      </c>
      <c r="BO13" s="52">
        <v>8952</v>
      </c>
      <c r="BP13" s="52">
        <v>7550</v>
      </c>
      <c r="BQ13" s="52">
        <v>6702</v>
      </c>
      <c r="BR13" s="52">
        <v>5850</v>
      </c>
      <c r="BS13" s="52">
        <v>5702</v>
      </c>
      <c r="BT13" s="52">
        <v>4628</v>
      </c>
      <c r="BU13" s="52">
        <v>4040</v>
      </c>
      <c r="BV13" s="52"/>
      <c r="BW13" s="52"/>
      <c r="BX13" s="52"/>
      <c r="BY13" s="52"/>
      <c r="BZ13" s="53"/>
      <c r="CA13" s="7"/>
      <c r="CB13" s="7"/>
    </row>
    <row r="14" spans="1:80">
      <c r="A14" s="17">
        <v>11</v>
      </c>
      <c r="B14" s="51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>
        <v>180</v>
      </c>
      <c r="N14" s="52">
        <v>85</v>
      </c>
      <c r="O14" s="52">
        <v>53</v>
      </c>
      <c r="P14" s="52">
        <v>32</v>
      </c>
      <c r="Q14" s="52">
        <v>20</v>
      </c>
      <c r="R14" s="52">
        <v>26</v>
      </c>
      <c r="S14" s="52">
        <v>63</v>
      </c>
      <c r="T14" s="52">
        <v>60</v>
      </c>
      <c r="U14" s="52"/>
      <c r="V14" s="52"/>
      <c r="W14" s="52"/>
      <c r="X14" s="53"/>
      <c r="Y14" s="7"/>
      <c r="Z14" s="7"/>
      <c r="AB14" s="17">
        <v>11</v>
      </c>
      <c r="AC14" s="51"/>
      <c r="AD14" s="52"/>
      <c r="AE14" s="52"/>
      <c r="AF14" s="52"/>
      <c r="AG14" s="52"/>
      <c r="AH14" s="52"/>
      <c r="AI14" s="52"/>
      <c r="AJ14" s="52"/>
      <c r="AK14" s="52"/>
      <c r="AL14" s="52"/>
      <c r="AM14" s="52"/>
      <c r="AN14" s="52">
        <v>6484</v>
      </c>
      <c r="AO14" s="52">
        <v>6388</v>
      </c>
      <c r="AP14" s="52">
        <v>7593</v>
      </c>
      <c r="AQ14" s="52">
        <v>6038</v>
      </c>
      <c r="AR14" s="52">
        <v>4975</v>
      </c>
      <c r="AS14" s="52">
        <v>4006</v>
      </c>
      <c r="AT14" s="52">
        <v>3457</v>
      </c>
      <c r="AU14" s="52">
        <v>2967</v>
      </c>
      <c r="AV14" s="52"/>
      <c r="AW14" s="52"/>
      <c r="AX14" s="52"/>
      <c r="AY14" s="53"/>
      <c r="AZ14" s="7"/>
      <c r="BA14" s="7"/>
      <c r="BC14" s="17">
        <v>11</v>
      </c>
      <c r="BD14" s="51"/>
      <c r="BE14" s="52"/>
      <c r="BF14" s="52"/>
      <c r="BG14" s="52"/>
      <c r="BH14" s="52"/>
      <c r="BI14" s="52"/>
      <c r="BJ14" s="52"/>
      <c r="BK14" s="52"/>
      <c r="BL14" s="52"/>
      <c r="BM14" s="52"/>
      <c r="BN14" s="52"/>
      <c r="BO14" s="52">
        <v>8661</v>
      </c>
      <c r="BP14" s="52">
        <v>6691</v>
      </c>
      <c r="BQ14" s="52">
        <v>6073</v>
      </c>
      <c r="BR14" s="52">
        <v>4950</v>
      </c>
      <c r="BS14" s="52">
        <v>5193</v>
      </c>
      <c r="BT14" s="52">
        <v>3970</v>
      </c>
      <c r="BU14" s="52">
        <v>3483</v>
      </c>
      <c r="BV14" s="52">
        <v>3269</v>
      </c>
      <c r="BW14" s="52"/>
      <c r="BX14" s="52"/>
      <c r="BY14" s="52"/>
      <c r="BZ14" s="53"/>
      <c r="CA14" s="7"/>
      <c r="CB14" s="7"/>
    </row>
    <row r="15" spans="1:80">
      <c r="A15" s="17">
        <v>12</v>
      </c>
      <c r="B15" s="51"/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>
        <v>84</v>
      </c>
      <c r="O15" s="52">
        <v>51</v>
      </c>
      <c r="P15" s="52">
        <v>27</v>
      </c>
      <c r="Q15" s="52">
        <v>19</v>
      </c>
      <c r="R15" s="52">
        <v>22</v>
      </c>
      <c r="S15" s="52">
        <v>37</v>
      </c>
      <c r="T15" s="52">
        <v>40</v>
      </c>
      <c r="U15" s="52">
        <v>35</v>
      </c>
      <c r="V15" s="52"/>
      <c r="W15" s="52"/>
      <c r="X15" s="53"/>
      <c r="Y15" s="7"/>
      <c r="AB15" s="17">
        <v>12</v>
      </c>
      <c r="AC15" s="51"/>
      <c r="AD15" s="52"/>
      <c r="AE15" s="52"/>
      <c r="AF15" s="52"/>
      <c r="AG15" s="52"/>
      <c r="AH15" s="52"/>
      <c r="AI15" s="52"/>
      <c r="AJ15" s="52"/>
      <c r="AK15" s="52"/>
      <c r="AL15" s="52"/>
      <c r="AM15" s="52"/>
      <c r="AN15" s="52"/>
      <c r="AO15" s="52">
        <v>5909</v>
      </c>
      <c r="AP15" s="52">
        <v>6473</v>
      </c>
      <c r="AQ15" s="52">
        <v>5072</v>
      </c>
      <c r="AR15" s="52">
        <v>3932</v>
      </c>
      <c r="AS15" s="52">
        <v>3187</v>
      </c>
      <c r="AT15" s="52">
        <v>2673</v>
      </c>
      <c r="AU15" s="52">
        <v>2262</v>
      </c>
      <c r="AV15" s="52">
        <v>2334</v>
      </c>
      <c r="AW15" s="52"/>
      <c r="AX15" s="52"/>
      <c r="AY15" s="53"/>
      <c r="AZ15" s="7"/>
      <c r="BC15" s="17">
        <v>12</v>
      </c>
      <c r="BD15" s="51"/>
      <c r="BE15" s="52"/>
      <c r="BF15" s="52"/>
      <c r="BG15" s="52"/>
      <c r="BH15" s="52"/>
      <c r="BI15" s="52"/>
      <c r="BJ15" s="52"/>
      <c r="BK15" s="52"/>
      <c r="BL15" s="52"/>
      <c r="BM15" s="52"/>
      <c r="BN15" s="52"/>
      <c r="BO15" s="52"/>
      <c r="BP15" s="52">
        <v>6255</v>
      </c>
      <c r="BQ15" s="52">
        <v>5245</v>
      </c>
      <c r="BR15" s="52">
        <v>4398</v>
      </c>
      <c r="BS15" s="52">
        <v>4389</v>
      </c>
      <c r="BT15" s="52">
        <v>3602</v>
      </c>
      <c r="BU15" s="52">
        <v>2942</v>
      </c>
      <c r="BV15" s="52">
        <v>2886</v>
      </c>
      <c r="BW15" s="52">
        <v>2339</v>
      </c>
      <c r="BX15" s="52"/>
      <c r="BY15" s="52"/>
      <c r="BZ15" s="53"/>
      <c r="CA15" s="7"/>
    </row>
    <row r="16" spans="1:80" ht="26.25">
      <c r="A16" s="17">
        <v>13</v>
      </c>
      <c r="B16" s="51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2">
        <v>44</v>
      </c>
      <c r="P16" s="52">
        <v>21</v>
      </c>
      <c r="Q16" s="52">
        <v>17</v>
      </c>
      <c r="R16" s="52">
        <v>18</v>
      </c>
      <c r="S16" s="52">
        <v>28</v>
      </c>
      <c r="T16" s="52">
        <v>23</v>
      </c>
      <c r="U16" s="52">
        <v>29</v>
      </c>
      <c r="V16" s="52">
        <v>12</v>
      </c>
      <c r="W16" s="52"/>
      <c r="X16" s="53"/>
      <c r="Y16" s="7"/>
      <c r="Z16" s="9"/>
      <c r="AB16" s="17">
        <v>13</v>
      </c>
      <c r="AC16" s="51"/>
      <c r="AD16" s="52"/>
      <c r="AE16" s="52"/>
      <c r="AF16" s="52"/>
      <c r="AG16" s="52"/>
      <c r="AH16" s="52"/>
      <c r="AI16" s="52"/>
      <c r="AJ16" s="52"/>
      <c r="AK16" s="52"/>
      <c r="AL16" s="52"/>
      <c r="AM16" s="52"/>
      <c r="AN16" s="52"/>
      <c r="AO16" s="52"/>
      <c r="AP16" s="52">
        <v>5759</v>
      </c>
      <c r="AQ16" s="52">
        <v>4161</v>
      </c>
      <c r="AR16" s="52">
        <v>3163</v>
      </c>
      <c r="AS16" s="52">
        <v>2405</v>
      </c>
      <c r="AT16" s="52">
        <v>2089</v>
      </c>
      <c r="AU16" s="52">
        <v>1681</v>
      </c>
      <c r="AV16" s="52">
        <v>1674</v>
      </c>
      <c r="AW16" s="52">
        <v>1410</v>
      </c>
      <c r="AX16" s="52"/>
      <c r="AY16" s="53"/>
      <c r="AZ16" s="7"/>
      <c r="BA16" s="9"/>
      <c r="BC16" s="17">
        <v>13</v>
      </c>
      <c r="BD16" s="51"/>
      <c r="BE16" s="52"/>
      <c r="BF16" s="52"/>
      <c r="BG16" s="52"/>
      <c r="BH16" s="52"/>
      <c r="BI16" s="52"/>
      <c r="BJ16" s="52"/>
      <c r="BK16" s="52"/>
      <c r="BL16" s="52"/>
      <c r="BM16" s="52"/>
      <c r="BN16" s="52"/>
      <c r="BO16" s="52"/>
      <c r="BP16" s="52"/>
      <c r="BQ16" s="52">
        <v>4809</v>
      </c>
      <c r="BR16" s="52">
        <v>3643</v>
      </c>
      <c r="BS16" s="52">
        <v>4024</v>
      </c>
      <c r="BT16" s="52">
        <v>3072</v>
      </c>
      <c r="BU16" s="52">
        <v>2652</v>
      </c>
      <c r="BV16" s="52">
        <v>2399</v>
      </c>
      <c r="BW16" s="52">
        <v>1995</v>
      </c>
      <c r="BX16" s="52">
        <v>1893</v>
      </c>
      <c r="BY16" s="52"/>
      <c r="BZ16" s="53"/>
      <c r="CA16" s="7"/>
      <c r="CB16" s="9"/>
    </row>
    <row r="17" spans="1:80">
      <c r="A17" s="17">
        <v>14</v>
      </c>
      <c r="B17" s="51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  <c r="P17" s="52">
        <v>26</v>
      </c>
      <c r="Q17" s="52">
        <v>18</v>
      </c>
      <c r="R17" s="52">
        <v>12</v>
      </c>
      <c r="S17" s="52">
        <v>18</v>
      </c>
      <c r="T17" s="52">
        <v>21</v>
      </c>
      <c r="U17" s="52">
        <v>23</v>
      </c>
      <c r="V17" s="52">
        <v>11</v>
      </c>
      <c r="W17" s="52">
        <v>7</v>
      </c>
      <c r="X17" s="53"/>
      <c r="Y17" s="7"/>
      <c r="Z17" s="4"/>
      <c r="AB17" s="17">
        <v>14</v>
      </c>
      <c r="AC17" s="51"/>
      <c r="AD17" s="52"/>
      <c r="AE17" s="52"/>
      <c r="AF17" s="52"/>
      <c r="AG17" s="52"/>
      <c r="AH17" s="52"/>
      <c r="AI17" s="52"/>
      <c r="AJ17" s="52"/>
      <c r="AK17" s="52"/>
      <c r="AL17" s="52"/>
      <c r="AM17" s="52"/>
      <c r="AN17" s="52"/>
      <c r="AO17" s="52"/>
      <c r="AP17" s="52"/>
      <c r="AQ17" s="52">
        <v>3627</v>
      </c>
      <c r="AR17" s="52">
        <v>2531</v>
      </c>
      <c r="AS17" s="52">
        <v>1877</v>
      </c>
      <c r="AT17" s="52">
        <v>1586</v>
      </c>
      <c r="AU17" s="52">
        <v>1287</v>
      </c>
      <c r="AV17" s="52">
        <v>1275</v>
      </c>
      <c r="AW17" s="52">
        <v>994</v>
      </c>
      <c r="AX17" s="52">
        <v>1187</v>
      </c>
      <c r="AY17" s="53"/>
      <c r="AZ17" s="7"/>
      <c r="BA17" s="4"/>
      <c r="BC17" s="17">
        <v>14</v>
      </c>
      <c r="BD17" s="51"/>
      <c r="BE17" s="52"/>
      <c r="BF17" s="52"/>
      <c r="BG17" s="52"/>
      <c r="BH17" s="52"/>
      <c r="BI17" s="52"/>
      <c r="BJ17" s="52"/>
      <c r="BK17" s="52"/>
      <c r="BL17" s="52"/>
      <c r="BM17" s="52"/>
      <c r="BN17" s="52"/>
      <c r="BO17" s="52"/>
      <c r="BP17" s="52"/>
      <c r="BQ17" s="52"/>
      <c r="BR17" s="52">
        <v>3291</v>
      </c>
      <c r="BS17" s="52">
        <v>3328</v>
      </c>
      <c r="BT17" s="52">
        <v>2775</v>
      </c>
      <c r="BU17" s="52">
        <v>2219</v>
      </c>
      <c r="BV17" s="52">
        <v>2156</v>
      </c>
      <c r="BW17" s="52">
        <v>1683</v>
      </c>
      <c r="BX17" s="52">
        <v>1559</v>
      </c>
      <c r="BY17" s="52">
        <v>1526</v>
      </c>
      <c r="BZ17" s="53"/>
      <c r="CA17" s="7"/>
      <c r="CB17" s="4"/>
    </row>
    <row r="18" spans="1:80" ht="15.75" thickBot="1">
      <c r="A18" s="352">
        <v>15</v>
      </c>
      <c r="B18" s="54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>
        <v>13</v>
      </c>
      <c r="R18" s="55">
        <v>12</v>
      </c>
      <c r="S18" s="55">
        <v>11</v>
      </c>
      <c r="T18" s="55">
        <v>10</v>
      </c>
      <c r="U18" s="55">
        <v>15</v>
      </c>
      <c r="V18" s="55">
        <v>10</v>
      </c>
      <c r="W18" s="55">
        <v>7</v>
      </c>
      <c r="X18" s="56">
        <v>6</v>
      </c>
      <c r="Y18" s="7"/>
      <c r="Z18" s="6"/>
      <c r="AB18" s="352">
        <v>15</v>
      </c>
      <c r="AC18" s="54"/>
      <c r="AD18" s="55"/>
      <c r="AE18" s="55"/>
      <c r="AF18" s="55"/>
      <c r="AG18" s="55"/>
      <c r="AH18" s="55"/>
      <c r="AI18" s="55"/>
      <c r="AJ18" s="55"/>
      <c r="AK18" s="55"/>
      <c r="AL18" s="55"/>
      <c r="AM18" s="55"/>
      <c r="AN18" s="55"/>
      <c r="AO18" s="55"/>
      <c r="AP18" s="55"/>
      <c r="AQ18" s="55"/>
      <c r="AR18" s="55">
        <v>2157</v>
      </c>
      <c r="AS18" s="55">
        <v>1479</v>
      </c>
      <c r="AT18" s="55">
        <v>1248</v>
      </c>
      <c r="AU18" s="55">
        <v>918</v>
      </c>
      <c r="AV18" s="55">
        <v>984</v>
      </c>
      <c r="AW18" s="55">
        <v>703</v>
      </c>
      <c r="AX18" s="55">
        <v>829</v>
      </c>
      <c r="AY18" s="56">
        <v>1122</v>
      </c>
      <c r="AZ18" s="7"/>
      <c r="BA18" s="6"/>
      <c r="BC18" s="352">
        <v>15</v>
      </c>
      <c r="BD18" s="54"/>
      <c r="BE18" s="55"/>
      <c r="BF18" s="55"/>
      <c r="BG18" s="55"/>
      <c r="BH18" s="55"/>
      <c r="BI18" s="55"/>
      <c r="BJ18" s="55"/>
      <c r="BK18" s="55"/>
      <c r="BL18" s="55"/>
      <c r="BM18" s="55"/>
      <c r="BN18" s="55"/>
      <c r="BO18" s="55"/>
      <c r="BP18" s="55"/>
      <c r="BQ18" s="55"/>
      <c r="BR18" s="55"/>
      <c r="BS18" s="55">
        <v>3138</v>
      </c>
      <c r="BT18" s="55">
        <v>2332</v>
      </c>
      <c r="BU18" s="55">
        <v>2017</v>
      </c>
      <c r="BV18" s="55">
        <v>1826</v>
      </c>
      <c r="BW18" s="55">
        <v>1494</v>
      </c>
      <c r="BX18" s="55">
        <v>1331</v>
      </c>
      <c r="BY18" s="55">
        <v>1324</v>
      </c>
      <c r="BZ18" s="56">
        <v>1036</v>
      </c>
      <c r="CA18" s="7"/>
      <c r="CB18" s="6"/>
    </row>
    <row r="19" spans="1:80" ht="15.75" thickBot="1">
      <c r="Z19" s="6"/>
      <c r="BA19" s="6"/>
      <c r="CB19" s="6"/>
    </row>
    <row r="20" spans="1:80" ht="26.25">
      <c r="A20" s="1728" t="s">
        <v>212</v>
      </c>
      <c r="B20" s="1729"/>
      <c r="C20" s="1729"/>
      <c r="D20" s="1729"/>
      <c r="E20" s="1729"/>
      <c r="F20" s="1729"/>
      <c r="G20" s="1729"/>
      <c r="H20" s="1729"/>
      <c r="I20" s="1729"/>
      <c r="J20" s="1729"/>
      <c r="K20" s="1729"/>
      <c r="L20" s="1729"/>
      <c r="M20" s="1729"/>
      <c r="N20" s="1729"/>
      <c r="O20" s="1729"/>
      <c r="P20" s="1729"/>
      <c r="Q20" s="1729"/>
      <c r="R20" s="1729"/>
      <c r="S20" s="1729"/>
      <c r="T20" s="1729"/>
      <c r="U20" s="1729"/>
      <c r="V20" s="1729"/>
      <c r="W20" s="1729"/>
      <c r="X20" s="1729"/>
      <c r="Y20" s="1729"/>
      <c r="Z20" s="1730"/>
      <c r="AB20" s="1728" t="s">
        <v>213</v>
      </c>
      <c r="AC20" s="1729"/>
      <c r="AD20" s="1729"/>
      <c r="AE20" s="1729"/>
      <c r="AF20" s="1729"/>
      <c r="AG20" s="1729"/>
      <c r="AH20" s="1729"/>
      <c r="AI20" s="1729"/>
      <c r="AJ20" s="1729"/>
      <c r="AK20" s="1729"/>
      <c r="AL20" s="1729"/>
      <c r="AM20" s="1729"/>
      <c r="AN20" s="1729"/>
      <c r="AO20" s="1729"/>
      <c r="AP20" s="1729"/>
      <c r="AQ20" s="1729"/>
      <c r="AR20" s="1729"/>
      <c r="AS20" s="1729"/>
      <c r="AT20" s="1729"/>
      <c r="AU20" s="1729"/>
      <c r="AV20" s="1729"/>
      <c r="AW20" s="1729"/>
      <c r="AX20" s="1729"/>
      <c r="AY20" s="1729"/>
      <c r="AZ20" s="1729"/>
      <c r="BA20" s="1730"/>
      <c r="BC20" s="1728" t="s">
        <v>214</v>
      </c>
      <c r="BD20" s="1729"/>
      <c r="BE20" s="1729"/>
      <c r="BF20" s="1729"/>
      <c r="BG20" s="1729"/>
      <c r="BH20" s="1729"/>
      <c r="BI20" s="1729"/>
      <c r="BJ20" s="1729"/>
      <c r="BK20" s="1729"/>
      <c r="BL20" s="1729"/>
      <c r="BM20" s="1729"/>
      <c r="BN20" s="1729"/>
      <c r="BO20" s="1729"/>
      <c r="BP20" s="1729"/>
      <c r="BQ20" s="1729"/>
      <c r="BR20" s="1729"/>
      <c r="BS20" s="1729"/>
      <c r="BT20" s="1729"/>
      <c r="BU20" s="1729"/>
      <c r="BV20" s="1729"/>
      <c r="BW20" s="1729"/>
      <c r="BX20" s="1729"/>
      <c r="BY20" s="1729"/>
      <c r="BZ20" s="1729"/>
      <c r="CA20" s="1729"/>
      <c r="CB20" s="1730"/>
    </row>
    <row r="21" spans="1:80" ht="15.75" thickBot="1">
      <c r="A21" s="12" t="s">
        <v>11</v>
      </c>
      <c r="B21" s="13">
        <v>2013</v>
      </c>
      <c r="C21" s="13">
        <v>2012</v>
      </c>
      <c r="D21" s="13">
        <v>2011</v>
      </c>
      <c r="E21" s="13">
        <v>2010</v>
      </c>
      <c r="F21" s="13">
        <v>2009</v>
      </c>
      <c r="G21" s="13">
        <v>2008</v>
      </c>
      <c r="H21" s="13">
        <v>2007</v>
      </c>
      <c r="I21" s="13">
        <v>2006</v>
      </c>
      <c r="J21" s="13">
        <v>2005</v>
      </c>
      <c r="K21" s="13">
        <v>2004</v>
      </c>
      <c r="L21" s="13">
        <v>2003</v>
      </c>
      <c r="M21" s="13">
        <v>2002</v>
      </c>
      <c r="N21" s="13">
        <v>2001</v>
      </c>
      <c r="O21" s="13">
        <v>2000</v>
      </c>
      <c r="P21" s="13">
        <v>1999</v>
      </c>
      <c r="Q21" s="13">
        <v>1998</v>
      </c>
      <c r="R21" s="13">
        <v>1997</v>
      </c>
      <c r="S21" s="13">
        <v>1996</v>
      </c>
      <c r="T21" s="13">
        <v>1995</v>
      </c>
      <c r="U21" s="13">
        <v>1994</v>
      </c>
      <c r="V21" s="13">
        <v>1993</v>
      </c>
      <c r="W21" s="13">
        <v>1992</v>
      </c>
      <c r="X21" s="13">
        <v>1991</v>
      </c>
      <c r="Y21" s="76" t="s">
        <v>32</v>
      </c>
      <c r="Z21" s="77" t="s">
        <v>33</v>
      </c>
      <c r="AB21" s="12" t="s">
        <v>11</v>
      </c>
      <c r="AC21" s="13">
        <v>2013</v>
      </c>
      <c r="AD21" s="13">
        <v>2012</v>
      </c>
      <c r="AE21" s="13">
        <v>2011</v>
      </c>
      <c r="AF21" s="13">
        <v>2010</v>
      </c>
      <c r="AG21" s="13">
        <v>2009</v>
      </c>
      <c r="AH21" s="13">
        <v>2008</v>
      </c>
      <c r="AI21" s="13">
        <v>2007</v>
      </c>
      <c r="AJ21" s="13">
        <v>2006</v>
      </c>
      <c r="AK21" s="13">
        <v>2005</v>
      </c>
      <c r="AL21" s="13">
        <v>2004</v>
      </c>
      <c r="AM21" s="13">
        <v>2003</v>
      </c>
      <c r="AN21" s="13">
        <v>2002</v>
      </c>
      <c r="AO21" s="13">
        <v>2001</v>
      </c>
      <c r="AP21" s="13">
        <v>2000</v>
      </c>
      <c r="AQ21" s="13">
        <v>1999</v>
      </c>
      <c r="AR21" s="13">
        <v>1998</v>
      </c>
      <c r="AS21" s="13">
        <v>1997</v>
      </c>
      <c r="AT21" s="13">
        <v>1996</v>
      </c>
      <c r="AU21" s="13">
        <v>1995</v>
      </c>
      <c r="AV21" s="13">
        <v>1994</v>
      </c>
      <c r="AW21" s="13">
        <v>1993</v>
      </c>
      <c r="AX21" s="13">
        <v>1992</v>
      </c>
      <c r="AY21" s="13">
        <v>1991</v>
      </c>
      <c r="AZ21" s="76" t="s">
        <v>32</v>
      </c>
      <c r="BA21" s="77" t="s">
        <v>33</v>
      </c>
      <c r="BC21" s="12" t="s">
        <v>11</v>
      </c>
      <c r="BD21" s="13">
        <v>2013</v>
      </c>
      <c r="BE21" s="13">
        <v>2012</v>
      </c>
      <c r="BF21" s="13">
        <v>2011</v>
      </c>
      <c r="BG21" s="13">
        <v>2010</v>
      </c>
      <c r="BH21" s="13">
        <v>2009</v>
      </c>
      <c r="BI21" s="13">
        <v>2008</v>
      </c>
      <c r="BJ21" s="13">
        <v>2007</v>
      </c>
      <c r="BK21" s="13">
        <v>2006</v>
      </c>
      <c r="BL21" s="13">
        <v>2005</v>
      </c>
      <c r="BM21" s="13">
        <v>2004</v>
      </c>
      <c r="BN21" s="13">
        <v>2003</v>
      </c>
      <c r="BO21" s="13">
        <v>2002</v>
      </c>
      <c r="BP21" s="13">
        <v>2001</v>
      </c>
      <c r="BQ21" s="13">
        <v>2000</v>
      </c>
      <c r="BR21" s="13">
        <v>1999</v>
      </c>
      <c r="BS21" s="13">
        <v>1998</v>
      </c>
      <c r="BT21" s="13">
        <v>1997</v>
      </c>
      <c r="BU21" s="13">
        <v>1996</v>
      </c>
      <c r="BV21" s="13">
        <v>1995</v>
      </c>
      <c r="BW21" s="13">
        <v>1994</v>
      </c>
      <c r="BX21" s="13">
        <v>1993</v>
      </c>
      <c r="BY21" s="13">
        <v>1992</v>
      </c>
      <c r="BZ21" s="13">
        <v>1991</v>
      </c>
      <c r="CA21" s="76" t="s">
        <v>32</v>
      </c>
      <c r="CB21" s="77" t="s">
        <v>33</v>
      </c>
    </row>
    <row r="22" spans="1:80" ht="15.75" thickTop="1">
      <c r="A22" s="47">
        <v>0</v>
      </c>
      <c r="B22" s="15">
        <v>1</v>
      </c>
      <c r="C22" s="16">
        <v>1</v>
      </c>
      <c r="D22" s="16">
        <v>1</v>
      </c>
      <c r="E22" s="16">
        <v>1</v>
      </c>
      <c r="F22" s="78">
        <v>1</v>
      </c>
      <c r="G22" s="78">
        <v>1</v>
      </c>
      <c r="H22" s="78">
        <v>1</v>
      </c>
      <c r="I22" s="78">
        <v>1</v>
      </c>
      <c r="J22" s="78"/>
      <c r="K22" s="78"/>
      <c r="L22" s="78"/>
      <c r="M22" s="78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79">
        <f>SUMPRODUCT(B22:X22,B3:X3)/SUM(B3:M3)</f>
        <v>1</v>
      </c>
      <c r="Z22" s="80">
        <f>Y22*100</f>
        <v>100</v>
      </c>
      <c r="AB22" s="47">
        <v>0</v>
      </c>
      <c r="AC22" s="15">
        <v>1</v>
      </c>
      <c r="AD22" s="16">
        <v>1</v>
      </c>
      <c r="AE22" s="16">
        <v>1</v>
      </c>
      <c r="AF22" s="16">
        <v>1</v>
      </c>
      <c r="AG22" s="78">
        <v>1</v>
      </c>
      <c r="AH22" s="78">
        <v>1</v>
      </c>
      <c r="AI22" s="78">
        <v>1</v>
      </c>
      <c r="AJ22" s="78">
        <v>1</v>
      </c>
      <c r="AK22" s="78"/>
      <c r="AL22" s="78"/>
      <c r="AM22" s="78"/>
      <c r="AN22" s="78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79">
        <f>SUMPRODUCT(AC22:AY22,AC3:AY3)/SUM(AC3:AN3)</f>
        <v>1</v>
      </c>
      <c r="BA22" s="80">
        <f>AZ22*100</f>
        <v>100</v>
      </c>
      <c r="BC22" s="47">
        <v>0</v>
      </c>
      <c r="BD22" s="15">
        <v>1</v>
      </c>
      <c r="BE22" s="16">
        <v>1</v>
      </c>
      <c r="BF22" s="16">
        <v>1</v>
      </c>
      <c r="BG22" s="16">
        <v>1</v>
      </c>
      <c r="BH22" s="78">
        <v>1</v>
      </c>
      <c r="BI22" s="78">
        <v>1</v>
      </c>
      <c r="BJ22" s="78">
        <v>1</v>
      </c>
      <c r="BK22" s="78">
        <v>1</v>
      </c>
      <c r="BL22" s="78"/>
      <c r="BM22" s="78"/>
      <c r="BN22" s="78"/>
      <c r="BO22" s="78"/>
      <c r="BP22" s="16"/>
      <c r="BQ22" s="16"/>
      <c r="BR22" s="16"/>
      <c r="BS22" s="16"/>
      <c r="BT22" s="16"/>
      <c r="BU22" s="16"/>
      <c r="BV22" s="16"/>
      <c r="BW22" s="16"/>
      <c r="BX22" s="16"/>
      <c r="BY22" s="16"/>
      <c r="BZ22" s="16"/>
      <c r="CA22" s="79">
        <f>SUMPRODUCT(BD22:BZ22,BD3:BZ3)/SUM(BD3:BO3)</f>
        <v>1</v>
      </c>
      <c r="CB22" s="80">
        <f>CA22*100</f>
        <v>100</v>
      </c>
    </row>
    <row r="23" spans="1:80">
      <c r="A23" s="17">
        <v>1</v>
      </c>
      <c r="B23" s="18"/>
      <c r="C23" s="19">
        <f t="shared" ref="C23:S37" si="0">(C4-C3)/C3</f>
        <v>-6.6666666666666666E-2</v>
      </c>
      <c r="D23" s="19">
        <f t="shared" si="0"/>
        <v>-0.375</v>
      </c>
      <c r="E23" s="19">
        <f t="shared" si="0"/>
        <v>-0.34693877551020408</v>
      </c>
      <c r="F23" s="19">
        <f t="shared" si="0"/>
        <v>-0.4606741573033708</v>
      </c>
      <c r="G23" s="19">
        <f t="shared" si="0"/>
        <v>-0.29015544041450775</v>
      </c>
      <c r="H23" s="19">
        <f t="shared" si="0"/>
        <v>-8.3333333333333329E-2</v>
      </c>
      <c r="I23" s="19">
        <f t="shared" si="0"/>
        <v>-0.12111292962356793</v>
      </c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79">
        <f>SUMPRODUCT(C23:N23,C4:N4)/SUM(C4:N4)</f>
        <v>-0.12494880537175845</v>
      </c>
      <c r="Z23" s="80">
        <f>Z22*(Y23+1)</f>
        <v>87.505119462824155</v>
      </c>
      <c r="AB23" s="17">
        <v>1</v>
      </c>
      <c r="AC23" s="18"/>
      <c r="AD23" s="19">
        <f t="shared" ref="AD23:AS37" si="1">(AD4-AD3)/AD3</f>
        <v>1.5370284117373078E-2</v>
      </c>
      <c r="AE23" s="19">
        <f t="shared" si="1"/>
        <v>1.9029495718363464E-3</v>
      </c>
      <c r="AF23" s="19">
        <f t="shared" si="1"/>
        <v>-1.2928442573662057E-2</v>
      </c>
      <c r="AG23" s="19">
        <f t="shared" si="1"/>
        <v>3.4891835310537332E-4</v>
      </c>
      <c r="AH23" s="19">
        <f t="shared" si="1"/>
        <v>-1.5697266993693063E-2</v>
      </c>
      <c r="AI23" s="19">
        <f t="shared" si="1"/>
        <v>-3.9234919077979401E-2</v>
      </c>
      <c r="AJ23" s="19">
        <f t="shared" si="1"/>
        <v>-2.9507619131507092E-2</v>
      </c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79">
        <f>SUMPRODUCT(AD23:AO23,AD4:AO4)/SUM(AD4:AO4)</f>
        <v>-1.4921734088062223E-2</v>
      </c>
      <c r="BA23" s="80">
        <f>BA22*(AZ23+1)</f>
        <v>98.507826591193776</v>
      </c>
      <c r="BC23" s="17">
        <v>1</v>
      </c>
      <c r="BD23" s="18"/>
      <c r="BE23" s="19">
        <f t="shared" ref="BE23:BT37" si="2">(BE4-BE3)/BE3</f>
        <v>2.8118456476218964E-2</v>
      </c>
      <c r="BF23" s="19">
        <f t="shared" si="2"/>
        <v>4.0517726505346088E-2</v>
      </c>
      <c r="BG23" s="19">
        <f t="shared" si="2"/>
        <v>7.0594623947868584E-3</v>
      </c>
      <c r="BH23" s="19">
        <f t="shared" si="2"/>
        <v>-5.311301268810859E-3</v>
      </c>
      <c r="BI23" s="19">
        <f t="shared" si="2"/>
        <v>-2.2545284925756044E-2</v>
      </c>
      <c r="BJ23" s="19">
        <f t="shared" si="2"/>
        <v>-4.273592715231788E-2</v>
      </c>
      <c r="BK23" s="19">
        <f t="shared" si="2"/>
        <v>-2.7980741999433588E-2</v>
      </c>
      <c r="BL23" s="19"/>
      <c r="BM23" s="19"/>
      <c r="BN23" s="19"/>
      <c r="BO23" s="19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79">
        <f>SUMPRODUCT(BE23:BP23,BE4:BP4)/SUM(BE4:BP4)</f>
        <v>-1.6500751254146937E-2</v>
      </c>
      <c r="CB23" s="80">
        <f>CB22*(CA23+1)</f>
        <v>98.349924874585298</v>
      </c>
    </row>
    <row r="24" spans="1:80">
      <c r="A24" s="17">
        <v>2</v>
      </c>
      <c r="B24" s="18"/>
      <c r="C24" s="19"/>
      <c r="D24" s="19">
        <f t="shared" si="0"/>
        <v>3.2</v>
      </c>
      <c r="E24" s="19">
        <f t="shared" si="0"/>
        <v>0</v>
      </c>
      <c r="F24" s="19">
        <f t="shared" si="0"/>
        <v>2.0833333333333332E-2</v>
      </c>
      <c r="G24" s="19">
        <f t="shared" si="0"/>
        <v>-5.8394160583941604E-2</v>
      </c>
      <c r="H24" s="19">
        <f t="shared" si="0"/>
        <v>-0.10909090909090909</v>
      </c>
      <c r="I24" s="19">
        <f t="shared" si="0"/>
        <v>-3.7243947858473E-2</v>
      </c>
      <c r="J24" s="19">
        <f t="shared" si="0"/>
        <v>-0.10033444816053512</v>
      </c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79">
        <f>SUMPRODUCT(D24:O24,D5:O5)/SUM(D5:O5)</f>
        <v>-1.2976096224537985E-3</v>
      </c>
      <c r="Z24" s="80">
        <f t="shared" ref="Z24:Z37" si="3">Z23*(Y24+1)</f>
        <v>87.391571977795223</v>
      </c>
      <c r="AB24" s="17">
        <v>2</v>
      </c>
      <c r="AC24" s="18"/>
      <c r="AD24" s="19"/>
      <c r="AE24" s="19">
        <f t="shared" si="1"/>
        <v>5.0332383665716997E-2</v>
      </c>
      <c r="AF24" s="19">
        <f t="shared" si="1"/>
        <v>2.9241547365214744E-2</v>
      </c>
      <c r="AG24" s="19">
        <f t="shared" si="1"/>
        <v>-6.2783397279386121E-3</v>
      </c>
      <c r="AH24" s="19">
        <f t="shared" si="1"/>
        <v>-7.4042432009112915E-3</v>
      </c>
      <c r="AI24" s="19">
        <f t="shared" si="1"/>
        <v>1.9295558958652374E-2</v>
      </c>
      <c r="AJ24" s="19">
        <f t="shared" si="1"/>
        <v>-4.5380286803412597E-4</v>
      </c>
      <c r="AK24" s="19">
        <f t="shared" si="1"/>
        <v>1.313969571230982E-2</v>
      </c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79">
        <f>SUMPRODUCT(AE24:AP24,AE5:AP5)/SUM(AE5:AP5)</f>
        <v>9.9743404329774351E-3</v>
      </c>
      <c r="BA24" s="80">
        <f t="shared" ref="BA24:BA37" si="4">BA23*(AZ24+1)</f>
        <v>99.490377188927056</v>
      </c>
      <c r="BC24" s="17">
        <v>2</v>
      </c>
      <c r="BD24" s="18"/>
      <c r="BE24" s="19"/>
      <c r="BF24" s="19">
        <f t="shared" si="2"/>
        <v>2.7312060573282854E-2</v>
      </c>
      <c r="BG24" s="19">
        <f t="shared" si="2"/>
        <v>-1.5368023726071718E-2</v>
      </c>
      <c r="BH24" s="19">
        <f t="shared" si="2"/>
        <v>2.6698309107089885E-3</v>
      </c>
      <c r="BI24" s="19">
        <f t="shared" si="2"/>
        <v>-2.1235981865903125E-2</v>
      </c>
      <c r="BJ24" s="19">
        <f t="shared" si="2"/>
        <v>5.891254999459518E-3</v>
      </c>
      <c r="BK24" s="19">
        <f t="shared" si="2"/>
        <v>-1.9054833634403589E-2</v>
      </c>
      <c r="BL24" s="19">
        <f t="shared" si="2"/>
        <v>-8.7073828795683102E-3</v>
      </c>
      <c r="BM24" s="19"/>
      <c r="BN24" s="19"/>
      <c r="BO24" s="1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79">
        <f>SUMPRODUCT(BF24:BQ24,BF5:BQ5)/SUM(BF5:BQ5)</f>
        <v>-6.3751339388677256E-3</v>
      </c>
      <c r="CB24" s="80">
        <f t="shared" ref="CB24:CB37" si="5">CB23*(CA24+1)</f>
        <v>97.722930930632245</v>
      </c>
    </row>
    <row r="25" spans="1:80">
      <c r="A25" s="17">
        <v>3</v>
      </c>
      <c r="B25" s="18"/>
      <c r="C25" s="19"/>
      <c r="D25" s="19"/>
      <c r="E25" s="19">
        <f t="shared" si="0"/>
        <v>1.0625</v>
      </c>
      <c r="F25" s="19">
        <f t="shared" si="0"/>
        <v>0.16326530612244897</v>
      </c>
      <c r="G25" s="19">
        <f t="shared" si="0"/>
        <v>-0.10077519379844961</v>
      </c>
      <c r="H25" s="19">
        <f t="shared" si="0"/>
        <v>-2.7210884353741496E-2</v>
      </c>
      <c r="I25" s="19">
        <f t="shared" si="0"/>
        <v>5.2224371373307543E-2</v>
      </c>
      <c r="J25" s="19">
        <f t="shared" si="0"/>
        <v>0.26022304832713755</v>
      </c>
      <c r="K25" s="19">
        <f t="shared" si="0"/>
        <v>1.578125</v>
      </c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79">
        <f>SUMPRODUCT(E25:P25,E6:P6)/SUM(E6:P6)</f>
        <v>0.26882093897302034</v>
      </c>
      <c r="Z25" s="80">
        <f t="shared" si="3"/>
        <v>110.88425641519443</v>
      </c>
      <c r="AB25" s="17">
        <v>3</v>
      </c>
      <c r="AC25" s="18"/>
      <c r="AD25" s="19"/>
      <c r="AE25" s="19"/>
      <c r="AF25" s="19">
        <f t="shared" si="1"/>
        <v>3.2554010062148565E-3</v>
      </c>
      <c r="AG25" s="19">
        <f t="shared" si="1"/>
        <v>-7.5114075114075113E-2</v>
      </c>
      <c r="AH25" s="19">
        <f t="shared" si="1"/>
        <v>-3.3997991679816382E-2</v>
      </c>
      <c r="AI25" s="19">
        <f t="shared" si="1"/>
        <v>-3.0849358974358976E-2</v>
      </c>
      <c r="AJ25" s="19">
        <f t="shared" si="1"/>
        <v>3.731953146281667E-2</v>
      </c>
      <c r="AK25" s="19">
        <f t="shared" si="1"/>
        <v>1.8430034129692834E-2</v>
      </c>
      <c r="AL25" s="19">
        <f t="shared" si="1"/>
        <v>3.1572904707233063E-2</v>
      </c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79">
        <f>SUMPRODUCT(AF25:AQ25,AF6:AQ6)/SUM(AF6:AQ6)</f>
        <v>3.0407456007032203E-3</v>
      </c>
      <c r="BA25" s="80">
        <f t="shared" si="4"/>
        <v>99.792902115676583</v>
      </c>
      <c r="BC25" s="17">
        <v>3</v>
      </c>
      <c r="BD25" s="18"/>
      <c r="BE25" s="19"/>
      <c r="BF25" s="19"/>
      <c r="BG25" s="19">
        <f t="shared" si="2"/>
        <v>2.9572836801752465E-2</v>
      </c>
      <c r="BH25" s="19">
        <f t="shared" si="2"/>
        <v>-1.1242603550295858E-2</v>
      </c>
      <c r="BI25" s="19">
        <f t="shared" si="2"/>
        <v>-1.3001787745815049E-2</v>
      </c>
      <c r="BJ25" s="19">
        <f t="shared" si="2"/>
        <v>-3.3582290043522645E-2</v>
      </c>
      <c r="BK25" s="19">
        <f t="shared" si="2"/>
        <v>1.4791493406201735E-2</v>
      </c>
      <c r="BL25" s="19">
        <f t="shared" si="2"/>
        <v>-2.1217369788444886E-2</v>
      </c>
      <c r="BM25" s="19">
        <f t="shared" si="2"/>
        <v>-4.7793531942010514E-4</v>
      </c>
      <c r="BN25" s="19"/>
      <c r="BO25" s="19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79">
        <f>SUMPRODUCT(BG25:BR25,BG6:BR6)/SUM(BG6:BR6)</f>
        <v>-8.0894352411854022E-3</v>
      </c>
      <c r="CB25" s="80">
        <f t="shared" si="5"/>
        <v>96.932407609290053</v>
      </c>
    </row>
    <row r="26" spans="1:80">
      <c r="A26" s="17">
        <v>4</v>
      </c>
      <c r="B26" s="18"/>
      <c r="C26" s="19"/>
      <c r="D26" s="19"/>
      <c r="E26" s="19"/>
      <c r="F26" s="19">
        <f t="shared" si="0"/>
        <v>0.22807017543859648</v>
      </c>
      <c r="G26" s="19">
        <f t="shared" si="0"/>
        <v>2.5862068965517241E-2</v>
      </c>
      <c r="H26" s="19">
        <f t="shared" si="0"/>
        <v>-6.2937062937062943E-2</v>
      </c>
      <c r="I26" s="19">
        <f t="shared" si="0"/>
        <v>-0.15808823529411764</v>
      </c>
      <c r="J26" s="19">
        <f t="shared" si="0"/>
        <v>-7.0796460176991149E-2</v>
      </c>
      <c r="K26" s="19">
        <f t="shared" si="0"/>
        <v>0.43636363636363634</v>
      </c>
      <c r="L26" s="19">
        <f t="shared" si="0"/>
        <v>0.30952380952380953</v>
      </c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79">
        <f>SUMPRODUCT(F26:Q26,F7:Q7)/SUM(F7:Q7)</f>
        <v>5.4198684364713652E-2</v>
      </c>
      <c r="Z26" s="80">
        <f t="shared" si="3"/>
        <v>116.89403722965754</v>
      </c>
      <c r="AB26" s="17">
        <v>4</v>
      </c>
      <c r="AC26" s="18"/>
      <c r="AD26" s="19"/>
      <c r="AE26" s="19"/>
      <c r="AF26" s="19"/>
      <c r="AG26" s="19">
        <f t="shared" si="1"/>
        <v>0.16622390891840608</v>
      </c>
      <c r="AH26" s="19">
        <f t="shared" si="1"/>
        <v>2.3760023760023758E-3</v>
      </c>
      <c r="AI26" s="19">
        <f t="shared" si="1"/>
        <v>-2.0359652749069864E-2</v>
      </c>
      <c r="AJ26" s="19">
        <f t="shared" si="1"/>
        <v>-1.0854341736694677E-2</v>
      </c>
      <c r="AK26" s="19">
        <f t="shared" si="1"/>
        <v>6.1853695901953276E-2</v>
      </c>
      <c r="AL26" s="19">
        <f t="shared" si="1"/>
        <v>3.4613244296048971E-2</v>
      </c>
      <c r="AM26" s="19">
        <f t="shared" si="1"/>
        <v>5.0139599813866918E-2</v>
      </c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79">
        <f>SUMPRODUCT(AG26:AR26,AG7:AR7)/SUM(AG7:AR7)</f>
        <v>2.4112246327477237E-2</v>
      </c>
      <c r="BA26" s="80">
        <f t="shared" si="4"/>
        <v>102.1991331532236</v>
      </c>
      <c r="BC26" s="17">
        <v>4</v>
      </c>
      <c r="BD26" s="18"/>
      <c r="BE26" s="19"/>
      <c r="BF26" s="19"/>
      <c r="BG26" s="19"/>
      <c r="BH26" s="19">
        <f t="shared" si="2"/>
        <v>4.4883303411131059E-2</v>
      </c>
      <c r="BI26" s="19">
        <f t="shared" si="2"/>
        <v>-1.6136999835336736E-2</v>
      </c>
      <c r="BJ26" s="19">
        <f t="shared" si="2"/>
        <v>-2.9467363504948295E-3</v>
      </c>
      <c r="BK26" s="19">
        <f t="shared" si="2"/>
        <v>-2.376631739155886E-2</v>
      </c>
      <c r="BL26" s="19">
        <f t="shared" si="2"/>
        <v>3.3621942741578717E-2</v>
      </c>
      <c r="BM26" s="19">
        <f t="shared" si="2"/>
        <v>0</v>
      </c>
      <c r="BN26" s="19">
        <f t="shared" si="2"/>
        <v>9.1004028047143078E-3</v>
      </c>
      <c r="BO26" s="19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79">
        <f>SUMPRODUCT(BH26:BS26,BH7:BS7)/SUM(BH7:BS7)</f>
        <v>1.8003891653810872E-3</v>
      </c>
      <c r="CB26" s="80">
        <f t="shared" si="5"/>
        <v>97.106923665724125</v>
      </c>
    </row>
    <row r="27" spans="1:80">
      <c r="A27" s="17">
        <v>5</v>
      </c>
      <c r="B27" s="18"/>
      <c r="C27" s="19"/>
      <c r="D27" s="19"/>
      <c r="E27" s="19"/>
      <c r="F27" s="19"/>
      <c r="G27" s="19">
        <f t="shared" si="0"/>
        <v>0.14285714285714285</v>
      </c>
      <c r="H27" s="19">
        <f t="shared" si="0"/>
        <v>-2.2388059701492536E-2</v>
      </c>
      <c r="I27" s="19">
        <f t="shared" si="0"/>
        <v>-6.5502183406113537E-2</v>
      </c>
      <c r="J27" s="19">
        <f t="shared" si="0"/>
        <v>-6.9841269841269843E-2</v>
      </c>
      <c r="K27" s="19">
        <f t="shared" si="0"/>
        <v>-2.5316455696202531E-2</v>
      </c>
      <c r="L27" s="19">
        <f t="shared" si="0"/>
        <v>-1.4545454545454545E-2</v>
      </c>
      <c r="M27" s="19">
        <f t="shared" si="0"/>
        <v>-5.6426332288401257E-2</v>
      </c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79">
        <f>SUMPRODUCT(G27:R27,G8:R8)/SUM(G8:R8)</f>
        <v>-3.0375677736476744E-2</v>
      </c>
      <c r="Z27" s="80">
        <f t="shared" si="3"/>
        <v>113.34330162545375</v>
      </c>
      <c r="AB27" s="17">
        <v>5</v>
      </c>
      <c r="AC27" s="18"/>
      <c r="AD27" s="19"/>
      <c r="AE27" s="19"/>
      <c r="AF27" s="19"/>
      <c r="AG27" s="19"/>
      <c r="AH27" s="19">
        <f t="shared" si="1"/>
        <v>5.0074074074074076E-2</v>
      </c>
      <c r="AI27" s="19">
        <f t="shared" si="1"/>
        <v>-4.5363434961493828E-3</v>
      </c>
      <c r="AJ27" s="19">
        <f t="shared" si="1"/>
        <v>-3.8141592920353982E-2</v>
      </c>
      <c r="AK27" s="19">
        <f t="shared" si="1"/>
        <v>-4.7430117222723174E-2</v>
      </c>
      <c r="AL27" s="19">
        <f t="shared" si="1"/>
        <v>3.463855421686747E-2</v>
      </c>
      <c r="AM27" s="19">
        <f t="shared" si="1"/>
        <v>-5.5389387393375432E-4</v>
      </c>
      <c r="AN27" s="19">
        <f t="shared" si="1"/>
        <v>-5.6940266437473137E-3</v>
      </c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79">
        <f>SUMPRODUCT(AH27:AS27,AH8:AS8)/SUM(AH8:AS8)</f>
        <v>-4.2552694242431986E-3</v>
      </c>
      <c r="BA27" s="80">
        <f t="shared" si="4"/>
        <v>101.76424830673253</v>
      </c>
      <c r="BC27" s="17">
        <v>5</v>
      </c>
      <c r="BD27" s="18"/>
      <c r="BE27" s="19"/>
      <c r="BF27" s="19"/>
      <c r="BG27" s="19"/>
      <c r="BH27" s="19"/>
      <c r="BI27" s="19">
        <f t="shared" si="2"/>
        <v>6.1087866108786608E-3</v>
      </c>
      <c r="BJ27" s="19">
        <f t="shared" si="2"/>
        <v>-2.9164110857079126E-2</v>
      </c>
      <c r="BK27" s="19">
        <f t="shared" si="2"/>
        <v>-1.4750854470228458E-2</v>
      </c>
      <c r="BL27" s="19">
        <f t="shared" si="2"/>
        <v>-3.9865484561296238E-2</v>
      </c>
      <c r="BM27" s="19">
        <f t="shared" si="2"/>
        <v>1.633726490277335E-2</v>
      </c>
      <c r="BN27" s="19">
        <f t="shared" si="2"/>
        <v>-1.8184506209343584E-2</v>
      </c>
      <c r="BO27" s="19">
        <f t="shared" si="2"/>
        <v>-1.7840455356384335E-3</v>
      </c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79">
        <f>SUMPRODUCT(BI27:BT27,BI8:BT8)/SUM(BI8:BT8)</f>
        <v>-1.2389468284207467E-2</v>
      </c>
      <c r="CB27" s="80">
        <f t="shared" si="5"/>
        <v>95.903820514790681</v>
      </c>
    </row>
    <row r="28" spans="1:80">
      <c r="A28" s="17">
        <v>6</v>
      </c>
      <c r="B28" s="18"/>
      <c r="C28" s="19"/>
      <c r="D28" s="19"/>
      <c r="E28" s="19"/>
      <c r="F28" s="19"/>
      <c r="G28" s="19"/>
      <c r="H28" s="19">
        <f>(H9-H8)/H8</f>
        <v>0.30534351145038169</v>
      </c>
      <c r="I28" s="19">
        <f>(I9-I8)/I8</f>
        <v>-8.1775700934579434E-2</v>
      </c>
      <c r="J28" s="19">
        <f>(J9-J8)/J8</f>
        <v>-0.12969283276450511</v>
      </c>
      <c r="K28" s="19">
        <f>(K9-K8)/K8</f>
        <v>-0.16450216450216451</v>
      </c>
      <c r="L28" s="19">
        <f t="shared" si="0"/>
        <v>-4.797047970479705E-2</v>
      </c>
      <c r="M28" s="19">
        <f t="shared" si="0"/>
        <v>0</v>
      </c>
      <c r="N28" s="19">
        <f t="shared" si="0"/>
        <v>6.25E-2</v>
      </c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79">
        <f>SUMPRODUCT(H28:S28,H9:S9)/SUM(H9:S9)</f>
        <v>-2.5903368124716039E-2</v>
      </c>
      <c r="Z28" s="80">
        <f t="shared" si="3"/>
        <v>110.40732835897889</v>
      </c>
      <c r="AB28" s="17">
        <v>6</v>
      </c>
      <c r="AC28" s="18"/>
      <c r="AD28" s="19"/>
      <c r="AE28" s="19"/>
      <c r="AF28" s="19"/>
      <c r="AG28" s="19"/>
      <c r="AH28" s="19"/>
      <c r="AI28" s="19">
        <f>(AI9-AI8)/AI8</f>
        <v>1.9393810936837643E-2</v>
      </c>
      <c r="AJ28" s="19">
        <f>(AJ9-AJ8)/AJ8</f>
        <v>-1.9413009476492778E-2</v>
      </c>
      <c r="AK28" s="19">
        <f>(AK9-AK8)/AK8</f>
        <v>-3.6349867474441501E-2</v>
      </c>
      <c r="AL28" s="19">
        <f>(AL9-AL8)/AL8</f>
        <v>-5.4169265959658972E-2</v>
      </c>
      <c r="AM28" s="19">
        <f t="shared" si="1"/>
        <v>-4.8769674129904676E-3</v>
      </c>
      <c r="AN28" s="19">
        <f t="shared" si="1"/>
        <v>-4.0734737979470553E-2</v>
      </c>
      <c r="AO28" s="19">
        <f t="shared" si="1"/>
        <v>-3.9423333629972412E-2</v>
      </c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79">
        <f>SUMPRODUCT(AI28:AT28,AI9:AT9)/SUM(AI9:AT9)</f>
        <v>-2.0976518121582306E-2</v>
      </c>
      <c r="BA28" s="80">
        <f t="shared" si="4"/>
        <v>99.629588707997144</v>
      </c>
      <c r="BC28" s="17">
        <v>6</v>
      </c>
      <c r="BD28" s="18"/>
      <c r="BE28" s="19"/>
      <c r="BF28" s="19"/>
      <c r="BG28" s="19"/>
      <c r="BH28" s="19"/>
      <c r="BI28" s="19"/>
      <c r="BJ28" s="19">
        <f>(BJ9-BJ8)/BJ8</f>
        <v>6.0310166570936245E-3</v>
      </c>
      <c r="BK28" s="19">
        <f>(BK9-BK8)/BK8</f>
        <v>-3.5603432536059888E-2</v>
      </c>
      <c r="BL28" s="19">
        <f>(BL9-BL8)/BL8</f>
        <v>-1.7703623511430937E-2</v>
      </c>
      <c r="BM28" s="19">
        <f>(BM9-BM8)/BM8</f>
        <v>-3.5834705559476203E-2</v>
      </c>
      <c r="BN28" s="19">
        <f t="shared" si="2"/>
        <v>-1.355217587712694E-3</v>
      </c>
      <c r="BO28" s="19">
        <f t="shared" si="2"/>
        <v>-3.0723404255319151E-2</v>
      </c>
      <c r="BP28" s="19">
        <f t="shared" si="2"/>
        <v>-3.2178704979334775E-2</v>
      </c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79">
        <f>SUMPRODUCT(BJ28:BU28,BJ9:BU9)/SUM(BJ9:BU9)</f>
        <v>-1.7659561584465012E-2</v>
      </c>
      <c r="CB28" s="80">
        <f t="shared" si="5"/>
        <v>94.21020109022426</v>
      </c>
    </row>
    <row r="29" spans="1:80">
      <c r="A29" s="17">
        <v>7</v>
      </c>
      <c r="B29" s="18"/>
      <c r="C29" s="19"/>
      <c r="D29" s="19"/>
      <c r="E29" s="19"/>
      <c r="F29" s="19"/>
      <c r="G29" s="19"/>
      <c r="H29" s="19"/>
      <c r="I29" s="19">
        <f>(I10-I9)/I9</f>
        <v>2.5445292620865138E-2</v>
      </c>
      <c r="J29" s="19">
        <f>(J10-J9)/J9</f>
        <v>-6.6666666666666666E-2</v>
      </c>
      <c r="K29" s="19">
        <f>(K10-K9)/K9</f>
        <v>-0.15025906735751296</v>
      </c>
      <c r="L29" s="19">
        <f t="shared" si="0"/>
        <v>-0.18217054263565891</v>
      </c>
      <c r="M29" s="19">
        <f t="shared" si="0"/>
        <v>-0.12292358803986711</v>
      </c>
      <c r="N29" s="19">
        <f t="shared" si="0"/>
        <v>-5.2287581699346407E-2</v>
      </c>
      <c r="O29" s="19">
        <f t="shared" si="0"/>
        <v>0.125</v>
      </c>
      <c r="P29" s="19"/>
      <c r="Q29" s="19"/>
      <c r="R29" s="19"/>
      <c r="S29" s="19"/>
      <c r="T29" s="19"/>
      <c r="U29" s="19"/>
      <c r="V29" s="19"/>
      <c r="W29" s="19"/>
      <c r="X29" s="19"/>
      <c r="Y29" s="79">
        <f>SUMPRODUCT(I29:T29,I10:T10)/SUM(I10:T10)</f>
        <v>-5.785700801004625E-2</v>
      </c>
      <c r="Z29" s="80">
        <f t="shared" si="3"/>
        <v>104.01949067774564</v>
      </c>
      <c r="AB29" s="17">
        <v>7</v>
      </c>
      <c r="AC29" s="18"/>
      <c r="AD29" s="19"/>
      <c r="AE29" s="19"/>
      <c r="AF29" s="19"/>
      <c r="AG29" s="19"/>
      <c r="AH29" s="19"/>
      <c r="AI29" s="19"/>
      <c r="AJ29" s="19">
        <f>(AJ10-AJ9)/AJ9</f>
        <v>1.3510977669356352E-2</v>
      </c>
      <c r="AK29" s="19">
        <f>(AK10-AK9)/AK9</f>
        <v>-3.9096267190569745E-2</v>
      </c>
      <c r="AL29" s="19">
        <f>(AL10-AL9)/AL9</f>
        <v>-4.3530834340991538E-2</v>
      </c>
      <c r="AM29" s="19">
        <f t="shared" si="1"/>
        <v>-6.0147026063711292E-2</v>
      </c>
      <c r="AN29" s="19">
        <f t="shared" si="1"/>
        <v>-3.6607343996395585E-2</v>
      </c>
      <c r="AO29" s="19">
        <f t="shared" si="1"/>
        <v>-7.207707985918102E-2</v>
      </c>
      <c r="AP29" s="19">
        <f t="shared" si="1"/>
        <v>-6.142233404869385E-2</v>
      </c>
      <c r="AQ29" s="19"/>
      <c r="AR29" s="19"/>
      <c r="AS29" s="19"/>
      <c r="AT29" s="19"/>
      <c r="AU29" s="19"/>
      <c r="AV29" s="19"/>
      <c r="AW29" s="19"/>
      <c r="AX29" s="19"/>
      <c r="AY29" s="19"/>
      <c r="AZ29" s="79">
        <f>SUMPRODUCT(AJ29:AU29,AJ10:AU10)/SUM(AJ10:AU10)</f>
        <v>-3.6840606247232607E-2</v>
      </c>
      <c r="BA29" s="80">
        <f t="shared" si="4"/>
        <v>95.959174259832082</v>
      </c>
      <c r="BC29" s="17">
        <v>7</v>
      </c>
      <c r="BD29" s="18"/>
      <c r="BE29" s="19"/>
      <c r="BF29" s="19"/>
      <c r="BG29" s="19"/>
      <c r="BH29" s="19"/>
      <c r="BI29" s="19"/>
      <c r="BJ29" s="19"/>
      <c r="BK29" s="19">
        <f>(BK10-BK9)/BK9</f>
        <v>7.4466742395557237E-3</v>
      </c>
      <c r="BL29" s="19">
        <f>(BL10-BL9)/BL9</f>
        <v>-4.3824959481361427E-2</v>
      </c>
      <c r="BM29" s="19">
        <f>(BM10-BM9)/BM9</f>
        <v>-2.7569941444372154E-2</v>
      </c>
      <c r="BN29" s="19">
        <f t="shared" si="2"/>
        <v>-4.2898069963811819E-2</v>
      </c>
      <c r="BO29" s="19">
        <f t="shared" si="2"/>
        <v>-2.4760734041619107E-2</v>
      </c>
      <c r="BP29" s="19">
        <f t="shared" si="2"/>
        <v>-4.9415353329944074E-2</v>
      </c>
      <c r="BQ29" s="19">
        <f t="shared" si="2"/>
        <v>-4.1827878280874205E-2</v>
      </c>
      <c r="BR29" s="19"/>
      <c r="BS29" s="19"/>
      <c r="BT29" s="19"/>
      <c r="BU29" s="19"/>
      <c r="BV29" s="19"/>
      <c r="BW29" s="19"/>
      <c r="BX29" s="19"/>
      <c r="BY29" s="19"/>
      <c r="BZ29" s="19"/>
      <c r="CA29" s="79">
        <f>SUMPRODUCT(BK29:BV29,BK10:BV10)/SUM(BK10:BV10)</f>
        <v>-2.7118104835871033E-2</v>
      </c>
      <c r="CB29" s="80">
        <f t="shared" si="5"/>
        <v>91.655398980451068</v>
      </c>
    </row>
    <row r="30" spans="1:80">
      <c r="A30" s="17">
        <v>8</v>
      </c>
      <c r="B30" s="18"/>
      <c r="C30" s="19"/>
      <c r="D30" s="19"/>
      <c r="E30" s="19"/>
      <c r="F30" s="19"/>
      <c r="G30" s="19"/>
      <c r="H30" s="19"/>
      <c r="I30" s="19"/>
      <c r="J30" s="19">
        <f>(J11-J10)/J10</f>
        <v>1.2605042016806723E-2</v>
      </c>
      <c r="K30" s="19">
        <f>(K11-K10)/K10</f>
        <v>3.6585365853658534E-2</v>
      </c>
      <c r="L30" s="19">
        <f>(L11-L10)/L10</f>
        <v>-8.0568720379146919E-2</v>
      </c>
      <c r="M30" s="19">
        <f>(M11-M10)/M10</f>
        <v>-0.14015151515151514</v>
      </c>
      <c r="N30" s="19">
        <f t="shared" si="0"/>
        <v>-0.1793103448275862</v>
      </c>
      <c r="O30" s="19">
        <f t="shared" si="0"/>
        <v>-0.16666666666666666</v>
      </c>
      <c r="P30" s="19">
        <f t="shared" si="0"/>
        <v>-0.19642857142857142</v>
      </c>
      <c r="Q30" s="19"/>
      <c r="R30" s="19"/>
      <c r="S30" s="19"/>
      <c r="T30" s="19"/>
      <c r="U30" s="19"/>
      <c r="V30" s="19"/>
      <c r="W30" s="19"/>
      <c r="X30" s="19"/>
      <c r="Y30" s="79">
        <f>SUMPRODUCT(J30:U30,J11:U11)/SUM(J11:U11)</f>
        <v>-7.5319837825039065E-2</v>
      </c>
      <c r="Z30" s="80">
        <f t="shared" si="3"/>
        <v>96.184759509254675</v>
      </c>
      <c r="AB30" s="17">
        <v>8</v>
      </c>
      <c r="AC30" s="18"/>
      <c r="AD30" s="19"/>
      <c r="AE30" s="19"/>
      <c r="AF30" s="19"/>
      <c r="AG30" s="19"/>
      <c r="AH30" s="19"/>
      <c r="AI30" s="19"/>
      <c r="AJ30" s="19"/>
      <c r="AK30" s="19">
        <f>(AK11-AK10)/AK10</f>
        <v>1.9730116540584746E-2</v>
      </c>
      <c r="AL30" s="19">
        <f>(AL11-AL10)/AL10</f>
        <v>-3.8501321687162395E-2</v>
      </c>
      <c r="AM30" s="19">
        <f>(AM11-AM10)/AM10</f>
        <v>-4.4323299360037927E-2</v>
      </c>
      <c r="AN30" s="19">
        <f>(AN11-AN10)/AN10</f>
        <v>-7.9036595346661992E-2</v>
      </c>
      <c r="AO30" s="19">
        <f t="shared" si="1"/>
        <v>-7.3881789137380194E-2</v>
      </c>
      <c r="AP30" s="19">
        <f t="shared" si="1"/>
        <v>-8.775526295040606E-2</v>
      </c>
      <c r="AQ30" s="19">
        <f t="shared" si="1"/>
        <v>-8.8065537143921055E-2</v>
      </c>
      <c r="AR30" s="19"/>
      <c r="AS30" s="19"/>
      <c r="AT30" s="19"/>
      <c r="AU30" s="19"/>
      <c r="AV30" s="19"/>
      <c r="AW30" s="19"/>
      <c r="AX30" s="19"/>
      <c r="AY30" s="19"/>
      <c r="AZ30" s="79">
        <f>SUMPRODUCT(AK30:AV30,AK11:AV11)/SUM(AK11:AV11)</f>
        <v>-5.0141930739613996E-2</v>
      </c>
      <c r="BA30" s="80">
        <f t="shared" si="4"/>
        <v>91.147595990265032</v>
      </c>
      <c r="BC30" s="17">
        <v>8</v>
      </c>
      <c r="BD30" s="18"/>
      <c r="BE30" s="19"/>
      <c r="BF30" s="19"/>
      <c r="BG30" s="19"/>
      <c r="BH30" s="19"/>
      <c r="BI30" s="19"/>
      <c r="BJ30" s="19"/>
      <c r="BK30" s="19"/>
      <c r="BL30" s="19">
        <f>(BL11-BL10)/BL10</f>
        <v>8.1361448233778564E-4</v>
      </c>
      <c r="BM30" s="19">
        <f>(BM11-BM10)/BM10</f>
        <v>-5.7706782637785399E-2</v>
      </c>
      <c r="BN30" s="19">
        <f>(BN11-BN10)/BN10</f>
        <v>-3.9621898385191021E-2</v>
      </c>
      <c r="BO30" s="19">
        <f>(BO11-BO10)/BO10</f>
        <v>-7.0586116863239401E-2</v>
      </c>
      <c r="BP30" s="19">
        <f t="shared" si="2"/>
        <v>-3.73301957428602E-2</v>
      </c>
      <c r="BQ30" s="19">
        <f t="shared" si="2"/>
        <v>-9.5601877114482162E-2</v>
      </c>
      <c r="BR30" s="19">
        <f t="shared" si="2"/>
        <v>-7.6711987027566417E-2</v>
      </c>
      <c r="BS30" s="19"/>
      <c r="BT30" s="19"/>
      <c r="BU30" s="19"/>
      <c r="BV30" s="19"/>
      <c r="BW30" s="19"/>
      <c r="BX30" s="19"/>
      <c r="BY30" s="19"/>
      <c r="BZ30" s="19"/>
      <c r="CA30" s="79">
        <f>SUMPRODUCT(BL30:BW30,BL11:BW11)/SUM(BL11:BW11)</f>
        <v>-4.4218249593589276E-2</v>
      </c>
      <c r="CB30" s="80">
        <f t="shared" si="5"/>
        <v>87.602557671733479</v>
      </c>
    </row>
    <row r="31" spans="1:80">
      <c r="A31" s="17">
        <v>9</v>
      </c>
      <c r="B31" s="18"/>
      <c r="C31" s="19"/>
      <c r="D31" s="19"/>
      <c r="E31" s="19"/>
      <c r="F31" s="19"/>
      <c r="G31" s="19"/>
      <c r="H31" s="19"/>
      <c r="I31" s="19"/>
      <c r="J31" s="19"/>
      <c r="K31" s="19">
        <f>(K12-K11)/K11</f>
        <v>-4.7058823529411764E-2</v>
      </c>
      <c r="L31" s="19">
        <f>(L12-L11)/L11</f>
        <v>-8.247422680412371E-2</v>
      </c>
      <c r="M31" s="19">
        <f>(M12-M11)/M11</f>
        <v>-0.14977973568281938</v>
      </c>
      <c r="N31" s="19">
        <f t="shared" si="0"/>
        <v>-1.680672268907563E-2</v>
      </c>
      <c r="O31" s="19">
        <f t="shared" si="0"/>
        <v>-0.10476190476190476</v>
      </c>
      <c r="P31" s="19">
        <f t="shared" si="0"/>
        <v>-2.2222222222222223E-2</v>
      </c>
      <c r="Q31" s="19">
        <f t="shared" si="0"/>
        <v>-7.6923076923076927E-2</v>
      </c>
      <c r="R31" s="19"/>
      <c r="S31" s="19"/>
      <c r="T31" s="19"/>
      <c r="U31" s="19"/>
      <c r="V31" s="19"/>
      <c r="W31" s="19"/>
      <c r="X31" s="19"/>
      <c r="Y31" s="79">
        <f>SUMPRODUCT(K31:V31,K12:V12)/SUM(K12:V12)</f>
        <v>-7.6926779860521086E-2</v>
      </c>
      <c r="Z31" s="80">
        <f t="shared" si="3"/>
        <v>88.785575688549073</v>
      </c>
      <c r="AB31" s="17">
        <v>9</v>
      </c>
      <c r="AC31" s="18"/>
      <c r="AD31" s="19"/>
      <c r="AE31" s="19"/>
      <c r="AF31" s="19"/>
      <c r="AG31" s="19"/>
      <c r="AH31" s="19"/>
      <c r="AI31" s="19"/>
      <c r="AJ31" s="19"/>
      <c r="AK31" s="19"/>
      <c r="AL31" s="19">
        <f>(AL12-AL11)/AL11</f>
        <v>1.0638297872340425E-2</v>
      </c>
      <c r="AM31" s="19">
        <f>(AM12-AM11)/AM11</f>
        <v>-5.4935515873015872E-2</v>
      </c>
      <c r="AN31" s="19">
        <f>(AN12-AN11)/AN11</f>
        <v>-6.0048241716389492E-2</v>
      </c>
      <c r="AO31" s="19">
        <f t="shared" si="1"/>
        <v>-0.12731780940060372</v>
      </c>
      <c r="AP31" s="19">
        <f t="shared" si="1"/>
        <v>-0.10345721694036301</v>
      </c>
      <c r="AQ31" s="19">
        <f t="shared" si="1"/>
        <v>-0.13862801143323805</v>
      </c>
      <c r="AR31" s="19">
        <f t="shared" si="1"/>
        <v>-0.1235286979735469</v>
      </c>
      <c r="AS31" s="19"/>
      <c r="AT31" s="19"/>
      <c r="AU31" s="19"/>
      <c r="AV31" s="19"/>
      <c r="AW31" s="19"/>
      <c r="AX31" s="19"/>
      <c r="AY31" s="19"/>
      <c r="AZ31" s="79">
        <f>SUMPRODUCT(AL31:AW31,AL12:AW12)/SUM(AL12:AW12)</f>
        <v>-7.7685744502542203E-2</v>
      </c>
      <c r="BA31" s="80">
        <f t="shared" si="4"/>
        <v>84.066727136144365</v>
      </c>
      <c r="BC31" s="17">
        <v>9</v>
      </c>
      <c r="BD31" s="18"/>
      <c r="BE31" s="19"/>
      <c r="BF31" s="19"/>
      <c r="BG31" s="19"/>
      <c r="BH31" s="19"/>
      <c r="BI31" s="19"/>
      <c r="BJ31" s="19"/>
      <c r="BK31" s="19"/>
      <c r="BL31" s="19"/>
      <c r="BM31" s="19">
        <f>(BM12-BM11)/BM11</f>
        <v>-7.8104198100647912E-3</v>
      </c>
      <c r="BN31" s="19">
        <f>(BN12-BN11)/BN11</f>
        <v>-7.8083989501312331E-2</v>
      </c>
      <c r="BO31" s="19">
        <f>(BO12-BO11)/BO11</f>
        <v>-5.2794730214085053E-2</v>
      </c>
      <c r="BP31" s="19">
        <f t="shared" si="2"/>
        <v>-0.10377777777777777</v>
      </c>
      <c r="BQ31" s="19">
        <f t="shared" si="2"/>
        <v>-7.3247254736334019E-2</v>
      </c>
      <c r="BR31" s="19">
        <f t="shared" si="2"/>
        <v>-0.10118886787354769</v>
      </c>
      <c r="BS31" s="19">
        <f t="shared" si="2"/>
        <v>-8.1321839080459771E-2</v>
      </c>
      <c r="BT31" s="19"/>
      <c r="BU31" s="19"/>
      <c r="BV31" s="19"/>
      <c r="BW31" s="19"/>
      <c r="BX31" s="19"/>
      <c r="BY31" s="19"/>
      <c r="BZ31" s="19"/>
      <c r="CA31" s="79">
        <f>SUMPRODUCT(BM31:BX31,BM12:BX12)/SUM(BM12:BX12)</f>
        <v>-6.1625428399439741E-2</v>
      </c>
      <c r="CB31" s="80">
        <f t="shared" si="5"/>
        <v>82.204012526326281</v>
      </c>
    </row>
    <row r="32" spans="1:80">
      <c r="A32" s="17">
        <v>10</v>
      </c>
      <c r="B32" s="18"/>
      <c r="C32" s="19"/>
      <c r="D32" s="19"/>
      <c r="E32" s="19"/>
      <c r="F32" s="19"/>
      <c r="G32" s="19"/>
      <c r="H32" s="19"/>
      <c r="I32" s="19"/>
      <c r="J32" s="19"/>
      <c r="K32" s="19"/>
      <c r="L32" s="19">
        <f>(L13-L12)/L12</f>
        <v>1.6853932584269662E-2</v>
      </c>
      <c r="M32" s="19"/>
      <c r="N32" s="19">
        <f t="shared" si="0"/>
        <v>-0.15384615384615385</v>
      </c>
      <c r="O32" s="19">
        <f t="shared" si="0"/>
        <v>-0.19148936170212766</v>
      </c>
      <c r="P32" s="19">
        <f t="shared" si="0"/>
        <v>-0.18181818181818182</v>
      </c>
      <c r="Q32" s="19">
        <f t="shared" si="0"/>
        <v>-2.7777777777777776E-2</v>
      </c>
      <c r="R32" s="19">
        <f t="shared" si="0"/>
        <v>-0.20454545454545456</v>
      </c>
      <c r="S32" s="19"/>
      <c r="T32" s="19"/>
      <c r="U32" s="19"/>
      <c r="V32" s="19"/>
      <c r="W32" s="19"/>
      <c r="X32" s="19"/>
      <c r="Y32" s="79">
        <f>SUMPRODUCT(L32:W32,L13:W13)/SUM(L13:W13)</f>
        <v>-5.649408812980327E-2</v>
      </c>
      <c r="Z32" s="80">
        <f t="shared" si="3"/>
        <v>83.769715550944866</v>
      </c>
      <c r="AB32" s="17">
        <v>10</v>
      </c>
      <c r="AC32" s="18"/>
      <c r="AD32" s="19"/>
      <c r="AE32" s="19"/>
      <c r="AF32" s="19"/>
      <c r="AG32" s="19"/>
      <c r="AH32" s="19"/>
      <c r="AI32" s="19"/>
      <c r="AJ32" s="19"/>
      <c r="AK32" s="19"/>
      <c r="AL32" s="19"/>
      <c r="AM32" s="19">
        <f>(AM13-AM12)/AM12</f>
        <v>-1.312163758037003E-2</v>
      </c>
      <c r="AN32" s="19"/>
      <c r="AO32" s="19">
        <f t="shared" si="1"/>
        <v>-9.5614576899320569E-2</v>
      </c>
      <c r="AP32" s="19">
        <f t="shared" si="1"/>
        <v>-0.16051286995083389</v>
      </c>
      <c r="AQ32" s="19">
        <f t="shared" si="1"/>
        <v>-0.12775539227305049</v>
      </c>
      <c r="AR32" s="19">
        <f t="shared" si="1"/>
        <v>-0.17444275231898104</v>
      </c>
      <c r="AS32" s="19">
        <f t="shared" si="1"/>
        <v>-0.16434913720891273</v>
      </c>
      <c r="AT32" s="19"/>
      <c r="AU32" s="19"/>
      <c r="AV32" s="19"/>
      <c r="AW32" s="19"/>
      <c r="AX32" s="19"/>
      <c r="AY32" s="19"/>
      <c r="AZ32" s="79">
        <f>SUMPRODUCT(AM32:AX32,AM13:AX13)/SUM(AM13:AX13)</f>
        <v>-9.4582209408838755E-2</v>
      </c>
      <c r="BA32" s="80">
        <f t="shared" si="4"/>
        <v>76.115510345837848</v>
      </c>
      <c r="BC32" s="17">
        <v>10</v>
      </c>
      <c r="BD32" s="18"/>
      <c r="BE32" s="19"/>
      <c r="BF32" s="19"/>
      <c r="BG32" s="19"/>
      <c r="BH32" s="19"/>
      <c r="BI32" s="19"/>
      <c r="BJ32" s="19"/>
      <c r="BK32" s="19"/>
      <c r="BL32" s="19"/>
      <c r="BM32" s="19"/>
      <c r="BN32" s="19">
        <f>(BN13-BN12)/BN12</f>
        <v>-2.909252669039146E-2</v>
      </c>
      <c r="BO32" s="19"/>
      <c r="BP32" s="19">
        <f t="shared" si="2"/>
        <v>-6.3972229109843792E-2</v>
      </c>
      <c r="BQ32" s="19">
        <f t="shared" si="2"/>
        <v>-0.12734375000000001</v>
      </c>
      <c r="BR32" s="19">
        <f t="shared" si="2"/>
        <v>-0.12069742973094845</v>
      </c>
      <c r="BS32" s="19">
        <f t="shared" si="2"/>
        <v>-0.10822646230841414</v>
      </c>
      <c r="BT32" s="19">
        <f t="shared" si="2"/>
        <v>-9.5917171322523934E-2</v>
      </c>
      <c r="BU32" s="19"/>
      <c r="BV32" s="19"/>
      <c r="BW32" s="19"/>
      <c r="BX32" s="19"/>
      <c r="BY32" s="19"/>
      <c r="BZ32" s="19"/>
      <c r="CA32" s="79">
        <f>SUMPRODUCT(BN32:BY32,BN13:BY13)/SUM(BN13:BY13)</f>
        <v>-6.2959434767116865E-2</v>
      </c>
      <c r="CB32" s="80">
        <f t="shared" si="5"/>
        <v>77.028494362079783</v>
      </c>
    </row>
    <row r="33" spans="1:80">
      <c r="A33" s="17">
        <v>11</v>
      </c>
      <c r="B33" s="18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>
        <f>(M14-M13)/M13</f>
        <v>5.5865921787709499E-3</v>
      </c>
      <c r="N33" s="19">
        <f t="shared" si="0"/>
        <v>-0.14141414141414141</v>
      </c>
      <c r="O33" s="19">
        <f t="shared" si="0"/>
        <v>-0.30263157894736842</v>
      </c>
      <c r="P33" s="19">
        <f t="shared" si="0"/>
        <v>-0.1111111111111111</v>
      </c>
      <c r="Q33" s="19">
        <f t="shared" si="0"/>
        <v>-0.42857142857142855</v>
      </c>
      <c r="R33" s="19">
        <f t="shared" si="0"/>
        <v>-0.25714285714285712</v>
      </c>
      <c r="S33" s="19"/>
      <c r="T33" s="19"/>
      <c r="U33" s="19"/>
      <c r="V33" s="19"/>
      <c r="W33" s="19"/>
      <c r="X33" s="19"/>
      <c r="Y33" s="79">
        <f>SUMPRODUCT(M33:X33,M14:X14)/SUM(M14:X14)</f>
        <v>-8.8375313150158355E-2</v>
      </c>
      <c r="Z33" s="80">
        <f t="shared" si="3"/>
        <v>76.366540706630431</v>
      </c>
      <c r="AB33" s="17">
        <v>11</v>
      </c>
      <c r="AC33" s="18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>
        <f>(AN14-AN13)/AN13</f>
        <v>-3.1949835771872201E-2</v>
      </c>
      <c r="AO33" s="19">
        <f t="shared" si="1"/>
        <v>-0.12744160633793197</v>
      </c>
      <c r="AP33" s="19">
        <f t="shared" si="1"/>
        <v>-0.1280431786862655</v>
      </c>
      <c r="AQ33" s="19">
        <f t="shared" si="1"/>
        <v>-0.17961956521739131</v>
      </c>
      <c r="AR33" s="19">
        <f t="shared" si="1"/>
        <v>-0.16568841187321817</v>
      </c>
      <c r="AS33" s="19">
        <f t="shared" si="1"/>
        <v>-0.19687249398556536</v>
      </c>
      <c r="AT33" s="19"/>
      <c r="AU33" s="19"/>
      <c r="AV33" s="19"/>
      <c r="AW33" s="19"/>
      <c r="AX33" s="19"/>
      <c r="AY33" s="19"/>
      <c r="AZ33" s="79">
        <f>SUMPRODUCT(AN33:AY33,AN14:AY14)/SUM(AN14:AY14)</f>
        <v>-0.1119358014449362</v>
      </c>
      <c r="BA33" s="80">
        <f t="shared" si="4"/>
        <v>67.595459692886152</v>
      </c>
      <c r="BC33" s="17">
        <v>11</v>
      </c>
      <c r="BD33" s="18"/>
      <c r="BE33" s="19"/>
      <c r="BF33" s="19"/>
      <c r="BG33" s="19"/>
      <c r="BH33" s="19"/>
      <c r="BI33" s="19"/>
      <c r="BJ33" s="19"/>
      <c r="BK33" s="19"/>
      <c r="BL33" s="19"/>
      <c r="BM33" s="19"/>
      <c r="BN33" s="19"/>
      <c r="BO33" s="19">
        <f>(BO14-BO13)/BO13</f>
        <v>-3.2506702412868634E-2</v>
      </c>
      <c r="BP33" s="19">
        <f t="shared" si="2"/>
        <v>-0.11377483443708609</v>
      </c>
      <c r="BQ33" s="19">
        <f t="shared" si="2"/>
        <v>-9.3852581319009254E-2</v>
      </c>
      <c r="BR33" s="19">
        <f t="shared" si="2"/>
        <v>-0.15384615384615385</v>
      </c>
      <c r="BS33" s="19">
        <f t="shared" si="2"/>
        <v>-8.9266923886355667E-2</v>
      </c>
      <c r="BT33" s="19">
        <f t="shared" si="2"/>
        <v>-0.1421780466724287</v>
      </c>
      <c r="BU33" s="19"/>
      <c r="BV33" s="19"/>
      <c r="BW33" s="19"/>
      <c r="BX33" s="19"/>
      <c r="BY33" s="19"/>
      <c r="BZ33" s="19"/>
      <c r="CA33" s="79">
        <f>SUMPRODUCT(BO33:BZ33,BO14:BZ14)/SUM(BO14:BZ14)</f>
        <v>-8.0452190487978012E-2</v>
      </c>
      <c r="CB33" s="80">
        <f t="shared" si="5"/>
        <v>70.831383260659592</v>
      </c>
    </row>
    <row r="34" spans="1:80">
      <c r="A34" s="17">
        <v>12</v>
      </c>
      <c r="B34" s="18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>
        <f t="shared" si="0"/>
        <v>-1.1764705882352941E-2</v>
      </c>
      <c r="O34" s="19">
        <f t="shared" si="0"/>
        <v>-3.7735849056603772E-2</v>
      </c>
      <c r="P34" s="19">
        <f t="shared" si="0"/>
        <v>-0.15625</v>
      </c>
      <c r="Q34" s="19">
        <f t="shared" si="0"/>
        <v>-0.05</v>
      </c>
      <c r="R34" s="19">
        <f t="shared" si="0"/>
        <v>-0.15384615384615385</v>
      </c>
      <c r="S34" s="19">
        <f t="shared" si="0"/>
        <v>-0.41269841269841268</v>
      </c>
      <c r="T34" s="19">
        <f t="shared" ref="T34:W37" si="6">(T15-T14)/T14</f>
        <v>-0.33333333333333331</v>
      </c>
      <c r="U34" s="19"/>
      <c r="V34" s="19"/>
      <c r="W34" s="19"/>
      <c r="X34" s="19"/>
      <c r="Y34" s="79">
        <f>SUMPRODUCT(N34:X34,N15:X15)/SUM(N15:X15)</f>
        <v>-0.12720413836125213</v>
      </c>
      <c r="Z34" s="80">
        <f t="shared" si="3"/>
        <v>66.65240069641402</v>
      </c>
      <c r="AB34" s="17">
        <v>12</v>
      </c>
      <c r="AC34" s="18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>
        <f t="shared" si="1"/>
        <v>-7.4984345648090173E-2</v>
      </c>
      <c r="AP34" s="19">
        <f t="shared" si="1"/>
        <v>-0.1475042802581325</v>
      </c>
      <c r="AQ34" s="19">
        <f t="shared" si="1"/>
        <v>-0.15998675057966213</v>
      </c>
      <c r="AR34" s="19">
        <f t="shared" si="1"/>
        <v>-0.20964824120603015</v>
      </c>
      <c r="AS34" s="19">
        <f t="shared" si="1"/>
        <v>-0.20444333499750375</v>
      </c>
      <c r="AT34" s="19">
        <f t="shared" ref="AT34:AX37" si="7">(AT15-AT14)/AT14</f>
        <v>-0.22678623083598495</v>
      </c>
      <c r="AU34" s="19">
        <f t="shared" si="7"/>
        <v>-0.23761375126390294</v>
      </c>
      <c r="AV34" s="19"/>
      <c r="AW34" s="19"/>
      <c r="AX34" s="19"/>
      <c r="AY34" s="19"/>
      <c r="AZ34" s="79">
        <f>SUMPRODUCT(AO34:AY34,AO15:AY15)/SUM(AO15:AY15)</f>
        <v>-0.15165222652246074</v>
      </c>
      <c r="BA34" s="80">
        <f t="shared" si="4"/>
        <v>57.34445772765072</v>
      </c>
      <c r="BC34" s="17">
        <v>12</v>
      </c>
      <c r="BD34" s="18"/>
      <c r="BE34" s="19"/>
      <c r="BF34" s="19"/>
      <c r="BG34" s="19"/>
      <c r="BH34" s="19"/>
      <c r="BI34" s="19"/>
      <c r="BJ34" s="19"/>
      <c r="BK34" s="19"/>
      <c r="BL34" s="19"/>
      <c r="BM34" s="19"/>
      <c r="BN34" s="19"/>
      <c r="BO34" s="19"/>
      <c r="BP34" s="19">
        <f t="shared" si="2"/>
        <v>-6.5162158122851588E-2</v>
      </c>
      <c r="BQ34" s="19">
        <f t="shared" si="2"/>
        <v>-0.13634118228223283</v>
      </c>
      <c r="BR34" s="19">
        <f t="shared" si="2"/>
        <v>-0.11151515151515151</v>
      </c>
      <c r="BS34" s="19">
        <f t="shared" si="2"/>
        <v>-0.15482380127094164</v>
      </c>
      <c r="BT34" s="19">
        <f t="shared" si="2"/>
        <v>-9.2695214105793455E-2</v>
      </c>
      <c r="BU34" s="19">
        <f t="shared" ref="BU34:BY37" si="8">(BU15-BU14)/BU14</f>
        <v>-0.15532586850416308</v>
      </c>
      <c r="BV34" s="19">
        <f t="shared" si="8"/>
        <v>-0.1171612113796268</v>
      </c>
      <c r="BW34" s="19"/>
      <c r="BX34" s="19"/>
      <c r="BY34" s="19"/>
      <c r="BZ34" s="19"/>
      <c r="CA34" s="79">
        <f>SUMPRODUCT(BP34:BZ34,BP15:BZ15)/SUM(BP15:BZ15)</f>
        <v>-0.10673971246133222</v>
      </c>
      <c r="CB34" s="80">
        <f t="shared" si="5"/>
        <v>63.270861778178372</v>
      </c>
    </row>
    <row r="35" spans="1:80">
      <c r="A35" s="17">
        <v>13</v>
      </c>
      <c r="B35" s="18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>
        <f>(O16-O15)/O15</f>
        <v>-0.13725490196078433</v>
      </c>
      <c r="P35" s="19">
        <f>(P16-P15)/P15</f>
        <v>-0.22222222222222221</v>
      </c>
      <c r="Q35" s="19">
        <f>(Q16-Q15)/Q15</f>
        <v>-0.10526315789473684</v>
      </c>
      <c r="R35" s="19">
        <f t="shared" si="0"/>
        <v>-0.18181818181818182</v>
      </c>
      <c r="S35" s="19">
        <f t="shared" si="0"/>
        <v>-0.24324324324324326</v>
      </c>
      <c r="T35" s="19">
        <f t="shared" si="6"/>
        <v>-0.42499999999999999</v>
      </c>
      <c r="U35" s="19">
        <f t="shared" si="6"/>
        <v>-0.17142857142857143</v>
      </c>
      <c r="V35" s="19"/>
      <c r="W35" s="19"/>
      <c r="X35" s="19"/>
      <c r="Y35" s="79">
        <f>SUMPRODUCT(O35:X35,O16:X16)/SUM(O16:X16)</f>
        <v>-0.19440272235478315</v>
      </c>
      <c r="Z35" s="80">
        <f t="shared" si="3"/>
        <v>53.694992549549291</v>
      </c>
      <c r="AB35" s="17">
        <v>13</v>
      </c>
      <c r="AC35" s="18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>
        <f>(AP16-AP15)/AP15</f>
        <v>-0.11030434110922292</v>
      </c>
      <c r="AQ35" s="19">
        <f>(AQ16-AQ15)/AQ15</f>
        <v>-0.17961356466876971</v>
      </c>
      <c r="AR35" s="19">
        <f>(AR16-AR15)/AR15</f>
        <v>-0.19557477110885046</v>
      </c>
      <c r="AS35" s="19">
        <f t="shared" si="1"/>
        <v>-0.2453718230310637</v>
      </c>
      <c r="AT35" s="19">
        <f t="shared" si="7"/>
        <v>-0.21848110736999626</v>
      </c>
      <c r="AU35" s="19">
        <f t="shared" si="7"/>
        <v>-0.2568523430592396</v>
      </c>
      <c r="AV35" s="19">
        <f t="shared" si="7"/>
        <v>-0.28277634961439591</v>
      </c>
      <c r="AW35" s="19"/>
      <c r="AX35" s="19"/>
      <c r="AY35" s="19"/>
      <c r="AZ35" s="79">
        <f>SUMPRODUCT(AP35:AY35,AP16:AY16)/SUM(AP16:AY16)</f>
        <v>-0.17692598736347553</v>
      </c>
      <c r="BA35" s="80">
        <f t="shared" si="4"/>
        <v>47.198732924363036</v>
      </c>
      <c r="BC35" s="17">
        <v>13</v>
      </c>
      <c r="BD35" s="18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>
        <f>(BQ16-BQ15)/BQ15</f>
        <v>-8.3126787416587231E-2</v>
      </c>
      <c r="BR35" s="19">
        <f>(BR16-BR15)/BR15</f>
        <v>-0.17166894042746703</v>
      </c>
      <c r="BS35" s="19">
        <f>(BS16-BS15)/BS15</f>
        <v>-8.3162451583504216E-2</v>
      </c>
      <c r="BT35" s="19">
        <f t="shared" si="2"/>
        <v>-0.14714047751249307</v>
      </c>
      <c r="BU35" s="19">
        <f t="shared" si="8"/>
        <v>-9.8572399728076132E-2</v>
      </c>
      <c r="BV35" s="19">
        <f t="shared" si="8"/>
        <v>-0.16874566874566874</v>
      </c>
      <c r="BW35" s="19">
        <f t="shared" si="8"/>
        <v>-0.14707139803334759</v>
      </c>
      <c r="BX35" s="19"/>
      <c r="BY35" s="19"/>
      <c r="BZ35" s="19"/>
      <c r="CA35" s="79">
        <f>SUMPRODUCT(BQ35:BZ35,BQ16:BZ16)/SUM(BQ16:BZ16)</f>
        <v>-0.11318047230082394</v>
      </c>
      <c r="CB35" s="80">
        <f t="shared" si="5"/>
        <v>56.109835759243992</v>
      </c>
    </row>
    <row r="36" spans="1:80">
      <c r="A36" s="17">
        <v>14</v>
      </c>
      <c r="B36" s="18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>
        <f>(P17-P16)/P16</f>
        <v>0.23809523809523808</v>
      </c>
      <c r="Q36" s="19">
        <f>(Q17-Q16)/Q16</f>
        <v>5.8823529411764705E-2</v>
      </c>
      <c r="R36" s="19">
        <f t="shared" si="0"/>
        <v>-0.33333333333333331</v>
      </c>
      <c r="S36" s="19">
        <f t="shared" si="0"/>
        <v>-0.35714285714285715</v>
      </c>
      <c r="T36" s="19">
        <f t="shared" si="6"/>
        <v>-8.6956521739130432E-2</v>
      </c>
      <c r="U36" s="19">
        <f t="shared" si="6"/>
        <v>-0.20689655172413793</v>
      </c>
      <c r="V36" s="19">
        <f t="shared" si="6"/>
        <v>-8.3333333333333329E-2</v>
      </c>
      <c r="W36" s="19"/>
      <c r="X36" s="19"/>
      <c r="Y36" s="79">
        <f>SUMPRODUCT(P36:X36,P17:X17)/SUM(P17:X17)</f>
        <v>-7.853416192299302E-2</v>
      </c>
      <c r="Z36" s="80">
        <f t="shared" si="3"/>
        <v>49.478101310209084</v>
      </c>
      <c r="AB36" s="17">
        <v>14</v>
      </c>
      <c r="AC36" s="18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>
        <f>(AQ17-AQ16)/AQ16</f>
        <v>-0.12833453496755587</v>
      </c>
      <c r="AR36" s="19">
        <f>(AR17-AR16)/AR16</f>
        <v>-0.19981030667088207</v>
      </c>
      <c r="AS36" s="19">
        <f t="shared" si="1"/>
        <v>-0.21954261954261955</v>
      </c>
      <c r="AT36" s="19">
        <f t="shared" si="7"/>
        <v>-0.24078506462422211</v>
      </c>
      <c r="AU36" s="19">
        <f t="shared" si="7"/>
        <v>-0.23438429506246283</v>
      </c>
      <c r="AV36" s="19">
        <f t="shared" si="7"/>
        <v>-0.23835125448028674</v>
      </c>
      <c r="AW36" s="19">
        <f t="shared" si="7"/>
        <v>-0.29503546099290778</v>
      </c>
      <c r="AX36" s="19"/>
      <c r="AY36" s="19"/>
      <c r="AZ36" s="79">
        <f>SUMPRODUCT(AQ36:AY36,AQ17:AY17)/SUM(AQ17:AY17)</f>
        <v>-0.18546167775839226</v>
      </c>
      <c r="BA36" s="80">
        <f t="shared" si="4"/>
        <v>38.445176728140396</v>
      </c>
      <c r="BC36" s="17">
        <v>14</v>
      </c>
      <c r="BD36" s="18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>
        <f>(BR17-BR16)/BR16</f>
        <v>-9.662366181718364E-2</v>
      </c>
      <c r="BS36" s="19">
        <f>(BS17-BS16)/BS16</f>
        <v>-0.17296222664015903</v>
      </c>
      <c r="BT36" s="19">
        <f t="shared" si="2"/>
        <v>-9.66796875E-2</v>
      </c>
      <c r="BU36" s="19">
        <f t="shared" si="8"/>
        <v>-0.16327300150829563</v>
      </c>
      <c r="BV36" s="19">
        <f t="shared" si="8"/>
        <v>-0.10129220508545227</v>
      </c>
      <c r="BW36" s="19">
        <f t="shared" si="8"/>
        <v>-0.15639097744360902</v>
      </c>
      <c r="BX36" s="19">
        <f t="shared" si="8"/>
        <v>-0.17643951399894348</v>
      </c>
      <c r="BY36" s="19"/>
      <c r="BZ36" s="19"/>
      <c r="CA36" s="79">
        <f>SUMPRODUCT(BR36:BZ36,BR17:BZ17)/SUM(BR17:BZ17)</f>
        <v>-0.12304347499511196</v>
      </c>
      <c r="CB36" s="80">
        <f t="shared" si="5"/>
        <v>49.20588658602162</v>
      </c>
    </row>
    <row r="37" spans="1:80" ht="15.75" thickBot="1">
      <c r="A37" s="20">
        <v>15</v>
      </c>
      <c r="B37" s="21"/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>
        <f>(Q18-Q17)/Q17</f>
        <v>-0.27777777777777779</v>
      </c>
      <c r="R37" s="22">
        <f t="shared" si="0"/>
        <v>0</v>
      </c>
      <c r="S37" s="22">
        <f t="shared" si="0"/>
        <v>-0.3888888888888889</v>
      </c>
      <c r="T37" s="22">
        <f t="shared" si="6"/>
        <v>-0.52380952380952384</v>
      </c>
      <c r="U37" s="22">
        <f t="shared" si="6"/>
        <v>-0.34782608695652173</v>
      </c>
      <c r="V37" s="22">
        <f t="shared" si="6"/>
        <v>-9.0909090909090912E-2</v>
      </c>
      <c r="W37" s="22">
        <f t="shared" si="6"/>
        <v>0</v>
      </c>
      <c r="X37" s="22"/>
      <c r="Y37" s="81">
        <f>SUMPRODUCT(Q37:X37,Q18:X18)/SUM(Q18:X18)</f>
        <v>-0.22920793262408173</v>
      </c>
      <c r="Z37" s="82">
        <f t="shared" si="3"/>
        <v>38.137327998731195</v>
      </c>
      <c r="AB37" s="20">
        <v>15</v>
      </c>
      <c r="AC37" s="21"/>
      <c r="AD37" s="22"/>
      <c r="AE37" s="22"/>
      <c r="AF37" s="22"/>
      <c r="AG37" s="22"/>
      <c r="AH37" s="22"/>
      <c r="AI37" s="22"/>
      <c r="AJ37" s="22"/>
      <c r="AK37" s="22"/>
      <c r="AL37" s="22"/>
      <c r="AM37" s="22"/>
      <c r="AN37" s="22"/>
      <c r="AO37" s="22"/>
      <c r="AP37" s="22"/>
      <c r="AQ37" s="22"/>
      <c r="AR37" s="22">
        <f>(AR18-AR17)/AR17</f>
        <v>-0.14776768075859345</v>
      </c>
      <c r="AS37" s="22">
        <f t="shared" si="1"/>
        <v>-0.21204049014384657</v>
      </c>
      <c r="AT37" s="22">
        <f t="shared" si="7"/>
        <v>-0.21311475409836064</v>
      </c>
      <c r="AU37" s="22">
        <f t="shared" si="7"/>
        <v>-0.28671328671328672</v>
      </c>
      <c r="AV37" s="22">
        <f t="shared" si="7"/>
        <v>-0.22823529411764706</v>
      </c>
      <c r="AW37" s="22">
        <f t="shared" si="7"/>
        <v>-0.29275653923541245</v>
      </c>
      <c r="AX37" s="22">
        <f t="shared" si="7"/>
        <v>-0.30160067396798651</v>
      </c>
      <c r="AY37" s="22"/>
      <c r="AZ37" s="81">
        <f>SUMPRODUCT(AR37:AY37,AR18:AY18)/SUM(AR18:AY18)</f>
        <v>-0.19511982180617657</v>
      </c>
      <c r="BA37" s="82">
        <f t="shared" si="4"/>
        <v>30.943760695638673</v>
      </c>
      <c r="BC37" s="20">
        <v>15</v>
      </c>
      <c r="BD37" s="21"/>
      <c r="BE37" s="22"/>
      <c r="BF37" s="22"/>
      <c r="BG37" s="22"/>
      <c r="BH37" s="22"/>
      <c r="BI37" s="22"/>
      <c r="BJ37" s="22"/>
      <c r="BK37" s="22"/>
      <c r="BL37" s="22"/>
      <c r="BM37" s="22"/>
      <c r="BN37" s="22"/>
      <c r="BO37" s="22"/>
      <c r="BP37" s="22"/>
      <c r="BQ37" s="22"/>
      <c r="BR37" s="22"/>
      <c r="BS37" s="22">
        <f>(BS18-BS17)/BS17</f>
        <v>-5.7091346153846152E-2</v>
      </c>
      <c r="BT37" s="22">
        <f t="shared" si="2"/>
        <v>-0.15963963963963965</v>
      </c>
      <c r="BU37" s="22">
        <f t="shared" si="8"/>
        <v>-9.1031996394772413E-2</v>
      </c>
      <c r="BV37" s="22">
        <f t="shared" si="8"/>
        <v>-0.15306122448979592</v>
      </c>
      <c r="BW37" s="22">
        <f t="shared" si="8"/>
        <v>-0.11229946524064172</v>
      </c>
      <c r="BX37" s="22">
        <f t="shared" si="8"/>
        <v>-0.14624759461193074</v>
      </c>
      <c r="BY37" s="22">
        <f t="shared" si="8"/>
        <v>-0.13237221494102228</v>
      </c>
      <c r="BZ37" s="22"/>
      <c r="CA37" s="81">
        <f>SUMPRODUCT(BS37:BZ37,BS18:BZ18)/SUM(BS18:BZ18)</f>
        <v>-0.10706479366788138</v>
      </c>
      <c r="CB37" s="82">
        <f t="shared" si="5"/>
        <v>43.937668491444043</v>
      </c>
    </row>
    <row r="38" spans="1:80" ht="15.75" thickBot="1"/>
    <row r="39" spans="1:80" ht="26.25">
      <c r="A39" s="1743" t="s">
        <v>215</v>
      </c>
      <c r="B39" s="1744"/>
      <c r="C39" s="1744"/>
      <c r="D39" s="1744"/>
      <c r="E39" s="1744"/>
      <c r="F39" s="1744"/>
      <c r="G39" s="1744"/>
      <c r="H39" s="1744"/>
      <c r="I39" s="1744"/>
      <c r="J39" s="1744"/>
      <c r="K39" s="1744"/>
      <c r="L39" s="1744"/>
      <c r="M39" s="1744"/>
      <c r="N39" s="1744"/>
      <c r="O39" s="1744"/>
      <c r="P39" s="1744"/>
      <c r="Q39" s="1744"/>
      <c r="R39" s="1744"/>
      <c r="S39" s="1744"/>
      <c r="T39" s="1744"/>
      <c r="U39" s="1744"/>
      <c r="V39" s="1744"/>
      <c r="W39" s="1744"/>
      <c r="X39" s="1745"/>
      <c r="Y39" s="9"/>
      <c r="Z39" s="9"/>
      <c r="AB39" s="1743" t="s">
        <v>216</v>
      </c>
      <c r="AC39" s="1744"/>
      <c r="AD39" s="1744"/>
      <c r="AE39" s="1744"/>
      <c r="AF39" s="1744"/>
      <c r="AG39" s="1744"/>
      <c r="AH39" s="1744"/>
      <c r="AI39" s="1744"/>
      <c r="AJ39" s="1744"/>
      <c r="AK39" s="1744"/>
      <c r="AL39" s="1744"/>
      <c r="AM39" s="1744"/>
      <c r="AN39" s="1744"/>
      <c r="AO39" s="1744"/>
      <c r="AP39" s="1744"/>
      <c r="AQ39" s="1744"/>
      <c r="AR39" s="1744"/>
      <c r="AS39" s="1744"/>
      <c r="AT39" s="1744"/>
      <c r="AU39" s="1744"/>
      <c r="AV39" s="1744"/>
      <c r="AW39" s="1744"/>
      <c r="AX39" s="1744"/>
      <c r="AY39" s="1745"/>
      <c r="AZ39" s="9"/>
      <c r="BA39" s="9"/>
      <c r="BC39" s="1743" t="s">
        <v>217</v>
      </c>
      <c r="BD39" s="1744"/>
      <c r="BE39" s="1744"/>
      <c r="BF39" s="1744"/>
      <c r="BG39" s="1744"/>
      <c r="BH39" s="1744"/>
      <c r="BI39" s="1744"/>
      <c r="BJ39" s="1744"/>
      <c r="BK39" s="1744"/>
      <c r="BL39" s="1744"/>
      <c r="BM39" s="1744"/>
      <c r="BN39" s="1744"/>
      <c r="BO39" s="1744"/>
      <c r="BP39" s="1744"/>
      <c r="BQ39" s="1744"/>
      <c r="BR39" s="1744"/>
      <c r="BS39" s="1744"/>
      <c r="BT39" s="1744"/>
      <c r="BU39" s="1744"/>
      <c r="BV39" s="1744"/>
      <c r="BW39" s="1744"/>
      <c r="BX39" s="1744"/>
      <c r="BY39" s="1744"/>
      <c r="BZ39" s="1745"/>
      <c r="CA39" s="9"/>
      <c r="CB39" s="9"/>
    </row>
    <row r="40" spans="1:80" ht="15.75" thickBot="1">
      <c r="A40" s="23" t="s">
        <v>10</v>
      </c>
      <c r="B40" s="24">
        <v>2013</v>
      </c>
      <c r="C40" s="24">
        <v>2012</v>
      </c>
      <c r="D40" s="24">
        <v>2011</v>
      </c>
      <c r="E40" s="24">
        <v>2010</v>
      </c>
      <c r="F40" s="24">
        <v>2009</v>
      </c>
      <c r="G40" s="24">
        <v>2008</v>
      </c>
      <c r="H40" s="24">
        <v>2007</v>
      </c>
      <c r="I40" s="24">
        <v>2006</v>
      </c>
      <c r="J40" s="24">
        <v>2005</v>
      </c>
      <c r="K40" s="24">
        <v>2004</v>
      </c>
      <c r="L40" s="24">
        <v>2003</v>
      </c>
      <c r="M40" s="24">
        <v>2002</v>
      </c>
      <c r="N40" s="24">
        <v>2001</v>
      </c>
      <c r="O40" s="24">
        <v>2000</v>
      </c>
      <c r="P40" s="24">
        <v>1999</v>
      </c>
      <c r="Q40" s="24">
        <v>1998</v>
      </c>
      <c r="R40" s="24">
        <v>1997</v>
      </c>
      <c r="S40" s="24">
        <v>1996</v>
      </c>
      <c r="T40" s="24">
        <v>1995</v>
      </c>
      <c r="U40" s="24">
        <v>1994</v>
      </c>
      <c r="V40" s="24">
        <v>1993</v>
      </c>
      <c r="W40" s="24">
        <v>1992</v>
      </c>
      <c r="X40" s="25">
        <v>1991</v>
      </c>
      <c r="Y40" s="4"/>
      <c r="Z40" s="4"/>
      <c r="AB40" s="23" t="s">
        <v>10</v>
      </c>
      <c r="AC40" s="24">
        <v>2013</v>
      </c>
      <c r="AD40" s="24">
        <v>2012</v>
      </c>
      <c r="AE40" s="24">
        <v>2011</v>
      </c>
      <c r="AF40" s="24">
        <v>2010</v>
      </c>
      <c r="AG40" s="24">
        <v>2009</v>
      </c>
      <c r="AH40" s="24">
        <v>2008</v>
      </c>
      <c r="AI40" s="24">
        <v>2007</v>
      </c>
      <c r="AJ40" s="24">
        <v>2006</v>
      </c>
      <c r="AK40" s="24">
        <v>2005</v>
      </c>
      <c r="AL40" s="24">
        <v>2004</v>
      </c>
      <c r="AM40" s="24">
        <v>2003</v>
      </c>
      <c r="AN40" s="24">
        <v>2002</v>
      </c>
      <c r="AO40" s="24">
        <v>2001</v>
      </c>
      <c r="AP40" s="24">
        <v>2000</v>
      </c>
      <c r="AQ40" s="24">
        <v>1999</v>
      </c>
      <c r="AR40" s="24">
        <v>1998</v>
      </c>
      <c r="AS40" s="24">
        <v>1997</v>
      </c>
      <c r="AT40" s="24">
        <v>1996</v>
      </c>
      <c r="AU40" s="24">
        <v>1995</v>
      </c>
      <c r="AV40" s="24">
        <v>1994</v>
      </c>
      <c r="AW40" s="24">
        <v>1993</v>
      </c>
      <c r="AX40" s="24">
        <v>1992</v>
      </c>
      <c r="AY40" s="25">
        <v>1991</v>
      </c>
      <c r="AZ40" s="4"/>
      <c r="BA40" s="4"/>
      <c r="BC40" s="23" t="s">
        <v>10</v>
      </c>
      <c r="BD40" s="24">
        <v>2013</v>
      </c>
      <c r="BE40" s="24">
        <v>2012</v>
      </c>
      <c r="BF40" s="24">
        <v>2011</v>
      </c>
      <c r="BG40" s="24">
        <v>2010</v>
      </c>
      <c r="BH40" s="24">
        <v>2009</v>
      </c>
      <c r="BI40" s="24">
        <v>2008</v>
      </c>
      <c r="BJ40" s="24">
        <v>2007</v>
      </c>
      <c r="BK40" s="24">
        <v>2006</v>
      </c>
      <c r="BL40" s="24">
        <v>2005</v>
      </c>
      <c r="BM40" s="24">
        <v>2004</v>
      </c>
      <c r="BN40" s="24">
        <v>2003</v>
      </c>
      <c r="BO40" s="24">
        <v>2002</v>
      </c>
      <c r="BP40" s="24">
        <v>2001</v>
      </c>
      <c r="BQ40" s="24">
        <v>2000</v>
      </c>
      <c r="BR40" s="24">
        <v>1999</v>
      </c>
      <c r="BS40" s="24">
        <v>1998</v>
      </c>
      <c r="BT40" s="24">
        <v>1997</v>
      </c>
      <c r="BU40" s="24">
        <v>1996</v>
      </c>
      <c r="BV40" s="24">
        <v>1995</v>
      </c>
      <c r="BW40" s="24">
        <v>1994</v>
      </c>
      <c r="BX40" s="24">
        <v>1993</v>
      </c>
      <c r="BY40" s="24">
        <v>1992</v>
      </c>
      <c r="BZ40" s="25">
        <v>1991</v>
      </c>
      <c r="CA40" s="4"/>
      <c r="CB40" s="4"/>
    </row>
    <row r="41" spans="1:80" ht="15.75" thickTop="1">
      <c r="A41" s="26">
        <v>0</v>
      </c>
      <c r="B41" s="353">
        <v>2500</v>
      </c>
      <c r="C41" s="354">
        <v>2033</v>
      </c>
      <c r="D41" s="354">
        <v>2101</v>
      </c>
      <c r="E41" s="354">
        <v>2160</v>
      </c>
      <c r="F41" s="354">
        <v>1984</v>
      </c>
      <c r="G41" s="354">
        <v>7049</v>
      </c>
      <c r="H41" s="354">
        <v>10662</v>
      </c>
      <c r="I41" s="354">
        <v>8080</v>
      </c>
      <c r="J41" s="354"/>
      <c r="K41" s="354"/>
      <c r="L41" s="354"/>
      <c r="M41" s="354"/>
      <c r="N41" s="354"/>
      <c r="O41" s="354"/>
      <c r="P41" s="354"/>
      <c r="Q41" s="354"/>
      <c r="R41" s="354"/>
      <c r="S41" s="354"/>
      <c r="T41" s="354"/>
      <c r="U41" s="354"/>
      <c r="V41" s="354"/>
      <c r="W41" s="354"/>
      <c r="X41" s="355"/>
      <c r="Y41" s="6"/>
      <c r="Z41" s="6"/>
      <c r="AB41" s="26">
        <v>0</v>
      </c>
      <c r="AC41" s="353">
        <v>443</v>
      </c>
      <c r="AD41" s="354">
        <v>322</v>
      </c>
      <c r="AE41" s="354">
        <v>215</v>
      </c>
      <c r="AF41" s="354">
        <v>220</v>
      </c>
      <c r="AG41" s="354">
        <v>305</v>
      </c>
      <c r="AH41" s="354">
        <v>1193</v>
      </c>
      <c r="AI41" s="354">
        <v>1741</v>
      </c>
      <c r="AJ41" s="354">
        <v>2167</v>
      </c>
      <c r="AK41" s="354"/>
      <c r="AL41" s="354"/>
      <c r="AM41" s="354"/>
      <c r="AN41" s="354"/>
      <c r="AO41" s="354"/>
      <c r="AP41" s="354"/>
      <c r="AQ41" s="354"/>
      <c r="AR41" s="354"/>
      <c r="AS41" s="354"/>
      <c r="AT41" s="354"/>
      <c r="AU41" s="354"/>
      <c r="AV41" s="354"/>
      <c r="AW41" s="354"/>
      <c r="AX41" s="354"/>
      <c r="AY41" s="355"/>
      <c r="AZ41" s="6"/>
      <c r="BA41" s="6"/>
      <c r="BC41" s="26">
        <v>0</v>
      </c>
      <c r="BD41" s="353">
        <v>512</v>
      </c>
      <c r="BE41" s="354">
        <v>420</v>
      </c>
      <c r="BF41" s="354">
        <v>328</v>
      </c>
      <c r="BG41" s="354">
        <v>184</v>
      </c>
      <c r="BH41" s="354">
        <v>204</v>
      </c>
      <c r="BI41" s="354">
        <v>805</v>
      </c>
      <c r="BJ41" s="354">
        <v>1141</v>
      </c>
      <c r="BK41" s="354">
        <v>980</v>
      </c>
      <c r="BL41" s="354"/>
      <c r="BM41" s="354"/>
      <c r="BN41" s="354"/>
      <c r="BO41" s="354"/>
      <c r="BP41" s="354"/>
      <c r="BQ41" s="354"/>
      <c r="BR41" s="354"/>
      <c r="BS41" s="354"/>
      <c r="BT41" s="354"/>
      <c r="BU41" s="354"/>
      <c r="BV41" s="354"/>
      <c r="BW41" s="354"/>
      <c r="BX41" s="354"/>
      <c r="BY41" s="354"/>
      <c r="BZ41" s="355"/>
      <c r="CA41" s="6"/>
      <c r="CB41" s="6"/>
    </row>
    <row r="42" spans="1:80">
      <c r="A42" s="30">
        <v>1</v>
      </c>
      <c r="B42" s="356"/>
      <c r="C42" s="357">
        <v>2120</v>
      </c>
      <c r="D42" s="357">
        <v>2173</v>
      </c>
      <c r="E42" s="357">
        <v>2257</v>
      </c>
      <c r="F42" s="357">
        <v>2020</v>
      </c>
      <c r="G42" s="357">
        <v>6997</v>
      </c>
      <c r="H42" s="357">
        <v>10337</v>
      </c>
      <c r="I42" s="357">
        <v>8118</v>
      </c>
      <c r="J42" s="357">
        <v>6209</v>
      </c>
      <c r="K42" s="357"/>
      <c r="L42" s="357"/>
      <c r="M42" s="357"/>
      <c r="N42" s="357"/>
      <c r="O42" s="357"/>
      <c r="P42" s="357"/>
      <c r="Q42" s="357"/>
      <c r="R42" s="357"/>
      <c r="S42" s="357"/>
      <c r="T42" s="357"/>
      <c r="U42" s="357"/>
      <c r="V42" s="357"/>
      <c r="W42" s="357"/>
      <c r="X42" s="358"/>
      <c r="Y42" s="6"/>
      <c r="Z42" s="6"/>
      <c r="AB42" s="30">
        <v>1</v>
      </c>
      <c r="AC42" s="356"/>
      <c r="AD42" s="357">
        <v>346</v>
      </c>
      <c r="AE42" s="357">
        <v>214</v>
      </c>
      <c r="AF42" s="357">
        <v>225</v>
      </c>
      <c r="AG42" s="357">
        <v>302</v>
      </c>
      <c r="AH42" s="357">
        <v>1023</v>
      </c>
      <c r="AI42" s="357">
        <v>1603</v>
      </c>
      <c r="AJ42" s="357">
        <v>2196</v>
      </c>
      <c r="AK42" s="357">
        <v>2087</v>
      </c>
      <c r="AL42" s="357"/>
      <c r="AM42" s="357"/>
      <c r="AN42" s="357"/>
      <c r="AO42" s="357"/>
      <c r="AP42" s="357"/>
      <c r="AQ42" s="357"/>
      <c r="AR42" s="357"/>
      <c r="AS42" s="357"/>
      <c r="AT42" s="357"/>
      <c r="AU42" s="357"/>
      <c r="AV42" s="357"/>
      <c r="AW42" s="357"/>
      <c r="AX42" s="357"/>
      <c r="AY42" s="358"/>
      <c r="AZ42" s="6"/>
      <c r="BA42" s="6"/>
      <c r="BC42" s="30">
        <v>1</v>
      </c>
      <c r="BD42" s="356"/>
      <c r="BE42" s="357">
        <v>448</v>
      </c>
      <c r="BF42" s="357">
        <v>342</v>
      </c>
      <c r="BG42" s="357">
        <v>210</v>
      </c>
      <c r="BH42" s="357">
        <v>198</v>
      </c>
      <c r="BI42" s="357">
        <v>764</v>
      </c>
      <c r="BJ42" s="357">
        <v>1100</v>
      </c>
      <c r="BK42" s="357">
        <v>1007</v>
      </c>
      <c r="BL42" s="357">
        <v>870</v>
      </c>
      <c r="BM42" s="357"/>
      <c r="BN42" s="357"/>
      <c r="BO42" s="357"/>
      <c r="BP42" s="357"/>
      <c r="BQ42" s="357"/>
      <c r="BR42" s="357"/>
      <c r="BS42" s="357"/>
      <c r="BT42" s="357"/>
      <c r="BU42" s="357"/>
      <c r="BV42" s="357"/>
      <c r="BW42" s="357"/>
      <c r="BX42" s="357"/>
      <c r="BY42" s="357"/>
      <c r="BZ42" s="358"/>
      <c r="CA42" s="6"/>
      <c r="CB42" s="6"/>
    </row>
    <row r="43" spans="1:80">
      <c r="A43" s="30">
        <v>2</v>
      </c>
      <c r="B43" s="356"/>
      <c r="C43" s="357"/>
      <c r="D43" s="357">
        <v>2299</v>
      </c>
      <c r="E43" s="357">
        <v>2245</v>
      </c>
      <c r="F43" s="357">
        <v>2076</v>
      </c>
      <c r="G43" s="357">
        <v>6856</v>
      </c>
      <c r="H43" s="357">
        <v>10447</v>
      </c>
      <c r="I43" s="357">
        <v>8127</v>
      </c>
      <c r="J43" s="357">
        <v>6286</v>
      </c>
      <c r="K43" s="357">
        <v>4736</v>
      </c>
      <c r="L43" s="357"/>
      <c r="M43" s="357"/>
      <c r="N43" s="357"/>
      <c r="O43" s="357"/>
      <c r="P43" s="357"/>
      <c r="Q43" s="357"/>
      <c r="R43" s="357"/>
      <c r="S43" s="357"/>
      <c r="T43" s="357"/>
      <c r="U43" s="357"/>
      <c r="V43" s="357"/>
      <c r="W43" s="357"/>
      <c r="X43" s="358"/>
      <c r="Y43" s="6"/>
      <c r="Z43" s="6"/>
      <c r="AB43" s="30">
        <v>2</v>
      </c>
      <c r="AC43" s="356"/>
      <c r="AD43" s="357"/>
      <c r="AE43" s="357">
        <v>237</v>
      </c>
      <c r="AF43" s="357">
        <v>219</v>
      </c>
      <c r="AG43" s="357">
        <v>295</v>
      </c>
      <c r="AH43" s="357">
        <v>931</v>
      </c>
      <c r="AI43" s="357">
        <v>1364</v>
      </c>
      <c r="AJ43" s="357">
        <v>1946</v>
      </c>
      <c r="AK43" s="357">
        <v>2063</v>
      </c>
      <c r="AL43" s="357">
        <v>1605</v>
      </c>
      <c r="AM43" s="357"/>
      <c r="AN43" s="357"/>
      <c r="AO43" s="357"/>
      <c r="AP43" s="357"/>
      <c r="AQ43" s="357"/>
      <c r="AR43" s="357"/>
      <c r="AS43" s="357"/>
      <c r="AT43" s="357"/>
      <c r="AU43" s="357"/>
      <c r="AV43" s="357"/>
      <c r="AW43" s="357"/>
      <c r="AX43" s="357"/>
      <c r="AY43" s="358"/>
      <c r="AZ43" s="6"/>
      <c r="BA43" s="6"/>
      <c r="BC43" s="30">
        <v>2</v>
      </c>
      <c r="BD43" s="356"/>
      <c r="BE43" s="357"/>
      <c r="BF43" s="357">
        <v>366</v>
      </c>
      <c r="BG43" s="357">
        <v>208</v>
      </c>
      <c r="BH43" s="357">
        <v>207</v>
      </c>
      <c r="BI43" s="357">
        <v>794</v>
      </c>
      <c r="BJ43" s="357">
        <v>926</v>
      </c>
      <c r="BK43" s="357">
        <v>976</v>
      </c>
      <c r="BL43" s="357">
        <v>879</v>
      </c>
      <c r="BM43" s="357">
        <v>711</v>
      </c>
      <c r="BN43" s="357"/>
      <c r="BO43" s="357"/>
      <c r="BP43" s="357"/>
      <c r="BQ43" s="357"/>
      <c r="BR43" s="357"/>
      <c r="BS43" s="357"/>
      <c r="BT43" s="357"/>
      <c r="BU43" s="357"/>
      <c r="BV43" s="357"/>
      <c r="BW43" s="357"/>
      <c r="BX43" s="357"/>
      <c r="BY43" s="357"/>
      <c r="BZ43" s="358"/>
      <c r="CA43" s="6"/>
      <c r="CB43" s="6"/>
    </row>
    <row r="44" spans="1:80">
      <c r="A44" s="30">
        <v>3</v>
      </c>
      <c r="B44" s="356"/>
      <c r="C44" s="357"/>
      <c r="D44" s="357"/>
      <c r="E44" s="357">
        <v>2336</v>
      </c>
      <c r="F44" s="357">
        <v>2079</v>
      </c>
      <c r="G44" s="357">
        <v>6856</v>
      </c>
      <c r="H44" s="357">
        <v>10158</v>
      </c>
      <c r="I44" s="357">
        <v>8349</v>
      </c>
      <c r="J44" s="357">
        <v>6287</v>
      </c>
      <c r="K44" s="357">
        <v>5026</v>
      </c>
      <c r="L44" s="357">
        <v>4619</v>
      </c>
      <c r="M44" s="357"/>
      <c r="N44" s="357"/>
      <c r="O44" s="357"/>
      <c r="P44" s="357"/>
      <c r="Q44" s="357"/>
      <c r="R44" s="357"/>
      <c r="S44" s="357"/>
      <c r="T44" s="357"/>
      <c r="U44" s="357"/>
      <c r="V44" s="357"/>
      <c r="W44" s="357"/>
      <c r="X44" s="358"/>
      <c r="Y44" s="6"/>
      <c r="Z44" s="6"/>
      <c r="AB44" s="30">
        <v>3</v>
      </c>
      <c r="AC44" s="356"/>
      <c r="AD44" s="357"/>
      <c r="AE44" s="357"/>
      <c r="AF44" s="357">
        <v>259</v>
      </c>
      <c r="AG44" s="357">
        <v>301</v>
      </c>
      <c r="AH44" s="357">
        <v>910</v>
      </c>
      <c r="AI44" s="357">
        <v>1226</v>
      </c>
      <c r="AJ44" s="357">
        <v>1711</v>
      </c>
      <c r="AK44" s="357">
        <v>1784</v>
      </c>
      <c r="AL44" s="357">
        <v>1600</v>
      </c>
      <c r="AM44" s="357">
        <v>1529</v>
      </c>
      <c r="AN44" s="357"/>
      <c r="AO44" s="357"/>
      <c r="AP44" s="357"/>
      <c r="AQ44" s="357"/>
      <c r="AR44" s="357"/>
      <c r="AS44" s="357"/>
      <c r="AT44" s="357"/>
      <c r="AU44" s="357"/>
      <c r="AV44" s="357"/>
      <c r="AW44" s="357"/>
      <c r="AX44" s="357"/>
      <c r="AY44" s="358"/>
      <c r="AZ44" s="6"/>
      <c r="BA44" s="6"/>
      <c r="BC44" s="30">
        <v>3</v>
      </c>
      <c r="BD44" s="356"/>
      <c r="BE44" s="357"/>
      <c r="BF44" s="357"/>
      <c r="BG44" s="357">
        <v>221</v>
      </c>
      <c r="BH44" s="357">
        <v>184</v>
      </c>
      <c r="BI44" s="357">
        <v>810</v>
      </c>
      <c r="BJ44" s="357">
        <v>889</v>
      </c>
      <c r="BK44" s="357">
        <v>870</v>
      </c>
      <c r="BL44" s="357">
        <v>826</v>
      </c>
      <c r="BM44" s="357">
        <v>755</v>
      </c>
      <c r="BN44" s="357">
        <v>706</v>
      </c>
      <c r="BO44" s="357"/>
      <c r="BP44" s="357"/>
      <c r="BQ44" s="357"/>
      <c r="BR44" s="357"/>
      <c r="BS44" s="357"/>
      <c r="BT44" s="357"/>
      <c r="BU44" s="357"/>
      <c r="BV44" s="357"/>
      <c r="BW44" s="357"/>
      <c r="BX44" s="357"/>
      <c r="BY44" s="357"/>
      <c r="BZ44" s="358"/>
      <c r="CA44" s="6"/>
      <c r="CB44" s="6"/>
    </row>
    <row r="45" spans="1:80">
      <c r="A45" s="30">
        <v>4</v>
      </c>
      <c r="B45" s="356"/>
      <c r="C45" s="357"/>
      <c r="D45" s="357"/>
      <c r="E45" s="357"/>
      <c r="F45" s="357">
        <v>2181</v>
      </c>
      <c r="G45" s="357">
        <v>6800</v>
      </c>
      <c r="H45" s="357">
        <v>10163</v>
      </c>
      <c r="I45" s="357">
        <v>8238</v>
      </c>
      <c r="J45" s="357">
        <v>6556</v>
      </c>
      <c r="K45" s="357">
        <v>5092</v>
      </c>
      <c r="L45" s="357">
        <v>4884</v>
      </c>
      <c r="M45" s="357">
        <v>4078</v>
      </c>
      <c r="N45" s="357"/>
      <c r="O45" s="357"/>
      <c r="P45" s="357"/>
      <c r="Q45" s="357"/>
      <c r="R45" s="357"/>
      <c r="S45" s="357"/>
      <c r="T45" s="357"/>
      <c r="U45" s="357"/>
      <c r="V45" s="357"/>
      <c r="W45" s="357"/>
      <c r="X45" s="358"/>
      <c r="Y45" s="6"/>
      <c r="Z45" s="6"/>
      <c r="AB45" s="30">
        <v>4</v>
      </c>
      <c r="AC45" s="356"/>
      <c r="AD45" s="357"/>
      <c r="AE45" s="357"/>
      <c r="AF45" s="357"/>
      <c r="AG45" s="357">
        <v>356</v>
      </c>
      <c r="AH45" s="357">
        <v>894</v>
      </c>
      <c r="AI45" s="357">
        <v>1236</v>
      </c>
      <c r="AJ45" s="357">
        <v>1556</v>
      </c>
      <c r="AK45" s="357">
        <v>1520</v>
      </c>
      <c r="AL45" s="357">
        <v>1437</v>
      </c>
      <c r="AM45" s="357">
        <v>1567</v>
      </c>
      <c r="AN45" s="357">
        <v>1454</v>
      </c>
      <c r="AO45" s="357"/>
      <c r="AP45" s="357"/>
      <c r="AQ45" s="357"/>
      <c r="AR45" s="357"/>
      <c r="AS45" s="357"/>
      <c r="AT45" s="357"/>
      <c r="AU45" s="357"/>
      <c r="AV45" s="357"/>
      <c r="AW45" s="357"/>
      <c r="AX45" s="357"/>
      <c r="AY45" s="358"/>
      <c r="AZ45" s="6"/>
      <c r="BA45" s="6"/>
      <c r="BC45" s="30">
        <v>4</v>
      </c>
      <c r="BD45" s="356"/>
      <c r="BE45" s="357"/>
      <c r="BF45" s="357"/>
      <c r="BG45" s="357"/>
      <c r="BH45" s="357">
        <v>212</v>
      </c>
      <c r="BI45" s="357">
        <v>690</v>
      </c>
      <c r="BJ45" s="357">
        <v>896</v>
      </c>
      <c r="BK45" s="357">
        <v>814</v>
      </c>
      <c r="BL45" s="357">
        <v>787</v>
      </c>
      <c r="BM45" s="357">
        <v>738</v>
      </c>
      <c r="BN45" s="357">
        <v>747</v>
      </c>
      <c r="BO45" s="357">
        <v>596</v>
      </c>
      <c r="BP45" s="357"/>
      <c r="BQ45" s="357"/>
      <c r="BR45" s="357"/>
      <c r="BS45" s="357"/>
      <c r="BT45" s="357"/>
      <c r="BU45" s="357"/>
      <c r="BV45" s="357"/>
      <c r="BW45" s="357"/>
      <c r="BX45" s="357"/>
      <c r="BY45" s="357"/>
      <c r="BZ45" s="358"/>
      <c r="CA45" s="6"/>
      <c r="CB45" s="6"/>
    </row>
    <row r="46" spans="1:80">
      <c r="A46" s="30">
        <v>5</v>
      </c>
      <c r="B46" s="356"/>
      <c r="C46" s="357"/>
      <c r="D46" s="357"/>
      <c r="E46" s="357"/>
      <c r="F46" s="357"/>
      <c r="G46" s="357">
        <v>6928</v>
      </c>
      <c r="H46" s="357">
        <v>9803</v>
      </c>
      <c r="I46" s="357">
        <v>8167</v>
      </c>
      <c r="J46" s="357">
        <v>6339</v>
      </c>
      <c r="K46" s="357">
        <v>5202</v>
      </c>
      <c r="L46" s="357">
        <v>4816</v>
      </c>
      <c r="M46" s="357">
        <v>4262</v>
      </c>
      <c r="N46" s="357">
        <v>3926</v>
      </c>
      <c r="O46" s="357"/>
      <c r="P46" s="357"/>
      <c r="Q46" s="357"/>
      <c r="R46" s="357"/>
      <c r="S46" s="357"/>
      <c r="T46" s="357"/>
      <c r="U46" s="357"/>
      <c r="V46" s="357"/>
      <c r="W46" s="357"/>
      <c r="X46" s="358"/>
      <c r="Y46" s="6"/>
      <c r="Z46" s="6"/>
      <c r="AB46" s="30">
        <v>5</v>
      </c>
      <c r="AC46" s="356"/>
      <c r="AD46" s="357"/>
      <c r="AE46" s="357"/>
      <c r="AF46" s="357"/>
      <c r="AG46" s="357"/>
      <c r="AH46" s="357">
        <v>1097</v>
      </c>
      <c r="AI46" s="357">
        <v>1176</v>
      </c>
      <c r="AJ46" s="357">
        <v>1565</v>
      </c>
      <c r="AK46" s="357">
        <v>1416</v>
      </c>
      <c r="AL46" s="357">
        <v>1180</v>
      </c>
      <c r="AM46" s="357">
        <v>1353</v>
      </c>
      <c r="AN46" s="357">
        <v>1512</v>
      </c>
      <c r="AO46" s="357">
        <v>1695</v>
      </c>
      <c r="AP46" s="357"/>
      <c r="AQ46" s="357"/>
      <c r="AR46" s="357"/>
      <c r="AS46" s="357"/>
      <c r="AT46" s="357"/>
      <c r="AU46" s="357"/>
      <c r="AV46" s="357"/>
      <c r="AW46" s="357"/>
      <c r="AX46" s="357"/>
      <c r="AY46" s="358"/>
      <c r="AZ46" s="6"/>
      <c r="BA46" s="6"/>
      <c r="BC46" s="30">
        <v>5</v>
      </c>
      <c r="BD46" s="356"/>
      <c r="BE46" s="357"/>
      <c r="BF46" s="357"/>
      <c r="BG46" s="357"/>
      <c r="BH46" s="357"/>
      <c r="BI46" s="357">
        <v>750</v>
      </c>
      <c r="BJ46" s="357">
        <v>844</v>
      </c>
      <c r="BK46" s="357">
        <v>770</v>
      </c>
      <c r="BL46" s="357">
        <v>682</v>
      </c>
      <c r="BM46" s="357">
        <v>602</v>
      </c>
      <c r="BN46" s="357">
        <v>600</v>
      </c>
      <c r="BO46" s="357">
        <v>543</v>
      </c>
      <c r="BP46" s="357">
        <v>722</v>
      </c>
      <c r="BQ46" s="357"/>
      <c r="BR46" s="357"/>
      <c r="BS46" s="357"/>
      <c r="BT46" s="357"/>
      <c r="BU46" s="357"/>
      <c r="BV46" s="357"/>
      <c r="BW46" s="357"/>
      <c r="BX46" s="357"/>
      <c r="BY46" s="357"/>
      <c r="BZ46" s="358"/>
      <c r="CA46" s="6"/>
      <c r="CB46" s="6"/>
    </row>
    <row r="47" spans="1:80">
      <c r="A47" s="30">
        <v>6</v>
      </c>
      <c r="B47" s="356"/>
      <c r="C47" s="357"/>
      <c r="D47" s="357"/>
      <c r="E47" s="357"/>
      <c r="F47" s="357"/>
      <c r="G47" s="357"/>
      <c r="H47" s="357">
        <v>9958</v>
      </c>
      <c r="I47" s="357">
        <v>7902</v>
      </c>
      <c r="J47" s="357">
        <v>6288</v>
      </c>
      <c r="K47" s="357">
        <v>5065</v>
      </c>
      <c r="L47" s="357">
        <v>4809</v>
      </c>
      <c r="M47" s="357">
        <v>4158</v>
      </c>
      <c r="N47" s="357">
        <v>3955</v>
      </c>
      <c r="O47" s="357">
        <v>3698</v>
      </c>
      <c r="P47" s="357"/>
      <c r="Q47" s="357"/>
      <c r="R47" s="357"/>
      <c r="S47" s="357"/>
      <c r="T47" s="357"/>
      <c r="U47" s="357"/>
      <c r="V47" s="357"/>
      <c r="W47" s="357"/>
      <c r="X47" s="358"/>
      <c r="Y47" s="6"/>
      <c r="Z47" s="6"/>
      <c r="AB47" s="30">
        <v>6</v>
      </c>
      <c r="AC47" s="356"/>
      <c r="AD47" s="357"/>
      <c r="AE47" s="357"/>
      <c r="AF47" s="357"/>
      <c r="AG47" s="357"/>
      <c r="AH47" s="357"/>
      <c r="AI47" s="357">
        <v>1361</v>
      </c>
      <c r="AJ47" s="357">
        <v>1508</v>
      </c>
      <c r="AK47" s="357">
        <v>1387</v>
      </c>
      <c r="AL47" s="357">
        <v>1102</v>
      </c>
      <c r="AM47" s="357">
        <v>1089</v>
      </c>
      <c r="AN47" s="357">
        <v>1256</v>
      </c>
      <c r="AO47" s="357">
        <v>1622</v>
      </c>
      <c r="AP47" s="357">
        <v>1743</v>
      </c>
      <c r="AQ47" s="357"/>
      <c r="AR47" s="357"/>
      <c r="AS47" s="357"/>
      <c r="AT47" s="357"/>
      <c r="AU47" s="357"/>
      <c r="AV47" s="357"/>
      <c r="AW47" s="357"/>
      <c r="AX47" s="357"/>
      <c r="AY47" s="358"/>
      <c r="AZ47" s="6"/>
      <c r="BA47" s="6"/>
      <c r="BC47" s="30">
        <v>6</v>
      </c>
      <c r="BD47" s="356"/>
      <c r="BE47" s="357"/>
      <c r="BF47" s="357"/>
      <c r="BG47" s="357"/>
      <c r="BH47" s="357"/>
      <c r="BI47" s="357"/>
      <c r="BJ47" s="357">
        <v>870</v>
      </c>
      <c r="BK47" s="357">
        <v>744</v>
      </c>
      <c r="BL47" s="357">
        <v>664</v>
      </c>
      <c r="BM47" s="357">
        <v>523</v>
      </c>
      <c r="BN47" s="357">
        <v>462</v>
      </c>
      <c r="BO47" s="357">
        <v>420</v>
      </c>
      <c r="BP47" s="357">
        <v>642</v>
      </c>
      <c r="BQ47" s="357">
        <v>703</v>
      </c>
      <c r="BR47" s="357"/>
      <c r="BS47" s="357"/>
      <c r="BT47" s="357"/>
      <c r="BU47" s="357"/>
      <c r="BV47" s="357"/>
      <c r="BW47" s="357"/>
      <c r="BX47" s="357"/>
      <c r="BY47" s="357"/>
      <c r="BZ47" s="358"/>
      <c r="CA47" s="6"/>
      <c r="CB47" s="6"/>
    </row>
    <row r="48" spans="1:80">
      <c r="A48" s="30">
        <v>7</v>
      </c>
      <c r="B48" s="356"/>
      <c r="C48" s="357"/>
      <c r="D48" s="357"/>
      <c r="E48" s="357"/>
      <c r="F48" s="357"/>
      <c r="G48" s="357"/>
      <c r="H48" s="357"/>
      <c r="I48" s="357">
        <v>8044</v>
      </c>
      <c r="J48" s="357">
        <v>5966</v>
      </c>
      <c r="K48" s="357">
        <v>4981</v>
      </c>
      <c r="L48" s="357">
        <v>4644</v>
      </c>
      <c r="M48" s="357">
        <v>3940</v>
      </c>
      <c r="N48" s="357">
        <v>3806</v>
      </c>
      <c r="O48" s="357">
        <v>3642</v>
      </c>
      <c r="P48" s="357">
        <v>2792</v>
      </c>
      <c r="Q48" s="357"/>
      <c r="R48" s="357"/>
      <c r="S48" s="357"/>
      <c r="T48" s="357"/>
      <c r="U48" s="357"/>
      <c r="V48" s="357"/>
      <c r="W48" s="357"/>
      <c r="X48" s="358"/>
      <c r="Y48" s="6"/>
      <c r="Z48" s="6"/>
      <c r="AB48" s="30">
        <v>7</v>
      </c>
      <c r="AC48" s="356"/>
      <c r="AD48" s="357"/>
      <c r="AE48" s="357"/>
      <c r="AF48" s="357"/>
      <c r="AG48" s="357"/>
      <c r="AH48" s="357"/>
      <c r="AI48" s="357"/>
      <c r="AJ48" s="357">
        <v>1740</v>
      </c>
      <c r="AK48" s="357">
        <v>1314</v>
      </c>
      <c r="AL48" s="357">
        <v>1072</v>
      </c>
      <c r="AM48" s="357">
        <v>1016</v>
      </c>
      <c r="AN48" s="357">
        <v>1022</v>
      </c>
      <c r="AO48" s="357">
        <v>1306</v>
      </c>
      <c r="AP48" s="357">
        <v>1632</v>
      </c>
      <c r="AQ48" s="357">
        <v>1646</v>
      </c>
      <c r="AR48" s="357"/>
      <c r="AS48" s="357"/>
      <c r="AT48" s="357"/>
      <c r="AU48" s="357"/>
      <c r="AV48" s="357"/>
      <c r="AW48" s="357"/>
      <c r="AX48" s="357"/>
      <c r="AY48" s="358"/>
      <c r="AZ48" s="6"/>
      <c r="BA48" s="6"/>
      <c r="BC48" s="30">
        <v>7</v>
      </c>
      <c r="BD48" s="356"/>
      <c r="BE48" s="357"/>
      <c r="BF48" s="357"/>
      <c r="BG48" s="357"/>
      <c r="BH48" s="357"/>
      <c r="BI48" s="357"/>
      <c r="BJ48" s="357"/>
      <c r="BK48" s="357">
        <v>800</v>
      </c>
      <c r="BL48" s="357">
        <v>631</v>
      </c>
      <c r="BM48" s="357">
        <v>511</v>
      </c>
      <c r="BN48" s="357">
        <v>409</v>
      </c>
      <c r="BO48" s="357">
        <v>324</v>
      </c>
      <c r="BP48" s="357">
        <v>493</v>
      </c>
      <c r="BQ48" s="357">
        <v>605</v>
      </c>
      <c r="BR48" s="357">
        <v>458</v>
      </c>
      <c r="BS48" s="357"/>
      <c r="BT48" s="357"/>
      <c r="BU48" s="357"/>
      <c r="BV48" s="357"/>
      <c r="BW48" s="357"/>
      <c r="BX48" s="357"/>
      <c r="BY48" s="357"/>
      <c r="BZ48" s="358"/>
      <c r="CA48" s="6"/>
      <c r="CB48" s="6"/>
    </row>
    <row r="49" spans="1:80">
      <c r="A49" s="30">
        <v>8</v>
      </c>
      <c r="B49" s="356"/>
      <c r="C49" s="357"/>
      <c r="D49" s="357"/>
      <c r="E49" s="357"/>
      <c r="F49" s="357"/>
      <c r="G49" s="357"/>
      <c r="H49" s="357"/>
      <c r="I49" s="357"/>
      <c r="J49" s="357">
        <v>6010</v>
      </c>
      <c r="K49" s="357">
        <v>4645</v>
      </c>
      <c r="L49" s="357">
        <v>4397</v>
      </c>
      <c r="M49" s="357">
        <v>3609</v>
      </c>
      <c r="N49" s="357">
        <v>3546</v>
      </c>
      <c r="O49" s="357">
        <v>3361</v>
      </c>
      <c r="P49" s="357">
        <v>2699</v>
      </c>
      <c r="Q49" s="357">
        <v>2454</v>
      </c>
      <c r="R49" s="357"/>
      <c r="S49" s="357"/>
      <c r="T49" s="357"/>
      <c r="U49" s="357"/>
      <c r="V49" s="357"/>
      <c r="W49" s="357"/>
      <c r="X49" s="358"/>
      <c r="Y49" s="6"/>
      <c r="Z49" s="6"/>
      <c r="AB49" s="30">
        <v>8</v>
      </c>
      <c r="AC49" s="356"/>
      <c r="AD49" s="357"/>
      <c r="AE49" s="357"/>
      <c r="AF49" s="357"/>
      <c r="AG49" s="357"/>
      <c r="AH49" s="357"/>
      <c r="AI49" s="357"/>
      <c r="AJ49" s="357"/>
      <c r="AK49" s="357">
        <v>1441</v>
      </c>
      <c r="AL49" s="357">
        <v>993</v>
      </c>
      <c r="AM49" s="357">
        <v>944</v>
      </c>
      <c r="AN49" s="357">
        <v>916</v>
      </c>
      <c r="AO49" s="357">
        <v>992</v>
      </c>
      <c r="AP49" s="357">
        <v>1241</v>
      </c>
      <c r="AQ49" s="357">
        <v>1389</v>
      </c>
      <c r="AR49" s="357">
        <v>1449</v>
      </c>
      <c r="AS49" s="357"/>
      <c r="AT49" s="357"/>
      <c r="AU49" s="357"/>
      <c r="AV49" s="357"/>
      <c r="AW49" s="357"/>
      <c r="AX49" s="357"/>
      <c r="AY49" s="358"/>
      <c r="AZ49" s="6"/>
      <c r="BA49" s="6"/>
      <c r="BC49" s="30">
        <v>8</v>
      </c>
      <c r="BD49" s="356"/>
      <c r="BE49" s="357"/>
      <c r="BF49" s="357"/>
      <c r="BG49" s="357"/>
      <c r="BH49" s="357"/>
      <c r="BI49" s="357"/>
      <c r="BJ49" s="357"/>
      <c r="BK49" s="357"/>
      <c r="BL49" s="357">
        <v>632</v>
      </c>
      <c r="BM49" s="357">
        <v>410</v>
      </c>
      <c r="BN49" s="357">
        <v>395</v>
      </c>
      <c r="BO49" s="357">
        <v>276</v>
      </c>
      <c r="BP49" s="357">
        <v>337</v>
      </c>
      <c r="BQ49" s="357">
        <v>477</v>
      </c>
      <c r="BR49" s="357">
        <v>398</v>
      </c>
      <c r="BS49" s="357">
        <v>335</v>
      </c>
      <c r="BT49" s="357"/>
      <c r="BU49" s="357"/>
      <c r="BV49" s="357"/>
      <c r="BW49" s="357"/>
      <c r="BX49" s="357"/>
      <c r="BY49" s="357"/>
      <c r="BZ49" s="358"/>
      <c r="CA49" s="6"/>
      <c r="CB49" s="6"/>
    </row>
    <row r="50" spans="1:80">
      <c r="A50" s="30">
        <v>9</v>
      </c>
      <c r="B50" s="356"/>
      <c r="C50" s="357"/>
      <c r="D50" s="357"/>
      <c r="E50" s="357"/>
      <c r="F50" s="357"/>
      <c r="G50" s="357"/>
      <c r="H50" s="357"/>
      <c r="I50" s="357"/>
      <c r="J50" s="357"/>
      <c r="K50" s="357">
        <v>4708</v>
      </c>
      <c r="L50" s="357">
        <v>4047</v>
      </c>
      <c r="M50" s="357">
        <v>3379</v>
      </c>
      <c r="N50" s="357">
        <v>3243</v>
      </c>
      <c r="O50" s="357">
        <v>3033</v>
      </c>
      <c r="P50" s="357">
        <v>2453</v>
      </c>
      <c r="Q50" s="357">
        <v>2303</v>
      </c>
      <c r="R50" s="357">
        <v>1793</v>
      </c>
      <c r="S50" s="357"/>
      <c r="T50" s="357"/>
      <c r="U50" s="357"/>
      <c r="V50" s="357"/>
      <c r="W50" s="357"/>
      <c r="X50" s="358"/>
      <c r="Y50" s="6"/>
      <c r="Z50" s="6"/>
      <c r="AB50" s="30">
        <v>9</v>
      </c>
      <c r="AC50" s="356"/>
      <c r="AD50" s="357"/>
      <c r="AE50" s="357"/>
      <c r="AF50" s="357"/>
      <c r="AG50" s="357"/>
      <c r="AH50" s="357"/>
      <c r="AI50" s="357"/>
      <c r="AJ50" s="357"/>
      <c r="AK50" s="357"/>
      <c r="AL50" s="357">
        <v>1055</v>
      </c>
      <c r="AM50" s="357">
        <v>815</v>
      </c>
      <c r="AN50" s="357">
        <v>812</v>
      </c>
      <c r="AO50" s="357">
        <v>838</v>
      </c>
      <c r="AP50" s="357">
        <v>966</v>
      </c>
      <c r="AQ50" s="357">
        <v>1053</v>
      </c>
      <c r="AR50" s="357">
        <v>1143</v>
      </c>
      <c r="AS50" s="357">
        <v>874</v>
      </c>
      <c r="AT50" s="357"/>
      <c r="AU50" s="357"/>
      <c r="AV50" s="357"/>
      <c r="AW50" s="357"/>
      <c r="AX50" s="357"/>
      <c r="AY50" s="358"/>
      <c r="AZ50" s="6"/>
      <c r="BA50" s="6"/>
      <c r="BC50" s="30">
        <v>9</v>
      </c>
      <c r="BD50" s="356"/>
      <c r="BE50" s="357"/>
      <c r="BF50" s="357"/>
      <c r="BG50" s="357"/>
      <c r="BH50" s="357"/>
      <c r="BI50" s="357"/>
      <c r="BJ50" s="357"/>
      <c r="BK50" s="357"/>
      <c r="BL50" s="357"/>
      <c r="BM50" s="357">
        <v>414</v>
      </c>
      <c r="BN50" s="357">
        <v>338</v>
      </c>
      <c r="BO50" s="357">
        <v>225</v>
      </c>
      <c r="BP50" s="357">
        <v>277</v>
      </c>
      <c r="BQ50" s="357">
        <v>299</v>
      </c>
      <c r="BR50" s="357">
        <v>276</v>
      </c>
      <c r="BS50" s="357">
        <v>275</v>
      </c>
      <c r="BT50" s="357">
        <v>151</v>
      </c>
      <c r="BU50" s="357"/>
      <c r="BV50" s="357"/>
      <c r="BW50" s="357"/>
      <c r="BX50" s="357"/>
      <c r="BY50" s="357"/>
      <c r="BZ50" s="358"/>
      <c r="CA50" s="6"/>
      <c r="CB50" s="6"/>
    </row>
    <row r="51" spans="1:80">
      <c r="A51" s="30">
        <v>10</v>
      </c>
      <c r="B51" s="356"/>
      <c r="C51" s="357"/>
      <c r="D51" s="357"/>
      <c r="E51" s="357"/>
      <c r="F51" s="357"/>
      <c r="G51" s="357"/>
      <c r="H51" s="357"/>
      <c r="I51" s="357"/>
      <c r="J51" s="357"/>
      <c r="K51" s="357"/>
      <c r="L51" s="357">
        <v>3960</v>
      </c>
      <c r="M51" s="357">
        <v>3013</v>
      </c>
      <c r="N51" s="357">
        <v>2954</v>
      </c>
      <c r="O51" s="357">
        <v>2619</v>
      </c>
      <c r="P51" s="357">
        <v>2112</v>
      </c>
      <c r="Q51" s="357">
        <v>1951</v>
      </c>
      <c r="R51" s="357">
        <v>1613</v>
      </c>
      <c r="S51" s="357">
        <v>1570</v>
      </c>
      <c r="T51" s="357"/>
      <c r="U51" s="357"/>
      <c r="V51" s="357"/>
      <c r="W51" s="357"/>
      <c r="X51" s="358"/>
      <c r="Y51" s="6"/>
      <c r="Z51" s="6"/>
      <c r="AB51" s="30">
        <v>10</v>
      </c>
      <c r="AC51" s="356"/>
      <c r="AD51" s="357"/>
      <c r="AE51" s="357"/>
      <c r="AF51" s="357"/>
      <c r="AG51" s="357"/>
      <c r="AH51" s="357"/>
      <c r="AI51" s="357"/>
      <c r="AJ51" s="357"/>
      <c r="AK51" s="357"/>
      <c r="AL51" s="357"/>
      <c r="AM51" s="357">
        <v>835</v>
      </c>
      <c r="AN51" s="357">
        <v>676</v>
      </c>
      <c r="AO51" s="357">
        <v>745</v>
      </c>
      <c r="AP51" s="357">
        <v>734</v>
      </c>
      <c r="AQ51" s="357">
        <v>734</v>
      </c>
      <c r="AR51" s="357">
        <v>846</v>
      </c>
      <c r="AS51" s="357">
        <v>714</v>
      </c>
      <c r="AT51" s="357">
        <v>899</v>
      </c>
      <c r="AU51" s="357"/>
      <c r="AV51" s="357"/>
      <c r="AW51" s="357"/>
      <c r="AX51" s="357"/>
      <c r="AY51" s="358"/>
      <c r="AZ51" s="6"/>
      <c r="BA51" s="6"/>
      <c r="BC51" s="30">
        <v>10</v>
      </c>
      <c r="BD51" s="356"/>
      <c r="BE51" s="357"/>
      <c r="BF51" s="357"/>
      <c r="BG51" s="357"/>
      <c r="BH51" s="357"/>
      <c r="BI51" s="357"/>
      <c r="BJ51" s="357"/>
      <c r="BK51" s="357"/>
      <c r="BL51" s="357"/>
      <c r="BM51" s="357"/>
      <c r="BN51" s="357">
        <v>324</v>
      </c>
      <c r="BO51" s="357">
        <v>193</v>
      </c>
      <c r="BP51" s="357">
        <v>222</v>
      </c>
      <c r="BQ51" s="357">
        <v>226</v>
      </c>
      <c r="BR51" s="357">
        <v>160</v>
      </c>
      <c r="BS51" s="357">
        <v>182</v>
      </c>
      <c r="BT51" s="357">
        <v>119</v>
      </c>
      <c r="BU51" s="357">
        <v>128</v>
      </c>
      <c r="BV51" s="357"/>
      <c r="BW51" s="357"/>
      <c r="BX51" s="357"/>
      <c r="BY51" s="357"/>
      <c r="BZ51" s="358"/>
      <c r="CA51" s="6"/>
      <c r="CB51" s="6"/>
    </row>
    <row r="52" spans="1:80">
      <c r="A52" s="30">
        <v>11</v>
      </c>
      <c r="B52" s="356"/>
      <c r="C52" s="357"/>
      <c r="D52" s="357"/>
      <c r="E52" s="357"/>
      <c r="F52" s="357"/>
      <c r="G52" s="357"/>
      <c r="H52" s="357"/>
      <c r="I52" s="357"/>
      <c r="J52" s="357"/>
      <c r="K52" s="357"/>
      <c r="L52" s="357"/>
      <c r="M52" s="357">
        <v>2864</v>
      </c>
      <c r="N52" s="357">
        <v>2582</v>
      </c>
      <c r="O52" s="357">
        <v>2377</v>
      </c>
      <c r="P52" s="357">
        <v>1768</v>
      </c>
      <c r="Q52" s="357">
        <v>1692</v>
      </c>
      <c r="R52" s="357">
        <v>1391</v>
      </c>
      <c r="S52" s="357">
        <v>1382</v>
      </c>
      <c r="T52" s="357">
        <v>1359</v>
      </c>
      <c r="U52" s="357"/>
      <c r="V52" s="357"/>
      <c r="W52" s="357"/>
      <c r="X52" s="358"/>
      <c r="Y52" s="6"/>
      <c r="Z52" s="6"/>
      <c r="AB52" s="30">
        <v>11</v>
      </c>
      <c r="AC52" s="356"/>
      <c r="AD52" s="357"/>
      <c r="AE52" s="357"/>
      <c r="AF52" s="357"/>
      <c r="AG52" s="357"/>
      <c r="AH52" s="357"/>
      <c r="AI52" s="357"/>
      <c r="AJ52" s="357"/>
      <c r="AK52" s="357"/>
      <c r="AL52" s="357"/>
      <c r="AM52" s="357"/>
      <c r="AN52" s="357">
        <v>669</v>
      </c>
      <c r="AO52" s="357">
        <v>644</v>
      </c>
      <c r="AP52" s="357">
        <v>624</v>
      </c>
      <c r="AQ52" s="357">
        <v>557</v>
      </c>
      <c r="AR52" s="357">
        <v>570</v>
      </c>
      <c r="AS52" s="357">
        <v>476</v>
      </c>
      <c r="AT52" s="357">
        <v>673</v>
      </c>
      <c r="AU52" s="357">
        <v>654</v>
      </c>
      <c r="AV52" s="357"/>
      <c r="AW52" s="357"/>
      <c r="AX52" s="357"/>
      <c r="AY52" s="358"/>
      <c r="AZ52" s="6"/>
      <c r="BA52" s="6"/>
      <c r="BC52" s="30">
        <v>11</v>
      </c>
      <c r="BD52" s="356"/>
      <c r="BE52" s="357"/>
      <c r="BF52" s="357"/>
      <c r="BG52" s="357"/>
      <c r="BH52" s="357"/>
      <c r="BI52" s="357"/>
      <c r="BJ52" s="357"/>
      <c r="BK52" s="357"/>
      <c r="BL52" s="357"/>
      <c r="BM52" s="357"/>
      <c r="BN52" s="357"/>
      <c r="BO52" s="357">
        <v>171</v>
      </c>
      <c r="BP52" s="357">
        <v>175</v>
      </c>
      <c r="BQ52" s="357">
        <v>201</v>
      </c>
      <c r="BR52" s="357">
        <v>129</v>
      </c>
      <c r="BS52" s="357">
        <v>105</v>
      </c>
      <c r="BT52" s="357">
        <v>65</v>
      </c>
      <c r="BU52" s="357">
        <v>88</v>
      </c>
      <c r="BV52" s="357">
        <v>90</v>
      </c>
      <c r="BW52" s="357"/>
      <c r="BX52" s="357"/>
      <c r="BY52" s="357"/>
      <c r="BZ52" s="358"/>
      <c r="CA52" s="6"/>
      <c r="CB52" s="6"/>
    </row>
    <row r="53" spans="1:80">
      <c r="A53" s="30">
        <v>12</v>
      </c>
      <c r="B53" s="356"/>
      <c r="C53" s="357"/>
      <c r="D53" s="357"/>
      <c r="E53" s="357"/>
      <c r="F53" s="357"/>
      <c r="G53" s="357"/>
      <c r="H53" s="357"/>
      <c r="I53" s="357"/>
      <c r="J53" s="357"/>
      <c r="K53" s="357"/>
      <c r="L53" s="357"/>
      <c r="M53" s="357"/>
      <c r="N53" s="357">
        <v>2391</v>
      </c>
      <c r="O53" s="357">
        <v>1997</v>
      </c>
      <c r="P53" s="357">
        <v>1599</v>
      </c>
      <c r="Q53" s="357">
        <v>1385</v>
      </c>
      <c r="R53" s="357">
        <v>1181</v>
      </c>
      <c r="S53" s="357">
        <v>1212</v>
      </c>
      <c r="T53" s="357">
        <v>1173</v>
      </c>
      <c r="U53" s="357">
        <v>953</v>
      </c>
      <c r="V53" s="357"/>
      <c r="W53" s="357"/>
      <c r="X53" s="358"/>
      <c r="Y53" s="6"/>
      <c r="Z53" s="6"/>
      <c r="AB53" s="30">
        <v>12</v>
      </c>
      <c r="AC53" s="356"/>
      <c r="AD53" s="357"/>
      <c r="AE53" s="357"/>
      <c r="AF53" s="357"/>
      <c r="AG53" s="357"/>
      <c r="AH53" s="357"/>
      <c r="AI53" s="357"/>
      <c r="AJ53" s="357"/>
      <c r="AK53" s="357"/>
      <c r="AL53" s="357"/>
      <c r="AM53" s="357"/>
      <c r="AN53" s="357"/>
      <c r="AO53" s="357">
        <v>615</v>
      </c>
      <c r="AP53" s="357">
        <v>518</v>
      </c>
      <c r="AQ53" s="357">
        <v>473</v>
      </c>
      <c r="AR53" s="357">
        <v>427</v>
      </c>
      <c r="AS53" s="357">
        <v>296</v>
      </c>
      <c r="AT53" s="357">
        <v>468</v>
      </c>
      <c r="AU53" s="357">
        <v>487</v>
      </c>
      <c r="AV53" s="357">
        <v>395</v>
      </c>
      <c r="AW53" s="357"/>
      <c r="AX53" s="357"/>
      <c r="AY53" s="358"/>
      <c r="AZ53" s="6"/>
      <c r="BA53" s="6"/>
      <c r="BC53" s="30">
        <v>12</v>
      </c>
      <c r="BD53" s="356"/>
      <c r="BE53" s="357"/>
      <c r="BF53" s="357"/>
      <c r="BG53" s="357"/>
      <c r="BH53" s="357"/>
      <c r="BI53" s="357"/>
      <c r="BJ53" s="357"/>
      <c r="BK53" s="357"/>
      <c r="BL53" s="357"/>
      <c r="BM53" s="357"/>
      <c r="BN53" s="357"/>
      <c r="BO53" s="357"/>
      <c r="BP53" s="357">
        <v>160</v>
      </c>
      <c r="BQ53" s="357">
        <v>152</v>
      </c>
      <c r="BR53" s="357">
        <v>92</v>
      </c>
      <c r="BS53" s="357">
        <v>70</v>
      </c>
      <c r="BT53" s="357">
        <v>41</v>
      </c>
      <c r="BU53" s="357">
        <v>62</v>
      </c>
      <c r="BV53" s="357">
        <v>70</v>
      </c>
      <c r="BW53" s="357">
        <v>45</v>
      </c>
      <c r="BX53" s="357"/>
      <c r="BY53" s="357"/>
      <c r="BZ53" s="358"/>
      <c r="CA53" s="6"/>
      <c r="CB53" s="6"/>
    </row>
    <row r="54" spans="1:80">
      <c r="A54" s="30">
        <v>13</v>
      </c>
      <c r="B54" s="356"/>
      <c r="C54" s="357"/>
      <c r="D54" s="357"/>
      <c r="E54" s="357"/>
      <c r="F54" s="357"/>
      <c r="G54" s="357"/>
      <c r="H54" s="357"/>
      <c r="I54" s="357"/>
      <c r="J54" s="357"/>
      <c r="K54" s="357"/>
      <c r="L54" s="357"/>
      <c r="M54" s="357"/>
      <c r="N54" s="357"/>
      <c r="O54" s="357">
        <v>1868</v>
      </c>
      <c r="P54" s="357">
        <v>1307</v>
      </c>
      <c r="Q54" s="357">
        <v>1212</v>
      </c>
      <c r="R54" s="357">
        <v>1004</v>
      </c>
      <c r="S54" s="357">
        <v>1003</v>
      </c>
      <c r="T54" s="357">
        <v>965</v>
      </c>
      <c r="U54" s="357">
        <v>812</v>
      </c>
      <c r="V54" s="357">
        <v>769</v>
      </c>
      <c r="W54" s="357"/>
      <c r="X54" s="358"/>
      <c r="Y54" s="6"/>
      <c r="Z54" s="6"/>
      <c r="AB54" s="30">
        <v>13</v>
      </c>
      <c r="AC54" s="356"/>
      <c r="AD54" s="357"/>
      <c r="AE54" s="357"/>
      <c r="AF54" s="357"/>
      <c r="AG54" s="357"/>
      <c r="AH54" s="357"/>
      <c r="AI54" s="357"/>
      <c r="AJ54" s="357"/>
      <c r="AK54" s="357"/>
      <c r="AL54" s="357"/>
      <c r="AM54" s="357"/>
      <c r="AN54" s="357"/>
      <c r="AO54" s="357"/>
      <c r="AP54" s="357">
        <v>510</v>
      </c>
      <c r="AQ54" s="357">
        <v>387</v>
      </c>
      <c r="AR54" s="357">
        <v>338</v>
      </c>
      <c r="AS54" s="357">
        <v>215</v>
      </c>
      <c r="AT54" s="357">
        <v>273</v>
      </c>
      <c r="AU54" s="357">
        <v>341</v>
      </c>
      <c r="AV54" s="357">
        <v>286</v>
      </c>
      <c r="AW54" s="357">
        <v>165</v>
      </c>
      <c r="AX54" s="357"/>
      <c r="AY54" s="358"/>
      <c r="AZ54" s="6"/>
      <c r="BA54" s="6"/>
      <c r="BC54" s="30">
        <v>13</v>
      </c>
      <c r="BD54" s="356"/>
      <c r="BE54" s="357"/>
      <c r="BF54" s="357"/>
      <c r="BG54" s="357"/>
      <c r="BH54" s="357"/>
      <c r="BI54" s="357"/>
      <c r="BJ54" s="357"/>
      <c r="BK54" s="357"/>
      <c r="BL54" s="357"/>
      <c r="BM54" s="357"/>
      <c r="BN54" s="357"/>
      <c r="BO54" s="357"/>
      <c r="BP54" s="357"/>
      <c r="BQ54" s="357">
        <v>123</v>
      </c>
      <c r="BR54" s="357">
        <v>78</v>
      </c>
      <c r="BS54" s="357">
        <v>54</v>
      </c>
      <c r="BT54" s="357">
        <v>23</v>
      </c>
      <c r="BU54" s="357">
        <v>26</v>
      </c>
      <c r="BV54" s="357">
        <v>44</v>
      </c>
      <c r="BW54" s="357">
        <v>32</v>
      </c>
      <c r="BX54" s="357">
        <v>17</v>
      </c>
      <c r="BY54" s="357"/>
      <c r="BZ54" s="358"/>
      <c r="CA54" s="6"/>
      <c r="CB54" s="6"/>
    </row>
    <row r="55" spans="1:80">
      <c r="A55" s="30">
        <v>14</v>
      </c>
      <c r="B55" s="356"/>
      <c r="C55" s="357"/>
      <c r="D55" s="357"/>
      <c r="E55" s="357"/>
      <c r="F55" s="357"/>
      <c r="G55" s="357"/>
      <c r="H55" s="357"/>
      <c r="I55" s="357"/>
      <c r="J55" s="357"/>
      <c r="K55" s="357"/>
      <c r="L55" s="357"/>
      <c r="M55" s="357"/>
      <c r="N55" s="357"/>
      <c r="O55" s="357"/>
      <c r="P55" s="357">
        <v>1212</v>
      </c>
      <c r="Q55" s="357">
        <v>1023</v>
      </c>
      <c r="R55" s="357">
        <v>874</v>
      </c>
      <c r="S55" s="357">
        <v>833</v>
      </c>
      <c r="T55" s="357">
        <v>795</v>
      </c>
      <c r="U55" s="357">
        <v>655</v>
      </c>
      <c r="V55" s="357">
        <v>602</v>
      </c>
      <c r="W55" s="357">
        <v>471</v>
      </c>
      <c r="X55" s="358"/>
      <c r="Y55" s="6"/>
      <c r="Z55" s="6"/>
      <c r="AB55" s="30">
        <v>14</v>
      </c>
      <c r="AC55" s="356"/>
      <c r="AD55" s="357"/>
      <c r="AE55" s="357"/>
      <c r="AF55" s="357"/>
      <c r="AG55" s="357"/>
      <c r="AH55" s="357"/>
      <c r="AI55" s="357"/>
      <c r="AJ55" s="357"/>
      <c r="AK55" s="357"/>
      <c r="AL55" s="357"/>
      <c r="AM55" s="357"/>
      <c r="AN55" s="357"/>
      <c r="AO55" s="357"/>
      <c r="AP55" s="357"/>
      <c r="AQ55" s="357">
        <v>327</v>
      </c>
      <c r="AR55" s="357">
        <v>244</v>
      </c>
      <c r="AS55" s="357">
        <v>166</v>
      </c>
      <c r="AT55" s="357">
        <v>197</v>
      </c>
      <c r="AU55" s="357">
        <v>190</v>
      </c>
      <c r="AV55" s="357">
        <v>183</v>
      </c>
      <c r="AW55" s="357">
        <v>129</v>
      </c>
      <c r="AX55" s="357">
        <v>101</v>
      </c>
      <c r="AY55" s="358"/>
      <c r="AZ55" s="6"/>
      <c r="BA55" s="6"/>
      <c r="BC55" s="30">
        <v>14</v>
      </c>
      <c r="BD55" s="356"/>
      <c r="BE55" s="357"/>
      <c r="BF55" s="357"/>
      <c r="BG55" s="357"/>
      <c r="BH55" s="357"/>
      <c r="BI55" s="357"/>
      <c r="BJ55" s="357"/>
      <c r="BK55" s="357"/>
      <c r="BL55" s="357"/>
      <c r="BM55" s="357"/>
      <c r="BN55" s="357"/>
      <c r="BO55" s="357"/>
      <c r="BP55" s="357"/>
      <c r="BQ55" s="357"/>
      <c r="BR55" s="357">
        <v>59</v>
      </c>
      <c r="BS55" s="357">
        <v>39</v>
      </c>
      <c r="BT55" s="357">
        <v>15</v>
      </c>
      <c r="BU55" s="357">
        <v>24</v>
      </c>
      <c r="BV55" s="357">
        <v>29</v>
      </c>
      <c r="BW55" s="357">
        <v>26</v>
      </c>
      <c r="BX55" s="357">
        <v>10</v>
      </c>
      <c r="BY55" s="357">
        <v>12</v>
      </c>
      <c r="BZ55" s="358"/>
      <c r="CA55" s="6"/>
      <c r="CB55" s="6"/>
    </row>
    <row r="56" spans="1:80" ht="15.75" thickBot="1">
      <c r="A56" s="34">
        <v>15</v>
      </c>
      <c r="B56" s="359"/>
      <c r="C56" s="360"/>
      <c r="D56" s="360"/>
      <c r="E56" s="360"/>
      <c r="F56" s="360"/>
      <c r="G56" s="360"/>
      <c r="H56" s="360"/>
      <c r="I56" s="360"/>
      <c r="J56" s="360"/>
      <c r="K56" s="360"/>
      <c r="L56" s="360"/>
      <c r="M56" s="360"/>
      <c r="N56" s="360"/>
      <c r="O56" s="360"/>
      <c r="P56" s="360"/>
      <c r="Q56" s="360">
        <v>916</v>
      </c>
      <c r="R56" s="360">
        <v>696</v>
      </c>
      <c r="S56" s="360">
        <v>680</v>
      </c>
      <c r="T56" s="360">
        <v>601</v>
      </c>
      <c r="U56" s="360">
        <v>529</v>
      </c>
      <c r="V56" s="360">
        <v>507</v>
      </c>
      <c r="W56" s="360">
        <v>365</v>
      </c>
      <c r="X56" s="361">
        <v>385</v>
      </c>
      <c r="Y56" s="6"/>
      <c r="Z56" s="6"/>
      <c r="AB56" s="34">
        <v>15</v>
      </c>
      <c r="AC56" s="359"/>
      <c r="AD56" s="360"/>
      <c r="AE56" s="360"/>
      <c r="AF56" s="360"/>
      <c r="AG56" s="360"/>
      <c r="AH56" s="360"/>
      <c r="AI56" s="360"/>
      <c r="AJ56" s="360"/>
      <c r="AK56" s="360"/>
      <c r="AL56" s="360"/>
      <c r="AM56" s="360"/>
      <c r="AN56" s="360"/>
      <c r="AO56" s="360"/>
      <c r="AP56" s="360"/>
      <c r="AQ56" s="360"/>
      <c r="AR56" s="360">
        <v>220</v>
      </c>
      <c r="AS56" s="360">
        <v>117</v>
      </c>
      <c r="AT56" s="360">
        <v>169</v>
      </c>
      <c r="AU56" s="360">
        <v>151</v>
      </c>
      <c r="AV56" s="360">
        <v>112</v>
      </c>
      <c r="AW56" s="360">
        <v>88</v>
      </c>
      <c r="AX56" s="360">
        <v>71</v>
      </c>
      <c r="AY56" s="361">
        <v>84</v>
      </c>
      <c r="AZ56" s="6"/>
      <c r="BA56" s="6"/>
      <c r="BC56" s="34">
        <v>15</v>
      </c>
      <c r="BD56" s="359"/>
      <c r="BE56" s="360"/>
      <c r="BF56" s="360"/>
      <c r="BG56" s="360"/>
      <c r="BH56" s="360"/>
      <c r="BI56" s="360"/>
      <c r="BJ56" s="360"/>
      <c r="BK56" s="360"/>
      <c r="BL56" s="360"/>
      <c r="BM56" s="360"/>
      <c r="BN56" s="360"/>
      <c r="BO56" s="360"/>
      <c r="BP56" s="360"/>
      <c r="BQ56" s="360"/>
      <c r="BR56" s="360"/>
      <c r="BS56" s="360">
        <v>26</v>
      </c>
      <c r="BT56" s="360">
        <v>7</v>
      </c>
      <c r="BU56" s="360">
        <v>21</v>
      </c>
      <c r="BV56" s="360">
        <v>18</v>
      </c>
      <c r="BW56" s="360">
        <v>6</v>
      </c>
      <c r="BX56" s="360">
        <v>8</v>
      </c>
      <c r="BY56" s="360">
        <v>9</v>
      </c>
      <c r="BZ56" s="361">
        <v>6</v>
      </c>
      <c r="CA56" s="6"/>
      <c r="CB56" s="6"/>
    </row>
    <row r="57" spans="1:80" ht="15.75" thickBot="1"/>
    <row r="58" spans="1:80" ht="26.25">
      <c r="A58" s="1725" t="s">
        <v>218</v>
      </c>
      <c r="B58" s="1726"/>
      <c r="C58" s="1726"/>
      <c r="D58" s="1726"/>
      <c r="E58" s="1726"/>
      <c r="F58" s="1726"/>
      <c r="G58" s="1726"/>
      <c r="H58" s="1726"/>
      <c r="I58" s="1726"/>
      <c r="J58" s="1726"/>
      <c r="K58" s="1726"/>
      <c r="L58" s="1726"/>
      <c r="M58" s="1726"/>
      <c r="N58" s="1726"/>
      <c r="O58" s="1726"/>
      <c r="P58" s="1726"/>
      <c r="Q58" s="1726"/>
      <c r="R58" s="1726"/>
      <c r="S58" s="1726"/>
      <c r="T58" s="1726"/>
      <c r="U58" s="1726"/>
      <c r="V58" s="1726"/>
      <c r="W58" s="1726"/>
      <c r="X58" s="1726"/>
      <c r="Y58" s="1726"/>
      <c r="Z58" s="1727"/>
      <c r="AB58" s="1725" t="s">
        <v>219</v>
      </c>
      <c r="AC58" s="1726"/>
      <c r="AD58" s="1726"/>
      <c r="AE58" s="1726"/>
      <c r="AF58" s="1726"/>
      <c r="AG58" s="1726"/>
      <c r="AH58" s="1726"/>
      <c r="AI58" s="1726"/>
      <c r="AJ58" s="1726"/>
      <c r="AK58" s="1726"/>
      <c r="AL58" s="1726"/>
      <c r="AM58" s="1726"/>
      <c r="AN58" s="1726"/>
      <c r="AO58" s="1726"/>
      <c r="AP58" s="1726"/>
      <c r="AQ58" s="1726"/>
      <c r="AR58" s="1726"/>
      <c r="AS58" s="1726"/>
      <c r="AT58" s="1726"/>
      <c r="AU58" s="1726"/>
      <c r="AV58" s="1726"/>
      <c r="AW58" s="1726"/>
      <c r="AX58" s="1726"/>
      <c r="AY58" s="1726"/>
      <c r="AZ58" s="1726"/>
      <c r="BA58" s="1727"/>
      <c r="BC58" s="1725" t="s">
        <v>220</v>
      </c>
      <c r="BD58" s="1726"/>
      <c r="BE58" s="1726"/>
      <c r="BF58" s="1726"/>
      <c r="BG58" s="1726"/>
      <c r="BH58" s="1726"/>
      <c r="BI58" s="1726"/>
      <c r="BJ58" s="1726"/>
      <c r="BK58" s="1726"/>
      <c r="BL58" s="1726"/>
      <c r="BM58" s="1726"/>
      <c r="BN58" s="1726"/>
      <c r="BO58" s="1726"/>
      <c r="BP58" s="1726"/>
      <c r="BQ58" s="1726"/>
      <c r="BR58" s="1726"/>
      <c r="BS58" s="1726"/>
      <c r="BT58" s="1726"/>
      <c r="BU58" s="1726"/>
      <c r="BV58" s="1726"/>
      <c r="BW58" s="1726"/>
      <c r="BX58" s="1726"/>
      <c r="BY58" s="1726"/>
      <c r="BZ58" s="1726"/>
      <c r="CA58" s="1726"/>
      <c r="CB58" s="1727"/>
    </row>
    <row r="59" spans="1:80" ht="15.75" thickBot="1">
      <c r="A59" s="23" t="s">
        <v>11</v>
      </c>
      <c r="B59" s="24">
        <v>2013</v>
      </c>
      <c r="C59" s="24">
        <v>2012</v>
      </c>
      <c r="D59" s="24">
        <v>2011</v>
      </c>
      <c r="E59" s="24">
        <v>2010</v>
      </c>
      <c r="F59" s="24">
        <v>2009</v>
      </c>
      <c r="G59" s="24">
        <v>2008</v>
      </c>
      <c r="H59" s="24">
        <v>2007</v>
      </c>
      <c r="I59" s="24">
        <v>2006</v>
      </c>
      <c r="J59" s="24">
        <v>2005</v>
      </c>
      <c r="K59" s="24">
        <v>2004</v>
      </c>
      <c r="L59" s="24">
        <v>2003</v>
      </c>
      <c r="M59" s="24">
        <v>2002</v>
      </c>
      <c r="N59" s="24">
        <v>2001</v>
      </c>
      <c r="O59" s="24">
        <v>2000</v>
      </c>
      <c r="P59" s="24">
        <v>1999</v>
      </c>
      <c r="Q59" s="24">
        <v>1998</v>
      </c>
      <c r="R59" s="24">
        <v>1997</v>
      </c>
      <c r="S59" s="24">
        <v>1996</v>
      </c>
      <c r="T59" s="24">
        <v>1995</v>
      </c>
      <c r="U59" s="24">
        <v>1994</v>
      </c>
      <c r="V59" s="24">
        <v>1993</v>
      </c>
      <c r="W59" s="24">
        <v>1992</v>
      </c>
      <c r="X59" s="24">
        <v>1991</v>
      </c>
      <c r="Y59" s="39" t="s">
        <v>32</v>
      </c>
      <c r="Z59" s="40" t="s">
        <v>33</v>
      </c>
      <c r="AB59" s="23" t="s">
        <v>11</v>
      </c>
      <c r="AC59" s="24">
        <v>2013</v>
      </c>
      <c r="AD59" s="24">
        <v>2012</v>
      </c>
      <c r="AE59" s="24">
        <v>2011</v>
      </c>
      <c r="AF59" s="24">
        <v>2010</v>
      </c>
      <c r="AG59" s="24">
        <v>2009</v>
      </c>
      <c r="AH59" s="24">
        <v>2008</v>
      </c>
      <c r="AI59" s="24">
        <v>2007</v>
      </c>
      <c r="AJ59" s="24">
        <v>2006</v>
      </c>
      <c r="AK59" s="24">
        <v>2005</v>
      </c>
      <c r="AL59" s="24">
        <v>2004</v>
      </c>
      <c r="AM59" s="24">
        <v>2003</v>
      </c>
      <c r="AN59" s="24">
        <v>2002</v>
      </c>
      <c r="AO59" s="24">
        <v>2001</v>
      </c>
      <c r="AP59" s="24">
        <v>2000</v>
      </c>
      <c r="AQ59" s="24">
        <v>1999</v>
      </c>
      <c r="AR59" s="24">
        <v>1998</v>
      </c>
      <c r="AS59" s="24">
        <v>1997</v>
      </c>
      <c r="AT59" s="24">
        <v>1996</v>
      </c>
      <c r="AU59" s="24">
        <v>1995</v>
      </c>
      <c r="AV59" s="24">
        <v>1994</v>
      </c>
      <c r="AW59" s="24">
        <v>1993</v>
      </c>
      <c r="AX59" s="24">
        <v>1992</v>
      </c>
      <c r="AY59" s="24">
        <v>1991</v>
      </c>
      <c r="AZ59" s="39" t="s">
        <v>32</v>
      </c>
      <c r="BA59" s="40" t="s">
        <v>33</v>
      </c>
      <c r="BC59" s="23" t="s">
        <v>11</v>
      </c>
      <c r="BD59" s="24">
        <v>2013</v>
      </c>
      <c r="BE59" s="24">
        <v>2012</v>
      </c>
      <c r="BF59" s="24">
        <v>2011</v>
      </c>
      <c r="BG59" s="24">
        <v>2010</v>
      </c>
      <c r="BH59" s="24">
        <v>2009</v>
      </c>
      <c r="BI59" s="24">
        <v>2008</v>
      </c>
      <c r="BJ59" s="24">
        <v>2007</v>
      </c>
      <c r="BK59" s="24">
        <v>2006</v>
      </c>
      <c r="BL59" s="24">
        <v>2005</v>
      </c>
      <c r="BM59" s="24">
        <v>2004</v>
      </c>
      <c r="BN59" s="24">
        <v>2003</v>
      </c>
      <c r="BO59" s="24">
        <v>2002</v>
      </c>
      <c r="BP59" s="24">
        <v>2001</v>
      </c>
      <c r="BQ59" s="24">
        <v>2000</v>
      </c>
      <c r="BR59" s="24">
        <v>1999</v>
      </c>
      <c r="BS59" s="24">
        <v>1998</v>
      </c>
      <c r="BT59" s="24">
        <v>1997</v>
      </c>
      <c r="BU59" s="24">
        <v>1996</v>
      </c>
      <c r="BV59" s="24">
        <v>1995</v>
      </c>
      <c r="BW59" s="24">
        <v>1994</v>
      </c>
      <c r="BX59" s="24">
        <v>1993</v>
      </c>
      <c r="BY59" s="24">
        <v>1992</v>
      </c>
      <c r="BZ59" s="24">
        <v>1991</v>
      </c>
      <c r="CA59" s="39" t="s">
        <v>32</v>
      </c>
      <c r="CB59" s="40" t="s">
        <v>33</v>
      </c>
    </row>
    <row r="60" spans="1:80" ht="15.75" thickTop="1">
      <c r="A60" s="41">
        <v>0</v>
      </c>
      <c r="B60" s="27">
        <v>1</v>
      </c>
      <c r="C60" s="28">
        <v>1</v>
      </c>
      <c r="D60" s="28">
        <v>1</v>
      </c>
      <c r="E60" s="28">
        <v>1</v>
      </c>
      <c r="F60" s="42">
        <v>1</v>
      </c>
      <c r="G60" s="42">
        <v>1</v>
      </c>
      <c r="H60" s="42">
        <v>1</v>
      </c>
      <c r="I60" s="42">
        <v>1</v>
      </c>
      <c r="J60" s="42"/>
      <c r="K60" s="42"/>
      <c r="L60" s="42"/>
      <c r="M60" s="42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43">
        <f>SUMPRODUCT(B60:X60,B41:X41)/SUM(B41:M41)</f>
        <v>1</v>
      </c>
      <c r="Z60" s="44">
        <f>Y60*100</f>
        <v>100</v>
      </c>
      <c r="AB60" s="41">
        <v>0</v>
      </c>
      <c r="AC60" s="27">
        <v>1</v>
      </c>
      <c r="AD60" s="28">
        <v>1</v>
      </c>
      <c r="AE60" s="28">
        <v>1</v>
      </c>
      <c r="AF60" s="28">
        <v>1</v>
      </c>
      <c r="AG60" s="42">
        <v>1</v>
      </c>
      <c r="AH60" s="42">
        <v>1</v>
      </c>
      <c r="AI60" s="42">
        <v>1</v>
      </c>
      <c r="AJ60" s="42">
        <v>1</v>
      </c>
      <c r="AK60" s="42"/>
      <c r="AL60" s="42"/>
      <c r="AM60" s="42"/>
      <c r="AN60" s="42"/>
      <c r="AO60" s="28"/>
      <c r="AP60" s="28"/>
      <c r="AQ60" s="28"/>
      <c r="AR60" s="28"/>
      <c r="AS60" s="28"/>
      <c r="AT60" s="28"/>
      <c r="AU60" s="28"/>
      <c r="AV60" s="28"/>
      <c r="AW60" s="28"/>
      <c r="AX60" s="28"/>
      <c r="AY60" s="28"/>
      <c r="AZ60" s="43">
        <f>SUMPRODUCT(AC60:AY60,AC41:AY41)/SUM(AC41:AN41)</f>
        <v>1</v>
      </c>
      <c r="BA60" s="44">
        <f>AZ60*100</f>
        <v>100</v>
      </c>
      <c r="BC60" s="41">
        <v>0</v>
      </c>
      <c r="BD60" s="27">
        <v>1</v>
      </c>
      <c r="BE60" s="28">
        <v>1</v>
      </c>
      <c r="BF60" s="28">
        <v>1</v>
      </c>
      <c r="BG60" s="28">
        <v>1</v>
      </c>
      <c r="BH60" s="42">
        <v>1</v>
      </c>
      <c r="BI60" s="42">
        <v>1</v>
      </c>
      <c r="BJ60" s="42">
        <v>1</v>
      </c>
      <c r="BK60" s="42">
        <v>1</v>
      </c>
      <c r="BL60" s="42"/>
      <c r="BM60" s="42"/>
      <c r="BN60" s="42"/>
      <c r="BO60" s="42"/>
      <c r="BP60" s="28"/>
      <c r="BQ60" s="28"/>
      <c r="BR60" s="28"/>
      <c r="BS60" s="28"/>
      <c r="BT60" s="28"/>
      <c r="BU60" s="28"/>
      <c r="BV60" s="28"/>
      <c r="BW60" s="28"/>
      <c r="BX60" s="28"/>
      <c r="BY60" s="28"/>
      <c r="BZ60" s="28"/>
      <c r="CA60" s="43">
        <f>SUMPRODUCT(BD60:BZ60,BD41:BZ41)/SUM(BD41:BO41)</f>
        <v>1</v>
      </c>
      <c r="CB60" s="44">
        <f>CA60*100</f>
        <v>100</v>
      </c>
    </row>
    <row r="61" spans="1:80">
      <c r="A61" s="30">
        <v>1</v>
      </c>
      <c r="B61" s="31"/>
      <c r="C61" s="32">
        <f t="shared" ref="C61:R75" si="9">(C42-C41)/C41</f>
        <v>4.2793900639449087E-2</v>
      </c>
      <c r="D61" s="32">
        <f t="shared" si="9"/>
        <v>3.4269395525940029E-2</v>
      </c>
      <c r="E61" s="32">
        <f t="shared" si="9"/>
        <v>4.490740740740741E-2</v>
      </c>
      <c r="F61" s="32">
        <f t="shared" si="9"/>
        <v>1.8145161290322582E-2</v>
      </c>
      <c r="G61" s="32">
        <f t="shared" si="9"/>
        <v>-7.3769328982834443E-3</v>
      </c>
      <c r="H61" s="32">
        <f t="shared" si="9"/>
        <v>-3.0482085912586755E-2</v>
      </c>
      <c r="I61" s="32">
        <f t="shared" si="9"/>
        <v>4.7029702970297028E-3</v>
      </c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43">
        <f>SUMPRODUCT(C61:N61,C42:N42)/SUM(C42:N42)</f>
        <v>-6.2964625631830033E-4</v>
      </c>
      <c r="Z61" s="44">
        <f>Z60*(Y61+1)</f>
        <v>99.937035374368165</v>
      </c>
      <c r="AB61" s="30">
        <v>1</v>
      </c>
      <c r="AC61" s="31"/>
      <c r="AD61" s="32">
        <f t="shared" ref="AD61:AS75" si="10">(AD42-AD41)/AD41</f>
        <v>7.4534161490683232E-2</v>
      </c>
      <c r="AE61" s="32">
        <f t="shared" si="10"/>
        <v>-4.6511627906976744E-3</v>
      </c>
      <c r="AF61" s="32">
        <f t="shared" si="10"/>
        <v>2.2727272727272728E-2</v>
      </c>
      <c r="AG61" s="32">
        <f t="shared" si="10"/>
        <v>-9.8360655737704927E-3</v>
      </c>
      <c r="AH61" s="32">
        <f t="shared" si="10"/>
        <v>-0.14249790444258173</v>
      </c>
      <c r="AI61" s="32">
        <f t="shared" si="10"/>
        <v>-7.9264790350373343E-2</v>
      </c>
      <c r="AJ61" s="32">
        <f t="shared" si="10"/>
        <v>1.3382556529764651E-2</v>
      </c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43">
        <f>SUMPRODUCT(AD61:AO61,AD42:AO42)/SUM(AD42:AO42)</f>
        <v>-2.7077551955743077E-2</v>
      </c>
      <c r="BA61" s="44">
        <f>BA60*(AZ61+1)</f>
        <v>97.292244804425692</v>
      </c>
      <c r="BC61" s="30">
        <v>1</v>
      </c>
      <c r="BD61" s="31"/>
      <c r="BE61" s="32">
        <f t="shared" ref="BE61:BT75" si="11">(BE42-BE41)/BE41</f>
        <v>6.6666666666666666E-2</v>
      </c>
      <c r="BF61" s="32">
        <f t="shared" si="11"/>
        <v>4.2682926829268296E-2</v>
      </c>
      <c r="BG61" s="32">
        <f t="shared" si="11"/>
        <v>0.14130434782608695</v>
      </c>
      <c r="BH61" s="32">
        <f t="shared" si="11"/>
        <v>-2.9411764705882353E-2</v>
      </c>
      <c r="BI61" s="32">
        <f t="shared" si="11"/>
        <v>-5.0931677018633541E-2</v>
      </c>
      <c r="BJ61" s="32">
        <f t="shared" si="11"/>
        <v>-3.5933391761612622E-2</v>
      </c>
      <c r="BK61" s="32">
        <f t="shared" si="11"/>
        <v>2.7551020408163266E-2</v>
      </c>
      <c r="BL61" s="32"/>
      <c r="BM61" s="32"/>
      <c r="BN61" s="32"/>
      <c r="BO61" s="32"/>
      <c r="BP61" s="32"/>
      <c r="BQ61" s="32"/>
      <c r="BR61" s="32"/>
      <c r="BS61" s="32"/>
      <c r="BT61" s="32"/>
      <c r="BU61" s="32"/>
      <c r="BV61" s="32"/>
      <c r="BW61" s="32"/>
      <c r="BX61" s="32"/>
      <c r="BY61" s="32"/>
      <c r="BZ61" s="32"/>
      <c r="CA61" s="43">
        <f>SUMPRODUCT(BE61:BP61,BE42:BP42)/SUM(BE42:BP42)</f>
        <v>3.5675150121483026E-3</v>
      </c>
      <c r="CB61" s="44">
        <f>CB60*(CA61+1)</f>
        <v>100.35675150121483</v>
      </c>
    </row>
    <row r="62" spans="1:80">
      <c r="A62" s="30">
        <v>2</v>
      </c>
      <c r="B62" s="31"/>
      <c r="C62" s="32"/>
      <c r="D62" s="32">
        <f t="shared" si="9"/>
        <v>5.7984353428439946E-2</v>
      </c>
      <c r="E62" s="32">
        <f t="shared" si="9"/>
        <v>-5.316792202038104E-3</v>
      </c>
      <c r="F62" s="32">
        <f t="shared" si="9"/>
        <v>2.7722772277227723E-2</v>
      </c>
      <c r="G62" s="32">
        <f t="shared" si="9"/>
        <v>-2.015149349721309E-2</v>
      </c>
      <c r="H62" s="32">
        <f t="shared" si="9"/>
        <v>1.0641385314888266E-2</v>
      </c>
      <c r="I62" s="32">
        <f t="shared" si="9"/>
        <v>1.1086474501108647E-3</v>
      </c>
      <c r="J62" s="32">
        <f t="shared" si="9"/>
        <v>1.2401352874859075E-2</v>
      </c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43">
        <f>SUMPRODUCT(D62:O62,D43:O43)/SUM(D43:O43)</f>
        <v>5.5465058565214642E-3</v>
      </c>
      <c r="Z62" s="44">
        <f t="shared" ref="Z62:Z75" si="12">Z61*(Y62+1)</f>
        <v>100.49133672635548</v>
      </c>
      <c r="AB62" s="30">
        <v>2</v>
      </c>
      <c r="AC62" s="31"/>
      <c r="AD62" s="32"/>
      <c r="AE62" s="32">
        <f t="shared" si="10"/>
        <v>0.10747663551401869</v>
      </c>
      <c r="AF62" s="32">
        <f t="shared" si="10"/>
        <v>-2.6666666666666668E-2</v>
      </c>
      <c r="AG62" s="32">
        <f t="shared" si="10"/>
        <v>-2.3178807947019868E-2</v>
      </c>
      <c r="AH62" s="32">
        <f t="shared" si="10"/>
        <v>-8.9931573802541548E-2</v>
      </c>
      <c r="AI62" s="32">
        <f t="shared" si="10"/>
        <v>-0.14909544603867747</v>
      </c>
      <c r="AJ62" s="32">
        <f t="shared" si="10"/>
        <v>-0.11384335154826958</v>
      </c>
      <c r="AK62" s="32">
        <f t="shared" si="10"/>
        <v>-1.1499760421657882E-2</v>
      </c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43">
        <f>SUMPRODUCT(AE62:AP62,AE43:AP43)/SUM(AE43:AP43)</f>
        <v>-5.999554702047153E-2</v>
      </c>
      <c r="BA62" s="44">
        <f t="shared" ref="BA62:BA75" si="13">BA61*(AZ62+1)</f>
        <v>91.455143356534549</v>
      </c>
      <c r="BC62" s="30">
        <v>2</v>
      </c>
      <c r="BD62" s="31"/>
      <c r="BE62" s="32"/>
      <c r="BF62" s="32">
        <f t="shared" si="11"/>
        <v>7.0175438596491224E-2</v>
      </c>
      <c r="BG62" s="32">
        <f t="shared" si="11"/>
        <v>-9.5238095238095247E-3</v>
      </c>
      <c r="BH62" s="32">
        <f t="shared" si="11"/>
        <v>4.5454545454545456E-2</v>
      </c>
      <c r="BI62" s="32">
        <f t="shared" si="11"/>
        <v>3.9267015706806283E-2</v>
      </c>
      <c r="BJ62" s="32">
        <f t="shared" si="11"/>
        <v>-0.15818181818181817</v>
      </c>
      <c r="BK62" s="32">
        <f t="shared" si="11"/>
        <v>-3.0784508440913606E-2</v>
      </c>
      <c r="BL62" s="32">
        <f t="shared" si="11"/>
        <v>1.0344827586206896E-2</v>
      </c>
      <c r="BM62" s="32"/>
      <c r="BN62" s="32"/>
      <c r="BO62" s="32"/>
      <c r="BP62" s="32"/>
      <c r="BQ62" s="32"/>
      <c r="BR62" s="32"/>
      <c r="BS62" s="32"/>
      <c r="BT62" s="32"/>
      <c r="BU62" s="32"/>
      <c r="BV62" s="32"/>
      <c r="BW62" s="32"/>
      <c r="BX62" s="32"/>
      <c r="BY62" s="32"/>
      <c r="BZ62" s="32"/>
      <c r="CA62" s="43">
        <f>SUMPRODUCT(BF62:BQ62,BF43:BQ43)/SUM(BF43:BQ43)</f>
        <v>-2.0354959719905457E-2</v>
      </c>
      <c r="CB62" s="44">
        <f t="shared" ref="CB62:CB75" si="14">CB61*(CA62+1)</f>
        <v>98.313993866787044</v>
      </c>
    </row>
    <row r="63" spans="1:80">
      <c r="A63" s="30">
        <v>3</v>
      </c>
      <c r="B63" s="31"/>
      <c r="C63" s="32"/>
      <c r="D63" s="32"/>
      <c r="E63" s="32">
        <f t="shared" si="9"/>
        <v>4.0534521158129173E-2</v>
      </c>
      <c r="F63" s="32">
        <f t="shared" si="9"/>
        <v>1.4450867052023121E-3</v>
      </c>
      <c r="G63" s="32">
        <f t="shared" si="9"/>
        <v>0</v>
      </c>
      <c r="H63" s="32">
        <f t="shared" si="9"/>
        <v>-2.7663444050923709E-2</v>
      </c>
      <c r="I63" s="32">
        <f t="shared" si="9"/>
        <v>2.7316352897748246E-2</v>
      </c>
      <c r="J63" s="32">
        <f t="shared" si="9"/>
        <v>1.590836780146357E-4</v>
      </c>
      <c r="K63" s="32">
        <f t="shared" si="9"/>
        <v>6.1233108108108107E-2</v>
      </c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43">
        <f>SUMPRODUCT(E63:P63,E44:P44)/SUM(E44:P44)</f>
        <v>7.733749787673415E-3</v>
      </c>
      <c r="Z63" s="44">
        <f t="shared" si="12"/>
        <v>101.26851158042597</v>
      </c>
      <c r="AB63" s="30">
        <v>3</v>
      </c>
      <c r="AC63" s="31"/>
      <c r="AD63" s="32"/>
      <c r="AE63" s="32"/>
      <c r="AF63" s="32">
        <f t="shared" si="10"/>
        <v>0.18264840182648401</v>
      </c>
      <c r="AG63" s="32">
        <f t="shared" si="10"/>
        <v>2.0338983050847456E-2</v>
      </c>
      <c r="AH63" s="32">
        <f t="shared" si="10"/>
        <v>-2.2556390977443608E-2</v>
      </c>
      <c r="AI63" s="32">
        <f t="shared" si="10"/>
        <v>-0.10117302052785923</v>
      </c>
      <c r="AJ63" s="32">
        <f t="shared" si="10"/>
        <v>-0.12076053442959918</v>
      </c>
      <c r="AK63" s="32">
        <f t="shared" si="10"/>
        <v>-0.13523994183228308</v>
      </c>
      <c r="AL63" s="32">
        <f t="shared" si="10"/>
        <v>-3.1152647975077881E-3</v>
      </c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43">
        <f>SUMPRODUCT(AF63:AQ63,AF44:AQ44)/SUM(AF44:AQ44)</f>
        <v>-5.837019563295219E-2</v>
      </c>
      <c r="BA63" s="44">
        <f t="shared" si="13"/>
        <v>86.116888747173945</v>
      </c>
      <c r="BC63" s="30">
        <v>3</v>
      </c>
      <c r="BD63" s="31"/>
      <c r="BE63" s="32"/>
      <c r="BF63" s="32"/>
      <c r="BG63" s="32">
        <f t="shared" si="11"/>
        <v>6.25E-2</v>
      </c>
      <c r="BH63" s="32">
        <f t="shared" si="11"/>
        <v>-0.1111111111111111</v>
      </c>
      <c r="BI63" s="32">
        <f t="shared" si="11"/>
        <v>2.0151133501259445E-2</v>
      </c>
      <c r="BJ63" s="32">
        <f t="shared" si="11"/>
        <v>-3.9956803455723541E-2</v>
      </c>
      <c r="BK63" s="32">
        <f t="shared" si="11"/>
        <v>-0.10860655737704918</v>
      </c>
      <c r="BL63" s="32">
        <f t="shared" si="11"/>
        <v>-6.0295790671217292E-2</v>
      </c>
      <c r="BM63" s="32">
        <f t="shared" si="11"/>
        <v>6.1884669479606191E-2</v>
      </c>
      <c r="BN63" s="32"/>
      <c r="BO63" s="32"/>
      <c r="BP63" s="32"/>
      <c r="BQ63" s="32"/>
      <c r="BR63" s="32"/>
      <c r="BS63" s="32"/>
      <c r="BT63" s="32"/>
      <c r="BU63" s="32"/>
      <c r="BV63" s="32"/>
      <c r="BW63" s="32"/>
      <c r="BX63" s="32"/>
      <c r="BY63" s="32"/>
      <c r="BZ63" s="32"/>
      <c r="CA63" s="43">
        <f>SUMPRODUCT(BG63:BR63,BG44:BR44)/SUM(BG44:BR44)</f>
        <v>-2.3455659976414772E-2</v>
      </c>
      <c r="CB63" s="44">
        <f t="shared" si="14"/>
        <v>96.007974255724363</v>
      </c>
    </row>
    <row r="64" spans="1:80">
      <c r="A64" s="30">
        <v>4</v>
      </c>
      <c r="B64" s="31"/>
      <c r="C64" s="32"/>
      <c r="D64" s="32"/>
      <c r="E64" s="32"/>
      <c r="F64" s="32">
        <f t="shared" si="9"/>
        <v>4.9062049062049064E-2</v>
      </c>
      <c r="G64" s="32">
        <f t="shared" si="9"/>
        <v>-8.1680280046674443E-3</v>
      </c>
      <c r="H64" s="32">
        <f t="shared" si="9"/>
        <v>4.9222287851939358E-4</v>
      </c>
      <c r="I64" s="32">
        <f t="shared" si="9"/>
        <v>-1.329500538986705E-2</v>
      </c>
      <c r="J64" s="32">
        <f t="shared" si="9"/>
        <v>4.2786702719898199E-2</v>
      </c>
      <c r="K64" s="32">
        <f t="shared" si="9"/>
        <v>1.3131715081575806E-2</v>
      </c>
      <c r="L64" s="32">
        <f t="shared" si="9"/>
        <v>5.7371725481706E-2</v>
      </c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43">
        <f>SUMPRODUCT(F64:Q64,F45:Q45)/SUM(F45:Q45)</f>
        <v>1.1971157042110081E-2</v>
      </c>
      <c r="Z64" s="44">
        <f t="shared" si="12"/>
        <v>102.480812835976</v>
      </c>
      <c r="AB64" s="30">
        <v>4</v>
      </c>
      <c r="AC64" s="31"/>
      <c r="AD64" s="32"/>
      <c r="AE64" s="32"/>
      <c r="AF64" s="32"/>
      <c r="AG64" s="32">
        <f t="shared" si="10"/>
        <v>0.18272425249169436</v>
      </c>
      <c r="AH64" s="32">
        <f t="shared" si="10"/>
        <v>-1.7582417582417582E-2</v>
      </c>
      <c r="AI64" s="32">
        <f t="shared" si="10"/>
        <v>8.1566068515497546E-3</v>
      </c>
      <c r="AJ64" s="32">
        <f t="shared" si="10"/>
        <v>-9.0590298071303338E-2</v>
      </c>
      <c r="AK64" s="32">
        <f t="shared" si="10"/>
        <v>-0.14798206278026907</v>
      </c>
      <c r="AL64" s="32">
        <f t="shared" si="10"/>
        <v>-0.10187499999999999</v>
      </c>
      <c r="AM64" s="32">
        <f t="shared" si="10"/>
        <v>2.4852844996729889E-2</v>
      </c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43">
        <f>SUMPRODUCT(AG64:AR64,AG45:AR45)/SUM(AG45:AR45)</f>
        <v>-4.1310228291237913E-2</v>
      </c>
      <c r="BA64" s="44">
        <f t="shared" si="13"/>
        <v>82.559380413297049</v>
      </c>
      <c r="BC64" s="30">
        <v>4</v>
      </c>
      <c r="BD64" s="31"/>
      <c r="BE64" s="32"/>
      <c r="BF64" s="32"/>
      <c r="BG64" s="32"/>
      <c r="BH64" s="32">
        <f t="shared" si="11"/>
        <v>0.15217391304347827</v>
      </c>
      <c r="BI64" s="32">
        <f t="shared" si="11"/>
        <v>-0.14814814814814814</v>
      </c>
      <c r="BJ64" s="32">
        <f t="shared" si="11"/>
        <v>7.874015748031496E-3</v>
      </c>
      <c r="BK64" s="32">
        <f t="shared" si="11"/>
        <v>-6.4367816091954022E-2</v>
      </c>
      <c r="BL64" s="32">
        <f t="shared" si="11"/>
        <v>-4.7215496368038741E-2</v>
      </c>
      <c r="BM64" s="32">
        <f t="shared" si="11"/>
        <v>-2.2516556291390728E-2</v>
      </c>
      <c r="BN64" s="32">
        <f t="shared" si="11"/>
        <v>5.8073654390934842E-2</v>
      </c>
      <c r="BO64" s="32"/>
      <c r="BP64" s="32"/>
      <c r="BQ64" s="32"/>
      <c r="BR64" s="32"/>
      <c r="BS64" s="32"/>
      <c r="BT64" s="32"/>
      <c r="BU64" s="32"/>
      <c r="BV64" s="32"/>
      <c r="BW64" s="32"/>
      <c r="BX64" s="32"/>
      <c r="BY64" s="32"/>
      <c r="BZ64" s="32"/>
      <c r="CA64" s="43">
        <f>SUMPRODUCT(BH64:BS64,BH45:BS45)/SUM(BH45:BS45)</f>
        <v>-2.2937304963555422E-2</v>
      </c>
      <c r="CB64" s="44">
        <f t="shared" si="14"/>
        <v>93.805810071287638</v>
      </c>
    </row>
    <row r="65" spans="1:80">
      <c r="A65" s="30">
        <v>5</v>
      </c>
      <c r="B65" s="31"/>
      <c r="C65" s="32"/>
      <c r="D65" s="32"/>
      <c r="E65" s="32"/>
      <c r="F65" s="32"/>
      <c r="G65" s="32">
        <f t="shared" si="9"/>
        <v>1.8823529411764704E-2</v>
      </c>
      <c r="H65" s="32">
        <f t="shared" si="9"/>
        <v>-3.5422611433631804E-2</v>
      </c>
      <c r="I65" s="32">
        <f t="shared" si="9"/>
        <v>-8.6185967467832005E-3</v>
      </c>
      <c r="J65" s="32">
        <f t="shared" si="9"/>
        <v>-3.3099450884685785E-2</v>
      </c>
      <c r="K65" s="32">
        <f t="shared" si="9"/>
        <v>2.1602513747054203E-2</v>
      </c>
      <c r="L65" s="32">
        <f t="shared" si="9"/>
        <v>-1.3923013923013924E-2</v>
      </c>
      <c r="M65" s="32">
        <f t="shared" si="9"/>
        <v>4.5120156939676311E-2</v>
      </c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43">
        <f>SUMPRODUCT(G65:R65,G46:R46)/SUM(G46:R46)</f>
        <v>-5.2468255682775519E-3</v>
      </c>
      <c r="Z65" s="44">
        <f t="shared" si="12"/>
        <v>101.94311388693032</v>
      </c>
      <c r="AB65" s="30">
        <v>5</v>
      </c>
      <c r="AC65" s="31"/>
      <c r="AD65" s="32"/>
      <c r="AE65" s="32"/>
      <c r="AF65" s="32"/>
      <c r="AG65" s="32"/>
      <c r="AH65" s="32">
        <f t="shared" si="10"/>
        <v>0.22706935123042504</v>
      </c>
      <c r="AI65" s="32">
        <f t="shared" si="10"/>
        <v>-4.8543689320388349E-2</v>
      </c>
      <c r="AJ65" s="32">
        <f t="shared" si="10"/>
        <v>5.7840616966580976E-3</v>
      </c>
      <c r="AK65" s="32">
        <f t="shared" si="10"/>
        <v>-6.8421052631578952E-2</v>
      </c>
      <c r="AL65" s="32">
        <f t="shared" si="10"/>
        <v>-0.17884481558803061</v>
      </c>
      <c r="AM65" s="32">
        <f t="shared" si="10"/>
        <v>-0.13656668793873644</v>
      </c>
      <c r="AN65" s="32">
        <f t="shared" si="10"/>
        <v>3.9889958734525444E-2</v>
      </c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43">
        <f>SUMPRODUCT(AH65:AS65,AH46:AS46)/SUM(AH46:AS46)</f>
        <v>-2.1040790238350954E-2</v>
      </c>
      <c r="BA65" s="44">
        <f t="shared" si="13"/>
        <v>80.822265807812641</v>
      </c>
      <c r="BC65" s="30">
        <v>5</v>
      </c>
      <c r="BD65" s="31"/>
      <c r="BE65" s="32"/>
      <c r="BF65" s="32"/>
      <c r="BG65" s="32"/>
      <c r="BH65" s="32"/>
      <c r="BI65" s="32">
        <f t="shared" si="11"/>
        <v>8.6956521739130432E-2</v>
      </c>
      <c r="BJ65" s="32">
        <f t="shared" si="11"/>
        <v>-5.8035714285714288E-2</v>
      </c>
      <c r="BK65" s="32">
        <f t="shared" si="11"/>
        <v>-5.4054054054054057E-2</v>
      </c>
      <c r="BL65" s="32">
        <f t="shared" si="11"/>
        <v>-0.13341804320203304</v>
      </c>
      <c r="BM65" s="32">
        <f t="shared" si="11"/>
        <v>-0.18428184281842819</v>
      </c>
      <c r="BN65" s="32">
        <f t="shared" si="11"/>
        <v>-0.19678714859437751</v>
      </c>
      <c r="BO65" s="32">
        <f t="shared" si="11"/>
        <v>-8.8926174496644292E-2</v>
      </c>
      <c r="BP65" s="32"/>
      <c r="BQ65" s="32"/>
      <c r="BR65" s="32"/>
      <c r="BS65" s="32"/>
      <c r="BT65" s="32"/>
      <c r="BU65" s="32"/>
      <c r="BV65" s="32"/>
      <c r="BW65" s="32"/>
      <c r="BX65" s="32"/>
      <c r="BY65" s="32"/>
      <c r="BZ65" s="32"/>
      <c r="CA65" s="43">
        <f>SUMPRODUCT(BI65:BT65,BI46:BT46)/SUM(BI46:BT46)</f>
        <v>-7.1408371108870189E-2</v>
      </c>
      <c r="CB65" s="44">
        <f t="shared" si="14"/>
        <v>87.10728997354893</v>
      </c>
    </row>
    <row r="66" spans="1:80">
      <c r="A66" s="30">
        <v>6</v>
      </c>
      <c r="B66" s="31"/>
      <c r="C66" s="32"/>
      <c r="D66" s="32"/>
      <c r="E66" s="32"/>
      <c r="F66" s="32"/>
      <c r="G66" s="32"/>
      <c r="H66" s="32">
        <f>(H47-H46)/H46</f>
        <v>1.5811486279710293E-2</v>
      </c>
      <c r="I66" s="32">
        <f>(I47-I46)/I46</f>
        <v>-3.2447655197747033E-2</v>
      </c>
      <c r="J66" s="32">
        <f>(J47-J46)/J46</f>
        <v>-8.0454330336015151E-3</v>
      </c>
      <c r="K66" s="32">
        <f>(K47-K46)/K46</f>
        <v>-2.6336024605920799E-2</v>
      </c>
      <c r="L66" s="32">
        <f t="shared" si="9"/>
        <v>-1.4534883720930232E-3</v>
      </c>
      <c r="M66" s="32">
        <f t="shared" si="9"/>
        <v>-2.4401689347724072E-2</v>
      </c>
      <c r="N66" s="32">
        <f t="shared" si="9"/>
        <v>7.3866530820173209E-3</v>
      </c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43">
        <f>SUMPRODUCT(H66:S66,H47:S47)/SUM(H47:S47)</f>
        <v>-7.901950024946449E-3</v>
      </c>
      <c r="Z66" s="44">
        <f t="shared" si="12"/>
        <v>101.13756449560837</v>
      </c>
      <c r="AB66" s="30">
        <v>6</v>
      </c>
      <c r="AC66" s="31"/>
      <c r="AD66" s="32"/>
      <c r="AE66" s="32"/>
      <c r="AF66" s="32"/>
      <c r="AG66" s="32"/>
      <c r="AH66" s="32"/>
      <c r="AI66" s="32">
        <f>(AI47-AI46)/AI46</f>
        <v>0.15731292517006804</v>
      </c>
      <c r="AJ66" s="32">
        <f>(AJ47-AJ46)/AJ46</f>
        <v>-3.6421725239616613E-2</v>
      </c>
      <c r="AK66" s="32">
        <f>(AK47-AK46)/AK46</f>
        <v>-2.0480225988700564E-2</v>
      </c>
      <c r="AL66" s="32">
        <f>(AL47-AL46)/AL46</f>
        <v>-6.6101694915254236E-2</v>
      </c>
      <c r="AM66" s="32">
        <f t="shared" si="10"/>
        <v>-0.1951219512195122</v>
      </c>
      <c r="AN66" s="32">
        <f t="shared" si="10"/>
        <v>-0.1693121693121693</v>
      </c>
      <c r="AO66" s="32">
        <f t="shared" si="10"/>
        <v>-4.3067846607669616E-2</v>
      </c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43">
        <f>SUMPRODUCT(AI66:AT66,AI47:AT47)/SUM(AI47:AT47)</f>
        <v>-3.9489623100794242E-2</v>
      </c>
      <c r="BA66" s="44">
        <f t="shared" si="13"/>
        <v>77.630624992909901</v>
      </c>
      <c r="BC66" s="30">
        <v>6</v>
      </c>
      <c r="BD66" s="31"/>
      <c r="BE66" s="32"/>
      <c r="BF66" s="32"/>
      <c r="BG66" s="32"/>
      <c r="BH66" s="32"/>
      <c r="BI66" s="32"/>
      <c r="BJ66" s="32">
        <f>(BJ47-BJ46)/BJ46</f>
        <v>3.0805687203791468E-2</v>
      </c>
      <c r="BK66" s="32">
        <f>(BK47-BK46)/BK46</f>
        <v>-3.3766233766233764E-2</v>
      </c>
      <c r="BL66" s="32">
        <f>(BL47-BL46)/BL46</f>
        <v>-2.6392961876832845E-2</v>
      </c>
      <c r="BM66" s="32">
        <f>(BM47-BM46)/BM46</f>
        <v>-0.13122923588039867</v>
      </c>
      <c r="BN66" s="32">
        <f t="shared" si="11"/>
        <v>-0.23</v>
      </c>
      <c r="BO66" s="32">
        <f t="shared" si="11"/>
        <v>-0.22651933701657459</v>
      </c>
      <c r="BP66" s="32">
        <f t="shared" si="11"/>
        <v>-0.11080332409972299</v>
      </c>
      <c r="BQ66" s="32"/>
      <c r="BR66" s="32"/>
      <c r="BS66" s="32"/>
      <c r="BT66" s="32"/>
      <c r="BU66" s="32"/>
      <c r="BV66" s="32"/>
      <c r="BW66" s="32"/>
      <c r="BX66" s="32"/>
      <c r="BY66" s="32"/>
      <c r="BZ66" s="32"/>
      <c r="CA66" s="43">
        <f>SUMPRODUCT(BJ66:BU66,BJ47:BU47)/SUM(BJ47:BU47)</f>
        <v>-7.1004932920729583E-2</v>
      </c>
      <c r="CB66" s="44">
        <f t="shared" si="14"/>
        <v>80.92224269207054</v>
      </c>
    </row>
    <row r="67" spans="1:80">
      <c r="A67" s="30">
        <v>7</v>
      </c>
      <c r="B67" s="31"/>
      <c r="C67" s="32"/>
      <c r="D67" s="32"/>
      <c r="E67" s="32"/>
      <c r="F67" s="32"/>
      <c r="G67" s="32"/>
      <c r="H67" s="32"/>
      <c r="I67" s="32">
        <f>(I48-I47)/I47</f>
        <v>1.7970134143254872E-2</v>
      </c>
      <c r="J67" s="32">
        <f>(J48-J47)/J47</f>
        <v>-5.1208651399491094E-2</v>
      </c>
      <c r="K67" s="32">
        <f>(K48-K47)/K47</f>
        <v>-1.6584402764067127E-2</v>
      </c>
      <c r="L67" s="32">
        <f t="shared" si="9"/>
        <v>-3.4310667498440424E-2</v>
      </c>
      <c r="M67" s="32">
        <f t="shared" si="9"/>
        <v>-5.2429052429052429E-2</v>
      </c>
      <c r="N67" s="32">
        <f t="shared" si="9"/>
        <v>-3.7673830594184575E-2</v>
      </c>
      <c r="O67" s="32">
        <f t="shared" si="9"/>
        <v>-1.5143320713899405E-2</v>
      </c>
      <c r="P67" s="32"/>
      <c r="Q67" s="32"/>
      <c r="R67" s="32"/>
      <c r="S67" s="32"/>
      <c r="T67" s="32"/>
      <c r="U67" s="32"/>
      <c r="V67" s="32"/>
      <c r="W67" s="32"/>
      <c r="X67" s="32"/>
      <c r="Y67" s="43">
        <f>SUMPRODUCT(I67:T67,I48:T48)/SUM(I48:T48)</f>
        <v>-2.1367545817362211E-2</v>
      </c>
      <c r="Z67" s="44">
        <f t="shared" si="12"/>
        <v>98.976502952392039</v>
      </c>
      <c r="AB67" s="30">
        <v>7</v>
      </c>
      <c r="AC67" s="31"/>
      <c r="AD67" s="32"/>
      <c r="AE67" s="32"/>
      <c r="AF67" s="32"/>
      <c r="AG67" s="32"/>
      <c r="AH67" s="32"/>
      <c r="AI67" s="32"/>
      <c r="AJ67" s="32">
        <f>(AJ48-AJ47)/AJ47</f>
        <v>0.15384615384615385</v>
      </c>
      <c r="AK67" s="32">
        <f>(AK48-AK47)/AK47</f>
        <v>-5.2631578947368418E-2</v>
      </c>
      <c r="AL67" s="32">
        <f>(AL48-AL47)/AL47</f>
        <v>-2.7223230490018149E-2</v>
      </c>
      <c r="AM67" s="32">
        <f t="shared" si="10"/>
        <v>-6.7033976124885222E-2</v>
      </c>
      <c r="AN67" s="32">
        <f t="shared" si="10"/>
        <v>-0.18630573248407642</v>
      </c>
      <c r="AO67" s="32">
        <f t="shared" si="10"/>
        <v>-0.19482120838471023</v>
      </c>
      <c r="AP67" s="32">
        <f t="shared" si="10"/>
        <v>-6.3683304647160072E-2</v>
      </c>
      <c r="AQ67" s="32"/>
      <c r="AR67" s="32"/>
      <c r="AS67" s="32"/>
      <c r="AT67" s="32"/>
      <c r="AU67" s="32"/>
      <c r="AV67" s="32"/>
      <c r="AW67" s="32"/>
      <c r="AX67" s="32"/>
      <c r="AY67" s="32"/>
      <c r="AZ67" s="43">
        <f>SUMPRODUCT(AJ67:AU67,AJ48:AU48)/SUM(AJ48:AU48)</f>
        <v>-4.1638213603092687E-2</v>
      </c>
      <c r="BA67" s="44">
        <f t="shared" si="13"/>
        <v>74.398224447313524</v>
      </c>
      <c r="BC67" s="30">
        <v>7</v>
      </c>
      <c r="BD67" s="31"/>
      <c r="BE67" s="32"/>
      <c r="BF67" s="32"/>
      <c r="BG67" s="32"/>
      <c r="BH67" s="32"/>
      <c r="BI67" s="32"/>
      <c r="BJ67" s="32"/>
      <c r="BK67" s="32">
        <f>(BK48-BK47)/BK47</f>
        <v>7.5268817204301078E-2</v>
      </c>
      <c r="BL67" s="32">
        <f>(BL48-BL47)/BL47</f>
        <v>-4.9698795180722892E-2</v>
      </c>
      <c r="BM67" s="32">
        <f>(BM48-BM47)/BM47</f>
        <v>-2.2944550669216062E-2</v>
      </c>
      <c r="BN67" s="32">
        <f t="shared" si="11"/>
        <v>-0.11471861471861472</v>
      </c>
      <c r="BO67" s="32">
        <f t="shared" si="11"/>
        <v>-0.22857142857142856</v>
      </c>
      <c r="BP67" s="32">
        <f t="shared" si="11"/>
        <v>-0.23208722741433022</v>
      </c>
      <c r="BQ67" s="32">
        <f t="shared" si="11"/>
        <v>-0.13940256045519203</v>
      </c>
      <c r="BR67" s="32"/>
      <c r="BS67" s="32"/>
      <c r="BT67" s="32"/>
      <c r="BU67" s="32"/>
      <c r="BV67" s="32"/>
      <c r="BW67" s="32"/>
      <c r="BX67" s="32"/>
      <c r="BY67" s="32"/>
      <c r="BZ67" s="32"/>
      <c r="CA67" s="43">
        <f>SUMPRODUCT(BK67:BV67,BK48:BV48)/SUM(BK48:BV48)</f>
        <v>-7.1520718472057904E-2</v>
      </c>
      <c r="CB67" s="44">
        <f t="shared" si="14"/>
        <v>75.134625754363427</v>
      </c>
    </row>
    <row r="68" spans="1:80">
      <c r="A68" s="30">
        <v>8</v>
      </c>
      <c r="B68" s="31"/>
      <c r="C68" s="32"/>
      <c r="D68" s="32"/>
      <c r="E68" s="32"/>
      <c r="F68" s="32"/>
      <c r="G68" s="32"/>
      <c r="H68" s="32"/>
      <c r="I68" s="32"/>
      <c r="J68" s="32">
        <f>(J49-J48)/J48</f>
        <v>7.3751257123700975E-3</v>
      </c>
      <c r="K68" s="32">
        <f>(K49-K48)/K48</f>
        <v>-6.7456334069463969E-2</v>
      </c>
      <c r="L68" s="32">
        <f>(L49-L48)/L48</f>
        <v>-5.3186907838070625E-2</v>
      </c>
      <c r="M68" s="32">
        <f>(M49-M48)/M48</f>
        <v>-8.4010152284263964E-2</v>
      </c>
      <c r="N68" s="32">
        <f t="shared" si="9"/>
        <v>-6.831318970047294E-2</v>
      </c>
      <c r="O68" s="32">
        <f t="shared" si="9"/>
        <v>-7.7155409115870405E-2</v>
      </c>
      <c r="P68" s="32">
        <f t="shared" si="9"/>
        <v>-3.3309455587392553E-2</v>
      </c>
      <c r="Q68" s="32"/>
      <c r="R68" s="32"/>
      <c r="S68" s="32"/>
      <c r="T68" s="32"/>
      <c r="U68" s="32"/>
      <c r="V68" s="32"/>
      <c r="W68" s="32"/>
      <c r="X68" s="32"/>
      <c r="Y68" s="43">
        <f>SUMPRODUCT(J68:U68,J49:U49)/SUM(J49:U49)</f>
        <v>-4.5490894206761209E-2</v>
      </c>
      <c r="Z68" s="44">
        <f t="shared" si="12"/>
        <v>94.473973327629579</v>
      </c>
      <c r="AB68" s="30">
        <v>8</v>
      </c>
      <c r="AC68" s="31"/>
      <c r="AD68" s="32"/>
      <c r="AE68" s="32"/>
      <c r="AF68" s="32"/>
      <c r="AG68" s="32"/>
      <c r="AH68" s="32"/>
      <c r="AI68" s="32"/>
      <c r="AJ68" s="32"/>
      <c r="AK68" s="32">
        <f>(AK49-AK48)/AK48</f>
        <v>9.6651445966514454E-2</v>
      </c>
      <c r="AL68" s="32">
        <f>(AL49-AL48)/AL48</f>
        <v>-7.3694029850746273E-2</v>
      </c>
      <c r="AM68" s="32">
        <f>(AM49-AM48)/AM48</f>
        <v>-7.0866141732283464E-2</v>
      </c>
      <c r="AN68" s="32">
        <f>(AN49-AN48)/AN48</f>
        <v>-0.10371819960861056</v>
      </c>
      <c r="AO68" s="32">
        <f t="shared" si="10"/>
        <v>-0.24042879019908117</v>
      </c>
      <c r="AP68" s="32">
        <f t="shared" si="10"/>
        <v>-0.23958333333333334</v>
      </c>
      <c r="AQ68" s="32">
        <f t="shared" si="10"/>
        <v>-0.15613608748481167</v>
      </c>
      <c r="AR68" s="32"/>
      <c r="AS68" s="32"/>
      <c r="AT68" s="32"/>
      <c r="AU68" s="32"/>
      <c r="AV68" s="32"/>
      <c r="AW68" s="32"/>
      <c r="AX68" s="32"/>
      <c r="AY68" s="32"/>
      <c r="AZ68" s="43">
        <f>SUMPRODUCT(AK68:AV68,AK49:AV49)/SUM(AK49:AV49)</f>
        <v>-9.0604190998544082E-2</v>
      </c>
      <c r="BA68" s="44">
        <f t="shared" si="13"/>
        <v>67.657433509536574</v>
      </c>
      <c r="BC68" s="30">
        <v>8</v>
      </c>
      <c r="BD68" s="31"/>
      <c r="BE68" s="32"/>
      <c r="BF68" s="32"/>
      <c r="BG68" s="32"/>
      <c r="BH68" s="32"/>
      <c r="BI68" s="32"/>
      <c r="BJ68" s="32"/>
      <c r="BK68" s="32"/>
      <c r="BL68" s="32">
        <f>(BL49-BL48)/BL48</f>
        <v>1.5847860538827259E-3</v>
      </c>
      <c r="BM68" s="32">
        <f>(BM49-BM48)/BM48</f>
        <v>-0.19765166340508805</v>
      </c>
      <c r="BN68" s="32">
        <f>(BN49-BN48)/BN48</f>
        <v>-3.4229828850855744E-2</v>
      </c>
      <c r="BO68" s="32">
        <f>(BO49-BO48)/BO48</f>
        <v>-0.14814814814814814</v>
      </c>
      <c r="BP68" s="32">
        <f t="shared" si="11"/>
        <v>-0.31643002028397565</v>
      </c>
      <c r="BQ68" s="32">
        <f t="shared" si="11"/>
        <v>-0.21157024793388429</v>
      </c>
      <c r="BR68" s="32">
        <f t="shared" si="11"/>
        <v>-0.13100436681222707</v>
      </c>
      <c r="BS68" s="32"/>
      <c r="BT68" s="32"/>
      <c r="BU68" s="32"/>
      <c r="BV68" s="32"/>
      <c r="BW68" s="32"/>
      <c r="BX68" s="32"/>
      <c r="BY68" s="32"/>
      <c r="BZ68" s="32"/>
      <c r="CA68" s="43">
        <f>SUMPRODUCT(BL68:BW68,BL49:BW49)/SUM(BL49:BW49)</f>
        <v>-0.12090212625350863</v>
      </c>
      <c r="CB68" s="44">
        <f t="shared" si="14"/>
        <v>66.050689745399254</v>
      </c>
    </row>
    <row r="69" spans="1:80">
      <c r="A69" s="30">
        <v>9</v>
      </c>
      <c r="B69" s="31"/>
      <c r="C69" s="32"/>
      <c r="D69" s="32"/>
      <c r="E69" s="32"/>
      <c r="F69" s="32"/>
      <c r="G69" s="32"/>
      <c r="H69" s="32"/>
      <c r="I69" s="32"/>
      <c r="J69" s="32"/>
      <c r="K69" s="32">
        <f>(K50-K49)/K49</f>
        <v>1.3562970936490851E-2</v>
      </c>
      <c r="L69" s="32">
        <f>(L50-L49)/L49</f>
        <v>-7.9599727086649988E-2</v>
      </c>
      <c r="M69" s="32">
        <f>(M50-M49)/M49</f>
        <v>-6.3729564976447772E-2</v>
      </c>
      <c r="N69" s="32">
        <f t="shared" si="9"/>
        <v>-8.5448392554991537E-2</v>
      </c>
      <c r="O69" s="32">
        <f t="shared" si="9"/>
        <v>-9.7590002975304971E-2</v>
      </c>
      <c r="P69" s="32">
        <f t="shared" si="9"/>
        <v>-9.114486846980363E-2</v>
      </c>
      <c r="Q69" s="32">
        <f t="shared" si="9"/>
        <v>-6.1532192339038304E-2</v>
      </c>
      <c r="R69" s="32"/>
      <c r="S69" s="32"/>
      <c r="T69" s="32"/>
      <c r="U69" s="32"/>
      <c r="V69" s="32"/>
      <c r="W69" s="32"/>
      <c r="X69" s="32"/>
      <c r="Y69" s="43">
        <f>SUMPRODUCT(K69:V69,K50:V50)/SUM(K50:V50)</f>
        <v>-5.6573358139318942E-2</v>
      </c>
      <c r="Z69" s="44">
        <f t="shared" si="12"/>
        <v>89.129263399721125</v>
      </c>
      <c r="AB69" s="30">
        <v>9</v>
      </c>
      <c r="AC69" s="31"/>
      <c r="AD69" s="32"/>
      <c r="AE69" s="32"/>
      <c r="AF69" s="32"/>
      <c r="AG69" s="32"/>
      <c r="AH69" s="32"/>
      <c r="AI69" s="32"/>
      <c r="AJ69" s="32"/>
      <c r="AK69" s="32"/>
      <c r="AL69" s="32">
        <f>(AL50-AL49)/AL49</f>
        <v>6.2437059415911378E-2</v>
      </c>
      <c r="AM69" s="32">
        <f>(AM50-AM49)/AM49</f>
        <v>-0.13665254237288135</v>
      </c>
      <c r="AN69" s="32">
        <f>(AN50-AN49)/AN49</f>
        <v>-0.11353711790393013</v>
      </c>
      <c r="AO69" s="32">
        <f t="shared" si="10"/>
        <v>-0.15524193548387097</v>
      </c>
      <c r="AP69" s="32">
        <f t="shared" si="10"/>
        <v>-0.22159548751007252</v>
      </c>
      <c r="AQ69" s="32">
        <f t="shared" si="10"/>
        <v>-0.24190064794816415</v>
      </c>
      <c r="AR69" s="32">
        <f t="shared" si="10"/>
        <v>-0.21118012422360249</v>
      </c>
      <c r="AS69" s="32"/>
      <c r="AT69" s="32"/>
      <c r="AU69" s="32"/>
      <c r="AV69" s="32"/>
      <c r="AW69" s="32"/>
      <c r="AX69" s="32"/>
      <c r="AY69" s="32"/>
      <c r="AZ69" s="43">
        <f>SUMPRODUCT(AL69:AW69,AL50:AW50)/SUM(AL50:AW50)</f>
        <v>-0.12942656315978182</v>
      </c>
      <c r="BA69" s="44">
        <f t="shared" si="13"/>
        <v>58.900764418185801</v>
      </c>
      <c r="BC69" s="30">
        <v>9</v>
      </c>
      <c r="BD69" s="31"/>
      <c r="BE69" s="32"/>
      <c r="BF69" s="32"/>
      <c r="BG69" s="32"/>
      <c r="BH69" s="32"/>
      <c r="BI69" s="32"/>
      <c r="BJ69" s="32"/>
      <c r="BK69" s="32"/>
      <c r="BL69" s="32"/>
      <c r="BM69" s="32">
        <f>(BM50-BM49)/BM49</f>
        <v>9.7560975609756097E-3</v>
      </c>
      <c r="BN69" s="32">
        <f>(BN50-BN49)/BN49</f>
        <v>-0.14430379746835442</v>
      </c>
      <c r="BO69" s="32">
        <f>(BO50-BO49)/BO49</f>
        <v>-0.18478260869565216</v>
      </c>
      <c r="BP69" s="32">
        <f t="shared" si="11"/>
        <v>-0.17804154302670624</v>
      </c>
      <c r="BQ69" s="32">
        <f t="shared" si="11"/>
        <v>-0.37316561844863733</v>
      </c>
      <c r="BR69" s="32">
        <f t="shared" si="11"/>
        <v>-0.30653266331658291</v>
      </c>
      <c r="BS69" s="32">
        <f t="shared" si="11"/>
        <v>-0.17910447761194029</v>
      </c>
      <c r="BT69" s="32"/>
      <c r="BU69" s="32"/>
      <c r="BV69" s="32"/>
      <c r="BW69" s="32"/>
      <c r="BX69" s="32"/>
      <c r="BY69" s="32"/>
      <c r="BZ69" s="32"/>
      <c r="CA69" s="43">
        <f>SUMPRODUCT(BM69:BX69,BM50:BX50)/SUM(BM50:BX50)</f>
        <v>-0.16898559639192118</v>
      </c>
      <c r="CB69" s="44">
        <f t="shared" si="14"/>
        <v>54.889074546675211</v>
      </c>
    </row>
    <row r="70" spans="1:80">
      <c r="A70" s="30">
        <v>10</v>
      </c>
      <c r="B70" s="31"/>
      <c r="C70" s="32"/>
      <c r="D70" s="32"/>
      <c r="E70" s="32"/>
      <c r="F70" s="32"/>
      <c r="G70" s="32"/>
      <c r="H70" s="32"/>
      <c r="I70" s="32"/>
      <c r="J70" s="32"/>
      <c r="K70" s="32"/>
      <c r="L70" s="32">
        <f>(L51-L50)/L50</f>
        <v>-2.1497405485544848E-2</v>
      </c>
      <c r="M70" s="32"/>
      <c r="N70" s="32">
        <f t="shared" si="9"/>
        <v>-8.9115016959605303E-2</v>
      </c>
      <c r="O70" s="32">
        <f t="shared" si="9"/>
        <v>-0.13649851632047477</v>
      </c>
      <c r="P70" s="32">
        <f t="shared" si="9"/>
        <v>-0.13901345291479822</v>
      </c>
      <c r="Q70" s="32">
        <f t="shared" si="9"/>
        <v>-0.15284411636995224</v>
      </c>
      <c r="R70" s="32">
        <f t="shared" si="9"/>
        <v>-0.1003904071388734</v>
      </c>
      <c r="S70" s="32"/>
      <c r="T70" s="32"/>
      <c r="U70" s="32"/>
      <c r="V70" s="32"/>
      <c r="W70" s="32"/>
      <c r="X70" s="32"/>
      <c r="Y70" s="43">
        <f>SUMPRODUCT(L70:W70,L51:W51)/SUM(L51:W51)</f>
        <v>-7.3746468794138459E-2</v>
      </c>
      <c r="Z70" s="44">
        <f t="shared" si="12"/>
        <v>82.55629495776904</v>
      </c>
      <c r="AB70" s="30">
        <v>10</v>
      </c>
      <c r="AC70" s="31"/>
      <c r="AD70" s="32"/>
      <c r="AE70" s="32"/>
      <c r="AF70" s="32"/>
      <c r="AG70" s="32"/>
      <c r="AH70" s="32"/>
      <c r="AI70" s="32"/>
      <c r="AJ70" s="32"/>
      <c r="AK70" s="32"/>
      <c r="AL70" s="32"/>
      <c r="AM70" s="32">
        <f>(AM51-AM50)/AM50</f>
        <v>2.4539877300613498E-2</v>
      </c>
      <c r="AN70" s="32"/>
      <c r="AO70" s="32">
        <f t="shared" si="10"/>
        <v>-0.11097852028639618</v>
      </c>
      <c r="AP70" s="32">
        <f t="shared" si="10"/>
        <v>-0.2401656314699793</v>
      </c>
      <c r="AQ70" s="32">
        <f t="shared" si="10"/>
        <v>-0.3029439696106363</v>
      </c>
      <c r="AR70" s="32">
        <f t="shared" si="10"/>
        <v>-0.25984251968503935</v>
      </c>
      <c r="AS70" s="32">
        <f t="shared" si="10"/>
        <v>-0.18306636155606407</v>
      </c>
      <c r="AT70" s="32"/>
      <c r="AU70" s="32"/>
      <c r="AV70" s="32"/>
      <c r="AW70" s="32"/>
      <c r="AX70" s="32"/>
      <c r="AY70" s="32"/>
      <c r="AZ70" s="43">
        <f>SUMPRODUCT(AM70:AX70,AM51:AX51)/SUM(AM51:AX51)</f>
        <v>-0.13122542472345106</v>
      </c>
      <c r="BA70" s="44">
        <f t="shared" si="13"/>
        <v>51.171486590873442</v>
      </c>
      <c r="BC70" s="30">
        <v>10</v>
      </c>
      <c r="BD70" s="31"/>
      <c r="BE70" s="32"/>
      <c r="BF70" s="32"/>
      <c r="BG70" s="32"/>
      <c r="BH70" s="32"/>
      <c r="BI70" s="32"/>
      <c r="BJ70" s="32"/>
      <c r="BK70" s="32"/>
      <c r="BL70" s="32"/>
      <c r="BM70" s="32"/>
      <c r="BN70" s="32">
        <f>(BN51-BN50)/BN50</f>
        <v>-4.142011834319527E-2</v>
      </c>
      <c r="BO70" s="32"/>
      <c r="BP70" s="32">
        <f t="shared" si="11"/>
        <v>-0.19855595667870035</v>
      </c>
      <c r="BQ70" s="32">
        <f t="shared" si="11"/>
        <v>-0.24414715719063546</v>
      </c>
      <c r="BR70" s="32">
        <f t="shared" si="11"/>
        <v>-0.42028985507246375</v>
      </c>
      <c r="BS70" s="32">
        <f t="shared" si="11"/>
        <v>-0.33818181818181819</v>
      </c>
      <c r="BT70" s="32">
        <f t="shared" si="11"/>
        <v>-0.2119205298013245</v>
      </c>
      <c r="BU70" s="32"/>
      <c r="BV70" s="32"/>
      <c r="BW70" s="32"/>
      <c r="BX70" s="32"/>
      <c r="BY70" s="32"/>
      <c r="BZ70" s="32"/>
      <c r="CA70" s="43">
        <f>SUMPRODUCT(BN70:BY70,BN51:BY51)/SUM(BN51:BY51)</f>
        <v>-0.17161570721878577</v>
      </c>
      <c r="CB70" s="44">
        <f t="shared" si="14"/>
        <v>45.46924719976289</v>
      </c>
    </row>
    <row r="71" spans="1:80">
      <c r="A71" s="30">
        <v>11</v>
      </c>
      <c r="B71" s="31"/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>
        <f>(M52-M51)/M51</f>
        <v>-4.9452373050116162E-2</v>
      </c>
      <c r="N71" s="32">
        <f t="shared" si="9"/>
        <v>-0.12593094109681788</v>
      </c>
      <c r="O71" s="32">
        <f t="shared" si="9"/>
        <v>-9.240168003054601E-2</v>
      </c>
      <c r="P71" s="32">
        <f t="shared" si="9"/>
        <v>-0.16287878787878787</v>
      </c>
      <c r="Q71" s="32">
        <f t="shared" si="9"/>
        <v>-0.13275243464889799</v>
      </c>
      <c r="R71" s="32">
        <f t="shared" si="9"/>
        <v>-0.13763174209547427</v>
      </c>
      <c r="S71" s="32"/>
      <c r="T71" s="32"/>
      <c r="U71" s="32"/>
      <c r="V71" s="32"/>
      <c r="W71" s="32"/>
      <c r="X71" s="32"/>
      <c r="Y71" s="43">
        <f>SUMPRODUCT(M71:X71,M52:X52)/SUM(M52:X52)</f>
        <v>-9.0201534181677673E-2</v>
      </c>
      <c r="Z71" s="44">
        <f t="shared" si="12"/>
        <v>75.109590496223177</v>
      </c>
      <c r="AB71" s="30">
        <v>11</v>
      </c>
      <c r="AC71" s="31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>
        <f>(AN52-AN51)/AN51</f>
        <v>-1.0355029585798817E-2</v>
      </c>
      <c r="AO71" s="32">
        <f t="shared" si="10"/>
        <v>-0.13557046979865772</v>
      </c>
      <c r="AP71" s="32">
        <f t="shared" si="10"/>
        <v>-0.14986376021798364</v>
      </c>
      <c r="AQ71" s="32">
        <f t="shared" si="10"/>
        <v>-0.24114441416893734</v>
      </c>
      <c r="AR71" s="32">
        <f t="shared" si="10"/>
        <v>-0.32624113475177308</v>
      </c>
      <c r="AS71" s="32">
        <f t="shared" si="10"/>
        <v>-0.33333333333333331</v>
      </c>
      <c r="AT71" s="32"/>
      <c r="AU71" s="32"/>
      <c r="AV71" s="32"/>
      <c r="AW71" s="32"/>
      <c r="AX71" s="32"/>
      <c r="AY71" s="32"/>
      <c r="AZ71" s="43">
        <f>SUMPRODUCT(AN71:AY71,AN52:AY52)/SUM(AN52:AY52)</f>
        <v>-0.13698200860623222</v>
      </c>
      <c r="BA71" s="44">
        <f t="shared" si="13"/>
        <v>44.161913574288718</v>
      </c>
      <c r="BC71" s="30">
        <v>11</v>
      </c>
      <c r="BD71" s="31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2">
        <f>(BO52-BO51)/BO51</f>
        <v>-0.11398963730569948</v>
      </c>
      <c r="BP71" s="32">
        <f t="shared" si="11"/>
        <v>-0.21171171171171171</v>
      </c>
      <c r="BQ71" s="32">
        <f t="shared" si="11"/>
        <v>-0.11061946902654868</v>
      </c>
      <c r="BR71" s="32">
        <f t="shared" si="11"/>
        <v>-0.19375000000000001</v>
      </c>
      <c r="BS71" s="32">
        <f t="shared" si="11"/>
        <v>-0.42307692307692307</v>
      </c>
      <c r="BT71" s="32">
        <f t="shared" si="11"/>
        <v>-0.45378151260504201</v>
      </c>
      <c r="BU71" s="32"/>
      <c r="BV71" s="32"/>
      <c r="BW71" s="32"/>
      <c r="BX71" s="32"/>
      <c r="BY71" s="32"/>
      <c r="BZ71" s="32"/>
      <c r="CA71" s="43">
        <f>SUMPRODUCT(BO71:BZ71,BO52:BZ52)/SUM(BO52:BZ52)</f>
        <v>-0.17352433207574716</v>
      </c>
      <c r="CB71" s="44">
        <f t="shared" si="14"/>
        <v>37.579226449437002</v>
      </c>
    </row>
    <row r="72" spans="1:80">
      <c r="A72" s="30">
        <v>12</v>
      </c>
      <c r="B72" s="31"/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>
        <f t="shared" si="9"/>
        <v>-7.3973663826491093E-2</v>
      </c>
      <c r="O72" s="32">
        <f t="shared" si="9"/>
        <v>-0.15986537652503155</v>
      </c>
      <c r="P72" s="32">
        <f t="shared" si="9"/>
        <v>-9.5588235294117641E-2</v>
      </c>
      <c r="Q72" s="32">
        <f t="shared" si="9"/>
        <v>-0.1814420803782506</v>
      </c>
      <c r="R72" s="32">
        <f t="shared" si="9"/>
        <v>-0.1509705248023005</v>
      </c>
      <c r="S72" s="32">
        <f t="shared" ref="S72:W75" si="15">(S53-S52)/S52</f>
        <v>-0.12301013024602026</v>
      </c>
      <c r="T72" s="32">
        <f t="shared" si="15"/>
        <v>-0.13686534216335541</v>
      </c>
      <c r="U72" s="32"/>
      <c r="V72" s="32"/>
      <c r="W72" s="32"/>
      <c r="X72" s="32"/>
      <c r="Y72" s="43">
        <f>SUMPRODUCT(N72:X72,N53:X53)/SUM(N53:X53)</f>
        <v>-0.1167431309979067</v>
      </c>
      <c r="Z72" s="44">
        <f t="shared" si="12"/>
        <v>66.341061733723464</v>
      </c>
      <c r="AB72" s="30">
        <v>12</v>
      </c>
      <c r="AC72" s="31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>
        <f t="shared" si="10"/>
        <v>-4.503105590062112E-2</v>
      </c>
      <c r="AP72" s="32">
        <f t="shared" si="10"/>
        <v>-0.16987179487179488</v>
      </c>
      <c r="AQ72" s="32">
        <f t="shared" si="10"/>
        <v>-0.15080789946140036</v>
      </c>
      <c r="AR72" s="32">
        <f t="shared" si="10"/>
        <v>-0.25087719298245614</v>
      </c>
      <c r="AS72" s="32">
        <f t="shared" si="10"/>
        <v>-0.37815126050420167</v>
      </c>
      <c r="AT72" s="32">
        <f t="shared" ref="AT72:AX75" si="16">(AT53-AT52)/AT52</f>
        <v>-0.30460624071322434</v>
      </c>
      <c r="AU72" s="32">
        <f t="shared" si="16"/>
        <v>-0.25535168195718655</v>
      </c>
      <c r="AV72" s="32"/>
      <c r="AW72" s="32"/>
      <c r="AX72" s="32"/>
      <c r="AY72" s="32"/>
      <c r="AZ72" s="43">
        <f>SUMPRODUCT(AO72:AY72,AO53:AY53)/SUM(AO53:AY53)</f>
        <v>-0.18292719484843856</v>
      </c>
      <c r="BA72" s="44">
        <f t="shared" si="13"/>
        <v>36.083498605004905</v>
      </c>
      <c r="BC72" s="30">
        <v>12</v>
      </c>
      <c r="BD72" s="31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2"/>
      <c r="BP72" s="32">
        <f t="shared" si="11"/>
        <v>-8.5714285714285715E-2</v>
      </c>
      <c r="BQ72" s="32">
        <f t="shared" si="11"/>
        <v>-0.24378109452736318</v>
      </c>
      <c r="BR72" s="32">
        <f t="shared" si="11"/>
        <v>-0.2868217054263566</v>
      </c>
      <c r="BS72" s="32">
        <f t="shared" si="11"/>
        <v>-0.33333333333333331</v>
      </c>
      <c r="BT72" s="32">
        <f t="shared" si="11"/>
        <v>-0.36923076923076925</v>
      </c>
      <c r="BU72" s="32">
        <f t="shared" ref="BU72:BY75" si="17">(BU53-BU52)/BU52</f>
        <v>-0.29545454545454547</v>
      </c>
      <c r="BV72" s="32">
        <f t="shared" si="17"/>
        <v>-0.22222222222222221</v>
      </c>
      <c r="BW72" s="32"/>
      <c r="BX72" s="32"/>
      <c r="BY72" s="32"/>
      <c r="BZ72" s="32"/>
      <c r="CA72" s="43">
        <f>SUMPRODUCT(BP72:BZ72,BP53:BZ53)/SUM(BP53:BZ53)</f>
        <v>-0.21604355668670802</v>
      </c>
      <c r="CB72" s="44">
        <f t="shared" si="14"/>
        <v>29.46047670976542</v>
      </c>
    </row>
    <row r="73" spans="1:80">
      <c r="A73" s="30">
        <v>13</v>
      </c>
      <c r="B73" s="31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>
        <f>(O54-O53)/O53</f>
        <v>-6.4596895343014521E-2</v>
      </c>
      <c r="P73" s="32">
        <f>(P54-P53)/P53</f>
        <v>-0.18261413383364603</v>
      </c>
      <c r="Q73" s="32">
        <f>(Q54-Q53)/Q53</f>
        <v>-0.12490974729241877</v>
      </c>
      <c r="R73" s="32">
        <f t="shared" si="9"/>
        <v>-0.14987298899237933</v>
      </c>
      <c r="S73" s="32">
        <f t="shared" si="15"/>
        <v>-0.17244224422442245</v>
      </c>
      <c r="T73" s="32">
        <f t="shared" si="15"/>
        <v>-0.17732310315430519</v>
      </c>
      <c r="U73" s="32">
        <f t="shared" si="15"/>
        <v>-0.14795383001049317</v>
      </c>
      <c r="V73" s="32"/>
      <c r="W73" s="32"/>
      <c r="X73" s="32"/>
      <c r="Y73" s="43">
        <f>SUMPRODUCT(O73:X73,O54:X54)/SUM(O54:X54)</f>
        <v>-0.1258860898834013</v>
      </c>
      <c r="Z73" s="44">
        <f t="shared" si="12"/>
        <v>57.989644873351672</v>
      </c>
      <c r="AB73" s="30">
        <v>13</v>
      </c>
      <c r="AC73" s="31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>
        <f>(AP54-AP53)/AP53</f>
        <v>-1.5444015444015444E-2</v>
      </c>
      <c r="AQ73" s="32">
        <f>(AQ54-AQ53)/AQ53</f>
        <v>-0.18181818181818182</v>
      </c>
      <c r="AR73" s="32">
        <f>(AR54-AR53)/AR53</f>
        <v>-0.20843091334894615</v>
      </c>
      <c r="AS73" s="32">
        <f t="shared" si="10"/>
        <v>-0.27364864864864863</v>
      </c>
      <c r="AT73" s="32">
        <f t="shared" si="16"/>
        <v>-0.41666666666666669</v>
      </c>
      <c r="AU73" s="32">
        <f t="shared" si="16"/>
        <v>-0.29979466119096509</v>
      </c>
      <c r="AV73" s="32">
        <f t="shared" si="16"/>
        <v>-0.27594936708860762</v>
      </c>
      <c r="AW73" s="32"/>
      <c r="AX73" s="32"/>
      <c r="AY73" s="32"/>
      <c r="AZ73" s="43">
        <f>SUMPRODUCT(AP73:AY73,AP54:AY54)/SUM(AP54:AY54)</f>
        <v>-0.19977164646717629</v>
      </c>
      <c r="BA73" s="44">
        <f t="shared" si="13"/>
        <v>28.875038678387018</v>
      </c>
      <c r="BC73" s="30">
        <v>13</v>
      </c>
      <c r="BD73" s="31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2"/>
      <c r="BP73" s="32"/>
      <c r="BQ73" s="32">
        <f>(BQ54-BQ53)/BQ53</f>
        <v>-0.19078947368421054</v>
      </c>
      <c r="BR73" s="32">
        <f>(BR54-BR53)/BR53</f>
        <v>-0.15217391304347827</v>
      </c>
      <c r="BS73" s="32">
        <f>(BS54-BS53)/BS53</f>
        <v>-0.22857142857142856</v>
      </c>
      <c r="BT73" s="32">
        <f t="shared" si="11"/>
        <v>-0.43902439024390244</v>
      </c>
      <c r="BU73" s="32">
        <f t="shared" si="17"/>
        <v>-0.58064516129032262</v>
      </c>
      <c r="BV73" s="32">
        <f t="shared" si="17"/>
        <v>-0.37142857142857144</v>
      </c>
      <c r="BW73" s="32">
        <f t="shared" si="17"/>
        <v>-0.28888888888888886</v>
      </c>
      <c r="BX73" s="32"/>
      <c r="BY73" s="32"/>
      <c r="BZ73" s="32"/>
      <c r="CA73" s="43">
        <f>SUMPRODUCT(BQ73:BZ73,BQ54:BZ54)/SUM(BQ54:BZ54)</f>
        <v>-0.24801300851351654</v>
      </c>
      <c r="CB73" s="44">
        <f t="shared" si="14"/>
        <v>22.153895248734113</v>
      </c>
    </row>
    <row r="74" spans="1:80">
      <c r="A74" s="30">
        <v>14</v>
      </c>
      <c r="B74" s="31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>
        <f>(P55-P54)/P54</f>
        <v>-7.268553940321347E-2</v>
      </c>
      <c r="Q74" s="32">
        <f>(Q55-Q54)/Q54</f>
        <v>-0.15594059405940594</v>
      </c>
      <c r="R74" s="32">
        <f t="shared" si="9"/>
        <v>-0.12948207171314741</v>
      </c>
      <c r="S74" s="32">
        <f t="shared" si="15"/>
        <v>-0.16949152542372881</v>
      </c>
      <c r="T74" s="32">
        <f t="shared" si="15"/>
        <v>-0.17616580310880828</v>
      </c>
      <c r="U74" s="32">
        <f t="shared" si="15"/>
        <v>-0.19334975369458129</v>
      </c>
      <c r="V74" s="32">
        <f t="shared" si="15"/>
        <v>-0.21716514954486346</v>
      </c>
      <c r="W74" s="32"/>
      <c r="X74" s="32"/>
      <c r="Y74" s="43">
        <f>SUMPRODUCT(P74:X74,P55:X55)/SUM(P55:X55)</f>
        <v>-0.13911913302431322</v>
      </c>
      <c r="Z74" s="44">
        <f t="shared" si="12"/>
        <v>49.922175754183179</v>
      </c>
      <c r="AB74" s="30">
        <v>14</v>
      </c>
      <c r="AC74" s="31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>
        <f>(AQ55-AQ54)/AQ54</f>
        <v>-0.15503875968992248</v>
      </c>
      <c r="AR74" s="32">
        <f>(AR55-AR54)/AR54</f>
        <v>-0.27810650887573962</v>
      </c>
      <c r="AS74" s="32">
        <f t="shared" si="10"/>
        <v>-0.22790697674418606</v>
      </c>
      <c r="AT74" s="32">
        <f t="shared" si="16"/>
        <v>-0.2783882783882784</v>
      </c>
      <c r="AU74" s="32">
        <f t="shared" si="16"/>
        <v>-0.44281524926686217</v>
      </c>
      <c r="AV74" s="32">
        <f t="shared" si="16"/>
        <v>-0.36013986013986016</v>
      </c>
      <c r="AW74" s="32">
        <f t="shared" si="16"/>
        <v>-0.21818181818181817</v>
      </c>
      <c r="AX74" s="32"/>
      <c r="AY74" s="32"/>
      <c r="AZ74" s="43">
        <f>SUMPRODUCT(AQ74:AY74,AQ55:AY55)/SUM(AQ55:AY55)</f>
        <v>-0.25336152106575377</v>
      </c>
      <c r="BA74" s="44">
        <f t="shared" si="13"/>
        <v>21.55921495799841</v>
      </c>
      <c r="BC74" s="30">
        <v>14</v>
      </c>
      <c r="BD74" s="31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2"/>
      <c r="BP74" s="32"/>
      <c r="BQ74" s="32"/>
      <c r="BR74" s="32">
        <f>(BR55-BR54)/BR54</f>
        <v>-0.24358974358974358</v>
      </c>
      <c r="BS74" s="32">
        <f>(BS55-BS54)/BS54</f>
        <v>-0.27777777777777779</v>
      </c>
      <c r="BT74" s="32">
        <f t="shared" si="11"/>
        <v>-0.34782608695652173</v>
      </c>
      <c r="BU74" s="32">
        <f t="shared" si="17"/>
        <v>-7.6923076923076927E-2</v>
      </c>
      <c r="BV74" s="32">
        <f t="shared" si="17"/>
        <v>-0.34090909090909088</v>
      </c>
      <c r="BW74" s="32">
        <f t="shared" si="17"/>
        <v>-0.1875</v>
      </c>
      <c r="BX74" s="32">
        <f t="shared" si="17"/>
        <v>-0.41176470588235292</v>
      </c>
      <c r="BY74" s="32"/>
      <c r="BZ74" s="32"/>
      <c r="CA74" s="43">
        <f>SUMPRODUCT(BR74:BZ74,BR55:BZ55)/SUM(BR55:BZ55)</f>
        <v>-0.2390078693963413</v>
      </c>
      <c r="CB74" s="44">
        <f t="shared" si="14"/>
        <v>16.858939946504442</v>
      </c>
    </row>
    <row r="75" spans="1:80" ht="15.75" thickBot="1">
      <c r="A75" s="34">
        <v>15</v>
      </c>
      <c r="B75" s="35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>
        <f>(Q56-Q55)/Q55</f>
        <v>-0.10459433040078202</v>
      </c>
      <c r="R75" s="36">
        <f t="shared" si="9"/>
        <v>-0.20366132723112129</v>
      </c>
      <c r="S75" s="36">
        <f t="shared" si="15"/>
        <v>-0.18367346938775511</v>
      </c>
      <c r="T75" s="36">
        <f t="shared" si="15"/>
        <v>-0.2440251572327044</v>
      </c>
      <c r="U75" s="36">
        <f t="shared" si="15"/>
        <v>-0.19236641221374046</v>
      </c>
      <c r="V75" s="36">
        <f t="shared" si="15"/>
        <v>-0.15780730897009967</v>
      </c>
      <c r="W75" s="36">
        <f t="shared" si="15"/>
        <v>-0.22505307855626328</v>
      </c>
      <c r="X75" s="36"/>
      <c r="Y75" s="45">
        <f>SUMPRODUCT(Q75:X75,Q56:X56)/SUM(Q56:X56)</f>
        <v>-0.16521228477504826</v>
      </c>
      <c r="Z75" s="46">
        <f t="shared" si="12"/>
        <v>41.674419036893056</v>
      </c>
      <c r="AB75" s="34">
        <v>15</v>
      </c>
      <c r="AC75" s="35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>
        <f>(AR56-AR55)/AR55</f>
        <v>-9.8360655737704916E-2</v>
      </c>
      <c r="AS75" s="36">
        <f t="shared" si="10"/>
        <v>-0.29518072289156627</v>
      </c>
      <c r="AT75" s="36">
        <f t="shared" si="16"/>
        <v>-0.14213197969543148</v>
      </c>
      <c r="AU75" s="36">
        <f t="shared" si="16"/>
        <v>-0.20526315789473684</v>
      </c>
      <c r="AV75" s="36">
        <f t="shared" si="16"/>
        <v>-0.38797814207650272</v>
      </c>
      <c r="AW75" s="36">
        <f t="shared" si="16"/>
        <v>-0.31782945736434109</v>
      </c>
      <c r="AX75" s="36">
        <f t="shared" si="16"/>
        <v>-0.29702970297029702</v>
      </c>
      <c r="AY75" s="36"/>
      <c r="AZ75" s="45">
        <f>SUMPRODUCT(AR75:AY75,AR56:AY56)/SUM(AR56:AY56)</f>
        <v>-0.20128674241379735</v>
      </c>
      <c r="BA75" s="46">
        <f t="shared" si="13"/>
        <v>17.219630810104096</v>
      </c>
      <c r="BC75" s="34">
        <v>15</v>
      </c>
      <c r="BD75" s="35"/>
      <c r="BE75" s="36"/>
      <c r="BF75" s="36"/>
      <c r="BG75" s="36"/>
      <c r="BH75" s="36"/>
      <c r="BI75" s="36"/>
      <c r="BJ75" s="36"/>
      <c r="BK75" s="36"/>
      <c r="BL75" s="36"/>
      <c r="BM75" s="36"/>
      <c r="BN75" s="36"/>
      <c r="BO75" s="36"/>
      <c r="BP75" s="36"/>
      <c r="BQ75" s="36"/>
      <c r="BR75" s="36"/>
      <c r="BS75" s="36">
        <f>(BS56-BS55)/BS55</f>
        <v>-0.33333333333333331</v>
      </c>
      <c r="BT75" s="36">
        <f t="shared" si="11"/>
        <v>-0.53333333333333333</v>
      </c>
      <c r="BU75" s="36">
        <f t="shared" si="17"/>
        <v>-0.125</v>
      </c>
      <c r="BV75" s="36">
        <f t="shared" si="17"/>
        <v>-0.37931034482758619</v>
      </c>
      <c r="BW75" s="36">
        <f t="shared" si="17"/>
        <v>-0.76923076923076927</v>
      </c>
      <c r="BX75" s="36">
        <f t="shared" si="17"/>
        <v>-0.2</v>
      </c>
      <c r="BY75" s="36">
        <f t="shared" si="17"/>
        <v>-0.25</v>
      </c>
      <c r="BZ75" s="36"/>
      <c r="CA75" s="45">
        <f>SUMPRODUCT(BS75:BZ75,BS56:BZ56)/SUM(BS56:BZ56)</f>
        <v>-0.30017792893347689</v>
      </c>
      <c r="CB75" s="46">
        <f t="shared" si="14"/>
        <v>11.798258269348876</v>
      </c>
    </row>
  </sheetData>
  <mergeCells count="12">
    <mergeCell ref="A1:X1"/>
    <mergeCell ref="AB1:AY1"/>
    <mergeCell ref="BC1:BZ1"/>
    <mergeCell ref="A20:Z20"/>
    <mergeCell ref="AB20:BA20"/>
    <mergeCell ref="BC20:CB20"/>
    <mergeCell ref="A39:X39"/>
    <mergeCell ref="AB39:AY39"/>
    <mergeCell ref="BC39:BZ39"/>
    <mergeCell ref="A58:Z58"/>
    <mergeCell ref="AB58:BA58"/>
    <mergeCell ref="BC58:CB58"/>
  </mergeCells>
  <pageMargins left="0.7" right="0.7" top="0.75" bottom="0.75" header="0.3" footer="0.3"/>
  <legacy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theme="9"/>
  </sheetPr>
  <dimension ref="A1:Y6"/>
  <sheetViews>
    <sheetView workbookViewId="0"/>
  </sheetViews>
  <sheetFormatPr defaultRowHeight="15"/>
  <cols>
    <col min="1" max="1" width="29.85546875" bestFit="1" customWidth="1"/>
  </cols>
  <sheetData>
    <row r="1" spans="1:25">
      <c r="A1" s="419" t="s">
        <v>532</v>
      </c>
      <c r="B1" s="418">
        <v>1990</v>
      </c>
      <c r="C1" s="414">
        <v>1991</v>
      </c>
      <c r="D1" s="414">
        <v>1992</v>
      </c>
      <c r="E1" s="414">
        <v>1993</v>
      </c>
      <c r="F1" s="414">
        <v>1994</v>
      </c>
      <c r="G1" s="414">
        <v>1995</v>
      </c>
      <c r="H1" s="414">
        <v>1996</v>
      </c>
      <c r="I1" s="414">
        <v>1997</v>
      </c>
      <c r="J1" s="414">
        <v>1998</v>
      </c>
      <c r="K1" s="414">
        <v>1999</v>
      </c>
      <c r="L1" s="414">
        <v>2000</v>
      </c>
      <c r="M1" s="414">
        <v>2001</v>
      </c>
      <c r="N1" s="414">
        <v>2002</v>
      </c>
      <c r="O1" s="414">
        <v>2003</v>
      </c>
      <c r="P1" s="414">
        <v>2004</v>
      </c>
      <c r="Q1" s="414">
        <v>2005</v>
      </c>
      <c r="R1" s="414">
        <v>2006</v>
      </c>
      <c r="S1" s="414">
        <v>2007</v>
      </c>
      <c r="T1" s="414">
        <v>2008</v>
      </c>
      <c r="U1" s="414">
        <v>2009</v>
      </c>
      <c r="V1" s="414">
        <v>2010</v>
      </c>
      <c r="W1" s="414">
        <v>2011</v>
      </c>
      <c r="X1" s="414">
        <v>2012</v>
      </c>
      <c r="Y1" s="415">
        <v>2013</v>
      </c>
    </row>
    <row r="2" spans="1:25">
      <c r="A2" s="417" t="s">
        <v>537</v>
      </c>
      <c r="B2" s="426">
        <v>7847</v>
      </c>
      <c r="C2" s="425">
        <v>7467</v>
      </c>
      <c r="D2" s="425">
        <v>8164</v>
      </c>
      <c r="E2" s="425">
        <v>8371</v>
      </c>
      <c r="F2" s="425">
        <v>9316</v>
      </c>
      <c r="G2" s="425">
        <v>10570</v>
      </c>
      <c r="H2" s="425">
        <v>11956</v>
      </c>
      <c r="I2" s="425">
        <v>13351</v>
      </c>
      <c r="J2" s="425">
        <v>14794</v>
      </c>
      <c r="K2" s="425">
        <v>16493</v>
      </c>
      <c r="L2" s="425">
        <v>17931</v>
      </c>
      <c r="M2" s="425">
        <v>18512</v>
      </c>
      <c r="N2" s="425">
        <v>19311</v>
      </c>
      <c r="O2" s="425">
        <v>20520</v>
      </c>
      <c r="P2" s="425">
        <v>21874.716</v>
      </c>
      <c r="Q2" s="425">
        <v>24495</v>
      </c>
      <c r="R2" s="425">
        <v>27859</v>
      </c>
      <c r="S2" s="425">
        <v>28469.067999999999</v>
      </c>
      <c r="T2" s="425">
        <v>29896.252</v>
      </c>
      <c r="U2" s="425">
        <v>26067.287999999993</v>
      </c>
      <c r="V2" s="425">
        <v>22612.408999999996</v>
      </c>
      <c r="W2" s="425">
        <v>22727.993000000002</v>
      </c>
      <c r="X2" s="425">
        <v>22834.875999999997</v>
      </c>
      <c r="Y2" s="424">
        <v>23824.82</v>
      </c>
    </row>
    <row r="3" spans="1:25">
      <c r="A3" s="417" t="s">
        <v>533</v>
      </c>
      <c r="B3" s="426">
        <v>246777</v>
      </c>
      <c r="C3" s="425">
        <v>240857</v>
      </c>
      <c r="D3" s="425">
        <v>214499</v>
      </c>
      <c r="E3" s="425">
        <v>191879</v>
      </c>
      <c r="F3" s="425">
        <v>199653</v>
      </c>
      <c r="G3" s="425">
        <v>204850</v>
      </c>
      <c r="H3" s="425">
        <v>228167</v>
      </c>
      <c r="I3" s="425">
        <v>230398</v>
      </c>
      <c r="J3" s="425">
        <v>245604</v>
      </c>
      <c r="K3" s="425">
        <v>264947</v>
      </c>
      <c r="L3" s="425">
        <v>284456</v>
      </c>
      <c r="M3" s="425">
        <v>284267</v>
      </c>
      <c r="N3" s="425">
        <v>263653</v>
      </c>
      <c r="O3" s="425">
        <v>269689</v>
      </c>
      <c r="P3" s="425">
        <v>271137</v>
      </c>
      <c r="Q3" s="425">
        <v>294805</v>
      </c>
      <c r="R3" s="425">
        <v>308338</v>
      </c>
      <c r="S3" s="425">
        <v>288040</v>
      </c>
      <c r="T3" s="425">
        <v>316125</v>
      </c>
      <c r="U3" s="425"/>
      <c r="V3" s="425"/>
      <c r="W3" s="425"/>
      <c r="X3" s="425"/>
      <c r="Y3" s="424"/>
    </row>
    <row r="4" spans="1:25">
      <c r="A4" s="417" t="s">
        <v>535</v>
      </c>
      <c r="B4" s="426">
        <v>17.12442005654863</v>
      </c>
      <c r="C4" s="425">
        <v>15.531673599660776</v>
      </c>
      <c r="D4" s="425">
        <v>15.400536073045437</v>
      </c>
      <c r="E4" s="425">
        <v>13.243347845890961</v>
      </c>
      <c r="F4" s="425">
        <v>13.759545720627028</v>
      </c>
      <c r="G4" s="425">
        <v>16.180127396428162</v>
      </c>
      <c r="H4" s="425">
        <v>17.313103659944986</v>
      </c>
      <c r="I4" s="425">
        <v>18.190350624129334</v>
      </c>
      <c r="J4" s="425">
        <v>20.103856964125004</v>
      </c>
      <c r="K4" s="425">
        <v>22.772993480425967</v>
      </c>
      <c r="L4" s="425">
        <v>24.641261682047727</v>
      </c>
      <c r="M4" s="425">
        <v>24.484672685852871</v>
      </c>
      <c r="N4" s="425">
        <v>24.264155132964728</v>
      </c>
      <c r="O4" s="425">
        <v>25.186587675048475</v>
      </c>
      <c r="P4" s="425">
        <v>23.805675833152158</v>
      </c>
      <c r="Q4" s="425">
        <v>21.652840503388937</v>
      </c>
      <c r="R4" s="425">
        <v>25.606516105920335</v>
      </c>
      <c r="S4" s="425">
        <v>23.678872546134876</v>
      </c>
      <c r="T4" s="425">
        <v>22.252674629050365</v>
      </c>
      <c r="U4" s="425">
        <v>18.276543764301767</v>
      </c>
      <c r="V4" s="425">
        <v>13.566162061777245</v>
      </c>
      <c r="W4" s="425">
        <v>6.3945616062082875</v>
      </c>
      <c r="X4" s="425">
        <v>3.8016493273529495</v>
      </c>
      <c r="Y4" s="424">
        <v>3.3492872386419079</v>
      </c>
    </row>
    <row r="5" spans="1:25" ht="15.75" thickBot="1">
      <c r="A5" s="417" t="s">
        <v>536</v>
      </c>
      <c r="B5" s="426">
        <v>357.78034620848325</v>
      </c>
      <c r="C5" s="425">
        <v>346.79857493906223</v>
      </c>
      <c r="D5" s="425">
        <v>301.72140298036948</v>
      </c>
      <c r="E5" s="425">
        <v>447.90576902550322</v>
      </c>
      <c r="F5" s="425">
        <v>396.69614478633298</v>
      </c>
      <c r="G5" s="425">
        <v>384.99523445348819</v>
      </c>
      <c r="H5" s="425">
        <v>353.26031067640059</v>
      </c>
      <c r="I5" s="425">
        <v>427.31125203576681</v>
      </c>
      <c r="J5" s="425">
        <v>439.94222664235923</v>
      </c>
      <c r="K5" s="425">
        <v>520.93876507575624</v>
      </c>
      <c r="L5" s="425">
        <v>605.62116954804969</v>
      </c>
      <c r="M5" s="425">
        <v>732.25654491193893</v>
      </c>
      <c r="N5" s="425">
        <v>778.65025170893102</v>
      </c>
      <c r="O5" s="425">
        <v>760.04357417873598</v>
      </c>
      <c r="P5" s="425">
        <v>720.40328831779118</v>
      </c>
      <c r="Q5" s="425">
        <v>836.95264368858545</v>
      </c>
      <c r="R5" s="425">
        <v>963.90128167929549</v>
      </c>
      <c r="S5" s="425">
        <v>1021.2277224758109</v>
      </c>
      <c r="T5" s="425">
        <v>949.53043248681172</v>
      </c>
      <c r="U5" s="425">
        <v>749.51034081178921</v>
      </c>
      <c r="V5" s="425">
        <v>774.45865291152268</v>
      </c>
      <c r="W5" s="425">
        <v>693.87295661040309</v>
      </c>
      <c r="X5" s="425">
        <v>582.61871730903647</v>
      </c>
      <c r="Y5" s="424">
        <v>603.22570579390913</v>
      </c>
    </row>
    <row r="6" spans="1:25" ht="16.5" thickTop="1" thickBot="1">
      <c r="A6" s="420" t="s">
        <v>534</v>
      </c>
      <c r="B6" s="427">
        <v>374.90476626503187</v>
      </c>
      <c r="C6" s="427">
        <v>362.33024853872303</v>
      </c>
      <c r="D6" s="427">
        <v>317.12193905341491</v>
      </c>
      <c r="E6" s="427">
        <v>461.1491168713942</v>
      </c>
      <c r="F6" s="427">
        <v>410.45569050696002</v>
      </c>
      <c r="G6" s="427">
        <v>401.17536184991638</v>
      </c>
      <c r="H6" s="427">
        <v>370.57341433634559</v>
      </c>
      <c r="I6" s="427">
        <v>445.50160265989615</v>
      </c>
      <c r="J6" s="427">
        <v>460.04608360648422</v>
      </c>
      <c r="K6" s="427">
        <v>543.71175855618219</v>
      </c>
      <c r="L6" s="427">
        <v>630.26243123009738</v>
      </c>
      <c r="M6" s="427">
        <v>756.74121759779177</v>
      </c>
      <c r="N6" s="427">
        <v>802.9144068418957</v>
      </c>
      <c r="O6" s="427">
        <v>785.23016185378447</v>
      </c>
      <c r="P6" s="427">
        <v>744.2089641509433</v>
      </c>
      <c r="Q6" s="427">
        <v>858.60548419197437</v>
      </c>
      <c r="R6" s="427">
        <v>989.50779778521587</v>
      </c>
      <c r="S6" s="427">
        <v>1044.9065950219458</v>
      </c>
      <c r="T6" s="427">
        <v>971.78310711586209</v>
      </c>
      <c r="U6" s="427">
        <v>767.78688457609098</v>
      </c>
      <c r="V6" s="427">
        <v>788.02481497329995</v>
      </c>
      <c r="W6" s="427">
        <v>700.26751821661139</v>
      </c>
      <c r="X6" s="427">
        <v>586.42036663638942</v>
      </c>
      <c r="Y6" s="423">
        <v>606.57499303255099</v>
      </c>
    </row>
  </sheetData>
  <pageMargins left="0.7" right="0.7" top="0.75" bottom="0.75" header="0.3" footer="0.3"/>
  <legacy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26">
    <tabColor theme="9"/>
  </sheetPr>
  <dimension ref="A1:S996"/>
  <sheetViews>
    <sheetView workbookViewId="0"/>
  </sheetViews>
  <sheetFormatPr defaultRowHeight="15"/>
  <cols>
    <col min="1" max="1" width="22.5703125" style="397" bestFit="1" customWidth="1"/>
    <col min="8" max="8" width="31" bestFit="1" customWidth="1"/>
    <col min="9" max="9" width="22" bestFit="1" customWidth="1"/>
    <col min="10" max="13" width="16" bestFit="1" customWidth="1"/>
  </cols>
  <sheetData>
    <row r="1" spans="1:19">
      <c r="A1" s="396" t="s">
        <v>246</v>
      </c>
      <c r="B1" s="396" t="s">
        <v>247</v>
      </c>
      <c r="H1" s="397" t="s">
        <v>39</v>
      </c>
    </row>
    <row r="2" spans="1:19">
      <c r="A2" s="398" t="s">
        <v>248</v>
      </c>
      <c r="B2" s="399" t="s">
        <v>249</v>
      </c>
      <c r="C2" s="399" t="s">
        <v>250</v>
      </c>
      <c r="D2" s="399" t="s">
        <v>251</v>
      </c>
      <c r="E2" s="399" t="s">
        <v>252</v>
      </c>
      <c r="F2" s="399" t="s">
        <v>253</v>
      </c>
      <c r="H2" s="398" t="s">
        <v>248</v>
      </c>
      <c r="I2" s="400" t="s">
        <v>249</v>
      </c>
      <c r="J2" s="400" t="s">
        <v>250</v>
      </c>
      <c r="K2" s="400" t="s">
        <v>251</v>
      </c>
      <c r="L2" s="400" t="s">
        <v>252</v>
      </c>
      <c r="M2" s="400" t="s">
        <v>253</v>
      </c>
    </row>
    <row r="3" spans="1:19">
      <c r="A3" s="398" t="s">
        <v>254</v>
      </c>
      <c r="B3" s="401"/>
      <c r="C3" s="401"/>
      <c r="D3" s="402">
        <v>24854</v>
      </c>
      <c r="E3" s="402">
        <v>24702</v>
      </c>
      <c r="F3" s="401"/>
      <c r="H3" s="398" t="s">
        <v>254</v>
      </c>
      <c r="I3" s="403">
        <v>19967234</v>
      </c>
      <c r="J3" s="403">
        <v>20320145</v>
      </c>
      <c r="K3" s="403">
        <v>20464426</v>
      </c>
      <c r="L3" s="403">
        <v>21344100</v>
      </c>
      <c r="M3" s="403">
        <v>23089505</v>
      </c>
    </row>
    <row r="4" spans="1:19">
      <c r="A4" s="398" t="s">
        <v>255</v>
      </c>
      <c r="B4" s="401">
        <v>904</v>
      </c>
      <c r="C4" s="401">
        <f>B4</f>
        <v>904</v>
      </c>
      <c r="D4" s="401">
        <f>C4</f>
        <v>904</v>
      </c>
      <c r="E4" s="401">
        <f>D4</f>
        <v>904</v>
      </c>
      <c r="F4" s="401">
        <f>E4</f>
        <v>904</v>
      </c>
      <c r="H4" s="398" t="s">
        <v>256</v>
      </c>
      <c r="I4" s="403">
        <f>I5*1000000/I3</f>
        <v>1344.2056326379509</v>
      </c>
      <c r="J4" s="403">
        <f>J5*1000000/J3</f>
        <v>1380.8295723775593</v>
      </c>
      <c r="K4" s="403">
        <f>K5*1000000/K3</f>
        <v>1429.1821072333032</v>
      </c>
      <c r="L4" s="403">
        <f>L5*1000000/L3</f>
        <v>1488.8488549528909</v>
      </c>
      <c r="M4" s="403">
        <f>M5*1000000/M3</f>
        <v>1543.0108822601437</v>
      </c>
    </row>
    <row r="5" spans="1:19">
      <c r="A5" s="398" t="s">
        <v>257</v>
      </c>
      <c r="B5" s="404">
        <f>B4*B3/1000000</f>
        <v>0</v>
      </c>
      <c r="C5" s="404">
        <f>C4*C3/1000000</f>
        <v>0</v>
      </c>
      <c r="D5" s="404">
        <f>D4*D3/1000000</f>
        <v>22.468015999999999</v>
      </c>
      <c r="E5" s="404">
        <f>E4*E3/1000000</f>
        <v>22.330608000000002</v>
      </c>
      <c r="F5" s="404">
        <f>F4*F3/1000000</f>
        <v>0</v>
      </c>
      <c r="H5" s="398" t="s">
        <v>257</v>
      </c>
      <c r="I5" s="403">
        <v>26840.068411000004</v>
      </c>
      <c r="J5" s="403">
        <v>28058.657131</v>
      </c>
      <c r="K5" s="403">
        <v>29247.391474</v>
      </c>
      <c r="L5" s="403">
        <v>31778.138845000001</v>
      </c>
      <c r="M5" s="403">
        <v>35627.357480999999</v>
      </c>
    </row>
    <row r="6" spans="1:19">
      <c r="A6" s="396"/>
      <c r="B6" s="405"/>
      <c r="C6" s="405"/>
      <c r="D6" s="405"/>
      <c r="E6" s="405"/>
      <c r="F6" s="405"/>
      <c r="H6" s="396"/>
      <c r="I6" s="406"/>
      <c r="J6" s="406"/>
      <c r="K6" s="406"/>
      <c r="L6" s="406"/>
      <c r="M6" s="406"/>
    </row>
    <row r="7" spans="1:19" s="397" customFormat="1">
      <c r="A7" s="396" t="s">
        <v>246</v>
      </c>
      <c r="B7" s="396" t="s">
        <v>258</v>
      </c>
      <c r="H7" s="397" t="s">
        <v>39</v>
      </c>
      <c r="I7" s="519"/>
      <c r="J7" s="519"/>
      <c r="K7" s="519"/>
      <c r="L7" s="519"/>
      <c r="M7" s="519"/>
    </row>
    <row r="8" spans="1:19">
      <c r="A8" s="398" t="s">
        <v>248</v>
      </c>
      <c r="B8" s="399" t="s">
        <v>249</v>
      </c>
      <c r="C8" s="399" t="s">
        <v>250</v>
      </c>
      <c r="D8" s="399" t="s">
        <v>251</v>
      </c>
      <c r="E8" s="399" t="s">
        <v>252</v>
      </c>
      <c r="F8" s="399" t="s">
        <v>253</v>
      </c>
      <c r="H8" s="398" t="s">
        <v>248</v>
      </c>
      <c r="I8" s="400" t="s">
        <v>249</v>
      </c>
      <c r="J8" s="400" t="s">
        <v>250</v>
      </c>
      <c r="K8" s="400" t="s">
        <v>251</v>
      </c>
      <c r="L8" s="400" t="s">
        <v>252</v>
      </c>
      <c r="M8" s="400" t="s">
        <v>253</v>
      </c>
    </row>
    <row r="9" spans="1:19">
      <c r="A9" s="398" t="s">
        <v>254</v>
      </c>
      <c r="B9" s="402">
        <v>38729</v>
      </c>
      <c r="C9" s="402">
        <v>36119</v>
      </c>
      <c r="D9" s="402">
        <v>31866</v>
      </c>
      <c r="E9" s="402">
        <v>30270</v>
      </c>
      <c r="F9" s="402">
        <v>21038</v>
      </c>
      <c r="H9" s="398" t="s">
        <v>712</v>
      </c>
      <c r="I9" s="403">
        <f>B77+B432+B438+B894+B209</f>
        <v>89.32132</v>
      </c>
      <c r="J9" s="403">
        <f t="shared" ref="J9:M9" si="0">C77+C432+C438+C894+C209</f>
        <v>8.4967679999999994</v>
      </c>
      <c r="K9" s="403">
        <f t="shared" si="0"/>
        <v>0</v>
      </c>
      <c r="L9" s="403">
        <f t="shared" si="0"/>
        <v>0</v>
      </c>
      <c r="M9" s="403">
        <f t="shared" si="0"/>
        <v>0</v>
      </c>
    </row>
    <row r="10" spans="1:19">
      <c r="A10" s="398" t="s">
        <v>255</v>
      </c>
      <c r="B10" s="401">
        <v>1490</v>
      </c>
      <c r="C10" s="401">
        <f>B10</f>
        <v>1490</v>
      </c>
      <c r="D10" s="401">
        <f>C10</f>
        <v>1490</v>
      </c>
      <c r="E10" s="401">
        <f>D10</f>
        <v>1490</v>
      </c>
      <c r="F10" s="401">
        <f>E10</f>
        <v>1490</v>
      </c>
      <c r="H10" s="398" t="s">
        <v>713</v>
      </c>
      <c r="I10" s="403">
        <f>(I5-(I9+I11))</f>
        <v>16544.696021000003</v>
      </c>
      <c r="J10" s="403">
        <f t="shared" ref="J10:M10" si="1">(J5-(J9+J11))</f>
        <v>17089.434252999999</v>
      </c>
      <c r="K10" s="403">
        <f t="shared" si="1"/>
        <v>17050.306464000001</v>
      </c>
      <c r="L10" s="403">
        <f t="shared" si="1"/>
        <v>17564.814205000002</v>
      </c>
      <c r="M10" s="403">
        <f t="shared" si="1"/>
        <v>18699.957420999999</v>
      </c>
    </row>
    <row r="11" spans="1:19">
      <c r="A11" s="398" t="s">
        <v>259</v>
      </c>
      <c r="B11" s="404">
        <f>B10*B9/1000000</f>
        <v>57.706209999999999</v>
      </c>
      <c r="C11" s="404">
        <f>C10*C9/1000000</f>
        <v>53.817309999999999</v>
      </c>
      <c r="D11" s="404">
        <f>D10*D9/1000000</f>
        <v>47.480339999999998</v>
      </c>
      <c r="E11" s="404">
        <f>E10*E9/1000000</f>
        <v>45.1023</v>
      </c>
      <c r="F11" s="404">
        <f>F10*F9/1000000</f>
        <v>31.346620000000001</v>
      </c>
      <c r="H11" s="398" t="s">
        <v>714</v>
      </c>
      <c r="I11" s="403">
        <f>B233+B239+B263+B504+B510+B570+B672+B678+B684+B690+B696+B702+B708+B714+B720+B972+B978+B984+B990+B996</f>
        <v>10206.05107</v>
      </c>
      <c r="J11" s="403">
        <f t="shared" ref="J11:M11" si="2">C233+C239+C263+C504+C510+C570+C672+C678+C684+C690+C696+C702+C708+C714+C720+C972+C978+C984+C990+C996</f>
        <v>10960.72611</v>
      </c>
      <c r="K11" s="403">
        <f t="shared" si="2"/>
        <v>12197.085009999999</v>
      </c>
      <c r="L11" s="403">
        <f t="shared" si="2"/>
        <v>14213.324640000001</v>
      </c>
      <c r="M11" s="403">
        <f t="shared" si="2"/>
        <v>16927.40006</v>
      </c>
    </row>
    <row r="12" spans="1:19">
      <c r="A12" s="396"/>
      <c r="B12" s="405"/>
      <c r="C12" s="405"/>
      <c r="D12" s="405"/>
      <c r="E12" s="405"/>
      <c r="F12" s="405"/>
    </row>
    <row r="13" spans="1:19" s="397" customFormat="1">
      <c r="A13" s="396" t="s">
        <v>246</v>
      </c>
      <c r="B13" s="396" t="s">
        <v>260</v>
      </c>
      <c r="H13" s="397" t="s">
        <v>39</v>
      </c>
      <c r="I13" s="519"/>
      <c r="J13" s="519"/>
      <c r="K13" s="519"/>
      <c r="L13" s="519"/>
      <c r="M13" s="519"/>
    </row>
    <row r="14" spans="1:19">
      <c r="A14" s="398" t="s">
        <v>248</v>
      </c>
      <c r="B14" s="399" t="s">
        <v>249</v>
      </c>
      <c r="C14" s="399" t="s">
        <v>250</v>
      </c>
      <c r="D14" s="399" t="s">
        <v>251</v>
      </c>
      <c r="E14" s="399" t="s">
        <v>252</v>
      </c>
      <c r="F14" s="399" t="s">
        <v>253</v>
      </c>
      <c r="H14" s="398" t="s">
        <v>715</v>
      </c>
      <c r="I14" s="400" t="s">
        <v>249</v>
      </c>
      <c r="J14" s="400" t="s">
        <v>250</v>
      </c>
      <c r="K14" s="400" t="s">
        <v>251</v>
      </c>
      <c r="L14" s="400" t="s">
        <v>252</v>
      </c>
      <c r="M14" s="400" t="s">
        <v>253</v>
      </c>
    </row>
    <row r="15" spans="1:19">
      <c r="A15" s="398" t="s">
        <v>254</v>
      </c>
      <c r="B15" s="402">
        <v>24927</v>
      </c>
      <c r="C15" s="402">
        <v>23536</v>
      </c>
      <c r="D15" s="402">
        <v>28009</v>
      </c>
      <c r="E15" s="402">
        <v>24333</v>
      </c>
      <c r="F15" s="402">
        <v>26731</v>
      </c>
      <c r="H15" s="398" t="s">
        <v>713</v>
      </c>
      <c r="I15" s="633">
        <f>I10/SUM(I$10:I$11)</f>
        <v>0.61847603600447798</v>
      </c>
      <c r="J15" s="633">
        <f t="shared" ref="J15:M15" si="3">J10/SUM(J$10:J$11)</f>
        <v>0.60924550989526904</v>
      </c>
      <c r="K15" s="633">
        <f t="shared" si="3"/>
        <v>0.58296844965326844</v>
      </c>
      <c r="L15" s="633">
        <f t="shared" si="3"/>
        <v>0.55273262825974667</v>
      </c>
      <c r="M15" s="633">
        <f t="shared" si="3"/>
        <v>0.52487635185889525</v>
      </c>
      <c r="O15" s="267"/>
      <c r="P15" s="267"/>
      <c r="Q15" s="267"/>
      <c r="R15" s="267"/>
      <c r="S15" s="267"/>
    </row>
    <row r="16" spans="1:19">
      <c r="A16" s="398" t="s">
        <v>255</v>
      </c>
      <c r="B16" s="401">
        <v>2720</v>
      </c>
      <c r="C16" s="401">
        <f>B16</f>
        <v>2720</v>
      </c>
      <c r="D16" s="401">
        <f>C16</f>
        <v>2720</v>
      </c>
      <c r="E16" s="401">
        <f>D16</f>
        <v>2720</v>
      </c>
      <c r="F16" s="401">
        <f>E16</f>
        <v>2720</v>
      </c>
      <c r="H16" s="398" t="s">
        <v>714</v>
      </c>
      <c r="I16" s="633">
        <f>I11/SUM(I$10:I$11)</f>
        <v>0.38152396399552196</v>
      </c>
      <c r="J16" s="633">
        <f t="shared" ref="J16:M16" si="4">J11/SUM(J$10:J$11)</f>
        <v>0.39075449010473096</v>
      </c>
      <c r="K16" s="633">
        <f t="shared" si="4"/>
        <v>0.41703155034673156</v>
      </c>
      <c r="L16" s="633">
        <f t="shared" si="4"/>
        <v>0.44726737174025333</v>
      </c>
      <c r="M16" s="633">
        <f t="shared" si="4"/>
        <v>0.47512364814110475</v>
      </c>
      <c r="O16" s="267"/>
      <c r="P16" s="267"/>
      <c r="Q16" s="267"/>
      <c r="R16" s="267"/>
      <c r="S16" s="267"/>
    </row>
    <row r="17" spans="1:13">
      <c r="A17" s="398" t="s">
        <v>259</v>
      </c>
      <c r="B17" s="404">
        <f>B16*B15/1000000</f>
        <v>67.801439999999999</v>
      </c>
      <c r="C17" s="404">
        <f>C16*C15/1000000</f>
        <v>64.017920000000004</v>
      </c>
      <c r="D17" s="404">
        <f>D16*D15/1000000</f>
        <v>76.184479999999994</v>
      </c>
      <c r="E17" s="404">
        <f>E16*E15/1000000</f>
        <v>66.185760000000002</v>
      </c>
      <c r="F17" s="404">
        <f>F16*F15/1000000</f>
        <v>72.708320000000001</v>
      </c>
    </row>
    <row r="18" spans="1:13">
      <c r="A18" s="396"/>
      <c r="B18" s="405"/>
      <c r="C18" s="405"/>
      <c r="D18" s="405"/>
      <c r="E18" s="405"/>
      <c r="F18" s="405"/>
      <c r="H18" s="397"/>
      <c r="J18" s="407"/>
      <c r="K18" s="407"/>
      <c r="L18" s="407"/>
      <c r="M18" s="407"/>
    </row>
    <row r="19" spans="1:13" s="397" customFormat="1">
      <c r="A19" s="396" t="s">
        <v>246</v>
      </c>
      <c r="B19" s="396" t="s">
        <v>261</v>
      </c>
      <c r="H19"/>
      <c r="J19"/>
      <c r="K19"/>
      <c r="L19"/>
      <c r="M19"/>
    </row>
    <row r="20" spans="1:13">
      <c r="A20" s="398" t="s">
        <v>248</v>
      </c>
      <c r="B20" s="399" t="s">
        <v>249</v>
      </c>
      <c r="C20" s="399" t="s">
        <v>250</v>
      </c>
      <c r="D20" s="399" t="s">
        <v>251</v>
      </c>
      <c r="E20" s="399" t="s">
        <v>252</v>
      </c>
      <c r="F20" s="399" t="s">
        <v>253</v>
      </c>
    </row>
    <row r="21" spans="1:13">
      <c r="A21" s="398" t="s">
        <v>254</v>
      </c>
      <c r="B21" s="402">
        <v>70978</v>
      </c>
      <c r="C21" s="402">
        <v>83602</v>
      </c>
      <c r="D21" s="402">
        <v>82377</v>
      </c>
      <c r="E21" s="402">
        <v>90988</v>
      </c>
      <c r="F21" s="402">
        <v>93898</v>
      </c>
      <c r="I21" s="267"/>
      <c r="J21" s="267"/>
      <c r="K21" s="267"/>
      <c r="L21" s="267"/>
      <c r="M21" s="267"/>
    </row>
    <row r="22" spans="1:13">
      <c r="A22" s="398" t="s">
        <v>255</v>
      </c>
      <c r="B22" s="401">
        <v>2570</v>
      </c>
      <c r="C22" s="401">
        <f>B22</f>
        <v>2570</v>
      </c>
      <c r="D22" s="401">
        <f>C22</f>
        <v>2570</v>
      </c>
      <c r="E22" s="401">
        <f>D22</f>
        <v>2570</v>
      </c>
      <c r="F22" s="401">
        <f>E22</f>
        <v>2570</v>
      </c>
      <c r="I22" s="267"/>
      <c r="J22" s="267"/>
      <c r="K22" s="267"/>
      <c r="L22" s="267"/>
      <c r="M22" s="267"/>
    </row>
    <row r="23" spans="1:13">
      <c r="A23" s="398" t="s">
        <v>259</v>
      </c>
      <c r="B23" s="404">
        <f>B22*B21/1000000</f>
        <v>182.41345999999999</v>
      </c>
      <c r="C23" s="404">
        <f>C22*C21/1000000</f>
        <v>214.85713999999999</v>
      </c>
      <c r="D23" s="404">
        <f>D22*D21/1000000</f>
        <v>211.70889</v>
      </c>
      <c r="E23" s="404">
        <f>E22*E21/1000000</f>
        <v>233.83915999999999</v>
      </c>
      <c r="F23" s="404">
        <f>F22*F21/1000000</f>
        <v>241.31786</v>
      </c>
      <c r="I23" s="267"/>
      <c r="J23" s="267"/>
      <c r="K23" s="267"/>
      <c r="L23" s="267"/>
      <c r="M23" s="267"/>
    </row>
    <row r="24" spans="1:13">
      <c r="A24" s="396"/>
      <c r="B24" s="405"/>
      <c r="C24" s="405"/>
      <c r="D24" s="405"/>
      <c r="E24" s="405"/>
      <c r="F24" s="405"/>
      <c r="H24" s="397"/>
      <c r="I24" s="397"/>
      <c r="J24" s="397"/>
      <c r="K24" s="397"/>
      <c r="L24" s="397"/>
      <c r="M24" s="397"/>
    </row>
    <row r="25" spans="1:13" s="397" customFormat="1">
      <c r="A25" s="396" t="s">
        <v>246</v>
      </c>
      <c r="B25" s="396" t="s">
        <v>262</v>
      </c>
      <c r="H25"/>
      <c r="I25" s="407"/>
      <c r="J25" s="407"/>
      <c r="K25" s="407"/>
      <c r="L25" s="407"/>
      <c r="M25" s="407"/>
    </row>
    <row r="26" spans="1:13">
      <c r="A26" s="398" t="s">
        <v>248</v>
      </c>
      <c r="B26" s="399" t="s">
        <v>249</v>
      </c>
      <c r="C26" s="399" t="s">
        <v>250</v>
      </c>
      <c r="D26" s="399" t="s">
        <v>251</v>
      </c>
      <c r="E26" s="399" t="s">
        <v>252</v>
      </c>
      <c r="F26" s="399" t="s">
        <v>253</v>
      </c>
      <c r="I26" s="635"/>
      <c r="J26" s="635"/>
      <c r="K26" s="635"/>
      <c r="L26" s="635"/>
      <c r="M26" s="635"/>
    </row>
    <row r="27" spans="1:13">
      <c r="A27" s="398" t="s">
        <v>254</v>
      </c>
      <c r="B27" s="401"/>
      <c r="C27" s="402">
        <v>30221</v>
      </c>
      <c r="D27" s="402">
        <v>25359</v>
      </c>
      <c r="E27" s="402">
        <v>25645</v>
      </c>
      <c r="F27" s="402">
        <v>26389</v>
      </c>
      <c r="I27" s="368"/>
      <c r="J27" s="368"/>
      <c r="K27" s="368"/>
      <c r="L27" s="368"/>
      <c r="M27" s="341"/>
    </row>
    <row r="28" spans="1:13">
      <c r="A28" s="398" t="s">
        <v>255</v>
      </c>
      <c r="B28" s="401">
        <v>2740</v>
      </c>
      <c r="C28" s="401">
        <f>B28</f>
        <v>2740</v>
      </c>
      <c r="D28" s="401">
        <f>C28</f>
        <v>2740</v>
      </c>
      <c r="E28" s="401">
        <f>D28</f>
        <v>2740</v>
      </c>
      <c r="F28" s="401">
        <f>E28</f>
        <v>2740</v>
      </c>
      <c r="I28" s="368"/>
      <c r="M28" s="635"/>
    </row>
    <row r="29" spans="1:13">
      <c r="A29" s="398" t="s">
        <v>259</v>
      </c>
      <c r="B29" s="404">
        <f>B28*B27/1000000</f>
        <v>0</v>
      </c>
      <c r="C29" s="404">
        <f>C28*C27/1000000</f>
        <v>82.805539999999993</v>
      </c>
      <c r="D29" s="404">
        <f>D28*D27/1000000</f>
        <v>69.48366</v>
      </c>
      <c r="E29" s="404">
        <f>E28*E27/1000000</f>
        <v>70.267300000000006</v>
      </c>
      <c r="F29" s="404">
        <f>F28*F27/1000000</f>
        <v>72.305859999999996</v>
      </c>
      <c r="I29" s="368"/>
    </row>
    <row r="30" spans="1:13">
      <c r="A30" s="396"/>
      <c r="B30" s="405"/>
      <c r="C30" s="405"/>
      <c r="D30" s="405"/>
      <c r="E30" s="405"/>
      <c r="F30" s="405"/>
      <c r="H30" s="397"/>
      <c r="I30" s="397"/>
      <c r="J30" s="397"/>
      <c r="K30" s="397"/>
      <c r="L30" s="397"/>
      <c r="M30" s="397"/>
    </row>
    <row r="31" spans="1:13" s="397" customFormat="1">
      <c r="A31" s="396" t="s">
        <v>246</v>
      </c>
      <c r="B31" s="396" t="s">
        <v>263</v>
      </c>
      <c r="H31"/>
      <c r="I31" s="267"/>
      <c r="J31" s="267"/>
      <c r="K31" s="267"/>
      <c r="L31" s="267"/>
      <c r="M31" s="267"/>
    </row>
    <row r="32" spans="1:13">
      <c r="A32" s="398" t="s">
        <v>248</v>
      </c>
      <c r="B32" s="399" t="s">
        <v>249</v>
      </c>
      <c r="C32" s="399" t="s">
        <v>250</v>
      </c>
      <c r="D32" s="399" t="s">
        <v>251</v>
      </c>
      <c r="E32" s="399" t="s">
        <v>252</v>
      </c>
      <c r="F32" s="399" t="s">
        <v>253</v>
      </c>
      <c r="I32" s="267"/>
      <c r="J32" s="267"/>
      <c r="K32" s="267"/>
      <c r="L32" s="267"/>
      <c r="M32" s="267"/>
    </row>
    <row r="33" spans="1:13">
      <c r="A33" s="398" t="s">
        <v>254</v>
      </c>
      <c r="B33" s="402">
        <v>36888</v>
      </c>
      <c r="C33" s="402">
        <v>33376</v>
      </c>
      <c r="D33" s="402">
        <v>31396</v>
      </c>
      <c r="E33" s="402">
        <v>33810</v>
      </c>
      <c r="F33" s="402">
        <v>25594</v>
      </c>
    </row>
    <row r="34" spans="1:13">
      <c r="A34" s="398" t="s">
        <v>255</v>
      </c>
      <c r="B34" s="401">
        <v>1630</v>
      </c>
      <c r="C34" s="401">
        <f>B34</f>
        <v>1630</v>
      </c>
      <c r="D34" s="401">
        <f>C34</f>
        <v>1630</v>
      </c>
      <c r="E34" s="401">
        <f>D34</f>
        <v>1630</v>
      </c>
      <c r="F34" s="401">
        <f>E34</f>
        <v>1630</v>
      </c>
    </row>
    <row r="35" spans="1:13">
      <c r="A35" s="398" t="s">
        <v>259</v>
      </c>
      <c r="B35" s="404">
        <f>B34*B33/1000000</f>
        <v>60.12744</v>
      </c>
      <c r="C35" s="404">
        <f>C34*C33/1000000</f>
        <v>54.402880000000003</v>
      </c>
      <c r="D35" s="404">
        <f>D34*D33/1000000</f>
        <v>51.17548</v>
      </c>
      <c r="E35" s="404">
        <f>E34*E33/1000000</f>
        <v>55.110300000000002</v>
      </c>
      <c r="F35" s="404">
        <f>F34*F33/1000000</f>
        <v>41.718220000000002</v>
      </c>
    </row>
    <row r="36" spans="1:13">
      <c r="A36" s="396"/>
      <c r="B36" s="405"/>
      <c r="C36" s="405"/>
      <c r="D36" s="405"/>
      <c r="E36" s="405"/>
      <c r="F36" s="405"/>
      <c r="H36" s="397"/>
      <c r="I36" s="397"/>
      <c r="J36" s="397"/>
      <c r="K36" s="397"/>
      <c r="L36" s="397"/>
      <c r="M36" s="397"/>
    </row>
    <row r="37" spans="1:13" s="397" customFormat="1">
      <c r="A37" s="396" t="s">
        <v>246</v>
      </c>
      <c r="B37" s="396" t="s">
        <v>264</v>
      </c>
      <c r="H37"/>
      <c r="I37" s="267"/>
      <c r="J37" s="267"/>
      <c r="K37" s="267"/>
      <c r="L37" s="267"/>
      <c r="M37" s="267"/>
    </row>
    <row r="38" spans="1:13">
      <c r="A38" s="398" t="s">
        <v>248</v>
      </c>
      <c r="B38" s="399" t="s">
        <v>249</v>
      </c>
      <c r="C38" s="399" t="s">
        <v>250</v>
      </c>
      <c r="D38" s="399" t="s">
        <v>251</v>
      </c>
      <c r="E38" s="399" t="s">
        <v>252</v>
      </c>
      <c r="F38" s="399" t="s">
        <v>253</v>
      </c>
      <c r="I38" s="267"/>
      <c r="J38" s="267"/>
      <c r="K38" s="267"/>
      <c r="L38" s="267"/>
      <c r="M38" s="267"/>
    </row>
    <row r="39" spans="1:13">
      <c r="A39" s="398" t="s">
        <v>254</v>
      </c>
      <c r="B39" s="402">
        <v>45493</v>
      </c>
      <c r="C39" s="402">
        <v>30223</v>
      </c>
      <c r="D39" s="402">
        <v>30477</v>
      </c>
      <c r="E39" s="402">
        <v>29226</v>
      </c>
      <c r="F39" s="402">
        <v>23085</v>
      </c>
    </row>
    <row r="40" spans="1:13">
      <c r="A40" s="398" t="s">
        <v>255</v>
      </c>
      <c r="B40" s="401">
        <v>1420</v>
      </c>
      <c r="C40" s="401">
        <f>B40</f>
        <v>1420</v>
      </c>
      <c r="D40" s="401">
        <f>C40</f>
        <v>1420</v>
      </c>
      <c r="E40" s="401">
        <f>D40</f>
        <v>1420</v>
      </c>
      <c r="F40" s="401">
        <f>E40</f>
        <v>1420</v>
      </c>
    </row>
    <row r="41" spans="1:13">
      <c r="A41" s="398" t="s">
        <v>259</v>
      </c>
      <c r="B41" s="404">
        <f>B40*B39/1000000</f>
        <v>64.600059999999999</v>
      </c>
      <c r="C41" s="404">
        <f>C40*C39/1000000</f>
        <v>42.91666</v>
      </c>
      <c r="D41" s="404">
        <f>D40*D39/1000000</f>
        <v>43.277340000000002</v>
      </c>
      <c r="E41" s="404">
        <f>E40*E39/1000000</f>
        <v>41.500920000000001</v>
      </c>
      <c r="F41" s="404">
        <f>F40*F39/1000000</f>
        <v>32.780700000000003</v>
      </c>
    </row>
    <row r="42" spans="1:13">
      <c r="A42" s="396"/>
      <c r="B42" s="405"/>
      <c r="C42" s="405"/>
      <c r="D42" s="405"/>
      <c r="E42" s="405"/>
      <c r="F42" s="405"/>
      <c r="H42" s="397"/>
      <c r="I42" s="397"/>
      <c r="J42" s="397"/>
      <c r="K42" s="397"/>
      <c r="L42" s="397"/>
      <c r="M42" s="397"/>
    </row>
    <row r="43" spans="1:13" s="397" customFormat="1">
      <c r="A43" s="396" t="s">
        <v>246</v>
      </c>
      <c r="B43" s="396" t="s">
        <v>265</v>
      </c>
      <c r="H43"/>
      <c r="I43"/>
      <c r="J43"/>
      <c r="K43"/>
      <c r="L43"/>
      <c r="M43"/>
    </row>
    <row r="44" spans="1:13">
      <c r="A44" s="398" t="s">
        <v>248</v>
      </c>
      <c r="B44" s="399" t="s">
        <v>249</v>
      </c>
      <c r="C44" s="399" t="s">
        <v>250</v>
      </c>
      <c r="D44" s="399" t="s">
        <v>251</v>
      </c>
      <c r="E44" s="399" t="s">
        <v>252</v>
      </c>
      <c r="F44" s="399" t="s">
        <v>253</v>
      </c>
    </row>
    <row r="45" spans="1:13">
      <c r="A45" s="398" t="s">
        <v>254</v>
      </c>
      <c r="B45" s="402">
        <v>106448</v>
      </c>
      <c r="C45" s="402">
        <v>116864</v>
      </c>
      <c r="D45" s="402">
        <v>120550</v>
      </c>
      <c r="E45" s="402">
        <v>111770</v>
      </c>
      <c r="F45" s="402">
        <v>101454</v>
      </c>
    </row>
    <row r="46" spans="1:13">
      <c r="A46" s="398" t="s">
        <v>255</v>
      </c>
      <c r="B46" s="401">
        <v>1720</v>
      </c>
      <c r="C46" s="401">
        <f>B46</f>
        <v>1720</v>
      </c>
      <c r="D46" s="401">
        <f>C46</f>
        <v>1720</v>
      </c>
      <c r="E46" s="401">
        <f>D46</f>
        <v>1720</v>
      </c>
      <c r="F46" s="401">
        <f>E46</f>
        <v>1720</v>
      </c>
    </row>
    <row r="47" spans="1:13">
      <c r="A47" s="398" t="s">
        <v>259</v>
      </c>
      <c r="B47" s="404">
        <f>B46*B45/1000000</f>
        <v>183.09056000000001</v>
      </c>
      <c r="C47" s="404">
        <f>C46*C45/1000000</f>
        <v>201.00608</v>
      </c>
      <c r="D47" s="404">
        <f>D46*D45/1000000</f>
        <v>207.346</v>
      </c>
      <c r="E47" s="404">
        <f>E46*E45/1000000</f>
        <v>192.24440000000001</v>
      </c>
      <c r="F47" s="404">
        <f>F46*F45/1000000</f>
        <v>174.50088</v>
      </c>
    </row>
    <row r="48" spans="1:13">
      <c r="A48" s="396"/>
      <c r="B48" s="405"/>
      <c r="C48" s="405"/>
      <c r="D48" s="405"/>
      <c r="E48" s="405"/>
      <c r="F48" s="405"/>
      <c r="H48" s="397"/>
      <c r="I48" s="397"/>
      <c r="J48" s="397"/>
      <c r="K48" s="397"/>
      <c r="L48" s="397"/>
      <c r="M48" s="397"/>
    </row>
    <row r="49" spans="1:13" s="397" customFormat="1">
      <c r="A49" s="396" t="s">
        <v>246</v>
      </c>
      <c r="B49" s="396" t="s">
        <v>266</v>
      </c>
      <c r="H49"/>
      <c r="I49"/>
      <c r="J49"/>
      <c r="K49"/>
      <c r="L49"/>
      <c r="M49"/>
    </row>
    <row r="50" spans="1:13">
      <c r="A50" s="398" t="s">
        <v>248</v>
      </c>
      <c r="B50" s="399" t="s">
        <v>249</v>
      </c>
      <c r="C50" s="399" t="s">
        <v>250</v>
      </c>
      <c r="D50" s="399" t="s">
        <v>251</v>
      </c>
      <c r="E50" s="399" t="s">
        <v>252</v>
      </c>
      <c r="F50" s="399" t="s">
        <v>253</v>
      </c>
    </row>
    <row r="51" spans="1:13">
      <c r="A51" s="398" t="s">
        <v>254</v>
      </c>
      <c r="B51" s="402">
        <v>20908</v>
      </c>
      <c r="C51" s="402">
        <v>40063</v>
      </c>
      <c r="D51" s="402">
        <v>45269</v>
      </c>
      <c r="E51" s="402">
        <v>41632</v>
      </c>
      <c r="F51" s="402">
        <v>43427</v>
      </c>
    </row>
    <row r="52" spans="1:13">
      <c r="A52" s="398" t="s">
        <v>255</v>
      </c>
      <c r="B52" s="401">
        <v>1610</v>
      </c>
      <c r="C52" s="401">
        <f>B52</f>
        <v>1610</v>
      </c>
      <c r="D52" s="401">
        <f>C52</f>
        <v>1610</v>
      </c>
      <c r="E52" s="401">
        <f>D52</f>
        <v>1610</v>
      </c>
      <c r="F52" s="401">
        <f>E52</f>
        <v>1610</v>
      </c>
    </row>
    <row r="53" spans="1:13">
      <c r="A53" s="398" t="s">
        <v>259</v>
      </c>
      <c r="B53" s="404">
        <f>B52*B51/1000000</f>
        <v>33.661879999999996</v>
      </c>
      <c r="C53" s="404">
        <f>C52*C51/1000000</f>
        <v>64.501429999999999</v>
      </c>
      <c r="D53" s="404">
        <f>D52*D51/1000000</f>
        <v>72.883089999999996</v>
      </c>
      <c r="E53" s="404">
        <f>E52*E51/1000000</f>
        <v>67.027519999999996</v>
      </c>
      <c r="F53" s="404">
        <f>F52*F51/1000000</f>
        <v>69.917469999999994</v>
      </c>
    </row>
    <row r="54" spans="1:13">
      <c r="A54" s="396"/>
      <c r="B54" s="405"/>
      <c r="C54" s="405"/>
      <c r="D54" s="405"/>
      <c r="E54" s="405"/>
      <c r="F54" s="405"/>
      <c r="H54" s="397"/>
      <c r="I54" s="397"/>
      <c r="J54" s="397"/>
      <c r="K54" s="397"/>
      <c r="L54" s="397"/>
      <c r="M54" s="397"/>
    </row>
    <row r="55" spans="1:13" s="397" customFormat="1">
      <c r="A55" s="396" t="s">
        <v>246</v>
      </c>
      <c r="B55" s="396" t="s">
        <v>267</v>
      </c>
      <c r="H55"/>
      <c r="I55"/>
      <c r="J55"/>
      <c r="K55"/>
      <c r="L55"/>
      <c r="M55"/>
    </row>
    <row r="56" spans="1:13">
      <c r="A56" s="398" t="s">
        <v>248</v>
      </c>
      <c r="B56" s="399" t="s">
        <v>249</v>
      </c>
      <c r="C56" s="399" t="s">
        <v>250</v>
      </c>
      <c r="D56" s="399" t="s">
        <v>251</v>
      </c>
      <c r="E56" s="399" t="s">
        <v>252</v>
      </c>
      <c r="F56" s="399" t="s">
        <v>253</v>
      </c>
    </row>
    <row r="57" spans="1:13">
      <c r="A57" s="398" t="s">
        <v>254</v>
      </c>
      <c r="B57" s="401"/>
      <c r="C57" s="402">
        <v>22755</v>
      </c>
      <c r="D57" s="402">
        <v>22837</v>
      </c>
      <c r="E57" s="401"/>
      <c r="F57" s="401"/>
    </row>
    <row r="58" spans="1:13">
      <c r="A58" s="398" t="s">
        <v>255</v>
      </c>
      <c r="B58" s="401">
        <v>1390</v>
      </c>
      <c r="C58" s="401">
        <f>B58</f>
        <v>1390</v>
      </c>
      <c r="D58" s="401">
        <f>C58</f>
        <v>1390</v>
      </c>
      <c r="E58" s="401">
        <f>D58</f>
        <v>1390</v>
      </c>
      <c r="F58" s="401">
        <f>E58</f>
        <v>1390</v>
      </c>
    </row>
    <row r="59" spans="1:13">
      <c r="A59" s="398" t="s">
        <v>259</v>
      </c>
      <c r="B59" s="404">
        <f>B58*B57/1000000</f>
        <v>0</v>
      </c>
      <c r="C59" s="404">
        <f>C58*C57/1000000</f>
        <v>31.629449999999999</v>
      </c>
      <c r="D59" s="404">
        <f>D58*D57/1000000</f>
        <v>31.74343</v>
      </c>
      <c r="E59" s="404">
        <f>E58*E57/1000000</f>
        <v>0</v>
      </c>
      <c r="F59" s="404">
        <f>F58*F57/1000000</f>
        <v>0</v>
      </c>
    </row>
    <row r="60" spans="1:13">
      <c r="A60" s="396"/>
      <c r="B60" s="405"/>
      <c r="C60" s="405"/>
      <c r="D60" s="405"/>
      <c r="E60" s="405"/>
      <c r="F60" s="405"/>
      <c r="H60" s="397"/>
      <c r="I60" s="397"/>
      <c r="J60" s="397"/>
      <c r="K60" s="397"/>
      <c r="L60" s="397"/>
      <c r="M60" s="397"/>
    </row>
    <row r="61" spans="1:13" s="397" customFormat="1">
      <c r="A61" s="396" t="s">
        <v>246</v>
      </c>
      <c r="B61" s="396" t="s">
        <v>268</v>
      </c>
      <c r="H61"/>
      <c r="I61"/>
      <c r="J61"/>
      <c r="K61"/>
      <c r="L61"/>
      <c r="M61"/>
    </row>
    <row r="62" spans="1:13">
      <c r="A62" s="398" t="s">
        <v>248</v>
      </c>
      <c r="B62" s="399" t="s">
        <v>249</v>
      </c>
      <c r="C62" s="399" t="s">
        <v>250</v>
      </c>
      <c r="D62" s="399" t="s">
        <v>251</v>
      </c>
      <c r="E62" s="399" t="s">
        <v>252</v>
      </c>
      <c r="F62" s="399" t="s">
        <v>253</v>
      </c>
    </row>
    <row r="63" spans="1:13">
      <c r="A63" s="398" t="s">
        <v>254</v>
      </c>
      <c r="B63" s="402">
        <v>20122</v>
      </c>
      <c r="C63" s="401"/>
      <c r="D63" s="401"/>
      <c r="E63" s="401"/>
      <c r="F63" s="401"/>
    </row>
    <row r="64" spans="1:13">
      <c r="A64" s="398" t="s">
        <v>255</v>
      </c>
      <c r="B64" s="401">
        <v>1480</v>
      </c>
      <c r="C64" s="401">
        <f>B64</f>
        <v>1480</v>
      </c>
      <c r="D64" s="401">
        <f>C64</f>
        <v>1480</v>
      </c>
      <c r="E64" s="401">
        <f>D64</f>
        <v>1480</v>
      </c>
      <c r="F64" s="401">
        <f>E64</f>
        <v>1480</v>
      </c>
    </row>
    <row r="65" spans="1:13">
      <c r="A65" s="398" t="s">
        <v>259</v>
      </c>
      <c r="B65" s="404">
        <f>B64*B63/1000000</f>
        <v>29.780560000000001</v>
      </c>
      <c r="C65" s="404">
        <f>C64*C63/1000000</f>
        <v>0</v>
      </c>
      <c r="D65" s="404">
        <f>D64*D63/1000000</f>
        <v>0</v>
      </c>
      <c r="E65" s="404">
        <f>E64*E63/1000000</f>
        <v>0</v>
      </c>
      <c r="F65" s="404">
        <f>F64*F63/1000000</f>
        <v>0</v>
      </c>
    </row>
    <row r="66" spans="1:13">
      <c r="A66" s="396"/>
      <c r="B66" s="405"/>
      <c r="C66" s="405"/>
      <c r="D66" s="405"/>
      <c r="E66" s="405"/>
      <c r="F66" s="405"/>
      <c r="H66" s="397"/>
      <c r="I66" s="397"/>
      <c r="J66" s="397"/>
      <c r="K66" s="397"/>
      <c r="L66" s="397"/>
      <c r="M66" s="397"/>
    </row>
    <row r="67" spans="1:13" s="397" customFormat="1">
      <c r="A67" s="396" t="s">
        <v>246</v>
      </c>
      <c r="B67" s="396" t="s">
        <v>269</v>
      </c>
      <c r="H67"/>
      <c r="I67"/>
      <c r="J67"/>
      <c r="K67"/>
      <c r="L67"/>
      <c r="M67"/>
    </row>
    <row r="68" spans="1:13">
      <c r="A68" s="398" t="s">
        <v>248</v>
      </c>
      <c r="B68" s="399" t="s">
        <v>249</v>
      </c>
      <c r="C68" s="399" t="s">
        <v>250</v>
      </c>
      <c r="D68" s="399" t="s">
        <v>251</v>
      </c>
      <c r="E68" s="399" t="s">
        <v>252</v>
      </c>
      <c r="F68" s="399" t="s">
        <v>253</v>
      </c>
    </row>
    <row r="69" spans="1:13">
      <c r="A69" s="398" t="s">
        <v>254</v>
      </c>
      <c r="B69" s="402">
        <v>92857</v>
      </c>
      <c r="C69" s="402">
        <v>90847</v>
      </c>
      <c r="D69" s="402">
        <v>90600</v>
      </c>
      <c r="E69" s="402">
        <v>85132</v>
      </c>
      <c r="F69" s="402">
        <v>90143</v>
      </c>
    </row>
    <row r="70" spans="1:13">
      <c r="A70" s="398" t="s">
        <v>255</v>
      </c>
      <c r="B70" s="401">
        <v>840</v>
      </c>
      <c r="C70" s="401">
        <f>B70</f>
        <v>840</v>
      </c>
      <c r="D70" s="401">
        <f>C70</f>
        <v>840</v>
      </c>
      <c r="E70" s="401">
        <f>D70</f>
        <v>840</v>
      </c>
      <c r="F70" s="401">
        <f>E70</f>
        <v>840</v>
      </c>
    </row>
    <row r="71" spans="1:13">
      <c r="A71" s="398" t="s">
        <v>259</v>
      </c>
      <c r="B71" s="404">
        <f>B70*B69/1000000</f>
        <v>77.999880000000005</v>
      </c>
      <c r="C71" s="404">
        <f>C70*C69/1000000</f>
        <v>76.311480000000003</v>
      </c>
      <c r="D71" s="404">
        <f>D70*D69/1000000</f>
        <v>76.103999999999999</v>
      </c>
      <c r="E71" s="404">
        <f>E70*E69/1000000</f>
        <v>71.51088</v>
      </c>
      <c r="F71" s="404">
        <f>F70*F69/1000000</f>
        <v>75.720119999999994</v>
      </c>
    </row>
    <row r="72" spans="1:13">
      <c r="A72" s="396"/>
      <c r="B72" s="405"/>
      <c r="C72" s="405"/>
      <c r="D72" s="405"/>
      <c r="E72" s="405"/>
      <c r="F72" s="405"/>
      <c r="H72" s="397"/>
      <c r="I72" s="397"/>
      <c r="J72" s="397"/>
      <c r="K72" s="397"/>
      <c r="L72" s="397"/>
      <c r="M72" s="397"/>
    </row>
    <row r="73" spans="1:13" s="397" customFormat="1">
      <c r="A73" s="396" t="s">
        <v>246</v>
      </c>
      <c r="B73" s="396" t="s">
        <v>270</v>
      </c>
      <c r="H73"/>
      <c r="I73"/>
      <c r="J73"/>
      <c r="K73"/>
      <c r="L73"/>
      <c r="M73"/>
    </row>
    <row r="74" spans="1:13">
      <c r="A74" s="398" t="s">
        <v>248</v>
      </c>
      <c r="B74" s="399" t="s">
        <v>249</v>
      </c>
      <c r="C74" s="399" t="s">
        <v>250</v>
      </c>
      <c r="D74" s="399" t="s">
        <v>251</v>
      </c>
      <c r="E74" s="399" t="s">
        <v>252</v>
      </c>
      <c r="F74" s="399" t="s">
        <v>253</v>
      </c>
    </row>
    <row r="75" spans="1:13">
      <c r="A75" s="398" t="s">
        <v>254</v>
      </c>
      <c r="B75" s="402">
        <v>166711</v>
      </c>
      <c r="C75" s="402">
        <v>36624</v>
      </c>
      <c r="D75" s="401"/>
      <c r="E75" s="401"/>
      <c r="F75" s="401"/>
    </row>
    <row r="76" spans="1:13">
      <c r="A76" s="398" t="s">
        <v>255</v>
      </c>
      <c r="B76" s="401">
        <v>232</v>
      </c>
      <c r="C76" s="401">
        <f>B76</f>
        <v>232</v>
      </c>
      <c r="D76" s="401">
        <f>C76</f>
        <v>232</v>
      </c>
      <c r="E76" s="401">
        <f>D76</f>
        <v>232</v>
      </c>
      <c r="F76" s="401">
        <f>E76</f>
        <v>232</v>
      </c>
    </row>
    <row r="77" spans="1:13">
      <c r="A77" s="398" t="s">
        <v>259</v>
      </c>
      <c r="B77" s="404">
        <f>B76*B75/1000000</f>
        <v>38.676952</v>
      </c>
      <c r="C77" s="404">
        <f>C76*C75/1000000</f>
        <v>8.4967679999999994</v>
      </c>
      <c r="D77" s="404">
        <f>D76*D75/1000000</f>
        <v>0</v>
      </c>
      <c r="E77" s="404">
        <f>E76*E75/1000000</f>
        <v>0</v>
      </c>
      <c r="F77" s="404">
        <f>F76*F75/1000000</f>
        <v>0</v>
      </c>
    </row>
    <row r="78" spans="1:13">
      <c r="A78" s="396"/>
      <c r="B78" s="405"/>
      <c r="C78" s="405"/>
      <c r="D78" s="405"/>
      <c r="E78" s="405"/>
      <c r="F78" s="405"/>
      <c r="H78" s="397"/>
      <c r="I78" s="397"/>
      <c r="J78" s="397"/>
      <c r="K78" s="397"/>
      <c r="L78" s="397"/>
      <c r="M78" s="397"/>
    </row>
    <row r="79" spans="1:13" s="397" customFormat="1">
      <c r="A79" s="396" t="s">
        <v>246</v>
      </c>
      <c r="B79" s="396" t="s">
        <v>271</v>
      </c>
      <c r="H79"/>
      <c r="I79"/>
      <c r="J79"/>
      <c r="K79"/>
      <c r="L79"/>
      <c r="M79"/>
    </row>
    <row r="80" spans="1:13">
      <c r="A80" s="398" t="s">
        <v>248</v>
      </c>
      <c r="B80" s="399" t="s">
        <v>249</v>
      </c>
      <c r="C80" s="399" t="s">
        <v>250</v>
      </c>
      <c r="D80" s="399" t="s">
        <v>251</v>
      </c>
      <c r="E80" s="399" t="s">
        <v>252</v>
      </c>
      <c r="F80" s="399" t="s">
        <v>253</v>
      </c>
    </row>
    <row r="81" spans="1:13">
      <c r="A81" s="398" t="s">
        <v>254</v>
      </c>
      <c r="B81" s="402">
        <v>23890</v>
      </c>
      <c r="C81" s="402">
        <v>25272</v>
      </c>
      <c r="D81" s="402">
        <v>23605</v>
      </c>
      <c r="E81" s="401"/>
      <c r="F81" s="401"/>
    </row>
    <row r="82" spans="1:13">
      <c r="A82" s="398" t="s">
        <v>255</v>
      </c>
      <c r="B82" s="401">
        <v>1920</v>
      </c>
      <c r="C82" s="401">
        <f>B82</f>
        <v>1920</v>
      </c>
      <c r="D82" s="401">
        <f>C82</f>
        <v>1920</v>
      </c>
      <c r="E82" s="401">
        <f>D82</f>
        <v>1920</v>
      </c>
      <c r="F82" s="401">
        <f>E82</f>
        <v>1920</v>
      </c>
    </row>
    <row r="83" spans="1:13">
      <c r="A83" s="398" t="s">
        <v>259</v>
      </c>
      <c r="B83" s="404">
        <f>B82*B81/1000000</f>
        <v>45.8688</v>
      </c>
      <c r="C83" s="404">
        <f>C82*C81/1000000</f>
        <v>48.522239999999996</v>
      </c>
      <c r="D83" s="404">
        <f>D82*D81/1000000</f>
        <v>45.321599999999997</v>
      </c>
      <c r="E83" s="404">
        <f>E82*E81/1000000</f>
        <v>0</v>
      </c>
      <c r="F83" s="404">
        <f>F82*F81/1000000</f>
        <v>0</v>
      </c>
    </row>
    <row r="84" spans="1:13">
      <c r="A84" s="396"/>
      <c r="B84" s="405"/>
      <c r="C84" s="405"/>
      <c r="D84" s="405"/>
      <c r="E84" s="405"/>
      <c r="F84" s="405"/>
      <c r="H84" s="397"/>
      <c r="I84" s="397"/>
      <c r="J84" s="397"/>
      <c r="K84" s="397"/>
      <c r="L84" s="397"/>
      <c r="M84" s="397"/>
    </row>
    <row r="85" spans="1:13" s="397" customFormat="1">
      <c r="A85" s="396" t="s">
        <v>246</v>
      </c>
      <c r="B85" s="396" t="s">
        <v>272</v>
      </c>
      <c r="H85"/>
      <c r="I85"/>
      <c r="J85"/>
      <c r="K85"/>
      <c r="L85"/>
      <c r="M85"/>
    </row>
    <row r="86" spans="1:13">
      <c r="A86" s="398" t="s">
        <v>248</v>
      </c>
      <c r="B86" s="399" t="s">
        <v>249</v>
      </c>
      <c r="C86" s="399" t="s">
        <v>250</v>
      </c>
      <c r="D86" s="399" t="s">
        <v>251</v>
      </c>
      <c r="E86" s="399" t="s">
        <v>252</v>
      </c>
      <c r="F86" s="399" t="s">
        <v>253</v>
      </c>
    </row>
    <row r="87" spans="1:13">
      <c r="A87" s="398" t="s">
        <v>254</v>
      </c>
      <c r="B87" s="401"/>
      <c r="C87" s="402">
        <v>22592</v>
      </c>
      <c r="D87" s="402">
        <v>38485</v>
      </c>
      <c r="E87" s="402">
        <v>31884</v>
      </c>
      <c r="F87" s="402">
        <v>23798</v>
      </c>
    </row>
    <row r="88" spans="1:13">
      <c r="A88" s="398" t="s">
        <v>255</v>
      </c>
      <c r="B88" s="401">
        <v>2240</v>
      </c>
      <c r="C88" s="401">
        <f>B88</f>
        <v>2240</v>
      </c>
      <c r="D88" s="401">
        <f>C88</f>
        <v>2240</v>
      </c>
      <c r="E88" s="401">
        <f>D88</f>
        <v>2240</v>
      </c>
      <c r="F88" s="401">
        <f>E88</f>
        <v>2240</v>
      </c>
    </row>
    <row r="89" spans="1:13">
      <c r="A89" s="398" t="s">
        <v>259</v>
      </c>
      <c r="B89" s="404">
        <f>B88*B87/1000000</f>
        <v>0</v>
      </c>
      <c r="C89" s="404">
        <f>C88*C87/1000000</f>
        <v>50.606079999999999</v>
      </c>
      <c r="D89" s="404">
        <f>D88*D87/1000000</f>
        <v>86.206400000000002</v>
      </c>
      <c r="E89" s="404">
        <f>E88*E87/1000000</f>
        <v>71.420159999999996</v>
      </c>
      <c r="F89" s="404">
        <f>F88*F87/1000000</f>
        <v>53.307519999999997</v>
      </c>
    </row>
    <row r="90" spans="1:13">
      <c r="A90" s="396"/>
      <c r="B90" s="405"/>
      <c r="C90" s="405"/>
      <c r="D90" s="405"/>
      <c r="E90" s="405"/>
      <c r="F90" s="405"/>
      <c r="H90" s="397"/>
      <c r="I90" s="397"/>
      <c r="J90" s="397"/>
      <c r="K90" s="397"/>
      <c r="L90" s="397"/>
      <c r="M90" s="397"/>
    </row>
    <row r="91" spans="1:13" s="397" customFormat="1">
      <c r="A91" s="396" t="s">
        <v>246</v>
      </c>
      <c r="B91" s="396" t="s">
        <v>273</v>
      </c>
      <c r="H91"/>
      <c r="I91"/>
      <c r="J91"/>
      <c r="K91"/>
      <c r="L91"/>
      <c r="M91"/>
    </row>
    <row r="92" spans="1:13">
      <c r="A92" s="398" t="s">
        <v>248</v>
      </c>
      <c r="B92" s="399" t="s">
        <v>249</v>
      </c>
      <c r="C92" s="399" t="s">
        <v>250</v>
      </c>
      <c r="D92" s="399" t="s">
        <v>251</v>
      </c>
      <c r="E92" s="399" t="s">
        <v>252</v>
      </c>
      <c r="F92" s="399" t="s">
        <v>253</v>
      </c>
    </row>
    <row r="93" spans="1:13">
      <c r="A93" s="398" t="s">
        <v>254</v>
      </c>
      <c r="B93" s="402">
        <v>149768</v>
      </c>
      <c r="C93" s="402">
        <v>166262</v>
      </c>
      <c r="D93" s="402">
        <v>170807</v>
      </c>
      <c r="E93" s="402">
        <v>172338</v>
      </c>
      <c r="F93" s="402">
        <v>169153</v>
      </c>
    </row>
    <row r="94" spans="1:13">
      <c r="A94" s="398" t="s">
        <v>255</v>
      </c>
      <c r="B94" s="401">
        <v>904</v>
      </c>
      <c r="C94" s="401">
        <f>B94</f>
        <v>904</v>
      </c>
      <c r="D94" s="401">
        <f>C94</f>
        <v>904</v>
      </c>
      <c r="E94" s="401">
        <f>D94</f>
        <v>904</v>
      </c>
      <c r="F94" s="401">
        <f>E94</f>
        <v>904</v>
      </c>
    </row>
    <row r="95" spans="1:13">
      <c r="A95" s="398" t="s">
        <v>259</v>
      </c>
      <c r="B95" s="404">
        <f>B94*B93/1000000</f>
        <v>135.39027200000001</v>
      </c>
      <c r="C95" s="404">
        <f>C94*C93/1000000</f>
        <v>150.300848</v>
      </c>
      <c r="D95" s="404">
        <f>D94*D93/1000000</f>
        <v>154.40952799999999</v>
      </c>
      <c r="E95" s="404">
        <f>E94*E93/1000000</f>
        <v>155.79355200000001</v>
      </c>
      <c r="F95" s="404">
        <f>F94*F93/1000000</f>
        <v>152.914312</v>
      </c>
    </row>
    <row r="96" spans="1:13">
      <c r="A96" s="396"/>
      <c r="B96" s="405"/>
      <c r="C96" s="405"/>
      <c r="D96" s="405"/>
      <c r="E96" s="405"/>
      <c r="F96" s="405"/>
      <c r="H96" s="397"/>
      <c r="I96" s="397"/>
      <c r="J96" s="397"/>
      <c r="K96" s="397"/>
      <c r="L96" s="397"/>
      <c r="M96" s="397"/>
    </row>
    <row r="97" spans="1:13" s="397" customFormat="1">
      <c r="A97" s="396" t="s">
        <v>246</v>
      </c>
      <c r="B97" s="396" t="s">
        <v>274</v>
      </c>
      <c r="H97"/>
      <c r="I97"/>
      <c r="J97"/>
      <c r="K97"/>
      <c r="L97"/>
      <c r="M97"/>
    </row>
    <row r="98" spans="1:13">
      <c r="A98" s="398" t="s">
        <v>248</v>
      </c>
      <c r="B98" s="399" t="s">
        <v>249</v>
      </c>
      <c r="C98" s="399" t="s">
        <v>250</v>
      </c>
      <c r="D98" s="399" t="s">
        <v>251</v>
      </c>
      <c r="E98" s="399" t="s">
        <v>252</v>
      </c>
      <c r="F98" s="399" t="s">
        <v>253</v>
      </c>
    </row>
    <row r="99" spans="1:13">
      <c r="A99" s="398" t="s">
        <v>254</v>
      </c>
      <c r="B99" s="402">
        <v>39963</v>
      </c>
      <c r="C99" s="402">
        <v>38482</v>
      </c>
      <c r="D99" s="402">
        <v>31814</v>
      </c>
      <c r="E99" s="402">
        <v>37007</v>
      </c>
      <c r="F99" s="402">
        <v>28611</v>
      </c>
    </row>
    <row r="100" spans="1:13">
      <c r="A100" s="398" t="s">
        <v>255</v>
      </c>
      <c r="B100" s="401">
        <v>1820</v>
      </c>
      <c r="C100" s="401">
        <f>B100</f>
        <v>1820</v>
      </c>
      <c r="D100" s="401">
        <f>C100</f>
        <v>1820</v>
      </c>
      <c r="E100" s="401">
        <f>D100</f>
        <v>1820</v>
      </c>
      <c r="F100" s="401">
        <f>E100</f>
        <v>1820</v>
      </c>
    </row>
    <row r="101" spans="1:13">
      <c r="A101" s="398" t="s">
        <v>259</v>
      </c>
      <c r="B101" s="404">
        <f>B100*B99/1000000</f>
        <v>72.732659999999996</v>
      </c>
      <c r="C101" s="404">
        <f>C100*C99/1000000</f>
        <v>70.037239999999997</v>
      </c>
      <c r="D101" s="404">
        <f>D100*D99/1000000</f>
        <v>57.901479999999999</v>
      </c>
      <c r="E101" s="404">
        <f>E100*E99/1000000</f>
        <v>67.352739999999997</v>
      </c>
      <c r="F101" s="404">
        <f>F100*F99/1000000</f>
        <v>52.072020000000002</v>
      </c>
    </row>
    <row r="102" spans="1:13">
      <c r="A102" s="396"/>
      <c r="B102" s="405"/>
      <c r="C102" s="405"/>
      <c r="D102" s="405"/>
      <c r="E102" s="405"/>
      <c r="F102" s="405"/>
      <c r="H102" s="397"/>
      <c r="I102" s="397"/>
      <c r="J102" s="397"/>
      <c r="K102" s="397"/>
      <c r="L102" s="397"/>
      <c r="M102" s="397"/>
    </row>
    <row r="103" spans="1:13" s="397" customFormat="1">
      <c r="A103" s="396" t="s">
        <v>246</v>
      </c>
      <c r="B103" s="396" t="s">
        <v>275</v>
      </c>
      <c r="H103"/>
      <c r="I103"/>
      <c r="J103"/>
      <c r="K103"/>
      <c r="L103"/>
      <c r="M103"/>
    </row>
    <row r="104" spans="1:13">
      <c r="A104" s="398" t="s">
        <v>248</v>
      </c>
      <c r="B104" s="399" t="s">
        <v>249</v>
      </c>
      <c r="C104" s="399" t="s">
        <v>250</v>
      </c>
      <c r="D104" s="399" t="s">
        <v>251</v>
      </c>
      <c r="E104" s="399" t="s">
        <v>252</v>
      </c>
      <c r="F104" s="399" t="s">
        <v>253</v>
      </c>
    </row>
    <row r="105" spans="1:13">
      <c r="A105" s="398" t="s">
        <v>254</v>
      </c>
      <c r="B105" s="401"/>
      <c r="C105" s="401"/>
      <c r="D105" s="401"/>
      <c r="E105" s="402">
        <v>47874</v>
      </c>
      <c r="F105" s="401"/>
    </row>
    <row r="106" spans="1:13">
      <c r="A106" s="398" t="s">
        <v>255</v>
      </c>
      <c r="B106" s="401">
        <v>1980</v>
      </c>
      <c r="C106" s="401">
        <f>B106</f>
        <v>1980</v>
      </c>
      <c r="D106" s="401">
        <f>C106</f>
        <v>1980</v>
      </c>
      <c r="E106" s="401">
        <f>D106</f>
        <v>1980</v>
      </c>
      <c r="F106" s="401">
        <f>E106</f>
        <v>1980</v>
      </c>
    </row>
    <row r="107" spans="1:13">
      <c r="A107" s="398" t="s">
        <v>259</v>
      </c>
      <c r="B107" s="404">
        <f>B106*B105/1000000</f>
        <v>0</v>
      </c>
      <c r="C107" s="404">
        <f>C106*C105/1000000</f>
        <v>0</v>
      </c>
      <c r="D107" s="404">
        <f>D106*D105/1000000</f>
        <v>0</v>
      </c>
      <c r="E107" s="404">
        <f>E106*E105/1000000</f>
        <v>94.790520000000001</v>
      </c>
      <c r="F107" s="404">
        <f>F106*F105/1000000</f>
        <v>0</v>
      </c>
    </row>
    <row r="108" spans="1:13">
      <c r="A108" s="396"/>
      <c r="B108" s="405"/>
      <c r="C108" s="405"/>
      <c r="D108" s="405"/>
      <c r="E108" s="405"/>
      <c r="F108" s="405"/>
      <c r="H108" s="397"/>
      <c r="I108" s="397"/>
      <c r="J108" s="397"/>
      <c r="K108" s="397"/>
      <c r="L108" s="397"/>
      <c r="M108" s="397"/>
    </row>
    <row r="109" spans="1:13" s="397" customFormat="1">
      <c r="A109" s="396" t="s">
        <v>246</v>
      </c>
      <c r="B109" s="396" t="s">
        <v>276</v>
      </c>
      <c r="H109"/>
      <c r="I109"/>
      <c r="J109"/>
      <c r="K109"/>
      <c r="L109"/>
      <c r="M109"/>
    </row>
    <row r="110" spans="1:13">
      <c r="A110" s="398" t="s">
        <v>248</v>
      </c>
      <c r="B110" s="399" t="s">
        <v>249</v>
      </c>
      <c r="C110" s="399" t="s">
        <v>250</v>
      </c>
      <c r="D110" s="399" t="s">
        <v>251</v>
      </c>
      <c r="E110" s="399" t="s">
        <v>252</v>
      </c>
      <c r="F110" s="399" t="s">
        <v>253</v>
      </c>
    </row>
    <row r="111" spans="1:13">
      <c r="A111" s="398" t="s">
        <v>254</v>
      </c>
      <c r="B111" s="402">
        <v>57383</v>
      </c>
      <c r="C111" s="402">
        <v>63422</v>
      </c>
      <c r="D111" s="402">
        <v>49598</v>
      </c>
      <c r="E111" s="401"/>
      <c r="F111" s="401"/>
    </row>
    <row r="112" spans="1:13">
      <c r="A112" s="398" t="s">
        <v>255</v>
      </c>
      <c r="B112" s="401">
        <v>1920</v>
      </c>
      <c r="C112" s="401">
        <f>B112</f>
        <v>1920</v>
      </c>
      <c r="D112" s="401">
        <f>C112</f>
        <v>1920</v>
      </c>
      <c r="E112" s="401">
        <f>D112</f>
        <v>1920</v>
      </c>
      <c r="F112" s="401">
        <f>E112</f>
        <v>1920</v>
      </c>
    </row>
    <row r="113" spans="1:13">
      <c r="A113" s="398" t="s">
        <v>259</v>
      </c>
      <c r="B113" s="404">
        <f>B112*B111/1000000</f>
        <v>110.17536</v>
      </c>
      <c r="C113" s="404">
        <f>C112*C111/1000000</f>
        <v>121.77024</v>
      </c>
      <c r="D113" s="404">
        <f>D112*D111/1000000</f>
        <v>95.228160000000003</v>
      </c>
      <c r="E113" s="404">
        <f>E112*E111/1000000</f>
        <v>0</v>
      </c>
      <c r="F113" s="404">
        <f>F112*F111/1000000</f>
        <v>0</v>
      </c>
    </row>
    <row r="114" spans="1:13">
      <c r="A114" s="396"/>
      <c r="B114" s="405"/>
      <c r="C114" s="405"/>
      <c r="D114" s="405"/>
      <c r="E114" s="405"/>
      <c r="F114" s="405"/>
      <c r="H114" s="397"/>
      <c r="I114" s="397"/>
      <c r="J114" s="397"/>
      <c r="K114" s="397"/>
      <c r="L114" s="397"/>
      <c r="M114" s="397"/>
    </row>
    <row r="115" spans="1:13" s="397" customFormat="1">
      <c r="A115" s="396" t="s">
        <v>246</v>
      </c>
      <c r="B115" s="396" t="s">
        <v>277</v>
      </c>
      <c r="H115"/>
      <c r="I115"/>
      <c r="J115"/>
      <c r="K115"/>
      <c r="L115"/>
      <c r="M115"/>
    </row>
    <row r="116" spans="1:13">
      <c r="A116" s="398" t="s">
        <v>248</v>
      </c>
      <c r="B116" s="399" t="s">
        <v>249</v>
      </c>
      <c r="C116" s="399" t="s">
        <v>250</v>
      </c>
      <c r="D116" s="399" t="s">
        <v>251</v>
      </c>
      <c r="E116" s="399" t="s">
        <v>252</v>
      </c>
      <c r="F116" s="399" t="s">
        <v>253</v>
      </c>
    </row>
    <row r="117" spans="1:13">
      <c r="A117" s="398" t="s">
        <v>254</v>
      </c>
      <c r="B117" s="402">
        <v>30794</v>
      </c>
      <c r="C117" s="402">
        <v>29065</v>
      </c>
      <c r="D117" s="402">
        <v>26620</v>
      </c>
      <c r="E117" s="401"/>
      <c r="F117" s="401"/>
    </row>
    <row r="118" spans="1:13">
      <c r="A118" s="398" t="s">
        <v>255</v>
      </c>
      <c r="B118" s="401">
        <v>1720</v>
      </c>
      <c r="C118" s="401">
        <f>B118</f>
        <v>1720</v>
      </c>
      <c r="D118" s="401">
        <f>C118</f>
        <v>1720</v>
      </c>
      <c r="E118" s="401">
        <f>D118</f>
        <v>1720</v>
      </c>
      <c r="F118" s="401">
        <f>E118</f>
        <v>1720</v>
      </c>
    </row>
    <row r="119" spans="1:13">
      <c r="A119" s="398" t="s">
        <v>259</v>
      </c>
      <c r="B119" s="404">
        <f>B118*B117/1000000</f>
        <v>52.965679999999999</v>
      </c>
      <c r="C119" s="404">
        <f>C118*C117/1000000</f>
        <v>49.991799999999998</v>
      </c>
      <c r="D119" s="404">
        <f>D118*D117/1000000</f>
        <v>45.7864</v>
      </c>
      <c r="E119" s="404">
        <f>E118*E117/1000000</f>
        <v>0</v>
      </c>
      <c r="F119" s="404">
        <f>F118*F117/1000000</f>
        <v>0</v>
      </c>
    </row>
    <row r="120" spans="1:13">
      <c r="A120" s="396"/>
      <c r="B120" s="405"/>
      <c r="C120" s="405"/>
      <c r="D120" s="405"/>
      <c r="E120" s="405"/>
      <c r="F120" s="405"/>
      <c r="H120" s="397"/>
      <c r="I120" s="397"/>
      <c r="J120" s="397"/>
      <c r="K120" s="397"/>
      <c r="L120" s="397"/>
      <c r="M120" s="397"/>
    </row>
    <row r="121" spans="1:13" s="397" customFormat="1">
      <c r="A121" s="396" t="s">
        <v>246</v>
      </c>
      <c r="B121" s="396" t="s">
        <v>278</v>
      </c>
      <c r="H121"/>
      <c r="I121"/>
      <c r="J121"/>
      <c r="K121"/>
      <c r="L121"/>
      <c r="M121"/>
    </row>
    <row r="122" spans="1:13">
      <c r="A122" s="398" t="s">
        <v>248</v>
      </c>
      <c r="B122" s="399" t="s">
        <v>249</v>
      </c>
      <c r="C122" s="399" t="s">
        <v>250</v>
      </c>
      <c r="D122" s="399" t="s">
        <v>251</v>
      </c>
      <c r="E122" s="399" t="s">
        <v>252</v>
      </c>
      <c r="F122" s="399" t="s">
        <v>253</v>
      </c>
    </row>
    <row r="123" spans="1:13">
      <c r="A123" s="398" t="s">
        <v>254</v>
      </c>
      <c r="B123" s="402">
        <v>23364</v>
      </c>
      <c r="C123" s="402">
        <v>22962</v>
      </c>
      <c r="D123" s="401"/>
      <c r="E123" s="402">
        <v>32417</v>
      </c>
      <c r="F123" s="401"/>
    </row>
    <row r="124" spans="1:13">
      <c r="A124" s="398" t="s">
        <v>255</v>
      </c>
      <c r="B124" s="401">
        <v>2000</v>
      </c>
      <c r="C124" s="401">
        <f>B124</f>
        <v>2000</v>
      </c>
      <c r="D124" s="401">
        <f>C124</f>
        <v>2000</v>
      </c>
      <c r="E124" s="401">
        <f>D124</f>
        <v>2000</v>
      </c>
      <c r="F124" s="401">
        <f>E124</f>
        <v>2000</v>
      </c>
    </row>
    <row r="125" spans="1:13">
      <c r="A125" s="398" t="s">
        <v>259</v>
      </c>
      <c r="B125" s="404">
        <f>B124*B123/1000000</f>
        <v>46.728000000000002</v>
      </c>
      <c r="C125" s="404">
        <f>C124*C123/1000000</f>
        <v>45.923999999999999</v>
      </c>
      <c r="D125" s="404">
        <f>D124*D123/1000000</f>
        <v>0</v>
      </c>
      <c r="E125" s="404">
        <f>E124*E123/1000000</f>
        <v>64.834000000000003</v>
      </c>
      <c r="F125" s="404">
        <f>F124*F123/1000000</f>
        <v>0</v>
      </c>
    </row>
    <row r="126" spans="1:13">
      <c r="A126" s="396"/>
      <c r="B126" s="405"/>
      <c r="C126" s="405"/>
      <c r="D126" s="405"/>
      <c r="E126" s="405"/>
      <c r="F126" s="405"/>
      <c r="H126" s="397"/>
      <c r="I126" s="397"/>
      <c r="J126" s="397"/>
      <c r="K126" s="397"/>
      <c r="L126" s="397"/>
      <c r="M126" s="397"/>
    </row>
    <row r="127" spans="1:13" s="397" customFormat="1">
      <c r="A127" s="396" t="s">
        <v>246</v>
      </c>
      <c r="B127" s="396" t="s">
        <v>279</v>
      </c>
      <c r="H127"/>
      <c r="I127"/>
      <c r="J127"/>
      <c r="K127"/>
      <c r="L127"/>
      <c r="M127"/>
    </row>
    <row r="128" spans="1:13">
      <c r="A128" s="398" t="s">
        <v>248</v>
      </c>
      <c r="B128" s="399" t="s">
        <v>249</v>
      </c>
      <c r="C128" s="399" t="s">
        <v>250</v>
      </c>
      <c r="D128" s="399" t="s">
        <v>251</v>
      </c>
      <c r="E128" s="399" t="s">
        <v>252</v>
      </c>
      <c r="F128" s="399" t="s">
        <v>253</v>
      </c>
    </row>
    <row r="129" spans="1:13">
      <c r="A129" s="398" t="s">
        <v>254</v>
      </c>
      <c r="B129" s="402">
        <v>24191</v>
      </c>
      <c r="C129" s="402">
        <v>29664</v>
      </c>
      <c r="D129" s="402">
        <v>30291</v>
      </c>
      <c r="E129" s="402">
        <v>33384</v>
      </c>
      <c r="F129" s="402">
        <v>38484</v>
      </c>
    </row>
    <row r="130" spans="1:13">
      <c r="A130" s="398" t="s">
        <v>255</v>
      </c>
      <c r="B130" s="401">
        <v>1750</v>
      </c>
      <c r="C130" s="401">
        <f>B130</f>
        <v>1750</v>
      </c>
      <c r="D130" s="401">
        <f>C130</f>
        <v>1750</v>
      </c>
      <c r="E130" s="401">
        <f>D130</f>
        <v>1750</v>
      </c>
      <c r="F130" s="401">
        <f>E130</f>
        <v>1750</v>
      </c>
    </row>
    <row r="131" spans="1:13">
      <c r="A131" s="398" t="s">
        <v>259</v>
      </c>
      <c r="B131" s="404">
        <f>B130*B129/1000000</f>
        <v>42.334249999999997</v>
      </c>
      <c r="C131" s="404">
        <f>C130*C129/1000000</f>
        <v>51.911999999999999</v>
      </c>
      <c r="D131" s="404">
        <f>D130*D129/1000000</f>
        <v>53.009250000000002</v>
      </c>
      <c r="E131" s="404">
        <f>E130*E129/1000000</f>
        <v>58.421999999999997</v>
      </c>
      <c r="F131" s="404">
        <f>F130*F129/1000000</f>
        <v>67.346999999999994</v>
      </c>
    </row>
    <row r="132" spans="1:13">
      <c r="A132" s="396"/>
      <c r="B132" s="405"/>
      <c r="C132" s="405"/>
      <c r="D132" s="405"/>
      <c r="E132" s="405"/>
      <c r="F132" s="405"/>
      <c r="H132" s="397"/>
      <c r="I132" s="397"/>
      <c r="J132" s="397"/>
      <c r="K132" s="397"/>
      <c r="L132" s="397"/>
      <c r="M132" s="397"/>
    </row>
    <row r="133" spans="1:13" s="397" customFormat="1">
      <c r="A133" s="396" t="s">
        <v>246</v>
      </c>
      <c r="B133" s="396" t="s">
        <v>280</v>
      </c>
      <c r="H133"/>
      <c r="I133"/>
      <c r="J133"/>
      <c r="K133"/>
      <c r="L133"/>
      <c r="M133"/>
    </row>
    <row r="134" spans="1:13">
      <c r="A134" s="398" t="s">
        <v>248</v>
      </c>
      <c r="B134" s="399" t="s">
        <v>249</v>
      </c>
      <c r="C134" s="399" t="s">
        <v>250</v>
      </c>
      <c r="D134" s="399" t="s">
        <v>251</v>
      </c>
      <c r="E134" s="399" t="s">
        <v>252</v>
      </c>
      <c r="F134" s="399" t="s">
        <v>253</v>
      </c>
    </row>
    <row r="135" spans="1:13">
      <c r="A135" s="398" t="s">
        <v>254</v>
      </c>
      <c r="B135" s="402">
        <v>64041</v>
      </c>
      <c r="C135" s="402">
        <v>81198</v>
      </c>
      <c r="D135" s="402">
        <v>72886</v>
      </c>
      <c r="E135" s="402">
        <v>81279</v>
      </c>
      <c r="F135" s="402">
        <v>86978</v>
      </c>
    </row>
    <row r="136" spans="1:13">
      <c r="A136" s="398" t="s">
        <v>255</v>
      </c>
      <c r="B136" s="401">
        <v>1640</v>
      </c>
      <c r="C136" s="401">
        <f>B136</f>
        <v>1640</v>
      </c>
      <c r="D136" s="401">
        <f>C136</f>
        <v>1640</v>
      </c>
      <c r="E136" s="401">
        <f>D136</f>
        <v>1640</v>
      </c>
      <c r="F136" s="401">
        <f>E136</f>
        <v>1640</v>
      </c>
    </row>
    <row r="137" spans="1:13">
      <c r="A137" s="398" t="s">
        <v>259</v>
      </c>
      <c r="B137" s="404">
        <f>B136*B135/1000000</f>
        <v>105.02724000000001</v>
      </c>
      <c r="C137" s="404">
        <f>C136*C135/1000000</f>
        <v>133.16471999999999</v>
      </c>
      <c r="D137" s="404">
        <f>D136*D135/1000000</f>
        <v>119.53304</v>
      </c>
      <c r="E137" s="404">
        <f>E136*E135/1000000</f>
        <v>133.29756</v>
      </c>
      <c r="F137" s="404">
        <f>F136*F135/1000000</f>
        <v>142.64392000000001</v>
      </c>
    </row>
    <row r="138" spans="1:13">
      <c r="A138" s="396"/>
      <c r="B138" s="405"/>
      <c r="C138" s="405"/>
      <c r="D138" s="405"/>
      <c r="E138" s="405"/>
      <c r="F138" s="405"/>
      <c r="H138" s="397"/>
      <c r="I138" s="397"/>
      <c r="J138" s="397"/>
      <c r="K138" s="397"/>
      <c r="L138" s="397"/>
      <c r="M138" s="397"/>
    </row>
    <row r="139" spans="1:13" s="397" customFormat="1">
      <c r="A139" s="396" t="s">
        <v>246</v>
      </c>
      <c r="B139" s="396" t="s">
        <v>281</v>
      </c>
      <c r="H139"/>
      <c r="I139"/>
      <c r="J139"/>
      <c r="K139"/>
      <c r="L139"/>
      <c r="M139"/>
    </row>
    <row r="140" spans="1:13">
      <c r="A140" s="398" t="s">
        <v>248</v>
      </c>
      <c r="B140" s="399" t="s">
        <v>249</v>
      </c>
      <c r="C140" s="399" t="s">
        <v>250</v>
      </c>
      <c r="D140" s="399" t="s">
        <v>251</v>
      </c>
      <c r="E140" s="399" t="s">
        <v>252</v>
      </c>
      <c r="F140" s="399" t="s">
        <v>253</v>
      </c>
    </row>
    <row r="141" spans="1:13">
      <c r="A141" s="398" t="s">
        <v>254</v>
      </c>
      <c r="B141" s="402">
        <v>82166</v>
      </c>
      <c r="C141" s="402">
        <v>75565</v>
      </c>
      <c r="D141" s="402">
        <v>80323</v>
      </c>
      <c r="E141" s="402">
        <v>75555</v>
      </c>
      <c r="F141" s="402">
        <v>73686</v>
      </c>
    </row>
    <row r="142" spans="1:13">
      <c r="A142" s="398" t="s">
        <v>255</v>
      </c>
      <c r="B142" s="401">
        <v>465</v>
      </c>
      <c r="C142" s="401">
        <f>B142</f>
        <v>465</v>
      </c>
      <c r="D142" s="401">
        <f>C142</f>
        <v>465</v>
      </c>
      <c r="E142" s="401">
        <f>D142</f>
        <v>465</v>
      </c>
      <c r="F142" s="401">
        <f>E142</f>
        <v>465</v>
      </c>
    </row>
    <row r="143" spans="1:13">
      <c r="A143" s="398" t="s">
        <v>259</v>
      </c>
      <c r="B143" s="404">
        <f>B142*B141/1000000</f>
        <v>38.207189999999997</v>
      </c>
      <c r="C143" s="404">
        <f>C142*C141/1000000</f>
        <v>35.137725000000003</v>
      </c>
      <c r="D143" s="404">
        <f>D142*D141/1000000</f>
        <v>37.350194999999999</v>
      </c>
      <c r="E143" s="404">
        <f>E142*E141/1000000</f>
        <v>35.133074999999998</v>
      </c>
      <c r="F143" s="404">
        <f>F142*F141/1000000</f>
        <v>34.26399</v>
      </c>
    </row>
    <row r="144" spans="1:13">
      <c r="A144" s="396"/>
      <c r="B144" s="405"/>
      <c r="C144" s="405"/>
      <c r="D144" s="405"/>
      <c r="E144" s="405"/>
      <c r="F144" s="405"/>
      <c r="H144" s="397"/>
      <c r="I144" s="397"/>
      <c r="J144" s="397"/>
      <c r="K144" s="397"/>
      <c r="L144" s="397"/>
      <c r="M144" s="397"/>
    </row>
    <row r="145" spans="1:13" s="397" customFormat="1">
      <c r="A145" s="396" t="s">
        <v>246</v>
      </c>
      <c r="B145" s="396" t="s">
        <v>282</v>
      </c>
      <c r="H145"/>
      <c r="I145"/>
      <c r="J145"/>
      <c r="K145"/>
      <c r="L145"/>
      <c r="M145"/>
    </row>
    <row r="146" spans="1:13">
      <c r="A146" s="398" t="s">
        <v>248</v>
      </c>
      <c r="B146" s="399" t="s">
        <v>249</v>
      </c>
      <c r="C146" s="399" t="s">
        <v>250</v>
      </c>
      <c r="D146" s="399" t="s">
        <v>251</v>
      </c>
      <c r="E146" s="399" t="s">
        <v>252</v>
      </c>
      <c r="F146" s="399" t="s">
        <v>253</v>
      </c>
    </row>
    <row r="147" spans="1:13">
      <c r="A147" s="398" t="s">
        <v>254</v>
      </c>
      <c r="B147" s="402">
        <v>79927</v>
      </c>
      <c r="C147" s="402">
        <v>70803</v>
      </c>
      <c r="D147" s="402">
        <v>79283</v>
      </c>
      <c r="E147" s="402">
        <v>76284</v>
      </c>
      <c r="F147" s="402">
        <v>85852</v>
      </c>
    </row>
    <row r="148" spans="1:13">
      <c r="A148" s="398" t="s">
        <v>255</v>
      </c>
      <c r="B148" s="401">
        <v>452</v>
      </c>
      <c r="C148" s="401">
        <f>B148</f>
        <v>452</v>
      </c>
      <c r="D148" s="401">
        <f>C148</f>
        <v>452</v>
      </c>
      <c r="E148" s="401">
        <f>D148</f>
        <v>452</v>
      </c>
      <c r="F148" s="401">
        <f>E148</f>
        <v>452</v>
      </c>
    </row>
    <row r="149" spans="1:13">
      <c r="A149" s="398" t="s">
        <v>259</v>
      </c>
      <c r="B149" s="404">
        <f>B148*B147/1000000</f>
        <v>36.127003999999999</v>
      </c>
      <c r="C149" s="404">
        <f>C148*C147/1000000</f>
        <v>32.002955999999998</v>
      </c>
      <c r="D149" s="404">
        <f>D148*D147/1000000</f>
        <v>35.835915999999997</v>
      </c>
      <c r="E149" s="404">
        <f>E148*E147/1000000</f>
        <v>34.480367999999999</v>
      </c>
      <c r="F149" s="404">
        <f>F148*F147/1000000</f>
        <v>38.805104</v>
      </c>
    </row>
    <row r="150" spans="1:13">
      <c r="A150" s="396"/>
      <c r="B150" s="405"/>
      <c r="C150" s="405"/>
      <c r="D150" s="405"/>
      <c r="E150" s="405"/>
      <c r="F150" s="405"/>
      <c r="H150" s="397"/>
      <c r="I150" s="397"/>
      <c r="J150" s="397"/>
      <c r="K150" s="397"/>
      <c r="L150" s="397"/>
      <c r="M150" s="397"/>
    </row>
    <row r="151" spans="1:13" s="397" customFormat="1">
      <c r="A151" s="396" t="s">
        <v>246</v>
      </c>
      <c r="B151" s="396" t="s">
        <v>283</v>
      </c>
      <c r="H151"/>
      <c r="I151"/>
      <c r="J151"/>
      <c r="K151"/>
      <c r="L151"/>
      <c r="M151"/>
    </row>
    <row r="152" spans="1:13">
      <c r="A152" s="398" t="s">
        <v>248</v>
      </c>
      <c r="B152" s="399" t="s">
        <v>249</v>
      </c>
      <c r="C152" s="399" t="s">
        <v>250</v>
      </c>
      <c r="D152" s="399" t="s">
        <v>251</v>
      </c>
      <c r="E152" s="399" t="s">
        <v>252</v>
      </c>
      <c r="F152" s="399" t="s">
        <v>253</v>
      </c>
    </row>
    <row r="153" spans="1:13">
      <c r="A153" s="398" t="s">
        <v>254</v>
      </c>
      <c r="B153" s="402">
        <v>30385</v>
      </c>
      <c r="C153" s="402">
        <v>37617</v>
      </c>
      <c r="D153" s="402">
        <v>39520</v>
      </c>
      <c r="E153" s="402">
        <v>40771</v>
      </c>
      <c r="F153" s="402">
        <v>41747</v>
      </c>
    </row>
    <row r="154" spans="1:13">
      <c r="A154" s="398" t="s">
        <v>255</v>
      </c>
      <c r="B154" s="401">
        <v>402</v>
      </c>
      <c r="C154" s="401">
        <f>B154</f>
        <v>402</v>
      </c>
      <c r="D154" s="401">
        <f>C154</f>
        <v>402</v>
      </c>
      <c r="E154" s="401">
        <f>D154</f>
        <v>402</v>
      </c>
      <c r="F154" s="401">
        <f>E154</f>
        <v>402</v>
      </c>
    </row>
    <row r="155" spans="1:13">
      <c r="A155" s="398" t="s">
        <v>259</v>
      </c>
      <c r="B155" s="404">
        <f>B154*B153/1000000</f>
        <v>12.21477</v>
      </c>
      <c r="C155" s="404">
        <f>C154*C153/1000000</f>
        <v>15.122033999999999</v>
      </c>
      <c r="D155" s="404">
        <f>D154*D153/1000000</f>
        <v>15.887040000000001</v>
      </c>
      <c r="E155" s="404">
        <f>E154*E153/1000000</f>
        <v>16.389942000000001</v>
      </c>
      <c r="F155" s="404">
        <f>F154*F153/1000000</f>
        <v>16.782294</v>
      </c>
    </row>
    <row r="156" spans="1:13">
      <c r="A156" s="396"/>
      <c r="B156" s="405"/>
      <c r="C156" s="405"/>
      <c r="D156" s="405"/>
      <c r="E156" s="405"/>
      <c r="F156" s="405"/>
      <c r="H156" s="397"/>
      <c r="I156" s="397"/>
      <c r="J156" s="397"/>
      <c r="K156" s="397"/>
      <c r="L156" s="397"/>
      <c r="M156" s="397"/>
    </row>
    <row r="157" spans="1:13" s="397" customFormat="1">
      <c r="A157" s="396" t="s">
        <v>246</v>
      </c>
      <c r="B157" s="396" t="s">
        <v>284</v>
      </c>
      <c r="H157"/>
      <c r="I157"/>
      <c r="J157"/>
      <c r="K157"/>
      <c r="L157"/>
      <c r="M157"/>
    </row>
    <row r="158" spans="1:13">
      <c r="A158" s="398" t="s">
        <v>248</v>
      </c>
      <c r="B158" s="399" t="s">
        <v>249</v>
      </c>
      <c r="C158" s="399" t="s">
        <v>250</v>
      </c>
      <c r="D158" s="399" t="s">
        <v>251</v>
      </c>
      <c r="E158" s="399" t="s">
        <v>252</v>
      </c>
      <c r="F158" s="399" t="s">
        <v>253</v>
      </c>
    </row>
    <row r="159" spans="1:13">
      <c r="A159" s="398" t="s">
        <v>254</v>
      </c>
      <c r="B159" s="402">
        <v>96676</v>
      </c>
      <c r="C159" s="402">
        <v>104769</v>
      </c>
      <c r="D159" s="402">
        <v>68988</v>
      </c>
      <c r="E159" s="402">
        <v>74889</v>
      </c>
      <c r="F159" s="402">
        <v>79842</v>
      </c>
    </row>
    <row r="160" spans="1:13">
      <c r="A160" s="398" t="s">
        <v>255</v>
      </c>
      <c r="B160" s="401">
        <v>414</v>
      </c>
      <c r="C160" s="401">
        <f>B160</f>
        <v>414</v>
      </c>
      <c r="D160" s="401">
        <f>C160</f>
        <v>414</v>
      </c>
      <c r="E160" s="401">
        <f>D160</f>
        <v>414</v>
      </c>
      <c r="F160" s="401">
        <f>E160</f>
        <v>414</v>
      </c>
    </row>
    <row r="161" spans="1:13">
      <c r="A161" s="398" t="s">
        <v>259</v>
      </c>
      <c r="B161" s="404">
        <f>B160*B159/1000000</f>
        <v>40.023864000000003</v>
      </c>
      <c r="C161" s="404">
        <f>C160*C159/1000000</f>
        <v>43.374366000000002</v>
      </c>
      <c r="D161" s="404">
        <f>D160*D159/1000000</f>
        <v>28.561032000000001</v>
      </c>
      <c r="E161" s="404">
        <f>E160*E159/1000000</f>
        <v>31.004045999999999</v>
      </c>
      <c r="F161" s="404">
        <f>F160*F159/1000000</f>
        <v>33.054588000000003</v>
      </c>
    </row>
    <row r="162" spans="1:13">
      <c r="A162" s="396"/>
      <c r="B162" s="405"/>
      <c r="C162" s="405"/>
      <c r="D162" s="405"/>
      <c r="E162" s="405"/>
      <c r="F162" s="405"/>
      <c r="H162" s="397"/>
      <c r="I162" s="397"/>
      <c r="J162" s="397"/>
      <c r="K162" s="397"/>
      <c r="L162" s="397"/>
      <c r="M162" s="397"/>
    </row>
    <row r="163" spans="1:13" s="397" customFormat="1">
      <c r="A163" s="396" t="s">
        <v>246</v>
      </c>
      <c r="B163" s="396" t="s">
        <v>285</v>
      </c>
      <c r="H163"/>
      <c r="I163"/>
      <c r="J163"/>
      <c r="K163"/>
      <c r="L163"/>
      <c r="M163"/>
    </row>
    <row r="164" spans="1:13">
      <c r="A164" s="398" t="s">
        <v>248</v>
      </c>
      <c r="B164" s="399" t="s">
        <v>249</v>
      </c>
      <c r="C164" s="399" t="s">
        <v>250</v>
      </c>
      <c r="D164" s="399" t="s">
        <v>251</v>
      </c>
      <c r="E164" s="399" t="s">
        <v>252</v>
      </c>
      <c r="F164" s="399" t="s">
        <v>253</v>
      </c>
    </row>
    <row r="165" spans="1:13">
      <c r="A165" s="398" t="s">
        <v>254</v>
      </c>
      <c r="B165" s="402">
        <v>188174</v>
      </c>
      <c r="C165" s="402">
        <v>181173</v>
      </c>
      <c r="D165" s="402">
        <v>166147</v>
      </c>
      <c r="E165" s="402">
        <v>118018</v>
      </c>
      <c r="F165" s="402">
        <v>119504</v>
      </c>
    </row>
    <row r="166" spans="1:13">
      <c r="A166" s="398" t="s">
        <v>255</v>
      </c>
      <c r="B166" s="401">
        <v>579</v>
      </c>
      <c r="C166" s="401">
        <f>B166</f>
        <v>579</v>
      </c>
      <c r="D166" s="401">
        <f>C166</f>
        <v>579</v>
      </c>
      <c r="E166" s="401">
        <f>D166</f>
        <v>579</v>
      </c>
      <c r="F166" s="401">
        <f>E166</f>
        <v>579</v>
      </c>
    </row>
    <row r="167" spans="1:13">
      <c r="A167" s="398" t="s">
        <v>259</v>
      </c>
      <c r="B167" s="404">
        <f>B166*B165/1000000</f>
        <v>108.952746</v>
      </c>
      <c r="C167" s="404">
        <f>C166*C165/1000000</f>
        <v>104.89916700000001</v>
      </c>
      <c r="D167" s="404">
        <f>D166*D165/1000000</f>
        <v>96.199112999999997</v>
      </c>
      <c r="E167" s="404">
        <f>E166*E165/1000000</f>
        <v>68.332421999999994</v>
      </c>
      <c r="F167" s="404">
        <f>F166*F165/1000000</f>
        <v>69.192815999999993</v>
      </c>
    </row>
    <row r="168" spans="1:13">
      <c r="A168" s="396"/>
      <c r="B168" s="405"/>
      <c r="C168" s="405"/>
      <c r="D168" s="405"/>
      <c r="E168" s="405"/>
      <c r="F168" s="405"/>
      <c r="H168" s="397"/>
      <c r="I168" s="397"/>
      <c r="J168" s="397"/>
      <c r="K168" s="397"/>
      <c r="L168" s="397"/>
      <c r="M168" s="397"/>
    </row>
    <row r="169" spans="1:13" s="397" customFormat="1">
      <c r="A169" s="396" t="s">
        <v>246</v>
      </c>
      <c r="B169" s="396" t="s">
        <v>286</v>
      </c>
      <c r="H169"/>
      <c r="I169"/>
      <c r="J169"/>
      <c r="K169"/>
      <c r="L169"/>
      <c r="M169"/>
    </row>
    <row r="170" spans="1:13">
      <c r="A170" s="398" t="s">
        <v>248</v>
      </c>
      <c r="B170" s="399" t="s">
        <v>249</v>
      </c>
      <c r="C170" s="399" t="s">
        <v>250</v>
      </c>
      <c r="D170" s="399" t="s">
        <v>251</v>
      </c>
      <c r="E170" s="399" t="s">
        <v>252</v>
      </c>
      <c r="F170" s="399" t="s">
        <v>253</v>
      </c>
    </row>
    <row r="171" spans="1:13">
      <c r="A171" s="398" t="s">
        <v>254</v>
      </c>
      <c r="B171" s="402">
        <v>395116</v>
      </c>
      <c r="C171" s="402">
        <v>396069</v>
      </c>
      <c r="D171" s="402">
        <v>384134</v>
      </c>
      <c r="E171" s="402">
        <v>391717</v>
      </c>
      <c r="F171" s="402">
        <v>397550</v>
      </c>
    </row>
    <row r="172" spans="1:13">
      <c r="A172" s="398" t="s">
        <v>255</v>
      </c>
      <c r="B172" s="401">
        <v>555</v>
      </c>
      <c r="C172" s="401">
        <f>B172</f>
        <v>555</v>
      </c>
      <c r="D172" s="401">
        <f>C172</f>
        <v>555</v>
      </c>
      <c r="E172" s="401">
        <f>D172</f>
        <v>555</v>
      </c>
      <c r="F172" s="401">
        <f>E172</f>
        <v>555</v>
      </c>
    </row>
    <row r="173" spans="1:13">
      <c r="A173" s="398" t="s">
        <v>259</v>
      </c>
      <c r="B173" s="404">
        <f>B172*B171/1000000</f>
        <v>219.28937999999999</v>
      </c>
      <c r="C173" s="404">
        <f>C172*C171/1000000</f>
        <v>219.81829500000001</v>
      </c>
      <c r="D173" s="404">
        <f>D172*D171/1000000</f>
        <v>213.19436999999999</v>
      </c>
      <c r="E173" s="404">
        <f>E172*E171/1000000</f>
        <v>217.40293500000001</v>
      </c>
      <c r="F173" s="404">
        <f>F172*F171/1000000</f>
        <v>220.64025000000001</v>
      </c>
    </row>
    <row r="174" spans="1:13">
      <c r="A174" s="396"/>
      <c r="B174" s="405"/>
      <c r="C174" s="405"/>
      <c r="D174" s="405"/>
      <c r="E174" s="405"/>
      <c r="F174" s="405"/>
      <c r="H174" s="397"/>
      <c r="I174" s="397"/>
      <c r="J174" s="397"/>
      <c r="K174" s="397"/>
      <c r="L174" s="397"/>
      <c r="M174" s="397"/>
    </row>
    <row r="175" spans="1:13" s="397" customFormat="1">
      <c r="A175" s="396" t="s">
        <v>246</v>
      </c>
      <c r="B175" s="396" t="s">
        <v>287</v>
      </c>
      <c r="H175"/>
      <c r="I175"/>
      <c r="J175"/>
      <c r="K175"/>
      <c r="L175"/>
      <c r="M175"/>
    </row>
    <row r="176" spans="1:13">
      <c r="A176" s="398" t="s">
        <v>248</v>
      </c>
      <c r="B176" s="399" t="s">
        <v>249</v>
      </c>
      <c r="C176" s="399" t="s">
        <v>250</v>
      </c>
      <c r="D176" s="399" t="s">
        <v>251</v>
      </c>
      <c r="E176" s="399" t="s">
        <v>252</v>
      </c>
      <c r="F176" s="399" t="s">
        <v>253</v>
      </c>
    </row>
    <row r="177" spans="1:13">
      <c r="A177" s="398" t="s">
        <v>254</v>
      </c>
      <c r="B177" s="401"/>
      <c r="C177" s="401"/>
      <c r="D177" s="402">
        <v>21562</v>
      </c>
      <c r="E177" s="402">
        <v>20803</v>
      </c>
      <c r="F177" s="401"/>
    </row>
    <row r="178" spans="1:13">
      <c r="A178" s="398" t="s">
        <v>255</v>
      </c>
      <c r="B178" s="401">
        <v>573</v>
      </c>
      <c r="C178" s="401">
        <f>B178</f>
        <v>573</v>
      </c>
      <c r="D178" s="401">
        <f>C178</f>
        <v>573</v>
      </c>
      <c r="E178" s="401">
        <f>D178</f>
        <v>573</v>
      </c>
      <c r="F178" s="401">
        <f>E178</f>
        <v>573</v>
      </c>
    </row>
    <row r="179" spans="1:13">
      <c r="A179" s="398" t="s">
        <v>259</v>
      </c>
      <c r="B179" s="404">
        <f>B178*B177/1000000</f>
        <v>0</v>
      </c>
      <c r="C179" s="404">
        <f>C178*C177/1000000</f>
        <v>0</v>
      </c>
      <c r="D179" s="404">
        <f>D178*D177/1000000</f>
        <v>12.355026000000001</v>
      </c>
      <c r="E179" s="404">
        <f>E178*E177/1000000</f>
        <v>11.920119</v>
      </c>
      <c r="F179" s="404">
        <f>F178*F177/1000000</f>
        <v>0</v>
      </c>
    </row>
    <row r="180" spans="1:13">
      <c r="A180" s="396"/>
      <c r="B180" s="405"/>
      <c r="C180" s="405"/>
      <c r="D180" s="405"/>
      <c r="E180" s="405"/>
      <c r="F180" s="405"/>
      <c r="H180" s="397"/>
      <c r="I180" s="397"/>
      <c r="J180" s="397"/>
      <c r="K180" s="397"/>
      <c r="L180" s="397"/>
      <c r="M180" s="397"/>
    </row>
    <row r="181" spans="1:13" s="397" customFormat="1">
      <c r="A181" s="396" t="s">
        <v>246</v>
      </c>
      <c r="B181" s="396" t="s">
        <v>288</v>
      </c>
      <c r="H181"/>
      <c r="I181"/>
      <c r="J181"/>
      <c r="K181"/>
      <c r="L181"/>
      <c r="M181"/>
    </row>
    <row r="182" spans="1:13">
      <c r="A182" s="398" t="s">
        <v>248</v>
      </c>
      <c r="B182" s="399" t="s">
        <v>249</v>
      </c>
      <c r="C182" s="399" t="s">
        <v>250</v>
      </c>
      <c r="D182" s="399" t="s">
        <v>251</v>
      </c>
      <c r="E182" s="399" t="s">
        <v>252</v>
      </c>
      <c r="F182" s="399" t="s">
        <v>253</v>
      </c>
    </row>
    <row r="183" spans="1:13">
      <c r="A183" s="398" t="s">
        <v>254</v>
      </c>
      <c r="B183" s="401"/>
      <c r="C183" s="401"/>
      <c r="D183" s="401"/>
      <c r="E183" s="401"/>
      <c r="F183" s="402">
        <v>28600</v>
      </c>
    </row>
    <row r="184" spans="1:13">
      <c r="A184" s="398" t="s">
        <v>255</v>
      </c>
      <c r="B184" s="401">
        <v>497</v>
      </c>
      <c r="C184" s="401">
        <f>B184</f>
        <v>497</v>
      </c>
      <c r="D184" s="401">
        <f>C184</f>
        <v>497</v>
      </c>
      <c r="E184" s="401">
        <f>D184</f>
        <v>497</v>
      </c>
      <c r="F184" s="401">
        <f>E184</f>
        <v>497</v>
      </c>
    </row>
    <row r="185" spans="1:13">
      <c r="A185" s="398" t="s">
        <v>259</v>
      </c>
      <c r="B185" s="404">
        <f>B184*B183/1000000</f>
        <v>0</v>
      </c>
      <c r="C185" s="404">
        <f>C184*C183/1000000</f>
        <v>0</v>
      </c>
      <c r="D185" s="404">
        <f>D184*D183/1000000</f>
        <v>0</v>
      </c>
      <c r="E185" s="404">
        <f>E184*E183/1000000</f>
        <v>0</v>
      </c>
      <c r="F185" s="404">
        <f>F184*F183/1000000</f>
        <v>14.2142</v>
      </c>
    </row>
    <row r="186" spans="1:13">
      <c r="A186" s="396"/>
      <c r="B186" s="405"/>
      <c r="C186" s="405"/>
      <c r="D186" s="405"/>
      <c r="E186" s="405"/>
      <c r="F186" s="405"/>
      <c r="H186" s="397"/>
      <c r="I186" s="397"/>
      <c r="J186" s="397"/>
      <c r="K186" s="397"/>
      <c r="L186" s="397"/>
      <c r="M186" s="397"/>
    </row>
    <row r="187" spans="1:13" s="397" customFormat="1">
      <c r="A187" s="396" t="s">
        <v>246</v>
      </c>
      <c r="B187" s="396" t="s">
        <v>289</v>
      </c>
      <c r="H187"/>
      <c r="I187"/>
      <c r="J187"/>
      <c r="K187"/>
      <c r="L187"/>
      <c r="M187"/>
    </row>
    <row r="188" spans="1:13">
      <c r="A188" s="398" t="s">
        <v>248</v>
      </c>
      <c r="B188" s="399" t="s">
        <v>249</v>
      </c>
      <c r="C188" s="399" t="s">
        <v>250</v>
      </c>
      <c r="D188" s="399" t="s">
        <v>251</v>
      </c>
      <c r="E188" s="399" t="s">
        <v>252</v>
      </c>
      <c r="F188" s="399" t="s">
        <v>253</v>
      </c>
    </row>
    <row r="189" spans="1:13">
      <c r="A189" s="398" t="s">
        <v>254</v>
      </c>
      <c r="B189" s="402">
        <v>20949</v>
      </c>
      <c r="C189" s="402">
        <v>23632</v>
      </c>
      <c r="D189" s="402">
        <v>22685</v>
      </c>
      <c r="E189" s="402">
        <v>22525</v>
      </c>
      <c r="F189" s="402">
        <v>22876</v>
      </c>
    </row>
    <row r="190" spans="1:13">
      <c r="A190" s="398" t="s">
        <v>255</v>
      </c>
      <c r="B190" s="401">
        <v>520</v>
      </c>
      <c r="C190" s="401">
        <f>B190</f>
        <v>520</v>
      </c>
      <c r="D190" s="401">
        <f>C190</f>
        <v>520</v>
      </c>
      <c r="E190" s="401">
        <f>D190</f>
        <v>520</v>
      </c>
      <c r="F190" s="401">
        <f>E190</f>
        <v>520</v>
      </c>
    </row>
    <row r="191" spans="1:13">
      <c r="A191" s="398" t="s">
        <v>259</v>
      </c>
      <c r="B191" s="404">
        <f>B190*B189/1000000</f>
        <v>10.89348</v>
      </c>
      <c r="C191" s="404">
        <f>C190*C189/1000000</f>
        <v>12.288639999999999</v>
      </c>
      <c r="D191" s="404">
        <f>D190*D189/1000000</f>
        <v>11.796200000000001</v>
      </c>
      <c r="E191" s="404">
        <f>E190*E189/1000000</f>
        <v>11.712999999999999</v>
      </c>
      <c r="F191" s="404">
        <f>F190*F189/1000000</f>
        <v>11.895519999999999</v>
      </c>
    </row>
    <row r="192" spans="1:13">
      <c r="A192" s="396"/>
      <c r="B192" s="405"/>
      <c r="C192" s="405"/>
      <c r="D192" s="405"/>
      <c r="E192" s="405"/>
      <c r="F192" s="405"/>
      <c r="H192" s="397"/>
      <c r="I192" s="397"/>
      <c r="J192" s="397"/>
      <c r="K192" s="397"/>
      <c r="L192" s="397"/>
      <c r="M192" s="397"/>
    </row>
    <row r="193" spans="1:13" s="397" customFormat="1">
      <c r="A193" s="396" t="s">
        <v>246</v>
      </c>
      <c r="B193" s="396" t="s">
        <v>290</v>
      </c>
      <c r="H193"/>
      <c r="I193"/>
      <c r="J193"/>
      <c r="K193"/>
      <c r="L193"/>
      <c r="M193"/>
    </row>
    <row r="194" spans="1:13">
      <c r="A194" s="398" t="s">
        <v>248</v>
      </c>
      <c r="B194" s="399" t="s">
        <v>249</v>
      </c>
      <c r="C194" s="399" t="s">
        <v>250</v>
      </c>
      <c r="D194" s="399" t="s">
        <v>251</v>
      </c>
      <c r="E194" s="399" t="s">
        <v>252</v>
      </c>
      <c r="F194" s="399" t="s">
        <v>253</v>
      </c>
    </row>
    <row r="195" spans="1:13">
      <c r="A195" s="398" t="s">
        <v>254</v>
      </c>
      <c r="B195" s="402">
        <v>42463</v>
      </c>
      <c r="C195" s="402">
        <v>38126</v>
      </c>
      <c r="D195" s="402">
        <v>44525</v>
      </c>
      <c r="E195" s="402">
        <v>39136</v>
      </c>
      <c r="F195" s="402">
        <v>38247</v>
      </c>
    </row>
    <row r="196" spans="1:13">
      <c r="A196" s="398" t="s">
        <v>255</v>
      </c>
      <c r="B196" s="401">
        <v>565</v>
      </c>
      <c r="C196" s="401">
        <f>B196</f>
        <v>565</v>
      </c>
      <c r="D196" s="401">
        <f>C196</f>
        <v>565</v>
      </c>
      <c r="E196" s="401">
        <f>D196</f>
        <v>565</v>
      </c>
      <c r="F196" s="401">
        <f>E196</f>
        <v>565</v>
      </c>
    </row>
    <row r="197" spans="1:13">
      <c r="A197" s="398" t="s">
        <v>259</v>
      </c>
      <c r="B197" s="404">
        <f>B196*B195/1000000</f>
        <v>23.991595</v>
      </c>
      <c r="C197" s="404">
        <f>C196*C195/1000000</f>
        <v>21.54119</v>
      </c>
      <c r="D197" s="404">
        <f>D196*D195/1000000</f>
        <v>25.156624999999998</v>
      </c>
      <c r="E197" s="404">
        <f>E196*E195/1000000</f>
        <v>22.111840000000001</v>
      </c>
      <c r="F197" s="404">
        <f>F196*F195/1000000</f>
        <v>21.609555</v>
      </c>
    </row>
    <row r="198" spans="1:13">
      <c r="A198" s="396"/>
      <c r="B198" s="405"/>
      <c r="C198" s="405"/>
      <c r="D198" s="405"/>
      <c r="E198" s="405"/>
      <c r="F198" s="405"/>
      <c r="H198" s="397"/>
      <c r="I198" s="397"/>
      <c r="J198" s="397"/>
      <c r="K198" s="397"/>
      <c r="L198" s="397"/>
      <c r="M198" s="397"/>
    </row>
    <row r="199" spans="1:13" s="397" customFormat="1">
      <c r="A199" s="396" t="s">
        <v>246</v>
      </c>
      <c r="B199" s="396" t="s">
        <v>291</v>
      </c>
      <c r="H199"/>
      <c r="I199"/>
      <c r="J199"/>
      <c r="K199"/>
      <c r="L199"/>
      <c r="M199"/>
    </row>
    <row r="200" spans="1:13">
      <c r="A200" s="398" t="s">
        <v>248</v>
      </c>
      <c r="B200" s="399" t="s">
        <v>249</v>
      </c>
      <c r="C200" s="399" t="s">
        <v>250</v>
      </c>
      <c r="D200" s="399" t="s">
        <v>251</v>
      </c>
      <c r="E200" s="399" t="s">
        <v>252</v>
      </c>
      <c r="F200" s="399" t="s">
        <v>253</v>
      </c>
    </row>
    <row r="201" spans="1:13">
      <c r="A201" s="398" t="s">
        <v>254</v>
      </c>
      <c r="B201" s="402">
        <v>205256</v>
      </c>
      <c r="C201" s="402">
        <v>220063</v>
      </c>
      <c r="D201" s="402">
        <v>230941</v>
      </c>
      <c r="E201" s="402">
        <v>238302</v>
      </c>
      <c r="F201" s="402">
        <v>255803</v>
      </c>
    </row>
    <row r="202" spans="1:13">
      <c r="A202" s="398" t="s">
        <v>255</v>
      </c>
      <c r="B202" s="401">
        <v>600</v>
      </c>
      <c r="C202" s="401">
        <f>B202</f>
        <v>600</v>
      </c>
      <c r="D202" s="401">
        <f>C202</f>
        <v>600</v>
      </c>
      <c r="E202" s="401">
        <f>D202</f>
        <v>600</v>
      </c>
      <c r="F202" s="401">
        <f>E202</f>
        <v>600</v>
      </c>
    </row>
    <row r="203" spans="1:13">
      <c r="A203" s="398" t="s">
        <v>259</v>
      </c>
      <c r="B203" s="404">
        <f>B202*B201/1000000</f>
        <v>123.1536</v>
      </c>
      <c r="C203" s="404">
        <f>C202*C201/1000000</f>
        <v>132.0378</v>
      </c>
      <c r="D203" s="404">
        <f>D202*D201/1000000</f>
        <v>138.56460000000001</v>
      </c>
      <c r="E203" s="404">
        <f>E202*E201/1000000</f>
        <v>142.9812</v>
      </c>
      <c r="F203" s="404">
        <f>F202*F201/1000000</f>
        <v>153.48179999999999</v>
      </c>
    </row>
    <row r="204" spans="1:13">
      <c r="A204" s="396"/>
      <c r="B204" s="405"/>
      <c r="C204" s="405"/>
      <c r="D204" s="405"/>
      <c r="E204" s="405"/>
      <c r="F204" s="405"/>
      <c r="H204" s="397"/>
      <c r="I204" s="397"/>
      <c r="J204" s="397"/>
      <c r="K204" s="397"/>
      <c r="L204" s="397"/>
      <c r="M204" s="397"/>
    </row>
    <row r="205" spans="1:13" s="397" customFormat="1">
      <c r="A205" s="396" t="s">
        <v>246</v>
      </c>
      <c r="B205" s="396" t="s">
        <v>292</v>
      </c>
      <c r="H205"/>
      <c r="I205"/>
      <c r="J205"/>
      <c r="K205"/>
      <c r="L205"/>
      <c r="M205"/>
    </row>
    <row r="206" spans="1:13">
      <c r="A206" s="398" t="s">
        <v>248</v>
      </c>
      <c r="B206" s="399" t="s">
        <v>249</v>
      </c>
      <c r="C206" s="399" t="s">
        <v>250</v>
      </c>
      <c r="D206" s="399" t="s">
        <v>251</v>
      </c>
      <c r="E206" s="399" t="s">
        <v>252</v>
      </c>
      <c r="F206" s="399" t="s">
        <v>253</v>
      </c>
    </row>
    <row r="207" spans="1:13">
      <c r="A207" s="398" t="s">
        <v>254</v>
      </c>
      <c r="B207" s="402">
        <v>40248</v>
      </c>
      <c r="C207" s="401"/>
      <c r="D207" s="401"/>
      <c r="E207" s="401"/>
      <c r="F207" s="401"/>
    </row>
    <row r="208" spans="1:13">
      <c r="A208" s="398" t="s">
        <v>255</v>
      </c>
      <c r="B208" s="401">
        <v>179</v>
      </c>
      <c r="C208" s="401">
        <f>B208</f>
        <v>179</v>
      </c>
      <c r="D208" s="401">
        <f>C208</f>
        <v>179</v>
      </c>
      <c r="E208" s="401">
        <f>D208</f>
        <v>179</v>
      </c>
      <c r="F208" s="401">
        <f>E208</f>
        <v>179</v>
      </c>
    </row>
    <row r="209" spans="1:13">
      <c r="A209" s="398" t="s">
        <v>259</v>
      </c>
      <c r="B209" s="404">
        <f>B208*B207/1000000</f>
        <v>7.2043920000000004</v>
      </c>
      <c r="C209" s="404">
        <f>C208*C207/1000000</f>
        <v>0</v>
      </c>
      <c r="D209" s="404">
        <f>D208*D207/1000000</f>
        <v>0</v>
      </c>
      <c r="E209" s="404">
        <f>E208*E207/1000000</f>
        <v>0</v>
      </c>
      <c r="F209" s="404">
        <f>F208*F207/1000000</f>
        <v>0</v>
      </c>
    </row>
    <row r="210" spans="1:13">
      <c r="A210" s="396"/>
      <c r="B210" s="405"/>
      <c r="C210" s="405"/>
      <c r="D210" s="405"/>
      <c r="E210" s="405"/>
      <c r="F210" s="405"/>
      <c r="H210" s="397"/>
      <c r="I210" s="397"/>
      <c r="J210" s="397"/>
      <c r="K210" s="397"/>
      <c r="L210" s="397"/>
      <c r="M210" s="397"/>
    </row>
    <row r="211" spans="1:13" s="397" customFormat="1">
      <c r="A211" s="396" t="s">
        <v>246</v>
      </c>
      <c r="B211" s="396" t="s">
        <v>293</v>
      </c>
      <c r="H211"/>
      <c r="I211"/>
      <c r="J211"/>
      <c r="K211"/>
      <c r="L211"/>
      <c r="M211"/>
    </row>
    <row r="212" spans="1:13">
      <c r="A212" s="398" t="s">
        <v>248</v>
      </c>
      <c r="B212" s="399" t="s">
        <v>249</v>
      </c>
      <c r="C212" s="399" t="s">
        <v>250</v>
      </c>
      <c r="D212" s="399" t="s">
        <v>251</v>
      </c>
      <c r="E212" s="399" t="s">
        <v>252</v>
      </c>
      <c r="F212" s="399" t="s">
        <v>253</v>
      </c>
    </row>
    <row r="213" spans="1:13">
      <c r="A213" s="398" t="s">
        <v>254</v>
      </c>
      <c r="B213" s="402">
        <v>26863</v>
      </c>
      <c r="C213" s="401"/>
      <c r="D213" s="401"/>
      <c r="E213" s="401"/>
      <c r="F213" s="401"/>
    </row>
    <row r="214" spans="1:13">
      <c r="A214" s="398" t="s">
        <v>255</v>
      </c>
      <c r="B214" s="401">
        <v>443</v>
      </c>
      <c r="C214" s="401">
        <f>B214</f>
        <v>443</v>
      </c>
      <c r="D214" s="401">
        <f>C214</f>
        <v>443</v>
      </c>
      <c r="E214" s="401">
        <f>D214</f>
        <v>443</v>
      </c>
      <c r="F214" s="401">
        <f>E214</f>
        <v>443</v>
      </c>
    </row>
    <row r="215" spans="1:13">
      <c r="A215" s="398" t="s">
        <v>259</v>
      </c>
      <c r="B215" s="404">
        <f>B214*B213/1000000</f>
        <v>11.900309</v>
      </c>
      <c r="C215" s="404">
        <f>C214*C213/1000000</f>
        <v>0</v>
      </c>
      <c r="D215" s="404">
        <f>D214*D213/1000000</f>
        <v>0</v>
      </c>
      <c r="E215" s="404">
        <f>E214*E213/1000000</f>
        <v>0</v>
      </c>
      <c r="F215" s="404">
        <f>F214*F213/1000000</f>
        <v>0</v>
      </c>
    </row>
    <row r="216" spans="1:13">
      <c r="A216" s="396"/>
      <c r="B216" s="405"/>
      <c r="C216" s="405"/>
      <c r="D216" s="405"/>
      <c r="E216" s="405"/>
      <c r="F216" s="405"/>
      <c r="H216" s="397"/>
      <c r="I216" s="397"/>
      <c r="J216" s="397"/>
      <c r="K216" s="397"/>
      <c r="L216" s="397"/>
      <c r="M216" s="397"/>
    </row>
    <row r="217" spans="1:13" s="397" customFormat="1">
      <c r="A217" s="396" t="s">
        <v>246</v>
      </c>
      <c r="B217" s="396" t="s">
        <v>294</v>
      </c>
      <c r="H217"/>
      <c r="I217"/>
      <c r="J217"/>
      <c r="K217"/>
      <c r="L217"/>
      <c r="M217"/>
    </row>
    <row r="218" spans="1:13">
      <c r="A218" s="398" t="s">
        <v>248</v>
      </c>
      <c r="B218" s="399" t="s">
        <v>249</v>
      </c>
      <c r="C218" s="399" t="s">
        <v>250</v>
      </c>
      <c r="D218" s="399" t="s">
        <v>251</v>
      </c>
      <c r="E218" s="399" t="s">
        <v>252</v>
      </c>
      <c r="F218" s="399" t="s">
        <v>253</v>
      </c>
    </row>
    <row r="219" spans="1:13">
      <c r="A219" s="398" t="s">
        <v>254</v>
      </c>
      <c r="B219" s="402">
        <v>65049</v>
      </c>
      <c r="C219" s="401"/>
      <c r="D219" s="401"/>
      <c r="E219" s="401"/>
      <c r="F219" s="401"/>
    </row>
    <row r="220" spans="1:13">
      <c r="A220" s="398" t="s">
        <v>255</v>
      </c>
      <c r="B220" s="401">
        <v>600</v>
      </c>
      <c r="C220" s="401">
        <f>B220</f>
        <v>600</v>
      </c>
      <c r="D220" s="401">
        <f>C220</f>
        <v>600</v>
      </c>
      <c r="E220" s="401">
        <f>D220</f>
        <v>600</v>
      </c>
      <c r="F220" s="401">
        <f>E220</f>
        <v>600</v>
      </c>
    </row>
    <row r="221" spans="1:13">
      <c r="A221" s="398" t="s">
        <v>259</v>
      </c>
      <c r="B221" s="404">
        <f>B220*B219/1000000</f>
        <v>39.029400000000003</v>
      </c>
      <c r="C221" s="404">
        <f>C220*C219/1000000</f>
        <v>0</v>
      </c>
      <c r="D221" s="404">
        <f>D220*D219/1000000</f>
        <v>0</v>
      </c>
      <c r="E221" s="404">
        <f>E220*E219/1000000</f>
        <v>0</v>
      </c>
      <c r="F221" s="404">
        <f>F220*F219/1000000</f>
        <v>0</v>
      </c>
    </row>
    <row r="222" spans="1:13">
      <c r="A222" s="396"/>
      <c r="B222" s="405"/>
      <c r="C222" s="405"/>
      <c r="D222" s="405"/>
      <c r="E222" s="405"/>
      <c r="F222" s="405"/>
      <c r="H222" s="397"/>
      <c r="I222" s="397"/>
      <c r="J222" s="397"/>
      <c r="K222" s="397"/>
      <c r="L222" s="397"/>
      <c r="M222" s="397"/>
    </row>
    <row r="223" spans="1:13" s="397" customFormat="1">
      <c r="A223" s="396" t="s">
        <v>246</v>
      </c>
      <c r="B223" s="396" t="s">
        <v>295</v>
      </c>
      <c r="H223"/>
      <c r="I223"/>
      <c r="J223"/>
      <c r="K223"/>
      <c r="L223"/>
      <c r="M223"/>
    </row>
    <row r="224" spans="1:13">
      <c r="A224" s="398" t="s">
        <v>248</v>
      </c>
      <c r="B224" s="399" t="s">
        <v>249</v>
      </c>
      <c r="C224" s="399" t="s">
        <v>250</v>
      </c>
      <c r="D224" s="399" t="s">
        <v>251</v>
      </c>
      <c r="E224" s="399" t="s">
        <v>252</v>
      </c>
      <c r="F224" s="399" t="s">
        <v>253</v>
      </c>
    </row>
    <row r="225" spans="1:13">
      <c r="A225" s="398" t="s">
        <v>254</v>
      </c>
      <c r="B225" s="402">
        <v>17699</v>
      </c>
      <c r="C225" s="401"/>
      <c r="D225" s="401"/>
      <c r="E225" s="401"/>
      <c r="F225" s="401"/>
    </row>
    <row r="226" spans="1:13">
      <c r="A226" s="398" t="s">
        <v>255</v>
      </c>
      <c r="B226" s="401">
        <v>463</v>
      </c>
      <c r="C226" s="401">
        <f>B226</f>
        <v>463</v>
      </c>
      <c r="D226" s="401">
        <f>C226</f>
        <v>463</v>
      </c>
      <c r="E226" s="401">
        <f>D226</f>
        <v>463</v>
      </c>
      <c r="F226" s="401">
        <f>E226</f>
        <v>463</v>
      </c>
    </row>
    <row r="227" spans="1:13">
      <c r="A227" s="398" t="s">
        <v>259</v>
      </c>
      <c r="B227" s="404">
        <f>B226*B225/1000000</f>
        <v>8.1946370000000002</v>
      </c>
      <c r="C227" s="404">
        <f>C226*C225/1000000</f>
        <v>0</v>
      </c>
      <c r="D227" s="404">
        <f>D226*D225/1000000</f>
        <v>0</v>
      </c>
      <c r="E227" s="404">
        <f>E226*E225/1000000</f>
        <v>0</v>
      </c>
      <c r="F227" s="404">
        <f>F226*F225/1000000</f>
        <v>0</v>
      </c>
    </row>
    <row r="228" spans="1:13">
      <c r="A228" s="396"/>
      <c r="B228" s="405"/>
      <c r="C228" s="405"/>
      <c r="D228" s="405"/>
      <c r="E228" s="405"/>
      <c r="F228" s="405"/>
      <c r="H228" s="397"/>
      <c r="I228" s="397"/>
      <c r="J228" s="397"/>
      <c r="K228" s="397"/>
      <c r="L228" s="397"/>
      <c r="M228" s="397"/>
    </row>
    <row r="229" spans="1:13" s="397" customFormat="1">
      <c r="A229" s="396" t="s">
        <v>246</v>
      </c>
      <c r="B229" s="396" t="s">
        <v>296</v>
      </c>
      <c r="H229"/>
      <c r="I229"/>
      <c r="J229"/>
      <c r="K229"/>
      <c r="L229"/>
      <c r="M229"/>
    </row>
    <row r="230" spans="1:13">
      <c r="A230" s="398" t="s">
        <v>248</v>
      </c>
      <c r="B230" s="399" t="s">
        <v>249</v>
      </c>
      <c r="C230" s="399" t="s">
        <v>250</v>
      </c>
      <c r="D230" s="399" t="s">
        <v>251</v>
      </c>
      <c r="E230" s="399" t="s">
        <v>252</v>
      </c>
      <c r="F230" s="399" t="s">
        <v>253</v>
      </c>
      <c r="G230" s="631" t="s">
        <v>710</v>
      </c>
    </row>
    <row r="231" spans="1:13">
      <c r="A231" s="398" t="s">
        <v>254</v>
      </c>
      <c r="B231" s="402">
        <v>197230</v>
      </c>
      <c r="C231" s="402">
        <v>229215</v>
      </c>
      <c r="D231" s="402">
        <v>236479</v>
      </c>
      <c r="E231" s="402">
        <v>255142</v>
      </c>
      <c r="F231" s="402">
        <v>301816</v>
      </c>
    </row>
    <row r="232" spans="1:13">
      <c r="A232" s="398" t="s">
        <v>255</v>
      </c>
      <c r="B232" s="401">
        <v>5940</v>
      </c>
      <c r="C232" s="401">
        <f>B232</f>
        <v>5940</v>
      </c>
      <c r="D232" s="401">
        <f>C232</f>
        <v>5940</v>
      </c>
      <c r="E232" s="401">
        <f>D232</f>
        <v>5940</v>
      </c>
      <c r="F232" s="401">
        <f>E232</f>
        <v>5940</v>
      </c>
    </row>
    <row r="233" spans="1:13">
      <c r="A233" s="398" t="s">
        <v>259</v>
      </c>
      <c r="B233" s="404">
        <f>B232*B231/1000000</f>
        <v>1171.5462</v>
      </c>
      <c r="C233" s="404">
        <f>C232*C231/1000000</f>
        <v>1361.5371</v>
      </c>
      <c r="D233" s="404">
        <f>D232*D231/1000000</f>
        <v>1404.68526</v>
      </c>
      <c r="E233" s="404">
        <f>E232*E231/1000000</f>
        <v>1515.54348</v>
      </c>
      <c r="F233" s="404">
        <f>F232*F231/1000000</f>
        <v>1792.7870399999999</v>
      </c>
    </row>
    <row r="234" spans="1:13">
      <c r="A234" s="396"/>
      <c r="B234" s="405"/>
      <c r="C234" s="405"/>
      <c r="D234" s="405"/>
      <c r="E234" s="405"/>
      <c r="F234" s="405"/>
      <c r="H234" s="397"/>
      <c r="I234" s="397"/>
      <c r="J234" s="397"/>
      <c r="K234" s="397"/>
      <c r="L234" s="397"/>
      <c r="M234" s="397"/>
    </row>
    <row r="235" spans="1:13" s="397" customFormat="1">
      <c r="A235" s="396" t="s">
        <v>246</v>
      </c>
      <c r="B235" s="396" t="s">
        <v>297</v>
      </c>
      <c r="H235"/>
      <c r="I235"/>
      <c r="J235"/>
      <c r="K235"/>
      <c r="L235"/>
      <c r="M235"/>
    </row>
    <row r="236" spans="1:13">
      <c r="A236" s="398" t="s">
        <v>248</v>
      </c>
      <c r="B236" s="399" t="s">
        <v>249</v>
      </c>
      <c r="C236" s="399" t="s">
        <v>250</v>
      </c>
      <c r="D236" s="399" t="s">
        <v>251</v>
      </c>
      <c r="E236" s="399" t="s">
        <v>252</v>
      </c>
      <c r="F236" s="399" t="s">
        <v>253</v>
      </c>
      <c r="G236" s="631" t="s">
        <v>710</v>
      </c>
    </row>
    <row r="237" spans="1:13">
      <c r="A237" s="398" t="s">
        <v>254</v>
      </c>
      <c r="B237" s="401"/>
      <c r="C237" s="401"/>
      <c r="D237" s="402">
        <v>204460</v>
      </c>
      <c r="E237" s="402">
        <v>250513</v>
      </c>
      <c r="F237" s="402">
        <v>288657</v>
      </c>
    </row>
    <row r="238" spans="1:13">
      <c r="A238" s="398" t="s">
        <v>255</v>
      </c>
      <c r="B238" s="401">
        <v>5910</v>
      </c>
      <c r="C238" s="401">
        <f>B238</f>
        <v>5910</v>
      </c>
      <c r="D238" s="401">
        <f>C238</f>
        <v>5910</v>
      </c>
      <c r="E238" s="401">
        <f>D238</f>
        <v>5910</v>
      </c>
      <c r="F238" s="401">
        <f>E238</f>
        <v>5910</v>
      </c>
    </row>
    <row r="239" spans="1:13">
      <c r="A239" s="398" t="s">
        <v>259</v>
      </c>
      <c r="B239" s="404">
        <f>B238*B237/1000000</f>
        <v>0</v>
      </c>
      <c r="C239" s="404">
        <f>C238*C237/1000000</f>
        <v>0</v>
      </c>
      <c r="D239" s="404">
        <f>D238*D237/1000000</f>
        <v>1208.3586</v>
      </c>
      <c r="E239" s="404">
        <f>E238*E237/1000000</f>
        <v>1480.5318299999999</v>
      </c>
      <c r="F239" s="404">
        <f>F238*F237/1000000</f>
        <v>1705.9628700000001</v>
      </c>
    </row>
    <row r="240" spans="1:13">
      <c r="A240" s="396"/>
      <c r="B240" s="405"/>
      <c r="C240" s="405"/>
      <c r="D240" s="405"/>
      <c r="E240" s="405"/>
      <c r="F240" s="405"/>
      <c r="H240" s="397"/>
      <c r="I240" s="397"/>
      <c r="J240" s="397"/>
      <c r="K240" s="397"/>
      <c r="L240" s="397"/>
      <c r="M240" s="397"/>
    </row>
    <row r="241" spans="1:13" s="397" customFormat="1">
      <c r="A241" s="396" t="s">
        <v>246</v>
      </c>
      <c r="B241" s="396" t="s">
        <v>298</v>
      </c>
      <c r="H241"/>
      <c r="I241"/>
      <c r="J241"/>
      <c r="K241"/>
      <c r="L241"/>
      <c r="M241"/>
    </row>
    <row r="242" spans="1:13">
      <c r="A242" s="398" t="s">
        <v>248</v>
      </c>
      <c r="B242" s="399" t="s">
        <v>249</v>
      </c>
      <c r="C242" s="399" t="s">
        <v>250</v>
      </c>
      <c r="D242" s="399" t="s">
        <v>251</v>
      </c>
      <c r="E242" s="399" t="s">
        <v>252</v>
      </c>
      <c r="F242" s="399" t="s">
        <v>253</v>
      </c>
    </row>
    <row r="243" spans="1:13">
      <c r="A243" s="398" t="s">
        <v>254</v>
      </c>
      <c r="B243" s="402">
        <v>81307</v>
      </c>
      <c r="C243" s="402">
        <v>80775</v>
      </c>
      <c r="D243" s="402">
        <v>91361</v>
      </c>
      <c r="E243" s="402">
        <v>93664</v>
      </c>
      <c r="F243" s="402">
        <v>86637</v>
      </c>
    </row>
    <row r="244" spans="1:13">
      <c r="A244" s="398" t="s">
        <v>255</v>
      </c>
      <c r="B244" s="401">
        <v>1190</v>
      </c>
      <c r="C244" s="401">
        <f>B244</f>
        <v>1190</v>
      </c>
      <c r="D244" s="401">
        <f>C244</f>
        <v>1190</v>
      </c>
      <c r="E244" s="401">
        <f>D244</f>
        <v>1190</v>
      </c>
      <c r="F244" s="401">
        <f>E244</f>
        <v>1190</v>
      </c>
    </row>
    <row r="245" spans="1:13">
      <c r="A245" s="398" t="s">
        <v>259</v>
      </c>
      <c r="B245" s="404">
        <f>B244*B243/1000000</f>
        <v>96.755330000000001</v>
      </c>
      <c r="C245" s="404">
        <f>C244*C243/1000000</f>
        <v>96.122249999999994</v>
      </c>
      <c r="D245" s="404">
        <f>D244*D243/1000000</f>
        <v>108.71959</v>
      </c>
      <c r="E245" s="404">
        <f>E244*E243/1000000</f>
        <v>111.46016</v>
      </c>
      <c r="F245" s="404">
        <f>F244*F243/1000000</f>
        <v>103.09802999999999</v>
      </c>
    </row>
    <row r="246" spans="1:13">
      <c r="A246" s="396"/>
      <c r="B246" s="405"/>
      <c r="C246" s="405"/>
      <c r="D246" s="405"/>
      <c r="E246" s="405"/>
      <c r="F246" s="405"/>
      <c r="H246" s="397"/>
      <c r="I246" s="397"/>
      <c r="J246" s="397"/>
      <c r="K246" s="397"/>
      <c r="L246" s="397"/>
      <c r="M246" s="397"/>
    </row>
    <row r="247" spans="1:13" s="397" customFormat="1">
      <c r="A247" s="396" t="s">
        <v>246</v>
      </c>
      <c r="B247" s="396" t="s">
        <v>299</v>
      </c>
      <c r="H247"/>
      <c r="I247"/>
      <c r="J247"/>
      <c r="K247"/>
      <c r="L247"/>
      <c r="M247"/>
    </row>
    <row r="248" spans="1:13">
      <c r="A248" s="398" t="s">
        <v>248</v>
      </c>
      <c r="B248" s="399" t="s">
        <v>249</v>
      </c>
      <c r="C248" s="399" t="s">
        <v>250</v>
      </c>
      <c r="D248" s="399" t="s">
        <v>251</v>
      </c>
      <c r="E248" s="399" t="s">
        <v>252</v>
      </c>
      <c r="F248" s="399" t="s">
        <v>253</v>
      </c>
    </row>
    <row r="249" spans="1:13">
      <c r="A249" s="398" t="s">
        <v>254</v>
      </c>
      <c r="B249" s="402">
        <v>189105</v>
      </c>
      <c r="C249" s="402">
        <v>219887</v>
      </c>
      <c r="D249" s="402">
        <v>231324</v>
      </c>
      <c r="E249" s="402">
        <v>234618</v>
      </c>
      <c r="F249" s="402">
        <v>250319</v>
      </c>
    </row>
    <row r="250" spans="1:13">
      <c r="A250" s="398" t="s">
        <v>255</v>
      </c>
      <c r="B250" s="401">
        <v>782</v>
      </c>
      <c r="C250" s="401">
        <f>B250</f>
        <v>782</v>
      </c>
      <c r="D250" s="401">
        <f>C250</f>
        <v>782</v>
      </c>
      <c r="E250" s="401">
        <f>D250</f>
        <v>782</v>
      </c>
      <c r="F250" s="401">
        <f>E250</f>
        <v>782</v>
      </c>
    </row>
    <row r="251" spans="1:13">
      <c r="A251" s="398" t="s">
        <v>259</v>
      </c>
      <c r="B251" s="404">
        <f>B250*B249/1000000</f>
        <v>147.88011</v>
      </c>
      <c r="C251" s="404">
        <f>C250*C249/1000000</f>
        <v>171.95163400000001</v>
      </c>
      <c r="D251" s="404">
        <f>D250*D249/1000000</f>
        <v>180.89536799999999</v>
      </c>
      <c r="E251" s="404">
        <f>E250*E249/1000000</f>
        <v>183.47127599999999</v>
      </c>
      <c r="F251" s="404">
        <f>F250*F249/1000000</f>
        <v>195.749458</v>
      </c>
    </row>
    <row r="252" spans="1:13">
      <c r="A252" s="396"/>
      <c r="B252" s="405"/>
      <c r="C252" s="405"/>
      <c r="D252" s="405"/>
      <c r="E252" s="405"/>
      <c r="F252" s="405"/>
      <c r="H252" s="397"/>
      <c r="I252" s="397"/>
      <c r="J252" s="397"/>
      <c r="K252" s="397"/>
      <c r="L252" s="397"/>
      <c r="M252" s="397"/>
    </row>
    <row r="253" spans="1:13" s="397" customFormat="1">
      <c r="A253" s="396" t="s">
        <v>246</v>
      </c>
      <c r="B253" s="396" t="s">
        <v>300</v>
      </c>
      <c r="H253"/>
      <c r="I253"/>
      <c r="J253"/>
      <c r="K253"/>
      <c r="L253"/>
      <c r="M253"/>
    </row>
    <row r="254" spans="1:13">
      <c r="A254" s="398" t="s">
        <v>248</v>
      </c>
      <c r="B254" s="399" t="s">
        <v>249</v>
      </c>
      <c r="C254" s="399" t="s">
        <v>250</v>
      </c>
      <c r="D254" s="399" t="s">
        <v>251</v>
      </c>
      <c r="E254" s="399" t="s">
        <v>252</v>
      </c>
      <c r="F254" s="399" t="s">
        <v>253</v>
      </c>
    </row>
    <row r="255" spans="1:13">
      <c r="A255" s="398" t="s">
        <v>254</v>
      </c>
      <c r="B255" s="402">
        <v>126977</v>
      </c>
      <c r="C255" s="402">
        <v>122228</v>
      </c>
      <c r="D255" s="402">
        <v>110100</v>
      </c>
      <c r="E255" s="402">
        <v>162497</v>
      </c>
      <c r="F255" s="402">
        <v>149255</v>
      </c>
    </row>
    <row r="256" spans="1:13">
      <c r="A256" s="398" t="s">
        <v>255</v>
      </c>
      <c r="B256" s="401">
        <v>808</v>
      </c>
      <c r="C256" s="401">
        <f>B256</f>
        <v>808</v>
      </c>
      <c r="D256" s="401">
        <f>C256</f>
        <v>808</v>
      </c>
      <c r="E256" s="401">
        <f>D256</f>
        <v>808</v>
      </c>
      <c r="F256" s="401">
        <f>E256</f>
        <v>808</v>
      </c>
    </row>
    <row r="257" spans="1:13">
      <c r="A257" s="398" t="s">
        <v>259</v>
      </c>
      <c r="B257" s="404">
        <f>B256*B255/1000000</f>
        <v>102.597416</v>
      </c>
      <c r="C257" s="404">
        <f>C256*C255/1000000</f>
        <v>98.760223999999994</v>
      </c>
      <c r="D257" s="404">
        <f>D256*D255/1000000</f>
        <v>88.960800000000006</v>
      </c>
      <c r="E257" s="404">
        <f>E256*E255/1000000</f>
        <v>131.29757599999999</v>
      </c>
      <c r="F257" s="404">
        <f>F256*F255/1000000</f>
        <v>120.59804</v>
      </c>
    </row>
    <row r="258" spans="1:13">
      <c r="A258" s="396"/>
      <c r="B258" s="405"/>
      <c r="C258" s="405"/>
      <c r="D258" s="405"/>
      <c r="E258" s="405"/>
      <c r="F258" s="405"/>
      <c r="H258" s="397"/>
      <c r="I258" s="397"/>
      <c r="J258" s="397"/>
      <c r="K258" s="397"/>
      <c r="L258" s="397"/>
      <c r="M258" s="397"/>
    </row>
    <row r="259" spans="1:13" s="397" customFormat="1">
      <c r="A259" s="396" t="s">
        <v>246</v>
      </c>
      <c r="B259" s="396" t="s">
        <v>301</v>
      </c>
      <c r="G259" s="631" t="s">
        <v>710</v>
      </c>
      <c r="H259"/>
      <c r="I259"/>
      <c r="J259"/>
      <c r="K259"/>
      <c r="L259"/>
      <c r="M259"/>
    </row>
    <row r="260" spans="1:13">
      <c r="A260" s="398" t="s">
        <v>248</v>
      </c>
      <c r="B260" s="399" t="s">
        <v>249</v>
      </c>
      <c r="C260" s="399" t="s">
        <v>250</v>
      </c>
      <c r="D260" s="399" t="s">
        <v>251</v>
      </c>
      <c r="E260" s="399" t="s">
        <v>252</v>
      </c>
      <c r="F260" s="399" t="s">
        <v>253</v>
      </c>
    </row>
    <row r="261" spans="1:13">
      <c r="A261" s="398" t="s">
        <v>254</v>
      </c>
      <c r="B261" s="401"/>
      <c r="C261" s="402">
        <v>88192</v>
      </c>
      <c r="D261" s="402">
        <v>99741</v>
      </c>
      <c r="E261" s="402">
        <v>97031</v>
      </c>
      <c r="F261" s="402">
        <v>194046</v>
      </c>
    </row>
    <row r="262" spans="1:13">
      <c r="A262" s="398" t="s">
        <v>255</v>
      </c>
      <c r="B262" s="401">
        <v>5260</v>
      </c>
      <c r="C262" s="401">
        <f>B262</f>
        <v>5260</v>
      </c>
      <c r="D262" s="401">
        <f>C262</f>
        <v>5260</v>
      </c>
      <c r="E262" s="401">
        <f>D262</f>
        <v>5260</v>
      </c>
      <c r="F262" s="401">
        <f>E262</f>
        <v>5260</v>
      </c>
    </row>
    <row r="263" spans="1:13">
      <c r="A263" s="398" t="s">
        <v>259</v>
      </c>
      <c r="B263" s="404">
        <f>B262*B261/1000000</f>
        <v>0</v>
      </c>
      <c r="C263" s="404">
        <f>C262*C261/1000000</f>
        <v>463.88992000000002</v>
      </c>
      <c r="D263" s="404">
        <f>D262*D261/1000000</f>
        <v>524.63765999999998</v>
      </c>
      <c r="E263" s="404">
        <f>E262*E261/1000000</f>
        <v>510.38306</v>
      </c>
      <c r="F263" s="404">
        <f>F262*F261/1000000</f>
        <v>1020.68196</v>
      </c>
    </row>
    <row r="264" spans="1:13">
      <c r="A264" s="396"/>
      <c r="B264" s="405"/>
      <c r="C264" s="405"/>
      <c r="D264" s="405"/>
      <c r="E264" s="405"/>
      <c r="F264" s="405"/>
      <c r="H264" s="397"/>
      <c r="I264" s="397"/>
      <c r="J264" s="397"/>
      <c r="K264" s="397"/>
      <c r="L264" s="397"/>
      <c r="M264" s="397"/>
    </row>
    <row r="265" spans="1:13" s="397" customFormat="1">
      <c r="A265" s="396" t="s">
        <v>246</v>
      </c>
      <c r="B265" s="396" t="s">
        <v>302</v>
      </c>
      <c r="H265"/>
      <c r="I265"/>
      <c r="J265"/>
      <c r="K265"/>
      <c r="L265"/>
      <c r="M265"/>
    </row>
    <row r="266" spans="1:13">
      <c r="A266" s="398" t="s">
        <v>248</v>
      </c>
      <c r="B266" s="399" t="s">
        <v>249</v>
      </c>
      <c r="C266" s="399" t="s">
        <v>250</v>
      </c>
      <c r="D266" s="399" t="s">
        <v>251</v>
      </c>
      <c r="E266" s="399" t="s">
        <v>252</v>
      </c>
      <c r="F266" s="399" t="s">
        <v>253</v>
      </c>
    </row>
    <row r="267" spans="1:13">
      <c r="A267" s="398" t="s">
        <v>254</v>
      </c>
      <c r="B267" s="402">
        <v>98169</v>
      </c>
      <c r="C267" s="402">
        <v>99315</v>
      </c>
      <c r="D267" s="402">
        <v>114808</v>
      </c>
      <c r="E267" s="402">
        <v>103549</v>
      </c>
      <c r="F267" s="402">
        <v>102391</v>
      </c>
    </row>
    <row r="268" spans="1:13">
      <c r="A268" s="398" t="s">
        <v>255</v>
      </c>
      <c r="B268" s="401">
        <v>1190</v>
      </c>
      <c r="C268" s="401">
        <f>B268</f>
        <v>1190</v>
      </c>
      <c r="D268" s="401">
        <f>C268</f>
        <v>1190</v>
      </c>
      <c r="E268" s="401">
        <f>D268</f>
        <v>1190</v>
      </c>
      <c r="F268" s="401">
        <f>E268</f>
        <v>1190</v>
      </c>
    </row>
    <row r="269" spans="1:13">
      <c r="A269" s="398" t="s">
        <v>259</v>
      </c>
      <c r="B269" s="404">
        <f>B268*B267/1000000</f>
        <v>116.82111</v>
      </c>
      <c r="C269" s="404">
        <f>C268*C267/1000000</f>
        <v>118.18485</v>
      </c>
      <c r="D269" s="404">
        <f>D268*D267/1000000</f>
        <v>136.62152</v>
      </c>
      <c r="E269" s="404">
        <f>E268*E267/1000000</f>
        <v>123.22331</v>
      </c>
      <c r="F269" s="404">
        <f>F268*F267/1000000</f>
        <v>121.84529000000001</v>
      </c>
    </row>
    <row r="270" spans="1:13">
      <c r="A270" s="396"/>
      <c r="B270" s="405"/>
      <c r="C270" s="405"/>
      <c r="D270" s="405"/>
      <c r="E270" s="405"/>
      <c r="F270" s="405"/>
      <c r="H270" s="397"/>
      <c r="I270" s="397"/>
      <c r="J270" s="397"/>
      <c r="K270" s="397"/>
      <c r="L270" s="397"/>
      <c r="M270" s="397"/>
    </row>
    <row r="271" spans="1:13" s="397" customFormat="1">
      <c r="A271" s="396" t="s">
        <v>246</v>
      </c>
      <c r="B271" s="396" t="s">
        <v>303</v>
      </c>
      <c r="H271"/>
      <c r="I271"/>
      <c r="J271"/>
      <c r="K271"/>
      <c r="L271"/>
      <c r="M271"/>
    </row>
    <row r="272" spans="1:13">
      <c r="A272" s="398" t="s">
        <v>248</v>
      </c>
      <c r="B272" s="399" t="s">
        <v>249</v>
      </c>
      <c r="C272" s="399" t="s">
        <v>250</v>
      </c>
      <c r="D272" s="399" t="s">
        <v>251</v>
      </c>
      <c r="E272" s="399" t="s">
        <v>252</v>
      </c>
      <c r="F272" s="399" t="s">
        <v>253</v>
      </c>
    </row>
    <row r="273" spans="1:13">
      <c r="A273" s="398" t="s">
        <v>254</v>
      </c>
      <c r="B273" s="402">
        <v>150249</v>
      </c>
      <c r="C273" s="402">
        <v>183792</v>
      </c>
      <c r="D273" s="402">
        <v>194754</v>
      </c>
      <c r="E273" s="402">
        <v>210233</v>
      </c>
      <c r="F273" s="402">
        <v>198021</v>
      </c>
    </row>
    <row r="274" spans="1:13">
      <c r="A274" s="398" t="s">
        <v>255</v>
      </c>
      <c r="B274" s="401">
        <v>1240</v>
      </c>
      <c r="C274" s="401">
        <f>B274</f>
        <v>1240</v>
      </c>
      <c r="D274" s="401">
        <f>C274</f>
        <v>1240</v>
      </c>
      <c r="E274" s="401">
        <f>D274</f>
        <v>1240</v>
      </c>
      <c r="F274" s="401">
        <f>E274</f>
        <v>1240</v>
      </c>
    </row>
    <row r="275" spans="1:13">
      <c r="A275" s="398" t="s">
        <v>259</v>
      </c>
      <c r="B275" s="404">
        <f>B274*B273/1000000</f>
        <v>186.30876000000001</v>
      </c>
      <c r="C275" s="404">
        <f>C274*C273/1000000</f>
        <v>227.90208000000001</v>
      </c>
      <c r="D275" s="404">
        <f>D274*D273/1000000</f>
        <v>241.49495999999999</v>
      </c>
      <c r="E275" s="404">
        <f>E274*E273/1000000</f>
        <v>260.68892</v>
      </c>
      <c r="F275" s="404">
        <f>F274*F273/1000000</f>
        <v>245.54604</v>
      </c>
    </row>
    <row r="276" spans="1:13">
      <c r="A276" s="396"/>
      <c r="B276" s="405"/>
      <c r="C276" s="405"/>
      <c r="D276" s="405"/>
      <c r="E276" s="405"/>
      <c r="F276" s="405"/>
      <c r="H276" s="397"/>
      <c r="I276" s="397"/>
      <c r="J276" s="397"/>
      <c r="K276" s="397"/>
      <c r="L276" s="397"/>
      <c r="M276" s="397"/>
    </row>
    <row r="277" spans="1:13" s="397" customFormat="1">
      <c r="A277" s="396" t="s">
        <v>246</v>
      </c>
      <c r="B277" s="396" t="s">
        <v>304</v>
      </c>
      <c r="H277"/>
      <c r="I277"/>
      <c r="J277"/>
      <c r="K277"/>
      <c r="L277"/>
      <c r="M277"/>
    </row>
    <row r="278" spans="1:13">
      <c r="A278" s="398" t="s">
        <v>248</v>
      </c>
      <c r="B278" s="399" t="s">
        <v>249</v>
      </c>
      <c r="C278" s="399" t="s">
        <v>250</v>
      </c>
      <c r="D278" s="399" t="s">
        <v>251</v>
      </c>
      <c r="E278" s="399" t="s">
        <v>252</v>
      </c>
      <c r="F278" s="399" t="s">
        <v>253</v>
      </c>
    </row>
    <row r="279" spans="1:13">
      <c r="A279" s="398" t="s">
        <v>254</v>
      </c>
      <c r="B279" s="402">
        <v>123968</v>
      </c>
      <c r="C279" s="402">
        <v>86319</v>
      </c>
      <c r="D279" s="402">
        <v>102115</v>
      </c>
      <c r="E279" s="402">
        <v>106135</v>
      </c>
      <c r="F279" s="402">
        <v>152008</v>
      </c>
    </row>
    <row r="280" spans="1:13">
      <c r="A280" s="398" t="s">
        <v>255</v>
      </c>
      <c r="B280" s="401">
        <v>1450</v>
      </c>
      <c r="C280" s="401">
        <f>B280</f>
        <v>1450</v>
      </c>
      <c r="D280" s="401">
        <f>C280</f>
        <v>1450</v>
      </c>
      <c r="E280" s="401">
        <f>D280</f>
        <v>1450</v>
      </c>
      <c r="F280" s="401">
        <f>E280</f>
        <v>1450</v>
      </c>
    </row>
    <row r="281" spans="1:13">
      <c r="A281" s="398" t="s">
        <v>259</v>
      </c>
      <c r="B281" s="404">
        <f>B280*B279/1000000</f>
        <v>179.75360000000001</v>
      </c>
      <c r="C281" s="404">
        <f>C280*C279/1000000</f>
        <v>125.16255</v>
      </c>
      <c r="D281" s="404">
        <f>D280*D279/1000000</f>
        <v>148.06675000000001</v>
      </c>
      <c r="E281" s="404">
        <f>E280*E279/1000000</f>
        <v>153.89574999999999</v>
      </c>
      <c r="F281" s="404">
        <f>F280*F279/1000000</f>
        <v>220.41159999999999</v>
      </c>
    </row>
    <row r="282" spans="1:13">
      <c r="A282" s="396"/>
      <c r="B282" s="405"/>
      <c r="C282" s="405"/>
      <c r="D282" s="405"/>
      <c r="E282" s="405"/>
      <c r="F282" s="405"/>
      <c r="H282" s="397"/>
      <c r="I282" s="397"/>
      <c r="J282" s="397"/>
      <c r="K282" s="397"/>
      <c r="L282" s="397"/>
      <c r="M282" s="397"/>
    </row>
    <row r="283" spans="1:13" s="397" customFormat="1">
      <c r="A283" s="396" t="s">
        <v>246</v>
      </c>
      <c r="B283" s="396" t="s">
        <v>305</v>
      </c>
      <c r="H283"/>
      <c r="I283"/>
      <c r="J283"/>
      <c r="K283"/>
      <c r="L283"/>
      <c r="M283"/>
    </row>
    <row r="284" spans="1:13">
      <c r="A284" s="398" t="s">
        <v>248</v>
      </c>
      <c r="B284" s="399" t="s">
        <v>249</v>
      </c>
      <c r="C284" s="399" t="s">
        <v>250</v>
      </c>
      <c r="D284" s="399" t="s">
        <v>251</v>
      </c>
      <c r="E284" s="399" t="s">
        <v>252</v>
      </c>
      <c r="F284" s="399" t="s">
        <v>253</v>
      </c>
    </row>
    <row r="285" spans="1:13">
      <c r="A285" s="398" t="s">
        <v>254</v>
      </c>
      <c r="B285" s="402">
        <v>220491</v>
      </c>
      <c r="C285" s="402">
        <v>213592</v>
      </c>
      <c r="D285" s="402">
        <v>209504</v>
      </c>
      <c r="E285" s="402">
        <v>232198</v>
      </c>
      <c r="F285" s="402">
        <v>244825</v>
      </c>
    </row>
    <row r="286" spans="1:13">
      <c r="A286" s="398" t="s">
        <v>255</v>
      </c>
      <c r="B286" s="401">
        <v>1320</v>
      </c>
      <c r="C286" s="401">
        <f>B286</f>
        <v>1320</v>
      </c>
      <c r="D286" s="401">
        <f>C286</f>
        <v>1320</v>
      </c>
      <c r="E286" s="401">
        <f>D286</f>
        <v>1320</v>
      </c>
      <c r="F286" s="401">
        <f>E286</f>
        <v>1320</v>
      </c>
    </row>
    <row r="287" spans="1:13">
      <c r="A287" s="398" t="s">
        <v>259</v>
      </c>
      <c r="B287" s="404">
        <f>B286*B285/1000000</f>
        <v>291.04811999999998</v>
      </c>
      <c r="C287" s="404">
        <f>C286*C285/1000000</f>
        <v>281.94144</v>
      </c>
      <c r="D287" s="404">
        <f>D286*D285/1000000</f>
        <v>276.54527999999999</v>
      </c>
      <c r="E287" s="404">
        <f>E286*E285/1000000</f>
        <v>306.50135999999998</v>
      </c>
      <c r="F287" s="404">
        <f>F286*F285/1000000</f>
        <v>323.16899999999998</v>
      </c>
    </row>
    <row r="288" spans="1:13">
      <c r="A288" s="396"/>
      <c r="B288" s="405"/>
      <c r="C288" s="405"/>
      <c r="D288" s="405"/>
      <c r="E288" s="405"/>
      <c r="F288" s="405"/>
      <c r="H288" s="397"/>
      <c r="I288" s="397"/>
      <c r="J288" s="397"/>
      <c r="K288" s="397"/>
      <c r="L288" s="397"/>
      <c r="M288" s="397"/>
    </row>
    <row r="289" spans="1:13" s="397" customFormat="1">
      <c r="A289" s="396" t="s">
        <v>246</v>
      </c>
      <c r="B289" s="396" t="s">
        <v>306</v>
      </c>
      <c r="H289"/>
      <c r="I289"/>
      <c r="J289"/>
      <c r="K289"/>
      <c r="L289"/>
      <c r="M289"/>
    </row>
    <row r="290" spans="1:13">
      <c r="A290" s="398" t="s">
        <v>248</v>
      </c>
      <c r="B290" s="399" t="s">
        <v>249</v>
      </c>
      <c r="C290" s="399" t="s">
        <v>250</v>
      </c>
      <c r="D290" s="399" t="s">
        <v>251</v>
      </c>
      <c r="E290" s="399" t="s">
        <v>252</v>
      </c>
      <c r="F290" s="399" t="s">
        <v>253</v>
      </c>
    </row>
    <row r="291" spans="1:13">
      <c r="A291" s="398" t="s">
        <v>254</v>
      </c>
      <c r="B291" s="402">
        <v>430412</v>
      </c>
      <c r="C291" s="402">
        <v>469069</v>
      </c>
      <c r="D291" s="402">
        <v>501919</v>
      </c>
      <c r="E291" s="402">
        <v>510453</v>
      </c>
      <c r="F291" s="402">
        <v>507105</v>
      </c>
    </row>
    <row r="292" spans="1:13">
      <c r="A292" s="398" t="s">
        <v>255</v>
      </c>
      <c r="B292" s="401">
        <v>1080</v>
      </c>
      <c r="C292" s="401">
        <f>B292</f>
        <v>1080</v>
      </c>
      <c r="D292" s="401">
        <f>C292</f>
        <v>1080</v>
      </c>
      <c r="E292" s="401">
        <f>D292</f>
        <v>1080</v>
      </c>
      <c r="F292" s="401">
        <f>E292</f>
        <v>1080</v>
      </c>
    </row>
    <row r="293" spans="1:13">
      <c r="A293" s="398" t="s">
        <v>259</v>
      </c>
      <c r="B293" s="404">
        <f>B292*B291/1000000</f>
        <v>464.84496000000001</v>
      </c>
      <c r="C293" s="404">
        <f>C292*C291/1000000</f>
        <v>506.59451999999999</v>
      </c>
      <c r="D293" s="404">
        <f>D292*D291/1000000</f>
        <v>542.07252000000005</v>
      </c>
      <c r="E293" s="404">
        <f>E292*E291/1000000</f>
        <v>551.28923999999995</v>
      </c>
      <c r="F293" s="404">
        <f>F292*F291/1000000</f>
        <v>547.67340000000002</v>
      </c>
    </row>
    <row r="294" spans="1:13">
      <c r="A294" s="396"/>
      <c r="B294" s="405"/>
      <c r="C294" s="405"/>
      <c r="D294" s="405"/>
      <c r="E294" s="405"/>
      <c r="F294" s="405"/>
      <c r="H294" s="397"/>
      <c r="I294" s="397"/>
      <c r="J294" s="397"/>
      <c r="K294" s="397"/>
      <c r="L294" s="397"/>
      <c r="M294" s="397"/>
    </row>
    <row r="295" spans="1:13" s="397" customFormat="1">
      <c r="A295" s="396" t="s">
        <v>246</v>
      </c>
      <c r="B295" s="396" t="s">
        <v>307</v>
      </c>
      <c r="H295"/>
      <c r="I295"/>
      <c r="J295"/>
      <c r="K295"/>
      <c r="L295"/>
      <c r="M295"/>
    </row>
    <row r="296" spans="1:13">
      <c r="A296" s="398" t="s">
        <v>248</v>
      </c>
      <c r="B296" s="399" t="s">
        <v>249</v>
      </c>
      <c r="C296" s="399" t="s">
        <v>250</v>
      </c>
      <c r="D296" s="399" t="s">
        <v>251</v>
      </c>
      <c r="E296" s="399" t="s">
        <v>252</v>
      </c>
      <c r="F296" s="399" t="s">
        <v>253</v>
      </c>
    </row>
    <row r="297" spans="1:13">
      <c r="A297" s="398" t="s">
        <v>254</v>
      </c>
      <c r="B297" s="401"/>
      <c r="C297" s="402">
        <v>84138</v>
      </c>
      <c r="D297" s="402">
        <v>82603</v>
      </c>
      <c r="E297" s="402">
        <v>86983</v>
      </c>
      <c r="F297" s="402">
        <v>81455</v>
      </c>
    </row>
    <row r="298" spans="1:13">
      <c r="A298" s="398" t="s">
        <v>255</v>
      </c>
      <c r="B298" s="401">
        <v>1070</v>
      </c>
      <c r="C298" s="401">
        <f>B298</f>
        <v>1070</v>
      </c>
      <c r="D298" s="401">
        <f>C298</f>
        <v>1070</v>
      </c>
      <c r="E298" s="401">
        <f>D298</f>
        <v>1070</v>
      </c>
      <c r="F298" s="401">
        <f>E298</f>
        <v>1070</v>
      </c>
    </row>
    <row r="299" spans="1:13">
      <c r="A299" s="398" t="s">
        <v>259</v>
      </c>
      <c r="B299" s="404">
        <f>B298*B297/1000000</f>
        <v>0</v>
      </c>
      <c r="C299" s="404">
        <f>C298*C297/1000000</f>
        <v>90.027659999999997</v>
      </c>
      <c r="D299" s="404">
        <f>D298*D297/1000000</f>
        <v>88.385210000000001</v>
      </c>
      <c r="E299" s="404">
        <f>E298*E297/1000000</f>
        <v>93.071809999999999</v>
      </c>
      <c r="F299" s="404">
        <f>F298*F297/1000000</f>
        <v>87.156850000000006</v>
      </c>
    </row>
    <row r="300" spans="1:13">
      <c r="A300" s="396"/>
      <c r="B300" s="405"/>
      <c r="C300" s="405"/>
      <c r="D300" s="405"/>
      <c r="E300" s="405"/>
      <c r="F300" s="405"/>
      <c r="H300" s="397"/>
      <c r="I300" s="397"/>
      <c r="J300" s="397"/>
      <c r="K300" s="397"/>
      <c r="L300" s="397"/>
      <c r="M300" s="397"/>
    </row>
    <row r="301" spans="1:13" s="397" customFormat="1">
      <c r="A301" s="396" t="s">
        <v>246</v>
      </c>
      <c r="B301" s="396" t="s">
        <v>308</v>
      </c>
      <c r="H301"/>
      <c r="I301"/>
      <c r="J301"/>
      <c r="K301"/>
      <c r="L301"/>
      <c r="M301"/>
    </row>
    <row r="302" spans="1:13">
      <c r="A302" s="398" t="s">
        <v>248</v>
      </c>
      <c r="B302" s="399" t="s">
        <v>249</v>
      </c>
      <c r="C302" s="399" t="s">
        <v>250</v>
      </c>
      <c r="D302" s="399" t="s">
        <v>251</v>
      </c>
      <c r="E302" s="399" t="s">
        <v>252</v>
      </c>
      <c r="F302" s="399" t="s">
        <v>253</v>
      </c>
    </row>
    <row r="303" spans="1:13">
      <c r="A303" s="398" t="s">
        <v>254</v>
      </c>
      <c r="B303" s="402">
        <v>164087</v>
      </c>
      <c r="C303" s="402">
        <v>182823</v>
      </c>
      <c r="D303" s="402">
        <v>189319</v>
      </c>
      <c r="E303" s="402">
        <v>196050</v>
      </c>
      <c r="F303" s="402">
        <v>199688</v>
      </c>
    </row>
    <row r="304" spans="1:13">
      <c r="A304" s="398" t="s">
        <v>255</v>
      </c>
      <c r="B304" s="401">
        <v>914</v>
      </c>
      <c r="C304" s="401">
        <f>B304</f>
        <v>914</v>
      </c>
      <c r="D304" s="401">
        <f>C304</f>
        <v>914</v>
      </c>
      <c r="E304" s="401">
        <f>D304</f>
        <v>914</v>
      </c>
      <c r="F304" s="401">
        <f>E304</f>
        <v>914</v>
      </c>
    </row>
    <row r="305" spans="1:13">
      <c r="A305" s="398" t="s">
        <v>259</v>
      </c>
      <c r="B305" s="404">
        <f>B304*B303/1000000</f>
        <v>149.97551799999999</v>
      </c>
      <c r="C305" s="404">
        <f>C304*C303/1000000</f>
        <v>167.100222</v>
      </c>
      <c r="D305" s="404">
        <f>D304*D303/1000000</f>
        <v>173.037566</v>
      </c>
      <c r="E305" s="404">
        <f>E304*E303/1000000</f>
        <v>179.18969999999999</v>
      </c>
      <c r="F305" s="404">
        <f>F304*F303/1000000</f>
        <v>182.51483200000001</v>
      </c>
    </row>
    <row r="306" spans="1:13">
      <c r="A306" s="396"/>
      <c r="B306" s="405"/>
      <c r="C306" s="405"/>
      <c r="D306" s="405"/>
      <c r="E306" s="405"/>
      <c r="F306" s="405"/>
      <c r="H306" s="397"/>
      <c r="I306" s="397"/>
      <c r="J306" s="397"/>
      <c r="K306" s="397"/>
      <c r="L306" s="397"/>
      <c r="M306" s="397"/>
    </row>
    <row r="307" spans="1:13" s="397" customFormat="1">
      <c r="A307" s="396" t="s">
        <v>246</v>
      </c>
      <c r="B307" s="396" t="s">
        <v>309</v>
      </c>
      <c r="H307"/>
      <c r="I307"/>
      <c r="J307"/>
      <c r="K307"/>
      <c r="L307"/>
      <c r="M307"/>
    </row>
    <row r="308" spans="1:13">
      <c r="A308" s="398" t="s">
        <v>248</v>
      </c>
      <c r="B308" s="399" t="s">
        <v>249</v>
      </c>
      <c r="C308" s="399" t="s">
        <v>250</v>
      </c>
      <c r="D308" s="399" t="s">
        <v>251</v>
      </c>
      <c r="E308" s="399" t="s">
        <v>252</v>
      </c>
      <c r="F308" s="399" t="s">
        <v>253</v>
      </c>
    </row>
    <row r="309" spans="1:13">
      <c r="A309" s="398" t="s">
        <v>254</v>
      </c>
      <c r="B309" s="402">
        <v>138260</v>
      </c>
      <c r="C309" s="402">
        <v>153212</v>
      </c>
      <c r="D309" s="402">
        <v>164203</v>
      </c>
      <c r="E309" s="402">
        <v>190187</v>
      </c>
      <c r="F309" s="402">
        <v>222501</v>
      </c>
    </row>
    <row r="310" spans="1:13">
      <c r="A310" s="398" t="s">
        <v>255</v>
      </c>
      <c r="B310" s="401">
        <v>1380</v>
      </c>
      <c r="C310" s="401">
        <f>B310</f>
        <v>1380</v>
      </c>
      <c r="D310" s="401">
        <f>C310</f>
        <v>1380</v>
      </c>
      <c r="E310" s="401">
        <f>D310</f>
        <v>1380</v>
      </c>
      <c r="F310" s="401">
        <f>E310</f>
        <v>1380</v>
      </c>
    </row>
    <row r="311" spans="1:13">
      <c r="A311" s="398" t="s">
        <v>259</v>
      </c>
      <c r="B311" s="404">
        <f>B310*B309/1000000</f>
        <v>190.7988</v>
      </c>
      <c r="C311" s="404">
        <f>C310*C309/1000000</f>
        <v>211.43256</v>
      </c>
      <c r="D311" s="404">
        <f>D310*D309/1000000</f>
        <v>226.60014000000001</v>
      </c>
      <c r="E311" s="404">
        <f>E310*E309/1000000</f>
        <v>262.45805999999999</v>
      </c>
      <c r="F311" s="404">
        <f>F310*F309/1000000</f>
        <v>307.05137999999999</v>
      </c>
    </row>
    <row r="312" spans="1:13">
      <c r="A312" s="396"/>
      <c r="B312" s="405"/>
      <c r="C312" s="405"/>
      <c r="D312" s="405"/>
      <c r="E312" s="405"/>
      <c r="F312" s="405"/>
      <c r="H312" s="397"/>
      <c r="I312" s="397"/>
      <c r="J312" s="397"/>
      <c r="K312" s="397"/>
      <c r="L312" s="397"/>
      <c r="M312" s="397"/>
    </row>
    <row r="313" spans="1:13" s="397" customFormat="1">
      <c r="A313" s="396" t="s">
        <v>246</v>
      </c>
      <c r="B313" s="396" t="s">
        <v>310</v>
      </c>
      <c r="H313"/>
      <c r="I313"/>
      <c r="J313"/>
      <c r="K313"/>
      <c r="L313"/>
      <c r="M313"/>
    </row>
    <row r="314" spans="1:13">
      <c r="A314" s="398" t="s">
        <v>248</v>
      </c>
      <c r="B314" s="399" t="s">
        <v>249</v>
      </c>
      <c r="C314" s="399" t="s">
        <v>250</v>
      </c>
      <c r="D314" s="399" t="s">
        <v>251</v>
      </c>
      <c r="E314" s="399" t="s">
        <v>252</v>
      </c>
      <c r="F314" s="399" t="s">
        <v>253</v>
      </c>
    </row>
    <row r="315" spans="1:13">
      <c r="A315" s="398" t="s">
        <v>254</v>
      </c>
      <c r="B315" s="402">
        <v>84094</v>
      </c>
      <c r="C315" s="401"/>
      <c r="D315" s="401"/>
      <c r="E315" s="401"/>
      <c r="F315" s="401"/>
    </row>
    <row r="316" spans="1:13">
      <c r="A316" s="398" t="s">
        <v>255</v>
      </c>
      <c r="B316" s="401">
        <v>1000</v>
      </c>
      <c r="C316" s="401">
        <f>B316</f>
        <v>1000</v>
      </c>
      <c r="D316" s="401">
        <f>C316</f>
        <v>1000</v>
      </c>
      <c r="E316" s="401">
        <f>D316</f>
        <v>1000</v>
      </c>
      <c r="F316" s="401">
        <f>E316</f>
        <v>1000</v>
      </c>
    </row>
    <row r="317" spans="1:13">
      <c r="A317" s="398" t="s">
        <v>259</v>
      </c>
      <c r="B317" s="404">
        <f>B316*B315/1000000</f>
        <v>84.093999999999994</v>
      </c>
      <c r="C317" s="404">
        <f>C316*C315/1000000</f>
        <v>0</v>
      </c>
      <c r="D317" s="404">
        <f>D316*D315/1000000</f>
        <v>0</v>
      </c>
      <c r="E317" s="404">
        <f>E316*E315/1000000</f>
        <v>0</v>
      </c>
      <c r="F317" s="404">
        <f>F316*F315/1000000</f>
        <v>0</v>
      </c>
    </row>
    <row r="318" spans="1:13">
      <c r="A318" s="396"/>
      <c r="B318" s="405"/>
      <c r="C318" s="405"/>
      <c r="D318" s="405"/>
      <c r="E318" s="405"/>
      <c r="F318" s="405"/>
      <c r="H318" s="397"/>
      <c r="I318" s="397"/>
      <c r="J318" s="397"/>
      <c r="K318" s="397"/>
      <c r="L318" s="397"/>
      <c r="M318" s="397"/>
    </row>
    <row r="319" spans="1:13" s="397" customFormat="1">
      <c r="A319" s="396" t="s">
        <v>246</v>
      </c>
      <c r="B319" s="396" t="s">
        <v>311</v>
      </c>
      <c r="H319"/>
      <c r="I319"/>
      <c r="J319"/>
      <c r="K319"/>
      <c r="L319"/>
      <c r="M319"/>
    </row>
    <row r="320" spans="1:13">
      <c r="A320" s="398" t="s">
        <v>248</v>
      </c>
      <c r="B320" s="399" t="s">
        <v>249</v>
      </c>
      <c r="C320" s="399" t="s">
        <v>250</v>
      </c>
      <c r="D320" s="399" t="s">
        <v>251</v>
      </c>
      <c r="E320" s="399" t="s">
        <v>252</v>
      </c>
      <c r="F320" s="399" t="s">
        <v>253</v>
      </c>
    </row>
    <row r="321" spans="1:13">
      <c r="A321" s="398" t="s">
        <v>254</v>
      </c>
      <c r="B321" s="402">
        <v>174926</v>
      </c>
      <c r="C321" s="402">
        <v>188543</v>
      </c>
      <c r="D321" s="402">
        <v>198878</v>
      </c>
      <c r="E321" s="402">
        <v>251719</v>
      </c>
      <c r="F321" s="402">
        <v>270007</v>
      </c>
    </row>
    <row r="322" spans="1:13">
      <c r="A322" s="398" t="s">
        <v>255</v>
      </c>
      <c r="B322" s="401">
        <v>1240</v>
      </c>
      <c r="C322" s="401">
        <f>B322</f>
        <v>1240</v>
      </c>
      <c r="D322" s="401">
        <f>C322</f>
        <v>1240</v>
      </c>
      <c r="E322" s="401">
        <f>D322</f>
        <v>1240</v>
      </c>
      <c r="F322" s="401">
        <f>E322</f>
        <v>1240</v>
      </c>
    </row>
    <row r="323" spans="1:13">
      <c r="A323" s="398" t="s">
        <v>259</v>
      </c>
      <c r="B323" s="404">
        <f>B322*B321/1000000</f>
        <v>216.90824000000001</v>
      </c>
      <c r="C323" s="404">
        <f>C322*C321/1000000</f>
        <v>233.79331999999999</v>
      </c>
      <c r="D323" s="404">
        <f>D322*D321/1000000</f>
        <v>246.60872000000001</v>
      </c>
      <c r="E323" s="404">
        <f>E322*E321/1000000</f>
        <v>312.13155999999998</v>
      </c>
      <c r="F323" s="404">
        <f>F322*F321/1000000</f>
        <v>334.80867999999998</v>
      </c>
    </row>
    <row r="324" spans="1:13">
      <c r="A324" s="396"/>
      <c r="B324" s="405"/>
      <c r="C324" s="405"/>
      <c r="D324" s="405"/>
      <c r="E324" s="405"/>
      <c r="F324" s="405"/>
      <c r="H324" s="397"/>
      <c r="I324" s="397"/>
      <c r="J324" s="397"/>
      <c r="K324" s="397"/>
      <c r="L324" s="397"/>
      <c r="M324" s="397"/>
    </row>
    <row r="325" spans="1:13" s="397" customFormat="1">
      <c r="A325" s="396" t="s">
        <v>246</v>
      </c>
      <c r="B325" s="396" t="s">
        <v>312</v>
      </c>
      <c r="H325"/>
      <c r="I325"/>
      <c r="J325"/>
      <c r="K325"/>
      <c r="L325"/>
      <c r="M325"/>
    </row>
    <row r="326" spans="1:13">
      <c r="A326" s="398" t="s">
        <v>248</v>
      </c>
      <c r="B326" s="399" t="s">
        <v>249</v>
      </c>
      <c r="C326" s="399" t="s">
        <v>250</v>
      </c>
      <c r="D326" s="399" t="s">
        <v>251</v>
      </c>
      <c r="E326" s="399" t="s">
        <v>252</v>
      </c>
      <c r="F326" s="399" t="s">
        <v>253</v>
      </c>
    </row>
    <row r="327" spans="1:13">
      <c r="A327" s="398" t="s">
        <v>254</v>
      </c>
      <c r="B327" s="401"/>
      <c r="C327" s="402">
        <v>85282</v>
      </c>
      <c r="D327" s="401"/>
      <c r="E327" s="401"/>
      <c r="F327" s="401"/>
    </row>
    <row r="328" spans="1:13">
      <c r="A328" s="398" t="s">
        <v>255</v>
      </c>
      <c r="B328" s="401">
        <v>2850</v>
      </c>
      <c r="C328" s="401">
        <f>B328</f>
        <v>2850</v>
      </c>
      <c r="D328" s="401">
        <f>C328</f>
        <v>2850</v>
      </c>
      <c r="E328" s="401">
        <f>D328</f>
        <v>2850</v>
      </c>
      <c r="F328" s="401">
        <f>E328</f>
        <v>2850</v>
      </c>
    </row>
    <row r="329" spans="1:13">
      <c r="A329" s="398" t="s">
        <v>259</v>
      </c>
      <c r="B329" s="404">
        <f>B328*B327/1000000</f>
        <v>0</v>
      </c>
      <c r="C329" s="404">
        <f>C328*C327/1000000</f>
        <v>243.05369999999999</v>
      </c>
      <c r="D329" s="404">
        <f>D328*D327/1000000</f>
        <v>0</v>
      </c>
      <c r="E329" s="404">
        <f>E328*E327/1000000</f>
        <v>0</v>
      </c>
      <c r="F329" s="404">
        <f>F328*F327/1000000</f>
        <v>0</v>
      </c>
    </row>
    <row r="331" spans="1:13">
      <c r="A331" s="408"/>
      <c r="H331" s="397"/>
      <c r="I331" s="397"/>
      <c r="J331" s="397"/>
      <c r="K331" s="397"/>
      <c r="L331" s="397"/>
      <c r="M331" s="397"/>
    </row>
    <row r="332" spans="1:13" s="397" customFormat="1">
      <c r="A332" s="396" t="s">
        <v>246</v>
      </c>
      <c r="B332" s="396" t="s">
        <v>313</v>
      </c>
      <c r="H332"/>
      <c r="I332"/>
      <c r="J332"/>
      <c r="K332"/>
      <c r="L332"/>
      <c r="M332"/>
    </row>
    <row r="333" spans="1:13">
      <c r="A333" s="398" t="s">
        <v>248</v>
      </c>
      <c r="B333" s="399" t="s">
        <v>249</v>
      </c>
      <c r="C333" s="399" t="s">
        <v>250</v>
      </c>
      <c r="D333" s="399" t="s">
        <v>251</v>
      </c>
      <c r="E333" s="399" t="s">
        <v>252</v>
      </c>
      <c r="F333" s="399" t="s">
        <v>253</v>
      </c>
    </row>
    <row r="334" spans="1:13">
      <c r="A334" s="398" t="s">
        <v>254</v>
      </c>
      <c r="B334" s="402">
        <v>125315</v>
      </c>
      <c r="C334" s="402">
        <v>131918</v>
      </c>
      <c r="D334" s="402">
        <v>129666</v>
      </c>
      <c r="E334" s="402">
        <v>124335</v>
      </c>
      <c r="F334" s="402">
        <v>119464</v>
      </c>
    </row>
    <row r="335" spans="1:13">
      <c r="A335" s="398" t="s">
        <v>255</v>
      </c>
      <c r="B335" s="401">
        <v>2930</v>
      </c>
      <c r="C335" s="401">
        <f>B335</f>
        <v>2930</v>
      </c>
      <c r="D335" s="401">
        <f>C335</f>
        <v>2930</v>
      </c>
      <c r="E335" s="401">
        <f>D335</f>
        <v>2930</v>
      </c>
      <c r="F335" s="401">
        <f>E335</f>
        <v>2930</v>
      </c>
    </row>
    <row r="336" spans="1:13">
      <c r="A336" s="398" t="s">
        <v>259</v>
      </c>
      <c r="B336" s="404">
        <f>B335*B334/1000000</f>
        <v>367.17295000000001</v>
      </c>
      <c r="C336" s="404">
        <f>C335*C334/1000000</f>
        <v>386.51974000000001</v>
      </c>
      <c r="D336" s="404">
        <f>D335*D334/1000000</f>
        <v>379.92138</v>
      </c>
      <c r="E336" s="404">
        <f>E335*E334/1000000</f>
        <v>364.30155000000002</v>
      </c>
      <c r="F336" s="404">
        <f>F335*F334/1000000</f>
        <v>350.02951999999999</v>
      </c>
    </row>
    <row r="337" spans="1:13">
      <c r="A337" s="396"/>
      <c r="B337" s="405"/>
      <c r="C337" s="405"/>
      <c r="D337" s="405"/>
      <c r="E337" s="405"/>
      <c r="F337" s="405"/>
      <c r="H337" s="397"/>
      <c r="I337" s="397"/>
      <c r="J337" s="397"/>
      <c r="K337" s="397"/>
      <c r="L337" s="397"/>
      <c r="M337" s="397"/>
    </row>
    <row r="338" spans="1:13" s="397" customFormat="1">
      <c r="A338" s="396" t="s">
        <v>246</v>
      </c>
      <c r="B338" s="396" t="s">
        <v>314</v>
      </c>
      <c r="H338"/>
      <c r="I338"/>
      <c r="J338"/>
      <c r="K338"/>
      <c r="L338"/>
      <c r="M338"/>
    </row>
    <row r="339" spans="1:13">
      <c r="A339" s="398" t="s">
        <v>248</v>
      </c>
      <c r="B339" s="399" t="s">
        <v>249</v>
      </c>
      <c r="C339" s="399" t="s">
        <v>250</v>
      </c>
      <c r="D339" s="399" t="s">
        <v>251</v>
      </c>
      <c r="E339" s="399" t="s">
        <v>252</v>
      </c>
      <c r="F339" s="399" t="s">
        <v>253</v>
      </c>
    </row>
    <row r="340" spans="1:13">
      <c r="A340" s="398" t="s">
        <v>254</v>
      </c>
      <c r="B340" s="402">
        <v>203743</v>
      </c>
      <c r="C340" s="402">
        <v>207506</v>
      </c>
      <c r="D340" s="402">
        <v>202306</v>
      </c>
      <c r="E340" s="402">
        <v>247855</v>
      </c>
      <c r="F340" s="402">
        <v>265869</v>
      </c>
    </row>
    <row r="341" spans="1:13">
      <c r="A341" s="398" t="s">
        <v>255</v>
      </c>
      <c r="B341" s="401">
        <v>2780</v>
      </c>
      <c r="C341" s="401">
        <f>B341</f>
        <v>2780</v>
      </c>
      <c r="D341" s="401">
        <f>C341</f>
        <v>2780</v>
      </c>
      <c r="E341" s="401">
        <f>D341</f>
        <v>2780</v>
      </c>
      <c r="F341" s="401">
        <f>E341</f>
        <v>2780</v>
      </c>
    </row>
    <row r="342" spans="1:13">
      <c r="A342" s="398" t="s">
        <v>259</v>
      </c>
      <c r="B342" s="404">
        <f>B341*B340/1000000</f>
        <v>566.40553999999997</v>
      </c>
      <c r="C342" s="404">
        <f>C341*C340/1000000</f>
        <v>576.86667999999997</v>
      </c>
      <c r="D342" s="404">
        <f>D341*D340/1000000</f>
        <v>562.41067999999996</v>
      </c>
      <c r="E342" s="404">
        <f>E341*E340/1000000</f>
        <v>689.03689999999995</v>
      </c>
      <c r="F342" s="404">
        <f>F341*F340/1000000</f>
        <v>739.11581999999999</v>
      </c>
    </row>
    <row r="343" spans="1:13">
      <c r="A343" s="396"/>
      <c r="B343" s="405"/>
      <c r="C343" s="405"/>
      <c r="D343" s="405"/>
      <c r="E343" s="405"/>
      <c r="F343" s="405"/>
      <c r="H343" s="397"/>
      <c r="I343" s="397"/>
      <c r="J343" s="397"/>
      <c r="K343" s="397"/>
      <c r="L343" s="397"/>
      <c r="M343" s="397"/>
    </row>
    <row r="344" spans="1:13" s="397" customFormat="1">
      <c r="A344" s="396" t="s">
        <v>246</v>
      </c>
      <c r="B344" s="396" t="s">
        <v>315</v>
      </c>
      <c r="H344"/>
      <c r="I344"/>
      <c r="J344"/>
      <c r="K344"/>
      <c r="L344"/>
      <c r="M344"/>
    </row>
    <row r="345" spans="1:13">
      <c r="A345" s="398" t="s">
        <v>248</v>
      </c>
      <c r="B345" s="399" t="s">
        <v>249</v>
      </c>
      <c r="C345" s="399" t="s">
        <v>250</v>
      </c>
      <c r="D345" s="399" t="s">
        <v>251</v>
      </c>
      <c r="E345" s="399" t="s">
        <v>252</v>
      </c>
      <c r="F345" s="399" t="s">
        <v>253</v>
      </c>
    </row>
    <row r="346" spans="1:13">
      <c r="A346" s="398" t="s">
        <v>254</v>
      </c>
      <c r="B346" s="402">
        <v>112948</v>
      </c>
      <c r="C346" s="402">
        <v>108517</v>
      </c>
      <c r="D346" s="402">
        <v>106328</v>
      </c>
      <c r="E346" s="402">
        <v>130340</v>
      </c>
      <c r="F346" s="402">
        <v>138123</v>
      </c>
    </row>
    <row r="347" spans="1:13">
      <c r="A347" s="398" t="s">
        <v>255</v>
      </c>
      <c r="B347" s="401">
        <v>2950</v>
      </c>
      <c r="C347" s="401">
        <f>B347</f>
        <v>2950</v>
      </c>
      <c r="D347" s="401">
        <f>C347</f>
        <v>2950</v>
      </c>
      <c r="E347" s="401">
        <f>D347</f>
        <v>2950</v>
      </c>
      <c r="F347" s="401">
        <f>E347</f>
        <v>2950</v>
      </c>
    </row>
    <row r="348" spans="1:13">
      <c r="A348" s="398" t="s">
        <v>259</v>
      </c>
      <c r="B348" s="404">
        <f>B347*B346/1000000</f>
        <v>333.19659999999999</v>
      </c>
      <c r="C348" s="404">
        <f>C347*C346/1000000</f>
        <v>320.12515000000002</v>
      </c>
      <c r="D348" s="404">
        <f>D347*D346/1000000</f>
        <v>313.66759999999999</v>
      </c>
      <c r="E348" s="404">
        <f>E347*E346/1000000</f>
        <v>384.50299999999999</v>
      </c>
      <c r="F348" s="404">
        <f>F347*F346/1000000</f>
        <v>407.46285</v>
      </c>
    </row>
    <row r="349" spans="1:13">
      <c r="A349" s="396"/>
      <c r="B349" s="405"/>
      <c r="C349" s="405"/>
      <c r="D349" s="405"/>
      <c r="E349" s="405"/>
      <c r="F349" s="405"/>
      <c r="H349" s="397"/>
      <c r="I349" s="397"/>
      <c r="J349" s="397"/>
      <c r="K349" s="397"/>
      <c r="L349" s="397"/>
      <c r="M349" s="397"/>
    </row>
    <row r="350" spans="1:13" s="397" customFormat="1">
      <c r="A350" s="396" t="s">
        <v>246</v>
      </c>
      <c r="B350" s="396" t="s">
        <v>316</v>
      </c>
      <c r="H350"/>
      <c r="I350"/>
      <c r="J350"/>
      <c r="K350"/>
      <c r="L350"/>
      <c r="M350"/>
    </row>
    <row r="351" spans="1:13">
      <c r="A351" s="398" t="s">
        <v>248</v>
      </c>
      <c r="B351" s="399" t="s">
        <v>249</v>
      </c>
      <c r="C351" s="399" t="s">
        <v>250</v>
      </c>
      <c r="D351" s="399" t="s">
        <v>251</v>
      </c>
      <c r="E351" s="399" t="s">
        <v>252</v>
      </c>
      <c r="F351" s="399" t="s">
        <v>253</v>
      </c>
    </row>
    <row r="352" spans="1:13">
      <c r="A352" s="398" t="s">
        <v>254</v>
      </c>
      <c r="B352" s="402">
        <v>150810</v>
      </c>
      <c r="C352" s="402">
        <v>154584</v>
      </c>
      <c r="D352" s="402">
        <v>169754</v>
      </c>
      <c r="E352" s="402">
        <v>167565</v>
      </c>
      <c r="F352" s="402">
        <v>168336</v>
      </c>
    </row>
    <row r="353" spans="1:13">
      <c r="A353" s="398" t="s">
        <v>255</v>
      </c>
      <c r="B353" s="401">
        <v>1740</v>
      </c>
      <c r="C353" s="401">
        <f>B353</f>
        <v>1740</v>
      </c>
      <c r="D353" s="401">
        <f>C353</f>
        <v>1740</v>
      </c>
      <c r="E353" s="401">
        <f>D353</f>
        <v>1740</v>
      </c>
      <c r="F353" s="401">
        <f>E353</f>
        <v>1740</v>
      </c>
    </row>
    <row r="354" spans="1:13">
      <c r="A354" s="398" t="s">
        <v>259</v>
      </c>
      <c r="B354" s="404">
        <f>B353*B352/1000000</f>
        <v>262.40940000000001</v>
      </c>
      <c r="C354" s="404">
        <f>C353*C352/1000000</f>
        <v>268.97615999999999</v>
      </c>
      <c r="D354" s="404">
        <f>D353*D352/1000000</f>
        <v>295.37196</v>
      </c>
      <c r="E354" s="404">
        <f>E353*E352/1000000</f>
        <v>291.56310000000002</v>
      </c>
      <c r="F354" s="404">
        <f>F353*F352/1000000</f>
        <v>292.90463999999997</v>
      </c>
    </row>
    <row r="355" spans="1:13">
      <c r="A355" s="396"/>
      <c r="B355" s="405"/>
      <c r="C355" s="405"/>
      <c r="D355" s="405"/>
      <c r="E355" s="405"/>
      <c r="F355" s="405"/>
      <c r="H355" s="397"/>
      <c r="I355" s="397"/>
      <c r="J355" s="397"/>
      <c r="K355" s="397"/>
      <c r="L355" s="397"/>
      <c r="M355" s="397"/>
    </row>
    <row r="356" spans="1:13" s="397" customFormat="1">
      <c r="A356" s="396" t="s">
        <v>246</v>
      </c>
      <c r="B356" s="396" t="s">
        <v>317</v>
      </c>
      <c r="H356"/>
      <c r="I356"/>
      <c r="J356"/>
      <c r="K356"/>
      <c r="L356"/>
      <c r="M356"/>
    </row>
    <row r="357" spans="1:13">
      <c r="A357" s="398" t="s">
        <v>248</v>
      </c>
      <c r="B357" s="399" t="s">
        <v>249</v>
      </c>
      <c r="C357" s="399" t="s">
        <v>250</v>
      </c>
      <c r="D357" s="399" t="s">
        <v>251</v>
      </c>
      <c r="E357" s="399" t="s">
        <v>252</v>
      </c>
      <c r="F357" s="399" t="s">
        <v>253</v>
      </c>
    </row>
    <row r="358" spans="1:13">
      <c r="A358" s="398" t="s">
        <v>254</v>
      </c>
      <c r="B358" s="402">
        <v>202940</v>
      </c>
      <c r="C358" s="402">
        <v>279259</v>
      </c>
      <c r="D358" s="402">
        <v>290577</v>
      </c>
      <c r="E358" s="402">
        <v>293211</v>
      </c>
      <c r="F358" s="402">
        <v>355341</v>
      </c>
    </row>
    <row r="359" spans="1:13">
      <c r="A359" s="398" t="s">
        <v>255</v>
      </c>
      <c r="B359" s="401">
        <v>1480</v>
      </c>
      <c r="C359" s="401">
        <f>B359</f>
        <v>1480</v>
      </c>
      <c r="D359" s="401">
        <f>C359</f>
        <v>1480</v>
      </c>
      <c r="E359" s="401">
        <f>D359</f>
        <v>1480</v>
      </c>
      <c r="F359" s="401">
        <f>E359</f>
        <v>1480</v>
      </c>
    </row>
    <row r="360" spans="1:13">
      <c r="A360" s="398" t="s">
        <v>259</v>
      </c>
      <c r="B360" s="404">
        <f>B359*B358/1000000</f>
        <v>300.35120000000001</v>
      </c>
      <c r="C360" s="404">
        <f>C359*C358/1000000</f>
        <v>413.30331999999999</v>
      </c>
      <c r="D360" s="404">
        <f>D359*D358/1000000</f>
        <v>430.05396000000002</v>
      </c>
      <c r="E360" s="404">
        <f>E359*E358/1000000</f>
        <v>433.95227999999997</v>
      </c>
      <c r="F360" s="404">
        <f>F359*F358/1000000</f>
        <v>525.90467999999998</v>
      </c>
    </row>
    <row r="361" spans="1:13">
      <c r="A361" s="396"/>
      <c r="B361" s="405"/>
      <c r="C361" s="405"/>
      <c r="D361" s="405"/>
      <c r="E361" s="405"/>
      <c r="F361" s="405"/>
      <c r="H361" s="397"/>
      <c r="I361" s="397"/>
      <c r="J361" s="397"/>
      <c r="K361" s="397"/>
      <c r="L361" s="397"/>
      <c r="M361" s="397"/>
    </row>
    <row r="362" spans="1:13" s="397" customFormat="1">
      <c r="A362" s="396" t="s">
        <v>246</v>
      </c>
      <c r="B362" s="396" t="s">
        <v>318</v>
      </c>
      <c r="H362"/>
      <c r="I362"/>
      <c r="J362"/>
      <c r="K362"/>
      <c r="L362"/>
      <c r="M362"/>
    </row>
    <row r="363" spans="1:13">
      <c r="A363" s="398" t="s">
        <v>248</v>
      </c>
      <c r="B363" s="399" t="s">
        <v>249</v>
      </c>
      <c r="C363" s="399" t="s">
        <v>250</v>
      </c>
      <c r="D363" s="399" t="s">
        <v>251</v>
      </c>
      <c r="E363" s="399" t="s">
        <v>252</v>
      </c>
      <c r="F363" s="399" t="s">
        <v>253</v>
      </c>
    </row>
    <row r="364" spans="1:13">
      <c r="A364" s="398" t="s">
        <v>254</v>
      </c>
      <c r="B364" s="402">
        <v>90070</v>
      </c>
      <c r="C364" s="401"/>
      <c r="D364" s="401"/>
      <c r="E364" s="401"/>
      <c r="F364" s="401"/>
    </row>
    <row r="365" spans="1:13">
      <c r="A365" s="398" t="s">
        <v>255</v>
      </c>
      <c r="B365" s="401">
        <v>1440</v>
      </c>
      <c r="C365" s="401">
        <f>B365</f>
        <v>1440</v>
      </c>
      <c r="D365" s="401">
        <f>C365</f>
        <v>1440</v>
      </c>
      <c r="E365" s="401">
        <f>D365</f>
        <v>1440</v>
      </c>
      <c r="F365" s="401">
        <f>E365</f>
        <v>1440</v>
      </c>
    </row>
    <row r="366" spans="1:13">
      <c r="A366" s="398" t="s">
        <v>259</v>
      </c>
      <c r="B366" s="404">
        <f>B365*B364/1000000</f>
        <v>129.70079999999999</v>
      </c>
      <c r="C366" s="404">
        <f>C365*C364/1000000</f>
        <v>0</v>
      </c>
      <c r="D366" s="404">
        <f>D365*D364/1000000</f>
        <v>0</v>
      </c>
      <c r="E366" s="404">
        <f>E365*E364/1000000</f>
        <v>0</v>
      </c>
      <c r="F366" s="404">
        <f>F365*F364/1000000</f>
        <v>0</v>
      </c>
    </row>
    <row r="367" spans="1:13">
      <c r="A367" s="396"/>
      <c r="B367" s="405"/>
      <c r="C367" s="405"/>
      <c r="D367" s="405"/>
      <c r="E367" s="405"/>
      <c r="F367" s="405"/>
      <c r="H367" s="397"/>
      <c r="I367" s="397"/>
      <c r="J367" s="397"/>
      <c r="K367" s="397"/>
      <c r="L367" s="397"/>
      <c r="M367" s="397"/>
    </row>
    <row r="368" spans="1:13" s="397" customFormat="1">
      <c r="A368" s="396" t="s">
        <v>246</v>
      </c>
      <c r="B368" s="396" t="s">
        <v>319</v>
      </c>
      <c r="H368"/>
      <c r="I368"/>
      <c r="J368"/>
      <c r="K368"/>
      <c r="L368"/>
      <c r="M368"/>
    </row>
    <row r="369" spans="1:13">
      <c r="A369" s="398" t="s">
        <v>248</v>
      </c>
      <c r="B369" s="399" t="s">
        <v>249</v>
      </c>
      <c r="C369" s="399" t="s">
        <v>250</v>
      </c>
      <c r="D369" s="399" t="s">
        <v>251</v>
      </c>
      <c r="E369" s="399" t="s">
        <v>252</v>
      </c>
      <c r="F369" s="399" t="s">
        <v>253</v>
      </c>
    </row>
    <row r="370" spans="1:13">
      <c r="A370" s="398" t="s">
        <v>254</v>
      </c>
      <c r="B370" s="402">
        <v>80040</v>
      </c>
      <c r="C370" s="402">
        <v>83295</v>
      </c>
      <c r="D370" s="402">
        <v>84033</v>
      </c>
      <c r="E370" s="402">
        <v>82417</v>
      </c>
      <c r="F370" s="402">
        <v>80675</v>
      </c>
    </row>
    <row r="371" spans="1:13">
      <c r="A371" s="398" t="s">
        <v>255</v>
      </c>
      <c r="B371" s="401">
        <v>1790</v>
      </c>
      <c r="C371" s="401">
        <f>B371</f>
        <v>1790</v>
      </c>
      <c r="D371" s="401">
        <f>C371</f>
        <v>1790</v>
      </c>
      <c r="E371" s="401">
        <f>D371</f>
        <v>1790</v>
      </c>
      <c r="F371" s="401">
        <f>E371</f>
        <v>1790</v>
      </c>
    </row>
    <row r="372" spans="1:13">
      <c r="A372" s="398" t="s">
        <v>259</v>
      </c>
      <c r="B372" s="404">
        <f>B371*B370/1000000</f>
        <v>143.27160000000001</v>
      </c>
      <c r="C372" s="404">
        <f>C371*C370/1000000</f>
        <v>149.09805</v>
      </c>
      <c r="D372" s="404">
        <f>D371*D370/1000000</f>
        <v>150.41907</v>
      </c>
      <c r="E372" s="404">
        <f>E371*E370/1000000</f>
        <v>147.52643</v>
      </c>
      <c r="F372" s="404">
        <f>F371*F370/1000000</f>
        <v>144.40825000000001</v>
      </c>
    </row>
    <row r="373" spans="1:13">
      <c r="A373" s="396"/>
      <c r="B373" s="405"/>
      <c r="C373" s="405"/>
      <c r="D373" s="405"/>
      <c r="E373" s="405"/>
      <c r="F373" s="405"/>
      <c r="H373" s="397"/>
      <c r="I373" s="397"/>
      <c r="J373" s="397"/>
      <c r="K373" s="397"/>
      <c r="L373" s="397"/>
      <c r="M373" s="397"/>
    </row>
    <row r="374" spans="1:13" s="397" customFormat="1">
      <c r="A374" s="396" t="s">
        <v>246</v>
      </c>
      <c r="B374" s="396" t="s">
        <v>320</v>
      </c>
      <c r="H374"/>
      <c r="I374"/>
      <c r="J374"/>
      <c r="K374"/>
      <c r="L374"/>
      <c r="M374"/>
    </row>
    <row r="375" spans="1:13">
      <c r="A375" s="398" t="s">
        <v>248</v>
      </c>
      <c r="B375" s="399" t="s">
        <v>249</v>
      </c>
      <c r="C375" s="399" t="s">
        <v>250</v>
      </c>
      <c r="D375" s="399" t="s">
        <v>251</v>
      </c>
      <c r="E375" s="399" t="s">
        <v>252</v>
      </c>
      <c r="F375" s="399" t="s">
        <v>253</v>
      </c>
    </row>
    <row r="376" spans="1:13">
      <c r="A376" s="398" t="s">
        <v>254</v>
      </c>
      <c r="B376" s="402">
        <v>332514</v>
      </c>
      <c r="C376" s="402">
        <v>322306</v>
      </c>
      <c r="D376" s="402">
        <v>326614</v>
      </c>
      <c r="E376" s="402">
        <v>342096</v>
      </c>
      <c r="F376" s="402">
        <v>375346</v>
      </c>
    </row>
    <row r="377" spans="1:13">
      <c r="A377" s="398" t="s">
        <v>255</v>
      </c>
      <c r="B377" s="401">
        <v>1450</v>
      </c>
      <c r="C377" s="401">
        <f>B377</f>
        <v>1450</v>
      </c>
      <c r="D377" s="401">
        <f>C377</f>
        <v>1450</v>
      </c>
      <c r="E377" s="401">
        <f>D377</f>
        <v>1450</v>
      </c>
      <c r="F377" s="401">
        <f>E377</f>
        <v>1450</v>
      </c>
    </row>
    <row r="378" spans="1:13">
      <c r="A378" s="398" t="s">
        <v>259</v>
      </c>
      <c r="B378" s="404">
        <f>B377*B376/1000000</f>
        <v>482.14530000000002</v>
      </c>
      <c r="C378" s="404">
        <f>C377*C376/1000000</f>
        <v>467.34370000000001</v>
      </c>
      <c r="D378" s="404">
        <f>D377*D376/1000000</f>
        <v>473.59030000000001</v>
      </c>
      <c r="E378" s="404">
        <f>E377*E376/1000000</f>
        <v>496.03919999999999</v>
      </c>
      <c r="F378" s="404">
        <f>F377*F376/1000000</f>
        <v>544.25170000000003</v>
      </c>
    </row>
    <row r="379" spans="1:13">
      <c r="A379" s="396"/>
      <c r="B379" s="405"/>
      <c r="C379" s="405"/>
      <c r="D379" s="405"/>
      <c r="E379" s="405"/>
      <c r="F379" s="405"/>
      <c r="H379" s="397"/>
      <c r="I379" s="397"/>
      <c r="J379" s="397"/>
      <c r="K379" s="397"/>
      <c r="L379" s="397"/>
      <c r="M379" s="397"/>
    </row>
    <row r="380" spans="1:13" s="397" customFormat="1">
      <c r="A380" s="396" t="s">
        <v>246</v>
      </c>
      <c r="B380" s="396" t="s">
        <v>321</v>
      </c>
      <c r="H380"/>
      <c r="I380"/>
      <c r="J380"/>
      <c r="K380"/>
      <c r="L380"/>
      <c r="M380"/>
    </row>
    <row r="381" spans="1:13">
      <c r="A381" s="398" t="s">
        <v>248</v>
      </c>
      <c r="B381" s="399" t="s">
        <v>249</v>
      </c>
      <c r="C381" s="399" t="s">
        <v>250</v>
      </c>
      <c r="D381" s="399" t="s">
        <v>251</v>
      </c>
      <c r="E381" s="399" t="s">
        <v>252</v>
      </c>
      <c r="F381" s="399" t="s">
        <v>253</v>
      </c>
    </row>
    <row r="382" spans="1:13">
      <c r="A382" s="398" t="s">
        <v>254</v>
      </c>
      <c r="B382" s="402">
        <v>453883</v>
      </c>
      <c r="C382" s="402">
        <v>423356</v>
      </c>
      <c r="D382" s="402">
        <v>435394</v>
      </c>
      <c r="E382" s="402">
        <v>439923</v>
      </c>
      <c r="F382" s="402">
        <v>435153</v>
      </c>
    </row>
    <row r="383" spans="1:13">
      <c r="A383" s="398" t="s">
        <v>255</v>
      </c>
      <c r="B383" s="401">
        <v>1870</v>
      </c>
      <c r="C383" s="401">
        <f>B383</f>
        <v>1870</v>
      </c>
      <c r="D383" s="401">
        <f>C383</f>
        <v>1870</v>
      </c>
      <c r="E383" s="401">
        <f>D383</f>
        <v>1870</v>
      </c>
      <c r="F383" s="401">
        <f>E383</f>
        <v>1870</v>
      </c>
    </row>
    <row r="384" spans="1:13">
      <c r="A384" s="398" t="s">
        <v>259</v>
      </c>
      <c r="B384" s="404">
        <f>B383*B382/1000000</f>
        <v>848.76121000000001</v>
      </c>
      <c r="C384" s="404">
        <f>C383*C382/1000000</f>
        <v>791.67571999999996</v>
      </c>
      <c r="D384" s="404">
        <f>D383*D382/1000000</f>
        <v>814.18678</v>
      </c>
      <c r="E384" s="404">
        <f>E383*E382/1000000</f>
        <v>822.65601000000004</v>
      </c>
      <c r="F384" s="404">
        <f>F383*F382/1000000</f>
        <v>813.73611000000005</v>
      </c>
    </row>
    <row r="385" spans="1:13">
      <c r="A385" s="396"/>
      <c r="B385" s="405"/>
      <c r="C385" s="405"/>
      <c r="D385" s="405"/>
      <c r="E385" s="405"/>
      <c r="F385" s="405"/>
      <c r="H385" s="397"/>
      <c r="I385" s="397"/>
      <c r="J385" s="397"/>
      <c r="K385" s="397"/>
      <c r="L385" s="397"/>
      <c r="M385" s="397"/>
    </row>
    <row r="386" spans="1:13" s="397" customFormat="1">
      <c r="A386" s="396" t="s">
        <v>246</v>
      </c>
      <c r="B386" s="396" t="s">
        <v>322</v>
      </c>
      <c r="H386"/>
      <c r="I386"/>
      <c r="J386"/>
      <c r="K386"/>
      <c r="L386"/>
      <c r="M386"/>
    </row>
    <row r="387" spans="1:13">
      <c r="A387" s="398" t="s">
        <v>248</v>
      </c>
      <c r="B387" s="399" t="s">
        <v>249</v>
      </c>
      <c r="C387" s="399" t="s">
        <v>250</v>
      </c>
      <c r="D387" s="399" t="s">
        <v>251</v>
      </c>
      <c r="E387" s="399" t="s">
        <v>252</v>
      </c>
      <c r="F387" s="399" t="s">
        <v>253</v>
      </c>
    </row>
    <row r="388" spans="1:13">
      <c r="A388" s="398" t="s">
        <v>254</v>
      </c>
      <c r="B388" s="402">
        <v>115780</v>
      </c>
      <c r="C388" s="402">
        <v>126658</v>
      </c>
      <c r="D388" s="402">
        <v>143741</v>
      </c>
      <c r="E388" s="402">
        <v>138771</v>
      </c>
      <c r="F388" s="402">
        <v>122527</v>
      </c>
    </row>
    <row r="389" spans="1:13">
      <c r="A389" s="398" t="s">
        <v>255</v>
      </c>
      <c r="B389" s="401">
        <v>1690</v>
      </c>
      <c r="C389" s="401">
        <f>B389</f>
        <v>1690</v>
      </c>
      <c r="D389" s="401">
        <f>C389</f>
        <v>1690</v>
      </c>
      <c r="E389" s="401">
        <f>D389</f>
        <v>1690</v>
      </c>
      <c r="F389" s="401">
        <f>E389</f>
        <v>1690</v>
      </c>
    </row>
    <row r="390" spans="1:13">
      <c r="A390" s="398" t="s">
        <v>259</v>
      </c>
      <c r="B390" s="404">
        <f>B389*B388/1000000</f>
        <v>195.66820000000001</v>
      </c>
      <c r="C390" s="404">
        <f>C389*C388/1000000</f>
        <v>214.05202</v>
      </c>
      <c r="D390" s="404">
        <f>D389*D388/1000000</f>
        <v>242.92229</v>
      </c>
      <c r="E390" s="404">
        <f>E389*E388/1000000</f>
        <v>234.52298999999999</v>
      </c>
      <c r="F390" s="404">
        <f>F389*F388/1000000</f>
        <v>207.07062999999999</v>
      </c>
    </row>
    <row r="391" spans="1:13">
      <c r="A391" s="396"/>
      <c r="B391" s="405"/>
      <c r="C391" s="405"/>
      <c r="D391" s="405"/>
      <c r="E391" s="405"/>
      <c r="F391" s="405"/>
      <c r="H391" s="397"/>
      <c r="I391" s="397"/>
      <c r="J391" s="397"/>
      <c r="K391" s="397"/>
      <c r="L391" s="397"/>
      <c r="M391" s="397"/>
    </row>
    <row r="392" spans="1:13" s="397" customFormat="1">
      <c r="A392" s="396" t="s">
        <v>246</v>
      </c>
      <c r="B392" s="396" t="s">
        <v>323</v>
      </c>
      <c r="H392"/>
      <c r="I392"/>
      <c r="J392"/>
      <c r="K392"/>
      <c r="L392"/>
      <c r="M392"/>
    </row>
    <row r="393" spans="1:13">
      <c r="A393" s="398" t="s">
        <v>248</v>
      </c>
      <c r="B393" s="399" t="s">
        <v>249</v>
      </c>
      <c r="C393" s="399" t="s">
        <v>250</v>
      </c>
      <c r="D393" s="399" t="s">
        <v>251</v>
      </c>
      <c r="E393" s="399" t="s">
        <v>252</v>
      </c>
      <c r="F393" s="399" t="s">
        <v>253</v>
      </c>
    </row>
    <row r="394" spans="1:13">
      <c r="A394" s="398" t="s">
        <v>254</v>
      </c>
      <c r="B394" s="402">
        <v>88514</v>
      </c>
      <c r="C394" s="402">
        <v>105621</v>
      </c>
      <c r="D394" s="402">
        <v>103163</v>
      </c>
      <c r="E394" s="402">
        <v>110960</v>
      </c>
      <c r="F394" s="402">
        <v>90047</v>
      </c>
    </row>
    <row r="395" spans="1:13">
      <c r="A395" s="398" t="s">
        <v>255</v>
      </c>
      <c r="B395" s="401">
        <v>1470</v>
      </c>
      <c r="C395" s="401">
        <f>B395</f>
        <v>1470</v>
      </c>
      <c r="D395" s="401">
        <f>C395</f>
        <v>1470</v>
      </c>
      <c r="E395" s="401">
        <f>D395</f>
        <v>1470</v>
      </c>
      <c r="F395" s="401">
        <f>E395</f>
        <v>1470</v>
      </c>
    </row>
    <row r="396" spans="1:13">
      <c r="A396" s="398" t="s">
        <v>259</v>
      </c>
      <c r="B396" s="404">
        <f>B395*B394/1000000</f>
        <v>130.11557999999999</v>
      </c>
      <c r="C396" s="404">
        <f>C395*C394/1000000</f>
        <v>155.26286999999999</v>
      </c>
      <c r="D396" s="404">
        <f>D395*D394/1000000</f>
        <v>151.64961</v>
      </c>
      <c r="E396" s="404">
        <f>E395*E394/1000000</f>
        <v>163.1112</v>
      </c>
      <c r="F396" s="404">
        <f>F395*F394/1000000</f>
        <v>132.36909</v>
      </c>
    </row>
    <row r="397" spans="1:13">
      <c r="A397" s="396"/>
      <c r="B397" s="405"/>
      <c r="C397" s="405"/>
      <c r="D397" s="405"/>
      <c r="E397" s="405"/>
      <c r="F397" s="405"/>
      <c r="H397" s="397"/>
      <c r="I397" s="397"/>
      <c r="J397" s="397"/>
      <c r="K397" s="397"/>
      <c r="L397" s="397"/>
      <c r="M397" s="397"/>
    </row>
    <row r="398" spans="1:13" s="397" customFormat="1">
      <c r="A398" s="396" t="s">
        <v>246</v>
      </c>
      <c r="B398" s="396" t="s">
        <v>324</v>
      </c>
      <c r="H398"/>
      <c r="I398"/>
      <c r="J398"/>
      <c r="K398"/>
      <c r="L398"/>
      <c r="M398"/>
    </row>
    <row r="399" spans="1:13">
      <c r="A399" s="398" t="s">
        <v>248</v>
      </c>
      <c r="B399" s="399" t="s">
        <v>249</v>
      </c>
      <c r="C399" s="399" t="s">
        <v>250</v>
      </c>
      <c r="D399" s="399" t="s">
        <v>251</v>
      </c>
      <c r="E399" s="399" t="s">
        <v>252</v>
      </c>
      <c r="F399" s="399" t="s">
        <v>253</v>
      </c>
    </row>
    <row r="400" spans="1:13">
      <c r="A400" s="398" t="s">
        <v>254</v>
      </c>
      <c r="B400" s="401"/>
      <c r="C400" s="401"/>
      <c r="D400" s="401"/>
      <c r="E400" s="401"/>
      <c r="F400" s="402">
        <v>80376</v>
      </c>
    </row>
    <row r="401" spans="1:13">
      <c r="A401" s="398" t="s">
        <v>255</v>
      </c>
      <c r="B401" s="401">
        <v>1180</v>
      </c>
      <c r="C401" s="401">
        <f>B401</f>
        <v>1180</v>
      </c>
      <c r="D401" s="401">
        <f>C401</f>
        <v>1180</v>
      </c>
      <c r="E401" s="401">
        <f>D401</f>
        <v>1180</v>
      </c>
      <c r="F401" s="401">
        <f>E401</f>
        <v>1180</v>
      </c>
    </row>
    <row r="402" spans="1:13">
      <c r="A402" s="398" t="s">
        <v>259</v>
      </c>
      <c r="B402" s="404">
        <f>B401*B400/1000000</f>
        <v>0</v>
      </c>
      <c r="C402" s="404">
        <f>C401*C400/1000000</f>
        <v>0</v>
      </c>
      <c r="D402" s="404">
        <f>D401*D400/1000000</f>
        <v>0</v>
      </c>
      <c r="E402" s="404">
        <f>E401*E400/1000000</f>
        <v>0</v>
      </c>
      <c r="F402" s="404">
        <f>F401*F400/1000000</f>
        <v>94.843680000000006</v>
      </c>
    </row>
    <row r="403" spans="1:13">
      <c r="A403" s="396"/>
      <c r="B403" s="405"/>
      <c r="C403" s="405"/>
      <c r="D403" s="405"/>
      <c r="E403" s="405"/>
      <c r="F403" s="405"/>
      <c r="H403" s="397"/>
      <c r="I403" s="397"/>
      <c r="J403" s="397"/>
      <c r="K403" s="397"/>
      <c r="L403" s="397"/>
      <c r="M403" s="397"/>
    </row>
    <row r="404" spans="1:13" s="397" customFormat="1">
      <c r="A404" s="396" t="s">
        <v>246</v>
      </c>
      <c r="B404" s="396" t="s">
        <v>325</v>
      </c>
      <c r="H404"/>
      <c r="I404"/>
      <c r="J404"/>
      <c r="K404"/>
      <c r="L404"/>
      <c r="M404"/>
    </row>
    <row r="405" spans="1:13">
      <c r="A405" s="398" t="s">
        <v>248</v>
      </c>
      <c r="B405" s="399" t="s">
        <v>249</v>
      </c>
      <c r="C405" s="399" t="s">
        <v>250</v>
      </c>
      <c r="D405" s="399" t="s">
        <v>251</v>
      </c>
      <c r="E405" s="399" t="s">
        <v>252</v>
      </c>
      <c r="F405" s="399" t="s">
        <v>253</v>
      </c>
    </row>
    <row r="406" spans="1:13">
      <c r="A406" s="398" t="s">
        <v>254</v>
      </c>
      <c r="B406" s="402">
        <v>123049</v>
      </c>
      <c r="C406" s="402">
        <v>119631</v>
      </c>
      <c r="D406" s="402">
        <v>122832</v>
      </c>
      <c r="E406" s="402">
        <v>127992</v>
      </c>
      <c r="F406" s="402">
        <v>157821</v>
      </c>
    </row>
    <row r="407" spans="1:13">
      <c r="A407" s="398" t="s">
        <v>255</v>
      </c>
      <c r="B407" s="401">
        <v>1460</v>
      </c>
      <c r="C407" s="401">
        <f>B407</f>
        <v>1460</v>
      </c>
      <c r="D407" s="401">
        <f>C407</f>
        <v>1460</v>
      </c>
      <c r="E407" s="401">
        <f>D407</f>
        <v>1460</v>
      </c>
      <c r="F407" s="401">
        <f>E407</f>
        <v>1460</v>
      </c>
    </row>
    <row r="408" spans="1:13">
      <c r="A408" s="398" t="s">
        <v>259</v>
      </c>
      <c r="B408" s="404">
        <f>B407*B406/1000000</f>
        <v>179.65154000000001</v>
      </c>
      <c r="C408" s="404">
        <f>C407*C406/1000000</f>
        <v>174.66126</v>
      </c>
      <c r="D408" s="404">
        <f>D407*D406/1000000</f>
        <v>179.33472</v>
      </c>
      <c r="E408" s="404">
        <f>E407*E406/1000000</f>
        <v>186.86832000000001</v>
      </c>
      <c r="F408" s="404">
        <f>F407*F406/1000000</f>
        <v>230.41865999999999</v>
      </c>
    </row>
    <row r="409" spans="1:13">
      <c r="A409" s="396"/>
      <c r="B409" s="405"/>
      <c r="C409" s="405"/>
      <c r="D409" s="405"/>
      <c r="E409" s="405"/>
      <c r="F409" s="405"/>
      <c r="H409" s="397"/>
      <c r="I409" s="397"/>
      <c r="J409" s="397"/>
      <c r="K409" s="397"/>
      <c r="L409" s="397"/>
      <c r="M409" s="397"/>
    </row>
    <row r="410" spans="1:13" s="397" customFormat="1">
      <c r="A410" s="396" t="s">
        <v>246</v>
      </c>
      <c r="B410" s="396" t="s">
        <v>326</v>
      </c>
      <c r="H410"/>
      <c r="I410"/>
      <c r="J410"/>
      <c r="K410"/>
      <c r="L410"/>
      <c r="M410"/>
    </row>
    <row r="411" spans="1:13">
      <c r="A411" s="398" t="s">
        <v>248</v>
      </c>
      <c r="B411" s="399" t="s">
        <v>249</v>
      </c>
      <c r="C411" s="399" t="s">
        <v>250</v>
      </c>
      <c r="D411" s="399" t="s">
        <v>251</v>
      </c>
      <c r="E411" s="399" t="s">
        <v>252</v>
      </c>
      <c r="F411" s="399" t="s">
        <v>253</v>
      </c>
    </row>
    <row r="412" spans="1:13">
      <c r="A412" s="398" t="s">
        <v>254</v>
      </c>
      <c r="B412" s="402">
        <v>179695</v>
      </c>
      <c r="C412" s="402">
        <v>177532</v>
      </c>
      <c r="D412" s="402">
        <v>176951</v>
      </c>
      <c r="E412" s="402">
        <v>181418</v>
      </c>
      <c r="F412" s="402">
        <v>209141</v>
      </c>
    </row>
    <row r="413" spans="1:13">
      <c r="A413" s="398" t="s">
        <v>255</v>
      </c>
      <c r="B413" s="401">
        <v>727</v>
      </c>
      <c r="C413" s="401">
        <f>B413</f>
        <v>727</v>
      </c>
      <c r="D413" s="401">
        <f>C413</f>
        <v>727</v>
      </c>
      <c r="E413" s="401">
        <f>D413</f>
        <v>727</v>
      </c>
      <c r="F413" s="401">
        <f>E413</f>
        <v>727</v>
      </c>
    </row>
    <row r="414" spans="1:13">
      <c r="A414" s="398" t="s">
        <v>259</v>
      </c>
      <c r="B414" s="404">
        <f>B413*B412/1000000</f>
        <v>130.63826499999999</v>
      </c>
      <c r="C414" s="404">
        <f>C413*C412/1000000</f>
        <v>129.065764</v>
      </c>
      <c r="D414" s="404">
        <f>D413*D412/1000000</f>
        <v>128.64337699999999</v>
      </c>
      <c r="E414" s="404">
        <f>E413*E412/1000000</f>
        <v>131.89088599999999</v>
      </c>
      <c r="F414" s="404">
        <f>F413*F412/1000000</f>
        <v>152.04550699999999</v>
      </c>
    </row>
    <row r="415" spans="1:13">
      <c r="A415" s="396"/>
      <c r="B415" s="405"/>
      <c r="C415" s="405"/>
      <c r="D415" s="405"/>
      <c r="E415" s="405"/>
      <c r="F415" s="405"/>
      <c r="H415" s="397"/>
      <c r="I415" s="397"/>
      <c r="J415" s="397"/>
      <c r="K415" s="397"/>
      <c r="L415" s="397"/>
      <c r="M415" s="397"/>
    </row>
    <row r="416" spans="1:13" s="397" customFormat="1">
      <c r="A416" s="396" t="s">
        <v>246</v>
      </c>
      <c r="B416" s="396" t="s">
        <v>327</v>
      </c>
      <c r="H416"/>
      <c r="I416"/>
      <c r="J416"/>
      <c r="K416"/>
      <c r="L416"/>
      <c r="M416"/>
    </row>
    <row r="417" spans="1:13">
      <c r="A417" s="398" t="s">
        <v>248</v>
      </c>
      <c r="B417" s="399" t="s">
        <v>249</v>
      </c>
      <c r="C417" s="399" t="s">
        <v>250</v>
      </c>
      <c r="D417" s="399" t="s">
        <v>251</v>
      </c>
      <c r="E417" s="399" t="s">
        <v>252</v>
      </c>
      <c r="F417" s="399" t="s">
        <v>253</v>
      </c>
    </row>
    <row r="418" spans="1:13">
      <c r="A418" s="398" t="s">
        <v>254</v>
      </c>
      <c r="B418" s="402">
        <v>584932</v>
      </c>
      <c r="C418" s="402">
        <v>608281</v>
      </c>
      <c r="D418" s="402">
        <v>608173</v>
      </c>
      <c r="E418" s="402">
        <v>631407</v>
      </c>
      <c r="F418" s="402">
        <v>666280</v>
      </c>
    </row>
    <row r="419" spans="1:13">
      <c r="A419" s="398" t="s">
        <v>255</v>
      </c>
      <c r="B419" s="401">
        <v>784</v>
      </c>
      <c r="C419" s="401">
        <f>B419</f>
        <v>784</v>
      </c>
      <c r="D419" s="401">
        <f>C419</f>
        <v>784</v>
      </c>
      <c r="E419" s="401">
        <f>D419</f>
        <v>784</v>
      </c>
      <c r="F419" s="401">
        <f>E419</f>
        <v>784</v>
      </c>
    </row>
    <row r="420" spans="1:13">
      <c r="A420" s="398" t="s">
        <v>259</v>
      </c>
      <c r="B420" s="404">
        <f>B419*B418/1000000</f>
        <v>458.58668799999998</v>
      </c>
      <c r="C420" s="404">
        <f>C419*C418/1000000</f>
        <v>476.89230400000002</v>
      </c>
      <c r="D420" s="404">
        <f>D419*D418/1000000</f>
        <v>476.80763200000001</v>
      </c>
      <c r="E420" s="404">
        <f>E419*E418/1000000</f>
        <v>495.02308799999997</v>
      </c>
      <c r="F420" s="404">
        <f>F419*F418/1000000</f>
        <v>522.36351999999999</v>
      </c>
    </row>
    <row r="421" spans="1:13">
      <c r="A421" s="396"/>
      <c r="B421" s="405"/>
      <c r="C421" s="405"/>
      <c r="D421" s="405"/>
      <c r="E421" s="405"/>
      <c r="F421" s="405"/>
      <c r="H421" s="397"/>
      <c r="I421" s="397"/>
      <c r="J421" s="397"/>
      <c r="K421" s="397"/>
      <c r="L421" s="397"/>
      <c r="M421" s="397"/>
    </row>
    <row r="422" spans="1:13" s="397" customFormat="1">
      <c r="A422" s="396" t="s">
        <v>246</v>
      </c>
      <c r="B422" s="396" t="s">
        <v>328</v>
      </c>
      <c r="H422"/>
      <c r="I422"/>
      <c r="J422"/>
      <c r="K422"/>
      <c r="L422"/>
      <c r="M422"/>
    </row>
    <row r="423" spans="1:13">
      <c r="A423" s="398" t="s">
        <v>248</v>
      </c>
      <c r="B423" s="399" t="s">
        <v>249</v>
      </c>
      <c r="C423" s="399" t="s">
        <v>250</v>
      </c>
      <c r="D423" s="399" t="s">
        <v>251</v>
      </c>
      <c r="E423" s="399" t="s">
        <v>252</v>
      </c>
      <c r="F423" s="399" t="s">
        <v>253</v>
      </c>
    </row>
    <row r="424" spans="1:13">
      <c r="A424" s="398" t="s">
        <v>254</v>
      </c>
      <c r="B424" s="402">
        <v>194873</v>
      </c>
      <c r="C424" s="402">
        <v>172955</v>
      </c>
      <c r="D424" s="402">
        <v>191599</v>
      </c>
      <c r="E424" s="402">
        <v>163129</v>
      </c>
      <c r="F424" s="402">
        <v>179611</v>
      </c>
    </row>
    <row r="425" spans="1:13">
      <c r="A425" s="398" t="s">
        <v>255</v>
      </c>
      <c r="B425" s="401">
        <v>1920</v>
      </c>
      <c r="C425" s="401">
        <f>B425</f>
        <v>1920</v>
      </c>
      <c r="D425" s="401">
        <f>C425</f>
        <v>1920</v>
      </c>
      <c r="E425" s="401">
        <f>D425</f>
        <v>1920</v>
      </c>
      <c r="F425" s="401">
        <f>E425</f>
        <v>1920</v>
      </c>
    </row>
    <row r="426" spans="1:13">
      <c r="A426" s="398" t="s">
        <v>259</v>
      </c>
      <c r="B426" s="404">
        <f>B425*B424/1000000</f>
        <v>374.15616</v>
      </c>
      <c r="C426" s="404">
        <f>C425*C424/1000000</f>
        <v>332.0736</v>
      </c>
      <c r="D426" s="404">
        <f>D425*D424/1000000</f>
        <v>367.87007999999997</v>
      </c>
      <c r="E426" s="404">
        <f>E425*E424/1000000</f>
        <v>313.20767999999998</v>
      </c>
      <c r="F426" s="404">
        <f>F425*F424/1000000</f>
        <v>344.85311999999999</v>
      </c>
    </row>
    <row r="427" spans="1:13">
      <c r="A427" s="396"/>
      <c r="B427" s="405"/>
      <c r="C427" s="405"/>
      <c r="D427" s="405"/>
      <c r="E427" s="405"/>
      <c r="F427" s="405"/>
      <c r="H427" s="397"/>
      <c r="I427" s="397"/>
      <c r="J427" s="397"/>
      <c r="K427" s="397"/>
      <c r="L427" s="397"/>
      <c r="M427" s="397"/>
    </row>
    <row r="428" spans="1:13" s="397" customFormat="1">
      <c r="A428" s="396" t="s">
        <v>246</v>
      </c>
      <c r="B428" s="396" t="s">
        <v>329</v>
      </c>
      <c r="H428"/>
      <c r="I428"/>
      <c r="J428"/>
      <c r="K428"/>
      <c r="L428"/>
      <c r="M428"/>
    </row>
    <row r="429" spans="1:13">
      <c r="A429" s="398" t="s">
        <v>248</v>
      </c>
      <c r="B429" s="399" t="s">
        <v>249</v>
      </c>
      <c r="C429" s="399" t="s">
        <v>250</v>
      </c>
      <c r="D429" s="399" t="s">
        <v>251</v>
      </c>
      <c r="E429" s="399" t="s">
        <v>252</v>
      </c>
      <c r="F429" s="399" t="s">
        <v>253</v>
      </c>
      <c r="G429" s="631" t="s">
        <v>711</v>
      </c>
    </row>
    <row r="430" spans="1:13">
      <c r="A430" s="398" t="s">
        <v>254</v>
      </c>
      <c r="B430" s="402">
        <v>167768</v>
      </c>
      <c r="C430" s="401"/>
      <c r="D430" s="401"/>
      <c r="E430" s="401"/>
      <c r="F430" s="401"/>
    </row>
    <row r="431" spans="1:13">
      <c r="A431" s="398" t="s">
        <v>255</v>
      </c>
      <c r="B431" s="401">
        <v>232</v>
      </c>
      <c r="C431" s="401">
        <f>B431</f>
        <v>232</v>
      </c>
      <c r="D431" s="401">
        <f>C431</f>
        <v>232</v>
      </c>
      <c r="E431" s="401">
        <f>D431</f>
        <v>232</v>
      </c>
      <c r="F431" s="401">
        <f>E431</f>
        <v>232</v>
      </c>
    </row>
    <row r="432" spans="1:13">
      <c r="A432" s="398" t="s">
        <v>259</v>
      </c>
      <c r="B432" s="404">
        <f>B431*B430/1000000</f>
        <v>38.922176</v>
      </c>
      <c r="C432" s="404">
        <f>C431*C430/1000000</f>
        <v>0</v>
      </c>
      <c r="D432" s="404">
        <f>D431*D430/1000000</f>
        <v>0</v>
      </c>
      <c r="E432" s="404">
        <f>E431*E430/1000000</f>
        <v>0</v>
      </c>
      <c r="F432" s="404">
        <f>F431*F430/1000000</f>
        <v>0</v>
      </c>
    </row>
    <row r="433" spans="1:13">
      <c r="A433" s="396"/>
      <c r="B433" s="405"/>
      <c r="C433" s="405"/>
      <c r="D433" s="405"/>
      <c r="E433" s="405"/>
      <c r="F433" s="405"/>
      <c r="H433" s="397"/>
      <c r="I433" s="397"/>
      <c r="J433" s="397"/>
      <c r="K433" s="397"/>
      <c r="L433" s="397"/>
      <c r="M433" s="397"/>
    </row>
    <row r="434" spans="1:13" s="397" customFormat="1">
      <c r="A434" s="396" t="s">
        <v>246</v>
      </c>
      <c r="B434" s="396" t="s">
        <v>330</v>
      </c>
      <c r="H434"/>
      <c r="I434"/>
      <c r="J434"/>
      <c r="K434"/>
      <c r="L434"/>
      <c r="M434"/>
    </row>
    <row r="435" spans="1:13">
      <c r="A435" s="398" t="s">
        <v>248</v>
      </c>
      <c r="B435" s="399" t="s">
        <v>249</v>
      </c>
      <c r="C435" s="399" t="s">
        <v>250</v>
      </c>
      <c r="D435" s="399" t="s">
        <v>251</v>
      </c>
      <c r="E435" s="399" t="s">
        <v>252</v>
      </c>
      <c r="F435" s="399" t="s">
        <v>253</v>
      </c>
      <c r="G435" s="631" t="s">
        <v>711</v>
      </c>
    </row>
    <row r="436" spans="1:13">
      <c r="A436" s="398" t="s">
        <v>254</v>
      </c>
      <c r="B436" s="401"/>
      <c r="C436" s="401"/>
      <c r="D436" s="401"/>
      <c r="E436" s="401"/>
      <c r="F436" s="401"/>
    </row>
    <row r="437" spans="1:13">
      <c r="A437" s="398" t="s">
        <v>255</v>
      </c>
      <c r="B437" s="401">
        <v>266</v>
      </c>
      <c r="C437" s="401">
        <f>B437</f>
        <v>266</v>
      </c>
      <c r="D437" s="401">
        <f>C437</f>
        <v>266</v>
      </c>
      <c r="E437" s="401">
        <f>D437</f>
        <v>266</v>
      </c>
      <c r="F437" s="401">
        <f>E437</f>
        <v>266</v>
      </c>
    </row>
    <row r="438" spans="1:13">
      <c r="A438" s="398" t="s">
        <v>259</v>
      </c>
      <c r="B438" s="404">
        <f>B437*B436/1000000</f>
        <v>0</v>
      </c>
      <c r="C438" s="404">
        <f>C437*C436/1000000</f>
        <v>0</v>
      </c>
      <c r="D438" s="404">
        <f>D437*D436/1000000</f>
        <v>0</v>
      </c>
      <c r="E438" s="404">
        <f>E437*E436/1000000</f>
        <v>0</v>
      </c>
      <c r="F438" s="404">
        <f>F437*F436/1000000</f>
        <v>0</v>
      </c>
    </row>
    <row r="439" spans="1:13">
      <c r="A439" s="396"/>
      <c r="B439" s="405"/>
      <c r="C439" s="405"/>
      <c r="D439" s="405"/>
      <c r="E439" s="405"/>
      <c r="F439" s="405"/>
      <c r="H439" s="397"/>
      <c r="I439" s="397"/>
      <c r="J439" s="397"/>
      <c r="K439" s="397"/>
      <c r="L439" s="397"/>
      <c r="M439" s="397"/>
    </row>
    <row r="440" spans="1:13" s="397" customFormat="1">
      <c r="A440" s="396" t="s">
        <v>246</v>
      </c>
      <c r="B440" s="396" t="s">
        <v>331</v>
      </c>
      <c r="H440"/>
      <c r="I440"/>
      <c r="J440"/>
      <c r="K440"/>
      <c r="L440"/>
      <c r="M440"/>
    </row>
    <row r="441" spans="1:13">
      <c r="A441" s="398" t="s">
        <v>248</v>
      </c>
      <c r="B441" s="399" t="s">
        <v>249</v>
      </c>
      <c r="C441" s="399" t="s">
        <v>250</v>
      </c>
      <c r="D441" s="399" t="s">
        <v>251</v>
      </c>
      <c r="E441" s="399" t="s">
        <v>252</v>
      </c>
      <c r="F441" s="399" t="s">
        <v>253</v>
      </c>
    </row>
    <row r="442" spans="1:13">
      <c r="A442" s="398" t="s">
        <v>254</v>
      </c>
      <c r="B442" s="401"/>
      <c r="C442" s="401"/>
      <c r="D442" s="402">
        <v>76062</v>
      </c>
      <c r="E442" s="401"/>
      <c r="F442" s="401"/>
    </row>
    <row r="443" spans="1:13">
      <c r="A443" s="398" t="s">
        <v>255</v>
      </c>
      <c r="B443" s="401">
        <v>1380</v>
      </c>
      <c r="C443" s="401">
        <f>B443</f>
        <v>1380</v>
      </c>
      <c r="D443" s="401">
        <f>C443</f>
        <v>1380</v>
      </c>
      <c r="E443" s="401">
        <f>D443</f>
        <v>1380</v>
      </c>
      <c r="F443" s="401">
        <f>E443</f>
        <v>1380</v>
      </c>
    </row>
    <row r="444" spans="1:13">
      <c r="A444" s="398" t="s">
        <v>259</v>
      </c>
      <c r="B444" s="404">
        <f>B443*B442/1000000</f>
        <v>0</v>
      </c>
      <c r="C444" s="404">
        <f>C443*C442/1000000</f>
        <v>0</v>
      </c>
      <c r="D444" s="404">
        <f>D443*D442/1000000</f>
        <v>104.96556</v>
      </c>
      <c r="E444" s="404">
        <f>E443*E442/1000000</f>
        <v>0</v>
      </c>
      <c r="F444" s="404">
        <f>F443*F442/1000000</f>
        <v>0</v>
      </c>
    </row>
    <row r="445" spans="1:13">
      <c r="A445" s="396"/>
      <c r="B445" s="405"/>
      <c r="C445" s="405"/>
      <c r="D445" s="405"/>
      <c r="E445" s="405"/>
      <c r="F445" s="405"/>
      <c r="H445" s="397"/>
      <c r="I445" s="397"/>
      <c r="J445" s="397"/>
      <c r="K445" s="397"/>
      <c r="L445" s="397"/>
      <c r="M445" s="397"/>
    </row>
    <row r="446" spans="1:13" s="397" customFormat="1">
      <c r="A446" s="396" t="s">
        <v>246</v>
      </c>
      <c r="B446" s="396" t="s">
        <v>332</v>
      </c>
      <c r="H446"/>
      <c r="I446"/>
      <c r="J446"/>
      <c r="K446"/>
      <c r="L446"/>
      <c r="M446"/>
    </row>
    <row r="447" spans="1:13">
      <c r="A447" s="398" t="s">
        <v>248</v>
      </c>
      <c r="B447" s="399" t="s">
        <v>249</v>
      </c>
      <c r="C447" s="399" t="s">
        <v>250</v>
      </c>
      <c r="D447" s="399" t="s">
        <v>251</v>
      </c>
      <c r="E447" s="399" t="s">
        <v>252</v>
      </c>
      <c r="F447" s="399" t="s">
        <v>253</v>
      </c>
    </row>
    <row r="448" spans="1:13">
      <c r="A448" s="398" t="s">
        <v>254</v>
      </c>
      <c r="B448" s="402">
        <v>131622</v>
      </c>
      <c r="C448" s="402">
        <v>121339</v>
      </c>
      <c r="D448" s="402">
        <v>125032</v>
      </c>
      <c r="E448" s="402">
        <v>133684</v>
      </c>
      <c r="F448" s="402">
        <v>149240</v>
      </c>
    </row>
    <row r="449" spans="1:13">
      <c r="A449" s="398" t="s">
        <v>255</v>
      </c>
      <c r="B449" s="401">
        <v>1430</v>
      </c>
      <c r="C449" s="401">
        <f>B449</f>
        <v>1430</v>
      </c>
      <c r="D449" s="401">
        <f>C449</f>
        <v>1430</v>
      </c>
      <c r="E449" s="401">
        <f>D449</f>
        <v>1430</v>
      </c>
      <c r="F449" s="401">
        <f>E449</f>
        <v>1430</v>
      </c>
    </row>
    <row r="450" spans="1:13">
      <c r="A450" s="398" t="s">
        <v>259</v>
      </c>
      <c r="B450" s="404">
        <f>B449*B448/1000000</f>
        <v>188.21946</v>
      </c>
      <c r="C450" s="404">
        <f>C449*C448/1000000</f>
        <v>173.51477</v>
      </c>
      <c r="D450" s="404">
        <f>D449*D448/1000000</f>
        <v>178.79576</v>
      </c>
      <c r="E450" s="404">
        <f>E449*E448/1000000</f>
        <v>191.16811999999999</v>
      </c>
      <c r="F450" s="404">
        <f>F449*F448/1000000</f>
        <v>213.41319999999999</v>
      </c>
    </row>
    <row r="451" spans="1:13">
      <c r="A451" s="396"/>
      <c r="B451" s="405"/>
      <c r="C451" s="405"/>
      <c r="D451" s="405"/>
      <c r="E451" s="405"/>
      <c r="F451" s="405"/>
      <c r="H451" s="397"/>
      <c r="I451" s="397"/>
      <c r="J451" s="397"/>
      <c r="K451" s="397"/>
      <c r="L451" s="397"/>
      <c r="M451" s="397"/>
    </row>
    <row r="452" spans="1:13" s="397" customFormat="1">
      <c r="A452" s="396" t="s">
        <v>246</v>
      </c>
      <c r="B452" s="396" t="s">
        <v>333</v>
      </c>
      <c r="H452"/>
      <c r="I452"/>
      <c r="J452"/>
      <c r="K452"/>
      <c r="L452"/>
      <c r="M452"/>
    </row>
    <row r="453" spans="1:13">
      <c r="A453" s="398" t="s">
        <v>248</v>
      </c>
      <c r="B453" s="399" t="s">
        <v>249</v>
      </c>
      <c r="C453" s="399" t="s">
        <v>250</v>
      </c>
      <c r="D453" s="399" t="s">
        <v>251</v>
      </c>
      <c r="E453" s="399" t="s">
        <v>252</v>
      </c>
      <c r="F453" s="399" t="s">
        <v>253</v>
      </c>
    </row>
    <row r="454" spans="1:13">
      <c r="A454" s="398" t="s">
        <v>254</v>
      </c>
      <c r="B454" s="402">
        <v>92781</v>
      </c>
      <c r="C454" s="402">
        <v>93760</v>
      </c>
      <c r="D454" s="402">
        <v>90925</v>
      </c>
      <c r="E454" s="402">
        <v>88820</v>
      </c>
      <c r="F454" s="402">
        <v>92999</v>
      </c>
    </row>
    <row r="455" spans="1:13">
      <c r="A455" s="398" t="s">
        <v>255</v>
      </c>
      <c r="B455" s="401">
        <v>1420</v>
      </c>
      <c r="C455" s="401">
        <f>B455</f>
        <v>1420</v>
      </c>
      <c r="D455" s="401">
        <f>C455</f>
        <v>1420</v>
      </c>
      <c r="E455" s="401">
        <f>D455</f>
        <v>1420</v>
      </c>
      <c r="F455" s="401">
        <f>E455</f>
        <v>1420</v>
      </c>
    </row>
    <row r="456" spans="1:13">
      <c r="A456" s="398" t="s">
        <v>259</v>
      </c>
      <c r="B456" s="404">
        <f>B455*B454/1000000</f>
        <v>131.74902</v>
      </c>
      <c r="C456" s="404">
        <f>C455*C454/1000000</f>
        <v>133.13919999999999</v>
      </c>
      <c r="D456" s="404">
        <f>D455*D454/1000000</f>
        <v>129.11349999999999</v>
      </c>
      <c r="E456" s="404">
        <f>E455*E454/1000000</f>
        <v>126.12439999999999</v>
      </c>
      <c r="F456" s="404">
        <f>F455*F454/1000000</f>
        <v>132.05858000000001</v>
      </c>
    </row>
    <row r="457" spans="1:13">
      <c r="A457" s="396"/>
      <c r="B457" s="405"/>
      <c r="C457" s="405"/>
      <c r="D457" s="405"/>
      <c r="E457" s="405"/>
      <c r="F457" s="405"/>
      <c r="H457" s="397"/>
      <c r="I457" s="397"/>
      <c r="J457" s="397"/>
      <c r="K457" s="397"/>
      <c r="L457" s="397"/>
      <c r="M457" s="397"/>
    </row>
    <row r="458" spans="1:13" s="397" customFormat="1">
      <c r="A458" s="396" t="s">
        <v>246</v>
      </c>
      <c r="B458" s="396" t="s">
        <v>334</v>
      </c>
      <c r="H458"/>
      <c r="I458"/>
      <c r="J458"/>
      <c r="K458"/>
      <c r="L458"/>
      <c r="M458"/>
    </row>
    <row r="459" spans="1:13">
      <c r="A459" s="398" t="s">
        <v>248</v>
      </c>
      <c r="B459" s="399" t="s">
        <v>249</v>
      </c>
      <c r="C459" s="399" t="s">
        <v>250</v>
      </c>
      <c r="D459" s="399" t="s">
        <v>251</v>
      </c>
      <c r="E459" s="399" t="s">
        <v>252</v>
      </c>
      <c r="F459" s="399" t="s">
        <v>253</v>
      </c>
    </row>
    <row r="460" spans="1:13">
      <c r="A460" s="398" t="s">
        <v>254</v>
      </c>
      <c r="B460" s="402">
        <v>145931</v>
      </c>
      <c r="C460" s="402">
        <v>127793</v>
      </c>
      <c r="D460" s="402">
        <v>117473</v>
      </c>
      <c r="E460" s="402">
        <v>125746</v>
      </c>
      <c r="F460" s="402">
        <v>148856</v>
      </c>
    </row>
    <row r="461" spans="1:13">
      <c r="A461" s="398" t="s">
        <v>255</v>
      </c>
      <c r="B461" s="401">
        <v>1900</v>
      </c>
      <c r="C461" s="401">
        <f>B461</f>
        <v>1900</v>
      </c>
      <c r="D461" s="401">
        <f>C461</f>
        <v>1900</v>
      </c>
      <c r="E461" s="401">
        <f>D461</f>
        <v>1900</v>
      </c>
      <c r="F461" s="401">
        <f>E461</f>
        <v>1900</v>
      </c>
    </row>
    <row r="462" spans="1:13">
      <c r="A462" s="398" t="s">
        <v>259</v>
      </c>
      <c r="B462" s="404">
        <f>B461*B460/1000000</f>
        <v>277.26889999999997</v>
      </c>
      <c r="C462" s="404">
        <f>C461*C460/1000000</f>
        <v>242.80670000000001</v>
      </c>
      <c r="D462" s="404">
        <f>D461*D460/1000000</f>
        <v>223.1987</v>
      </c>
      <c r="E462" s="404">
        <f>E461*E460/1000000</f>
        <v>238.91739999999999</v>
      </c>
      <c r="F462" s="404">
        <f>F461*F460/1000000</f>
        <v>282.82639999999998</v>
      </c>
    </row>
    <row r="463" spans="1:13">
      <c r="A463" s="396"/>
      <c r="B463" s="405"/>
      <c r="C463" s="405"/>
      <c r="D463" s="405"/>
      <c r="E463" s="405"/>
      <c r="F463" s="405"/>
      <c r="H463" s="397"/>
      <c r="I463" s="397"/>
      <c r="J463" s="397"/>
      <c r="K463" s="397"/>
      <c r="L463" s="397"/>
      <c r="M463" s="397"/>
    </row>
    <row r="464" spans="1:13" s="397" customFormat="1">
      <c r="A464" s="396" t="s">
        <v>246</v>
      </c>
      <c r="B464" s="396" t="s">
        <v>335</v>
      </c>
      <c r="H464"/>
      <c r="I464"/>
      <c r="J464"/>
      <c r="K464"/>
      <c r="L464"/>
      <c r="M464"/>
    </row>
    <row r="465" spans="1:13">
      <c r="A465" s="398" t="s">
        <v>248</v>
      </c>
      <c r="B465" s="399" t="s">
        <v>249</v>
      </c>
      <c r="C465" s="399" t="s">
        <v>250</v>
      </c>
      <c r="D465" s="399" t="s">
        <v>251</v>
      </c>
      <c r="E465" s="399" t="s">
        <v>252</v>
      </c>
      <c r="F465" s="399" t="s">
        <v>253</v>
      </c>
    </row>
    <row r="466" spans="1:13">
      <c r="A466" s="398" t="s">
        <v>254</v>
      </c>
      <c r="B466" s="402">
        <v>129769</v>
      </c>
      <c r="C466" s="402">
        <v>146745</v>
      </c>
      <c r="D466" s="402">
        <v>166507</v>
      </c>
      <c r="E466" s="402">
        <v>174449</v>
      </c>
      <c r="F466" s="402">
        <v>172769</v>
      </c>
    </row>
    <row r="467" spans="1:13">
      <c r="A467" s="398" t="s">
        <v>255</v>
      </c>
      <c r="B467" s="401">
        <v>1880</v>
      </c>
      <c r="C467" s="401">
        <f>B467</f>
        <v>1880</v>
      </c>
      <c r="D467" s="401">
        <f>C467</f>
        <v>1880</v>
      </c>
      <c r="E467" s="401">
        <f>D467</f>
        <v>1880</v>
      </c>
      <c r="F467" s="401">
        <f>E467</f>
        <v>1880</v>
      </c>
    </row>
    <row r="468" spans="1:13">
      <c r="A468" s="398" t="s">
        <v>259</v>
      </c>
      <c r="B468" s="404">
        <f>B467*B466/1000000</f>
        <v>243.96572</v>
      </c>
      <c r="C468" s="404">
        <f>C467*C466/1000000</f>
        <v>275.88060000000002</v>
      </c>
      <c r="D468" s="404">
        <f>D467*D466/1000000</f>
        <v>313.03316000000001</v>
      </c>
      <c r="E468" s="404">
        <f>E467*E466/1000000</f>
        <v>327.96411999999998</v>
      </c>
      <c r="F468" s="404">
        <f>F467*F466/1000000</f>
        <v>324.80572000000001</v>
      </c>
    </row>
    <row r="469" spans="1:13">
      <c r="A469" s="396"/>
      <c r="B469" s="405"/>
      <c r="C469" s="405"/>
      <c r="D469" s="405"/>
      <c r="E469" s="405"/>
      <c r="F469" s="405"/>
      <c r="H469" s="397"/>
      <c r="I469" s="397"/>
      <c r="J469" s="397"/>
      <c r="K469" s="397"/>
      <c r="L469" s="397"/>
      <c r="M469" s="397"/>
    </row>
    <row r="470" spans="1:13" s="397" customFormat="1">
      <c r="A470" s="396" t="s">
        <v>246</v>
      </c>
      <c r="B470" s="396" t="s">
        <v>336</v>
      </c>
      <c r="H470"/>
      <c r="I470"/>
      <c r="J470"/>
      <c r="K470"/>
      <c r="L470"/>
      <c r="M470"/>
    </row>
    <row r="471" spans="1:13">
      <c r="A471" s="398" t="s">
        <v>248</v>
      </c>
      <c r="B471" s="399" t="s">
        <v>249</v>
      </c>
      <c r="C471" s="399" t="s">
        <v>250</v>
      </c>
      <c r="D471" s="399" t="s">
        <v>251</v>
      </c>
      <c r="E471" s="399" t="s">
        <v>252</v>
      </c>
      <c r="F471" s="399" t="s">
        <v>253</v>
      </c>
    </row>
    <row r="472" spans="1:13">
      <c r="A472" s="398" t="s">
        <v>254</v>
      </c>
      <c r="B472" s="402">
        <v>92791</v>
      </c>
      <c r="C472" s="402">
        <v>78080</v>
      </c>
      <c r="D472" s="401"/>
      <c r="E472" s="402">
        <v>80511</v>
      </c>
      <c r="F472" s="402">
        <v>86382</v>
      </c>
    </row>
    <row r="473" spans="1:13">
      <c r="A473" s="398" t="s">
        <v>255</v>
      </c>
      <c r="B473" s="401">
        <v>1950</v>
      </c>
      <c r="C473" s="401">
        <f>B473</f>
        <v>1950</v>
      </c>
      <c r="D473" s="401">
        <f>C473</f>
        <v>1950</v>
      </c>
      <c r="E473" s="401">
        <f>D473</f>
        <v>1950</v>
      </c>
      <c r="F473" s="401">
        <f>E473</f>
        <v>1950</v>
      </c>
    </row>
    <row r="474" spans="1:13">
      <c r="A474" s="398" t="s">
        <v>259</v>
      </c>
      <c r="B474" s="404">
        <f>B473*B472/1000000</f>
        <v>180.94245000000001</v>
      </c>
      <c r="C474" s="404">
        <f>C473*C472/1000000</f>
        <v>152.256</v>
      </c>
      <c r="D474" s="404">
        <f>D473*D472/1000000</f>
        <v>0</v>
      </c>
      <c r="E474" s="404">
        <f>E473*E472/1000000</f>
        <v>156.99645000000001</v>
      </c>
      <c r="F474" s="404">
        <f>F473*F472/1000000</f>
        <v>168.44489999999999</v>
      </c>
    </row>
    <row r="475" spans="1:13">
      <c r="A475" s="396"/>
      <c r="B475" s="405"/>
      <c r="C475" s="405"/>
      <c r="D475" s="405"/>
      <c r="E475" s="405"/>
      <c r="F475" s="405"/>
      <c r="H475" s="397"/>
      <c r="I475" s="397"/>
      <c r="J475" s="397"/>
      <c r="K475" s="397"/>
      <c r="L475" s="397"/>
      <c r="M475" s="397"/>
    </row>
    <row r="476" spans="1:13" s="397" customFormat="1">
      <c r="A476" s="396" t="s">
        <v>246</v>
      </c>
      <c r="B476" s="396" t="s">
        <v>337</v>
      </c>
      <c r="H476"/>
      <c r="I476"/>
      <c r="J476"/>
      <c r="K476"/>
      <c r="L476"/>
      <c r="M476"/>
    </row>
    <row r="477" spans="1:13">
      <c r="A477" s="398" t="s">
        <v>248</v>
      </c>
      <c r="B477" s="399" t="s">
        <v>249</v>
      </c>
      <c r="C477" s="399" t="s">
        <v>250</v>
      </c>
      <c r="D477" s="399" t="s">
        <v>251</v>
      </c>
      <c r="E477" s="399" t="s">
        <v>252</v>
      </c>
      <c r="F477" s="399" t="s">
        <v>253</v>
      </c>
    </row>
    <row r="478" spans="1:13">
      <c r="A478" s="398" t="s">
        <v>254</v>
      </c>
      <c r="B478" s="402">
        <v>82285</v>
      </c>
      <c r="C478" s="402">
        <v>82841</v>
      </c>
      <c r="D478" s="402">
        <v>83907</v>
      </c>
      <c r="E478" s="401"/>
      <c r="F478" s="401"/>
    </row>
    <row r="479" spans="1:13">
      <c r="A479" s="398" t="s">
        <v>255</v>
      </c>
      <c r="B479" s="401">
        <v>2040</v>
      </c>
      <c r="C479" s="401">
        <f>B479</f>
        <v>2040</v>
      </c>
      <c r="D479" s="401">
        <f>C479</f>
        <v>2040</v>
      </c>
      <c r="E479" s="401">
        <f>D479</f>
        <v>2040</v>
      </c>
      <c r="F479" s="401">
        <f>E479</f>
        <v>2040</v>
      </c>
    </row>
    <row r="480" spans="1:13">
      <c r="A480" s="398" t="s">
        <v>259</v>
      </c>
      <c r="B480" s="404">
        <f>B479*B478/1000000</f>
        <v>167.8614</v>
      </c>
      <c r="C480" s="404">
        <f>C479*C478/1000000</f>
        <v>168.99564000000001</v>
      </c>
      <c r="D480" s="404">
        <f>D479*D478/1000000</f>
        <v>171.17027999999999</v>
      </c>
      <c r="E480" s="404">
        <f>E479*E478/1000000</f>
        <v>0</v>
      </c>
      <c r="F480" s="404">
        <f>F479*F478/1000000</f>
        <v>0</v>
      </c>
    </row>
    <row r="481" spans="1:13">
      <c r="A481" s="396"/>
      <c r="B481" s="405"/>
      <c r="C481" s="405"/>
      <c r="D481" s="405"/>
      <c r="E481" s="405"/>
      <c r="F481" s="405"/>
      <c r="H481" s="397"/>
      <c r="I481" s="397"/>
      <c r="J481" s="397"/>
      <c r="K481" s="397"/>
      <c r="L481" s="397"/>
      <c r="M481" s="397"/>
    </row>
    <row r="482" spans="1:13" s="397" customFormat="1">
      <c r="A482" s="396" t="s">
        <v>246</v>
      </c>
      <c r="B482" s="396" t="s">
        <v>338</v>
      </c>
      <c r="H482"/>
      <c r="I482"/>
      <c r="J482"/>
      <c r="K482"/>
      <c r="L482"/>
      <c r="M482"/>
    </row>
    <row r="483" spans="1:13">
      <c r="A483" s="398" t="s">
        <v>248</v>
      </c>
      <c r="B483" s="399" t="s">
        <v>249</v>
      </c>
      <c r="C483" s="399" t="s">
        <v>250</v>
      </c>
      <c r="D483" s="399" t="s">
        <v>251</v>
      </c>
      <c r="E483" s="399" t="s">
        <v>252</v>
      </c>
      <c r="F483" s="399" t="s">
        <v>253</v>
      </c>
    </row>
    <row r="484" spans="1:13">
      <c r="A484" s="398" t="s">
        <v>254</v>
      </c>
      <c r="B484" s="402">
        <v>150445</v>
      </c>
      <c r="C484" s="402">
        <v>122500</v>
      </c>
      <c r="D484" s="402">
        <v>116521</v>
      </c>
      <c r="E484" s="402">
        <v>107762</v>
      </c>
      <c r="F484" s="402">
        <v>115405</v>
      </c>
    </row>
    <row r="485" spans="1:13">
      <c r="A485" s="398" t="s">
        <v>255</v>
      </c>
      <c r="B485" s="401">
        <v>1950</v>
      </c>
      <c r="C485" s="401">
        <f>B485</f>
        <v>1950</v>
      </c>
      <c r="D485" s="401">
        <f>C485</f>
        <v>1950</v>
      </c>
      <c r="E485" s="401">
        <f>D485</f>
        <v>1950</v>
      </c>
      <c r="F485" s="401">
        <f>E485</f>
        <v>1950</v>
      </c>
    </row>
    <row r="486" spans="1:13">
      <c r="A486" s="398" t="s">
        <v>259</v>
      </c>
      <c r="B486" s="404">
        <f>B485*B484/1000000</f>
        <v>293.36775</v>
      </c>
      <c r="C486" s="404">
        <f>C485*C484/1000000</f>
        <v>238.875</v>
      </c>
      <c r="D486" s="404">
        <f>D485*D484/1000000</f>
        <v>227.21594999999999</v>
      </c>
      <c r="E486" s="404">
        <f>E485*E484/1000000</f>
        <v>210.13589999999999</v>
      </c>
      <c r="F486" s="404">
        <f>F485*F484/1000000</f>
        <v>225.03975</v>
      </c>
    </row>
    <row r="487" spans="1:13">
      <c r="A487" s="396"/>
      <c r="B487" s="405"/>
      <c r="C487" s="405"/>
      <c r="D487" s="405"/>
      <c r="E487" s="405"/>
      <c r="F487" s="405"/>
      <c r="H487" s="397"/>
      <c r="I487" s="397"/>
      <c r="J487" s="397"/>
      <c r="K487" s="397"/>
      <c r="L487" s="397"/>
      <c r="M487" s="397"/>
    </row>
    <row r="488" spans="1:13" s="397" customFormat="1">
      <c r="A488" s="396" t="s">
        <v>246</v>
      </c>
      <c r="B488" s="396" t="s">
        <v>339</v>
      </c>
      <c r="H488"/>
      <c r="I488"/>
      <c r="J488"/>
      <c r="K488"/>
      <c r="L488"/>
      <c r="M488"/>
    </row>
    <row r="489" spans="1:13">
      <c r="A489" s="398" t="s">
        <v>248</v>
      </c>
      <c r="B489" s="399" t="s">
        <v>249</v>
      </c>
      <c r="C489" s="399" t="s">
        <v>250</v>
      </c>
      <c r="D489" s="399" t="s">
        <v>251</v>
      </c>
      <c r="E489" s="399" t="s">
        <v>252</v>
      </c>
      <c r="F489" s="399" t="s">
        <v>253</v>
      </c>
    </row>
    <row r="490" spans="1:13">
      <c r="A490" s="398" t="s">
        <v>254</v>
      </c>
      <c r="B490" s="402">
        <v>439466</v>
      </c>
      <c r="C490" s="402">
        <v>467872</v>
      </c>
      <c r="D490" s="402">
        <v>485222</v>
      </c>
      <c r="E490" s="402">
        <v>498754</v>
      </c>
      <c r="F490" s="402">
        <v>515515</v>
      </c>
    </row>
    <row r="491" spans="1:13">
      <c r="A491" s="398" t="s">
        <v>255</v>
      </c>
      <c r="B491" s="401">
        <v>748</v>
      </c>
      <c r="C491" s="401">
        <f>B491</f>
        <v>748</v>
      </c>
      <c r="D491" s="401">
        <f>C491</f>
        <v>748</v>
      </c>
      <c r="E491" s="401">
        <f>D491</f>
        <v>748</v>
      </c>
      <c r="F491" s="401">
        <f>E491</f>
        <v>748</v>
      </c>
    </row>
    <row r="492" spans="1:13">
      <c r="A492" s="398" t="s">
        <v>259</v>
      </c>
      <c r="B492" s="404">
        <f>B491*B490/1000000</f>
        <v>328.72056800000001</v>
      </c>
      <c r="C492" s="404">
        <f>C491*C490/1000000</f>
        <v>349.968256</v>
      </c>
      <c r="D492" s="404">
        <f>D491*D490/1000000</f>
        <v>362.946056</v>
      </c>
      <c r="E492" s="404">
        <f>E491*E490/1000000</f>
        <v>373.067992</v>
      </c>
      <c r="F492" s="404">
        <f>F491*F490/1000000</f>
        <v>385.60521999999997</v>
      </c>
    </row>
    <row r="493" spans="1:13">
      <c r="A493" s="396"/>
      <c r="B493" s="405"/>
      <c r="C493" s="405"/>
      <c r="D493" s="405"/>
      <c r="E493" s="405"/>
      <c r="F493" s="405"/>
      <c r="H493" s="397"/>
      <c r="I493" s="397"/>
      <c r="J493" s="397"/>
      <c r="K493" s="397"/>
      <c r="L493" s="397"/>
      <c r="M493" s="397"/>
    </row>
    <row r="494" spans="1:13" s="397" customFormat="1">
      <c r="A494" s="396" t="s">
        <v>246</v>
      </c>
      <c r="B494" s="396" t="s">
        <v>340</v>
      </c>
      <c r="H494"/>
      <c r="I494"/>
      <c r="J494"/>
      <c r="K494"/>
      <c r="L494"/>
      <c r="M494"/>
    </row>
    <row r="495" spans="1:13">
      <c r="A495" s="398" t="s">
        <v>248</v>
      </c>
      <c r="B495" s="399" t="s">
        <v>249</v>
      </c>
      <c r="C495" s="399" t="s">
        <v>250</v>
      </c>
      <c r="D495" s="399" t="s">
        <v>251</v>
      </c>
      <c r="E495" s="399" t="s">
        <v>252</v>
      </c>
      <c r="F495" s="399" t="s">
        <v>253</v>
      </c>
    </row>
    <row r="496" spans="1:13">
      <c r="A496" s="398" t="s">
        <v>254</v>
      </c>
      <c r="B496" s="402">
        <v>76718</v>
      </c>
      <c r="C496" s="402">
        <v>111481</v>
      </c>
      <c r="D496" s="402">
        <v>100456</v>
      </c>
      <c r="E496" s="402">
        <v>103820</v>
      </c>
      <c r="F496" s="402">
        <v>126945</v>
      </c>
    </row>
    <row r="497" spans="1:13">
      <c r="A497" s="398" t="s">
        <v>255</v>
      </c>
      <c r="B497" s="401">
        <v>818</v>
      </c>
      <c r="C497" s="401">
        <f>B497</f>
        <v>818</v>
      </c>
      <c r="D497" s="401">
        <f>C497</f>
        <v>818</v>
      </c>
      <c r="E497" s="401">
        <f>D497</f>
        <v>818</v>
      </c>
      <c r="F497" s="401">
        <f>E497</f>
        <v>818</v>
      </c>
    </row>
    <row r="498" spans="1:13">
      <c r="A498" s="398" t="s">
        <v>259</v>
      </c>
      <c r="B498" s="404">
        <f>B497*B496/1000000</f>
        <v>62.755324000000002</v>
      </c>
      <c r="C498" s="404">
        <f>C497*C496/1000000</f>
        <v>91.191457999999997</v>
      </c>
      <c r="D498" s="404">
        <f>D497*D496/1000000</f>
        <v>82.173007999999996</v>
      </c>
      <c r="E498" s="404">
        <f>E497*E496/1000000</f>
        <v>84.924760000000006</v>
      </c>
      <c r="F498" s="404">
        <f>F497*F496/1000000</f>
        <v>103.84101</v>
      </c>
    </row>
    <row r="499" spans="1:13">
      <c r="A499" s="396"/>
      <c r="B499" s="405"/>
      <c r="C499" s="405"/>
      <c r="D499" s="405"/>
      <c r="E499" s="405"/>
      <c r="F499" s="405"/>
      <c r="H499" s="397"/>
      <c r="I499" s="397"/>
      <c r="J499" s="397"/>
      <c r="K499" s="397"/>
      <c r="L499" s="397"/>
      <c r="M499" s="397"/>
    </row>
    <row r="500" spans="1:13" s="397" customFormat="1">
      <c r="A500" s="396" t="s">
        <v>246</v>
      </c>
      <c r="B500" s="396" t="s">
        <v>341</v>
      </c>
      <c r="H500"/>
      <c r="I500"/>
      <c r="J500"/>
      <c r="K500"/>
      <c r="L500"/>
      <c r="M500"/>
    </row>
    <row r="501" spans="1:13">
      <c r="A501" s="398" t="s">
        <v>248</v>
      </c>
      <c r="B501" s="399" t="s">
        <v>249</v>
      </c>
      <c r="C501" s="399" t="s">
        <v>250</v>
      </c>
      <c r="D501" s="399" t="s">
        <v>251</v>
      </c>
      <c r="E501" s="399" t="s">
        <v>252</v>
      </c>
      <c r="F501" s="399" t="s">
        <v>253</v>
      </c>
      <c r="G501" s="631" t="s">
        <v>710</v>
      </c>
    </row>
    <row r="502" spans="1:13">
      <c r="A502" s="398" t="s">
        <v>254</v>
      </c>
      <c r="B502" s="401"/>
      <c r="C502" s="401"/>
      <c r="D502" s="401"/>
      <c r="E502" s="402">
        <v>75324</v>
      </c>
      <c r="F502" s="402">
        <v>84707</v>
      </c>
    </row>
    <row r="503" spans="1:13">
      <c r="A503" s="398" t="s">
        <v>255</v>
      </c>
      <c r="B503" s="401">
        <v>1290</v>
      </c>
      <c r="C503" s="401">
        <f>B503</f>
        <v>1290</v>
      </c>
      <c r="D503" s="401">
        <f>C503</f>
        <v>1290</v>
      </c>
      <c r="E503" s="401">
        <f>D503</f>
        <v>1290</v>
      </c>
      <c r="F503" s="401">
        <f>E503</f>
        <v>1290</v>
      </c>
    </row>
    <row r="504" spans="1:13">
      <c r="A504" s="398" t="s">
        <v>259</v>
      </c>
      <c r="B504" s="404">
        <f>B503*B502/1000000</f>
        <v>0</v>
      </c>
      <c r="C504" s="404">
        <f>C503*C502/1000000</f>
        <v>0</v>
      </c>
      <c r="D504" s="404">
        <f>D503*D502/1000000</f>
        <v>0</v>
      </c>
      <c r="E504" s="404">
        <f>E503*E502/1000000</f>
        <v>97.167959999999994</v>
      </c>
      <c r="F504" s="404">
        <f>F503*F502/1000000</f>
        <v>109.27203</v>
      </c>
    </row>
    <row r="505" spans="1:13">
      <c r="A505" s="396"/>
      <c r="B505" s="405"/>
      <c r="C505" s="405"/>
      <c r="D505" s="405"/>
      <c r="E505" s="405"/>
      <c r="F505" s="405"/>
      <c r="H505" s="397"/>
      <c r="I505" s="397"/>
      <c r="J505" s="397"/>
      <c r="K505" s="397"/>
      <c r="L505" s="397"/>
      <c r="M505" s="397"/>
    </row>
    <row r="506" spans="1:13" s="397" customFormat="1">
      <c r="A506" s="396" t="s">
        <v>246</v>
      </c>
      <c r="B506" s="396" t="s">
        <v>342</v>
      </c>
      <c r="H506"/>
      <c r="I506"/>
      <c r="J506"/>
      <c r="K506"/>
      <c r="L506"/>
      <c r="M506"/>
    </row>
    <row r="507" spans="1:13">
      <c r="A507" s="398" t="s">
        <v>248</v>
      </c>
      <c r="B507" s="399" t="s">
        <v>249</v>
      </c>
      <c r="C507" s="399" t="s">
        <v>250</v>
      </c>
      <c r="D507" s="399" t="s">
        <v>251</v>
      </c>
      <c r="E507" s="399" t="s">
        <v>252</v>
      </c>
      <c r="F507" s="399" t="s">
        <v>253</v>
      </c>
      <c r="G507" s="631" t="s">
        <v>710</v>
      </c>
    </row>
    <row r="508" spans="1:13">
      <c r="A508" s="398" t="s">
        <v>254</v>
      </c>
      <c r="B508" s="401"/>
      <c r="C508" s="402">
        <v>91424</v>
      </c>
      <c r="D508" s="402">
        <v>82219</v>
      </c>
      <c r="E508" s="401"/>
      <c r="F508" s="401"/>
    </row>
    <row r="509" spans="1:13">
      <c r="A509" s="398" t="s">
        <v>255</v>
      </c>
      <c r="B509" s="401">
        <v>1260</v>
      </c>
      <c r="C509" s="401">
        <f>B509</f>
        <v>1260</v>
      </c>
      <c r="D509" s="401">
        <f>C509</f>
        <v>1260</v>
      </c>
      <c r="E509" s="401">
        <f>D509</f>
        <v>1260</v>
      </c>
      <c r="F509" s="401">
        <f>E509</f>
        <v>1260</v>
      </c>
    </row>
    <row r="510" spans="1:13">
      <c r="A510" s="398" t="s">
        <v>259</v>
      </c>
      <c r="B510" s="404">
        <f>B509*B508/1000000</f>
        <v>0</v>
      </c>
      <c r="C510" s="404">
        <f>C509*C508/1000000</f>
        <v>115.19423999999999</v>
      </c>
      <c r="D510" s="404">
        <f>D509*D508/1000000</f>
        <v>103.59594</v>
      </c>
      <c r="E510" s="404">
        <f>E509*E508/1000000</f>
        <v>0</v>
      </c>
      <c r="F510" s="404">
        <f>F509*F508/1000000</f>
        <v>0</v>
      </c>
    </row>
    <row r="511" spans="1:13">
      <c r="A511" s="396"/>
      <c r="B511" s="405"/>
      <c r="C511" s="405"/>
      <c r="D511" s="405"/>
      <c r="E511" s="405"/>
      <c r="F511" s="405"/>
      <c r="H511" s="397"/>
      <c r="I511" s="397"/>
      <c r="J511" s="397"/>
      <c r="K511" s="397"/>
      <c r="L511" s="397"/>
      <c r="M511" s="397"/>
    </row>
    <row r="512" spans="1:13" s="397" customFormat="1">
      <c r="A512" s="396" t="s">
        <v>246</v>
      </c>
      <c r="B512" s="396" t="s">
        <v>343</v>
      </c>
      <c r="H512"/>
      <c r="I512"/>
      <c r="J512"/>
      <c r="K512"/>
      <c r="L512"/>
      <c r="M512"/>
    </row>
    <row r="513" spans="1:13">
      <c r="A513" s="398" t="s">
        <v>248</v>
      </c>
      <c r="B513" s="399" t="s">
        <v>249</v>
      </c>
      <c r="C513" s="399" t="s">
        <v>250</v>
      </c>
      <c r="D513" s="399" t="s">
        <v>251</v>
      </c>
      <c r="E513" s="399" t="s">
        <v>252</v>
      </c>
      <c r="F513" s="399" t="s">
        <v>253</v>
      </c>
    </row>
    <row r="514" spans="1:13">
      <c r="A514" s="398" t="s">
        <v>254</v>
      </c>
      <c r="B514" s="402">
        <v>198112</v>
      </c>
      <c r="C514" s="402">
        <v>188293</v>
      </c>
      <c r="D514" s="402">
        <v>155840</v>
      </c>
      <c r="E514" s="402">
        <v>121841</v>
      </c>
      <c r="F514" s="402">
        <v>134032</v>
      </c>
    </row>
    <row r="515" spans="1:13">
      <c r="A515" s="398" t="s">
        <v>255</v>
      </c>
      <c r="B515" s="401">
        <v>1820</v>
      </c>
      <c r="C515" s="401">
        <f>B515</f>
        <v>1820</v>
      </c>
      <c r="D515" s="401">
        <f>C515</f>
        <v>1820</v>
      </c>
      <c r="E515" s="401">
        <f>D515</f>
        <v>1820</v>
      </c>
      <c r="F515" s="401">
        <f>E515</f>
        <v>1820</v>
      </c>
    </row>
    <row r="516" spans="1:13">
      <c r="A516" s="398" t="s">
        <v>259</v>
      </c>
      <c r="B516" s="404">
        <f>B515*B514/1000000</f>
        <v>360.56384000000003</v>
      </c>
      <c r="C516" s="404">
        <f>C515*C514/1000000</f>
        <v>342.69326000000001</v>
      </c>
      <c r="D516" s="404">
        <f>D515*D514/1000000</f>
        <v>283.62880000000001</v>
      </c>
      <c r="E516" s="404">
        <f>E515*E514/1000000</f>
        <v>221.75062</v>
      </c>
      <c r="F516" s="404">
        <f>F515*F514/1000000</f>
        <v>243.93824000000001</v>
      </c>
    </row>
    <row r="517" spans="1:13">
      <c r="A517" s="396"/>
      <c r="B517" s="405"/>
      <c r="C517" s="405"/>
      <c r="D517" s="405"/>
      <c r="E517" s="405"/>
      <c r="F517" s="405"/>
      <c r="H517" s="397"/>
      <c r="I517" s="397"/>
      <c r="J517" s="397"/>
      <c r="K517" s="397"/>
      <c r="L517" s="397"/>
      <c r="M517" s="397"/>
    </row>
    <row r="518" spans="1:13" s="397" customFormat="1">
      <c r="A518" s="396" t="s">
        <v>246</v>
      </c>
      <c r="B518" s="396" t="s">
        <v>344</v>
      </c>
      <c r="H518"/>
      <c r="I518"/>
      <c r="J518"/>
      <c r="K518"/>
      <c r="L518"/>
      <c r="M518"/>
    </row>
    <row r="519" spans="1:13">
      <c r="A519" s="398" t="s">
        <v>248</v>
      </c>
      <c r="B519" s="399" t="s">
        <v>249</v>
      </c>
      <c r="C519" s="399" t="s">
        <v>250</v>
      </c>
      <c r="D519" s="399" t="s">
        <v>251</v>
      </c>
      <c r="E519" s="399" t="s">
        <v>252</v>
      </c>
      <c r="F519" s="399" t="s">
        <v>253</v>
      </c>
    </row>
    <row r="520" spans="1:13">
      <c r="A520" s="398" t="s">
        <v>254</v>
      </c>
      <c r="B520" s="401"/>
      <c r="C520" s="401"/>
      <c r="D520" s="401"/>
      <c r="E520" s="401"/>
      <c r="F520" s="402">
        <v>94677</v>
      </c>
    </row>
    <row r="521" spans="1:13">
      <c r="A521" s="398" t="s">
        <v>255</v>
      </c>
      <c r="B521" s="401">
        <v>1820</v>
      </c>
      <c r="C521" s="401">
        <f>B521</f>
        <v>1820</v>
      </c>
      <c r="D521" s="401">
        <f>C521</f>
        <v>1820</v>
      </c>
      <c r="E521" s="401">
        <f>D521</f>
        <v>1820</v>
      </c>
      <c r="F521" s="401">
        <f>E521</f>
        <v>1820</v>
      </c>
    </row>
    <row r="522" spans="1:13">
      <c r="A522" s="398" t="s">
        <v>259</v>
      </c>
      <c r="B522" s="404">
        <f>B521*B520/1000000</f>
        <v>0</v>
      </c>
      <c r="C522" s="404">
        <f>C521*C520/1000000</f>
        <v>0</v>
      </c>
      <c r="D522" s="404">
        <f>D521*D520/1000000</f>
        <v>0</v>
      </c>
      <c r="E522" s="404">
        <f>E521*E520/1000000</f>
        <v>0</v>
      </c>
      <c r="F522" s="404">
        <f>F521*F520/1000000</f>
        <v>172.31214</v>
      </c>
    </row>
    <row r="523" spans="1:13">
      <c r="A523" s="396"/>
      <c r="B523" s="405"/>
      <c r="C523" s="405"/>
      <c r="D523" s="405"/>
      <c r="E523" s="405"/>
      <c r="F523" s="405"/>
      <c r="H523" s="397"/>
      <c r="I523" s="397"/>
      <c r="J523" s="397"/>
      <c r="K523" s="397"/>
      <c r="L523" s="397"/>
      <c r="M523" s="397"/>
    </row>
    <row r="524" spans="1:13" s="397" customFormat="1">
      <c r="A524" s="396" t="s">
        <v>246</v>
      </c>
      <c r="B524" s="396" t="s">
        <v>345</v>
      </c>
      <c r="H524"/>
      <c r="I524"/>
      <c r="J524"/>
      <c r="K524"/>
      <c r="L524"/>
      <c r="M524"/>
    </row>
    <row r="525" spans="1:13">
      <c r="A525" s="398" t="s">
        <v>248</v>
      </c>
      <c r="B525" s="399" t="s">
        <v>249</v>
      </c>
      <c r="C525" s="399" t="s">
        <v>250</v>
      </c>
      <c r="D525" s="399" t="s">
        <v>251</v>
      </c>
      <c r="E525" s="399" t="s">
        <v>252</v>
      </c>
      <c r="F525" s="399" t="s">
        <v>253</v>
      </c>
    </row>
    <row r="526" spans="1:13">
      <c r="A526" s="398" t="s">
        <v>254</v>
      </c>
      <c r="B526" s="402">
        <v>105281</v>
      </c>
      <c r="C526" s="402">
        <v>107399</v>
      </c>
      <c r="D526" s="402">
        <v>94082</v>
      </c>
      <c r="E526" s="402">
        <v>115677</v>
      </c>
      <c r="F526" s="401"/>
    </row>
    <row r="527" spans="1:13">
      <c r="A527" s="398" t="s">
        <v>255</v>
      </c>
      <c r="B527" s="401">
        <v>1820</v>
      </c>
      <c r="C527" s="401">
        <f>B527</f>
        <v>1820</v>
      </c>
      <c r="D527" s="401">
        <f>C527</f>
        <v>1820</v>
      </c>
      <c r="E527" s="401">
        <f>D527</f>
        <v>1820</v>
      </c>
      <c r="F527" s="401">
        <f>E527</f>
        <v>1820</v>
      </c>
    </row>
    <row r="528" spans="1:13">
      <c r="A528" s="398" t="s">
        <v>259</v>
      </c>
      <c r="B528" s="404">
        <f>B527*B526/1000000</f>
        <v>191.61142000000001</v>
      </c>
      <c r="C528" s="404">
        <f>C527*C526/1000000</f>
        <v>195.46618000000001</v>
      </c>
      <c r="D528" s="404">
        <f>D527*D526/1000000</f>
        <v>171.22924</v>
      </c>
      <c r="E528" s="404">
        <f>E527*E526/1000000</f>
        <v>210.53214</v>
      </c>
      <c r="F528" s="404">
        <f>F527*F526/1000000</f>
        <v>0</v>
      </c>
    </row>
    <row r="529" spans="1:13">
      <c r="A529" s="396"/>
      <c r="B529" s="405"/>
      <c r="C529" s="405"/>
      <c r="D529" s="405"/>
      <c r="E529" s="405"/>
      <c r="F529" s="405"/>
      <c r="H529" s="397"/>
      <c r="I529" s="397"/>
      <c r="J529" s="397"/>
      <c r="K529" s="397"/>
      <c r="L529" s="397"/>
      <c r="M529" s="397"/>
    </row>
    <row r="530" spans="1:13" s="397" customFormat="1">
      <c r="A530" s="396" t="s">
        <v>246</v>
      </c>
      <c r="B530" s="396" t="s">
        <v>346</v>
      </c>
      <c r="H530"/>
      <c r="I530"/>
      <c r="J530"/>
      <c r="K530"/>
      <c r="L530"/>
      <c r="M530"/>
    </row>
    <row r="531" spans="1:13">
      <c r="A531" s="398" t="s">
        <v>248</v>
      </c>
      <c r="B531" s="399" t="s">
        <v>249</v>
      </c>
      <c r="C531" s="399" t="s">
        <v>250</v>
      </c>
      <c r="D531" s="399" t="s">
        <v>251</v>
      </c>
      <c r="E531" s="399" t="s">
        <v>252</v>
      </c>
      <c r="F531" s="399" t="s">
        <v>253</v>
      </c>
    </row>
    <row r="532" spans="1:13">
      <c r="A532" s="398" t="s">
        <v>254</v>
      </c>
      <c r="B532" s="402">
        <v>86039</v>
      </c>
      <c r="C532" s="402">
        <v>85427</v>
      </c>
      <c r="D532" s="402">
        <v>79061</v>
      </c>
      <c r="E532" s="402">
        <v>82989</v>
      </c>
      <c r="F532" s="402">
        <v>86449</v>
      </c>
    </row>
    <row r="533" spans="1:13">
      <c r="A533" s="398" t="s">
        <v>255</v>
      </c>
      <c r="B533" s="401">
        <v>1590</v>
      </c>
      <c r="C533" s="401">
        <f>B533</f>
        <v>1590</v>
      </c>
      <c r="D533" s="401">
        <f>C533</f>
        <v>1590</v>
      </c>
      <c r="E533" s="401">
        <f>D533</f>
        <v>1590</v>
      </c>
      <c r="F533" s="401">
        <f>E533</f>
        <v>1590</v>
      </c>
    </row>
    <row r="534" spans="1:13">
      <c r="A534" s="398" t="s">
        <v>259</v>
      </c>
      <c r="B534" s="404">
        <f>B533*B532/1000000</f>
        <v>136.80201</v>
      </c>
      <c r="C534" s="404">
        <f>C533*C532/1000000</f>
        <v>135.82893000000001</v>
      </c>
      <c r="D534" s="404">
        <f>D533*D532/1000000</f>
        <v>125.70699</v>
      </c>
      <c r="E534" s="404">
        <f>E533*E532/1000000</f>
        <v>131.95250999999999</v>
      </c>
      <c r="F534" s="404">
        <f>F533*F532/1000000</f>
        <v>137.45391000000001</v>
      </c>
    </row>
    <row r="535" spans="1:13">
      <c r="A535" s="396"/>
      <c r="B535" s="405"/>
      <c r="C535" s="405"/>
      <c r="D535" s="405"/>
      <c r="E535" s="405"/>
      <c r="F535" s="405"/>
      <c r="H535" s="397"/>
      <c r="I535" s="397"/>
      <c r="J535" s="397"/>
      <c r="K535" s="397"/>
      <c r="L535" s="397"/>
      <c r="M535" s="397"/>
    </row>
    <row r="536" spans="1:13" s="397" customFormat="1">
      <c r="A536" s="396" t="s">
        <v>246</v>
      </c>
      <c r="B536" s="396" t="s">
        <v>347</v>
      </c>
      <c r="H536"/>
      <c r="I536"/>
      <c r="J536"/>
      <c r="K536"/>
      <c r="L536"/>
      <c r="M536"/>
    </row>
    <row r="537" spans="1:13">
      <c r="A537" s="398" t="s">
        <v>248</v>
      </c>
      <c r="B537" s="399" t="s">
        <v>249</v>
      </c>
      <c r="C537" s="399" t="s">
        <v>250</v>
      </c>
      <c r="D537" s="399" t="s">
        <v>251</v>
      </c>
      <c r="E537" s="399" t="s">
        <v>252</v>
      </c>
      <c r="F537" s="399" t="s">
        <v>253</v>
      </c>
    </row>
    <row r="538" spans="1:13">
      <c r="A538" s="398" t="s">
        <v>254</v>
      </c>
      <c r="B538" s="402">
        <v>311826</v>
      </c>
      <c r="C538" s="402">
        <v>299728</v>
      </c>
      <c r="D538" s="402">
        <v>337221</v>
      </c>
      <c r="E538" s="402">
        <v>366029</v>
      </c>
      <c r="F538" s="402">
        <v>360445</v>
      </c>
    </row>
    <row r="539" spans="1:13">
      <c r="A539" s="398" t="s">
        <v>255</v>
      </c>
      <c r="B539" s="401">
        <v>1830</v>
      </c>
      <c r="C539" s="401">
        <f>B539</f>
        <v>1830</v>
      </c>
      <c r="D539" s="401">
        <f>C539</f>
        <v>1830</v>
      </c>
      <c r="E539" s="401">
        <f>D539</f>
        <v>1830</v>
      </c>
      <c r="F539" s="401">
        <f>E539</f>
        <v>1830</v>
      </c>
    </row>
    <row r="540" spans="1:13">
      <c r="A540" s="398" t="s">
        <v>259</v>
      </c>
      <c r="B540" s="404">
        <f>B539*B538/1000000</f>
        <v>570.64157999999998</v>
      </c>
      <c r="C540" s="404">
        <f>C539*C538/1000000</f>
        <v>548.50224000000003</v>
      </c>
      <c r="D540" s="404">
        <f>D539*D538/1000000</f>
        <v>617.11442999999997</v>
      </c>
      <c r="E540" s="404">
        <f>E539*E538/1000000</f>
        <v>669.83307000000002</v>
      </c>
      <c r="F540" s="404">
        <f>F539*F538/1000000</f>
        <v>659.61434999999994</v>
      </c>
    </row>
    <row r="541" spans="1:13">
      <c r="A541" s="396"/>
      <c r="B541" s="405"/>
      <c r="C541" s="405"/>
      <c r="D541" s="405"/>
      <c r="E541" s="405"/>
      <c r="F541" s="405"/>
      <c r="H541" s="397"/>
      <c r="I541" s="397"/>
      <c r="J541" s="397"/>
      <c r="K541" s="397"/>
      <c r="L541" s="397"/>
      <c r="M541" s="397"/>
    </row>
    <row r="542" spans="1:13" s="397" customFormat="1">
      <c r="A542" s="396" t="s">
        <v>246</v>
      </c>
      <c r="B542" s="396" t="s">
        <v>348</v>
      </c>
      <c r="H542"/>
      <c r="I542"/>
      <c r="J542"/>
      <c r="K542"/>
      <c r="L542"/>
      <c r="M542"/>
    </row>
    <row r="543" spans="1:13">
      <c r="A543" s="398" t="s">
        <v>248</v>
      </c>
      <c r="B543" s="399" t="s">
        <v>249</v>
      </c>
      <c r="C543" s="399" t="s">
        <v>250</v>
      </c>
      <c r="D543" s="399" t="s">
        <v>251</v>
      </c>
      <c r="E543" s="399" t="s">
        <v>252</v>
      </c>
      <c r="F543" s="399" t="s">
        <v>253</v>
      </c>
    </row>
    <row r="544" spans="1:13">
      <c r="A544" s="398" t="s">
        <v>254</v>
      </c>
      <c r="B544" s="402">
        <v>95761</v>
      </c>
      <c r="C544" s="402">
        <v>98422</v>
      </c>
      <c r="D544" s="402">
        <v>102515</v>
      </c>
      <c r="E544" s="402">
        <v>113501</v>
      </c>
      <c r="F544" s="402">
        <v>178921</v>
      </c>
    </row>
    <row r="545" spans="1:13">
      <c r="A545" s="398" t="s">
        <v>255</v>
      </c>
      <c r="B545" s="401">
        <v>1640</v>
      </c>
      <c r="C545" s="401">
        <f>B545</f>
        <v>1640</v>
      </c>
      <c r="D545" s="401">
        <f>C545</f>
        <v>1640</v>
      </c>
      <c r="E545" s="401">
        <f>D545</f>
        <v>1640</v>
      </c>
      <c r="F545" s="401">
        <f>E545</f>
        <v>1640</v>
      </c>
    </row>
    <row r="546" spans="1:13">
      <c r="A546" s="398" t="s">
        <v>259</v>
      </c>
      <c r="B546" s="404">
        <f>B545*B544/1000000</f>
        <v>157.04803999999999</v>
      </c>
      <c r="C546" s="404">
        <f>C545*C544/1000000</f>
        <v>161.41208</v>
      </c>
      <c r="D546" s="404">
        <f>D545*D544/1000000</f>
        <v>168.12459999999999</v>
      </c>
      <c r="E546" s="404">
        <f>E545*E544/1000000</f>
        <v>186.14164</v>
      </c>
      <c r="F546" s="404">
        <f>F545*F544/1000000</f>
        <v>293.43043999999998</v>
      </c>
    </row>
    <row r="547" spans="1:13">
      <c r="A547" s="396"/>
      <c r="B547" s="405"/>
      <c r="C547" s="405"/>
      <c r="D547" s="405"/>
      <c r="E547" s="405"/>
      <c r="F547" s="405"/>
      <c r="H547" s="397"/>
      <c r="I547" s="397"/>
      <c r="J547" s="397"/>
      <c r="K547" s="397"/>
      <c r="L547" s="397"/>
      <c r="M547" s="397"/>
    </row>
    <row r="548" spans="1:13" s="397" customFormat="1">
      <c r="A548" s="396" t="s">
        <v>246</v>
      </c>
      <c r="B548" s="396" t="s">
        <v>349</v>
      </c>
      <c r="H548"/>
      <c r="I548"/>
      <c r="J548"/>
      <c r="K548"/>
      <c r="L548"/>
      <c r="M548"/>
    </row>
    <row r="549" spans="1:13">
      <c r="A549" s="398" t="s">
        <v>248</v>
      </c>
      <c r="B549" s="399" t="s">
        <v>249</v>
      </c>
      <c r="C549" s="399" t="s">
        <v>250</v>
      </c>
      <c r="D549" s="399" t="s">
        <v>251</v>
      </c>
      <c r="E549" s="399" t="s">
        <v>252</v>
      </c>
      <c r="F549" s="399" t="s">
        <v>253</v>
      </c>
    </row>
    <row r="550" spans="1:13">
      <c r="A550" s="398" t="s">
        <v>254</v>
      </c>
      <c r="B550" s="401"/>
      <c r="C550" s="401"/>
      <c r="D550" s="401"/>
      <c r="E550" s="401"/>
      <c r="F550" s="402">
        <v>107316</v>
      </c>
    </row>
    <row r="551" spans="1:13">
      <c r="A551" s="398" t="s">
        <v>255</v>
      </c>
      <c r="B551" s="401">
        <v>2530</v>
      </c>
      <c r="C551" s="401">
        <f>B551</f>
        <v>2530</v>
      </c>
      <c r="D551" s="401">
        <f>C551</f>
        <v>2530</v>
      </c>
      <c r="E551" s="401">
        <f>D551</f>
        <v>2530</v>
      </c>
      <c r="F551" s="401">
        <f>E551</f>
        <v>2530</v>
      </c>
    </row>
    <row r="552" spans="1:13">
      <c r="A552" s="398" t="s">
        <v>259</v>
      </c>
      <c r="B552" s="404">
        <f>B551*B550/1000000</f>
        <v>0</v>
      </c>
      <c r="C552" s="404">
        <f>C551*C550/1000000</f>
        <v>0</v>
      </c>
      <c r="D552" s="404">
        <f>D551*D550/1000000</f>
        <v>0</v>
      </c>
      <c r="E552" s="404">
        <f>E551*E550/1000000</f>
        <v>0</v>
      </c>
      <c r="F552" s="404">
        <f>F551*F550/1000000</f>
        <v>271.50948</v>
      </c>
    </row>
    <row r="553" spans="1:13">
      <c r="A553" s="396"/>
      <c r="B553" s="405"/>
      <c r="C553" s="405"/>
      <c r="D553" s="405"/>
      <c r="E553" s="405"/>
      <c r="F553" s="405"/>
      <c r="H553" s="397"/>
      <c r="I553" s="397"/>
      <c r="J553" s="397"/>
      <c r="K553" s="397"/>
      <c r="L553" s="397"/>
      <c r="M553" s="397"/>
    </row>
    <row r="554" spans="1:13" s="397" customFormat="1">
      <c r="A554" s="396" t="s">
        <v>246</v>
      </c>
      <c r="B554" s="396" t="s">
        <v>350</v>
      </c>
      <c r="H554"/>
      <c r="I554"/>
      <c r="J554"/>
      <c r="K554"/>
      <c r="L554"/>
      <c r="M554"/>
    </row>
    <row r="555" spans="1:13">
      <c r="A555" s="398" t="s">
        <v>248</v>
      </c>
      <c r="B555" s="399" t="s">
        <v>249</v>
      </c>
      <c r="C555" s="399" t="s">
        <v>250</v>
      </c>
      <c r="D555" s="399" t="s">
        <v>251</v>
      </c>
      <c r="E555" s="399" t="s">
        <v>252</v>
      </c>
      <c r="F555" s="399" t="s">
        <v>253</v>
      </c>
    </row>
    <row r="556" spans="1:13">
      <c r="A556" s="398" t="s">
        <v>254</v>
      </c>
      <c r="B556" s="401"/>
      <c r="C556" s="401"/>
      <c r="D556" s="402">
        <v>91918</v>
      </c>
      <c r="E556" s="402">
        <v>111976</v>
      </c>
      <c r="F556" s="402">
        <v>106016</v>
      </c>
    </row>
    <row r="557" spans="1:13">
      <c r="A557" s="398" t="s">
        <v>255</v>
      </c>
      <c r="B557" s="401">
        <v>1630</v>
      </c>
      <c r="C557" s="401">
        <f>B557</f>
        <v>1630</v>
      </c>
      <c r="D557" s="401">
        <f>C557</f>
        <v>1630</v>
      </c>
      <c r="E557" s="401">
        <f>D557</f>
        <v>1630</v>
      </c>
      <c r="F557" s="401">
        <f>E557</f>
        <v>1630</v>
      </c>
    </row>
    <row r="558" spans="1:13">
      <c r="A558" s="398" t="s">
        <v>259</v>
      </c>
      <c r="B558" s="404">
        <f>B557*B556/1000000</f>
        <v>0</v>
      </c>
      <c r="C558" s="404">
        <f>C557*C556/1000000</f>
        <v>0</v>
      </c>
      <c r="D558" s="404">
        <f>D557*D556/1000000</f>
        <v>149.82633999999999</v>
      </c>
      <c r="E558" s="404">
        <f>E557*E556/1000000</f>
        <v>182.52088000000001</v>
      </c>
      <c r="F558" s="404">
        <f>F557*F556/1000000</f>
        <v>172.80608000000001</v>
      </c>
    </row>
    <row r="559" spans="1:13">
      <c r="A559" s="396"/>
      <c r="B559" s="405"/>
      <c r="C559" s="405"/>
      <c r="D559" s="405"/>
      <c r="E559" s="405"/>
      <c r="F559" s="405"/>
      <c r="H559" s="397"/>
      <c r="I559" s="397"/>
      <c r="J559" s="397"/>
      <c r="K559" s="397"/>
      <c r="L559" s="397"/>
      <c r="M559" s="397"/>
    </row>
    <row r="560" spans="1:13" s="397" customFormat="1">
      <c r="A560" s="396" t="s">
        <v>246</v>
      </c>
      <c r="B560" s="396" t="s">
        <v>351</v>
      </c>
      <c r="H560"/>
      <c r="I560"/>
      <c r="J560"/>
      <c r="K560"/>
      <c r="L560"/>
      <c r="M560"/>
    </row>
    <row r="561" spans="1:13">
      <c r="A561" s="398" t="s">
        <v>248</v>
      </c>
      <c r="B561" s="399" t="s">
        <v>249</v>
      </c>
      <c r="C561" s="399" t="s">
        <v>250</v>
      </c>
      <c r="D561" s="399" t="s">
        <v>251</v>
      </c>
      <c r="E561" s="399" t="s">
        <v>252</v>
      </c>
      <c r="F561" s="399" t="s">
        <v>253</v>
      </c>
    </row>
    <row r="562" spans="1:13">
      <c r="A562" s="398" t="s">
        <v>254</v>
      </c>
      <c r="B562" s="402">
        <v>88567</v>
      </c>
      <c r="C562" s="402">
        <v>88819</v>
      </c>
      <c r="D562" s="402">
        <v>94023</v>
      </c>
      <c r="E562" s="402">
        <v>98265</v>
      </c>
      <c r="F562" s="402">
        <v>100462</v>
      </c>
    </row>
    <row r="563" spans="1:13">
      <c r="A563" s="398" t="s">
        <v>255</v>
      </c>
      <c r="B563" s="401">
        <v>1740</v>
      </c>
      <c r="C563" s="401">
        <f>B563</f>
        <v>1740</v>
      </c>
      <c r="D563" s="401">
        <f>C563</f>
        <v>1740</v>
      </c>
      <c r="E563" s="401">
        <f>D563</f>
        <v>1740</v>
      </c>
      <c r="F563" s="401">
        <f>E563</f>
        <v>1740</v>
      </c>
    </row>
    <row r="564" spans="1:13">
      <c r="A564" s="398" t="s">
        <v>259</v>
      </c>
      <c r="B564" s="404">
        <f>B563*B562/1000000</f>
        <v>154.10658000000001</v>
      </c>
      <c r="C564" s="404">
        <f>C563*C562/1000000</f>
        <v>154.54506000000001</v>
      </c>
      <c r="D564" s="404">
        <f>D563*D562/1000000</f>
        <v>163.60002</v>
      </c>
      <c r="E564" s="404">
        <f>E563*E562/1000000</f>
        <v>170.9811</v>
      </c>
      <c r="F564" s="404">
        <f>F563*F562/1000000</f>
        <v>174.80387999999999</v>
      </c>
    </row>
    <row r="565" spans="1:13">
      <c r="A565" s="396"/>
      <c r="B565" s="405"/>
      <c r="C565" s="405"/>
      <c r="D565" s="405"/>
      <c r="E565" s="405"/>
      <c r="F565" s="405"/>
      <c r="H565" s="397"/>
      <c r="I565" s="397"/>
      <c r="J565" s="397"/>
      <c r="K565" s="397"/>
      <c r="L565" s="397"/>
      <c r="M565" s="397"/>
    </row>
    <row r="566" spans="1:13" s="397" customFormat="1">
      <c r="A566" s="396" t="s">
        <v>246</v>
      </c>
      <c r="B566" s="396" t="s">
        <v>352</v>
      </c>
      <c r="H566"/>
      <c r="I566"/>
      <c r="J566"/>
      <c r="K566"/>
      <c r="L566"/>
      <c r="M566"/>
    </row>
    <row r="567" spans="1:13">
      <c r="A567" s="398" t="s">
        <v>248</v>
      </c>
      <c r="B567" s="399" t="s">
        <v>249</v>
      </c>
      <c r="C567" s="399" t="s">
        <v>250</v>
      </c>
      <c r="D567" s="399" t="s">
        <v>251</v>
      </c>
      <c r="E567" s="399" t="s">
        <v>252</v>
      </c>
      <c r="F567" s="399" t="s">
        <v>253</v>
      </c>
      <c r="G567" s="631" t="s">
        <v>710</v>
      </c>
    </row>
    <row r="568" spans="1:13">
      <c r="A568" s="398" t="s">
        <v>254</v>
      </c>
      <c r="B568" s="402">
        <v>75345</v>
      </c>
      <c r="C568" s="402">
        <v>81614</v>
      </c>
      <c r="D568" s="402">
        <v>86633</v>
      </c>
      <c r="E568" s="402">
        <v>123073</v>
      </c>
      <c r="F568" s="402">
        <v>148940</v>
      </c>
    </row>
    <row r="569" spans="1:13">
      <c r="A569" s="398" t="s">
        <v>255</v>
      </c>
      <c r="B569" s="401">
        <v>2950</v>
      </c>
      <c r="C569" s="401">
        <f>B569</f>
        <v>2950</v>
      </c>
      <c r="D569" s="401">
        <f>C569</f>
        <v>2950</v>
      </c>
      <c r="E569" s="401">
        <f>D569</f>
        <v>2950</v>
      </c>
      <c r="F569" s="401">
        <f>E569</f>
        <v>2950</v>
      </c>
    </row>
    <row r="570" spans="1:13">
      <c r="A570" s="398" t="s">
        <v>259</v>
      </c>
      <c r="B570" s="404">
        <f>B569*B568/1000000</f>
        <v>222.26775000000001</v>
      </c>
      <c r="C570" s="404">
        <f>C569*C568/1000000</f>
        <v>240.76130000000001</v>
      </c>
      <c r="D570" s="404">
        <f>D569*D568/1000000</f>
        <v>255.56735</v>
      </c>
      <c r="E570" s="404">
        <f>E569*E568/1000000</f>
        <v>363.06535000000002</v>
      </c>
      <c r="F570" s="404">
        <f>F569*F568/1000000</f>
        <v>439.37299999999999</v>
      </c>
    </row>
    <row r="571" spans="1:13">
      <c r="A571" s="396"/>
      <c r="B571" s="405"/>
      <c r="C571" s="405"/>
      <c r="D571" s="405"/>
      <c r="E571" s="405"/>
      <c r="F571" s="405"/>
      <c r="H571" s="397"/>
      <c r="I571" s="397"/>
      <c r="J571" s="397"/>
      <c r="K571" s="397"/>
      <c r="L571" s="397"/>
      <c r="M571" s="397"/>
    </row>
    <row r="572" spans="1:13" s="397" customFormat="1">
      <c r="A572" s="396" t="s">
        <v>246</v>
      </c>
      <c r="B572" s="396" t="s">
        <v>353</v>
      </c>
      <c r="H572"/>
      <c r="I572"/>
      <c r="J572"/>
      <c r="K572"/>
      <c r="L572"/>
      <c r="M572"/>
    </row>
    <row r="573" spans="1:13">
      <c r="A573" s="398" t="s">
        <v>248</v>
      </c>
      <c r="B573" s="399" t="s">
        <v>249</v>
      </c>
      <c r="C573" s="399" t="s">
        <v>250</v>
      </c>
      <c r="D573" s="399" t="s">
        <v>251</v>
      </c>
      <c r="E573" s="399" t="s">
        <v>252</v>
      </c>
      <c r="F573" s="399" t="s">
        <v>253</v>
      </c>
    </row>
    <row r="574" spans="1:13">
      <c r="A574" s="398" t="s">
        <v>254</v>
      </c>
      <c r="B574" s="402">
        <v>538684</v>
      </c>
      <c r="C574" s="402">
        <v>540008</v>
      </c>
      <c r="D574" s="402">
        <v>526593</v>
      </c>
      <c r="E574" s="402">
        <v>563036</v>
      </c>
      <c r="F574" s="402">
        <v>665269</v>
      </c>
    </row>
    <row r="575" spans="1:13">
      <c r="A575" s="398" t="s">
        <v>255</v>
      </c>
      <c r="B575" s="401">
        <v>320</v>
      </c>
      <c r="C575" s="401">
        <f>B575</f>
        <v>320</v>
      </c>
      <c r="D575" s="401">
        <f>C575</f>
        <v>320</v>
      </c>
      <c r="E575" s="401">
        <f>D575</f>
        <v>320</v>
      </c>
      <c r="F575" s="401">
        <f>E575</f>
        <v>320</v>
      </c>
    </row>
    <row r="576" spans="1:13">
      <c r="A576" s="398" t="s">
        <v>259</v>
      </c>
      <c r="B576" s="404">
        <f>B575*B574/1000000</f>
        <v>172.37888000000001</v>
      </c>
      <c r="C576" s="404">
        <f>C575*C574/1000000</f>
        <v>172.80256</v>
      </c>
      <c r="D576" s="404">
        <f>D575*D574/1000000</f>
        <v>168.50976</v>
      </c>
      <c r="E576" s="404">
        <f>E575*E574/1000000</f>
        <v>180.17151999999999</v>
      </c>
      <c r="F576" s="404">
        <f>F575*F574/1000000</f>
        <v>212.88607999999999</v>
      </c>
    </row>
    <row r="577" spans="1:13">
      <c r="A577" s="396"/>
      <c r="B577" s="405"/>
      <c r="C577" s="405"/>
      <c r="D577" s="405"/>
      <c r="E577" s="405"/>
      <c r="F577" s="405"/>
      <c r="H577" s="397"/>
      <c r="I577" s="397"/>
      <c r="J577" s="397"/>
      <c r="K577" s="397"/>
      <c r="L577" s="397"/>
      <c r="M577" s="397"/>
    </row>
    <row r="578" spans="1:13" s="397" customFormat="1">
      <c r="A578" s="396" t="s">
        <v>246</v>
      </c>
      <c r="B578" s="396" t="s">
        <v>354</v>
      </c>
      <c r="H578"/>
      <c r="I578"/>
      <c r="J578"/>
      <c r="K578"/>
      <c r="L578"/>
      <c r="M578"/>
    </row>
    <row r="579" spans="1:13">
      <c r="A579" s="398" t="s">
        <v>248</v>
      </c>
      <c r="B579" s="399" t="s">
        <v>249</v>
      </c>
      <c r="C579" s="399" t="s">
        <v>250</v>
      </c>
      <c r="D579" s="399" t="s">
        <v>251</v>
      </c>
      <c r="E579" s="399" t="s">
        <v>252</v>
      </c>
      <c r="F579" s="399" t="s">
        <v>253</v>
      </c>
    </row>
    <row r="580" spans="1:13">
      <c r="A580" s="398" t="s">
        <v>254</v>
      </c>
      <c r="B580" s="402">
        <v>553808</v>
      </c>
      <c r="C580" s="402">
        <v>563545</v>
      </c>
      <c r="D580" s="402">
        <v>593559</v>
      </c>
      <c r="E580" s="402">
        <v>622740</v>
      </c>
      <c r="F580" s="402">
        <v>758721</v>
      </c>
    </row>
    <row r="581" spans="1:13">
      <c r="A581" s="398" t="s">
        <v>255</v>
      </c>
      <c r="B581" s="401">
        <v>264</v>
      </c>
      <c r="C581" s="401">
        <f>B581</f>
        <v>264</v>
      </c>
      <c r="D581" s="401">
        <f>C581</f>
        <v>264</v>
      </c>
      <c r="E581" s="401">
        <f>D581</f>
        <v>264</v>
      </c>
      <c r="F581" s="401">
        <f>E581</f>
        <v>264</v>
      </c>
    </row>
    <row r="582" spans="1:13">
      <c r="A582" s="398" t="s">
        <v>259</v>
      </c>
      <c r="B582" s="404">
        <f>B581*B580/1000000</f>
        <v>146.20531199999999</v>
      </c>
      <c r="C582" s="404">
        <f>C581*C580/1000000</f>
        <v>148.77588</v>
      </c>
      <c r="D582" s="404">
        <f>D581*D580/1000000</f>
        <v>156.69957600000001</v>
      </c>
      <c r="E582" s="404">
        <f>E581*E580/1000000</f>
        <v>164.40335999999999</v>
      </c>
      <c r="F582" s="404">
        <f>F581*F580/1000000</f>
        <v>200.30234400000001</v>
      </c>
    </row>
    <row r="583" spans="1:13">
      <c r="A583" s="396"/>
      <c r="B583" s="405"/>
      <c r="C583" s="405"/>
      <c r="D583" s="405"/>
      <c r="E583" s="405"/>
      <c r="F583" s="405"/>
      <c r="H583" s="397"/>
      <c r="I583" s="397"/>
      <c r="J583" s="397"/>
      <c r="K583" s="397"/>
      <c r="L583" s="397"/>
      <c r="M583" s="397"/>
    </row>
    <row r="584" spans="1:13" s="397" customFormat="1">
      <c r="A584" s="396" t="s">
        <v>246</v>
      </c>
      <c r="B584" s="396" t="s">
        <v>355</v>
      </c>
      <c r="H584"/>
      <c r="I584"/>
      <c r="J584"/>
      <c r="K584"/>
      <c r="L584"/>
      <c r="M584"/>
    </row>
    <row r="585" spans="1:13">
      <c r="A585" s="398" t="s">
        <v>248</v>
      </c>
      <c r="B585" s="399" t="s">
        <v>249</v>
      </c>
      <c r="C585" s="399" t="s">
        <v>250</v>
      </c>
      <c r="D585" s="399" t="s">
        <v>251</v>
      </c>
      <c r="E585" s="399" t="s">
        <v>252</v>
      </c>
      <c r="F585" s="399" t="s">
        <v>253</v>
      </c>
    </row>
    <row r="586" spans="1:13">
      <c r="A586" s="398" t="s">
        <v>254</v>
      </c>
      <c r="B586" s="402">
        <v>268592</v>
      </c>
      <c r="C586" s="402">
        <v>323132</v>
      </c>
      <c r="D586" s="402">
        <v>302090</v>
      </c>
      <c r="E586" s="402">
        <v>290664</v>
      </c>
      <c r="F586" s="402">
        <v>331979</v>
      </c>
    </row>
    <row r="587" spans="1:13">
      <c r="A587" s="398" t="s">
        <v>255</v>
      </c>
      <c r="B587" s="401">
        <v>332</v>
      </c>
      <c r="C587" s="401">
        <f>B587</f>
        <v>332</v>
      </c>
      <c r="D587" s="401">
        <f>C587</f>
        <v>332</v>
      </c>
      <c r="E587" s="401">
        <f>D587</f>
        <v>332</v>
      </c>
      <c r="F587" s="401">
        <f>E587</f>
        <v>332</v>
      </c>
    </row>
    <row r="588" spans="1:13">
      <c r="A588" s="398" t="s">
        <v>259</v>
      </c>
      <c r="B588" s="404">
        <f>B587*B586/1000000</f>
        <v>89.172544000000002</v>
      </c>
      <c r="C588" s="404">
        <f>C587*C586/1000000</f>
        <v>107.279824</v>
      </c>
      <c r="D588" s="404">
        <f>D587*D586/1000000</f>
        <v>100.29388</v>
      </c>
      <c r="E588" s="404">
        <f>E587*E586/1000000</f>
        <v>96.500448000000006</v>
      </c>
      <c r="F588" s="404">
        <f>F587*F586/1000000</f>
        <v>110.217028</v>
      </c>
    </row>
    <row r="589" spans="1:13">
      <c r="A589" s="396"/>
      <c r="B589" s="405"/>
      <c r="C589" s="405"/>
      <c r="D589" s="405"/>
      <c r="E589" s="405"/>
      <c r="F589" s="405"/>
      <c r="H589" s="397"/>
      <c r="I589" s="397"/>
      <c r="J589" s="397"/>
      <c r="K589" s="397"/>
      <c r="L589" s="397"/>
      <c r="M589" s="397"/>
    </row>
    <row r="590" spans="1:13" s="397" customFormat="1">
      <c r="A590" s="396" t="s">
        <v>246</v>
      </c>
      <c r="B590" s="396" t="s">
        <v>356</v>
      </c>
      <c r="H590"/>
      <c r="I590"/>
      <c r="J590"/>
      <c r="K590"/>
      <c r="L590"/>
      <c r="M590"/>
    </row>
    <row r="591" spans="1:13">
      <c r="A591" s="398" t="s">
        <v>248</v>
      </c>
      <c r="B591" s="399" t="s">
        <v>249</v>
      </c>
      <c r="C591" s="399" t="s">
        <v>250</v>
      </c>
      <c r="D591" s="399" t="s">
        <v>251</v>
      </c>
      <c r="E591" s="399" t="s">
        <v>252</v>
      </c>
      <c r="F591" s="399" t="s">
        <v>253</v>
      </c>
    </row>
    <row r="592" spans="1:13">
      <c r="A592" s="398" t="s">
        <v>254</v>
      </c>
      <c r="B592" s="402">
        <v>286181</v>
      </c>
      <c r="C592" s="402">
        <v>308965</v>
      </c>
      <c r="D592" s="402">
        <v>277460</v>
      </c>
      <c r="E592" s="402">
        <v>273901</v>
      </c>
      <c r="F592" s="402">
        <v>278022</v>
      </c>
    </row>
    <row r="593" spans="1:13">
      <c r="A593" s="398" t="s">
        <v>255</v>
      </c>
      <c r="B593" s="401">
        <v>225</v>
      </c>
      <c r="C593" s="401">
        <f>B593</f>
        <v>225</v>
      </c>
      <c r="D593" s="401">
        <f>C593</f>
        <v>225</v>
      </c>
      <c r="E593" s="401">
        <f>D593</f>
        <v>225</v>
      </c>
      <c r="F593" s="401">
        <f>E593</f>
        <v>225</v>
      </c>
    </row>
    <row r="594" spans="1:13">
      <c r="A594" s="398" t="s">
        <v>259</v>
      </c>
      <c r="B594" s="404">
        <f>B593*B592/1000000</f>
        <v>64.390725000000003</v>
      </c>
      <c r="C594" s="404">
        <f>C593*C592/1000000</f>
        <v>69.517124999999993</v>
      </c>
      <c r="D594" s="404">
        <f>D593*D592/1000000</f>
        <v>62.4285</v>
      </c>
      <c r="E594" s="404">
        <f>E593*E592/1000000</f>
        <v>61.627724999999998</v>
      </c>
      <c r="F594" s="404">
        <f>F593*F592/1000000</f>
        <v>62.554949999999998</v>
      </c>
    </row>
    <row r="595" spans="1:13">
      <c r="A595" s="396"/>
      <c r="B595" s="405"/>
      <c r="C595" s="405"/>
      <c r="D595" s="405"/>
      <c r="E595" s="405"/>
      <c r="F595" s="405"/>
      <c r="H595" s="397"/>
      <c r="I595" s="397"/>
      <c r="J595" s="397"/>
      <c r="K595" s="397"/>
      <c r="L595" s="397"/>
      <c r="M595" s="397"/>
    </row>
    <row r="596" spans="1:13" s="397" customFormat="1">
      <c r="A596" s="396" t="s">
        <v>246</v>
      </c>
      <c r="B596" s="396" t="s">
        <v>357</v>
      </c>
      <c r="H596"/>
      <c r="I596"/>
      <c r="J596"/>
      <c r="K596"/>
      <c r="L596"/>
      <c r="M596"/>
    </row>
    <row r="597" spans="1:13">
      <c r="A597" s="398" t="s">
        <v>248</v>
      </c>
      <c r="B597" s="399" t="s">
        <v>249</v>
      </c>
      <c r="C597" s="399" t="s">
        <v>250</v>
      </c>
      <c r="D597" s="399" t="s">
        <v>251</v>
      </c>
      <c r="E597" s="399" t="s">
        <v>252</v>
      </c>
      <c r="F597" s="399" t="s">
        <v>253</v>
      </c>
    </row>
    <row r="598" spans="1:13">
      <c r="A598" s="398" t="s">
        <v>254</v>
      </c>
      <c r="B598" s="402">
        <v>272501</v>
      </c>
      <c r="C598" s="402">
        <v>325255</v>
      </c>
      <c r="D598" s="402">
        <v>300945</v>
      </c>
      <c r="E598" s="402">
        <v>306760</v>
      </c>
      <c r="F598" s="402">
        <v>327847</v>
      </c>
    </row>
    <row r="599" spans="1:13">
      <c r="A599" s="398" t="s">
        <v>255</v>
      </c>
      <c r="B599" s="401">
        <v>433</v>
      </c>
      <c r="C599" s="401">
        <f>B599</f>
        <v>433</v>
      </c>
      <c r="D599" s="401">
        <f>C599</f>
        <v>433</v>
      </c>
      <c r="E599" s="401">
        <f>D599</f>
        <v>433</v>
      </c>
      <c r="F599" s="401">
        <f>E599</f>
        <v>433</v>
      </c>
    </row>
    <row r="600" spans="1:13">
      <c r="A600" s="398" t="s">
        <v>259</v>
      </c>
      <c r="B600" s="404">
        <f>B599*B598/1000000</f>
        <v>117.99293299999999</v>
      </c>
      <c r="C600" s="404">
        <f>C599*C598/1000000</f>
        <v>140.83541500000001</v>
      </c>
      <c r="D600" s="404">
        <f>D599*D598/1000000</f>
        <v>130.30918500000001</v>
      </c>
      <c r="E600" s="404">
        <f>E599*E598/1000000</f>
        <v>132.82708</v>
      </c>
      <c r="F600" s="404">
        <f>F599*F598/1000000</f>
        <v>141.957751</v>
      </c>
    </row>
    <row r="601" spans="1:13">
      <c r="A601" s="396"/>
      <c r="B601" s="405"/>
      <c r="C601" s="405"/>
      <c r="D601" s="405"/>
      <c r="E601" s="405"/>
      <c r="F601" s="405"/>
      <c r="H601" s="397"/>
      <c r="I601" s="397"/>
      <c r="J601" s="397"/>
      <c r="K601" s="397"/>
      <c r="L601" s="397"/>
      <c r="M601" s="397"/>
    </row>
    <row r="602" spans="1:13" s="397" customFormat="1">
      <c r="A602" s="396" t="s">
        <v>246</v>
      </c>
      <c r="B602" s="396" t="s">
        <v>358</v>
      </c>
      <c r="H602"/>
      <c r="I602"/>
      <c r="J602"/>
      <c r="K602"/>
      <c r="L602"/>
      <c r="M602"/>
    </row>
    <row r="603" spans="1:13">
      <c r="A603" s="398" t="s">
        <v>248</v>
      </c>
      <c r="B603" s="399" t="s">
        <v>249</v>
      </c>
      <c r="C603" s="399" t="s">
        <v>250</v>
      </c>
      <c r="D603" s="399" t="s">
        <v>251</v>
      </c>
      <c r="E603" s="399" t="s">
        <v>252</v>
      </c>
      <c r="F603" s="399" t="s">
        <v>253</v>
      </c>
    </row>
    <row r="604" spans="1:13">
      <c r="A604" s="398" t="s">
        <v>254</v>
      </c>
      <c r="B604" s="402">
        <v>99261</v>
      </c>
      <c r="C604" s="402">
        <v>109548</v>
      </c>
      <c r="D604" s="402">
        <v>101699</v>
      </c>
      <c r="E604" s="402">
        <v>103938</v>
      </c>
      <c r="F604" s="402">
        <v>137683</v>
      </c>
    </row>
    <row r="605" spans="1:13">
      <c r="A605" s="398" t="s">
        <v>255</v>
      </c>
      <c r="B605" s="401">
        <v>433</v>
      </c>
      <c r="C605" s="401">
        <f>B605</f>
        <v>433</v>
      </c>
      <c r="D605" s="401">
        <f>C605</f>
        <v>433</v>
      </c>
      <c r="E605" s="401">
        <f>D605</f>
        <v>433</v>
      </c>
      <c r="F605" s="401">
        <f>E605</f>
        <v>433</v>
      </c>
    </row>
    <row r="606" spans="1:13">
      <c r="A606" s="398" t="s">
        <v>259</v>
      </c>
      <c r="B606" s="404">
        <f>B605*B604/1000000</f>
        <v>42.980013</v>
      </c>
      <c r="C606" s="404">
        <f>C605*C604/1000000</f>
        <v>47.434283999999998</v>
      </c>
      <c r="D606" s="404">
        <f>D605*D604/1000000</f>
        <v>44.035666999999997</v>
      </c>
      <c r="E606" s="404">
        <f>E605*E604/1000000</f>
        <v>45.005153999999997</v>
      </c>
      <c r="F606" s="404">
        <f>F605*F604/1000000</f>
        <v>59.616739000000003</v>
      </c>
    </row>
    <row r="607" spans="1:13">
      <c r="A607" s="396"/>
      <c r="B607" s="405"/>
      <c r="C607" s="405"/>
      <c r="D607" s="405"/>
      <c r="E607" s="405"/>
      <c r="F607" s="405"/>
      <c r="H607" s="397"/>
      <c r="I607" s="397"/>
      <c r="J607" s="397"/>
      <c r="K607" s="397"/>
      <c r="L607" s="397"/>
      <c r="M607" s="397"/>
    </row>
    <row r="608" spans="1:13" s="397" customFormat="1">
      <c r="A608" s="396" t="s">
        <v>246</v>
      </c>
      <c r="B608" s="396" t="s">
        <v>359</v>
      </c>
      <c r="H608"/>
      <c r="I608"/>
      <c r="J608"/>
      <c r="K608"/>
      <c r="L608"/>
      <c r="M608"/>
    </row>
    <row r="609" spans="1:13">
      <c r="A609" s="398" t="s">
        <v>248</v>
      </c>
      <c r="B609" s="399" t="s">
        <v>249</v>
      </c>
      <c r="C609" s="399" t="s">
        <v>250</v>
      </c>
      <c r="D609" s="399" t="s">
        <v>251</v>
      </c>
      <c r="E609" s="399" t="s">
        <v>252</v>
      </c>
      <c r="F609" s="399" t="s">
        <v>253</v>
      </c>
    </row>
    <row r="610" spans="1:13">
      <c r="A610" s="398" t="s">
        <v>254</v>
      </c>
      <c r="B610" s="402">
        <v>842659</v>
      </c>
      <c r="C610" s="402">
        <v>923035</v>
      </c>
      <c r="D610" s="402">
        <v>937480</v>
      </c>
      <c r="E610" s="402">
        <v>978395</v>
      </c>
      <c r="F610" s="402">
        <v>993947</v>
      </c>
    </row>
    <row r="611" spans="1:13">
      <c r="A611" s="398" t="s">
        <v>255</v>
      </c>
      <c r="B611" s="401">
        <v>484</v>
      </c>
      <c r="C611" s="401">
        <f>B611</f>
        <v>484</v>
      </c>
      <c r="D611" s="401">
        <f>C611</f>
        <v>484</v>
      </c>
      <c r="E611" s="401">
        <f>D611</f>
        <v>484</v>
      </c>
      <c r="F611" s="401">
        <f>E611</f>
        <v>484</v>
      </c>
    </row>
    <row r="612" spans="1:13">
      <c r="A612" s="398" t="s">
        <v>259</v>
      </c>
      <c r="B612" s="404">
        <f>B611*B610/1000000</f>
        <v>407.84695599999998</v>
      </c>
      <c r="C612" s="404">
        <f>C611*C610/1000000</f>
        <v>446.74894</v>
      </c>
      <c r="D612" s="404">
        <f>D611*D610/1000000</f>
        <v>453.74032</v>
      </c>
      <c r="E612" s="404">
        <f>E611*E610/1000000</f>
        <v>473.54318000000001</v>
      </c>
      <c r="F612" s="404">
        <f>F611*F610/1000000</f>
        <v>481.07034800000002</v>
      </c>
    </row>
    <row r="613" spans="1:13">
      <c r="A613" s="396"/>
      <c r="B613" s="405"/>
      <c r="C613" s="405"/>
      <c r="D613" s="405"/>
      <c r="E613" s="405"/>
      <c r="F613" s="405"/>
      <c r="H613" s="397"/>
      <c r="I613" s="397"/>
      <c r="J613" s="397"/>
      <c r="K613" s="397"/>
      <c r="L613" s="397"/>
      <c r="M613" s="397"/>
    </row>
    <row r="614" spans="1:13" s="397" customFormat="1">
      <c r="A614" s="396" t="s">
        <v>246</v>
      </c>
      <c r="B614" s="396" t="s">
        <v>360</v>
      </c>
      <c r="H614"/>
      <c r="I614"/>
      <c r="J614"/>
      <c r="K614"/>
      <c r="L614"/>
      <c r="M614"/>
    </row>
    <row r="615" spans="1:13">
      <c r="A615" s="398" t="s">
        <v>248</v>
      </c>
      <c r="B615" s="399" t="s">
        <v>249</v>
      </c>
      <c r="C615" s="399" t="s">
        <v>250</v>
      </c>
      <c r="D615" s="399" t="s">
        <v>251</v>
      </c>
      <c r="E615" s="399" t="s">
        <v>252</v>
      </c>
      <c r="F615" s="399" t="s">
        <v>253</v>
      </c>
    </row>
    <row r="616" spans="1:13">
      <c r="A616" s="398" t="s">
        <v>254</v>
      </c>
      <c r="B616" s="402">
        <v>195456</v>
      </c>
      <c r="C616" s="402">
        <v>172265</v>
      </c>
      <c r="D616" s="402">
        <v>163554</v>
      </c>
      <c r="E616" s="402">
        <v>170875</v>
      </c>
      <c r="F616" s="402">
        <v>232485</v>
      </c>
    </row>
    <row r="617" spans="1:13">
      <c r="A617" s="398" t="s">
        <v>255</v>
      </c>
      <c r="B617" s="401">
        <v>476</v>
      </c>
      <c r="C617" s="401">
        <f>B617</f>
        <v>476</v>
      </c>
      <c r="D617" s="401">
        <f>C617</f>
        <v>476</v>
      </c>
      <c r="E617" s="401">
        <f>D617</f>
        <v>476</v>
      </c>
      <c r="F617" s="401">
        <f>E617</f>
        <v>476</v>
      </c>
    </row>
    <row r="618" spans="1:13">
      <c r="A618" s="398" t="s">
        <v>259</v>
      </c>
      <c r="B618" s="404">
        <f>B617*B616/1000000</f>
        <v>93.037056000000007</v>
      </c>
      <c r="C618" s="404">
        <f>C617*C616/1000000</f>
        <v>81.998140000000006</v>
      </c>
      <c r="D618" s="404">
        <f>D617*D616/1000000</f>
        <v>77.851703999999998</v>
      </c>
      <c r="E618" s="404">
        <f>E617*E616/1000000</f>
        <v>81.336500000000001</v>
      </c>
      <c r="F618" s="404">
        <f>F617*F616/1000000</f>
        <v>110.66285999999999</v>
      </c>
    </row>
    <row r="619" spans="1:13">
      <c r="A619" s="396"/>
      <c r="B619" s="405"/>
      <c r="C619" s="405"/>
      <c r="D619" s="405"/>
      <c r="E619" s="405"/>
      <c r="F619" s="405"/>
      <c r="H619" s="397"/>
      <c r="I619" s="397"/>
      <c r="J619" s="397"/>
      <c r="K619" s="397"/>
      <c r="L619" s="397"/>
      <c r="M619" s="397"/>
    </row>
    <row r="620" spans="1:13" s="397" customFormat="1">
      <c r="A620" s="396" t="s">
        <v>246</v>
      </c>
      <c r="B620" s="396" t="s">
        <v>361</v>
      </c>
      <c r="H620"/>
      <c r="I620"/>
      <c r="J620"/>
      <c r="K620"/>
      <c r="L620"/>
      <c r="M620"/>
    </row>
    <row r="621" spans="1:13">
      <c r="A621" s="398" t="s">
        <v>248</v>
      </c>
      <c r="B621" s="399" t="s">
        <v>249</v>
      </c>
      <c r="C621" s="399" t="s">
        <v>250</v>
      </c>
      <c r="D621" s="399" t="s">
        <v>251</v>
      </c>
      <c r="E621" s="399" t="s">
        <v>252</v>
      </c>
      <c r="F621" s="399" t="s">
        <v>253</v>
      </c>
    </row>
    <row r="622" spans="1:13">
      <c r="A622" s="398" t="s">
        <v>254</v>
      </c>
      <c r="B622" s="402">
        <v>1491261</v>
      </c>
      <c r="C622" s="402">
        <v>1556229</v>
      </c>
      <c r="D622" s="402">
        <v>1578014</v>
      </c>
      <c r="E622" s="402">
        <v>1663587</v>
      </c>
      <c r="F622" s="402">
        <v>1650993</v>
      </c>
    </row>
    <row r="623" spans="1:13">
      <c r="A623" s="398" t="s">
        <v>255</v>
      </c>
      <c r="B623" s="401">
        <v>449</v>
      </c>
      <c r="C623" s="401">
        <f>B623</f>
        <v>449</v>
      </c>
      <c r="D623" s="401">
        <f>C623</f>
        <v>449</v>
      </c>
      <c r="E623" s="401">
        <f>D623</f>
        <v>449</v>
      </c>
      <c r="F623" s="401">
        <f>E623</f>
        <v>449</v>
      </c>
    </row>
    <row r="624" spans="1:13">
      <c r="A624" s="398" t="s">
        <v>259</v>
      </c>
      <c r="B624" s="404">
        <f>B623*B622/1000000</f>
        <v>669.576189</v>
      </c>
      <c r="C624" s="404">
        <f>C623*C622/1000000</f>
        <v>698.74682099999995</v>
      </c>
      <c r="D624" s="404">
        <f>D623*D622/1000000</f>
        <v>708.52828599999998</v>
      </c>
      <c r="E624" s="404">
        <f>E623*E622/1000000</f>
        <v>746.95056299999999</v>
      </c>
      <c r="F624" s="404">
        <f>F623*F622/1000000</f>
        <v>741.29585699999996</v>
      </c>
    </row>
    <row r="625" spans="1:13">
      <c r="A625" s="396"/>
      <c r="B625" s="405"/>
      <c r="C625" s="405"/>
      <c r="D625" s="405"/>
      <c r="E625" s="405"/>
      <c r="F625" s="405"/>
      <c r="H625" s="397"/>
      <c r="I625" s="397"/>
      <c r="J625" s="397"/>
      <c r="K625" s="397"/>
      <c r="L625" s="397"/>
      <c r="M625" s="397"/>
    </row>
    <row r="626" spans="1:13" s="397" customFormat="1">
      <c r="A626" s="396" t="s">
        <v>246</v>
      </c>
      <c r="B626" s="396" t="s">
        <v>362</v>
      </c>
      <c r="H626"/>
      <c r="I626"/>
      <c r="J626"/>
      <c r="K626"/>
      <c r="L626"/>
      <c r="M626"/>
    </row>
    <row r="627" spans="1:13">
      <c r="A627" s="398" t="s">
        <v>248</v>
      </c>
      <c r="B627" s="399" t="s">
        <v>249</v>
      </c>
      <c r="C627" s="399" t="s">
        <v>250</v>
      </c>
      <c r="D627" s="399" t="s">
        <v>251</v>
      </c>
      <c r="E627" s="399" t="s">
        <v>252</v>
      </c>
      <c r="F627" s="399" t="s">
        <v>253</v>
      </c>
    </row>
    <row r="628" spans="1:13">
      <c r="A628" s="398" t="s">
        <v>254</v>
      </c>
      <c r="B628" s="402">
        <v>177320</v>
      </c>
      <c r="C628" s="402">
        <v>179046</v>
      </c>
      <c r="D628" s="402">
        <v>185793</v>
      </c>
      <c r="E628" s="402">
        <v>188224</v>
      </c>
      <c r="F628" s="402">
        <v>200880</v>
      </c>
    </row>
    <row r="629" spans="1:13">
      <c r="A629" s="398" t="s">
        <v>255</v>
      </c>
      <c r="B629" s="401">
        <v>306</v>
      </c>
      <c r="C629" s="401">
        <f>B629</f>
        <v>306</v>
      </c>
      <c r="D629" s="401">
        <f>C629</f>
        <v>306</v>
      </c>
      <c r="E629" s="401">
        <f>D629</f>
        <v>306</v>
      </c>
      <c r="F629" s="401">
        <f>E629</f>
        <v>306</v>
      </c>
    </row>
    <row r="630" spans="1:13">
      <c r="A630" s="398" t="s">
        <v>259</v>
      </c>
      <c r="B630" s="404">
        <f>B629*B628/1000000</f>
        <v>54.259920000000001</v>
      </c>
      <c r="C630" s="404">
        <f>C629*C628/1000000</f>
        <v>54.788075999999997</v>
      </c>
      <c r="D630" s="404">
        <f>D629*D628/1000000</f>
        <v>56.852657999999998</v>
      </c>
      <c r="E630" s="404">
        <f>E629*E628/1000000</f>
        <v>57.596544000000002</v>
      </c>
      <c r="F630" s="404">
        <f>F629*F628/1000000</f>
        <v>61.469279999999998</v>
      </c>
    </row>
    <row r="631" spans="1:13">
      <c r="A631" s="396"/>
      <c r="B631" s="405"/>
      <c r="C631" s="405"/>
      <c r="D631" s="405"/>
      <c r="E631" s="405"/>
      <c r="F631" s="405"/>
      <c r="H631" s="397"/>
      <c r="I631" s="397"/>
      <c r="J631" s="397"/>
      <c r="K631" s="397"/>
      <c r="L631" s="397"/>
      <c r="M631" s="397"/>
    </row>
    <row r="632" spans="1:13" s="397" customFormat="1">
      <c r="A632" s="396" t="s">
        <v>246</v>
      </c>
      <c r="B632" s="396" t="s">
        <v>363</v>
      </c>
      <c r="H632"/>
      <c r="I632"/>
      <c r="J632"/>
      <c r="K632"/>
      <c r="L632"/>
      <c r="M632"/>
    </row>
    <row r="633" spans="1:13">
      <c r="A633" s="398" t="s">
        <v>248</v>
      </c>
      <c r="B633" s="399" t="s">
        <v>249</v>
      </c>
      <c r="C633" s="399" t="s">
        <v>250</v>
      </c>
      <c r="D633" s="399" t="s">
        <v>251</v>
      </c>
      <c r="E633" s="399" t="s">
        <v>252</v>
      </c>
      <c r="F633" s="399" t="s">
        <v>253</v>
      </c>
    </row>
    <row r="634" spans="1:13">
      <c r="A634" s="398" t="s">
        <v>254</v>
      </c>
      <c r="B634" s="402">
        <v>127336</v>
      </c>
      <c r="C634" s="402">
        <v>141521</v>
      </c>
      <c r="D634" s="402">
        <v>154970</v>
      </c>
      <c r="E634" s="402">
        <v>140274</v>
      </c>
      <c r="F634" s="402">
        <v>180954</v>
      </c>
    </row>
    <row r="635" spans="1:13">
      <c r="A635" s="398" t="s">
        <v>255</v>
      </c>
      <c r="B635" s="401">
        <v>346</v>
      </c>
      <c r="C635" s="401">
        <f>B635</f>
        <v>346</v>
      </c>
      <c r="D635" s="401">
        <f>C635</f>
        <v>346</v>
      </c>
      <c r="E635" s="401">
        <f>D635</f>
        <v>346</v>
      </c>
      <c r="F635" s="401">
        <f>E635</f>
        <v>346</v>
      </c>
    </row>
    <row r="636" spans="1:13">
      <c r="A636" s="398" t="s">
        <v>259</v>
      </c>
      <c r="B636" s="404">
        <f>B635*B634/1000000</f>
        <v>44.058256</v>
      </c>
      <c r="C636" s="404">
        <f>C635*C634/1000000</f>
        <v>48.966265999999997</v>
      </c>
      <c r="D636" s="404">
        <f>D635*D634/1000000</f>
        <v>53.619619999999998</v>
      </c>
      <c r="E636" s="404">
        <f>E635*E634/1000000</f>
        <v>48.534804000000001</v>
      </c>
      <c r="F636" s="404">
        <f>F635*F634/1000000</f>
        <v>62.610084000000001</v>
      </c>
    </row>
    <row r="637" spans="1:13">
      <c r="A637" s="396"/>
      <c r="B637" s="405"/>
      <c r="C637" s="405"/>
      <c r="D637" s="405"/>
      <c r="E637" s="405"/>
      <c r="F637" s="405"/>
      <c r="H637" s="397"/>
      <c r="I637" s="397"/>
      <c r="J637" s="397"/>
      <c r="K637" s="397"/>
      <c r="L637" s="397"/>
      <c r="M637" s="397"/>
    </row>
    <row r="638" spans="1:13" s="397" customFormat="1">
      <c r="A638" s="396" t="s">
        <v>246</v>
      </c>
      <c r="B638" s="396" t="s">
        <v>364</v>
      </c>
      <c r="H638"/>
      <c r="I638"/>
      <c r="J638"/>
      <c r="K638"/>
      <c r="L638"/>
      <c r="M638"/>
    </row>
    <row r="639" spans="1:13">
      <c r="A639" s="398" t="s">
        <v>248</v>
      </c>
      <c r="B639" s="399" t="s">
        <v>249</v>
      </c>
      <c r="C639" s="399" t="s">
        <v>250</v>
      </c>
      <c r="D639" s="399" t="s">
        <v>251</v>
      </c>
      <c r="E639" s="399" t="s">
        <v>252</v>
      </c>
      <c r="F639" s="399" t="s">
        <v>253</v>
      </c>
    </row>
    <row r="640" spans="1:13">
      <c r="A640" s="398" t="s">
        <v>254</v>
      </c>
      <c r="B640" s="402">
        <v>187602</v>
      </c>
      <c r="C640" s="402">
        <v>174579</v>
      </c>
      <c r="D640" s="402">
        <v>178287</v>
      </c>
      <c r="E640" s="402">
        <v>179601</v>
      </c>
      <c r="F640" s="402">
        <v>115877</v>
      </c>
    </row>
    <row r="641" spans="1:13">
      <c r="A641" s="398" t="s">
        <v>255</v>
      </c>
      <c r="B641" s="401">
        <v>335</v>
      </c>
      <c r="C641" s="401">
        <f>B641</f>
        <v>335</v>
      </c>
      <c r="D641" s="401">
        <f>C641</f>
        <v>335</v>
      </c>
      <c r="E641" s="401">
        <f>D641</f>
        <v>335</v>
      </c>
      <c r="F641" s="401">
        <f>E641</f>
        <v>335</v>
      </c>
    </row>
    <row r="642" spans="1:13">
      <c r="A642" s="398" t="s">
        <v>259</v>
      </c>
      <c r="B642" s="404">
        <f>B641*B640/1000000</f>
        <v>62.846670000000003</v>
      </c>
      <c r="C642" s="404">
        <f>C641*C640/1000000</f>
        <v>58.483964999999998</v>
      </c>
      <c r="D642" s="404">
        <f>D641*D640/1000000</f>
        <v>59.726145000000002</v>
      </c>
      <c r="E642" s="404">
        <f>E641*E640/1000000</f>
        <v>60.166334999999997</v>
      </c>
      <c r="F642" s="404">
        <f>F641*F640/1000000</f>
        <v>38.818795000000001</v>
      </c>
    </row>
    <row r="643" spans="1:13">
      <c r="A643" s="396"/>
      <c r="B643" s="405"/>
      <c r="C643" s="405"/>
      <c r="D643" s="405"/>
      <c r="E643" s="405"/>
      <c r="F643" s="405"/>
      <c r="H643" s="397"/>
      <c r="I643" s="397"/>
      <c r="J643" s="397"/>
      <c r="K643" s="397"/>
      <c r="L643" s="397"/>
      <c r="M643" s="397"/>
    </row>
    <row r="644" spans="1:13" s="397" customFormat="1">
      <c r="A644" s="396" t="s">
        <v>246</v>
      </c>
      <c r="B644" s="396" t="s">
        <v>365</v>
      </c>
      <c r="H644"/>
      <c r="I644"/>
      <c r="J644"/>
      <c r="K644"/>
      <c r="L644"/>
      <c r="M644"/>
    </row>
    <row r="645" spans="1:13">
      <c r="A645" s="398" t="s">
        <v>248</v>
      </c>
      <c r="B645" s="399" t="s">
        <v>249</v>
      </c>
      <c r="C645" s="399" t="s">
        <v>250</v>
      </c>
      <c r="D645" s="399" t="s">
        <v>251</v>
      </c>
      <c r="E645" s="399" t="s">
        <v>252</v>
      </c>
      <c r="F645" s="399" t="s">
        <v>253</v>
      </c>
    </row>
    <row r="646" spans="1:13">
      <c r="A646" s="398" t="s">
        <v>254</v>
      </c>
      <c r="B646" s="402">
        <v>106919</v>
      </c>
      <c r="C646" s="402">
        <v>132320</v>
      </c>
      <c r="D646" s="402">
        <v>138483</v>
      </c>
      <c r="E646" s="402">
        <v>141403</v>
      </c>
      <c r="F646" s="402">
        <v>212103</v>
      </c>
    </row>
    <row r="647" spans="1:13">
      <c r="A647" s="398" t="s">
        <v>255</v>
      </c>
      <c r="B647" s="401">
        <v>295</v>
      </c>
      <c r="C647" s="401">
        <f>B647</f>
        <v>295</v>
      </c>
      <c r="D647" s="401">
        <f>C647</f>
        <v>295</v>
      </c>
      <c r="E647" s="401">
        <f>D647</f>
        <v>295</v>
      </c>
      <c r="F647" s="401">
        <f>E647</f>
        <v>295</v>
      </c>
    </row>
    <row r="648" spans="1:13">
      <c r="A648" s="398" t="s">
        <v>259</v>
      </c>
      <c r="B648" s="404">
        <f>B647*B646/1000000</f>
        <v>31.541105000000002</v>
      </c>
      <c r="C648" s="404">
        <f>C647*C646/1000000</f>
        <v>39.034399999999998</v>
      </c>
      <c r="D648" s="404">
        <f>D647*D646/1000000</f>
        <v>40.852485000000001</v>
      </c>
      <c r="E648" s="404">
        <f>E647*E646/1000000</f>
        <v>41.713884999999998</v>
      </c>
      <c r="F648" s="404">
        <f>F647*F646/1000000</f>
        <v>62.570385000000002</v>
      </c>
    </row>
    <row r="649" spans="1:13">
      <c r="A649" s="396"/>
      <c r="B649" s="405"/>
      <c r="C649" s="405"/>
      <c r="D649" s="405"/>
      <c r="E649" s="405"/>
      <c r="F649" s="405"/>
      <c r="H649" s="397"/>
      <c r="I649" s="397"/>
      <c r="J649" s="397"/>
      <c r="K649" s="397"/>
      <c r="L649" s="397"/>
      <c r="M649" s="397"/>
    </row>
    <row r="650" spans="1:13" s="397" customFormat="1">
      <c r="A650" s="396" t="s">
        <v>246</v>
      </c>
      <c r="B650" s="396" t="s">
        <v>366</v>
      </c>
      <c r="H650"/>
      <c r="I650"/>
      <c r="J650"/>
      <c r="K650"/>
      <c r="L650"/>
      <c r="M650"/>
    </row>
    <row r="651" spans="1:13">
      <c r="A651" s="398" t="s">
        <v>248</v>
      </c>
      <c r="B651" s="399" t="s">
        <v>249</v>
      </c>
      <c r="C651" s="399" t="s">
        <v>250</v>
      </c>
      <c r="D651" s="399" t="s">
        <v>251</v>
      </c>
      <c r="E651" s="399" t="s">
        <v>252</v>
      </c>
      <c r="F651" s="399" t="s">
        <v>253</v>
      </c>
    </row>
    <row r="652" spans="1:13">
      <c r="A652" s="398" t="s">
        <v>254</v>
      </c>
      <c r="B652" s="402">
        <v>376609</v>
      </c>
      <c r="C652" s="402">
        <v>406712</v>
      </c>
      <c r="D652" s="402">
        <v>399534</v>
      </c>
      <c r="E652" s="402">
        <v>413340</v>
      </c>
      <c r="F652" s="402">
        <v>478608</v>
      </c>
    </row>
    <row r="653" spans="1:13">
      <c r="A653" s="398" t="s">
        <v>255</v>
      </c>
      <c r="B653" s="401">
        <v>335</v>
      </c>
      <c r="C653" s="401">
        <f>B653</f>
        <v>335</v>
      </c>
      <c r="D653" s="401">
        <f>C653</f>
        <v>335</v>
      </c>
      <c r="E653" s="401">
        <f>D653</f>
        <v>335</v>
      </c>
      <c r="F653" s="401">
        <f>E653</f>
        <v>335</v>
      </c>
    </row>
    <row r="654" spans="1:13">
      <c r="A654" s="398" t="s">
        <v>259</v>
      </c>
      <c r="B654" s="404">
        <f>B653*B652/1000000</f>
        <v>126.16401500000001</v>
      </c>
      <c r="C654" s="404">
        <f>C653*C652/1000000</f>
        <v>136.24852000000001</v>
      </c>
      <c r="D654" s="404">
        <f>D653*D652/1000000</f>
        <v>133.84388999999999</v>
      </c>
      <c r="E654" s="404">
        <f>E653*E652/1000000</f>
        <v>138.46889999999999</v>
      </c>
      <c r="F654" s="404">
        <f>F653*F652/1000000</f>
        <v>160.33367999999999</v>
      </c>
    </row>
    <row r="655" spans="1:13">
      <c r="A655" s="396"/>
      <c r="B655" s="405"/>
      <c r="C655" s="405"/>
      <c r="D655" s="405"/>
      <c r="E655" s="405"/>
      <c r="F655" s="405"/>
      <c r="H655" s="397"/>
      <c r="I655" s="397"/>
      <c r="J655" s="397"/>
      <c r="K655" s="397"/>
      <c r="L655" s="397"/>
      <c r="M655" s="397"/>
    </row>
    <row r="656" spans="1:13" s="397" customFormat="1">
      <c r="A656" s="396" t="s">
        <v>246</v>
      </c>
      <c r="B656" s="396" t="s">
        <v>367</v>
      </c>
      <c r="H656"/>
      <c r="I656"/>
      <c r="J656"/>
      <c r="K656"/>
      <c r="L656"/>
      <c r="M656"/>
    </row>
    <row r="657" spans="1:13">
      <c r="A657" s="398" t="s">
        <v>248</v>
      </c>
      <c r="B657" s="399" t="s">
        <v>249</v>
      </c>
      <c r="C657" s="399" t="s">
        <v>250</v>
      </c>
      <c r="D657" s="399" t="s">
        <v>251</v>
      </c>
      <c r="E657" s="399" t="s">
        <v>252</v>
      </c>
      <c r="F657" s="399" t="s">
        <v>253</v>
      </c>
    </row>
    <row r="658" spans="1:13">
      <c r="A658" s="398" t="s">
        <v>254</v>
      </c>
      <c r="B658" s="402">
        <v>175474</v>
      </c>
      <c r="C658" s="402">
        <v>135386</v>
      </c>
      <c r="D658" s="402">
        <v>124766</v>
      </c>
      <c r="E658" s="402">
        <v>132177</v>
      </c>
      <c r="F658" s="402">
        <v>99770</v>
      </c>
    </row>
    <row r="659" spans="1:13">
      <c r="A659" s="398" t="s">
        <v>255</v>
      </c>
      <c r="B659" s="401">
        <v>254</v>
      </c>
      <c r="C659" s="401">
        <f>B659</f>
        <v>254</v>
      </c>
      <c r="D659" s="401">
        <f>C659</f>
        <v>254</v>
      </c>
      <c r="E659" s="401">
        <f>D659</f>
        <v>254</v>
      </c>
      <c r="F659" s="401">
        <f>E659</f>
        <v>254</v>
      </c>
    </row>
    <row r="660" spans="1:13">
      <c r="A660" s="398" t="s">
        <v>259</v>
      </c>
      <c r="B660" s="404">
        <f>B659*B658/1000000</f>
        <v>44.570396000000002</v>
      </c>
      <c r="C660" s="404">
        <f>C659*C658/1000000</f>
        <v>34.388044000000001</v>
      </c>
      <c r="D660" s="404">
        <f>D659*D658/1000000</f>
        <v>31.690563999999998</v>
      </c>
      <c r="E660" s="404">
        <f>E659*E658/1000000</f>
        <v>33.572958</v>
      </c>
      <c r="F660" s="404">
        <f>F659*F658/1000000</f>
        <v>25.34158</v>
      </c>
    </row>
    <row r="661" spans="1:13">
      <c r="A661" s="396"/>
      <c r="B661" s="405"/>
      <c r="C661" s="405"/>
      <c r="D661" s="405"/>
      <c r="E661" s="405"/>
      <c r="F661" s="405"/>
      <c r="H661" s="397"/>
      <c r="I661" s="397"/>
      <c r="J661" s="397"/>
      <c r="K661" s="397"/>
      <c r="L661" s="397"/>
      <c r="M661" s="397"/>
    </row>
    <row r="662" spans="1:13" s="397" customFormat="1">
      <c r="A662" s="396" t="s">
        <v>246</v>
      </c>
      <c r="B662" s="396" t="s">
        <v>368</v>
      </c>
      <c r="H662"/>
      <c r="I662"/>
      <c r="J662"/>
      <c r="K662"/>
      <c r="L662"/>
      <c r="M662"/>
    </row>
    <row r="663" spans="1:13">
      <c r="A663" s="398" t="s">
        <v>248</v>
      </c>
      <c r="B663" s="399" t="s">
        <v>249</v>
      </c>
      <c r="C663" s="399" t="s">
        <v>250</v>
      </c>
      <c r="D663" s="399" t="s">
        <v>251</v>
      </c>
      <c r="E663" s="399" t="s">
        <v>252</v>
      </c>
      <c r="F663" s="399" t="s">
        <v>253</v>
      </c>
    </row>
    <row r="664" spans="1:13">
      <c r="A664" s="398" t="s">
        <v>254</v>
      </c>
      <c r="B664" s="402">
        <v>719533</v>
      </c>
      <c r="C664" s="402">
        <v>735202</v>
      </c>
      <c r="D664" s="402">
        <v>677363</v>
      </c>
      <c r="E664" s="402">
        <v>725456</v>
      </c>
      <c r="F664" s="402">
        <v>809129</v>
      </c>
    </row>
    <row r="665" spans="1:13">
      <c r="A665" s="398" t="s">
        <v>255</v>
      </c>
      <c r="B665" s="401">
        <v>472</v>
      </c>
      <c r="C665" s="401">
        <f>B665</f>
        <v>472</v>
      </c>
      <c r="D665" s="401">
        <f>C665</f>
        <v>472</v>
      </c>
      <c r="E665" s="401">
        <f>D665</f>
        <v>472</v>
      </c>
      <c r="F665" s="401">
        <f>E665</f>
        <v>472</v>
      </c>
    </row>
    <row r="666" spans="1:13">
      <c r="A666" s="398" t="s">
        <v>259</v>
      </c>
      <c r="B666" s="404">
        <f>B665*B664/1000000</f>
        <v>339.619576</v>
      </c>
      <c r="C666" s="404">
        <f>C665*C664/1000000</f>
        <v>347.01534400000003</v>
      </c>
      <c r="D666" s="404">
        <f>D665*D664/1000000</f>
        <v>319.71533599999998</v>
      </c>
      <c r="E666" s="404">
        <f>E665*E664/1000000</f>
        <v>342.415232</v>
      </c>
      <c r="F666" s="404">
        <f>F665*F664/1000000</f>
        <v>381.90888799999999</v>
      </c>
    </row>
    <row r="667" spans="1:13">
      <c r="A667" s="396"/>
      <c r="B667" s="405"/>
      <c r="C667" s="405"/>
      <c r="D667" s="405"/>
      <c r="E667" s="405"/>
      <c r="F667" s="405"/>
      <c r="H667" s="397"/>
      <c r="I667" s="397"/>
      <c r="J667" s="397"/>
      <c r="K667" s="397"/>
      <c r="L667" s="397"/>
      <c r="M667" s="397"/>
    </row>
    <row r="668" spans="1:13" s="397" customFormat="1">
      <c r="A668" s="396" t="s">
        <v>246</v>
      </c>
      <c r="B668" s="396" t="s">
        <v>369</v>
      </c>
      <c r="H668"/>
      <c r="I668"/>
      <c r="J668"/>
      <c r="K668"/>
      <c r="L668"/>
      <c r="M668"/>
    </row>
    <row r="669" spans="1:13">
      <c r="A669" s="398" t="s">
        <v>248</v>
      </c>
      <c r="B669" s="399" t="s">
        <v>249</v>
      </c>
      <c r="C669" s="399" t="s">
        <v>250</v>
      </c>
      <c r="D669" s="399" t="s">
        <v>251</v>
      </c>
      <c r="E669" s="399" t="s">
        <v>252</v>
      </c>
      <c r="F669" s="399" t="s">
        <v>253</v>
      </c>
      <c r="G669" s="631" t="s">
        <v>710</v>
      </c>
    </row>
    <row r="670" spans="1:13">
      <c r="A670" s="398" t="s">
        <v>254</v>
      </c>
      <c r="B670" s="402">
        <v>130286</v>
      </c>
      <c r="C670" s="402">
        <v>139447</v>
      </c>
      <c r="D670" s="402">
        <v>130893</v>
      </c>
      <c r="E670" s="402">
        <v>120563</v>
      </c>
      <c r="F670" s="402">
        <v>89805</v>
      </c>
    </row>
    <row r="671" spans="1:13">
      <c r="A671" s="398" t="s">
        <v>255</v>
      </c>
      <c r="B671" s="401">
        <v>6320</v>
      </c>
      <c r="C671" s="401">
        <f>B671</f>
        <v>6320</v>
      </c>
      <c r="D671" s="401">
        <f>C671</f>
        <v>6320</v>
      </c>
      <c r="E671" s="401">
        <f>D671</f>
        <v>6320</v>
      </c>
      <c r="F671" s="401">
        <f>E671</f>
        <v>6320</v>
      </c>
    </row>
    <row r="672" spans="1:13">
      <c r="A672" s="398" t="s">
        <v>259</v>
      </c>
      <c r="B672" s="404">
        <f>B671*B670/1000000</f>
        <v>823.40751999999998</v>
      </c>
      <c r="C672" s="404">
        <f>C671*C670/1000000</f>
        <v>881.30503999999996</v>
      </c>
      <c r="D672" s="404">
        <f>D671*D670/1000000</f>
        <v>827.24375999999995</v>
      </c>
      <c r="E672" s="404">
        <f>E671*E670/1000000</f>
        <v>761.95816000000002</v>
      </c>
      <c r="F672" s="404">
        <f>F671*F670/1000000</f>
        <v>567.56759999999997</v>
      </c>
    </row>
    <row r="673" spans="1:13">
      <c r="A673" s="396"/>
      <c r="B673" s="405"/>
      <c r="C673" s="405"/>
      <c r="D673" s="405"/>
      <c r="E673" s="405"/>
      <c r="F673" s="405"/>
      <c r="H673" s="397"/>
      <c r="I673" s="397"/>
      <c r="J673" s="397"/>
      <c r="K673" s="397"/>
      <c r="L673" s="397"/>
      <c r="M673" s="397"/>
    </row>
    <row r="674" spans="1:13" s="397" customFormat="1">
      <c r="A674" s="396" t="s">
        <v>246</v>
      </c>
      <c r="B674" s="396" t="s">
        <v>370</v>
      </c>
      <c r="H674"/>
      <c r="I674"/>
      <c r="J674"/>
      <c r="K674"/>
      <c r="L674"/>
      <c r="M674"/>
    </row>
    <row r="675" spans="1:13">
      <c r="A675" s="398" t="s">
        <v>248</v>
      </c>
      <c r="B675" s="399" t="s">
        <v>249</v>
      </c>
      <c r="C675" s="399" t="s">
        <v>250</v>
      </c>
      <c r="D675" s="399" t="s">
        <v>251</v>
      </c>
      <c r="E675" s="399" t="s">
        <v>252</v>
      </c>
      <c r="F675" s="399" t="s">
        <v>253</v>
      </c>
      <c r="G675" s="631" t="s">
        <v>710</v>
      </c>
    </row>
    <row r="676" spans="1:13">
      <c r="A676" s="398" t="s">
        <v>254</v>
      </c>
      <c r="B676" s="402">
        <v>181884</v>
      </c>
      <c r="C676" s="402">
        <v>199380</v>
      </c>
      <c r="D676" s="402">
        <v>233302</v>
      </c>
      <c r="E676" s="402">
        <v>282920</v>
      </c>
      <c r="F676" s="402">
        <v>310221</v>
      </c>
    </row>
    <row r="677" spans="1:13">
      <c r="A677" s="398" t="s">
        <v>255</v>
      </c>
      <c r="B677" s="401">
        <v>4800</v>
      </c>
      <c r="C677" s="401">
        <f>B677</f>
        <v>4800</v>
      </c>
      <c r="D677" s="401">
        <f>C677</f>
        <v>4800</v>
      </c>
      <c r="E677" s="401">
        <f>D677</f>
        <v>4800</v>
      </c>
      <c r="F677" s="401">
        <f>E677</f>
        <v>4800</v>
      </c>
    </row>
    <row r="678" spans="1:13">
      <c r="A678" s="398" t="s">
        <v>259</v>
      </c>
      <c r="B678" s="404">
        <f>B677*B676/1000000</f>
        <v>873.04319999999996</v>
      </c>
      <c r="C678" s="404">
        <f>C677*C676/1000000</f>
        <v>957.024</v>
      </c>
      <c r="D678" s="404">
        <f>D677*D676/1000000</f>
        <v>1119.8496</v>
      </c>
      <c r="E678" s="404">
        <f>E677*E676/1000000</f>
        <v>1358.0160000000001</v>
      </c>
      <c r="F678" s="404">
        <f>F677*F676/1000000</f>
        <v>1489.0608</v>
      </c>
    </row>
    <row r="679" spans="1:13">
      <c r="A679" s="396"/>
      <c r="B679" s="405"/>
      <c r="C679" s="405"/>
      <c r="D679" s="405"/>
      <c r="E679" s="405"/>
      <c r="F679" s="405"/>
      <c r="H679" s="397"/>
      <c r="I679" s="397"/>
      <c r="J679" s="397"/>
      <c r="K679" s="397"/>
      <c r="L679" s="397"/>
      <c r="M679" s="397"/>
    </row>
    <row r="680" spans="1:13" s="397" customFormat="1">
      <c r="A680" s="396" t="s">
        <v>246</v>
      </c>
      <c r="B680" s="396" t="s">
        <v>371</v>
      </c>
      <c r="H680"/>
      <c r="I680"/>
      <c r="J680"/>
      <c r="K680"/>
      <c r="L680"/>
      <c r="M680"/>
    </row>
    <row r="681" spans="1:13">
      <c r="A681" s="398" t="s">
        <v>248</v>
      </c>
      <c r="B681" s="399" t="s">
        <v>249</v>
      </c>
      <c r="C681" s="399" t="s">
        <v>250</v>
      </c>
      <c r="D681" s="399" t="s">
        <v>251</v>
      </c>
      <c r="E681" s="399" t="s">
        <v>252</v>
      </c>
      <c r="F681" s="399" t="s">
        <v>253</v>
      </c>
      <c r="G681" s="631" t="s">
        <v>710</v>
      </c>
    </row>
    <row r="682" spans="1:13">
      <c r="A682" s="398" t="s">
        <v>254</v>
      </c>
      <c r="B682" s="402">
        <v>182243</v>
      </c>
      <c r="C682" s="402">
        <v>177161</v>
      </c>
      <c r="D682" s="402">
        <v>116347</v>
      </c>
      <c r="E682" s="402">
        <v>114362</v>
      </c>
      <c r="F682" s="402">
        <v>138909</v>
      </c>
    </row>
    <row r="683" spans="1:13">
      <c r="A683" s="398" t="s">
        <v>255</v>
      </c>
      <c r="B683" s="401">
        <v>5120</v>
      </c>
      <c r="C683" s="401">
        <f>B683</f>
        <v>5120</v>
      </c>
      <c r="D683" s="401">
        <f>C683</f>
        <v>5120</v>
      </c>
      <c r="E683" s="401">
        <f>D683</f>
        <v>5120</v>
      </c>
      <c r="F683" s="401">
        <f>E683</f>
        <v>5120</v>
      </c>
    </row>
    <row r="684" spans="1:13">
      <c r="A684" s="398" t="s">
        <v>259</v>
      </c>
      <c r="B684" s="404">
        <f>B683*B682/1000000</f>
        <v>933.08416</v>
      </c>
      <c r="C684" s="404">
        <f>C683*C682/1000000</f>
        <v>907.06431999999995</v>
      </c>
      <c r="D684" s="404">
        <f>D683*D682/1000000</f>
        <v>595.69664</v>
      </c>
      <c r="E684" s="404">
        <f>E683*E682/1000000</f>
        <v>585.53344000000004</v>
      </c>
      <c r="F684" s="404">
        <f>F683*F682/1000000</f>
        <v>711.21407999999997</v>
      </c>
    </row>
    <row r="685" spans="1:13">
      <c r="A685" s="396"/>
      <c r="B685" s="405"/>
      <c r="C685" s="405"/>
      <c r="D685" s="405"/>
      <c r="E685" s="405"/>
      <c r="F685" s="405"/>
      <c r="H685" s="397"/>
      <c r="I685" s="397"/>
      <c r="J685" s="397"/>
      <c r="K685" s="397"/>
      <c r="L685" s="397"/>
      <c r="M685" s="397"/>
    </row>
    <row r="686" spans="1:13" s="397" customFormat="1">
      <c r="A686" s="396" t="s">
        <v>246</v>
      </c>
      <c r="B686" s="396" t="s">
        <v>372</v>
      </c>
      <c r="H686"/>
      <c r="I686"/>
      <c r="J686"/>
      <c r="K686"/>
      <c r="L686"/>
      <c r="M686"/>
    </row>
    <row r="687" spans="1:13">
      <c r="A687" s="398" t="s">
        <v>248</v>
      </c>
      <c r="B687" s="399" t="s">
        <v>249</v>
      </c>
      <c r="C687" s="399" t="s">
        <v>250</v>
      </c>
      <c r="D687" s="399" t="s">
        <v>251</v>
      </c>
      <c r="E687" s="399" t="s">
        <v>252</v>
      </c>
      <c r="F687" s="399" t="s">
        <v>253</v>
      </c>
      <c r="G687" s="631" t="s">
        <v>710</v>
      </c>
    </row>
    <row r="688" spans="1:13">
      <c r="A688" s="398" t="s">
        <v>254</v>
      </c>
      <c r="B688" s="401"/>
      <c r="C688" s="401"/>
      <c r="D688" s="401"/>
      <c r="E688" s="402">
        <v>84901</v>
      </c>
      <c r="F688" s="402">
        <v>84302</v>
      </c>
    </row>
    <row r="689" spans="1:13">
      <c r="A689" s="398" t="s">
        <v>255</v>
      </c>
      <c r="B689" s="401">
        <v>5460</v>
      </c>
      <c r="C689" s="401">
        <f>B689</f>
        <v>5460</v>
      </c>
      <c r="D689" s="401">
        <f>C689</f>
        <v>5460</v>
      </c>
      <c r="E689" s="401">
        <f>D689</f>
        <v>5460</v>
      </c>
      <c r="F689" s="401">
        <f>E689</f>
        <v>5460</v>
      </c>
    </row>
    <row r="690" spans="1:13">
      <c r="A690" s="398" t="s">
        <v>259</v>
      </c>
      <c r="B690" s="404">
        <f>B689*B688/1000000</f>
        <v>0</v>
      </c>
      <c r="C690" s="404">
        <f>C689*C688/1000000</f>
        <v>0</v>
      </c>
      <c r="D690" s="404">
        <f>D689*D688/1000000</f>
        <v>0</v>
      </c>
      <c r="E690" s="404">
        <f>E689*E688/1000000</f>
        <v>463.55946</v>
      </c>
      <c r="F690" s="404">
        <f>F689*F688/1000000</f>
        <v>460.28892000000002</v>
      </c>
    </row>
    <row r="691" spans="1:13">
      <c r="A691" s="396"/>
      <c r="B691" s="405"/>
      <c r="C691" s="405"/>
      <c r="D691" s="405"/>
      <c r="E691" s="405"/>
      <c r="F691" s="405"/>
      <c r="H691" s="397"/>
      <c r="I691" s="397"/>
      <c r="J691" s="397"/>
      <c r="K691" s="397"/>
      <c r="L691" s="397"/>
      <c r="M691" s="397"/>
    </row>
    <row r="692" spans="1:13" s="397" customFormat="1">
      <c r="A692" s="396" t="s">
        <v>246</v>
      </c>
      <c r="B692" s="396" t="s">
        <v>373</v>
      </c>
      <c r="H692"/>
      <c r="I692"/>
      <c r="J692"/>
      <c r="K692"/>
      <c r="L692"/>
      <c r="M692"/>
    </row>
    <row r="693" spans="1:13">
      <c r="A693" s="398" t="s">
        <v>248</v>
      </c>
      <c r="B693" s="399" t="s">
        <v>249</v>
      </c>
      <c r="C693" s="399" t="s">
        <v>250</v>
      </c>
      <c r="D693" s="399" t="s">
        <v>251</v>
      </c>
      <c r="E693" s="399" t="s">
        <v>252</v>
      </c>
      <c r="F693" s="399" t="s">
        <v>253</v>
      </c>
      <c r="G693" s="631" t="s">
        <v>710</v>
      </c>
    </row>
    <row r="694" spans="1:13">
      <c r="A694" s="398" t="s">
        <v>254</v>
      </c>
      <c r="B694" s="402">
        <v>476027</v>
      </c>
      <c r="C694" s="402">
        <v>469561</v>
      </c>
      <c r="D694" s="402">
        <v>504923</v>
      </c>
      <c r="E694" s="402">
        <v>587069</v>
      </c>
      <c r="F694" s="402">
        <v>600944</v>
      </c>
    </row>
    <row r="695" spans="1:13">
      <c r="A695" s="398" t="s">
        <v>255</v>
      </c>
      <c r="B695" s="401">
        <v>5100</v>
      </c>
      <c r="C695" s="401">
        <f>B695</f>
        <v>5100</v>
      </c>
      <c r="D695" s="401">
        <f>C695</f>
        <v>5100</v>
      </c>
      <c r="E695" s="401">
        <f>D695</f>
        <v>5100</v>
      </c>
      <c r="F695" s="401">
        <f>E695</f>
        <v>5100</v>
      </c>
    </row>
    <row r="696" spans="1:13">
      <c r="A696" s="398" t="s">
        <v>259</v>
      </c>
      <c r="B696" s="404">
        <f>B695*B694/1000000</f>
        <v>2427.7377000000001</v>
      </c>
      <c r="C696" s="404">
        <f>C695*C694/1000000</f>
        <v>2394.7611000000002</v>
      </c>
      <c r="D696" s="404">
        <f>D695*D694/1000000</f>
        <v>2575.1073000000001</v>
      </c>
      <c r="E696" s="404">
        <f>E695*E694/1000000</f>
        <v>2994.0518999999999</v>
      </c>
      <c r="F696" s="404">
        <f>F695*F694/1000000</f>
        <v>3064.8144000000002</v>
      </c>
    </row>
    <row r="697" spans="1:13">
      <c r="A697" s="396"/>
      <c r="B697" s="405"/>
      <c r="C697" s="405"/>
      <c r="D697" s="405"/>
      <c r="E697" s="405"/>
      <c r="F697" s="405"/>
      <c r="H697" s="397"/>
      <c r="I697" s="397"/>
      <c r="J697" s="397"/>
      <c r="K697" s="397"/>
      <c r="L697" s="397"/>
      <c r="M697" s="397"/>
    </row>
    <row r="698" spans="1:13" s="397" customFormat="1">
      <c r="A698" s="396" t="s">
        <v>246</v>
      </c>
      <c r="B698" s="396" t="s">
        <v>374</v>
      </c>
      <c r="H698"/>
      <c r="I698"/>
      <c r="J698"/>
      <c r="K698"/>
      <c r="L698"/>
      <c r="M698"/>
    </row>
    <row r="699" spans="1:13">
      <c r="A699" s="398" t="s">
        <v>248</v>
      </c>
      <c r="B699" s="399" t="s">
        <v>249</v>
      </c>
      <c r="C699" s="399" t="s">
        <v>250</v>
      </c>
      <c r="D699" s="399" t="s">
        <v>251</v>
      </c>
      <c r="E699" s="399" t="s">
        <v>252</v>
      </c>
      <c r="F699" s="399" t="s">
        <v>253</v>
      </c>
      <c r="G699" s="631" t="s">
        <v>710</v>
      </c>
    </row>
    <row r="700" spans="1:13">
      <c r="A700" s="398" t="s">
        <v>254</v>
      </c>
      <c r="B700" s="401"/>
      <c r="C700" s="401"/>
      <c r="D700" s="401"/>
      <c r="E700" s="401"/>
      <c r="F700" s="402">
        <v>76194</v>
      </c>
    </row>
    <row r="701" spans="1:13">
      <c r="A701" s="398" t="s">
        <v>255</v>
      </c>
      <c r="B701" s="401">
        <v>6530</v>
      </c>
      <c r="C701" s="401">
        <f>B701</f>
        <v>6530</v>
      </c>
      <c r="D701" s="401">
        <f>C701</f>
        <v>6530</v>
      </c>
      <c r="E701" s="401">
        <f>D701</f>
        <v>6530</v>
      </c>
      <c r="F701" s="401">
        <f>E701</f>
        <v>6530</v>
      </c>
    </row>
    <row r="702" spans="1:13">
      <c r="A702" s="398" t="s">
        <v>259</v>
      </c>
      <c r="B702" s="404">
        <f>B701*B700/1000000</f>
        <v>0</v>
      </c>
      <c r="C702" s="404">
        <f>C701*C700/1000000</f>
        <v>0</v>
      </c>
      <c r="D702" s="404">
        <f>D701*D700/1000000</f>
        <v>0</v>
      </c>
      <c r="E702" s="404">
        <f>E701*E700/1000000</f>
        <v>0</v>
      </c>
      <c r="F702" s="404">
        <f>F701*F700/1000000</f>
        <v>497.54682000000003</v>
      </c>
    </row>
    <row r="703" spans="1:13">
      <c r="A703" s="396"/>
      <c r="B703" s="405"/>
      <c r="C703" s="405"/>
      <c r="D703" s="405"/>
      <c r="E703" s="405"/>
      <c r="F703" s="405"/>
      <c r="H703" s="397"/>
      <c r="I703" s="397"/>
      <c r="J703" s="397"/>
      <c r="K703" s="397"/>
      <c r="L703" s="397"/>
      <c r="M703" s="397"/>
    </row>
    <row r="704" spans="1:13" s="397" customFormat="1">
      <c r="A704" s="396" t="s">
        <v>246</v>
      </c>
      <c r="B704" s="396" t="s">
        <v>375</v>
      </c>
      <c r="H704"/>
      <c r="I704"/>
      <c r="J704"/>
      <c r="K704"/>
      <c r="L704"/>
      <c r="M704"/>
    </row>
    <row r="705" spans="1:13">
      <c r="A705" s="398" t="s">
        <v>248</v>
      </c>
      <c r="B705" s="399" t="s">
        <v>249</v>
      </c>
      <c r="C705" s="399" t="s">
        <v>250</v>
      </c>
      <c r="D705" s="399" t="s">
        <v>251</v>
      </c>
      <c r="E705" s="399" t="s">
        <v>252</v>
      </c>
      <c r="F705" s="399" t="s">
        <v>253</v>
      </c>
      <c r="G705" s="631" t="s">
        <v>710</v>
      </c>
    </row>
    <row r="706" spans="1:13">
      <c r="A706" s="398" t="s">
        <v>254</v>
      </c>
      <c r="B706" s="402">
        <v>257944</v>
      </c>
      <c r="C706" s="402">
        <v>253974</v>
      </c>
      <c r="D706" s="402">
        <v>276403</v>
      </c>
      <c r="E706" s="402">
        <v>329243</v>
      </c>
      <c r="F706" s="402">
        <v>312517</v>
      </c>
    </row>
    <row r="707" spans="1:13">
      <c r="A707" s="398" t="s">
        <v>255</v>
      </c>
      <c r="B707" s="401">
        <v>5890</v>
      </c>
      <c r="C707" s="401">
        <f>B707</f>
        <v>5890</v>
      </c>
      <c r="D707" s="401">
        <f>C707</f>
        <v>5890</v>
      </c>
      <c r="E707" s="401">
        <f>D707</f>
        <v>5890</v>
      </c>
      <c r="F707" s="401">
        <f>E707</f>
        <v>5890</v>
      </c>
    </row>
    <row r="708" spans="1:13">
      <c r="A708" s="398" t="s">
        <v>259</v>
      </c>
      <c r="B708" s="404">
        <f>B707*B706/1000000</f>
        <v>1519.29016</v>
      </c>
      <c r="C708" s="404">
        <f>C707*C706/1000000</f>
        <v>1495.9068600000001</v>
      </c>
      <c r="D708" s="404">
        <f>D707*D706/1000000</f>
        <v>1628.01367</v>
      </c>
      <c r="E708" s="404">
        <f>E707*E706/1000000</f>
        <v>1939.24127</v>
      </c>
      <c r="F708" s="404">
        <f>F707*F706/1000000</f>
        <v>1840.72513</v>
      </c>
    </row>
    <row r="709" spans="1:13">
      <c r="A709" s="396"/>
      <c r="B709" s="405"/>
      <c r="C709" s="405"/>
      <c r="D709" s="405"/>
      <c r="E709" s="405"/>
      <c r="F709" s="405"/>
      <c r="H709" s="397"/>
      <c r="I709" s="397"/>
      <c r="J709" s="397"/>
      <c r="K709" s="397"/>
      <c r="L709" s="397"/>
      <c r="M709" s="397"/>
    </row>
    <row r="710" spans="1:13" s="397" customFormat="1">
      <c r="A710" s="396" t="s">
        <v>246</v>
      </c>
      <c r="B710" s="396" t="s">
        <v>376</v>
      </c>
      <c r="H710"/>
      <c r="I710"/>
      <c r="J710"/>
      <c r="K710"/>
      <c r="L710"/>
      <c r="M710"/>
    </row>
    <row r="711" spans="1:13">
      <c r="A711" s="398" t="s">
        <v>248</v>
      </c>
      <c r="B711" s="399" t="s">
        <v>249</v>
      </c>
      <c r="C711" s="399" t="s">
        <v>250</v>
      </c>
      <c r="D711" s="399" t="s">
        <v>251</v>
      </c>
      <c r="E711" s="399" t="s">
        <v>252</v>
      </c>
      <c r="F711" s="399" t="s">
        <v>253</v>
      </c>
      <c r="G711" s="631" t="s">
        <v>710</v>
      </c>
    </row>
    <row r="712" spans="1:13">
      <c r="A712" s="398" t="s">
        <v>254</v>
      </c>
      <c r="B712" s="402">
        <v>108154</v>
      </c>
      <c r="C712" s="402">
        <v>116232</v>
      </c>
      <c r="D712" s="402">
        <v>111884</v>
      </c>
      <c r="E712" s="402">
        <v>116990</v>
      </c>
      <c r="F712" s="402">
        <v>129559</v>
      </c>
    </row>
    <row r="713" spans="1:13">
      <c r="A713" s="398" t="s">
        <v>255</v>
      </c>
      <c r="B713" s="401">
        <v>5250</v>
      </c>
      <c r="C713" s="401">
        <f>B713</f>
        <v>5250</v>
      </c>
      <c r="D713" s="401">
        <f>C713</f>
        <v>5250</v>
      </c>
      <c r="E713" s="401">
        <f>D713</f>
        <v>5250</v>
      </c>
      <c r="F713" s="401">
        <f>E713</f>
        <v>5250</v>
      </c>
    </row>
    <row r="714" spans="1:13">
      <c r="A714" s="398" t="s">
        <v>259</v>
      </c>
      <c r="B714" s="404">
        <f>B713*B712/1000000</f>
        <v>567.80849999999998</v>
      </c>
      <c r="C714" s="404">
        <f>C713*C712/1000000</f>
        <v>610.21799999999996</v>
      </c>
      <c r="D714" s="404">
        <f>D713*D712/1000000</f>
        <v>587.39099999999996</v>
      </c>
      <c r="E714" s="404">
        <f>E713*E712/1000000</f>
        <v>614.19749999999999</v>
      </c>
      <c r="F714" s="404">
        <f>F713*F712/1000000</f>
        <v>680.18475000000001</v>
      </c>
    </row>
    <row r="715" spans="1:13">
      <c r="A715" s="396"/>
      <c r="B715" s="405"/>
      <c r="C715" s="405"/>
      <c r="D715" s="405"/>
      <c r="E715" s="405"/>
      <c r="F715" s="405"/>
      <c r="H715" s="397"/>
      <c r="I715" s="397"/>
      <c r="J715" s="397"/>
      <c r="K715" s="397"/>
      <c r="L715" s="397"/>
      <c r="M715" s="397"/>
    </row>
    <row r="716" spans="1:13" s="397" customFormat="1">
      <c r="A716" s="396" t="s">
        <v>246</v>
      </c>
      <c r="B716" s="396" t="s">
        <v>377</v>
      </c>
      <c r="H716"/>
      <c r="I716"/>
      <c r="J716"/>
      <c r="K716"/>
      <c r="L716"/>
      <c r="M716"/>
    </row>
    <row r="717" spans="1:13">
      <c r="A717" s="398" t="s">
        <v>248</v>
      </c>
      <c r="B717" s="399" t="s">
        <v>249</v>
      </c>
      <c r="C717" s="399" t="s">
        <v>250</v>
      </c>
      <c r="D717" s="399" t="s">
        <v>251</v>
      </c>
      <c r="E717" s="399" t="s">
        <v>252</v>
      </c>
      <c r="F717" s="399" t="s">
        <v>253</v>
      </c>
      <c r="G717" s="631" t="s">
        <v>710</v>
      </c>
    </row>
    <row r="718" spans="1:13">
      <c r="A718" s="398" t="s">
        <v>254</v>
      </c>
      <c r="B718" s="401"/>
      <c r="C718" s="401"/>
      <c r="D718" s="401"/>
      <c r="E718" s="401"/>
      <c r="F718" s="402">
        <v>88083</v>
      </c>
    </row>
    <row r="719" spans="1:13">
      <c r="A719" s="398" t="s">
        <v>255</v>
      </c>
      <c r="B719" s="401">
        <v>8180</v>
      </c>
      <c r="C719" s="401">
        <f>B719</f>
        <v>8180</v>
      </c>
      <c r="D719" s="401">
        <f>C719</f>
        <v>8180</v>
      </c>
      <c r="E719" s="401">
        <f>D719</f>
        <v>8180</v>
      </c>
      <c r="F719" s="401">
        <f>E719</f>
        <v>8180</v>
      </c>
    </row>
    <row r="720" spans="1:13">
      <c r="A720" s="398" t="s">
        <v>259</v>
      </c>
      <c r="B720" s="404">
        <f>B719*B718/1000000</f>
        <v>0</v>
      </c>
      <c r="C720" s="404">
        <f>C719*C718/1000000</f>
        <v>0</v>
      </c>
      <c r="D720" s="404">
        <f>D719*D718/1000000</f>
        <v>0</v>
      </c>
      <c r="E720" s="404">
        <f>E719*E718/1000000</f>
        <v>0</v>
      </c>
      <c r="F720" s="404">
        <f>F719*F718/1000000</f>
        <v>720.51894000000004</v>
      </c>
    </row>
    <row r="721" spans="1:13">
      <c r="A721" s="396"/>
      <c r="B721" s="405"/>
      <c r="C721" s="405"/>
      <c r="D721" s="405"/>
      <c r="E721" s="405"/>
      <c r="F721" s="405"/>
      <c r="H721" s="397"/>
      <c r="I721" s="397"/>
      <c r="J721" s="397"/>
      <c r="K721" s="397"/>
      <c r="L721" s="397"/>
      <c r="M721" s="397"/>
    </row>
    <row r="722" spans="1:13" s="397" customFormat="1">
      <c r="A722" s="396" t="s">
        <v>246</v>
      </c>
      <c r="B722" s="396" t="s">
        <v>378</v>
      </c>
      <c r="H722"/>
      <c r="I722"/>
      <c r="J722"/>
      <c r="K722"/>
      <c r="L722"/>
      <c r="M722"/>
    </row>
    <row r="723" spans="1:13">
      <c r="A723" s="398" t="s">
        <v>248</v>
      </c>
      <c r="B723" s="399" t="s">
        <v>249</v>
      </c>
      <c r="C723" s="399" t="s">
        <v>250</v>
      </c>
      <c r="D723" s="399" t="s">
        <v>251</v>
      </c>
      <c r="E723" s="399" t="s">
        <v>252</v>
      </c>
      <c r="F723" s="399" t="s">
        <v>253</v>
      </c>
    </row>
    <row r="724" spans="1:13">
      <c r="A724" s="398" t="s">
        <v>254</v>
      </c>
      <c r="B724" s="401"/>
      <c r="C724" s="401"/>
      <c r="D724" s="402">
        <v>22532</v>
      </c>
      <c r="E724" s="402">
        <v>23974</v>
      </c>
      <c r="F724" s="401"/>
    </row>
    <row r="725" spans="1:13">
      <c r="A725" s="398" t="s">
        <v>255</v>
      </c>
      <c r="B725" s="401">
        <v>2800</v>
      </c>
      <c r="C725" s="401">
        <f>B725</f>
        <v>2800</v>
      </c>
      <c r="D725" s="401">
        <f>C725</f>
        <v>2800</v>
      </c>
      <c r="E725" s="401">
        <f>D725</f>
        <v>2800</v>
      </c>
      <c r="F725" s="401">
        <f>E725</f>
        <v>2800</v>
      </c>
    </row>
    <row r="726" spans="1:13">
      <c r="A726" s="398" t="s">
        <v>259</v>
      </c>
      <c r="B726" s="404">
        <f>B725*B724/1000000</f>
        <v>0</v>
      </c>
      <c r="C726" s="404">
        <f>C725*C724/1000000</f>
        <v>0</v>
      </c>
      <c r="D726" s="404">
        <f>D725*D724/1000000</f>
        <v>63.089599999999997</v>
      </c>
      <c r="E726" s="404">
        <f>E725*E724/1000000</f>
        <v>67.127200000000002</v>
      </c>
      <c r="F726" s="404">
        <f>F725*F724/1000000</f>
        <v>0</v>
      </c>
    </row>
    <row r="727" spans="1:13">
      <c r="A727" s="396"/>
      <c r="B727" s="405"/>
      <c r="C727" s="405"/>
      <c r="D727" s="405"/>
      <c r="E727" s="405"/>
      <c r="F727" s="405"/>
      <c r="H727" s="397"/>
      <c r="I727" s="397"/>
      <c r="J727" s="397"/>
      <c r="K727" s="397"/>
      <c r="L727" s="397"/>
      <c r="M727" s="397"/>
    </row>
    <row r="728" spans="1:13" s="397" customFormat="1">
      <c r="A728" s="396" t="s">
        <v>246</v>
      </c>
      <c r="B728" s="396" t="s">
        <v>379</v>
      </c>
      <c r="H728"/>
      <c r="I728"/>
      <c r="J728"/>
      <c r="K728"/>
      <c r="L728"/>
      <c r="M728"/>
    </row>
    <row r="729" spans="1:13">
      <c r="A729" s="398" t="s">
        <v>248</v>
      </c>
      <c r="B729" s="399" t="s">
        <v>249</v>
      </c>
      <c r="C729" s="399" t="s">
        <v>250</v>
      </c>
      <c r="D729" s="399" t="s">
        <v>251</v>
      </c>
      <c r="E729" s="399" t="s">
        <v>252</v>
      </c>
      <c r="F729" s="399" t="s">
        <v>253</v>
      </c>
    </row>
    <row r="730" spans="1:13">
      <c r="A730" s="398" t="s">
        <v>254</v>
      </c>
      <c r="B730" s="402">
        <v>24654</v>
      </c>
      <c r="C730" s="402">
        <v>25843</v>
      </c>
      <c r="D730" s="401"/>
      <c r="E730" s="402">
        <v>21084</v>
      </c>
      <c r="F730" s="401"/>
    </row>
    <row r="731" spans="1:13">
      <c r="A731" s="398" t="s">
        <v>255</v>
      </c>
      <c r="B731" s="401">
        <v>1850</v>
      </c>
      <c r="C731" s="401">
        <f>B731</f>
        <v>1850</v>
      </c>
      <c r="D731" s="401">
        <f>C731</f>
        <v>1850</v>
      </c>
      <c r="E731" s="401">
        <f>D731</f>
        <v>1850</v>
      </c>
      <c r="F731" s="401">
        <f>E731</f>
        <v>1850</v>
      </c>
    </row>
    <row r="732" spans="1:13">
      <c r="A732" s="398" t="s">
        <v>259</v>
      </c>
      <c r="B732" s="404">
        <f>B731*B730/1000000</f>
        <v>45.609900000000003</v>
      </c>
      <c r="C732" s="404">
        <f>C731*C730/1000000</f>
        <v>47.809550000000002</v>
      </c>
      <c r="D732" s="404">
        <f>D731*D730/1000000</f>
        <v>0</v>
      </c>
      <c r="E732" s="404">
        <f>E731*E730/1000000</f>
        <v>39.005400000000002</v>
      </c>
      <c r="F732" s="404">
        <f>F731*F730/1000000</f>
        <v>0</v>
      </c>
    </row>
    <row r="733" spans="1:13">
      <c r="A733" s="396"/>
      <c r="B733" s="405"/>
      <c r="C733" s="405"/>
      <c r="D733" s="405"/>
      <c r="E733" s="405"/>
      <c r="F733" s="405"/>
      <c r="H733" s="397"/>
      <c r="I733" s="397"/>
      <c r="J733" s="397"/>
      <c r="K733" s="397"/>
      <c r="L733" s="397"/>
      <c r="M733" s="397"/>
    </row>
    <row r="734" spans="1:13" s="397" customFormat="1">
      <c r="A734" s="396" t="s">
        <v>246</v>
      </c>
      <c r="B734" s="396" t="s">
        <v>380</v>
      </c>
      <c r="H734"/>
      <c r="I734"/>
      <c r="J734"/>
      <c r="K734"/>
      <c r="L734"/>
      <c r="M734"/>
    </row>
    <row r="735" spans="1:13">
      <c r="A735" s="398" t="s">
        <v>248</v>
      </c>
      <c r="B735" s="399" t="s">
        <v>249</v>
      </c>
      <c r="C735" s="399" t="s">
        <v>250</v>
      </c>
      <c r="D735" s="399" t="s">
        <v>251</v>
      </c>
      <c r="E735" s="399" t="s">
        <v>252</v>
      </c>
      <c r="F735" s="399" t="s">
        <v>253</v>
      </c>
    </row>
    <row r="736" spans="1:13">
      <c r="A736" s="398" t="s">
        <v>254</v>
      </c>
      <c r="B736" s="402">
        <v>20233</v>
      </c>
      <c r="C736" s="402">
        <v>23196</v>
      </c>
      <c r="D736" s="401"/>
      <c r="E736" s="401"/>
      <c r="F736" s="401"/>
    </row>
    <row r="737" spans="1:13">
      <c r="A737" s="398" t="s">
        <v>255</v>
      </c>
      <c r="B737" s="401">
        <v>1600</v>
      </c>
      <c r="C737" s="401">
        <f>B737</f>
        <v>1600</v>
      </c>
      <c r="D737" s="401">
        <f>C737</f>
        <v>1600</v>
      </c>
      <c r="E737" s="401">
        <f>D737</f>
        <v>1600</v>
      </c>
      <c r="F737" s="401">
        <f>E737</f>
        <v>1600</v>
      </c>
    </row>
    <row r="738" spans="1:13">
      <c r="A738" s="398" t="s">
        <v>259</v>
      </c>
      <c r="B738" s="404">
        <f>B737*B736/1000000</f>
        <v>32.372799999999998</v>
      </c>
      <c r="C738" s="404">
        <f>C737*C736/1000000</f>
        <v>37.113599999999998</v>
      </c>
      <c r="D738" s="404">
        <f>D737*D736/1000000</f>
        <v>0</v>
      </c>
      <c r="E738" s="404">
        <f>E737*E736/1000000</f>
        <v>0</v>
      </c>
      <c r="F738" s="404">
        <f>F737*F736/1000000</f>
        <v>0</v>
      </c>
    </row>
    <row r="739" spans="1:13">
      <c r="A739" s="396"/>
      <c r="B739" s="405"/>
      <c r="C739" s="405"/>
      <c r="D739" s="405"/>
      <c r="E739" s="405"/>
      <c r="F739" s="405"/>
      <c r="H739" s="397"/>
      <c r="I739" s="397"/>
      <c r="J739" s="397"/>
      <c r="K739" s="397"/>
      <c r="L739" s="397"/>
      <c r="M739" s="397"/>
    </row>
    <row r="740" spans="1:13" s="397" customFormat="1">
      <c r="A740" s="396" t="s">
        <v>246</v>
      </c>
      <c r="B740" s="396" t="s">
        <v>381</v>
      </c>
      <c r="H740"/>
      <c r="I740"/>
      <c r="J740"/>
      <c r="K740"/>
      <c r="L740"/>
      <c r="M740"/>
    </row>
    <row r="741" spans="1:13">
      <c r="A741" s="398" t="s">
        <v>248</v>
      </c>
      <c r="B741" s="399" t="s">
        <v>249</v>
      </c>
      <c r="C741" s="399" t="s">
        <v>250</v>
      </c>
      <c r="D741" s="399" t="s">
        <v>251</v>
      </c>
      <c r="E741" s="399" t="s">
        <v>252</v>
      </c>
      <c r="F741" s="399" t="s">
        <v>253</v>
      </c>
    </row>
    <row r="742" spans="1:13">
      <c r="A742" s="398" t="s">
        <v>254</v>
      </c>
      <c r="B742" s="402">
        <v>35699</v>
      </c>
      <c r="C742" s="402">
        <v>35105</v>
      </c>
      <c r="D742" s="402">
        <v>30844</v>
      </c>
      <c r="E742" s="402">
        <v>30499</v>
      </c>
      <c r="F742" s="402">
        <v>30547</v>
      </c>
    </row>
    <row r="743" spans="1:13">
      <c r="A743" s="398" t="s">
        <v>255</v>
      </c>
      <c r="B743" s="401">
        <v>1880</v>
      </c>
      <c r="C743" s="401">
        <f>B743</f>
        <v>1880</v>
      </c>
      <c r="D743" s="401">
        <f>C743</f>
        <v>1880</v>
      </c>
      <c r="E743" s="401">
        <f>D743</f>
        <v>1880</v>
      </c>
      <c r="F743" s="401">
        <f>E743</f>
        <v>1880</v>
      </c>
    </row>
    <row r="744" spans="1:13">
      <c r="A744" s="398" t="s">
        <v>259</v>
      </c>
      <c r="B744" s="404">
        <f>B743*B742/1000000</f>
        <v>67.11412</v>
      </c>
      <c r="C744" s="404">
        <f>C743*C742/1000000</f>
        <v>65.997399999999999</v>
      </c>
      <c r="D744" s="404">
        <f>D743*D742/1000000</f>
        <v>57.986719999999998</v>
      </c>
      <c r="E744" s="404">
        <f>E743*E742/1000000</f>
        <v>57.338120000000004</v>
      </c>
      <c r="F744" s="404">
        <f>F743*F742/1000000</f>
        <v>57.428359999999998</v>
      </c>
    </row>
    <row r="745" spans="1:13">
      <c r="A745" s="396"/>
      <c r="B745" s="405"/>
      <c r="C745" s="405"/>
      <c r="D745" s="405"/>
      <c r="E745" s="405"/>
      <c r="F745" s="405"/>
      <c r="H745" s="397"/>
      <c r="I745" s="397"/>
      <c r="J745" s="397"/>
      <c r="K745" s="397"/>
      <c r="L745" s="397"/>
      <c r="M745" s="397"/>
    </row>
    <row r="746" spans="1:13" s="397" customFormat="1">
      <c r="A746" s="396" t="s">
        <v>246</v>
      </c>
      <c r="B746" s="396" t="s">
        <v>382</v>
      </c>
      <c r="H746"/>
      <c r="I746"/>
      <c r="J746"/>
      <c r="K746"/>
      <c r="L746"/>
      <c r="M746"/>
    </row>
    <row r="747" spans="1:13">
      <c r="A747" s="398" t="s">
        <v>248</v>
      </c>
      <c r="B747" s="399" t="s">
        <v>249</v>
      </c>
      <c r="C747" s="399" t="s">
        <v>250</v>
      </c>
      <c r="D747" s="399" t="s">
        <v>251</v>
      </c>
      <c r="E747" s="399" t="s">
        <v>252</v>
      </c>
      <c r="F747" s="399" t="s">
        <v>253</v>
      </c>
    </row>
    <row r="748" spans="1:13">
      <c r="A748" s="398" t="s">
        <v>254</v>
      </c>
      <c r="B748" s="402">
        <v>41934</v>
      </c>
      <c r="C748" s="402">
        <v>44573</v>
      </c>
      <c r="D748" s="402">
        <v>39016</v>
      </c>
      <c r="E748" s="402">
        <v>25623</v>
      </c>
      <c r="F748" s="402">
        <v>27545</v>
      </c>
    </row>
    <row r="749" spans="1:13">
      <c r="A749" s="398" t="s">
        <v>255</v>
      </c>
      <c r="B749" s="401">
        <v>497</v>
      </c>
      <c r="C749" s="401">
        <f>B749</f>
        <v>497</v>
      </c>
      <c r="D749" s="401">
        <f>C749</f>
        <v>497</v>
      </c>
      <c r="E749" s="401">
        <f>D749</f>
        <v>497</v>
      </c>
      <c r="F749" s="401">
        <f>E749</f>
        <v>497</v>
      </c>
    </row>
    <row r="750" spans="1:13">
      <c r="A750" s="398" t="s">
        <v>259</v>
      </c>
      <c r="B750" s="404">
        <f>B749*B748/1000000</f>
        <v>20.841197999999999</v>
      </c>
      <c r="C750" s="404">
        <f>C749*C748/1000000</f>
        <v>22.152781000000001</v>
      </c>
      <c r="D750" s="404">
        <f>D749*D748/1000000</f>
        <v>19.390951999999999</v>
      </c>
      <c r="E750" s="404">
        <f>E749*E748/1000000</f>
        <v>12.734631</v>
      </c>
      <c r="F750" s="404">
        <f>F749*F748/1000000</f>
        <v>13.689864999999999</v>
      </c>
    </row>
    <row r="751" spans="1:13">
      <c r="A751" s="396"/>
      <c r="B751" s="405"/>
      <c r="C751" s="405"/>
      <c r="D751" s="405"/>
      <c r="E751" s="405"/>
      <c r="F751" s="405"/>
      <c r="H751" s="397"/>
      <c r="I751" s="397"/>
      <c r="J751" s="397"/>
      <c r="K751" s="397"/>
      <c r="L751" s="397"/>
      <c r="M751" s="397"/>
    </row>
    <row r="752" spans="1:13" s="397" customFormat="1">
      <c r="A752" s="396" t="s">
        <v>246</v>
      </c>
      <c r="B752" s="396" t="s">
        <v>383</v>
      </c>
      <c r="H752"/>
      <c r="I752"/>
      <c r="J752"/>
      <c r="K752"/>
      <c r="L752"/>
      <c r="M752"/>
    </row>
    <row r="753" spans="1:13">
      <c r="A753" s="398" t="s">
        <v>248</v>
      </c>
      <c r="B753" s="399" t="s">
        <v>249</v>
      </c>
      <c r="C753" s="399" t="s">
        <v>250</v>
      </c>
      <c r="D753" s="399" t="s">
        <v>251</v>
      </c>
      <c r="E753" s="399" t="s">
        <v>252</v>
      </c>
      <c r="F753" s="399" t="s">
        <v>253</v>
      </c>
    </row>
    <row r="754" spans="1:13">
      <c r="A754" s="398" t="s">
        <v>254</v>
      </c>
      <c r="B754" s="402">
        <v>46326</v>
      </c>
      <c r="C754" s="402">
        <v>40291</v>
      </c>
      <c r="D754" s="402">
        <v>23889</v>
      </c>
      <c r="E754" s="402">
        <v>25380</v>
      </c>
      <c r="F754" s="402">
        <v>27250</v>
      </c>
    </row>
    <row r="755" spans="1:13">
      <c r="A755" s="398" t="s">
        <v>255</v>
      </c>
      <c r="B755" s="401">
        <v>435</v>
      </c>
      <c r="C755" s="401">
        <f>B755</f>
        <v>435</v>
      </c>
      <c r="D755" s="401">
        <f>C755</f>
        <v>435</v>
      </c>
      <c r="E755" s="401">
        <f>D755</f>
        <v>435</v>
      </c>
      <c r="F755" s="401">
        <f>E755</f>
        <v>435</v>
      </c>
    </row>
    <row r="756" spans="1:13">
      <c r="A756" s="398" t="s">
        <v>259</v>
      </c>
      <c r="B756" s="404">
        <f>B755*B754/1000000</f>
        <v>20.151810000000001</v>
      </c>
      <c r="C756" s="404">
        <f>C755*C754/1000000</f>
        <v>17.526585000000001</v>
      </c>
      <c r="D756" s="404">
        <f>D755*D754/1000000</f>
        <v>10.391715</v>
      </c>
      <c r="E756" s="404">
        <f>E755*E754/1000000</f>
        <v>11.0403</v>
      </c>
      <c r="F756" s="404">
        <f>F755*F754/1000000</f>
        <v>11.85375</v>
      </c>
    </row>
    <row r="757" spans="1:13">
      <c r="A757" s="396"/>
      <c r="B757" s="405"/>
      <c r="C757" s="405"/>
      <c r="D757" s="405"/>
      <c r="E757" s="405"/>
      <c r="F757" s="405"/>
      <c r="H757" s="397"/>
      <c r="I757" s="397"/>
      <c r="J757" s="397"/>
      <c r="K757" s="397"/>
      <c r="L757" s="397"/>
      <c r="M757" s="397"/>
    </row>
    <row r="758" spans="1:13" s="397" customFormat="1">
      <c r="A758" s="396" t="s">
        <v>246</v>
      </c>
      <c r="B758" s="396" t="s">
        <v>384</v>
      </c>
      <c r="H758"/>
      <c r="I758"/>
      <c r="J758"/>
      <c r="K758"/>
      <c r="L758"/>
      <c r="M758"/>
    </row>
    <row r="759" spans="1:13">
      <c r="A759" s="398" t="s">
        <v>248</v>
      </c>
      <c r="B759" s="399" t="s">
        <v>249</v>
      </c>
      <c r="C759" s="399" t="s">
        <v>250</v>
      </c>
      <c r="D759" s="399" t="s">
        <v>251</v>
      </c>
      <c r="E759" s="399" t="s">
        <v>252</v>
      </c>
      <c r="F759" s="399" t="s">
        <v>253</v>
      </c>
    </row>
    <row r="760" spans="1:13">
      <c r="A760" s="398" t="s">
        <v>254</v>
      </c>
      <c r="B760" s="402">
        <v>29536</v>
      </c>
      <c r="C760" s="402">
        <v>25767</v>
      </c>
      <c r="D760" s="402">
        <v>28218</v>
      </c>
      <c r="E760" s="402">
        <v>27408</v>
      </c>
      <c r="F760" s="402">
        <v>21268</v>
      </c>
    </row>
    <row r="761" spans="1:13">
      <c r="A761" s="398" t="s">
        <v>255</v>
      </c>
      <c r="B761" s="401">
        <v>497</v>
      </c>
      <c r="C761" s="401">
        <f>B761</f>
        <v>497</v>
      </c>
      <c r="D761" s="401">
        <f>C761</f>
        <v>497</v>
      </c>
      <c r="E761" s="401">
        <f>D761</f>
        <v>497</v>
      </c>
      <c r="F761" s="401">
        <f>E761</f>
        <v>497</v>
      </c>
    </row>
    <row r="762" spans="1:13">
      <c r="A762" s="398" t="s">
        <v>259</v>
      </c>
      <c r="B762" s="404">
        <f>B761*B760/1000000</f>
        <v>14.679392</v>
      </c>
      <c r="C762" s="404">
        <f>C761*C760/1000000</f>
        <v>12.806198999999999</v>
      </c>
      <c r="D762" s="404">
        <f>D761*D760/1000000</f>
        <v>14.024346</v>
      </c>
      <c r="E762" s="404">
        <f>E761*E760/1000000</f>
        <v>13.621776000000001</v>
      </c>
      <c r="F762" s="404">
        <f>F761*F760/1000000</f>
        <v>10.570195999999999</v>
      </c>
    </row>
    <row r="763" spans="1:13">
      <c r="A763" s="396"/>
      <c r="B763" s="405"/>
      <c r="C763" s="405"/>
      <c r="D763" s="405"/>
      <c r="E763" s="405"/>
      <c r="F763" s="405"/>
      <c r="H763" s="397"/>
      <c r="I763" s="397"/>
      <c r="J763" s="397"/>
      <c r="K763" s="397"/>
      <c r="L763" s="397"/>
      <c r="M763" s="397"/>
    </row>
    <row r="764" spans="1:13" s="397" customFormat="1">
      <c r="A764" s="396" t="s">
        <v>246</v>
      </c>
      <c r="B764" s="396" t="s">
        <v>385</v>
      </c>
      <c r="H764"/>
      <c r="I764"/>
      <c r="J764"/>
      <c r="K764"/>
      <c r="L764"/>
      <c r="M764"/>
    </row>
    <row r="765" spans="1:13">
      <c r="A765" s="398" t="s">
        <v>248</v>
      </c>
      <c r="B765" s="399" t="s">
        <v>249</v>
      </c>
      <c r="C765" s="399" t="s">
        <v>250</v>
      </c>
      <c r="D765" s="399" t="s">
        <v>251</v>
      </c>
      <c r="E765" s="399" t="s">
        <v>252</v>
      </c>
      <c r="F765" s="399" t="s">
        <v>253</v>
      </c>
    </row>
    <row r="766" spans="1:13">
      <c r="A766" s="398" t="s">
        <v>254</v>
      </c>
      <c r="B766" s="402">
        <v>61259</v>
      </c>
      <c r="C766" s="402">
        <v>71028</v>
      </c>
      <c r="D766" s="402">
        <v>83067</v>
      </c>
      <c r="E766" s="402">
        <v>85121</v>
      </c>
      <c r="F766" s="402">
        <v>85838</v>
      </c>
    </row>
    <row r="767" spans="1:13">
      <c r="A767" s="398" t="s">
        <v>255</v>
      </c>
      <c r="B767" s="401">
        <v>396</v>
      </c>
      <c r="C767" s="401">
        <f>B767</f>
        <v>396</v>
      </c>
      <c r="D767" s="401">
        <f>C767</f>
        <v>396</v>
      </c>
      <c r="E767" s="401">
        <f>D767</f>
        <v>396</v>
      </c>
      <c r="F767" s="401">
        <f>E767</f>
        <v>396</v>
      </c>
    </row>
    <row r="768" spans="1:13">
      <c r="A768" s="398" t="s">
        <v>259</v>
      </c>
      <c r="B768" s="404">
        <f>B767*B766/1000000</f>
        <v>24.258564</v>
      </c>
      <c r="C768" s="404">
        <f>C767*C766/1000000</f>
        <v>28.127088000000001</v>
      </c>
      <c r="D768" s="404">
        <f>D767*D766/1000000</f>
        <v>32.894531999999998</v>
      </c>
      <c r="E768" s="404">
        <f>E767*E766/1000000</f>
        <v>33.707915999999997</v>
      </c>
      <c r="F768" s="404">
        <f>F767*F766/1000000</f>
        <v>33.991847999999997</v>
      </c>
    </row>
    <row r="769" spans="1:13">
      <c r="A769" s="396"/>
      <c r="B769" s="405"/>
      <c r="C769" s="405"/>
      <c r="D769" s="405"/>
      <c r="E769" s="405"/>
      <c r="F769" s="405"/>
      <c r="H769" s="397"/>
      <c r="I769" s="397"/>
      <c r="J769" s="397"/>
      <c r="K769" s="397"/>
      <c r="L769" s="397"/>
      <c r="M769" s="397"/>
    </row>
    <row r="770" spans="1:13" s="397" customFormat="1">
      <c r="A770" s="396" t="s">
        <v>246</v>
      </c>
      <c r="B770" s="396" t="s">
        <v>386</v>
      </c>
      <c r="H770"/>
      <c r="I770"/>
      <c r="J770"/>
      <c r="K770"/>
      <c r="L770"/>
      <c r="M770"/>
    </row>
    <row r="771" spans="1:13">
      <c r="A771" s="398" t="s">
        <v>248</v>
      </c>
      <c r="B771" s="399" t="s">
        <v>249</v>
      </c>
      <c r="C771" s="399" t="s">
        <v>250</v>
      </c>
      <c r="D771" s="399" t="s">
        <v>251</v>
      </c>
      <c r="E771" s="399" t="s">
        <v>252</v>
      </c>
      <c r="F771" s="399" t="s">
        <v>253</v>
      </c>
    </row>
    <row r="772" spans="1:13">
      <c r="A772" s="398" t="s">
        <v>254</v>
      </c>
      <c r="B772" s="402">
        <v>68081</v>
      </c>
      <c r="C772" s="402">
        <v>80291</v>
      </c>
      <c r="D772" s="402">
        <v>79823</v>
      </c>
      <c r="E772" s="402">
        <v>105130</v>
      </c>
      <c r="F772" s="402">
        <v>122328</v>
      </c>
    </row>
    <row r="773" spans="1:13">
      <c r="A773" s="398" t="s">
        <v>255</v>
      </c>
      <c r="B773" s="401">
        <v>609</v>
      </c>
      <c r="C773" s="401">
        <f>B773</f>
        <v>609</v>
      </c>
      <c r="D773" s="401">
        <f>C773</f>
        <v>609</v>
      </c>
      <c r="E773" s="401">
        <f>D773</f>
        <v>609</v>
      </c>
      <c r="F773" s="401">
        <f>E773</f>
        <v>609</v>
      </c>
    </row>
    <row r="774" spans="1:13">
      <c r="A774" s="398" t="s">
        <v>259</v>
      </c>
      <c r="B774" s="404">
        <f>B773*B772/1000000</f>
        <v>41.461328999999999</v>
      </c>
      <c r="C774" s="404">
        <f>C773*C772/1000000</f>
        <v>48.897219</v>
      </c>
      <c r="D774" s="404">
        <f>D773*D772/1000000</f>
        <v>48.612206999999998</v>
      </c>
      <c r="E774" s="404">
        <f>E773*E772/1000000</f>
        <v>64.024169999999998</v>
      </c>
      <c r="F774" s="404">
        <f>F773*F772/1000000</f>
        <v>74.497752000000006</v>
      </c>
    </row>
    <row r="775" spans="1:13">
      <c r="A775" s="396"/>
      <c r="B775" s="405"/>
      <c r="C775" s="405"/>
      <c r="D775" s="405"/>
      <c r="E775" s="405"/>
      <c r="F775" s="405"/>
      <c r="H775" s="397"/>
      <c r="I775" s="397"/>
      <c r="J775" s="397"/>
      <c r="K775" s="397"/>
      <c r="L775" s="397"/>
      <c r="M775" s="397"/>
    </row>
    <row r="776" spans="1:13" s="397" customFormat="1">
      <c r="A776" s="396" t="s">
        <v>246</v>
      </c>
      <c r="B776" s="396" t="s">
        <v>387</v>
      </c>
      <c r="H776"/>
      <c r="I776"/>
      <c r="J776"/>
      <c r="K776"/>
      <c r="L776"/>
      <c r="M776"/>
    </row>
    <row r="777" spans="1:13">
      <c r="A777" s="398" t="s">
        <v>248</v>
      </c>
      <c r="B777" s="399" t="s">
        <v>249</v>
      </c>
      <c r="C777" s="399" t="s">
        <v>250</v>
      </c>
      <c r="D777" s="399" t="s">
        <v>251</v>
      </c>
      <c r="E777" s="399" t="s">
        <v>252</v>
      </c>
      <c r="F777" s="399" t="s">
        <v>253</v>
      </c>
    </row>
    <row r="778" spans="1:13">
      <c r="A778" s="398" t="s">
        <v>254</v>
      </c>
      <c r="B778" s="402">
        <v>49126</v>
      </c>
      <c r="C778" s="402">
        <v>71125</v>
      </c>
      <c r="D778" s="402">
        <v>77781</v>
      </c>
      <c r="E778" s="402">
        <v>67684</v>
      </c>
      <c r="F778" s="402">
        <v>71073</v>
      </c>
    </row>
    <row r="779" spans="1:13">
      <c r="A779" s="398" t="s">
        <v>255</v>
      </c>
      <c r="B779" s="401">
        <v>658</v>
      </c>
      <c r="C779" s="401">
        <f>B779</f>
        <v>658</v>
      </c>
      <c r="D779" s="401">
        <f>C779</f>
        <v>658</v>
      </c>
      <c r="E779" s="401">
        <f>D779</f>
        <v>658</v>
      </c>
      <c r="F779" s="401">
        <f>E779</f>
        <v>658</v>
      </c>
    </row>
    <row r="780" spans="1:13">
      <c r="A780" s="398" t="s">
        <v>259</v>
      </c>
      <c r="B780" s="404">
        <f>B779*B778/1000000</f>
        <v>32.324908000000001</v>
      </c>
      <c r="C780" s="404">
        <f>C779*C778/1000000</f>
        <v>46.800249999999998</v>
      </c>
      <c r="D780" s="404">
        <f>D779*D778/1000000</f>
        <v>51.179898000000001</v>
      </c>
      <c r="E780" s="404">
        <f>E779*E778/1000000</f>
        <v>44.536071999999997</v>
      </c>
      <c r="F780" s="404">
        <f>F779*F778/1000000</f>
        <v>46.766033999999998</v>
      </c>
    </row>
    <row r="781" spans="1:13">
      <c r="A781" s="396"/>
      <c r="B781" s="405"/>
      <c r="C781" s="405"/>
      <c r="D781" s="405"/>
      <c r="E781" s="405"/>
      <c r="F781" s="405"/>
      <c r="H781" s="397"/>
      <c r="I781" s="397"/>
      <c r="J781" s="397"/>
      <c r="K781" s="397"/>
      <c r="L781" s="397"/>
      <c r="M781" s="397"/>
    </row>
    <row r="782" spans="1:13" s="397" customFormat="1">
      <c r="A782" s="396" t="s">
        <v>246</v>
      </c>
      <c r="B782" s="396" t="s">
        <v>388</v>
      </c>
      <c r="H782"/>
      <c r="I782"/>
      <c r="J782"/>
      <c r="K782"/>
      <c r="L782"/>
      <c r="M782"/>
    </row>
    <row r="783" spans="1:13">
      <c r="A783" s="398" t="s">
        <v>248</v>
      </c>
      <c r="B783" s="399" t="s">
        <v>249</v>
      </c>
      <c r="C783" s="399" t="s">
        <v>250</v>
      </c>
      <c r="D783" s="399" t="s">
        <v>251</v>
      </c>
      <c r="E783" s="399" t="s">
        <v>252</v>
      </c>
      <c r="F783" s="399" t="s">
        <v>253</v>
      </c>
    </row>
    <row r="784" spans="1:13">
      <c r="A784" s="398" t="s">
        <v>254</v>
      </c>
      <c r="B784" s="401"/>
      <c r="C784" s="402">
        <v>22389</v>
      </c>
      <c r="D784" s="401"/>
      <c r="E784" s="401"/>
      <c r="F784" s="401"/>
    </row>
    <row r="785" spans="1:13">
      <c r="A785" s="398" t="s">
        <v>255</v>
      </c>
      <c r="B785" s="401">
        <v>468</v>
      </c>
      <c r="C785" s="401">
        <f>B785</f>
        <v>468</v>
      </c>
      <c r="D785" s="401">
        <f>C785</f>
        <v>468</v>
      </c>
      <c r="E785" s="401">
        <f>D785</f>
        <v>468</v>
      </c>
      <c r="F785" s="401">
        <f>E785</f>
        <v>468</v>
      </c>
    </row>
    <row r="786" spans="1:13">
      <c r="A786" s="398" t="s">
        <v>259</v>
      </c>
      <c r="B786" s="404">
        <f>B785*B784/1000000</f>
        <v>0</v>
      </c>
      <c r="C786" s="404">
        <f>C785*C784/1000000</f>
        <v>10.478052</v>
      </c>
      <c r="D786" s="404">
        <f>D785*D784/1000000</f>
        <v>0</v>
      </c>
      <c r="E786" s="404">
        <f>E785*E784/1000000</f>
        <v>0</v>
      </c>
      <c r="F786" s="404">
        <f>F785*F784/1000000</f>
        <v>0</v>
      </c>
    </row>
    <row r="787" spans="1:13">
      <c r="A787" s="396"/>
      <c r="B787" s="405"/>
      <c r="C787" s="405"/>
      <c r="D787" s="405"/>
      <c r="E787" s="405"/>
      <c r="F787" s="405"/>
      <c r="H787" s="397"/>
      <c r="I787" s="397"/>
      <c r="J787" s="397"/>
      <c r="K787" s="397"/>
      <c r="L787" s="397"/>
      <c r="M787" s="397"/>
    </row>
    <row r="788" spans="1:13" s="397" customFormat="1">
      <c r="A788" s="396" t="s">
        <v>246</v>
      </c>
      <c r="B788" s="396" t="s">
        <v>389</v>
      </c>
      <c r="H788"/>
      <c r="I788"/>
      <c r="J788"/>
      <c r="K788"/>
      <c r="L788"/>
      <c r="M788"/>
    </row>
    <row r="789" spans="1:13">
      <c r="A789" s="398" t="s">
        <v>248</v>
      </c>
      <c r="B789" s="399" t="s">
        <v>249</v>
      </c>
      <c r="C789" s="399" t="s">
        <v>250</v>
      </c>
      <c r="D789" s="399" t="s">
        <v>251</v>
      </c>
      <c r="E789" s="399" t="s">
        <v>252</v>
      </c>
      <c r="F789" s="399" t="s">
        <v>253</v>
      </c>
    </row>
    <row r="790" spans="1:13">
      <c r="A790" s="398" t="s">
        <v>254</v>
      </c>
      <c r="B790" s="402">
        <v>43074</v>
      </c>
      <c r="C790" s="402">
        <v>43299</v>
      </c>
      <c r="D790" s="402">
        <v>54474</v>
      </c>
      <c r="E790" s="402">
        <v>58649</v>
      </c>
      <c r="F790" s="402">
        <v>55305</v>
      </c>
    </row>
    <row r="791" spans="1:13">
      <c r="A791" s="398" t="s">
        <v>255</v>
      </c>
      <c r="B791" s="401">
        <v>509</v>
      </c>
      <c r="C791" s="401">
        <f>B791</f>
        <v>509</v>
      </c>
      <c r="D791" s="401">
        <f>C791</f>
        <v>509</v>
      </c>
      <c r="E791" s="401">
        <f>D791</f>
        <v>509</v>
      </c>
      <c r="F791" s="401">
        <f>E791</f>
        <v>509</v>
      </c>
    </row>
    <row r="792" spans="1:13">
      <c r="A792" s="398" t="s">
        <v>259</v>
      </c>
      <c r="B792" s="404">
        <f>B791*B790/1000000</f>
        <v>21.924665999999998</v>
      </c>
      <c r="C792" s="404">
        <f>C791*C790/1000000</f>
        <v>22.039190999999999</v>
      </c>
      <c r="D792" s="404">
        <f>D791*D790/1000000</f>
        <v>27.727266</v>
      </c>
      <c r="E792" s="404">
        <f>E791*E790/1000000</f>
        <v>29.852340999999999</v>
      </c>
      <c r="F792" s="404">
        <f>F791*F790/1000000</f>
        <v>28.150245000000002</v>
      </c>
    </row>
    <row r="793" spans="1:13">
      <c r="A793" s="396"/>
      <c r="B793" s="405"/>
      <c r="C793" s="405"/>
      <c r="D793" s="405"/>
      <c r="E793" s="405"/>
      <c r="F793" s="405"/>
      <c r="H793" s="397"/>
      <c r="I793" s="397"/>
      <c r="J793" s="397"/>
      <c r="K793" s="397"/>
      <c r="L793" s="397"/>
      <c r="M793" s="397"/>
    </row>
    <row r="794" spans="1:13" s="397" customFormat="1">
      <c r="A794" s="396" t="s">
        <v>246</v>
      </c>
      <c r="B794" s="396" t="s">
        <v>390</v>
      </c>
      <c r="H794"/>
      <c r="I794"/>
      <c r="J794"/>
      <c r="K794"/>
      <c r="L794"/>
      <c r="M794"/>
    </row>
    <row r="795" spans="1:13">
      <c r="A795" s="398" t="s">
        <v>248</v>
      </c>
      <c r="B795" s="399" t="s">
        <v>249</v>
      </c>
      <c r="C795" s="399" t="s">
        <v>250</v>
      </c>
      <c r="D795" s="399" t="s">
        <v>251</v>
      </c>
      <c r="E795" s="399" t="s">
        <v>252</v>
      </c>
      <c r="F795" s="399" t="s">
        <v>253</v>
      </c>
    </row>
    <row r="796" spans="1:13">
      <c r="A796" s="398" t="s">
        <v>254</v>
      </c>
      <c r="B796" s="402">
        <v>98739</v>
      </c>
      <c r="C796" s="402">
        <v>107752</v>
      </c>
      <c r="D796" s="402">
        <v>103887</v>
      </c>
      <c r="E796" s="402">
        <v>114672</v>
      </c>
      <c r="F796" s="402">
        <v>143551</v>
      </c>
    </row>
    <row r="797" spans="1:13">
      <c r="A797" s="398" t="s">
        <v>255</v>
      </c>
      <c r="B797" s="401">
        <v>647</v>
      </c>
      <c r="C797" s="401">
        <f>B797</f>
        <v>647</v>
      </c>
      <c r="D797" s="401">
        <f>C797</f>
        <v>647</v>
      </c>
      <c r="E797" s="401">
        <f>D797</f>
        <v>647</v>
      </c>
      <c r="F797" s="401">
        <f>E797</f>
        <v>647</v>
      </c>
    </row>
    <row r="798" spans="1:13">
      <c r="A798" s="398" t="s">
        <v>259</v>
      </c>
      <c r="B798" s="404">
        <f>B797*B796/1000000</f>
        <v>63.884132999999999</v>
      </c>
      <c r="C798" s="404">
        <f>C797*C796/1000000</f>
        <v>69.715543999999994</v>
      </c>
      <c r="D798" s="404">
        <f>D797*D796/1000000</f>
        <v>67.214888999999999</v>
      </c>
      <c r="E798" s="404">
        <f>E797*E796/1000000</f>
        <v>74.192784000000003</v>
      </c>
      <c r="F798" s="404">
        <f>F797*F796/1000000</f>
        <v>92.877497000000005</v>
      </c>
    </row>
    <row r="799" spans="1:13">
      <c r="A799" s="396"/>
      <c r="B799" s="405"/>
      <c r="C799" s="405"/>
      <c r="D799" s="405"/>
      <c r="E799" s="405"/>
      <c r="F799" s="405"/>
      <c r="H799" s="397"/>
      <c r="I799" s="397"/>
      <c r="J799" s="397"/>
      <c r="K799" s="397"/>
      <c r="L799" s="397"/>
      <c r="M799" s="397"/>
    </row>
    <row r="800" spans="1:13" s="397" customFormat="1">
      <c r="A800" s="396" t="s">
        <v>246</v>
      </c>
      <c r="B800" s="396" t="s">
        <v>391</v>
      </c>
      <c r="H800"/>
      <c r="I800"/>
      <c r="J800"/>
      <c r="K800"/>
      <c r="L800"/>
      <c r="M800"/>
    </row>
    <row r="801" spans="1:13">
      <c r="A801" s="398" t="s">
        <v>248</v>
      </c>
      <c r="B801" s="399" t="s">
        <v>249</v>
      </c>
      <c r="C801" s="399" t="s">
        <v>250</v>
      </c>
      <c r="D801" s="399" t="s">
        <v>251</v>
      </c>
      <c r="E801" s="399" t="s">
        <v>252</v>
      </c>
      <c r="F801" s="399" t="s">
        <v>253</v>
      </c>
    </row>
    <row r="802" spans="1:13">
      <c r="A802" s="398" t="s">
        <v>254</v>
      </c>
      <c r="B802" s="402">
        <v>75065</v>
      </c>
      <c r="C802" s="402">
        <v>57239</v>
      </c>
      <c r="D802" s="402">
        <v>51347</v>
      </c>
      <c r="E802" s="402">
        <v>56232</v>
      </c>
      <c r="F802" s="402">
        <v>50085</v>
      </c>
    </row>
    <row r="803" spans="1:13">
      <c r="A803" s="398" t="s">
        <v>255</v>
      </c>
      <c r="B803" s="401">
        <v>1190</v>
      </c>
      <c r="C803" s="401">
        <f>B803</f>
        <v>1190</v>
      </c>
      <c r="D803" s="401">
        <f>C803</f>
        <v>1190</v>
      </c>
      <c r="E803" s="401">
        <f>D803</f>
        <v>1190</v>
      </c>
      <c r="F803" s="401">
        <f>E803</f>
        <v>1190</v>
      </c>
    </row>
    <row r="804" spans="1:13">
      <c r="A804" s="398" t="s">
        <v>259</v>
      </c>
      <c r="B804" s="404">
        <f>B803*B802/1000000</f>
        <v>89.327349999999996</v>
      </c>
      <c r="C804" s="404">
        <f>C803*C802/1000000</f>
        <v>68.114410000000007</v>
      </c>
      <c r="D804" s="404">
        <f>D803*D802/1000000</f>
        <v>61.102930000000001</v>
      </c>
      <c r="E804" s="404">
        <f>E803*E802/1000000</f>
        <v>66.916079999999994</v>
      </c>
      <c r="F804" s="404">
        <f>F803*F802/1000000</f>
        <v>59.601149999999997</v>
      </c>
    </row>
    <row r="805" spans="1:13">
      <c r="A805" s="396"/>
      <c r="B805" s="405"/>
      <c r="C805" s="405"/>
      <c r="D805" s="405"/>
      <c r="E805" s="405"/>
      <c r="F805" s="405"/>
      <c r="H805" s="397"/>
      <c r="I805" s="397"/>
      <c r="J805" s="397"/>
      <c r="K805" s="397"/>
      <c r="L805" s="397"/>
      <c r="M805" s="397"/>
    </row>
    <row r="806" spans="1:13" s="397" customFormat="1">
      <c r="A806" s="396" t="s">
        <v>246</v>
      </c>
      <c r="B806" s="396" t="s">
        <v>392</v>
      </c>
      <c r="H806"/>
      <c r="I806"/>
      <c r="J806"/>
      <c r="K806"/>
      <c r="L806"/>
      <c r="M806"/>
    </row>
    <row r="807" spans="1:13">
      <c r="A807" s="398" t="s">
        <v>248</v>
      </c>
      <c r="B807" s="399" t="s">
        <v>249</v>
      </c>
      <c r="C807" s="399" t="s">
        <v>250</v>
      </c>
      <c r="D807" s="399" t="s">
        <v>251</v>
      </c>
      <c r="E807" s="399" t="s">
        <v>252</v>
      </c>
      <c r="F807" s="399" t="s">
        <v>253</v>
      </c>
    </row>
    <row r="808" spans="1:13">
      <c r="A808" s="398" t="s">
        <v>254</v>
      </c>
      <c r="B808" s="402">
        <v>21992</v>
      </c>
      <c r="C808" s="402">
        <v>18850</v>
      </c>
      <c r="D808" s="402">
        <v>19988</v>
      </c>
      <c r="E808" s="402">
        <v>22155</v>
      </c>
      <c r="F808" s="402">
        <v>16316</v>
      </c>
    </row>
    <row r="809" spans="1:13">
      <c r="A809" s="398" t="s">
        <v>255</v>
      </c>
      <c r="B809" s="401">
        <v>1670</v>
      </c>
      <c r="C809" s="401">
        <f>B809</f>
        <v>1670</v>
      </c>
      <c r="D809" s="401">
        <f>C809</f>
        <v>1670</v>
      </c>
      <c r="E809" s="401">
        <f>D809</f>
        <v>1670</v>
      </c>
      <c r="F809" s="401">
        <f>E809</f>
        <v>1670</v>
      </c>
    </row>
    <row r="810" spans="1:13">
      <c r="A810" s="398" t="s">
        <v>259</v>
      </c>
      <c r="B810" s="404">
        <f>B809*B808/1000000</f>
        <v>36.726640000000003</v>
      </c>
      <c r="C810" s="404">
        <f>C809*C808/1000000</f>
        <v>31.479500000000002</v>
      </c>
      <c r="D810" s="404">
        <f>D809*D808/1000000</f>
        <v>33.379959999999997</v>
      </c>
      <c r="E810" s="404">
        <f>E809*E808/1000000</f>
        <v>36.998849999999997</v>
      </c>
      <c r="F810" s="404">
        <f>F809*F808/1000000</f>
        <v>27.247720000000001</v>
      </c>
    </row>
    <row r="811" spans="1:13">
      <c r="A811" s="396"/>
      <c r="B811" s="405"/>
      <c r="C811" s="405"/>
      <c r="D811" s="405"/>
      <c r="E811" s="405"/>
      <c r="F811" s="405"/>
      <c r="H811" s="397"/>
      <c r="I811" s="397"/>
      <c r="J811" s="397"/>
      <c r="K811" s="397"/>
      <c r="L811" s="397"/>
      <c r="M811" s="397"/>
    </row>
    <row r="812" spans="1:13" s="397" customFormat="1">
      <c r="A812" s="396" t="s">
        <v>246</v>
      </c>
      <c r="B812" s="396" t="s">
        <v>393</v>
      </c>
      <c r="H812"/>
      <c r="I812"/>
      <c r="J812"/>
      <c r="K812"/>
      <c r="L812"/>
      <c r="M812"/>
    </row>
    <row r="813" spans="1:13">
      <c r="A813" s="398" t="s">
        <v>248</v>
      </c>
      <c r="B813" s="399" t="s">
        <v>249</v>
      </c>
      <c r="C813" s="399" t="s">
        <v>250</v>
      </c>
      <c r="D813" s="399" t="s">
        <v>251</v>
      </c>
      <c r="E813" s="399" t="s">
        <v>252</v>
      </c>
      <c r="F813" s="399" t="s">
        <v>253</v>
      </c>
    </row>
    <row r="814" spans="1:13">
      <c r="A814" s="398" t="s">
        <v>254</v>
      </c>
      <c r="B814" s="402">
        <v>68462</v>
      </c>
      <c r="C814" s="402">
        <v>27318</v>
      </c>
      <c r="D814" s="402">
        <v>29629</v>
      </c>
      <c r="E814" s="402">
        <v>32887</v>
      </c>
      <c r="F814" s="402">
        <v>37316</v>
      </c>
    </row>
    <row r="815" spans="1:13">
      <c r="A815" s="398" t="s">
        <v>255</v>
      </c>
      <c r="B815" s="401">
        <v>266</v>
      </c>
      <c r="C815" s="401">
        <f>B815</f>
        <v>266</v>
      </c>
      <c r="D815" s="401">
        <f>C815</f>
        <v>266</v>
      </c>
      <c r="E815" s="401">
        <f>D815</f>
        <v>266</v>
      </c>
      <c r="F815" s="401">
        <f>E815</f>
        <v>266</v>
      </c>
    </row>
    <row r="816" spans="1:13">
      <c r="A816" s="398" t="s">
        <v>259</v>
      </c>
      <c r="B816" s="404">
        <f>B815*B814/1000000</f>
        <v>18.210892000000001</v>
      </c>
      <c r="C816" s="404">
        <f>C815*C814/1000000</f>
        <v>7.2665879999999996</v>
      </c>
      <c r="D816" s="404">
        <f>D815*D814/1000000</f>
        <v>7.8813139999999997</v>
      </c>
      <c r="E816" s="404">
        <f>E815*E814/1000000</f>
        <v>8.7479420000000001</v>
      </c>
      <c r="F816" s="404">
        <f>F815*F814/1000000</f>
        <v>9.9260560000000009</v>
      </c>
    </row>
    <row r="817" spans="1:13">
      <c r="A817" s="396"/>
      <c r="B817" s="405"/>
      <c r="C817" s="405"/>
      <c r="D817" s="405"/>
      <c r="E817" s="405"/>
      <c r="F817" s="405"/>
      <c r="H817" s="397"/>
      <c r="I817" s="397"/>
      <c r="J817" s="397"/>
      <c r="K817" s="397"/>
      <c r="L817" s="397"/>
      <c r="M817" s="397"/>
    </row>
    <row r="818" spans="1:13" s="397" customFormat="1">
      <c r="A818" s="396" t="s">
        <v>246</v>
      </c>
      <c r="B818" s="396" t="s">
        <v>394</v>
      </c>
      <c r="H818"/>
      <c r="I818"/>
      <c r="J818"/>
      <c r="K818"/>
      <c r="L818"/>
      <c r="M818"/>
    </row>
    <row r="819" spans="1:13">
      <c r="A819" s="398" t="s">
        <v>248</v>
      </c>
      <c r="B819" s="399" t="s">
        <v>249</v>
      </c>
      <c r="C819" s="399" t="s">
        <v>250</v>
      </c>
      <c r="D819" s="399" t="s">
        <v>251</v>
      </c>
      <c r="E819" s="399" t="s">
        <v>252</v>
      </c>
      <c r="F819" s="399" t="s">
        <v>253</v>
      </c>
    </row>
    <row r="820" spans="1:13">
      <c r="A820" s="398" t="s">
        <v>254</v>
      </c>
      <c r="B820" s="402">
        <v>21353</v>
      </c>
      <c r="C820" s="402">
        <v>18368</v>
      </c>
      <c r="D820" s="402">
        <v>20182</v>
      </c>
      <c r="E820" s="402">
        <v>19617</v>
      </c>
      <c r="F820" s="402">
        <v>18688</v>
      </c>
    </row>
    <row r="821" spans="1:13">
      <c r="A821" s="398" t="s">
        <v>255</v>
      </c>
      <c r="B821" s="401">
        <v>1670</v>
      </c>
      <c r="C821" s="401">
        <f>B821</f>
        <v>1670</v>
      </c>
      <c r="D821" s="401">
        <f>C821</f>
        <v>1670</v>
      </c>
      <c r="E821" s="401">
        <f>D821</f>
        <v>1670</v>
      </c>
      <c r="F821" s="401">
        <f>E821</f>
        <v>1670</v>
      </c>
    </row>
    <row r="822" spans="1:13">
      <c r="A822" s="398" t="s">
        <v>259</v>
      </c>
      <c r="B822" s="404">
        <f>B821*B820/1000000</f>
        <v>35.659509999999997</v>
      </c>
      <c r="C822" s="404">
        <f>C821*C820/1000000</f>
        <v>30.67456</v>
      </c>
      <c r="D822" s="404">
        <f>D821*D820/1000000</f>
        <v>33.703940000000003</v>
      </c>
      <c r="E822" s="404">
        <f>E821*E820/1000000</f>
        <v>32.760390000000001</v>
      </c>
      <c r="F822" s="404">
        <f>F821*F820/1000000</f>
        <v>31.208960000000001</v>
      </c>
    </row>
    <row r="823" spans="1:13">
      <c r="A823" s="396"/>
      <c r="B823" s="405"/>
      <c r="C823" s="405"/>
      <c r="D823" s="405"/>
      <c r="E823" s="405"/>
      <c r="F823" s="405"/>
      <c r="H823" s="397"/>
      <c r="I823" s="397"/>
      <c r="J823" s="397"/>
      <c r="K823" s="397"/>
      <c r="L823" s="397"/>
      <c r="M823" s="397"/>
    </row>
    <row r="824" spans="1:13" s="397" customFormat="1">
      <c r="A824" s="396" t="s">
        <v>246</v>
      </c>
      <c r="B824" s="396" t="s">
        <v>395</v>
      </c>
      <c r="H824"/>
      <c r="I824"/>
      <c r="J824"/>
      <c r="K824"/>
      <c r="L824"/>
      <c r="M824"/>
    </row>
    <row r="825" spans="1:13">
      <c r="A825" s="398" t="s">
        <v>248</v>
      </c>
      <c r="B825" s="399" t="s">
        <v>249</v>
      </c>
      <c r="C825" s="399" t="s">
        <v>250</v>
      </c>
      <c r="D825" s="399" t="s">
        <v>251</v>
      </c>
      <c r="E825" s="399" t="s">
        <v>252</v>
      </c>
      <c r="F825" s="399" t="s">
        <v>253</v>
      </c>
    </row>
    <row r="826" spans="1:13">
      <c r="A826" s="398" t="s">
        <v>254</v>
      </c>
      <c r="B826" s="402">
        <v>88299</v>
      </c>
      <c r="C826" s="402">
        <v>102163</v>
      </c>
      <c r="D826" s="402">
        <v>98304</v>
      </c>
      <c r="E826" s="402">
        <v>96286</v>
      </c>
      <c r="F826" s="402">
        <v>102543</v>
      </c>
    </row>
    <row r="827" spans="1:13">
      <c r="A827" s="398" t="s">
        <v>255</v>
      </c>
      <c r="B827" s="401">
        <v>627</v>
      </c>
      <c r="C827" s="401">
        <f>B827</f>
        <v>627</v>
      </c>
      <c r="D827" s="401">
        <f>C827</f>
        <v>627</v>
      </c>
      <c r="E827" s="401">
        <f>D827</f>
        <v>627</v>
      </c>
      <c r="F827" s="401">
        <f>E827</f>
        <v>627</v>
      </c>
    </row>
    <row r="828" spans="1:13">
      <c r="A828" s="398" t="s">
        <v>259</v>
      </c>
      <c r="B828" s="404">
        <f>B827*B826/1000000</f>
        <v>55.363472999999999</v>
      </c>
      <c r="C828" s="404">
        <f>C827*C826/1000000</f>
        <v>64.056201000000001</v>
      </c>
      <c r="D828" s="404">
        <f>D827*D826/1000000</f>
        <v>61.636608000000003</v>
      </c>
      <c r="E828" s="404">
        <f>E827*E826/1000000</f>
        <v>60.371321999999999</v>
      </c>
      <c r="F828" s="404">
        <f>F827*F826/1000000</f>
        <v>64.294460999999998</v>
      </c>
    </row>
    <row r="829" spans="1:13">
      <c r="A829" s="396"/>
      <c r="B829" s="405"/>
      <c r="C829" s="405"/>
      <c r="D829" s="405"/>
      <c r="E829" s="405"/>
      <c r="F829" s="405"/>
      <c r="H829" s="397"/>
      <c r="I829" s="397"/>
      <c r="J829" s="397"/>
      <c r="K829" s="397"/>
      <c r="L829" s="397"/>
      <c r="M829" s="397"/>
    </row>
    <row r="830" spans="1:13" s="397" customFormat="1">
      <c r="A830" s="396" t="s">
        <v>246</v>
      </c>
      <c r="B830" s="396" t="s">
        <v>396</v>
      </c>
      <c r="H830"/>
      <c r="I830"/>
      <c r="J830"/>
      <c r="K830"/>
      <c r="L830"/>
      <c r="M830"/>
    </row>
    <row r="831" spans="1:13">
      <c r="A831" s="398" t="s">
        <v>248</v>
      </c>
      <c r="B831" s="399" t="s">
        <v>249</v>
      </c>
      <c r="C831" s="399" t="s">
        <v>250</v>
      </c>
      <c r="D831" s="399" t="s">
        <v>251</v>
      </c>
      <c r="E831" s="399" t="s">
        <v>252</v>
      </c>
      <c r="F831" s="399" t="s">
        <v>253</v>
      </c>
    </row>
    <row r="832" spans="1:13">
      <c r="A832" s="398" t="s">
        <v>254</v>
      </c>
      <c r="B832" s="402">
        <v>82750</v>
      </c>
      <c r="C832" s="402">
        <v>72759</v>
      </c>
      <c r="D832" s="402">
        <v>59739</v>
      </c>
      <c r="E832" s="402">
        <v>77215</v>
      </c>
      <c r="F832" s="402">
        <v>68698</v>
      </c>
    </row>
    <row r="833" spans="1:13">
      <c r="A833" s="398" t="s">
        <v>255</v>
      </c>
      <c r="B833" s="401">
        <v>668</v>
      </c>
      <c r="C833" s="401">
        <f>B833</f>
        <v>668</v>
      </c>
      <c r="D833" s="401">
        <f>C833</f>
        <v>668</v>
      </c>
      <c r="E833" s="401">
        <f>D833</f>
        <v>668</v>
      </c>
      <c r="F833" s="401">
        <f>E833</f>
        <v>668</v>
      </c>
    </row>
    <row r="834" spans="1:13">
      <c r="A834" s="398" t="s">
        <v>259</v>
      </c>
      <c r="B834" s="404">
        <f>B833*B832/1000000</f>
        <v>55.277000000000001</v>
      </c>
      <c r="C834" s="404">
        <f>C833*C832/1000000</f>
        <v>48.603012</v>
      </c>
      <c r="D834" s="404">
        <f>D833*D832/1000000</f>
        <v>39.905652000000003</v>
      </c>
      <c r="E834" s="404">
        <f>E833*E832/1000000</f>
        <v>51.579619999999998</v>
      </c>
      <c r="F834" s="404">
        <f>F833*F832/1000000</f>
        <v>45.890264000000002</v>
      </c>
    </row>
    <row r="835" spans="1:13">
      <c r="A835" s="396"/>
      <c r="B835" s="405"/>
      <c r="C835" s="405"/>
      <c r="D835" s="405"/>
      <c r="E835" s="405"/>
      <c r="F835" s="405"/>
      <c r="H835" s="397"/>
      <c r="I835" s="397"/>
      <c r="J835" s="397"/>
      <c r="K835" s="397"/>
      <c r="L835" s="397"/>
      <c r="M835" s="397"/>
    </row>
    <row r="836" spans="1:13" s="397" customFormat="1">
      <c r="A836" s="396" t="s">
        <v>246</v>
      </c>
      <c r="B836" s="396" t="s">
        <v>397</v>
      </c>
      <c r="H836"/>
      <c r="I836"/>
      <c r="J836"/>
      <c r="K836"/>
      <c r="L836"/>
      <c r="M836"/>
    </row>
    <row r="837" spans="1:13">
      <c r="A837" s="398" t="s">
        <v>248</v>
      </c>
      <c r="B837" s="399" t="s">
        <v>249</v>
      </c>
      <c r="C837" s="399" t="s">
        <v>250</v>
      </c>
      <c r="D837" s="399" t="s">
        <v>251</v>
      </c>
      <c r="E837" s="399" t="s">
        <v>252</v>
      </c>
      <c r="F837" s="399" t="s">
        <v>253</v>
      </c>
    </row>
    <row r="838" spans="1:13">
      <c r="A838" s="398" t="s">
        <v>254</v>
      </c>
      <c r="B838" s="401"/>
      <c r="C838" s="401"/>
      <c r="D838" s="401"/>
      <c r="E838" s="401"/>
      <c r="F838" s="402">
        <v>24178</v>
      </c>
    </row>
    <row r="839" spans="1:13">
      <c r="A839" s="398" t="s">
        <v>255</v>
      </c>
      <c r="B839" s="401">
        <v>1510</v>
      </c>
      <c r="C839" s="401">
        <f>B839</f>
        <v>1510</v>
      </c>
      <c r="D839" s="401">
        <f>C839</f>
        <v>1510</v>
      </c>
      <c r="E839" s="401">
        <f>D839</f>
        <v>1510</v>
      </c>
      <c r="F839" s="401">
        <f>E839</f>
        <v>1510</v>
      </c>
    </row>
    <row r="840" spans="1:13">
      <c r="A840" s="398" t="s">
        <v>259</v>
      </c>
      <c r="B840" s="404">
        <f>B839*B838/1000000</f>
        <v>0</v>
      </c>
      <c r="C840" s="404">
        <f>C839*C838/1000000</f>
        <v>0</v>
      </c>
      <c r="D840" s="404">
        <f>D839*D838/1000000</f>
        <v>0</v>
      </c>
      <c r="E840" s="404">
        <f>E839*E838/1000000</f>
        <v>0</v>
      </c>
      <c r="F840" s="404">
        <f>F839*F838/1000000</f>
        <v>36.508780000000002</v>
      </c>
    </row>
    <row r="841" spans="1:13">
      <c r="A841" s="396"/>
      <c r="B841" s="405"/>
      <c r="C841" s="405"/>
      <c r="D841" s="405"/>
      <c r="E841" s="405"/>
      <c r="F841" s="405"/>
      <c r="H841" s="397"/>
      <c r="I841" s="397"/>
      <c r="J841" s="397"/>
      <c r="K841" s="397"/>
      <c r="L841" s="397"/>
      <c r="M841" s="397"/>
    </row>
    <row r="842" spans="1:13" s="397" customFormat="1">
      <c r="A842" s="396" t="s">
        <v>246</v>
      </c>
      <c r="B842" s="396" t="s">
        <v>398</v>
      </c>
      <c r="H842"/>
      <c r="I842"/>
      <c r="J842"/>
      <c r="K842"/>
      <c r="L842"/>
      <c r="M842"/>
    </row>
    <row r="843" spans="1:13">
      <c r="A843" s="398" t="s">
        <v>248</v>
      </c>
      <c r="B843" s="399" t="s">
        <v>249</v>
      </c>
      <c r="C843" s="399" t="s">
        <v>250</v>
      </c>
      <c r="D843" s="399" t="s">
        <v>251</v>
      </c>
      <c r="E843" s="399" t="s">
        <v>252</v>
      </c>
      <c r="F843" s="399" t="s">
        <v>253</v>
      </c>
    </row>
    <row r="844" spans="1:13">
      <c r="A844" s="398" t="s">
        <v>254</v>
      </c>
      <c r="B844" s="401"/>
      <c r="C844" s="401"/>
      <c r="D844" s="401"/>
      <c r="E844" s="401"/>
      <c r="F844" s="402">
        <v>22352</v>
      </c>
    </row>
    <row r="845" spans="1:13">
      <c r="A845" s="398" t="s">
        <v>255</v>
      </c>
      <c r="B845" s="401">
        <v>1450</v>
      </c>
      <c r="C845" s="401">
        <f>B845</f>
        <v>1450</v>
      </c>
      <c r="D845" s="401">
        <f>C845</f>
        <v>1450</v>
      </c>
      <c r="E845" s="401">
        <f>D845</f>
        <v>1450</v>
      </c>
      <c r="F845" s="401">
        <f>E845</f>
        <v>1450</v>
      </c>
    </row>
    <row r="846" spans="1:13">
      <c r="A846" s="398" t="s">
        <v>259</v>
      </c>
      <c r="B846" s="404">
        <f>B845*B844/1000000</f>
        <v>0</v>
      </c>
      <c r="C846" s="404">
        <f>C845*C844/1000000</f>
        <v>0</v>
      </c>
      <c r="D846" s="404">
        <f>D845*D844/1000000</f>
        <v>0</v>
      </c>
      <c r="E846" s="404">
        <f>E845*E844/1000000</f>
        <v>0</v>
      </c>
      <c r="F846" s="404">
        <f>F845*F844/1000000</f>
        <v>32.410400000000003</v>
      </c>
    </row>
    <row r="847" spans="1:13">
      <c r="A847" s="396"/>
      <c r="B847" s="405"/>
      <c r="C847" s="405"/>
      <c r="D847" s="405"/>
      <c r="E847" s="405"/>
      <c r="F847" s="405"/>
      <c r="H847" s="397"/>
      <c r="I847" s="397"/>
      <c r="J847" s="397"/>
      <c r="K847" s="397"/>
      <c r="L847" s="397"/>
      <c r="M847" s="397"/>
    </row>
    <row r="848" spans="1:13" s="397" customFormat="1">
      <c r="A848" s="396" t="s">
        <v>246</v>
      </c>
      <c r="B848" s="396" t="s">
        <v>399</v>
      </c>
      <c r="H848"/>
      <c r="I848"/>
      <c r="J848"/>
      <c r="K848"/>
      <c r="L848"/>
      <c r="M848"/>
    </row>
    <row r="849" spans="1:13">
      <c r="A849" s="398" t="s">
        <v>248</v>
      </c>
      <c r="B849" s="399" t="s">
        <v>249</v>
      </c>
      <c r="C849" s="399" t="s">
        <v>250</v>
      </c>
      <c r="D849" s="399" t="s">
        <v>251</v>
      </c>
      <c r="E849" s="399" t="s">
        <v>252</v>
      </c>
      <c r="F849" s="399" t="s">
        <v>253</v>
      </c>
    </row>
    <row r="850" spans="1:13">
      <c r="A850" s="398" t="s">
        <v>254</v>
      </c>
      <c r="B850" s="402">
        <v>29384</v>
      </c>
      <c r="C850" s="402">
        <v>42482</v>
      </c>
      <c r="D850" s="402">
        <v>44944</v>
      </c>
      <c r="E850" s="402">
        <v>42955</v>
      </c>
      <c r="F850" s="402">
        <v>30778</v>
      </c>
    </row>
    <row r="851" spans="1:13">
      <c r="A851" s="398" t="s">
        <v>255</v>
      </c>
      <c r="B851" s="401">
        <v>2670</v>
      </c>
      <c r="C851" s="401">
        <f>B851</f>
        <v>2670</v>
      </c>
      <c r="D851" s="401">
        <f>C851</f>
        <v>2670</v>
      </c>
      <c r="E851" s="401">
        <f>D851</f>
        <v>2670</v>
      </c>
      <c r="F851" s="401">
        <f>E851</f>
        <v>2670</v>
      </c>
    </row>
    <row r="852" spans="1:13">
      <c r="A852" s="398" t="s">
        <v>259</v>
      </c>
      <c r="B852" s="404">
        <f>B851*B850/1000000</f>
        <v>78.455280000000002</v>
      </c>
      <c r="C852" s="404">
        <f>C851*C850/1000000</f>
        <v>113.42694</v>
      </c>
      <c r="D852" s="404">
        <f>D851*D850/1000000</f>
        <v>120.00048</v>
      </c>
      <c r="E852" s="404">
        <f>E851*E850/1000000</f>
        <v>114.68985000000001</v>
      </c>
      <c r="F852" s="404">
        <f>F851*F850/1000000</f>
        <v>82.177260000000004</v>
      </c>
    </row>
    <row r="853" spans="1:13">
      <c r="A853" s="396"/>
      <c r="B853" s="405"/>
      <c r="C853" s="405"/>
      <c r="D853" s="405"/>
      <c r="E853" s="405"/>
      <c r="F853" s="405"/>
      <c r="H853" s="397"/>
      <c r="I853" s="397"/>
      <c r="J853" s="397"/>
      <c r="K853" s="397"/>
      <c r="L853" s="397"/>
      <c r="M853" s="397"/>
    </row>
    <row r="854" spans="1:13" s="397" customFormat="1">
      <c r="A854" s="396" t="s">
        <v>246</v>
      </c>
      <c r="B854" s="396" t="s">
        <v>400</v>
      </c>
      <c r="H854"/>
      <c r="I854"/>
      <c r="J854"/>
      <c r="K854"/>
      <c r="L854"/>
      <c r="M854"/>
    </row>
    <row r="855" spans="1:13">
      <c r="A855" s="398" t="s">
        <v>248</v>
      </c>
      <c r="B855" s="399" t="s">
        <v>249</v>
      </c>
      <c r="C855" s="399" t="s">
        <v>250</v>
      </c>
      <c r="D855" s="399" t="s">
        <v>251</v>
      </c>
      <c r="E855" s="399" t="s">
        <v>252</v>
      </c>
      <c r="F855" s="399" t="s">
        <v>253</v>
      </c>
    </row>
    <row r="856" spans="1:13">
      <c r="A856" s="398" t="s">
        <v>254</v>
      </c>
      <c r="B856" s="401"/>
      <c r="C856" s="401"/>
      <c r="D856" s="401"/>
      <c r="E856" s="401"/>
      <c r="F856" s="402">
        <v>21912</v>
      </c>
    </row>
    <row r="857" spans="1:13">
      <c r="A857" s="398" t="s">
        <v>255</v>
      </c>
      <c r="B857" s="401">
        <v>1720</v>
      </c>
      <c r="C857" s="401">
        <f>B857</f>
        <v>1720</v>
      </c>
      <c r="D857" s="401">
        <f>C857</f>
        <v>1720</v>
      </c>
      <c r="E857" s="401">
        <f>D857</f>
        <v>1720</v>
      </c>
      <c r="F857" s="401">
        <f>E857</f>
        <v>1720</v>
      </c>
    </row>
    <row r="858" spans="1:13">
      <c r="A858" s="398" t="s">
        <v>259</v>
      </c>
      <c r="B858" s="404">
        <f>B857*B856/1000000</f>
        <v>0</v>
      </c>
      <c r="C858" s="404">
        <f>C857*C856/1000000</f>
        <v>0</v>
      </c>
      <c r="D858" s="404">
        <f>D857*D856/1000000</f>
        <v>0</v>
      </c>
      <c r="E858" s="404">
        <f>E857*E856/1000000</f>
        <v>0</v>
      </c>
      <c r="F858" s="404">
        <f>F857*F856/1000000</f>
        <v>37.688639999999999</v>
      </c>
    </row>
    <row r="859" spans="1:13">
      <c r="A859" s="396"/>
      <c r="B859" s="405"/>
      <c r="C859" s="405"/>
      <c r="D859" s="405"/>
      <c r="E859" s="405"/>
      <c r="F859" s="405"/>
      <c r="H859" s="397"/>
      <c r="I859" s="397"/>
      <c r="J859" s="397"/>
      <c r="K859" s="397"/>
      <c r="L859" s="397"/>
      <c r="M859" s="397"/>
    </row>
    <row r="860" spans="1:13" s="397" customFormat="1">
      <c r="A860" s="396" t="s">
        <v>246</v>
      </c>
      <c r="B860" s="396" t="s">
        <v>401</v>
      </c>
      <c r="H860"/>
      <c r="I860"/>
      <c r="J860"/>
      <c r="K860"/>
      <c r="L860"/>
      <c r="M860"/>
    </row>
    <row r="861" spans="1:13">
      <c r="A861" s="398" t="s">
        <v>248</v>
      </c>
      <c r="B861" s="399" t="s">
        <v>249</v>
      </c>
      <c r="C861" s="399" t="s">
        <v>250</v>
      </c>
      <c r="D861" s="399" t="s">
        <v>251</v>
      </c>
      <c r="E861" s="399" t="s">
        <v>252</v>
      </c>
      <c r="F861" s="399" t="s">
        <v>253</v>
      </c>
    </row>
    <row r="862" spans="1:13">
      <c r="A862" s="398" t="s">
        <v>254</v>
      </c>
      <c r="B862" s="402">
        <v>30622</v>
      </c>
      <c r="C862" s="402">
        <v>21886</v>
      </c>
      <c r="D862" s="402">
        <v>21533</v>
      </c>
      <c r="E862" s="402">
        <v>25487</v>
      </c>
      <c r="F862" s="402">
        <v>44129</v>
      </c>
    </row>
    <row r="863" spans="1:13">
      <c r="A863" s="398" t="s">
        <v>255</v>
      </c>
      <c r="B863" s="401">
        <v>1820</v>
      </c>
      <c r="C863" s="401">
        <f>B863</f>
        <v>1820</v>
      </c>
      <c r="D863" s="401">
        <f>C863</f>
        <v>1820</v>
      </c>
      <c r="E863" s="401">
        <f>D863</f>
        <v>1820</v>
      </c>
      <c r="F863" s="401">
        <f>E863</f>
        <v>1820</v>
      </c>
    </row>
    <row r="864" spans="1:13">
      <c r="A864" s="398" t="s">
        <v>259</v>
      </c>
      <c r="B864" s="404">
        <f>B863*B862/1000000</f>
        <v>55.732039999999998</v>
      </c>
      <c r="C864" s="404">
        <f>C863*C862/1000000</f>
        <v>39.832520000000002</v>
      </c>
      <c r="D864" s="404">
        <f>D863*D862/1000000</f>
        <v>39.190060000000003</v>
      </c>
      <c r="E864" s="404">
        <f>E863*E862/1000000</f>
        <v>46.386339999999997</v>
      </c>
      <c r="F864" s="404">
        <f>F863*F862/1000000</f>
        <v>80.314779999999999</v>
      </c>
    </row>
    <row r="865" spans="1:13">
      <c r="A865" s="396"/>
      <c r="B865" s="405"/>
      <c r="C865" s="405"/>
      <c r="D865" s="405"/>
      <c r="E865" s="405"/>
      <c r="F865" s="405"/>
      <c r="H865" s="397"/>
      <c r="I865" s="397"/>
      <c r="J865" s="397"/>
      <c r="K865" s="397"/>
      <c r="L865" s="397"/>
      <c r="M865" s="397"/>
    </row>
    <row r="866" spans="1:13" s="397" customFormat="1">
      <c r="A866" s="396" t="s">
        <v>246</v>
      </c>
      <c r="B866" s="396" t="s">
        <v>402</v>
      </c>
      <c r="H866"/>
      <c r="I866"/>
      <c r="J866"/>
      <c r="K866"/>
      <c r="L866"/>
      <c r="M866"/>
    </row>
    <row r="867" spans="1:13">
      <c r="A867" s="398" t="s">
        <v>248</v>
      </c>
      <c r="B867" s="399" t="s">
        <v>249</v>
      </c>
      <c r="C867" s="399" t="s">
        <v>250</v>
      </c>
      <c r="D867" s="399" t="s">
        <v>251</v>
      </c>
      <c r="E867" s="399" t="s">
        <v>252</v>
      </c>
      <c r="F867" s="399" t="s">
        <v>253</v>
      </c>
    </row>
    <row r="868" spans="1:13">
      <c r="A868" s="398" t="s">
        <v>254</v>
      </c>
      <c r="B868" s="402">
        <v>33365</v>
      </c>
      <c r="C868" s="402">
        <v>30372</v>
      </c>
      <c r="D868" s="402">
        <v>37625</v>
      </c>
      <c r="E868" s="402">
        <v>34323</v>
      </c>
      <c r="F868" s="402">
        <v>31843</v>
      </c>
    </row>
    <row r="869" spans="1:13">
      <c r="A869" s="398" t="s">
        <v>255</v>
      </c>
      <c r="B869" s="401">
        <v>1710</v>
      </c>
      <c r="C869" s="401">
        <f>B869</f>
        <v>1710</v>
      </c>
      <c r="D869" s="401">
        <f>C869</f>
        <v>1710</v>
      </c>
      <c r="E869" s="401">
        <f>D869</f>
        <v>1710</v>
      </c>
      <c r="F869" s="401">
        <f>E869</f>
        <v>1710</v>
      </c>
    </row>
    <row r="870" spans="1:13">
      <c r="A870" s="398" t="s">
        <v>259</v>
      </c>
      <c r="B870" s="404">
        <f>B869*B868/1000000</f>
        <v>57.05415</v>
      </c>
      <c r="C870" s="404">
        <f>C869*C868/1000000</f>
        <v>51.936120000000003</v>
      </c>
      <c r="D870" s="404">
        <f>D869*D868/1000000</f>
        <v>64.338750000000005</v>
      </c>
      <c r="E870" s="404">
        <f>E869*E868/1000000</f>
        <v>58.692329999999998</v>
      </c>
      <c r="F870" s="404">
        <f>F869*F868/1000000</f>
        <v>54.451529999999998</v>
      </c>
    </row>
    <row r="871" spans="1:13">
      <c r="A871" s="396"/>
      <c r="B871" s="405"/>
      <c r="C871" s="405"/>
      <c r="D871" s="405"/>
      <c r="E871" s="405"/>
      <c r="F871" s="405"/>
      <c r="H871" s="397"/>
      <c r="I871" s="397"/>
      <c r="J871" s="397"/>
      <c r="K871" s="397"/>
      <c r="L871" s="397"/>
      <c r="M871" s="397"/>
    </row>
    <row r="872" spans="1:13" s="397" customFormat="1">
      <c r="A872" s="396" t="s">
        <v>246</v>
      </c>
      <c r="B872" s="396" t="s">
        <v>403</v>
      </c>
      <c r="H872"/>
      <c r="I872"/>
      <c r="J872"/>
      <c r="K872"/>
      <c r="L872"/>
      <c r="M872"/>
    </row>
    <row r="873" spans="1:13">
      <c r="A873" s="398" t="s">
        <v>248</v>
      </c>
      <c r="B873" s="399" t="s">
        <v>249</v>
      </c>
      <c r="C873" s="399" t="s">
        <v>250</v>
      </c>
      <c r="D873" s="399" t="s">
        <v>251</v>
      </c>
      <c r="E873" s="399" t="s">
        <v>252</v>
      </c>
      <c r="F873" s="399" t="s">
        <v>253</v>
      </c>
    </row>
    <row r="874" spans="1:13">
      <c r="A874" s="398" t="s">
        <v>254</v>
      </c>
      <c r="B874" s="402">
        <v>45724</v>
      </c>
      <c r="C874" s="401"/>
      <c r="D874" s="401"/>
      <c r="E874" s="401"/>
      <c r="F874" s="402">
        <v>26326</v>
      </c>
    </row>
    <row r="875" spans="1:13">
      <c r="A875" s="398" t="s">
        <v>255</v>
      </c>
      <c r="B875" s="401">
        <v>850</v>
      </c>
      <c r="C875" s="401">
        <f>B875</f>
        <v>850</v>
      </c>
      <c r="D875" s="401">
        <f>C875</f>
        <v>850</v>
      </c>
      <c r="E875" s="401">
        <f>D875</f>
        <v>850</v>
      </c>
      <c r="F875" s="401">
        <f>E875</f>
        <v>850</v>
      </c>
    </row>
    <row r="876" spans="1:13">
      <c r="A876" s="398" t="s">
        <v>259</v>
      </c>
      <c r="B876" s="404">
        <f>B875*B874/1000000</f>
        <v>38.865400000000001</v>
      </c>
      <c r="C876" s="404">
        <f>C875*C874/1000000</f>
        <v>0</v>
      </c>
      <c r="D876" s="404">
        <f>D875*D874/1000000</f>
        <v>0</v>
      </c>
      <c r="E876" s="404">
        <f>E875*E874/1000000</f>
        <v>0</v>
      </c>
      <c r="F876" s="404">
        <f>F875*F874/1000000</f>
        <v>22.377099999999999</v>
      </c>
    </row>
    <row r="877" spans="1:13">
      <c r="A877" s="396"/>
      <c r="B877" s="405"/>
      <c r="C877" s="405"/>
      <c r="D877" s="405"/>
      <c r="E877" s="405"/>
      <c r="F877" s="405"/>
      <c r="H877" s="397"/>
      <c r="I877" s="397"/>
      <c r="J877" s="397"/>
      <c r="K877" s="397"/>
      <c r="L877" s="397"/>
      <c r="M877" s="397"/>
    </row>
    <row r="878" spans="1:13" s="397" customFormat="1">
      <c r="A878" s="396" t="s">
        <v>246</v>
      </c>
      <c r="B878" s="396" t="s">
        <v>404</v>
      </c>
      <c r="H878"/>
      <c r="I878"/>
      <c r="J878"/>
      <c r="K878"/>
      <c r="L878"/>
      <c r="M878"/>
    </row>
    <row r="879" spans="1:13">
      <c r="A879" s="398" t="s">
        <v>248</v>
      </c>
      <c r="B879" s="399" t="s">
        <v>249</v>
      </c>
      <c r="C879" s="399" t="s">
        <v>250</v>
      </c>
      <c r="D879" s="399" t="s">
        <v>251</v>
      </c>
      <c r="E879" s="399" t="s">
        <v>252</v>
      </c>
      <c r="F879" s="399" t="s">
        <v>253</v>
      </c>
    </row>
    <row r="880" spans="1:13">
      <c r="A880" s="398" t="s">
        <v>254</v>
      </c>
      <c r="B880" s="401"/>
      <c r="C880" s="402">
        <v>29710</v>
      </c>
      <c r="D880" s="401"/>
      <c r="E880" s="401"/>
      <c r="F880" s="401"/>
    </row>
    <row r="881" spans="1:13">
      <c r="A881" s="398" t="s">
        <v>255</v>
      </c>
      <c r="B881" s="401">
        <v>901</v>
      </c>
      <c r="C881" s="401">
        <f>B881</f>
        <v>901</v>
      </c>
      <c r="D881" s="401">
        <f>C881</f>
        <v>901</v>
      </c>
      <c r="E881" s="401">
        <f>D881</f>
        <v>901</v>
      </c>
      <c r="F881" s="401">
        <f>E881</f>
        <v>901</v>
      </c>
    </row>
    <row r="882" spans="1:13" ht="15" customHeight="1">
      <c r="A882" s="398" t="s">
        <v>259</v>
      </c>
      <c r="B882" s="404">
        <f>B881*B880/1000000</f>
        <v>0</v>
      </c>
      <c r="C882" s="404">
        <f>C881*C880/1000000</f>
        <v>26.768709999999999</v>
      </c>
      <c r="D882" s="404">
        <f>D881*D880/1000000</f>
        <v>0</v>
      </c>
      <c r="E882" s="404">
        <f>E881*E880/1000000</f>
        <v>0</v>
      </c>
      <c r="F882" s="404">
        <f>F881*F880/1000000</f>
        <v>0</v>
      </c>
    </row>
    <row r="883" spans="1:13" ht="15" customHeight="1">
      <c r="A883" s="396"/>
      <c r="B883" s="405"/>
      <c r="C883" s="405"/>
      <c r="D883" s="405"/>
      <c r="E883" s="405"/>
      <c r="F883" s="405"/>
      <c r="H883" s="397"/>
      <c r="I883" s="397"/>
      <c r="J883" s="397"/>
      <c r="K883" s="397"/>
      <c r="L883" s="397"/>
      <c r="M883" s="397"/>
    </row>
    <row r="884" spans="1:13" s="397" customFormat="1">
      <c r="A884" s="396" t="s">
        <v>246</v>
      </c>
      <c r="B884" s="396" t="s">
        <v>405</v>
      </c>
      <c r="H884"/>
      <c r="I884"/>
      <c r="J884"/>
      <c r="K884"/>
      <c r="L884"/>
      <c r="M884"/>
    </row>
    <row r="885" spans="1:13">
      <c r="A885" s="398" t="s">
        <v>248</v>
      </c>
      <c r="B885" s="399" t="s">
        <v>249</v>
      </c>
      <c r="C885" s="399" t="s">
        <v>250</v>
      </c>
      <c r="D885" s="399" t="s">
        <v>251</v>
      </c>
      <c r="E885" s="399" t="s">
        <v>252</v>
      </c>
      <c r="F885" s="399" t="s">
        <v>253</v>
      </c>
    </row>
    <row r="886" spans="1:13">
      <c r="A886" s="398" t="s">
        <v>254</v>
      </c>
      <c r="B886" s="402">
        <v>20278</v>
      </c>
      <c r="C886" s="402">
        <v>20413</v>
      </c>
      <c r="D886" s="402">
        <v>22952</v>
      </c>
      <c r="E886" s="401"/>
      <c r="F886" s="401"/>
    </row>
    <row r="887" spans="1:13">
      <c r="A887" s="398" t="s">
        <v>255</v>
      </c>
      <c r="B887" s="401">
        <v>808</v>
      </c>
      <c r="C887" s="401">
        <f>B887</f>
        <v>808</v>
      </c>
      <c r="D887" s="401">
        <f>C887</f>
        <v>808</v>
      </c>
      <c r="E887" s="401">
        <f>D887</f>
        <v>808</v>
      </c>
      <c r="F887" s="401">
        <f>E887</f>
        <v>808</v>
      </c>
    </row>
    <row r="888" spans="1:13">
      <c r="A888" s="398" t="s">
        <v>259</v>
      </c>
      <c r="B888" s="404">
        <f>B887*B886/1000000</f>
        <v>16.384623999999999</v>
      </c>
      <c r="C888" s="404">
        <f>C887*C886/1000000</f>
        <v>16.493704000000001</v>
      </c>
      <c r="D888" s="404">
        <f>D887*D886/1000000</f>
        <v>18.545216</v>
      </c>
      <c r="E888" s="404">
        <f>E887*E886/1000000</f>
        <v>0</v>
      </c>
      <c r="F888" s="404">
        <f>F887*F886/1000000</f>
        <v>0</v>
      </c>
    </row>
    <row r="889" spans="1:13">
      <c r="A889" s="396"/>
      <c r="B889" s="405"/>
      <c r="C889" s="405"/>
      <c r="D889" s="405"/>
      <c r="E889" s="405"/>
      <c r="F889" s="405"/>
      <c r="H889" s="397"/>
      <c r="I889" s="397"/>
      <c r="J889" s="397"/>
      <c r="K889" s="397"/>
      <c r="L889" s="397"/>
      <c r="M889" s="397"/>
    </row>
    <row r="890" spans="1:13" s="397" customFormat="1">
      <c r="A890" s="396" t="s">
        <v>246</v>
      </c>
      <c r="B890" s="396" t="s">
        <v>406</v>
      </c>
      <c r="H890"/>
      <c r="I890"/>
      <c r="J890"/>
      <c r="K890"/>
      <c r="L890"/>
      <c r="M890"/>
    </row>
    <row r="891" spans="1:13">
      <c r="A891" s="398" t="s">
        <v>248</v>
      </c>
      <c r="B891" s="399" t="s">
        <v>249</v>
      </c>
      <c r="C891" s="399" t="s">
        <v>250</v>
      </c>
      <c r="D891" s="399" t="s">
        <v>251</v>
      </c>
      <c r="E891" s="399" t="s">
        <v>252</v>
      </c>
      <c r="F891" s="399" t="s">
        <v>253</v>
      </c>
      <c r="G891" s="631" t="s">
        <v>711</v>
      </c>
    </row>
    <row r="892" spans="1:13">
      <c r="A892" s="398" t="s">
        <v>254</v>
      </c>
      <c r="B892" s="402">
        <v>23050</v>
      </c>
      <c r="C892" s="401"/>
      <c r="D892" s="401"/>
      <c r="E892" s="401"/>
      <c r="F892" s="401"/>
    </row>
    <row r="893" spans="1:13">
      <c r="A893" s="398" t="s">
        <v>255</v>
      </c>
      <c r="B893" s="401">
        <v>196</v>
      </c>
      <c r="C893" s="401">
        <f>B893</f>
        <v>196</v>
      </c>
      <c r="D893" s="401">
        <f>C893</f>
        <v>196</v>
      </c>
      <c r="E893" s="401">
        <f>D893</f>
        <v>196</v>
      </c>
      <c r="F893" s="401">
        <f>E893</f>
        <v>196</v>
      </c>
    </row>
    <row r="894" spans="1:13">
      <c r="A894" s="398" t="s">
        <v>259</v>
      </c>
      <c r="B894" s="404">
        <f>B893*B892/1000000</f>
        <v>4.5178000000000003</v>
      </c>
      <c r="C894" s="404">
        <f>C893*C892/1000000</f>
        <v>0</v>
      </c>
      <c r="D894" s="404">
        <f>D893*D892/1000000</f>
        <v>0</v>
      </c>
      <c r="E894" s="404">
        <f>E893*E892/1000000</f>
        <v>0</v>
      </c>
      <c r="F894" s="404">
        <f>F893*F892/1000000</f>
        <v>0</v>
      </c>
    </row>
    <row r="895" spans="1:13">
      <c r="A895" s="396"/>
      <c r="B895" s="405"/>
      <c r="C895" s="405"/>
      <c r="D895" s="405"/>
      <c r="E895" s="405"/>
      <c r="F895" s="405"/>
      <c r="H895" s="397"/>
      <c r="I895" s="397"/>
      <c r="J895" s="397"/>
      <c r="K895" s="397"/>
      <c r="L895" s="397"/>
      <c r="M895" s="397"/>
    </row>
    <row r="896" spans="1:13" s="397" customFormat="1">
      <c r="A896" s="396" t="s">
        <v>246</v>
      </c>
      <c r="B896" s="396" t="s">
        <v>407</v>
      </c>
      <c r="H896"/>
      <c r="I896"/>
      <c r="J896"/>
      <c r="K896"/>
      <c r="L896"/>
      <c r="M896"/>
    </row>
    <row r="897" spans="1:13">
      <c r="A897" s="398" t="s">
        <v>248</v>
      </c>
      <c r="B897" s="399" t="s">
        <v>249</v>
      </c>
      <c r="C897" s="399" t="s">
        <v>250</v>
      </c>
      <c r="D897" s="399" t="s">
        <v>251</v>
      </c>
      <c r="E897" s="399" t="s">
        <v>252</v>
      </c>
      <c r="F897" s="399" t="s">
        <v>253</v>
      </c>
    </row>
    <row r="898" spans="1:13">
      <c r="A898" s="398" t="s">
        <v>254</v>
      </c>
      <c r="B898" s="401"/>
      <c r="C898" s="401"/>
      <c r="D898" s="401"/>
      <c r="E898" s="401"/>
      <c r="F898" s="402">
        <v>27538</v>
      </c>
    </row>
    <row r="899" spans="1:13">
      <c r="A899" s="398" t="s">
        <v>255</v>
      </c>
      <c r="B899" s="401">
        <v>2010</v>
      </c>
      <c r="C899" s="401">
        <f>B899</f>
        <v>2010</v>
      </c>
      <c r="D899" s="401">
        <f>C899</f>
        <v>2010</v>
      </c>
      <c r="E899" s="401">
        <f>D899</f>
        <v>2010</v>
      </c>
      <c r="F899" s="401">
        <f>E899</f>
        <v>2010</v>
      </c>
    </row>
    <row r="900" spans="1:13">
      <c r="A900" s="398" t="s">
        <v>259</v>
      </c>
      <c r="B900" s="404">
        <f>B899*B898/1000000</f>
        <v>0</v>
      </c>
      <c r="C900" s="404">
        <f>C899*C898/1000000</f>
        <v>0</v>
      </c>
      <c r="D900" s="404">
        <f>D899*D898/1000000</f>
        <v>0</v>
      </c>
      <c r="E900" s="404">
        <f>E899*E898/1000000</f>
        <v>0</v>
      </c>
      <c r="F900" s="404">
        <f>F899*F898/1000000</f>
        <v>55.351379999999999</v>
      </c>
    </row>
    <row r="901" spans="1:13">
      <c r="A901" s="396"/>
      <c r="B901" s="405"/>
      <c r="C901" s="405"/>
      <c r="D901" s="405"/>
      <c r="E901" s="405"/>
      <c r="F901" s="405"/>
      <c r="H901" s="397"/>
      <c r="I901" s="397"/>
      <c r="J901" s="397"/>
      <c r="K901" s="397"/>
      <c r="L901" s="397"/>
      <c r="M901" s="397"/>
    </row>
    <row r="902" spans="1:13" s="397" customFormat="1">
      <c r="A902" s="396" t="s">
        <v>246</v>
      </c>
      <c r="B902" s="396" t="s">
        <v>408</v>
      </c>
      <c r="H902"/>
      <c r="I902"/>
      <c r="J902"/>
      <c r="K902"/>
      <c r="L902"/>
      <c r="M902"/>
    </row>
    <row r="903" spans="1:13">
      <c r="A903" s="398" t="s">
        <v>248</v>
      </c>
      <c r="B903" s="399" t="s">
        <v>249</v>
      </c>
      <c r="C903" s="399" t="s">
        <v>250</v>
      </c>
      <c r="D903" s="399" t="s">
        <v>251</v>
      </c>
      <c r="E903" s="399" t="s">
        <v>252</v>
      </c>
      <c r="F903" s="399" t="s">
        <v>253</v>
      </c>
    </row>
    <row r="904" spans="1:13">
      <c r="A904" s="398" t="s">
        <v>254</v>
      </c>
      <c r="B904" s="401"/>
      <c r="C904" s="401"/>
      <c r="D904" s="401"/>
      <c r="E904" s="401"/>
      <c r="F904" s="402">
        <v>25878</v>
      </c>
    </row>
    <row r="905" spans="1:13">
      <c r="A905" s="398" t="s">
        <v>255</v>
      </c>
      <c r="B905" s="401">
        <v>2010</v>
      </c>
      <c r="C905" s="401">
        <f>B905</f>
        <v>2010</v>
      </c>
      <c r="D905" s="401">
        <f>C905</f>
        <v>2010</v>
      </c>
      <c r="E905" s="401">
        <f>D905</f>
        <v>2010</v>
      </c>
      <c r="F905" s="401">
        <f>E905</f>
        <v>2010</v>
      </c>
    </row>
    <row r="906" spans="1:13">
      <c r="A906" s="398" t="s">
        <v>259</v>
      </c>
      <c r="B906" s="404">
        <f>B905*B904/1000000</f>
        <v>0</v>
      </c>
      <c r="C906" s="404">
        <f>C905*C904/1000000</f>
        <v>0</v>
      </c>
      <c r="D906" s="404">
        <f>D905*D904/1000000</f>
        <v>0</v>
      </c>
      <c r="E906" s="404">
        <f>E905*E904/1000000</f>
        <v>0</v>
      </c>
      <c r="F906" s="404">
        <f>F905*F904/1000000</f>
        <v>52.014780000000002</v>
      </c>
    </row>
    <row r="907" spans="1:13">
      <c r="A907" s="396"/>
      <c r="B907" s="405"/>
      <c r="C907" s="405"/>
      <c r="D907" s="405"/>
      <c r="E907" s="405"/>
      <c r="F907" s="405"/>
      <c r="H907" s="397"/>
      <c r="I907" s="397"/>
      <c r="J907" s="397"/>
      <c r="K907" s="397"/>
      <c r="L907" s="397"/>
      <c r="M907" s="397"/>
    </row>
    <row r="908" spans="1:13" s="397" customFormat="1">
      <c r="A908" s="396" t="s">
        <v>246</v>
      </c>
      <c r="B908" s="396" t="s">
        <v>409</v>
      </c>
      <c r="H908"/>
      <c r="I908"/>
      <c r="J908"/>
      <c r="K908"/>
      <c r="L908"/>
      <c r="M908"/>
    </row>
    <row r="909" spans="1:13">
      <c r="A909" s="398" t="s">
        <v>248</v>
      </c>
      <c r="B909" s="399" t="s">
        <v>249</v>
      </c>
      <c r="C909" s="399" t="s">
        <v>250</v>
      </c>
      <c r="D909" s="399" t="s">
        <v>251</v>
      </c>
      <c r="E909" s="399" t="s">
        <v>252</v>
      </c>
      <c r="F909" s="399" t="s">
        <v>253</v>
      </c>
    </row>
    <row r="910" spans="1:13">
      <c r="A910" s="398" t="s">
        <v>254</v>
      </c>
      <c r="B910" s="402">
        <v>34305</v>
      </c>
      <c r="C910" s="402">
        <v>34356</v>
      </c>
      <c r="D910" s="402">
        <v>34739</v>
      </c>
      <c r="E910" s="402">
        <v>34224</v>
      </c>
      <c r="F910" s="402">
        <v>33701</v>
      </c>
    </row>
    <row r="911" spans="1:13">
      <c r="A911" s="398" t="s">
        <v>255</v>
      </c>
      <c r="B911" s="401">
        <v>1770</v>
      </c>
      <c r="C911" s="401">
        <f>B911</f>
        <v>1770</v>
      </c>
      <c r="D911" s="401">
        <f>C911</f>
        <v>1770</v>
      </c>
      <c r="E911" s="401">
        <f>D911</f>
        <v>1770</v>
      </c>
      <c r="F911" s="401">
        <f>E911</f>
        <v>1770</v>
      </c>
    </row>
    <row r="912" spans="1:13">
      <c r="A912" s="398" t="s">
        <v>259</v>
      </c>
      <c r="B912" s="404">
        <f>B911*B910/1000000</f>
        <v>60.719850000000001</v>
      </c>
      <c r="C912" s="404">
        <f>C911*C910/1000000</f>
        <v>60.810119999999998</v>
      </c>
      <c r="D912" s="404">
        <f>D911*D910/1000000</f>
        <v>61.488030000000002</v>
      </c>
      <c r="E912" s="404">
        <f>E911*E910/1000000</f>
        <v>60.576479999999997</v>
      </c>
      <c r="F912" s="404">
        <f>F911*F910/1000000</f>
        <v>59.650770000000001</v>
      </c>
    </row>
    <row r="913" spans="1:13">
      <c r="A913" s="396"/>
      <c r="B913" s="405"/>
      <c r="C913" s="405"/>
      <c r="D913" s="405"/>
      <c r="E913" s="405"/>
      <c r="F913" s="405"/>
      <c r="H913" s="397"/>
      <c r="I913" s="397"/>
      <c r="J913" s="397"/>
      <c r="K913" s="397"/>
      <c r="L913" s="397"/>
      <c r="M913" s="397"/>
    </row>
    <row r="914" spans="1:13" s="397" customFormat="1">
      <c r="A914" s="396" t="s">
        <v>246</v>
      </c>
      <c r="B914" s="396" t="s">
        <v>410</v>
      </c>
      <c r="H914"/>
      <c r="I914"/>
      <c r="J914"/>
      <c r="K914"/>
      <c r="L914"/>
      <c r="M914"/>
    </row>
    <row r="915" spans="1:13">
      <c r="A915" s="398" t="s">
        <v>248</v>
      </c>
      <c r="B915" s="399" t="s">
        <v>249</v>
      </c>
      <c r="C915" s="399" t="s">
        <v>250</v>
      </c>
      <c r="D915" s="399" t="s">
        <v>251</v>
      </c>
      <c r="E915" s="399" t="s">
        <v>252</v>
      </c>
      <c r="F915" s="399" t="s">
        <v>253</v>
      </c>
    </row>
    <row r="916" spans="1:13">
      <c r="A916" s="398" t="s">
        <v>254</v>
      </c>
      <c r="B916" s="401"/>
      <c r="C916" s="401"/>
      <c r="D916" s="401"/>
      <c r="E916" s="402">
        <v>24771</v>
      </c>
      <c r="F916" s="402">
        <v>48055</v>
      </c>
    </row>
    <row r="917" spans="1:13">
      <c r="A917" s="398" t="s">
        <v>255</v>
      </c>
      <c r="B917" s="401">
        <v>1740</v>
      </c>
      <c r="C917" s="401">
        <f>B917</f>
        <v>1740</v>
      </c>
      <c r="D917" s="401">
        <f>C917</f>
        <v>1740</v>
      </c>
      <c r="E917" s="401">
        <f>D917</f>
        <v>1740</v>
      </c>
      <c r="F917" s="401">
        <f>E917</f>
        <v>1740</v>
      </c>
    </row>
    <row r="918" spans="1:13">
      <c r="A918" s="398" t="s">
        <v>259</v>
      </c>
      <c r="B918" s="404">
        <f>B917*B916/1000000</f>
        <v>0</v>
      </c>
      <c r="C918" s="404">
        <f>C917*C916/1000000</f>
        <v>0</v>
      </c>
      <c r="D918" s="404">
        <f>D917*D916/1000000</f>
        <v>0</v>
      </c>
      <c r="E918" s="404">
        <f>E917*E916/1000000</f>
        <v>43.10154</v>
      </c>
      <c r="F918" s="404">
        <f>F917*F916/1000000</f>
        <v>83.615700000000004</v>
      </c>
    </row>
    <row r="919" spans="1:13">
      <c r="A919" s="396"/>
      <c r="B919" s="405"/>
      <c r="C919" s="405"/>
      <c r="D919" s="405"/>
      <c r="E919" s="405"/>
      <c r="F919" s="405"/>
      <c r="H919" s="397"/>
      <c r="I919" s="397"/>
      <c r="J919" s="397"/>
      <c r="K919" s="397"/>
      <c r="L919" s="397"/>
      <c r="M919" s="397"/>
    </row>
    <row r="920" spans="1:13" s="397" customFormat="1">
      <c r="A920" s="396" t="s">
        <v>246</v>
      </c>
      <c r="B920" s="396" t="s">
        <v>411</v>
      </c>
      <c r="H920"/>
      <c r="I920"/>
      <c r="J920"/>
      <c r="K920"/>
      <c r="L920"/>
      <c r="M920"/>
    </row>
    <row r="921" spans="1:13">
      <c r="A921" s="398" t="s">
        <v>248</v>
      </c>
      <c r="B921" s="399" t="s">
        <v>249</v>
      </c>
      <c r="C921" s="399" t="s">
        <v>250</v>
      </c>
      <c r="D921" s="399" t="s">
        <v>251</v>
      </c>
      <c r="E921" s="399" t="s">
        <v>252</v>
      </c>
      <c r="F921" s="399" t="s">
        <v>253</v>
      </c>
    </row>
    <row r="922" spans="1:13">
      <c r="A922" s="398" t="s">
        <v>254</v>
      </c>
      <c r="B922" s="402">
        <v>28197</v>
      </c>
      <c r="C922" s="402">
        <v>34924</v>
      </c>
      <c r="D922" s="402">
        <v>33086</v>
      </c>
      <c r="E922" s="402">
        <v>31142</v>
      </c>
      <c r="F922" s="402">
        <v>42430</v>
      </c>
    </row>
    <row r="923" spans="1:13">
      <c r="A923" s="398" t="s">
        <v>255</v>
      </c>
      <c r="B923" s="401">
        <v>486</v>
      </c>
      <c r="C923" s="401">
        <f>B923</f>
        <v>486</v>
      </c>
      <c r="D923" s="401">
        <f>C923</f>
        <v>486</v>
      </c>
      <c r="E923" s="401">
        <f>D923</f>
        <v>486</v>
      </c>
      <c r="F923" s="401">
        <f>E923</f>
        <v>486</v>
      </c>
    </row>
    <row r="924" spans="1:13">
      <c r="A924" s="398" t="s">
        <v>259</v>
      </c>
      <c r="B924" s="404">
        <f>B923*B922/1000000</f>
        <v>13.703742</v>
      </c>
      <c r="C924" s="404">
        <f>C923*C922/1000000</f>
        <v>16.973064000000001</v>
      </c>
      <c r="D924" s="404">
        <f>D923*D922/1000000</f>
        <v>16.079796000000002</v>
      </c>
      <c r="E924" s="404">
        <f>E923*E922/1000000</f>
        <v>15.135012</v>
      </c>
      <c r="F924" s="404">
        <f>F923*F922/1000000</f>
        <v>20.620979999999999</v>
      </c>
    </row>
    <row r="925" spans="1:13">
      <c r="A925" s="396"/>
      <c r="B925" s="405"/>
      <c r="C925" s="405"/>
      <c r="D925" s="405"/>
      <c r="E925" s="405"/>
      <c r="F925" s="405"/>
      <c r="H925" s="397"/>
      <c r="I925" s="397"/>
      <c r="J925" s="397"/>
      <c r="K925" s="397"/>
      <c r="L925" s="397"/>
      <c r="M925" s="397"/>
    </row>
    <row r="926" spans="1:13" s="397" customFormat="1">
      <c r="A926" s="396" t="s">
        <v>246</v>
      </c>
      <c r="B926" s="396" t="s">
        <v>412</v>
      </c>
      <c r="H926"/>
      <c r="I926"/>
      <c r="J926"/>
      <c r="K926"/>
      <c r="L926"/>
      <c r="M926"/>
    </row>
    <row r="927" spans="1:13">
      <c r="A927" s="398" t="s">
        <v>248</v>
      </c>
      <c r="B927" s="399" t="s">
        <v>249</v>
      </c>
      <c r="C927" s="399" t="s">
        <v>250</v>
      </c>
      <c r="D927" s="399" t="s">
        <v>251</v>
      </c>
      <c r="E927" s="399" t="s">
        <v>252</v>
      </c>
      <c r="F927" s="399" t="s">
        <v>253</v>
      </c>
    </row>
    <row r="928" spans="1:13">
      <c r="A928" s="398" t="s">
        <v>254</v>
      </c>
      <c r="B928" s="401"/>
      <c r="C928" s="402">
        <v>51958</v>
      </c>
      <c r="D928" s="402">
        <v>57127</v>
      </c>
      <c r="E928" s="402">
        <v>53351</v>
      </c>
      <c r="F928" s="402">
        <v>67680</v>
      </c>
    </row>
    <row r="929" spans="1:13">
      <c r="A929" s="398" t="s">
        <v>255</v>
      </c>
      <c r="B929" s="401">
        <v>451</v>
      </c>
      <c r="C929" s="401">
        <f>B929</f>
        <v>451</v>
      </c>
      <c r="D929" s="401">
        <f>C929</f>
        <v>451</v>
      </c>
      <c r="E929" s="401">
        <f>D929</f>
        <v>451</v>
      </c>
      <c r="F929" s="401">
        <f>E929</f>
        <v>451</v>
      </c>
    </row>
    <row r="930" spans="1:13">
      <c r="A930" s="398" t="s">
        <v>259</v>
      </c>
      <c r="B930" s="404">
        <f>B929*B928/1000000</f>
        <v>0</v>
      </c>
      <c r="C930" s="404">
        <f>C929*C928/1000000</f>
        <v>23.433057999999999</v>
      </c>
      <c r="D930" s="404">
        <f>D929*D928/1000000</f>
        <v>25.764277</v>
      </c>
      <c r="E930" s="404">
        <f>E929*E928/1000000</f>
        <v>24.061301</v>
      </c>
      <c r="F930" s="404">
        <f>F929*F928/1000000</f>
        <v>30.523679999999999</v>
      </c>
    </row>
    <row r="931" spans="1:13">
      <c r="A931" s="396"/>
      <c r="B931" s="405"/>
      <c r="C931" s="405"/>
      <c r="D931" s="405"/>
      <c r="E931" s="405"/>
      <c r="F931" s="405"/>
      <c r="H931" s="397"/>
      <c r="I931" s="397"/>
      <c r="J931" s="397"/>
      <c r="K931" s="397"/>
      <c r="L931" s="397"/>
      <c r="M931" s="397"/>
    </row>
    <row r="932" spans="1:13" s="397" customFormat="1">
      <c r="A932" s="396" t="s">
        <v>246</v>
      </c>
      <c r="B932" s="396" t="s">
        <v>413</v>
      </c>
      <c r="H932"/>
      <c r="I932"/>
      <c r="J932"/>
      <c r="K932"/>
      <c r="L932"/>
      <c r="M932"/>
    </row>
    <row r="933" spans="1:13">
      <c r="A933" s="398" t="s">
        <v>248</v>
      </c>
      <c r="B933" s="399" t="s">
        <v>249</v>
      </c>
      <c r="C933" s="399" t="s">
        <v>250</v>
      </c>
      <c r="D933" s="399" t="s">
        <v>251</v>
      </c>
      <c r="E933" s="399" t="s">
        <v>252</v>
      </c>
      <c r="F933" s="399" t="s">
        <v>253</v>
      </c>
    </row>
    <row r="934" spans="1:13">
      <c r="A934" s="398" t="s">
        <v>254</v>
      </c>
      <c r="B934" s="402">
        <v>27631</v>
      </c>
      <c r="C934" s="402">
        <v>26657</v>
      </c>
      <c r="D934" s="401"/>
      <c r="E934" s="401"/>
      <c r="F934" s="401"/>
    </row>
    <row r="935" spans="1:13">
      <c r="A935" s="398" t="s">
        <v>255</v>
      </c>
      <c r="B935" s="401">
        <v>449</v>
      </c>
      <c r="C935" s="401">
        <f>B935</f>
        <v>449</v>
      </c>
      <c r="D935" s="401">
        <f>C935</f>
        <v>449</v>
      </c>
      <c r="E935" s="401">
        <f>D935</f>
        <v>449</v>
      </c>
      <c r="F935" s="401">
        <f>E935</f>
        <v>449</v>
      </c>
    </row>
    <row r="936" spans="1:13" ht="15.75" customHeight="1">
      <c r="A936" s="398" t="s">
        <v>259</v>
      </c>
      <c r="B936" s="404">
        <f>B935*B934/1000000</f>
        <v>12.406319</v>
      </c>
      <c r="C936" s="404">
        <f>C935*C934/1000000</f>
        <v>11.968992999999999</v>
      </c>
      <c r="D936" s="404">
        <f>D935*D934/1000000</f>
        <v>0</v>
      </c>
      <c r="E936" s="404">
        <f>E935*E934/1000000</f>
        <v>0</v>
      </c>
      <c r="F936" s="404">
        <f>F935*F934/1000000</f>
        <v>0</v>
      </c>
    </row>
    <row r="937" spans="1:13" ht="15.75" customHeight="1">
      <c r="A937" s="396"/>
      <c r="B937" s="405"/>
      <c r="C937" s="405"/>
      <c r="D937" s="405"/>
      <c r="E937" s="405"/>
      <c r="F937" s="405"/>
      <c r="H937" s="397"/>
      <c r="I937" s="397"/>
      <c r="J937" s="397"/>
      <c r="K937" s="397"/>
      <c r="L937" s="397"/>
      <c r="M937" s="397"/>
    </row>
    <row r="938" spans="1:13" s="397" customFormat="1">
      <c r="A938" s="396" t="s">
        <v>246</v>
      </c>
      <c r="B938" s="396" t="s">
        <v>414</v>
      </c>
      <c r="H938"/>
      <c r="I938"/>
      <c r="J938"/>
      <c r="K938"/>
      <c r="L938"/>
      <c r="M938"/>
    </row>
    <row r="939" spans="1:13">
      <c r="A939" s="398" t="s">
        <v>248</v>
      </c>
      <c r="B939" s="399" t="s">
        <v>249</v>
      </c>
      <c r="C939" s="399" t="s">
        <v>250</v>
      </c>
      <c r="D939" s="399" t="s">
        <v>251</v>
      </c>
      <c r="E939" s="399" t="s">
        <v>252</v>
      </c>
      <c r="F939" s="399" t="s">
        <v>253</v>
      </c>
    </row>
    <row r="940" spans="1:13">
      <c r="A940" s="398" t="s">
        <v>254</v>
      </c>
      <c r="B940" s="402">
        <v>48625</v>
      </c>
      <c r="C940" s="402">
        <v>37820</v>
      </c>
      <c r="D940" s="402">
        <v>32468</v>
      </c>
      <c r="E940" s="402">
        <v>28912</v>
      </c>
      <c r="F940" s="402">
        <v>28035</v>
      </c>
    </row>
    <row r="941" spans="1:13">
      <c r="A941" s="398" t="s">
        <v>255</v>
      </c>
      <c r="B941" s="401">
        <v>412</v>
      </c>
      <c r="C941" s="401">
        <f>B941</f>
        <v>412</v>
      </c>
      <c r="D941" s="401">
        <f>C941</f>
        <v>412</v>
      </c>
      <c r="E941" s="401">
        <f>D941</f>
        <v>412</v>
      </c>
      <c r="F941" s="401">
        <f>E941</f>
        <v>412</v>
      </c>
    </row>
    <row r="942" spans="1:13">
      <c r="A942" s="398" t="s">
        <v>259</v>
      </c>
      <c r="B942" s="404">
        <f>B941*B940/1000000</f>
        <v>20.0335</v>
      </c>
      <c r="C942" s="404">
        <f>C941*C940/1000000</f>
        <v>15.58184</v>
      </c>
      <c r="D942" s="404">
        <f>D941*D940/1000000</f>
        <v>13.376816</v>
      </c>
      <c r="E942" s="404">
        <f>E941*E940/1000000</f>
        <v>11.911744000000001</v>
      </c>
      <c r="F942" s="404">
        <f>F941*F940/1000000</f>
        <v>11.550420000000001</v>
      </c>
    </row>
    <row r="943" spans="1:13">
      <c r="A943" s="396"/>
      <c r="B943" s="405"/>
      <c r="C943" s="405"/>
      <c r="D943" s="405"/>
      <c r="E943" s="405"/>
      <c r="F943" s="405"/>
      <c r="H943" s="397"/>
      <c r="I943" s="397"/>
      <c r="J943" s="397"/>
      <c r="K943" s="397"/>
      <c r="L943" s="397"/>
      <c r="M943" s="397"/>
    </row>
    <row r="944" spans="1:13" s="397" customFormat="1">
      <c r="A944" s="396" t="s">
        <v>246</v>
      </c>
      <c r="B944" s="396" t="s">
        <v>415</v>
      </c>
      <c r="H944"/>
      <c r="I944"/>
      <c r="J944"/>
      <c r="K944"/>
      <c r="L944"/>
      <c r="M944"/>
    </row>
    <row r="945" spans="1:13">
      <c r="A945" s="398" t="s">
        <v>248</v>
      </c>
      <c r="B945" s="399" t="s">
        <v>249</v>
      </c>
      <c r="C945" s="399" t="s">
        <v>250</v>
      </c>
      <c r="D945" s="399" t="s">
        <v>251</v>
      </c>
      <c r="E945" s="399" t="s">
        <v>252</v>
      </c>
      <c r="F945" s="399" t="s">
        <v>253</v>
      </c>
    </row>
    <row r="946" spans="1:13">
      <c r="A946" s="398" t="s">
        <v>254</v>
      </c>
      <c r="B946" s="402">
        <v>122451</v>
      </c>
      <c r="C946" s="402">
        <v>117049</v>
      </c>
      <c r="D946" s="402">
        <v>102964</v>
      </c>
      <c r="E946" s="402">
        <v>104736</v>
      </c>
      <c r="F946" s="402">
        <v>103656</v>
      </c>
    </row>
    <row r="947" spans="1:13">
      <c r="A947" s="398" t="s">
        <v>255</v>
      </c>
      <c r="B947" s="401">
        <v>624</v>
      </c>
      <c r="C947" s="401">
        <f>B947</f>
        <v>624</v>
      </c>
      <c r="D947" s="401">
        <f>C947</f>
        <v>624</v>
      </c>
      <c r="E947" s="401">
        <f>D947</f>
        <v>624</v>
      </c>
      <c r="F947" s="401">
        <f>E947</f>
        <v>624</v>
      </c>
    </row>
    <row r="948" spans="1:13">
      <c r="A948" s="398" t="s">
        <v>259</v>
      </c>
      <c r="B948" s="404">
        <f>B947*B946/1000000</f>
        <v>76.409424000000001</v>
      </c>
      <c r="C948" s="404">
        <f>C947*C946/1000000</f>
        <v>73.038576000000006</v>
      </c>
      <c r="D948" s="404">
        <f>D947*D946/1000000</f>
        <v>64.249536000000006</v>
      </c>
      <c r="E948" s="404">
        <f>E947*E946/1000000</f>
        <v>65.355264000000005</v>
      </c>
      <c r="F948" s="404">
        <f>F947*F946/1000000</f>
        <v>64.681343999999996</v>
      </c>
    </row>
    <row r="949" spans="1:13">
      <c r="A949" s="396"/>
      <c r="B949" s="405"/>
      <c r="C949" s="405"/>
      <c r="D949" s="405"/>
      <c r="E949" s="405"/>
      <c r="F949" s="405"/>
      <c r="H949" s="397"/>
      <c r="I949" s="397"/>
      <c r="J949" s="397"/>
      <c r="K949" s="397"/>
      <c r="L949" s="397"/>
      <c r="M949" s="397"/>
    </row>
    <row r="950" spans="1:13" s="397" customFormat="1">
      <c r="A950" s="396" t="s">
        <v>246</v>
      </c>
      <c r="B950" s="396" t="s">
        <v>416</v>
      </c>
      <c r="H950"/>
      <c r="I950"/>
      <c r="J950"/>
      <c r="K950"/>
      <c r="L950"/>
      <c r="M950"/>
    </row>
    <row r="951" spans="1:13">
      <c r="A951" s="398" t="s">
        <v>248</v>
      </c>
      <c r="B951" s="399" t="s">
        <v>249</v>
      </c>
      <c r="C951" s="399" t="s">
        <v>250</v>
      </c>
      <c r="D951" s="399" t="s">
        <v>251</v>
      </c>
      <c r="E951" s="399" t="s">
        <v>252</v>
      </c>
      <c r="F951" s="399" t="s">
        <v>253</v>
      </c>
    </row>
    <row r="952" spans="1:13">
      <c r="A952" s="398" t="s">
        <v>254</v>
      </c>
      <c r="B952" s="402">
        <v>270956</v>
      </c>
      <c r="C952" s="402">
        <v>276329</v>
      </c>
      <c r="D952" s="402">
        <v>266156</v>
      </c>
      <c r="E952" s="402">
        <v>256974</v>
      </c>
      <c r="F952" s="402">
        <v>234142</v>
      </c>
    </row>
    <row r="953" spans="1:13">
      <c r="A953" s="398" t="s">
        <v>255</v>
      </c>
      <c r="B953" s="401">
        <v>594</v>
      </c>
      <c r="C953" s="401">
        <f>B953</f>
        <v>594</v>
      </c>
      <c r="D953" s="401">
        <f>C953</f>
        <v>594</v>
      </c>
      <c r="E953" s="401">
        <f>D953</f>
        <v>594</v>
      </c>
      <c r="F953" s="401">
        <f>E953</f>
        <v>594</v>
      </c>
    </row>
    <row r="954" spans="1:13">
      <c r="A954" s="398" t="s">
        <v>259</v>
      </c>
      <c r="B954" s="404">
        <f>B953*B952/1000000</f>
        <v>160.94786400000001</v>
      </c>
      <c r="C954" s="404">
        <f>C953*C952/1000000</f>
        <v>164.13942599999999</v>
      </c>
      <c r="D954" s="404">
        <f>D953*D952/1000000</f>
        <v>158.096664</v>
      </c>
      <c r="E954" s="404">
        <f>E953*E952/1000000</f>
        <v>152.64255600000001</v>
      </c>
      <c r="F954" s="404">
        <f>F953*F952/1000000</f>
        <v>139.08034799999999</v>
      </c>
    </row>
    <row r="955" spans="1:13">
      <c r="A955" s="396"/>
      <c r="B955" s="405"/>
      <c r="C955" s="405"/>
      <c r="D955" s="405"/>
      <c r="E955" s="405"/>
      <c r="F955" s="405"/>
      <c r="H955" s="397"/>
      <c r="I955" s="397"/>
      <c r="J955" s="397"/>
      <c r="K955" s="397"/>
      <c r="L955" s="397"/>
      <c r="M955" s="397"/>
    </row>
    <row r="956" spans="1:13" s="397" customFormat="1">
      <c r="A956" s="396" t="s">
        <v>246</v>
      </c>
      <c r="B956" s="396" t="s">
        <v>417</v>
      </c>
      <c r="H956"/>
      <c r="I956"/>
      <c r="J956"/>
      <c r="K956"/>
      <c r="L956"/>
      <c r="M956"/>
    </row>
    <row r="957" spans="1:13">
      <c r="A957" s="398" t="s">
        <v>248</v>
      </c>
      <c r="B957" s="399" t="s">
        <v>249</v>
      </c>
      <c r="C957" s="399" t="s">
        <v>250</v>
      </c>
      <c r="D957" s="399" t="s">
        <v>251</v>
      </c>
      <c r="E957" s="399" t="s">
        <v>252</v>
      </c>
      <c r="F957" s="399" t="s">
        <v>253</v>
      </c>
    </row>
    <row r="958" spans="1:13">
      <c r="A958" s="398" t="s">
        <v>254</v>
      </c>
      <c r="B958" s="402">
        <v>37524</v>
      </c>
      <c r="C958" s="402">
        <v>20333</v>
      </c>
      <c r="D958" s="402">
        <v>31064</v>
      </c>
      <c r="E958" s="402">
        <v>29959</v>
      </c>
      <c r="F958" s="402">
        <v>31546</v>
      </c>
    </row>
    <row r="959" spans="1:13">
      <c r="A959" s="398" t="s">
        <v>255</v>
      </c>
      <c r="B959" s="401">
        <v>510</v>
      </c>
      <c r="C959" s="401">
        <f>B959</f>
        <v>510</v>
      </c>
      <c r="D959" s="401">
        <f>C959</f>
        <v>510</v>
      </c>
      <c r="E959" s="401">
        <f>D959</f>
        <v>510</v>
      </c>
      <c r="F959" s="401">
        <f>E959</f>
        <v>510</v>
      </c>
    </row>
    <row r="960" spans="1:13">
      <c r="A960" s="398" t="s">
        <v>259</v>
      </c>
      <c r="B960" s="404">
        <f>B959*B958/1000000</f>
        <v>19.137239999999998</v>
      </c>
      <c r="C960" s="404">
        <f>C959*C958/1000000</f>
        <v>10.36983</v>
      </c>
      <c r="D960" s="404">
        <f>D959*D958/1000000</f>
        <v>15.842639999999999</v>
      </c>
      <c r="E960" s="404">
        <f>E959*E958/1000000</f>
        <v>15.27909</v>
      </c>
      <c r="F960" s="404">
        <f>F959*F958/1000000</f>
        <v>16.088460000000001</v>
      </c>
    </row>
    <row r="961" spans="1:13">
      <c r="A961" s="396"/>
      <c r="B961" s="405"/>
      <c r="C961" s="405"/>
      <c r="D961" s="405"/>
      <c r="E961" s="405"/>
      <c r="F961" s="405"/>
      <c r="H961" s="397"/>
      <c r="I961" s="397"/>
      <c r="J961" s="397"/>
      <c r="K961" s="397"/>
      <c r="L961" s="397"/>
      <c r="M961" s="397"/>
    </row>
    <row r="962" spans="1:13" s="397" customFormat="1">
      <c r="A962" s="396" t="s">
        <v>246</v>
      </c>
      <c r="B962" s="396" t="s">
        <v>418</v>
      </c>
      <c r="H962"/>
      <c r="I962"/>
      <c r="J962"/>
      <c r="K962"/>
      <c r="L962"/>
      <c r="M962"/>
    </row>
    <row r="963" spans="1:13">
      <c r="A963" s="398" t="s">
        <v>248</v>
      </c>
      <c r="B963" s="399" t="s">
        <v>249</v>
      </c>
      <c r="C963" s="399" t="s">
        <v>250</v>
      </c>
      <c r="D963" s="399" t="s">
        <v>251</v>
      </c>
      <c r="E963" s="399" t="s">
        <v>252</v>
      </c>
      <c r="F963" s="399" t="s">
        <v>253</v>
      </c>
    </row>
    <row r="964" spans="1:13">
      <c r="A964" s="398" t="s">
        <v>254</v>
      </c>
      <c r="B964" s="402">
        <v>182581</v>
      </c>
      <c r="C964" s="402">
        <v>173735</v>
      </c>
      <c r="D964" s="402">
        <v>193456</v>
      </c>
      <c r="E964" s="402">
        <v>183481</v>
      </c>
      <c r="F964" s="402">
        <v>202226</v>
      </c>
    </row>
    <row r="965" spans="1:13">
      <c r="A965" s="398" t="s">
        <v>255</v>
      </c>
      <c r="B965" s="401">
        <v>631</v>
      </c>
      <c r="C965" s="401">
        <f>B965</f>
        <v>631</v>
      </c>
      <c r="D965" s="401">
        <f>C965</f>
        <v>631</v>
      </c>
      <c r="E965" s="401">
        <f>D965</f>
        <v>631</v>
      </c>
      <c r="F965" s="401">
        <f>E965</f>
        <v>631</v>
      </c>
    </row>
    <row r="966" spans="1:13">
      <c r="A966" s="398" t="s">
        <v>259</v>
      </c>
      <c r="B966" s="404">
        <f>B965*B964/1000000</f>
        <v>115.208611</v>
      </c>
      <c r="C966" s="404">
        <f>C965*C964/1000000</f>
        <v>109.626785</v>
      </c>
      <c r="D966" s="404">
        <f>D965*D964/1000000</f>
        <v>122.070736</v>
      </c>
      <c r="E966" s="404">
        <f>E965*E964/1000000</f>
        <v>115.776511</v>
      </c>
      <c r="F966" s="404">
        <f>F965*F964/1000000</f>
        <v>127.604606</v>
      </c>
    </row>
    <row r="967" spans="1:13">
      <c r="A967" s="396"/>
      <c r="B967" s="405"/>
      <c r="C967" s="405"/>
      <c r="D967" s="405"/>
      <c r="E967" s="405"/>
      <c r="F967" s="405"/>
      <c r="H967" s="397"/>
      <c r="I967" s="397"/>
      <c r="J967" s="397"/>
      <c r="K967" s="397"/>
      <c r="L967" s="397"/>
      <c r="M967" s="397"/>
    </row>
    <row r="968" spans="1:13" s="397" customFormat="1">
      <c r="A968" s="396" t="s">
        <v>246</v>
      </c>
      <c r="B968" s="396" t="s">
        <v>419</v>
      </c>
      <c r="H968"/>
      <c r="I968"/>
      <c r="J968"/>
      <c r="K968"/>
      <c r="L968"/>
      <c r="M968"/>
    </row>
    <row r="969" spans="1:13">
      <c r="A969" s="398" t="s">
        <v>248</v>
      </c>
      <c r="B969" s="399" t="s">
        <v>249</v>
      </c>
      <c r="C969" s="399" t="s">
        <v>250</v>
      </c>
      <c r="D969" s="399" t="s">
        <v>251</v>
      </c>
      <c r="E969" s="399" t="s">
        <v>252</v>
      </c>
      <c r="F969" s="399" t="s">
        <v>253</v>
      </c>
      <c r="G969" s="631" t="s">
        <v>710</v>
      </c>
    </row>
    <row r="970" spans="1:13">
      <c r="A970" s="398" t="s">
        <v>254</v>
      </c>
      <c r="B970" s="402">
        <v>70453</v>
      </c>
      <c r="C970" s="402">
        <v>52477</v>
      </c>
      <c r="D970" s="402">
        <v>63026</v>
      </c>
      <c r="E970" s="402">
        <v>72147</v>
      </c>
      <c r="F970" s="402">
        <v>91562</v>
      </c>
    </row>
    <row r="971" spans="1:13">
      <c r="A971" s="398" t="s">
        <v>255</v>
      </c>
      <c r="B971" s="401">
        <v>4650</v>
      </c>
      <c r="C971" s="401">
        <f>B971</f>
        <v>4650</v>
      </c>
      <c r="D971" s="401">
        <f>C971</f>
        <v>4650</v>
      </c>
      <c r="E971" s="401">
        <f>D971</f>
        <v>4650</v>
      </c>
      <c r="F971" s="401">
        <f>E971</f>
        <v>4650</v>
      </c>
    </row>
    <row r="972" spans="1:13">
      <c r="A972" s="398" t="s">
        <v>259</v>
      </c>
      <c r="B972" s="404">
        <f>B971*B970/1000000</f>
        <v>327.60645</v>
      </c>
      <c r="C972" s="404">
        <f>C971*C970/1000000</f>
        <v>244.01804999999999</v>
      </c>
      <c r="D972" s="404">
        <f>D971*D970/1000000</f>
        <v>293.07089999999999</v>
      </c>
      <c r="E972" s="404">
        <f>E971*E970/1000000</f>
        <v>335.48354999999998</v>
      </c>
      <c r="F972" s="404">
        <f>F971*F970/1000000</f>
        <v>425.76330000000002</v>
      </c>
    </row>
    <row r="973" spans="1:13">
      <c r="A973" s="396"/>
      <c r="B973" s="405"/>
      <c r="C973" s="405"/>
      <c r="D973" s="405"/>
      <c r="E973" s="405"/>
      <c r="F973" s="405"/>
      <c r="H973" s="397"/>
      <c r="I973" s="397"/>
      <c r="J973" s="397"/>
      <c r="K973" s="397"/>
      <c r="L973" s="397"/>
      <c r="M973" s="397"/>
    </row>
    <row r="974" spans="1:13" s="397" customFormat="1">
      <c r="A974" s="396" t="s">
        <v>246</v>
      </c>
      <c r="B974" s="396" t="s">
        <v>420</v>
      </c>
      <c r="H974"/>
      <c r="I974"/>
      <c r="J974"/>
      <c r="K974"/>
      <c r="L974"/>
      <c r="M974"/>
    </row>
    <row r="975" spans="1:13">
      <c r="A975" s="398" t="s">
        <v>248</v>
      </c>
      <c r="B975" s="399" t="s">
        <v>249</v>
      </c>
      <c r="C975" s="399" t="s">
        <v>250</v>
      </c>
      <c r="D975" s="399" t="s">
        <v>251</v>
      </c>
      <c r="E975" s="399" t="s">
        <v>252</v>
      </c>
      <c r="F975" s="399" t="s">
        <v>253</v>
      </c>
      <c r="G975" s="631" t="s">
        <v>710</v>
      </c>
    </row>
    <row r="976" spans="1:13">
      <c r="A976" s="398" t="s">
        <v>254</v>
      </c>
      <c r="B976" s="402">
        <v>123101</v>
      </c>
      <c r="C976" s="402">
        <v>119140</v>
      </c>
      <c r="D976" s="402">
        <v>107371</v>
      </c>
      <c r="E976" s="402">
        <v>107406</v>
      </c>
      <c r="F976" s="402">
        <v>100133</v>
      </c>
    </row>
    <row r="977" spans="1:13">
      <c r="A977" s="398" t="s">
        <v>255</v>
      </c>
      <c r="B977" s="401">
        <v>4970</v>
      </c>
      <c r="C977" s="401">
        <f>B977</f>
        <v>4970</v>
      </c>
      <c r="D977" s="401">
        <f>C977</f>
        <v>4970</v>
      </c>
      <c r="E977" s="401">
        <f>D977</f>
        <v>4970</v>
      </c>
      <c r="F977" s="401">
        <f>E977</f>
        <v>4970</v>
      </c>
    </row>
    <row r="978" spans="1:13">
      <c r="A978" s="398" t="s">
        <v>259</v>
      </c>
      <c r="B978" s="404">
        <f>B977*B976/1000000</f>
        <v>611.81196999999997</v>
      </c>
      <c r="C978" s="404">
        <f>C977*C976/1000000</f>
        <v>592.12580000000003</v>
      </c>
      <c r="D978" s="404">
        <f>D977*D976/1000000</f>
        <v>533.63387</v>
      </c>
      <c r="E978" s="404">
        <f>E977*E976/1000000</f>
        <v>533.80781999999999</v>
      </c>
      <c r="F978" s="404">
        <f>F977*F976/1000000</f>
        <v>497.66100999999998</v>
      </c>
    </row>
    <row r="979" spans="1:13">
      <c r="A979" s="396"/>
      <c r="B979" s="405"/>
      <c r="C979" s="405"/>
      <c r="D979" s="405"/>
      <c r="E979" s="405"/>
      <c r="F979" s="405"/>
      <c r="H979" s="397"/>
      <c r="I979" s="397"/>
      <c r="J979" s="397"/>
      <c r="K979" s="397"/>
      <c r="L979" s="397"/>
      <c r="M979" s="397"/>
    </row>
    <row r="980" spans="1:13" s="397" customFormat="1">
      <c r="A980" s="396" t="s">
        <v>246</v>
      </c>
      <c r="B980" s="396" t="s">
        <v>421</v>
      </c>
      <c r="H980"/>
      <c r="I980"/>
      <c r="J980"/>
      <c r="K980"/>
      <c r="L980"/>
      <c r="M980"/>
    </row>
    <row r="981" spans="1:13">
      <c r="A981" s="398" t="s">
        <v>248</v>
      </c>
      <c r="B981" s="399" t="s">
        <v>249</v>
      </c>
      <c r="C981" s="399" t="s">
        <v>250</v>
      </c>
      <c r="D981" s="399" t="s">
        <v>251</v>
      </c>
      <c r="E981" s="399" t="s">
        <v>252</v>
      </c>
      <c r="F981" s="399" t="s">
        <v>253</v>
      </c>
      <c r="G981" s="631" t="s">
        <v>710</v>
      </c>
    </row>
    <row r="982" spans="1:13">
      <c r="A982" s="398" t="s">
        <v>254</v>
      </c>
      <c r="B982" s="402">
        <v>147459</v>
      </c>
      <c r="C982" s="402">
        <v>141077</v>
      </c>
      <c r="D982" s="402">
        <v>109359</v>
      </c>
      <c r="E982" s="402">
        <v>102614</v>
      </c>
      <c r="F982" s="402">
        <v>119442</v>
      </c>
    </row>
    <row r="983" spans="1:13">
      <c r="A983" s="398" t="s">
        <v>255</v>
      </c>
      <c r="B983" s="401">
        <v>4940</v>
      </c>
      <c r="C983" s="401">
        <f>B983</f>
        <v>4940</v>
      </c>
      <c r="D983" s="401">
        <f>C983</f>
        <v>4940</v>
      </c>
      <c r="E983" s="401">
        <f>D983</f>
        <v>4940</v>
      </c>
      <c r="F983" s="401">
        <f>E983</f>
        <v>4940</v>
      </c>
    </row>
    <row r="984" spans="1:13">
      <c r="A984" s="398" t="s">
        <v>259</v>
      </c>
      <c r="B984" s="404">
        <f>B983*B982/1000000</f>
        <v>728.44745999999998</v>
      </c>
      <c r="C984" s="404">
        <f>C983*C982/1000000</f>
        <v>696.92038000000002</v>
      </c>
      <c r="D984" s="404">
        <f>D983*D982/1000000</f>
        <v>540.23346000000004</v>
      </c>
      <c r="E984" s="404">
        <f>E983*E982/1000000</f>
        <v>506.91316</v>
      </c>
      <c r="F984" s="404">
        <f>F983*F982/1000000</f>
        <v>590.04348000000005</v>
      </c>
    </row>
    <row r="985" spans="1:13">
      <c r="A985" s="396"/>
      <c r="B985" s="405"/>
      <c r="C985" s="405"/>
      <c r="D985" s="405"/>
      <c r="E985" s="405"/>
      <c r="F985" s="405"/>
      <c r="H985" s="397"/>
      <c r="I985" s="397"/>
      <c r="J985" s="397"/>
      <c r="K985" s="397"/>
      <c r="L985" s="397"/>
      <c r="M985" s="397"/>
    </row>
    <row r="986" spans="1:13" s="397" customFormat="1">
      <c r="A986" s="396" t="s">
        <v>246</v>
      </c>
      <c r="B986" s="396" t="s">
        <v>422</v>
      </c>
      <c r="H986"/>
      <c r="I986"/>
      <c r="J986"/>
      <c r="K986"/>
      <c r="L986"/>
      <c r="M986"/>
    </row>
    <row r="987" spans="1:13">
      <c r="A987" s="398" t="s">
        <v>248</v>
      </c>
      <c r="B987" s="399" t="s">
        <v>249</v>
      </c>
      <c r="C987" s="399" t="s">
        <v>250</v>
      </c>
      <c r="D987" s="399" t="s">
        <v>251</v>
      </c>
      <c r="E987" s="399" t="s">
        <v>252</v>
      </c>
      <c r="F987" s="399" t="s">
        <v>253</v>
      </c>
      <c r="G987" s="631" t="s">
        <v>710</v>
      </c>
    </row>
    <row r="988" spans="1:13">
      <c r="A988" s="398" t="s">
        <v>254</v>
      </c>
      <c r="B988" s="401"/>
      <c r="C988" s="401"/>
      <c r="D988" s="401"/>
      <c r="E988" s="401"/>
      <c r="F988" s="402">
        <v>30575</v>
      </c>
    </row>
    <row r="989" spans="1:13">
      <c r="A989" s="398" t="s">
        <v>255</v>
      </c>
      <c r="B989" s="401">
        <v>5760</v>
      </c>
      <c r="C989" s="401">
        <f>B989</f>
        <v>5760</v>
      </c>
      <c r="D989" s="401">
        <f>C989</f>
        <v>5760</v>
      </c>
      <c r="E989" s="401">
        <f>D989</f>
        <v>5760</v>
      </c>
      <c r="F989" s="401">
        <f>E989</f>
        <v>5760</v>
      </c>
    </row>
    <row r="990" spans="1:13">
      <c r="A990" s="398" t="s">
        <v>259</v>
      </c>
      <c r="B990" s="404">
        <f>B989*B988/1000000</f>
        <v>0</v>
      </c>
      <c r="C990" s="404">
        <f>C989*C988/1000000</f>
        <v>0</v>
      </c>
      <c r="D990" s="404">
        <f>D989*D988/1000000</f>
        <v>0</v>
      </c>
      <c r="E990" s="404">
        <f>E989*E988/1000000</f>
        <v>0</v>
      </c>
      <c r="F990" s="404">
        <f>F989*F988/1000000</f>
        <v>176.11199999999999</v>
      </c>
      <c r="H990" s="409"/>
      <c r="I990" s="409"/>
      <c r="J990" s="409"/>
      <c r="K990" s="409"/>
      <c r="L990" s="409"/>
      <c r="M990" s="409"/>
    </row>
    <row r="991" spans="1:13" s="409" customFormat="1">
      <c r="A991" s="396"/>
      <c r="B991" s="405"/>
      <c r="C991" s="405"/>
      <c r="D991" s="405"/>
      <c r="E991" s="405"/>
      <c r="F991" s="405"/>
      <c r="H991"/>
      <c r="I991"/>
      <c r="J991"/>
      <c r="K991"/>
      <c r="L991"/>
      <c r="M991"/>
    </row>
    <row r="992" spans="1:13">
      <c r="A992" s="396" t="s">
        <v>246</v>
      </c>
      <c r="B992" s="396" t="s">
        <v>423</v>
      </c>
    </row>
    <row r="993" spans="1:7">
      <c r="A993" s="398" t="s">
        <v>248</v>
      </c>
      <c r="B993" s="399" t="s">
        <v>249</v>
      </c>
      <c r="C993" s="399" t="s">
        <v>250</v>
      </c>
      <c r="D993" s="399" t="s">
        <v>251</v>
      </c>
      <c r="E993" s="399" t="s">
        <v>252</v>
      </c>
      <c r="F993" s="399" t="s">
        <v>253</v>
      </c>
      <c r="G993" s="631" t="s">
        <v>710</v>
      </c>
    </row>
    <row r="994" spans="1:7">
      <c r="A994" s="398" t="s">
        <v>254</v>
      </c>
      <c r="B994" s="401"/>
      <c r="C994" s="401"/>
      <c r="D994" s="401"/>
      <c r="E994" s="402">
        <v>30230</v>
      </c>
      <c r="F994" s="402">
        <v>27077</v>
      </c>
    </row>
    <row r="995" spans="1:7">
      <c r="A995" s="398" t="s">
        <v>255</v>
      </c>
      <c r="B995" s="401">
        <v>5090</v>
      </c>
      <c r="C995" s="401">
        <f>B995</f>
        <v>5090</v>
      </c>
      <c r="D995" s="401">
        <f>C995</f>
        <v>5090</v>
      </c>
      <c r="E995" s="401">
        <f>D995</f>
        <v>5090</v>
      </c>
      <c r="F995" s="401">
        <f>E995</f>
        <v>5090</v>
      </c>
    </row>
    <row r="996" spans="1:7">
      <c r="A996" s="398" t="s">
        <v>259</v>
      </c>
      <c r="B996" s="404">
        <f>B995*B994/1000000</f>
        <v>0</v>
      </c>
      <c r="C996" s="404">
        <f>C995*C994/1000000</f>
        <v>0</v>
      </c>
      <c r="D996" s="404">
        <f>D995*D994/1000000</f>
        <v>0</v>
      </c>
      <c r="E996" s="404">
        <f>E995*E994/1000000</f>
        <v>153.8707</v>
      </c>
      <c r="F996" s="404">
        <f>F995*F994/1000000</f>
        <v>137.82193000000001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29">
    <tabColor theme="9"/>
  </sheetPr>
  <dimension ref="A1:C167"/>
  <sheetViews>
    <sheetView workbookViewId="0"/>
  </sheetViews>
  <sheetFormatPr defaultRowHeight="15"/>
  <cols>
    <col min="1" max="1" width="21.5703125" bestFit="1" customWidth="1"/>
    <col min="2" max="2" width="70.7109375" bestFit="1" customWidth="1"/>
    <col min="3" max="3" width="14.85546875" bestFit="1" customWidth="1"/>
  </cols>
  <sheetData>
    <row r="1" spans="1:3">
      <c r="A1" s="431" t="s">
        <v>424</v>
      </c>
      <c r="B1" s="432" t="s">
        <v>425</v>
      </c>
      <c r="C1" s="428" t="s">
        <v>426</v>
      </c>
    </row>
    <row r="2" spans="1:3">
      <c r="A2" s="433" t="s">
        <v>427</v>
      </c>
      <c r="B2" s="434" t="s">
        <v>428</v>
      </c>
      <c r="C2" s="429">
        <v>904</v>
      </c>
    </row>
    <row r="3" spans="1:3">
      <c r="A3" s="433" t="s">
        <v>427</v>
      </c>
      <c r="B3" s="434" t="s">
        <v>429</v>
      </c>
      <c r="C3" s="429">
        <v>1490</v>
      </c>
    </row>
    <row r="4" spans="1:3">
      <c r="A4" s="433" t="s">
        <v>427</v>
      </c>
      <c r="B4" s="434" t="s">
        <v>430</v>
      </c>
      <c r="C4" s="429">
        <v>2720</v>
      </c>
    </row>
    <row r="5" spans="1:3">
      <c r="A5" s="433" t="s">
        <v>427</v>
      </c>
      <c r="B5" s="434" t="s">
        <v>431</v>
      </c>
      <c r="C5" s="429">
        <v>2570</v>
      </c>
    </row>
    <row r="6" spans="1:3">
      <c r="A6" s="433" t="s">
        <v>427</v>
      </c>
      <c r="B6" s="434" t="s">
        <v>432</v>
      </c>
      <c r="C6" s="429">
        <v>2740</v>
      </c>
    </row>
    <row r="7" spans="1:3">
      <c r="A7" s="433" t="s">
        <v>427</v>
      </c>
      <c r="B7" s="434" t="s">
        <v>433</v>
      </c>
      <c r="C7" s="429">
        <v>1630</v>
      </c>
    </row>
    <row r="8" spans="1:3">
      <c r="A8" s="433" t="s">
        <v>427</v>
      </c>
      <c r="B8" s="434" t="s">
        <v>434</v>
      </c>
      <c r="C8" s="429">
        <v>1420</v>
      </c>
    </row>
    <row r="9" spans="1:3">
      <c r="A9" s="433" t="s">
        <v>427</v>
      </c>
      <c r="B9" s="434" t="s">
        <v>435</v>
      </c>
      <c r="C9" s="429">
        <v>1720</v>
      </c>
    </row>
    <row r="10" spans="1:3">
      <c r="A10" s="433" t="s">
        <v>427</v>
      </c>
      <c r="B10" s="434" t="s">
        <v>436</v>
      </c>
      <c r="C10" s="429">
        <v>1610</v>
      </c>
    </row>
    <row r="11" spans="1:3">
      <c r="A11" s="433" t="s">
        <v>427</v>
      </c>
      <c r="B11" s="434" t="s">
        <v>437</v>
      </c>
      <c r="C11" s="429">
        <v>1390</v>
      </c>
    </row>
    <row r="12" spans="1:3">
      <c r="A12" s="433" t="s">
        <v>427</v>
      </c>
      <c r="B12" s="434" t="s">
        <v>438</v>
      </c>
      <c r="C12" s="429">
        <v>1480</v>
      </c>
    </row>
    <row r="13" spans="1:3">
      <c r="A13" s="433" t="s">
        <v>427</v>
      </c>
      <c r="B13" s="434" t="s">
        <v>439</v>
      </c>
      <c r="C13" s="429">
        <v>840</v>
      </c>
    </row>
    <row r="14" spans="1:3">
      <c r="A14" s="433" t="s">
        <v>427</v>
      </c>
      <c r="B14" s="434" t="s">
        <v>440</v>
      </c>
      <c r="C14" s="429">
        <v>232</v>
      </c>
    </row>
    <row r="15" spans="1:3">
      <c r="A15" s="433" t="s">
        <v>427</v>
      </c>
      <c r="B15" s="434" t="s">
        <v>441</v>
      </c>
      <c r="C15" s="429">
        <v>1920</v>
      </c>
    </row>
    <row r="16" spans="1:3">
      <c r="A16" s="433" t="s">
        <v>427</v>
      </c>
      <c r="B16" s="434" t="s">
        <v>442</v>
      </c>
      <c r="C16" s="429">
        <v>2240</v>
      </c>
    </row>
    <row r="17" spans="1:3">
      <c r="A17" s="433" t="s">
        <v>427</v>
      </c>
      <c r="B17" s="434" t="s">
        <v>443</v>
      </c>
      <c r="C17" s="429">
        <v>904</v>
      </c>
    </row>
    <row r="18" spans="1:3">
      <c r="A18" s="433" t="s">
        <v>427</v>
      </c>
      <c r="B18" s="434" t="s">
        <v>444</v>
      </c>
      <c r="C18" s="429">
        <v>1820</v>
      </c>
    </row>
    <row r="19" spans="1:3">
      <c r="A19" s="433" t="s">
        <v>427</v>
      </c>
      <c r="B19" s="434" t="s">
        <v>445</v>
      </c>
      <c r="C19" s="429">
        <v>1980</v>
      </c>
    </row>
    <row r="20" spans="1:3">
      <c r="A20" s="433" t="s">
        <v>427</v>
      </c>
      <c r="B20" s="434" t="s">
        <v>446</v>
      </c>
      <c r="C20" s="429">
        <v>1920</v>
      </c>
    </row>
    <row r="21" spans="1:3">
      <c r="A21" s="433" t="s">
        <v>427</v>
      </c>
      <c r="B21" s="434" t="s">
        <v>447</v>
      </c>
      <c r="C21" s="429">
        <v>1720</v>
      </c>
    </row>
    <row r="22" spans="1:3">
      <c r="A22" s="433" t="s">
        <v>427</v>
      </c>
      <c r="B22" s="434" t="s">
        <v>448</v>
      </c>
      <c r="C22" s="429">
        <v>2000</v>
      </c>
    </row>
    <row r="23" spans="1:3">
      <c r="A23" s="433" t="s">
        <v>427</v>
      </c>
      <c r="B23" s="434" t="s">
        <v>449</v>
      </c>
      <c r="C23" s="429">
        <v>1750</v>
      </c>
    </row>
    <row r="24" spans="1:3">
      <c r="A24" s="433" t="s">
        <v>427</v>
      </c>
      <c r="B24" s="434" t="s">
        <v>450</v>
      </c>
      <c r="C24" s="429">
        <v>1640</v>
      </c>
    </row>
    <row r="25" spans="1:3">
      <c r="A25" s="433" t="s">
        <v>427</v>
      </c>
      <c r="B25" s="434" t="s">
        <v>451</v>
      </c>
      <c r="C25" s="429">
        <v>465</v>
      </c>
    </row>
    <row r="26" spans="1:3">
      <c r="A26" s="433" t="s">
        <v>427</v>
      </c>
      <c r="B26" s="434" t="s">
        <v>452</v>
      </c>
      <c r="C26" s="429">
        <v>452</v>
      </c>
    </row>
    <row r="27" spans="1:3">
      <c r="A27" s="433" t="s">
        <v>427</v>
      </c>
      <c r="B27" s="434" t="s">
        <v>453</v>
      </c>
      <c r="C27" s="429">
        <v>402</v>
      </c>
    </row>
    <row r="28" spans="1:3">
      <c r="A28" s="433" t="s">
        <v>427</v>
      </c>
      <c r="B28" s="434" t="s">
        <v>454</v>
      </c>
      <c r="C28" s="429">
        <v>414</v>
      </c>
    </row>
    <row r="29" spans="1:3">
      <c r="A29" s="433" t="s">
        <v>427</v>
      </c>
      <c r="B29" s="434" t="s">
        <v>455</v>
      </c>
      <c r="C29" s="429">
        <v>579</v>
      </c>
    </row>
    <row r="30" spans="1:3">
      <c r="A30" s="433" t="s">
        <v>427</v>
      </c>
      <c r="B30" s="434" t="s">
        <v>456</v>
      </c>
      <c r="C30" s="429">
        <v>555</v>
      </c>
    </row>
    <row r="31" spans="1:3">
      <c r="A31" s="433" t="s">
        <v>427</v>
      </c>
      <c r="B31" s="434" t="s">
        <v>457</v>
      </c>
      <c r="C31" s="429">
        <v>573</v>
      </c>
    </row>
    <row r="32" spans="1:3">
      <c r="A32" s="433" t="s">
        <v>427</v>
      </c>
      <c r="B32" s="434" t="s">
        <v>458</v>
      </c>
      <c r="C32" s="429">
        <v>497</v>
      </c>
    </row>
    <row r="33" spans="1:3">
      <c r="A33" s="433" t="s">
        <v>427</v>
      </c>
      <c r="B33" s="434" t="s">
        <v>459</v>
      </c>
      <c r="C33" s="429">
        <v>520</v>
      </c>
    </row>
    <row r="34" spans="1:3">
      <c r="A34" s="433" t="s">
        <v>427</v>
      </c>
      <c r="B34" s="434" t="s">
        <v>460</v>
      </c>
      <c r="C34" s="429">
        <v>565</v>
      </c>
    </row>
    <row r="35" spans="1:3">
      <c r="A35" s="433" t="s">
        <v>427</v>
      </c>
      <c r="B35" s="434" t="s">
        <v>461</v>
      </c>
      <c r="C35" s="429">
        <v>600</v>
      </c>
    </row>
    <row r="36" spans="1:3">
      <c r="A36" s="433" t="s">
        <v>462</v>
      </c>
      <c r="B36" s="434" t="s">
        <v>440</v>
      </c>
      <c r="C36" s="429">
        <v>179</v>
      </c>
    </row>
    <row r="37" spans="1:3">
      <c r="A37" s="433" t="s">
        <v>462</v>
      </c>
      <c r="B37" s="434" t="s">
        <v>452</v>
      </c>
      <c r="C37" s="429">
        <v>443</v>
      </c>
    </row>
    <row r="38" spans="1:3">
      <c r="A38" s="433" t="s">
        <v>462</v>
      </c>
      <c r="B38" s="434" t="s">
        <v>463</v>
      </c>
      <c r="C38" s="429">
        <v>600</v>
      </c>
    </row>
    <row r="39" spans="1:3">
      <c r="A39" s="433" t="s">
        <v>462</v>
      </c>
      <c r="B39" s="434" t="s">
        <v>460</v>
      </c>
      <c r="C39" s="429">
        <v>463</v>
      </c>
    </row>
    <row r="40" spans="1:3">
      <c r="A40" s="433" t="s">
        <v>464</v>
      </c>
      <c r="B40" s="434" t="s">
        <v>465</v>
      </c>
      <c r="C40" s="429">
        <v>5940</v>
      </c>
    </row>
    <row r="41" spans="1:3">
      <c r="A41" s="433" t="s">
        <v>464</v>
      </c>
      <c r="B41" s="434" t="s">
        <v>466</v>
      </c>
      <c r="C41" s="429">
        <v>5910</v>
      </c>
    </row>
    <row r="42" spans="1:3">
      <c r="A42" s="433" t="s">
        <v>464</v>
      </c>
      <c r="B42" s="434" t="s">
        <v>467</v>
      </c>
      <c r="C42" s="429">
        <v>1190</v>
      </c>
    </row>
    <row r="43" spans="1:3">
      <c r="A43" s="433" t="s">
        <v>464</v>
      </c>
      <c r="B43" s="434" t="s">
        <v>428</v>
      </c>
      <c r="C43" s="429">
        <v>782</v>
      </c>
    </row>
    <row r="44" spans="1:3">
      <c r="A44" s="433" t="s">
        <v>464</v>
      </c>
      <c r="B44" s="434" t="s">
        <v>468</v>
      </c>
      <c r="C44" s="429">
        <v>808</v>
      </c>
    </row>
    <row r="45" spans="1:3">
      <c r="A45" s="433" t="s">
        <v>464</v>
      </c>
      <c r="B45" s="434" t="s">
        <v>469</v>
      </c>
      <c r="C45" s="429">
        <v>5260</v>
      </c>
    </row>
    <row r="46" spans="1:3">
      <c r="A46" s="433" t="s">
        <v>464</v>
      </c>
      <c r="B46" s="434" t="s">
        <v>470</v>
      </c>
      <c r="C46" s="429">
        <v>1190</v>
      </c>
    </row>
    <row r="47" spans="1:3">
      <c r="A47" s="433" t="s">
        <v>464</v>
      </c>
      <c r="B47" s="434" t="s">
        <v>471</v>
      </c>
      <c r="C47" s="429">
        <v>1240</v>
      </c>
    </row>
    <row r="48" spans="1:3">
      <c r="A48" s="433" t="s">
        <v>464</v>
      </c>
      <c r="B48" s="434" t="s">
        <v>472</v>
      </c>
      <c r="C48" s="429">
        <v>1450</v>
      </c>
    </row>
    <row r="49" spans="1:3">
      <c r="A49" s="433" t="s">
        <v>464</v>
      </c>
      <c r="B49" s="434" t="s">
        <v>473</v>
      </c>
      <c r="C49" s="429">
        <v>1320</v>
      </c>
    </row>
    <row r="50" spans="1:3">
      <c r="A50" s="433" t="s">
        <v>464</v>
      </c>
      <c r="B50" s="434" t="s">
        <v>474</v>
      </c>
      <c r="C50" s="429">
        <v>1080</v>
      </c>
    </row>
    <row r="51" spans="1:3">
      <c r="A51" s="433" t="s">
        <v>464</v>
      </c>
      <c r="B51" s="434" t="s">
        <v>475</v>
      </c>
      <c r="C51" s="429">
        <v>1070</v>
      </c>
    </row>
    <row r="52" spans="1:3">
      <c r="A52" s="433" t="s">
        <v>464</v>
      </c>
      <c r="B52" s="434" t="s">
        <v>476</v>
      </c>
      <c r="C52" s="429">
        <v>914</v>
      </c>
    </row>
    <row r="53" spans="1:3">
      <c r="A53" s="433" t="s">
        <v>464</v>
      </c>
      <c r="B53" s="434" t="s">
        <v>429</v>
      </c>
      <c r="C53" s="429">
        <v>1380</v>
      </c>
    </row>
    <row r="54" spans="1:3">
      <c r="A54" s="433" t="s">
        <v>464</v>
      </c>
      <c r="B54" s="434" t="s">
        <v>477</v>
      </c>
      <c r="C54" s="429">
        <v>1000</v>
      </c>
    </row>
    <row r="55" spans="1:3">
      <c r="A55" s="433" t="s">
        <v>464</v>
      </c>
      <c r="B55" s="434" t="s">
        <v>478</v>
      </c>
      <c r="C55" s="429">
        <v>1240</v>
      </c>
    </row>
    <row r="56" spans="1:3">
      <c r="A56" s="433" t="s">
        <v>464</v>
      </c>
      <c r="B56" s="434" t="s">
        <v>479</v>
      </c>
      <c r="C56" s="429">
        <v>2850</v>
      </c>
    </row>
    <row r="57" spans="1:3">
      <c r="A57" s="433" t="s">
        <v>464</v>
      </c>
      <c r="B57" s="434" t="s">
        <v>430</v>
      </c>
      <c r="C57" s="429">
        <v>2930</v>
      </c>
    </row>
    <row r="58" spans="1:3">
      <c r="A58" s="433" t="s">
        <v>464</v>
      </c>
      <c r="B58" s="434" t="s">
        <v>431</v>
      </c>
      <c r="C58" s="429">
        <v>2780</v>
      </c>
    </row>
    <row r="59" spans="1:3">
      <c r="A59" s="433" t="s">
        <v>464</v>
      </c>
      <c r="B59" s="434" t="s">
        <v>432</v>
      </c>
      <c r="C59" s="429">
        <v>2950</v>
      </c>
    </row>
    <row r="60" spans="1:3">
      <c r="A60" s="433" t="s">
        <v>464</v>
      </c>
      <c r="B60" s="434" t="s">
        <v>433</v>
      </c>
      <c r="C60" s="429">
        <v>1740</v>
      </c>
    </row>
    <row r="61" spans="1:3">
      <c r="A61" s="433" t="s">
        <v>464</v>
      </c>
      <c r="B61" s="434" t="s">
        <v>434</v>
      </c>
      <c r="C61" s="429">
        <v>1480</v>
      </c>
    </row>
    <row r="62" spans="1:3">
      <c r="A62" s="433" t="s">
        <v>464</v>
      </c>
      <c r="B62" s="434" t="s">
        <v>480</v>
      </c>
      <c r="C62" s="429">
        <v>1440</v>
      </c>
    </row>
    <row r="63" spans="1:3">
      <c r="A63" s="433" t="s">
        <v>464</v>
      </c>
      <c r="B63" s="434" t="s">
        <v>481</v>
      </c>
      <c r="C63" s="429">
        <v>1790</v>
      </c>
    </row>
    <row r="64" spans="1:3">
      <c r="A64" s="433" t="s">
        <v>464</v>
      </c>
      <c r="B64" s="434" t="s">
        <v>482</v>
      </c>
      <c r="C64" s="429">
        <v>1450</v>
      </c>
    </row>
    <row r="65" spans="1:3">
      <c r="A65" s="433" t="s">
        <v>464</v>
      </c>
      <c r="B65" s="434" t="s">
        <v>435</v>
      </c>
      <c r="C65" s="429">
        <v>1870</v>
      </c>
    </row>
    <row r="66" spans="1:3">
      <c r="A66" s="433" t="s">
        <v>464</v>
      </c>
      <c r="B66" s="434" t="s">
        <v>436</v>
      </c>
      <c r="C66" s="429">
        <v>1690</v>
      </c>
    </row>
    <row r="67" spans="1:3">
      <c r="A67" s="433" t="s">
        <v>464</v>
      </c>
      <c r="B67" s="434" t="s">
        <v>437</v>
      </c>
      <c r="C67" s="429">
        <v>1470</v>
      </c>
    </row>
    <row r="68" spans="1:3">
      <c r="A68" s="433" t="s">
        <v>464</v>
      </c>
      <c r="B68" s="434" t="s">
        <v>483</v>
      </c>
      <c r="C68" s="429">
        <v>1180</v>
      </c>
    </row>
    <row r="69" spans="1:3">
      <c r="A69" s="433" t="s">
        <v>464</v>
      </c>
      <c r="B69" s="434" t="s">
        <v>438</v>
      </c>
      <c r="C69" s="429">
        <v>1460</v>
      </c>
    </row>
    <row r="70" spans="1:3">
      <c r="A70" s="433" t="s">
        <v>464</v>
      </c>
      <c r="B70" s="434" t="s">
        <v>484</v>
      </c>
      <c r="C70" s="429">
        <v>727</v>
      </c>
    </row>
    <row r="71" spans="1:3">
      <c r="A71" s="433" t="s">
        <v>464</v>
      </c>
      <c r="B71" s="434" t="s">
        <v>439</v>
      </c>
      <c r="C71" s="429">
        <v>784</v>
      </c>
    </row>
    <row r="72" spans="1:3">
      <c r="A72" s="433" t="s">
        <v>464</v>
      </c>
      <c r="B72" s="434" t="s">
        <v>485</v>
      </c>
      <c r="C72" s="429">
        <v>1920</v>
      </c>
    </row>
    <row r="73" spans="1:3">
      <c r="A73" s="433" t="s">
        <v>464</v>
      </c>
      <c r="B73" s="434" t="s">
        <v>486</v>
      </c>
      <c r="C73" s="429">
        <v>232</v>
      </c>
    </row>
    <row r="74" spans="1:3">
      <c r="A74" s="433" t="s">
        <v>464</v>
      </c>
      <c r="B74" s="434" t="s">
        <v>487</v>
      </c>
      <c r="C74" s="429">
        <v>266</v>
      </c>
    </row>
    <row r="75" spans="1:3">
      <c r="A75" s="433" t="s">
        <v>464</v>
      </c>
      <c r="B75" s="434" t="s">
        <v>488</v>
      </c>
      <c r="C75" s="429">
        <v>1380</v>
      </c>
    </row>
    <row r="76" spans="1:3">
      <c r="A76" s="433" t="s">
        <v>464</v>
      </c>
      <c r="B76" s="434" t="s">
        <v>489</v>
      </c>
      <c r="C76" s="429">
        <v>1430</v>
      </c>
    </row>
    <row r="77" spans="1:3">
      <c r="A77" s="433" t="s">
        <v>464</v>
      </c>
      <c r="B77" s="434" t="s">
        <v>490</v>
      </c>
      <c r="C77" s="429">
        <v>1420</v>
      </c>
    </row>
    <row r="78" spans="1:3">
      <c r="A78" s="433" t="s">
        <v>464</v>
      </c>
      <c r="B78" s="434" t="s">
        <v>491</v>
      </c>
      <c r="C78" s="429">
        <v>1900</v>
      </c>
    </row>
    <row r="79" spans="1:3">
      <c r="A79" s="433" t="s">
        <v>464</v>
      </c>
      <c r="B79" s="434" t="s">
        <v>441</v>
      </c>
      <c r="C79" s="429">
        <v>1880</v>
      </c>
    </row>
    <row r="80" spans="1:3">
      <c r="A80" s="433" t="s">
        <v>464</v>
      </c>
      <c r="B80" s="434" t="s">
        <v>492</v>
      </c>
      <c r="C80" s="429">
        <v>1950</v>
      </c>
    </row>
    <row r="81" spans="1:3">
      <c r="A81" s="433" t="s">
        <v>464</v>
      </c>
      <c r="B81" s="434" t="s">
        <v>442</v>
      </c>
      <c r="C81" s="429">
        <v>2040</v>
      </c>
    </row>
    <row r="82" spans="1:3">
      <c r="A82" s="433" t="s">
        <v>464</v>
      </c>
      <c r="B82" s="434" t="s">
        <v>493</v>
      </c>
      <c r="C82" s="429">
        <v>1950</v>
      </c>
    </row>
    <row r="83" spans="1:3">
      <c r="A83" s="433" t="s">
        <v>464</v>
      </c>
      <c r="B83" s="434" t="s">
        <v>443</v>
      </c>
      <c r="C83" s="429">
        <v>748</v>
      </c>
    </row>
    <row r="84" spans="1:3">
      <c r="A84" s="433" t="s">
        <v>464</v>
      </c>
      <c r="B84" s="434" t="s">
        <v>494</v>
      </c>
      <c r="C84" s="429">
        <v>818</v>
      </c>
    </row>
    <row r="85" spans="1:3">
      <c r="A85" s="433" t="s">
        <v>464</v>
      </c>
      <c r="B85" s="434" t="s">
        <v>495</v>
      </c>
      <c r="C85" s="429">
        <v>1290</v>
      </c>
    </row>
    <row r="86" spans="1:3">
      <c r="A86" s="433" t="s">
        <v>464</v>
      </c>
      <c r="B86" s="434" t="s">
        <v>496</v>
      </c>
      <c r="C86" s="429">
        <v>1260</v>
      </c>
    </row>
    <row r="87" spans="1:3">
      <c r="A87" s="433" t="s">
        <v>464</v>
      </c>
      <c r="B87" s="434" t="s">
        <v>445</v>
      </c>
      <c r="C87" s="429">
        <v>1820</v>
      </c>
    </row>
    <row r="88" spans="1:3">
      <c r="A88" s="433" t="s">
        <v>464</v>
      </c>
      <c r="B88" s="434" t="s">
        <v>497</v>
      </c>
      <c r="C88" s="429">
        <v>1820</v>
      </c>
    </row>
    <row r="89" spans="1:3">
      <c r="A89" s="433" t="s">
        <v>464</v>
      </c>
      <c r="B89" s="434" t="s">
        <v>448</v>
      </c>
      <c r="C89" s="429">
        <v>1820</v>
      </c>
    </row>
    <row r="90" spans="1:3">
      <c r="A90" s="433" t="s">
        <v>464</v>
      </c>
      <c r="B90" s="434" t="s">
        <v>449</v>
      </c>
      <c r="C90" s="429">
        <v>1590</v>
      </c>
    </row>
    <row r="91" spans="1:3">
      <c r="A91" s="433" t="s">
        <v>464</v>
      </c>
      <c r="B91" s="434" t="s">
        <v>450</v>
      </c>
      <c r="C91" s="429">
        <v>1830</v>
      </c>
    </row>
    <row r="92" spans="1:3">
      <c r="A92" s="433" t="s">
        <v>464</v>
      </c>
      <c r="B92" s="434" t="s">
        <v>498</v>
      </c>
      <c r="C92" s="429">
        <v>1640</v>
      </c>
    </row>
    <row r="93" spans="1:3">
      <c r="A93" s="433" t="s">
        <v>464</v>
      </c>
      <c r="B93" s="434" t="s">
        <v>499</v>
      </c>
      <c r="C93" s="429">
        <v>2530</v>
      </c>
    </row>
    <row r="94" spans="1:3">
      <c r="A94" s="433" t="s">
        <v>464</v>
      </c>
      <c r="B94" s="434" t="s">
        <v>500</v>
      </c>
      <c r="C94" s="429">
        <v>1630</v>
      </c>
    </row>
    <row r="95" spans="1:3">
      <c r="A95" s="433" t="s">
        <v>464</v>
      </c>
      <c r="B95" s="434" t="s">
        <v>501</v>
      </c>
      <c r="C95" s="429">
        <v>1740</v>
      </c>
    </row>
    <row r="96" spans="1:3">
      <c r="A96" s="433" t="s">
        <v>464</v>
      </c>
      <c r="B96" s="434" t="s">
        <v>502</v>
      </c>
      <c r="C96" s="429">
        <v>2950</v>
      </c>
    </row>
    <row r="97" spans="1:3">
      <c r="A97" s="433" t="s">
        <v>464</v>
      </c>
      <c r="B97" s="434" t="s">
        <v>451</v>
      </c>
      <c r="C97" s="429">
        <v>320</v>
      </c>
    </row>
    <row r="98" spans="1:3">
      <c r="A98" s="433" t="s">
        <v>464</v>
      </c>
      <c r="B98" s="434" t="s">
        <v>452</v>
      </c>
      <c r="C98" s="429">
        <v>264</v>
      </c>
    </row>
    <row r="99" spans="1:3">
      <c r="A99" s="433" t="s">
        <v>464</v>
      </c>
      <c r="B99" s="434" t="s">
        <v>453</v>
      </c>
      <c r="C99" s="429">
        <v>332</v>
      </c>
    </row>
    <row r="100" spans="1:3">
      <c r="A100" s="433" t="s">
        <v>464</v>
      </c>
      <c r="B100" s="434" t="s">
        <v>454</v>
      </c>
      <c r="C100" s="429">
        <v>225</v>
      </c>
    </row>
    <row r="101" spans="1:3">
      <c r="A101" s="433" t="s">
        <v>464</v>
      </c>
      <c r="B101" s="434" t="s">
        <v>463</v>
      </c>
      <c r="C101" s="429">
        <v>433</v>
      </c>
    </row>
    <row r="102" spans="1:3">
      <c r="A102" s="433" t="s">
        <v>464</v>
      </c>
      <c r="B102" s="434" t="s">
        <v>503</v>
      </c>
      <c r="C102" s="429">
        <v>433</v>
      </c>
    </row>
    <row r="103" spans="1:3">
      <c r="A103" s="433" t="s">
        <v>464</v>
      </c>
      <c r="B103" s="434" t="s">
        <v>455</v>
      </c>
      <c r="C103" s="429">
        <v>484</v>
      </c>
    </row>
    <row r="104" spans="1:3">
      <c r="A104" s="433" t="s">
        <v>464</v>
      </c>
      <c r="B104" s="434" t="s">
        <v>504</v>
      </c>
      <c r="C104" s="429">
        <v>476</v>
      </c>
    </row>
    <row r="105" spans="1:3">
      <c r="A105" s="433" t="s">
        <v>464</v>
      </c>
      <c r="B105" s="434" t="s">
        <v>456</v>
      </c>
      <c r="C105" s="429">
        <v>449</v>
      </c>
    </row>
    <row r="106" spans="1:3">
      <c r="A106" s="433" t="s">
        <v>464</v>
      </c>
      <c r="B106" s="434" t="s">
        <v>505</v>
      </c>
      <c r="C106" s="429">
        <v>306</v>
      </c>
    </row>
    <row r="107" spans="1:3">
      <c r="A107" s="433" t="s">
        <v>464</v>
      </c>
      <c r="B107" s="434" t="s">
        <v>457</v>
      </c>
      <c r="C107" s="429">
        <v>346</v>
      </c>
    </row>
    <row r="108" spans="1:3">
      <c r="A108" s="433" t="s">
        <v>464</v>
      </c>
      <c r="B108" s="434" t="s">
        <v>458</v>
      </c>
      <c r="C108" s="429">
        <v>335</v>
      </c>
    </row>
    <row r="109" spans="1:3">
      <c r="A109" s="433" t="s">
        <v>464</v>
      </c>
      <c r="B109" s="434" t="s">
        <v>459</v>
      </c>
      <c r="C109" s="429">
        <v>295</v>
      </c>
    </row>
    <row r="110" spans="1:3">
      <c r="A110" s="433" t="s">
        <v>464</v>
      </c>
      <c r="B110" s="434" t="s">
        <v>460</v>
      </c>
      <c r="C110" s="429">
        <v>335</v>
      </c>
    </row>
    <row r="111" spans="1:3">
      <c r="A111" s="433" t="s">
        <v>464</v>
      </c>
      <c r="B111" s="434" t="s">
        <v>506</v>
      </c>
      <c r="C111" s="429">
        <v>254</v>
      </c>
    </row>
    <row r="112" spans="1:3">
      <c r="A112" s="433" t="s">
        <v>464</v>
      </c>
      <c r="B112" s="434" t="s">
        <v>461</v>
      </c>
      <c r="C112" s="429">
        <v>472</v>
      </c>
    </row>
    <row r="113" spans="1:3">
      <c r="A113" s="433" t="s">
        <v>464</v>
      </c>
      <c r="B113" s="434" t="s">
        <v>507</v>
      </c>
      <c r="C113" s="429">
        <v>6320</v>
      </c>
    </row>
    <row r="114" spans="1:3">
      <c r="A114" s="433" t="s">
        <v>464</v>
      </c>
      <c r="B114" s="434" t="s">
        <v>508</v>
      </c>
      <c r="C114" s="429">
        <v>4800</v>
      </c>
    </row>
    <row r="115" spans="1:3">
      <c r="A115" s="433" t="s">
        <v>464</v>
      </c>
      <c r="B115" s="434" t="s">
        <v>509</v>
      </c>
      <c r="C115" s="429">
        <v>5120</v>
      </c>
    </row>
    <row r="116" spans="1:3">
      <c r="A116" s="433" t="s">
        <v>464</v>
      </c>
      <c r="B116" s="434" t="s">
        <v>510</v>
      </c>
      <c r="C116" s="429">
        <v>5460</v>
      </c>
    </row>
    <row r="117" spans="1:3">
      <c r="A117" s="433" t="s">
        <v>464</v>
      </c>
      <c r="B117" s="434" t="s">
        <v>511</v>
      </c>
      <c r="C117" s="429">
        <v>5100</v>
      </c>
    </row>
    <row r="118" spans="1:3">
      <c r="A118" s="433" t="s">
        <v>464</v>
      </c>
      <c r="B118" s="434" t="s">
        <v>512</v>
      </c>
      <c r="C118" s="429">
        <v>6530</v>
      </c>
    </row>
    <row r="119" spans="1:3">
      <c r="A119" s="433" t="s">
        <v>464</v>
      </c>
      <c r="B119" s="434" t="s">
        <v>513</v>
      </c>
      <c r="C119" s="429">
        <v>5890</v>
      </c>
    </row>
    <row r="120" spans="1:3">
      <c r="A120" s="433" t="s">
        <v>464</v>
      </c>
      <c r="B120" s="434" t="s">
        <v>514</v>
      </c>
      <c r="C120" s="429">
        <v>5250</v>
      </c>
    </row>
    <row r="121" spans="1:3">
      <c r="A121" s="433" t="s">
        <v>464</v>
      </c>
      <c r="B121" s="434" t="s">
        <v>515</v>
      </c>
      <c r="C121" s="429">
        <v>8180</v>
      </c>
    </row>
    <row r="122" spans="1:3">
      <c r="A122" s="433" t="s">
        <v>516</v>
      </c>
      <c r="B122" s="434" t="s">
        <v>431</v>
      </c>
      <c r="C122" s="429">
        <v>2800</v>
      </c>
    </row>
    <row r="123" spans="1:3">
      <c r="A123" s="433" t="s">
        <v>516</v>
      </c>
      <c r="B123" s="434" t="s">
        <v>433</v>
      </c>
      <c r="C123" s="429">
        <v>1850</v>
      </c>
    </row>
    <row r="124" spans="1:3">
      <c r="A124" s="433" t="s">
        <v>516</v>
      </c>
      <c r="B124" s="434" t="s">
        <v>437</v>
      </c>
      <c r="C124" s="429">
        <v>1600</v>
      </c>
    </row>
    <row r="125" spans="1:3">
      <c r="A125" s="433" t="s">
        <v>516</v>
      </c>
      <c r="B125" s="434" t="s">
        <v>450</v>
      </c>
      <c r="C125" s="429">
        <v>1880</v>
      </c>
    </row>
    <row r="126" spans="1:3">
      <c r="A126" s="433" t="s">
        <v>516</v>
      </c>
      <c r="B126" s="434" t="s">
        <v>451</v>
      </c>
      <c r="C126" s="429">
        <v>497</v>
      </c>
    </row>
    <row r="127" spans="1:3">
      <c r="A127" s="433" t="s">
        <v>516</v>
      </c>
      <c r="B127" s="434" t="s">
        <v>452</v>
      </c>
      <c r="C127" s="429">
        <v>435</v>
      </c>
    </row>
    <row r="128" spans="1:3">
      <c r="A128" s="433" t="s">
        <v>516</v>
      </c>
      <c r="B128" s="434" t="s">
        <v>453</v>
      </c>
      <c r="C128" s="429">
        <v>497</v>
      </c>
    </row>
    <row r="129" spans="1:3">
      <c r="A129" s="433" t="s">
        <v>516</v>
      </c>
      <c r="B129" s="434" t="s">
        <v>454</v>
      </c>
      <c r="C129" s="429">
        <v>396</v>
      </c>
    </row>
    <row r="130" spans="1:3">
      <c r="A130" s="433" t="s">
        <v>516</v>
      </c>
      <c r="B130" s="434" t="s">
        <v>463</v>
      </c>
      <c r="C130" s="429">
        <v>609</v>
      </c>
    </row>
    <row r="131" spans="1:3">
      <c r="A131" s="433" t="s">
        <v>516</v>
      </c>
      <c r="B131" s="434" t="s">
        <v>455</v>
      </c>
      <c r="C131" s="429">
        <v>658</v>
      </c>
    </row>
    <row r="132" spans="1:3">
      <c r="A132" s="433" t="s">
        <v>516</v>
      </c>
      <c r="B132" s="434" t="s">
        <v>505</v>
      </c>
      <c r="C132" s="429">
        <v>468</v>
      </c>
    </row>
    <row r="133" spans="1:3">
      <c r="A133" s="433" t="s">
        <v>516</v>
      </c>
      <c r="B133" s="434" t="s">
        <v>458</v>
      </c>
      <c r="C133" s="429">
        <v>509</v>
      </c>
    </row>
    <row r="134" spans="1:3">
      <c r="A134" s="433" t="s">
        <v>516</v>
      </c>
      <c r="B134" s="434" t="s">
        <v>461</v>
      </c>
      <c r="C134" s="429">
        <v>647</v>
      </c>
    </row>
    <row r="135" spans="1:3">
      <c r="A135" s="433" t="s">
        <v>517</v>
      </c>
      <c r="B135" s="434" t="s">
        <v>477</v>
      </c>
      <c r="C135" s="429">
        <v>1190</v>
      </c>
    </row>
    <row r="136" spans="1:3">
      <c r="A136" s="433" t="s">
        <v>517</v>
      </c>
      <c r="B136" s="434" t="s">
        <v>433</v>
      </c>
      <c r="C136" s="429">
        <v>1670</v>
      </c>
    </row>
    <row r="137" spans="1:3">
      <c r="A137" s="433" t="s">
        <v>517</v>
      </c>
      <c r="B137" s="434" t="s">
        <v>440</v>
      </c>
      <c r="C137" s="429">
        <v>266</v>
      </c>
    </row>
    <row r="138" spans="1:3">
      <c r="A138" s="433" t="s">
        <v>517</v>
      </c>
      <c r="B138" s="434" t="s">
        <v>450</v>
      </c>
      <c r="C138" s="429">
        <v>1670</v>
      </c>
    </row>
    <row r="139" spans="1:3">
      <c r="A139" s="433" t="s">
        <v>517</v>
      </c>
      <c r="B139" s="434" t="s">
        <v>463</v>
      </c>
      <c r="C139" s="429">
        <v>627</v>
      </c>
    </row>
    <row r="140" spans="1:3">
      <c r="A140" s="433" t="s">
        <v>517</v>
      </c>
      <c r="B140" s="434" t="s">
        <v>461</v>
      </c>
      <c r="C140" s="429">
        <v>668</v>
      </c>
    </row>
    <row r="141" spans="1:3">
      <c r="A141" s="433" t="s">
        <v>518</v>
      </c>
      <c r="B141" s="434" t="s">
        <v>473</v>
      </c>
      <c r="C141" s="429">
        <v>1510</v>
      </c>
    </row>
    <row r="142" spans="1:3">
      <c r="A142" s="433" t="s">
        <v>518</v>
      </c>
      <c r="B142" s="434" t="s">
        <v>519</v>
      </c>
      <c r="C142" s="429">
        <v>1450</v>
      </c>
    </row>
    <row r="143" spans="1:3">
      <c r="A143" s="433" t="s">
        <v>518</v>
      </c>
      <c r="B143" s="434" t="s">
        <v>431</v>
      </c>
      <c r="C143" s="429">
        <v>2670</v>
      </c>
    </row>
    <row r="144" spans="1:3">
      <c r="A144" s="433" t="s">
        <v>518</v>
      </c>
      <c r="B144" s="434" t="s">
        <v>433</v>
      </c>
      <c r="C144" s="429">
        <v>1720</v>
      </c>
    </row>
    <row r="145" spans="1:3">
      <c r="A145" s="433" t="s">
        <v>518</v>
      </c>
      <c r="B145" s="434" t="s">
        <v>435</v>
      </c>
      <c r="C145" s="429">
        <v>1820</v>
      </c>
    </row>
    <row r="146" spans="1:3">
      <c r="A146" s="433" t="s">
        <v>518</v>
      </c>
      <c r="B146" s="434" t="s">
        <v>436</v>
      </c>
      <c r="C146" s="429">
        <v>1710</v>
      </c>
    </row>
    <row r="147" spans="1:3">
      <c r="A147" s="433" t="s">
        <v>518</v>
      </c>
      <c r="B147" s="434" t="s">
        <v>484</v>
      </c>
      <c r="C147" s="429">
        <v>850</v>
      </c>
    </row>
    <row r="148" spans="1:3">
      <c r="A148" s="433" t="s">
        <v>518</v>
      </c>
      <c r="B148" s="434" t="s">
        <v>439</v>
      </c>
      <c r="C148" s="429">
        <v>901</v>
      </c>
    </row>
    <row r="149" spans="1:3">
      <c r="A149" s="433" t="s">
        <v>518</v>
      </c>
      <c r="B149" s="434" t="s">
        <v>520</v>
      </c>
      <c r="C149" s="429">
        <v>808</v>
      </c>
    </row>
    <row r="150" spans="1:3">
      <c r="A150" s="433" t="s">
        <v>518</v>
      </c>
      <c r="B150" s="434" t="s">
        <v>440</v>
      </c>
      <c r="C150" s="429">
        <v>196</v>
      </c>
    </row>
    <row r="151" spans="1:3">
      <c r="A151" s="433" t="s">
        <v>518</v>
      </c>
      <c r="B151" s="434" t="s">
        <v>445</v>
      </c>
      <c r="C151" s="429">
        <v>2010</v>
      </c>
    </row>
    <row r="152" spans="1:3">
      <c r="A152" s="433" t="s">
        <v>518</v>
      </c>
      <c r="B152" s="434" t="s">
        <v>497</v>
      </c>
      <c r="C152" s="429">
        <v>2010</v>
      </c>
    </row>
    <row r="153" spans="1:3">
      <c r="A153" s="433" t="s">
        <v>518</v>
      </c>
      <c r="B153" s="434" t="s">
        <v>449</v>
      </c>
      <c r="C153" s="429">
        <v>1770</v>
      </c>
    </row>
    <row r="154" spans="1:3">
      <c r="A154" s="433" t="s">
        <v>518</v>
      </c>
      <c r="B154" s="434" t="s">
        <v>450</v>
      </c>
      <c r="C154" s="429">
        <v>1740</v>
      </c>
    </row>
    <row r="155" spans="1:3">
      <c r="A155" s="433" t="s">
        <v>518</v>
      </c>
      <c r="B155" s="434" t="s">
        <v>451</v>
      </c>
      <c r="C155" s="429">
        <v>486</v>
      </c>
    </row>
    <row r="156" spans="1:3">
      <c r="A156" s="433" t="s">
        <v>518</v>
      </c>
      <c r="B156" s="434" t="s">
        <v>452</v>
      </c>
      <c r="C156" s="429">
        <v>451</v>
      </c>
    </row>
    <row r="157" spans="1:3">
      <c r="A157" s="433" t="s">
        <v>518</v>
      </c>
      <c r="B157" s="434" t="s">
        <v>453</v>
      </c>
      <c r="C157" s="429">
        <v>449</v>
      </c>
    </row>
    <row r="158" spans="1:3">
      <c r="A158" s="433" t="s">
        <v>518</v>
      </c>
      <c r="B158" s="434" t="s">
        <v>454</v>
      </c>
      <c r="C158" s="429">
        <v>412</v>
      </c>
    </row>
    <row r="159" spans="1:3">
      <c r="A159" s="433" t="s">
        <v>518</v>
      </c>
      <c r="B159" s="434" t="s">
        <v>455</v>
      </c>
      <c r="C159" s="429">
        <v>624</v>
      </c>
    </row>
    <row r="160" spans="1:3">
      <c r="A160" s="433" t="s">
        <v>518</v>
      </c>
      <c r="B160" s="434" t="s">
        <v>456</v>
      </c>
      <c r="C160" s="429">
        <v>594</v>
      </c>
    </row>
    <row r="161" spans="1:3">
      <c r="A161" s="433" t="s">
        <v>518</v>
      </c>
      <c r="B161" s="434" t="s">
        <v>460</v>
      </c>
      <c r="C161" s="429">
        <v>510</v>
      </c>
    </row>
    <row r="162" spans="1:3">
      <c r="A162" s="433" t="s">
        <v>518</v>
      </c>
      <c r="B162" s="434" t="s">
        <v>461</v>
      </c>
      <c r="C162" s="429">
        <v>631</v>
      </c>
    </row>
    <row r="163" spans="1:3">
      <c r="A163" s="433" t="s">
        <v>518</v>
      </c>
      <c r="B163" s="434" t="s">
        <v>508</v>
      </c>
      <c r="C163" s="429">
        <v>4650</v>
      </c>
    </row>
    <row r="164" spans="1:3">
      <c r="A164" s="433" t="s">
        <v>518</v>
      </c>
      <c r="B164" s="434" t="s">
        <v>509</v>
      </c>
      <c r="C164" s="429">
        <v>4970</v>
      </c>
    </row>
    <row r="165" spans="1:3">
      <c r="A165" s="433" t="s">
        <v>518</v>
      </c>
      <c r="B165" s="434" t="s">
        <v>511</v>
      </c>
      <c r="C165" s="429">
        <v>4940</v>
      </c>
    </row>
    <row r="166" spans="1:3">
      <c r="A166" s="433" t="s">
        <v>518</v>
      </c>
      <c r="B166" s="434" t="s">
        <v>521</v>
      </c>
      <c r="C166" s="429">
        <v>5760</v>
      </c>
    </row>
    <row r="167" spans="1:3" ht="15.75" thickBot="1">
      <c r="A167" s="435" t="s">
        <v>518</v>
      </c>
      <c r="B167" s="436" t="s">
        <v>514</v>
      </c>
      <c r="C167" s="430">
        <v>5090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theme="9"/>
  </sheetPr>
  <dimension ref="A1:I15"/>
  <sheetViews>
    <sheetView workbookViewId="0"/>
  </sheetViews>
  <sheetFormatPr defaultRowHeight="15"/>
  <cols>
    <col min="1" max="1" width="23.140625" bestFit="1" customWidth="1"/>
  </cols>
  <sheetData>
    <row r="1" spans="1:9">
      <c r="A1" s="411" t="s">
        <v>522</v>
      </c>
      <c r="B1" s="410"/>
      <c r="C1" s="410"/>
      <c r="D1" s="410"/>
      <c r="E1" s="410"/>
      <c r="F1" s="410"/>
      <c r="G1" s="410"/>
      <c r="H1" s="410"/>
      <c r="I1" s="410"/>
    </row>
    <row r="2" spans="1:9" ht="15.75" thickBot="1"/>
    <row r="3" spans="1:9">
      <c r="A3" s="419" t="s">
        <v>523</v>
      </c>
      <c r="B3" s="418">
        <v>2005</v>
      </c>
      <c r="C3" s="414">
        <v>2006</v>
      </c>
      <c r="D3" s="414">
        <v>2007</v>
      </c>
      <c r="E3" s="414">
        <v>2008</v>
      </c>
      <c r="F3" s="414">
        <v>2009</v>
      </c>
      <c r="G3" s="414">
        <v>2010</v>
      </c>
      <c r="H3" s="414">
        <v>2011</v>
      </c>
      <c r="I3" s="415">
        <v>2012</v>
      </c>
    </row>
    <row r="4" spans="1:9">
      <c r="A4" s="417" t="s">
        <v>524</v>
      </c>
      <c r="B4" s="416">
        <v>64.099999999999994</v>
      </c>
      <c r="C4" s="412">
        <v>107.2</v>
      </c>
      <c r="D4" s="412">
        <v>111</v>
      </c>
      <c r="E4" s="412">
        <v>107.3</v>
      </c>
      <c r="F4" s="412">
        <v>97.3</v>
      </c>
      <c r="G4" s="412">
        <v>105.3</v>
      </c>
      <c r="H4" s="412">
        <v>101.9</v>
      </c>
      <c r="I4" s="413">
        <v>111.1</v>
      </c>
    </row>
    <row r="5" spans="1:9">
      <c r="A5" s="417" t="s">
        <v>525</v>
      </c>
      <c r="B5" s="416">
        <v>29.3</v>
      </c>
      <c r="C5" s="412">
        <v>31.1</v>
      </c>
      <c r="D5" s="412">
        <v>27</v>
      </c>
      <c r="E5" s="412">
        <v>23.2</v>
      </c>
      <c r="F5" s="412">
        <v>18.899999999999999</v>
      </c>
      <c r="G5" s="412">
        <v>20</v>
      </c>
      <c r="H5" s="412">
        <v>16.600000000000001</v>
      </c>
      <c r="I5" s="413">
        <v>16.100000000000001</v>
      </c>
    </row>
    <row r="6" spans="1:9">
      <c r="A6" s="417" t="s">
        <v>526</v>
      </c>
      <c r="B6" s="416">
        <v>7</v>
      </c>
      <c r="C6" s="412">
        <v>7.2</v>
      </c>
      <c r="D6" s="412">
        <v>5.5</v>
      </c>
      <c r="E6" s="412">
        <v>4</v>
      </c>
      <c r="F6" s="412">
        <v>0.9</v>
      </c>
      <c r="G6" s="412">
        <v>0.8</v>
      </c>
      <c r="H6" s="412">
        <v>0.8</v>
      </c>
      <c r="I6" s="413">
        <v>0.7</v>
      </c>
    </row>
    <row r="7" spans="1:9">
      <c r="A7" s="417" t="s">
        <v>527</v>
      </c>
      <c r="B7" s="416">
        <v>0</v>
      </c>
      <c r="C7" s="412">
        <v>0</v>
      </c>
      <c r="D7" s="412">
        <v>0</v>
      </c>
      <c r="E7" s="412">
        <v>0</v>
      </c>
      <c r="F7" s="412">
        <v>0</v>
      </c>
      <c r="G7" s="412">
        <v>0</v>
      </c>
      <c r="H7" s="412">
        <v>0</v>
      </c>
      <c r="I7" s="413">
        <v>0</v>
      </c>
    </row>
    <row r="8" spans="1:9">
      <c r="A8" s="417" t="s">
        <v>528</v>
      </c>
      <c r="B8" s="416">
        <v>0</v>
      </c>
      <c r="C8" s="412">
        <v>0</v>
      </c>
      <c r="D8" s="412">
        <v>0</v>
      </c>
      <c r="E8" s="412">
        <v>0</v>
      </c>
      <c r="F8" s="412">
        <v>0</v>
      </c>
      <c r="G8" s="412">
        <v>0</v>
      </c>
      <c r="H8" s="412">
        <v>0</v>
      </c>
      <c r="I8" s="413">
        <v>0</v>
      </c>
    </row>
    <row r="9" spans="1:9" ht="15.75" thickBot="1">
      <c r="A9" s="417" t="s">
        <v>529</v>
      </c>
      <c r="B9" s="416">
        <v>0</v>
      </c>
      <c r="C9" s="412">
        <v>0</v>
      </c>
      <c r="D9" s="412">
        <v>0</v>
      </c>
      <c r="E9" s="412">
        <v>0</v>
      </c>
      <c r="F9" s="412">
        <v>0</v>
      </c>
      <c r="G9" s="412">
        <v>0</v>
      </c>
      <c r="H9" s="412">
        <v>0</v>
      </c>
      <c r="I9" s="413">
        <v>0</v>
      </c>
    </row>
    <row r="10" spans="1:9" ht="16.5" thickTop="1" thickBot="1">
      <c r="A10" s="420" t="s">
        <v>39</v>
      </c>
      <c r="B10" s="421">
        <v>100.39999999999999</v>
      </c>
      <c r="C10" s="421">
        <v>145.5</v>
      </c>
      <c r="D10" s="421">
        <v>143.5</v>
      </c>
      <c r="E10" s="421">
        <v>134.5</v>
      </c>
      <c r="F10" s="421">
        <v>117.1</v>
      </c>
      <c r="G10" s="421">
        <v>126.1</v>
      </c>
      <c r="H10" s="421">
        <v>119.3</v>
      </c>
      <c r="I10" s="422">
        <v>127.89999999999999</v>
      </c>
    </row>
    <row r="11" spans="1:9" ht="15.75" thickBot="1"/>
    <row r="12" spans="1:9">
      <c r="A12" s="419" t="s">
        <v>523</v>
      </c>
      <c r="B12" s="418">
        <v>2005</v>
      </c>
      <c r="C12" s="414">
        <v>2006</v>
      </c>
      <c r="D12" s="414">
        <v>2007</v>
      </c>
      <c r="E12" s="414">
        <v>2008</v>
      </c>
      <c r="F12" s="414">
        <v>2009</v>
      </c>
      <c r="G12" s="414">
        <v>2010</v>
      </c>
      <c r="H12" s="414">
        <v>2011</v>
      </c>
      <c r="I12" s="415">
        <v>2012</v>
      </c>
    </row>
    <row r="13" spans="1:9">
      <c r="A13" s="417" t="s">
        <v>530</v>
      </c>
      <c r="B13" s="416">
        <v>53.8</v>
      </c>
      <c r="C13" s="412">
        <v>80.400000000000006</v>
      </c>
      <c r="D13" s="412">
        <v>83.2</v>
      </c>
      <c r="E13" s="412">
        <v>78.900000000000006</v>
      </c>
      <c r="F13" s="412">
        <v>66</v>
      </c>
      <c r="G13" s="412">
        <v>67.5</v>
      </c>
      <c r="H13" s="412">
        <v>64.2</v>
      </c>
      <c r="I13" s="413">
        <v>68.400000000000006</v>
      </c>
    </row>
    <row r="14" spans="1:9" ht="15.75" thickBot="1">
      <c r="A14" s="417" t="s">
        <v>531</v>
      </c>
      <c r="B14" s="416">
        <v>46.6</v>
      </c>
      <c r="C14" s="412">
        <v>65.099999999999994</v>
      </c>
      <c r="D14" s="412">
        <v>60.4</v>
      </c>
      <c r="E14" s="412">
        <v>55.7</v>
      </c>
      <c r="F14" s="412">
        <v>51.1</v>
      </c>
      <c r="G14" s="412">
        <v>58.7</v>
      </c>
      <c r="H14" s="412">
        <v>55.1</v>
      </c>
      <c r="I14" s="413">
        <v>59.5</v>
      </c>
    </row>
    <row r="15" spans="1:9" ht="16.5" thickTop="1" thickBot="1">
      <c r="A15" s="420" t="s">
        <v>39</v>
      </c>
      <c r="B15" s="421">
        <v>100.4</v>
      </c>
      <c r="C15" s="421">
        <v>145.5</v>
      </c>
      <c r="D15" s="421">
        <v>143.6</v>
      </c>
      <c r="E15" s="421">
        <v>134.60000000000002</v>
      </c>
      <c r="F15" s="421">
        <v>117.1</v>
      </c>
      <c r="G15" s="421">
        <v>126.2</v>
      </c>
      <c r="H15" s="421">
        <v>119.30000000000001</v>
      </c>
      <c r="I15" s="422">
        <v>127.9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FF0000"/>
  </sheetPr>
  <dimension ref="A1:AI31"/>
  <sheetViews>
    <sheetView workbookViewId="0"/>
  </sheetViews>
  <sheetFormatPr defaultRowHeight="15"/>
  <cols>
    <col min="1" max="1" width="38.42578125" bestFit="1" customWidth="1"/>
    <col min="2" max="4" width="17.42578125" bestFit="1" customWidth="1"/>
    <col min="5" max="5" width="17.28515625" customWidth="1"/>
    <col min="6" max="8" width="17.42578125" bestFit="1" customWidth="1"/>
    <col min="9" max="9" width="18.140625" customWidth="1"/>
    <col min="10" max="10" width="12.5703125" bestFit="1" customWidth="1"/>
    <col min="13" max="13" width="30" bestFit="1" customWidth="1"/>
    <col min="17" max="17" width="31.140625" bestFit="1" customWidth="1"/>
    <col min="21" max="21" width="31.140625" bestFit="1" customWidth="1"/>
    <col min="25" max="25" width="31.140625" bestFit="1" customWidth="1"/>
    <col min="29" max="29" width="31.140625" bestFit="1" customWidth="1"/>
    <col min="33" max="33" width="33.28515625" bestFit="1" customWidth="1"/>
  </cols>
  <sheetData>
    <row r="1" spans="1:35">
      <c r="A1" s="539" t="s">
        <v>626</v>
      </c>
      <c r="B1" s="566" t="s">
        <v>593</v>
      </c>
      <c r="C1" s="566" t="s">
        <v>594</v>
      </c>
      <c r="E1" s="539" t="s">
        <v>627</v>
      </c>
      <c r="F1" s="566" t="s">
        <v>593</v>
      </c>
      <c r="G1" s="566" t="s">
        <v>594</v>
      </c>
      <c r="I1" s="539" t="s">
        <v>625</v>
      </c>
      <c r="J1" s="566" t="s">
        <v>593</v>
      </c>
      <c r="K1" s="566" t="s">
        <v>594</v>
      </c>
      <c r="M1" s="539" t="s">
        <v>622</v>
      </c>
      <c r="N1" s="566" t="s">
        <v>593</v>
      </c>
      <c r="O1" s="566" t="s">
        <v>594</v>
      </c>
      <c r="Q1" s="539" t="s">
        <v>623</v>
      </c>
      <c r="R1" s="566" t="s">
        <v>593</v>
      </c>
      <c r="S1" s="566" t="s">
        <v>594</v>
      </c>
      <c r="T1" s="519"/>
      <c r="U1" s="539" t="s">
        <v>624</v>
      </c>
      <c r="V1" s="566" t="s">
        <v>593</v>
      </c>
      <c r="W1" s="566" t="s">
        <v>594</v>
      </c>
      <c r="X1" s="519"/>
      <c r="Y1" s="539" t="s">
        <v>615</v>
      </c>
      <c r="Z1" s="566" t="s">
        <v>593</v>
      </c>
      <c r="AA1" s="566" t="s">
        <v>594</v>
      </c>
      <c r="AB1" s="519"/>
      <c r="AC1" s="539" t="s">
        <v>621</v>
      </c>
      <c r="AD1" s="566" t="s">
        <v>593</v>
      </c>
      <c r="AE1" s="566" t="s">
        <v>594</v>
      </c>
      <c r="AF1" s="519"/>
      <c r="AG1" s="554" t="s">
        <v>601</v>
      </c>
      <c r="AH1" s="570" t="s">
        <v>593</v>
      </c>
      <c r="AI1" s="557" t="s">
        <v>594</v>
      </c>
    </row>
    <row r="2" spans="1:35">
      <c r="A2" s="559"/>
      <c r="B2" s="560"/>
      <c r="C2" s="560"/>
      <c r="E2" s="559"/>
      <c r="F2" s="560"/>
      <c r="G2" s="560"/>
      <c r="I2" s="559"/>
      <c r="J2" s="560"/>
      <c r="K2" s="560"/>
      <c r="M2" s="559"/>
      <c r="N2" s="560"/>
      <c r="O2" s="560"/>
      <c r="Q2" s="559"/>
      <c r="R2" s="560"/>
      <c r="S2" s="560"/>
      <c r="T2" s="519"/>
      <c r="U2" s="559"/>
      <c r="V2" s="560"/>
      <c r="W2" s="560"/>
      <c r="X2" s="519"/>
      <c r="Y2" s="559"/>
      <c r="Z2" s="560"/>
      <c r="AA2" s="560"/>
      <c r="AB2" s="519"/>
      <c r="AC2" s="559"/>
      <c r="AD2" s="560"/>
      <c r="AE2" s="560"/>
      <c r="AF2" s="519"/>
      <c r="AG2" s="559"/>
      <c r="AH2" s="560"/>
      <c r="AI2" s="559"/>
    </row>
    <row r="3" spans="1:35">
      <c r="A3" s="556" t="s">
        <v>911</v>
      </c>
      <c r="B3" s="562">
        <v>15.08</v>
      </c>
      <c r="C3" s="563">
        <v>8.91</v>
      </c>
      <c r="E3" s="556" t="s">
        <v>911</v>
      </c>
      <c r="F3" s="562">
        <v>15.08</v>
      </c>
      <c r="G3" s="563">
        <v>8.91</v>
      </c>
      <c r="I3" s="556" t="s">
        <v>911</v>
      </c>
      <c r="J3" s="562">
        <v>15.08</v>
      </c>
      <c r="K3" s="563">
        <v>8.91</v>
      </c>
      <c r="M3" s="556" t="s">
        <v>911</v>
      </c>
      <c r="N3" s="562">
        <v>16.579999999999998</v>
      </c>
      <c r="O3" s="563">
        <v>8.91</v>
      </c>
      <c r="Q3" s="556" t="s">
        <v>911</v>
      </c>
      <c r="R3" s="562">
        <v>16.579999999999998</v>
      </c>
      <c r="S3" s="563">
        <v>16.399999999999999</v>
      </c>
      <c r="T3" s="519"/>
      <c r="U3" s="556" t="s">
        <v>911</v>
      </c>
      <c r="V3" s="562">
        <v>20.79</v>
      </c>
      <c r="W3" s="563">
        <v>16.399999999999999</v>
      </c>
      <c r="X3" s="519"/>
      <c r="Y3" s="556" t="s">
        <v>911</v>
      </c>
      <c r="Z3" s="562">
        <v>20.8</v>
      </c>
      <c r="AA3" s="563">
        <v>16.399999999999999</v>
      </c>
      <c r="AB3" s="519"/>
      <c r="AC3" s="556" t="s">
        <v>911</v>
      </c>
      <c r="AD3" s="562">
        <v>20.8</v>
      </c>
      <c r="AE3" s="563">
        <v>16.399999999999999</v>
      </c>
      <c r="AF3" s="519"/>
      <c r="AG3" s="556" t="s">
        <v>911</v>
      </c>
      <c r="AH3" s="562">
        <v>20.8</v>
      </c>
      <c r="AI3" s="563">
        <v>16.399999999999999</v>
      </c>
    </row>
    <row r="4" spans="1:35">
      <c r="A4" s="556" t="s">
        <v>912</v>
      </c>
      <c r="B4" s="561">
        <v>43</v>
      </c>
      <c r="C4" s="561">
        <v>22</v>
      </c>
      <c r="E4" s="556" t="s">
        <v>912</v>
      </c>
      <c r="F4" s="561">
        <v>48</v>
      </c>
      <c r="G4" s="561">
        <v>22</v>
      </c>
      <c r="I4" s="556" t="s">
        <v>912</v>
      </c>
      <c r="J4" s="561">
        <v>48</v>
      </c>
      <c r="K4" s="561">
        <v>22</v>
      </c>
      <c r="M4" s="556" t="s">
        <v>912</v>
      </c>
      <c r="N4" s="561">
        <v>53</v>
      </c>
      <c r="O4" s="561">
        <v>22</v>
      </c>
      <c r="Q4" s="556" t="s">
        <v>912</v>
      </c>
      <c r="R4" s="561">
        <v>53</v>
      </c>
      <c r="S4" s="561">
        <v>22</v>
      </c>
      <c r="T4" s="519"/>
      <c r="U4" s="556" t="s">
        <v>912</v>
      </c>
      <c r="V4" s="561">
        <v>51</v>
      </c>
      <c r="W4" s="561">
        <v>40</v>
      </c>
      <c r="X4" s="519"/>
      <c r="Y4" s="556" t="s">
        <v>912</v>
      </c>
      <c r="Z4" s="561">
        <v>51</v>
      </c>
      <c r="AA4" s="561">
        <v>40</v>
      </c>
      <c r="AB4" s="519"/>
      <c r="AC4" s="556" t="s">
        <v>912</v>
      </c>
      <c r="AD4" s="561">
        <v>51</v>
      </c>
      <c r="AE4" s="561">
        <v>40</v>
      </c>
      <c r="AF4" s="519"/>
      <c r="AG4" s="556" t="s">
        <v>912</v>
      </c>
      <c r="AH4" s="561">
        <v>51</v>
      </c>
      <c r="AI4" s="561">
        <v>40</v>
      </c>
    </row>
    <row r="5" spans="1:35">
      <c r="A5" s="556" t="s">
        <v>595</v>
      </c>
      <c r="B5" s="561">
        <v>26</v>
      </c>
      <c r="C5" s="561">
        <v>14</v>
      </c>
      <c r="E5" s="556" t="s">
        <v>595</v>
      </c>
      <c r="F5" s="561">
        <v>26</v>
      </c>
      <c r="G5" s="561">
        <v>14</v>
      </c>
      <c r="I5" s="556" t="s">
        <v>595</v>
      </c>
      <c r="J5" s="561">
        <v>26</v>
      </c>
      <c r="K5" s="561">
        <v>14</v>
      </c>
      <c r="M5" s="556" t="s">
        <v>595</v>
      </c>
      <c r="N5" s="561">
        <v>33</v>
      </c>
      <c r="O5" s="561">
        <v>24</v>
      </c>
      <c r="Q5" s="556" t="s">
        <v>595</v>
      </c>
      <c r="R5" s="561">
        <v>40</v>
      </c>
      <c r="S5" s="561">
        <v>25</v>
      </c>
      <c r="T5" s="519"/>
      <c r="U5" s="556" t="s">
        <v>595</v>
      </c>
      <c r="V5" s="561">
        <v>40</v>
      </c>
      <c r="W5" s="561">
        <v>26</v>
      </c>
      <c r="X5" s="519"/>
      <c r="Y5" s="556" t="s">
        <v>595</v>
      </c>
      <c r="Z5" s="561">
        <v>40</v>
      </c>
      <c r="AA5" s="561">
        <v>26</v>
      </c>
      <c r="AB5" s="519"/>
      <c r="AC5" s="556" t="s">
        <v>595</v>
      </c>
      <c r="AD5" s="561">
        <v>40</v>
      </c>
      <c r="AE5" s="561">
        <v>26</v>
      </c>
      <c r="AF5" s="519"/>
      <c r="AG5" s="556" t="s">
        <v>595</v>
      </c>
      <c r="AH5" s="561">
        <v>40</v>
      </c>
      <c r="AI5" s="561">
        <v>26</v>
      </c>
    </row>
    <row r="6" spans="1:35">
      <c r="A6" s="556" t="s">
        <v>913</v>
      </c>
      <c r="B6" s="561">
        <v>30</v>
      </c>
      <c r="C6" s="561">
        <v>40</v>
      </c>
      <c r="E6" s="556" t="s">
        <v>913</v>
      </c>
      <c r="F6" s="561">
        <v>40</v>
      </c>
      <c r="G6" s="561">
        <v>40</v>
      </c>
      <c r="I6" s="556" t="s">
        <v>913</v>
      </c>
      <c r="J6" s="561">
        <v>40</v>
      </c>
      <c r="K6" s="561">
        <v>40</v>
      </c>
      <c r="M6" s="556" t="s">
        <v>913</v>
      </c>
      <c r="N6" s="561">
        <v>40.799999999999997</v>
      </c>
      <c r="O6" s="561">
        <v>43.6</v>
      </c>
      <c r="Q6" s="556" t="s">
        <v>913</v>
      </c>
      <c r="R6" s="561">
        <v>40.799999999999997</v>
      </c>
      <c r="S6" s="561">
        <v>43.6</v>
      </c>
      <c r="T6" s="519"/>
      <c r="U6" s="556" t="s">
        <v>913</v>
      </c>
      <c r="V6" s="561">
        <v>40.799999999999997</v>
      </c>
      <c r="W6" s="561">
        <v>43.6</v>
      </c>
      <c r="X6" s="519"/>
      <c r="Y6" s="556" t="s">
        <v>913</v>
      </c>
      <c r="Z6" s="561">
        <v>40.799999999999997</v>
      </c>
      <c r="AA6" s="561">
        <v>43.6</v>
      </c>
      <c r="AB6" s="519"/>
      <c r="AC6" s="556" t="s">
        <v>913</v>
      </c>
      <c r="AD6" s="561">
        <v>40.799999999999997</v>
      </c>
      <c r="AE6" s="561">
        <v>43.6</v>
      </c>
      <c r="AF6" s="519"/>
      <c r="AG6" s="556" t="s">
        <v>913</v>
      </c>
      <c r="AH6" s="561">
        <v>40.799999999999997</v>
      </c>
      <c r="AI6" s="561">
        <v>43.6</v>
      </c>
    </row>
    <row r="7" spans="1:35">
      <c r="A7" s="556" t="s">
        <v>596</v>
      </c>
      <c r="B7" s="561">
        <v>221</v>
      </c>
      <c r="C7" s="561">
        <v>310</v>
      </c>
      <c r="E7" s="556" t="s">
        <v>596</v>
      </c>
      <c r="F7" s="561">
        <v>310</v>
      </c>
      <c r="G7" s="561">
        <v>310</v>
      </c>
      <c r="I7" s="556" t="s">
        <v>596</v>
      </c>
      <c r="J7" s="561">
        <v>310</v>
      </c>
      <c r="K7" s="561">
        <v>310</v>
      </c>
      <c r="M7" s="556" t="s">
        <v>596</v>
      </c>
      <c r="N7" s="561">
        <v>310</v>
      </c>
      <c r="O7" s="561">
        <v>314</v>
      </c>
      <c r="Q7" s="556" t="s">
        <v>596</v>
      </c>
      <c r="R7" s="561">
        <v>310</v>
      </c>
      <c r="S7" s="561">
        <v>314</v>
      </c>
      <c r="T7" s="519"/>
      <c r="U7" s="556" t="s">
        <v>596</v>
      </c>
      <c r="V7" s="561">
        <v>310</v>
      </c>
      <c r="W7" s="561">
        <v>314</v>
      </c>
      <c r="X7" s="519"/>
      <c r="Y7" s="556" t="s">
        <v>596</v>
      </c>
      <c r="Z7" s="561">
        <v>310</v>
      </c>
      <c r="AA7" s="561">
        <v>310</v>
      </c>
      <c r="AB7" s="519"/>
      <c r="AC7" s="556" t="s">
        <v>596</v>
      </c>
      <c r="AD7" s="561">
        <v>310</v>
      </c>
      <c r="AE7" s="561">
        <v>310</v>
      </c>
      <c r="AF7" s="519"/>
      <c r="AG7" s="556" t="s">
        <v>596</v>
      </c>
      <c r="AH7" s="561">
        <v>310</v>
      </c>
      <c r="AI7" s="561">
        <v>310</v>
      </c>
    </row>
    <row r="8" spans="1:35">
      <c r="A8" s="556" t="s">
        <v>597</v>
      </c>
      <c r="B8" s="564">
        <v>13673148</v>
      </c>
      <c r="C8" s="564">
        <v>12097322</v>
      </c>
      <c r="E8" s="556" t="s">
        <v>597</v>
      </c>
      <c r="F8" s="564">
        <v>15825116</v>
      </c>
      <c r="G8" s="564">
        <v>12620371</v>
      </c>
      <c r="I8" s="556" t="s">
        <v>597</v>
      </c>
      <c r="J8" s="564">
        <v>14935768</v>
      </c>
      <c r="K8" s="564">
        <v>12555558</v>
      </c>
      <c r="M8" s="556" t="s">
        <v>597</v>
      </c>
      <c r="N8" s="564">
        <v>13633993</v>
      </c>
      <c r="O8" s="564">
        <v>11784717</v>
      </c>
      <c r="Q8" s="556" t="s">
        <v>597</v>
      </c>
      <c r="R8" s="564">
        <v>15606575</v>
      </c>
      <c r="S8" s="564">
        <v>11964915</v>
      </c>
      <c r="T8" s="519"/>
      <c r="U8" s="556" t="s">
        <v>597</v>
      </c>
      <c r="V8" s="564">
        <v>16555192</v>
      </c>
      <c r="W8" s="564">
        <v>12510797</v>
      </c>
      <c r="X8" s="519"/>
      <c r="Y8" s="556" t="s">
        <v>597</v>
      </c>
      <c r="Z8" s="564">
        <v>16526592</v>
      </c>
      <c r="AA8" s="564">
        <v>12781287</v>
      </c>
      <c r="AB8" s="519"/>
      <c r="AC8" s="556" t="s">
        <v>597</v>
      </c>
      <c r="AD8" s="564">
        <v>17210094</v>
      </c>
      <c r="AE8" s="564">
        <v>13301987</v>
      </c>
      <c r="AF8" s="519"/>
      <c r="AG8" s="556" t="s">
        <v>597</v>
      </c>
      <c r="AH8" s="564">
        <v>18440779</v>
      </c>
      <c r="AI8" s="564">
        <v>14171506</v>
      </c>
    </row>
    <row r="9" spans="1:35">
      <c r="A9" s="556" t="s">
        <v>553</v>
      </c>
      <c r="B9" s="564">
        <v>1646000</v>
      </c>
      <c r="C9" s="564">
        <v>1014000</v>
      </c>
      <c r="E9" s="556" t="s">
        <v>553</v>
      </c>
      <c r="F9" s="564">
        <v>1770000</v>
      </c>
      <c r="G9" s="564">
        <v>987000</v>
      </c>
      <c r="I9" s="556" t="s">
        <v>553</v>
      </c>
      <c r="J9" s="564">
        <v>1698000</v>
      </c>
      <c r="K9" s="564">
        <v>1046000</v>
      </c>
      <c r="M9" s="556" t="s">
        <v>553</v>
      </c>
      <c r="N9" s="564">
        <v>1664000</v>
      </c>
      <c r="O9" s="564">
        <v>1023000</v>
      </c>
      <c r="Q9" s="556" t="s">
        <v>553</v>
      </c>
      <c r="R9" s="564">
        <v>1855000</v>
      </c>
      <c r="S9" s="564">
        <v>1148000</v>
      </c>
      <c r="T9" s="519"/>
      <c r="U9" s="556" t="s">
        <v>553</v>
      </c>
      <c r="V9" s="564">
        <v>2178000</v>
      </c>
      <c r="W9" s="564">
        <v>1669000</v>
      </c>
      <c r="X9" s="519"/>
      <c r="Y9" s="556" t="s">
        <v>553</v>
      </c>
      <c r="Z9" s="564">
        <v>2369027</v>
      </c>
      <c r="AA9" s="564">
        <v>1621471</v>
      </c>
      <c r="AB9" s="519"/>
      <c r="AC9" s="556" t="s">
        <v>553</v>
      </c>
      <c r="AD9" s="564">
        <v>2300684</v>
      </c>
      <c r="AE9" s="564">
        <v>1579411</v>
      </c>
      <c r="AF9" s="519"/>
      <c r="AG9" s="556" t="s">
        <v>553</v>
      </c>
      <c r="AH9" s="564">
        <v>2305956</v>
      </c>
      <c r="AI9" s="564">
        <v>1572894</v>
      </c>
    </row>
    <row r="10" spans="1:35">
      <c r="A10" s="556" t="s">
        <v>598</v>
      </c>
      <c r="B10" s="564">
        <v>67130000</v>
      </c>
      <c r="C10" s="564">
        <v>45980000</v>
      </c>
      <c r="E10" s="556" t="s">
        <v>598</v>
      </c>
      <c r="F10" s="564">
        <v>107000000</v>
      </c>
      <c r="G10" s="564">
        <v>68000000</v>
      </c>
      <c r="I10" s="556" t="s">
        <v>598</v>
      </c>
      <c r="J10" s="564">
        <v>83000000</v>
      </c>
      <c r="K10" s="564">
        <v>58000000</v>
      </c>
      <c r="M10" s="556" t="s">
        <v>598</v>
      </c>
      <c r="N10" s="564">
        <v>79000000</v>
      </c>
      <c r="O10" s="564">
        <v>53000000</v>
      </c>
      <c r="Q10" s="556" t="s">
        <v>598</v>
      </c>
      <c r="R10" s="564">
        <v>69000000</v>
      </c>
      <c r="S10" s="564">
        <v>62000000</v>
      </c>
      <c r="T10" s="519"/>
      <c r="U10" s="556" t="s">
        <v>598</v>
      </c>
      <c r="V10" s="564">
        <v>73000000</v>
      </c>
      <c r="W10" s="564">
        <v>65000000</v>
      </c>
      <c r="X10" s="519"/>
      <c r="Y10" s="556" t="s">
        <v>598</v>
      </c>
      <c r="Z10" s="564">
        <v>71100000</v>
      </c>
      <c r="AA10" s="564">
        <v>72900000</v>
      </c>
      <c r="AB10" s="519"/>
      <c r="AC10" s="556" t="s">
        <v>598</v>
      </c>
      <c r="AD10" s="564">
        <v>74003404</v>
      </c>
      <c r="AE10" s="564">
        <v>75821326</v>
      </c>
      <c r="AF10" s="519"/>
      <c r="AG10" s="556" t="s">
        <v>598</v>
      </c>
      <c r="AH10" s="564">
        <v>79295350</v>
      </c>
      <c r="AI10" s="564">
        <v>80777584</v>
      </c>
    </row>
    <row r="11" spans="1:35">
      <c r="A11" s="556" t="s">
        <v>914</v>
      </c>
      <c r="B11" s="561">
        <v>4.9000000000000004</v>
      </c>
      <c r="C11" s="561">
        <v>3.8</v>
      </c>
      <c r="E11" s="556" t="s">
        <v>914</v>
      </c>
      <c r="F11" s="561">
        <v>6.8</v>
      </c>
      <c r="G11" s="561">
        <v>5.4</v>
      </c>
      <c r="I11" s="556" t="s">
        <v>914</v>
      </c>
      <c r="J11" s="561">
        <v>5.6</v>
      </c>
      <c r="K11" s="561">
        <v>4.7</v>
      </c>
      <c r="M11" s="556" t="s">
        <v>914</v>
      </c>
      <c r="N11" s="561">
        <v>5.8</v>
      </c>
      <c r="O11" s="561">
        <v>4.5</v>
      </c>
      <c r="Q11" s="556" t="s">
        <v>914</v>
      </c>
      <c r="R11" s="561">
        <v>4.4000000000000004</v>
      </c>
      <c r="S11" s="561">
        <v>5.2</v>
      </c>
      <c r="T11" s="519"/>
      <c r="U11" s="556" t="s">
        <v>914</v>
      </c>
      <c r="V11" s="561">
        <v>4.4000000000000004</v>
      </c>
      <c r="W11" s="561">
        <v>5.2</v>
      </c>
      <c r="X11" s="519"/>
      <c r="Y11" s="556" t="s">
        <v>914</v>
      </c>
      <c r="Z11" s="561">
        <v>4.3</v>
      </c>
      <c r="AA11" s="561">
        <v>5.7</v>
      </c>
      <c r="AB11" s="519"/>
      <c r="AC11" s="556" t="s">
        <v>914</v>
      </c>
      <c r="AD11" s="561">
        <v>4.3</v>
      </c>
      <c r="AE11" s="561">
        <v>5.7</v>
      </c>
      <c r="AF11" s="519"/>
      <c r="AG11" s="556" t="s">
        <v>914</v>
      </c>
      <c r="AH11" s="561">
        <v>4.3</v>
      </c>
      <c r="AI11" s="561">
        <v>5.7</v>
      </c>
    </row>
    <row r="12" spans="1:35">
      <c r="A12" s="556" t="s">
        <v>599</v>
      </c>
      <c r="B12" s="561">
        <v>8</v>
      </c>
      <c r="C12" s="561">
        <v>5</v>
      </c>
      <c r="E12" s="556" t="s">
        <v>599</v>
      </c>
      <c r="F12" s="561">
        <v>8</v>
      </c>
      <c r="G12" s="561">
        <v>5</v>
      </c>
      <c r="I12" s="556" t="s">
        <v>599</v>
      </c>
      <c r="J12" s="561">
        <v>8</v>
      </c>
      <c r="K12" s="561">
        <v>6</v>
      </c>
      <c r="M12" s="556" t="s">
        <v>599</v>
      </c>
      <c r="N12" s="561">
        <v>8</v>
      </c>
      <c r="O12" s="561">
        <v>6</v>
      </c>
      <c r="Q12" s="556" t="s">
        <v>599</v>
      </c>
      <c r="R12" s="561">
        <v>7</v>
      </c>
      <c r="S12" s="561">
        <v>7</v>
      </c>
      <c r="T12" s="519"/>
      <c r="U12" s="556" t="s">
        <v>599</v>
      </c>
      <c r="V12" s="561">
        <v>7</v>
      </c>
      <c r="W12" s="561">
        <v>7</v>
      </c>
      <c r="X12" s="519"/>
      <c r="Y12" s="556" t="s">
        <v>599</v>
      </c>
      <c r="Z12" s="561">
        <v>6</v>
      </c>
      <c r="AA12" s="561">
        <v>8</v>
      </c>
      <c r="AB12" s="519"/>
      <c r="AC12" s="556" t="s">
        <v>599</v>
      </c>
      <c r="AD12" s="561">
        <v>6</v>
      </c>
      <c r="AE12" s="561">
        <v>8</v>
      </c>
      <c r="AF12" s="519"/>
      <c r="AG12" s="559" t="s">
        <v>599</v>
      </c>
      <c r="AH12" s="561">
        <v>6</v>
      </c>
      <c r="AI12" s="561">
        <v>8</v>
      </c>
    </row>
    <row r="13" spans="1:35">
      <c r="A13" s="556" t="s">
        <v>600</v>
      </c>
      <c r="B13" s="565">
        <v>0.99450000000000005</v>
      </c>
      <c r="C13" s="565">
        <v>0.99450000000000005</v>
      </c>
      <c r="E13" s="556" t="s">
        <v>600</v>
      </c>
      <c r="F13" s="565">
        <v>0.99250000000000005</v>
      </c>
      <c r="G13" s="565">
        <v>0.99580000000000002</v>
      </c>
      <c r="I13" s="556" t="s">
        <v>600</v>
      </c>
      <c r="J13" s="565">
        <v>0.99719999999999998</v>
      </c>
      <c r="K13" s="565">
        <v>0.99819999999999998</v>
      </c>
      <c r="M13" s="556" t="s">
        <v>600</v>
      </c>
      <c r="N13" s="565">
        <v>0.99609999999999999</v>
      </c>
      <c r="O13" s="565">
        <v>0.99750000000000005</v>
      </c>
      <c r="Q13" s="556" t="s">
        <v>600</v>
      </c>
      <c r="R13" s="565">
        <v>0.98</v>
      </c>
      <c r="S13" s="565">
        <v>0.99339999999999995</v>
      </c>
      <c r="T13" s="519"/>
      <c r="U13" s="556" t="s">
        <v>600</v>
      </c>
      <c r="V13" s="565">
        <v>0.99419999999999997</v>
      </c>
      <c r="W13" s="565">
        <v>0.99909999999999999</v>
      </c>
      <c r="X13" s="519"/>
      <c r="Y13" s="556" t="s">
        <v>600</v>
      </c>
      <c r="Z13" s="565">
        <v>0.98829999999999996</v>
      </c>
      <c r="AA13" s="565">
        <v>0.99770000000000003</v>
      </c>
      <c r="AB13" s="519"/>
      <c r="AC13" s="556" t="s">
        <v>600</v>
      </c>
      <c r="AD13" s="565">
        <v>0.99409999999999998</v>
      </c>
      <c r="AE13" s="565">
        <v>0.99839999999999995</v>
      </c>
      <c r="AF13" s="519"/>
      <c r="AG13" s="559" t="s">
        <v>600</v>
      </c>
      <c r="AH13" s="565">
        <v>0.98829999999999996</v>
      </c>
      <c r="AI13" s="565">
        <v>0.99770000000000003</v>
      </c>
    </row>
    <row r="14" spans="1:35">
      <c r="A14" s="557"/>
      <c r="B14" s="557"/>
      <c r="C14" s="557"/>
      <c r="E14" s="557"/>
      <c r="F14" s="557"/>
      <c r="G14" s="557"/>
      <c r="I14" s="557"/>
      <c r="J14" s="557"/>
      <c r="K14" s="557"/>
      <c r="M14" s="557"/>
      <c r="N14" s="557"/>
      <c r="O14" s="557"/>
      <c r="Q14" s="557"/>
      <c r="R14" s="557"/>
      <c r="S14" s="557"/>
      <c r="T14" s="519"/>
      <c r="U14" s="557"/>
      <c r="V14" s="557"/>
      <c r="W14" s="557"/>
      <c r="X14" s="519"/>
      <c r="Y14" s="557"/>
      <c r="Z14" s="557"/>
      <c r="AA14" s="557"/>
      <c r="AB14" s="519"/>
      <c r="AC14" s="557"/>
      <c r="AD14" s="557"/>
      <c r="AE14" s="557"/>
      <c r="AF14" s="519"/>
      <c r="AG14" s="519"/>
      <c r="AH14" s="555"/>
      <c r="AI14" s="519"/>
    </row>
    <row r="15" spans="1:35">
      <c r="A15" s="1808" t="s">
        <v>620</v>
      </c>
      <c r="B15" s="1808"/>
      <c r="C15" s="1808"/>
      <c r="E15" s="1808"/>
      <c r="F15" s="1808"/>
      <c r="G15" s="1808"/>
      <c r="I15" s="1808"/>
      <c r="J15" s="1808"/>
      <c r="K15" s="1808"/>
      <c r="M15" s="1808"/>
      <c r="N15" s="1808"/>
      <c r="O15" s="1808"/>
      <c r="Q15" s="567"/>
      <c r="R15" s="567"/>
      <c r="S15" s="567"/>
      <c r="T15" s="519"/>
      <c r="U15" s="567"/>
      <c r="V15" s="567"/>
      <c r="W15" s="567"/>
      <c r="X15" s="519"/>
      <c r="Y15" s="567"/>
      <c r="Z15" s="567"/>
      <c r="AA15" s="567"/>
      <c r="AB15" s="519"/>
      <c r="AC15" s="558"/>
      <c r="AD15" s="519"/>
      <c r="AE15" s="519"/>
      <c r="AF15" s="519"/>
      <c r="AG15" s="567"/>
      <c r="AH15" s="568"/>
      <c r="AI15" s="569"/>
    </row>
    <row r="16" spans="1:35" ht="15.75" thickBot="1">
      <c r="F16" s="555"/>
      <c r="G16" s="555"/>
    </row>
    <row r="17" spans="1:26">
      <c r="A17" s="775" t="s">
        <v>1099</v>
      </c>
      <c r="B17" s="769">
        <v>2006</v>
      </c>
      <c r="C17" s="769">
        <v>2007</v>
      </c>
      <c r="D17" s="769">
        <v>2008</v>
      </c>
      <c r="E17" s="769">
        <v>2009</v>
      </c>
      <c r="F17" s="769">
        <v>2010</v>
      </c>
      <c r="G17" s="769">
        <v>2011</v>
      </c>
      <c r="H17" s="769">
        <v>2012</v>
      </c>
      <c r="I17" s="769">
        <v>2013</v>
      </c>
      <c r="J17" s="770">
        <v>2014</v>
      </c>
    </row>
    <row r="18" spans="1:26">
      <c r="A18" s="776" t="s">
        <v>911</v>
      </c>
      <c r="B18" s="771">
        <f>B3+C3</f>
        <v>23.990000000000002</v>
      </c>
      <c r="C18" s="771">
        <f>F3+G3</f>
        <v>23.990000000000002</v>
      </c>
      <c r="D18" s="771">
        <f>SUM(J3:K3)</f>
        <v>23.990000000000002</v>
      </c>
      <c r="E18" s="771">
        <f>SUM(N3:O3)</f>
        <v>25.49</v>
      </c>
      <c r="F18" s="771">
        <f>SUM(R3,S3)</f>
        <v>32.979999999999997</v>
      </c>
      <c r="G18" s="771">
        <f>SUM(V3,W3)</f>
        <v>37.19</v>
      </c>
      <c r="H18" s="771">
        <f>SUM(Z3,AA3)</f>
        <v>37.200000000000003</v>
      </c>
      <c r="I18" s="771">
        <f>SUM(AD3:AE3)</f>
        <v>37.200000000000003</v>
      </c>
      <c r="J18" s="772">
        <f>SUM(AH3:AI3)</f>
        <v>37.200000000000003</v>
      </c>
    </row>
    <row r="19" spans="1:26">
      <c r="A19" s="776" t="s">
        <v>912</v>
      </c>
      <c r="B19" s="771">
        <f t="shared" ref="B19:B27" si="0">B4+C4</f>
        <v>65</v>
      </c>
      <c r="C19" s="771">
        <f t="shared" ref="C19:C27" si="1">F4+G4</f>
        <v>70</v>
      </c>
      <c r="D19" s="771">
        <f t="shared" ref="D19:D27" si="2">SUM(J4:K4)</f>
        <v>70</v>
      </c>
      <c r="E19" s="771">
        <f t="shared" ref="E19:E27" si="3">SUM(N4:O4)</f>
        <v>75</v>
      </c>
      <c r="F19" s="771">
        <f t="shared" ref="F19:F27" si="4">SUM(R4,S4)</f>
        <v>75</v>
      </c>
      <c r="G19" s="771">
        <f t="shared" ref="G19:G27" si="5">SUM(V4,W4)</f>
        <v>91</v>
      </c>
      <c r="H19" s="771">
        <f t="shared" ref="H19:H27" si="6">SUM(Z4,AA4)</f>
        <v>91</v>
      </c>
      <c r="I19" s="771">
        <f t="shared" ref="I19:I27" si="7">SUM(AD4:AE4)</f>
        <v>91</v>
      </c>
      <c r="J19" s="772">
        <f t="shared" ref="J19:J27" si="8">SUM(AH4:AI4)</f>
        <v>91</v>
      </c>
      <c r="Z19" s="267"/>
    </row>
    <row r="20" spans="1:26">
      <c r="A20" s="776" t="s">
        <v>595</v>
      </c>
      <c r="B20" s="771">
        <f t="shared" si="0"/>
        <v>40</v>
      </c>
      <c r="C20" s="771">
        <f t="shared" si="1"/>
        <v>40</v>
      </c>
      <c r="D20" s="771">
        <f t="shared" si="2"/>
        <v>40</v>
      </c>
      <c r="E20" s="771">
        <f t="shared" si="3"/>
        <v>57</v>
      </c>
      <c r="F20" s="771">
        <f t="shared" si="4"/>
        <v>65</v>
      </c>
      <c r="G20" s="771">
        <f t="shared" si="5"/>
        <v>66</v>
      </c>
      <c r="H20" s="771">
        <f t="shared" si="6"/>
        <v>66</v>
      </c>
      <c r="I20" s="771">
        <f t="shared" si="7"/>
        <v>66</v>
      </c>
      <c r="J20" s="772">
        <f t="shared" si="8"/>
        <v>66</v>
      </c>
    </row>
    <row r="21" spans="1:26">
      <c r="A21" s="776" t="s">
        <v>913</v>
      </c>
      <c r="B21" s="771">
        <f t="shared" si="0"/>
        <v>70</v>
      </c>
      <c r="C21" s="771">
        <f t="shared" si="1"/>
        <v>80</v>
      </c>
      <c r="D21" s="771">
        <f t="shared" si="2"/>
        <v>80</v>
      </c>
      <c r="E21" s="771">
        <f t="shared" si="3"/>
        <v>84.4</v>
      </c>
      <c r="F21" s="771">
        <f t="shared" si="4"/>
        <v>84.4</v>
      </c>
      <c r="G21" s="771">
        <f t="shared" si="5"/>
        <v>84.4</v>
      </c>
      <c r="H21" s="771">
        <f t="shared" si="6"/>
        <v>84.4</v>
      </c>
      <c r="I21" s="771">
        <f t="shared" si="7"/>
        <v>84.4</v>
      </c>
      <c r="J21" s="772">
        <f t="shared" si="8"/>
        <v>84.4</v>
      </c>
    </row>
    <row r="22" spans="1:26">
      <c r="A22" s="776" t="s">
        <v>596</v>
      </c>
      <c r="B22" s="771">
        <f t="shared" si="0"/>
        <v>531</v>
      </c>
      <c r="C22" s="771">
        <f t="shared" si="1"/>
        <v>620</v>
      </c>
      <c r="D22" s="771">
        <f t="shared" si="2"/>
        <v>620</v>
      </c>
      <c r="E22" s="771">
        <f t="shared" si="3"/>
        <v>624</v>
      </c>
      <c r="F22" s="771">
        <f t="shared" si="4"/>
        <v>624</v>
      </c>
      <c r="G22" s="771">
        <f t="shared" si="5"/>
        <v>624</v>
      </c>
      <c r="H22" s="771">
        <f t="shared" si="6"/>
        <v>620</v>
      </c>
      <c r="I22" s="771">
        <f t="shared" si="7"/>
        <v>620</v>
      </c>
      <c r="J22" s="772">
        <f t="shared" si="8"/>
        <v>620</v>
      </c>
    </row>
    <row r="23" spans="1:26">
      <c r="A23" s="776" t="s">
        <v>597</v>
      </c>
      <c r="B23" s="771">
        <f t="shared" si="0"/>
        <v>25770470</v>
      </c>
      <c r="C23" s="771">
        <f t="shared" si="1"/>
        <v>28445487</v>
      </c>
      <c r="D23" s="771">
        <f t="shared" si="2"/>
        <v>27491326</v>
      </c>
      <c r="E23" s="771">
        <f t="shared" si="3"/>
        <v>25418710</v>
      </c>
      <c r="F23" s="771">
        <f t="shared" si="4"/>
        <v>27571490</v>
      </c>
      <c r="G23" s="771">
        <f t="shared" si="5"/>
        <v>29065989</v>
      </c>
      <c r="H23" s="771">
        <f t="shared" si="6"/>
        <v>29307879</v>
      </c>
      <c r="I23" s="771">
        <f t="shared" si="7"/>
        <v>30512081</v>
      </c>
      <c r="J23" s="772">
        <f t="shared" si="8"/>
        <v>32612285</v>
      </c>
    </row>
    <row r="24" spans="1:26">
      <c r="A24" s="776" t="s">
        <v>553</v>
      </c>
      <c r="B24" s="771">
        <f t="shared" si="0"/>
        <v>2660000</v>
      </c>
      <c r="C24" s="771">
        <f t="shared" si="1"/>
        <v>2757000</v>
      </c>
      <c r="D24" s="771">
        <f t="shared" si="2"/>
        <v>2744000</v>
      </c>
      <c r="E24" s="771">
        <f t="shared" si="3"/>
        <v>2687000</v>
      </c>
      <c r="F24" s="771">
        <f t="shared" si="4"/>
        <v>3003000</v>
      </c>
      <c r="G24" s="771">
        <f t="shared" si="5"/>
        <v>3847000</v>
      </c>
      <c r="H24" s="771">
        <f t="shared" si="6"/>
        <v>3990498</v>
      </c>
      <c r="I24" s="771">
        <f t="shared" si="7"/>
        <v>3880095</v>
      </c>
      <c r="J24" s="772">
        <f t="shared" si="8"/>
        <v>3878850</v>
      </c>
    </row>
    <row r="25" spans="1:26">
      <c r="A25" s="776" t="s">
        <v>598</v>
      </c>
      <c r="B25" s="771">
        <f t="shared" si="0"/>
        <v>113110000</v>
      </c>
      <c r="C25" s="771">
        <f t="shared" si="1"/>
        <v>175000000</v>
      </c>
      <c r="D25" s="771">
        <f t="shared" si="2"/>
        <v>141000000</v>
      </c>
      <c r="E25" s="771">
        <f t="shared" si="3"/>
        <v>132000000</v>
      </c>
      <c r="F25" s="771">
        <f t="shared" si="4"/>
        <v>131000000</v>
      </c>
      <c r="G25" s="771">
        <f t="shared" si="5"/>
        <v>138000000</v>
      </c>
      <c r="H25" s="771">
        <f t="shared" si="6"/>
        <v>144000000</v>
      </c>
      <c r="I25" s="771">
        <f t="shared" si="7"/>
        <v>149824730</v>
      </c>
      <c r="J25" s="772">
        <f t="shared" si="8"/>
        <v>160072934</v>
      </c>
    </row>
    <row r="26" spans="1:26">
      <c r="A26" s="776" t="s">
        <v>914</v>
      </c>
      <c r="B26" s="771">
        <f t="shared" si="0"/>
        <v>8.6999999999999993</v>
      </c>
      <c r="C26" s="771">
        <f t="shared" si="1"/>
        <v>12.2</v>
      </c>
      <c r="D26" s="771">
        <f t="shared" si="2"/>
        <v>10.3</v>
      </c>
      <c r="E26" s="771">
        <f t="shared" si="3"/>
        <v>10.3</v>
      </c>
      <c r="F26" s="771">
        <f t="shared" si="4"/>
        <v>9.6000000000000014</v>
      </c>
      <c r="G26" s="771">
        <f t="shared" si="5"/>
        <v>9.6000000000000014</v>
      </c>
      <c r="H26" s="771">
        <f t="shared" si="6"/>
        <v>10</v>
      </c>
      <c r="I26" s="771">
        <f t="shared" si="7"/>
        <v>10</v>
      </c>
      <c r="J26" s="772">
        <f t="shared" si="8"/>
        <v>10</v>
      </c>
    </row>
    <row r="27" spans="1:26" ht="15.75" thickBot="1">
      <c r="A27" s="777" t="s">
        <v>599</v>
      </c>
      <c r="B27" s="773">
        <f t="shared" si="0"/>
        <v>13</v>
      </c>
      <c r="C27" s="773">
        <f t="shared" si="1"/>
        <v>13</v>
      </c>
      <c r="D27" s="773">
        <f t="shared" si="2"/>
        <v>14</v>
      </c>
      <c r="E27" s="773">
        <f t="shared" si="3"/>
        <v>14</v>
      </c>
      <c r="F27" s="773">
        <f t="shared" si="4"/>
        <v>14</v>
      </c>
      <c r="G27" s="773">
        <f t="shared" si="5"/>
        <v>14</v>
      </c>
      <c r="H27" s="773">
        <f t="shared" si="6"/>
        <v>14</v>
      </c>
      <c r="I27" s="773">
        <f t="shared" si="7"/>
        <v>14</v>
      </c>
      <c r="J27" s="774">
        <f t="shared" si="8"/>
        <v>14</v>
      </c>
    </row>
    <row r="28" spans="1:26">
      <c r="A28" s="763"/>
      <c r="B28" s="367"/>
      <c r="C28" s="367"/>
      <c r="D28" s="367"/>
      <c r="E28" s="367"/>
      <c r="F28" s="367"/>
      <c r="G28" s="367"/>
      <c r="H28" s="367"/>
    </row>
    <row r="29" spans="1:26">
      <c r="A29" s="763"/>
      <c r="B29" s="367"/>
      <c r="C29" s="367"/>
      <c r="D29" s="367"/>
      <c r="E29" s="367"/>
      <c r="F29" s="367"/>
      <c r="G29" s="367"/>
      <c r="H29" s="367"/>
      <c r="I29" s="367"/>
      <c r="J29" s="367"/>
    </row>
    <row r="30" spans="1:26">
      <c r="C30" s="650"/>
      <c r="D30" s="650"/>
      <c r="E30" s="650"/>
      <c r="F30" s="650"/>
      <c r="G30" s="650"/>
      <c r="H30" s="650"/>
    </row>
    <row r="31" spans="1:26">
      <c r="G31" s="367"/>
      <c r="H31" s="367"/>
      <c r="I31" s="367"/>
    </row>
  </sheetData>
  <mergeCells count="4">
    <mergeCell ref="M15:O15"/>
    <mergeCell ref="E15:G15"/>
    <mergeCell ref="I15:K15"/>
    <mergeCell ref="A15:C15"/>
  </mergeCells>
  <conditionalFormatting sqref="A3:A13">
    <cfRule type="duplicateValues" dxfId="0" priority="2"/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FF0000"/>
  </sheetPr>
  <dimension ref="A1:AG38"/>
  <sheetViews>
    <sheetView topLeftCell="D1" workbookViewId="0">
      <selection activeCell="W26" sqref="W26"/>
    </sheetView>
  </sheetViews>
  <sheetFormatPr defaultRowHeight="15"/>
  <cols>
    <col min="1" max="1" width="23.140625" bestFit="1" customWidth="1"/>
    <col min="2" max="2" width="16.42578125" customWidth="1"/>
    <col min="3" max="3" width="11.42578125" customWidth="1"/>
    <col min="4" max="4" width="20.28515625" customWidth="1"/>
    <col min="5" max="5" width="11.42578125" customWidth="1"/>
    <col min="6" max="6" width="14.28515625" customWidth="1"/>
    <col min="7" max="7" width="10.7109375" bestFit="1" customWidth="1"/>
    <col min="8" max="9" width="15.85546875" customWidth="1"/>
    <col min="10" max="10" width="48.28515625" bestFit="1" customWidth="1"/>
    <col min="11" max="12" width="9.7109375" bestFit="1" customWidth="1"/>
    <col min="13" max="13" width="11.42578125" bestFit="1" customWidth="1"/>
    <col min="21" max="21" width="22.140625" bestFit="1" customWidth="1"/>
    <col min="22" max="22" width="26" customWidth="1"/>
    <col min="23" max="23" width="30.85546875" bestFit="1" customWidth="1"/>
    <col min="26" max="26" width="25.28515625" bestFit="1" customWidth="1"/>
    <col min="28" max="28" width="45.7109375" bestFit="1" customWidth="1"/>
    <col min="29" max="29" width="68.28515625" bestFit="1" customWidth="1"/>
    <col min="30" max="30" width="14.85546875" bestFit="1" customWidth="1"/>
    <col min="31" max="31" width="44.5703125" bestFit="1" customWidth="1"/>
    <col min="32" max="32" width="28.140625" bestFit="1" customWidth="1"/>
    <col min="33" max="33" width="27.42578125" bestFit="1" customWidth="1"/>
  </cols>
  <sheetData>
    <row r="1" spans="1:33" ht="15.75" customHeight="1" thickBot="1">
      <c r="A1" s="964" t="s">
        <v>614</v>
      </c>
      <c r="B1" s="964"/>
      <c r="C1" s="964"/>
      <c r="D1" s="964"/>
      <c r="E1" s="964"/>
      <c r="F1" s="964"/>
      <c r="G1" s="964"/>
      <c r="H1" s="548" t="s">
        <v>546</v>
      </c>
      <c r="U1" s="1817" t="s">
        <v>957</v>
      </c>
      <c r="V1" s="1815" t="s">
        <v>958</v>
      </c>
      <c r="W1" s="814" t="s">
        <v>959</v>
      </c>
      <c r="X1" s="814" t="s">
        <v>960</v>
      </c>
      <c r="Y1" s="814" t="s">
        <v>961</v>
      </c>
      <c r="Z1" s="814" t="s">
        <v>962</v>
      </c>
      <c r="AB1" s="1812" t="s">
        <v>1004</v>
      </c>
      <c r="AC1" s="1813"/>
      <c r="AD1" s="1813"/>
      <c r="AE1" s="1813"/>
      <c r="AF1" s="1813"/>
      <c r="AG1" s="1813"/>
    </row>
    <row r="2" spans="1:33" ht="15.75" customHeight="1" thickBot="1">
      <c r="A2" s="543"/>
      <c r="B2" s="544">
        <v>2008</v>
      </c>
      <c r="C2" s="544">
        <v>2009</v>
      </c>
      <c r="D2" s="544">
        <v>2010</v>
      </c>
      <c r="E2" s="544">
        <v>2011</v>
      </c>
      <c r="F2" s="544">
        <v>2012</v>
      </c>
      <c r="G2" s="547">
        <v>2013</v>
      </c>
      <c r="H2" s="549">
        <v>2014</v>
      </c>
      <c r="J2" s="582" t="s">
        <v>92</v>
      </c>
      <c r="K2" s="582">
        <v>2006</v>
      </c>
      <c r="L2" s="582">
        <v>2007</v>
      </c>
      <c r="M2" s="582">
        <v>2008</v>
      </c>
      <c r="N2" s="582">
        <v>2009</v>
      </c>
      <c r="O2" s="582">
        <v>2010</v>
      </c>
      <c r="P2" s="582">
        <v>2011</v>
      </c>
      <c r="Q2" s="582">
        <v>2012</v>
      </c>
      <c r="R2" s="582">
        <v>2013</v>
      </c>
      <c r="S2" s="582">
        <v>2014</v>
      </c>
      <c r="U2" s="1817"/>
      <c r="V2" s="1815"/>
      <c r="W2" s="815" t="s">
        <v>963</v>
      </c>
      <c r="X2" s="815">
        <v>28</v>
      </c>
      <c r="Y2" s="815">
        <v>190</v>
      </c>
      <c r="Z2" s="815" t="s">
        <v>964</v>
      </c>
      <c r="AB2" s="813" t="s">
        <v>959</v>
      </c>
      <c r="AC2" s="813" t="s">
        <v>1005</v>
      </c>
      <c r="AD2" s="813" t="s">
        <v>1006</v>
      </c>
      <c r="AE2" s="813" t="s">
        <v>1007</v>
      </c>
      <c r="AF2" s="813" t="s">
        <v>1016</v>
      </c>
      <c r="AG2" s="813" t="s">
        <v>1015</v>
      </c>
    </row>
    <row r="3" spans="1:33" ht="15.75" customHeight="1" thickBot="1">
      <c r="A3" s="541" t="s">
        <v>254</v>
      </c>
      <c r="B3" s="267"/>
      <c r="C3" s="267"/>
      <c r="D3" s="267"/>
      <c r="E3" s="267"/>
      <c r="F3" s="267"/>
      <c r="G3" s="267"/>
      <c r="H3" s="267"/>
      <c r="J3" t="s">
        <v>632</v>
      </c>
      <c r="K3" s="267">
        <v>670300</v>
      </c>
      <c r="L3" s="267">
        <v>708500</v>
      </c>
      <c r="M3" s="267">
        <v>598600</v>
      </c>
      <c r="N3" s="267">
        <v>480100</v>
      </c>
      <c r="O3" s="267">
        <v>465900</v>
      </c>
      <c r="P3" s="267">
        <v>468300</v>
      </c>
      <c r="Q3" s="267">
        <v>455400</v>
      </c>
      <c r="R3" s="267">
        <v>451000</v>
      </c>
      <c r="S3" s="267">
        <v>414900</v>
      </c>
      <c r="U3" s="1817"/>
      <c r="V3" s="1815"/>
      <c r="W3" s="816" t="s">
        <v>965</v>
      </c>
      <c r="X3" s="816">
        <v>25</v>
      </c>
      <c r="Y3" s="816">
        <v>262</v>
      </c>
      <c r="Z3" s="816" t="s">
        <v>966</v>
      </c>
      <c r="AB3" s="815" t="s">
        <v>989</v>
      </c>
      <c r="AC3" s="815" t="s">
        <v>990</v>
      </c>
      <c r="AD3" s="815" t="s">
        <v>991</v>
      </c>
      <c r="AE3" s="815" t="s">
        <v>992</v>
      </c>
      <c r="AF3" s="815">
        <v>247</v>
      </c>
      <c r="AG3" s="815">
        <f>2*6*52*AF3</f>
        <v>154128</v>
      </c>
    </row>
    <row r="4" spans="1:33" ht="15.75" customHeight="1" thickBot="1">
      <c r="A4" s="545" t="s">
        <v>602</v>
      </c>
      <c r="B4" s="267">
        <v>10324</v>
      </c>
      <c r="C4" s="267">
        <v>8877</v>
      </c>
      <c r="D4" s="267">
        <v>9697</v>
      </c>
      <c r="E4" s="267">
        <v>10656</v>
      </c>
      <c r="F4" s="267">
        <v>10350</v>
      </c>
      <c r="G4" s="267">
        <v>8144</v>
      </c>
      <c r="H4" s="267" t="s">
        <v>603</v>
      </c>
      <c r="J4" s="519" t="s">
        <v>631</v>
      </c>
      <c r="K4" s="267">
        <v>35400</v>
      </c>
      <c r="L4" s="267">
        <v>35400</v>
      </c>
      <c r="M4" s="267">
        <v>35400</v>
      </c>
      <c r="N4" s="267">
        <v>26800</v>
      </c>
      <c r="O4" s="267">
        <v>26700</v>
      </c>
      <c r="P4" s="267">
        <v>25000</v>
      </c>
      <c r="Q4" s="267">
        <v>23900</v>
      </c>
      <c r="R4" s="267">
        <v>21200</v>
      </c>
      <c r="S4" s="267">
        <v>19200</v>
      </c>
      <c r="U4" s="1817"/>
      <c r="V4" s="1815"/>
      <c r="W4" s="815" t="s">
        <v>967</v>
      </c>
      <c r="X4" s="815">
        <v>10</v>
      </c>
      <c r="Y4" s="815">
        <v>304</v>
      </c>
      <c r="Z4" s="815">
        <v>2008</v>
      </c>
      <c r="AB4" s="816" t="s">
        <v>993</v>
      </c>
      <c r="AC4" s="816" t="s">
        <v>994</v>
      </c>
      <c r="AD4" s="816" t="s">
        <v>991</v>
      </c>
      <c r="AE4" s="816" t="s">
        <v>995</v>
      </c>
      <c r="AF4" s="816">
        <v>317</v>
      </c>
      <c r="AG4" s="816">
        <f>2*AF4*2*52</f>
        <v>65936</v>
      </c>
    </row>
    <row r="5" spans="1:33" ht="15.75" customHeight="1" thickBot="1">
      <c r="A5" s="545" t="s">
        <v>604</v>
      </c>
      <c r="B5" s="267">
        <v>13645</v>
      </c>
      <c r="C5" s="267">
        <v>11768</v>
      </c>
      <c r="D5" s="267">
        <v>10861</v>
      </c>
      <c r="E5" s="267">
        <v>9911</v>
      </c>
      <c r="F5" s="267">
        <v>9934</v>
      </c>
      <c r="G5" s="267">
        <v>11730</v>
      </c>
      <c r="H5" s="267" t="s">
        <v>603</v>
      </c>
      <c r="J5" s="519" t="s">
        <v>633</v>
      </c>
      <c r="K5" s="267">
        <v>13400</v>
      </c>
      <c r="L5">
        <f>K5+($P$5-$K$5)/5</f>
        <v>14060</v>
      </c>
      <c r="M5" s="519">
        <f t="shared" ref="M5:O5" si="0">L5+($P$5-$K$5)/5</f>
        <v>14720</v>
      </c>
      <c r="N5" s="519">
        <f t="shared" si="0"/>
        <v>15380</v>
      </c>
      <c r="O5" s="519">
        <f t="shared" si="0"/>
        <v>16040</v>
      </c>
      <c r="P5" s="267">
        <v>16700</v>
      </c>
      <c r="Q5" s="267">
        <v>16200</v>
      </c>
      <c r="R5" s="267">
        <v>15700</v>
      </c>
      <c r="S5" s="267">
        <v>15300</v>
      </c>
      <c r="U5" s="1817"/>
      <c r="V5" s="1816" t="s">
        <v>968</v>
      </c>
      <c r="W5" s="816" t="s">
        <v>969</v>
      </c>
      <c r="X5" s="816">
        <v>5</v>
      </c>
      <c r="Y5" s="816" t="s">
        <v>970</v>
      </c>
      <c r="Z5" s="816" t="s">
        <v>971</v>
      </c>
      <c r="AB5" s="815" t="s">
        <v>996</v>
      </c>
      <c r="AC5" s="815" t="s">
        <v>997</v>
      </c>
      <c r="AD5" s="815" t="s">
        <v>998</v>
      </c>
      <c r="AE5" s="815" t="s">
        <v>999</v>
      </c>
      <c r="AF5" s="815">
        <v>312</v>
      </c>
      <c r="AG5" s="815">
        <f>2*AF5*3*52</f>
        <v>97344</v>
      </c>
    </row>
    <row r="6" spans="1:33" ht="15.75" customHeight="1" thickBot="1">
      <c r="A6" s="545" t="s">
        <v>605</v>
      </c>
      <c r="B6" s="267">
        <v>19865</v>
      </c>
      <c r="C6" s="267">
        <v>17520</v>
      </c>
      <c r="D6" s="267">
        <v>16793</v>
      </c>
      <c r="E6" s="267">
        <v>15924</v>
      </c>
      <c r="F6" s="267">
        <v>15747</v>
      </c>
      <c r="G6" s="267">
        <v>15985</v>
      </c>
      <c r="H6" s="267" t="s">
        <v>603</v>
      </c>
      <c r="J6" s="519" t="s">
        <v>634</v>
      </c>
      <c r="K6" s="267">
        <v>31000</v>
      </c>
      <c r="L6" s="267">
        <v>31000</v>
      </c>
      <c r="M6" s="267">
        <v>31000</v>
      </c>
      <c r="N6" s="267">
        <v>40000</v>
      </c>
      <c r="O6" s="267">
        <v>39000</v>
      </c>
      <c r="P6" s="267">
        <v>40000</v>
      </c>
      <c r="Q6" s="267">
        <v>37400</v>
      </c>
      <c r="R6" s="267">
        <v>37800</v>
      </c>
      <c r="S6" s="267">
        <v>37400</v>
      </c>
      <c r="U6" s="1817"/>
      <c r="V6" s="1816"/>
      <c r="W6" s="815" t="s">
        <v>972</v>
      </c>
      <c r="X6" s="815">
        <v>5</v>
      </c>
      <c r="Y6" s="815">
        <v>28</v>
      </c>
      <c r="Z6" s="815" t="s">
        <v>971</v>
      </c>
      <c r="AB6" s="816" t="s">
        <v>1000</v>
      </c>
      <c r="AC6" s="816" t="s">
        <v>1001</v>
      </c>
      <c r="AD6" s="816" t="s">
        <v>1002</v>
      </c>
      <c r="AE6" s="816" t="s">
        <v>1003</v>
      </c>
      <c r="AF6" s="816">
        <v>64.2</v>
      </c>
      <c r="AG6" s="816">
        <f>2*AF6*35*52</f>
        <v>233688</v>
      </c>
    </row>
    <row r="7" spans="1:33" ht="15.75" customHeight="1" thickBot="1">
      <c r="A7" s="545" t="s">
        <v>606</v>
      </c>
      <c r="B7" s="267">
        <v>813</v>
      </c>
      <c r="C7" s="267">
        <v>647</v>
      </c>
      <c r="D7" s="267">
        <v>719</v>
      </c>
      <c r="E7" s="267">
        <v>731</v>
      </c>
      <c r="F7" s="267">
        <v>806</v>
      </c>
      <c r="G7" s="267">
        <v>880</v>
      </c>
      <c r="H7" s="267">
        <v>713</v>
      </c>
      <c r="J7" s="519" t="s">
        <v>635</v>
      </c>
      <c r="K7" s="267">
        <v>18500</v>
      </c>
      <c r="L7" s="267">
        <v>18500</v>
      </c>
      <c r="M7" s="267">
        <v>18800</v>
      </c>
      <c r="N7" s="267">
        <v>18500</v>
      </c>
      <c r="O7" s="267">
        <v>16300</v>
      </c>
      <c r="P7" s="267">
        <v>10800</v>
      </c>
      <c r="Q7" s="267">
        <v>10100</v>
      </c>
      <c r="R7" s="267">
        <v>10700</v>
      </c>
      <c r="S7" s="267">
        <v>8400</v>
      </c>
      <c r="U7" s="1817"/>
      <c r="V7" s="1816"/>
      <c r="W7" s="816" t="s">
        <v>973</v>
      </c>
      <c r="X7" s="816">
        <v>5</v>
      </c>
      <c r="Y7" s="816">
        <v>44</v>
      </c>
      <c r="Z7" s="816" t="s">
        <v>971</v>
      </c>
      <c r="AF7" s="369"/>
    </row>
    <row r="8" spans="1:33" ht="15.75" customHeight="1" thickBot="1">
      <c r="A8" s="540"/>
      <c r="B8" s="267"/>
      <c r="C8" s="267"/>
      <c r="D8" s="267"/>
      <c r="E8" s="267"/>
      <c r="F8" s="267"/>
      <c r="G8" s="267"/>
      <c r="H8" s="267"/>
      <c r="J8" s="519" t="s">
        <v>636</v>
      </c>
      <c r="K8" s="267">
        <v>768600</v>
      </c>
      <c r="L8" s="267">
        <v>793400</v>
      </c>
      <c r="M8" s="267">
        <v>683800</v>
      </c>
      <c r="N8" s="267">
        <v>565400</v>
      </c>
      <c r="O8" s="267">
        <v>547900</v>
      </c>
      <c r="P8" s="267">
        <v>560800</v>
      </c>
      <c r="Q8" s="267">
        <v>543000</v>
      </c>
      <c r="R8" s="267">
        <v>536400</v>
      </c>
      <c r="S8" s="267">
        <v>495200</v>
      </c>
      <c r="U8" s="1817"/>
      <c r="V8" s="1816"/>
      <c r="W8" s="815" t="s">
        <v>974</v>
      </c>
      <c r="X8" s="815">
        <v>16</v>
      </c>
      <c r="Y8" s="815">
        <v>69</v>
      </c>
      <c r="Z8" s="815" t="s">
        <v>971</v>
      </c>
      <c r="AE8" s="519"/>
      <c r="AF8" s="519"/>
    </row>
    <row r="9" spans="1:33" ht="15.75" customHeight="1" thickBot="1">
      <c r="A9" s="541" t="s">
        <v>39</v>
      </c>
      <c r="B9" s="267">
        <v>44647</v>
      </c>
      <c r="C9" s="267">
        <v>38812</v>
      </c>
      <c r="D9" s="267">
        <v>38070</v>
      </c>
      <c r="E9" s="267">
        <v>37222</v>
      </c>
      <c r="F9" s="267">
        <v>36837</v>
      </c>
      <c r="G9" s="267">
        <v>36739</v>
      </c>
      <c r="H9" s="267">
        <v>37804</v>
      </c>
      <c r="K9" s="581">
        <v>1</v>
      </c>
      <c r="L9" s="581">
        <v>1.05</v>
      </c>
      <c r="M9" s="581">
        <v>0.91</v>
      </c>
      <c r="N9" s="581">
        <v>0.75</v>
      </c>
      <c r="O9" s="581">
        <v>0.73</v>
      </c>
      <c r="P9" s="581">
        <v>0.73</v>
      </c>
      <c r="Q9" s="581">
        <v>0.71</v>
      </c>
      <c r="R9" s="581">
        <v>0.7</v>
      </c>
      <c r="S9" s="581">
        <v>0.64</v>
      </c>
      <c r="U9" s="1817"/>
      <c r="V9" s="1816"/>
      <c r="W9" s="816" t="s">
        <v>975</v>
      </c>
      <c r="X9" s="816">
        <v>5</v>
      </c>
      <c r="Y9" s="816">
        <v>69</v>
      </c>
      <c r="Z9" s="816" t="s">
        <v>971</v>
      </c>
      <c r="AE9" s="519"/>
      <c r="AF9" s="369"/>
    </row>
    <row r="10" spans="1:33" ht="15.75" customHeight="1" thickBot="1">
      <c r="A10" s="541"/>
      <c r="B10" s="267"/>
      <c r="C10" s="267"/>
      <c r="D10" s="267"/>
      <c r="E10" s="267"/>
      <c r="F10" s="267"/>
      <c r="G10" s="267"/>
      <c r="H10" s="267"/>
      <c r="J10" s="519" t="s">
        <v>637</v>
      </c>
      <c r="K10" s="267">
        <v>1872</v>
      </c>
      <c r="L10" s="267">
        <v>2007</v>
      </c>
      <c r="M10" s="267">
        <v>1976</v>
      </c>
      <c r="N10" s="267">
        <v>1681</v>
      </c>
      <c r="O10" s="267">
        <v>1678</v>
      </c>
      <c r="P10" s="267">
        <v>1639</v>
      </c>
      <c r="Q10" s="267">
        <v>1583</v>
      </c>
      <c r="R10" s="267">
        <v>1568</v>
      </c>
      <c r="S10" s="267">
        <v>1803</v>
      </c>
      <c r="U10" s="1814" t="s">
        <v>976</v>
      </c>
      <c r="V10" s="650" t="s">
        <v>977</v>
      </c>
      <c r="W10" s="815" t="s">
        <v>965</v>
      </c>
      <c r="X10" s="815">
        <v>29</v>
      </c>
      <c r="Y10" s="815">
        <v>185</v>
      </c>
      <c r="Z10" s="815" t="s">
        <v>980</v>
      </c>
      <c r="AE10" s="519"/>
      <c r="AF10" s="519"/>
    </row>
    <row r="11" spans="1:33" ht="15.75" customHeight="1" thickBot="1">
      <c r="A11" s="541" t="s">
        <v>598</v>
      </c>
      <c r="B11" s="267">
        <v>1975733</v>
      </c>
      <c r="C11" s="267">
        <v>1683081</v>
      </c>
      <c r="D11" s="267">
        <v>1677939</v>
      </c>
      <c r="E11" s="267">
        <v>1638464</v>
      </c>
      <c r="F11" s="267">
        <v>1577607</v>
      </c>
      <c r="G11" s="267">
        <v>1563268</v>
      </c>
      <c r="H11" s="267">
        <v>1695272</v>
      </c>
      <c r="J11" s="519" t="s">
        <v>638</v>
      </c>
      <c r="K11" s="519">
        <v>4.03</v>
      </c>
      <c r="L11" s="519">
        <v>3.95</v>
      </c>
      <c r="M11" s="519">
        <v>3.46</v>
      </c>
      <c r="N11" s="519">
        <v>3.36</v>
      </c>
      <c r="O11" s="519">
        <v>3.27</v>
      </c>
      <c r="P11">
        <v>3.32</v>
      </c>
      <c r="Q11">
        <v>3.33</v>
      </c>
      <c r="R11">
        <v>3.42</v>
      </c>
      <c r="S11">
        <v>2.75</v>
      </c>
      <c r="U11" s="1814"/>
      <c r="V11" s="650" t="s">
        <v>978</v>
      </c>
      <c r="W11" s="816" t="s">
        <v>981</v>
      </c>
      <c r="X11" s="816">
        <v>8</v>
      </c>
      <c r="Y11" s="816">
        <v>85</v>
      </c>
      <c r="Z11" s="816">
        <v>2000</v>
      </c>
      <c r="AF11" s="369"/>
    </row>
    <row r="12" spans="1:33" ht="15.75" customHeight="1" thickBot="1">
      <c r="A12" s="541"/>
      <c r="B12" s="267"/>
      <c r="C12" s="267"/>
      <c r="D12" s="267"/>
      <c r="E12" s="267"/>
      <c r="F12" s="267"/>
      <c r="G12" s="267"/>
      <c r="H12" s="267"/>
      <c r="K12" s="581">
        <v>1</v>
      </c>
      <c r="L12" s="581">
        <v>0.98</v>
      </c>
      <c r="M12" s="581">
        <v>0.86</v>
      </c>
      <c r="N12" s="581">
        <v>0.83</v>
      </c>
      <c r="O12" s="581">
        <v>0.81</v>
      </c>
      <c r="P12" s="581">
        <v>0.82</v>
      </c>
      <c r="Q12" s="581">
        <v>0.82</v>
      </c>
      <c r="R12" s="581">
        <v>0.85</v>
      </c>
      <c r="S12" s="581">
        <v>0.69</v>
      </c>
      <c r="U12" s="1814"/>
      <c r="V12" s="650" t="s">
        <v>979</v>
      </c>
      <c r="W12" s="815" t="s">
        <v>981</v>
      </c>
      <c r="X12" s="815">
        <v>8</v>
      </c>
      <c r="Y12" s="815">
        <v>130</v>
      </c>
      <c r="Z12" s="815">
        <v>1993</v>
      </c>
      <c r="AE12" s="519"/>
      <c r="AF12" s="519"/>
    </row>
    <row r="13" spans="1:33" ht="15.75" customHeight="1" thickBot="1">
      <c r="A13" s="546" t="s">
        <v>607</v>
      </c>
      <c r="B13" s="267">
        <v>717</v>
      </c>
      <c r="C13" s="267">
        <v>631</v>
      </c>
      <c r="D13" s="267">
        <v>568</v>
      </c>
      <c r="E13" s="267">
        <v>611</v>
      </c>
      <c r="F13" s="267">
        <v>567</v>
      </c>
      <c r="G13" s="267">
        <v>589</v>
      </c>
      <c r="H13" s="267">
        <v>578</v>
      </c>
      <c r="J13" s="519" t="s">
        <v>639</v>
      </c>
      <c r="K13" s="519">
        <v>18.2</v>
      </c>
      <c r="L13" s="519">
        <v>17</v>
      </c>
      <c r="M13" s="519">
        <v>20</v>
      </c>
      <c r="N13" s="519">
        <v>18</v>
      </c>
      <c r="O13" s="519">
        <v>18</v>
      </c>
      <c r="P13">
        <v>18.100000000000001</v>
      </c>
      <c r="Q13">
        <v>18.399999999999999</v>
      </c>
      <c r="R13">
        <v>18.3</v>
      </c>
      <c r="S13">
        <v>18.399999999999999</v>
      </c>
      <c r="U13" s="1814" t="s">
        <v>605</v>
      </c>
      <c r="V13" s="1815" t="s">
        <v>982</v>
      </c>
      <c r="W13" s="816" t="s">
        <v>984</v>
      </c>
      <c r="X13" s="816">
        <v>8</v>
      </c>
      <c r="Y13" s="816">
        <v>160</v>
      </c>
      <c r="Z13" s="816" t="s">
        <v>985</v>
      </c>
      <c r="AF13" s="369"/>
    </row>
    <row r="14" spans="1:33" ht="15.75" customHeight="1" thickBot="1">
      <c r="A14" s="546"/>
      <c r="B14" s="267"/>
      <c r="C14" s="267"/>
      <c r="D14" s="267"/>
      <c r="E14" s="267"/>
      <c r="F14" s="267"/>
      <c r="G14" s="267"/>
      <c r="H14" s="267"/>
      <c r="J14" s="519" t="s">
        <v>640</v>
      </c>
      <c r="K14" s="519">
        <v>4.1399999999999997</v>
      </c>
      <c r="L14" s="519">
        <v>4.71</v>
      </c>
      <c r="M14" s="519">
        <v>3.43</v>
      </c>
      <c r="N14" s="519">
        <v>3.11</v>
      </c>
      <c r="O14" s="519">
        <v>3.1</v>
      </c>
      <c r="P14">
        <v>3.01</v>
      </c>
      <c r="Q14">
        <v>2.86</v>
      </c>
      <c r="R14">
        <v>2.94</v>
      </c>
      <c r="S14">
        <v>2.69</v>
      </c>
      <c r="U14" s="1814"/>
      <c r="V14" s="1815"/>
      <c r="W14" s="815" t="s">
        <v>986</v>
      </c>
      <c r="X14" s="815">
        <v>3</v>
      </c>
      <c r="Y14" s="815">
        <v>160</v>
      </c>
      <c r="Z14" s="815">
        <v>2001</v>
      </c>
      <c r="AE14" s="519"/>
      <c r="AF14" s="519"/>
    </row>
    <row r="15" spans="1:33" ht="15.75" customHeight="1" thickBot="1">
      <c r="A15" s="546" t="s">
        <v>608</v>
      </c>
      <c r="B15" s="267">
        <v>103235</v>
      </c>
      <c r="C15" s="267">
        <v>79310</v>
      </c>
      <c r="D15" s="267">
        <v>92456</v>
      </c>
      <c r="E15" s="267">
        <v>105033</v>
      </c>
      <c r="F15" s="267">
        <v>90839</v>
      </c>
      <c r="G15" s="267">
        <v>98845</v>
      </c>
      <c r="H15" s="267">
        <v>99827</v>
      </c>
      <c r="K15" s="581">
        <v>1</v>
      </c>
      <c r="L15" s="581">
        <v>1.1399999999999999</v>
      </c>
      <c r="M15" s="581">
        <v>0.83</v>
      </c>
      <c r="N15" s="581">
        <v>0.75</v>
      </c>
      <c r="O15" s="581">
        <v>0.75</v>
      </c>
      <c r="P15" s="581">
        <v>0.73</v>
      </c>
      <c r="Q15" s="581">
        <v>0.69</v>
      </c>
      <c r="R15" s="581">
        <v>0.71</v>
      </c>
      <c r="S15" s="581">
        <v>0.65</v>
      </c>
      <c r="U15" s="1814"/>
      <c r="V15" s="1815"/>
      <c r="W15" s="816" t="s">
        <v>987</v>
      </c>
      <c r="X15" s="816">
        <v>4</v>
      </c>
      <c r="Y15" s="816">
        <v>160</v>
      </c>
      <c r="Z15" s="816">
        <v>2000</v>
      </c>
      <c r="AF15" s="369"/>
    </row>
    <row r="16" spans="1:33" ht="15.75" customHeight="1" thickBot="1">
      <c r="A16" s="542"/>
      <c r="B16" s="267"/>
      <c r="C16" s="267"/>
      <c r="D16" s="267"/>
      <c r="E16" s="267"/>
      <c r="F16" s="267"/>
      <c r="G16" s="267"/>
      <c r="H16" s="267"/>
      <c r="J16" s="519" t="s">
        <v>641</v>
      </c>
      <c r="K16" s="519">
        <v>390</v>
      </c>
      <c r="L16" s="519">
        <v>430</v>
      </c>
      <c r="M16" s="519">
        <v>481</v>
      </c>
      <c r="N16" s="519">
        <v>511</v>
      </c>
      <c r="O16" s="519">
        <v>571</v>
      </c>
      <c r="P16">
        <v>574</v>
      </c>
      <c r="Q16">
        <v>593</v>
      </c>
      <c r="R16">
        <v>628</v>
      </c>
      <c r="S16">
        <v>597</v>
      </c>
      <c r="U16" s="1814"/>
      <c r="V16" s="650" t="s">
        <v>983</v>
      </c>
      <c r="W16" s="815" t="s">
        <v>981</v>
      </c>
      <c r="X16" s="815">
        <v>37</v>
      </c>
      <c r="Y16" s="815">
        <v>128</v>
      </c>
      <c r="Z16" s="815" t="s">
        <v>988</v>
      </c>
    </row>
    <row r="17" spans="1:25">
      <c r="A17" s="1810" t="s">
        <v>609</v>
      </c>
      <c r="B17" s="1811"/>
      <c r="C17" s="1811"/>
      <c r="D17" s="1811"/>
      <c r="E17" s="1811"/>
      <c r="F17" s="550"/>
      <c r="G17" s="550"/>
      <c r="H17" s="550"/>
      <c r="K17" s="581">
        <v>1</v>
      </c>
      <c r="L17" s="581">
        <v>1.1000000000000001</v>
      </c>
      <c r="M17" s="581">
        <v>1.23</v>
      </c>
      <c r="N17" s="581">
        <v>1.31</v>
      </c>
      <c r="O17" s="581">
        <v>1.46</v>
      </c>
      <c r="P17" s="581">
        <v>1.47</v>
      </c>
      <c r="Q17" s="581">
        <v>1.52</v>
      </c>
      <c r="R17" s="581">
        <v>1.61</v>
      </c>
      <c r="S17" s="581">
        <v>1.53</v>
      </c>
      <c r="Y17" s="650"/>
    </row>
    <row r="18" spans="1:25">
      <c r="A18" s="1809" t="s">
        <v>610</v>
      </c>
      <c r="B18" s="1809"/>
      <c r="C18" s="1809"/>
      <c r="D18" s="1809"/>
      <c r="E18" s="1809"/>
      <c r="F18" s="1809"/>
      <c r="G18" s="1809"/>
      <c r="H18" s="1809"/>
      <c r="J18" s="519" t="s">
        <v>642</v>
      </c>
      <c r="K18" s="519">
        <v>0.34</v>
      </c>
      <c r="L18" s="519">
        <v>0.63</v>
      </c>
      <c r="M18" s="519">
        <v>0.48</v>
      </c>
      <c r="N18" s="519">
        <v>0.75</v>
      </c>
      <c r="O18" s="519">
        <v>0.54</v>
      </c>
      <c r="P18">
        <v>0.63</v>
      </c>
      <c r="Q18">
        <v>0.71</v>
      </c>
      <c r="R18">
        <v>0.8</v>
      </c>
      <c r="S18">
        <v>0.77</v>
      </c>
      <c r="U18" s="821" t="s">
        <v>1017</v>
      </c>
      <c r="V18" s="822" t="s">
        <v>1018</v>
      </c>
    </row>
    <row r="19" spans="1:25">
      <c r="A19" s="1809" t="s">
        <v>611</v>
      </c>
      <c r="B19" s="1809"/>
      <c r="C19" s="1809"/>
      <c r="D19" s="1809"/>
      <c r="E19" s="1809"/>
      <c r="F19" s="1809"/>
      <c r="G19" s="1809"/>
      <c r="H19" s="1809"/>
      <c r="J19" s="583"/>
      <c r="K19" s="584">
        <v>1</v>
      </c>
      <c r="L19" s="584">
        <v>1.85</v>
      </c>
      <c r="M19" s="584">
        <v>1.41</v>
      </c>
      <c r="N19" s="584">
        <v>2.21</v>
      </c>
      <c r="O19" s="584">
        <v>1.59</v>
      </c>
      <c r="P19" s="584">
        <v>1.85</v>
      </c>
      <c r="Q19" s="584">
        <v>2.09</v>
      </c>
      <c r="R19" s="584">
        <v>2.34</v>
      </c>
      <c r="S19" s="584">
        <v>2.27</v>
      </c>
    </row>
    <row r="20" spans="1:25">
      <c r="A20" s="1809" t="s">
        <v>612</v>
      </c>
      <c r="B20" s="1809"/>
      <c r="C20" s="1809"/>
      <c r="D20" s="1809"/>
      <c r="E20" s="1809"/>
      <c r="F20" s="1809"/>
      <c r="G20" s="1809"/>
      <c r="H20" s="1809"/>
    </row>
    <row r="21" spans="1:25">
      <c r="A21" s="1809" t="s">
        <v>611</v>
      </c>
      <c r="B21" s="1809"/>
      <c r="C21" s="1809"/>
      <c r="D21" s="1809"/>
      <c r="E21" s="1809"/>
      <c r="F21" s="1809"/>
      <c r="G21" s="1809"/>
      <c r="H21" s="1809"/>
      <c r="K21" s="267"/>
      <c r="L21" s="267"/>
      <c r="M21" s="267"/>
      <c r="N21" s="267"/>
      <c r="O21" s="267"/>
      <c r="P21" s="267"/>
      <c r="Q21" s="267"/>
      <c r="R21" s="267"/>
      <c r="S21" s="267"/>
    </row>
    <row r="22" spans="1:25">
      <c r="A22" s="1809" t="s">
        <v>613</v>
      </c>
      <c r="B22" s="1809"/>
      <c r="C22" s="1809"/>
      <c r="D22" s="1809"/>
      <c r="E22" s="1809"/>
      <c r="F22" s="1809"/>
      <c r="G22" s="1809"/>
      <c r="H22" s="1809"/>
      <c r="I22" s="560"/>
      <c r="K22" s="519"/>
      <c r="L22" s="267"/>
      <c r="Q22" s="267"/>
      <c r="R22" s="267"/>
    </row>
    <row r="23" spans="1:25">
      <c r="K23" s="519"/>
      <c r="L23" s="267"/>
      <c r="M23" s="267"/>
      <c r="N23" s="267"/>
      <c r="O23" s="267"/>
      <c r="P23" s="267"/>
      <c r="Q23" s="267"/>
      <c r="R23" s="267"/>
      <c r="S23" s="267"/>
      <c r="T23" s="267"/>
    </row>
    <row r="24" spans="1:25" ht="15.75" customHeight="1">
      <c r="N24" s="596"/>
      <c r="O24" s="596"/>
      <c r="P24" s="596"/>
      <c r="Q24" s="596"/>
      <c r="R24" s="596"/>
      <c r="S24" s="596"/>
      <c r="T24" s="596"/>
    </row>
    <row r="25" spans="1:25">
      <c r="Q25" s="267"/>
      <c r="R25" s="267"/>
      <c r="S25" s="267"/>
      <c r="T25" s="267"/>
    </row>
    <row r="26" spans="1:25">
      <c r="Q26" s="650"/>
      <c r="R26" s="519"/>
      <c r="S26" s="519"/>
      <c r="T26" s="519"/>
    </row>
    <row r="27" spans="1:25">
      <c r="Q27" s="817"/>
    </row>
    <row r="28" spans="1:25">
      <c r="Q28" s="818"/>
    </row>
    <row r="29" spans="1:25">
      <c r="Q29" s="817"/>
      <c r="S29" s="650"/>
    </row>
    <row r="30" spans="1:25">
      <c r="Q30" s="369"/>
      <c r="R30" s="369"/>
    </row>
    <row r="31" spans="1:25">
      <c r="Q31" s="519"/>
      <c r="R31" s="519"/>
    </row>
    <row r="32" spans="1:25">
      <c r="Q32" s="369"/>
      <c r="R32" s="369"/>
    </row>
    <row r="33" spans="17:18">
      <c r="Q33" s="519"/>
      <c r="R33" s="519"/>
    </row>
    <row r="34" spans="17:18">
      <c r="Q34" s="369"/>
      <c r="R34" s="369"/>
    </row>
    <row r="35" spans="17:18">
      <c r="Q35" s="519"/>
      <c r="R35" s="519"/>
    </row>
    <row r="36" spans="17:18" ht="15.75" customHeight="1">
      <c r="Q36" s="369"/>
      <c r="R36" s="369"/>
    </row>
    <row r="37" spans="17:18">
      <c r="Q37" s="519"/>
      <c r="R37" s="519"/>
    </row>
    <row r="38" spans="17:18">
      <c r="Q38" s="369"/>
      <c r="R38" s="369"/>
    </row>
  </sheetData>
  <mergeCells count="13">
    <mergeCell ref="AB1:AG1"/>
    <mergeCell ref="U13:U16"/>
    <mergeCell ref="V13:V15"/>
    <mergeCell ref="V1:V4"/>
    <mergeCell ref="V5:V9"/>
    <mergeCell ref="U1:U9"/>
    <mergeCell ref="U10:U12"/>
    <mergeCell ref="A22:H22"/>
    <mergeCell ref="A17:E17"/>
    <mergeCell ref="A18:H18"/>
    <mergeCell ref="A19:H19"/>
    <mergeCell ref="A20:H20"/>
    <mergeCell ref="A21:H21"/>
  </mergeCells>
  <pageMargins left="0.7" right="0.7" top="0.75" bottom="0.75" header="0.3" footer="0.3"/>
  <pageSetup paperSize="9"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FF0000"/>
  </sheetPr>
  <dimension ref="A1:AQ71"/>
  <sheetViews>
    <sheetView workbookViewId="0">
      <selection sqref="A1:I1"/>
    </sheetView>
  </sheetViews>
  <sheetFormatPr defaultRowHeight="15"/>
  <cols>
    <col min="1" max="1" width="47.140625" bestFit="1" customWidth="1"/>
    <col min="2" max="2" width="13.140625" bestFit="1" customWidth="1"/>
    <col min="3" max="3" width="18.140625" bestFit="1" customWidth="1"/>
    <col min="4" max="4" width="18.5703125" bestFit="1" customWidth="1"/>
    <col min="5" max="5" width="13.140625" bestFit="1" customWidth="1"/>
    <col min="6" max="7" width="12.85546875" bestFit="1" customWidth="1"/>
    <col min="8" max="8" width="11.42578125" bestFit="1" customWidth="1"/>
    <col min="9" max="9" width="11" bestFit="1" customWidth="1"/>
    <col min="10" max="10" width="8.7109375" bestFit="1" customWidth="1"/>
    <col min="12" max="16" width="12.7109375" customWidth="1"/>
    <col min="18" max="22" width="11.140625" customWidth="1"/>
    <col min="24" max="24" width="20.85546875" bestFit="1" customWidth="1"/>
    <col min="25" max="25" width="15.28515625" bestFit="1" customWidth="1"/>
    <col min="26" max="30" width="11.42578125" customWidth="1"/>
    <col min="31" max="31" width="9.140625" customWidth="1"/>
    <col min="32" max="32" width="10.85546875" customWidth="1"/>
    <col min="33" max="33" width="11.28515625" customWidth="1"/>
    <col min="35" max="35" width="13.85546875" customWidth="1"/>
    <col min="36" max="36" width="11.28515625" bestFit="1" customWidth="1"/>
    <col min="37" max="37" width="12.140625" bestFit="1" customWidth="1"/>
    <col min="39" max="39" width="12.5703125" customWidth="1"/>
    <col min="40" max="40" width="9.28515625" bestFit="1" customWidth="1"/>
    <col min="41" max="41" width="15.85546875" bestFit="1" customWidth="1"/>
    <col min="42" max="42" width="16.42578125" bestFit="1" customWidth="1"/>
    <col min="43" max="43" width="16.42578125" style="650" customWidth="1"/>
    <col min="45" max="45" width="25.85546875" bestFit="1" customWidth="1"/>
    <col min="46" max="46" width="9.28515625" bestFit="1" customWidth="1"/>
    <col min="47" max="47" width="15.85546875" bestFit="1" customWidth="1"/>
    <col min="48" max="48" width="16.42578125" bestFit="1" customWidth="1"/>
    <col min="49" max="49" width="11.7109375" bestFit="1" customWidth="1"/>
    <col min="51" max="51" width="26.5703125" bestFit="1" customWidth="1"/>
    <col min="62" max="62" width="37.28515625" bestFit="1" customWidth="1"/>
    <col min="63" max="68" width="10.5703125" bestFit="1" customWidth="1"/>
    <col min="69" max="70" width="9" bestFit="1" customWidth="1"/>
    <col min="71" max="71" width="5.140625" bestFit="1" customWidth="1"/>
    <col min="73" max="73" width="37.28515625" bestFit="1" customWidth="1"/>
    <col min="74" max="79" width="10.5703125" bestFit="1" customWidth="1"/>
    <col min="80" max="81" width="9" bestFit="1" customWidth="1"/>
    <col min="82" max="82" width="5.140625" bestFit="1" customWidth="1"/>
  </cols>
  <sheetData>
    <row r="1" spans="1:37">
      <c r="A1" s="1819" t="s">
        <v>560</v>
      </c>
      <c r="B1" s="1819"/>
      <c r="C1" s="1819"/>
      <c r="D1" s="1819"/>
      <c r="E1" s="1819"/>
      <c r="F1" s="1819"/>
      <c r="G1" s="1819"/>
      <c r="H1" s="1819"/>
      <c r="I1" s="1819"/>
      <c r="J1" s="504" t="s">
        <v>546</v>
      </c>
      <c r="L1" s="1818" t="s">
        <v>580</v>
      </c>
      <c r="M1" s="1818"/>
      <c r="N1" s="1818"/>
      <c r="O1" s="1818"/>
      <c r="P1" s="533" t="s">
        <v>574</v>
      </c>
      <c r="R1" s="1818" t="s">
        <v>572</v>
      </c>
      <c r="S1" s="1818"/>
      <c r="T1" s="1818"/>
      <c r="U1" s="1818"/>
      <c r="V1" s="533" t="s">
        <v>561</v>
      </c>
      <c r="X1" s="534" t="s">
        <v>584</v>
      </c>
      <c r="Y1" s="534" t="s">
        <v>592</v>
      </c>
      <c r="AA1" s="1819" t="s">
        <v>581</v>
      </c>
      <c r="AB1" s="1819"/>
      <c r="AC1" s="1819"/>
      <c r="AD1" s="1819"/>
      <c r="AE1" s="1819"/>
      <c r="AF1" s="1820" t="s">
        <v>582</v>
      </c>
      <c r="AG1" s="1820"/>
      <c r="AI1" s="538" t="s">
        <v>618</v>
      </c>
      <c r="AJ1" s="538" t="s">
        <v>543</v>
      </c>
      <c r="AK1" s="538" t="s">
        <v>585</v>
      </c>
    </row>
    <row r="2" spans="1:37">
      <c r="A2" s="489" t="s">
        <v>547</v>
      </c>
      <c r="B2" s="490">
        <v>2006</v>
      </c>
      <c r="C2" s="490">
        <v>2007</v>
      </c>
      <c r="D2" s="490">
        <v>2008</v>
      </c>
      <c r="E2" s="490">
        <v>2009</v>
      </c>
      <c r="F2" s="490">
        <v>2010</v>
      </c>
      <c r="G2" s="490">
        <v>2011</v>
      </c>
      <c r="H2" s="490">
        <v>2012</v>
      </c>
      <c r="I2" s="490">
        <v>2013</v>
      </c>
      <c r="J2" s="490">
        <v>2014</v>
      </c>
      <c r="L2" s="518"/>
      <c r="M2" s="529">
        <v>2011</v>
      </c>
      <c r="N2" s="529">
        <v>2012</v>
      </c>
      <c r="O2" s="529">
        <v>2013</v>
      </c>
      <c r="P2" s="529">
        <v>2014</v>
      </c>
      <c r="R2" s="518"/>
      <c r="S2" s="513">
        <v>2011</v>
      </c>
      <c r="T2" s="513">
        <v>2012</v>
      </c>
      <c r="U2" s="513">
        <v>2013</v>
      </c>
      <c r="V2" s="513">
        <v>2014</v>
      </c>
      <c r="X2" s="535" t="s">
        <v>543</v>
      </c>
      <c r="Y2" s="535" t="s">
        <v>588</v>
      </c>
      <c r="AA2" s="518"/>
      <c r="AB2" s="529">
        <v>2007</v>
      </c>
      <c r="AC2" s="529">
        <v>2008</v>
      </c>
      <c r="AD2" s="529">
        <v>2009</v>
      </c>
      <c r="AE2" s="529">
        <v>2010</v>
      </c>
      <c r="AF2" s="518">
        <v>2011</v>
      </c>
      <c r="AG2" s="529">
        <v>2012</v>
      </c>
      <c r="AI2" s="529">
        <v>2012</v>
      </c>
      <c r="AJ2" s="529">
        <v>3342.9</v>
      </c>
      <c r="AK2" s="529">
        <v>2255.42</v>
      </c>
    </row>
    <row r="3" spans="1:37">
      <c r="A3" s="491"/>
      <c r="B3" s="488"/>
      <c r="C3" s="488"/>
      <c r="D3" s="488"/>
      <c r="E3" s="488"/>
      <c r="F3" s="488"/>
      <c r="G3" s="488"/>
      <c r="H3" s="488"/>
      <c r="I3" s="488"/>
      <c r="J3" s="488"/>
      <c r="L3" s="526"/>
      <c r="M3" s="527"/>
      <c r="N3" s="527"/>
      <c r="O3" s="527"/>
      <c r="P3" s="519"/>
      <c r="R3" s="510"/>
      <c r="S3" s="511"/>
      <c r="T3" s="511"/>
      <c r="U3" s="511"/>
      <c r="V3" s="505"/>
      <c r="X3" s="536" t="s">
        <v>586</v>
      </c>
      <c r="Y3" s="536" t="s">
        <v>589</v>
      </c>
      <c r="AA3" s="520" t="s">
        <v>39</v>
      </c>
      <c r="AB3" s="520">
        <v>1888</v>
      </c>
      <c r="AC3" s="520">
        <v>1905</v>
      </c>
      <c r="AD3" s="520">
        <v>1939</v>
      </c>
      <c r="AE3" s="530">
        <v>1917</v>
      </c>
      <c r="AF3" s="520">
        <v>1911</v>
      </c>
      <c r="AG3" s="520">
        <v>1860</v>
      </c>
      <c r="AI3" s="536"/>
      <c r="AJ3" s="536"/>
      <c r="AK3" s="536"/>
    </row>
    <row r="4" spans="1:37">
      <c r="A4" s="491" t="s">
        <v>254</v>
      </c>
      <c r="B4" s="488"/>
      <c r="C4" s="488"/>
      <c r="D4" s="488"/>
      <c r="E4" s="488"/>
      <c r="F4" s="488"/>
      <c r="G4" s="488"/>
      <c r="H4" s="488"/>
      <c r="I4" s="488"/>
      <c r="J4" s="488"/>
      <c r="L4" s="521" t="s">
        <v>568</v>
      </c>
      <c r="M4" s="521">
        <v>191</v>
      </c>
      <c r="N4" s="521">
        <v>186</v>
      </c>
      <c r="O4" s="521">
        <v>181</v>
      </c>
      <c r="P4" s="528">
        <v>170</v>
      </c>
      <c r="R4" s="507" t="s">
        <v>562</v>
      </c>
      <c r="S4" s="505"/>
      <c r="T4" s="505"/>
      <c r="U4" s="505"/>
      <c r="V4" s="505"/>
      <c r="X4" s="537" t="s">
        <v>587</v>
      </c>
      <c r="Y4" s="537" t="s">
        <v>590</v>
      </c>
      <c r="AA4" s="519"/>
      <c r="AB4" s="519"/>
      <c r="AC4" s="519"/>
      <c r="AD4" s="519"/>
      <c r="AE4" s="519"/>
      <c r="AF4" s="519"/>
      <c r="AG4" s="519"/>
      <c r="AI4" s="535" t="s">
        <v>591</v>
      </c>
      <c r="AJ4" s="535"/>
      <c r="AK4" s="535"/>
    </row>
    <row r="5" spans="1:37">
      <c r="A5" s="492" t="s">
        <v>548</v>
      </c>
      <c r="B5" s="493">
        <v>146292</v>
      </c>
      <c r="C5" s="493">
        <v>147532</v>
      </c>
      <c r="D5" s="493">
        <v>143483</v>
      </c>
      <c r="E5" s="493">
        <v>128289</v>
      </c>
      <c r="F5" s="493">
        <v>118977</v>
      </c>
      <c r="G5" s="493">
        <v>116958</v>
      </c>
      <c r="H5" s="493">
        <v>115198</v>
      </c>
      <c r="I5" s="493">
        <v>114268</v>
      </c>
      <c r="J5" s="494">
        <v>116262</v>
      </c>
      <c r="L5" s="521"/>
      <c r="M5" s="521"/>
      <c r="N5" s="521"/>
      <c r="O5" s="521"/>
      <c r="P5" s="519"/>
      <c r="R5" s="508" t="s">
        <v>563</v>
      </c>
      <c r="S5" s="507">
        <v>9.3000000000000007</v>
      </c>
      <c r="T5" s="507">
        <v>9.5</v>
      </c>
      <c r="U5" s="507">
        <v>10.3</v>
      </c>
      <c r="V5" s="515">
        <v>10.9</v>
      </c>
      <c r="X5" s="529"/>
      <c r="Y5" s="529"/>
      <c r="AA5" s="531" t="s">
        <v>583</v>
      </c>
      <c r="AB5" s="532"/>
      <c r="AC5" s="532"/>
      <c r="AD5" s="532"/>
      <c r="AE5" s="532"/>
      <c r="AF5" s="532"/>
      <c r="AG5" s="532"/>
      <c r="AI5" s="6"/>
      <c r="AJ5" s="6"/>
      <c r="AK5" s="6"/>
    </row>
    <row r="6" spans="1:37">
      <c r="A6" s="492" t="s">
        <v>549</v>
      </c>
      <c r="B6" s="493">
        <v>21940</v>
      </c>
      <c r="C6" s="493">
        <v>22085</v>
      </c>
      <c r="D6" s="493">
        <v>21217</v>
      </c>
      <c r="E6" s="493">
        <v>18323</v>
      </c>
      <c r="F6" s="493">
        <v>16620</v>
      </c>
      <c r="G6" s="493">
        <v>16389</v>
      </c>
      <c r="H6" s="493">
        <v>16728</v>
      </c>
      <c r="I6" s="493">
        <v>17651</v>
      </c>
      <c r="J6" s="494">
        <v>18641</v>
      </c>
      <c r="L6" s="521" t="s">
        <v>567</v>
      </c>
      <c r="M6" s="521">
        <v>292</v>
      </c>
      <c r="N6" s="521">
        <v>296</v>
      </c>
      <c r="O6" s="521">
        <v>297</v>
      </c>
      <c r="P6" s="528">
        <v>305</v>
      </c>
      <c r="R6" s="508" t="s">
        <v>564</v>
      </c>
      <c r="S6" s="507">
        <v>3.3</v>
      </c>
      <c r="T6" s="507">
        <v>3.5</v>
      </c>
      <c r="U6" s="507">
        <v>3.8</v>
      </c>
      <c r="V6" s="515">
        <v>4.0999999999999996</v>
      </c>
      <c r="X6" s="529" t="s">
        <v>591</v>
      </c>
      <c r="Y6" s="529"/>
    </row>
    <row r="7" spans="1:37">
      <c r="A7" s="492" t="s">
        <v>550</v>
      </c>
      <c r="B7" s="493">
        <v>27783</v>
      </c>
      <c r="C7" s="493">
        <v>28136</v>
      </c>
      <c r="D7" s="493">
        <v>26948</v>
      </c>
      <c r="E7" s="493">
        <v>23929</v>
      </c>
      <c r="F7" s="493">
        <v>20640</v>
      </c>
      <c r="G7" s="493">
        <v>20112</v>
      </c>
      <c r="H7" s="493">
        <v>20046</v>
      </c>
      <c r="I7" s="493">
        <v>18076</v>
      </c>
      <c r="J7" s="494">
        <v>18547</v>
      </c>
      <c r="L7" s="521"/>
      <c r="M7" s="521"/>
      <c r="N7" s="521"/>
      <c r="O7" s="521"/>
      <c r="P7" s="519"/>
      <c r="R7" s="508" t="s">
        <v>565</v>
      </c>
      <c r="S7" s="507">
        <v>2.9</v>
      </c>
      <c r="T7" s="507">
        <v>2.9</v>
      </c>
      <c r="U7" s="507">
        <v>2.8</v>
      </c>
      <c r="V7" s="515">
        <v>2.9</v>
      </c>
    </row>
    <row r="8" spans="1:37">
      <c r="A8" s="492" t="s">
        <v>551</v>
      </c>
      <c r="B8" s="493">
        <v>42367</v>
      </c>
      <c r="C8" s="493">
        <v>45507</v>
      </c>
      <c r="D8" s="493">
        <v>45709</v>
      </c>
      <c r="E8" s="493">
        <v>42388</v>
      </c>
      <c r="F8" s="493">
        <v>42327</v>
      </c>
      <c r="G8" s="493">
        <v>41814</v>
      </c>
      <c r="H8" s="493">
        <v>40398</v>
      </c>
      <c r="I8" s="493">
        <v>41116</v>
      </c>
      <c r="J8" s="494">
        <v>43940</v>
      </c>
      <c r="L8" s="521" t="s">
        <v>562</v>
      </c>
      <c r="M8" s="521"/>
      <c r="N8" s="521"/>
      <c r="O8" s="521"/>
      <c r="P8" s="519"/>
      <c r="R8" s="508" t="s">
        <v>566</v>
      </c>
      <c r="S8" s="507">
        <v>0.9</v>
      </c>
      <c r="T8" s="507">
        <v>0.8</v>
      </c>
      <c r="U8" s="507">
        <v>0.8</v>
      </c>
      <c r="V8" s="515">
        <v>0.8</v>
      </c>
    </row>
    <row r="9" spans="1:37">
      <c r="A9" s="495"/>
      <c r="B9" s="493"/>
      <c r="C9" s="493"/>
      <c r="D9" s="493"/>
      <c r="E9" s="493"/>
      <c r="F9" s="493"/>
      <c r="G9" s="496"/>
      <c r="H9" s="496"/>
      <c r="I9" s="496"/>
      <c r="J9" s="488"/>
      <c r="L9" s="522" t="s">
        <v>563</v>
      </c>
      <c r="M9" s="521">
        <v>78</v>
      </c>
      <c r="N9" s="521">
        <v>82</v>
      </c>
      <c r="O9" s="521">
        <v>78</v>
      </c>
      <c r="P9" s="528">
        <v>85</v>
      </c>
      <c r="R9" s="508"/>
      <c r="S9" s="507"/>
      <c r="T9" s="507"/>
      <c r="U9" s="507"/>
      <c r="V9" s="515"/>
    </row>
    <row r="10" spans="1:37">
      <c r="A10" s="491" t="s">
        <v>552</v>
      </c>
      <c r="B10" s="497">
        <v>238382</v>
      </c>
      <c r="C10" s="497">
        <v>243260</v>
      </c>
      <c r="D10" s="497">
        <v>237357</v>
      </c>
      <c r="E10" s="497">
        <v>212929</v>
      </c>
      <c r="F10" s="497">
        <v>198564</v>
      </c>
      <c r="G10" s="497">
        <v>195273</v>
      </c>
      <c r="H10" s="497">
        <v>192370</v>
      </c>
      <c r="I10" s="497">
        <v>193105</v>
      </c>
      <c r="J10" s="497">
        <v>197390</v>
      </c>
      <c r="L10" s="522" t="s">
        <v>575</v>
      </c>
      <c r="M10" s="521">
        <v>21</v>
      </c>
      <c r="N10" s="521">
        <v>21</v>
      </c>
      <c r="O10" s="521">
        <v>21</v>
      </c>
      <c r="P10" s="528">
        <v>21</v>
      </c>
      <c r="R10" s="507" t="s">
        <v>567</v>
      </c>
      <c r="S10" s="507">
        <v>12.1</v>
      </c>
      <c r="T10" s="507">
        <v>11.9</v>
      </c>
      <c r="U10" s="514">
        <v>11</v>
      </c>
      <c r="V10" s="515">
        <v>11</v>
      </c>
    </row>
    <row r="11" spans="1:37">
      <c r="A11" s="491"/>
      <c r="B11" s="496"/>
      <c r="C11" s="496"/>
      <c r="D11" s="496"/>
      <c r="E11" s="493"/>
      <c r="F11" s="493"/>
      <c r="G11" s="493"/>
      <c r="H11" s="496"/>
      <c r="I11" s="498"/>
      <c r="J11" s="488"/>
      <c r="L11" s="522" t="s">
        <v>564</v>
      </c>
      <c r="M11" s="521">
        <v>25</v>
      </c>
      <c r="N11" s="521">
        <v>25</v>
      </c>
      <c r="O11" s="521">
        <v>25</v>
      </c>
      <c r="P11" s="528">
        <v>25</v>
      </c>
      <c r="R11" s="512"/>
      <c r="S11" s="507"/>
      <c r="T11" s="507"/>
      <c r="U11" s="507"/>
      <c r="V11" s="515"/>
    </row>
    <row r="12" spans="1:37">
      <c r="A12" s="491" t="s">
        <v>598</v>
      </c>
      <c r="B12" s="496"/>
      <c r="C12" s="496"/>
      <c r="D12" s="496"/>
      <c r="E12" s="493"/>
      <c r="F12" s="493"/>
      <c r="G12" s="493"/>
      <c r="H12" s="496"/>
      <c r="I12" s="498"/>
      <c r="J12" s="521"/>
      <c r="L12" s="522" t="s">
        <v>566</v>
      </c>
      <c r="M12" s="521">
        <v>11</v>
      </c>
      <c r="N12" s="521">
        <v>11</v>
      </c>
      <c r="O12" s="521">
        <v>11</v>
      </c>
      <c r="P12" s="528">
        <v>11</v>
      </c>
      <c r="R12" s="507" t="s">
        <v>568</v>
      </c>
      <c r="S12" s="507">
        <v>7</v>
      </c>
      <c r="T12" s="507">
        <v>7.4</v>
      </c>
      <c r="U12" s="507">
        <v>6.5</v>
      </c>
      <c r="V12" s="515">
        <v>6.9</v>
      </c>
    </row>
    <row r="13" spans="1:37" s="650" customFormat="1">
      <c r="A13" s="522" t="s">
        <v>548</v>
      </c>
      <c r="B13" s="493">
        <f>B19*'CAR Occupancy'!$AD$10</f>
        <v>2382558.1443456695</v>
      </c>
      <c r="C13" s="493">
        <f>C19*'CAR Occupancy'!$AD$10</f>
        <v>2520260.9896377334</v>
      </c>
      <c r="D13" s="493">
        <f>D19*'CAR Occupancy'!$AD$10</f>
        <v>2693953.8984026578</v>
      </c>
      <c r="E13" s="493">
        <f>E19*'CAR Occupancy'!$AD$10</f>
        <v>2584907.5931294058</v>
      </c>
      <c r="F13" s="493">
        <f>F19*'CAR Occupancy'!$AD$10</f>
        <v>2461792.082533983</v>
      </c>
      <c r="G13" s="493">
        <f>G19*'CAR Occupancy'!$AD$10</f>
        <v>2394793.9688043273</v>
      </c>
      <c r="H13" s="493">
        <f>H19*'CAR Occupancy'!$AD$10</f>
        <v>2286624.4978571027</v>
      </c>
      <c r="I13" s="493">
        <f>I19*'CAR Occupancy'!$AD$10</f>
        <v>1998265.5729112034</v>
      </c>
      <c r="J13" s="493">
        <f>J19*'CAR Occupancy'!$AD$10</f>
        <v>1941550.3344595081</v>
      </c>
      <c r="L13" s="522"/>
      <c r="M13" s="521"/>
      <c r="N13" s="521"/>
      <c r="O13" s="521"/>
      <c r="P13" s="528"/>
      <c r="R13" s="521"/>
      <c r="S13" s="521"/>
      <c r="T13" s="521"/>
      <c r="U13" s="521"/>
      <c r="V13" s="515"/>
    </row>
    <row r="14" spans="1:37" s="650" customFormat="1">
      <c r="A14" s="522" t="s">
        <v>549</v>
      </c>
      <c r="B14" s="493">
        <f>B20*'CAR Occupancy'!$AD$10</f>
        <v>331483.23134416656</v>
      </c>
      <c r="C14" s="493">
        <f>C20*'CAR Occupancy'!$AD$10</f>
        <v>339932.72575861448</v>
      </c>
      <c r="D14" s="493">
        <f>D20*'CAR Occupancy'!$AD$10</f>
        <v>352367.83074591518</v>
      </c>
      <c r="E14" s="493">
        <f>E20*'CAR Occupancy'!$AD$10</f>
        <v>350096.03271938907</v>
      </c>
      <c r="F14" s="493">
        <f>F20*'CAR Occupancy'!$AD$10</f>
        <v>329490.42605774017</v>
      </c>
      <c r="G14" s="493">
        <f>G20*'CAR Occupancy'!$AD$10</f>
        <v>321280.06827766343</v>
      </c>
      <c r="H14" s="493">
        <f>H20*'CAR Occupancy'!$AD$10</f>
        <v>311076.90521116025</v>
      </c>
      <c r="I14" s="493">
        <f>I20*'CAR Occupancy'!$AD$10</f>
        <v>305457.19430343783</v>
      </c>
      <c r="J14" s="493">
        <f>J20*'CAR Occupancy'!$AD$10</f>
        <v>316696.61611888272</v>
      </c>
      <c r="L14" s="522"/>
      <c r="M14" s="521"/>
      <c r="N14" s="521"/>
      <c r="O14" s="521"/>
      <c r="P14" s="528"/>
      <c r="R14" s="521"/>
      <c r="S14" s="521"/>
      <c r="T14" s="521"/>
      <c r="U14" s="521"/>
      <c r="V14" s="515"/>
    </row>
    <row r="15" spans="1:37" s="650" customFormat="1">
      <c r="A15" s="522" t="s">
        <v>550</v>
      </c>
      <c r="B15" s="493">
        <f>B21*'CAR Occupancy'!$AD$10</f>
        <v>3324039.0738649555</v>
      </c>
      <c r="C15" s="493">
        <f>C21*'CAR Occupancy'!$AD$10</f>
        <v>3363855.3234877549</v>
      </c>
      <c r="D15" s="493">
        <f>D21*'CAR Occupancy'!$AD$10</f>
        <v>3467760.1911220271</v>
      </c>
      <c r="E15" s="493">
        <f>E21*'CAR Occupancy'!$AD$10</f>
        <v>3401359.9189782995</v>
      </c>
      <c r="F15" s="493">
        <f>F21*'CAR Occupancy'!$AD$10</f>
        <v>3299248.5761018111</v>
      </c>
      <c r="G15" s="493">
        <f>G21*'CAR Occupancy'!$AD$10</f>
        <v>3284501.8169822558</v>
      </c>
      <c r="H15" s="493">
        <f>H21*'CAR Occupancy'!$AD$10</f>
        <v>3293429.5846654461</v>
      </c>
      <c r="I15" s="493">
        <f>I21*'CAR Occupancy'!$AD$10</f>
        <v>2836598.9008050594</v>
      </c>
      <c r="J15" s="493">
        <f>J21*'CAR Occupancy'!$AD$10</f>
        <v>2821971.7100026896</v>
      </c>
      <c r="L15" s="522"/>
      <c r="M15" s="521"/>
      <c r="N15" s="521"/>
      <c r="O15" s="521"/>
      <c r="P15" s="528"/>
      <c r="R15" s="521"/>
      <c r="S15" s="521"/>
      <c r="T15" s="521"/>
      <c r="U15" s="521"/>
      <c r="V15" s="515"/>
    </row>
    <row r="16" spans="1:37" s="650" customFormat="1">
      <c r="A16" s="522" t="s">
        <v>551</v>
      </c>
      <c r="B16" s="493">
        <f t="shared" ref="B16:J16" si="0">B8*2*$B$54</f>
        <v>693124.12</v>
      </c>
      <c r="C16" s="493">
        <f t="shared" si="0"/>
        <v>744494.52</v>
      </c>
      <c r="D16" s="493">
        <f t="shared" si="0"/>
        <v>747799.24</v>
      </c>
      <c r="E16" s="493">
        <f t="shared" si="0"/>
        <v>693467.67999999993</v>
      </c>
      <c r="F16" s="493">
        <f t="shared" si="0"/>
        <v>692469.72</v>
      </c>
      <c r="G16" s="493">
        <f t="shared" si="0"/>
        <v>684077.03999999992</v>
      </c>
      <c r="H16" s="493">
        <f t="shared" si="0"/>
        <v>660911.28</v>
      </c>
      <c r="I16" s="493">
        <f t="shared" si="0"/>
        <v>672657.76</v>
      </c>
      <c r="J16" s="493">
        <f t="shared" si="0"/>
        <v>718858.4</v>
      </c>
      <c r="L16" s="522"/>
      <c r="M16" s="521"/>
      <c r="N16" s="521"/>
      <c r="O16" s="521"/>
      <c r="P16" s="528"/>
      <c r="R16" s="521"/>
      <c r="S16" s="521"/>
      <c r="T16" s="521"/>
      <c r="U16" s="521"/>
      <c r="V16" s="515"/>
    </row>
    <row r="17" spans="1:22" s="650" customFormat="1">
      <c r="A17" s="491"/>
      <c r="B17" s="496"/>
      <c r="C17" s="496"/>
      <c r="D17" s="496"/>
      <c r="E17" s="493"/>
      <c r="F17" s="493"/>
      <c r="G17" s="493"/>
      <c r="H17" s="493"/>
      <c r="I17" s="498"/>
      <c r="J17" s="521"/>
      <c r="L17" s="522"/>
      <c r="M17" s="521"/>
      <c r="N17" s="521"/>
      <c r="O17" s="521"/>
      <c r="P17" s="528"/>
      <c r="R17" s="521"/>
      <c r="S17" s="521"/>
      <c r="T17" s="521"/>
      <c r="U17" s="521"/>
      <c r="V17" s="515"/>
    </row>
    <row r="18" spans="1:22">
      <c r="A18" s="491" t="s">
        <v>553</v>
      </c>
      <c r="B18" s="496"/>
      <c r="C18" s="496"/>
      <c r="D18" s="496"/>
      <c r="E18" s="493"/>
      <c r="F18" s="493"/>
      <c r="G18" s="493"/>
      <c r="H18" s="496"/>
      <c r="I18" s="498"/>
      <c r="J18" s="488"/>
      <c r="L18" s="522" t="s">
        <v>576</v>
      </c>
      <c r="M18" s="521">
        <v>6</v>
      </c>
      <c r="N18" s="521">
        <v>6</v>
      </c>
      <c r="O18" s="521">
        <v>6</v>
      </c>
      <c r="P18" s="528">
        <v>6</v>
      </c>
      <c r="R18" s="512"/>
      <c r="S18" s="507"/>
      <c r="T18" s="507"/>
      <c r="U18" s="507"/>
      <c r="V18" s="515"/>
    </row>
    <row r="19" spans="1:22">
      <c r="A19" s="492" t="s">
        <v>548</v>
      </c>
      <c r="B19" s="493">
        <v>59779</v>
      </c>
      <c r="C19" s="493">
        <v>63234</v>
      </c>
      <c r="D19" s="493">
        <v>67592</v>
      </c>
      <c r="E19" s="493">
        <v>64856</v>
      </c>
      <c r="F19" s="493">
        <v>61767</v>
      </c>
      <c r="G19" s="493">
        <v>60086</v>
      </c>
      <c r="H19" s="493">
        <v>57372</v>
      </c>
      <c r="I19" s="493">
        <v>50137</v>
      </c>
      <c r="J19" s="494">
        <v>48714</v>
      </c>
      <c r="L19" s="522" t="s">
        <v>577</v>
      </c>
      <c r="M19" s="521">
        <v>3</v>
      </c>
      <c r="N19" s="521">
        <v>3</v>
      </c>
      <c r="O19" s="521">
        <v>3</v>
      </c>
      <c r="P19" s="528">
        <v>3</v>
      </c>
      <c r="R19" s="507" t="s">
        <v>569</v>
      </c>
      <c r="S19" s="507">
        <v>41.8</v>
      </c>
      <c r="T19" s="507">
        <v>40.4</v>
      </c>
      <c r="U19" s="507">
        <v>41.1</v>
      </c>
      <c r="V19" s="515">
        <v>43.9</v>
      </c>
    </row>
    <row r="20" spans="1:22">
      <c r="A20" s="492" t="s">
        <v>549</v>
      </c>
      <c r="B20" s="493">
        <v>8317</v>
      </c>
      <c r="C20" s="493">
        <v>8529</v>
      </c>
      <c r="D20" s="493">
        <v>8841</v>
      </c>
      <c r="E20" s="493">
        <v>8784</v>
      </c>
      <c r="F20" s="493">
        <v>8267</v>
      </c>
      <c r="G20" s="493">
        <v>8061</v>
      </c>
      <c r="H20" s="493">
        <v>7805</v>
      </c>
      <c r="I20" s="493">
        <v>7664</v>
      </c>
      <c r="J20" s="494">
        <v>7946</v>
      </c>
      <c r="L20" s="522" t="s">
        <v>578</v>
      </c>
      <c r="M20" s="521">
        <v>3</v>
      </c>
      <c r="N20" s="521">
        <v>3</v>
      </c>
      <c r="O20" s="521">
        <v>3</v>
      </c>
      <c r="P20" s="528">
        <v>3</v>
      </c>
      <c r="R20" s="507"/>
      <c r="S20" s="507"/>
      <c r="T20" s="507"/>
      <c r="U20" s="507"/>
      <c r="V20" s="515"/>
    </row>
    <row r="21" spans="1:22">
      <c r="A21" s="492" t="s">
        <v>550</v>
      </c>
      <c r="B21" s="493">
        <v>83401</v>
      </c>
      <c r="C21" s="493">
        <v>84400</v>
      </c>
      <c r="D21" s="493">
        <v>87007</v>
      </c>
      <c r="E21" s="493">
        <v>85341</v>
      </c>
      <c r="F21" s="493">
        <v>82779</v>
      </c>
      <c r="G21" s="493">
        <v>82409</v>
      </c>
      <c r="H21" s="493">
        <v>82633</v>
      </c>
      <c r="I21" s="493">
        <v>71171</v>
      </c>
      <c r="J21" s="494">
        <v>70804</v>
      </c>
      <c r="L21" s="522"/>
      <c r="M21" s="521"/>
      <c r="N21" s="521"/>
      <c r="O21" s="521"/>
      <c r="P21" s="519"/>
      <c r="R21" s="507" t="s">
        <v>570</v>
      </c>
      <c r="S21" s="507">
        <v>1</v>
      </c>
      <c r="T21" s="507">
        <v>0.8</v>
      </c>
      <c r="U21" s="507">
        <v>0.6</v>
      </c>
      <c r="V21" s="515">
        <v>0.6</v>
      </c>
    </row>
    <row r="22" spans="1:22">
      <c r="A22" s="495"/>
      <c r="B22" s="493"/>
      <c r="C22" s="496"/>
      <c r="D22" s="493"/>
      <c r="E22" s="493"/>
      <c r="F22" s="493"/>
      <c r="G22" s="493"/>
      <c r="H22" s="493"/>
      <c r="I22" s="493"/>
      <c r="J22" s="488"/>
      <c r="L22" s="524" t="s">
        <v>579</v>
      </c>
      <c r="M22" s="525">
        <v>7</v>
      </c>
      <c r="N22" s="524">
        <v>7</v>
      </c>
      <c r="O22" s="524">
        <v>7</v>
      </c>
      <c r="P22" s="528">
        <v>7</v>
      </c>
      <c r="R22" s="507"/>
      <c r="S22" s="507"/>
      <c r="T22" s="507"/>
      <c r="U22" s="507"/>
      <c r="V22" s="515"/>
    </row>
    <row r="23" spans="1:22">
      <c r="A23" s="499" t="s">
        <v>554</v>
      </c>
      <c r="B23" s="500">
        <v>151497</v>
      </c>
      <c r="C23" s="500">
        <v>156163</v>
      </c>
      <c r="D23" s="500">
        <v>163440</v>
      </c>
      <c r="E23" s="500">
        <v>158981</v>
      </c>
      <c r="F23" s="500">
        <v>152813</v>
      </c>
      <c r="G23" s="500">
        <v>150556</v>
      </c>
      <c r="H23" s="500">
        <v>147810</v>
      </c>
      <c r="I23" s="500">
        <v>128972</v>
      </c>
      <c r="J23" s="500">
        <v>127464</v>
      </c>
      <c r="L23" s="521"/>
      <c r="M23" s="521"/>
      <c r="N23" s="521"/>
      <c r="O23" s="521"/>
      <c r="P23" s="519"/>
      <c r="Q23" s="517"/>
      <c r="R23" s="506" t="s">
        <v>39</v>
      </c>
      <c r="S23" s="506">
        <v>78.3</v>
      </c>
      <c r="T23" s="506">
        <v>77.2</v>
      </c>
      <c r="U23" s="506">
        <v>76.8</v>
      </c>
      <c r="V23" s="516">
        <v>81.099999999999994</v>
      </c>
    </row>
    <row r="24" spans="1:22">
      <c r="A24" s="499"/>
      <c r="B24" s="500"/>
      <c r="C24" s="500"/>
      <c r="D24" s="500"/>
      <c r="E24" s="500"/>
      <c r="F24" s="500"/>
      <c r="G24" s="500"/>
      <c r="H24" s="500"/>
      <c r="I24" s="500"/>
      <c r="J24" s="488"/>
      <c r="L24" s="521" t="s">
        <v>570</v>
      </c>
      <c r="M24" s="521">
        <v>20</v>
      </c>
      <c r="N24" s="521">
        <v>5</v>
      </c>
      <c r="O24" s="521">
        <v>5</v>
      </c>
      <c r="P24" s="528">
        <v>10</v>
      </c>
      <c r="R24" s="509"/>
      <c r="S24" s="509"/>
      <c r="T24" s="509"/>
      <c r="U24" s="509"/>
      <c r="V24" s="509"/>
    </row>
    <row r="25" spans="1:22">
      <c r="A25" s="499"/>
      <c r="B25" s="500"/>
      <c r="C25" s="500"/>
      <c r="D25" s="500"/>
      <c r="E25" s="500"/>
      <c r="F25" s="500"/>
      <c r="G25" s="500"/>
      <c r="H25" s="500"/>
      <c r="I25" s="500"/>
      <c r="J25" s="488"/>
      <c r="L25" s="521"/>
      <c r="M25" s="521"/>
      <c r="N25" s="521"/>
      <c r="O25" s="521"/>
      <c r="P25" s="519"/>
      <c r="R25" s="507" t="s">
        <v>571</v>
      </c>
      <c r="S25" s="511"/>
      <c r="T25" s="511"/>
      <c r="U25" s="505"/>
      <c r="V25" s="505"/>
    </row>
    <row r="26" spans="1:22">
      <c r="A26" s="499" t="s">
        <v>555</v>
      </c>
      <c r="B26" s="500"/>
      <c r="C26" s="500"/>
      <c r="D26" s="500"/>
      <c r="E26" s="500"/>
      <c r="F26" s="500"/>
      <c r="G26" s="500"/>
      <c r="H26" s="500"/>
      <c r="I26" s="500"/>
      <c r="J26" s="488"/>
      <c r="L26" s="520" t="s">
        <v>39</v>
      </c>
      <c r="M26" s="520">
        <v>657</v>
      </c>
      <c r="N26" s="520">
        <v>645</v>
      </c>
      <c r="O26" s="520">
        <v>637</v>
      </c>
      <c r="P26" s="530">
        <v>646</v>
      </c>
    </row>
    <row r="27" spans="1:22">
      <c r="A27" s="492" t="s">
        <v>556</v>
      </c>
      <c r="B27" s="501" t="s">
        <v>557</v>
      </c>
      <c r="C27" s="501" t="s">
        <v>557</v>
      </c>
      <c r="D27" s="500">
        <v>35314</v>
      </c>
      <c r="E27" s="502">
        <v>33712</v>
      </c>
      <c r="F27" s="502">
        <v>31346</v>
      </c>
      <c r="G27" s="502">
        <v>30060</v>
      </c>
      <c r="H27" s="502">
        <v>28000</v>
      </c>
      <c r="I27" s="503">
        <v>27439</v>
      </c>
      <c r="J27" s="494">
        <v>27115</v>
      </c>
    </row>
    <row r="28" spans="1:22">
      <c r="A28" s="492" t="s">
        <v>558</v>
      </c>
      <c r="B28" s="501" t="s">
        <v>557</v>
      </c>
      <c r="C28" s="501" t="s">
        <v>557</v>
      </c>
      <c r="D28" s="500">
        <v>30691</v>
      </c>
      <c r="E28" s="502">
        <v>29694</v>
      </c>
      <c r="F28" s="502">
        <v>28196</v>
      </c>
      <c r="G28" s="502">
        <v>28500</v>
      </c>
      <c r="H28" s="502">
        <v>28700</v>
      </c>
      <c r="I28" s="502">
        <v>28200</v>
      </c>
      <c r="J28" s="494">
        <v>28215</v>
      </c>
      <c r="L28" s="523"/>
      <c r="M28" s="523"/>
      <c r="N28" s="523"/>
      <c r="O28" s="523"/>
      <c r="P28" s="523"/>
    </row>
    <row r="29" spans="1:22">
      <c r="A29" s="495"/>
      <c r="B29" s="500"/>
      <c r="C29" s="500"/>
      <c r="D29" s="500"/>
      <c r="E29" s="500"/>
      <c r="F29" s="502"/>
      <c r="G29" s="502"/>
      <c r="H29" s="496"/>
      <c r="I29" s="496"/>
      <c r="J29" s="488"/>
      <c r="L29" s="521" t="s">
        <v>571</v>
      </c>
      <c r="M29" s="519"/>
      <c r="N29" s="519"/>
      <c r="O29" s="519"/>
      <c r="P29" s="519"/>
    </row>
    <row r="30" spans="1:22">
      <c r="A30" s="499" t="s">
        <v>559</v>
      </c>
      <c r="B30" s="500"/>
      <c r="C30" s="500"/>
      <c r="D30" s="500">
        <v>66005</v>
      </c>
      <c r="E30" s="500">
        <v>63406</v>
      </c>
      <c r="F30" s="500">
        <v>59542</v>
      </c>
      <c r="G30" s="500">
        <v>58560</v>
      </c>
      <c r="H30" s="500">
        <v>56700</v>
      </c>
      <c r="I30" s="500">
        <v>55639</v>
      </c>
      <c r="J30" s="500">
        <v>55330</v>
      </c>
    </row>
    <row r="32" spans="1:22">
      <c r="A32" s="531" t="s">
        <v>573</v>
      </c>
      <c r="B32" s="532"/>
      <c r="C32" s="532"/>
      <c r="D32" s="532"/>
      <c r="E32" s="532"/>
      <c r="F32" s="532"/>
      <c r="G32" s="532"/>
      <c r="H32" s="532"/>
      <c r="I32" s="532"/>
      <c r="J32" s="532"/>
    </row>
    <row r="34" spans="1:10">
      <c r="A34" s="782" t="s">
        <v>926</v>
      </c>
      <c r="B34">
        <v>2012</v>
      </c>
      <c r="C34">
        <v>2013</v>
      </c>
      <c r="D34">
        <v>2014</v>
      </c>
      <c r="E34">
        <v>2015</v>
      </c>
      <c r="F34">
        <v>2016</v>
      </c>
      <c r="G34">
        <v>2017</v>
      </c>
      <c r="H34" s="650">
        <v>2018</v>
      </c>
      <c r="I34" s="650">
        <v>2019</v>
      </c>
      <c r="J34" s="650">
        <v>2020</v>
      </c>
    </row>
    <row r="35" spans="1:10">
      <c r="A35" s="783" t="s">
        <v>543</v>
      </c>
      <c r="B35" s="532">
        <f>B60</f>
        <v>914</v>
      </c>
      <c r="C35" s="532">
        <f t="shared" ref="C35:I35" si="1">ROUND(B35-($B$35/7.5),0)</f>
        <v>792</v>
      </c>
      <c r="D35" s="532">
        <f t="shared" si="1"/>
        <v>670</v>
      </c>
      <c r="E35" s="532">
        <f t="shared" si="1"/>
        <v>548</v>
      </c>
      <c r="F35" s="532">
        <f t="shared" si="1"/>
        <v>426</v>
      </c>
      <c r="G35" s="532">
        <f t="shared" si="1"/>
        <v>304</v>
      </c>
      <c r="H35" s="532">
        <f t="shared" si="1"/>
        <v>182</v>
      </c>
      <c r="I35" s="532">
        <f t="shared" si="1"/>
        <v>60</v>
      </c>
      <c r="J35" s="532">
        <v>0</v>
      </c>
    </row>
    <row r="36" spans="1:10">
      <c r="A36" s="538" t="s">
        <v>915</v>
      </c>
      <c r="B36" s="6">
        <f>C60</f>
        <v>405</v>
      </c>
      <c r="C36" s="6">
        <f>ROUND(B36-($B$36/5.4),0)</f>
        <v>330</v>
      </c>
      <c r="D36" s="6">
        <f>ROUND(C36-($B$36/5.4),0)</f>
        <v>255</v>
      </c>
      <c r="E36" s="6">
        <f>ROUND(D36-($B$36/5.4),0)</f>
        <v>180</v>
      </c>
      <c r="F36" s="6">
        <f>ROUND(E36-($B$36/5.4),0)</f>
        <v>105</v>
      </c>
      <c r="G36" s="6">
        <f>ROUND(F36-($B$36/5.4),0)</f>
        <v>30</v>
      </c>
      <c r="H36" s="6">
        <v>0</v>
      </c>
      <c r="I36" s="6">
        <v>0</v>
      </c>
      <c r="J36" s="6">
        <v>0</v>
      </c>
    </row>
    <row r="37" spans="1:10">
      <c r="A37" s="538" t="s">
        <v>916</v>
      </c>
      <c r="B37" s="6">
        <f>D60</f>
        <v>38</v>
      </c>
      <c r="C37" s="6">
        <f>ROUND(B37-($B$37/5.5),0)</f>
        <v>31</v>
      </c>
      <c r="D37" s="6">
        <f>ROUND(C37-($B$37/5.5),0)</f>
        <v>24</v>
      </c>
      <c r="E37" s="6">
        <f>ROUND(D37-($B$37/5.5),0)</f>
        <v>17</v>
      </c>
      <c r="F37" s="6">
        <f>ROUND(E37-($B$37/5.5),0)</f>
        <v>10</v>
      </c>
      <c r="G37" s="6">
        <f>ROUND(F37-($B$37/5.5),0)</f>
        <v>3</v>
      </c>
      <c r="H37" s="6">
        <v>0</v>
      </c>
      <c r="I37" s="6">
        <v>0</v>
      </c>
      <c r="J37" s="6">
        <v>0</v>
      </c>
    </row>
    <row r="38" spans="1:10">
      <c r="A38" s="538" t="s">
        <v>920</v>
      </c>
      <c r="B38" s="6">
        <f>E60</f>
        <v>4000</v>
      </c>
      <c r="C38" s="6">
        <f>ROUND(B38-($B$38/5.5),0)</f>
        <v>3273</v>
      </c>
      <c r="D38" s="6">
        <f>ROUND(C38-($B$38/5.5),0)</f>
        <v>2546</v>
      </c>
      <c r="E38" s="6">
        <f>ROUND(D38-($B$38/5.5),0)</f>
        <v>1819</v>
      </c>
      <c r="F38" s="6">
        <f>ROUND(E38-($B$38/5.5),0)</f>
        <v>1092</v>
      </c>
      <c r="G38" s="6">
        <f>ROUND(F38-($B$38/5.5),0)</f>
        <v>365</v>
      </c>
      <c r="H38" s="6">
        <v>0</v>
      </c>
      <c r="I38" s="6">
        <v>0</v>
      </c>
      <c r="J38" s="6">
        <v>0</v>
      </c>
    </row>
    <row r="39" spans="1:10">
      <c r="A39" s="784" t="s">
        <v>39</v>
      </c>
      <c r="B39" s="583">
        <f>SUM(B35:B38)</f>
        <v>5357</v>
      </c>
      <c r="C39" s="583">
        <f t="shared" ref="C39:J39" si="2">SUM(C35:C38)</f>
        <v>4426</v>
      </c>
      <c r="D39" s="583">
        <f t="shared" si="2"/>
        <v>3495</v>
      </c>
      <c r="E39" s="583">
        <f t="shared" si="2"/>
        <v>2564</v>
      </c>
      <c r="F39" s="583">
        <f t="shared" si="2"/>
        <v>1633</v>
      </c>
      <c r="G39" s="583">
        <f t="shared" si="2"/>
        <v>702</v>
      </c>
      <c r="H39" s="583">
        <f t="shared" si="2"/>
        <v>182</v>
      </c>
      <c r="I39" s="583">
        <f t="shared" si="2"/>
        <v>60</v>
      </c>
      <c r="J39" s="583">
        <f t="shared" si="2"/>
        <v>0</v>
      </c>
    </row>
    <row r="41" spans="1:10">
      <c r="A41" s="782" t="s">
        <v>927</v>
      </c>
      <c r="B41" s="650">
        <v>2012</v>
      </c>
      <c r="C41" s="650">
        <v>2013</v>
      </c>
      <c r="D41" s="650">
        <v>2014</v>
      </c>
      <c r="E41" s="650">
        <v>2015</v>
      </c>
      <c r="F41" s="650">
        <v>2016</v>
      </c>
      <c r="G41" s="650">
        <v>2017</v>
      </c>
      <c r="H41" s="650">
        <v>2018</v>
      </c>
      <c r="I41" s="650">
        <v>2019</v>
      </c>
      <c r="J41" s="650">
        <v>2020</v>
      </c>
    </row>
    <row r="42" spans="1:10">
      <c r="A42" s="783" t="s">
        <v>543</v>
      </c>
      <c r="B42" s="785">
        <f t="shared" ref="B42:J42" si="3">B35*$B$69</f>
        <v>2207089.2183907451</v>
      </c>
      <c r="C42" s="785">
        <f t="shared" si="3"/>
        <v>1912488.6881460284</v>
      </c>
      <c r="D42" s="785">
        <f t="shared" si="3"/>
        <v>1617888.157901312</v>
      </c>
      <c r="E42" s="785">
        <f t="shared" si="3"/>
        <v>1323287.6276565953</v>
      </c>
      <c r="F42" s="785">
        <f t="shared" si="3"/>
        <v>1028687.0974118789</v>
      </c>
      <c r="G42" s="785">
        <f t="shared" si="3"/>
        <v>734086.56716716243</v>
      </c>
      <c r="H42" s="785">
        <f t="shared" si="3"/>
        <v>439486.03692244593</v>
      </c>
      <c r="I42" s="785">
        <f t="shared" si="3"/>
        <v>144885.50667772943</v>
      </c>
      <c r="J42" s="785">
        <f t="shared" si="3"/>
        <v>0</v>
      </c>
    </row>
    <row r="43" spans="1:10">
      <c r="A43" s="538" t="s">
        <v>915</v>
      </c>
      <c r="B43" s="786">
        <f t="shared" ref="B43:J43" si="4">B36*$C$69</f>
        <v>3236977.7618821622</v>
      </c>
      <c r="C43" s="786">
        <f t="shared" si="4"/>
        <v>2637537.4356076876</v>
      </c>
      <c r="D43" s="786">
        <f t="shared" si="4"/>
        <v>2038097.1093332132</v>
      </c>
      <c r="E43" s="786">
        <f t="shared" si="4"/>
        <v>1438656.7830587388</v>
      </c>
      <c r="F43" s="786">
        <f t="shared" si="4"/>
        <v>839216.4567842643</v>
      </c>
      <c r="G43" s="786">
        <f t="shared" si="4"/>
        <v>239776.1305097898</v>
      </c>
      <c r="H43" s="786">
        <f t="shared" si="4"/>
        <v>0</v>
      </c>
      <c r="I43" s="786">
        <f t="shared" si="4"/>
        <v>0</v>
      </c>
      <c r="J43" s="786">
        <f t="shared" si="4"/>
        <v>0</v>
      </c>
    </row>
    <row r="44" spans="1:10">
      <c r="A44" s="538" t="s">
        <v>916</v>
      </c>
      <c r="B44" s="786">
        <f t="shared" ref="B44:J44" si="5">B37*$D$69</f>
        <v>305112.01651809306</v>
      </c>
      <c r="C44" s="786">
        <f t="shared" si="5"/>
        <v>248907.17137002328</v>
      </c>
      <c r="D44" s="786">
        <f t="shared" si="5"/>
        <v>192702.3262219535</v>
      </c>
      <c r="E44" s="786">
        <f t="shared" si="5"/>
        <v>136497.48107388371</v>
      </c>
      <c r="F44" s="786">
        <f t="shared" si="5"/>
        <v>80292.635925813956</v>
      </c>
      <c r="G44" s="786">
        <f t="shared" si="5"/>
        <v>24087.790777744187</v>
      </c>
      <c r="H44" s="786">
        <f t="shared" si="5"/>
        <v>0</v>
      </c>
      <c r="I44" s="786">
        <f t="shared" si="5"/>
        <v>0</v>
      </c>
      <c r="J44" s="786">
        <f t="shared" si="5"/>
        <v>0</v>
      </c>
    </row>
    <row r="45" spans="1:10">
      <c r="A45" s="538" t="s">
        <v>920</v>
      </c>
      <c r="B45" s="786">
        <f t="shared" ref="B45:J45" si="6">B38*$E$69</f>
        <v>719721.3899999999</v>
      </c>
      <c r="C45" s="786">
        <f t="shared" si="6"/>
        <v>588912.02736749989</v>
      </c>
      <c r="D45" s="786">
        <f t="shared" si="6"/>
        <v>458102.66473499994</v>
      </c>
      <c r="E45" s="786">
        <f t="shared" si="6"/>
        <v>327293.30210249999</v>
      </c>
      <c r="F45" s="786">
        <f t="shared" si="6"/>
        <v>196483.93946999998</v>
      </c>
      <c r="G45" s="786">
        <f t="shared" si="6"/>
        <v>65674.57683749999</v>
      </c>
      <c r="H45" s="786">
        <f t="shared" si="6"/>
        <v>0</v>
      </c>
      <c r="I45" s="786">
        <f t="shared" si="6"/>
        <v>0</v>
      </c>
      <c r="J45" s="786">
        <f t="shared" si="6"/>
        <v>0</v>
      </c>
    </row>
    <row r="46" spans="1:10">
      <c r="A46" s="784" t="s">
        <v>39</v>
      </c>
      <c r="B46" s="787">
        <f>SUM(B42:B45)</f>
        <v>6468900.3867910001</v>
      </c>
      <c r="C46" s="787">
        <f t="shared" ref="C46:J46" si="7">SUM(C42:C45)</f>
        <v>5387845.3224912388</v>
      </c>
      <c r="D46" s="787">
        <f t="shared" si="7"/>
        <v>4306790.2581914784</v>
      </c>
      <c r="E46" s="787">
        <f t="shared" si="7"/>
        <v>3225735.1938917181</v>
      </c>
      <c r="F46" s="787">
        <f t="shared" si="7"/>
        <v>2144680.1295919572</v>
      </c>
      <c r="G46" s="787">
        <f t="shared" si="7"/>
        <v>1063625.0652921963</v>
      </c>
      <c r="H46" s="787">
        <f t="shared" si="7"/>
        <v>439486.03692244593</v>
      </c>
      <c r="I46" s="787">
        <f t="shared" si="7"/>
        <v>144885.50667772943</v>
      </c>
      <c r="J46" s="787">
        <f t="shared" si="7"/>
        <v>0</v>
      </c>
    </row>
    <row r="48" spans="1:10">
      <c r="A48" s="782" t="s">
        <v>927</v>
      </c>
      <c r="B48" s="650">
        <v>2012</v>
      </c>
      <c r="C48" s="650">
        <v>2013</v>
      </c>
      <c r="D48" s="650">
        <v>2014</v>
      </c>
      <c r="E48" s="650">
        <v>2015</v>
      </c>
      <c r="F48" s="650">
        <v>2016</v>
      </c>
      <c r="G48" s="650">
        <v>2017</v>
      </c>
      <c r="H48" s="650">
        <v>2018</v>
      </c>
      <c r="I48" s="650">
        <v>2019</v>
      </c>
      <c r="J48" s="650">
        <v>2020</v>
      </c>
    </row>
    <row r="49" spans="1:10">
      <c r="A49" s="783" t="s">
        <v>925</v>
      </c>
      <c r="B49" s="785">
        <f>SUM(B42:B43)</f>
        <v>5444066.9802729078</v>
      </c>
      <c r="C49" s="785">
        <f t="shared" ref="C49:J49" si="8">SUM(C42:C43)</f>
        <v>4550026.1237537162</v>
      </c>
      <c r="D49" s="785">
        <f t="shared" si="8"/>
        <v>3655985.2672345252</v>
      </c>
      <c r="E49" s="785">
        <f t="shared" si="8"/>
        <v>2761944.4107153341</v>
      </c>
      <c r="F49" s="785">
        <f t="shared" si="8"/>
        <v>1867903.5541961431</v>
      </c>
      <c r="G49" s="785">
        <f t="shared" si="8"/>
        <v>973862.69767695223</v>
      </c>
      <c r="H49" s="785">
        <f t="shared" si="8"/>
        <v>439486.03692244593</v>
      </c>
      <c r="I49" s="785">
        <f t="shared" si="8"/>
        <v>144885.50667772943</v>
      </c>
      <c r="J49" s="785">
        <f t="shared" si="8"/>
        <v>0</v>
      </c>
    </row>
    <row r="50" spans="1:10">
      <c r="A50" s="538" t="s">
        <v>924</v>
      </c>
      <c r="B50" s="786">
        <f>B44</f>
        <v>305112.01651809306</v>
      </c>
      <c r="C50" s="786">
        <f t="shared" ref="C50:J50" si="9">C44</f>
        <v>248907.17137002328</v>
      </c>
      <c r="D50" s="786">
        <f t="shared" si="9"/>
        <v>192702.3262219535</v>
      </c>
      <c r="E50" s="786">
        <f t="shared" si="9"/>
        <v>136497.48107388371</v>
      </c>
      <c r="F50" s="786">
        <f t="shared" si="9"/>
        <v>80292.635925813956</v>
      </c>
      <c r="G50" s="786">
        <f t="shared" si="9"/>
        <v>24087.790777744187</v>
      </c>
      <c r="H50" s="786">
        <f t="shared" si="9"/>
        <v>0</v>
      </c>
      <c r="I50" s="786">
        <f t="shared" si="9"/>
        <v>0</v>
      </c>
      <c r="J50" s="786">
        <f t="shared" si="9"/>
        <v>0</v>
      </c>
    </row>
    <row r="51" spans="1:10">
      <c r="A51" s="538" t="s">
        <v>928</v>
      </c>
      <c r="B51" s="786">
        <f t="shared" ref="B51:J51" si="10">B45</f>
        <v>719721.3899999999</v>
      </c>
      <c r="C51" s="786">
        <f t="shared" si="10"/>
        <v>588912.02736749989</v>
      </c>
      <c r="D51" s="786">
        <f t="shared" si="10"/>
        <v>458102.66473499994</v>
      </c>
      <c r="E51" s="786">
        <f t="shared" si="10"/>
        <v>327293.30210249999</v>
      </c>
      <c r="F51" s="786">
        <f t="shared" si="10"/>
        <v>196483.93946999998</v>
      </c>
      <c r="G51" s="786">
        <f t="shared" si="10"/>
        <v>65674.57683749999</v>
      </c>
      <c r="H51" s="786">
        <f t="shared" si="10"/>
        <v>0</v>
      </c>
      <c r="I51" s="786">
        <f t="shared" si="10"/>
        <v>0</v>
      </c>
      <c r="J51" s="786">
        <f t="shared" si="10"/>
        <v>0</v>
      </c>
    </row>
    <row r="52" spans="1:10">
      <c r="A52" s="784" t="s">
        <v>39</v>
      </c>
      <c r="B52" s="787">
        <f>SUM(B49:B51)</f>
        <v>6468900.3867910001</v>
      </c>
      <c r="C52" s="787">
        <f t="shared" ref="C52:J52" si="11">SUM(C49:C51)</f>
        <v>5387845.3224912388</v>
      </c>
      <c r="D52" s="787">
        <f t="shared" si="11"/>
        <v>4306790.2581914784</v>
      </c>
      <c r="E52" s="787">
        <f t="shared" si="11"/>
        <v>3225735.1938917181</v>
      </c>
      <c r="F52" s="787">
        <f t="shared" si="11"/>
        <v>2144680.1295919572</v>
      </c>
      <c r="G52" s="787">
        <f t="shared" si="11"/>
        <v>1063625.0652921963</v>
      </c>
      <c r="H52" s="787">
        <f t="shared" si="11"/>
        <v>439486.03692244593</v>
      </c>
      <c r="I52" s="787">
        <f t="shared" si="11"/>
        <v>144885.50667772943</v>
      </c>
      <c r="J52" s="787">
        <f t="shared" si="11"/>
        <v>0</v>
      </c>
    </row>
    <row r="54" spans="1:10">
      <c r="A54" t="s">
        <v>919</v>
      </c>
      <c r="B54">
        <v>8.18</v>
      </c>
    </row>
    <row r="55" spans="1:10">
      <c r="B55">
        <f>B54*B8</f>
        <v>346562.06</v>
      </c>
    </row>
    <row r="57" spans="1:10">
      <c r="A57" s="538" t="s">
        <v>917</v>
      </c>
      <c r="B57" s="538" t="s">
        <v>543</v>
      </c>
      <c r="C57" s="538" t="s">
        <v>915</v>
      </c>
      <c r="D57" s="538" t="s">
        <v>916</v>
      </c>
      <c r="E57" s="538" t="s">
        <v>920</v>
      </c>
    </row>
    <row r="58" spans="1:10">
      <c r="A58" s="535">
        <v>2010</v>
      </c>
      <c r="B58" s="535">
        <v>1023</v>
      </c>
      <c r="C58" s="535">
        <f>ROUND(400*(F21/(F21+F20)),0)</f>
        <v>364</v>
      </c>
      <c r="D58" s="535">
        <f>ROUND(400*(F20/(F21+F20)),0)</f>
        <v>36</v>
      </c>
      <c r="E58" s="535">
        <v>4000</v>
      </c>
    </row>
    <row r="59" spans="1:10">
      <c r="A59" s="536">
        <v>2011</v>
      </c>
      <c r="B59" s="536">
        <v>940</v>
      </c>
      <c r="C59" s="536">
        <f>ROUND(460*(G21/(G21+G20)),0)</f>
        <v>419</v>
      </c>
      <c r="D59" s="536">
        <f>ROUND(460*(G20/(G21+G20)),0)</f>
        <v>41</v>
      </c>
      <c r="E59" s="536">
        <v>4000</v>
      </c>
    </row>
    <row r="60" spans="1:10">
      <c r="A60" s="536">
        <v>2012</v>
      </c>
      <c r="B60" s="536">
        <v>914</v>
      </c>
      <c r="C60" s="536">
        <f>ROUND(443*(H21/(H21+H20)),0)</f>
        <v>405</v>
      </c>
      <c r="D60" s="536">
        <f>ROUND(443*(H20/(H21+H20)),0)</f>
        <v>38</v>
      </c>
      <c r="E60" s="536">
        <v>4000</v>
      </c>
    </row>
    <row r="61" spans="1:10">
      <c r="A61" s="536">
        <v>2013</v>
      </c>
      <c r="B61" s="536">
        <v>907</v>
      </c>
      <c r="C61" s="536">
        <f>ROUND(453*(I21/(I21+I20)),0)</f>
        <v>409</v>
      </c>
      <c r="D61" s="537">
        <f>ROUND(453*(I20/(I21+I20)),0)</f>
        <v>44</v>
      </c>
      <c r="E61" s="537">
        <v>4000</v>
      </c>
    </row>
    <row r="62" spans="1:10">
      <c r="A62" s="535" t="s">
        <v>591</v>
      </c>
      <c r="B62" s="535"/>
      <c r="C62" s="535"/>
      <c r="E62" s="650"/>
    </row>
    <row r="63" spans="1:10">
      <c r="E63" s="650"/>
    </row>
    <row r="64" spans="1:10">
      <c r="A64" s="538" t="s">
        <v>918</v>
      </c>
      <c r="B64" s="538" t="s">
        <v>543</v>
      </c>
      <c r="C64" s="538" t="s">
        <v>915</v>
      </c>
      <c r="D64" s="538" t="s">
        <v>916</v>
      </c>
      <c r="E64" s="538" t="s">
        <v>920</v>
      </c>
    </row>
    <row r="65" spans="1:10">
      <c r="A65" s="778">
        <v>2010</v>
      </c>
      <c r="B65" s="778">
        <f>F13/B58</f>
        <v>2406.4438734447535</v>
      </c>
      <c r="C65" s="778">
        <f>F15/C58</f>
        <v>9063.8697145654151</v>
      </c>
      <c r="D65" s="778">
        <f>F14/D58</f>
        <v>9152.5118349372278</v>
      </c>
      <c r="E65" s="778">
        <f>B16/E58</f>
        <v>173.28102999999999</v>
      </c>
    </row>
    <row r="66" spans="1:10">
      <c r="A66" s="779">
        <v>2011</v>
      </c>
      <c r="B66" s="779">
        <f>G13/B59</f>
        <v>2547.6531583024757</v>
      </c>
      <c r="C66" s="779">
        <f>G15/C59</f>
        <v>7838.9064844445247</v>
      </c>
      <c r="D66" s="779">
        <f>G14/D59</f>
        <v>7836.0992262844738</v>
      </c>
      <c r="E66" s="779">
        <f>C16/E59</f>
        <v>186.12362999999999</v>
      </c>
    </row>
    <row r="67" spans="1:10">
      <c r="A67" s="779">
        <v>2012</v>
      </c>
      <c r="B67" s="779">
        <f>H13/B60</f>
        <v>2501.7773499530663</v>
      </c>
      <c r="C67" s="779">
        <f>H15/C60</f>
        <v>8131.9249004085086</v>
      </c>
      <c r="D67" s="779">
        <f>H14/D60</f>
        <v>8186.2343476621118</v>
      </c>
      <c r="E67" s="779">
        <f>D16/E60</f>
        <v>186.94980999999999</v>
      </c>
    </row>
    <row r="68" spans="1:10">
      <c r="A68" s="779">
        <v>2013</v>
      </c>
      <c r="B68" s="779">
        <f>I13/B61</f>
        <v>2203.1593968149982</v>
      </c>
      <c r="C68" s="779">
        <f>I15/C61</f>
        <v>6935.4496352201941</v>
      </c>
      <c r="D68" s="779">
        <f>I14/D61</f>
        <v>6942.2089614417691</v>
      </c>
      <c r="E68" s="779">
        <f>E16/E61</f>
        <v>173.36691999999999</v>
      </c>
    </row>
    <row r="69" spans="1:10">
      <c r="A69" s="781" t="s">
        <v>873</v>
      </c>
      <c r="B69" s="780">
        <f>AVERAGE(B65:B68)</f>
        <v>2414.7584446288238</v>
      </c>
      <c r="C69" s="780">
        <f>AVERAGE(C65:C68)</f>
        <v>7992.5376836596597</v>
      </c>
      <c r="D69" s="780">
        <f>AVERAGE(D65:D68)</f>
        <v>8029.2635925813956</v>
      </c>
      <c r="E69" s="780">
        <f>AVERAGE(E65:E68)</f>
        <v>179.93034749999998</v>
      </c>
      <c r="F69" s="650"/>
      <c r="G69" s="650"/>
      <c r="H69" s="650"/>
      <c r="I69" s="650"/>
      <c r="J69" s="650"/>
    </row>
    <row r="70" spans="1:10">
      <c r="A70" s="536" t="s">
        <v>591</v>
      </c>
      <c r="B70" s="536"/>
      <c r="C70" s="536"/>
      <c r="F70" s="650"/>
      <c r="G70" s="650"/>
      <c r="H70" s="650"/>
      <c r="I70" s="650"/>
      <c r="J70" s="650"/>
    </row>
    <row r="71" spans="1:10">
      <c r="A71" s="650"/>
      <c r="B71" s="650"/>
      <c r="C71" s="650"/>
      <c r="D71" s="650"/>
      <c r="E71" s="650"/>
      <c r="F71" s="650"/>
      <c r="G71" s="650"/>
      <c r="H71" s="650"/>
      <c r="I71" s="650"/>
      <c r="J71" s="650"/>
    </row>
  </sheetData>
  <mergeCells count="5">
    <mergeCell ref="L1:O1"/>
    <mergeCell ref="A1:I1"/>
    <mergeCell ref="R1:U1"/>
    <mergeCell ref="AA1:AE1"/>
    <mergeCell ref="AF1:AG1"/>
  </mergeCells>
  <pageMargins left="0.7" right="0.7" top="0.75" bottom="0.75" header="0.3" footer="0.3"/>
  <pageSetup paperSize="9" orientation="portrait" r:id="rId1"/>
  <legacy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FF0000"/>
  </sheetPr>
  <dimension ref="A1:AC77"/>
  <sheetViews>
    <sheetView topLeftCell="B34" workbookViewId="0">
      <selection activeCell="C52" sqref="C52"/>
    </sheetView>
  </sheetViews>
  <sheetFormatPr defaultRowHeight="15"/>
  <cols>
    <col min="1" max="1" width="30.28515625" style="611" bestFit="1" customWidth="1"/>
    <col min="2" max="2" width="11.5703125" style="611" bestFit="1" customWidth="1"/>
    <col min="3" max="3" width="10.140625" style="611" bestFit="1" customWidth="1"/>
    <col min="4" max="4" width="8.42578125" style="611" bestFit="1" customWidth="1"/>
    <col min="5" max="5" width="11.85546875" style="611" bestFit="1" customWidth="1"/>
    <col min="6" max="6" width="7.5703125" style="611" bestFit="1" customWidth="1"/>
    <col min="7" max="15" width="6.7109375" style="611" bestFit="1" customWidth="1"/>
    <col min="16" max="16" width="12" style="611" bestFit="1" customWidth="1"/>
    <col min="17" max="19" width="9.5703125" style="611" bestFit="1" customWidth="1"/>
    <col min="20" max="22" width="9.140625" style="611" bestFit="1" customWidth="1"/>
    <col min="23" max="24" width="9.5703125" style="611" bestFit="1" customWidth="1"/>
    <col min="25" max="25" width="9.140625" style="611" bestFit="1" customWidth="1"/>
    <col min="26" max="26" width="9.5703125" style="611" bestFit="1" customWidth="1"/>
    <col min="27" max="27" width="9.140625" style="611" bestFit="1" customWidth="1"/>
    <col min="28" max="29" width="9.5703125" style="611" bestFit="1" customWidth="1"/>
  </cols>
  <sheetData>
    <row r="1" spans="1:29">
      <c r="A1" s="1048" t="s">
        <v>651</v>
      </c>
      <c r="B1" s="1047" t="s">
        <v>652</v>
      </c>
      <c r="C1" s="1047" t="s">
        <v>653</v>
      </c>
      <c r="D1" s="1047" t="s">
        <v>654</v>
      </c>
      <c r="E1" s="1047" t="s">
        <v>655</v>
      </c>
      <c r="F1" s="1047">
        <v>1990</v>
      </c>
      <c r="G1" s="1047">
        <v>1991</v>
      </c>
      <c r="H1" s="1047">
        <v>1992</v>
      </c>
      <c r="I1" s="1047">
        <v>1993</v>
      </c>
      <c r="J1" s="1047">
        <v>1994</v>
      </c>
      <c r="K1" s="1047">
        <v>1995</v>
      </c>
      <c r="L1" s="1047">
        <v>1996</v>
      </c>
      <c r="M1" s="1047">
        <v>1997</v>
      </c>
      <c r="N1" s="1047">
        <v>1998</v>
      </c>
      <c r="O1" s="1047">
        <v>1999</v>
      </c>
      <c r="P1" s="1047">
        <v>2000</v>
      </c>
      <c r="Q1" s="1047">
        <v>2001</v>
      </c>
      <c r="R1" s="1047">
        <v>2002</v>
      </c>
      <c r="S1" s="1047">
        <v>2003</v>
      </c>
      <c r="T1" s="1047">
        <v>2004</v>
      </c>
      <c r="U1" s="1047">
        <v>2005</v>
      </c>
      <c r="V1" s="1047">
        <v>2006</v>
      </c>
      <c r="W1" s="1047">
        <v>2007</v>
      </c>
      <c r="X1" s="1047">
        <v>2008</v>
      </c>
      <c r="Y1" s="1047">
        <v>2009</v>
      </c>
      <c r="Z1" s="1047">
        <v>2010</v>
      </c>
      <c r="AA1" s="1047">
        <v>2011</v>
      </c>
      <c r="AB1" s="1047">
        <v>2012</v>
      </c>
      <c r="AC1" s="1049">
        <v>2013</v>
      </c>
    </row>
    <row r="2" spans="1:29" ht="15.75" thickBot="1">
      <c r="A2" s="1821" t="s">
        <v>656</v>
      </c>
      <c r="B2" s="1822"/>
      <c r="C2" s="1822"/>
      <c r="D2" s="1822"/>
      <c r="E2" s="1822"/>
      <c r="F2" s="1823"/>
      <c r="G2" s="1823"/>
      <c r="H2" s="1823"/>
      <c r="I2" s="1823"/>
      <c r="J2" s="1823"/>
      <c r="K2" s="1823"/>
      <c r="L2" s="1823"/>
      <c r="M2" s="1823"/>
      <c r="N2" s="1823"/>
      <c r="O2" s="1823"/>
      <c r="P2" s="1823"/>
      <c r="Q2" s="1823"/>
      <c r="R2" s="1823"/>
      <c r="S2" s="1823"/>
      <c r="T2" s="1823"/>
      <c r="U2" s="1823"/>
      <c r="V2" s="1823"/>
      <c r="W2" s="1823"/>
      <c r="X2" s="1823"/>
      <c r="Y2" s="1823"/>
      <c r="Z2" s="1823"/>
      <c r="AA2" s="1823"/>
      <c r="AB2" s="1823"/>
      <c r="AC2" s="1824"/>
    </row>
    <row r="3" spans="1:29">
      <c r="A3" s="1035" t="s">
        <v>657</v>
      </c>
      <c r="B3" s="1036" t="s">
        <v>659</v>
      </c>
      <c r="C3" s="1037" t="s">
        <v>185</v>
      </c>
      <c r="D3" s="1038" t="s">
        <v>112</v>
      </c>
      <c r="E3" s="1039" t="s">
        <v>660</v>
      </c>
      <c r="F3" s="989">
        <v>2560</v>
      </c>
      <c r="G3" s="993">
        <v>2396</v>
      </c>
      <c r="H3" s="597">
        <v>2291</v>
      </c>
      <c r="I3" s="597">
        <v>2366</v>
      </c>
      <c r="J3" s="597">
        <v>2529</v>
      </c>
      <c r="K3" s="989">
        <v>3025</v>
      </c>
      <c r="L3" s="993">
        <v>3534</v>
      </c>
      <c r="M3" s="597">
        <v>4001</v>
      </c>
      <c r="N3" s="597">
        <v>3947</v>
      </c>
      <c r="O3" s="597">
        <v>4620</v>
      </c>
      <c r="P3" s="989">
        <v>4805</v>
      </c>
      <c r="Q3" s="597">
        <v>6859</v>
      </c>
      <c r="R3" s="597">
        <v>8286</v>
      </c>
      <c r="S3" s="597">
        <v>9410</v>
      </c>
      <c r="T3" s="597">
        <v>9880</v>
      </c>
      <c r="U3" s="597">
        <v>10417</v>
      </c>
      <c r="V3" s="597">
        <v>10868</v>
      </c>
      <c r="W3" s="597">
        <v>12068</v>
      </c>
      <c r="X3" s="597">
        <v>12970</v>
      </c>
      <c r="Y3" s="600">
        <v>12161</v>
      </c>
      <c r="Z3" s="600">
        <v>10775</v>
      </c>
      <c r="AA3" s="600">
        <v>9304</v>
      </c>
      <c r="AB3" s="600">
        <v>7992</v>
      </c>
      <c r="AC3" s="1050">
        <v>6638</v>
      </c>
    </row>
    <row r="4" spans="1:29">
      <c r="A4" s="1040" t="s">
        <v>657</v>
      </c>
      <c r="B4" s="1008" t="s">
        <v>659</v>
      </c>
      <c r="C4" s="1009" t="s">
        <v>187</v>
      </c>
      <c r="D4" s="1010" t="s">
        <v>112</v>
      </c>
      <c r="E4" s="1022" t="s">
        <v>660</v>
      </c>
      <c r="F4" s="989">
        <v>2359</v>
      </c>
      <c r="G4" s="993">
        <v>2911</v>
      </c>
      <c r="H4" s="597">
        <v>3366</v>
      </c>
      <c r="I4" s="597">
        <v>3722</v>
      </c>
      <c r="J4" s="597">
        <v>4344</v>
      </c>
      <c r="K4" s="989">
        <v>5016</v>
      </c>
      <c r="L4" s="993">
        <v>5652</v>
      </c>
      <c r="M4" s="597">
        <v>6303</v>
      </c>
      <c r="N4" s="597">
        <v>7272</v>
      </c>
      <c r="O4" s="597">
        <v>8444</v>
      </c>
      <c r="P4" s="989">
        <v>8826</v>
      </c>
      <c r="Q4" s="597">
        <v>9682</v>
      </c>
      <c r="R4" s="597">
        <v>9963</v>
      </c>
      <c r="S4" s="597">
        <v>10443</v>
      </c>
      <c r="T4" s="597">
        <v>10862</v>
      </c>
      <c r="U4" s="597">
        <v>11466</v>
      </c>
      <c r="V4" s="597">
        <v>12402</v>
      </c>
      <c r="W4" s="597">
        <v>14565</v>
      </c>
      <c r="X4" s="597">
        <v>16038</v>
      </c>
      <c r="Y4" s="600">
        <v>16067</v>
      </c>
      <c r="Z4" s="600">
        <v>15831</v>
      </c>
      <c r="AA4" s="600">
        <v>15736</v>
      </c>
      <c r="AB4" s="600">
        <v>16061</v>
      </c>
      <c r="AC4" s="1050">
        <v>16113</v>
      </c>
    </row>
    <row r="5" spans="1:29">
      <c r="A5" s="1051" t="s">
        <v>657</v>
      </c>
      <c r="B5" s="1011" t="s">
        <v>659</v>
      </c>
      <c r="C5" s="1012" t="s">
        <v>661</v>
      </c>
      <c r="D5" s="1012" t="s">
        <v>112</v>
      </c>
      <c r="E5" s="1023" t="s">
        <v>660</v>
      </c>
      <c r="F5" s="990">
        <v>4919</v>
      </c>
      <c r="G5" s="1052">
        <v>5307</v>
      </c>
      <c r="H5" s="988">
        <v>5657</v>
      </c>
      <c r="I5" s="988">
        <v>6088</v>
      </c>
      <c r="J5" s="988">
        <v>6873</v>
      </c>
      <c r="K5" s="1053">
        <v>8041</v>
      </c>
      <c r="L5" s="1052">
        <v>9186</v>
      </c>
      <c r="M5" s="988">
        <v>10304</v>
      </c>
      <c r="N5" s="988">
        <v>11219</v>
      </c>
      <c r="O5" s="988">
        <v>13064</v>
      </c>
      <c r="P5" s="1053">
        <v>13631</v>
      </c>
      <c r="Q5" s="988">
        <v>16541</v>
      </c>
      <c r="R5" s="988">
        <v>18249</v>
      </c>
      <c r="S5" s="988">
        <v>19853</v>
      </c>
      <c r="T5" s="988">
        <v>20742</v>
      </c>
      <c r="U5" s="988">
        <v>21883</v>
      </c>
      <c r="V5" s="988">
        <v>23270</v>
      </c>
      <c r="W5" s="988">
        <v>26633</v>
      </c>
      <c r="X5" s="988">
        <v>29008</v>
      </c>
      <c r="Y5" s="988">
        <v>28228</v>
      </c>
      <c r="Z5" s="1054">
        <v>26606</v>
      </c>
      <c r="AA5" s="1054">
        <v>25040</v>
      </c>
      <c r="AB5" s="1054">
        <v>24053</v>
      </c>
      <c r="AC5" s="1055">
        <v>22751</v>
      </c>
    </row>
    <row r="6" spans="1:29">
      <c r="A6" s="1040" t="s">
        <v>662</v>
      </c>
      <c r="B6" s="1008" t="s">
        <v>663</v>
      </c>
      <c r="C6" s="1009" t="s">
        <v>185</v>
      </c>
      <c r="D6" s="1010" t="s">
        <v>112</v>
      </c>
      <c r="E6" s="1022" t="s">
        <v>660</v>
      </c>
      <c r="F6" s="989">
        <v>191</v>
      </c>
      <c r="G6" s="993">
        <v>310</v>
      </c>
      <c r="H6" s="597">
        <v>488</v>
      </c>
      <c r="I6" s="597">
        <v>719</v>
      </c>
      <c r="J6" s="597">
        <v>997</v>
      </c>
      <c r="K6" s="989">
        <v>1244</v>
      </c>
      <c r="L6" s="993">
        <v>1514</v>
      </c>
      <c r="M6" s="597">
        <v>1835</v>
      </c>
      <c r="N6" s="597">
        <v>2129</v>
      </c>
      <c r="O6" s="597">
        <v>2426</v>
      </c>
      <c r="P6" s="989">
        <v>2606</v>
      </c>
      <c r="Q6" s="597">
        <v>2775</v>
      </c>
      <c r="R6" s="597">
        <v>2754</v>
      </c>
      <c r="S6" s="597">
        <v>2524</v>
      </c>
      <c r="T6" s="597">
        <v>2295</v>
      </c>
      <c r="U6" s="597">
        <v>2155</v>
      </c>
      <c r="V6" s="597">
        <v>1984</v>
      </c>
      <c r="W6" s="597">
        <v>1683</v>
      </c>
      <c r="X6" s="597">
        <v>1335</v>
      </c>
      <c r="Y6" s="597">
        <v>988</v>
      </c>
      <c r="Z6" s="600">
        <v>630</v>
      </c>
      <c r="AA6" s="600">
        <v>399</v>
      </c>
      <c r="AB6" s="600">
        <v>299</v>
      </c>
      <c r="AC6" s="1050">
        <v>220</v>
      </c>
    </row>
    <row r="7" spans="1:29">
      <c r="A7" s="1040" t="s">
        <v>662</v>
      </c>
      <c r="B7" s="1008" t="s">
        <v>664</v>
      </c>
      <c r="C7" s="1009" t="s">
        <v>185</v>
      </c>
      <c r="D7" s="1010" t="s">
        <v>112</v>
      </c>
      <c r="E7" s="1022" t="s">
        <v>660</v>
      </c>
      <c r="F7" s="989">
        <v>336</v>
      </c>
      <c r="G7" s="993">
        <v>564</v>
      </c>
      <c r="H7" s="597">
        <v>912</v>
      </c>
      <c r="I7" s="597">
        <v>1424</v>
      </c>
      <c r="J7" s="597">
        <v>2162</v>
      </c>
      <c r="K7" s="989">
        <v>3090</v>
      </c>
      <c r="L7" s="993">
        <v>4245</v>
      </c>
      <c r="M7" s="597">
        <v>5628</v>
      </c>
      <c r="N7" s="597">
        <v>7163</v>
      </c>
      <c r="O7" s="597">
        <v>8683</v>
      </c>
      <c r="P7" s="989">
        <v>9210</v>
      </c>
      <c r="Q7" s="597">
        <v>10215</v>
      </c>
      <c r="R7" s="597">
        <v>10977</v>
      </c>
      <c r="S7" s="597">
        <v>11437</v>
      </c>
      <c r="T7" s="597">
        <v>11788</v>
      </c>
      <c r="U7" s="597">
        <v>11893</v>
      </c>
      <c r="V7" s="597">
        <v>11789</v>
      </c>
      <c r="W7" s="597">
        <v>12152</v>
      </c>
      <c r="X7" s="597">
        <v>11225</v>
      </c>
      <c r="Y7" s="597">
        <v>9824</v>
      </c>
      <c r="Z7" s="600">
        <v>6956</v>
      </c>
      <c r="AA7" s="600">
        <v>4720</v>
      </c>
      <c r="AB7" s="600">
        <v>3713</v>
      </c>
      <c r="AC7" s="1050">
        <v>2775</v>
      </c>
    </row>
    <row r="8" spans="1:29" ht="26.25">
      <c r="A8" s="1040" t="s">
        <v>662</v>
      </c>
      <c r="B8" s="1008" t="s">
        <v>665</v>
      </c>
      <c r="C8" s="1009" t="s">
        <v>185</v>
      </c>
      <c r="D8" s="1010" t="s">
        <v>112</v>
      </c>
      <c r="E8" s="1022" t="s">
        <v>660</v>
      </c>
      <c r="F8" s="989">
        <v>1</v>
      </c>
      <c r="G8" s="993">
        <v>1</v>
      </c>
      <c r="H8" s="597">
        <v>1</v>
      </c>
      <c r="I8" s="597">
        <v>1</v>
      </c>
      <c r="J8" s="597">
        <v>1</v>
      </c>
      <c r="K8" s="989">
        <v>1</v>
      </c>
      <c r="L8" s="993">
        <v>1</v>
      </c>
      <c r="M8" s="597">
        <v>2</v>
      </c>
      <c r="N8" s="597">
        <v>3</v>
      </c>
      <c r="O8" s="597">
        <v>6</v>
      </c>
      <c r="P8" s="989">
        <v>7</v>
      </c>
      <c r="Q8" s="597">
        <v>8</v>
      </c>
      <c r="R8" s="597">
        <v>8</v>
      </c>
      <c r="S8" s="597">
        <v>7</v>
      </c>
      <c r="T8" s="597">
        <v>8</v>
      </c>
      <c r="U8" s="597">
        <v>7</v>
      </c>
      <c r="V8" s="597">
        <v>6</v>
      </c>
      <c r="W8" s="597">
        <v>9</v>
      </c>
      <c r="X8" s="597">
        <v>6</v>
      </c>
      <c r="Y8" s="597">
        <v>3</v>
      </c>
      <c r="Z8" s="600">
        <v>1</v>
      </c>
      <c r="AA8" s="600">
        <v>1</v>
      </c>
      <c r="AB8" s="600">
        <v>1</v>
      </c>
      <c r="AC8" s="1050">
        <v>1</v>
      </c>
    </row>
    <row r="9" spans="1:29">
      <c r="A9" s="1040" t="s">
        <v>662</v>
      </c>
      <c r="B9" s="1008" t="s">
        <v>666</v>
      </c>
      <c r="C9" s="1009" t="s">
        <v>185</v>
      </c>
      <c r="D9" s="1010" t="s">
        <v>112</v>
      </c>
      <c r="E9" s="1022" t="s">
        <v>660</v>
      </c>
      <c r="F9" s="989">
        <v>307</v>
      </c>
      <c r="G9" s="993">
        <v>324</v>
      </c>
      <c r="H9" s="597">
        <v>347</v>
      </c>
      <c r="I9" s="597">
        <v>368</v>
      </c>
      <c r="J9" s="597">
        <v>391</v>
      </c>
      <c r="K9" s="989">
        <v>424</v>
      </c>
      <c r="L9" s="993">
        <v>461</v>
      </c>
      <c r="M9" s="597">
        <v>531</v>
      </c>
      <c r="N9" s="597">
        <v>595</v>
      </c>
      <c r="O9" s="597">
        <v>658</v>
      </c>
      <c r="P9" s="989">
        <v>202</v>
      </c>
      <c r="Q9" s="597">
        <v>270</v>
      </c>
      <c r="R9" s="597">
        <v>330</v>
      </c>
      <c r="S9" s="597">
        <v>428</v>
      </c>
      <c r="T9" s="597">
        <v>516</v>
      </c>
      <c r="U9" s="597">
        <v>639</v>
      </c>
      <c r="V9" s="597">
        <v>792</v>
      </c>
      <c r="W9" s="597">
        <v>745</v>
      </c>
      <c r="X9" s="597">
        <v>772</v>
      </c>
      <c r="Y9" s="597">
        <v>720</v>
      </c>
      <c r="Z9" s="600">
        <v>514</v>
      </c>
      <c r="AA9" s="600">
        <v>509</v>
      </c>
      <c r="AB9" s="600">
        <v>511</v>
      </c>
      <c r="AC9" s="1050">
        <v>464</v>
      </c>
    </row>
    <row r="10" spans="1:29">
      <c r="A10" s="1051" t="s">
        <v>662</v>
      </c>
      <c r="B10" s="1011" t="s">
        <v>658</v>
      </c>
      <c r="C10" s="1012" t="s">
        <v>185</v>
      </c>
      <c r="D10" s="1012" t="s">
        <v>112</v>
      </c>
      <c r="E10" s="1023" t="s">
        <v>660</v>
      </c>
      <c r="F10" s="990">
        <v>835</v>
      </c>
      <c r="G10" s="1052">
        <v>1199</v>
      </c>
      <c r="H10" s="988">
        <v>1748</v>
      </c>
      <c r="I10" s="988">
        <v>2512</v>
      </c>
      <c r="J10" s="988">
        <v>3551</v>
      </c>
      <c r="K10" s="1053">
        <v>4759</v>
      </c>
      <c r="L10" s="1052">
        <v>6221</v>
      </c>
      <c r="M10" s="988">
        <v>7996</v>
      </c>
      <c r="N10" s="988">
        <v>9890</v>
      </c>
      <c r="O10" s="988">
        <v>11773</v>
      </c>
      <c r="P10" s="1053">
        <v>12025</v>
      </c>
      <c r="Q10" s="988">
        <v>13268</v>
      </c>
      <c r="R10" s="988">
        <v>14069</v>
      </c>
      <c r="S10" s="988">
        <v>14396</v>
      </c>
      <c r="T10" s="988">
        <v>14607</v>
      </c>
      <c r="U10" s="988">
        <v>14694</v>
      </c>
      <c r="V10" s="988">
        <v>14571</v>
      </c>
      <c r="W10" s="988">
        <v>14589</v>
      </c>
      <c r="X10" s="988">
        <v>13338</v>
      </c>
      <c r="Y10" s="988">
        <v>11535</v>
      </c>
      <c r="Z10" s="1054">
        <v>8101</v>
      </c>
      <c r="AA10" s="1054">
        <v>5629</v>
      </c>
      <c r="AB10" s="1054">
        <v>4524</v>
      </c>
      <c r="AC10" s="1055">
        <v>3460</v>
      </c>
    </row>
    <row r="11" spans="1:29">
      <c r="A11" s="1040" t="s">
        <v>662</v>
      </c>
      <c r="B11" s="1056" t="s">
        <v>663</v>
      </c>
      <c r="C11" s="1013" t="s">
        <v>187</v>
      </c>
      <c r="D11" s="1014" t="s">
        <v>112</v>
      </c>
      <c r="E11" s="1022" t="s">
        <v>660</v>
      </c>
      <c r="F11" s="989">
        <v>165</v>
      </c>
      <c r="G11" s="993">
        <v>283</v>
      </c>
      <c r="H11" s="597">
        <v>448</v>
      </c>
      <c r="I11" s="597">
        <v>700</v>
      </c>
      <c r="J11" s="597">
        <v>1076</v>
      </c>
      <c r="K11" s="989">
        <v>1516</v>
      </c>
      <c r="L11" s="993">
        <v>1937</v>
      </c>
      <c r="M11" s="597">
        <v>2404</v>
      </c>
      <c r="N11" s="597">
        <v>2915</v>
      </c>
      <c r="O11" s="597">
        <v>3351</v>
      </c>
      <c r="P11" s="989">
        <v>3713</v>
      </c>
      <c r="Q11" s="597">
        <v>4127</v>
      </c>
      <c r="R11" s="597">
        <v>4372</v>
      </c>
      <c r="S11" s="597">
        <v>4420</v>
      </c>
      <c r="T11" s="597">
        <v>4426</v>
      </c>
      <c r="U11" s="597">
        <v>4437</v>
      </c>
      <c r="V11" s="597">
        <v>4487</v>
      </c>
      <c r="W11" s="597">
        <v>4239</v>
      </c>
      <c r="X11" s="597">
        <v>3989</v>
      </c>
      <c r="Y11" s="597">
        <v>3508</v>
      </c>
      <c r="Z11" s="600">
        <v>2734</v>
      </c>
      <c r="AA11" s="600">
        <v>2135</v>
      </c>
      <c r="AB11" s="600">
        <v>1807</v>
      </c>
      <c r="AC11" s="1050">
        <v>1414</v>
      </c>
    </row>
    <row r="12" spans="1:29">
      <c r="A12" s="1040" t="s">
        <v>662</v>
      </c>
      <c r="B12" s="1008" t="s">
        <v>664</v>
      </c>
      <c r="C12" s="1009" t="s">
        <v>187</v>
      </c>
      <c r="D12" s="1010" t="s">
        <v>112</v>
      </c>
      <c r="E12" s="1022" t="s">
        <v>660</v>
      </c>
      <c r="F12" s="989">
        <v>185</v>
      </c>
      <c r="G12" s="993">
        <v>319</v>
      </c>
      <c r="H12" s="597">
        <v>520</v>
      </c>
      <c r="I12" s="597">
        <v>875</v>
      </c>
      <c r="J12" s="597">
        <v>1399</v>
      </c>
      <c r="K12" s="989">
        <v>2000</v>
      </c>
      <c r="L12" s="993">
        <v>2652</v>
      </c>
      <c r="M12" s="597">
        <v>3280</v>
      </c>
      <c r="N12" s="597">
        <v>4008</v>
      </c>
      <c r="O12" s="597">
        <v>4797</v>
      </c>
      <c r="P12" s="989">
        <v>5108</v>
      </c>
      <c r="Q12" s="597">
        <v>5962</v>
      </c>
      <c r="R12" s="597">
        <v>6845</v>
      </c>
      <c r="S12" s="597">
        <v>7498</v>
      </c>
      <c r="T12" s="597">
        <v>8293</v>
      </c>
      <c r="U12" s="597">
        <v>9088</v>
      </c>
      <c r="V12" s="597">
        <v>10155</v>
      </c>
      <c r="W12" s="597">
        <v>11068</v>
      </c>
      <c r="X12" s="597">
        <v>11394</v>
      </c>
      <c r="Y12" s="597">
        <v>11414</v>
      </c>
      <c r="Z12" s="600">
        <v>11483</v>
      </c>
      <c r="AA12" s="600">
        <v>10053</v>
      </c>
      <c r="AB12" s="600">
        <v>9186</v>
      </c>
      <c r="AC12" s="1050">
        <v>7545</v>
      </c>
    </row>
    <row r="13" spans="1:29" ht="26.25">
      <c r="A13" s="1040" t="s">
        <v>662</v>
      </c>
      <c r="B13" s="1008" t="s">
        <v>665</v>
      </c>
      <c r="C13" s="1009" t="s">
        <v>187</v>
      </c>
      <c r="D13" s="1010" t="s">
        <v>112</v>
      </c>
      <c r="E13" s="1022" t="s">
        <v>660</v>
      </c>
      <c r="F13" s="989">
        <v>2</v>
      </c>
      <c r="G13" s="993">
        <v>2</v>
      </c>
      <c r="H13" s="597">
        <v>2</v>
      </c>
      <c r="I13" s="597">
        <v>4</v>
      </c>
      <c r="J13" s="597">
        <v>6</v>
      </c>
      <c r="K13" s="989">
        <v>6</v>
      </c>
      <c r="L13" s="993">
        <v>10</v>
      </c>
      <c r="M13" s="597">
        <v>38</v>
      </c>
      <c r="N13" s="597">
        <v>275</v>
      </c>
      <c r="O13" s="597">
        <v>542</v>
      </c>
      <c r="P13" s="989">
        <v>634</v>
      </c>
      <c r="Q13" s="597">
        <v>802</v>
      </c>
      <c r="R13" s="597">
        <v>885</v>
      </c>
      <c r="S13" s="597">
        <v>940</v>
      </c>
      <c r="T13" s="597">
        <v>1016</v>
      </c>
      <c r="U13" s="597">
        <v>1049</v>
      </c>
      <c r="V13" s="597">
        <v>1069</v>
      </c>
      <c r="W13" s="597">
        <v>1154</v>
      </c>
      <c r="X13" s="597">
        <v>1186</v>
      </c>
      <c r="Y13" s="597">
        <v>1056</v>
      </c>
      <c r="Z13" s="600">
        <v>43</v>
      </c>
      <c r="AA13" s="600">
        <v>13</v>
      </c>
      <c r="AB13" s="600">
        <v>6</v>
      </c>
      <c r="AC13" s="1050">
        <v>4</v>
      </c>
    </row>
    <row r="14" spans="1:29">
      <c r="A14" s="1040" t="s">
        <v>662</v>
      </c>
      <c r="B14" s="1008" t="s">
        <v>666</v>
      </c>
      <c r="C14" s="1009" t="s">
        <v>187</v>
      </c>
      <c r="D14" s="1010" t="s">
        <v>112</v>
      </c>
      <c r="E14" s="1022" t="s">
        <v>660</v>
      </c>
      <c r="F14" s="989">
        <v>26</v>
      </c>
      <c r="G14" s="993">
        <v>34</v>
      </c>
      <c r="H14" s="597">
        <v>39</v>
      </c>
      <c r="I14" s="597">
        <v>48</v>
      </c>
      <c r="J14" s="597">
        <v>58</v>
      </c>
      <c r="K14" s="989">
        <v>70</v>
      </c>
      <c r="L14" s="993">
        <v>88</v>
      </c>
      <c r="M14" s="597">
        <v>100</v>
      </c>
      <c r="N14" s="597">
        <v>121</v>
      </c>
      <c r="O14" s="597">
        <v>146</v>
      </c>
      <c r="P14" s="989">
        <v>853</v>
      </c>
      <c r="Q14" s="597">
        <v>934</v>
      </c>
      <c r="R14" s="597">
        <v>988</v>
      </c>
      <c r="S14" s="597">
        <v>985</v>
      </c>
      <c r="T14" s="597">
        <v>940</v>
      </c>
      <c r="U14" s="597">
        <v>911</v>
      </c>
      <c r="V14" s="597">
        <v>881</v>
      </c>
      <c r="W14" s="597">
        <v>701</v>
      </c>
      <c r="X14" s="597">
        <v>618</v>
      </c>
      <c r="Y14" s="597">
        <v>536</v>
      </c>
      <c r="Z14" s="600">
        <v>301</v>
      </c>
      <c r="AA14" s="600">
        <v>221</v>
      </c>
      <c r="AB14" s="600">
        <v>180</v>
      </c>
      <c r="AC14" s="1050">
        <v>135</v>
      </c>
    </row>
    <row r="15" spans="1:29">
      <c r="A15" s="1041" t="s">
        <v>662</v>
      </c>
      <c r="B15" s="1015" t="s">
        <v>658</v>
      </c>
      <c r="C15" s="1012" t="s">
        <v>187</v>
      </c>
      <c r="D15" s="1012" t="s">
        <v>112</v>
      </c>
      <c r="E15" s="1024" t="s">
        <v>660</v>
      </c>
      <c r="F15" s="991">
        <v>378</v>
      </c>
      <c r="G15" s="994">
        <v>638</v>
      </c>
      <c r="H15" s="988">
        <v>1009</v>
      </c>
      <c r="I15" s="988">
        <v>1627</v>
      </c>
      <c r="J15" s="988">
        <v>2539</v>
      </c>
      <c r="K15" s="995">
        <v>3592</v>
      </c>
      <c r="L15" s="994">
        <v>4687</v>
      </c>
      <c r="M15" s="988">
        <v>5822</v>
      </c>
      <c r="N15" s="988">
        <v>7319</v>
      </c>
      <c r="O15" s="988">
        <v>8836</v>
      </c>
      <c r="P15" s="995">
        <v>10308</v>
      </c>
      <c r="Q15" s="988">
        <v>11825</v>
      </c>
      <c r="R15" s="988">
        <v>13090</v>
      </c>
      <c r="S15" s="988">
        <v>13843</v>
      </c>
      <c r="T15" s="988">
        <v>14675</v>
      </c>
      <c r="U15" s="988">
        <v>15485</v>
      </c>
      <c r="V15" s="988">
        <v>16592</v>
      </c>
      <c r="W15" s="988">
        <v>17162</v>
      </c>
      <c r="X15" s="988">
        <v>17187</v>
      </c>
      <c r="Y15" s="988">
        <v>16514</v>
      </c>
      <c r="Z15" s="1054">
        <v>14561</v>
      </c>
      <c r="AA15" s="1054">
        <v>12422</v>
      </c>
      <c r="AB15" s="1054">
        <v>11179</v>
      </c>
      <c r="AC15" s="1057">
        <v>9098</v>
      </c>
    </row>
    <row r="16" spans="1:29">
      <c r="A16" s="1040" t="s">
        <v>662</v>
      </c>
      <c r="B16" s="1056" t="s">
        <v>663</v>
      </c>
      <c r="C16" s="1013" t="s">
        <v>661</v>
      </c>
      <c r="D16" s="1014" t="s">
        <v>112</v>
      </c>
      <c r="E16" s="1022" t="s">
        <v>660</v>
      </c>
      <c r="F16" s="989">
        <v>356</v>
      </c>
      <c r="G16" s="993">
        <v>593</v>
      </c>
      <c r="H16" s="597">
        <v>936</v>
      </c>
      <c r="I16" s="597">
        <v>1419</v>
      </c>
      <c r="J16" s="597">
        <v>2073</v>
      </c>
      <c r="K16" s="989">
        <v>2760</v>
      </c>
      <c r="L16" s="993">
        <v>3451</v>
      </c>
      <c r="M16" s="597">
        <v>4239</v>
      </c>
      <c r="N16" s="597">
        <v>5044</v>
      </c>
      <c r="O16" s="597">
        <v>5777</v>
      </c>
      <c r="P16" s="989">
        <v>6319</v>
      </c>
      <c r="Q16" s="597">
        <v>6902</v>
      </c>
      <c r="R16" s="597">
        <v>7126</v>
      </c>
      <c r="S16" s="597">
        <v>6944</v>
      </c>
      <c r="T16" s="597">
        <v>6721</v>
      </c>
      <c r="U16" s="597">
        <v>6592</v>
      </c>
      <c r="V16" s="597">
        <v>6471</v>
      </c>
      <c r="W16" s="597">
        <v>5922</v>
      </c>
      <c r="X16" s="597">
        <v>5324</v>
      </c>
      <c r="Y16" s="987">
        <v>4496</v>
      </c>
      <c r="Z16" s="1058">
        <v>3364</v>
      </c>
      <c r="AA16" s="1058">
        <v>2534</v>
      </c>
      <c r="AB16" s="1058">
        <v>2106</v>
      </c>
      <c r="AC16" s="1059">
        <v>1634</v>
      </c>
    </row>
    <row r="17" spans="1:29">
      <c r="A17" s="1040" t="s">
        <v>662</v>
      </c>
      <c r="B17" s="1008" t="s">
        <v>664</v>
      </c>
      <c r="C17" s="1009" t="s">
        <v>661</v>
      </c>
      <c r="D17" s="1010" t="s">
        <v>112</v>
      </c>
      <c r="E17" s="1022" t="s">
        <v>660</v>
      </c>
      <c r="F17" s="989">
        <v>521</v>
      </c>
      <c r="G17" s="993">
        <v>883</v>
      </c>
      <c r="H17" s="597">
        <v>1432</v>
      </c>
      <c r="I17" s="597">
        <v>2299</v>
      </c>
      <c r="J17" s="597">
        <v>3561</v>
      </c>
      <c r="K17" s="989">
        <v>5090</v>
      </c>
      <c r="L17" s="993">
        <v>6897</v>
      </c>
      <c r="M17" s="597">
        <v>8908</v>
      </c>
      <c r="N17" s="597">
        <v>11171</v>
      </c>
      <c r="O17" s="597">
        <v>13480</v>
      </c>
      <c r="P17" s="989">
        <v>14318</v>
      </c>
      <c r="Q17" s="597">
        <v>16177</v>
      </c>
      <c r="R17" s="597">
        <v>17822</v>
      </c>
      <c r="S17" s="597">
        <v>18935</v>
      </c>
      <c r="T17" s="597">
        <v>20081</v>
      </c>
      <c r="U17" s="597">
        <v>20981</v>
      </c>
      <c r="V17" s="597">
        <v>21944</v>
      </c>
      <c r="W17" s="597">
        <v>23220</v>
      </c>
      <c r="X17" s="597">
        <v>22619</v>
      </c>
      <c r="Y17" s="597">
        <v>21238</v>
      </c>
      <c r="Z17" s="600">
        <v>18439</v>
      </c>
      <c r="AA17" s="600">
        <v>14773</v>
      </c>
      <c r="AB17" s="600">
        <v>12899</v>
      </c>
      <c r="AC17" s="1050">
        <v>10320</v>
      </c>
    </row>
    <row r="18" spans="1:29" ht="26.25">
      <c r="A18" s="1040" t="s">
        <v>662</v>
      </c>
      <c r="B18" s="1008" t="s">
        <v>665</v>
      </c>
      <c r="C18" s="1009" t="s">
        <v>661</v>
      </c>
      <c r="D18" s="1010" t="s">
        <v>112</v>
      </c>
      <c r="E18" s="1022" t="s">
        <v>660</v>
      </c>
      <c r="F18" s="989">
        <v>3</v>
      </c>
      <c r="G18" s="993">
        <v>3</v>
      </c>
      <c r="H18" s="597">
        <v>3</v>
      </c>
      <c r="I18" s="597">
        <v>5</v>
      </c>
      <c r="J18" s="597">
        <v>7</v>
      </c>
      <c r="K18" s="989">
        <v>7</v>
      </c>
      <c r="L18" s="993">
        <v>11</v>
      </c>
      <c r="M18" s="597">
        <v>40</v>
      </c>
      <c r="N18" s="597">
        <v>278</v>
      </c>
      <c r="O18" s="597">
        <v>548</v>
      </c>
      <c r="P18" s="989">
        <v>641</v>
      </c>
      <c r="Q18" s="597">
        <v>810</v>
      </c>
      <c r="R18" s="597">
        <v>893</v>
      </c>
      <c r="S18" s="597">
        <v>947</v>
      </c>
      <c r="T18" s="597">
        <v>1024</v>
      </c>
      <c r="U18" s="597">
        <v>1056</v>
      </c>
      <c r="V18" s="597">
        <v>1075</v>
      </c>
      <c r="W18" s="597">
        <v>1163</v>
      </c>
      <c r="X18" s="597">
        <v>1192</v>
      </c>
      <c r="Y18" s="597">
        <v>1059</v>
      </c>
      <c r="Z18" s="600">
        <v>44</v>
      </c>
      <c r="AA18" s="600">
        <v>14</v>
      </c>
      <c r="AB18" s="600">
        <v>7</v>
      </c>
      <c r="AC18" s="1050">
        <v>5</v>
      </c>
    </row>
    <row r="19" spans="1:29">
      <c r="A19" s="1040" t="s">
        <v>662</v>
      </c>
      <c r="B19" s="1008" t="s">
        <v>666</v>
      </c>
      <c r="C19" s="1009" t="s">
        <v>661</v>
      </c>
      <c r="D19" s="1010" t="s">
        <v>112</v>
      </c>
      <c r="E19" s="1022" t="s">
        <v>660</v>
      </c>
      <c r="F19" s="989">
        <v>333</v>
      </c>
      <c r="G19" s="993">
        <v>358</v>
      </c>
      <c r="H19" s="597">
        <v>386</v>
      </c>
      <c r="I19" s="597">
        <v>416</v>
      </c>
      <c r="J19" s="597">
        <v>449</v>
      </c>
      <c r="K19" s="989">
        <v>494</v>
      </c>
      <c r="L19" s="993">
        <v>549</v>
      </c>
      <c r="M19" s="597">
        <v>631</v>
      </c>
      <c r="N19" s="597">
        <v>716</v>
      </c>
      <c r="O19" s="597">
        <v>804</v>
      </c>
      <c r="P19" s="989">
        <v>1055</v>
      </c>
      <c r="Q19" s="597">
        <v>1204</v>
      </c>
      <c r="R19" s="597">
        <v>1318</v>
      </c>
      <c r="S19" s="597">
        <v>1413</v>
      </c>
      <c r="T19" s="597">
        <v>1456</v>
      </c>
      <c r="U19" s="597">
        <v>1550</v>
      </c>
      <c r="V19" s="597">
        <v>1673</v>
      </c>
      <c r="W19" s="597">
        <v>1446</v>
      </c>
      <c r="X19" s="597">
        <v>1390</v>
      </c>
      <c r="Y19" s="598">
        <v>1256</v>
      </c>
      <c r="Z19" s="599">
        <v>815</v>
      </c>
      <c r="AA19" s="599">
        <v>730</v>
      </c>
      <c r="AB19" s="599">
        <v>691</v>
      </c>
      <c r="AC19" s="1060">
        <v>599</v>
      </c>
    </row>
    <row r="20" spans="1:29">
      <c r="A20" s="1041" t="s">
        <v>662</v>
      </c>
      <c r="B20" s="1015" t="s">
        <v>658</v>
      </c>
      <c r="C20" s="1012" t="s">
        <v>661</v>
      </c>
      <c r="D20" s="1012" t="s">
        <v>112</v>
      </c>
      <c r="E20" s="1024" t="s">
        <v>660</v>
      </c>
      <c r="F20" s="991">
        <v>1213</v>
      </c>
      <c r="G20" s="994">
        <v>1837</v>
      </c>
      <c r="H20" s="988">
        <v>2757</v>
      </c>
      <c r="I20" s="988">
        <v>4139</v>
      </c>
      <c r="J20" s="988">
        <v>6090</v>
      </c>
      <c r="K20" s="995">
        <v>8351</v>
      </c>
      <c r="L20" s="994">
        <v>10908</v>
      </c>
      <c r="M20" s="988">
        <v>13818</v>
      </c>
      <c r="N20" s="988">
        <v>17209</v>
      </c>
      <c r="O20" s="988">
        <v>20609</v>
      </c>
      <c r="P20" s="995">
        <v>22333</v>
      </c>
      <c r="Q20" s="988">
        <v>25093</v>
      </c>
      <c r="R20" s="988">
        <v>27159</v>
      </c>
      <c r="S20" s="988">
        <v>28239</v>
      </c>
      <c r="T20" s="988">
        <v>29282</v>
      </c>
      <c r="U20" s="988">
        <v>30179</v>
      </c>
      <c r="V20" s="988">
        <v>31163</v>
      </c>
      <c r="W20" s="988">
        <v>31751</v>
      </c>
      <c r="X20" s="988">
        <v>30525</v>
      </c>
      <c r="Y20" s="988">
        <v>28049</v>
      </c>
      <c r="Z20" s="1054">
        <v>22662</v>
      </c>
      <c r="AA20" s="1054">
        <v>18051</v>
      </c>
      <c r="AB20" s="1054">
        <v>15703</v>
      </c>
      <c r="AC20" s="1057">
        <v>12558</v>
      </c>
    </row>
    <row r="21" spans="1:29">
      <c r="A21" s="1042" t="s">
        <v>667</v>
      </c>
      <c r="B21" s="1056" t="s">
        <v>663</v>
      </c>
      <c r="C21" s="1013" t="s">
        <v>185</v>
      </c>
      <c r="D21" s="1014" t="s">
        <v>112</v>
      </c>
      <c r="E21" s="1043" t="s">
        <v>668</v>
      </c>
      <c r="F21" s="1061"/>
      <c r="G21" s="1062"/>
      <c r="H21" s="986"/>
      <c r="I21" s="986"/>
      <c r="J21" s="986"/>
      <c r="K21" s="1061"/>
      <c r="L21" s="1062"/>
      <c r="M21" s="986"/>
      <c r="N21" s="986"/>
      <c r="O21" s="986"/>
      <c r="P21" s="1061">
        <v>13952.307490556348</v>
      </c>
      <c r="Q21" s="986">
        <v>14931.463608690283</v>
      </c>
      <c r="R21" s="986">
        <v>18058.031810667588</v>
      </c>
      <c r="S21" s="986">
        <v>19419.642055066699</v>
      </c>
      <c r="T21" s="986">
        <v>19998.62958662281</v>
      </c>
      <c r="U21" s="986">
        <v>21018.340329743405</v>
      </c>
      <c r="V21" s="986">
        <v>21782.254796283778</v>
      </c>
      <c r="W21" s="986">
        <v>21876.290412750957</v>
      </c>
      <c r="X21" s="986">
        <v>22514.523263570754</v>
      </c>
      <c r="Y21" s="1063">
        <v>23248.132625361806</v>
      </c>
      <c r="Z21" s="1064">
        <v>22046.632786877704</v>
      </c>
      <c r="AA21" s="1064">
        <v>23272.008867249588</v>
      </c>
      <c r="AB21" s="1064">
        <v>24531.046918926862</v>
      </c>
      <c r="AC21" s="1065">
        <v>23898.594241796993</v>
      </c>
    </row>
    <row r="22" spans="1:29">
      <c r="A22" s="1040" t="s">
        <v>667</v>
      </c>
      <c r="B22" s="1008" t="s">
        <v>664</v>
      </c>
      <c r="C22" s="1009" t="s">
        <v>185</v>
      </c>
      <c r="D22" s="1010" t="s">
        <v>112</v>
      </c>
      <c r="E22" s="1022" t="s">
        <v>668</v>
      </c>
      <c r="F22" s="989"/>
      <c r="G22" s="993"/>
      <c r="H22" s="597"/>
      <c r="I22" s="597"/>
      <c r="J22" s="597"/>
      <c r="K22" s="989"/>
      <c r="L22" s="993"/>
      <c r="M22" s="597"/>
      <c r="N22" s="597"/>
      <c r="O22" s="597"/>
      <c r="P22" s="989">
        <v>12554.193235577857</v>
      </c>
      <c r="Q22" s="597">
        <v>13749.222475118282</v>
      </c>
      <c r="R22" s="597">
        <v>16000.358998618363</v>
      </c>
      <c r="S22" s="597">
        <v>17189.819568621737</v>
      </c>
      <c r="T22" s="597">
        <v>18343.315507005354</v>
      </c>
      <c r="U22" s="597">
        <v>19565.366292866609</v>
      </c>
      <c r="V22" s="597">
        <v>20216.85753147236</v>
      </c>
      <c r="W22" s="597">
        <v>20247.193385314731</v>
      </c>
      <c r="X22" s="597">
        <v>21518.310827832171</v>
      </c>
      <c r="Y22" s="601">
        <v>22054.619753684055</v>
      </c>
      <c r="Z22" s="602">
        <v>22146.485206620717</v>
      </c>
      <c r="AA22" s="602">
        <v>23070.282293303146</v>
      </c>
      <c r="AB22" s="602">
        <v>23770.175818397674</v>
      </c>
      <c r="AC22" s="1066">
        <v>23612.578421749302</v>
      </c>
    </row>
    <row r="23" spans="1:29" ht="18.75" customHeight="1">
      <c r="A23" s="1040" t="s">
        <v>667</v>
      </c>
      <c r="B23" s="1008" t="s">
        <v>665</v>
      </c>
      <c r="C23" s="1009" t="s">
        <v>185</v>
      </c>
      <c r="D23" s="1010" t="s">
        <v>112</v>
      </c>
      <c r="E23" s="1022" t="s">
        <v>668</v>
      </c>
      <c r="F23" s="989"/>
      <c r="G23" s="993"/>
      <c r="H23" s="597"/>
      <c r="I23" s="597"/>
      <c r="J23" s="597"/>
      <c r="K23" s="989"/>
      <c r="L23" s="993"/>
      <c r="M23" s="597"/>
      <c r="N23" s="597"/>
      <c r="O23" s="597"/>
      <c r="P23" s="989">
        <v>23001.072850775905</v>
      </c>
      <c r="Q23" s="597">
        <v>21125.708447869525</v>
      </c>
      <c r="R23" s="597">
        <v>25641.346865277985</v>
      </c>
      <c r="S23" s="597">
        <v>33928.876176717902</v>
      </c>
      <c r="T23" s="597">
        <v>18276.249206722416</v>
      </c>
      <c r="U23" s="597">
        <v>18752.787052390166</v>
      </c>
      <c r="V23" s="597">
        <v>15954.098842781292</v>
      </c>
      <c r="W23" s="597">
        <v>13477.943632170294</v>
      </c>
      <c r="X23" s="597">
        <v>14879.776009102106</v>
      </c>
      <c r="Y23" s="597">
        <v>7919.677888693659</v>
      </c>
      <c r="Z23" s="600">
        <v>2874.8673733984101</v>
      </c>
      <c r="AA23" s="603">
        <v>2874.8673733984101</v>
      </c>
      <c r="AB23" s="603">
        <v>2874.8673733984101</v>
      </c>
      <c r="AC23" s="1067">
        <v>2874.8673733984101</v>
      </c>
    </row>
    <row r="24" spans="1:29">
      <c r="A24" s="1040" t="s">
        <v>667</v>
      </c>
      <c r="B24" s="1008" t="s">
        <v>666</v>
      </c>
      <c r="C24" s="1009" t="s">
        <v>185</v>
      </c>
      <c r="D24" s="1010" t="s">
        <v>112</v>
      </c>
      <c r="E24" s="1022" t="s">
        <v>668</v>
      </c>
      <c r="F24" s="989"/>
      <c r="G24" s="993"/>
      <c r="H24" s="597"/>
      <c r="I24" s="597"/>
      <c r="J24" s="597"/>
      <c r="K24" s="989"/>
      <c r="L24" s="993"/>
      <c r="M24" s="597"/>
      <c r="N24" s="597"/>
      <c r="O24" s="597"/>
      <c r="P24" s="989">
        <v>10619.132958712875</v>
      </c>
      <c r="Q24" s="597">
        <v>10956.218845750769</v>
      </c>
      <c r="R24" s="597">
        <v>10841.991344269636</v>
      </c>
      <c r="S24" s="597">
        <v>10836.44923038832</v>
      </c>
      <c r="T24" s="597">
        <v>11103.297199554083</v>
      </c>
      <c r="U24" s="597">
        <v>10882.497084476039</v>
      </c>
      <c r="V24" s="597">
        <v>10617.956617405656</v>
      </c>
      <c r="W24" s="597">
        <v>9863.5624861080651</v>
      </c>
      <c r="X24" s="597">
        <v>9457.6437474008144</v>
      </c>
      <c r="Y24" s="601">
        <v>8314.9051260801261</v>
      </c>
      <c r="Z24" s="602">
        <v>8637.2126774857625</v>
      </c>
      <c r="AA24" s="602">
        <v>8785.2230247265179</v>
      </c>
      <c r="AB24" s="602">
        <v>8888.036344054779</v>
      </c>
      <c r="AC24" s="1066">
        <v>10889.578451130737</v>
      </c>
    </row>
    <row r="25" spans="1:29">
      <c r="A25" s="1041" t="s">
        <v>667</v>
      </c>
      <c r="B25" s="1015" t="s">
        <v>658</v>
      </c>
      <c r="C25" s="1012" t="s">
        <v>185</v>
      </c>
      <c r="D25" s="1012" t="s">
        <v>112</v>
      </c>
      <c r="E25" s="1024" t="s">
        <v>668</v>
      </c>
      <c r="F25" s="991"/>
      <c r="G25" s="994"/>
      <c r="H25" s="988"/>
      <c r="I25" s="988"/>
      <c r="J25" s="988"/>
      <c r="K25" s="995"/>
      <c r="L25" s="994"/>
      <c r="M25" s="988"/>
      <c r="N25" s="988"/>
      <c r="O25" s="988"/>
      <c r="P25" s="995">
        <v>12717.178995250828</v>
      </c>
      <c r="Q25" s="988">
        <v>13801.696322635862</v>
      </c>
      <c r="R25" s="988">
        <v>16044.325290790568</v>
      </c>
      <c r="S25" s="988">
        <v>17155.523813180309</v>
      </c>
      <c r="T25" s="988">
        <v>18143.248450476593</v>
      </c>
      <c r="U25" s="988">
        <v>19245.666783708701</v>
      </c>
      <c r="V25" s="988">
        <v>19850.114005958119</v>
      </c>
      <c r="W25" s="988">
        <v>19931.065629319717</v>
      </c>
      <c r="X25" s="988">
        <v>21050.821457162598</v>
      </c>
      <c r="Y25" s="988">
        <v>21505.971956241272</v>
      </c>
      <c r="Z25" s="1054">
        <v>21620.563594863506</v>
      </c>
      <c r="AA25" s="1054">
        <v>22490.483639442307</v>
      </c>
      <c r="AB25" s="1054">
        <v>23180.578881892001</v>
      </c>
      <c r="AC25" s="1057">
        <v>23077.471674169814</v>
      </c>
    </row>
    <row r="26" spans="1:29">
      <c r="A26" s="1040" t="s">
        <v>667</v>
      </c>
      <c r="B26" s="1056" t="s">
        <v>663</v>
      </c>
      <c r="C26" s="1013" t="s">
        <v>187</v>
      </c>
      <c r="D26" s="1014" t="s">
        <v>112</v>
      </c>
      <c r="E26" s="1022" t="s">
        <v>668</v>
      </c>
      <c r="F26" s="989"/>
      <c r="G26" s="993"/>
      <c r="H26" s="597"/>
      <c r="I26" s="597"/>
      <c r="J26" s="597"/>
      <c r="K26" s="989"/>
      <c r="L26" s="993"/>
      <c r="M26" s="597"/>
      <c r="N26" s="597"/>
      <c r="O26" s="597"/>
      <c r="P26" s="989">
        <v>20569.759449204197</v>
      </c>
      <c r="Q26" s="597">
        <v>21717.328785399714</v>
      </c>
      <c r="R26" s="597">
        <v>25544.05855840943</v>
      </c>
      <c r="S26" s="597">
        <v>26704.378570068035</v>
      </c>
      <c r="T26" s="597">
        <v>26616.809142572914</v>
      </c>
      <c r="U26" s="597">
        <v>27142.599352684221</v>
      </c>
      <c r="V26" s="597">
        <v>27430.772277981159</v>
      </c>
      <c r="W26" s="597">
        <v>27850.399322799869</v>
      </c>
      <c r="X26" s="597">
        <v>28706.22665650172</v>
      </c>
      <c r="Y26" s="601">
        <v>28943.540326324397</v>
      </c>
      <c r="Z26" s="602">
        <v>29011.75522896952</v>
      </c>
      <c r="AA26" s="602">
        <v>30282.544575949276</v>
      </c>
      <c r="AB26" s="602">
        <v>32047.916035673843</v>
      </c>
      <c r="AC26" s="1066">
        <v>31790.248837970386</v>
      </c>
    </row>
    <row r="27" spans="1:29">
      <c r="A27" s="1040" t="s">
        <v>667</v>
      </c>
      <c r="B27" s="1008" t="s">
        <v>664</v>
      </c>
      <c r="C27" s="1009" t="s">
        <v>187</v>
      </c>
      <c r="D27" s="1010" t="s">
        <v>112</v>
      </c>
      <c r="E27" s="1022" t="s">
        <v>668</v>
      </c>
      <c r="F27" s="989"/>
      <c r="G27" s="993"/>
      <c r="H27" s="597"/>
      <c r="I27" s="597"/>
      <c r="J27" s="597"/>
      <c r="K27" s="989"/>
      <c r="L27" s="993"/>
      <c r="M27" s="597"/>
      <c r="N27" s="597"/>
      <c r="O27" s="597"/>
      <c r="P27" s="989">
        <v>19599.07988489186</v>
      </c>
      <c r="Q27" s="597">
        <v>21486.147806222034</v>
      </c>
      <c r="R27" s="597">
        <v>24238.789966794462</v>
      </c>
      <c r="S27" s="597">
        <v>24513.742557150093</v>
      </c>
      <c r="T27" s="597">
        <v>24536.866288401357</v>
      </c>
      <c r="U27" s="597">
        <v>24998.653988663427</v>
      </c>
      <c r="V27" s="597">
        <v>24608.608742877346</v>
      </c>
      <c r="W27" s="597">
        <v>24643.878134400391</v>
      </c>
      <c r="X27" s="597">
        <v>25425.523418662233</v>
      </c>
      <c r="Y27" s="601">
        <v>25508.767632991785</v>
      </c>
      <c r="Z27" s="602">
        <v>25718.707131787083</v>
      </c>
      <c r="AA27" s="602">
        <v>26744.216539072444</v>
      </c>
      <c r="AB27" s="602">
        <v>28866.905546374604</v>
      </c>
      <c r="AC27" s="1066">
        <v>29203.776437675977</v>
      </c>
    </row>
    <row r="28" spans="1:29" ht="26.25">
      <c r="A28" s="1040" t="s">
        <v>667</v>
      </c>
      <c r="B28" s="1008" t="s">
        <v>665</v>
      </c>
      <c r="C28" s="1009" t="s">
        <v>187</v>
      </c>
      <c r="D28" s="1010" t="s">
        <v>112</v>
      </c>
      <c r="E28" s="1022" t="s">
        <v>668</v>
      </c>
      <c r="F28" s="989"/>
      <c r="G28" s="993"/>
      <c r="H28" s="597"/>
      <c r="I28" s="597"/>
      <c r="J28" s="597"/>
      <c r="K28" s="989"/>
      <c r="L28" s="993"/>
      <c r="M28" s="597"/>
      <c r="N28" s="597"/>
      <c r="O28" s="597"/>
      <c r="P28" s="989">
        <v>36511.75303931607</v>
      </c>
      <c r="Q28" s="597">
        <v>35113.264172496281</v>
      </c>
      <c r="R28" s="597">
        <v>32323.333619254423</v>
      </c>
      <c r="S28" s="597">
        <v>30790.518305714912</v>
      </c>
      <c r="T28" s="597">
        <v>29964.63829370153</v>
      </c>
      <c r="U28" s="597">
        <v>29436.524519515111</v>
      </c>
      <c r="V28" s="597">
        <v>28395.787280227432</v>
      </c>
      <c r="W28" s="597">
        <v>28264.861735032944</v>
      </c>
      <c r="X28" s="597">
        <v>28018.013844096062</v>
      </c>
      <c r="Y28" s="601">
        <v>28766.052038217538</v>
      </c>
      <c r="Z28" s="602">
        <v>19100.727667445008</v>
      </c>
      <c r="AA28" s="602">
        <v>12201.356087679644</v>
      </c>
      <c r="AB28" s="602">
        <v>18479.524462219128</v>
      </c>
      <c r="AC28" s="1066">
        <v>12175.160705779554</v>
      </c>
    </row>
    <row r="29" spans="1:29">
      <c r="A29" s="1040" t="s">
        <v>667</v>
      </c>
      <c r="B29" s="1008" t="s">
        <v>666</v>
      </c>
      <c r="C29" s="1009" t="s">
        <v>187</v>
      </c>
      <c r="D29" s="1010" t="s">
        <v>112</v>
      </c>
      <c r="E29" s="1022" t="s">
        <v>668</v>
      </c>
      <c r="F29" s="989"/>
      <c r="G29" s="993"/>
      <c r="H29" s="597"/>
      <c r="I29" s="597"/>
      <c r="J29" s="597"/>
      <c r="K29" s="989"/>
      <c r="L29" s="993"/>
      <c r="M29" s="597"/>
      <c r="N29" s="597"/>
      <c r="O29" s="597"/>
      <c r="P29" s="989">
        <v>16865.607523972754</v>
      </c>
      <c r="Q29" s="597">
        <v>18653.922313591178</v>
      </c>
      <c r="R29" s="597">
        <v>19604.669829702932</v>
      </c>
      <c r="S29" s="597">
        <v>20732.934848070527</v>
      </c>
      <c r="T29" s="597">
        <v>22470.291488950807</v>
      </c>
      <c r="U29" s="597">
        <v>23256.943460471157</v>
      </c>
      <c r="V29" s="597">
        <v>21881.924725556077</v>
      </c>
      <c r="W29" s="597">
        <v>21195.463344517633</v>
      </c>
      <c r="X29" s="597">
        <v>21188.467650554805</v>
      </c>
      <c r="Y29" s="601">
        <v>20467.449032788732</v>
      </c>
      <c r="Z29" s="602">
        <v>20838.398991406313</v>
      </c>
      <c r="AA29" s="602">
        <v>21539.916820853538</v>
      </c>
      <c r="AB29" s="602">
        <v>21729.761557526035</v>
      </c>
      <c r="AC29" s="1066">
        <v>22201.604508539462</v>
      </c>
    </row>
    <row r="30" spans="1:29">
      <c r="A30" s="1041" t="s">
        <v>667</v>
      </c>
      <c r="B30" s="1015" t="s">
        <v>658</v>
      </c>
      <c r="C30" s="1012" t="s">
        <v>187</v>
      </c>
      <c r="D30" s="1012" t="s">
        <v>112</v>
      </c>
      <c r="E30" s="1024" t="s">
        <v>668</v>
      </c>
      <c r="F30" s="991"/>
      <c r="G30" s="994"/>
      <c r="H30" s="988"/>
      <c r="I30" s="988"/>
      <c r="J30" s="988"/>
      <c r="K30" s="995"/>
      <c r="L30" s="994"/>
      <c r="M30" s="988"/>
      <c r="N30" s="988"/>
      <c r="O30" s="988"/>
      <c r="P30" s="995">
        <v>21025.465572506106</v>
      </c>
      <c r="Q30" s="988">
        <v>22482.324702898673</v>
      </c>
      <c r="R30" s="988">
        <v>25150.324375556327</v>
      </c>
      <c r="S30" s="988">
        <v>25564.818477762903</v>
      </c>
      <c r="T30" s="988">
        <v>25494.980865163088</v>
      </c>
      <c r="U30" s="988">
        <v>25856.805486692054</v>
      </c>
      <c r="V30" s="988">
        <v>25490.388291851472</v>
      </c>
      <c r="W30" s="988">
        <v>25527.406518353291</v>
      </c>
      <c r="X30" s="988">
        <v>26168.872234032024</v>
      </c>
      <c r="Y30" s="988">
        <v>26218.979966683484</v>
      </c>
      <c r="Z30" s="1054">
        <v>26139.049760497972</v>
      </c>
      <c r="AA30" s="1054">
        <v>27115.285352313222</v>
      </c>
      <c r="AB30" s="1054">
        <v>29044.028143191004</v>
      </c>
      <c r="AC30" s="1057">
        <v>29239.858938574402</v>
      </c>
    </row>
    <row r="31" spans="1:29">
      <c r="A31" s="1040" t="s">
        <v>667</v>
      </c>
      <c r="B31" s="1056" t="s">
        <v>663</v>
      </c>
      <c r="C31" s="1013" t="s">
        <v>661</v>
      </c>
      <c r="D31" s="1014" t="s">
        <v>112</v>
      </c>
      <c r="E31" s="1022" t="s">
        <v>668</v>
      </c>
      <c r="F31" s="989"/>
      <c r="G31" s="993"/>
      <c r="H31" s="597"/>
      <c r="I31" s="597"/>
      <c r="J31" s="597"/>
      <c r="K31" s="989"/>
      <c r="L31" s="993"/>
      <c r="M31" s="597"/>
      <c r="N31" s="597"/>
      <c r="O31" s="597"/>
      <c r="P31" s="989">
        <v>17840.675764406558</v>
      </c>
      <c r="Q31" s="597">
        <v>18989.021647560159</v>
      </c>
      <c r="R31" s="597">
        <v>22650.918274480024</v>
      </c>
      <c r="S31" s="597">
        <v>24056.527912829642</v>
      </c>
      <c r="T31" s="597">
        <v>24356.918935623708</v>
      </c>
      <c r="U31" s="597">
        <v>25140.509213964971</v>
      </c>
      <c r="V31" s="597">
        <v>25698.944325008288</v>
      </c>
      <c r="W31" s="597">
        <v>26152.590255658321</v>
      </c>
      <c r="X31" s="597">
        <v>27153.648889867105</v>
      </c>
      <c r="Y31" s="601">
        <v>27691.969416949174</v>
      </c>
      <c r="Z31" s="602">
        <v>27707.347637257895</v>
      </c>
      <c r="AA31" s="602">
        <v>29178.675693640176</v>
      </c>
      <c r="AB31" s="602">
        <v>30980.706222802368</v>
      </c>
      <c r="AC31" s="1066">
        <v>30727.724963332596</v>
      </c>
    </row>
    <row r="32" spans="1:29">
      <c r="A32" s="1040" t="s">
        <v>667</v>
      </c>
      <c r="B32" s="1008" t="s">
        <v>664</v>
      </c>
      <c r="C32" s="1009" t="s">
        <v>661</v>
      </c>
      <c r="D32" s="1010" t="s">
        <v>112</v>
      </c>
      <c r="E32" s="1022" t="s">
        <v>668</v>
      </c>
      <c r="F32" s="989"/>
      <c r="G32" s="993"/>
      <c r="H32" s="597"/>
      <c r="I32" s="597"/>
      <c r="J32" s="597"/>
      <c r="K32" s="989"/>
      <c r="L32" s="993"/>
      <c r="M32" s="597"/>
      <c r="N32" s="597"/>
      <c r="O32" s="597"/>
      <c r="P32" s="989">
        <v>15067.482871329767</v>
      </c>
      <c r="Q32" s="597">
        <v>16600.650355691989</v>
      </c>
      <c r="R32" s="597">
        <v>19164.541468440268</v>
      </c>
      <c r="S32" s="597">
        <v>20089.992505932783</v>
      </c>
      <c r="T32" s="597">
        <v>20901.112261654882</v>
      </c>
      <c r="U32" s="597">
        <v>21918.815536439448</v>
      </c>
      <c r="V32" s="597">
        <v>22249.223260228191</v>
      </c>
      <c r="W32" s="597">
        <v>22342.908579237177</v>
      </c>
      <c r="X32" s="597">
        <v>23486.513677645071</v>
      </c>
      <c r="Y32" s="601">
        <v>23910.992476841551</v>
      </c>
      <c r="Z32" s="602">
        <v>24371.108253786311</v>
      </c>
      <c r="AA32" s="602">
        <v>25570.387957198018</v>
      </c>
      <c r="AB32" s="602">
        <v>27399.802865548299</v>
      </c>
      <c r="AC32" s="1066">
        <v>27700.329296765452</v>
      </c>
    </row>
    <row r="33" spans="1:29" ht="26.25">
      <c r="A33" s="1040" t="s">
        <v>667</v>
      </c>
      <c r="B33" s="1008" t="s">
        <v>665</v>
      </c>
      <c r="C33" s="1009" t="s">
        <v>661</v>
      </c>
      <c r="D33" s="1010" t="s">
        <v>112</v>
      </c>
      <c r="E33" s="1022" t="s">
        <v>668</v>
      </c>
      <c r="F33" s="989"/>
      <c r="G33" s="993"/>
      <c r="H33" s="597"/>
      <c r="I33" s="597"/>
      <c r="J33" s="597"/>
      <c r="K33" s="989"/>
      <c r="L33" s="993"/>
      <c r="M33" s="597"/>
      <c r="N33" s="597"/>
      <c r="O33" s="597"/>
      <c r="P33" s="989">
        <v>36364.210509956036</v>
      </c>
      <c r="Q33" s="597">
        <v>34975.115473981452</v>
      </c>
      <c r="R33" s="597">
        <v>32263.472595702562</v>
      </c>
      <c r="S33" s="597">
        <v>30813.716304761398</v>
      </c>
      <c r="T33" s="597">
        <v>29873.322753959499</v>
      </c>
      <c r="U33" s="597">
        <v>29365.704290092872</v>
      </c>
      <c r="V33" s="597">
        <v>28326.345298250992</v>
      </c>
      <c r="W33" s="597">
        <v>28150.431586343551</v>
      </c>
      <c r="X33" s="597">
        <v>27951.881774456833</v>
      </c>
      <c r="Y33" s="601">
        <v>28706.997153941269</v>
      </c>
      <c r="Z33" s="602">
        <v>18731.958115307585</v>
      </c>
      <c r="AA33" s="602">
        <v>11535.17832237384</v>
      </c>
      <c r="AB33" s="602">
        <v>16250.287735244739</v>
      </c>
      <c r="AC33" s="1066">
        <v>10315.102039303327</v>
      </c>
    </row>
    <row r="34" spans="1:29">
      <c r="A34" s="1040" t="s">
        <v>667</v>
      </c>
      <c r="B34" s="1008" t="s">
        <v>666</v>
      </c>
      <c r="C34" s="1009" t="s">
        <v>661</v>
      </c>
      <c r="D34" s="1010" t="s">
        <v>112</v>
      </c>
      <c r="E34" s="1022" t="s">
        <v>668</v>
      </c>
      <c r="F34" s="989"/>
      <c r="G34" s="993"/>
      <c r="H34" s="597"/>
      <c r="I34" s="597"/>
      <c r="J34" s="597"/>
      <c r="K34" s="989"/>
      <c r="L34" s="993"/>
      <c r="M34" s="597"/>
      <c r="N34" s="597"/>
      <c r="O34" s="597"/>
      <c r="P34" s="989">
        <v>11815.140411018561</v>
      </c>
      <c r="Q34" s="597">
        <v>12682.448028738238</v>
      </c>
      <c r="R34" s="597">
        <v>13035.985198740806</v>
      </c>
      <c r="S34" s="597">
        <v>13834.110832913431</v>
      </c>
      <c r="T34" s="597">
        <v>15131.710010906214</v>
      </c>
      <c r="U34" s="597">
        <v>15983.962396902409</v>
      </c>
      <c r="V34" s="597">
        <v>15950.331238837292</v>
      </c>
      <c r="W34" s="597">
        <v>15701.920812190441</v>
      </c>
      <c r="X34" s="597">
        <v>15972.892706562592</v>
      </c>
      <c r="Y34" s="601">
        <v>15281.331569416268</v>
      </c>
      <c r="Z34" s="602">
        <v>16332.193984670006</v>
      </c>
      <c r="AA34" s="602">
        <v>17678.564315450694</v>
      </c>
      <c r="AB34" s="602">
        <v>18384.594352859134</v>
      </c>
      <c r="AC34" s="1066">
        <v>19652.149554031643</v>
      </c>
    </row>
    <row r="35" spans="1:29" ht="15.75" thickBot="1">
      <c r="A35" s="1044" t="s">
        <v>667</v>
      </c>
      <c r="B35" s="1045" t="s">
        <v>658</v>
      </c>
      <c r="C35" s="1046" t="s">
        <v>661</v>
      </c>
      <c r="D35" s="1046" t="s">
        <v>112</v>
      </c>
      <c r="E35" s="1025" t="s">
        <v>668</v>
      </c>
      <c r="F35" s="992"/>
      <c r="G35" s="996"/>
      <c r="H35" s="984"/>
      <c r="I35" s="984"/>
      <c r="J35" s="984"/>
      <c r="K35" s="997"/>
      <c r="L35" s="996"/>
      <c r="M35" s="984"/>
      <c r="N35" s="984"/>
      <c r="O35" s="984"/>
      <c r="P35" s="997">
        <v>16309.76053273146</v>
      </c>
      <c r="Q35" s="984">
        <v>17662.713074403877</v>
      </c>
      <c r="R35" s="984">
        <v>20212.585558908257</v>
      </c>
      <c r="S35" s="984">
        <v>21111.963096215906</v>
      </c>
      <c r="T35" s="984">
        <v>21721.198680710135</v>
      </c>
      <c r="U35" s="984">
        <v>22578.290564764495</v>
      </c>
      <c r="V35" s="984">
        <v>22837.035885754627</v>
      </c>
      <c r="W35" s="984">
        <v>22963.746216914144</v>
      </c>
      <c r="X35" s="984">
        <v>23958.343767455532</v>
      </c>
      <c r="Y35" s="984">
        <v>24311.697927162233</v>
      </c>
      <c r="Z35" s="985">
        <v>24566.292771947778</v>
      </c>
      <c r="AA35" s="985">
        <v>25746.881056238577</v>
      </c>
      <c r="AB35" s="985">
        <v>27478.375544794086</v>
      </c>
      <c r="AC35" s="1068">
        <v>27703.433192050226</v>
      </c>
    </row>
    <row r="36" spans="1:29" ht="15.75" thickBot="1">
      <c r="A36" s="1825" t="s">
        <v>669</v>
      </c>
      <c r="B36" s="1826"/>
      <c r="C36" s="1826"/>
      <c r="D36" s="1826"/>
      <c r="E36" s="1826"/>
      <c r="F36" s="1827"/>
      <c r="G36" s="1827"/>
      <c r="H36" s="1827"/>
      <c r="I36" s="1827"/>
      <c r="J36" s="1827"/>
      <c r="K36" s="1827"/>
      <c r="L36" s="1827"/>
      <c r="M36" s="1827"/>
      <c r="N36" s="1827"/>
      <c r="O36" s="1827"/>
      <c r="P36" s="1827"/>
      <c r="Q36" s="1827"/>
      <c r="R36" s="1827"/>
      <c r="S36" s="1827"/>
      <c r="T36" s="1827"/>
      <c r="U36" s="1827"/>
      <c r="V36" s="1827"/>
      <c r="W36" s="1827"/>
      <c r="X36" s="1827"/>
      <c r="Y36" s="1827"/>
      <c r="Z36" s="1827"/>
      <c r="AA36" s="1827"/>
      <c r="AB36" s="1827"/>
      <c r="AC36" s="1828"/>
    </row>
    <row r="37" spans="1:29">
      <c r="A37" s="1069" t="s">
        <v>667</v>
      </c>
      <c r="B37" s="1032" t="s">
        <v>670</v>
      </c>
      <c r="C37" s="1033" t="s">
        <v>187</v>
      </c>
      <c r="D37" s="1033" t="s">
        <v>112</v>
      </c>
      <c r="E37" s="1034" t="s">
        <v>671</v>
      </c>
      <c r="F37" s="998"/>
      <c r="G37" s="1001"/>
      <c r="H37" s="965"/>
      <c r="I37" s="965"/>
      <c r="J37" s="965"/>
      <c r="K37" s="998"/>
      <c r="L37" s="1001"/>
      <c r="M37" s="965"/>
      <c r="N37" s="965"/>
      <c r="O37" s="965"/>
      <c r="P37" s="998">
        <v>21025.465572506106</v>
      </c>
      <c r="Q37" s="966">
        <v>22482.324702898673</v>
      </c>
      <c r="R37" s="966">
        <v>25150.324375556327</v>
      </c>
      <c r="S37" s="966">
        <v>25564.818477762903</v>
      </c>
      <c r="T37" s="966">
        <v>25494.980865163088</v>
      </c>
      <c r="U37" s="966">
        <v>25856.805486692054</v>
      </c>
      <c r="V37" s="966">
        <v>25490.388291851472</v>
      </c>
      <c r="W37" s="966">
        <v>25527.406518353291</v>
      </c>
      <c r="X37" s="966">
        <v>26168.872234032024</v>
      </c>
      <c r="Y37" s="980">
        <v>26218.979966683484</v>
      </c>
      <c r="Z37" s="981">
        <v>26139.049760497972</v>
      </c>
      <c r="AA37" s="981">
        <v>27115.285352313222</v>
      </c>
      <c r="AB37" s="981">
        <v>29044.028143191004</v>
      </c>
      <c r="AC37" s="1070">
        <v>29239.858938574402</v>
      </c>
    </row>
    <row r="38" spans="1:29">
      <c r="A38" s="1071" t="s">
        <v>667</v>
      </c>
      <c r="B38" s="1018" t="s">
        <v>670</v>
      </c>
      <c r="C38" s="1019" t="s">
        <v>185</v>
      </c>
      <c r="D38" s="1019" t="s">
        <v>112</v>
      </c>
      <c r="E38" s="1027" t="s">
        <v>671</v>
      </c>
      <c r="F38" s="999"/>
      <c r="G38" s="1002"/>
      <c r="H38" s="969"/>
      <c r="I38" s="969"/>
      <c r="J38" s="969"/>
      <c r="K38" s="999"/>
      <c r="L38" s="1002"/>
      <c r="M38" s="969"/>
      <c r="N38" s="969"/>
      <c r="O38" s="969"/>
      <c r="P38" s="999">
        <v>12717.178995250828</v>
      </c>
      <c r="Q38" s="967">
        <v>13801.696322635862</v>
      </c>
      <c r="R38" s="967">
        <v>16044.325290790568</v>
      </c>
      <c r="S38" s="967">
        <v>17155.523813180309</v>
      </c>
      <c r="T38" s="967">
        <v>18143.248450476593</v>
      </c>
      <c r="U38" s="967">
        <v>19245.666783708701</v>
      </c>
      <c r="V38" s="967">
        <v>19850.114005958119</v>
      </c>
      <c r="W38" s="967">
        <v>19931.065629319717</v>
      </c>
      <c r="X38" s="967">
        <v>21050.821457162598</v>
      </c>
      <c r="Y38" s="982">
        <v>21505.971956241272</v>
      </c>
      <c r="Z38" s="983">
        <v>21620.563594863506</v>
      </c>
      <c r="AA38" s="983">
        <v>22490.483639442307</v>
      </c>
      <c r="AB38" s="983">
        <v>23180.578881891965</v>
      </c>
      <c r="AC38" s="1072">
        <v>23077.471674169814</v>
      </c>
    </row>
    <row r="39" spans="1:29">
      <c r="A39" s="1073" t="s">
        <v>667</v>
      </c>
      <c r="B39" s="1016" t="s">
        <v>670</v>
      </c>
      <c r="C39" s="1017" t="s">
        <v>187</v>
      </c>
      <c r="D39" s="1017" t="s">
        <v>112</v>
      </c>
      <c r="E39" s="1026" t="s">
        <v>672</v>
      </c>
      <c r="F39" s="998"/>
      <c r="G39" s="1001"/>
      <c r="H39" s="965"/>
      <c r="I39" s="965"/>
      <c r="J39" s="965"/>
      <c r="K39" s="998"/>
      <c r="L39" s="1001"/>
      <c r="M39" s="965"/>
      <c r="N39" s="965"/>
      <c r="O39" s="965"/>
      <c r="P39" s="998">
        <v>33837.206866319269</v>
      </c>
      <c r="Q39" s="966">
        <v>36181.794366661765</v>
      </c>
      <c r="R39" s="966">
        <v>40475.523631855322</v>
      </c>
      <c r="S39" s="966">
        <v>41142.587228276861</v>
      </c>
      <c r="T39" s="966">
        <v>41030.194485465028</v>
      </c>
      <c r="U39" s="966">
        <v>41612.49476917494</v>
      </c>
      <c r="V39" s="966">
        <v>41022.803455161418</v>
      </c>
      <c r="W39" s="966">
        <v>41082.378515872762</v>
      </c>
      <c r="X39" s="966">
        <v>42114.717516606033</v>
      </c>
      <c r="Y39" s="966">
        <v>42195.35809550227</v>
      </c>
      <c r="Z39" s="966">
        <v>42066.722897758853</v>
      </c>
      <c r="AA39" s="966">
        <v>43637.821790033173</v>
      </c>
      <c r="AB39" s="966">
        <v>46741.832428075584</v>
      </c>
      <c r="AC39" s="1074">
        <v>47056.991543641088</v>
      </c>
    </row>
    <row r="40" spans="1:29">
      <c r="A40" s="1071" t="s">
        <v>667</v>
      </c>
      <c r="B40" s="1018" t="s">
        <v>670</v>
      </c>
      <c r="C40" s="1019" t="s">
        <v>185</v>
      </c>
      <c r="D40" s="1019" t="s">
        <v>112</v>
      </c>
      <c r="E40" s="1027" t="s">
        <v>672</v>
      </c>
      <c r="F40" s="999"/>
      <c r="G40" s="1002"/>
      <c r="H40" s="969"/>
      <c r="I40" s="969"/>
      <c r="J40" s="969"/>
      <c r="K40" s="999"/>
      <c r="L40" s="1002"/>
      <c r="M40" s="969"/>
      <c r="N40" s="969"/>
      <c r="O40" s="969"/>
      <c r="P40" s="999">
        <v>20466.315712932948</v>
      </c>
      <c r="Q40" s="967">
        <v>22211.677166656089</v>
      </c>
      <c r="R40" s="967">
        <v>25820.838640782058</v>
      </c>
      <c r="S40" s="967">
        <v>27609.139315598852</v>
      </c>
      <c r="T40" s="967">
        <v>29198.728034283802</v>
      </c>
      <c r="U40" s="967">
        <v>30972.898364360899</v>
      </c>
      <c r="V40" s="967">
        <v>31945.661874804668</v>
      </c>
      <c r="W40" s="967">
        <v>32075.940884151914</v>
      </c>
      <c r="X40" s="967">
        <v>33878.013207155884</v>
      </c>
      <c r="Y40" s="967">
        <v>34610.506931945158</v>
      </c>
      <c r="Z40" s="967">
        <v>34794.924298012018</v>
      </c>
      <c r="AA40" s="967">
        <v>36194.924902234641</v>
      </c>
      <c r="AB40" s="967">
        <v>37305.525540099545</v>
      </c>
      <c r="AC40" s="1075">
        <v>37139.590573995149</v>
      </c>
    </row>
    <row r="41" spans="1:29">
      <c r="A41" s="1076" t="s">
        <v>673</v>
      </c>
      <c r="B41" s="1016" t="s">
        <v>670</v>
      </c>
      <c r="C41" s="1017" t="s">
        <v>187</v>
      </c>
      <c r="D41" s="1017" t="s">
        <v>674</v>
      </c>
      <c r="E41" s="1026" t="s">
        <v>675</v>
      </c>
      <c r="F41" s="998"/>
      <c r="G41" s="1001"/>
      <c r="H41" s="965"/>
      <c r="I41" s="965"/>
      <c r="J41" s="965"/>
      <c r="K41" s="998"/>
      <c r="L41" s="1001"/>
      <c r="M41" s="965"/>
      <c r="N41" s="965"/>
      <c r="O41" s="965"/>
      <c r="P41" s="998">
        <v>5.6414644575094082</v>
      </c>
      <c r="Q41" s="974">
        <v>5.5762192816633576</v>
      </c>
      <c r="R41" s="974">
        <v>5.5579536290321423</v>
      </c>
      <c r="S41" s="974">
        <v>5.6428484479616898</v>
      </c>
      <c r="T41" s="974">
        <v>5.789411882778845</v>
      </c>
      <c r="U41" s="974">
        <v>5.7721137521224204</v>
      </c>
      <c r="V41" s="974">
        <v>5.7462136257666288</v>
      </c>
      <c r="W41" s="974">
        <v>5.5631874396979484</v>
      </c>
      <c r="X41" s="974">
        <v>5.4885057471262533</v>
      </c>
      <c r="Y41" s="974">
        <v>5.2118388791593597</v>
      </c>
      <c r="Z41" s="974">
        <v>5.2619986399999998</v>
      </c>
      <c r="AA41" s="974">
        <v>5.1844444444444449</v>
      </c>
      <c r="AB41" s="974">
        <v>6.8</v>
      </c>
      <c r="AC41" s="1077">
        <v>6.8</v>
      </c>
    </row>
    <row r="42" spans="1:29">
      <c r="A42" s="1078" t="s">
        <v>673</v>
      </c>
      <c r="B42" s="1020" t="s">
        <v>670</v>
      </c>
      <c r="C42" s="1021" t="s">
        <v>187</v>
      </c>
      <c r="D42" s="1021" t="s">
        <v>676</v>
      </c>
      <c r="E42" s="1028" t="s">
        <v>675</v>
      </c>
      <c r="F42" s="1000"/>
      <c r="G42" s="1003"/>
      <c r="H42" s="604"/>
      <c r="I42" s="604"/>
      <c r="J42" s="604"/>
      <c r="K42" s="1000"/>
      <c r="L42" s="1003"/>
      <c r="M42" s="604"/>
      <c r="N42" s="604"/>
      <c r="O42" s="604"/>
      <c r="P42" s="1000">
        <v>6.117593052109247</v>
      </c>
      <c r="Q42" s="605">
        <v>6.3820014312977964</v>
      </c>
      <c r="R42" s="605">
        <v>6.2437310784006872</v>
      </c>
      <c r="S42" s="605">
        <v>6.5197056762435466</v>
      </c>
      <c r="T42" s="605">
        <v>6.6312907084939239</v>
      </c>
      <c r="U42" s="605">
        <v>6.3896641289746725</v>
      </c>
      <c r="V42" s="605">
        <v>6.3548361661118502</v>
      </c>
      <c r="W42" s="605">
        <v>6.2991997216423972</v>
      </c>
      <c r="X42" s="605">
        <v>5.9696865946797928</v>
      </c>
      <c r="Y42" s="605">
        <v>5.4356285412465102</v>
      </c>
      <c r="Z42" s="605">
        <v>5.4370726339999997</v>
      </c>
      <c r="AA42" s="605">
        <v>5.2741723829406499</v>
      </c>
      <c r="AB42" s="605">
        <v>4.9586808394657949</v>
      </c>
      <c r="AC42" s="1079">
        <v>4.8480463096960928</v>
      </c>
    </row>
    <row r="43" spans="1:29">
      <c r="A43" s="1078" t="s">
        <v>673</v>
      </c>
      <c r="B43" s="1020" t="s">
        <v>670</v>
      </c>
      <c r="C43" s="1021" t="s">
        <v>187</v>
      </c>
      <c r="D43" s="1021" t="s">
        <v>677</v>
      </c>
      <c r="E43" s="1028" t="s">
        <v>675</v>
      </c>
      <c r="F43" s="1000"/>
      <c r="G43" s="1003"/>
      <c r="H43" s="604"/>
      <c r="I43" s="604"/>
      <c r="J43" s="604"/>
      <c r="K43" s="1000"/>
      <c r="L43" s="1003"/>
      <c r="M43" s="604"/>
      <c r="N43" s="604"/>
      <c r="O43" s="604"/>
      <c r="P43" s="1000"/>
      <c r="Q43" s="605"/>
      <c r="R43" s="605"/>
      <c r="S43" s="605"/>
      <c r="T43" s="605"/>
      <c r="U43" s="605"/>
      <c r="V43" s="605"/>
      <c r="W43" s="605">
        <v>6.9342035193578067</v>
      </c>
      <c r="X43" s="605">
        <v>6.6391599912843446</v>
      </c>
      <c r="Y43" s="605">
        <v>5.9380513578374803</v>
      </c>
      <c r="Z43" s="605">
        <v>5.6423966265000001</v>
      </c>
      <c r="AA43" s="605">
        <v>5.4690883997883226</v>
      </c>
      <c r="AB43" s="605">
        <v>5.1368649378255586</v>
      </c>
      <c r="AC43" s="1079">
        <v>5.1005640135738082</v>
      </c>
    </row>
    <row r="44" spans="1:29">
      <c r="A44" s="1078" t="s">
        <v>673</v>
      </c>
      <c r="B44" s="1020" t="s">
        <v>670</v>
      </c>
      <c r="C44" s="1021" t="s">
        <v>187</v>
      </c>
      <c r="D44" s="1021" t="s">
        <v>678</v>
      </c>
      <c r="E44" s="1028" t="s">
        <v>675</v>
      </c>
      <c r="F44" s="1000"/>
      <c r="G44" s="1003"/>
      <c r="H44" s="604"/>
      <c r="I44" s="604"/>
      <c r="J44" s="604"/>
      <c r="K44" s="1000"/>
      <c r="L44" s="1003"/>
      <c r="M44" s="604"/>
      <c r="N44" s="604"/>
      <c r="O44" s="604"/>
      <c r="P44" s="1000">
        <v>7.2374340949033042</v>
      </c>
      <c r="Q44" s="605">
        <v>6.8729344729344293</v>
      </c>
      <c r="R44" s="605">
        <v>6.5347692307692453</v>
      </c>
      <c r="S44" s="605">
        <v>6.8086854460094113</v>
      </c>
      <c r="T44" s="605">
        <v>6.7295231874591908</v>
      </c>
      <c r="U44" s="605">
        <v>6.8798692810458357</v>
      </c>
      <c r="V44" s="605">
        <v>7.5084134615384244</v>
      </c>
      <c r="W44" s="605">
        <v>7.5692073170732161</v>
      </c>
      <c r="X44" s="605">
        <v>7.3086333878888956</v>
      </c>
      <c r="Y44" s="605">
        <v>6.4404741744284504</v>
      </c>
      <c r="Z44" s="605">
        <v>5.8477206190000004</v>
      </c>
      <c r="AA44" s="605">
        <v>5.6640044166359962</v>
      </c>
      <c r="AB44" s="605">
        <v>5.3150490361853233</v>
      </c>
      <c r="AC44" s="1079">
        <v>5.3530817174515235</v>
      </c>
    </row>
    <row r="45" spans="1:29">
      <c r="A45" s="1080" t="s">
        <v>673</v>
      </c>
      <c r="B45" s="1018" t="s">
        <v>670</v>
      </c>
      <c r="C45" s="1019" t="s">
        <v>187</v>
      </c>
      <c r="D45" s="1019" t="s">
        <v>679</v>
      </c>
      <c r="E45" s="1027" t="s">
        <v>675</v>
      </c>
      <c r="F45" s="999"/>
      <c r="G45" s="1002"/>
      <c r="H45" s="969"/>
      <c r="I45" s="969"/>
      <c r="J45" s="969"/>
      <c r="K45" s="999"/>
      <c r="L45" s="1002"/>
      <c r="M45" s="969"/>
      <c r="N45" s="969"/>
      <c r="O45" s="969"/>
      <c r="P45" s="999">
        <v>6.3321638681739865</v>
      </c>
      <c r="Q45" s="975">
        <v>6.2770517286318608</v>
      </c>
      <c r="R45" s="975">
        <v>6.1121513127340252</v>
      </c>
      <c r="S45" s="975">
        <v>6.3237465234048829</v>
      </c>
      <c r="T45" s="975">
        <v>6.3834085929106523</v>
      </c>
      <c r="U45" s="975">
        <v>6.3472157207143098</v>
      </c>
      <c r="V45" s="975">
        <v>6.5364877511389681</v>
      </c>
      <c r="W45" s="975">
        <v>6.5914494994428416</v>
      </c>
      <c r="X45" s="975">
        <v>6.351496430244822</v>
      </c>
      <c r="Y45" s="975">
        <v>5.7564982381679499</v>
      </c>
      <c r="Z45" s="975">
        <v>5.547297129875</v>
      </c>
      <c r="AA45" s="975">
        <v>5.3979274109523532</v>
      </c>
      <c r="AB45" s="975">
        <v>5.5526487033691687</v>
      </c>
      <c r="AC45" s="1081">
        <v>5.5254230101803561</v>
      </c>
    </row>
    <row r="46" spans="1:29">
      <c r="A46" s="1076" t="s">
        <v>673</v>
      </c>
      <c r="B46" s="1016" t="s">
        <v>670</v>
      </c>
      <c r="C46" s="1017" t="s">
        <v>185</v>
      </c>
      <c r="D46" s="1017" t="s">
        <v>674</v>
      </c>
      <c r="E46" s="1026" t="s">
        <v>675</v>
      </c>
      <c r="F46" s="998"/>
      <c r="G46" s="1001"/>
      <c r="H46" s="965"/>
      <c r="I46" s="965"/>
      <c r="J46" s="965"/>
      <c r="K46" s="998"/>
      <c r="L46" s="1001"/>
      <c r="M46" s="965"/>
      <c r="N46" s="965"/>
      <c r="O46" s="965"/>
      <c r="P46" s="998">
        <v>8.0946306733905953</v>
      </c>
      <c r="Q46" s="974">
        <v>7.7213645761543166</v>
      </c>
      <c r="R46" s="974">
        <v>7.9672672672673395</v>
      </c>
      <c r="S46" s="974">
        <v>8.1759615384615394</v>
      </c>
      <c r="T46" s="974">
        <v>9</v>
      </c>
      <c r="U46" s="974">
        <v>7.7801532200139238</v>
      </c>
      <c r="V46" s="974">
        <v>8.6985507246376823</v>
      </c>
      <c r="W46" s="974">
        <v>7.4296296296296296</v>
      </c>
      <c r="X46" s="974">
        <v>8.7666666666666675</v>
      </c>
      <c r="Y46" s="974">
        <v>7.4959749288334301</v>
      </c>
      <c r="Z46" s="974">
        <v>7.1857866794999996</v>
      </c>
      <c r="AA46" s="974">
        <v>7.02725616105519</v>
      </c>
      <c r="AB46" s="974">
        <v>6.6214528301886801</v>
      </c>
      <c r="AC46" s="1077">
        <v>6.608519003931848</v>
      </c>
    </row>
    <row r="47" spans="1:29">
      <c r="A47" s="1078" t="s">
        <v>673</v>
      </c>
      <c r="B47" s="1020" t="s">
        <v>670</v>
      </c>
      <c r="C47" s="1021" t="s">
        <v>185</v>
      </c>
      <c r="D47" s="1021" t="s">
        <v>676</v>
      </c>
      <c r="E47" s="1028" t="s">
        <v>675</v>
      </c>
      <c r="F47" s="1000"/>
      <c r="G47" s="1003"/>
      <c r="H47" s="604"/>
      <c r="I47" s="604"/>
      <c r="J47" s="604"/>
      <c r="K47" s="1000"/>
      <c r="L47" s="1003"/>
      <c r="M47" s="604"/>
      <c r="N47" s="604"/>
      <c r="O47" s="604"/>
      <c r="P47" s="1000">
        <v>9.1317871485942348</v>
      </c>
      <c r="Q47" s="605">
        <v>9.1087865688146969</v>
      </c>
      <c r="R47" s="605">
        <v>8.8538738019171994</v>
      </c>
      <c r="S47" s="605">
        <v>8.6067678488463173</v>
      </c>
      <c r="T47" s="605">
        <v>8.4796245733785369</v>
      </c>
      <c r="U47" s="605">
        <v>8.4587144019526459</v>
      </c>
      <c r="V47" s="605">
        <v>8.0926938657407241</v>
      </c>
      <c r="W47" s="605">
        <v>8.0933844678808047</v>
      </c>
      <c r="X47" s="605">
        <v>7.6676853423883546</v>
      </c>
      <c r="Y47" s="605">
        <v>7.5578849721706796</v>
      </c>
      <c r="Z47" s="605">
        <v>7.2153571430000003</v>
      </c>
      <c r="AA47" s="605">
        <v>7.133582089552239</v>
      </c>
      <c r="AB47" s="605">
        <v>6.7849056603773592</v>
      </c>
      <c r="AC47" s="1079">
        <v>6.8027522935779814</v>
      </c>
    </row>
    <row r="48" spans="1:29">
      <c r="A48" s="1078" t="s">
        <v>673</v>
      </c>
      <c r="B48" s="1020" t="s">
        <v>670</v>
      </c>
      <c r="C48" s="1021" t="s">
        <v>185</v>
      </c>
      <c r="D48" s="1021" t="s">
        <v>677</v>
      </c>
      <c r="E48" s="1028" t="s">
        <v>675</v>
      </c>
      <c r="F48" s="1000"/>
      <c r="G48" s="1003"/>
      <c r="H48" s="604"/>
      <c r="I48" s="604"/>
      <c r="J48" s="604"/>
      <c r="K48" s="1000"/>
      <c r="L48" s="1003"/>
      <c r="M48" s="604"/>
      <c r="N48" s="604"/>
      <c r="O48" s="604"/>
      <c r="P48" s="1000"/>
      <c r="Q48" s="605"/>
      <c r="R48" s="605">
        <v>9.4448979591836686</v>
      </c>
      <c r="S48" s="605">
        <v>9.2999999999999918</v>
      </c>
      <c r="T48" s="605">
        <v>9.2038961038961098</v>
      </c>
      <c r="U48" s="605">
        <v>9.1999999999999922</v>
      </c>
      <c r="V48" s="605"/>
      <c r="W48" s="605">
        <v>7.4749999999999996</v>
      </c>
      <c r="X48" s="605">
        <v>7.6333333333333329</v>
      </c>
      <c r="Y48" s="605">
        <v>8.5039424860853394</v>
      </c>
      <c r="Z48" s="605">
        <v>8.2326785714999993</v>
      </c>
      <c r="AA48" s="605">
        <v>7.8667910447761198</v>
      </c>
      <c r="AB48" s="605">
        <v>7.7257861635220131</v>
      </c>
      <c r="AC48" s="1079">
        <v>7.2513761467889903</v>
      </c>
    </row>
    <row r="49" spans="1:29">
      <c r="A49" s="1078" t="s">
        <v>673</v>
      </c>
      <c r="B49" s="1020" t="s">
        <v>670</v>
      </c>
      <c r="C49" s="1021" t="s">
        <v>185</v>
      </c>
      <c r="D49" s="1021" t="s">
        <v>678</v>
      </c>
      <c r="E49" s="1028" t="s">
        <v>675</v>
      </c>
      <c r="F49" s="1000"/>
      <c r="G49" s="1003"/>
      <c r="H49" s="604"/>
      <c r="I49" s="604"/>
      <c r="J49" s="604"/>
      <c r="K49" s="1000"/>
      <c r="L49" s="1003"/>
      <c r="M49" s="604"/>
      <c r="N49" s="604"/>
      <c r="O49" s="604"/>
      <c r="P49" s="1000">
        <v>9.4482758620689573</v>
      </c>
      <c r="Q49" s="605">
        <v>9.3284294234591947</v>
      </c>
      <c r="R49" s="605">
        <v>9.3988031914892947</v>
      </c>
      <c r="S49" s="605">
        <v>9.2966499162478442</v>
      </c>
      <c r="T49" s="605">
        <v>8.9860894941633909</v>
      </c>
      <c r="U49" s="605">
        <v>9.0226327944572855</v>
      </c>
      <c r="V49" s="605">
        <v>8.5065573770491749</v>
      </c>
      <c r="W49" s="605">
        <v>9.2387755102040749</v>
      </c>
      <c r="X49" s="605">
        <v>9.2799999999999994</v>
      </c>
      <c r="Y49" s="605">
        <v>8.5039424860853394</v>
      </c>
      <c r="Z49" s="605">
        <v>9.25</v>
      </c>
      <c r="AA49" s="605">
        <v>7.8667910447761198</v>
      </c>
      <c r="AB49" s="605">
        <v>7.7257861635220131</v>
      </c>
      <c r="AC49" s="1079">
        <v>7.2513761467889903</v>
      </c>
    </row>
    <row r="50" spans="1:29">
      <c r="A50" s="1080" t="s">
        <v>673</v>
      </c>
      <c r="B50" s="1018" t="s">
        <v>670</v>
      </c>
      <c r="C50" s="1019" t="s">
        <v>185</v>
      </c>
      <c r="D50" s="1019" t="s">
        <v>679</v>
      </c>
      <c r="E50" s="1027" t="s">
        <v>675</v>
      </c>
      <c r="F50" s="999"/>
      <c r="G50" s="1002"/>
      <c r="H50" s="969"/>
      <c r="I50" s="969"/>
      <c r="J50" s="969"/>
      <c r="K50" s="999"/>
      <c r="L50" s="1002"/>
      <c r="M50" s="969"/>
      <c r="N50" s="969"/>
      <c r="O50" s="969"/>
      <c r="P50" s="999">
        <v>8.8915645613512631</v>
      </c>
      <c r="Q50" s="975">
        <v>8.7195268561427373</v>
      </c>
      <c r="R50" s="975">
        <v>8.9162105549643744</v>
      </c>
      <c r="S50" s="975">
        <v>8.8448448258889236</v>
      </c>
      <c r="T50" s="975">
        <v>8.9174025428595094</v>
      </c>
      <c r="U50" s="975">
        <v>8.6153751041059614</v>
      </c>
      <c r="V50" s="975">
        <v>8.4326006558091944</v>
      </c>
      <c r="W50" s="975">
        <v>8.0591974019286283</v>
      </c>
      <c r="X50" s="975">
        <v>8.3369213355970881</v>
      </c>
      <c r="Y50" s="975">
        <v>8.0154362182936971</v>
      </c>
      <c r="Z50" s="975">
        <v>7.9709555984999998</v>
      </c>
      <c r="AA50" s="975">
        <v>7.4736050850399174</v>
      </c>
      <c r="AB50" s="975">
        <v>7.2144827044025162</v>
      </c>
      <c r="AC50" s="1081">
        <v>6.978505897771953</v>
      </c>
    </row>
    <row r="51" spans="1:29">
      <c r="A51" s="1076" t="s">
        <v>680</v>
      </c>
      <c r="B51" s="1016" t="s">
        <v>670</v>
      </c>
      <c r="C51" s="1017" t="s">
        <v>187</v>
      </c>
      <c r="D51" s="1017" t="s">
        <v>674</v>
      </c>
      <c r="E51" s="1026" t="s">
        <v>675</v>
      </c>
      <c r="F51" s="998"/>
      <c r="G51" s="1001"/>
      <c r="H51" s="965"/>
      <c r="I51" s="965"/>
      <c r="J51" s="965"/>
      <c r="K51" s="998"/>
      <c r="L51" s="1001"/>
      <c r="M51" s="965"/>
      <c r="N51" s="965"/>
      <c r="O51" s="965"/>
      <c r="P51" s="998">
        <v>7.4715873864249041</v>
      </c>
      <c r="Q51" s="974">
        <v>7.2576181474470038</v>
      </c>
      <c r="R51" s="974">
        <v>7.2515524193541694</v>
      </c>
      <c r="S51" s="974">
        <v>7.4246601744770802</v>
      </c>
      <c r="T51" s="974">
        <v>7.5819249297477658</v>
      </c>
      <c r="U51" s="974">
        <v>7.4923493208829779</v>
      </c>
      <c r="V51" s="974">
        <v>7.3419566531388192</v>
      </c>
      <c r="W51" s="974">
        <v>7.1806323427779768</v>
      </c>
      <c r="X51" s="974">
        <v>7.0416264985784842</v>
      </c>
      <c r="Y51" s="978">
        <v>6.67</v>
      </c>
      <c r="Z51" s="976">
        <v>6.71</v>
      </c>
      <c r="AA51" s="976">
        <v>6.6</v>
      </c>
      <c r="AB51" s="976">
        <v>8.1</v>
      </c>
      <c r="AC51" s="1082">
        <v>8.1</v>
      </c>
    </row>
    <row r="52" spans="1:29">
      <c r="A52" s="1078" t="s">
        <v>680</v>
      </c>
      <c r="B52" s="1020" t="s">
        <v>670</v>
      </c>
      <c r="C52" s="1021" t="s">
        <v>187</v>
      </c>
      <c r="D52" s="1021" t="s">
        <v>676</v>
      </c>
      <c r="E52" s="1028" t="s">
        <v>675</v>
      </c>
      <c r="F52" s="1000"/>
      <c r="G52" s="1003"/>
      <c r="H52" s="604"/>
      <c r="I52" s="604"/>
      <c r="J52" s="604"/>
      <c r="K52" s="1000"/>
      <c r="L52" s="1003"/>
      <c r="M52" s="604"/>
      <c r="N52" s="604"/>
      <c r="O52" s="604"/>
      <c r="P52" s="1000">
        <v>8.037270471464252</v>
      </c>
      <c r="Q52" s="605">
        <v>8.4063454198471881</v>
      </c>
      <c r="R52" s="605">
        <v>8.1638480008350456</v>
      </c>
      <c r="S52" s="605">
        <v>8.5440784863351311</v>
      </c>
      <c r="T52" s="605">
        <v>8.6147148743854061</v>
      </c>
      <c r="U52" s="605">
        <v>8.3240573219885334</v>
      </c>
      <c r="V52" s="605">
        <v>8.351787278780451</v>
      </c>
      <c r="W52" s="605">
        <v>8.2868028618226148</v>
      </c>
      <c r="X52" s="605">
        <v>7.7367746466509244</v>
      </c>
      <c r="Y52" s="606">
        <v>7.04</v>
      </c>
      <c r="Z52" s="607">
        <v>6.96</v>
      </c>
      <c r="AA52" s="607">
        <v>6.6001550849985087</v>
      </c>
      <c r="AB52" s="607">
        <v>6.0564527119106026</v>
      </c>
      <c r="AC52" s="1083">
        <v>6.0564527119106026</v>
      </c>
    </row>
    <row r="53" spans="1:29">
      <c r="A53" s="1078" t="s">
        <v>680</v>
      </c>
      <c r="B53" s="1020" t="s">
        <v>670</v>
      </c>
      <c r="C53" s="1021" t="s">
        <v>187</v>
      </c>
      <c r="D53" s="1021" t="s">
        <v>677</v>
      </c>
      <c r="E53" s="1028" t="s">
        <v>675</v>
      </c>
      <c r="F53" s="1000"/>
      <c r="G53" s="1003"/>
      <c r="H53" s="604"/>
      <c r="I53" s="604"/>
      <c r="J53" s="604"/>
      <c r="K53" s="1000"/>
      <c r="L53" s="1003"/>
      <c r="M53" s="604"/>
      <c r="N53" s="604"/>
      <c r="O53" s="604"/>
      <c r="P53" s="1000"/>
      <c r="Q53" s="605"/>
      <c r="R53" s="605"/>
      <c r="S53" s="605"/>
      <c r="T53" s="605"/>
      <c r="U53" s="605"/>
      <c r="V53" s="605"/>
      <c r="W53" s="605"/>
      <c r="X53" s="605"/>
      <c r="Y53" s="605"/>
      <c r="Z53" s="605"/>
      <c r="AA53" s="605">
        <v>0</v>
      </c>
      <c r="AB53" s="608">
        <v>0</v>
      </c>
      <c r="AC53" s="1084">
        <v>0</v>
      </c>
    </row>
    <row r="54" spans="1:29">
      <c r="A54" s="1078" t="s">
        <v>680</v>
      </c>
      <c r="B54" s="1020" t="s">
        <v>670</v>
      </c>
      <c r="C54" s="1021" t="s">
        <v>187</v>
      </c>
      <c r="D54" s="1021" t="s">
        <v>678</v>
      </c>
      <c r="E54" s="1028" t="s">
        <v>675</v>
      </c>
      <c r="F54" s="1000"/>
      <c r="G54" s="1003"/>
      <c r="H54" s="604"/>
      <c r="I54" s="604"/>
      <c r="J54" s="604"/>
      <c r="K54" s="1000"/>
      <c r="L54" s="1003"/>
      <c r="M54" s="604"/>
      <c r="N54" s="604"/>
      <c r="O54" s="604"/>
      <c r="P54" s="1000">
        <v>9.618629173989488</v>
      </c>
      <c r="Q54" s="605">
        <v>9.3081196581196632</v>
      </c>
      <c r="R54" s="605">
        <v>8.806564102564197</v>
      </c>
      <c r="S54" s="605">
        <v>9.1077464788732776</v>
      </c>
      <c r="T54" s="605">
        <v>8.8160679294579172</v>
      </c>
      <c r="U54" s="605">
        <v>8.9116993464052481</v>
      </c>
      <c r="V54" s="605">
        <v>9.5515024038461132</v>
      </c>
      <c r="W54" s="605">
        <v>9.7817325800378736</v>
      </c>
      <c r="X54" s="605">
        <v>9.5732405891982655</v>
      </c>
      <c r="Y54" s="607">
        <v>8.5399999999999991</v>
      </c>
      <c r="Z54" s="607">
        <v>7.62</v>
      </c>
      <c r="AA54" s="607">
        <v>7.2489142436510861</v>
      </c>
      <c r="AB54" s="607">
        <v>6.5832600608725054</v>
      </c>
      <c r="AC54" s="1083">
        <v>6.5832600608725054</v>
      </c>
    </row>
    <row r="55" spans="1:29">
      <c r="A55" s="1080" t="s">
        <v>680</v>
      </c>
      <c r="B55" s="1018" t="s">
        <v>670</v>
      </c>
      <c r="C55" s="1019" t="s">
        <v>187</v>
      </c>
      <c r="D55" s="1019" t="s">
        <v>679</v>
      </c>
      <c r="E55" s="1027" t="s">
        <v>675</v>
      </c>
      <c r="F55" s="999"/>
      <c r="G55" s="1002"/>
      <c r="H55" s="969"/>
      <c r="I55" s="969"/>
      <c r="J55" s="969"/>
      <c r="K55" s="999"/>
      <c r="L55" s="1002"/>
      <c r="M55" s="969"/>
      <c r="N55" s="969"/>
      <c r="O55" s="969"/>
      <c r="P55" s="999">
        <v>8.3758290106262141</v>
      </c>
      <c r="Q55" s="975">
        <v>8.3240277418046187</v>
      </c>
      <c r="R55" s="975">
        <v>8.0739881742511361</v>
      </c>
      <c r="S55" s="975">
        <v>8.3588283798951633</v>
      </c>
      <c r="T55" s="975">
        <v>8.3375692445303624</v>
      </c>
      <c r="U55" s="975">
        <v>8.2427019964255859</v>
      </c>
      <c r="V55" s="975">
        <v>8.4150821119217944</v>
      </c>
      <c r="W55" s="975">
        <v>8.416389261546156</v>
      </c>
      <c r="X55" s="975">
        <v>8.1172139114758917</v>
      </c>
      <c r="Y55" s="975">
        <v>7.416666666666667</v>
      </c>
      <c r="Z55" s="975">
        <v>7.0966666666666667</v>
      </c>
      <c r="AA55" s="975">
        <v>7.1505434782608699</v>
      </c>
      <c r="AB55" s="979">
        <v>7.3340425531914901</v>
      </c>
      <c r="AC55" s="1085">
        <v>7.3340425531914901</v>
      </c>
    </row>
    <row r="56" spans="1:29">
      <c r="A56" s="1076" t="s">
        <v>680</v>
      </c>
      <c r="B56" s="1016" t="s">
        <v>670</v>
      </c>
      <c r="C56" s="1017" t="s">
        <v>185</v>
      </c>
      <c r="D56" s="1017" t="s">
        <v>674</v>
      </c>
      <c r="E56" s="1026" t="s">
        <v>675</v>
      </c>
      <c r="F56" s="998"/>
      <c r="G56" s="1001"/>
      <c r="H56" s="965"/>
      <c r="I56" s="965"/>
      <c r="J56" s="965"/>
      <c r="K56" s="998"/>
      <c r="L56" s="1001"/>
      <c r="M56" s="965"/>
      <c r="N56" s="965"/>
      <c r="O56" s="965"/>
      <c r="P56" s="998">
        <v>11.217561554434759</v>
      </c>
      <c r="Q56" s="974">
        <v>10.75985527222576</v>
      </c>
      <c r="R56" s="974">
        <v>11.031831831831886</v>
      </c>
      <c r="S56" s="974">
        <v>10.730769230769223</v>
      </c>
      <c r="T56" s="974">
        <v>11.366666666666667</v>
      </c>
      <c r="U56" s="974">
        <v>10.622751576090833</v>
      </c>
      <c r="V56" s="974">
        <v>12.214492753623187</v>
      </c>
      <c r="W56" s="974">
        <v>10.244444444444442</v>
      </c>
      <c r="X56" s="974">
        <v>12.166666666666666</v>
      </c>
      <c r="Y56" s="976">
        <v>10.145</v>
      </c>
      <c r="Z56" s="977">
        <v>9.629999999999999</v>
      </c>
      <c r="AA56" s="977">
        <v>9.3030024297119063</v>
      </c>
      <c r="AB56" s="977">
        <v>8.5767452830188695</v>
      </c>
      <c r="AC56" s="1086">
        <v>8.5767452830188695</v>
      </c>
    </row>
    <row r="57" spans="1:29">
      <c r="A57" s="1078" t="s">
        <v>680</v>
      </c>
      <c r="B57" s="1020" t="s">
        <v>670</v>
      </c>
      <c r="C57" s="1021" t="s">
        <v>185</v>
      </c>
      <c r="D57" s="1021" t="s">
        <v>676</v>
      </c>
      <c r="E57" s="1028" t="s">
        <v>675</v>
      </c>
      <c r="F57" s="1000"/>
      <c r="G57" s="1003"/>
      <c r="H57" s="604"/>
      <c r="I57" s="604"/>
      <c r="J57" s="604"/>
      <c r="K57" s="1000"/>
      <c r="L57" s="1003"/>
      <c r="M57" s="604"/>
      <c r="N57" s="604"/>
      <c r="O57" s="604"/>
      <c r="P57" s="1000">
        <v>12.621797188754931</v>
      </c>
      <c r="Q57" s="605">
        <v>12.727596260179546</v>
      </c>
      <c r="R57" s="605">
        <v>12.318899760383713</v>
      </c>
      <c r="S57" s="605">
        <v>11.779076970729568</v>
      </c>
      <c r="T57" s="605">
        <v>11.417474402730102</v>
      </c>
      <c r="U57" s="605">
        <v>11.427209113099742</v>
      </c>
      <c r="V57" s="605">
        <v>10.943981481481218</v>
      </c>
      <c r="W57" s="605">
        <v>10.92380952380948</v>
      </c>
      <c r="X57" s="605">
        <v>10.304102999434333</v>
      </c>
      <c r="Y57" s="607">
        <v>10.15</v>
      </c>
      <c r="Z57" s="607">
        <v>9.57</v>
      </c>
      <c r="AA57" s="607">
        <v>9.3850746268656717</v>
      </c>
      <c r="AB57" s="607">
        <v>8.958490566037737</v>
      </c>
      <c r="AC57" s="1083">
        <v>8.958490566037737</v>
      </c>
    </row>
    <row r="58" spans="1:29">
      <c r="A58" s="1078" t="s">
        <v>680</v>
      </c>
      <c r="B58" s="1020" t="s">
        <v>670</v>
      </c>
      <c r="C58" s="1021" t="s">
        <v>185</v>
      </c>
      <c r="D58" s="1021" t="s">
        <v>677</v>
      </c>
      <c r="E58" s="1028" t="s">
        <v>675</v>
      </c>
      <c r="F58" s="1000"/>
      <c r="G58" s="1003"/>
      <c r="H58" s="604"/>
      <c r="I58" s="604"/>
      <c r="J58" s="604"/>
      <c r="K58" s="1000"/>
      <c r="L58" s="1003"/>
      <c r="M58" s="604"/>
      <c r="N58" s="604"/>
      <c r="O58" s="604"/>
      <c r="P58" s="1000"/>
      <c r="Q58" s="605"/>
      <c r="R58" s="605">
        <v>13.189795918367352</v>
      </c>
      <c r="S58" s="605">
        <v>12.9</v>
      </c>
      <c r="T58" s="605">
        <v>12.707792207792224</v>
      </c>
      <c r="U58" s="605">
        <v>12.7</v>
      </c>
      <c r="V58" s="605"/>
      <c r="W58" s="605"/>
      <c r="X58" s="605">
        <v>9.9</v>
      </c>
      <c r="Y58" s="607">
        <v>11.715</v>
      </c>
      <c r="Z58" s="609">
        <v>11.21</v>
      </c>
      <c r="AA58" s="609">
        <v>10.692537313432837</v>
      </c>
      <c r="AB58" s="609">
        <v>8.958490566037737</v>
      </c>
      <c r="AC58" s="1087">
        <v>8.958490566037737</v>
      </c>
    </row>
    <row r="59" spans="1:29">
      <c r="A59" s="1078" t="s">
        <v>680</v>
      </c>
      <c r="B59" s="1020" t="s">
        <v>670</v>
      </c>
      <c r="C59" s="1021" t="s">
        <v>185</v>
      </c>
      <c r="D59" s="1021" t="s">
        <v>678</v>
      </c>
      <c r="E59" s="1028" t="s">
        <v>675</v>
      </c>
      <c r="F59" s="1000"/>
      <c r="G59" s="1003"/>
      <c r="H59" s="604"/>
      <c r="I59" s="604"/>
      <c r="J59" s="604"/>
      <c r="K59" s="1000"/>
      <c r="L59" s="1003"/>
      <c r="M59" s="604"/>
      <c r="N59" s="604"/>
      <c r="O59" s="604"/>
      <c r="P59" s="1000">
        <v>13.021551724137902</v>
      </c>
      <c r="Q59" s="605">
        <v>12.782107355864792</v>
      </c>
      <c r="R59" s="605">
        <v>12.833377659574374</v>
      </c>
      <c r="S59" s="605">
        <v>13.034673366834223</v>
      </c>
      <c r="T59" s="605">
        <v>12.883657587548647</v>
      </c>
      <c r="U59" s="605">
        <v>12.948498845265599</v>
      </c>
      <c r="V59" s="605">
        <v>11.9</v>
      </c>
      <c r="W59" s="605">
        <v>12.791836734693877</v>
      </c>
      <c r="X59" s="605">
        <v>12.87</v>
      </c>
      <c r="Y59" s="607">
        <v>12.497499999999999</v>
      </c>
      <c r="Z59" s="609">
        <v>12.85</v>
      </c>
      <c r="AA59" s="607">
        <v>11.346268656716418</v>
      </c>
      <c r="AB59" s="609">
        <v>8.958490566037737</v>
      </c>
      <c r="AC59" s="1087">
        <v>8.958490566037737</v>
      </c>
    </row>
    <row r="60" spans="1:29">
      <c r="A60" s="1080" t="s">
        <v>680</v>
      </c>
      <c r="B60" s="1018" t="s">
        <v>670</v>
      </c>
      <c r="C60" s="1019" t="s">
        <v>185</v>
      </c>
      <c r="D60" s="1019" t="s">
        <v>679</v>
      </c>
      <c r="E60" s="1027" t="s">
        <v>675</v>
      </c>
      <c r="F60" s="999"/>
      <c r="G60" s="1002"/>
      <c r="H60" s="969"/>
      <c r="I60" s="969"/>
      <c r="J60" s="969"/>
      <c r="K60" s="999"/>
      <c r="L60" s="1002"/>
      <c r="M60" s="969"/>
      <c r="N60" s="969"/>
      <c r="O60" s="969"/>
      <c r="P60" s="999">
        <v>12.286970155775863</v>
      </c>
      <c r="Q60" s="975">
        <v>12.0898529627567</v>
      </c>
      <c r="R60" s="975">
        <v>12.34347629253933</v>
      </c>
      <c r="S60" s="975">
        <v>12.111129892083252</v>
      </c>
      <c r="T60" s="975">
        <v>12.09389771618441</v>
      </c>
      <c r="U60" s="975">
        <v>11.924614883614042</v>
      </c>
      <c r="V60" s="975">
        <v>11.686158078368136</v>
      </c>
      <c r="W60" s="975">
        <v>11.320030234315931</v>
      </c>
      <c r="X60" s="975">
        <v>11.310192416525249</v>
      </c>
      <c r="Y60" s="975">
        <v>11.126875000000002</v>
      </c>
      <c r="Z60" s="975">
        <v>10.815</v>
      </c>
      <c r="AA60" s="975">
        <v>10.181720756681708</v>
      </c>
      <c r="AB60" s="975">
        <v>8.8630542452830205</v>
      </c>
      <c r="AC60" s="1081">
        <v>8.8630542452830205</v>
      </c>
    </row>
    <row r="61" spans="1:29">
      <c r="A61" s="1076" t="s">
        <v>681</v>
      </c>
      <c r="B61" s="1016" t="s">
        <v>670</v>
      </c>
      <c r="C61" s="1017" t="s">
        <v>187</v>
      </c>
      <c r="D61" s="1017" t="s">
        <v>679</v>
      </c>
      <c r="E61" s="1026" t="s">
        <v>675</v>
      </c>
      <c r="F61" s="998"/>
      <c r="G61" s="1001"/>
      <c r="H61" s="965"/>
      <c r="I61" s="965"/>
      <c r="J61" s="965"/>
      <c r="K61" s="998"/>
      <c r="L61" s="1001"/>
      <c r="M61" s="965"/>
      <c r="N61" s="965"/>
      <c r="O61" s="965"/>
      <c r="P61" s="998">
        <v>10.050994812751457</v>
      </c>
      <c r="Q61" s="974">
        <v>9.9888332901655428</v>
      </c>
      <c r="R61" s="974">
        <v>9.688785809101363</v>
      </c>
      <c r="S61" s="974">
        <v>10.030594055874195</v>
      </c>
      <c r="T61" s="974">
        <v>10.005083093436435</v>
      </c>
      <c r="U61" s="974">
        <v>9.8912423957107034</v>
      </c>
      <c r="V61" s="974">
        <v>10.098098534306153</v>
      </c>
      <c r="W61" s="974">
        <v>10.099667113855388</v>
      </c>
      <c r="X61" s="974">
        <v>9.7406566937710704</v>
      </c>
      <c r="Y61" s="974">
        <v>8.9</v>
      </c>
      <c r="Z61" s="974">
        <v>8.516</v>
      </c>
      <c r="AA61" s="974">
        <v>8.5806521739130428</v>
      </c>
      <c r="AB61" s="974">
        <v>8.8008510638297874</v>
      </c>
      <c r="AC61" s="1088">
        <v>8.8008510638297874</v>
      </c>
    </row>
    <row r="62" spans="1:29">
      <c r="A62" s="1080" t="s">
        <v>681</v>
      </c>
      <c r="B62" s="1018" t="s">
        <v>670</v>
      </c>
      <c r="C62" s="1019" t="s">
        <v>185</v>
      </c>
      <c r="D62" s="1019" t="s">
        <v>679</v>
      </c>
      <c r="E62" s="1027" t="s">
        <v>675</v>
      </c>
      <c r="F62" s="999"/>
      <c r="G62" s="1002"/>
      <c r="H62" s="969"/>
      <c r="I62" s="969"/>
      <c r="J62" s="969"/>
      <c r="K62" s="999"/>
      <c r="L62" s="1002"/>
      <c r="M62" s="969"/>
      <c r="N62" s="969"/>
      <c r="O62" s="969"/>
      <c r="P62" s="999">
        <v>14.744364186931035</v>
      </c>
      <c r="Q62" s="975">
        <v>14.50782355530804</v>
      </c>
      <c r="R62" s="975">
        <v>14.812171551047197</v>
      </c>
      <c r="S62" s="975">
        <v>14.533355870499902</v>
      </c>
      <c r="T62" s="975">
        <v>14.512677259421292</v>
      </c>
      <c r="U62" s="975">
        <v>14.309537860336851</v>
      </c>
      <c r="V62" s="975">
        <v>14.023389694041763</v>
      </c>
      <c r="W62" s="975">
        <v>13.584036281179117</v>
      </c>
      <c r="X62" s="975">
        <v>13.572230899830299</v>
      </c>
      <c r="Y62" s="975">
        <v>13.352250000000002</v>
      </c>
      <c r="Z62" s="975">
        <v>12.978</v>
      </c>
      <c r="AA62" s="975">
        <v>12.218064908018048</v>
      </c>
      <c r="AB62" s="975">
        <v>10.635665094339624</v>
      </c>
      <c r="AC62" s="1089">
        <v>10.635665094339624</v>
      </c>
    </row>
    <row r="63" spans="1:29">
      <c r="A63" s="1076" t="s">
        <v>682</v>
      </c>
      <c r="B63" s="1016" t="s">
        <v>670</v>
      </c>
      <c r="C63" s="1017" t="s">
        <v>187</v>
      </c>
      <c r="D63" s="1017" t="s">
        <v>679</v>
      </c>
      <c r="E63" s="1026" t="s">
        <v>683</v>
      </c>
      <c r="F63" s="998"/>
      <c r="G63" s="1001"/>
      <c r="H63" s="965"/>
      <c r="I63" s="965"/>
      <c r="J63" s="965"/>
      <c r="K63" s="998"/>
      <c r="L63" s="1001"/>
      <c r="M63" s="965"/>
      <c r="N63" s="965"/>
      <c r="O63" s="965"/>
      <c r="P63" s="998">
        <v>3400.9759069137294</v>
      </c>
      <c r="Q63" s="966">
        <v>3614.1391206763515</v>
      </c>
      <c r="R63" s="966">
        <v>3921.5867898026668</v>
      </c>
      <c r="S63" s="966">
        <v>4126.845908952394</v>
      </c>
      <c r="T63" s="966">
        <v>4105.1050516693495</v>
      </c>
      <c r="U63" s="966">
        <v>4115.9927245215304</v>
      </c>
      <c r="V63" s="966">
        <v>4142.5231144369491</v>
      </c>
      <c r="W63" s="966">
        <v>4149.1834725571925</v>
      </c>
      <c r="X63" s="966">
        <v>4102.2500508440626</v>
      </c>
      <c r="Y63" s="966">
        <v>3755.3868704997021</v>
      </c>
      <c r="Z63" s="966">
        <v>3582.4021219731435</v>
      </c>
      <c r="AA63" s="966">
        <v>3744.4097040747811</v>
      </c>
      <c r="AB63" s="966">
        <v>4113.6790564998264</v>
      </c>
      <c r="AC63" s="1074">
        <v>4141.4157408748297</v>
      </c>
    </row>
    <row r="64" spans="1:29">
      <c r="A64" s="1080" t="s">
        <v>682</v>
      </c>
      <c r="B64" s="1018" t="s">
        <v>670</v>
      </c>
      <c r="C64" s="1019" t="s">
        <v>185</v>
      </c>
      <c r="D64" s="1019" t="s">
        <v>679</v>
      </c>
      <c r="E64" s="1027" t="s">
        <v>683</v>
      </c>
      <c r="F64" s="999"/>
      <c r="G64" s="1002"/>
      <c r="H64" s="969"/>
      <c r="I64" s="969"/>
      <c r="J64" s="969"/>
      <c r="K64" s="999"/>
      <c r="L64" s="1002"/>
      <c r="M64" s="969"/>
      <c r="N64" s="969"/>
      <c r="O64" s="969"/>
      <c r="P64" s="999">
        <v>3017.6281243619246</v>
      </c>
      <c r="Q64" s="967">
        <v>3222.4309320131097</v>
      </c>
      <c r="R64" s="967">
        <v>3824.6269153917215</v>
      </c>
      <c r="S64" s="967">
        <v>4012.5344695180825</v>
      </c>
      <c r="T64" s="967">
        <v>4237.5171634717753</v>
      </c>
      <c r="U64" s="967">
        <v>4432.0786178918761</v>
      </c>
      <c r="V64" s="967">
        <v>4479.8646550447856</v>
      </c>
      <c r="W64" s="967">
        <v>4357.2074472327622</v>
      </c>
      <c r="X64" s="967">
        <v>4598.0021767502003</v>
      </c>
      <c r="Y64" s="967">
        <v>4621.2814118206479</v>
      </c>
      <c r="Z64" s="967">
        <v>4515.6852753960002</v>
      </c>
      <c r="AA64" s="967">
        <v>4422.3194179634165</v>
      </c>
      <c r="AB64" s="967">
        <v>3967.6907581283203</v>
      </c>
      <c r="AC64" s="1075">
        <v>3950.0424708590513</v>
      </c>
    </row>
    <row r="65" spans="1:29">
      <c r="A65" s="1076" t="s">
        <v>682</v>
      </c>
      <c r="B65" s="1016" t="s">
        <v>670</v>
      </c>
      <c r="C65" s="1017" t="s">
        <v>187</v>
      </c>
      <c r="D65" s="1017" t="s">
        <v>679</v>
      </c>
      <c r="E65" s="1026" t="s">
        <v>684</v>
      </c>
      <c r="F65" s="998"/>
      <c r="G65" s="1001"/>
      <c r="H65" s="965"/>
      <c r="I65" s="965"/>
      <c r="J65" s="965"/>
      <c r="K65" s="998"/>
      <c r="L65" s="1001"/>
      <c r="M65" s="965"/>
      <c r="N65" s="965"/>
      <c r="O65" s="965"/>
      <c r="P65" s="998">
        <v>2.9737696349210153E-3</v>
      </c>
      <c r="Q65" s="971">
        <v>3.1601568101670479E-3</v>
      </c>
      <c r="R65" s="971">
        <v>3.4289851017513763E-3</v>
      </c>
      <c r="S65" s="971">
        <v>3.6084610382251525E-3</v>
      </c>
      <c r="T65" s="971">
        <v>3.5894511119583896E-3</v>
      </c>
      <c r="U65" s="971">
        <v>3.598971153208006E-3</v>
      </c>
      <c r="V65" s="971">
        <v>3.6221689852692987E-3</v>
      </c>
      <c r="W65" s="971">
        <v>3.6279927168327637E-3</v>
      </c>
      <c r="X65" s="971">
        <v>3.5869547359197789E-3</v>
      </c>
      <c r="Y65" s="971">
        <v>3.2836620277640672E-3</v>
      </c>
      <c r="Z65" s="971">
        <v>3.1324063862798132E-3</v>
      </c>
      <c r="AA65" s="971">
        <v>3.274063734484323E-3</v>
      </c>
      <c r="AB65" s="971">
        <v>3.5969481116174306E-3</v>
      </c>
      <c r="AC65" s="1090">
        <v>3.6212007120548805E-3</v>
      </c>
    </row>
    <row r="66" spans="1:29">
      <c r="A66" s="1080" t="s">
        <v>682</v>
      </c>
      <c r="B66" s="1018" t="s">
        <v>670</v>
      </c>
      <c r="C66" s="1019" t="s">
        <v>185</v>
      </c>
      <c r="D66" s="1019" t="s">
        <v>679</v>
      </c>
      <c r="E66" s="1027" t="s">
        <v>684</v>
      </c>
      <c r="F66" s="999"/>
      <c r="G66" s="1002"/>
      <c r="H66" s="969"/>
      <c r="I66" s="969"/>
      <c r="J66" s="969"/>
      <c r="K66" s="999"/>
      <c r="L66" s="1002"/>
      <c r="M66" s="969"/>
      <c r="N66" s="969"/>
      <c r="O66" s="969"/>
      <c r="P66" s="999">
        <v>2.4254897754305278E-3</v>
      </c>
      <c r="Q66" s="972">
        <v>2.590104862335066E-3</v>
      </c>
      <c r="R66" s="972">
        <v>3.074134086711082E-3</v>
      </c>
      <c r="S66" s="972">
        <v>3.2251692151220811E-3</v>
      </c>
      <c r="T66" s="972">
        <v>3.4060043615829739E-3</v>
      </c>
      <c r="U66" s="972">
        <v>3.5623877192866773E-3</v>
      </c>
      <c r="V66" s="972">
        <v>3.6007968736775065E-3</v>
      </c>
      <c r="W66" s="973">
        <v>3.5022082500399182E-3</v>
      </c>
      <c r="X66" s="973">
        <v>3.6957526930105383E-3</v>
      </c>
      <c r="Y66" s="973">
        <v>3.7144639272369737E-3</v>
      </c>
      <c r="Z66" s="973">
        <v>3.6295885421107465E-3</v>
      </c>
      <c r="AA66" s="973">
        <v>3.5545435321743682E-3</v>
      </c>
      <c r="AB66" s="973">
        <v>3.1891250244578573E-3</v>
      </c>
      <c r="AC66" s="1091">
        <v>3.1749397973319915E-3</v>
      </c>
    </row>
    <row r="67" spans="1:29">
      <c r="A67" s="1092" t="s">
        <v>685</v>
      </c>
      <c r="B67" s="1016" t="s">
        <v>670</v>
      </c>
      <c r="C67" s="1017" t="s">
        <v>187</v>
      </c>
      <c r="D67" s="1017" t="s">
        <v>112</v>
      </c>
      <c r="E67" s="1029" t="s">
        <v>660</v>
      </c>
      <c r="F67" s="998">
        <v>2359</v>
      </c>
      <c r="G67" s="1004">
        <v>2911</v>
      </c>
      <c r="H67" s="965">
        <v>3366</v>
      </c>
      <c r="I67" s="965">
        <v>3722</v>
      </c>
      <c r="J67" s="965">
        <v>4344</v>
      </c>
      <c r="K67" s="998">
        <v>5016</v>
      </c>
      <c r="L67" s="1001">
        <v>5652</v>
      </c>
      <c r="M67" s="965">
        <v>6303</v>
      </c>
      <c r="N67" s="965">
        <v>7272</v>
      </c>
      <c r="O67" s="965">
        <v>8444</v>
      </c>
      <c r="P67" s="998">
        <v>8826</v>
      </c>
      <c r="Q67" s="966">
        <v>9682</v>
      </c>
      <c r="R67" s="966">
        <v>9963</v>
      </c>
      <c r="S67" s="966">
        <v>10443</v>
      </c>
      <c r="T67" s="966">
        <v>10862</v>
      </c>
      <c r="U67" s="966">
        <v>11466</v>
      </c>
      <c r="V67" s="966">
        <v>12402</v>
      </c>
      <c r="W67" s="966">
        <v>14565</v>
      </c>
      <c r="X67" s="968">
        <v>16038</v>
      </c>
      <c r="Y67" s="966">
        <v>16067</v>
      </c>
      <c r="Z67" s="966">
        <v>15831</v>
      </c>
      <c r="AA67" s="966">
        <v>15736</v>
      </c>
      <c r="AB67" s="966">
        <v>16061</v>
      </c>
      <c r="AC67" s="1074">
        <v>16113</v>
      </c>
    </row>
    <row r="68" spans="1:29">
      <c r="A68" s="1093" t="s">
        <v>685</v>
      </c>
      <c r="B68" s="1018" t="s">
        <v>670</v>
      </c>
      <c r="C68" s="1019" t="s">
        <v>185</v>
      </c>
      <c r="D68" s="1019" t="s">
        <v>112</v>
      </c>
      <c r="E68" s="1030" t="s">
        <v>660</v>
      </c>
      <c r="F68" s="999">
        <v>2560</v>
      </c>
      <c r="G68" s="1005">
        <v>2396</v>
      </c>
      <c r="H68" s="969">
        <v>2291</v>
      </c>
      <c r="I68" s="969">
        <v>2366</v>
      </c>
      <c r="J68" s="969">
        <v>2529</v>
      </c>
      <c r="K68" s="999">
        <v>3025</v>
      </c>
      <c r="L68" s="1002">
        <v>3534</v>
      </c>
      <c r="M68" s="969">
        <v>4001</v>
      </c>
      <c r="N68" s="969">
        <v>3947</v>
      </c>
      <c r="O68" s="969">
        <v>4620</v>
      </c>
      <c r="P68" s="999">
        <v>4805</v>
      </c>
      <c r="Q68" s="967">
        <v>6859</v>
      </c>
      <c r="R68" s="967">
        <v>8286</v>
      </c>
      <c r="S68" s="967">
        <v>9410</v>
      </c>
      <c r="T68" s="967">
        <v>9880</v>
      </c>
      <c r="U68" s="967">
        <v>10417</v>
      </c>
      <c r="V68" s="967">
        <v>10868</v>
      </c>
      <c r="W68" s="967">
        <v>12068</v>
      </c>
      <c r="X68" s="970">
        <v>12970</v>
      </c>
      <c r="Y68" s="967">
        <v>12161</v>
      </c>
      <c r="Z68" s="967">
        <v>10775</v>
      </c>
      <c r="AA68" s="967">
        <v>9304</v>
      </c>
      <c r="AB68" s="967">
        <v>7992</v>
      </c>
      <c r="AC68" s="1075">
        <v>6638</v>
      </c>
    </row>
    <row r="69" spans="1:29">
      <c r="A69" s="1092" t="s">
        <v>686</v>
      </c>
      <c r="B69" s="1016" t="s">
        <v>670</v>
      </c>
      <c r="C69" s="1017" t="s">
        <v>187</v>
      </c>
      <c r="D69" s="1017" t="s">
        <v>112</v>
      </c>
      <c r="E69" s="1029" t="s">
        <v>683</v>
      </c>
      <c r="F69" s="998"/>
      <c r="G69" s="1001"/>
      <c r="H69" s="965"/>
      <c r="I69" s="965"/>
      <c r="J69" s="965"/>
      <c r="K69" s="998"/>
      <c r="L69" s="1001"/>
      <c r="M69" s="965"/>
      <c r="N69" s="965"/>
      <c r="O69" s="965"/>
      <c r="P69" s="998">
        <v>30017013.354420576</v>
      </c>
      <c r="Q69" s="966">
        <v>34992094.966388434</v>
      </c>
      <c r="R69" s="966">
        <v>39070769.186803967</v>
      </c>
      <c r="S69" s="966">
        <v>43096651.827189848</v>
      </c>
      <c r="T69" s="966">
        <v>44589651.071232475</v>
      </c>
      <c r="U69" s="966">
        <v>47193972.579363868</v>
      </c>
      <c r="V69" s="966">
        <v>51375571.665247045</v>
      </c>
      <c r="W69" s="966">
        <v>60432857.277795509</v>
      </c>
      <c r="X69" s="966">
        <v>65791886.315437078</v>
      </c>
      <c r="Y69" s="966">
        <v>60337800.848318711</v>
      </c>
      <c r="Z69" s="966">
        <v>56713007.992956832</v>
      </c>
      <c r="AA69" s="966">
        <v>58922031.103320755</v>
      </c>
      <c r="AB69" s="966">
        <v>66069799.326443709</v>
      </c>
      <c r="AC69" s="1094">
        <v>66730631.83271613</v>
      </c>
    </row>
    <row r="70" spans="1:29">
      <c r="A70" s="1095" t="s">
        <v>686</v>
      </c>
      <c r="B70" s="1020" t="s">
        <v>670</v>
      </c>
      <c r="C70" s="1021" t="s">
        <v>185</v>
      </c>
      <c r="D70" s="1021" t="s">
        <v>112</v>
      </c>
      <c r="E70" s="1031" t="s">
        <v>683</v>
      </c>
      <c r="F70" s="1000"/>
      <c r="G70" s="1003"/>
      <c r="H70" s="604"/>
      <c r="I70" s="604"/>
      <c r="J70" s="604"/>
      <c r="K70" s="1000"/>
      <c r="L70" s="1003"/>
      <c r="M70" s="604"/>
      <c r="N70" s="604"/>
      <c r="O70" s="604"/>
      <c r="P70" s="1000">
        <v>14499703.137559047</v>
      </c>
      <c r="Q70" s="600">
        <v>22102653.762677919</v>
      </c>
      <c r="R70" s="600">
        <v>31690858.620935805</v>
      </c>
      <c r="S70" s="600">
        <v>37757949.358165152</v>
      </c>
      <c r="T70" s="600">
        <v>41866669.575101137</v>
      </c>
      <c r="U70" s="600">
        <v>46168962.962579675</v>
      </c>
      <c r="V70" s="600">
        <v>48687169.071026728</v>
      </c>
      <c r="W70" s="600">
        <v>52582779.473204978</v>
      </c>
      <c r="X70" s="600">
        <v>59636088.232450098</v>
      </c>
      <c r="Y70" s="600">
        <v>56199403.249150902</v>
      </c>
      <c r="Z70" s="600">
        <v>48656508.842391901</v>
      </c>
      <c r="AA70" s="600">
        <v>41145259.864731625</v>
      </c>
      <c r="AB70" s="600">
        <v>31709784.538961537</v>
      </c>
      <c r="AC70" s="1096">
        <v>26220381.921562381</v>
      </c>
    </row>
    <row r="71" spans="1:29">
      <c r="A71" s="1095" t="s">
        <v>686</v>
      </c>
      <c r="B71" s="1020" t="s">
        <v>670</v>
      </c>
      <c r="C71" s="1021" t="s">
        <v>187</v>
      </c>
      <c r="D71" s="1021" t="s">
        <v>112</v>
      </c>
      <c r="E71" s="1031" t="s">
        <v>687</v>
      </c>
      <c r="F71" s="1000"/>
      <c r="G71" s="1003"/>
      <c r="H71" s="604"/>
      <c r="I71" s="604"/>
      <c r="J71" s="604"/>
      <c r="K71" s="1000"/>
      <c r="L71" s="1003"/>
      <c r="M71" s="604"/>
      <c r="N71" s="604"/>
      <c r="O71" s="604"/>
      <c r="P71" s="1000">
        <v>25373.6376622321</v>
      </c>
      <c r="Q71" s="600">
        <v>29579.116624166047</v>
      </c>
      <c r="R71" s="600">
        <v>33026.854764838521</v>
      </c>
      <c r="S71" s="600">
        <v>36429.967732197671</v>
      </c>
      <c r="T71" s="600">
        <v>37692.012739841484</v>
      </c>
      <c r="U71" s="600">
        <v>39893.467945362529</v>
      </c>
      <c r="V71" s="600">
        <v>43428.209353547798</v>
      </c>
      <c r="W71" s="600">
        <v>51084.410209463662</v>
      </c>
      <c r="X71" s="600">
        <v>55614.443208315366</v>
      </c>
      <c r="Y71" s="600">
        <v>51004.058198071609</v>
      </c>
      <c r="Z71" s="600">
        <v>47939.989850343896</v>
      </c>
      <c r="AA71" s="600">
        <v>49807.295945326085</v>
      </c>
      <c r="AB71" s="600">
        <v>55849.365449233905</v>
      </c>
      <c r="AC71" s="1097">
        <v>56407.972808720311</v>
      </c>
    </row>
    <row r="72" spans="1:29">
      <c r="A72" s="1095" t="s">
        <v>686</v>
      </c>
      <c r="B72" s="1020" t="s">
        <v>670</v>
      </c>
      <c r="C72" s="1021" t="s">
        <v>185</v>
      </c>
      <c r="D72" s="1021" t="s">
        <v>112</v>
      </c>
      <c r="E72" s="1031" t="s">
        <v>687</v>
      </c>
      <c r="F72" s="1000"/>
      <c r="G72" s="1003"/>
      <c r="H72" s="604"/>
      <c r="I72" s="604"/>
      <c r="J72" s="604"/>
      <c r="K72" s="1000"/>
      <c r="L72" s="1003"/>
      <c r="M72" s="604"/>
      <c r="N72" s="604"/>
      <c r="O72" s="604"/>
      <c r="P72" s="1000">
        <v>10943.172179289846</v>
      </c>
      <c r="Q72" s="600">
        <v>16681.248122775789</v>
      </c>
      <c r="R72" s="600">
        <v>23917.62914787608</v>
      </c>
      <c r="S72" s="600">
        <v>28496.565553332191</v>
      </c>
      <c r="T72" s="600">
        <v>31597.486471774442</v>
      </c>
      <c r="U72" s="600">
        <v>34844.500349116737</v>
      </c>
      <c r="V72" s="600">
        <v>36745.033261152246</v>
      </c>
      <c r="W72" s="600">
        <v>39685.116583550924</v>
      </c>
      <c r="X72" s="600">
        <v>45008.36847732083</v>
      </c>
      <c r="Y72" s="600">
        <v>42414.643961623326</v>
      </c>
      <c r="Z72" s="600">
        <v>36721.893465956149</v>
      </c>
      <c r="AA72" s="600">
        <v>31053.026313005001</v>
      </c>
      <c r="AB72" s="600">
        <v>23931.912859593613</v>
      </c>
      <c r="AC72" s="1097">
        <v>19788.967487971608</v>
      </c>
    </row>
    <row r="73" spans="1:29">
      <c r="A73" s="1095" t="s">
        <v>686</v>
      </c>
      <c r="B73" s="1020" t="s">
        <v>670</v>
      </c>
      <c r="C73" s="1021" t="s">
        <v>187</v>
      </c>
      <c r="D73" s="1021" t="s">
        <v>112</v>
      </c>
      <c r="E73" s="1031" t="s">
        <v>688</v>
      </c>
      <c r="F73" s="1000"/>
      <c r="G73" s="1003"/>
      <c r="H73" s="604"/>
      <c r="I73" s="604"/>
      <c r="J73" s="604"/>
      <c r="K73" s="1000"/>
      <c r="L73" s="1003"/>
      <c r="M73" s="604"/>
      <c r="N73" s="604"/>
      <c r="O73" s="604"/>
      <c r="P73" s="1000">
        <v>26246.490797812883</v>
      </c>
      <c r="Q73" s="600">
        <v>30596.638236037357</v>
      </c>
      <c r="R73" s="600">
        <v>34162.978568748964</v>
      </c>
      <c r="S73" s="600">
        <v>37683.15862218527</v>
      </c>
      <c r="T73" s="600">
        <v>38988.617978092028</v>
      </c>
      <c r="U73" s="600">
        <v>41265.803242682996</v>
      </c>
      <c r="V73" s="600">
        <v>44922.139755309843</v>
      </c>
      <c r="W73" s="600">
        <v>52841.713920669208</v>
      </c>
      <c r="X73" s="600">
        <v>57527.580054681413</v>
      </c>
      <c r="Y73" s="600">
        <v>52758.59780008527</v>
      </c>
      <c r="Z73" s="600">
        <v>49589.125501195726</v>
      </c>
      <c r="AA73" s="600">
        <v>51520.666925845304</v>
      </c>
      <c r="AB73" s="600">
        <v>57770.583620687554</v>
      </c>
      <c r="AC73" s="1097">
        <v>58348.407073340291</v>
      </c>
    </row>
    <row r="74" spans="1:29">
      <c r="A74" s="1095" t="s">
        <v>686</v>
      </c>
      <c r="B74" s="1020" t="s">
        <v>670</v>
      </c>
      <c r="C74" s="1021" t="s">
        <v>185</v>
      </c>
      <c r="D74" s="1021" t="s">
        <v>112</v>
      </c>
      <c r="E74" s="1031" t="s">
        <v>688</v>
      </c>
      <c r="F74" s="1000"/>
      <c r="G74" s="1003"/>
      <c r="H74" s="604"/>
      <c r="I74" s="604"/>
      <c r="J74" s="604"/>
      <c r="K74" s="1000"/>
      <c r="L74" s="1003"/>
      <c r="M74" s="604"/>
      <c r="N74" s="604"/>
      <c r="O74" s="604"/>
      <c r="P74" s="1000">
        <v>11654.478370943685</v>
      </c>
      <c r="Q74" s="600">
        <v>17765.529250756215</v>
      </c>
      <c r="R74" s="600">
        <v>25472.275042488025</v>
      </c>
      <c r="S74" s="600">
        <v>30348.842314298781</v>
      </c>
      <c r="T74" s="600">
        <v>33651.323092439779</v>
      </c>
      <c r="U74" s="600">
        <v>37109.392871809323</v>
      </c>
      <c r="V74" s="600">
        <v>39133.460423127137</v>
      </c>
      <c r="W74" s="600">
        <v>42264.649161481735</v>
      </c>
      <c r="X74" s="600">
        <v>47933.912428346681</v>
      </c>
      <c r="Y74" s="600">
        <v>45171.595819128837</v>
      </c>
      <c r="Z74" s="600">
        <v>39108.816541243294</v>
      </c>
      <c r="AA74" s="600">
        <v>33071.473023350321</v>
      </c>
      <c r="AB74" s="600">
        <v>25487.487195467194</v>
      </c>
      <c r="AC74" s="1097">
        <v>21075.25037468976</v>
      </c>
    </row>
    <row r="75" spans="1:29">
      <c r="A75" s="1095" t="s">
        <v>686</v>
      </c>
      <c r="B75" s="1020" t="s">
        <v>670</v>
      </c>
      <c r="C75" s="1021" t="s">
        <v>187</v>
      </c>
      <c r="D75" s="1021" t="s">
        <v>112</v>
      </c>
      <c r="E75" s="1031" t="s">
        <v>684</v>
      </c>
      <c r="F75" s="1000">
        <v>8.2565000000000008</v>
      </c>
      <c r="G75" s="1006">
        <v>10.188499999999999</v>
      </c>
      <c r="H75" s="610">
        <v>11.781000000000001</v>
      </c>
      <c r="I75" s="610">
        <v>13.027000000000001</v>
      </c>
      <c r="J75" s="610">
        <v>15.204000000000001</v>
      </c>
      <c r="K75" s="1007">
        <v>17.556000000000001</v>
      </c>
      <c r="L75" s="1006">
        <v>19.782</v>
      </c>
      <c r="M75" s="610">
        <v>22.060500000000001</v>
      </c>
      <c r="N75" s="610">
        <v>25.452000000000002</v>
      </c>
      <c r="O75" s="610">
        <v>29.554000000000002</v>
      </c>
      <c r="P75" s="1007">
        <v>26.246490797812882</v>
      </c>
      <c r="Q75" s="600">
        <v>30.596638236037357</v>
      </c>
      <c r="R75" s="600">
        <v>34.162978568748962</v>
      </c>
      <c r="S75" s="600">
        <v>37.683158622185267</v>
      </c>
      <c r="T75" s="600">
        <v>38.98861797809203</v>
      </c>
      <c r="U75" s="600">
        <v>41.265803242682999</v>
      </c>
      <c r="V75" s="600">
        <v>44.922139755309843</v>
      </c>
      <c r="W75" s="600">
        <v>52.841713920669207</v>
      </c>
      <c r="X75" s="600">
        <v>57.527580054681415</v>
      </c>
      <c r="Y75" s="600">
        <v>52.758597800085269</v>
      </c>
      <c r="Z75" s="600">
        <v>49.589125501195724</v>
      </c>
      <c r="AA75" s="600">
        <v>51.520666925845305</v>
      </c>
      <c r="AB75" s="600">
        <v>57.770583620687553</v>
      </c>
      <c r="AC75" s="1097">
        <v>58.34840707334029</v>
      </c>
    </row>
    <row r="76" spans="1:29">
      <c r="A76" s="1095" t="s">
        <v>686</v>
      </c>
      <c r="B76" s="1020" t="s">
        <v>670</v>
      </c>
      <c r="C76" s="1021" t="s">
        <v>185</v>
      </c>
      <c r="D76" s="1021" t="s">
        <v>112</v>
      </c>
      <c r="E76" s="1031" t="s">
        <v>684</v>
      </c>
      <c r="F76" s="1000">
        <v>8.4735999999999994</v>
      </c>
      <c r="G76" s="1006">
        <v>7.9307600000000003</v>
      </c>
      <c r="H76" s="610">
        <v>7.5832100000000002</v>
      </c>
      <c r="I76" s="610">
        <v>7.8314599999999999</v>
      </c>
      <c r="J76" s="610">
        <v>8.3709900000000008</v>
      </c>
      <c r="K76" s="1007">
        <v>10.01275</v>
      </c>
      <c r="L76" s="1006">
        <v>11.69754</v>
      </c>
      <c r="M76" s="610">
        <v>13.243309999999999</v>
      </c>
      <c r="N76" s="610">
        <v>13.06457</v>
      </c>
      <c r="O76" s="610">
        <v>15.292199999999999</v>
      </c>
      <c r="P76" s="1007">
        <v>11.654478370943686</v>
      </c>
      <c r="Q76" s="600">
        <v>17.765529250756217</v>
      </c>
      <c r="R76" s="600">
        <v>25.472275042488025</v>
      </c>
      <c r="S76" s="600">
        <v>30.348842314298782</v>
      </c>
      <c r="T76" s="600">
        <v>33.651323092439782</v>
      </c>
      <c r="U76" s="600">
        <v>37.10939287180932</v>
      </c>
      <c r="V76" s="600">
        <v>39.13346042312714</v>
      </c>
      <c r="W76" s="600">
        <v>42.264649161481735</v>
      </c>
      <c r="X76" s="600">
        <v>47.93391242834668</v>
      </c>
      <c r="Y76" s="600">
        <v>45.171595819128839</v>
      </c>
      <c r="Z76" s="600">
        <v>39.108816541243293</v>
      </c>
      <c r="AA76" s="600">
        <v>33.071473023350322</v>
      </c>
      <c r="AB76" s="600">
        <v>25.487487195467196</v>
      </c>
      <c r="AC76" s="1097">
        <v>21.075250374689759</v>
      </c>
    </row>
    <row r="77" spans="1:29" ht="15.75" thickBot="1">
      <c r="A77" s="1098" t="s">
        <v>686</v>
      </c>
      <c r="B77" s="1099" t="s">
        <v>670</v>
      </c>
      <c r="C77" s="1100" t="s">
        <v>661</v>
      </c>
      <c r="D77" s="1100" t="s">
        <v>112</v>
      </c>
      <c r="E77" s="1101" t="s">
        <v>684</v>
      </c>
      <c r="F77" s="1102">
        <v>16.7301</v>
      </c>
      <c r="G77" s="1103">
        <v>18.119260000000001</v>
      </c>
      <c r="H77" s="1104">
        <v>19.36421</v>
      </c>
      <c r="I77" s="1104">
        <v>20.858460000000001</v>
      </c>
      <c r="J77" s="1104">
        <v>23.57499</v>
      </c>
      <c r="K77" s="1105">
        <v>27.568750000000001</v>
      </c>
      <c r="L77" s="1103">
        <v>31.47954</v>
      </c>
      <c r="M77" s="1104">
        <v>35.303809999999999</v>
      </c>
      <c r="N77" s="1104">
        <v>38.516570000000002</v>
      </c>
      <c r="O77" s="1104">
        <v>44.846200000000003</v>
      </c>
      <c r="P77" s="1105">
        <v>37.900969168756568</v>
      </c>
      <c r="Q77" s="1106">
        <v>48.362167486793574</v>
      </c>
      <c r="R77" s="1106">
        <v>59.63525361123699</v>
      </c>
      <c r="S77" s="1106">
        <v>68.032000936484053</v>
      </c>
      <c r="T77" s="1106">
        <v>72.639941070531819</v>
      </c>
      <c r="U77" s="1106">
        <v>78.375196114492326</v>
      </c>
      <c r="V77" s="1106">
        <v>84.055600178436976</v>
      </c>
      <c r="W77" s="1106">
        <v>95.106363082150949</v>
      </c>
      <c r="X77" s="1106">
        <v>105.4614924830281</v>
      </c>
      <c r="Y77" s="1106">
        <v>97.930193619214108</v>
      </c>
      <c r="Z77" s="1106">
        <v>88.697942042439024</v>
      </c>
      <c r="AA77" s="1106">
        <v>84.592139949195627</v>
      </c>
      <c r="AB77" s="1106">
        <v>83.258070816154742</v>
      </c>
      <c r="AC77" s="1107">
        <v>79.423657448030042</v>
      </c>
    </row>
  </sheetData>
  <mergeCells count="2">
    <mergeCell ref="A2:AC2"/>
    <mergeCell ref="A36:AC36"/>
  </mergeCells>
  <pageMargins left="0.7" right="0.7" top="0.75" bottom="0.75" header="0.3" footer="0.3"/>
  <pageSetup paperSize="9"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FF0000"/>
  </sheetPr>
  <dimension ref="A1:AN110"/>
  <sheetViews>
    <sheetView workbookViewId="0">
      <selection activeCell="C52" sqref="C52"/>
    </sheetView>
  </sheetViews>
  <sheetFormatPr defaultRowHeight="15"/>
  <cols>
    <col min="1" max="1" width="15.7109375" customWidth="1"/>
    <col min="2" max="2" width="13.42578125" bestFit="1" customWidth="1"/>
    <col min="3" max="3" width="16.5703125" bestFit="1" customWidth="1"/>
    <col min="4" max="4" width="16" bestFit="1" customWidth="1"/>
    <col min="5" max="5" width="16.7109375" bestFit="1" customWidth="1"/>
    <col min="6" max="6" width="16" bestFit="1" customWidth="1"/>
    <col min="7" max="9" width="15.140625" bestFit="1" customWidth="1"/>
    <col min="10" max="11" width="14.85546875" bestFit="1" customWidth="1"/>
    <col min="12" max="12" width="15.7109375" bestFit="1" customWidth="1"/>
    <col min="13" max="21" width="14.85546875" bestFit="1" customWidth="1"/>
    <col min="22" max="22" width="8.28515625" bestFit="1" customWidth="1"/>
  </cols>
  <sheetData>
    <row r="1" spans="1:40" ht="15.75" thickBot="1">
      <c r="A1" s="798" t="s">
        <v>89</v>
      </c>
      <c r="B1" s="803">
        <v>2012</v>
      </c>
      <c r="C1" s="803">
        <v>2013</v>
      </c>
      <c r="D1" s="803">
        <v>2014</v>
      </c>
      <c r="E1" s="803">
        <v>2015</v>
      </c>
      <c r="F1" s="803">
        <v>2016</v>
      </c>
      <c r="G1" s="803">
        <v>2017</v>
      </c>
      <c r="H1" s="803">
        <v>2018</v>
      </c>
      <c r="I1" s="803">
        <v>2019</v>
      </c>
      <c r="J1" s="803">
        <v>2020</v>
      </c>
      <c r="K1" s="803">
        <v>2021</v>
      </c>
      <c r="L1" s="803">
        <v>2022</v>
      </c>
      <c r="M1" s="803">
        <v>2023</v>
      </c>
      <c r="N1" s="803">
        <v>2024</v>
      </c>
      <c r="O1" s="803">
        <v>2025</v>
      </c>
      <c r="P1" s="803">
        <v>2026</v>
      </c>
      <c r="Q1" s="803">
        <v>2027</v>
      </c>
      <c r="R1" s="803">
        <v>2028</v>
      </c>
      <c r="S1" s="803">
        <v>2029</v>
      </c>
      <c r="T1" s="803">
        <v>2030</v>
      </c>
      <c r="U1" s="803">
        <v>2031</v>
      </c>
      <c r="V1" s="803">
        <v>2032</v>
      </c>
      <c r="W1" s="803">
        <v>2033</v>
      </c>
      <c r="X1" s="803">
        <v>2034</v>
      </c>
      <c r="Y1" s="803">
        <v>2035</v>
      </c>
      <c r="Z1" s="803">
        <v>2036</v>
      </c>
      <c r="AA1" s="803">
        <v>2037</v>
      </c>
      <c r="AB1" s="803">
        <v>2038</v>
      </c>
      <c r="AC1" s="803">
        <v>2039</v>
      </c>
      <c r="AD1" s="804">
        <v>2040</v>
      </c>
      <c r="AE1" s="650"/>
      <c r="AF1" s="650"/>
      <c r="AG1" s="650"/>
      <c r="AH1" s="650"/>
      <c r="AI1" s="650"/>
      <c r="AJ1" s="650"/>
      <c r="AK1" s="650"/>
      <c r="AL1" s="650"/>
      <c r="AM1" s="650"/>
      <c r="AN1" s="650"/>
    </row>
    <row r="2" spans="1:40">
      <c r="A2" s="801" t="s">
        <v>185</v>
      </c>
      <c r="B2" s="800">
        <f>'PUB PSV'!AB3</f>
        <v>7992</v>
      </c>
      <c r="C2" s="292">
        <f>D52</f>
        <v>6369</v>
      </c>
      <c r="D2" s="292">
        <f t="shared" ref="D2:AD2" si="0">E52</f>
        <v>5235</v>
      </c>
      <c r="E2" s="292">
        <f t="shared" si="0"/>
        <v>4332</v>
      </c>
      <c r="F2" s="292">
        <f t="shared" si="0"/>
        <v>3528</v>
      </c>
      <c r="G2" s="292">
        <f t="shared" si="0"/>
        <v>2768</v>
      </c>
      <c r="H2" s="292">
        <f t="shared" si="0"/>
        <v>2058</v>
      </c>
      <c r="I2" s="292">
        <f t="shared" si="0"/>
        <v>1440</v>
      </c>
      <c r="J2" s="292">
        <f t="shared" si="0"/>
        <v>946</v>
      </c>
      <c r="K2" s="292">
        <f t="shared" si="0"/>
        <v>587</v>
      </c>
      <c r="L2" s="292">
        <f t="shared" si="0"/>
        <v>346</v>
      </c>
      <c r="M2" s="292">
        <f t="shared" si="0"/>
        <v>191</v>
      </c>
      <c r="N2" s="292">
        <f t="shared" si="0"/>
        <v>94</v>
      </c>
      <c r="O2" s="292">
        <f t="shared" si="0"/>
        <v>40</v>
      </c>
      <c r="P2" s="292">
        <f t="shared" si="0"/>
        <v>13</v>
      </c>
      <c r="Q2" s="292">
        <f t="shared" si="0"/>
        <v>4</v>
      </c>
      <c r="R2" s="292">
        <f t="shared" si="0"/>
        <v>1</v>
      </c>
      <c r="S2" s="292">
        <f t="shared" si="0"/>
        <v>0</v>
      </c>
      <c r="T2" s="292">
        <f t="shared" si="0"/>
        <v>0</v>
      </c>
      <c r="U2" s="292">
        <f t="shared" si="0"/>
        <v>0</v>
      </c>
      <c r="V2" s="292">
        <f t="shared" si="0"/>
        <v>0</v>
      </c>
      <c r="W2" s="292">
        <f t="shared" si="0"/>
        <v>0</v>
      </c>
      <c r="X2" s="292">
        <f t="shared" si="0"/>
        <v>0</v>
      </c>
      <c r="Y2" s="292">
        <f t="shared" si="0"/>
        <v>0</v>
      </c>
      <c r="Z2" s="292">
        <f t="shared" si="0"/>
        <v>0</v>
      </c>
      <c r="AA2" s="292">
        <f t="shared" si="0"/>
        <v>0</v>
      </c>
      <c r="AB2" s="292">
        <f t="shared" si="0"/>
        <v>0</v>
      </c>
      <c r="AC2" s="292">
        <f t="shared" si="0"/>
        <v>0</v>
      </c>
      <c r="AD2" s="293">
        <f t="shared" si="0"/>
        <v>0</v>
      </c>
      <c r="AE2" s="386"/>
      <c r="AF2" s="386"/>
      <c r="AG2" s="386"/>
      <c r="AH2" s="386"/>
      <c r="AI2" s="386"/>
    </row>
    <row r="3" spans="1:40" ht="15.75" thickBot="1">
      <c r="A3" s="802" t="s">
        <v>187</v>
      </c>
      <c r="B3" s="799">
        <f>'PUB PSV'!AB4</f>
        <v>16061</v>
      </c>
      <c r="C3" s="796">
        <f>D81</f>
        <v>15541</v>
      </c>
      <c r="D3" s="796">
        <f t="shared" ref="D3:AD3" si="1">E81</f>
        <v>15052</v>
      </c>
      <c r="E3" s="796">
        <f t="shared" si="1"/>
        <v>14480</v>
      </c>
      <c r="F3" s="796">
        <f t="shared" si="1"/>
        <v>13771</v>
      </c>
      <c r="G3" s="796">
        <f t="shared" si="1"/>
        <v>12898</v>
      </c>
      <c r="H3" s="796">
        <f t="shared" si="1"/>
        <v>11848</v>
      </c>
      <c r="I3" s="796">
        <f t="shared" si="1"/>
        <v>10616</v>
      </c>
      <c r="J3" s="796">
        <f t="shared" si="1"/>
        <v>9218</v>
      </c>
      <c r="K3" s="796">
        <f t="shared" si="1"/>
        <v>7671</v>
      </c>
      <c r="L3" s="796">
        <f t="shared" si="1"/>
        <v>6097</v>
      </c>
      <c r="M3" s="796">
        <f t="shared" si="1"/>
        <v>4537</v>
      </c>
      <c r="N3" s="796">
        <f t="shared" si="1"/>
        <v>3012</v>
      </c>
      <c r="O3" s="796">
        <f t="shared" si="1"/>
        <v>1651</v>
      </c>
      <c r="P3" s="796">
        <f t="shared" si="1"/>
        <v>716</v>
      </c>
      <c r="Q3" s="796">
        <f t="shared" si="1"/>
        <v>247</v>
      </c>
      <c r="R3" s="796">
        <f t="shared" si="1"/>
        <v>77</v>
      </c>
      <c r="S3" s="796">
        <f t="shared" si="1"/>
        <v>21</v>
      </c>
      <c r="T3" s="796">
        <f t="shared" si="1"/>
        <v>5</v>
      </c>
      <c r="U3" s="796">
        <f t="shared" si="1"/>
        <v>1</v>
      </c>
      <c r="V3" s="796">
        <f t="shared" si="1"/>
        <v>0</v>
      </c>
      <c r="W3" s="796">
        <f t="shared" si="1"/>
        <v>0</v>
      </c>
      <c r="X3" s="796">
        <f t="shared" si="1"/>
        <v>0</v>
      </c>
      <c r="Y3" s="796">
        <f t="shared" si="1"/>
        <v>0</v>
      </c>
      <c r="Z3" s="796">
        <f t="shared" si="1"/>
        <v>0</v>
      </c>
      <c r="AA3" s="796">
        <f t="shared" si="1"/>
        <v>0</v>
      </c>
      <c r="AB3" s="796">
        <f t="shared" si="1"/>
        <v>0</v>
      </c>
      <c r="AC3" s="796">
        <f t="shared" si="1"/>
        <v>0</v>
      </c>
      <c r="AD3" s="797">
        <f t="shared" si="1"/>
        <v>0</v>
      </c>
      <c r="AE3" s="386"/>
      <c r="AF3" s="386"/>
      <c r="AG3" s="386"/>
      <c r="AH3" s="386"/>
      <c r="AI3" s="386"/>
    </row>
    <row r="4" spans="1:40" ht="15.75" thickBot="1"/>
    <row r="5" spans="1:40" ht="15.75" thickBot="1">
      <c r="A5" s="798" t="s">
        <v>929</v>
      </c>
      <c r="B5" s="803">
        <v>2012</v>
      </c>
      <c r="C5" s="803">
        <v>2013</v>
      </c>
      <c r="D5" s="803">
        <v>2014</v>
      </c>
      <c r="E5" s="803">
        <v>2015</v>
      </c>
      <c r="F5" s="803">
        <v>2016</v>
      </c>
      <c r="G5" s="803">
        <v>2017</v>
      </c>
      <c r="H5" s="803">
        <v>2018</v>
      </c>
      <c r="I5" s="803">
        <v>2019</v>
      </c>
      <c r="J5" s="803">
        <v>2020</v>
      </c>
      <c r="K5" s="803">
        <v>2021</v>
      </c>
      <c r="L5" s="803">
        <v>2022</v>
      </c>
      <c r="M5" s="803">
        <v>2023</v>
      </c>
      <c r="N5" s="803">
        <v>2024</v>
      </c>
      <c r="O5" s="803">
        <v>2025</v>
      </c>
      <c r="P5" s="803">
        <v>2026</v>
      </c>
      <c r="Q5" s="803">
        <v>2027</v>
      </c>
      <c r="R5" s="803">
        <v>2028</v>
      </c>
      <c r="S5" s="803">
        <v>2029</v>
      </c>
      <c r="T5" s="803">
        <v>2030</v>
      </c>
      <c r="U5" s="803">
        <v>2031</v>
      </c>
      <c r="V5" s="803">
        <v>2032</v>
      </c>
      <c r="W5" s="803">
        <v>2033</v>
      </c>
      <c r="X5" s="803">
        <v>2034</v>
      </c>
      <c r="Y5" s="803">
        <v>2035</v>
      </c>
      <c r="Z5" s="803">
        <v>2036</v>
      </c>
      <c r="AA5" s="803">
        <v>2037</v>
      </c>
      <c r="AB5" s="803">
        <v>2038</v>
      </c>
      <c r="AC5" s="803">
        <v>2039</v>
      </c>
      <c r="AD5" s="804">
        <v>2040</v>
      </c>
    </row>
    <row r="6" spans="1:40">
      <c r="A6" s="801" t="s">
        <v>185</v>
      </c>
      <c r="B6" s="800">
        <f>'PUB PSV'!$AB$40*B2</f>
        <v>298145760.11647558</v>
      </c>
      <c r="C6" s="292">
        <f>'PUB PSV'!$AB$40*C2</f>
        <v>237598892.16489401</v>
      </c>
      <c r="D6" s="292">
        <f>'PUB PSV'!$AB$40*D2</f>
        <v>195294426.20242113</v>
      </c>
      <c r="E6" s="292">
        <f>'PUB PSV'!$AB$40*E2</f>
        <v>161607536.63971123</v>
      </c>
      <c r="F6" s="292">
        <f>'PUB PSV'!$AB$40*F2</f>
        <v>131613894.10547119</v>
      </c>
      <c r="G6" s="292">
        <f>'PUB PSV'!$AB$40*G2</f>
        <v>103261694.69499554</v>
      </c>
      <c r="H6" s="292">
        <f>'PUB PSV'!$AB$40*H2</f>
        <v>76774771.561524868</v>
      </c>
      <c r="I6" s="292">
        <f>'PUB PSV'!$AB$40*I2</f>
        <v>53719956.777743347</v>
      </c>
      <c r="J6" s="292">
        <f>'PUB PSV'!$AB$40*J2</f>
        <v>35291027.160934173</v>
      </c>
      <c r="K6" s="292">
        <f>'PUB PSV'!$AB$40*K2</f>
        <v>21898343.492038433</v>
      </c>
      <c r="L6" s="292">
        <f>'PUB PSV'!$AB$40*L2</f>
        <v>12907711.836874442</v>
      </c>
      <c r="M6" s="292">
        <f>'PUB PSV'!$AB$40*M2</f>
        <v>7125355.3781590126</v>
      </c>
      <c r="N6" s="292">
        <f>'PUB PSV'!$AB$40*N2</f>
        <v>3506719.4007693571</v>
      </c>
      <c r="O6" s="292">
        <f>'PUB PSV'!$AB$40*O2</f>
        <v>1492221.0216039817</v>
      </c>
      <c r="P6" s="292">
        <f>'PUB PSV'!$AB$40*P2</f>
        <v>484971.8320212941</v>
      </c>
      <c r="Q6" s="292">
        <f>'PUB PSV'!$AB$40*Q2</f>
        <v>149222.10216039818</v>
      </c>
      <c r="R6" s="292">
        <f>'PUB PSV'!$AB$40*R2</f>
        <v>37305.525540099545</v>
      </c>
      <c r="S6" s="292">
        <f>'PUB PSV'!$AB$40*S2</f>
        <v>0</v>
      </c>
      <c r="T6" s="292">
        <f>'PUB PSV'!$AB$40*T2</f>
        <v>0</v>
      </c>
      <c r="U6" s="292">
        <f>'PUB PSV'!$AB$40*U2</f>
        <v>0</v>
      </c>
      <c r="V6" s="292"/>
      <c r="W6" s="292"/>
      <c r="X6" s="292"/>
      <c r="Y6" s="292"/>
      <c r="Z6" s="292"/>
      <c r="AA6" s="292"/>
      <c r="AB6" s="292"/>
      <c r="AC6" s="292"/>
      <c r="AD6" s="293"/>
    </row>
    <row r="7" spans="1:40" ht="15.75" thickBot="1">
      <c r="A7" s="802" t="s">
        <v>187</v>
      </c>
      <c r="B7" s="799">
        <f>'PUB PSV'!$AB$39*B3</f>
        <v>750720570.62732196</v>
      </c>
      <c r="C7" s="796">
        <f>'PUB PSV'!$AB$39*C3</f>
        <v>726414817.7647227</v>
      </c>
      <c r="D7" s="796">
        <f>'PUB PSV'!$AB$39*D3</f>
        <v>703558061.70739365</v>
      </c>
      <c r="E7" s="796">
        <f>'PUB PSV'!$AB$39*E3</f>
        <v>676821733.5585345</v>
      </c>
      <c r="F7" s="796">
        <f>'PUB PSV'!$AB$39*F3</f>
        <v>643681774.36702883</v>
      </c>
      <c r="G7" s="796">
        <f>'PUB PSV'!$AB$39*G3</f>
        <v>602876154.65731883</v>
      </c>
      <c r="H7" s="796">
        <f>'PUB PSV'!$AB$39*H3</f>
        <v>553797230.60783947</v>
      </c>
      <c r="I7" s="796">
        <f>'PUB PSV'!$AB$39*I3</f>
        <v>496211293.05645043</v>
      </c>
      <c r="J7" s="796">
        <f>'PUB PSV'!$AB$39*J3</f>
        <v>430866211.32200074</v>
      </c>
      <c r="K7" s="796">
        <f>'PUB PSV'!$AB$39*K3</f>
        <v>358556596.55576783</v>
      </c>
      <c r="L7" s="796">
        <f>'PUB PSV'!$AB$39*L3</f>
        <v>284984952.31397682</v>
      </c>
      <c r="M7" s="796">
        <f>'PUB PSV'!$AB$39*M3</f>
        <v>212067693.72617891</v>
      </c>
      <c r="N7" s="796">
        <f>'PUB PSV'!$AB$39*N3</f>
        <v>140786399.27336365</v>
      </c>
      <c r="O7" s="796">
        <f>'PUB PSV'!$AB$39*O3</f>
        <v>77170765.338752791</v>
      </c>
      <c r="P7" s="796">
        <f>'PUB PSV'!$AB$39*P3</f>
        <v>33467152.01850212</v>
      </c>
      <c r="Q7" s="796">
        <f>'PUB PSV'!$AB$39*Q3</f>
        <v>11545232.609734669</v>
      </c>
      <c r="R7" s="796">
        <f>'PUB PSV'!$AB$39*R3</f>
        <v>3599121.09696182</v>
      </c>
      <c r="S7" s="796">
        <f>'PUB PSV'!$AB$39*S3</f>
        <v>981578.48098958726</v>
      </c>
      <c r="T7" s="796">
        <f>'PUB PSV'!$AB$39*T3</f>
        <v>233709.16214037791</v>
      </c>
      <c r="U7" s="796">
        <f>'PUB PSV'!$AB$39*U3</f>
        <v>46741.832428075584</v>
      </c>
      <c r="V7" s="796"/>
      <c r="W7" s="796"/>
      <c r="X7" s="796"/>
      <c r="Y7" s="796"/>
      <c r="Z7" s="796"/>
      <c r="AA7" s="796"/>
      <c r="AB7" s="796"/>
      <c r="AC7" s="796"/>
      <c r="AD7" s="797"/>
    </row>
    <row r="8" spans="1:40" ht="15.75" thickBot="1"/>
    <row r="9" spans="1:40" ht="15.75" thickBot="1">
      <c r="A9" s="798" t="s">
        <v>930</v>
      </c>
      <c r="B9" s="803">
        <v>2012</v>
      </c>
      <c r="C9" s="803">
        <v>2013</v>
      </c>
      <c r="D9" s="803">
        <v>2014</v>
      </c>
      <c r="E9" s="803">
        <v>2015</v>
      </c>
      <c r="F9" s="803">
        <v>2016</v>
      </c>
      <c r="G9" s="803">
        <v>2017</v>
      </c>
      <c r="H9" s="803">
        <v>2018</v>
      </c>
      <c r="I9" s="803">
        <v>2019</v>
      </c>
      <c r="J9" s="803">
        <v>2020</v>
      </c>
      <c r="K9" s="803">
        <v>2021</v>
      </c>
      <c r="L9" s="803">
        <v>2022</v>
      </c>
      <c r="M9" s="803">
        <v>2023</v>
      </c>
      <c r="N9" s="803">
        <v>2024</v>
      </c>
      <c r="O9" s="803">
        <v>2025</v>
      </c>
      <c r="P9" s="803">
        <v>2026</v>
      </c>
      <c r="Q9" s="803">
        <v>2027</v>
      </c>
      <c r="R9" s="803">
        <v>2028</v>
      </c>
      <c r="S9" s="803">
        <v>2029</v>
      </c>
      <c r="T9" s="803">
        <v>2030</v>
      </c>
      <c r="U9" s="803">
        <v>2031</v>
      </c>
      <c r="V9" s="803">
        <v>2032</v>
      </c>
      <c r="W9" s="803">
        <v>2033</v>
      </c>
      <c r="X9" s="803">
        <v>2034</v>
      </c>
      <c r="Y9" s="803">
        <v>2035</v>
      </c>
      <c r="Z9" s="803">
        <v>2036</v>
      </c>
      <c r="AA9" s="803">
        <v>2037</v>
      </c>
      <c r="AB9" s="803">
        <v>2038</v>
      </c>
      <c r="AC9" s="803">
        <v>2039</v>
      </c>
      <c r="AD9" s="804">
        <v>2040</v>
      </c>
    </row>
    <row r="10" spans="1:40">
      <c r="A10" s="801" t="s">
        <v>185</v>
      </c>
      <c r="B10" s="800">
        <f>B6*CAR!$I$58</f>
        <v>444836909.57700366</v>
      </c>
      <c r="C10" s="292">
        <f>C6*CAR!$I$58</f>
        <v>354500284.92191392</v>
      </c>
      <c r="D10" s="292">
        <f>D6*CAR!$I$58</f>
        <v>291381534.23869044</v>
      </c>
      <c r="E10" s="292">
        <f>E6*CAR!$I$58</f>
        <v>241120306.84279025</v>
      </c>
      <c r="F10" s="292">
        <f>F6*CAR!$I$58</f>
        <v>196369446.57002863</v>
      </c>
      <c r="G10" s="292">
        <f>G6*CAR!$I$58</f>
        <v>154067638.35199526</v>
      </c>
      <c r="H10" s="292">
        <f>H6*CAR!$I$58</f>
        <v>114548843.83251671</v>
      </c>
      <c r="I10" s="292">
        <f>I6*CAR!$I$58</f>
        <v>80150794.518379033</v>
      </c>
      <c r="J10" s="292">
        <f>J6*CAR!$I$58</f>
        <v>52654619.176657341</v>
      </c>
      <c r="K10" s="292">
        <f>K6*CAR!$I$58</f>
        <v>32672580.821033675</v>
      </c>
      <c r="L10" s="292">
        <f>L6*CAR!$I$58</f>
        <v>19258454.793999407</v>
      </c>
      <c r="M10" s="292">
        <f>M6*CAR!$I$58</f>
        <v>10631112.328479441</v>
      </c>
      <c r="N10" s="292">
        <f>N6*CAR!$I$58</f>
        <v>5232065.753283076</v>
      </c>
      <c r="O10" s="292">
        <f>O6*CAR!$I$58</f>
        <v>2226410.9588438617</v>
      </c>
      <c r="P10" s="292">
        <f>P6*CAR!$I$58</f>
        <v>723583.56162425515</v>
      </c>
      <c r="Q10" s="292">
        <f>Q6*CAR!$I$58</f>
        <v>222641.09588438619</v>
      </c>
      <c r="R10" s="292">
        <f>R6*CAR!$I$58</f>
        <v>55660.273971096547</v>
      </c>
      <c r="S10" s="292">
        <f>S6*CAR!$I$58</f>
        <v>0</v>
      </c>
      <c r="T10" s="292">
        <f>T6*CAR!$I$58</f>
        <v>0</v>
      </c>
      <c r="U10" s="292">
        <f>U6*CAR!$I$58</f>
        <v>0</v>
      </c>
      <c r="V10" s="292"/>
      <c r="W10" s="292"/>
      <c r="X10" s="292"/>
      <c r="Y10" s="292"/>
      <c r="Z10" s="292"/>
      <c r="AA10" s="292"/>
      <c r="AB10" s="292"/>
      <c r="AC10" s="292"/>
      <c r="AD10" s="293"/>
    </row>
    <row r="11" spans="1:40" ht="15.75" thickBot="1">
      <c r="A11" s="802" t="s">
        <v>187</v>
      </c>
      <c r="B11" s="799">
        <f>B7*CAR!$I$58</f>
        <v>1120083741.8022654</v>
      </c>
      <c r="C11" s="796">
        <f>C7*CAR!$I$58</f>
        <v>1083819278.4601836</v>
      </c>
      <c r="D11" s="796">
        <f>D7*CAR!$I$58</f>
        <v>1049716735.0481102</v>
      </c>
      <c r="E11" s="796">
        <f>E7*CAR!$I$58</f>
        <v>1009825825.3718202</v>
      </c>
      <c r="F11" s="796">
        <f>F7*CAR!$I$58</f>
        <v>960380624.39194298</v>
      </c>
      <c r="G11" s="796">
        <f>G7*CAR!$I$58</f>
        <v>899498169.58879387</v>
      </c>
      <c r="H11" s="796">
        <f>H7*CAR!$I$58</f>
        <v>826271849.37882078</v>
      </c>
      <c r="I11" s="796">
        <f>I7*CAR!$I$58</f>
        <v>740352966.99911904</v>
      </c>
      <c r="J11" s="796">
        <f>J7*CAR!$I$58</f>
        <v>642857352.09098327</v>
      </c>
      <c r="K11" s="796">
        <f>K7*CAR!$I$58</f>
        <v>534970573.64828956</v>
      </c>
      <c r="L11" s="796">
        <f>L7*CAR!$I$58</f>
        <v>425200832.6859107</v>
      </c>
      <c r="M11" s="796">
        <f>M7*CAR!$I$58</f>
        <v>316407442.65966493</v>
      </c>
      <c r="N11" s="796">
        <f>N7*CAR!$I$58</f>
        <v>210054929.97375152</v>
      </c>
      <c r="O11" s="796">
        <f>O7*CAR!$I$58</f>
        <v>115139671.11111017</v>
      </c>
      <c r="P11" s="796">
        <f>P7*CAR!$I$58</f>
        <v>49933376.447943598</v>
      </c>
      <c r="Q11" s="796">
        <f>Q7*CAR!$I$58</f>
        <v>17225620.087488923</v>
      </c>
      <c r="R11" s="796">
        <f>R7*CAR!$I$58</f>
        <v>5369930.1487313639</v>
      </c>
      <c r="S11" s="796">
        <f>S7*CAR!$I$58</f>
        <v>1464526.4041994628</v>
      </c>
      <c r="T11" s="796">
        <f>T7*CAR!$I$58</f>
        <v>348696.762904634</v>
      </c>
      <c r="U11" s="796">
        <f>U7*CAR!$I$58</f>
        <v>69739.352580926803</v>
      </c>
      <c r="V11" s="796"/>
      <c r="W11" s="796"/>
      <c r="X11" s="796"/>
      <c r="Y11" s="796"/>
      <c r="Z11" s="796"/>
      <c r="AA11" s="796"/>
      <c r="AB11" s="796"/>
      <c r="AC11" s="796"/>
      <c r="AD11" s="797"/>
    </row>
    <row r="12" spans="1:40" ht="15.75" thickBot="1"/>
    <row r="13" spans="1:40" ht="15.75" thickBot="1">
      <c r="A13" s="798" t="s">
        <v>931</v>
      </c>
      <c r="B13" s="803">
        <v>2012</v>
      </c>
      <c r="C13" s="803">
        <v>2013</v>
      </c>
      <c r="D13" s="803">
        <v>2014</v>
      </c>
      <c r="E13" s="803">
        <v>2015</v>
      </c>
      <c r="F13" s="803">
        <v>2016</v>
      </c>
      <c r="G13" s="803">
        <v>2017</v>
      </c>
      <c r="H13" s="803">
        <v>2018</v>
      </c>
      <c r="I13" s="803">
        <v>2019</v>
      </c>
      <c r="J13" s="803">
        <v>2020</v>
      </c>
      <c r="K13" s="803">
        <v>2021</v>
      </c>
      <c r="L13" s="803">
        <v>2022</v>
      </c>
      <c r="M13" s="803">
        <v>2023</v>
      </c>
      <c r="N13" s="803">
        <v>2024</v>
      </c>
      <c r="O13" s="803">
        <v>2025</v>
      </c>
      <c r="P13" s="803">
        <v>2026</v>
      </c>
      <c r="Q13" s="803">
        <v>2027</v>
      </c>
      <c r="R13" s="803">
        <v>2028</v>
      </c>
      <c r="S13" s="803">
        <v>2029</v>
      </c>
      <c r="T13" s="803">
        <v>2030</v>
      </c>
      <c r="U13" s="803">
        <v>2031</v>
      </c>
      <c r="V13" s="803">
        <v>2032</v>
      </c>
      <c r="W13" s="803">
        <v>2033</v>
      </c>
      <c r="X13" s="803">
        <v>2034</v>
      </c>
      <c r="Y13" s="803">
        <v>2035</v>
      </c>
      <c r="Z13" s="803">
        <v>2036</v>
      </c>
      <c r="AA13" s="803">
        <v>2037</v>
      </c>
      <c r="AB13" s="803">
        <v>2038</v>
      </c>
      <c r="AC13" s="803">
        <v>2039</v>
      </c>
      <c r="AD13" s="804">
        <v>2040</v>
      </c>
    </row>
    <row r="14" spans="1:40">
      <c r="A14" s="801" t="s">
        <v>185</v>
      </c>
      <c r="B14" s="800">
        <f>('PUB PSV'!AB62/CAR!$I$58)/1.2</f>
        <v>5.9403390052012623</v>
      </c>
      <c r="C14" s="292">
        <f>B14</f>
        <v>5.9403390052012623</v>
      </c>
      <c r="D14" s="292">
        <f t="shared" ref="D14:U14" si="2">C14</f>
        <v>5.9403390052012623</v>
      </c>
      <c r="E14" s="292">
        <f t="shared" si="2"/>
        <v>5.9403390052012623</v>
      </c>
      <c r="F14" s="292">
        <f t="shared" si="2"/>
        <v>5.9403390052012623</v>
      </c>
      <c r="G14" s="292">
        <f t="shared" si="2"/>
        <v>5.9403390052012623</v>
      </c>
      <c r="H14" s="292">
        <f t="shared" si="2"/>
        <v>5.9403390052012623</v>
      </c>
      <c r="I14" s="292">
        <f t="shared" si="2"/>
        <v>5.9403390052012623</v>
      </c>
      <c r="J14" s="292">
        <f t="shared" si="2"/>
        <v>5.9403390052012623</v>
      </c>
      <c r="K14" s="292">
        <f t="shared" si="2"/>
        <v>5.9403390052012623</v>
      </c>
      <c r="L14" s="292">
        <f t="shared" si="2"/>
        <v>5.9403390052012623</v>
      </c>
      <c r="M14" s="292">
        <f t="shared" si="2"/>
        <v>5.9403390052012623</v>
      </c>
      <c r="N14" s="292">
        <f t="shared" si="2"/>
        <v>5.9403390052012623</v>
      </c>
      <c r="O14" s="292">
        <f t="shared" si="2"/>
        <v>5.9403390052012623</v>
      </c>
      <c r="P14" s="292">
        <f t="shared" si="2"/>
        <v>5.9403390052012623</v>
      </c>
      <c r="Q14" s="292">
        <f t="shared" si="2"/>
        <v>5.9403390052012623</v>
      </c>
      <c r="R14" s="292">
        <f t="shared" si="2"/>
        <v>5.9403390052012623</v>
      </c>
      <c r="S14" s="292">
        <f t="shared" si="2"/>
        <v>5.9403390052012623</v>
      </c>
      <c r="T14" s="292">
        <f t="shared" si="2"/>
        <v>5.9403390052012623</v>
      </c>
      <c r="U14" s="292">
        <f t="shared" si="2"/>
        <v>5.9403390052012623</v>
      </c>
      <c r="V14" s="292"/>
      <c r="W14" s="292"/>
      <c r="X14" s="292"/>
      <c r="Y14" s="292"/>
      <c r="Z14" s="292"/>
      <c r="AA14" s="292"/>
      <c r="AB14" s="292"/>
      <c r="AC14" s="292"/>
      <c r="AD14" s="293"/>
    </row>
    <row r="15" spans="1:40" ht="15.75" thickBot="1">
      <c r="A15" s="802" t="s">
        <v>187</v>
      </c>
      <c r="B15" s="799">
        <f>('PUB PSV'!AB61/CAR!$I$58)/1.2</f>
        <v>4.9155401556653864</v>
      </c>
      <c r="C15" s="796">
        <f>B15</f>
        <v>4.9155401556653864</v>
      </c>
      <c r="D15" s="796">
        <f t="shared" ref="D15:U15" si="3">C15</f>
        <v>4.9155401556653864</v>
      </c>
      <c r="E15" s="796">
        <f t="shared" si="3"/>
        <v>4.9155401556653864</v>
      </c>
      <c r="F15" s="796">
        <f t="shared" si="3"/>
        <v>4.9155401556653864</v>
      </c>
      <c r="G15" s="796">
        <f t="shared" si="3"/>
        <v>4.9155401556653864</v>
      </c>
      <c r="H15" s="796">
        <f t="shared" si="3"/>
        <v>4.9155401556653864</v>
      </c>
      <c r="I15" s="796">
        <f t="shared" si="3"/>
        <v>4.9155401556653864</v>
      </c>
      <c r="J15" s="796">
        <f t="shared" si="3"/>
        <v>4.9155401556653864</v>
      </c>
      <c r="K15" s="796">
        <f t="shared" si="3"/>
        <v>4.9155401556653864</v>
      </c>
      <c r="L15" s="796">
        <f t="shared" si="3"/>
        <v>4.9155401556653864</v>
      </c>
      <c r="M15" s="796">
        <f t="shared" si="3"/>
        <v>4.9155401556653864</v>
      </c>
      <c r="N15" s="796">
        <f t="shared" si="3"/>
        <v>4.9155401556653864</v>
      </c>
      <c r="O15" s="796">
        <f t="shared" si="3"/>
        <v>4.9155401556653864</v>
      </c>
      <c r="P15" s="796">
        <f t="shared" si="3"/>
        <v>4.9155401556653864</v>
      </c>
      <c r="Q15" s="796">
        <f t="shared" si="3"/>
        <v>4.9155401556653864</v>
      </c>
      <c r="R15" s="796">
        <f t="shared" si="3"/>
        <v>4.9155401556653864</v>
      </c>
      <c r="S15" s="796">
        <f t="shared" si="3"/>
        <v>4.9155401556653864</v>
      </c>
      <c r="T15" s="796">
        <f t="shared" si="3"/>
        <v>4.9155401556653864</v>
      </c>
      <c r="U15" s="796">
        <f t="shared" si="3"/>
        <v>4.9155401556653864</v>
      </c>
      <c r="V15" s="796"/>
      <c r="W15" s="796"/>
      <c r="X15" s="796"/>
      <c r="Y15" s="796"/>
      <c r="Z15" s="796"/>
      <c r="AA15" s="796"/>
      <c r="AB15" s="796"/>
      <c r="AC15" s="796"/>
      <c r="AD15" s="797"/>
    </row>
    <row r="16" spans="1:40" ht="15.75" thickBot="1"/>
    <row r="17" spans="1:31" ht="15.75" thickBot="1">
      <c r="A17" s="798" t="s">
        <v>629</v>
      </c>
      <c r="B17" s="803">
        <v>2012</v>
      </c>
      <c r="C17" s="803">
        <v>2013</v>
      </c>
      <c r="D17" s="803">
        <v>2014</v>
      </c>
      <c r="E17" s="803">
        <v>2015</v>
      </c>
      <c r="F17" s="803">
        <v>2016</v>
      </c>
      <c r="G17" s="803">
        <v>2017</v>
      </c>
      <c r="H17" s="803">
        <v>2018</v>
      </c>
      <c r="I17" s="803">
        <v>2019</v>
      </c>
      <c r="J17" s="803">
        <v>2020</v>
      </c>
      <c r="K17" s="803">
        <v>2021</v>
      </c>
      <c r="L17" s="803">
        <v>2022</v>
      </c>
      <c r="M17" s="803">
        <v>2023</v>
      </c>
      <c r="N17" s="803">
        <v>2024</v>
      </c>
      <c r="O17" s="803">
        <v>2025</v>
      </c>
      <c r="P17" s="803">
        <v>2026</v>
      </c>
      <c r="Q17" s="803">
        <v>2027</v>
      </c>
      <c r="R17" s="803">
        <v>2028</v>
      </c>
      <c r="S17" s="803">
        <v>2029</v>
      </c>
      <c r="T17" s="803">
        <v>2030</v>
      </c>
      <c r="U17" s="803">
        <v>2031</v>
      </c>
      <c r="V17" s="803">
        <v>2032</v>
      </c>
      <c r="W17" s="803">
        <v>2033</v>
      </c>
      <c r="X17" s="803">
        <v>2034</v>
      </c>
      <c r="Y17" s="803">
        <v>2035</v>
      </c>
      <c r="Z17" s="803">
        <v>2036</v>
      </c>
      <c r="AA17" s="803">
        <v>2037</v>
      </c>
      <c r="AB17" s="803">
        <v>2038</v>
      </c>
      <c r="AC17" s="803">
        <v>2039</v>
      </c>
      <c r="AD17" s="804">
        <v>2040</v>
      </c>
    </row>
    <row r="18" spans="1:31">
      <c r="A18" s="801" t="s">
        <v>185</v>
      </c>
      <c r="B18" s="800">
        <f>0.0000000238845897*$B$22*B10*B14/100</f>
        <v>20.310278097338276</v>
      </c>
      <c r="C18" s="292">
        <f t="shared" ref="C18:U18" si="4">0.0000000238845897*$B$22*C10*C14/100</f>
        <v>16.185705856099531</v>
      </c>
      <c r="D18" s="292">
        <f t="shared" si="4"/>
        <v>13.303842072017751</v>
      </c>
      <c r="E18" s="292">
        <f t="shared" si="4"/>
        <v>11.009024614322998</v>
      </c>
      <c r="F18" s="292">
        <f t="shared" si="4"/>
        <v>8.9657984393655443</v>
      </c>
      <c r="G18" s="292">
        <f t="shared" si="4"/>
        <v>7.0343906122913351</v>
      </c>
      <c r="H18" s="292">
        <f t="shared" si="4"/>
        <v>5.2300490896299019</v>
      </c>
      <c r="I18" s="292">
        <f t="shared" si="4"/>
        <v>3.6595095670879774</v>
      </c>
      <c r="J18" s="292">
        <f t="shared" si="4"/>
        <v>2.4040944794897405</v>
      </c>
      <c r="K18" s="292">
        <f t="shared" si="4"/>
        <v>1.4917584138060016</v>
      </c>
      <c r="L18" s="292">
        <f t="shared" si="4"/>
        <v>0.87929882653641689</v>
      </c>
      <c r="M18" s="292">
        <f t="shared" si="4"/>
        <v>0.48539328285680805</v>
      </c>
      <c r="N18" s="292">
        <f t="shared" si="4"/>
        <v>0.23888465229602077</v>
      </c>
      <c r="O18" s="292">
        <f t="shared" si="4"/>
        <v>0.10165304353022159</v>
      </c>
      <c r="P18" s="292">
        <f t="shared" si="4"/>
        <v>3.3037239147322019E-2</v>
      </c>
      <c r="Q18" s="292">
        <f t="shared" si="4"/>
        <v>1.016530435302216E-2</v>
      </c>
      <c r="R18" s="292">
        <f t="shared" si="4"/>
        <v>2.54132608825554E-3</v>
      </c>
      <c r="S18" s="292">
        <f t="shared" si="4"/>
        <v>0</v>
      </c>
      <c r="T18" s="292">
        <f t="shared" si="4"/>
        <v>0</v>
      </c>
      <c r="U18" s="292">
        <f t="shared" si="4"/>
        <v>0</v>
      </c>
      <c r="V18" s="292"/>
      <c r="W18" s="292"/>
      <c r="X18" s="292"/>
      <c r="Y18" s="292"/>
      <c r="Z18" s="292"/>
      <c r="AA18" s="292"/>
      <c r="AB18" s="292"/>
      <c r="AC18" s="292"/>
      <c r="AD18" s="293"/>
    </row>
    <row r="19" spans="1:31" ht="15.75" thickBot="1">
      <c r="A19" s="802" t="s">
        <v>187</v>
      </c>
      <c r="B19" s="799">
        <f>0.0000000238845897*$B$23*B11*B15/100</f>
        <v>47.157395615214767</v>
      </c>
      <c r="C19" s="796">
        <f t="shared" ref="C19:U19" si="5">0.0000000238845897*$B$23*C11*C15/100</f>
        <v>45.630601161574795</v>
      </c>
      <c r="D19" s="796">
        <f t="shared" si="5"/>
        <v>44.194827146517191</v>
      </c>
      <c r="E19" s="796">
        <f t="shared" si="5"/>
        <v>42.515353247513218</v>
      </c>
      <c r="F19" s="796">
        <f t="shared" si="5"/>
        <v>40.433627732838708</v>
      </c>
      <c r="G19" s="796">
        <f t="shared" si="5"/>
        <v>37.870374736631589</v>
      </c>
      <c r="H19" s="796">
        <f t="shared" si="5"/>
        <v>34.787424397550865</v>
      </c>
      <c r="I19" s="796">
        <f t="shared" si="5"/>
        <v>31.170095999696159</v>
      </c>
      <c r="J19" s="796">
        <f t="shared" si="5"/>
        <v>27.065367833948677</v>
      </c>
      <c r="K19" s="796">
        <f t="shared" si="5"/>
        <v>22.523154334369746</v>
      </c>
      <c r="L19" s="796">
        <f t="shared" si="5"/>
        <v>17.901664968928735</v>
      </c>
      <c r="M19" s="796">
        <f t="shared" si="5"/>
        <v>13.321281608008803</v>
      </c>
      <c r="N19" s="796">
        <f t="shared" si="5"/>
        <v>8.84366325839156</v>
      </c>
      <c r="O19" s="796">
        <f t="shared" si="5"/>
        <v>4.8475723903069285</v>
      </c>
      <c r="P19" s="796">
        <f t="shared" si="5"/>
        <v>2.102278516935046</v>
      </c>
      <c r="Q19" s="796">
        <f t="shared" si="5"/>
        <v>0.72522736547898947</v>
      </c>
      <c r="R19" s="796">
        <f t="shared" si="5"/>
        <v>0.22608302486591975</v>
      </c>
      <c r="S19" s="796">
        <f t="shared" si="5"/>
        <v>6.165900678161447E-2</v>
      </c>
      <c r="T19" s="796">
        <f t="shared" si="5"/>
        <v>1.4680715900384398E-2</v>
      </c>
      <c r="U19" s="796">
        <f t="shared" si="5"/>
        <v>2.9361431800768796E-3</v>
      </c>
      <c r="V19" s="796"/>
      <c r="W19" s="796"/>
      <c r="X19" s="796"/>
      <c r="Y19" s="796"/>
      <c r="Z19" s="796"/>
      <c r="AA19" s="796"/>
      <c r="AB19" s="796"/>
      <c r="AC19" s="796"/>
      <c r="AD19" s="797"/>
    </row>
    <row r="20" spans="1:31" ht="15.75" thickBot="1"/>
    <row r="21" spans="1:31">
      <c r="A21" s="788" t="s">
        <v>932</v>
      </c>
      <c r="B21" s="789" t="s">
        <v>933</v>
      </c>
    </row>
    <row r="22" spans="1:31">
      <c r="A22" s="790" t="s">
        <v>185</v>
      </c>
      <c r="B22" s="791">
        <v>32.18</v>
      </c>
    </row>
    <row r="23" spans="1:31" ht="15.75" thickBot="1">
      <c r="A23" s="719" t="s">
        <v>187</v>
      </c>
      <c r="B23" s="737">
        <v>35.86</v>
      </c>
    </row>
    <row r="24" spans="1:31" ht="15.75" thickBot="1"/>
    <row r="25" spans="1:31" ht="15.75" customHeight="1" thickBot="1">
      <c r="A25" s="1710" t="s">
        <v>934</v>
      </c>
      <c r="B25" s="169" t="s">
        <v>10</v>
      </c>
      <c r="C25" s="288">
        <v>2012</v>
      </c>
      <c r="D25" s="289">
        <v>2013</v>
      </c>
      <c r="E25" s="289">
        <v>2014</v>
      </c>
      <c r="F25" s="289">
        <v>2015</v>
      </c>
      <c r="G25" s="288">
        <v>2016</v>
      </c>
      <c r="H25" s="289">
        <v>2017</v>
      </c>
      <c r="I25" s="289">
        <v>2018</v>
      </c>
      <c r="J25" s="289">
        <v>2019</v>
      </c>
      <c r="K25" s="288">
        <v>2020</v>
      </c>
      <c r="L25" s="289">
        <v>2021</v>
      </c>
      <c r="M25" s="289">
        <v>2022</v>
      </c>
      <c r="N25" s="289">
        <v>2023</v>
      </c>
      <c r="O25" s="288">
        <v>2024</v>
      </c>
      <c r="P25" s="289">
        <v>2025</v>
      </c>
      <c r="Q25" s="289">
        <v>2026</v>
      </c>
      <c r="R25" s="289">
        <v>2027</v>
      </c>
      <c r="S25" s="288">
        <v>2028</v>
      </c>
      <c r="T25" s="289">
        <v>2029</v>
      </c>
      <c r="U25" s="289">
        <v>2030</v>
      </c>
      <c r="V25" s="289">
        <v>2031</v>
      </c>
      <c r="W25" s="288">
        <v>2032</v>
      </c>
      <c r="X25" s="289">
        <v>2033</v>
      </c>
      <c r="Y25" s="289">
        <v>2034</v>
      </c>
      <c r="Z25" s="289">
        <v>2035</v>
      </c>
      <c r="AA25" s="288">
        <v>2036</v>
      </c>
      <c r="AB25" s="289">
        <v>2037</v>
      </c>
      <c r="AC25" s="289">
        <v>2038</v>
      </c>
      <c r="AD25" s="289">
        <v>2039</v>
      </c>
      <c r="AE25" s="290">
        <v>2040</v>
      </c>
    </row>
    <row r="26" spans="1:31" ht="15.75" customHeight="1">
      <c r="A26" s="1711" t="s">
        <v>41</v>
      </c>
      <c r="B26" s="116">
        <v>0</v>
      </c>
      <c r="C26" s="291">
        <f>ROUND($B$2*'CAR Stock'!F4/'CAR Stock'!$F$21,0)</f>
        <v>109</v>
      </c>
      <c r="D26" s="292"/>
      <c r="E26" s="292"/>
      <c r="F26" s="292"/>
      <c r="G26" s="292"/>
      <c r="H26" s="292"/>
      <c r="I26" s="292"/>
      <c r="J26" s="292"/>
      <c r="K26" s="292"/>
      <c r="L26" s="292"/>
      <c r="M26" s="292"/>
      <c r="N26" s="292"/>
      <c r="O26" s="292"/>
      <c r="P26" s="292"/>
      <c r="Q26" s="292"/>
      <c r="R26" s="292"/>
      <c r="S26" s="292"/>
      <c r="T26" s="292"/>
      <c r="U26" s="292"/>
      <c r="V26" s="292"/>
      <c r="W26" s="292"/>
      <c r="X26" s="292"/>
      <c r="Y26" s="292"/>
      <c r="Z26" s="292"/>
      <c r="AA26" s="292"/>
      <c r="AB26" s="292"/>
      <c r="AC26" s="292"/>
      <c r="AD26" s="292"/>
      <c r="AE26" s="293"/>
    </row>
    <row r="27" spans="1:31">
      <c r="A27" s="1711"/>
      <c r="B27" s="116">
        <v>1</v>
      </c>
      <c r="C27" s="294">
        <f>ROUND($B$2*'CAR Stock'!F5/'CAR Stock'!$F$21,0)</f>
        <v>147</v>
      </c>
      <c r="D27" s="295">
        <f>ROUND(C26*$B86,0)</f>
        <v>109</v>
      </c>
      <c r="E27" s="295">
        <f t="shared" ref="E27:AA38" si="6">ROUND(D26*$B86,0)</f>
        <v>0</v>
      </c>
      <c r="F27" s="295">
        <f t="shared" si="6"/>
        <v>0</v>
      </c>
      <c r="G27" s="295">
        <f t="shared" si="6"/>
        <v>0</v>
      </c>
      <c r="H27" s="295">
        <f t="shared" si="6"/>
        <v>0</v>
      </c>
      <c r="I27" s="295">
        <f t="shared" si="6"/>
        <v>0</v>
      </c>
      <c r="J27" s="295">
        <f t="shared" si="6"/>
        <v>0</v>
      </c>
      <c r="K27" s="295">
        <f t="shared" si="6"/>
        <v>0</v>
      </c>
      <c r="L27" s="295">
        <f t="shared" si="6"/>
        <v>0</v>
      </c>
      <c r="M27" s="295">
        <f t="shared" si="6"/>
        <v>0</v>
      </c>
      <c r="N27" s="295">
        <f t="shared" si="6"/>
        <v>0</v>
      </c>
      <c r="O27" s="295">
        <f t="shared" si="6"/>
        <v>0</v>
      </c>
      <c r="P27" s="295">
        <f t="shared" si="6"/>
        <v>0</v>
      </c>
      <c r="Q27" s="295">
        <f t="shared" si="6"/>
        <v>0</v>
      </c>
      <c r="R27" s="295">
        <f t="shared" si="6"/>
        <v>0</v>
      </c>
      <c r="S27" s="295">
        <f t="shared" si="6"/>
        <v>0</v>
      </c>
      <c r="T27" s="295">
        <f t="shared" si="6"/>
        <v>0</v>
      </c>
      <c r="U27" s="295">
        <f t="shared" si="6"/>
        <v>0</v>
      </c>
      <c r="V27" s="295">
        <f t="shared" si="6"/>
        <v>0</v>
      </c>
      <c r="W27" s="295">
        <f t="shared" si="6"/>
        <v>0</v>
      </c>
      <c r="X27" s="295">
        <f t="shared" si="6"/>
        <v>0</v>
      </c>
      <c r="Y27" s="295">
        <f t="shared" si="6"/>
        <v>0</v>
      </c>
      <c r="Z27" s="295">
        <f t="shared" si="6"/>
        <v>0</v>
      </c>
      <c r="AA27" s="295">
        <f t="shared" si="6"/>
        <v>0</v>
      </c>
      <c r="AB27" s="295"/>
      <c r="AC27" s="295"/>
      <c r="AD27" s="295"/>
      <c r="AE27" s="296"/>
    </row>
    <row r="28" spans="1:31">
      <c r="A28" s="1711"/>
      <c r="B28" s="116">
        <v>2</v>
      </c>
      <c r="C28" s="294">
        <f>ROUND($B$2*'CAR Stock'!F6/'CAR Stock'!$F$21,0)</f>
        <v>175</v>
      </c>
      <c r="D28" s="295">
        <f t="shared" ref="D28:S51" si="7">ROUND(C27*$B87,0)</f>
        <v>147</v>
      </c>
      <c r="E28" s="295">
        <f t="shared" si="7"/>
        <v>109</v>
      </c>
      <c r="F28" s="295">
        <f t="shared" si="7"/>
        <v>0</v>
      </c>
      <c r="G28" s="295">
        <f t="shared" si="7"/>
        <v>0</v>
      </c>
      <c r="H28" s="295">
        <f t="shared" si="7"/>
        <v>0</v>
      </c>
      <c r="I28" s="295">
        <f t="shared" si="7"/>
        <v>0</v>
      </c>
      <c r="J28" s="295">
        <f t="shared" si="7"/>
        <v>0</v>
      </c>
      <c r="K28" s="295">
        <f t="shared" si="7"/>
        <v>0</v>
      </c>
      <c r="L28" s="295">
        <f t="shared" si="7"/>
        <v>0</v>
      </c>
      <c r="M28" s="295">
        <f t="shared" si="7"/>
        <v>0</v>
      </c>
      <c r="N28" s="295">
        <f t="shared" si="7"/>
        <v>0</v>
      </c>
      <c r="O28" s="295">
        <f t="shared" si="7"/>
        <v>0</v>
      </c>
      <c r="P28" s="295">
        <f t="shared" si="7"/>
        <v>0</v>
      </c>
      <c r="Q28" s="295">
        <f t="shared" si="7"/>
        <v>0</v>
      </c>
      <c r="R28" s="295">
        <f t="shared" si="7"/>
        <v>0</v>
      </c>
      <c r="S28" s="295">
        <f t="shared" si="7"/>
        <v>0</v>
      </c>
      <c r="T28" s="295">
        <f t="shared" si="6"/>
        <v>0</v>
      </c>
      <c r="U28" s="295">
        <f t="shared" si="6"/>
        <v>0</v>
      </c>
      <c r="V28" s="295">
        <f t="shared" si="6"/>
        <v>0</v>
      </c>
      <c r="W28" s="295">
        <f t="shared" si="6"/>
        <v>0</v>
      </c>
      <c r="X28" s="295">
        <f t="shared" si="6"/>
        <v>0</v>
      </c>
      <c r="Y28" s="295">
        <f t="shared" si="6"/>
        <v>0</v>
      </c>
      <c r="Z28" s="295">
        <f t="shared" si="6"/>
        <v>0</v>
      </c>
      <c r="AA28" s="295">
        <f t="shared" si="6"/>
        <v>0</v>
      </c>
      <c r="AB28" s="295"/>
      <c r="AC28" s="295"/>
      <c r="AD28" s="295"/>
      <c r="AE28" s="296"/>
    </row>
    <row r="29" spans="1:31">
      <c r="A29" s="1711"/>
      <c r="B29" s="116">
        <v>3</v>
      </c>
      <c r="C29" s="294">
        <f>ROUND($B$2*'CAR Stock'!F7/'CAR Stock'!$F$21,0)</f>
        <v>148</v>
      </c>
      <c r="D29" s="295">
        <f t="shared" si="7"/>
        <v>175</v>
      </c>
      <c r="E29" s="295">
        <f t="shared" si="6"/>
        <v>147</v>
      </c>
      <c r="F29" s="295">
        <f t="shared" si="6"/>
        <v>109</v>
      </c>
      <c r="G29" s="295">
        <f t="shared" si="6"/>
        <v>0</v>
      </c>
      <c r="H29" s="295">
        <f t="shared" si="6"/>
        <v>0</v>
      </c>
      <c r="I29" s="295">
        <f t="shared" si="6"/>
        <v>0</v>
      </c>
      <c r="J29" s="295">
        <f t="shared" si="6"/>
        <v>0</v>
      </c>
      <c r="K29" s="295">
        <f t="shared" si="6"/>
        <v>0</v>
      </c>
      <c r="L29" s="295">
        <f t="shared" si="6"/>
        <v>0</v>
      </c>
      <c r="M29" s="295">
        <f t="shared" si="6"/>
        <v>0</v>
      </c>
      <c r="N29" s="295">
        <f t="shared" si="6"/>
        <v>0</v>
      </c>
      <c r="O29" s="295">
        <f t="shared" si="6"/>
        <v>0</v>
      </c>
      <c r="P29" s="295">
        <f t="shared" si="6"/>
        <v>0</v>
      </c>
      <c r="Q29" s="295">
        <f t="shared" si="6"/>
        <v>0</v>
      </c>
      <c r="R29" s="295">
        <f t="shared" si="6"/>
        <v>0</v>
      </c>
      <c r="S29" s="295">
        <f t="shared" si="6"/>
        <v>0</v>
      </c>
      <c r="T29" s="295">
        <f t="shared" si="6"/>
        <v>0</v>
      </c>
      <c r="U29" s="295">
        <f t="shared" si="6"/>
        <v>0</v>
      </c>
      <c r="V29" s="295">
        <f t="shared" si="6"/>
        <v>0</v>
      </c>
      <c r="W29" s="295">
        <f t="shared" si="6"/>
        <v>0</v>
      </c>
      <c r="X29" s="295">
        <f t="shared" si="6"/>
        <v>0</v>
      </c>
      <c r="Y29" s="295">
        <f t="shared" si="6"/>
        <v>0</v>
      </c>
      <c r="Z29" s="295">
        <f t="shared" si="6"/>
        <v>0</v>
      </c>
      <c r="AA29" s="295">
        <f t="shared" si="6"/>
        <v>0</v>
      </c>
      <c r="AB29" s="295"/>
      <c r="AC29" s="295"/>
      <c r="AD29" s="295"/>
      <c r="AE29" s="296"/>
    </row>
    <row r="30" spans="1:31">
      <c r="A30" s="1711"/>
      <c r="B30" s="116">
        <v>4</v>
      </c>
      <c r="C30" s="294">
        <f>ROUND($B$2*'CAR Stock'!F8/'CAR Stock'!$F$21,0)</f>
        <v>571</v>
      </c>
      <c r="D30" s="295">
        <f t="shared" si="7"/>
        <v>148</v>
      </c>
      <c r="E30" s="295">
        <f t="shared" si="6"/>
        <v>175</v>
      </c>
      <c r="F30" s="295">
        <f t="shared" si="6"/>
        <v>147</v>
      </c>
      <c r="G30" s="295">
        <f t="shared" si="6"/>
        <v>109</v>
      </c>
      <c r="H30" s="295">
        <f t="shared" si="6"/>
        <v>0</v>
      </c>
      <c r="I30" s="295">
        <f t="shared" si="6"/>
        <v>0</v>
      </c>
      <c r="J30" s="295">
        <f t="shared" si="6"/>
        <v>0</v>
      </c>
      <c r="K30" s="295">
        <f t="shared" si="6"/>
        <v>0</v>
      </c>
      <c r="L30" s="295">
        <f t="shared" si="6"/>
        <v>0</v>
      </c>
      <c r="M30" s="295">
        <f t="shared" si="6"/>
        <v>0</v>
      </c>
      <c r="N30" s="295">
        <f t="shared" si="6"/>
        <v>0</v>
      </c>
      <c r="O30" s="295">
        <f t="shared" si="6"/>
        <v>0</v>
      </c>
      <c r="P30" s="295">
        <f t="shared" si="6"/>
        <v>0</v>
      </c>
      <c r="Q30" s="295">
        <f t="shared" si="6"/>
        <v>0</v>
      </c>
      <c r="R30" s="295">
        <f t="shared" si="6"/>
        <v>0</v>
      </c>
      <c r="S30" s="295">
        <f t="shared" si="6"/>
        <v>0</v>
      </c>
      <c r="T30" s="295">
        <f t="shared" si="6"/>
        <v>0</v>
      </c>
      <c r="U30" s="295">
        <f t="shared" si="6"/>
        <v>0</v>
      </c>
      <c r="V30" s="295">
        <f t="shared" si="6"/>
        <v>0</v>
      </c>
      <c r="W30" s="295">
        <f t="shared" si="6"/>
        <v>0</v>
      </c>
      <c r="X30" s="295">
        <f t="shared" si="6"/>
        <v>0</v>
      </c>
      <c r="Y30" s="295">
        <f t="shared" si="6"/>
        <v>0</v>
      </c>
      <c r="Z30" s="295">
        <f t="shared" si="6"/>
        <v>0</v>
      </c>
      <c r="AA30" s="295">
        <f t="shared" si="6"/>
        <v>0</v>
      </c>
      <c r="AB30" s="295"/>
      <c r="AC30" s="295"/>
      <c r="AD30" s="295"/>
      <c r="AE30" s="296"/>
    </row>
    <row r="31" spans="1:31">
      <c r="A31" s="1711"/>
      <c r="B31" s="116">
        <v>5</v>
      </c>
      <c r="C31" s="294">
        <f>ROUND($B$2*'CAR Stock'!F9/'CAR Stock'!$F$21,0)</f>
        <v>781</v>
      </c>
      <c r="D31" s="295">
        <f t="shared" si="7"/>
        <v>571</v>
      </c>
      <c r="E31" s="295">
        <f t="shared" si="6"/>
        <v>148</v>
      </c>
      <c r="F31" s="295">
        <f t="shared" si="6"/>
        <v>175</v>
      </c>
      <c r="G31" s="295">
        <f t="shared" si="6"/>
        <v>147</v>
      </c>
      <c r="H31" s="295">
        <f t="shared" si="6"/>
        <v>109</v>
      </c>
      <c r="I31" s="295">
        <f t="shared" si="6"/>
        <v>0</v>
      </c>
      <c r="J31" s="295">
        <f t="shared" si="6"/>
        <v>0</v>
      </c>
      <c r="K31" s="295">
        <f t="shared" si="6"/>
        <v>0</v>
      </c>
      <c r="L31" s="295">
        <f t="shared" si="6"/>
        <v>0</v>
      </c>
      <c r="M31" s="295">
        <f t="shared" si="6"/>
        <v>0</v>
      </c>
      <c r="N31" s="295">
        <f t="shared" si="6"/>
        <v>0</v>
      </c>
      <c r="O31" s="295">
        <f t="shared" si="6"/>
        <v>0</v>
      </c>
      <c r="P31" s="295">
        <f t="shared" si="6"/>
        <v>0</v>
      </c>
      <c r="Q31" s="295">
        <f t="shared" si="6"/>
        <v>0</v>
      </c>
      <c r="R31" s="295">
        <f t="shared" si="6"/>
        <v>0</v>
      </c>
      <c r="S31" s="295">
        <f t="shared" si="6"/>
        <v>0</v>
      </c>
      <c r="T31" s="295">
        <f t="shared" si="6"/>
        <v>0</v>
      </c>
      <c r="U31" s="295">
        <f t="shared" si="6"/>
        <v>0</v>
      </c>
      <c r="V31" s="295">
        <f t="shared" si="6"/>
        <v>0</v>
      </c>
      <c r="W31" s="295">
        <f t="shared" si="6"/>
        <v>0</v>
      </c>
      <c r="X31" s="295">
        <f t="shared" si="6"/>
        <v>0</v>
      </c>
      <c r="Y31" s="295">
        <f t="shared" si="6"/>
        <v>0</v>
      </c>
      <c r="Z31" s="295">
        <f t="shared" si="6"/>
        <v>0</v>
      </c>
      <c r="AA31" s="295">
        <f t="shared" si="6"/>
        <v>0</v>
      </c>
      <c r="AB31" s="295"/>
      <c r="AC31" s="295"/>
      <c r="AD31" s="295"/>
      <c r="AE31" s="296"/>
    </row>
    <row r="32" spans="1:31">
      <c r="A32" s="1711"/>
      <c r="B32" s="116">
        <v>6</v>
      </c>
      <c r="C32" s="294">
        <f>ROUND($B$2*'CAR Stock'!F10/'CAR Stock'!$F$21,0)</f>
        <v>785</v>
      </c>
      <c r="D32" s="295">
        <f t="shared" si="7"/>
        <v>781</v>
      </c>
      <c r="E32" s="295">
        <f t="shared" si="6"/>
        <v>571</v>
      </c>
      <c r="F32" s="295">
        <f t="shared" si="6"/>
        <v>148</v>
      </c>
      <c r="G32" s="295">
        <f t="shared" si="6"/>
        <v>175</v>
      </c>
      <c r="H32" s="295">
        <f t="shared" si="6"/>
        <v>147</v>
      </c>
      <c r="I32" s="295">
        <f t="shared" si="6"/>
        <v>109</v>
      </c>
      <c r="J32" s="295">
        <f t="shared" si="6"/>
        <v>0</v>
      </c>
      <c r="K32" s="295">
        <f t="shared" si="6"/>
        <v>0</v>
      </c>
      <c r="L32" s="295">
        <f t="shared" si="6"/>
        <v>0</v>
      </c>
      <c r="M32" s="295">
        <f t="shared" si="6"/>
        <v>0</v>
      </c>
      <c r="N32" s="295">
        <f t="shared" si="6"/>
        <v>0</v>
      </c>
      <c r="O32" s="295">
        <f t="shared" si="6"/>
        <v>0</v>
      </c>
      <c r="P32" s="295">
        <f t="shared" si="6"/>
        <v>0</v>
      </c>
      <c r="Q32" s="295">
        <f t="shared" si="6"/>
        <v>0</v>
      </c>
      <c r="R32" s="295">
        <f t="shared" si="6"/>
        <v>0</v>
      </c>
      <c r="S32" s="295">
        <f t="shared" si="6"/>
        <v>0</v>
      </c>
      <c r="T32" s="295">
        <f t="shared" si="6"/>
        <v>0</v>
      </c>
      <c r="U32" s="295">
        <f t="shared" si="6"/>
        <v>0</v>
      </c>
      <c r="V32" s="295">
        <f t="shared" si="6"/>
        <v>0</v>
      </c>
      <c r="W32" s="295">
        <f t="shared" si="6"/>
        <v>0</v>
      </c>
      <c r="X32" s="295">
        <f t="shared" si="6"/>
        <v>0</v>
      </c>
      <c r="Y32" s="295">
        <f t="shared" si="6"/>
        <v>0</v>
      </c>
      <c r="Z32" s="295">
        <f t="shared" si="6"/>
        <v>0</v>
      </c>
      <c r="AA32" s="295">
        <f t="shared" si="6"/>
        <v>0</v>
      </c>
      <c r="AB32" s="295"/>
      <c r="AC32" s="295"/>
      <c r="AD32" s="295"/>
      <c r="AE32" s="296"/>
    </row>
    <row r="33" spans="1:31">
      <c r="A33" s="1711"/>
      <c r="B33" s="116">
        <v>7</v>
      </c>
      <c r="C33" s="294">
        <f>ROUND($B$2*'CAR Stock'!F11/'CAR Stock'!$F$21,0)</f>
        <v>782</v>
      </c>
      <c r="D33" s="295">
        <f t="shared" si="7"/>
        <v>785</v>
      </c>
      <c r="E33" s="295">
        <f t="shared" si="6"/>
        <v>781</v>
      </c>
      <c r="F33" s="295">
        <f t="shared" si="6"/>
        <v>571</v>
      </c>
      <c r="G33" s="295">
        <f t="shared" si="6"/>
        <v>148</v>
      </c>
      <c r="H33" s="295">
        <f t="shared" si="6"/>
        <v>175</v>
      </c>
      <c r="I33" s="295">
        <f t="shared" si="6"/>
        <v>147</v>
      </c>
      <c r="J33" s="295">
        <f t="shared" si="6"/>
        <v>109</v>
      </c>
      <c r="K33" s="295">
        <f t="shared" si="6"/>
        <v>0</v>
      </c>
      <c r="L33" s="295">
        <f t="shared" si="6"/>
        <v>0</v>
      </c>
      <c r="M33" s="295">
        <f t="shared" si="6"/>
        <v>0</v>
      </c>
      <c r="N33" s="295">
        <f t="shared" si="6"/>
        <v>0</v>
      </c>
      <c r="O33" s="295">
        <f t="shared" si="6"/>
        <v>0</v>
      </c>
      <c r="P33" s="295">
        <f t="shared" si="6"/>
        <v>0</v>
      </c>
      <c r="Q33" s="295">
        <f t="shared" si="6"/>
        <v>0</v>
      </c>
      <c r="R33" s="295">
        <f t="shared" si="6"/>
        <v>0</v>
      </c>
      <c r="S33" s="295">
        <f t="shared" si="6"/>
        <v>0</v>
      </c>
      <c r="T33" s="295">
        <f t="shared" si="6"/>
        <v>0</v>
      </c>
      <c r="U33" s="295">
        <f t="shared" si="6"/>
        <v>0</v>
      </c>
      <c r="V33" s="295">
        <f t="shared" si="6"/>
        <v>0</v>
      </c>
      <c r="W33" s="295">
        <f t="shared" si="6"/>
        <v>0</v>
      </c>
      <c r="X33" s="295">
        <f t="shared" si="6"/>
        <v>0</v>
      </c>
      <c r="Y33" s="295">
        <f t="shared" si="6"/>
        <v>0</v>
      </c>
      <c r="Z33" s="295">
        <f t="shared" si="6"/>
        <v>0</v>
      </c>
      <c r="AA33" s="295">
        <f t="shared" si="6"/>
        <v>0</v>
      </c>
      <c r="AB33" s="295"/>
      <c r="AC33" s="295"/>
      <c r="AD33" s="295"/>
      <c r="AE33" s="296"/>
    </row>
    <row r="34" spans="1:31">
      <c r="A34" s="1711"/>
      <c r="B34" s="116">
        <v>8</v>
      </c>
      <c r="C34" s="294">
        <f>ROUND($B$2*'CAR Stock'!F12/'CAR Stock'!$F$21,0)</f>
        <v>726</v>
      </c>
      <c r="D34" s="295">
        <f t="shared" si="7"/>
        <v>775</v>
      </c>
      <c r="E34" s="295">
        <f t="shared" si="6"/>
        <v>778</v>
      </c>
      <c r="F34" s="295">
        <f t="shared" si="6"/>
        <v>774</v>
      </c>
      <c r="G34" s="295">
        <f t="shared" si="6"/>
        <v>566</v>
      </c>
      <c r="H34" s="295">
        <f t="shared" si="6"/>
        <v>147</v>
      </c>
      <c r="I34" s="295">
        <f t="shared" si="6"/>
        <v>173</v>
      </c>
      <c r="J34" s="295">
        <f t="shared" si="6"/>
        <v>146</v>
      </c>
      <c r="K34" s="295">
        <f t="shared" si="6"/>
        <v>108</v>
      </c>
      <c r="L34" s="295">
        <f t="shared" si="6"/>
        <v>0</v>
      </c>
      <c r="M34" s="295">
        <f t="shared" si="6"/>
        <v>0</v>
      </c>
      <c r="N34" s="295">
        <f t="shared" si="6"/>
        <v>0</v>
      </c>
      <c r="O34" s="295">
        <f t="shared" si="6"/>
        <v>0</v>
      </c>
      <c r="P34" s="295">
        <f t="shared" si="6"/>
        <v>0</v>
      </c>
      <c r="Q34" s="295">
        <f t="shared" si="6"/>
        <v>0</v>
      </c>
      <c r="R34" s="295">
        <f t="shared" si="6"/>
        <v>0</v>
      </c>
      <c r="S34" s="295">
        <f t="shared" si="6"/>
        <v>0</v>
      </c>
      <c r="T34" s="295">
        <f t="shared" si="6"/>
        <v>0</v>
      </c>
      <c r="U34" s="295">
        <f t="shared" si="6"/>
        <v>0</v>
      </c>
      <c r="V34" s="295">
        <f t="shared" si="6"/>
        <v>0</v>
      </c>
      <c r="W34" s="295">
        <f t="shared" si="6"/>
        <v>0</v>
      </c>
      <c r="X34" s="295">
        <f t="shared" si="6"/>
        <v>0</v>
      </c>
      <c r="Y34" s="295">
        <f t="shared" si="6"/>
        <v>0</v>
      </c>
      <c r="Z34" s="295">
        <f t="shared" si="6"/>
        <v>0</v>
      </c>
      <c r="AA34" s="295">
        <f t="shared" si="6"/>
        <v>0</v>
      </c>
      <c r="AB34" s="295"/>
      <c r="AC34" s="295"/>
      <c r="AD34" s="295"/>
      <c r="AE34" s="296"/>
    </row>
    <row r="35" spans="1:31">
      <c r="A35" s="1711"/>
      <c r="B35" s="116">
        <v>9</v>
      </c>
      <c r="C35" s="294">
        <f>ROUND($B$2*'CAR Stock'!F13/'CAR Stock'!$F$21,0)</f>
        <v>676</v>
      </c>
      <c r="D35" s="295">
        <f t="shared" si="7"/>
        <v>687</v>
      </c>
      <c r="E35" s="295">
        <f t="shared" si="6"/>
        <v>733</v>
      </c>
      <c r="F35" s="295">
        <f t="shared" si="6"/>
        <v>736</v>
      </c>
      <c r="G35" s="295">
        <f t="shared" si="6"/>
        <v>732</v>
      </c>
      <c r="H35" s="295">
        <f t="shared" si="6"/>
        <v>535</v>
      </c>
      <c r="I35" s="295">
        <f t="shared" si="6"/>
        <v>139</v>
      </c>
      <c r="J35" s="295">
        <f t="shared" si="6"/>
        <v>164</v>
      </c>
      <c r="K35" s="295">
        <f t="shared" si="6"/>
        <v>138</v>
      </c>
      <c r="L35" s="295">
        <f t="shared" si="6"/>
        <v>102</v>
      </c>
      <c r="M35" s="295">
        <f t="shared" si="6"/>
        <v>0</v>
      </c>
      <c r="N35" s="295">
        <f t="shared" si="6"/>
        <v>0</v>
      </c>
      <c r="O35" s="295">
        <f t="shared" si="6"/>
        <v>0</v>
      </c>
      <c r="P35" s="295">
        <f t="shared" si="6"/>
        <v>0</v>
      </c>
      <c r="Q35" s="295">
        <f t="shared" si="6"/>
        <v>0</v>
      </c>
      <c r="R35" s="295">
        <f t="shared" si="6"/>
        <v>0</v>
      </c>
      <c r="S35" s="295">
        <f t="shared" si="6"/>
        <v>0</v>
      </c>
      <c r="T35" s="295">
        <f t="shared" si="6"/>
        <v>0</v>
      </c>
      <c r="U35" s="295">
        <f t="shared" si="6"/>
        <v>0</v>
      </c>
      <c r="V35" s="295">
        <f t="shared" si="6"/>
        <v>0</v>
      </c>
      <c r="W35" s="295">
        <f t="shared" si="6"/>
        <v>0</v>
      </c>
      <c r="X35" s="295">
        <f t="shared" si="6"/>
        <v>0</v>
      </c>
      <c r="Y35" s="295">
        <f t="shared" si="6"/>
        <v>0</v>
      </c>
      <c r="Z35" s="295">
        <f t="shared" si="6"/>
        <v>0</v>
      </c>
      <c r="AA35" s="295">
        <f t="shared" si="6"/>
        <v>0</v>
      </c>
      <c r="AB35" s="295"/>
      <c r="AC35" s="295"/>
      <c r="AD35" s="295"/>
      <c r="AE35" s="296"/>
    </row>
    <row r="36" spans="1:31">
      <c r="A36" s="1711"/>
      <c r="B36" s="116">
        <v>10</v>
      </c>
      <c r="C36" s="294">
        <f>ROUND($B$2*'CAR Stock'!F14/'CAR Stock'!$F$21,0)</f>
        <v>653</v>
      </c>
      <c r="D36" s="295">
        <f t="shared" si="7"/>
        <v>583</v>
      </c>
      <c r="E36" s="295">
        <f t="shared" si="6"/>
        <v>593</v>
      </c>
      <c r="F36" s="295">
        <f t="shared" si="6"/>
        <v>632</v>
      </c>
      <c r="G36" s="295">
        <f t="shared" si="6"/>
        <v>635</v>
      </c>
      <c r="H36" s="295">
        <f t="shared" si="6"/>
        <v>632</v>
      </c>
      <c r="I36" s="295">
        <f t="shared" si="6"/>
        <v>462</v>
      </c>
      <c r="J36" s="295">
        <f t="shared" si="6"/>
        <v>120</v>
      </c>
      <c r="K36" s="295">
        <f t="shared" si="6"/>
        <v>141</v>
      </c>
      <c r="L36" s="295">
        <f t="shared" si="6"/>
        <v>119</v>
      </c>
      <c r="M36" s="295">
        <f t="shared" si="6"/>
        <v>88</v>
      </c>
      <c r="N36" s="295">
        <f t="shared" si="6"/>
        <v>0</v>
      </c>
      <c r="O36" s="295">
        <f t="shared" si="6"/>
        <v>0</v>
      </c>
      <c r="P36" s="295">
        <f t="shared" si="6"/>
        <v>0</v>
      </c>
      <c r="Q36" s="295">
        <f t="shared" si="6"/>
        <v>0</v>
      </c>
      <c r="R36" s="295">
        <f t="shared" si="6"/>
        <v>0</v>
      </c>
      <c r="S36" s="295">
        <f t="shared" si="6"/>
        <v>0</v>
      </c>
      <c r="T36" s="295">
        <f t="shared" si="6"/>
        <v>0</v>
      </c>
      <c r="U36" s="295">
        <f t="shared" si="6"/>
        <v>0</v>
      </c>
      <c r="V36" s="295">
        <f t="shared" si="6"/>
        <v>0</v>
      </c>
      <c r="W36" s="295">
        <f t="shared" si="6"/>
        <v>0</v>
      </c>
      <c r="X36" s="295">
        <f t="shared" si="6"/>
        <v>0</v>
      </c>
      <c r="Y36" s="295">
        <f t="shared" si="6"/>
        <v>0</v>
      </c>
      <c r="Z36" s="295">
        <f t="shared" si="6"/>
        <v>0</v>
      </c>
      <c r="AA36" s="295">
        <f t="shared" si="6"/>
        <v>0</v>
      </c>
      <c r="AB36" s="295"/>
      <c r="AC36" s="295"/>
      <c r="AD36" s="295"/>
      <c r="AE36" s="296"/>
    </row>
    <row r="37" spans="1:31">
      <c r="A37" s="1711"/>
      <c r="B37" s="116">
        <v>11</v>
      </c>
      <c r="C37" s="294">
        <f>ROUND($B$2*'CAR Stock'!F15/'CAR Stock'!$F$21,0)</f>
        <v>623</v>
      </c>
      <c r="D37" s="295">
        <f t="shared" si="7"/>
        <v>497</v>
      </c>
      <c r="E37" s="295">
        <f t="shared" si="6"/>
        <v>444</v>
      </c>
      <c r="F37" s="295">
        <f t="shared" si="6"/>
        <v>451</v>
      </c>
      <c r="G37" s="295">
        <f t="shared" si="6"/>
        <v>481</v>
      </c>
      <c r="H37" s="295">
        <f t="shared" si="6"/>
        <v>483</v>
      </c>
      <c r="I37" s="295">
        <f t="shared" si="6"/>
        <v>481</v>
      </c>
      <c r="J37" s="295">
        <f t="shared" si="6"/>
        <v>352</v>
      </c>
      <c r="K37" s="295">
        <f t="shared" si="6"/>
        <v>91</v>
      </c>
      <c r="L37" s="295">
        <f t="shared" si="6"/>
        <v>107</v>
      </c>
      <c r="M37" s="295">
        <f t="shared" si="6"/>
        <v>91</v>
      </c>
      <c r="N37" s="295">
        <f t="shared" si="6"/>
        <v>67</v>
      </c>
      <c r="O37" s="295">
        <f t="shared" si="6"/>
        <v>0</v>
      </c>
      <c r="P37" s="295">
        <f t="shared" si="6"/>
        <v>0</v>
      </c>
      <c r="Q37" s="295">
        <f t="shared" si="6"/>
        <v>0</v>
      </c>
      <c r="R37" s="295">
        <f t="shared" si="6"/>
        <v>0</v>
      </c>
      <c r="S37" s="295">
        <f t="shared" si="6"/>
        <v>0</v>
      </c>
      <c r="T37" s="295">
        <f t="shared" si="6"/>
        <v>0</v>
      </c>
      <c r="U37" s="295">
        <f t="shared" si="6"/>
        <v>0</v>
      </c>
      <c r="V37" s="295">
        <f t="shared" si="6"/>
        <v>0</v>
      </c>
      <c r="W37" s="295">
        <f t="shared" si="6"/>
        <v>0</v>
      </c>
      <c r="X37" s="295">
        <f t="shared" si="6"/>
        <v>0</v>
      </c>
      <c r="Y37" s="295">
        <f t="shared" si="6"/>
        <v>0</v>
      </c>
      <c r="Z37" s="295">
        <f t="shared" si="6"/>
        <v>0</v>
      </c>
      <c r="AA37" s="295">
        <f t="shared" si="6"/>
        <v>0</v>
      </c>
      <c r="AB37" s="295"/>
      <c r="AC37" s="295"/>
      <c r="AD37" s="295"/>
      <c r="AE37" s="296"/>
    </row>
    <row r="38" spans="1:31">
      <c r="A38" s="1711"/>
      <c r="B38" s="116">
        <v>12</v>
      </c>
      <c r="C38" s="294">
        <f>ROUND($B$2*'CAR Stock'!F16/'CAR Stock'!$F$21,0)</f>
        <v>724</v>
      </c>
      <c r="D38" s="295">
        <f t="shared" si="7"/>
        <v>398</v>
      </c>
      <c r="E38" s="295">
        <f t="shared" si="6"/>
        <v>317</v>
      </c>
      <c r="F38" s="295">
        <f t="shared" si="6"/>
        <v>283</v>
      </c>
      <c r="G38" s="295">
        <f t="shared" si="6"/>
        <v>288</v>
      </c>
      <c r="H38" s="295">
        <f t="shared" si="6"/>
        <v>307</v>
      </c>
      <c r="I38" s="295">
        <f t="shared" si="6"/>
        <v>308</v>
      </c>
      <c r="J38" s="295">
        <f t="shared" si="6"/>
        <v>307</v>
      </c>
      <c r="K38" s="295">
        <f t="shared" si="6"/>
        <v>225</v>
      </c>
      <c r="L38" s="295">
        <f t="shared" si="6"/>
        <v>58</v>
      </c>
      <c r="M38" s="295">
        <f t="shared" si="6"/>
        <v>68</v>
      </c>
      <c r="N38" s="295">
        <f t="shared" si="6"/>
        <v>58</v>
      </c>
      <c r="O38" s="295">
        <f t="shared" si="6"/>
        <v>43</v>
      </c>
      <c r="P38" s="295">
        <f t="shared" si="6"/>
        <v>0</v>
      </c>
      <c r="Q38" s="295">
        <f t="shared" si="6"/>
        <v>0</v>
      </c>
      <c r="R38" s="295">
        <f t="shared" si="6"/>
        <v>0</v>
      </c>
      <c r="S38" s="295">
        <f t="shared" si="6"/>
        <v>0</v>
      </c>
      <c r="T38" s="295">
        <f t="shared" si="6"/>
        <v>0</v>
      </c>
      <c r="U38" s="295">
        <f t="shared" si="6"/>
        <v>0</v>
      </c>
      <c r="V38" s="295">
        <f t="shared" ref="E38:AA49" si="8">ROUND(U37*$B97,0)</f>
        <v>0</v>
      </c>
      <c r="W38" s="295">
        <f t="shared" si="8"/>
        <v>0</v>
      </c>
      <c r="X38" s="295">
        <f t="shared" si="8"/>
        <v>0</v>
      </c>
      <c r="Y38" s="295">
        <f t="shared" si="8"/>
        <v>0</v>
      </c>
      <c r="Z38" s="295">
        <f t="shared" si="8"/>
        <v>0</v>
      </c>
      <c r="AA38" s="295">
        <f t="shared" si="8"/>
        <v>0</v>
      </c>
      <c r="AB38" s="295"/>
      <c r="AC38" s="295"/>
      <c r="AD38" s="295"/>
      <c r="AE38" s="296"/>
    </row>
    <row r="39" spans="1:31">
      <c r="A39" s="1711"/>
      <c r="B39" s="116">
        <v>13</v>
      </c>
      <c r="C39" s="294">
        <f>ROUND($B$2*'CAR Stock'!F17/'CAR Stock'!$F$21,0)</f>
        <v>434</v>
      </c>
      <c r="D39" s="295">
        <f t="shared" si="7"/>
        <v>371</v>
      </c>
      <c r="E39" s="295">
        <f t="shared" si="8"/>
        <v>204</v>
      </c>
      <c r="F39" s="295">
        <f t="shared" si="8"/>
        <v>163</v>
      </c>
      <c r="G39" s="295">
        <f t="shared" si="8"/>
        <v>145</v>
      </c>
      <c r="H39" s="295">
        <f t="shared" si="8"/>
        <v>148</v>
      </c>
      <c r="I39" s="295">
        <f t="shared" si="8"/>
        <v>158</v>
      </c>
      <c r="J39" s="295">
        <f t="shared" si="8"/>
        <v>158</v>
      </c>
      <c r="K39" s="295">
        <f t="shared" si="8"/>
        <v>158</v>
      </c>
      <c r="L39" s="295">
        <f t="shared" si="8"/>
        <v>115</v>
      </c>
      <c r="M39" s="295">
        <f t="shared" si="8"/>
        <v>30</v>
      </c>
      <c r="N39" s="295">
        <f t="shared" si="8"/>
        <v>35</v>
      </c>
      <c r="O39" s="295">
        <f t="shared" si="8"/>
        <v>30</v>
      </c>
      <c r="P39" s="295">
        <f t="shared" si="8"/>
        <v>22</v>
      </c>
      <c r="Q39" s="295">
        <f t="shared" si="8"/>
        <v>0</v>
      </c>
      <c r="R39" s="295">
        <f t="shared" si="8"/>
        <v>0</v>
      </c>
      <c r="S39" s="295">
        <f t="shared" si="8"/>
        <v>0</v>
      </c>
      <c r="T39" s="295">
        <f t="shared" si="8"/>
        <v>0</v>
      </c>
      <c r="U39" s="295">
        <f t="shared" si="8"/>
        <v>0</v>
      </c>
      <c r="V39" s="295">
        <f t="shared" si="8"/>
        <v>0</v>
      </c>
      <c r="W39" s="295">
        <f t="shared" si="8"/>
        <v>0</v>
      </c>
      <c r="X39" s="295">
        <f t="shared" si="8"/>
        <v>0</v>
      </c>
      <c r="Y39" s="295">
        <f t="shared" si="8"/>
        <v>0</v>
      </c>
      <c r="Z39" s="295">
        <f t="shared" si="8"/>
        <v>0</v>
      </c>
      <c r="AA39" s="295">
        <f t="shared" si="8"/>
        <v>0</v>
      </c>
      <c r="AB39" s="295"/>
      <c r="AC39" s="295"/>
      <c r="AD39" s="295"/>
      <c r="AE39" s="296"/>
    </row>
    <row r="40" spans="1:31">
      <c r="A40" s="1711"/>
      <c r="B40" s="116">
        <v>14</v>
      </c>
      <c r="C40" s="294">
        <f>ROUND($B$2*'CAR Stock'!F18/'CAR Stock'!$F$21,0)</f>
        <v>250</v>
      </c>
      <c r="D40" s="295">
        <f t="shared" si="7"/>
        <v>170</v>
      </c>
      <c r="E40" s="295">
        <f t="shared" si="8"/>
        <v>146</v>
      </c>
      <c r="F40" s="295">
        <f t="shared" si="8"/>
        <v>80</v>
      </c>
      <c r="G40" s="295">
        <f t="shared" si="8"/>
        <v>64</v>
      </c>
      <c r="H40" s="295">
        <f t="shared" si="8"/>
        <v>57</v>
      </c>
      <c r="I40" s="295">
        <f t="shared" si="8"/>
        <v>58</v>
      </c>
      <c r="J40" s="295">
        <f t="shared" si="8"/>
        <v>62</v>
      </c>
      <c r="K40" s="295">
        <f t="shared" si="8"/>
        <v>62</v>
      </c>
      <c r="L40" s="295">
        <f t="shared" si="8"/>
        <v>62</v>
      </c>
      <c r="M40" s="295">
        <f t="shared" si="8"/>
        <v>45</v>
      </c>
      <c r="N40" s="295">
        <f t="shared" si="8"/>
        <v>12</v>
      </c>
      <c r="O40" s="295">
        <f t="shared" si="8"/>
        <v>14</v>
      </c>
      <c r="P40" s="295">
        <f t="shared" si="8"/>
        <v>12</v>
      </c>
      <c r="Q40" s="295">
        <f t="shared" si="8"/>
        <v>9</v>
      </c>
      <c r="R40" s="295">
        <f t="shared" si="8"/>
        <v>0</v>
      </c>
      <c r="S40" s="295">
        <f t="shared" si="8"/>
        <v>0</v>
      </c>
      <c r="T40" s="295">
        <f t="shared" si="8"/>
        <v>0</v>
      </c>
      <c r="U40" s="295">
        <f t="shared" si="8"/>
        <v>0</v>
      </c>
      <c r="V40" s="295">
        <f t="shared" si="8"/>
        <v>0</v>
      </c>
      <c r="W40" s="295">
        <f t="shared" si="8"/>
        <v>0</v>
      </c>
      <c r="X40" s="295">
        <f t="shared" si="8"/>
        <v>0</v>
      </c>
      <c r="Y40" s="295">
        <f t="shared" si="8"/>
        <v>0</v>
      </c>
      <c r="Z40" s="295">
        <f t="shared" si="8"/>
        <v>0</v>
      </c>
      <c r="AA40" s="295">
        <f t="shared" si="8"/>
        <v>0</v>
      </c>
      <c r="AB40" s="295"/>
      <c r="AC40" s="295"/>
      <c r="AD40" s="295"/>
      <c r="AE40" s="296"/>
    </row>
    <row r="41" spans="1:31">
      <c r="A41" s="1711"/>
      <c r="B41" s="116">
        <v>15</v>
      </c>
      <c r="C41" s="294">
        <f>ROUND($B$2*'CAR Stock'!F19/'CAR Stock'!$F$21,0)</f>
        <v>168</v>
      </c>
      <c r="D41" s="295">
        <f t="shared" si="7"/>
        <v>72</v>
      </c>
      <c r="E41" s="295">
        <f t="shared" si="8"/>
        <v>49</v>
      </c>
      <c r="F41" s="295">
        <f t="shared" si="8"/>
        <v>42</v>
      </c>
      <c r="G41" s="295">
        <f t="shared" si="8"/>
        <v>23</v>
      </c>
      <c r="H41" s="295">
        <f t="shared" si="8"/>
        <v>18</v>
      </c>
      <c r="I41" s="295">
        <f t="shared" si="8"/>
        <v>16</v>
      </c>
      <c r="J41" s="295">
        <f t="shared" si="8"/>
        <v>17</v>
      </c>
      <c r="K41" s="295">
        <f t="shared" si="8"/>
        <v>18</v>
      </c>
      <c r="L41" s="295">
        <f t="shared" si="8"/>
        <v>18</v>
      </c>
      <c r="M41" s="295">
        <f t="shared" si="8"/>
        <v>18</v>
      </c>
      <c r="N41" s="295">
        <f t="shared" si="8"/>
        <v>13</v>
      </c>
      <c r="O41" s="295">
        <f t="shared" si="8"/>
        <v>3</v>
      </c>
      <c r="P41" s="295">
        <f t="shared" si="8"/>
        <v>4</v>
      </c>
      <c r="Q41" s="295">
        <f t="shared" si="8"/>
        <v>3</v>
      </c>
      <c r="R41" s="295">
        <f t="shared" si="8"/>
        <v>3</v>
      </c>
      <c r="S41" s="295">
        <f t="shared" si="8"/>
        <v>0</v>
      </c>
      <c r="T41" s="295">
        <f t="shared" si="8"/>
        <v>0</v>
      </c>
      <c r="U41" s="295">
        <f t="shared" si="8"/>
        <v>0</v>
      </c>
      <c r="V41" s="295">
        <f t="shared" si="8"/>
        <v>0</v>
      </c>
      <c r="W41" s="295">
        <f t="shared" si="8"/>
        <v>0</v>
      </c>
      <c r="X41" s="295">
        <f t="shared" si="8"/>
        <v>0</v>
      </c>
      <c r="Y41" s="295">
        <f t="shared" si="8"/>
        <v>0</v>
      </c>
      <c r="Z41" s="295">
        <f t="shared" si="8"/>
        <v>0</v>
      </c>
      <c r="AA41" s="295">
        <f t="shared" si="8"/>
        <v>0</v>
      </c>
      <c r="AB41" s="295"/>
      <c r="AC41" s="295"/>
      <c r="AD41" s="295"/>
      <c r="AE41" s="296"/>
    </row>
    <row r="42" spans="1:31">
      <c r="A42" s="1711"/>
      <c r="B42" s="116">
        <v>16</v>
      </c>
      <c r="C42" s="294">
        <f>ROUND($B$2*'CAR Stock'!F20/'CAR Stock'!$F$21,0)</f>
        <v>241</v>
      </c>
      <c r="D42" s="295">
        <f t="shared" si="7"/>
        <v>44</v>
      </c>
      <c r="E42" s="295">
        <f t="shared" si="8"/>
        <v>19</v>
      </c>
      <c r="F42" s="295">
        <f t="shared" si="8"/>
        <v>13</v>
      </c>
      <c r="G42" s="295">
        <f t="shared" si="8"/>
        <v>11</v>
      </c>
      <c r="H42" s="295">
        <f t="shared" si="8"/>
        <v>6</v>
      </c>
      <c r="I42" s="295">
        <f t="shared" si="8"/>
        <v>5</v>
      </c>
      <c r="J42" s="295">
        <f t="shared" si="8"/>
        <v>4</v>
      </c>
      <c r="K42" s="295">
        <f t="shared" si="8"/>
        <v>4</v>
      </c>
      <c r="L42" s="295">
        <f t="shared" si="8"/>
        <v>5</v>
      </c>
      <c r="M42" s="295">
        <f t="shared" si="8"/>
        <v>5</v>
      </c>
      <c r="N42" s="295">
        <f t="shared" si="8"/>
        <v>5</v>
      </c>
      <c r="O42" s="295">
        <f t="shared" si="8"/>
        <v>3</v>
      </c>
      <c r="P42" s="295">
        <f t="shared" si="8"/>
        <v>1</v>
      </c>
      <c r="Q42" s="295">
        <f t="shared" si="8"/>
        <v>1</v>
      </c>
      <c r="R42" s="295">
        <f t="shared" si="8"/>
        <v>1</v>
      </c>
      <c r="S42" s="295">
        <f t="shared" si="8"/>
        <v>1</v>
      </c>
      <c r="T42" s="295">
        <f t="shared" si="8"/>
        <v>0</v>
      </c>
      <c r="U42" s="295">
        <f t="shared" si="8"/>
        <v>0</v>
      </c>
      <c r="V42" s="295">
        <f t="shared" si="8"/>
        <v>0</v>
      </c>
      <c r="W42" s="295">
        <f t="shared" si="8"/>
        <v>0</v>
      </c>
      <c r="X42" s="295">
        <f t="shared" si="8"/>
        <v>0</v>
      </c>
      <c r="Y42" s="295">
        <f t="shared" si="8"/>
        <v>0</v>
      </c>
      <c r="Z42" s="295">
        <f t="shared" si="8"/>
        <v>0</v>
      </c>
      <c r="AA42" s="295">
        <f t="shared" si="8"/>
        <v>0</v>
      </c>
      <c r="AB42" s="295"/>
      <c r="AC42" s="295"/>
      <c r="AD42" s="295"/>
      <c r="AE42" s="296"/>
    </row>
    <row r="43" spans="1:31">
      <c r="A43" s="1711"/>
      <c r="B43" s="116">
        <v>17</v>
      </c>
      <c r="C43" s="294"/>
      <c r="D43" s="295">
        <f t="shared" si="7"/>
        <v>56</v>
      </c>
      <c r="E43" s="295">
        <f t="shared" si="8"/>
        <v>10</v>
      </c>
      <c r="F43" s="295">
        <f t="shared" si="8"/>
        <v>4</v>
      </c>
      <c r="G43" s="295">
        <f t="shared" si="8"/>
        <v>3</v>
      </c>
      <c r="H43" s="295">
        <f t="shared" si="8"/>
        <v>3</v>
      </c>
      <c r="I43" s="295">
        <f t="shared" si="8"/>
        <v>1</v>
      </c>
      <c r="J43" s="295">
        <f t="shared" si="8"/>
        <v>1</v>
      </c>
      <c r="K43" s="295">
        <f t="shared" si="8"/>
        <v>1</v>
      </c>
      <c r="L43" s="295">
        <f t="shared" si="8"/>
        <v>1</v>
      </c>
      <c r="M43" s="295">
        <f t="shared" si="8"/>
        <v>1</v>
      </c>
      <c r="N43" s="295">
        <f t="shared" si="8"/>
        <v>1</v>
      </c>
      <c r="O43" s="295">
        <f t="shared" si="8"/>
        <v>1</v>
      </c>
      <c r="P43" s="295">
        <f t="shared" si="8"/>
        <v>1</v>
      </c>
      <c r="Q43" s="295">
        <f t="shared" si="8"/>
        <v>0</v>
      </c>
      <c r="R43" s="295">
        <f t="shared" si="8"/>
        <v>0</v>
      </c>
      <c r="S43" s="295">
        <f t="shared" si="8"/>
        <v>0</v>
      </c>
      <c r="T43" s="295">
        <f t="shared" si="8"/>
        <v>0</v>
      </c>
      <c r="U43" s="295">
        <f t="shared" si="8"/>
        <v>0</v>
      </c>
      <c r="V43" s="295">
        <f t="shared" si="8"/>
        <v>0</v>
      </c>
      <c r="W43" s="295">
        <f t="shared" si="8"/>
        <v>0</v>
      </c>
      <c r="X43" s="295">
        <f t="shared" si="8"/>
        <v>0</v>
      </c>
      <c r="Y43" s="295">
        <f t="shared" si="8"/>
        <v>0</v>
      </c>
      <c r="Z43" s="295">
        <f t="shared" si="8"/>
        <v>0</v>
      </c>
      <c r="AA43" s="295">
        <f t="shared" si="8"/>
        <v>0</v>
      </c>
      <c r="AB43" s="295"/>
      <c r="AC43" s="295"/>
      <c r="AD43" s="295"/>
      <c r="AE43" s="296"/>
    </row>
    <row r="44" spans="1:31">
      <c r="A44" s="1711"/>
      <c r="B44" s="116">
        <v>18</v>
      </c>
      <c r="C44" s="294">
        <f>ROUND($B$2*'CAR Stock'!F22/'CAR Stock'!$F$21,0)</f>
        <v>0</v>
      </c>
      <c r="D44" s="295">
        <f t="shared" si="7"/>
        <v>0</v>
      </c>
      <c r="E44" s="295">
        <f t="shared" si="8"/>
        <v>11</v>
      </c>
      <c r="F44" s="295">
        <f t="shared" si="8"/>
        <v>2</v>
      </c>
      <c r="G44" s="295">
        <f t="shared" si="8"/>
        <v>1</v>
      </c>
      <c r="H44" s="295">
        <f t="shared" si="8"/>
        <v>1</v>
      </c>
      <c r="I44" s="295">
        <f t="shared" si="8"/>
        <v>1</v>
      </c>
      <c r="J44" s="295">
        <f t="shared" si="8"/>
        <v>0</v>
      </c>
      <c r="K44" s="295">
        <f t="shared" si="8"/>
        <v>0</v>
      </c>
      <c r="L44" s="295">
        <f t="shared" si="8"/>
        <v>0</v>
      </c>
      <c r="M44" s="295">
        <f t="shared" si="8"/>
        <v>0</v>
      </c>
      <c r="N44" s="295">
        <f t="shared" si="8"/>
        <v>0</v>
      </c>
      <c r="O44" s="295">
        <f t="shared" si="8"/>
        <v>0</v>
      </c>
      <c r="P44" s="295">
        <f t="shared" si="8"/>
        <v>0</v>
      </c>
      <c r="Q44" s="295">
        <f t="shared" si="8"/>
        <v>0</v>
      </c>
      <c r="R44" s="295">
        <f t="shared" si="8"/>
        <v>0</v>
      </c>
      <c r="S44" s="295">
        <f t="shared" si="8"/>
        <v>0</v>
      </c>
      <c r="T44" s="295">
        <f t="shared" si="8"/>
        <v>0</v>
      </c>
      <c r="U44" s="295">
        <f t="shared" si="8"/>
        <v>0</v>
      </c>
      <c r="V44" s="295">
        <f t="shared" si="8"/>
        <v>0</v>
      </c>
      <c r="W44" s="295">
        <f t="shared" si="8"/>
        <v>0</v>
      </c>
      <c r="X44" s="295">
        <f t="shared" si="8"/>
        <v>0</v>
      </c>
      <c r="Y44" s="295">
        <f t="shared" si="8"/>
        <v>0</v>
      </c>
      <c r="Z44" s="295">
        <f t="shared" si="8"/>
        <v>0</v>
      </c>
      <c r="AA44" s="295">
        <f t="shared" si="8"/>
        <v>0</v>
      </c>
      <c r="AB44" s="295"/>
      <c r="AC44" s="295"/>
      <c r="AD44" s="295"/>
      <c r="AE44" s="296"/>
    </row>
    <row r="45" spans="1:31">
      <c r="A45" s="1711"/>
      <c r="B45" s="116">
        <v>19</v>
      </c>
      <c r="C45" s="294">
        <f>ROUND($B$2*'CAR Stock'!F23/'CAR Stock'!$F$21,0)</f>
        <v>0</v>
      </c>
      <c r="D45" s="295">
        <f t="shared" si="7"/>
        <v>0</v>
      </c>
      <c r="E45" s="295">
        <f t="shared" si="8"/>
        <v>0</v>
      </c>
      <c r="F45" s="295">
        <f t="shared" si="8"/>
        <v>2</v>
      </c>
      <c r="G45" s="295">
        <f t="shared" si="8"/>
        <v>0</v>
      </c>
      <c r="H45" s="295">
        <f t="shared" si="8"/>
        <v>0</v>
      </c>
      <c r="I45" s="295">
        <f t="shared" si="8"/>
        <v>0</v>
      </c>
      <c r="J45" s="295">
        <f t="shared" si="8"/>
        <v>0</v>
      </c>
      <c r="K45" s="295">
        <f t="shared" si="8"/>
        <v>0</v>
      </c>
      <c r="L45" s="295">
        <f t="shared" si="8"/>
        <v>0</v>
      </c>
      <c r="M45" s="295">
        <f t="shared" si="8"/>
        <v>0</v>
      </c>
      <c r="N45" s="295">
        <f t="shared" si="8"/>
        <v>0</v>
      </c>
      <c r="O45" s="295">
        <f t="shared" si="8"/>
        <v>0</v>
      </c>
      <c r="P45" s="295">
        <f t="shared" si="8"/>
        <v>0</v>
      </c>
      <c r="Q45" s="295">
        <f t="shared" si="8"/>
        <v>0</v>
      </c>
      <c r="R45" s="295">
        <f t="shared" si="8"/>
        <v>0</v>
      </c>
      <c r="S45" s="295">
        <f t="shared" si="8"/>
        <v>0</v>
      </c>
      <c r="T45" s="295">
        <f t="shared" si="8"/>
        <v>0</v>
      </c>
      <c r="U45" s="295">
        <f t="shared" si="8"/>
        <v>0</v>
      </c>
      <c r="V45" s="295">
        <f t="shared" si="8"/>
        <v>0</v>
      </c>
      <c r="W45" s="295">
        <f t="shared" si="8"/>
        <v>0</v>
      </c>
      <c r="X45" s="295">
        <f t="shared" si="8"/>
        <v>0</v>
      </c>
      <c r="Y45" s="295">
        <f t="shared" si="8"/>
        <v>0</v>
      </c>
      <c r="Z45" s="295">
        <f t="shared" si="8"/>
        <v>0</v>
      </c>
      <c r="AA45" s="295">
        <f t="shared" si="8"/>
        <v>0</v>
      </c>
      <c r="AB45" s="295"/>
      <c r="AC45" s="295"/>
      <c r="AD45" s="295"/>
      <c r="AE45" s="296"/>
    </row>
    <row r="46" spans="1:31">
      <c r="A46" s="1711"/>
      <c r="B46" s="116">
        <v>20</v>
      </c>
      <c r="C46" s="294"/>
      <c r="D46" s="295">
        <f t="shared" si="7"/>
        <v>0</v>
      </c>
      <c r="E46" s="295">
        <f t="shared" si="8"/>
        <v>0</v>
      </c>
      <c r="F46" s="295">
        <f t="shared" si="8"/>
        <v>0</v>
      </c>
      <c r="G46" s="295">
        <f t="shared" si="8"/>
        <v>0</v>
      </c>
      <c r="H46" s="295">
        <f t="shared" si="8"/>
        <v>0</v>
      </c>
      <c r="I46" s="295">
        <f t="shared" si="8"/>
        <v>0</v>
      </c>
      <c r="J46" s="295">
        <f t="shared" si="8"/>
        <v>0</v>
      </c>
      <c r="K46" s="295">
        <f t="shared" si="8"/>
        <v>0</v>
      </c>
      <c r="L46" s="295">
        <f t="shared" si="8"/>
        <v>0</v>
      </c>
      <c r="M46" s="295">
        <f t="shared" si="8"/>
        <v>0</v>
      </c>
      <c r="N46" s="295">
        <f t="shared" si="8"/>
        <v>0</v>
      </c>
      <c r="O46" s="295">
        <f t="shared" si="8"/>
        <v>0</v>
      </c>
      <c r="P46" s="295">
        <f t="shared" si="8"/>
        <v>0</v>
      </c>
      <c r="Q46" s="295">
        <f t="shared" si="8"/>
        <v>0</v>
      </c>
      <c r="R46" s="295">
        <f t="shared" si="8"/>
        <v>0</v>
      </c>
      <c r="S46" s="295">
        <f t="shared" si="8"/>
        <v>0</v>
      </c>
      <c r="T46" s="295">
        <f t="shared" si="8"/>
        <v>0</v>
      </c>
      <c r="U46" s="295">
        <f t="shared" si="8"/>
        <v>0</v>
      </c>
      <c r="V46" s="295">
        <f t="shared" si="8"/>
        <v>0</v>
      </c>
      <c r="W46" s="295">
        <f t="shared" si="8"/>
        <v>0</v>
      </c>
      <c r="X46" s="295">
        <f t="shared" si="8"/>
        <v>0</v>
      </c>
      <c r="Y46" s="295">
        <f t="shared" si="8"/>
        <v>0</v>
      </c>
      <c r="Z46" s="295">
        <f t="shared" si="8"/>
        <v>0</v>
      </c>
      <c r="AA46" s="295">
        <f t="shared" si="8"/>
        <v>0</v>
      </c>
      <c r="AB46" s="295"/>
      <c r="AC46" s="295"/>
      <c r="AD46" s="295"/>
      <c r="AE46" s="296"/>
    </row>
    <row r="47" spans="1:31">
      <c r="A47" s="1711"/>
      <c r="B47" s="116">
        <v>21</v>
      </c>
      <c r="C47" s="294">
        <f>ROUND($B$2*'CAR Stock'!F25/'CAR Stock'!$F$21,0)</f>
        <v>0</v>
      </c>
      <c r="D47" s="295">
        <f t="shared" si="7"/>
        <v>0</v>
      </c>
      <c r="E47" s="295">
        <f t="shared" si="8"/>
        <v>0</v>
      </c>
      <c r="F47" s="295">
        <f t="shared" si="8"/>
        <v>0</v>
      </c>
      <c r="G47" s="295">
        <f t="shared" si="8"/>
        <v>0</v>
      </c>
      <c r="H47" s="295">
        <f t="shared" si="8"/>
        <v>0</v>
      </c>
      <c r="I47" s="295">
        <f t="shared" si="8"/>
        <v>0</v>
      </c>
      <c r="J47" s="295">
        <f t="shared" si="8"/>
        <v>0</v>
      </c>
      <c r="K47" s="295">
        <f t="shared" si="8"/>
        <v>0</v>
      </c>
      <c r="L47" s="295">
        <f t="shared" si="8"/>
        <v>0</v>
      </c>
      <c r="M47" s="295">
        <f t="shared" si="8"/>
        <v>0</v>
      </c>
      <c r="N47" s="295">
        <f t="shared" si="8"/>
        <v>0</v>
      </c>
      <c r="O47" s="295">
        <f t="shared" si="8"/>
        <v>0</v>
      </c>
      <c r="P47" s="295">
        <f t="shared" si="8"/>
        <v>0</v>
      </c>
      <c r="Q47" s="295">
        <f t="shared" si="8"/>
        <v>0</v>
      </c>
      <c r="R47" s="295">
        <f t="shared" si="8"/>
        <v>0</v>
      </c>
      <c r="S47" s="295">
        <f t="shared" si="8"/>
        <v>0</v>
      </c>
      <c r="T47" s="295">
        <f t="shared" si="8"/>
        <v>0</v>
      </c>
      <c r="U47" s="295">
        <f t="shared" si="8"/>
        <v>0</v>
      </c>
      <c r="V47" s="295">
        <f t="shared" si="8"/>
        <v>0</v>
      </c>
      <c r="W47" s="295">
        <f t="shared" si="8"/>
        <v>0</v>
      </c>
      <c r="X47" s="295">
        <f t="shared" si="8"/>
        <v>0</v>
      </c>
      <c r="Y47" s="295">
        <f t="shared" si="8"/>
        <v>0</v>
      </c>
      <c r="Z47" s="295">
        <f t="shared" si="8"/>
        <v>0</v>
      </c>
      <c r="AA47" s="295">
        <f t="shared" si="8"/>
        <v>0</v>
      </c>
      <c r="AB47" s="295"/>
      <c r="AC47" s="295"/>
      <c r="AD47" s="295"/>
      <c r="AE47" s="296"/>
    </row>
    <row r="48" spans="1:31">
      <c r="A48" s="1711"/>
      <c r="B48" s="116">
        <v>22</v>
      </c>
      <c r="C48" s="294">
        <f>ROUND($B$2*'CAR Stock'!F26/'CAR Stock'!$F$21,0)</f>
        <v>0</v>
      </c>
      <c r="D48" s="295">
        <f t="shared" si="7"/>
        <v>0</v>
      </c>
      <c r="E48" s="295">
        <f t="shared" si="8"/>
        <v>0</v>
      </c>
      <c r="F48" s="295">
        <f t="shared" si="8"/>
        <v>0</v>
      </c>
      <c r="G48" s="295">
        <f t="shared" si="8"/>
        <v>0</v>
      </c>
      <c r="H48" s="295">
        <f t="shared" si="8"/>
        <v>0</v>
      </c>
      <c r="I48" s="295">
        <f t="shared" si="8"/>
        <v>0</v>
      </c>
      <c r="J48" s="295">
        <f t="shared" si="8"/>
        <v>0</v>
      </c>
      <c r="K48" s="295">
        <f t="shared" si="8"/>
        <v>0</v>
      </c>
      <c r="L48" s="295">
        <f t="shared" si="8"/>
        <v>0</v>
      </c>
      <c r="M48" s="295">
        <f t="shared" si="8"/>
        <v>0</v>
      </c>
      <c r="N48" s="295">
        <f t="shared" si="8"/>
        <v>0</v>
      </c>
      <c r="O48" s="295">
        <f t="shared" si="8"/>
        <v>0</v>
      </c>
      <c r="P48" s="295">
        <f t="shared" si="8"/>
        <v>0</v>
      </c>
      <c r="Q48" s="295">
        <f t="shared" si="8"/>
        <v>0</v>
      </c>
      <c r="R48" s="295">
        <f t="shared" si="8"/>
        <v>0</v>
      </c>
      <c r="S48" s="295">
        <f t="shared" si="8"/>
        <v>0</v>
      </c>
      <c r="T48" s="295">
        <f t="shared" si="8"/>
        <v>0</v>
      </c>
      <c r="U48" s="295">
        <f t="shared" si="8"/>
        <v>0</v>
      </c>
      <c r="V48" s="295">
        <f t="shared" si="8"/>
        <v>0</v>
      </c>
      <c r="W48" s="295">
        <f t="shared" si="8"/>
        <v>0</v>
      </c>
      <c r="X48" s="295">
        <f t="shared" si="8"/>
        <v>0</v>
      </c>
      <c r="Y48" s="295">
        <f t="shared" si="8"/>
        <v>0</v>
      </c>
      <c r="Z48" s="295">
        <f t="shared" si="8"/>
        <v>0</v>
      </c>
      <c r="AA48" s="295">
        <f t="shared" si="8"/>
        <v>0</v>
      </c>
      <c r="AB48" s="295"/>
      <c r="AC48" s="295"/>
      <c r="AD48" s="295"/>
      <c r="AE48" s="296"/>
    </row>
    <row r="49" spans="1:31">
      <c r="A49" s="1711"/>
      <c r="B49" s="116">
        <v>23</v>
      </c>
      <c r="C49" s="294">
        <f>ROUND($B$2*'CAR Stock'!F27/'CAR Stock'!$F$21,0)</f>
        <v>0</v>
      </c>
      <c r="D49" s="295">
        <f t="shared" si="7"/>
        <v>0</v>
      </c>
      <c r="E49" s="295">
        <f t="shared" si="8"/>
        <v>0</v>
      </c>
      <c r="F49" s="295">
        <f t="shared" si="8"/>
        <v>0</v>
      </c>
      <c r="G49" s="295">
        <f t="shared" si="8"/>
        <v>0</v>
      </c>
      <c r="H49" s="295">
        <f t="shared" si="8"/>
        <v>0</v>
      </c>
      <c r="I49" s="295">
        <f t="shared" si="8"/>
        <v>0</v>
      </c>
      <c r="J49" s="295">
        <f t="shared" si="8"/>
        <v>0</v>
      </c>
      <c r="K49" s="295">
        <f t="shared" si="8"/>
        <v>0</v>
      </c>
      <c r="L49" s="295">
        <f t="shared" si="8"/>
        <v>0</v>
      </c>
      <c r="M49" s="295">
        <f t="shared" si="8"/>
        <v>0</v>
      </c>
      <c r="N49" s="295">
        <f t="shared" si="8"/>
        <v>0</v>
      </c>
      <c r="O49" s="295">
        <f t="shared" si="8"/>
        <v>0</v>
      </c>
      <c r="P49" s="295">
        <f t="shared" si="8"/>
        <v>0</v>
      </c>
      <c r="Q49" s="295">
        <f t="shared" si="8"/>
        <v>0</v>
      </c>
      <c r="R49" s="295">
        <f t="shared" si="8"/>
        <v>0</v>
      </c>
      <c r="S49" s="295">
        <f t="shared" si="8"/>
        <v>0</v>
      </c>
      <c r="T49" s="295">
        <f t="shared" si="8"/>
        <v>0</v>
      </c>
      <c r="U49" s="295">
        <f t="shared" si="8"/>
        <v>0</v>
      </c>
      <c r="V49" s="295">
        <f t="shared" si="8"/>
        <v>0</v>
      </c>
      <c r="W49" s="295">
        <f t="shared" si="8"/>
        <v>0</v>
      </c>
      <c r="X49" s="295">
        <f t="shared" ref="E49:AA51" si="9">ROUND(W48*$B108,0)</f>
        <v>0</v>
      </c>
      <c r="Y49" s="295">
        <f t="shared" si="9"/>
        <v>0</v>
      </c>
      <c r="Z49" s="295">
        <f t="shared" si="9"/>
        <v>0</v>
      </c>
      <c r="AA49" s="295">
        <f t="shared" si="9"/>
        <v>0</v>
      </c>
      <c r="AB49" s="295"/>
      <c r="AC49" s="295"/>
      <c r="AD49" s="295"/>
      <c r="AE49" s="296"/>
    </row>
    <row r="50" spans="1:31">
      <c r="A50" s="1711"/>
      <c r="B50" s="116">
        <v>24</v>
      </c>
      <c r="C50" s="294">
        <f>ROUND($B$2*'CAR Stock'!F28/'CAR Stock'!$F$21,0)</f>
        <v>0</v>
      </c>
      <c r="D50" s="295">
        <f t="shared" si="7"/>
        <v>0</v>
      </c>
      <c r="E50" s="295">
        <f t="shared" si="9"/>
        <v>0</v>
      </c>
      <c r="F50" s="295">
        <f t="shared" si="9"/>
        <v>0</v>
      </c>
      <c r="G50" s="295">
        <f t="shared" si="9"/>
        <v>0</v>
      </c>
      <c r="H50" s="295">
        <f t="shared" si="9"/>
        <v>0</v>
      </c>
      <c r="I50" s="295">
        <f t="shared" si="9"/>
        <v>0</v>
      </c>
      <c r="J50" s="295">
        <f t="shared" si="9"/>
        <v>0</v>
      </c>
      <c r="K50" s="295">
        <f t="shared" si="9"/>
        <v>0</v>
      </c>
      <c r="L50" s="295">
        <f t="shared" si="9"/>
        <v>0</v>
      </c>
      <c r="M50" s="295">
        <f t="shared" si="9"/>
        <v>0</v>
      </c>
      <c r="N50" s="295">
        <f t="shared" si="9"/>
        <v>0</v>
      </c>
      <c r="O50" s="295">
        <f t="shared" si="9"/>
        <v>0</v>
      </c>
      <c r="P50" s="295">
        <f t="shared" si="9"/>
        <v>0</v>
      </c>
      <c r="Q50" s="295">
        <f t="shared" si="9"/>
        <v>0</v>
      </c>
      <c r="R50" s="295">
        <f t="shared" si="9"/>
        <v>0</v>
      </c>
      <c r="S50" s="295">
        <f t="shared" si="9"/>
        <v>0</v>
      </c>
      <c r="T50" s="295">
        <f t="shared" si="9"/>
        <v>0</v>
      </c>
      <c r="U50" s="295">
        <f t="shared" si="9"/>
        <v>0</v>
      </c>
      <c r="V50" s="295">
        <f t="shared" si="9"/>
        <v>0</v>
      </c>
      <c r="W50" s="295">
        <f t="shared" si="9"/>
        <v>0</v>
      </c>
      <c r="X50" s="295">
        <f t="shared" si="9"/>
        <v>0</v>
      </c>
      <c r="Y50" s="295">
        <f t="shared" si="9"/>
        <v>0</v>
      </c>
      <c r="Z50" s="295">
        <f t="shared" si="9"/>
        <v>0</v>
      </c>
      <c r="AA50" s="295">
        <f t="shared" si="9"/>
        <v>0</v>
      </c>
      <c r="AB50" s="295"/>
      <c r="AC50" s="295"/>
      <c r="AD50" s="295"/>
      <c r="AE50" s="296"/>
    </row>
    <row r="51" spans="1:31" ht="15.75" thickBot="1">
      <c r="A51" s="1711"/>
      <c r="B51" s="116">
        <v>25</v>
      </c>
      <c r="C51" s="297">
        <f>ROUND($B$2*'CAR Stock'!F29/'CAR Stock'!$F$21,0)</f>
        <v>0</v>
      </c>
      <c r="D51" s="298">
        <f t="shared" si="7"/>
        <v>0</v>
      </c>
      <c r="E51" s="298">
        <f t="shared" si="9"/>
        <v>0</v>
      </c>
      <c r="F51" s="298">
        <f t="shared" si="9"/>
        <v>0</v>
      </c>
      <c r="G51" s="298">
        <f t="shared" si="9"/>
        <v>0</v>
      </c>
      <c r="H51" s="298">
        <f t="shared" si="9"/>
        <v>0</v>
      </c>
      <c r="I51" s="298">
        <f t="shared" si="9"/>
        <v>0</v>
      </c>
      <c r="J51" s="298">
        <f t="shared" si="9"/>
        <v>0</v>
      </c>
      <c r="K51" s="298">
        <f t="shared" si="9"/>
        <v>0</v>
      </c>
      <c r="L51" s="298">
        <f t="shared" si="9"/>
        <v>0</v>
      </c>
      <c r="M51" s="298">
        <f t="shared" si="9"/>
        <v>0</v>
      </c>
      <c r="N51" s="298">
        <f t="shared" si="9"/>
        <v>0</v>
      </c>
      <c r="O51" s="298">
        <f t="shared" si="9"/>
        <v>0</v>
      </c>
      <c r="P51" s="298">
        <f t="shared" si="9"/>
        <v>0</v>
      </c>
      <c r="Q51" s="298">
        <f t="shared" si="9"/>
        <v>0</v>
      </c>
      <c r="R51" s="298">
        <f t="shared" si="9"/>
        <v>0</v>
      </c>
      <c r="S51" s="298">
        <f t="shared" si="9"/>
        <v>0</v>
      </c>
      <c r="T51" s="298">
        <f t="shared" si="9"/>
        <v>0</v>
      </c>
      <c r="U51" s="298">
        <f t="shared" si="9"/>
        <v>0</v>
      </c>
      <c r="V51" s="298">
        <f t="shared" si="9"/>
        <v>0</v>
      </c>
      <c r="W51" s="298">
        <f t="shared" si="9"/>
        <v>0</v>
      </c>
      <c r="X51" s="298">
        <f t="shared" si="9"/>
        <v>0</v>
      </c>
      <c r="Y51" s="298">
        <f t="shared" si="9"/>
        <v>0</v>
      </c>
      <c r="Z51" s="298">
        <f t="shared" si="9"/>
        <v>0</v>
      </c>
      <c r="AA51" s="298">
        <f t="shared" si="9"/>
        <v>0</v>
      </c>
      <c r="AB51" s="298"/>
      <c r="AC51" s="298"/>
      <c r="AD51" s="298"/>
      <c r="AE51" s="299"/>
    </row>
    <row r="52" spans="1:31" ht="16.5" thickTop="1" thickBot="1">
      <c r="A52" s="1712"/>
      <c r="B52" s="300" t="s">
        <v>39</v>
      </c>
      <c r="C52" s="301">
        <f>SUM(C26:C51)</f>
        <v>7993</v>
      </c>
      <c r="D52" s="301">
        <f>SUM(D26:D51)</f>
        <v>6369</v>
      </c>
      <c r="E52" s="301">
        <f t="shared" ref="E52:AB52" si="10">SUM(E26:E51)</f>
        <v>5235</v>
      </c>
      <c r="F52" s="301">
        <f t="shared" si="10"/>
        <v>4332</v>
      </c>
      <c r="G52" s="301">
        <f t="shared" si="10"/>
        <v>3528</v>
      </c>
      <c r="H52" s="301">
        <f t="shared" si="10"/>
        <v>2768</v>
      </c>
      <c r="I52" s="301">
        <f t="shared" si="10"/>
        <v>2058</v>
      </c>
      <c r="J52" s="301">
        <f t="shared" si="10"/>
        <v>1440</v>
      </c>
      <c r="K52" s="301">
        <f t="shared" si="10"/>
        <v>946</v>
      </c>
      <c r="L52" s="301">
        <f t="shared" si="10"/>
        <v>587</v>
      </c>
      <c r="M52" s="301">
        <f t="shared" si="10"/>
        <v>346</v>
      </c>
      <c r="N52" s="301">
        <f t="shared" si="10"/>
        <v>191</v>
      </c>
      <c r="O52" s="301">
        <f t="shared" si="10"/>
        <v>94</v>
      </c>
      <c r="P52" s="301">
        <f t="shared" si="10"/>
        <v>40</v>
      </c>
      <c r="Q52" s="301">
        <f t="shared" si="10"/>
        <v>13</v>
      </c>
      <c r="R52" s="301">
        <f t="shared" si="10"/>
        <v>4</v>
      </c>
      <c r="S52" s="301">
        <f t="shared" si="10"/>
        <v>1</v>
      </c>
      <c r="T52" s="301">
        <f t="shared" si="10"/>
        <v>0</v>
      </c>
      <c r="U52" s="301">
        <f t="shared" si="10"/>
        <v>0</v>
      </c>
      <c r="V52" s="301">
        <f t="shared" si="10"/>
        <v>0</v>
      </c>
      <c r="W52" s="301">
        <f t="shared" si="10"/>
        <v>0</v>
      </c>
      <c r="X52" s="301">
        <f t="shared" si="10"/>
        <v>0</v>
      </c>
      <c r="Y52" s="301">
        <f t="shared" si="10"/>
        <v>0</v>
      </c>
      <c r="Z52" s="301">
        <f t="shared" si="10"/>
        <v>0</v>
      </c>
      <c r="AA52" s="301">
        <f t="shared" si="10"/>
        <v>0</v>
      </c>
      <c r="AB52" s="301">
        <f t="shared" si="10"/>
        <v>0</v>
      </c>
      <c r="AC52" s="301">
        <f>SUM(AC26:AC51)</f>
        <v>0</v>
      </c>
      <c r="AD52" s="301">
        <f t="shared" ref="AD52:AE52" si="11">SUM(AD26:AD51)</f>
        <v>0</v>
      </c>
      <c r="AE52" s="302">
        <f t="shared" si="11"/>
        <v>0</v>
      </c>
    </row>
    <row r="53" spans="1:31" ht="15.75" thickBot="1">
      <c r="A53" s="650"/>
      <c r="B53" s="650"/>
      <c r="C53" s="650"/>
      <c r="D53" s="650"/>
      <c r="E53" s="650"/>
      <c r="F53" s="650"/>
      <c r="G53" s="650"/>
      <c r="H53" s="650"/>
      <c r="I53" s="650"/>
      <c r="J53" s="650"/>
      <c r="K53" s="650"/>
      <c r="L53" s="650"/>
      <c r="M53" s="650"/>
      <c r="N53" s="650"/>
      <c r="O53" s="650"/>
      <c r="P53" s="650"/>
      <c r="Q53" s="650"/>
      <c r="R53" s="650"/>
      <c r="S53" s="650"/>
      <c r="T53" s="650"/>
      <c r="U53" s="650"/>
      <c r="V53" s="650"/>
      <c r="W53" s="650"/>
      <c r="X53" s="650"/>
      <c r="Y53" s="650"/>
      <c r="Z53" s="650"/>
      <c r="AA53" s="650"/>
      <c r="AB53" s="650"/>
      <c r="AC53" s="650"/>
      <c r="AD53" s="650"/>
      <c r="AE53" s="650"/>
    </row>
    <row r="54" spans="1:31" ht="15.75" customHeight="1" thickBot="1">
      <c r="A54" s="1710" t="s">
        <v>935</v>
      </c>
      <c r="B54" s="169" t="s">
        <v>10</v>
      </c>
      <c r="C54" s="288">
        <v>2012</v>
      </c>
      <c r="D54" s="289">
        <v>2013</v>
      </c>
      <c r="E54" s="289">
        <v>2014</v>
      </c>
      <c r="F54" s="289">
        <v>2015</v>
      </c>
      <c r="G54" s="288">
        <v>2016</v>
      </c>
      <c r="H54" s="289">
        <v>2017</v>
      </c>
      <c r="I54" s="289">
        <v>2018</v>
      </c>
      <c r="J54" s="289">
        <v>2019</v>
      </c>
      <c r="K54" s="288">
        <v>2020</v>
      </c>
      <c r="L54" s="289">
        <v>2021</v>
      </c>
      <c r="M54" s="289">
        <v>2022</v>
      </c>
      <c r="N54" s="289">
        <v>2023</v>
      </c>
      <c r="O54" s="288">
        <v>2024</v>
      </c>
      <c r="P54" s="289">
        <v>2025</v>
      </c>
      <c r="Q54" s="289">
        <v>2026</v>
      </c>
      <c r="R54" s="289">
        <v>2027</v>
      </c>
      <c r="S54" s="288">
        <v>2028</v>
      </c>
      <c r="T54" s="289">
        <v>2029</v>
      </c>
      <c r="U54" s="289">
        <v>2030</v>
      </c>
      <c r="V54" s="289">
        <v>2031</v>
      </c>
      <c r="W54" s="288">
        <v>2032</v>
      </c>
      <c r="X54" s="289">
        <v>2033</v>
      </c>
      <c r="Y54" s="289">
        <v>2034</v>
      </c>
      <c r="Z54" s="289">
        <v>2035</v>
      </c>
      <c r="AA54" s="288">
        <v>2036</v>
      </c>
      <c r="AB54" s="289">
        <v>2037</v>
      </c>
      <c r="AC54" s="289">
        <v>2038</v>
      </c>
      <c r="AD54" s="289">
        <v>2039</v>
      </c>
      <c r="AE54" s="290">
        <v>2040</v>
      </c>
    </row>
    <row r="55" spans="1:31" ht="15.75" customHeight="1">
      <c r="A55" s="1711" t="s">
        <v>41</v>
      </c>
      <c r="B55" s="116">
        <v>0</v>
      </c>
      <c r="C55" s="291">
        <f>ROUND($B$3*'CAR Stock'!M4/'CAR Stock'!$M$21,0)</f>
        <v>1421</v>
      </c>
      <c r="D55" s="292"/>
      <c r="E55" s="292"/>
      <c r="F55" s="292"/>
      <c r="G55" s="292"/>
      <c r="H55" s="292"/>
      <c r="I55" s="292"/>
      <c r="J55" s="292"/>
      <c r="K55" s="292"/>
      <c r="L55" s="292"/>
      <c r="M55" s="292"/>
      <c r="N55" s="292"/>
      <c r="O55" s="292"/>
      <c r="P55" s="292"/>
      <c r="Q55" s="292"/>
      <c r="R55" s="292"/>
      <c r="S55" s="292"/>
      <c r="T55" s="292"/>
      <c r="U55" s="292"/>
      <c r="V55" s="292"/>
      <c r="W55" s="292"/>
      <c r="X55" s="292"/>
      <c r="Y55" s="292"/>
      <c r="Z55" s="292"/>
      <c r="AA55" s="292"/>
      <c r="AB55" s="292"/>
      <c r="AC55" s="292"/>
      <c r="AD55" s="292"/>
      <c r="AE55" s="293"/>
    </row>
    <row r="56" spans="1:31">
      <c r="A56" s="1711"/>
      <c r="B56" s="116">
        <v>1</v>
      </c>
      <c r="C56" s="294">
        <f>ROUND($B$3*'CAR Stock'!M5/'CAR Stock'!$M$21,0)</f>
        <v>1677</v>
      </c>
      <c r="D56" s="295">
        <f>ROUND(C55*$C86,0)</f>
        <v>1421</v>
      </c>
      <c r="E56" s="295">
        <f t="shared" ref="E56:AB67" si="12">ROUND(D55*$C86,0)</f>
        <v>0</v>
      </c>
      <c r="F56" s="295">
        <f t="shared" si="12"/>
        <v>0</v>
      </c>
      <c r="G56" s="295">
        <f t="shared" si="12"/>
        <v>0</v>
      </c>
      <c r="H56" s="295">
        <f t="shared" si="12"/>
        <v>0</v>
      </c>
      <c r="I56" s="295">
        <f t="shared" si="12"/>
        <v>0</v>
      </c>
      <c r="J56" s="295">
        <f t="shared" si="12"/>
        <v>0</v>
      </c>
      <c r="K56" s="295">
        <f t="shared" si="12"/>
        <v>0</v>
      </c>
      <c r="L56" s="295">
        <f t="shared" si="12"/>
        <v>0</v>
      </c>
      <c r="M56" s="295">
        <f t="shared" si="12"/>
        <v>0</v>
      </c>
      <c r="N56" s="295">
        <f t="shared" si="12"/>
        <v>0</v>
      </c>
      <c r="O56" s="295">
        <f t="shared" si="12"/>
        <v>0</v>
      </c>
      <c r="P56" s="295">
        <f t="shared" si="12"/>
        <v>0</v>
      </c>
      <c r="Q56" s="295">
        <f t="shared" si="12"/>
        <v>0</v>
      </c>
      <c r="R56" s="295">
        <f t="shared" si="12"/>
        <v>0</v>
      </c>
      <c r="S56" s="295">
        <f t="shared" si="12"/>
        <v>0</v>
      </c>
      <c r="T56" s="295">
        <f t="shared" si="12"/>
        <v>0</v>
      </c>
      <c r="U56" s="295">
        <f t="shared" si="12"/>
        <v>0</v>
      </c>
      <c r="V56" s="295">
        <f t="shared" si="12"/>
        <v>0</v>
      </c>
      <c r="W56" s="295">
        <f t="shared" si="12"/>
        <v>0</v>
      </c>
      <c r="X56" s="295">
        <f t="shared" si="12"/>
        <v>0</v>
      </c>
      <c r="Y56" s="295">
        <f t="shared" si="12"/>
        <v>0</v>
      </c>
      <c r="Z56" s="295">
        <f t="shared" si="12"/>
        <v>0</v>
      </c>
      <c r="AA56" s="295">
        <f t="shared" si="12"/>
        <v>0</v>
      </c>
      <c r="AB56" s="295">
        <f t="shared" si="12"/>
        <v>0</v>
      </c>
      <c r="AC56" s="295"/>
      <c r="AD56" s="295"/>
      <c r="AE56" s="296"/>
    </row>
    <row r="57" spans="1:31">
      <c r="A57" s="1711"/>
      <c r="B57" s="116">
        <v>2</v>
      </c>
      <c r="C57" s="294">
        <f>ROUND($B$3*'CAR Stock'!M6/'CAR Stock'!$M$21,0)</f>
        <v>1628</v>
      </c>
      <c r="D57" s="295">
        <f t="shared" ref="D57:S80" si="13">ROUND(C56*$C87,0)</f>
        <v>1677</v>
      </c>
      <c r="E57" s="295">
        <f t="shared" si="13"/>
        <v>1421</v>
      </c>
      <c r="F57" s="295">
        <f t="shared" si="13"/>
        <v>0</v>
      </c>
      <c r="G57" s="295">
        <f t="shared" si="13"/>
        <v>0</v>
      </c>
      <c r="H57" s="295">
        <f t="shared" si="13"/>
        <v>0</v>
      </c>
      <c r="I57" s="295">
        <f t="shared" si="13"/>
        <v>0</v>
      </c>
      <c r="J57" s="295">
        <f t="shared" si="13"/>
        <v>0</v>
      </c>
      <c r="K57" s="295">
        <f t="shared" si="13"/>
        <v>0</v>
      </c>
      <c r="L57" s="295">
        <f t="shared" si="13"/>
        <v>0</v>
      </c>
      <c r="M57" s="295">
        <f t="shared" si="13"/>
        <v>0</v>
      </c>
      <c r="N57" s="295">
        <f t="shared" si="13"/>
        <v>0</v>
      </c>
      <c r="O57" s="295">
        <f t="shared" si="13"/>
        <v>0</v>
      </c>
      <c r="P57" s="295">
        <f t="shared" si="13"/>
        <v>0</v>
      </c>
      <c r="Q57" s="295">
        <f t="shared" si="13"/>
        <v>0</v>
      </c>
      <c r="R57" s="295">
        <f t="shared" si="13"/>
        <v>0</v>
      </c>
      <c r="S57" s="295">
        <f t="shared" si="13"/>
        <v>0</v>
      </c>
      <c r="T57" s="295">
        <f t="shared" si="12"/>
        <v>0</v>
      </c>
      <c r="U57" s="295">
        <f t="shared" si="12"/>
        <v>0</v>
      </c>
      <c r="V57" s="295">
        <f t="shared" si="12"/>
        <v>0</v>
      </c>
      <c r="W57" s="295">
        <f t="shared" si="12"/>
        <v>0</v>
      </c>
      <c r="X57" s="295">
        <f t="shared" si="12"/>
        <v>0</v>
      </c>
      <c r="Y57" s="295">
        <f t="shared" si="12"/>
        <v>0</v>
      </c>
      <c r="Z57" s="295">
        <f t="shared" si="12"/>
        <v>0</v>
      </c>
      <c r="AA57" s="295">
        <f t="shared" si="12"/>
        <v>0</v>
      </c>
      <c r="AB57" s="295">
        <f t="shared" si="12"/>
        <v>0</v>
      </c>
      <c r="AC57" s="295"/>
      <c r="AD57" s="295"/>
      <c r="AE57" s="296"/>
    </row>
    <row r="58" spans="1:31">
      <c r="A58" s="1711"/>
      <c r="B58" s="116">
        <v>3</v>
      </c>
      <c r="C58" s="294">
        <f>ROUND($B$3*'CAR Stock'!M7/'CAR Stock'!$M$21,0)</f>
        <v>1204</v>
      </c>
      <c r="D58" s="295">
        <f t="shared" si="13"/>
        <v>1628</v>
      </c>
      <c r="E58" s="295">
        <f t="shared" si="12"/>
        <v>1677</v>
      </c>
      <c r="F58" s="295">
        <f t="shared" si="12"/>
        <v>1421</v>
      </c>
      <c r="G58" s="295">
        <f t="shared" si="12"/>
        <v>0</v>
      </c>
      <c r="H58" s="295">
        <f t="shared" si="12"/>
        <v>0</v>
      </c>
      <c r="I58" s="295">
        <f t="shared" si="12"/>
        <v>0</v>
      </c>
      <c r="J58" s="295">
        <f t="shared" si="12"/>
        <v>0</v>
      </c>
      <c r="K58" s="295">
        <f t="shared" si="12"/>
        <v>0</v>
      </c>
      <c r="L58" s="295">
        <f t="shared" si="12"/>
        <v>0</v>
      </c>
      <c r="M58" s="295">
        <f t="shared" si="12"/>
        <v>0</v>
      </c>
      <c r="N58" s="295">
        <f t="shared" si="12"/>
        <v>0</v>
      </c>
      <c r="O58" s="295">
        <f t="shared" si="12"/>
        <v>0</v>
      </c>
      <c r="P58" s="295">
        <f t="shared" si="12"/>
        <v>0</v>
      </c>
      <c r="Q58" s="295">
        <f t="shared" si="12"/>
        <v>0</v>
      </c>
      <c r="R58" s="295">
        <f t="shared" si="12"/>
        <v>0</v>
      </c>
      <c r="S58" s="295">
        <f t="shared" si="12"/>
        <v>0</v>
      </c>
      <c r="T58" s="295">
        <f t="shared" si="12"/>
        <v>0</v>
      </c>
      <c r="U58" s="295">
        <f t="shared" si="12"/>
        <v>0</v>
      </c>
      <c r="V58" s="295">
        <f t="shared" si="12"/>
        <v>0</v>
      </c>
      <c r="W58" s="295">
        <f t="shared" si="12"/>
        <v>0</v>
      </c>
      <c r="X58" s="295">
        <f t="shared" si="12"/>
        <v>0</v>
      </c>
      <c r="Y58" s="295">
        <f t="shared" si="12"/>
        <v>0</v>
      </c>
      <c r="Z58" s="295">
        <f t="shared" si="12"/>
        <v>0</v>
      </c>
      <c r="AA58" s="295">
        <f t="shared" si="12"/>
        <v>0</v>
      </c>
      <c r="AB58" s="295">
        <f t="shared" si="12"/>
        <v>0</v>
      </c>
      <c r="AC58" s="295"/>
      <c r="AD58" s="295"/>
      <c r="AE58" s="296"/>
    </row>
    <row r="59" spans="1:31">
      <c r="A59" s="1711"/>
      <c r="B59" s="116">
        <v>4</v>
      </c>
      <c r="C59" s="294">
        <f>ROUND($B$3*'CAR Stock'!M8/'CAR Stock'!$M$21,0)</f>
        <v>2041</v>
      </c>
      <c r="D59" s="295">
        <f t="shared" si="13"/>
        <v>1204</v>
      </c>
      <c r="E59" s="295">
        <f t="shared" si="12"/>
        <v>1628</v>
      </c>
      <c r="F59" s="295">
        <f t="shared" si="12"/>
        <v>1677</v>
      </c>
      <c r="G59" s="295">
        <f t="shared" si="12"/>
        <v>1421</v>
      </c>
      <c r="H59" s="295">
        <f t="shared" si="12"/>
        <v>0</v>
      </c>
      <c r="I59" s="295">
        <f t="shared" si="12"/>
        <v>0</v>
      </c>
      <c r="J59" s="295">
        <f t="shared" si="12"/>
        <v>0</v>
      </c>
      <c r="K59" s="295">
        <f t="shared" si="12"/>
        <v>0</v>
      </c>
      <c r="L59" s="295">
        <f t="shared" si="12"/>
        <v>0</v>
      </c>
      <c r="M59" s="295">
        <f t="shared" si="12"/>
        <v>0</v>
      </c>
      <c r="N59" s="295">
        <f t="shared" si="12"/>
        <v>0</v>
      </c>
      <c r="O59" s="295">
        <f t="shared" si="12"/>
        <v>0</v>
      </c>
      <c r="P59" s="295">
        <f t="shared" si="12"/>
        <v>0</v>
      </c>
      <c r="Q59" s="295">
        <f t="shared" si="12"/>
        <v>0</v>
      </c>
      <c r="R59" s="295">
        <f t="shared" si="12"/>
        <v>0</v>
      </c>
      <c r="S59" s="295">
        <f t="shared" si="12"/>
        <v>0</v>
      </c>
      <c r="T59" s="295">
        <f t="shared" si="12"/>
        <v>0</v>
      </c>
      <c r="U59" s="295">
        <f t="shared" si="12"/>
        <v>0</v>
      </c>
      <c r="V59" s="295">
        <f t="shared" si="12"/>
        <v>0</v>
      </c>
      <c r="W59" s="295">
        <f t="shared" si="12"/>
        <v>0</v>
      </c>
      <c r="X59" s="295">
        <f t="shared" si="12"/>
        <v>0</v>
      </c>
      <c r="Y59" s="295">
        <f t="shared" si="12"/>
        <v>0</v>
      </c>
      <c r="Z59" s="295">
        <f t="shared" si="12"/>
        <v>0</v>
      </c>
      <c r="AA59" s="295">
        <f t="shared" si="12"/>
        <v>0</v>
      </c>
      <c r="AB59" s="295">
        <f t="shared" si="12"/>
        <v>0</v>
      </c>
      <c r="AC59" s="295"/>
      <c r="AD59" s="295"/>
      <c r="AE59" s="296"/>
    </row>
    <row r="60" spans="1:31">
      <c r="A60" s="1711"/>
      <c r="B60" s="116">
        <v>5</v>
      </c>
      <c r="C60" s="294">
        <f>ROUND($B$3*'CAR Stock'!M9/'CAR Stock'!$M$21,0)</f>
        <v>1475</v>
      </c>
      <c r="D60" s="295">
        <f t="shared" si="13"/>
        <v>2041</v>
      </c>
      <c r="E60" s="295">
        <f t="shared" si="12"/>
        <v>1204</v>
      </c>
      <c r="F60" s="295">
        <f t="shared" si="12"/>
        <v>1628</v>
      </c>
      <c r="G60" s="295">
        <f t="shared" si="12"/>
        <v>1677</v>
      </c>
      <c r="H60" s="295">
        <f t="shared" si="12"/>
        <v>1421</v>
      </c>
      <c r="I60" s="295">
        <f t="shared" si="12"/>
        <v>0</v>
      </c>
      <c r="J60" s="295">
        <f t="shared" si="12"/>
        <v>0</v>
      </c>
      <c r="K60" s="295">
        <f t="shared" si="12"/>
        <v>0</v>
      </c>
      <c r="L60" s="295">
        <f t="shared" si="12"/>
        <v>0</v>
      </c>
      <c r="M60" s="295">
        <f t="shared" si="12"/>
        <v>0</v>
      </c>
      <c r="N60" s="295">
        <f t="shared" si="12"/>
        <v>0</v>
      </c>
      <c r="O60" s="295">
        <f t="shared" si="12"/>
        <v>0</v>
      </c>
      <c r="P60" s="295">
        <f t="shared" si="12"/>
        <v>0</v>
      </c>
      <c r="Q60" s="295">
        <f t="shared" si="12"/>
        <v>0</v>
      </c>
      <c r="R60" s="295">
        <f t="shared" si="12"/>
        <v>0</v>
      </c>
      <c r="S60" s="295">
        <f t="shared" si="12"/>
        <v>0</v>
      </c>
      <c r="T60" s="295">
        <f t="shared" si="12"/>
        <v>0</v>
      </c>
      <c r="U60" s="295">
        <f t="shared" si="12"/>
        <v>0</v>
      </c>
      <c r="V60" s="295">
        <f t="shared" si="12"/>
        <v>0</v>
      </c>
      <c r="W60" s="295">
        <f t="shared" si="12"/>
        <v>0</v>
      </c>
      <c r="X60" s="295">
        <f t="shared" si="12"/>
        <v>0</v>
      </c>
      <c r="Y60" s="295">
        <f t="shared" si="12"/>
        <v>0</v>
      </c>
      <c r="Z60" s="295">
        <f t="shared" si="12"/>
        <v>0</v>
      </c>
      <c r="AA60" s="295">
        <f t="shared" si="12"/>
        <v>0</v>
      </c>
      <c r="AB60" s="295">
        <f t="shared" si="12"/>
        <v>0</v>
      </c>
      <c r="AC60" s="295"/>
      <c r="AD60" s="295"/>
      <c r="AE60" s="296"/>
    </row>
    <row r="61" spans="1:31">
      <c r="A61" s="1711"/>
      <c r="B61" s="116">
        <v>6</v>
      </c>
      <c r="C61" s="294">
        <f>ROUND($B$3*'CAR Stock'!M10/'CAR Stock'!$M$21,0)</f>
        <v>1380</v>
      </c>
      <c r="D61" s="295">
        <f t="shared" si="13"/>
        <v>1475</v>
      </c>
      <c r="E61" s="295">
        <f t="shared" si="12"/>
        <v>2041</v>
      </c>
      <c r="F61" s="295">
        <f t="shared" si="12"/>
        <v>1204</v>
      </c>
      <c r="G61" s="295">
        <f t="shared" si="12"/>
        <v>1628</v>
      </c>
      <c r="H61" s="295">
        <f t="shared" si="12"/>
        <v>1677</v>
      </c>
      <c r="I61" s="295">
        <f t="shared" si="12"/>
        <v>1421</v>
      </c>
      <c r="J61" s="295">
        <f t="shared" si="12"/>
        <v>0</v>
      </c>
      <c r="K61" s="295">
        <f t="shared" si="12"/>
        <v>0</v>
      </c>
      <c r="L61" s="295">
        <f t="shared" si="12"/>
        <v>0</v>
      </c>
      <c r="M61" s="295">
        <f t="shared" si="12"/>
        <v>0</v>
      </c>
      <c r="N61" s="295">
        <f t="shared" si="12"/>
        <v>0</v>
      </c>
      <c r="O61" s="295">
        <f t="shared" si="12"/>
        <v>0</v>
      </c>
      <c r="P61" s="295">
        <f t="shared" si="12"/>
        <v>0</v>
      </c>
      <c r="Q61" s="295">
        <f t="shared" si="12"/>
        <v>0</v>
      </c>
      <c r="R61" s="295">
        <f t="shared" si="12"/>
        <v>0</v>
      </c>
      <c r="S61" s="295">
        <f t="shared" si="12"/>
        <v>0</v>
      </c>
      <c r="T61" s="295">
        <f t="shared" si="12"/>
        <v>0</v>
      </c>
      <c r="U61" s="295">
        <f t="shared" si="12"/>
        <v>0</v>
      </c>
      <c r="V61" s="295">
        <f t="shared" si="12"/>
        <v>0</v>
      </c>
      <c r="W61" s="295">
        <f t="shared" si="12"/>
        <v>0</v>
      </c>
      <c r="X61" s="295">
        <f t="shared" si="12"/>
        <v>0</v>
      </c>
      <c r="Y61" s="295">
        <f t="shared" si="12"/>
        <v>0</v>
      </c>
      <c r="Z61" s="295">
        <f t="shared" si="12"/>
        <v>0</v>
      </c>
      <c r="AA61" s="295">
        <f t="shared" si="12"/>
        <v>0</v>
      </c>
      <c r="AB61" s="295">
        <f t="shared" si="12"/>
        <v>0</v>
      </c>
      <c r="AC61" s="295"/>
      <c r="AD61" s="295"/>
      <c r="AE61" s="296"/>
    </row>
    <row r="62" spans="1:31">
      <c r="A62" s="1711"/>
      <c r="B62" s="116">
        <v>7</v>
      </c>
      <c r="C62" s="294">
        <f>ROUND($B$3*'CAR Stock'!M11/'CAR Stock'!$M$21,0)</f>
        <v>1280</v>
      </c>
      <c r="D62" s="295">
        <f t="shared" si="13"/>
        <v>1380</v>
      </c>
      <c r="E62" s="295">
        <f t="shared" si="12"/>
        <v>1475</v>
      </c>
      <c r="F62" s="295">
        <f t="shared" si="12"/>
        <v>2041</v>
      </c>
      <c r="G62" s="295">
        <f t="shared" si="12"/>
        <v>1204</v>
      </c>
      <c r="H62" s="295">
        <f t="shared" si="12"/>
        <v>1628</v>
      </c>
      <c r="I62" s="295">
        <f t="shared" si="12"/>
        <v>1677</v>
      </c>
      <c r="J62" s="295">
        <f t="shared" si="12"/>
        <v>1421</v>
      </c>
      <c r="K62" s="295">
        <f t="shared" si="12"/>
        <v>0</v>
      </c>
      <c r="L62" s="295">
        <f t="shared" si="12"/>
        <v>0</v>
      </c>
      <c r="M62" s="295">
        <f t="shared" si="12"/>
        <v>0</v>
      </c>
      <c r="N62" s="295">
        <f t="shared" si="12"/>
        <v>0</v>
      </c>
      <c r="O62" s="295">
        <f t="shared" si="12"/>
        <v>0</v>
      </c>
      <c r="P62" s="295">
        <f t="shared" si="12"/>
        <v>0</v>
      </c>
      <c r="Q62" s="295">
        <f t="shared" si="12"/>
        <v>0</v>
      </c>
      <c r="R62" s="295">
        <f t="shared" si="12"/>
        <v>0</v>
      </c>
      <c r="S62" s="295">
        <f t="shared" si="12"/>
        <v>0</v>
      </c>
      <c r="T62" s="295">
        <f t="shared" si="12"/>
        <v>0</v>
      </c>
      <c r="U62" s="295">
        <f t="shared" si="12"/>
        <v>0</v>
      </c>
      <c r="V62" s="295">
        <f t="shared" si="12"/>
        <v>0</v>
      </c>
      <c r="W62" s="295">
        <f t="shared" si="12"/>
        <v>0</v>
      </c>
      <c r="X62" s="295">
        <f t="shared" si="12"/>
        <v>0</v>
      </c>
      <c r="Y62" s="295">
        <f t="shared" si="12"/>
        <v>0</v>
      </c>
      <c r="Z62" s="295">
        <f t="shared" si="12"/>
        <v>0</v>
      </c>
      <c r="AA62" s="295">
        <f t="shared" si="12"/>
        <v>0</v>
      </c>
      <c r="AB62" s="295">
        <f t="shared" si="12"/>
        <v>0</v>
      </c>
      <c r="AC62" s="295"/>
      <c r="AD62" s="295"/>
      <c r="AE62" s="296"/>
    </row>
    <row r="63" spans="1:31">
      <c r="A63" s="1711"/>
      <c r="B63" s="116">
        <v>8</v>
      </c>
      <c r="C63" s="294">
        <f>ROUND($B$3*'CAR Stock'!M12/'CAR Stock'!$M$21,0)</f>
        <v>1010</v>
      </c>
      <c r="D63" s="295">
        <f t="shared" si="13"/>
        <v>1280</v>
      </c>
      <c r="E63" s="295">
        <f t="shared" si="12"/>
        <v>1380</v>
      </c>
      <c r="F63" s="295">
        <f t="shared" si="12"/>
        <v>1475</v>
      </c>
      <c r="G63" s="295">
        <f t="shared" si="12"/>
        <v>2041</v>
      </c>
      <c r="H63" s="295">
        <f t="shared" si="12"/>
        <v>1204</v>
      </c>
      <c r="I63" s="295">
        <f t="shared" si="12"/>
        <v>1628</v>
      </c>
      <c r="J63" s="295">
        <f t="shared" si="12"/>
        <v>1677</v>
      </c>
      <c r="K63" s="295">
        <f t="shared" si="12"/>
        <v>1421</v>
      </c>
      <c r="L63" s="295">
        <f t="shared" si="12"/>
        <v>0</v>
      </c>
      <c r="M63" s="295">
        <f t="shared" si="12"/>
        <v>0</v>
      </c>
      <c r="N63" s="295">
        <f t="shared" si="12"/>
        <v>0</v>
      </c>
      <c r="O63" s="295">
        <f t="shared" si="12"/>
        <v>0</v>
      </c>
      <c r="P63" s="295">
        <f t="shared" si="12"/>
        <v>0</v>
      </c>
      <c r="Q63" s="295">
        <f t="shared" si="12"/>
        <v>0</v>
      </c>
      <c r="R63" s="295">
        <f t="shared" si="12"/>
        <v>0</v>
      </c>
      <c r="S63" s="295">
        <f t="shared" si="12"/>
        <v>0</v>
      </c>
      <c r="T63" s="295">
        <f t="shared" si="12"/>
        <v>0</v>
      </c>
      <c r="U63" s="295">
        <f t="shared" si="12"/>
        <v>0</v>
      </c>
      <c r="V63" s="295">
        <f t="shared" si="12"/>
        <v>0</v>
      </c>
      <c r="W63" s="295">
        <f t="shared" si="12"/>
        <v>0</v>
      </c>
      <c r="X63" s="295">
        <f t="shared" si="12"/>
        <v>0</v>
      </c>
      <c r="Y63" s="295">
        <f t="shared" si="12"/>
        <v>0</v>
      </c>
      <c r="Z63" s="295">
        <f t="shared" si="12"/>
        <v>0</v>
      </c>
      <c r="AA63" s="295">
        <f t="shared" si="12"/>
        <v>0</v>
      </c>
      <c r="AB63" s="295">
        <f t="shared" si="12"/>
        <v>0</v>
      </c>
      <c r="AC63" s="295"/>
      <c r="AD63" s="295"/>
      <c r="AE63" s="296"/>
    </row>
    <row r="64" spans="1:31">
      <c r="A64" s="1711"/>
      <c r="B64" s="116">
        <v>9</v>
      </c>
      <c r="C64" s="294">
        <f>ROUND($B$3*'CAR Stock'!M13/'CAR Stock'!$M$21,0)</f>
        <v>830</v>
      </c>
      <c r="D64" s="295">
        <f t="shared" si="13"/>
        <v>1010</v>
      </c>
      <c r="E64" s="295">
        <f t="shared" si="12"/>
        <v>1280</v>
      </c>
      <c r="F64" s="295">
        <f t="shared" si="12"/>
        <v>1380</v>
      </c>
      <c r="G64" s="295">
        <f t="shared" si="12"/>
        <v>1475</v>
      </c>
      <c r="H64" s="295">
        <f t="shared" si="12"/>
        <v>2041</v>
      </c>
      <c r="I64" s="295">
        <f t="shared" si="12"/>
        <v>1204</v>
      </c>
      <c r="J64" s="295">
        <f t="shared" si="12"/>
        <v>1628</v>
      </c>
      <c r="K64" s="295">
        <f t="shared" si="12"/>
        <v>1677</v>
      </c>
      <c r="L64" s="295">
        <f t="shared" si="12"/>
        <v>1421</v>
      </c>
      <c r="M64" s="295">
        <f t="shared" si="12"/>
        <v>0</v>
      </c>
      <c r="N64" s="295">
        <f t="shared" si="12"/>
        <v>0</v>
      </c>
      <c r="O64" s="295">
        <f t="shared" si="12"/>
        <v>0</v>
      </c>
      <c r="P64" s="295">
        <f t="shared" si="12"/>
        <v>0</v>
      </c>
      <c r="Q64" s="295">
        <f t="shared" si="12"/>
        <v>0</v>
      </c>
      <c r="R64" s="295">
        <f t="shared" si="12"/>
        <v>0</v>
      </c>
      <c r="S64" s="295">
        <f t="shared" si="12"/>
        <v>0</v>
      </c>
      <c r="T64" s="295">
        <f t="shared" si="12"/>
        <v>0</v>
      </c>
      <c r="U64" s="295">
        <f t="shared" si="12"/>
        <v>0</v>
      </c>
      <c r="V64" s="295">
        <f t="shared" si="12"/>
        <v>0</v>
      </c>
      <c r="W64" s="295">
        <f t="shared" si="12"/>
        <v>0</v>
      </c>
      <c r="X64" s="295">
        <f t="shared" si="12"/>
        <v>0</v>
      </c>
      <c r="Y64" s="295">
        <f t="shared" si="12"/>
        <v>0</v>
      </c>
      <c r="Z64" s="295">
        <f t="shared" si="12"/>
        <v>0</v>
      </c>
      <c r="AA64" s="295">
        <f t="shared" si="12"/>
        <v>0</v>
      </c>
      <c r="AB64" s="295">
        <f t="shared" si="12"/>
        <v>0</v>
      </c>
      <c r="AC64" s="295"/>
      <c r="AD64" s="295"/>
      <c r="AE64" s="296"/>
    </row>
    <row r="65" spans="1:31">
      <c r="A65" s="1711"/>
      <c r="B65" s="116">
        <v>10</v>
      </c>
      <c r="C65" s="294">
        <f>ROUND($B$3*'CAR Stock'!M14/'CAR Stock'!$M$21,0)</f>
        <v>728</v>
      </c>
      <c r="D65" s="295">
        <f t="shared" si="13"/>
        <v>830</v>
      </c>
      <c r="E65" s="295">
        <f t="shared" si="12"/>
        <v>1010</v>
      </c>
      <c r="F65" s="295">
        <f t="shared" si="12"/>
        <v>1280</v>
      </c>
      <c r="G65" s="295">
        <f t="shared" si="12"/>
        <v>1380</v>
      </c>
      <c r="H65" s="295">
        <f t="shared" si="12"/>
        <v>1475</v>
      </c>
      <c r="I65" s="295">
        <f t="shared" si="12"/>
        <v>2041</v>
      </c>
      <c r="J65" s="295">
        <f t="shared" si="12"/>
        <v>1204</v>
      </c>
      <c r="K65" s="295">
        <f t="shared" si="12"/>
        <v>1628</v>
      </c>
      <c r="L65" s="295">
        <f t="shared" si="12"/>
        <v>1677</v>
      </c>
      <c r="M65" s="295">
        <f t="shared" si="12"/>
        <v>1421</v>
      </c>
      <c r="N65" s="295">
        <f t="shared" si="12"/>
        <v>0</v>
      </c>
      <c r="O65" s="295">
        <f t="shared" si="12"/>
        <v>0</v>
      </c>
      <c r="P65" s="295">
        <f t="shared" si="12"/>
        <v>0</v>
      </c>
      <c r="Q65" s="295">
        <f t="shared" si="12"/>
        <v>0</v>
      </c>
      <c r="R65" s="295">
        <f t="shared" si="12"/>
        <v>0</v>
      </c>
      <c r="S65" s="295">
        <f t="shared" si="12"/>
        <v>0</v>
      </c>
      <c r="T65" s="295">
        <f t="shared" si="12"/>
        <v>0</v>
      </c>
      <c r="U65" s="295">
        <f t="shared" si="12"/>
        <v>0</v>
      </c>
      <c r="V65" s="295">
        <f t="shared" si="12"/>
        <v>0</v>
      </c>
      <c r="W65" s="295">
        <f t="shared" si="12"/>
        <v>0</v>
      </c>
      <c r="X65" s="295">
        <f t="shared" si="12"/>
        <v>0</v>
      </c>
      <c r="Y65" s="295">
        <f t="shared" si="12"/>
        <v>0</v>
      </c>
      <c r="Z65" s="295">
        <f t="shared" si="12"/>
        <v>0</v>
      </c>
      <c r="AA65" s="295">
        <f t="shared" si="12"/>
        <v>0</v>
      </c>
      <c r="AB65" s="295">
        <f t="shared" si="12"/>
        <v>0</v>
      </c>
      <c r="AC65" s="295"/>
      <c r="AD65" s="295"/>
      <c r="AE65" s="296"/>
    </row>
    <row r="66" spans="1:31">
      <c r="A66" s="1711"/>
      <c r="B66" s="116">
        <v>11</v>
      </c>
      <c r="C66" s="294">
        <f>ROUND($B$3*'CAR Stock'!M15/'CAR Stock'!$M$21,0)</f>
        <v>467</v>
      </c>
      <c r="D66" s="295">
        <f t="shared" si="13"/>
        <v>712</v>
      </c>
      <c r="E66" s="295">
        <f t="shared" si="12"/>
        <v>812</v>
      </c>
      <c r="F66" s="295">
        <f t="shared" si="12"/>
        <v>988</v>
      </c>
      <c r="G66" s="295">
        <f t="shared" si="12"/>
        <v>1253</v>
      </c>
      <c r="H66" s="295">
        <f t="shared" si="12"/>
        <v>1350</v>
      </c>
      <c r="I66" s="295">
        <f t="shared" si="12"/>
        <v>1443</v>
      </c>
      <c r="J66" s="295">
        <f t="shared" si="12"/>
        <v>1997</v>
      </c>
      <c r="K66" s="295">
        <f t="shared" si="12"/>
        <v>1178</v>
      </c>
      <c r="L66" s="295">
        <f t="shared" si="12"/>
        <v>1593</v>
      </c>
      <c r="M66" s="295">
        <f t="shared" si="12"/>
        <v>1641</v>
      </c>
      <c r="N66" s="295">
        <f t="shared" si="12"/>
        <v>1391</v>
      </c>
      <c r="O66" s="295">
        <f t="shared" si="12"/>
        <v>0</v>
      </c>
      <c r="P66" s="295">
        <f t="shared" si="12"/>
        <v>0</v>
      </c>
      <c r="Q66" s="295">
        <f t="shared" si="12"/>
        <v>0</v>
      </c>
      <c r="R66" s="295">
        <f t="shared" si="12"/>
        <v>0</v>
      </c>
      <c r="S66" s="295">
        <f t="shared" si="12"/>
        <v>0</v>
      </c>
      <c r="T66" s="295">
        <f t="shared" si="12"/>
        <v>0</v>
      </c>
      <c r="U66" s="295">
        <f t="shared" si="12"/>
        <v>0</v>
      </c>
      <c r="V66" s="295">
        <f t="shared" si="12"/>
        <v>0</v>
      </c>
      <c r="W66" s="295">
        <f t="shared" si="12"/>
        <v>0</v>
      </c>
      <c r="X66" s="295">
        <f t="shared" si="12"/>
        <v>0</v>
      </c>
      <c r="Y66" s="295">
        <f t="shared" si="12"/>
        <v>0</v>
      </c>
      <c r="Z66" s="295">
        <f t="shared" si="12"/>
        <v>0</v>
      </c>
      <c r="AA66" s="295">
        <f t="shared" si="12"/>
        <v>0</v>
      </c>
      <c r="AB66" s="295">
        <f t="shared" si="12"/>
        <v>0</v>
      </c>
      <c r="AC66" s="295"/>
      <c r="AD66" s="295"/>
      <c r="AE66" s="296"/>
    </row>
    <row r="67" spans="1:31">
      <c r="A67" s="1711"/>
      <c r="B67" s="116">
        <v>12</v>
      </c>
      <c r="C67" s="294">
        <f>ROUND($B$3*'CAR Stock'!M16/'CAR Stock'!$M$21,0)</f>
        <v>340</v>
      </c>
      <c r="D67" s="295">
        <f t="shared" si="13"/>
        <v>417</v>
      </c>
      <c r="E67" s="295">
        <f t="shared" si="12"/>
        <v>636</v>
      </c>
      <c r="F67" s="295">
        <f t="shared" si="12"/>
        <v>726</v>
      </c>
      <c r="G67" s="295">
        <f t="shared" si="12"/>
        <v>883</v>
      </c>
      <c r="H67" s="295">
        <f t="shared" si="12"/>
        <v>1120</v>
      </c>
      <c r="I67" s="295">
        <f t="shared" si="12"/>
        <v>1207</v>
      </c>
      <c r="J67" s="295">
        <f t="shared" si="12"/>
        <v>1290</v>
      </c>
      <c r="K67" s="295">
        <f t="shared" ref="E67:AB77" si="14">ROUND(J66*$C97,0)</f>
        <v>1785</v>
      </c>
      <c r="L67" s="295">
        <f t="shared" si="14"/>
        <v>1053</v>
      </c>
      <c r="M67" s="295">
        <f t="shared" si="14"/>
        <v>1424</v>
      </c>
      <c r="N67" s="295">
        <f t="shared" si="14"/>
        <v>1467</v>
      </c>
      <c r="O67" s="295">
        <f t="shared" si="14"/>
        <v>1243</v>
      </c>
      <c r="P67" s="295">
        <f t="shared" si="14"/>
        <v>0</v>
      </c>
      <c r="Q67" s="295">
        <f t="shared" si="14"/>
        <v>0</v>
      </c>
      <c r="R67" s="295">
        <f t="shared" si="14"/>
        <v>0</v>
      </c>
      <c r="S67" s="295">
        <f t="shared" si="14"/>
        <v>0</v>
      </c>
      <c r="T67" s="295">
        <f t="shared" si="14"/>
        <v>0</v>
      </c>
      <c r="U67" s="295">
        <f t="shared" si="14"/>
        <v>0</v>
      </c>
      <c r="V67" s="295">
        <f t="shared" si="14"/>
        <v>0</v>
      </c>
      <c r="W67" s="295">
        <f t="shared" si="14"/>
        <v>0</v>
      </c>
      <c r="X67" s="295">
        <f t="shared" si="14"/>
        <v>0</v>
      </c>
      <c r="Y67" s="295">
        <f t="shared" si="14"/>
        <v>0</v>
      </c>
      <c r="Z67" s="295">
        <f t="shared" si="14"/>
        <v>0</v>
      </c>
      <c r="AA67" s="295">
        <f t="shared" si="14"/>
        <v>0</v>
      </c>
      <c r="AB67" s="295">
        <f t="shared" si="14"/>
        <v>0</v>
      </c>
      <c r="AC67" s="295"/>
      <c r="AD67" s="295"/>
      <c r="AE67" s="296"/>
    </row>
    <row r="68" spans="1:31">
      <c r="A68" s="1711"/>
      <c r="B68" s="116">
        <v>13</v>
      </c>
      <c r="C68" s="294">
        <f>ROUND($B$3*'CAR Stock'!M17/'CAR Stock'!$M$21,0)</f>
        <v>206</v>
      </c>
      <c r="D68" s="295">
        <f t="shared" si="13"/>
        <v>238</v>
      </c>
      <c r="E68" s="295">
        <f t="shared" si="14"/>
        <v>291</v>
      </c>
      <c r="F68" s="295">
        <f t="shared" si="14"/>
        <v>444</v>
      </c>
      <c r="G68" s="295">
        <f t="shared" si="14"/>
        <v>507</v>
      </c>
      <c r="H68" s="295">
        <f t="shared" si="14"/>
        <v>617</v>
      </c>
      <c r="I68" s="295">
        <f t="shared" si="14"/>
        <v>783</v>
      </c>
      <c r="J68" s="295">
        <f t="shared" si="14"/>
        <v>844</v>
      </c>
      <c r="K68" s="295">
        <f t="shared" si="14"/>
        <v>902</v>
      </c>
      <c r="L68" s="295">
        <f t="shared" si="14"/>
        <v>1247</v>
      </c>
      <c r="M68" s="295">
        <f t="shared" si="14"/>
        <v>736</v>
      </c>
      <c r="N68" s="295">
        <f t="shared" si="14"/>
        <v>995</v>
      </c>
      <c r="O68" s="295">
        <f t="shared" si="14"/>
        <v>1025</v>
      </c>
      <c r="P68" s="295">
        <f t="shared" si="14"/>
        <v>869</v>
      </c>
      <c r="Q68" s="295">
        <f t="shared" si="14"/>
        <v>0</v>
      </c>
      <c r="R68" s="295">
        <f t="shared" si="14"/>
        <v>0</v>
      </c>
      <c r="S68" s="295">
        <f t="shared" si="14"/>
        <v>0</v>
      </c>
      <c r="T68" s="295">
        <f t="shared" si="14"/>
        <v>0</v>
      </c>
      <c r="U68" s="295">
        <f t="shared" si="14"/>
        <v>0</v>
      </c>
      <c r="V68" s="295">
        <f t="shared" si="14"/>
        <v>0</v>
      </c>
      <c r="W68" s="295">
        <f t="shared" si="14"/>
        <v>0</v>
      </c>
      <c r="X68" s="295">
        <f t="shared" si="14"/>
        <v>0</v>
      </c>
      <c r="Y68" s="295">
        <f t="shared" si="14"/>
        <v>0</v>
      </c>
      <c r="Z68" s="295">
        <f t="shared" si="14"/>
        <v>0</v>
      </c>
      <c r="AA68" s="295">
        <f t="shared" si="14"/>
        <v>0</v>
      </c>
      <c r="AB68" s="295">
        <f t="shared" si="14"/>
        <v>0</v>
      </c>
      <c r="AC68" s="295"/>
      <c r="AD68" s="295"/>
      <c r="AE68" s="296"/>
    </row>
    <row r="69" spans="1:31">
      <c r="A69" s="1711"/>
      <c r="B69" s="116">
        <v>14</v>
      </c>
      <c r="C69" s="294">
        <f>ROUND($B$3*'CAR Stock'!M18/'CAR Stock'!$M$21,0)</f>
        <v>139</v>
      </c>
      <c r="D69" s="295">
        <f t="shared" si="13"/>
        <v>105</v>
      </c>
      <c r="E69" s="295">
        <f t="shared" si="14"/>
        <v>122</v>
      </c>
      <c r="F69" s="295">
        <f t="shared" si="14"/>
        <v>149</v>
      </c>
      <c r="G69" s="295">
        <f t="shared" si="14"/>
        <v>227</v>
      </c>
      <c r="H69" s="295">
        <f t="shared" si="14"/>
        <v>259</v>
      </c>
      <c r="I69" s="295">
        <f t="shared" si="14"/>
        <v>316</v>
      </c>
      <c r="J69" s="295">
        <f t="shared" si="14"/>
        <v>400</v>
      </c>
      <c r="K69" s="295">
        <f t="shared" si="14"/>
        <v>432</v>
      </c>
      <c r="L69" s="295">
        <f t="shared" si="14"/>
        <v>461</v>
      </c>
      <c r="M69" s="295">
        <f t="shared" si="14"/>
        <v>638</v>
      </c>
      <c r="N69" s="295">
        <f t="shared" si="14"/>
        <v>376</v>
      </c>
      <c r="O69" s="295">
        <f t="shared" si="14"/>
        <v>509</v>
      </c>
      <c r="P69" s="295">
        <f t="shared" si="14"/>
        <v>524</v>
      </c>
      <c r="Q69" s="295">
        <f t="shared" si="14"/>
        <v>444</v>
      </c>
      <c r="R69" s="295">
        <f t="shared" si="14"/>
        <v>0</v>
      </c>
      <c r="S69" s="295">
        <f t="shared" si="14"/>
        <v>0</v>
      </c>
      <c r="T69" s="295">
        <f t="shared" si="14"/>
        <v>0</v>
      </c>
      <c r="U69" s="295">
        <f t="shared" si="14"/>
        <v>0</v>
      </c>
      <c r="V69" s="295">
        <f t="shared" si="14"/>
        <v>0</v>
      </c>
      <c r="W69" s="295">
        <f t="shared" si="14"/>
        <v>0</v>
      </c>
      <c r="X69" s="295">
        <f t="shared" si="14"/>
        <v>0</v>
      </c>
      <c r="Y69" s="295">
        <f t="shared" si="14"/>
        <v>0</v>
      </c>
      <c r="Z69" s="295">
        <f t="shared" si="14"/>
        <v>0</v>
      </c>
      <c r="AA69" s="295">
        <f t="shared" si="14"/>
        <v>0</v>
      </c>
      <c r="AB69" s="295">
        <f t="shared" si="14"/>
        <v>0</v>
      </c>
      <c r="AC69" s="295"/>
      <c r="AD69" s="295"/>
      <c r="AE69" s="296"/>
    </row>
    <row r="70" spans="1:31">
      <c r="A70" s="1711"/>
      <c r="B70" s="116">
        <v>15</v>
      </c>
      <c r="C70" s="294">
        <f>ROUND($B$3*'CAR Stock'!M19/'CAR Stock'!$M$21,0)</f>
        <v>79</v>
      </c>
      <c r="D70" s="295">
        <f t="shared" si="13"/>
        <v>51</v>
      </c>
      <c r="E70" s="295">
        <f t="shared" si="14"/>
        <v>38</v>
      </c>
      <c r="F70" s="295">
        <f t="shared" si="14"/>
        <v>45</v>
      </c>
      <c r="G70" s="295">
        <f t="shared" si="14"/>
        <v>54</v>
      </c>
      <c r="H70" s="295">
        <f t="shared" si="14"/>
        <v>83</v>
      </c>
      <c r="I70" s="295">
        <f t="shared" si="14"/>
        <v>95</v>
      </c>
      <c r="J70" s="295">
        <f t="shared" si="14"/>
        <v>115</v>
      </c>
      <c r="K70" s="295">
        <f t="shared" si="14"/>
        <v>146</v>
      </c>
      <c r="L70" s="295">
        <f t="shared" si="14"/>
        <v>158</v>
      </c>
      <c r="M70" s="295">
        <f t="shared" si="14"/>
        <v>168</v>
      </c>
      <c r="N70" s="295">
        <f t="shared" si="14"/>
        <v>233</v>
      </c>
      <c r="O70" s="295">
        <f t="shared" si="14"/>
        <v>137</v>
      </c>
      <c r="P70" s="295">
        <f t="shared" si="14"/>
        <v>186</v>
      </c>
      <c r="Q70" s="295">
        <f t="shared" si="14"/>
        <v>191</v>
      </c>
      <c r="R70" s="295">
        <f t="shared" si="14"/>
        <v>162</v>
      </c>
      <c r="S70" s="295">
        <f t="shared" si="14"/>
        <v>0</v>
      </c>
      <c r="T70" s="295">
        <f t="shared" si="14"/>
        <v>0</v>
      </c>
      <c r="U70" s="295">
        <f t="shared" si="14"/>
        <v>0</v>
      </c>
      <c r="V70" s="295">
        <f t="shared" si="14"/>
        <v>0</v>
      </c>
      <c r="W70" s="295">
        <f t="shared" si="14"/>
        <v>0</v>
      </c>
      <c r="X70" s="295">
        <f t="shared" si="14"/>
        <v>0</v>
      </c>
      <c r="Y70" s="295">
        <f t="shared" si="14"/>
        <v>0</v>
      </c>
      <c r="Z70" s="295">
        <f t="shared" si="14"/>
        <v>0</v>
      </c>
      <c r="AA70" s="295">
        <f t="shared" si="14"/>
        <v>0</v>
      </c>
      <c r="AB70" s="295">
        <f t="shared" si="14"/>
        <v>0</v>
      </c>
      <c r="AC70" s="295"/>
      <c r="AD70" s="295"/>
      <c r="AE70" s="296"/>
    </row>
    <row r="71" spans="1:31">
      <c r="A71" s="1711"/>
      <c r="B71" s="116">
        <v>16</v>
      </c>
      <c r="C71" s="294">
        <f>ROUND($B$3*'CAR Stock'!M20/'CAR Stock'!$M$21,0)</f>
        <v>157</v>
      </c>
      <c r="D71" s="295">
        <f t="shared" si="13"/>
        <v>26</v>
      </c>
      <c r="E71" s="295">
        <f t="shared" si="14"/>
        <v>17</v>
      </c>
      <c r="F71" s="295">
        <f t="shared" si="14"/>
        <v>12</v>
      </c>
      <c r="G71" s="295">
        <f t="shared" si="14"/>
        <v>15</v>
      </c>
      <c r="H71" s="295">
        <f t="shared" si="14"/>
        <v>18</v>
      </c>
      <c r="I71" s="295">
        <f t="shared" si="14"/>
        <v>27</v>
      </c>
      <c r="J71" s="295">
        <f t="shared" si="14"/>
        <v>31</v>
      </c>
      <c r="K71" s="295">
        <f t="shared" si="14"/>
        <v>38</v>
      </c>
      <c r="L71" s="295">
        <f t="shared" si="14"/>
        <v>48</v>
      </c>
      <c r="M71" s="295">
        <f t="shared" si="14"/>
        <v>52</v>
      </c>
      <c r="N71" s="295">
        <f t="shared" si="14"/>
        <v>55</v>
      </c>
      <c r="O71" s="295">
        <f t="shared" si="14"/>
        <v>77</v>
      </c>
      <c r="P71" s="295">
        <f t="shared" si="14"/>
        <v>45</v>
      </c>
      <c r="Q71" s="295">
        <f t="shared" si="14"/>
        <v>61</v>
      </c>
      <c r="R71" s="295">
        <f t="shared" si="14"/>
        <v>63</v>
      </c>
      <c r="S71" s="295">
        <f t="shared" si="14"/>
        <v>53</v>
      </c>
      <c r="T71" s="295">
        <f t="shared" si="14"/>
        <v>0</v>
      </c>
      <c r="U71" s="295">
        <f t="shared" si="14"/>
        <v>0</v>
      </c>
      <c r="V71" s="295">
        <f t="shared" si="14"/>
        <v>0</v>
      </c>
      <c r="W71" s="295">
        <f t="shared" si="14"/>
        <v>0</v>
      </c>
      <c r="X71" s="295">
        <f t="shared" si="14"/>
        <v>0</v>
      </c>
      <c r="Y71" s="295">
        <f t="shared" si="14"/>
        <v>0</v>
      </c>
      <c r="Z71" s="295">
        <f t="shared" si="14"/>
        <v>0</v>
      </c>
      <c r="AA71" s="295">
        <f t="shared" si="14"/>
        <v>0</v>
      </c>
      <c r="AB71" s="295">
        <f t="shared" si="14"/>
        <v>0</v>
      </c>
      <c r="AC71" s="295"/>
      <c r="AD71" s="295"/>
      <c r="AE71" s="296"/>
    </row>
    <row r="72" spans="1:31">
      <c r="A72" s="1711"/>
      <c r="B72" s="116">
        <v>17</v>
      </c>
      <c r="C72" s="294"/>
      <c r="D72" s="295">
        <f t="shared" si="13"/>
        <v>46</v>
      </c>
      <c r="E72" s="295">
        <f t="shared" si="14"/>
        <v>8</v>
      </c>
      <c r="F72" s="295">
        <f t="shared" si="14"/>
        <v>5</v>
      </c>
      <c r="G72" s="295">
        <f t="shared" si="14"/>
        <v>4</v>
      </c>
      <c r="H72" s="295">
        <f t="shared" si="14"/>
        <v>4</v>
      </c>
      <c r="I72" s="295">
        <f t="shared" si="14"/>
        <v>5</v>
      </c>
      <c r="J72" s="295">
        <f t="shared" si="14"/>
        <v>8</v>
      </c>
      <c r="K72" s="295">
        <f t="shared" si="14"/>
        <v>9</v>
      </c>
      <c r="L72" s="295">
        <f t="shared" si="14"/>
        <v>11</v>
      </c>
      <c r="M72" s="295">
        <f t="shared" si="14"/>
        <v>14</v>
      </c>
      <c r="N72" s="295">
        <f t="shared" si="14"/>
        <v>15</v>
      </c>
      <c r="O72" s="295">
        <f t="shared" si="14"/>
        <v>16</v>
      </c>
      <c r="P72" s="295">
        <f t="shared" si="14"/>
        <v>22</v>
      </c>
      <c r="Q72" s="295">
        <f t="shared" si="14"/>
        <v>13</v>
      </c>
      <c r="R72" s="295">
        <f t="shared" si="14"/>
        <v>18</v>
      </c>
      <c r="S72" s="295">
        <f t="shared" si="14"/>
        <v>18</v>
      </c>
      <c r="T72" s="295">
        <f t="shared" si="14"/>
        <v>15</v>
      </c>
      <c r="U72" s="295">
        <f t="shared" si="14"/>
        <v>0</v>
      </c>
      <c r="V72" s="295">
        <f t="shared" si="14"/>
        <v>0</v>
      </c>
      <c r="W72" s="295">
        <f t="shared" si="14"/>
        <v>0</v>
      </c>
      <c r="X72" s="295">
        <f t="shared" si="14"/>
        <v>0</v>
      </c>
      <c r="Y72" s="295">
        <f t="shared" si="14"/>
        <v>0</v>
      </c>
      <c r="Z72" s="295">
        <f t="shared" si="14"/>
        <v>0</v>
      </c>
      <c r="AA72" s="295">
        <f t="shared" si="14"/>
        <v>0</v>
      </c>
      <c r="AB72" s="295">
        <f t="shared" si="14"/>
        <v>0</v>
      </c>
      <c r="AC72" s="295"/>
      <c r="AD72" s="295"/>
      <c r="AE72" s="296"/>
    </row>
    <row r="73" spans="1:31">
      <c r="A73" s="1711"/>
      <c r="B73" s="116">
        <v>18</v>
      </c>
      <c r="C73" s="294"/>
      <c r="D73" s="295">
        <f t="shared" si="13"/>
        <v>0</v>
      </c>
      <c r="E73" s="295">
        <f t="shared" si="14"/>
        <v>12</v>
      </c>
      <c r="F73" s="295">
        <f t="shared" si="14"/>
        <v>2</v>
      </c>
      <c r="G73" s="295">
        <f t="shared" si="14"/>
        <v>1</v>
      </c>
      <c r="H73" s="295">
        <f t="shared" si="14"/>
        <v>1</v>
      </c>
      <c r="I73" s="295">
        <f t="shared" si="14"/>
        <v>1</v>
      </c>
      <c r="J73" s="295">
        <f t="shared" si="14"/>
        <v>1</v>
      </c>
      <c r="K73" s="295">
        <f t="shared" si="14"/>
        <v>2</v>
      </c>
      <c r="L73" s="295">
        <f t="shared" si="14"/>
        <v>2</v>
      </c>
      <c r="M73" s="295">
        <f t="shared" si="14"/>
        <v>3</v>
      </c>
      <c r="N73" s="295">
        <f t="shared" si="14"/>
        <v>4</v>
      </c>
      <c r="O73" s="295">
        <f t="shared" si="14"/>
        <v>4</v>
      </c>
      <c r="P73" s="295">
        <f t="shared" si="14"/>
        <v>4</v>
      </c>
      <c r="Q73" s="295">
        <f t="shared" si="14"/>
        <v>6</v>
      </c>
      <c r="R73" s="295">
        <f t="shared" si="14"/>
        <v>3</v>
      </c>
      <c r="S73" s="295">
        <f t="shared" si="14"/>
        <v>5</v>
      </c>
      <c r="T73" s="295">
        <f t="shared" si="14"/>
        <v>5</v>
      </c>
      <c r="U73" s="295">
        <f t="shared" si="14"/>
        <v>4</v>
      </c>
      <c r="V73" s="295">
        <f t="shared" si="14"/>
        <v>0</v>
      </c>
      <c r="W73" s="295">
        <f t="shared" si="14"/>
        <v>0</v>
      </c>
      <c r="X73" s="295">
        <f t="shared" si="14"/>
        <v>0</v>
      </c>
      <c r="Y73" s="295">
        <f t="shared" si="14"/>
        <v>0</v>
      </c>
      <c r="Z73" s="295">
        <f t="shared" si="14"/>
        <v>0</v>
      </c>
      <c r="AA73" s="295">
        <f t="shared" si="14"/>
        <v>0</v>
      </c>
      <c r="AB73" s="295">
        <f t="shared" si="14"/>
        <v>0</v>
      </c>
      <c r="AC73" s="295"/>
      <c r="AD73" s="295"/>
      <c r="AE73" s="296"/>
    </row>
    <row r="74" spans="1:31">
      <c r="A74" s="1711"/>
      <c r="B74" s="116">
        <v>19</v>
      </c>
      <c r="C74" s="294"/>
      <c r="D74" s="295">
        <f t="shared" si="13"/>
        <v>0</v>
      </c>
      <c r="E74" s="295">
        <f t="shared" si="14"/>
        <v>0</v>
      </c>
      <c r="F74" s="295">
        <f t="shared" si="14"/>
        <v>3</v>
      </c>
      <c r="G74" s="295">
        <f t="shared" si="14"/>
        <v>0</v>
      </c>
      <c r="H74" s="295">
        <f t="shared" si="14"/>
        <v>0</v>
      </c>
      <c r="I74" s="295">
        <f t="shared" si="14"/>
        <v>0</v>
      </c>
      <c r="J74" s="295">
        <f t="shared" si="14"/>
        <v>0</v>
      </c>
      <c r="K74" s="295">
        <f t="shared" si="14"/>
        <v>0</v>
      </c>
      <c r="L74" s="295">
        <f t="shared" si="14"/>
        <v>0</v>
      </c>
      <c r="M74" s="295">
        <f t="shared" si="14"/>
        <v>0</v>
      </c>
      <c r="N74" s="295">
        <f t="shared" si="14"/>
        <v>1</v>
      </c>
      <c r="O74" s="295">
        <f t="shared" si="14"/>
        <v>1</v>
      </c>
      <c r="P74" s="295">
        <f t="shared" si="14"/>
        <v>1</v>
      </c>
      <c r="Q74" s="295">
        <f t="shared" si="14"/>
        <v>1</v>
      </c>
      <c r="R74" s="295">
        <f t="shared" si="14"/>
        <v>1</v>
      </c>
      <c r="S74" s="295">
        <f t="shared" si="14"/>
        <v>1</v>
      </c>
      <c r="T74" s="295">
        <f t="shared" si="14"/>
        <v>1</v>
      </c>
      <c r="U74" s="295">
        <f t="shared" si="14"/>
        <v>1</v>
      </c>
      <c r="V74" s="295">
        <f t="shared" si="14"/>
        <v>1</v>
      </c>
      <c r="W74" s="295">
        <f t="shared" si="14"/>
        <v>0</v>
      </c>
      <c r="X74" s="295">
        <f t="shared" si="14"/>
        <v>0</v>
      </c>
      <c r="Y74" s="295">
        <f t="shared" si="14"/>
        <v>0</v>
      </c>
      <c r="Z74" s="295">
        <f t="shared" si="14"/>
        <v>0</v>
      </c>
      <c r="AA74" s="295">
        <f t="shared" si="14"/>
        <v>0</v>
      </c>
      <c r="AB74" s="295">
        <f t="shared" si="14"/>
        <v>0</v>
      </c>
      <c r="AC74" s="295"/>
      <c r="AD74" s="295"/>
      <c r="AE74" s="296"/>
    </row>
    <row r="75" spans="1:31">
      <c r="A75" s="1711"/>
      <c r="B75" s="116">
        <v>20</v>
      </c>
      <c r="C75" s="294"/>
      <c r="D75" s="295">
        <f t="shared" si="13"/>
        <v>0</v>
      </c>
      <c r="E75" s="295">
        <f t="shared" si="14"/>
        <v>0</v>
      </c>
      <c r="F75" s="295">
        <f t="shared" si="14"/>
        <v>0</v>
      </c>
      <c r="G75" s="295">
        <f t="shared" si="14"/>
        <v>1</v>
      </c>
      <c r="H75" s="295">
        <f t="shared" si="14"/>
        <v>0</v>
      </c>
      <c r="I75" s="295">
        <f t="shared" si="14"/>
        <v>0</v>
      </c>
      <c r="J75" s="295">
        <f t="shared" si="14"/>
        <v>0</v>
      </c>
      <c r="K75" s="295">
        <f t="shared" si="14"/>
        <v>0</v>
      </c>
      <c r="L75" s="295">
        <f t="shared" si="14"/>
        <v>0</v>
      </c>
      <c r="M75" s="295">
        <f t="shared" si="14"/>
        <v>0</v>
      </c>
      <c r="N75" s="295">
        <f t="shared" si="14"/>
        <v>0</v>
      </c>
      <c r="O75" s="295">
        <f t="shared" si="14"/>
        <v>0</v>
      </c>
      <c r="P75" s="295">
        <f t="shared" si="14"/>
        <v>0</v>
      </c>
      <c r="Q75" s="295">
        <f t="shared" si="14"/>
        <v>0</v>
      </c>
      <c r="R75" s="295">
        <f t="shared" si="14"/>
        <v>0</v>
      </c>
      <c r="S75" s="295">
        <f t="shared" si="14"/>
        <v>0</v>
      </c>
      <c r="T75" s="295">
        <f t="shared" si="14"/>
        <v>0</v>
      </c>
      <c r="U75" s="295">
        <f t="shared" si="14"/>
        <v>0</v>
      </c>
      <c r="V75" s="295">
        <f t="shared" si="14"/>
        <v>0</v>
      </c>
      <c r="W75" s="295">
        <f t="shared" si="14"/>
        <v>0</v>
      </c>
      <c r="X75" s="295">
        <f t="shared" si="14"/>
        <v>0</v>
      </c>
      <c r="Y75" s="295">
        <f t="shared" si="14"/>
        <v>0</v>
      </c>
      <c r="Z75" s="295">
        <f t="shared" si="14"/>
        <v>0</v>
      </c>
      <c r="AA75" s="295">
        <f t="shared" si="14"/>
        <v>0</v>
      </c>
      <c r="AB75" s="295">
        <f t="shared" si="14"/>
        <v>0</v>
      </c>
      <c r="AC75" s="295"/>
      <c r="AD75" s="295"/>
      <c r="AE75" s="296"/>
    </row>
    <row r="76" spans="1:31">
      <c r="A76" s="1711"/>
      <c r="B76" s="116">
        <v>21</v>
      </c>
      <c r="C76" s="294"/>
      <c r="D76" s="295">
        <f t="shared" si="13"/>
        <v>0</v>
      </c>
      <c r="E76" s="295">
        <f t="shared" si="14"/>
        <v>0</v>
      </c>
      <c r="F76" s="295">
        <f t="shared" si="14"/>
        <v>0</v>
      </c>
      <c r="G76" s="295">
        <f t="shared" si="14"/>
        <v>0</v>
      </c>
      <c r="H76" s="295">
        <f t="shared" si="14"/>
        <v>0</v>
      </c>
      <c r="I76" s="295">
        <f t="shared" si="14"/>
        <v>0</v>
      </c>
      <c r="J76" s="295">
        <f t="shared" si="14"/>
        <v>0</v>
      </c>
      <c r="K76" s="295">
        <f t="shared" si="14"/>
        <v>0</v>
      </c>
      <c r="L76" s="295">
        <f t="shared" si="14"/>
        <v>0</v>
      </c>
      <c r="M76" s="295">
        <f t="shared" si="14"/>
        <v>0</v>
      </c>
      <c r="N76" s="295">
        <f t="shared" si="14"/>
        <v>0</v>
      </c>
      <c r="O76" s="295">
        <f t="shared" si="14"/>
        <v>0</v>
      </c>
      <c r="P76" s="295">
        <f t="shared" si="14"/>
        <v>0</v>
      </c>
      <c r="Q76" s="295">
        <f t="shared" si="14"/>
        <v>0</v>
      </c>
      <c r="R76" s="295">
        <f t="shared" si="14"/>
        <v>0</v>
      </c>
      <c r="S76" s="295">
        <f t="shared" si="14"/>
        <v>0</v>
      </c>
      <c r="T76" s="295">
        <f t="shared" si="14"/>
        <v>0</v>
      </c>
      <c r="U76" s="295">
        <f t="shared" si="14"/>
        <v>0</v>
      </c>
      <c r="V76" s="295">
        <f t="shared" si="14"/>
        <v>0</v>
      </c>
      <c r="W76" s="295">
        <f t="shared" si="14"/>
        <v>0</v>
      </c>
      <c r="X76" s="295">
        <f t="shared" si="14"/>
        <v>0</v>
      </c>
      <c r="Y76" s="295">
        <f t="shared" si="14"/>
        <v>0</v>
      </c>
      <c r="Z76" s="295">
        <f t="shared" si="14"/>
        <v>0</v>
      </c>
      <c r="AA76" s="295">
        <f t="shared" si="14"/>
        <v>0</v>
      </c>
      <c r="AB76" s="295">
        <f t="shared" si="14"/>
        <v>0</v>
      </c>
      <c r="AC76" s="295"/>
      <c r="AD76" s="295"/>
      <c r="AE76" s="296"/>
    </row>
    <row r="77" spans="1:31">
      <c r="A77" s="1711"/>
      <c r="B77" s="116">
        <v>22</v>
      </c>
      <c r="C77" s="294"/>
      <c r="D77" s="295">
        <f t="shared" si="13"/>
        <v>0</v>
      </c>
      <c r="E77" s="295">
        <f t="shared" si="14"/>
        <v>0</v>
      </c>
      <c r="F77" s="295">
        <f t="shared" si="14"/>
        <v>0</v>
      </c>
      <c r="G77" s="295">
        <f t="shared" si="14"/>
        <v>0</v>
      </c>
      <c r="H77" s="295">
        <f t="shared" si="14"/>
        <v>0</v>
      </c>
      <c r="I77" s="295">
        <f t="shared" si="14"/>
        <v>0</v>
      </c>
      <c r="J77" s="295">
        <f t="shared" si="14"/>
        <v>0</v>
      </c>
      <c r="K77" s="295">
        <f t="shared" si="14"/>
        <v>0</v>
      </c>
      <c r="L77" s="295">
        <f t="shared" si="14"/>
        <v>0</v>
      </c>
      <c r="M77" s="295">
        <f t="shared" si="14"/>
        <v>0</v>
      </c>
      <c r="N77" s="295">
        <f t="shared" si="14"/>
        <v>0</v>
      </c>
      <c r="O77" s="295">
        <f t="shared" si="14"/>
        <v>0</v>
      </c>
      <c r="P77" s="295">
        <f t="shared" si="14"/>
        <v>0</v>
      </c>
      <c r="Q77" s="295">
        <f t="shared" si="14"/>
        <v>0</v>
      </c>
      <c r="R77" s="295">
        <f t="shared" si="14"/>
        <v>0</v>
      </c>
      <c r="S77" s="295">
        <f t="shared" si="14"/>
        <v>0</v>
      </c>
      <c r="T77" s="295">
        <f t="shared" si="14"/>
        <v>0</v>
      </c>
      <c r="U77" s="295">
        <f t="shared" si="14"/>
        <v>0</v>
      </c>
      <c r="V77" s="295">
        <f t="shared" si="14"/>
        <v>0</v>
      </c>
      <c r="W77" s="295">
        <f t="shared" si="14"/>
        <v>0</v>
      </c>
      <c r="X77" s="295">
        <f t="shared" si="14"/>
        <v>0</v>
      </c>
      <c r="Y77" s="295">
        <f t="shared" si="14"/>
        <v>0</v>
      </c>
      <c r="Z77" s="295">
        <f t="shared" ref="E77:AB80" si="15">ROUND(Y76*$C107,0)</f>
        <v>0</v>
      </c>
      <c r="AA77" s="295">
        <f t="shared" si="15"/>
        <v>0</v>
      </c>
      <c r="AB77" s="295">
        <f t="shared" si="15"/>
        <v>0</v>
      </c>
      <c r="AC77" s="295"/>
      <c r="AD77" s="295"/>
      <c r="AE77" s="296"/>
    </row>
    <row r="78" spans="1:31">
      <c r="A78" s="1711"/>
      <c r="B78" s="116">
        <v>23</v>
      </c>
      <c r="C78" s="294"/>
      <c r="D78" s="295">
        <f t="shared" si="13"/>
        <v>0</v>
      </c>
      <c r="E78" s="295">
        <f t="shared" si="15"/>
        <v>0</v>
      </c>
      <c r="F78" s="295">
        <f t="shared" si="15"/>
        <v>0</v>
      </c>
      <c r="G78" s="295">
        <f t="shared" si="15"/>
        <v>0</v>
      </c>
      <c r="H78" s="295">
        <f t="shared" si="15"/>
        <v>0</v>
      </c>
      <c r="I78" s="295">
        <f t="shared" si="15"/>
        <v>0</v>
      </c>
      <c r="J78" s="295">
        <f t="shared" si="15"/>
        <v>0</v>
      </c>
      <c r="K78" s="295">
        <f t="shared" si="15"/>
        <v>0</v>
      </c>
      <c r="L78" s="295">
        <f t="shared" si="15"/>
        <v>0</v>
      </c>
      <c r="M78" s="295">
        <f t="shared" si="15"/>
        <v>0</v>
      </c>
      <c r="N78" s="295">
        <f t="shared" si="15"/>
        <v>0</v>
      </c>
      <c r="O78" s="295">
        <f t="shared" si="15"/>
        <v>0</v>
      </c>
      <c r="P78" s="295">
        <f t="shared" si="15"/>
        <v>0</v>
      </c>
      <c r="Q78" s="295">
        <f t="shared" si="15"/>
        <v>0</v>
      </c>
      <c r="R78" s="295">
        <f t="shared" si="15"/>
        <v>0</v>
      </c>
      <c r="S78" s="295">
        <f t="shared" si="15"/>
        <v>0</v>
      </c>
      <c r="T78" s="295">
        <f t="shared" si="15"/>
        <v>0</v>
      </c>
      <c r="U78" s="295">
        <f t="shared" si="15"/>
        <v>0</v>
      </c>
      <c r="V78" s="295">
        <f t="shared" si="15"/>
        <v>0</v>
      </c>
      <c r="W78" s="295">
        <f t="shared" si="15"/>
        <v>0</v>
      </c>
      <c r="X78" s="295">
        <f t="shared" si="15"/>
        <v>0</v>
      </c>
      <c r="Y78" s="295">
        <f t="shared" si="15"/>
        <v>0</v>
      </c>
      <c r="Z78" s="295">
        <f t="shared" si="15"/>
        <v>0</v>
      </c>
      <c r="AA78" s="295">
        <f t="shared" si="15"/>
        <v>0</v>
      </c>
      <c r="AB78" s="295">
        <f t="shared" si="15"/>
        <v>0</v>
      </c>
      <c r="AC78" s="295"/>
      <c r="AD78" s="295"/>
      <c r="AE78" s="296"/>
    </row>
    <row r="79" spans="1:31">
      <c r="A79" s="1711"/>
      <c r="B79" s="116">
        <v>24</v>
      </c>
      <c r="C79" s="294"/>
      <c r="D79" s="295">
        <f t="shared" si="13"/>
        <v>0</v>
      </c>
      <c r="E79" s="295">
        <f t="shared" si="15"/>
        <v>0</v>
      </c>
      <c r="F79" s="295">
        <f t="shared" si="15"/>
        <v>0</v>
      </c>
      <c r="G79" s="295">
        <f t="shared" si="15"/>
        <v>0</v>
      </c>
      <c r="H79" s="295">
        <f t="shared" si="15"/>
        <v>0</v>
      </c>
      <c r="I79" s="295">
        <f t="shared" si="15"/>
        <v>0</v>
      </c>
      <c r="J79" s="295">
        <f t="shared" si="15"/>
        <v>0</v>
      </c>
      <c r="K79" s="295">
        <f t="shared" si="15"/>
        <v>0</v>
      </c>
      <c r="L79" s="295">
        <f t="shared" si="15"/>
        <v>0</v>
      </c>
      <c r="M79" s="295">
        <f t="shared" si="15"/>
        <v>0</v>
      </c>
      <c r="N79" s="295">
        <f t="shared" si="15"/>
        <v>0</v>
      </c>
      <c r="O79" s="295">
        <f t="shared" si="15"/>
        <v>0</v>
      </c>
      <c r="P79" s="295">
        <f t="shared" si="15"/>
        <v>0</v>
      </c>
      <c r="Q79" s="295">
        <f t="shared" si="15"/>
        <v>0</v>
      </c>
      <c r="R79" s="295">
        <f t="shared" si="15"/>
        <v>0</v>
      </c>
      <c r="S79" s="295">
        <f t="shared" si="15"/>
        <v>0</v>
      </c>
      <c r="T79" s="295">
        <f t="shared" si="15"/>
        <v>0</v>
      </c>
      <c r="U79" s="295">
        <f t="shared" si="15"/>
        <v>0</v>
      </c>
      <c r="V79" s="295">
        <f t="shared" si="15"/>
        <v>0</v>
      </c>
      <c r="W79" s="295">
        <f t="shared" si="15"/>
        <v>0</v>
      </c>
      <c r="X79" s="295">
        <f t="shared" si="15"/>
        <v>0</v>
      </c>
      <c r="Y79" s="295">
        <f t="shared" si="15"/>
        <v>0</v>
      </c>
      <c r="Z79" s="295">
        <f t="shared" si="15"/>
        <v>0</v>
      </c>
      <c r="AA79" s="295">
        <f t="shared" si="15"/>
        <v>0</v>
      </c>
      <c r="AB79" s="295">
        <f t="shared" si="15"/>
        <v>0</v>
      </c>
      <c r="AC79" s="295"/>
      <c r="AD79" s="295"/>
      <c r="AE79" s="296"/>
    </row>
    <row r="80" spans="1:31" ht="15.75" thickBot="1">
      <c r="A80" s="1711"/>
      <c r="B80" s="116">
        <v>25</v>
      </c>
      <c r="C80" s="297"/>
      <c r="D80" s="298">
        <f t="shared" si="13"/>
        <v>0</v>
      </c>
      <c r="E80" s="298">
        <f t="shared" si="15"/>
        <v>0</v>
      </c>
      <c r="F80" s="298">
        <f t="shared" si="15"/>
        <v>0</v>
      </c>
      <c r="G80" s="298">
        <f t="shared" si="15"/>
        <v>0</v>
      </c>
      <c r="H80" s="298">
        <f t="shared" si="15"/>
        <v>0</v>
      </c>
      <c r="I80" s="298">
        <f t="shared" si="15"/>
        <v>0</v>
      </c>
      <c r="J80" s="298">
        <f t="shared" si="15"/>
        <v>0</v>
      </c>
      <c r="K80" s="298">
        <f t="shared" si="15"/>
        <v>0</v>
      </c>
      <c r="L80" s="298">
        <f t="shared" si="15"/>
        <v>0</v>
      </c>
      <c r="M80" s="298">
        <f t="shared" si="15"/>
        <v>0</v>
      </c>
      <c r="N80" s="298">
        <f t="shared" si="15"/>
        <v>0</v>
      </c>
      <c r="O80" s="298">
        <f t="shared" si="15"/>
        <v>0</v>
      </c>
      <c r="P80" s="298">
        <f t="shared" si="15"/>
        <v>0</v>
      </c>
      <c r="Q80" s="298">
        <f t="shared" si="15"/>
        <v>0</v>
      </c>
      <c r="R80" s="298">
        <f t="shared" si="15"/>
        <v>0</v>
      </c>
      <c r="S80" s="298">
        <f t="shared" si="15"/>
        <v>0</v>
      </c>
      <c r="T80" s="298">
        <f t="shared" si="15"/>
        <v>0</v>
      </c>
      <c r="U80" s="298">
        <f t="shared" si="15"/>
        <v>0</v>
      </c>
      <c r="V80" s="298">
        <f t="shared" si="15"/>
        <v>0</v>
      </c>
      <c r="W80" s="298">
        <f t="shared" si="15"/>
        <v>0</v>
      </c>
      <c r="X80" s="298">
        <f t="shared" si="15"/>
        <v>0</v>
      </c>
      <c r="Y80" s="298">
        <f t="shared" si="15"/>
        <v>0</v>
      </c>
      <c r="Z80" s="298">
        <f t="shared" si="15"/>
        <v>0</v>
      </c>
      <c r="AA80" s="298">
        <f t="shared" si="15"/>
        <v>0</v>
      </c>
      <c r="AB80" s="298">
        <f t="shared" si="15"/>
        <v>0</v>
      </c>
      <c r="AC80" s="298"/>
      <c r="AD80" s="298"/>
      <c r="AE80" s="299"/>
    </row>
    <row r="81" spans="1:31" ht="16.5" thickTop="1" thickBot="1">
      <c r="A81" s="1712"/>
      <c r="B81" s="300" t="s">
        <v>39</v>
      </c>
      <c r="C81" s="301">
        <f>SUM(C55:C80)</f>
        <v>16062</v>
      </c>
      <c r="D81" s="301">
        <f>SUM(D55:D80)</f>
        <v>15541</v>
      </c>
      <c r="E81" s="301">
        <f t="shared" ref="E81:AB81" si="16">SUM(E55:E80)</f>
        <v>15052</v>
      </c>
      <c r="F81" s="301">
        <f t="shared" si="16"/>
        <v>14480</v>
      </c>
      <c r="G81" s="301">
        <f t="shared" si="16"/>
        <v>13771</v>
      </c>
      <c r="H81" s="301">
        <f t="shared" si="16"/>
        <v>12898</v>
      </c>
      <c r="I81" s="301">
        <f t="shared" si="16"/>
        <v>11848</v>
      </c>
      <c r="J81" s="301">
        <f t="shared" si="16"/>
        <v>10616</v>
      </c>
      <c r="K81" s="301">
        <f t="shared" si="16"/>
        <v>9218</v>
      </c>
      <c r="L81" s="301">
        <f t="shared" si="16"/>
        <v>7671</v>
      </c>
      <c r="M81" s="301">
        <f t="shared" si="16"/>
        <v>6097</v>
      </c>
      <c r="N81" s="301">
        <f t="shared" si="16"/>
        <v>4537</v>
      </c>
      <c r="O81" s="301">
        <f t="shared" si="16"/>
        <v>3012</v>
      </c>
      <c r="P81" s="301">
        <f t="shared" si="16"/>
        <v>1651</v>
      </c>
      <c r="Q81" s="301">
        <f t="shared" si="16"/>
        <v>716</v>
      </c>
      <c r="R81" s="301">
        <f t="shared" si="16"/>
        <v>247</v>
      </c>
      <c r="S81" s="301">
        <f t="shared" si="16"/>
        <v>77</v>
      </c>
      <c r="T81" s="301">
        <f t="shared" si="16"/>
        <v>21</v>
      </c>
      <c r="U81" s="301">
        <f t="shared" si="16"/>
        <v>5</v>
      </c>
      <c r="V81" s="301">
        <f t="shared" si="16"/>
        <v>1</v>
      </c>
      <c r="W81" s="301">
        <f t="shared" si="16"/>
        <v>0</v>
      </c>
      <c r="X81" s="301">
        <f t="shared" si="16"/>
        <v>0</v>
      </c>
      <c r="Y81" s="301">
        <f t="shared" si="16"/>
        <v>0</v>
      </c>
      <c r="Z81" s="301">
        <f t="shared" si="16"/>
        <v>0</v>
      </c>
      <c r="AA81" s="301">
        <f t="shared" si="16"/>
        <v>0</v>
      </c>
      <c r="AB81" s="301">
        <f t="shared" si="16"/>
        <v>0</v>
      </c>
      <c r="AC81" s="301">
        <f>SUM(AC55:AC80)</f>
        <v>0</v>
      </c>
      <c r="AD81" s="301">
        <f t="shared" ref="AD81:AE81" si="17">SUM(AD55:AD80)</f>
        <v>0</v>
      </c>
      <c r="AE81" s="302">
        <f t="shared" si="17"/>
        <v>0</v>
      </c>
    </row>
    <row r="82" spans="1:31" ht="15.75" thickBot="1"/>
    <row r="83" spans="1:31" ht="30.75" customHeight="1" thickBot="1">
      <c r="A83" s="577"/>
      <c r="B83" s="1829" t="s">
        <v>936</v>
      </c>
      <c r="C83" s="1830"/>
    </row>
    <row r="84" spans="1:31" ht="15.75" thickTop="1">
      <c r="A84" s="38"/>
      <c r="B84" s="136" t="s">
        <v>185</v>
      </c>
      <c r="C84" s="138" t="s">
        <v>187</v>
      </c>
    </row>
    <row r="85" spans="1:31">
      <c r="A85" s="38">
        <v>0</v>
      </c>
      <c r="B85" s="139">
        <v>1</v>
      </c>
      <c r="C85" s="141">
        <v>1</v>
      </c>
    </row>
    <row r="86" spans="1:31">
      <c r="A86" s="38">
        <v>1</v>
      </c>
      <c r="B86" s="139">
        <v>1</v>
      </c>
      <c r="C86" s="141">
        <v>1</v>
      </c>
    </row>
    <row r="87" spans="1:31">
      <c r="A87" s="38">
        <v>2</v>
      </c>
      <c r="B87" s="139">
        <v>1</v>
      </c>
      <c r="C87" s="141">
        <v>1</v>
      </c>
    </row>
    <row r="88" spans="1:31">
      <c r="A88" s="38">
        <v>3</v>
      </c>
      <c r="B88" s="139">
        <v>1</v>
      </c>
      <c r="C88" s="141">
        <v>1</v>
      </c>
    </row>
    <row r="89" spans="1:31">
      <c r="A89" s="38">
        <v>4</v>
      </c>
      <c r="B89" s="139">
        <v>1</v>
      </c>
      <c r="C89" s="141">
        <v>1</v>
      </c>
    </row>
    <row r="90" spans="1:31">
      <c r="A90" s="38">
        <v>5</v>
      </c>
      <c r="B90" s="139">
        <v>1</v>
      </c>
      <c r="C90" s="141">
        <v>1</v>
      </c>
    </row>
    <row r="91" spans="1:31">
      <c r="A91" s="38">
        <v>6</v>
      </c>
      <c r="B91" s="139">
        <v>1</v>
      </c>
      <c r="C91" s="141">
        <v>1</v>
      </c>
    </row>
    <row r="92" spans="1:31">
      <c r="A92" s="38">
        <v>7</v>
      </c>
      <c r="B92" s="139">
        <v>1</v>
      </c>
      <c r="C92" s="141">
        <v>1</v>
      </c>
    </row>
    <row r="93" spans="1:31">
      <c r="A93" s="38">
        <v>8</v>
      </c>
      <c r="B93" s="139">
        <v>0.99076789510046859</v>
      </c>
      <c r="C93" s="141">
        <v>1</v>
      </c>
    </row>
    <row r="94" spans="1:31">
      <c r="A94" s="38">
        <v>9</v>
      </c>
      <c r="B94" s="139">
        <v>0.94568804210866786</v>
      </c>
      <c r="C94" s="141">
        <v>1</v>
      </c>
    </row>
    <row r="95" spans="1:31">
      <c r="A95" s="38">
        <v>10</v>
      </c>
      <c r="B95" s="139">
        <v>0.86276312954578538</v>
      </c>
      <c r="C95" s="141">
        <v>1</v>
      </c>
    </row>
    <row r="96" spans="1:31">
      <c r="A96" s="38">
        <v>11</v>
      </c>
      <c r="B96" s="139">
        <v>0.76109081383964738</v>
      </c>
      <c r="C96" s="141">
        <v>0.97859323370869955</v>
      </c>
    </row>
    <row r="97" spans="1:3">
      <c r="A97" s="38">
        <v>12</v>
      </c>
      <c r="B97" s="139">
        <v>0.63816756383783313</v>
      </c>
      <c r="C97" s="141">
        <v>0.89377649867875397</v>
      </c>
    </row>
    <row r="98" spans="1:3">
      <c r="A98" s="38">
        <v>13</v>
      </c>
      <c r="B98" s="139">
        <v>0.51305934405887521</v>
      </c>
      <c r="C98" s="141">
        <v>0.69887032020067408</v>
      </c>
    </row>
    <row r="99" spans="1:3">
      <c r="A99" s="38">
        <v>14</v>
      </c>
      <c r="B99" s="139">
        <v>0.39256488135613898</v>
      </c>
      <c r="C99" s="141">
        <v>0.51136612727821629</v>
      </c>
    </row>
    <row r="100" spans="1:3">
      <c r="A100" s="38">
        <v>15</v>
      </c>
      <c r="B100" s="139">
        <v>0.28837444994189265</v>
      </c>
      <c r="C100" s="141">
        <v>0.36508318471841072</v>
      </c>
    </row>
    <row r="101" spans="1:3">
      <c r="A101" s="38">
        <v>16</v>
      </c>
      <c r="B101" s="139">
        <v>0.25953700494770338</v>
      </c>
      <c r="C101" s="141">
        <v>0.32857486624656967</v>
      </c>
    </row>
    <row r="102" spans="1:3">
      <c r="A102" s="38">
        <v>17</v>
      </c>
      <c r="B102" s="139">
        <v>0.2306995599535141</v>
      </c>
      <c r="C102" s="141">
        <v>0.29206654777472862</v>
      </c>
    </row>
    <row r="103" spans="1:3">
      <c r="A103" s="38">
        <v>18</v>
      </c>
      <c r="B103" s="139">
        <v>0.20186211495932482</v>
      </c>
      <c r="C103" s="141">
        <v>0.25555822930288757</v>
      </c>
    </row>
    <row r="104" spans="1:3">
      <c r="A104" s="38">
        <v>19</v>
      </c>
      <c r="B104" s="139">
        <v>0.17302466996513555</v>
      </c>
      <c r="C104" s="141">
        <v>0.2190499108310465</v>
      </c>
    </row>
    <row r="105" spans="1:3">
      <c r="A105" s="38">
        <v>20</v>
      </c>
      <c r="B105" s="139">
        <v>0.14418722497094627</v>
      </c>
      <c r="C105" s="141">
        <v>0.18254159235920542</v>
      </c>
    </row>
    <row r="106" spans="1:3">
      <c r="A106" s="38">
        <v>21</v>
      </c>
      <c r="B106" s="139">
        <v>0.11534977997675701</v>
      </c>
      <c r="C106" s="141">
        <v>0.14603327388736434</v>
      </c>
    </row>
    <row r="107" spans="1:3">
      <c r="A107" s="38">
        <v>22</v>
      </c>
      <c r="B107" s="139">
        <v>8.6512334982567746E-2</v>
      </c>
      <c r="C107" s="141">
        <v>0.10952495541552326</v>
      </c>
    </row>
    <row r="108" spans="1:3">
      <c r="A108" s="38">
        <v>23</v>
      </c>
      <c r="B108" s="139">
        <v>5.7674889988378483E-2</v>
      </c>
      <c r="C108" s="141">
        <v>7.3016636943682184E-2</v>
      </c>
    </row>
    <row r="109" spans="1:3">
      <c r="A109" s="38">
        <v>24</v>
      </c>
      <c r="B109" s="139">
        <v>2.8837444994189217E-2</v>
      </c>
      <c r="C109" s="141">
        <v>3.6508318471841113E-2</v>
      </c>
    </row>
    <row r="110" spans="1:3" ht="15.75" thickBot="1">
      <c r="A110" s="793">
        <v>25</v>
      </c>
      <c r="B110" s="794">
        <v>0</v>
      </c>
      <c r="C110" s="795">
        <v>0</v>
      </c>
    </row>
  </sheetData>
  <mergeCells count="3">
    <mergeCell ref="A25:A52"/>
    <mergeCell ref="A54:A81"/>
    <mergeCell ref="B83:C83"/>
  </mergeCells>
  <pageMargins left="0.7" right="0.7" top="0.75" bottom="0.75" header="0.3" footer="0.3"/>
  <legacy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theme="7" tint="0.59999389629810485"/>
  </sheetPr>
  <dimension ref="A1:H32"/>
  <sheetViews>
    <sheetView workbookViewId="0"/>
  </sheetViews>
  <sheetFormatPr defaultRowHeight="15"/>
  <cols>
    <col min="1" max="1" width="25.5703125" bestFit="1" customWidth="1"/>
  </cols>
  <sheetData>
    <row r="1" spans="1:8">
      <c r="B1" s="629"/>
      <c r="C1" s="629"/>
      <c r="D1" s="629"/>
      <c r="E1" s="629"/>
      <c r="F1" s="629"/>
      <c r="G1" s="629"/>
      <c r="H1" s="629"/>
    </row>
    <row r="2" spans="1:8">
      <c r="A2" s="1832" t="s">
        <v>708</v>
      </c>
      <c r="B2" s="1832"/>
      <c r="C2" s="1832"/>
      <c r="D2" s="1832"/>
      <c r="E2" s="1832"/>
      <c r="F2" s="1832"/>
      <c r="G2" s="1832"/>
      <c r="H2" s="630" t="s">
        <v>709</v>
      </c>
    </row>
    <row r="3" spans="1:8">
      <c r="A3" s="620" t="s">
        <v>695</v>
      </c>
      <c r="B3" s="620">
        <v>2008</v>
      </c>
      <c r="C3" s="620">
        <v>2009</v>
      </c>
      <c r="D3" s="620">
        <v>2010</v>
      </c>
      <c r="E3" s="620">
        <v>2011</v>
      </c>
      <c r="F3" s="620">
        <v>2012</v>
      </c>
      <c r="G3" s="620">
        <v>2013</v>
      </c>
      <c r="H3" s="620">
        <v>2014</v>
      </c>
    </row>
    <row r="4" spans="1:8">
      <c r="A4" s="621"/>
      <c r="B4" s="621"/>
      <c r="C4" s="621"/>
      <c r="D4" s="621"/>
      <c r="E4" s="621"/>
      <c r="F4" s="621"/>
      <c r="G4" s="621"/>
      <c r="H4" s="617"/>
    </row>
    <row r="5" spans="1:8">
      <c r="A5" s="622" t="s">
        <v>696</v>
      </c>
      <c r="B5" s="621"/>
      <c r="C5" s="621"/>
      <c r="D5" s="621"/>
      <c r="E5" s="621"/>
      <c r="F5" s="621"/>
      <c r="G5" s="621"/>
      <c r="H5" s="617"/>
    </row>
    <row r="6" spans="1:8">
      <c r="A6" s="623" t="s">
        <v>697</v>
      </c>
      <c r="B6" s="621"/>
      <c r="C6" s="621"/>
      <c r="D6" s="621"/>
      <c r="E6" s="621"/>
      <c r="F6" s="621"/>
      <c r="G6" s="621"/>
      <c r="H6" s="617"/>
    </row>
    <row r="7" spans="1:8">
      <c r="A7" s="624" t="s">
        <v>698</v>
      </c>
      <c r="B7" s="625">
        <v>19949</v>
      </c>
      <c r="C7" s="625">
        <v>16957</v>
      </c>
      <c r="D7" s="625">
        <v>18002</v>
      </c>
      <c r="E7" s="625">
        <v>19279</v>
      </c>
      <c r="F7" s="625">
        <v>16954</v>
      </c>
      <c r="G7" s="625">
        <v>17028</v>
      </c>
      <c r="H7" s="627">
        <v>17418</v>
      </c>
    </row>
    <row r="8" spans="1:8">
      <c r="A8" s="624" t="s">
        <v>699</v>
      </c>
      <c r="B8" s="625">
        <v>17334</v>
      </c>
      <c r="C8" s="625">
        <v>14267</v>
      </c>
      <c r="D8" s="625">
        <v>14948</v>
      </c>
      <c r="E8" s="625">
        <v>14111</v>
      </c>
      <c r="F8" s="625">
        <v>15903</v>
      </c>
      <c r="G8" s="625">
        <v>15944</v>
      </c>
      <c r="H8" s="627">
        <v>15495</v>
      </c>
    </row>
    <row r="9" spans="1:8">
      <c r="A9" s="624" t="s">
        <v>700</v>
      </c>
      <c r="B9" s="625">
        <v>2967</v>
      </c>
      <c r="C9" s="625">
        <v>2749</v>
      </c>
      <c r="D9" s="625">
        <v>3355</v>
      </c>
      <c r="E9" s="625">
        <v>2049</v>
      </c>
      <c r="F9" s="625">
        <v>1579</v>
      </c>
      <c r="G9" s="625">
        <v>2769</v>
      </c>
      <c r="H9" s="627">
        <v>2363</v>
      </c>
    </row>
    <row r="10" spans="1:8">
      <c r="A10" s="624" t="s">
        <v>701</v>
      </c>
      <c r="B10" s="625">
        <v>8908</v>
      </c>
      <c r="C10" s="625">
        <v>5913</v>
      </c>
      <c r="D10" s="625">
        <v>7028</v>
      </c>
      <c r="E10" s="625">
        <v>7555</v>
      </c>
      <c r="F10" s="625">
        <v>8995</v>
      </c>
      <c r="G10" s="625">
        <v>8167</v>
      </c>
      <c r="H10" s="627">
        <v>9283</v>
      </c>
    </row>
    <row r="11" spans="1:8">
      <c r="A11" s="623" t="s">
        <v>702</v>
      </c>
      <c r="B11" s="625">
        <v>1923</v>
      </c>
      <c r="C11" s="625">
        <v>1950</v>
      </c>
      <c r="D11" s="625">
        <v>1738</v>
      </c>
      <c r="E11" s="625">
        <v>2085</v>
      </c>
      <c r="F11" s="625">
        <v>4218</v>
      </c>
      <c r="G11" s="625">
        <v>2814</v>
      </c>
      <c r="H11" s="627">
        <v>2924</v>
      </c>
    </row>
    <row r="12" spans="1:8">
      <c r="A12" s="622" t="s">
        <v>693</v>
      </c>
      <c r="B12" s="626">
        <v>51081</v>
      </c>
      <c r="C12" s="626">
        <v>41836</v>
      </c>
      <c r="D12" s="626">
        <v>45071</v>
      </c>
      <c r="E12" s="626">
        <v>45078</v>
      </c>
      <c r="F12" s="626">
        <v>47649</v>
      </c>
      <c r="G12" s="626">
        <v>46722</v>
      </c>
      <c r="H12" s="628">
        <v>47483</v>
      </c>
    </row>
    <row r="13" spans="1:8">
      <c r="A13" s="621"/>
      <c r="B13" s="621"/>
      <c r="C13" s="621"/>
      <c r="D13" s="621"/>
      <c r="E13" s="621"/>
      <c r="F13" s="621"/>
      <c r="G13" s="621"/>
      <c r="H13" s="617"/>
    </row>
    <row r="14" spans="1:8">
      <c r="A14" s="622" t="s">
        <v>703</v>
      </c>
      <c r="B14" s="621"/>
      <c r="C14" s="621"/>
      <c r="D14" s="621"/>
      <c r="E14" s="621"/>
      <c r="F14" s="621"/>
      <c r="G14" s="621"/>
      <c r="H14" s="617"/>
    </row>
    <row r="15" spans="1:8">
      <c r="A15" s="623" t="s">
        <v>697</v>
      </c>
      <c r="B15" s="621"/>
      <c r="C15" s="621"/>
      <c r="D15" s="621"/>
      <c r="E15" s="621"/>
      <c r="F15" s="621"/>
      <c r="G15" s="621"/>
      <c r="H15" s="617"/>
    </row>
    <row r="16" spans="1:8">
      <c r="A16" s="624" t="s">
        <v>698</v>
      </c>
      <c r="B16" s="625">
        <v>13340</v>
      </c>
      <c r="C16" s="625">
        <v>11225</v>
      </c>
      <c r="D16" s="625">
        <v>11564</v>
      </c>
      <c r="E16" s="625">
        <v>12302</v>
      </c>
      <c r="F16" s="625">
        <v>9757</v>
      </c>
      <c r="G16" s="625">
        <v>9963</v>
      </c>
      <c r="H16" s="627">
        <v>9717</v>
      </c>
    </row>
    <row r="17" spans="1:8">
      <c r="A17" s="624" t="s">
        <v>699</v>
      </c>
      <c r="B17" s="625">
        <v>11085</v>
      </c>
      <c r="C17" s="625">
        <v>9417</v>
      </c>
      <c r="D17" s="625">
        <v>9576</v>
      </c>
      <c r="E17" s="625">
        <v>8256</v>
      </c>
      <c r="F17" s="625">
        <v>9736</v>
      </c>
      <c r="G17" s="625">
        <v>10195</v>
      </c>
      <c r="H17" s="627">
        <v>9160</v>
      </c>
    </row>
    <row r="18" spans="1:8">
      <c r="A18" s="624" t="s">
        <v>700</v>
      </c>
      <c r="B18" s="625">
        <v>2168</v>
      </c>
      <c r="C18" s="625">
        <v>2053</v>
      </c>
      <c r="D18" s="625">
        <v>2587</v>
      </c>
      <c r="E18" s="625">
        <v>1539</v>
      </c>
      <c r="F18" s="625">
        <v>1239</v>
      </c>
      <c r="G18" s="625">
        <v>2414</v>
      </c>
      <c r="H18" s="627">
        <v>2044</v>
      </c>
    </row>
    <row r="19" spans="1:8">
      <c r="A19" s="624" t="s">
        <v>701</v>
      </c>
      <c r="B19" s="625">
        <v>8491</v>
      </c>
      <c r="C19" s="625">
        <v>5358</v>
      </c>
      <c r="D19" s="625">
        <v>6131</v>
      </c>
      <c r="E19" s="625">
        <v>6817</v>
      </c>
      <c r="F19" s="625">
        <v>8459</v>
      </c>
      <c r="G19" s="625">
        <v>7479</v>
      </c>
      <c r="H19" s="627">
        <v>6866</v>
      </c>
    </row>
    <row r="20" spans="1:8">
      <c r="A20" s="623" t="s">
        <v>702</v>
      </c>
      <c r="B20" s="625">
        <v>966</v>
      </c>
      <c r="C20" s="625">
        <v>945</v>
      </c>
      <c r="D20" s="625">
        <v>852</v>
      </c>
      <c r="E20" s="625">
        <v>924</v>
      </c>
      <c r="F20" s="625">
        <v>2000</v>
      </c>
      <c r="G20" s="625">
        <v>1352</v>
      </c>
      <c r="H20" s="627">
        <v>1296</v>
      </c>
    </row>
    <row r="21" spans="1:8">
      <c r="A21" s="622" t="s">
        <v>704</v>
      </c>
      <c r="B21" s="626">
        <v>36049</v>
      </c>
      <c r="C21" s="626">
        <v>28998</v>
      </c>
      <c r="D21" s="626">
        <v>30712</v>
      </c>
      <c r="E21" s="626">
        <v>29838</v>
      </c>
      <c r="F21" s="626">
        <v>31191</v>
      </c>
      <c r="G21" s="626">
        <v>31403</v>
      </c>
      <c r="H21" s="628">
        <v>29083</v>
      </c>
    </row>
    <row r="22" spans="1:8">
      <c r="A22" s="621"/>
      <c r="B22" s="621"/>
      <c r="C22" s="621"/>
      <c r="D22" s="621"/>
      <c r="E22" s="621"/>
      <c r="F22" s="621"/>
      <c r="G22" s="621"/>
      <c r="H22" s="617"/>
    </row>
    <row r="23" spans="1:8">
      <c r="A23" s="622" t="s">
        <v>705</v>
      </c>
      <c r="B23" s="621"/>
      <c r="C23" s="621"/>
      <c r="D23" s="621"/>
      <c r="E23" s="621"/>
      <c r="F23" s="621"/>
      <c r="G23" s="621"/>
      <c r="H23" s="617"/>
    </row>
    <row r="24" spans="1:8">
      <c r="A24" s="623" t="s">
        <v>697</v>
      </c>
      <c r="B24" s="621"/>
      <c r="C24" s="621"/>
      <c r="D24" s="621"/>
      <c r="E24" s="621"/>
      <c r="F24" s="621"/>
      <c r="G24" s="621"/>
      <c r="H24" s="617"/>
    </row>
    <row r="25" spans="1:8">
      <c r="A25" s="624" t="s">
        <v>698</v>
      </c>
      <c r="B25" s="625">
        <v>6610</v>
      </c>
      <c r="C25" s="625">
        <v>5732</v>
      </c>
      <c r="D25" s="625">
        <v>6438</v>
      </c>
      <c r="E25" s="625">
        <v>6977</v>
      </c>
      <c r="F25" s="625">
        <v>7197</v>
      </c>
      <c r="G25" s="625">
        <v>7064</v>
      </c>
      <c r="H25" s="627">
        <v>7701</v>
      </c>
    </row>
    <row r="26" spans="1:8">
      <c r="A26" s="624" t="s">
        <v>699</v>
      </c>
      <c r="B26" s="625">
        <v>6249</v>
      </c>
      <c r="C26" s="625">
        <v>4850</v>
      </c>
      <c r="D26" s="625">
        <v>5371</v>
      </c>
      <c r="E26" s="625">
        <v>5855</v>
      </c>
      <c r="F26" s="625">
        <v>6167</v>
      </c>
      <c r="G26" s="625">
        <v>5750</v>
      </c>
      <c r="H26" s="627">
        <v>6334</v>
      </c>
    </row>
    <row r="27" spans="1:8">
      <c r="A27" s="624" t="s">
        <v>706</v>
      </c>
      <c r="B27" s="625">
        <v>799</v>
      </c>
      <c r="C27" s="625">
        <v>696</v>
      </c>
      <c r="D27" s="625">
        <v>767</v>
      </c>
      <c r="E27" s="625">
        <v>510</v>
      </c>
      <c r="F27" s="625">
        <v>340</v>
      </c>
      <c r="G27" s="625">
        <v>354</v>
      </c>
      <c r="H27" s="618">
        <v>319</v>
      </c>
    </row>
    <row r="28" spans="1:8">
      <c r="A28" s="624" t="s">
        <v>701</v>
      </c>
      <c r="B28" s="621">
        <v>417</v>
      </c>
      <c r="C28" s="625">
        <v>555</v>
      </c>
      <c r="D28" s="625">
        <v>897</v>
      </c>
      <c r="E28" s="625">
        <v>738</v>
      </c>
      <c r="F28" s="625">
        <v>536</v>
      </c>
      <c r="G28" s="625">
        <v>688</v>
      </c>
      <c r="H28" s="627">
        <v>2418</v>
      </c>
    </row>
    <row r="29" spans="1:8">
      <c r="A29" s="623" t="s">
        <v>702</v>
      </c>
      <c r="B29" s="625">
        <v>957</v>
      </c>
      <c r="C29" s="625">
        <v>1005</v>
      </c>
      <c r="D29" s="625">
        <v>886</v>
      </c>
      <c r="E29" s="625">
        <v>1160</v>
      </c>
      <c r="F29" s="625">
        <v>2218</v>
      </c>
      <c r="G29" s="625">
        <v>1463</v>
      </c>
      <c r="H29" s="627">
        <v>1628</v>
      </c>
    </row>
    <row r="30" spans="1:8">
      <c r="A30" s="622" t="s">
        <v>707</v>
      </c>
      <c r="B30" s="626">
        <v>15031</v>
      </c>
      <c r="C30" s="626">
        <v>12839</v>
      </c>
      <c r="D30" s="626">
        <v>14359</v>
      </c>
      <c r="E30" s="626">
        <v>15240</v>
      </c>
      <c r="F30" s="626">
        <v>16458</v>
      </c>
      <c r="G30" s="626">
        <v>15319</v>
      </c>
      <c r="H30" s="628">
        <v>18400</v>
      </c>
    </row>
    <row r="31" spans="1:8">
      <c r="A31" s="619"/>
      <c r="B31" s="619"/>
      <c r="C31" s="619"/>
      <c r="D31" s="619"/>
      <c r="E31" s="619"/>
      <c r="F31" s="619"/>
      <c r="G31" s="619"/>
      <c r="H31" s="619"/>
    </row>
    <row r="32" spans="1:8">
      <c r="A32" s="1831" t="s">
        <v>694</v>
      </c>
      <c r="B32" s="1831"/>
      <c r="C32" s="617"/>
      <c r="D32" s="617"/>
      <c r="E32" s="617"/>
      <c r="F32" s="617"/>
      <c r="G32" s="617"/>
      <c r="H32" s="617"/>
    </row>
  </sheetData>
  <mergeCells count="2">
    <mergeCell ref="A32:B32"/>
    <mergeCell ref="A2:G2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7B74FDAF7A4FB4D876E5EA45926113E" ma:contentTypeVersion="4" ma:contentTypeDescription="Create a new document." ma:contentTypeScope="" ma:versionID="327522a6d5518d67d5f1063e9cc64cf0">
  <xsd:schema xmlns:xsd="http://www.w3.org/2001/XMLSchema" xmlns:xs="http://www.w3.org/2001/XMLSchema" xmlns:p="http://schemas.microsoft.com/office/2006/metadata/properties" xmlns:ns2="3a32fc56-8470-4d77-ad86-bef2a7229878" targetNamespace="http://schemas.microsoft.com/office/2006/metadata/properties" ma:root="true" ma:fieldsID="ffd5532d255be23b9fb13183c07e1fd0" ns2:_="">
    <xsd:import namespace="3a32fc56-8470-4d77-ad86-bef2a722987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a32fc56-8470-4d77-ad86-bef2a722987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62FF332-C7BE-497D-97D5-CB841A9F8777}"/>
</file>

<file path=customXml/itemProps2.xml><?xml version="1.0" encoding="utf-8"?>
<ds:datastoreItem xmlns:ds="http://schemas.openxmlformats.org/officeDocument/2006/customXml" ds:itemID="{5F452E29-1670-4E81-AEBE-68C20D3A800D}"/>
</file>

<file path=customXml/itemProps3.xml><?xml version="1.0" encoding="utf-8"?>
<ds:datastoreItem xmlns:ds="http://schemas.openxmlformats.org/officeDocument/2006/customXml" ds:itemID="{A5E8AF49-87F1-412A-BB13-711C74D43A8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43</vt:i4>
      </vt:variant>
      <vt:variant>
        <vt:lpstr>Named Ranges</vt:lpstr>
      </vt:variant>
      <vt:variant>
        <vt:i4>2</vt:i4>
      </vt:variant>
    </vt:vector>
  </HeadingPairs>
  <TitlesOfParts>
    <vt:vector size="45" baseType="lpstr">
      <vt:lpstr>Cover</vt:lpstr>
      <vt:lpstr>Intro</vt:lpstr>
      <vt:lpstr>EB2012</vt:lpstr>
      <vt:lpstr>Commodities</vt:lpstr>
      <vt:lpstr>TRA_FuelTech</vt:lpstr>
      <vt:lpstr>TRA_FuelBlending</vt:lpstr>
      <vt:lpstr>Demands</vt:lpstr>
      <vt:lpstr>Emi</vt:lpstr>
      <vt:lpstr>CAR</vt:lpstr>
      <vt:lpstr>MOTO</vt:lpstr>
      <vt:lpstr>FREH</vt:lpstr>
      <vt:lpstr>PUB</vt:lpstr>
      <vt:lpstr>NAV</vt:lpstr>
      <vt:lpstr>AVI</vt:lpstr>
      <vt:lpstr>CAR Stock</vt:lpstr>
      <vt:lpstr>CAR Mileage</vt:lpstr>
      <vt:lpstr>CAR Passenger Kilometres</vt:lpstr>
      <vt:lpstr>CAR Survival Profiles</vt:lpstr>
      <vt:lpstr>CAR SEC</vt:lpstr>
      <vt:lpstr>CAR Daily Traffic Profile</vt:lpstr>
      <vt:lpstr>CAR On-Road Factor</vt:lpstr>
      <vt:lpstr>CAR Occupancy</vt:lpstr>
      <vt:lpstr>CAR Fuel Blending</vt:lpstr>
      <vt:lpstr>MOTO Registrations</vt:lpstr>
      <vt:lpstr>MOTO Efficiency</vt:lpstr>
      <vt:lpstr>MOTO Mileages</vt:lpstr>
      <vt:lpstr>FREH Stock</vt:lpstr>
      <vt:lpstr>FREH LGV vkm</vt:lpstr>
      <vt:lpstr>FREH LGV SEC</vt:lpstr>
      <vt:lpstr>FREH HGV tkm</vt:lpstr>
      <vt:lpstr>FREH HGV vkm</vt:lpstr>
      <vt:lpstr>FREH HGV SEC</vt:lpstr>
      <vt:lpstr>FREH Survival</vt:lpstr>
      <vt:lpstr>AVI SEAI Data</vt:lpstr>
      <vt:lpstr>AVI Passenger Kilometers</vt:lpstr>
      <vt:lpstr>AVI Distance between Airports</vt:lpstr>
      <vt:lpstr>AVI Freight</vt:lpstr>
      <vt:lpstr>PUB Luas Statistics</vt:lpstr>
      <vt:lpstr>PUB Rail Statistics</vt:lpstr>
      <vt:lpstr>PUB Bus Statistics</vt:lpstr>
      <vt:lpstr>PUB PSV</vt:lpstr>
      <vt:lpstr>PUB PSV Projections</vt:lpstr>
      <vt:lpstr>NAV Freight</vt:lpstr>
      <vt:lpstr>'EB2012'!Print_Area</vt:lpstr>
      <vt:lpstr>'EB2012'!Print_Titles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Eamonn Mulholland 110345319</dc:creator>
  <cp:lastModifiedBy>Alessandro Chiodi</cp:lastModifiedBy>
  <dcterms:created xsi:type="dcterms:W3CDTF">2015-07-22T10:23:34Z</dcterms:created>
  <dcterms:modified xsi:type="dcterms:W3CDTF">2017-11-06T13:22:49Z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721229195594787</vt:r8>
  </property>
  <property fmtid="{D5CDD505-2E9C-101B-9397-08002B2CF9AE}" pid="3" name="ContentTypeId">
    <vt:lpwstr>0x01010087B74FDAF7A4FB4D876E5EA45926113E</vt:lpwstr>
  </property>
</Properties>
</file>